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8.xml" ContentType="application/vnd.openxmlformats-officedocument.spreadsheetml.pivotTable+xml"/>
  <Override PartName="/xl/tables/table2.xml" ContentType="application/vnd.openxmlformats-officedocument.spreadsheetml.table+xml"/>
  <Override PartName="/xl/drawings/drawing6.xml" ContentType="application/vnd.openxmlformats-officedocument.drawing+xml"/>
  <Override PartName="/xl/pivotTables/pivotTable9.xml" ContentType="application/vnd.openxmlformats-officedocument.spreadsheetml.pivotTable+xml"/>
  <Override PartName="/xl/tables/table3.xml" ContentType="application/vnd.openxmlformats-officedocument.spreadsheetml.table+xml"/>
  <Override PartName="/xl/pivotTables/pivotTable10.xml" ContentType="application/vnd.openxmlformats-officedocument.spreadsheetml.pivot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hidePivotFieldList="1"/>
  <xr:revisionPtr revIDLastSave="0" documentId="13_ncr:1_{743BA745-0B18-4585-BB7D-61632A15259A}" xr6:coauthVersionLast="47" xr6:coauthVersionMax="47" xr10:uidLastSave="{00000000-0000-0000-0000-000000000000}"/>
  <workbookProtection workbookAlgorithmName="SHA-512" workbookHashValue="DWIQeeqP3MCwQIUVpb+4Nur877/a6TVHwIZu5pGjxxFHFxg+DC1LjaJGPmpgxgmL1Dy4KdfVWyeAxlBx1eBr3w==" workbookSaltValue="cwvcII9nhLHZCLK0qtDOnQ==" workbookSpinCount="100000" lockStructure="1"/>
  <bookViews>
    <workbookView xWindow="-110" yWindow="-110" windowWidth="19420" windowHeight="10300" activeTab="1" xr2:uid="{00000000-000D-0000-FFFF-FFFF00000000}"/>
  </bookViews>
  <sheets>
    <sheet name="Search" sheetId="127" r:id="rId1"/>
    <sheet name="SETUP" sheetId="1" r:id="rId2"/>
    <sheet name="Grant" sheetId="116" state="hidden" r:id="rId3"/>
    <sheet name="C19RM 2021-Pharma" sheetId="130" r:id="rId4"/>
    <sheet name="C19RM 2021-Lab &amp; Other HPS" sheetId="131" r:id="rId5"/>
    <sheet name="Cashflow Summary C19RM" sheetId="141" state="hidden" r:id="rId6"/>
    <sheet name="Fixed Cost-C19RM" sheetId="136" r:id="rId7"/>
    <sheet name="Detailed BudgetC19RM" sheetId="133" r:id="rId8"/>
    <sheet name="PMsheet" sheetId="83" state="hidden" r:id="rId9"/>
    <sheet name="Summary-Lab &amp; Other HPS" sheetId="140" state="hidden" r:id="rId10"/>
    <sheet name="HPM costs-C19RM" sheetId="142" r:id="rId11"/>
    <sheet name="Checker-C19RM" sheetId="135" r:id="rId12"/>
    <sheet name="DB Pivot-C19RM" sheetId="134" state="hidden" r:id="rId13"/>
    <sheet name="Master Data" sheetId="98" state="hidden" r:id="rId14"/>
    <sheet name="Master Data-C19RM" sheetId="139" state="hidden" r:id="rId15"/>
    <sheet name="Language" sheetId="86" state="hidden" r:id="rId16"/>
    <sheet name="LISTS" sheetId="2" state="hidden" r:id="rId17"/>
  </sheets>
  <externalReferences>
    <externalReference r:id="rId18"/>
    <externalReference r:id="rId19"/>
  </externalReferences>
  <definedNames>
    <definedName name="_xlnm._FilterDatabase" localSheetId="4" hidden="1">'C19RM 2021-Lab &amp; Other HPS'!$P$442:$V$649</definedName>
    <definedName name="_xlnm._FilterDatabase" localSheetId="3" hidden="1">'C19RM 2021-Pharma'!#REF!</definedName>
    <definedName name="_xlnm._FilterDatabase" localSheetId="5" hidden="1">'Cashflow Summary C19RM'!$A$4:$BJ$44</definedName>
    <definedName name="_xlnm._FilterDatabase" localSheetId="7" hidden="1">'Detailed BudgetC19RM'!$A$4:$BU$74</definedName>
    <definedName name="_xlnm._FilterDatabase" localSheetId="2" hidden="1">Grant!$L$2:$M$454</definedName>
    <definedName name="_xlnm._FilterDatabase" localSheetId="10" hidden="1">'HPM costs-C19RM'!$BI$16:$BJ$508</definedName>
    <definedName name="_xlnm._FilterDatabase" localSheetId="15" hidden="1">Language!$A$1:$G$1928</definedName>
    <definedName name="_xlnm._FilterDatabase" localSheetId="13" hidden="1">'Master Data'!$AA$2:$AD$239</definedName>
    <definedName name="_xlnm._FilterDatabase" localSheetId="14" hidden="1">'Master Data-C19RM'!$AA$2:$AD$44</definedName>
    <definedName name="_xlnm._FilterDatabase" localSheetId="8" hidden="1">PMsheet!$Q$2:$U$2</definedName>
    <definedName name="_xlnm._FilterDatabase" localSheetId="1" hidden="1">SETUP!$C$19:$H$67</definedName>
    <definedName name="Abbott">LISTS!$L$3:$L$5</definedName>
    <definedName name="AbbottEquip">LISTS!$L$3:$L$5</definedName>
    <definedName name="At_delivery">SETUP!$S$9:$S$12</definedName>
    <definedName name="bioMerieux" comment="Pls check">LISTS!$L$6:$L$8</definedName>
    <definedName name="Cepheid" comment="Pls check">LISTS!$L$9</definedName>
    <definedName name="CmpAcroSelected" localSheetId="4">INDIRECT(ADDRESS(CmpSelectedOnRow,2,1,TRUE,"CatCmp"))</definedName>
    <definedName name="CmpAcroSelected" localSheetId="3">INDIRECT(ADDRESS(CmpSelectedOnRow,2,1,TRUE,"CatCmp"))</definedName>
    <definedName name="CmpAcroSelected" localSheetId="5">INDIRECT(ADDRESS(CmpSelectedOnRow,2,1,TRUE,"CatCmp"))</definedName>
    <definedName name="CmpAcroSelected" localSheetId="7">INDIRECT(ADDRESS(CmpSelectedOnRow,2,1,TRUE,"CatCmp"))</definedName>
    <definedName name="CmpAcroSelected" localSheetId="6">INDIRECT(ADDRESS(CmpSelectedOnRow,2,1,TRUE,"CatCmp"))</definedName>
    <definedName name="CmpAcroSelected" localSheetId="10">INDIRECT(ADDRESS(CmpSelectedOnRow,2,1,TRUE,"CatCmp"))</definedName>
    <definedName name="CmpAcroSelected" localSheetId="14">INDIRECT(ADDRESS(CmpSelectedOnRow,2,1,TRUE,"CatCmp"))</definedName>
    <definedName name="CmpAcroSelected">INDIRECT(ADDRESS(CmpSelectedOnRow,2,1,TRUE,"CatCmp"))</definedName>
    <definedName name="CmpIdSelected" localSheetId="4">INDIRECT(ADDRESS(CmpSelectedOnRow,1,1,TRUE,"CatCmp"))</definedName>
    <definedName name="CmpIdSelected" localSheetId="3">INDIRECT(ADDRESS(CmpSelectedOnRow,1,1,TRUE,"CatCmp"))</definedName>
    <definedName name="CmpIdSelected" localSheetId="5">INDIRECT(ADDRESS(CmpSelectedOnRow,1,1,TRUE,"CatCmp"))</definedName>
    <definedName name="CmpIdSelected" localSheetId="7">INDIRECT(ADDRESS(CmpSelectedOnRow,1,1,TRUE,"CatCmp"))</definedName>
    <definedName name="CmpIdSelected" localSheetId="6">INDIRECT(ADDRESS(CmpSelectedOnRow,1,1,TRUE,"CatCmp"))</definedName>
    <definedName name="CmpIdSelected" localSheetId="10">INDIRECT(ADDRESS(CmpSelectedOnRow,1,1,TRUE,"CatCmp"))</definedName>
    <definedName name="CmpIdSelected" localSheetId="14">INDIRECT(ADDRESS(CmpSelectedOnRow,1,1,TRUE,"CatCmp"))</definedName>
    <definedName name="CmpIdSelected">INDIRECT(ADDRESS(CmpSelectedOnRow,1,1,TRUE,"CatCmp"))</definedName>
    <definedName name="COE">[1]List!$A$3:$A$4</definedName>
    <definedName name="COMPONENT">LISTS!$D$3:$D$6</definedName>
    <definedName name="ComponentConcatenation">CONCATENATE(SETUP!A1, SETUP!A2,", ",SETUP!A3,", ",SETUP!A4,", ",SETUP!A5)</definedName>
    <definedName name="ComponentList">SETUP!$C$30:$C$30</definedName>
    <definedName name="ComponentSelected">SETUP!$R$4</definedName>
    <definedName name="Cost_Inp_C19RM" localSheetId="6">OFFSET('Master Data-C19RM'!$AD$1:$AD$44,MATCH('Fixed Cost-C19RM'!$B1&amp;'Fixed Cost-C19RM'!$C1&amp;'Fixed Cost-C19RM'!$D1,'Master Data-C19RM'!$AA$1:$AA$44&amp;'Master Data-C19RM'!$AB$1:$AB$44&amp;'Master Data-C19RM'!$AC$1:$AC$44,0)-1,0,COUNTIFS('Master Data-C19RM'!$AA$1:$AA$44,'Fixed Cost-C19RM'!$B1,'Master Data-C19RM'!$AB$1:$AB$44,'Fixed Cost-C19RM'!$C1,'Master Data-C19RM'!$AC$1:$AC$44,'Fixed Cost-C19RM'!$D1),)</definedName>
    <definedName name="COUNTRYLIST">LISTS!$A$3:$A$166</definedName>
    <definedName name="COUTRYLIST">LISTS!$A$3:$A$166</definedName>
    <definedName name="Currencies">OFFSET(SETUP!$H$46:$H$58,1,0,MAX(SETUP!$F$46:$F$58),1)</definedName>
    <definedName name="CURRENCY">LISTS!$C$3:$C$4</definedName>
    <definedName name="DRW">LISTS!$L$10:$L$11</definedName>
    <definedName name="fixed">Language!$D$144</definedName>
    <definedName name="Fmodule" localSheetId="14">OFFSET('Master Data-C19RM'!$AG$1,MATCH('Fixed Cost-C19RM'!$B1,'Master Data-C19RM'!$AF$1:$AF$99,0)-1,0,COUNTIFS('Master Data-C19RM'!$AF$1:$AF$99,'Fixed Cost-C19RM'!$B1),1)</definedName>
    <definedName name="Fmodule">OFFSET('Master Data'!$AG$1,MATCH(#REF!,'Master Data'!$AF$1:$AF$300,0)-1,0,COUNTIFS('Master Data'!$AF$1:$AF$300,#REF!),1)</definedName>
    <definedName name="Fmodule1" localSheetId="6">OFFSET('Master Data'!$AK$1:$AK$300,(MATCH('Fixed Cost-C19RM'!$B1&amp;'Fixed Cost-C19RM'!$C1,'Master Data'!$AI$1:$AI$300&amp;'Master Data'!$AJ$1:$AJ$300,0)-1),0,COUNTIFS('Master Data'!$AI$1:$AI$300,'Fixed Cost-C19RM'!$B1,'Master Data'!$AJ$1:$AJ$300,'Fixed Cost-C19RM'!$C1),)</definedName>
    <definedName name="Fmodule1" localSheetId="14">OFFSET('Master Data-C19RM'!$AK$1:$AK$99,(MATCH(#REF!&amp;#REF!,'Master Data-C19RM'!$AI$1:$AI$99&amp;'Master Data-C19RM'!$AJ$1:$AJ$99,0)-1),0,COUNTIFS('Master Data-C19RM'!$AI$1:$AI$99,#REF!,'Master Data-C19RM'!$AJ$1:$AJ$99,#REF!),)</definedName>
    <definedName name="Fmodule1">OFFSET('Master Data'!$AK$1:$AK$300,(MATCH(#REF!&amp;#REF!,'Master Data'!$AI$1:$AI$300&amp;'Master Data'!$AJ$1:$AJ$300,0)-1),0,COUNTIFS('Master Data'!$AI$1:$AI$300,#REF!,'Master Data'!$AJ$1:$AJ$300,#REF!),)</definedName>
    <definedName name="Fmodule2">OFFSET('Master Data'!$AD$1:$AD$300,MATCH(#REF!&amp;#REF!&amp;#REF!,'Master Data'!$AA$1:$AA$300&amp;'Master Data'!$AB$1:$AB$300&amp;'Master Data'!$AC$1:$AC$300,0)-1,0,COUNTIFS('Master Data'!$AA$1:$AA$300,#REF!,'Master Data'!$AB$1:$AB$300,#REF!,'Master Data'!$AC$1:$AC$300,#REF!),)</definedName>
    <definedName name="Fmodule2_new" localSheetId="6">OFFSET('Master Data-C19RM'!$AD$1:$AD$99,MATCH('Fixed Cost-C19RM'!$B1&amp;'Fixed Cost-C19RM'!$C1&amp;'Fixed Cost-C19RM'!$D1,'Master Data-C19RM'!$AA$1:$AA$99&amp;'Master Data-C19RM'!$AB$1:$AB$99&amp;'Master Data-C19RM'!$AC$1:$AC$99,0)-1,0,COUNTIFS('Master Data-C19RM'!$AA$1:$AA$99,#REF!,'Master Data-C19RM'!$AB$1:$AB$99,'Fixed Cost-C19RM'!$C1,'Master Data-C19RM'!$AC$1:$AC$99,'Fixed Cost-C19RM'!$D1),)</definedName>
    <definedName name="Fmodule2_new" localSheetId="14">OFFSET('Master Data-C19RM'!$AD$1:$AD$99,MATCH('Fixed Cost-C19RM'!$B1&amp;'Fixed Cost-C19RM'!$C1&amp;'Fixed Cost-C19RM'!$D1,'Master Data-C19RM'!$AA$1:$AA$99&amp;'Master Data-C19RM'!$AB$1:$AB$99&amp;'Master Data-C19RM'!$AC$1:$AC$99,0)-1,0,COUNTIFS('Master Data-C19RM'!$AA$1:$AA$99,#REF!,'Master Data-C19RM'!$AB$1:$AB$99,'Fixed Cost-C19RM'!$C1,'Master Data-C19RM'!$AC$1:$AC$99,'Fixed Cost-C19RM'!$D1),)</definedName>
    <definedName name="Geographylocation">OFFSET(SETUP!$P$133,1,0,MATCH(" ",SETUP!$P$133:$P$153,-1)-1,1)</definedName>
    <definedName name="GRAN_NO" localSheetId="5">SETUP!$J$3</definedName>
    <definedName name="GRAN_NO" localSheetId="10">SETUP!$J$3</definedName>
    <definedName name="GRAN_NO">SETUP!$J$3</definedName>
    <definedName name="Grant_no_new">OFFSET(Grant!$AX$2:$AX$525,MATCH(SETUP!$E$3,Grant!$AU$2:$AU$525,0)-1,0,COUNTIFS(Grant!$AU$2:$AU$525,SETUP!$E$3),1)</definedName>
    <definedName name="GrantName">SETUP!$AC$34:$AC$53</definedName>
    <definedName name="HIV">Grant!$AH$2</definedName>
    <definedName name="Hologic">LISTS!$L$12</definedName>
    <definedName name="HPMCostModality" localSheetId="10">LISTS!$F$26:$F$28</definedName>
    <definedName name="HPMCostModality">LISTS!$F$26:$F$28</definedName>
    <definedName name="HV1S1T1C1" localSheetId="3">OFFSET(PMsheet!$U$1,MATCH('C19RM 2021-Pharma'!$A$7&amp;'C19RM 2021-Pharma'!$A$8,PMsheet!$S$1:$S$1773&amp;PMsheet!$T$1:$T$1773,0)-1,0,COUNTIFS(PMsheet!$S$1:$S$1773,'C19RM 2021-Pharma'!A$7,PMsheet!$T$1:$T$1773,'C19RM 2021-Pharma'!$A$8),1)</definedName>
    <definedName name="HV1S1T1C2" localSheetId="3">OFFSET(PMsheet!$AA$1:$AA$1773,(MATCH('C19RM 2021-Pharma'!$A$7&amp;'C19RM 2021-Pharma'!$A$8&amp;'C19RM 2021-Pharma'!$A1,PMsheet!$X$1:$X$1773&amp;PMsheet!$Y$1:$Y$1773&amp;PMsheet!$Z$1:$Z$1773,0)-1),0,COUNTIFS(PMsheet!$X$1:$X$1773,'C19RM 2021-Pharma'!$A$7,PMsheet!$Y$1:$Y$1773,'C19RM 2021-Pharma'!$A$8,PMsheet!$Z$1:$Z$1773,'C19RM 2021-Pharma'!$A1),)</definedName>
    <definedName name="HV1S1T1C3" localSheetId="3">OFFSET(PMsheet!$H$1,MATCH('C19RM 2021-Pharma'!$A$7&amp;'C19RM 2021-Pharma'!$A$8&amp;'C19RM 2021-Pharma'!$A1&amp;'C19RM 2021-Pharma'!$E1,PMsheet!$B$1:$B$4032&amp;PMsheet!$C$1:$C$4032&amp;PMsheet!$E$1:$E$4032&amp;PMsheet!$G$1:$G$4032,0)-1,0,COUNTIFS(PMsheet!$B$1:$B$4032,'C19RM 2021-Pharma'!$A$7,PMsheet!$C$1:$C$4032,'C19RM 2021-Pharma'!$A$8,PMsheet!$E$1:$E$4032,'C19RM 2021-Pharma'!$A1,PMsheet!$G$1:$G$4032,'C19RM 2021-Pharma'!$E1),)</definedName>
    <definedName name="HV1S2T1C1" localSheetId="3">OFFSET(PMsheet!$U$1,MATCH('C19RM 2021-Pharma'!$A$7&amp;'C19RM 2021-Pharma'!$A$115,PMsheet!$S$1:$S$1773&amp;PMsheet!$T$1:$T$1773,0)-1,0,COUNTIFS(PMsheet!$S$1:$S$1773,'C19RM 2021-Pharma'!A$7,PMsheet!$T$1:$T$1773,'C19RM 2021-Pharma'!$A$115),1)</definedName>
    <definedName name="HV1S2T1C2" localSheetId="3">OFFSET(PMsheet!$AA$1:$AA$1773,(MATCH('C19RM 2021-Pharma'!$A$7&amp;'C19RM 2021-Pharma'!$A$115&amp;'C19RM 2021-Pharma'!$A1,PMsheet!$X$1:$X$1773&amp;PMsheet!$Y$1:$Y$1773&amp;PMsheet!$Z$1:$Z$1773,0)-1),0,COUNTIFS(PMsheet!$X$1:$X$1773,'C19RM 2021-Pharma'!$A$7,PMsheet!$Y$1:$Y$1773,'C19RM 2021-Pharma'!$A$115,PMsheet!$Z$1:$Z$1773,'C19RM 2021-Pharma'!$A1),)</definedName>
    <definedName name="HV1S2T1C3" localSheetId="3">OFFSET(PMsheet!$H$1,MATCH('C19RM 2021-Pharma'!$A$7&amp;'C19RM 2021-Pharma'!$A$115&amp;'C19RM 2021-Pharma'!$A1&amp;'C19RM 2021-Pharma'!$E1,PMsheet!$B$1:$B$4032&amp;PMsheet!$C$1:$C$4032&amp;PMsheet!$E$1:$E$4032&amp;PMsheet!$G$1:$G$4032,0)-1,0,COUNTIFS(PMsheet!$B$1:$B$4032,'C19RM 2021-Pharma'!$A$7,PMsheet!$C$1:$C$4032,'C19RM 2021-Pharma'!$A$115,PMsheet!$E$1:$E$4032,'C19RM 2021-Pharma'!$A1,PMsheet!$G$1:$G$4032,'C19RM 2021-Pharma'!$E1),)</definedName>
    <definedName name="HV1S3T1C1" localSheetId="3">OFFSET(PMsheet!$U$1,MATCH('C19RM 2021-Pharma'!$A$7&amp;'C19RM 2021-Pharma'!#REF!,PMsheet!$S$1:$S$1773&amp;PMsheet!$T$1:$T$1773,0)-1,0,COUNTIFS(PMsheet!$S$1:$S$1773,'C19RM 2021-Pharma'!A$7,PMsheet!$T$1:$T$1773,'C19RM 2021-Pharma'!#REF!),1)</definedName>
    <definedName name="HV1S3T1C2" localSheetId="3">OFFSET(PMsheet!$AA$1:$AA$1773,(MATCH('C19RM 2021-Pharma'!$A$7&amp;'C19RM 2021-Pharma'!#REF!&amp;'C19RM 2021-Pharma'!$A1,PMsheet!$X$1:$X$1773&amp;PMsheet!$Y$1:$Y$1773&amp;PMsheet!$Z$1:$Z$1773,0)-1),0,COUNTIFS(PMsheet!$X$1:$X$1773,'C19RM 2021-Pharma'!$A$7,PMsheet!$Y$1:$Y$1773,'C19RM 2021-Pharma'!#REF!,PMsheet!$Z$1:$Z$1773,'C19RM 2021-Pharma'!$A1),)</definedName>
    <definedName name="HV1S3T1C3" localSheetId="3">OFFSET(PMsheet!$H$1,MATCH('C19RM 2021-Pharma'!$A$7&amp;'C19RM 2021-Pharma'!#REF!&amp;'C19RM 2021-Pharma'!$A1&amp;'C19RM 2021-Pharma'!$E1,PMsheet!$B$1:$B$4032&amp;PMsheet!$C$1:$C$4032&amp;PMsheet!$E$1:$E$4032&amp;PMsheet!$G$1:$G$4032,0)-1,0,COUNTIFS(PMsheet!$B$1:$B$4032,'C19RM 2021-Pharma'!$A$7,PMsheet!$C$1:$C$4032,'C19RM 2021-Pharma'!#REF!,PMsheet!$E$1:$E$4032,'C19RM 2021-Pharma'!$A1,PMsheet!$G$1:$G$4032,'C19RM 2021-Pharma'!$E1),)</definedName>
    <definedName name="HV1S4T1C1" localSheetId="3">OFFSET(PMsheet!$U$1,MATCH('C19RM 2021-Pharma'!$A$7&amp;'C19RM 2021-Pharma'!#REF!,PMsheet!$S$1:$S$1773&amp;PMsheet!$T$1:$T$1773,0)-1,0, COUNTIFS(PMsheet!$S$1:$S$1773,'C19RM 2021-Pharma'!A$7,PMsheet!$T$1:$T$1773,'C19RM 2021-Pharma'!#REF!),1)</definedName>
    <definedName name="HV1S4T1C2" localSheetId="3">OFFSET(PMsheet!$AA$1:$AA$1773,(MATCH('C19RM 2021-Pharma'!$A$7&amp;'C19RM 2021-Pharma'!#REF!&amp;'C19RM 2021-Pharma'!$A1,PMsheet!$X$1:$X$1773&amp;PMsheet!$Y$1:$Y$1773&amp;PMsheet!$Z$1:$Z$1773,0)-1),0, COUNTIFS(PMsheet!$X$1:$X$1773,'C19RM 2021-Pharma'!$A$7,PMsheet!$Y$1:$Y$1773,'C19RM 2021-Pharma'!#REF!,PMsheet!$Z$1:$Z$1773,'C19RM 2021-Pharma'!$A1),)</definedName>
    <definedName name="HV1S4T1C3" localSheetId="3">OFFSET(PMsheet!$H$1,MATCH('C19RM 2021-Pharma'!$A$7&amp;'C19RM 2021-Pharma'!#REF!&amp;'C19RM 2021-Pharma'!$A1&amp;'C19RM 2021-Pharma'!$E1,PMsheet!$B$1:$B$4032&amp;PMsheet!$C$1:$C$4032&amp;PMsheet!$E$1:$E$4032&amp;PMsheet!$G$1:$G$4032,0)-1,0, COUNTIFS(PMsheet!$B$1:$B$4032,'C19RM 2021-Pharma'!$A$7,PMsheet!$C$1:$C$4032,'C19RM 2021-Pharma'!#REF!,PMsheet!$E$1:$E$4032,'C19RM 2021-Pharma'!$A1,PMsheet!$G$1:$G$4032,'C19RM 2021-Pharma'!$E1),)</definedName>
    <definedName name="HV2S1T1C1" localSheetId="4">OFFSET(PMsheet!$U$1,MATCH('C19RM 2021-Lab &amp; Other HPS'!$A$7&amp;'C19RM 2021-Lab &amp; Other HPS'!$A$8,PMsheet!$S$1:$S$1773&amp;PMsheet!$T$1:$T$1773,0)-1,0,COUNTIFS(PMsheet!$S$1:$S$1773,'C19RM 2021-Lab &amp; Other HPS'!A$7,PMsheet!$T$1:$T$1773,'C19RM 2021-Lab &amp; Other HPS'!$A$8),1)</definedName>
    <definedName name="HV2S1T1C2" localSheetId="4">OFFSET(PMsheet!$AA$1:$AA$1773,(MATCH('C19RM 2021-Lab &amp; Other HPS'!$A$7&amp;'C19RM 2021-Lab &amp; Other HPS'!$A$8&amp;'C19RM 2021-Lab &amp; Other HPS'!$A1,PMsheet!$X$1:$X$1773&amp;PMsheet!$Y$1:$Y$1773&amp;PMsheet!$Z$1:$Z$1773,0)-1),0,COUNTIFS(PMsheet!$X$1:$X$1773,'C19RM 2021-Lab &amp; Other HPS'!$A$7,PMsheet!$Y$1:$Y$1773,'C19RM 2021-Lab &amp; Other HPS'!$A$8,PMsheet!$Z$1:$Z$1773,'C19RM 2021-Lab &amp; Other HPS'!$A1),)</definedName>
    <definedName name="HV2S1T1C3" localSheetId="4">OFFSET(PMsheet!$H$1,MATCH('C19RM 2021-Lab &amp; Other HPS'!$A$7&amp;'C19RM 2021-Lab &amp; Other HPS'!$A$8&amp;'C19RM 2021-Lab &amp; Other HPS'!$A1&amp;'C19RM 2021-Lab &amp; Other HPS'!$E1,PMsheet!$B$1:$B$4032&amp;PMsheet!$C$1:$C$4032&amp;PMsheet!$E$1:$E$4032&amp;PMsheet!$G$1:$G$4032,0)-1,0,COUNTIFS(PMsheet!$B$1:$B$4032,'C19RM 2021-Lab &amp; Other HPS'!$A$7,PMsheet!$C$1:$C$4032,'C19RM 2021-Lab &amp; Other HPS'!$A$8,PMsheet!$E$1:$E$4032,'C19RM 2021-Lab &amp; Other HPS'!$A1,PMsheet!$G$1:$G$4032,'C19RM 2021-Lab &amp; Other HPS'!$E1),)</definedName>
    <definedName name="HV2S2T1C1" localSheetId="4">OFFSET(PMsheet!$U$1,MATCH('C19RM 2021-Lab &amp; Other HPS'!$A$7&amp;'C19RM 2021-Lab &amp; Other HPS'!$A$115,PMsheet!$S$1:$S$1773&amp;PMsheet!$T$1:$T$1773,0)-1,0,COUNTIFS(PMsheet!$S$1:$S$1773,'C19RM 2021-Lab &amp; Other HPS'!A$7,PMsheet!$T$1:$T$1773,'C19RM 2021-Lab &amp; Other HPS'!$A$115),1)</definedName>
    <definedName name="HV2S2T1C2" localSheetId="4">OFFSET(PMsheet!$AA$1:$AA$1773,(MATCH('C19RM 2021-Lab &amp; Other HPS'!$A$7&amp;'C19RM 2021-Lab &amp; Other HPS'!$A$115&amp;'C19RM 2021-Lab &amp; Other HPS'!$A1,PMsheet!$X$1:$X$1773&amp;PMsheet!$Y$1:$Y$1773&amp;PMsheet!$Z$1:$Z$1773,0)-1),0,COUNTIFS(PMsheet!$X$1:$X$1773,'C19RM 2021-Lab &amp; Other HPS'!$A$7,PMsheet!$Y$1:$Y$1773,'C19RM 2021-Lab &amp; Other HPS'!$A$115,PMsheet!$Z$1:$Z$1773,'C19RM 2021-Lab &amp; Other HPS'!$A1),)</definedName>
    <definedName name="HV2S2T1C3_1" localSheetId="4">OFFSET(PMsheet!$H$1,MATCH('C19RM 2021-Lab &amp; Other HPS'!$A$7&amp;'C19RM 2021-Lab &amp; Other HPS'!$A$115&amp;'C19RM 2021-Lab &amp; Other HPS'!$A1&amp;'C19RM 2021-Lab &amp; Other HPS'!$E1,PMsheet!$B$1:$B$4032&amp;PMsheet!$C$1:$C$4032&amp;PMsheet!$E$1:$E$4032&amp;PMsheet!$G$1:$G$4032,0)-1,0,COUNTIFS(PMsheet!$B$1:$B$4032,'C19RM 2021-Lab &amp; Other HPS'!$A$7,PMsheet!$C$1:$C$4032,'C19RM 2021-Lab &amp; Other HPS'!$A$115,PMsheet!$E$1:$E$4032,'C19RM 2021-Lab &amp; Other HPS'!$A1,PMsheet!$G$1:$G$4032,'C19RM 2021-Lab &amp; Other HPS'!$E1),)</definedName>
    <definedName name="HV2S3T1C1" localSheetId="4">OFFSET(PMsheet!$U$1,MATCH('C19RM 2021-Lab &amp; Other HPS'!$A$7&amp;'C19RM 2021-Lab &amp; Other HPS'!$A$222,PMsheet!$S$1:$S$1773&amp;PMsheet!$T$1:$T$1773,0)-1,0,COUNTIFS(PMsheet!$S$1:$S$1773,'C19RM 2021-Lab &amp; Other HPS'!A$7,PMsheet!$T$1:$T$1773,'C19RM 2021-Lab &amp; Other HPS'!$A$222),1)</definedName>
    <definedName name="HV2S3T1C2_1" localSheetId="4">OFFSET(PMsheet!$AA$1:$AA$1773,(MATCH('C19RM 2021-Lab &amp; Other HPS'!$A$7&amp;'C19RM 2021-Lab &amp; Other HPS'!$A$222&amp;'C19RM 2021-Lab &amp; Other HPS'!$A1,PMsheet!$X$1:$X$1773&amp;PMsheet!$Y$1:$Y$1773&amp;PMsheet!$Z$1:$Z$1773,0)-1),0,COUNTIFS(PMsheet!$X$1:$X$1773,'C19RM 2021-Lab &amp; Other HPS'!$A$7,PMsheet!$Y$1:$Y$1773,'C19RM 2021-Lab &amp; Other HPS'!$A$222,PMsheet!$Z$1:$Z$1773,'C19RM 2021-Lab &amp; Other HPS'!$A1),)</definedName>
    <definedName name="IMP_ST_DATE" localSheetId="5">SETUP!$L$13</definedName>
    <definedName name="IMP_ST_DATE" localSheetId="10">SETUP!$L$13</definedName>
    <definedName name="IMP_ST_DATE">SETUP!$L$13</definedName>
    <definedName name="Implem">OFFSET(#REF!,MATCH(#REF!,#REF!,0)-1,0,COUNTIFS(#REF!,#REF!),1)</definedName>
    <definedName name="Implem1">OFFSET(#REF!,(MATCH(#REF!&amp;#REF!,#REF!&amp;#REF!,0)-1),0,COUNTIFS(#REF!,#REF!,#REF!,#REF!),)</definedName>
    <definedName name="Implem2">OFFSET(#REF!,MATCH(SUBSTITUTE(#REF!," ","")&amp;SUBSTITUTE(#REF!," ","")&amp;SUBSTITUTE(#REF!," ",""),SUBSTITUTE(#REF!," ","")&amp;SUBSTITUTE(#REF!," ","")&amp;SUBSTITUTE(#REF!," ",""),0)-1,0,COUNTIFS(#REF!,#REF!,#REF!,#REF!,#REF!,#REF!),)</definedName>
    <definedName name="Int_C19RM" localSheetId="6">OFFSET('Master Data-C19RM'!$AK$1:$AK$260,(MATCH('Fixed Cost-C19RM'!$B1&amp;'Fixed Cost-C19RM'!$C1,'Master Data-C19RM'!$AI$1:$AI$260&amp;'Master Data-C19RM'!$AJ$1:$AJ$260,0)-1),0,COUNTIFS('Master Data-C19RM'!$AI$1:$AI$260,'Fixed Cost-C19RM'!$B1,'Master Data-C19RM'!$AJ$1:$AJ$260,'Fixed Cost-C19RM'!$C1),)</definedName>
    <definedName name="KEY">SETUP!$G$12</definedName>
    <definedName name="KEY_1">SETUP!$F$12</definedName>
    <definedName name="Language">SETUP!$E$3</definedName>
    <definedName name="LANGUAGELIST">LISTS!$B$3:$B$6</definedName>
    <definedName name="LocalCurrency">IF(NOT(SETUP!$J$5=""),VLOOKUP(SETUP!$J$5,[2]Currencies!$B$2:$G$250, 6, FALSE),"")</definedName>
    <definedName name="Lumpsumpharma">LISTS!$P$3:$P$4</definedName>
    <definedName name="Malaria">Grant!$AI$2</definedName>
    <definedName name="ML2S3T1C3" localSheetId="4">OFFSET(PMsheet!$H$1,MATCH('C19RM 2021-Lab &amp; Other HPS'!$A$7&amp;'C19RM 2021-Lab &amp; Other HPS'!$A$222&amp;'C19RM 2021-Lab &amp; Other HPS'!$A1&amp;'C19RM 2021-Lab &amp; Other HPS'!$E1,PMsheet!$B$1:$B$4032&amp;PMsheet!$C$1:$C$4032&amp;PMsheet!$E$1:$E$4032&amp;PMsheet!$G$1:$G$4032,0)-1,0,COUNTIFS(PMsheet!$B$1:$B$4032,'C19RM 2021-Lab &amp; Other HPS'!$A$7,PMsheet!$C$1:$C$4032,'C19RM 2021-Lab &amp; Other HPS'!$A$222,PMsheet!$E$1:$E$4032,'C19RM 2021-Lab &amp; Other HPS'!$A1,PMsheet!$G$1:$G$4032,'C19RM 2021-Lab &amp; Other HPS'!$E1),)</definedName>
    <definedName name="ML2S4T1C1" localSheetId="4">OFFSET(PMsheet!$U$1,MATCH('C19RM 2021-Lab &amp; Other HPS'!$A$7&amp;'C19RM 2021-Lab &amp; Other HPS'!$A$330,PMsheet!$S$1:$S$1773&amp;PMsheet!$T$1:$T$1773,0)-1,0,COUNTIFS(PMsheet!$S$1:$S$1773,'C19RM 2021-Lab &amp; Other HPS'!$A$7,PMsheet!$T$1:$T$1773,'C19RM 2021-Lab &amp; Other HPS'!$A$330),1)</definedName>
    <definedName name="ML2S4T1C2" localSheetId="4">OFFSET(PMsheet!$AA$1:$AA$1773,(MATCH('C19RM 2021-Lab &amp; Other HPS'!$A$7&amp;'C19RM 2021-Lab &amp; Other HPS'!$A$330&amp;'C19RM 2021-Lab &amp; Other HPS'!$A1,PMsheet!$X$1:$X$1773&amp;PMsheet!$Y$1:$Y$1773&amp;PMsheet!$Z$1:$Z$1773,0)-1),0,COUNTIFS(PMsheet!$X$1:$X$1773,'C19RM 2021-Lab &amp; Other HPS'!$A$7,PMsheet!$Y$1:$Y$1773,'C19RM 2021-Lab &amp; Other HPS'!$A$330,PMsheet!$Z$1:$Z$1773,'C19RM 2021-Lab &amp; Other HPS'!$A1),)</definedName>
    <definedName name="ML2S4T1C3" localSheetId="4">OFFSET(PMsheet!$H$1,MATCH('C19RM 2021-Lab &amp; Other HPS'!$A$7&amp;'C19RM 2021-Lab &amp; Other HPS'!$A$330&amp;'C19RM 2021-Lab &amp; Other HPS'!$A1&amp;'C19RM 2021-Lab &amp; Other HPS'!$E1,PMsheet!$B$1:$B$4032&amp;PMsheet!$C$1:$C$4032&amp;PMsheet!$E$1:$E$4032&amp;PMsheet!$G$1:$G$4032,0)-1,0,COUNTIFS(PMsheet!$B$1:$B$4032,'C19RM 2021-Lab &amp; Other HPS'!$A$7,PMsheet!$C$1:$C$4032,'C19RM 2021-Lab &amp; Other HPS'!$A$330,PMsheet!$E$1:$E$4032,'C19RM 2021-Lab &amp; Other HPS'!$A1,PMsheet!$G$1:$G$4032,'C19RM 2021-Lab &amp; Other HPS'!$E1),)</definedName>
    <definedName name="ML2S5T1C1" localSheetId="4">OFFSET(PMsheet!$U$1,MATCH('C19RM 2021-Lab &amp; Other HPS'!$A$7&amp;'C19RM 2021-Lab &amp; Other HPS'!$A$437,PMsheet!$S$1:$S$1773&amp;PMsheet!$T$1:$T$1773,0)-1,0,COUNTIFS(PMsheet!$S$1:$S$1773,'C19RM 2021-Lab &amp; Other HPS'!A$7,PMsheet!$T$1:$T$1773,'C19RM 2021-Lab &amp; Other HPS'!$A$437),1)</definedName>
    <definedName name="ML2S5T1C2" localSheetId="4">OFFSET(PMsheet!$AA$1:$AA$1773,(MATCH('C19RM 2021-Lab &amp; Other HPS'!$A$7&amp;'C19RM 2021-Lab &amp; Other HPS'!$A$437&amp;'C19RM 2021-Lab &amp; Other HPS'!$A1,PMsheet!$X$1:$X$1773&amp;PMsheet!$Y$1:$Y$1773&amp;PMsheet!$Z$1:$Z$1773,0)-1),0,COUNTIFS(PMsheet!$X$1:$X$1773,'C19RM 2021-Lab &amp; Other HPS'!$A$7,PMsheet!$Y$1:$Y$1773,'C19RM 2021-Lab &amp; Other HPS'!$A$437,PMsheet!$Z$1:$Z$1773,'C19RM 2021-Lab &amp; Other HPS'!$A1),)</definedName>
    <definedName name="ML2S5T1C3" localSheetId="4">OFFSET(PMsheet!$H$1,MATCH('C19RM 2021-Lab &amp; Other HPS'!$A$7&amp;'C19RM 2021-Lab &amp; Other HPS'!$A$437&amp;'C19RM 2021-Lab &amp; Other HPS'!$A1&amp;'C19RM 2021-Lab &amp; Other HPS'!$E1,PMsheet!$B$1:$B$4032&amp;PMsheet!$C$1:$C$4032&amp;PMsheet!$E$1:$E$4032&amp;PMsheet!$G$1:$G$4032,0)-1,0,COUNTIFS(PMsheet!$B$1:$B$4032,'C19RM 2021-Lab &amp; Other HPS'!$A$7,PMsheet!$C$1:$C$4032,'C19RM 2021-Lab &amp; Other HPS'!$A$437,PMsheet!$E$1:$E$4032,'C19RM 2021-Lab &amp; Other HPS'!$A1,PMsheet!$G$1:$G$4032,'C19RM 2021-Lab &amp; Other HPS'!$E1),)</definedName>
    <definedName name="ML2S6T1C1" localSheetId="4">OFFSET(PMsheet!$U$1,MATCH('C19RM 2021-Lab &amp; Other HPS'!$A$7&amp;'C19RM 2021-Lab &amp; Other HPS'!$A$544,PMsheet!$S$1:$S$1773&amp;PMsheet!$T$1:$T$1773,0)-1,0,COUNTIFS(PMsheet!$S$1:$S$1773,'C19RM 2021-Lab &amp; Other HPS'!A$7,PMsheet!$T$1:$T$1773,'C19RM 2021-Lab &amp; Other HPS'!$A$544),1)</definedName>
    <definedName name="ML2S6T1C2" localSheetId="4">OFFSET(PMsheet!$AA$1:$AA$1773,(MATCH('C19RM 2021-Lab &amp; Other HPS'!$A$7&amp;'C19RM 2021-Lab &amp; Other HPS'!$A$544&amp;'C19RM 2021-Lab &amp; Other HPS'!$A1,PMsheet!$X$1:$X$1773&amp;PMsheet!$Y$1:$Y$1773&amp;PMsheet!$Z$1:$Z$1773,0)-1),0,COUNTIFS(PMsheet!$X$1:$X$1773,'C19RM 2021-Lab &amp; Other HPS'!$A$7,PMsheet!$Y$1:$Y$1773,'C19RM 2021-Lab &amp; Other HPS'!$A$544,PMsheet!$Z$1:$Z$1773,'C19RM 2021-Lab &amp; Other HPS'!$A1),)</definedName>
    <definedName name="ML2S6T1C3" localSheetId="4">OFFSET(PMsheet!$H$1,MATCH('C19RM 2021-Lab &amp; Other HPS'!$A$7&amp;'C19RM 2021-Lab &amp; Other HPS'!$A$544&amp;'C19RM 2021-Lab &amp; Other HPS'!$A1&amp;'C19RM 2021-Lab &amp; Other HPS'!$E1,PMsheet!$B$1:$B$4032&amp;PMsheet!$C$1:$C$4032&amp;PMsheet!$E$1:$E$4032&amp;PMsheet!$G$1:$G$4032,0)-1,0,COUNTIFS(PMsheet!$B$1:$B$4032,'C19RM 2021-Lab &amp; Other HPS'!$A$7,PMsheet!$C$1:$C$4032,'C19RM 2021-Lab &amp; Other HPS'!$A$544,PMsheet!$E$1:$E$4032,'C19RM 2021-Lab &amp; Other HPS'!$A1,PMsheet!$G$1:$G$4032,'C19RM 2021-Lab &amp; Other HPS'!$E1),)</definedName>
    <definedName name="MO_CHECK" localSheetId="5">SETUP!$H$14</definedName>
    <definedName name="MO_CHECK" comment="Pls check">SETUP!$H$14</definedName>
    <definedName name="Mod_C19RM" localSheetId="6">OFFSET('Master Data-C19RM'!$AG$1,MATCH('Fixed Cost-C19RM'!$B1,'Master Data-C19RM'!$AF$1:$AF$260,0)-1,0,COUNTIFS('Master Data-C19RM'!$AF$1:$AF$260,'Fixed Cost-C19RM'!$B1),1)</definedName>
    <definedName name="Multi">Grant!$AF$2:$AF$4</definedName>
    <definedName name="NbMachin" localSheetId="5">LISTS!$E$3:$E$114</definedName>
    <definedName name="NbMachin" localSheetId="10">LISTS!$E$3:$E$114</definedName>
    <definedName name="NbMachin" comment="Pls check">LISTS!$E$3:$E$114</definedName>
    <definedName name="Other" localSheetId="5">LISTS!$K$3,LISTS!$K$6,LISTS!$K$9,LISTS!$K$10,LISTS!$K$12,LISTS!$K$13,LISTS!$K$14,LISTS!$K$20</definedName>
    <definedName name="Other" comment="Pls check">LISTS!$K$3,LISTS!$K$6,LISTS!$K$9,LISTS!$K$10,LISTS!$K$12,LISTS!$K$13,LISTS!$K$14,LISTS!$K$20</definedName>
    <definedName name="_xlnm.Print_Area" localSheetId="1">SETUP!$A$1:$K$100</definedName>
    <definedName name="PROCUREMENTENTITY" localSheetId="5">LISTS!$F$3:$F$10</definedName>
    <definedName name="PROCUREMENTENTITY" localSheetId="10">LISTS!$F$3:$F$13</definedName>
    <definedName name="PROCUREMENTENTITY" comment="Pls check">LISTS!$F$3:$F$9</definedName>
    <definedName name="Qiagen" comment="Pls check">LISTS!$L$13</definedName>
    <definedName name="Roche" comment="Pls check">LISTS!$L$14:$L$19</definedName>
    <definedName name="RSSH">Grant!$AF$2:$AF$4</definedName>
    <definedName name="RSSH1">OFFSET(#REF!,(MATCH(#REF!,#REF!,0)-1),0,COUNTIFS(#REF!,#REF!),)</definedName>
    <definedName name="RSSH2">OFFSET(#REF!,MATCH(#REF!&amp;#REF!,#REF!&amp;#REF!,0)-1,0,COUNTIFS(#REF!,#REF!,#REF!,#REF!),)</definedName>
    <definedName name="S_Grant" localSheetId="4">OFFSET(Grant[GrantName],MATCH(SETUP!XEZ1&amp;SETUP!XEZ7,Grant[Country]&amp;Grant[Component],0)-1,0,COUNTIFS(Grant[Country],SETUP!XEZ1,Grant[Component],SETUP!XEZ7),1)</definedName>
    <definedName name="S_Grant" localSheetId="3">OFFSET(Grant[GrantName],MATCH(SETUP!XEZ1&amp;SETUP!XEZ7,Grant[Country]&amp;Grant[Component],0)-1,0,COUNTIFS(Grant[Country],SETUP!XEZ1,Grant[Component],SETUP!XEZ7),1)</definedName>
    <definedName name="S_Grant" localSheetId="5">OFFSET(Grant[GrantName],MATCH(SETUP!XEZ1&amp;SETUP!XEZ7,Grant[Country]&amp;Grant[Component],0)-1,0,COUNTIFS(Grant[Country],SETUP!XEZ1,Grant[Component],SETUP!XEZ7),1)</definedName>
    <definedName name="S_Grant" localSheetId="7">OFFSET(Grant[GrantName],MATCH(SETUP!XEZ1&amp;SETUP!XEZ7,Grant[Country]&amp;Grant[Component],0)-1,0,COUNTIFS(Grant[Country],SETUP!XEZ1,Grant[Component],SETUP!XEZ7),1)</definedName>
    <definedName name="S_Grant" localSheetId="6">OFFSET(Grant[GrantName],MATCH(SETUP!XEZ1&amp;SETUP!XEZ7,Grant[Country]&amp;Grant[Component],0)-1,0,COUNTIFS(Grant[Country],SETUP!XEZ1,Grant[Component],SETUP!XEZ7),1)</definedName>
    <definedName name="S_Grant" localSheetId="10">OFFSET(Grant[GrantName],MATCH(SETUP!XEZ1&amp;SETUP!XEZ7,Grant[Country]&amp;Grant[Component],0)-1,0,COUNTIFS(Grant[Country],SETUP!XEZ1,Grant[Component],SETUP!XEZ7),1)</definedName>
    <definedName name="S_Grant" localSheetId="14">OFFSET(Grant[GrantName],MATCH(SETUP!XEZ1&amp;SETUP!XEZ7,Grant[Country]&amp;Grant[Component],0)-1,0,COUNTIFS(Grant[Country],SETUP!XEZ1,Grant[Component],SETUP!XEZ7),1)</definedName>
    <definedName name="S_Grant">OFFSET(Grant[GrantName],MATCH(SETUP!XEZ1&amp;SETUP!XEZ7,Grant[Country]&amp;Grant[Component],0)-1,0,COUNTIFS(Grant[Country],SETUP!XEZ1,Grant[Component],SETUP!XEZ7),1)</definedName>
    <definedName name="S_PR" localSheetId="4">IFERROR(OFFSET(Grant[PR Organization],MATCH(SETUP!XEZ1048575&amp;SETUP!XEZ5&amp;SETUP!A1048575,Grant[Country]&amp;Grant[Component]&amp;Grant[GrantName],0)-1,0,COUNTIFS(Grant[Country],SETUP!XEZ1048575,Grant[Component],SETUP!XEZ5,Grant[GrantName],SETUP!A1048575),1),"NA")</definedName>
    <definedName name="S_PR" localSheetId="3">IFERROR(OFFSET(Grant[PR Organization],MATCH(SETUP!XEZ1048575&amp;SETUP!XEZ5&amp;SETUP!A1048575,Grant[Country]&amp;Grant[Component]&amp;Grant[GrantName],0)-1,0,COUNTIFS(Grant[Country],SETUP!XEZ1048575,Grant[Component],SETUP!XEZ5,Grant[GrantName],SETUP!A1048575),1),"NA")</definedName>
    <definedName name="S_PR" localSheetId="5">IFERROR(OFFSET(Grant[PR Organization],MATCH(SETUP!XEZ1048575&amp;SETUP!XEZ5&amp;SETUP!A1048575,Grant[Country]&amp;Grant[Component]&amp;Grant[GrantName],0)-1,0,COUNTIFS(Grant[Country],SETUP!XEZ1048575,Grant[Component],SETUP!XEZ5,Grant[GrantName],SETUP!A1048575),1),"NA")</definedName>
    <definedName name="S_PR" localSheetId="7">IFERROR(OFFSET(Grant[PR Organization],MATCH(SETUP!XEZ1048575&amp;SETUP!XEZ5&amp;SETUP!A1048575,Grant[Country]&amp;Grant[Component]&amp;Grant[GrantName],0)-1,0,COUNTIFS(Grant[Country],SETUP!XEZ1048575,Grant[Component],SETUP!XEZ5,Grant[GrantName],SETUP!A1048575),1),"NA")</definedName>
    <definedName name="S_PR" localSheetId="6">IFERROR(OFFSET(Grant[PR Organization],MATCH(SETUP!XEZ1048575&amp;SETUP!XEZ5&amp;SETUP!A1048575,Grant[Country]&amp;Grant[Component]&amp;Grant[GrantName],0)-1,0,COUNTIFS(Grant[Country],SETUP!XEZ1048575,Grant[Component],SETUP!XEZ5,Grant[GrantName],SETUP!A1048575),1),"NA")</definedName>
    <definedName name="S_PR" localSheetId="10">IFERROR(OFFSET(Grant[PR Organization],MATCH(SETUP!XEZ1048575&amp;SETUP!XEZ5&amp;SETUP!A1048575,Grant[Country]&amp;Grant[Component]&amp;Grant[GrantName],0)-1,0,COUNTIFS(Grant[Country],SETUP!XEZ1048575,Grant[Component],SETUP!XEZ5,Grant[GrantName],SETUP!A1048575),1),"NA")</definedName>
    <definedName name="S_PR" localSheetId="14">IFERROR(OFFSET(Grant[PR Organization],MATCH(SETUP!XEZ1048575&amp;SETUP!XEZ5&amp;SETUP!A1048575,Grant[Country]&amp;Grant[Component]&amp;Grant[GrantName],0)-1,0,COUNTIFS(Grant[Country],SETUP!XEZ1048575,Grant[Component],SETUP!XEZ5,Grant[GrantName],SETUP!A1048575),1),"NA")</definedName>
    <definedName name="S_PR">IFERROR(OFFSET(Grant[PR Organization],MATCH(SETUP!XEZ1048575&amp;SETUP!XEZ5&amp;SETUP!A1048575,Grant[Country]&amp;Grant[Component]&amp;Grant[GrantName],0)-1,0,COUNTIFS(Grant[Country],SETUP!XEZ1048575,Grant[Component],SETUP!XEZ5,Grant[GrantName],SETUP!A1048575),1),"NA")</definedName>
    <definedName name="SampleTypeVLEID" comment="Pls check" localSheetId="5">LISTS!$M$3:$M$5</definedName>
    <definedName name="SampleTypeVLEID" comment="Pls check" localSheetId="10">LISTS!$M$3:$M$5</definedName>
    <definedName name="SampleTypeVLEID" comment="Pls check">LISTS!$M$3:$M$5</definedName>
    <definedName name="Setup_PR">IF(SETUP!A1048576="C19RM",OFFSET(Grant!$Z:$Z,MATCH(SETUP!$E$3,Grant!$Y:$Y,0)-1,0,COUNTIFS(Grant!$Y:$Y,SETUP!$E$3),),OFFSET(Grant!$V:$V,MATCH(SETUP!$E$3&amp;SETUP!$E$9,Grant!$T:$T&amp;Grant!$U:$U,0)-1,0,COUNTIFS(Grant!$T:$T,SETUP!$E$3,Grant!$U:$U,SETUP!$E$9),))</definedName>
    <definedName name="Slicer_Each1">#N/A</definedName>
    <definedName name="Slicer_Packaging1">#N/A</definedName>
    <definedName name="TB">Grant!$AG$2</definedName>
    <definedName name="TypeOfPay" localSheetId="5">LISTS!$F$13:$F$14</definedName>
    <definedName name="TypeOfPay" comment="Pls check">LISTS!$F$18:$F$19</definedName>
    <definedName name="Upfront" comment="Pls check">SETUP!$S$9:$S$12</definedName>
    <definedName name="VERSION" localSheetId="5">LISTS!$E$4:$E$23</definedName>
    <definedName name="VERSION" comment="Pls check">LISTS!$E$5:$E$23</definedName>
    <definedName name="ViralLoadBrand" localSheetId="5">LISTS!$K$3,LISTS!$K$6,LISTS!$K$9,LISTS!$K$10,LISTS!$K$12,LISTS!$K$13,LISTS!$K$14,LISTS!$K$20</definedName>
    <definedName name="ViralLoadBrand" comment="Pls check">LISTS!$K$3,LISTS!$K$6,LISTS!$K$9,LISTS!$K$10,LISTS!$K$12,LISTS!$K$13,LISTS!$K$14,LISTS!$K$20</definedName>
    <definedName name="VL" comment="Pls check">LISTS!$K$3:$K$22</definedName>
    <definedName name="VLBrand" comment="Pls check">LISTS!$K$3:$K$22</definedName>
    <definedName name="VLEIDBrand" localSheetId="5">LISTS!$J$3:$J$10</definedName>
    <definedName name="VLEIDBrand" localSheetId="10">LISTS!$J$3:$J$10</definedName>
    <definedName name="VLEIDBrand" comment="Pls check">LISTS!$J$3:$J$10</definedName>
    <definedName name="YesNo" localSheetId="5">LISTS!$O$3:$O$4</definedName>
    <definedName name="YesNo" localSheetId="10">LISTS!$O$3:$O$4</definedName>
    <definedName name="YesNo">LISTS!$O$3:$O$4</definedName>
  </definedNames>
  <calcPr calcId="191029"/>
  <pivotCaches>
    <pivotCache cacheId="259" r:id="rId20"/>
    <pivotCache cacheId="260" r:id="rId21"/>
    <pivotCache cacheId="261" r:id="rId22"/>
    <pivotCache cacheId="262" r:id="rId23"/>
  </pivotCaches>
  <extLst>
    <ext xmlns:x14="http://schemas.microsoft.com/office/spreadsheetml/2009/9/main" uri="{BBE1A952-AA13-448e-AADC-164F8A28A991}">
      <x14:slicerCaches>
        <x14:slicerCache r:id="rId24"/>
        <x14:slicerCache r:id="rId25"/>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3" i="116" l="1" a="1"/>
  <c r="AR3" i="116" s="1"/>
  <c r="R11" i="1"/>
  <c r="R10" i="1"/>
  <c r="R9" i="1"/>
  <c r="X22" i="139" l="1"/>
  <c r="W22" i="139"/>
  <c r="X18" i="139"/>
  <c r="W18" i="139"/>
  <c r="X14" i="139"/>
  <c r="W14" i="139" s="1"/>
  <c r="X10" i="139"/>
  <c r="W10" i="139"/>
  <c r="X6" i="139"/>
  <c r="W6" i="139" s="1"/>
  <c r="X2" i="139"/>
  <c r="W2" i="139"/>
  <c r="U22" i="139" l="1"/>
  <c r="V21" i="139"/>
  <c r="U18" i="139"/>
  <c r="V17" i="139"/>
  <c r="U14" i="139"/>
  <c r="V13" i="139"/>
  <c r="U10" i="139"/>
  <c r="V9" i="139"/>
  <c r="U6" i="139"/>
  <c r="V5" i="139"/>
  <c r="V2" i="139"/>
  <c r="U2" i="139"/>
  <c r="F33" i="141"/>
  <c r="F34" i="141"/>
  <c r="F35" i="141"/>
  <c r="F36" i="141"/>
  <c r="F37" i="141"/>
  <c r="F38" i="141"/>
  <c r="F39" i="141"/>
  <c r="K44" i="141" l="1"/>
  <c r="K42" i="141"/>
  <c r="K41" i="141"/>
  <c r="K40" i="141"/>
  <c r="K39" i="141"/>
  <c r="K37" i="141"/>
  <c r="K36" i="141"/>
  <c r="K35" i="141"/>
  <c r="K33" i="141"/>
  <c r="K32" i="141"/>
  <c r="K30" i="141"/>
  <c r="K29" i="141"/>
  <c r="K28" i="141"/>
  <c r="K27" i="141"/>
  <c r="K26" i="141"/>
  <c r="K23" i="141"/>
  <c r="K22" i="141"/>
  <c r="K20" i="141"/>
  <c r="K19" i="141"/>
  <c r="K18" i="141"/>
  <c r="K16" i="141"/>
  <c r="K15" i="141"/>
  <c r="K12" i="141"/>
  <c r="K11" i="141"/>
  <c r="K9" i="141"/>
  <c r="K8" i="141"/>
  <c r="K7" i="141"/>
  <c r="K6" i="141"/>
  <c r="K5" i="141"/>
  <c r="AN3" i="116" l="1" a="1"/>
  <c r="AN3" i="116" s="1"/>
  <c r="K74" i="133"/>
  <c r="K73" i="133"/>
  <c r="K72" i="133"/>
  <c r="K71" i="133"/>
  <c r="K70" i="133"/>
  <c r="K69" i="133"/>
  <c r="K68" i="133"/>
  <c r="K67" i="133"/>
  <c r="K66" i="133"/>
  <c r="K65" i="133"/>
  <c r="K64" i="133"/>
  <c r="K63" i="133"/>
  <c r="K62" i="133"/>
  <c r="K61" i="133"/>
  <c r="K60" i="133"/>
  <c r="K59" i="133"/>
  <c r="K58" i="133"/>
  <c r="K57" i="133"/>
  <c r="K56" i="133"/>
  <c r="K55" i="133"/>
  <c r="K54" i="133"/>
  <c r="K53" i="133"/>
  <c r="K52" i="133"/>
  <c r="K51" i="133"/>
  <c r="K50" i="133"/>
  <c r="K49" i="133"/>
  <c r="K48" i="133"/>
  <c r="K47" i="133"/>
  <c r="K46" i="133"/>
  <c r="K45" i="133"/>
  <c r="K44" i="133"/>
  <c r="K43" i="133"/>
  <c r="K42" i="133"/>
  <c r="K41" i="133"/>
  <c r="K40" i="133"/>
  <c r="K39" i="133"/>
  <c r="K38" i="133"/>
  <c r="K37" i="133"/>
  <c r="K36" i="133"/>
  <c r="K35" i="133"/>
  <c r="K34" i="133"/>
  <c r="K33" i="133"/>
  <c r="K32" i="133"/>
  <c r="K31" i="133"/>
  <c r="K30" i="133"/>
  <c r="K29" i="133"/>
  <c r="K28" i="133"/>
  <c r="K27" i="133"/>
  <c r="K26" i="133"/>
  <c r="K25" i="133"/>
  <c r="K24" i="133"/>
  <c r="K23" i="133"/>
  <c r="K22" i="133"/>
  <c r="K21" i="133"/>
  <c r="K20" i="133"/>
  <c r="K19" i="133"/>
  <c r="K18" i="133"/>
  <c r="K17" i="133"/>
  <c r="K16" i="133"/>
  <c r="K15" i="133"/>
  <c r="K14" i="133"/>
  <c r="K13" i="133"/>
  <c r="K12" i="133"/>
  <c r="K11" i="133"/>
  <c r="K10" i="133"/>
  <c r="K9" i="133"/>
  <c r="K8" i="133"/>
  <c r="K7" i="133"/>
  <c r="I67" i="133"/>
  <c r="I66" i="133"/>
  <c r="I65" i="133"/>
  <c r="I64" i="133"/>
  <c r="I63" i="133"/>
  <c r="I55" i="133"/>
  <c r="I54" i="133"/>
  <c r="I53" i="133"/>
  <c r="I52" i="133"/>
  <c r="I44" i="133"/>
  <c r="I43" i="133"/>
  <c r="I42" i="133"/>
  <c r="I34" i="133"/>
  <c r="I33" i="133"/>
  <c r="I32" i="133"/>
  <c r="I31" i="133"/>
  <c r="I17" i="133"/>
  <c r="I16" i="133"/>
  <c r="I29" i="133"/>
  <c r="I21" i="133"/>
  <c r="I19" i="133"/>
  <c r="I18" i="133"/>
  <c r="I8" i="133"/>
  <c r="I7" i="133"/>
  <c r="M8" i="133"/>
  <c r="I6" i="133"/>
  <c r="BH649" i="131" l="1" a="1"/>
  <c r="BH649" i="131" s="1"/>
  <c r="BH648" i="131" a="1"/>
  <c r="BH648" i="131" s="1"/>
  <c r="BH647" i="131" a="1"/>
  <c r="BH647" i="131" s="1"/>
  <c r="BH646" i="131" a="1"/>
  <c r="BH646" i="131" s="1"/>
  <c r="BH645" i="131" a="1"/>
  <c r="BH645" i="131" s="1"/>
  <c r="BH644" i="131" a="1"/>
  <c r="BH644" i="131" s="1"/>
  <c r="BH643" i="131" a="1"/>
  <c r="BH643" i="131" s="1"/>
  <c r="BH642" i="131" a="1"/>
  <c r="BH642" i="131" s="1"/>
  <c r="BH641" i="131" a="1"/>
  <c r="BH641" i="131" s="1"/>
  <c r="BH640" i="131" a="1"/>
  <c r="BH640" i="131" s="1"/>
  <c r="BH639" i="131" a="1"/>
  <c r="BH639" i="131" s="1"/>
  <c r="BH638" i="131" a="1"/>
  <c r="BH638" i="131" s="1"/>
  <c r="BH637" i="131" a="1"/>
  <c r="BH637" i="131" s="1"/>
  <c r="BH636" i="131" a="1"/>
  <c r="BH636" i="131" s="1"/>
  <c r="BH635" i="131" a="1"/>
  <c r="BH635" i="131" s="1"/>
  <c r="BH634" i="131" a="1"/>
  <c r="BH634" i="131" s="1"/>
  <c r="BH633" i="131" a="1"/>
  <c r="BH633" i="131" s="1"/>
  <c r="BH632" i="131" a="1"/>
  <c r="BH632" i="131" s="1"/>
  <c r="BH631" i="131" a="1"/>
  <c r="BH631" i="131" s="1"/>
  <c r="BH630" i="131" a="1"/>
  <c r="BH630" i="131" s="1"/>
  <c r="BH629" i="131" a="1"/>
  <c r="BH629" i="131" s="1"/>
  <c r="BH628" i="131" a="1"/>
  <c r="BH628" i="131" s="1"/>
  <c r="BH627" i="131" a="1"/>
  <c r="BH627" i="131" s="1"/>
  <c r="BH626" i="131" a="1"/>
  <c r="BH626" i="131" s="1"/>
  <c r="BH625" i="131" a="1"/>
  <c r="BH625" i="131" s="1"/>
  <c r="BH624" i="131" a="1"/>
  <c r="BH624" i="131" s="1"/>
  <c r="BH623" i="131" a="1"/>
  <c r="BH623" i="131" s="1"/>
  <c r="BH622" i="131" a="1"/>
  <c r="BH622" i="131" s="1"/>
  <c r="BH621" i="131" a="1"/>
  <c r="BH621" i="131" s="1"/>
  <c r="BH620" i="131" a="1"/>
  <c r="BH620" i="131" s="1"/>
  <c r="BH619" i="131" a="1"/>
  <c r="BH619" i="131" s="1"/>
  <c r="BH618" i="131" a="1"/>
  <c r="BH618" i="131" s="1"/>
  <c r="BH617" i="131" a="1"/>
  <c r="BH617" i="131" s="1"/>
  <c r="BH616" i="131" a="1"/>
  <c r="BH616" i="131" s="1"/>
  <c r="BH615" i="131" a="1"/>
  <c r="BH615" i="131" s="1"/>
  <c r="BH614" i="131" a="1"/>
  <c r="BH614" i="131" s="1"/>
  <c r="BH613" i="131" a="1"/>
  <c r="BH613" i="131" s="1"/>
  <c r="BH612" i="131" a="1"/>
  <c r="BH612" i="131" s="1"/>
  <c r="BH611" i="131" a="1"/>
  <c r="BH611" i="131" s="1"/>
  <c r="BH610" i="131" a="1"/>
  <c r="BH610" i="131" s="1"/>
  <c r="BH609" i="131" a="1"/>
  <c r="BH609" i="131" s="1"/>
  <c r="BH608" i="131" a="1"/>
  <c r="BH608" i="131" s="1"/>
  <c r="BH607" i="131" a="1"/>
  <c r="BH607" i="131" s="1"/>
  <c r="BH606" i="131" a="1"/>
  <c r="BH606" i="131" s="1"/>
  <c r="BH605" i="131" a="1"/>
  <c r="BH605" i="131" s="1"/>
  <c r="BH604" i="131" a="1"/>
  <c r="BH604" i="131" s="1"/>
  <c r="BH603" i="131" a="1"/>
  <c r="BH603" i="131" s="1"/>
  <c r="BH602" i="131" a="1"/>
  <c r="BH602" i="131" s="1"/>
  <c r="BH601" i="131" a="1"/>
  <c r="BH601" i="131" s="1"/>
  <c r="BH600" i="131" a="1"/>
  <c r="BH600" i="131" s="1"/>
  <c r="BH599" i="131" a="1"/>
  <c r="BH599" i="131" s="1"/>
  <c r="BH598" i="131" a="1"/>
  <c r="BH598" i="131" s="1"/>
  <c r="BH597" i="131" a="1"/>
  <c r="BH597" i="131" s="1"/>
  <c r="BH596" i="131" a="1"/>
  <c r="BH596" i="131" s="1"/>
  <c r="BH595" i="131" a="1"/>
  <c r="BH595" i="131" s="1"/>
  <c r="BH594" i="131" a="1"/>
  <c r="BH594" i="131" s="1"/>
  <c r="BH593" i="131" a="1"/>
  <c r="BH593" i="131" s="1"/>
  <c r="BH592" i="131" a="1"/>
  <c r="BH592" i="131" s="1"/>
  <c r="BH591" i="131" a="1"/>
  <c r="BH591" i="131" s="1"/>
  <c r="BH590" i="131" a="1"/>
  <c r="BH590" i="131" s="1"/>
  <c r="BH589" i="131" a="1"/>
  <c r="BH589" i="131" s="1"/>
  <c r="BH588" i="131" a="1"/>
  <c r="BH588" i="131" s="1"/>
  <c r="BH587" i="131" a="1"/>
  <c r="BH587" i="131" s="1"/>
  <c r="BH586" i="131" a="1"/>
  <c r="BH586" i="131" s="1"/>
  <c r="BH585" i="131" a="1"/>
  <c r="BH585" i="131" s="1"/>
  <c r="BH584" i="131" a="1"/>
  <c r="BH584" i="131" s="1"/>
  <c r="BH583" i="131" a="1"/>
  <c r="BH583" i="131" s="1"/>
  <c r="BH582" i="131" a="1"/>
  <c r="BH582" i="131" s="1"/>
  <c r="BH581" i="131" a="1"/>
  <c r="BH581" i="131" s="1"/>
  <c r="BH580" i="131" a="1"/>
  <c r="BH580" i="131" s="1"/>
  <c r="BH579" i="131" a="1"/>
  <c r="BH579" i="131" s="1"/>
  <c r="BH578" i="131" a="1"/>
  <c r="BH578" i="131" s="1"/>
  <c r="BH577" i="131" a="1"/>
  <c r="BH577" i="131" s="1"/>
  <c r="BH576" i="131" a="1"/>
  <c r="BH576" i="131" s="1"/>
  <c r="BH575" i="131" a="1"/>
  <c r="BH575" i="131" s="1"/>
  <c r="BH574" i="131" a="1"/>
  <c r="BH574" i="131" s="1"/>
  <c r="BH573" i="131" a="1"/>
  <c r="BH573" i="131" s="1"/>
  <c r="BH572" i="131" a="1"/>
  <c r="BH572" i="131" s="1"/>
  <c r="BH571" i="131" a="1"/>
  <c r="BH571" i="131" s="1"/>
  <c r="BH570" i="131" a="1"/>
  <c r="BH570" i="131" s="1"/>
  <c r="BH569" i="131" a="1"/>
  <c r="BH569" i="131" s="1"/>
  <c r="BH568" i="131" a="1"/>
  <c r="BH568" i="131" s="1"/>
  <c r="BH567" i="131" a="1"/>
  <c r="BH567" i="131" s="1"/>
  <c r="BH566" i="131" a="1"/>
  <c r="BH566" i="131" s="1"/>
  <c r="BH565" i="131" a="1"/>
  <c r="BH565" i="131" s="1"/>
  <c r="BH564" i="131" a="1"/>
  <c r="BH564" i="131" s="1"/>
  <c r="BH563" i="131" a="1"/>
  <c r="BH563" i="131" s="1"/>
  <c r="BH562" i="131" a="1"/>
  <c r="BH562" i="131" s="1"/>
  <c r="BH561" i="131" a="1"/>
  <c r="BH561" i="131" s="1"/>
  <c r="BH560" i="131" a="1"/>
  <c r="BH560" i="131" s="1"/>
  <c r="BH559" i="131" a="1"/>
  <c r="BH559" i="131" s="1"/>
  <c r="BH558" i="131" a="1"/>
  <c r="BH558" i="131" s="1"/>
  <c r="BH557" i="131" a="1"/>
  <c r="BH557" i="131" s="1"/>
  <c r="BH556" i="131" a="1"/>
  <c r="BH556" i="131" s="1"/>
  <c r="BH555" i="131" a="1"/>
  <c r="BH555" i="131" s="1"/>
  <c r="BH554" i="131" a="1"/>
  <c r="BH554" i="131" s="1"/>
  <c r="BH553" i="131" a="1"/>
  <c r="BH553" i="131" s="1"/>
  <c r="BH552" i="131" a="1"/>
  <c r="BH552" i="131" s="1"/>
  <c r="BH551" i="131" a="1"/>
  <c r="BH551" i="131" s="1"/>
  <c r="BH550" i="131" a="1"/>
  <c r="BH550" i="131" s="1"/>
  <c r="BH542" i="131" a="1"/>
  <c r="BH542" i="131" s="1"/>
  <c r="BH541" i="131" a="1"/>
  <c r="BH541" i="131" s="1"/>
  <c r="BH540" i="131" a="1"/>
  <c r="BH540" i="131" s="1"/>
  <c r="BH539" i="131" a="1"/>
  <c r="BH539" i="131" s="1"/>
  <c r="BH538" i="131" a="1"/>
  <c r="BH538" i="131" s="1"/>
  <c r="BH537" i="131" a="1"/>
  <c r="BH537" i="131" s="1"/>
  <c r="BH536" i="131" a="1"/>
  <c r="BH536" i="131" s="1"/>
  <c r="BH535" i="131" a="1"/>
  <c r="BH535" i="131" s="1"/>
  <c r="BH534" i="131" a="1"/>
  <c r="BH534" i="131" s="1"/>
  <c r="BH533" i="131" a="1"/>
  <c r="BH533" i="131" s="1"/>
  <c r="BH532" i="131" a="1"/>
  <c r="BH532" i="131" s="1"/>
  <c r="BH531" i="131" a="1"/>
  <c r="BH531" i="131" s="1"/>
  <c r="BH530" i="131" a="1"/>
  <c r="BH530" i="131" s="1"/>
  <c r="BH529" i="131" a="1"/>
  <c r="BH529" i="131" s="1"/>
  <c r="BH528" i="131" a="1"/>
  <c r="BH528" i="131" s="1"/>
  <c r="BH527" i="131" a="1"/>
  <c r="BH527" i="131" s="1"/>
  <c r="BH526" i="131" a="1"/>
  <c r="BH526" i="131" s="1"/>
  <c r="BH525" i="131" a="1"/>
  <c r="BH525" i="131" s="1"/>
  <c r="BH524" i="131" a="1"/>
  <c r="BH524" i="131" s="1"/>
  <c r="BH523" i="131" a="1"/>
  <c r="BH523" i="131" s="1"/>
  <c r="BH522" i="131" a="1"/>
  <c r="BH522" i="131" s="1"/>
  <c r="BH521" i="131" a="1"/>
  <c r="BH521" i="131" s="1"/>
  <c r="BH520" i="131" a="1"/>
  <c r="BH520" i="131" s="1"/>
  <c r="BH519" i="131" a="1"/>
  <c r="BH519" i="131" s="1"/>
  <c r="BH518" i="131" a="1"/>
  <c r="BH518" i="131" s="1"/>
  <c r="BH517" i="131" a="1"/>
  <c r="BH517" i="131" s="1"/>
  <c r="BH516" i="131" a="1"/>
  <c r="BH516" i="131" s="1"/>
  <c r="BH515" i="131" a="1"/>
  <c r="BH515" i="131" s="1"/>
  <c r="BH514" i="131" a="1"/>
  <c r="BH514" i="131" s="1"/>
  <c r="BH513" i="131" a="1"/>
  <c r="BH513" i="131" s="1"/>
  <c r="BH512" i="131" a="1"/>
  <c r="BH512" i="131" s="1"/>
  <c r="BH511" i="131" a="1"/>
  <c r="BH511" i="131" s="1"/>
  <c r="BH510" i="131" a="1"/>
  <c r="BH510" i="131" s="1"/>
  <c r="BH509" i="131" a="1"/>
  <c r="BH509" i="131" s="1"/>
  <c r="BH508" i="131" a="1"/>
  <c r="BH508" i="131" s="1"/>
  <c r="BH507" i="131" a="1"/>
  <c r="BH507" i="131" s="1"/>
  <c r="BH506" i="131" a="1"/>
  <c r="BH506" i="131" s="1"/>
  <c r="BH505" i="131" a="1"/>
  <c r="BH505" i="131" s="1"/>
  <c r="BH504" i="131" a="1"/>
  <c r="BH504" i="131" s="1"/>
  <c r="BH503" i="131" a="1"/>
  <c r="BH503" i="131" s="1"/>
  <c r="BH502" i="131" a="1"/>
  <c r="BH502" i="131" s="1"/>
  <c r="BH501" i="131" a="1"/>
  <c r="BH501" i="131" s="1"/>
  <c r="BH500" i="131" a="1"/>
  <c r="BH500" i="131" s="1"/>
  <c r="BH499" i="131" a="1"/>
  <c r="BH499" i="131" s="1"/>
  <c r="BH498" i="131" a="1"/>
  <c r="BH498" i="131" s="1"/>
  <c r="BH497" i="131" a="1"/>
  <c r="BH497" i="131" s="1"/>
  <c r="BH496" i="131" a="1"/>
  <c r="BH496" i="131" s="1"/>
  <c r="BH495" i="131" a="1"/>
  <c r="BH495" i="131" s="1"/>
  <c r="BH494" i="131" a="1"/>
  <c r="BH494" i="131" s="1"/>
  <c r="BH493" i="131" a="1"/>
  <c r="BH493" i="131" s="1"/>
  <c r="BH492" i="131" a="1"/>
  <c r="BH492" i="131" s="1"/>
  <c r="BH491" i="131" a="1"/>
  <c r="BH491" i="131" s="1"/>
  <c r="BH490" i="131" a="1"/>
  <c r="BH490" i="131" s="1"/>
  <c r="BH489" i="131" a="1"/>
  <c r="BH489" i="131" s="1"/>
  <c r="BH488" i="131" a="1"/>
  <c r="BH488" i="131" s="1"/>
  <c r="BH487" i="131" a="1"/>
  <c r="BH487" i="131" s="1"/>
  <c r="BH486" i="131" a="1"/>
  <c r="BH486" i="131" s="1"/>
  <c r="BH485" i="131" a="1"/>
  <c r="BH485" i="131" s="1"/>
  <c r="BH484" i="131" a="1"/>
  <c r="BH484" i="131" s="1"/>
  <c r="BH483" i="131" a="1"/>
  <c r="BH483" i="131" s="1"/>
  <c r="BH482" i="131" a="1"/>
  <c r="BH482" i="131" s="1"/>
  <c r="BH481" i="131" a="1"/>
  <c r="BH481" i="131" s="1"/>
  <c r="BH480" i="131" a="1"/>
  <c r="BH480" i="131" s="1"/>
  <c r="BH479" i="131" a="1"/>
  <c r="BH479" i="131" s="1"/>
  <c r="BH478" i="131" a="1"/>
  <c r="BH478" i="131" s="1"/>
  <c r="BH477" i="131" a="1"/>
  <c r="BH477" i="131" s="1"/>
  <c r="BH476" i="131" a="1"/>
  <c r="BH476" i="131" s="1"/>
  <c r="BH475" i="131" a="1"/>
  <c r="BH475" i="131" s="1"/>
  <c r="BH474" i="131" a="1"/>
  <c r="BH474" i="131" s="1"/>
  <c r="BH473" i="131" a="1"/>
  <c r="BH473" i="131" s="1"/>
  <c r="BH472" i="131" a="1"/>
  <c r="BH472" i="131" s="1"/>
  <c r="BH471" i="131" a="1"/>
  <c r="BH471" i="131" s="1"/>
  <c r="BH470" i="131" a="1"/>
  <c r="BH470" i="131" s="1"/>
  <c r="BH469" i="131" a="1"/>
  <c r="BH469" i="131" s="1"/>
  <c r="BH468" i="131" a="1"/>
  <c r="BH468" i="131" s="1"/>
  <c r="BH467" i="131" a="1"/>
  <c r="BH467" i="131" s="1"/>
  <c r="BH466" i="131" a="1"/>
  <c r="BH466" i="131" s="1"/>
  <c r="BH465" i="131" a="1"/>
  <c r="BH465" i="131" s="1"/>
  <c r="BH464" i="131" a="1"/>
  <c r="BH464" i="131" s="1"/>
  <c r="BH463" i="131" a="1"/>
  <c r="BH463" i="131" s="1"/>
  <c r="BH462" i="131" a="1"/>
  <c r="BH462" i="131" s="1"/>
  <c r="BH461" i="131" a="1"/>
  <c r="BH461" i="131" s="1"/>
  <c r="BH460" i="131" a="1"/>
  <c r="BH460" i="131" s="1"/>
  <c r="BH459" i="131" a="1"/>
  <c r="BH459" i="131" s="1"/>
  <c r="BH458" i="131" a="1"/>
  <c r="BH458" i="131" s="1"/>
  <c r="BH457" i="131" a="1"/>
  <c r="BH457" i="131" s="1"/>
  <c r="BH456" i="131" a="1"/>
  <c r="BH456" i="131" s="1"/>
  <c r="BH455" i="131" a="1"/>
  <c r="BH455" i="131" s="1"/>
  <c r="BH454" i="131" a="1"/>
  <c r="BH454" i="131" s="1"/>
  <c r="BH453" i="131" a="1"/>
  <c r="BH453" i="131" s="1"/>
  <c r="BH452" i="131" a="1"/>
  <c r="BH452" i="131" s="1"/>
  <c r="BH451" i="131" a="1"/>
  <c r="BH451" i="131" s="1"/>
  <c r="BH450" i="131" a="1"/>
  <c r="BH450" i="131" s="1"/>
  <c r="BH449" i="131" a="1"/>
  <c r="BH449" i="131" s="1"/>
  <c r="BH448" i="131" a="1"/>
  <c r="BH448" i="131" s="1"/>
  <c r="BH447" i="131" a="1"/>
  <c r="BH447" i="131" s="1"/>
  <c r="BH446" i="131" a="1"/>
  <c r="BH446" i="131" s="1"/>
  <c r="BH445" i="131" a="1"/>
  <c r="BH445" i="131" s="1"/>
  <c r="BH444" i="131" a="1"/>
  <c r="BH444" i="131" s="1"/>
  <c r="BH443" i="131" a="1"/>
  <c r="BH443" i="131" s="1"/>
  <c r="BH435" i="131" a="1"/>
  <c r="BH435" i="131" s="1"/>
  <c r="BH434" i="131" a="1"/>
  <c r="BH434" i="131" s="1"/>
  <c r="BH433" i="131" a="1"/>
  <c r="BH433" i="131" s="1"/>
  <c r="BH432" i="131" a="1"/>
  <c r="BH432" i="131" s="1"/>
  <c r="BH431" i="131" a="1"/>
  <c r="BH431" i="131" s="1"/>
  <c r="BH430" i="131" a="1"/>
  <c r="BH430" i="131" s="1"/>
  <c r="BH429" i="131" a="1"/>
  <c r="BH429" i="131" s="1"/>
  <c r="BH428" i="131" a="1"/>
  <c r="BH428" i="131" s="1"/>
  <c r="BH427" i="131" a="1"/>
  <c r="BH427" i="131" s="1"/>
  <c r="BH426" i="131" a="1"/>
  <c r="BH426" i="131" s="1"/>
  <c r="BH425" i="131" a="1"/>
  <c r="BH425" i="131" s="1"/>
  <c r="BH424" i="131" a="1"/>
  <c r="BH424" i="131" s="1"/>
  <c r="BH423" i="131" a="1"/>
  <c r="BH423" i="131" s="1"/>
  <c r="BH422" i="131" a="1"/>
  <c r="BH422" i="131" s="1"/>
  <c r="BH421" i="131" a="1"/>
  <c r="BH421" i="131" s="1"/>
  <c r="BH420" i="131" a="1"/>
  <c r="BH420" i="131" s="1"/>
  <c r="BH419" i="131" a="1"/>
  <c r="BH419" i="131" s="1"/>
  <c r="BH418" i="131" a="1"/>
  <c r="BH418" i="131" s="1"/>
  <c r="BH417" i="131" a="1"/>
  <c r="BH417" i="131" s="1"/>
  <c r="BH416" i="131" a="1"/>
  <c r="BH416" i="131" s="1"/>
  <c r="BH415" i="131" a="1"/>
  <c r="BH415" i="131" s="1"/>
  <c r="BH414" i="131" a="1"/>
  <c r="BH414" i="131" s="1"/>
  <c r="BH413" i="131" a="1"/>
  <c r="BH413" i="131" s="1"/>
  <c r="BH412" i="131" a="1"/>
  <c r="BH412" i="131" s="1"/>
  <c r="BH411" i="131" a="1"/>
  <c r="BH411" i="131" s="1"/>
  <c r="BH410" i="131" a="1"/>
  <c r="BH410" i="131" s="1"/>
  <c r="BH409" i="131" a="1"/>
  <c r="BH409" i="131" s="1"/>
  <c r="BH408" i="131" a="1"/>
  <c r="BH408" i="131" s="1"/>
  <c r="BH407" i="131" a="1"/>
  <c r="BH407" i="131" s="1"/>
  <c r="BH406" i="131" a="1"/>
  <c r="BH406" i="131" s="1"/>
  <c r="BH405" i="131" a="1"/>
  <c r="BH405" i="131" s="1"/>
  <c r="BH404" i="131" a="1"/>
  <c r="BH404" i="131" s="1"/>
  <c r="BH403" i="131" a="1"/>
  <c r="BH403" i="131" s="1"/>
  <c r="BH402" i="131" a="1"/>
  <c r="BH402" i="131" s="1"/>
  <c r="BH401" i="131" a="1"/>
  <c r="BH401" i="131" s="1"/>
  <c r="BH400" i="131" a="1"/>
  <c r="BH400" i="131" s="1"/>
  <c r="BH399" i="131" a="1"/>
  <c r="BH399" i="131" s="1"/>
  <c r="BH398" i="131" a="1"/>
  <c r="BH398" i="131" s="1"/>
  <c r="BH397" i="131" a="1"/>
  <c r="BH397" i="131" s="1"/>
  <c r="BH396" i="131" a="1"/>
  <c r="BH396" i="131" s="1"/>
  <c r="BH395" i="131" a="1"/>
  <c r="BH395" i="131" s="1"/>
  <c r="BH394" i="131" a="1"/>
  <c r="BH394" i="131" s="1"/>
  <c r="BH393" i="131" a="1"/>
  <c r="BH393" i="131" s="1"/>
  <c r="BH392" i="131" a="1"/>
  <c r="BH392" i="131" s="1"/>
  <c r="BH391" i="131" a="1"/>
  <c r="BH391" i="131" s="1"/>
  <c r="BH390" i="131" a="1"/>
  <c r="BH390" i="131" s="1"/>
  <c r="BH389" i="131" a="1"/>
  <c r="BH389" i="131" s="1"/>
  <c r="BH388" i="131" a="1"/>
  <c r="BH388" i="131" s="1"/>
  <c r="BH387" i="131" a="1"/>
  <c r="BH387" i="131" s="1"/>
  <c r="BH386" i="131" a="1"/>
  <c r="BH386" i="131" s="1"/>
  <c r="BH385" i="131" a="1"/>
  <c r="BH385" i="131" s="1"/>
  <c r="BH384" i="131" a="1"/>
  <c r="BH384" i="131" s="1"/>
  <c r="BH383" i="131" a="1"/>
  <c r="BH383" i="131" s="1"/>
  <c r="BH382" i="131" a="1"/>
  <c r="BH382" i="131" s="1"/>
  <c r="BH381" i="131" a="1"/>
  <c r="BH381" i="131" s="1"/>
  <c r="BH380" i="131" a="1"/>
  <c r="BH380" i="131" s="1"/>
  <c r="BH379" i="131" a="1"/>
  <c r="BH379" i="131" s="1"/>
  <c r="BH378" i="131" a="1"/>
  <c r="BH378" i="131" s="1"/>
  <c r="BH377" i="131" a="1"/>
  <c r="BH377" i="131" s="1"/>
  <c r="BH376" i="131" a="1"/>
  <c r="BH376" i="131" s="1"/>
  <c r="BH375" i="131" a="1"/>
  <c r="BH375" i="131" s="1"/>
  <c r="BH374" i="131" a="1"/>
  <c r="BH374" i="131" s="1"/>
  <c r="BH373" i="131" a="1"/>
  <c r="BH373" i="131" s="1"/>
  <c r="BH372" i="131" a="1"/>
  <c r="BH372" i="131" s="1"/>
  <c r="BH371" i="131" a="1"/>
  <c r="BH371" i="131" s="1"/>
  <c r="BH370" i="131" a="1"/>
  <c r="BH370" i="131" s="1"/>
  <c r="BH369" i="131" a="1"/>
  <c r="BH369" i="131" s="1"/>
  <c r="BH368" i="131" a="1"/>
  <c r="BH368" i="131" s="1"/>
  <c r="BH367" i="131" a="1"/>
  <c r="BH367" i="131" s="1"/>
  <c r="BH366" i="131" a="1"/>
  <c r="BH366" i="131" s="1"/>
  <c r="BH365" i="131" a="1"/>
  <c r="BH365" i="131" s="1"/>
  <c r="BH364" i="131" a="1"/>
  <c r="BH364" i="131" s="1"/>
  <c r="BH363" i="131" a="1"/>
  <c r="BH363" i="131" s="1"/>
  <c r="BH362" i="131" a="1"/>
  <c r="BH362" i="131" s="1"/>
  <c r="BH361" i="131" a="1"/>
  <c r="BH361" i="131" s="1"/>
  <c r="BH360" i="131" a="1"/>
  <c r="BH360" i="131" s="1"/>
  <c r="BH359" i="131" a="1"/>
  <c r="BH359" i="131" s="1"/>
  <c r="BH358" i="131" a="1"/>
  <c r="BH358" i="131" s="1"/>
  <c r="BH357" i="131" a="1"/>
  <c r="BH357" i="131" s="1"/>
  <c r="BH356" i="131" a="1"/>
  <c r="BH356" i="131" s="1"/>
  <c r="BH355" i="131" a="1"/>
  <c r="BH355" i="131" s="1"/>
  <c r="BH354" i="131" a="1"/>
  <c r="BH354" i="131" s="1"/>
  <c r="BH353" i="131" a="1"/>
  <c r="BH353" i="131" s="1"/>
  <c r="BH352" i="131" a="1"/>
  <c r="BH352" i="131" s="1"/>
  <c r="BH351" i="131" a="1"/>
  <c r="BH351" i="131" s="1"/>
  <c r="BH350" i="131" a="1"/>
  <c r="BH350" i="131" s="1"/>
  <c r="BH349" i="131" a="1"/>
  <c r="BH349" i="131" s="1"/>
  <c r="BH348" i="131" a="1"/>
  <c r="BH348" i="131" s="1"/>
  <c r="BH347" i="131" a="1"/>
  <c r="BH347" i="131" s="1"/>
  <c r="BH346" i="131" a="1"/>
  <c r="BH346" i="131" s="1"/>
  <c r="BH345" i="131" a="1"/>
  <c r="BH345" i="131" s="1"/>
  <c r="BH344" i="131" a="1"/>
  <c r="BH344" i="131" s="1"/>
  <c r="BH343" i="131" a="1"/>
  <c r="BH343" i="131" s="1"/>
  <c r="BH342" i="131" a="1"/>
  <c r="BH342" i="131" s="1"/>
  <c r="BH341" i="131" a="1"/>
  <c r="BH341" i="131" s="1"/>
  <c r="BH340" i="131" a="1"/>
  <c r="BH340" i="131" s="1"/>
  <c r="BH339" i="131" a="1"/>
  <c r="BH339" i="131" s="1"/>
  <c r="BH338" i="131" a="1"/>
  <c r="BH338" i="131" s="1"/>
  <c r="BH337" i="131" a="1"/>
  <c r="BH337" i="131" s="1"/>
  <c r="BH336" i="131" a="1"/>
  <c r="BH336" i="131" s="1"/>
  <c r="BH327" i="131" a="1"/>
  <c r="BH327" i="131" s="1"/>
  <c r="BH326" i="131" a="1"/>
  <c r="BH326" i="131" s="1"/>
  <c r="BH325" i="131" a="1"/>
  <c r="BH325" i="131" s="1"/>
  <c r="BH324" i="131" a="1"/>
  <c r="BH324" i="131" s="1"/>
  <c r="BH323" i="131" a="1"/>
  <c r="BH323" i="131" s="1"/>
  <c r="BH322" i="131" a="1"/>
  <c r="BH322" i="131" s="1"/>
  <c r="BH321" i="131" a="1"/>
  <c r="BH321" i="131" s="1"/>
  <c r="BH320" i="131" a="1"/>
  <c r="BH320" i="131" s="1"/>
  <c r="BH319" i="131" a="1"/>
  <c r="BH319" i="131" s="1"/>
  <c r="BH318" i="131" a="1"/>
  <c r="BH318" i="131" s="1"/>
  <c r="BH317" i="131" a="1"/>
  <c r="BH317" i="131" s="1"/>
  <c r="BH316" i="131" a="1"/>
  <c r="BH316" i="131" s="1"/>
  <c r="BH315" i="131" a="1"/>
  <c r="BH315" i="131" s="1"/>
  <c r="BH314" i="131" a="1"/>
  <c r="BH314" i="131" s="1"/>
  <c r="BH313" i="131" a="1"/>
  <c r="BH313" i="131" s="1"/>
  <c r="BH312" i="131" a="1"/>
  <c r="BH312" i="131" s="1"/>
  <c r="BH311" i="131" a="1"/>
  <c r="BH311" i="131" s="1"/>
  <c r="BH310" i="131" a="1"/>
  <c r="BH310" i="131" s="1"/>
  <c r="BH309" i="131" a="1"/>
  <c r="BH309" i="131" s="1"/>
  <c r="BH308" i="131" a="1"/>
  <c r="BH308" i="131" s="1"/>
  <c r="BH307" i="131" a="1"/>
  <c r="BH307" i="131" s="1"/>
  <c r="BH306" i="131" a="1"/>
  <c r="BH306" i="131" s="1"/>
  <c r="BH305" i="131" a="1"/>
  <c r="BH305" i="131" s="1"/>
  <c r="BH304" i="131" a="1"/>
  <c r="BH304" i="131" s="1"/>
  <c r="BH303" i="131" a="1"/>
  <c r="BH303" i="131" s="1"/>
  <c r="BH302" i="131" a="1"/>
  <c r="BH302" i="131" s="1"/>
  <c r="BH301" i="131" a="1"/>
  <c r="BH301" i="131" s="1"/>
  <c r="BH300" i="131" a="1"/>
  <c r="BH300" i="131" s="1"/>
  <c r="BH299" i="131" a="1"/>
  <c r="BH299" i="131" s="1"/>
  <c r="BH298" i="131" a="1"/>
  <c r="BH298" i="131" s="1"/>
  <c r="BH297" i="131" a="1"/>
  <c r="BH297" i="131" s="1"/>
  <c r="BH296" i="131" a="1"/>
  <c r="BH296" i="131" s="1"/>
  <c r="BH295" i="131" a="1"/>
  <c r="BH295" i="131" s="1"/>
  <c r="BH294" i="131" a="1"/>
  <c r="BH294" i="131" s="1"/>
  <c r="BH293" i="131" a="1"/>
  <c r="BH293" i="131" s="1"/>
  <c r="BH292" i="131" a="1"/>
  <c r="BH292" i="131" s="1"/>
  <c r="BH291" i="131" a="1"/>
  <c r="BH291" i="131" s="1"/>
  <c r="BH290" i="131" a="1"/>
  <c r="BH290" i="131" s="1"/>
  <c r="BH289" i="131" a="1"/>
  <c r="BH289" i="131" s="1"/>
  <c r="BH288" i="131" a="1"/>
  <c r="BH288" i="131" s="1"/>
  <c r="BH287" i="131" a="1"/>
  <c r="BH287" i="131" s="1"/>
  <c r="BH286" i="131" a="1"/>
  <c r="BH286" i="131" s="1"/>
  <c r="BH285" i="131" a="1"/>
  <c r="BH285" i="131" s="1"/>
  <c r="BH284" i="131" a="1"/>
  <c r="BH284" i="131" s="1"/>
  <c r="BH283" i="131" a="1"/>
  <c r="BH283" i="131" s="1"/>
  <c r="BH282" i="131" a="1"/>
  <c r="BH282" i="131" s="1"/>
  <c r="BH281" i="131" a="1"/>
  <c r="BH281" i="131" s="1"/>
  <c r="BH280" i="131" a="1"/>
  <c r="BH280" i="131" s="1"/>
  <c r="BH279" i="131" a="1"/>
  <c r="BH279" i="131" s="1"/>
  <c r="BH278" i="131" a="1"/>
  <c r="BH278" i="131" s="1"/>
  <c r="BH277" i="131" a="1"/>
  <c r="BH277" i="131" s="1"/>
  <c r="BH276" i="131" a="1"/>
  <c r="BH276" i="131" s="1"/>
  <c r="BH275" i="131" a="1"/>
  <c r="BH275" i="131" s="1"/>
  <c r="BH274" i="131" a="1"/>
  <c r="BH274" i="131" s="1"/>
  <c r="BH273" i="131" a="1"/>
  <c r="BH273" i="131" s="1"/>
  <c r="BH272" i="131" a="1"/>
  <c r="BH272" i="131" s="1"/>
  <c r="BH271" i="131" a="1"/>
  <c r="BH271" i="131" s="1"/>
  <c r="BH270" i="131" a="1"/>
  <c r="BH270" i="131" s="1"/>
  <c r="BH269" i="131" a="1"/>
  <c r="BH269" i="131" s="1"/>
  <c r="BH268" i="131" a="1"/>
  <c r="BH268" i="131" s="1"/>
  <c r="BH267" i="131" a="1"/>
  <c r="BH267" i="131" s="1"/>
  <c r="BH266" i="131" a="1"/>
  <c r="BH266" i="131" s="1"/>
  <c r="BH265" i="131" a="1"/>
  <c r="BH265" i="131" s="1"/>
  <c r="BH264" i="131" a="1"/>
  <c r="BH264" i="131" s="1"/>
  <c r="BH263" i="131" a="1"/>
  <c r="BH263" i="131" s="1"/>
  <c r="BH262" i="131" a="1"/>
  <c r="BH262" i="131" s="1"/>
  <c r="BH261" i="131" a="1"/>
  <c r="BH261" i="131" s="1"/>
  <c r="BH260" i="131" a="1"/>
  <c r="BH260" i="131" s="1"/>
  <c r="BH259" i="131" a="1"/>
  <c r="BH259" i="131" s="1"/>
  <c r="BH258" i="131" a="1"/>
  <c r="BH258" i="131" s="1"/>
  <c r="BH257" i="131" a="1"/>
  <c r="BH257" i="131" s="1"/>
  <c r="BH256" i="131" a="1"/>
  <c r="BH256" i="131" s="1"/>
  <c r="BH255" i="131" a="1"/>
  <c r="BH255" i="131" s="1"/>
  <c r="BH254" i="131" a="1"/>
  <c r="BH254" i="131" s="1"/>
  <c r="BH253" i="131" a="1"/>
  <c r="BH253" i="131" s="1"/>
  <c r="BH252" i="131" a="1"/>
  <c r="BH252" i="131" s="1"/>
  <c r="BH251" i="131" a="1"/>
  <c r="BH251" i="131" s="1"/>
  <c r="BH250" i="131" a="1"/>
  <c r="BH250" i="131" s="1"/>
  <c r="BH249" i="131" a="1"/>
  <c r="BH249" i="131" s="1"/>
  <c r="BH248" i="131" a="1"/>
  <c r="BH248" i="131" s="1"/>
  <c r="BH247" i="131" a="1"/>
  <c r="BH247" i="131" s="1"/>
  <c r="BH246" i="131" a="1"/>
  <c r="BH246" i="131" s="1"/>
  <c r="BH245" i="131" a="1"/>
  <c r="BH245" i="131" s="1"/>
  <c r="BH244" i="131" a="1"/>
  <c r="BH244" i="131" s="1"/>
  <c r="BH243" i="131" a="1"/>
  <c r="BH243" i="131" s="1"/>
  <c r="BH242" i="131" a="1"/>
  <c r="BH242" i="131" s="1"/>
  <c r="BH241" i="131" a="1"/>
  <c r="BH241" i="131" s="1"/>
  <c r="BH240" i="131" a="1"/>
  <c r="BH240" i="131" s="1"/>
  <c r="BH239" i="131" a="1"/>
  <c r="BH239" i="131" s="1"/>
  <c r="BH238" i="131" a="1"/>
  <c r="BH238" i="131" s="1"/>
  <c r="BH237" i="131" a="1"/>
  <c r="BH237" i="131" s="1"/>
  <c r="BH236" i="131" a="1"/>
  <c r="BH236" i="131" s="1"/>
  <c r="BH235" i="131" a="1"/>
  <c r="BH235" i="131" s="1"/>
  <c r="BH234" i="131" a="1"/>
  <c r="BH234" i="131" s="1"/>
  <c r="BH233" i="131" a="1"/>
  <c r="BH233" i="131" s="1"/>
  <c r="BH232" i="131" a="1"/>
  <c r="BH232" i="131" s="1"/>
  <c r="BH231" i="131" a="1"/>
  <c r="BH231" i="131" s="1"/>
  <c r="BH230" i="131" a="1"/>
  <c r="BH230" i="131" s="1"/>
  <c r="BH229" i="131" a="1"/>
  <c r="BH229" i="131" s="1"/>
  <c r="BH228" i="131" a="1"/>
  <c r="BH228" i="131" s="1"/>
  <c r="BH220" i="131" a="1"/>
  <c r="BH220" i="131" s="1"/>
  <c r="BH219" i="131" a="1"/>
  <c r="BH219" i="131" s="1"/>
  <c r="BH218" i="131" a="1"/>
  <c r="BH218" i="131" s="1"/>
  <c r="BH217" i="131" a="1"/>
  <c r="BH217" i="131" s="1"/>
  <c r="BH216" i="131" a="1"/>
  <c r="BH216" i="131" s="1"/>
  <c r="BH215" i="131" a="1"/>
  <c r="BH215" i="131" s="1"/>
  <c r="BH214" i="131" a="1"/>
  <c r="BH214" i="131" s="1"/>
  <c r="BH213" i="131" a="1"/>
  <c r="BH213" i="131" s="1"/>
  <c r="BH212" i="131" a="1"/>
  <c r="BH212" i="131" s="1"/>
  <c r="BH211" i="131" a="1"/>
  <c r="BH211" i="131" s="1"/>
  <c r="BH210" i="131" a="1"/>
  <c r="BH210" i="131" s="1"/>
  <c r="BH209" i="131" a="1"/>
  <c r="BH209" i="131" s="1"/>
  <c r="BH208" i="131" a="1"/>
  <c r="BH208" i="131" s="1"/>
  <c r="BH207" i="131" a="1"/>
  <c r="BH207" i="131" s="1"/>
  <c r="BH206" i="131" a="1"/>
  <c r="BH206" i="131" s="1"/>
  <c r="BH205" i="131" a="1"/>
  <c r="BH205" i="131" s="1"/>
  <c r="BH204" i="131" a="1"/>
  <c r="BH204" i="131" s="1"/>
  <c r="BH203" i="131" a="1"/>
  <c r="BH203" i="131" s="1"/>
  <c r="BH202" i="131" a="1"/>
  <c r="BH202" i="131" s="1"/>
  <c r="BH201" i="131" a="1"/>
  <c r="BH201" i="131" s="1"/>
  <c r="BH200" i="131" a="1"/>
  <c r="BH200" i="131" s="1"/>
  <c r="BH199" i="131" a="1"/>
  <c r="BH199" i="131" s="1"/>
  <c r="BH198" i="131" a="1"/>
  <c r="BH198" i="131" s="1"/>
  <c r="BH197" i="131" a="1"/>
  <c r="BH197" i="131" s="1"/>
  <c r="BH196" i="131" a="1"/>
  <c r="BH196" i="131" s="1"/>
  <c r="BH195" i="131" a="1"/>
  <c r="BH195" i="131" s="1"/>
  <c r="BH194" i="131" a="1"/>
  <c r="BH194" i="131" s="1"/>
  <c r="BH193" i="131" a="1"/>
  <c r="BH193" i="131" s="1"/>
  <c r="BH192" i="131" a="1"/>
  <c r="BH192" i="131" s="1"/>
  <c r="BH191" i="131" a="1"/>
  <c r="BH191" i="131" s="1"/>
  <c r="BH190" i="131" a="1"/>
  <c r="BH190" i="131" s="1"/>
  <c r="BH189" i="131" a="1"/>
  <c r="BH189" i="131" s="1"/>
  <c r="BH188" i="131" a="1"/>
  <c r="BH188" i="131" s="1"/>
  <c r="BH187" i="131" a="1"/>
  <c r="BH187" i="131" s="1"/>
  <c r="BH186" i="131" a="1"/>
  <c r="BH186" i="131" s="1"/>
  <c r="BH185" i="131" a="1"/>
  <c r="BH185" i="131" s="1"/>
  <c r="BH184" i="131" a="1"/>
  <c r="BH184" i="131" s="1"/>
  <c r="BH183" i="131" a="1"/>
  <c r="BH183" i="131" s="1"/>
  <c r="BH182" i="131" a="1"/>
  <c r="BH182" i="131" s="1"/>
  <c r="BH181" i="131" a="1"/>
  <c r="BH181" i="131" s="1"/>
  <c r="BH180" i="131" a="1"/>
  <c r="BH180" i="131" s="1"/>
  <c r="BH179" i="131" a="1"/>
  <c r="BH179" i="131" s="1"/>
  <c r="BH178" i="131" a="1"/>
  <c r="BH178" i="131" s="1"/>
  <c r="BH177" i="131" a="1"/>
  <c r="BH177" i="131" s="1"/>
  <c r="BH176" i="131" a="1"/>
  <c r="BH176" i="131" s="1"/>
  <c r="BH175" i="131" a="1"/>
  <c r="BH175" i="131" s="1"/>
  <c r="BH174" i="131" a="1"/>
  <c r="BH174" i="131" s="1"/>
  <c r="BH173" i="131" a="1"/>
  <c r="BH173" i="131" s="1"/>
  <c r="BH172" i="131" a="1"/>
  <c r="BH172" i="131" s="1"/>
  <c r="BH171" i="131" a="1"/>
  <c r="BH171" i="131" s="1"/>
  <c r="BH170" i="131" a="1"/>
  <c r="BH170" i="131" s="1"/>
  <c r="BH169" i="131" a="1"/>
  <c r="BH169" i="131" s="1"/>
  <c r="BH168" i="131" a="1"/>
  <c r="BH168" i="131" s="1"/>
  <c r="BH167" i="131" a="1"/>
  <c r="BH167" i="131" s="1"/>
  <c r="BH166" i="131" a="1"/>
  <c r="BH166" i="131" s="1"/>
  <c r="BH165" i="131" a="1"/>
  <c r="BH165" i="131" s="1"/>
  <c r="BH164" i="131" a="1"/>
  <c r="BH164" i="131" s="1"/>
  <c r="BH163" i="131" a="1"/>
  <c r="BH163" i="131" s="1"/>
  <c r="BH162" i="131" a="1"/>
  <c r="BH162" i="131" s="1"/>
  <c r="BH161" i="131" a="1"/>
  <c r="BH161" i="131" s="1"/>
  <c r="BH160" i="131" a="1"/>
  <c r="BH160" i="131" s="1"/>
  <c r="BH159" i="131" a="1"/>
  <c r="BH159" i="131" s="1"/>
  <c r="BH158" i="131" a="1"/>
  <c r="BH158" i="131" s="1"/>
  <c r="BH157" i="131" a="1"/>
  <c r="BH157" i="131" s="1"/>
  <c r="BH156" i="131" a="1"/>
  <c r="BH156" i="131" s="1"/>
  <c r="BH155" i="131" a="1"/>
  <c r="BH155" i="131" s="1"/>
  <c r="BH154" i="131" a="1"/>
  <c r="BH154" i="131" s="1"/>
  <c r="BH153" i="131" a="1"/>
  <c r="BH153" i="131" s="1"/>
  <c r="BH152" i="131" a="1"/>
  <c r="BH152" i="131" s="1"/>
  <c r="BH151" i="131" a="1"/>
  <c r="BH151" i="131" s="1"/>
  <c r="BH150" i="131" a="1"/>
  <c r="BH150" i="131" s="1"/>
  <c r="BH149" i="131" a="1"/>
  <c r="BH149" i="131" s="1"/>
  <c r="BH148" i="131" a="1"/>
  <c r="BH148" i="131" s="1"/>
  <c r="BH147" i="131" a="1"/>
  <c r="BH147" i="131" s="1"/>
  <c r="BH146" i="131" a="1"/>
  <c r="BH146" i="131" s="1"/>
  <c r="BH145" i="131" a="1"/>
  <c r="BH145" i="131" s="1"/>
  <c r="BH144" i="131" a="1"/>
  <c r="BH144" i="131" s="1"/>
  <c r="BH143" i="131" a="1"/>
  <c r="BH143" i="131" s="1"/>
  <c r="BH142" i="131" a="1"/>
  <c r="BH142" i="131" s="1"/>
  <c r="BH141" i="131" a="1"/>
  <c r="BH141" i="131" s="1"/>
  <c r="BH140" i="131" a="1"/>
  <c r="BH140" i="131" s="1"/>
  <c r="BH139" i="131" a="1"/>
  <c r="BH139" i="131" s="1"/>
  <c r="BH138" i="131" a="1"/>
  <c r="BH138" i="131" s="1"/>
  <c r="BH137" i="131" a="1"/>
  <c r="BH137" i="131" s="1"/>
  <c r="BH136" i="131" a="1"/>
  <c r="BH136" i="131" s="1"/>
  <c r="BH135" i="131" a="1"/>
  <c r="BH135" i="131" s="1"/>
  <c r="BH134" i="131" a="1"/>
  <c r="BH134" i="131" s="1"/>
  <c r="BH133" i="131" a="1"/>
  <c r="BH133" i="131" s="1"/>
  <c r="BH132" i="131" a="1"/>
  <c r="BH132" i="131" s="1"/>
  <c r="BH131" i="131" a="1"/>
  <c r="BH131" i="131" s="1"/>
  <c r="BH130" i="131" a="1"/>
  <c r="BH130" i="131" s="1"/>
  <c r="BH129" i="131" a="1"/>
  <c r="BH129" i="131" s="1"/>
  <c r="BH128" i="131" a="1"/>
  <c r="BH128" i="131" s="1"/>
  <c r="BH127" i="131" a="1"/>
  <c r="BH127" i="131" s="1"/>
  <c r="BH126" i="131" a="1"/>
  <c r="BH126" i="131" s="1"/>
  <c r="BH125" i="131" a="1"/>
  <c r="BH125" i="131" s="1"/>
  <c r="BH124" i="131" a="1"/>
  <c r="BH124" i="131" s="1"/>
  <c r="BH123" i="131" a="1"/>
  <c r="BH123" i="131" s="1"/>
  <c r="BH122" i="131" a="1"/>
  <c r="BH122" i="131" s="1"/>
  <c r="BH121" i="131" a="1"/>
  <c r="BH121" i="131" s="1"/>
  <c r="BH113" i="131" a="1"/>
  <c r="BH113" i="131" s="1"/>
  <c r="BH112" i="131" a="1"/>
  <c r="BH112" i="131" s="1"/>
  <c r="BH111" i="131" a="1"/>
  <c r="BH111" i="131" s="1"/>
  <c r="BH110" i="131" a="1"/>
  <c r="BH110" i="131" s="1"/>
  <c r="BH109" i="131" a="1"/>
  <c r="BH109" i="131" s="1"/>
  <c r="BH108" i="131" a="1"/>
  <c r="BH108" i="131" s="1"/>
  <c r="BH107" i="131" a="1"/>
  <c r="BH107" i="131" s="1"/>
  <c r="BH106" i="131" a="1"/>
  <c r="BH106" i="131" s="1"/>
  <c r="BH105" i="131" a="1"/>
  <c r="BH105" i="131" s="1"/>
  <c r="BH104" i="131" a="1"/>
  <c r="BH104" i="131" s="1"/>
  <c r="BH103" i="131" a="1"/>
  <c r="BH103" i="131" s="1"/>
  <c r="BH102" i="131" a="1"/>
  <c r="BH102" i="131" s="1"/>
  <c r="BH101" i="131" a="1"/>
  <c r="BH101" i="131" s="1"/>
  <c r="BH100" i="131" a="1"/>
  <c r="BH100" i="131" s="1"/>
  <c r="BH99" i="131" a="1"/>
  <c r="BH99" i="131" s="1"/>
  <c r="BH98" i="131" a="1"/>
  <c r="BH98" i="131" s="1"/>
  <c r="BH97" i="131" a="1"/>
  <c r="BH97" i="131" s="1"/>
  <c r="BH96" i="131" a="1"/>
  <c r="BH96" i="131" s="1"/>
  <c r="BH95" i="131" a="1"/>
  <c r="BH95" i="131" s="1"/>
  <c r="BH94" i="131" a="1"/>
  <c r="BH94" i="131" s="1"/>
  <c r="BH93" i="131" a="1"/>
  <c r="BH93" i="131" s="1"/>
  <c r="BH92" i="131" a="1"/>
  <c r="BH92" i="131" s="1"/>
  <c r="BH91" i="131" a="1"/>
  <c r="BH91" i="131" s="1"/>
  <c r="BH90" i="131" a="1"/>
  <c r="BH90" i="131" s="1"/>
  <c r="BH89" i="131" a="1"/>
  <c r="BH89" i="131" s="1"/>
  <c r="BH88" i="131" a="1"/>
  <c r="BH88" i="131" s="1"/>
  <c r="BH87" i="131" a="1"/>
  <c r="BH87" i="131" s="1"/>
  <c r="BH86" i="131" a="1"/>
  <c r="BH86" i="131" s="1"/>
  <c r="BH85" i="131" a="1"/>
  <c r="BH85" i="131" s="1"/>
  <c r="BH84" i="131" a="1"/>
  <c r="BH84" i="131" s="1"/>
  <c r="BH83" i="131" a="1"/>
  <c r="BH83" i="131" s="1"/>
  <c r="BH82" i="131" a="1"/>
  <c r="BH82" i="131" s="1"/>
  <c r="BH81" i="131" a="1"/>
  <c r="BH81" i="131" s="1"/>
  <c r="BH80" i="131" a="1"/>
  <c r="BH80" i="131" s="1"/>
  <c r="BH79" i="131" a="1"/>
  <c r="BH79" i="131" s="1"/>
  <c r="BH78" i="131" a="1"/>
  <c r="BH78" i="131" s="1"/>
  <c r="BH77" i="131" a="1"/>
  <c r="BH77" i="131" s="1"/>
  <c r="BH76" i="131" a="1"/>
  <c r="BH76" i="131" s="1"/>
  <c r="BH75" i="131" a="1"/>
  <c r="BH75" i="131" s="1"/>
  <c r="BH74" i="131" a="1"/>
  <c r="BH74" i="131" s="1"/>
  <c r="BH73" i="131" a="1"/>
  <c r="BH73" i="131" s="1"/>
  <c r="BH72" i="131" a="1"/>
  <c r="BH72" i="131" s="1"/>
  <c r="BH71" i="131" a="1"/>
  <c r="BH71" i="131" s="1"/>
  <c r="BH70" i="131" a="1"/>
  <c r="BH70" i="131" s="1"/>
  <c r="BH69" i="131" a="1"/>
  <c r="BH69" i="131" s="1"/>
  <c r="BH68" i="131" a="1"/>
  <c r="BH68" i="131" s="1"/>
  <c r="BH67" i="131" a="1"/>
  <c r="BH67" i="131" s="1"/>
  <c r="BH66" i="131" a="1"/>
  <c r="BH66" i="131" s="1"/>
  <c r="BH65" i="131" a="1"/>
  <c r="BH65" i="131" s="1"/>
  <c r="BH64" i="131" a="1"/>
  <c r="BH64" i="131" s="1"/>
  <c r="BH63" i="131" a="1"/>
  <c r="BH63" i="131" s="1"/>
  <c r="BH62" i="131" a="1"/>
  <c r="BH62" i="131" s="1"/>
  <c r="BH61" i="131" a="1"/>
  <c r="BH61" i="131" s="1"/>
  <c r="BH60" i="131" a="1"/>
  <c r="BH60" i="131" s="1"/>
  <c r="BH59" i="131" a="1"/>
  <c r="BH59" i="131" s="1"/>
  <c r="BH58" i="131" a="1"/>
  <c r="BH58" i="131" s="1"/>
  <c r="BH57" i="131" a="1"/>
  <c r="BH57" i="131" s="1"/>
  <c r="BH56" i="131" a="1"/>
  <c r="BH56" i="131" s="1"/>
  <c r="BH55" i="131" a="1"/>
  <c r="BH55" i="131" s="1"/>
  <c r="BH54" i="131" a="1"/>
  <c r="BH54" i="131" s="1"/>
  <c r="BH53" i="131" a="1"/>
  <c r="BH53" i="131" s="1"/>
  <c r="BH52" i="131" a="1"/>
  <c r="BH52" i="131" s="1"/>
  <c r="BH51" i="131" a="1"/>
  <c r="BH51" i="131" s="1"/>
  <c r="BH50" i="131" a="1"/>
  <c r="BH50" i="131" s="1"/>
  <c r="BH49" i="131" a="1"/>
  <c r="BH49" i="131" s="1"/>
  <c r="BH48" i="131" a="1"/>
  <c r="BH48" i="131" s="1"/>
  <c r="BH47" i="131" a="1"/>
  <c r="BH47" i="131" s="1"/>
  <c r="BH46" i="131" a="1"/>
  <c r="BH46" i="131" s="1"/>
  <c r="BH45" i="131" a="1"/>
  <c r="BH45" i="131" s="1"/>
  <c r="BH44" i="131" a="1"/>
  <c r="BH44" i="131" s="1"/>
  <c r="BH43" i="131" a="1"/>
  <c r="BH43" i="131" s="1"/>
  <c r="BH42" i="131" a="1"/>
  <c r="BH42" i="131" s="1"/>
  <c r="BH41" i="131" a="1"/>
  <c r="BH41" i="131" s="1"/>
  <c r="BH40" i="131" a="1"/>
  <c r="BH40" i="131" s="1"/>
  <c r="BH39" i="131" a="1"/>
  <c r="BH39" i="131" s="1"/>
  <c r="BH38" i="131" a="1"/>
  <c r="BH38" i="131" s="1"/>
  <c r="BH37" i="131" a="1"/>
  <c r="BH37" i="131" s="1"/>
  <c r="BH36" i="131" a="1"/>
  <c r="BH36" i="131" s="1"/>
  <c r="BH35" i="131" a="1"/>
  <c r="BH35" i="131" s="1"/>
  <c r="BH34" i="131" a="1"/>
  <c r="BH34" i="131" s="1"/>
  <c r="BH33" i="131" a="1"/>
  <c r="BH33" i="131" s="1"/>
  <c r="BH32" i="131" a="1"/>
  <c r="BH32" i="131" s="1"/>
  <c r="BH31" i="131" a="1"/>
  <c r="BH31" i="131" s="1"/>
  <c r="BH30" i="131" a="1"/>
  <c r="BH30" i="131" s="1"/>
  <c r="BH29" i="131" a="1"/>
  <c r="BH29" i="131" s="1"/>
  <c r="BH28" i="131" a="1"/>
  <c r="BH28" i="131" s="1"/>
  <c r="BH27" i="131" a="1"/>
  <c r="BH27" i="131" s="1"/>
  <c r="BH26" i="131" a="1"/>
  <c r="BH26" i="131" s="1"/>
  <c r="BH25" i="131" a="1"/>
  <c r="BH25" i="131" s="1"/>
  <c r="BH24" i="131" a="1"/>
  <c r="BH24" i="131" s="1"/>
  <c r="BH23" i="131" a="1"/>
  <c r="BH23" i="131" s="1"/>
  <c r="BH22" i="131" a="1"/>
  <c r="BH22" i="131" s="1"/>
  <c r="BH21" i="131" a="1"/>
  <c r="BH21" i="131" s="1"/>
  <c r="BH20" i="131" a="1"/>
  <c r="BH20" i="131" s="1"/>
  <c r="BH19" i="131" a="1"/>
  <c r="BH19" i="131" s="1"/>
  <c r="BH18" i="131" a="1"/>
  <c r="BH18" i="131" s="1"/>
  <c r="BH17" i="131" a="1"/>
  <c r="BH17" i="131" s="1"/>
  <c r="BH16" i="131" a="1"/>
  <c r="BH16" i="131" s="1"/>
  <c r="BH15" i="131" a="1"/>
  <c r="BH15" i="131" s="1"/>
  <c r="BH14" i="131" a="1"/>
  <c r="BH14" i="131" s="1"/>
  <c r="BH113" i="130" a="1"/>
  <c r="BH113" i="130" s="1"/>
  <c r="BH112" i="130" a="1"/>
  <c r="BH112" i="130" s="1"/>
  <c r="BH111" i="130" a="1"/>
  <c r="BH111" i="130" s="1"/>
  <c r="BH110" i="130" a="1"/>
  <c r="BH110" i="130" s="1"/>
  <c r="BH109" i="130" a="1"/>
  <c r="BH109" i="130" s="1"/>
  <c r="BH108" i="130" a="1"/>
  <c r="BH108" i="130" s="1"/>
  <c r="BH107" i="130" a="1"/>
  <c r="BH107" i="130" s="1"/>
  <c r="BH106" i="130" a="1"/>
  <c r="BH106" i="130" s="1"/>
  <c r="BH105" i="130" a="1"/>
  <c r="BH105" i="130" s="1"/>
  <c r="BH104" i="130" a="1"/>
  <c r="BH104" i="130" s="1"/>
  <c r="BH103" i="130" a="1"/>
  <c r="BH103" i="130" s="1"/>
  <c r="BH102" i="130" a="1"/>
  <c r="BH102" i="130" s="1"/>
  <c r="BH101" i="130" a="1"/>
  <c r="BH101" i="130" s="1"/>
  <c r="BH100" i="130" a="1"/>
  <c r="BH100" i="130" s="1"/>
  <c r="BH99" i="130" a="1"/>
  <c r="BH99" i="130" s="1"/>
  <c r="BH98" i="130" a="1"/>
  <c r="BH98" i="130" s="1"/>
  <c r="BH97" i="130" a="1"/>
  <c r="BH97" i="130" s="1"/>
  <c r="BH96" i="130" a="1"/>
  <c r="BH96" i="130" s="1"/>
  <c r="BH95" i="130" a="1"/>
  <c r="BH95" i="130" s="1"/>
  <c r="BH94" i="130" a="1"/>
  <c r="BH94" i="130" s="1"/>
  <c r="BH93" i="130" a="1"/>
  <c r="BH93" i="130" s="1"/>
  <c r="BH92" i="130" a="1"/>
  <c r="BH92" i="130" s="1"/>
  <c r="BH91" i="130" a="1"/>
  <c r="BH91" i="130" s="1"/>
  <c r="BH90" i="130" a="1"/>
  <c r="BH90" i="130" s="1"/>
  <c r="BH89" i="130" a="1"/>
  <c r="BH89" i="130" s="1"/>
  <c r="BH88" i="130" a="1"/>
  <c r="BH88" i="130" s="1"/>
  <c r="BH87" i="130" a="1"/>
  <c r="BH87" i="130" s="1"/>
  <c r="BH86" i="130" a="1"/>
  <c r="BH86" i="130" s="1"/>
  <c r="BH85" i="130" a="1"/>
  <c r="BH85" i="130" s="1"/>
  <c r="BH84" i="130" a="1"/>
  <c r="BH84" i="130" s="1"/>
  <c r="BH83" i="130" a="1"/>
  <c r="BH83" i="130" s="1"/>
  <c r="BH82" i="130" a="1"/>
  <c r="BH82" i="130" s="1"/>
  <c r="BH81" i="130" a="1"/>
  <c r="BH81" i="130" s="1"/>
  <c r="BH80" i="130" a="1"/>
  <c r="BH80" i="130" s="1"/>
  <c r="BH79" i="130" a="1"/>
  <c r="BH79" i="130" s="1"/>
  <c r="BH78" i="130" a="1"/>
  <c r="BH78" i="130" s="1"/>
  <c r="BH77" i="130" a="1"/>
  <c r="BH77" i="130" s="1"/>
  <c r="BH76" i="130" a="1"/>
  <c r="BH76" i="130" s="1"/>
  <c r="BH75" i="130" a="1"/>
  <c r="BH75" i="130" s="1"/>
  <c r="BH74" i="130" a="1"/>
  <c r="BH74" i="130" s="1"/>
  <c r="BH73" i="130" a="1"/>
  <c r="BH73" i="130" s="1"/>
  <c r="BH72" i="130" a="1"/>
  <c r="BH72" i="130" s="1"/>
  <c r="BH71" i="130" a="1"/>
  <c r="BH71" i="130" s="1"/>
  <c r="BH70" i="130" a="1"/>
  <c r="BH70" i="130" s="1"/>
  <c r="BH69" i="130" a="1"/>
  <c r="BH69" i="130" s="1"/>
  <c r="BH68" i="130" a="1"/>
  <c r="BH68" i="130" s="1"/>
  <c r="BH67" i="130" a="1"/>
  <c r="BH67" i="130" s="1"/>
  <c r="BH66" i="130" a="1"/>
  <c r="BH66" i="130" s="1"/>
  <c r="BH65" i="130" a="1"/>
  <c r="BH65" i="130" s="1"/>
  <c r="BH64" i="130" a="1"/>
  <c r="BH64" i="130" s="1"/>
  <c r="BH63" i="130" a="1"/>
  <c r="BH63" i="130" s="1"/>
  <c r="BH62" i="130" a="1"/>
  <c r="BH62" i="130" s="1"/>
  <c r="BH61" i="130" a="1"/>
  <c r="BH61" i="130" s="1"/>
  <c r="BH60" i="130" a="1"/>
  <c r="BH60" i="130" s="1"/>
  <c r="BH59" i="130" a="1"/>
  <c r="BH59" i="130" s="1"/>
  <c r="BH58" i="130" a="1"/>
  <c r="BH58" i="130" s="1"/>
  <c r="BH57" i="130" a="1"/>
  <c r="BH57" i="130" s="1"/>
  <c r="BH56" i="130" a="1"/>
  <c r="BH56" i="130" s="1"/>
  <c r="BH55" i="130" a="1"/>
  <c r="BH55" i="130" s="1"/>
  <c r="BH54" i="130" a="1"/>
  <c r="BH54" i="130" s="1"/>
  <c r="BH53" i="130" a="1"/>
  <c r="BH53" i="130" s="1"/>
  <c r="BH52" i="130" a="1"/>
  <c r="BH52" i="130" s="1"/>
  <c r="BH51" i="130" a="1"/>
  <c r="BH51" i="130" s="1"/>
  <c r="BH50" i="130" a="1"/>
  <c r="BH50" i="130" s="1"/>
  <c r="BH49" i="130" a="1"/>
  <c r="BH49" i="130" s="1"/>
  <c r="BH48" i="130" a="1"/>
  <c r="BH48" i="130" s="1"/>
  <c r="BH47" i="130" a="1"/>
  <c r="BH47" i="130" s="1"/>
  <c r="BH46" i="130" a="1"/>
  <c r="BH46" i="130" s="1"/>
  <c r="BH45" i="130" a="1"/>
  <c r="BH45" i="130" s="1"/>
  <c r="BH44" i="130" a="1"/>
  <c r="BH44" i="130" s="1"/>
  <c r="BH43" i="130" a="1"/>
  <c r="BH43" i="130" s="1"/>
  <c r="BH42" i="130" a="1"/>
  <c r="BH42" i="130" s="1"/>
  <c r="BH41" i="130" a="1"/>
  <c r="BH41" i="130" s="1"/>
  <c r="BH40" i="130" a="1"/>
  <c r="BH40" i="130" s="1"/>
  <c r="BH39" i="130" a="1"/>
  <c r="BH39" i="130" s="1"/>
  <c r="BH38" i="130" a="1"/>
  <c r="BH38" i="130" s="1"/>
  <c r="BH37" i="130" a="1"/>
  <c r="BH37" i="130" s="1"/>
  <c r="BH36" i="130" a="1"/>
  <c r="BH36" i="130" s="1"/>
  <c r="BH35" i="130" a="1"/>
  <c r="BH35" i="130" s="1"/>
  <c r="BH34" i="130" a="1"/>
  <c r="BH34" i="130" s="1"/>
  <c r="BH33" i="130" a="1"/>
  <c r="BH33" i="130" s="1"/>
  <c r="BH32" i="130" a="1"/>
  <c r="BH32" i="130" s="1"/>
  <c r="BH31" i="130" a="1"/>
  <c r="BH31" i="130" s="1"/>
  <c r="BH30" i="130" a="1"/>
  <c r="BH30" i="130" s="1"/>
  <c r="BH29" i="130" a="1"/>
  <c r="BH29" i="130" s="1"/>
  <c r="BH28" i="130" a="1"/>
  <c r="BH28" i="130" s="1"/>
  <c r="BH27" i="130" a="1"/>
  <c r="BH27" i="130" s="1"/>
  <c r="BH26" i="130" a="1"/>
  <c r="BH26" i="130" s="1"/>
  <c r="BH25" i="130" a="1"/>
  <c r="BH25" i="130" s="1"/>
  <c r="BH24" i="130" a="1"/>
  <c r="BH24" i="130" s="1"/>
  <c r="BH23" i="130" a="1"/>
  <c r="BH23" i="130" s="1"/>
  <c r="BH22" i="130" a="1"/>
  <c r="BH22" i="130" s="1"/>
  <c r="BH21" i="130" a="1"/>
  <c r="BH21" i="130" s="1"/>
  <c r="BH20" i="130" a="1"/>
  <c r="BH20" i="130" s="1"/>
  <c r="BH19" i="130" a="1"/>
  <c r="BH19" i="130" s="1"/>
  <c r="BH18" i="130" a="1"/>
  <c r="BH18" i="130" s="1"/>
  <c r="BH17" i="130" a="1"/>
  <c r="BH17" i="130" s="1"/>
  <c r="BH16" i="130" a="1"/>
  <c r="BH16" i="130" s="1"/>
  <c r="BH15" i="130" a="1"/>
  <c r="BH15" i="130" s="1"/>
  <c r="BH14" i="130" a="1"/>
  <c r="BH14" i="130" s="1"/>
  <c r="N15" i="141" l="1"/>
  <c r="N16" i="141"/>
  <c r="N17" i="141"/>
  <c r="N18" i="141"/>
  <c r="N19" i="141"/>
  <c r="N20" i="141"/>
  <c r="N21" i="141"/>
  <c r="N22" i="141"/>
  <c r="N23" i="141"/>
  <c r="N24" i="141"/>
  <c r="N25" i="141"/>
  <c r="N26" i="141"/>
  <c r="N27" i="141"/>
  <c r="N28" i="141"/>
  <c r="N29" i="141"/>
  <c r="N30" i="141"/>
  <c r="N31" i="141"/>
  <c r="N32" i="141"/>
  <c r="N33" i="141"/>
  <c r="N34" i="141"/>
  <c r="N35" i="141"/>
  <c r="N36" i="141"/>
  <c r="N37" i="141"/>
  <c r="N38" i="141"/>
  <c r="N39" i="141"/>
  <c r="N40" i="141"/>
  <c r="N41" i="141"/>
  <c r="N42" i="141"/>
  <c r="N43" i="141"/>
  <c r="N44" i="141"/>
  <c r="M44" i="141"/>
  <c r="M15" i="141"/>
  <c r="M16" i="141"/>
  <c r="M17" i="141"/>
  <c r="M18" i="141"/>
  <c r="M19" i="141"/>
  <c r="M20" i="141"/>
  <c r="M21" i="141"/>
  <c r="M22" i="141"/>
  <c r="M23" i="141"/>
  <c r="M24" i="141"/>
  <c r="M25" i="141"/>
  <c r="M26" i="141"/>
  <c r="M27" i="141"/>
  <c r="M28" i="141"/>
  <c r="M29" i="141"/>
  <c r="M30" i="141"/>
  <c r="M31" i="141"/>
  <c r="M32" i="141"/>
  <c r="M33" i="141"/>
  <c r="M34" i="141"/>
  <c r="M35" i="141"/>
  <c r="M36" i="141"/>
  <c r="M37" i="141"/>
  <c r="M38" i="141"/>
  <c r="M39" i="141"/>
  <c r="M40" i="141"/>
  <c r="M41" i="141"/>
  <c r="M42" i="141"/>
  <c r="M43" i="141"/>
  <c r="L43" i="141"/>
  <c r="L44" i="141"/>
  <c r="L15" i="141"/>
  <c r="L16" i="141"/>
  <c r="L17" i="141"/>
  <c r="L18" i="141"/>
  <c r="L19" i="141"/>
  <c r="L20" i="141"/>
  <c r="L21" i="141"/>
  <c r="L22" i="141"/>
  <c r="L23" i="141"/>
  <c r="L24" i="141"/>
  <c r="L25" i="141"/>
  <c r="L26" i="141"/>
  <c r="L27" i="141"/>
  <c r="L28" i="141"/>
  <c r="L29" i="141"/>
  <c r="L30" i="141"/>
  <c r="L31" i="141"/>
  <c r="L32" i="141"/>
  <c r="L33" i="141"/>
  <c r="L34" i="141"/>
  <c r="L35" i="141"/>
  <c r="L36" i="141"/>
  <c r="L37" i="141"/>
  <c r="L38" i="141"/>
  <c r="L39" i="141"/>
  <c r="L40" i="141"/>
  <c r="L41" i="141"/>
  <c r="L42" i="141"/>
  <c r="J15" i="141"/>
  <c r="J16" i="141"/>
  <c r="J17" i="141"/>
  <c r="J18" i="141"/>
  <c r="J19" i="141"/>
  <c r="J20" i="141"/>
  <c r="J21" i="141"/>
  <c r="J22" i="141"/>
  <c r="J23" i="141"/>
  <c r="J24" i="141"/>
  <c r="J25" i="141"/>
  <c r="J26" i="141"/>
  <c r="J27" i="141"/>
  <c r="J28" i="141"/>
  <c r="J29" i="141"/>
  <c r="J30" i="141"/>
  <c r="J31" i="141"/>
  <c r="J32" i="141"/>
  <c r="J33" i="141"/>
  <c r="J34" i="141"/>
  <c r="J35" i="141"/>
  <c r="J36" i="141"/>
  <c r="J37" i="141"/>
  <c r="J38" i="141"/>
  <c r="J39" i="141"/>
  <c r="J40" i="141"/>
  <c r="J41" i="141"/>
  <c r="J42" i="141"/>
  <c r="J43" i="141"/>
  <c r="J44" i="141"/>
  <c r="I39" i="141"/>
  <c r="I40" i="141"/>
  <c r="I41" i="141"/>
  <c r="I42" i="141"/>
  <c r="I43" i="141"/>
  <c r="I44" i="141"/>
  <c r="I15" i="141"/>
  <c r="I16" i="141"/>
  <c r="I17" i="141"/>
  <c r="I18" i="141"/>
  <c r="I19" i="141"/>
  <c r="I20" i="141"/>
  <c r="I21" i="141"/>
  <c r="I22" i="141"/>
  <c r="I23" i="141"/>
  <c r="I24" i="141"/>
  <c r="I25" i="141"/>
  <c r="I26" i="141"/>
  <c r="I27" i="141"/>
  <c r="I28" i="141"/>
  <c r="I29" i="141"/>
  <c r="I30" i="141"/>
  <c r="I31" i="141"/>
  <c r="I32" i="141"/>
  <c r="I33" i="141"/>
  <c r="I34" i="141"/>
  <c r="I35" i="141"/>
  <c r="I36" i="141"/>
  <c r="I37" i="141"/>
  <c r="I38" i="141"/>
  <c r="H30" i="141"/>
  <c r="H31" i="141"/>
  <c r="H32" i="141"/>
  <c r="H33" i="141"/>
  <c r="H34" i="141"/>
  <c r="H35" i="141"/>
  <c r="H36" i="141"/>
  <c r="H37" i="141"/>
  <c r="H38" i="141"/>
  <c r="H39" i="141"/>
  <c r="H40" i="141"/>
  <c r="H41" i="141"/>
  <c r="H42" i="141"/>
  <c r="H43" i="141"/>
  <c r="H44" i="141"/>
  <c r="H15" i="141"/>
  <c r="H16" i="141"/>
  <c r="H17" i="141"/>
  <c r="H18" i="141"/>
  <c r="H19" i="141"/>
  <c r="H20" i="141"/>
  <c r="H21" i="141"/>
  <c r="H22" i="141"/>
  <c r="H23" i="141"/>
  <c r="H24" i="141"/>
  <c r="H25" i="141"/>
  <c r="H26" i="141"/>
  <c r="H27" i="141"/>
  <c r="H28" i="141"/>
  <c r="H29" i="141"/>
  <c r="F44" i="141"/>
  <c r="F43" i="141"/>
  <c r="F42" i="141"/>
  <c r="F41" i="141"/>
  <c r="F40" i="141"/>
  <c r="F32" i="141"/>
  <c r="F31" i="141"/>
  <c r="F30" i="141"/>
  <c r="F29" i="141"/>
  <c r="F28" i="141"/>
  <c r="F27" i="141"/>
  <c r="F26" i="141"/>
  <c r="F25" i="141"/>
  <c r="F24" i="141"/>
  <c r="F23" i="141"/>
  <c r="F15" i="141"/>
  <c r="F16" i="141"/>
  <c r="F17" i="141"/>
  <c r="F18" i="141"/>
  <c r="F19" i="141"/>
  <c r="BI22" i="133" l="1"/>
  <c r="BI23" i="133"/>
  <c r="BI24" i="133"/>
  <c r="BI25" i="133"/>
  <c r="BI26" i="133"/>
  <c r="BI27" i="133"/>
  <c r="BI28" i="133"/>
  <c r="BI35" i="133"/>
  <c r="BI36" i="133"/>
  <c r="BI37" i="133"/>
  <c r="BI38" i="133"/>
  <c r="BI39" i="133"/>
  <c r="BI40" i="133"/>
  <c r="BI41" i="133"/>
  <c r="BI45" i="133"/>
  <c r="BI46" i="133"/>
  <c r="BI47" i="133"/>
  <c r="BI48" i="133"/>
  <c r="BI49" i="133"/>
  <c r="BI50" i="133"/>
  <c r="BI51" i="133"/>
  <c r="BI56" i="133"/>
  <c r="BI57" i="133"/>
  <c r="BI58" i="133"/>
  <c r="BI59" i="133"/>
  <c r="BI60" i="133"/>
  <c r="BI61" i="133"/>
  <c r="BI62" i="133"/>
  <c r="BI68" i="133"/>
  <c r="BI69" i="133"/>
  <c r="BI70" i="133"/>
  <c r="BI71" i="133"/>
  <c r="BI72" i="133"/>
  <c r="BI73" i="133"/>
  <c r="BI74" i="133"/>
  <c r="L51" i="142"/>
  <c r="R51" i="142"/>
  <c r="X51" i="142"/>
  <c r="AV51" i="142"/>
  <c r="BB35" i="133"/>
  <c r="BI10" i="133" l="1"/>
  <c r="BI15" i="133"/>
  <c r="BI14" i="133"/>
  <c r="BI9" i="133"/>
  <c r="BI11" i="133"/>
  <c r="BI12" i="133"/>
  <c r="BI13" i="133"/>
  <c r="AX51" i="142"/>
  <c r="AD51" i="142"/>
  <c r="AY51" i="142"/>
  <c r="AW51" i="142"/>
  <c r="AZ51" i="142" l="1"/>
  <c r="AV337" i="142" l="1"/>
  <c r="X337" i="142"/>
  <c r="R337" i="142"/>
  <c r="L337" i="142"/>
  <c r="AW337" i="142" s="1"/>
  <c r="AV336" i="142"/>
  <c r="X336" i="142"/>
  <c r="AY336" i="142" s="1"/>
  <c r="R336" i="142"/>
  <c r="AX336" i="142" s="1"/>
  <c r="L336" i="142"/>
  <c r="AY335" i="142"/>
  <c r="AV335" i="142"/>
  <c r="X335" i="142"/>
  <c r="R335" i="142"/>
  <c r="AX335" i="142" s="1"/>
  <c r="L335" i="142"/>
  <c r="AD335" i="142" s="1"/>
  <c r="AV334" i="142"/>
  <c r="X334" i="142"/>
  <c r="R334" i="142"/>
  <c r="AX334" i="142" s="1"/>
  <c r="L334" i="142"/>
  <c r="AD334" i="142" s="1"/>
  <c r="AZ334" i="142" s="1"/>
  <c r="AV333" i="142"/>
  <c r="X333" i="142"/>
  <c r="AY333" i="142" s="1"/>
  <c r="R333" i="142"/>
  <c r="L333" i="142"/>
  <c r="AV332" i="142"/>
  <c r="X332" i="142"/>
  <c r="AY332" i="142" s="1"/>
  <c r="R332" i="142"/>
  <c r="AX332" i="142" s="1"/>
  <c r="L332" i="142"/>
  <c r="AV331" i="142"/>
  <c r="X331" i="142"/>
  <c r="R331" i="142"/>
  <c r="AX331" i="142" s="1"/>
  <c r="L331" i="142"/>
  <c r="AW331" i="142" s="1"/>
  <c r="AV330" i="142"/>
  <c r="X330" i="142"/>
  <c r="AY330" i="142" s="1"/>
  <c r="R330" i="142"/>
  <c r="AX330" i="142" s="1"/>
  <c r="L330" i="142"/>
  <c r="AD330" i="142" s="1"/>
  <c r="AV329" i="142"/>
  <c r="X329" i="142"/>
  <c r="AY329" i="142" s="1"/>
  <c r="R329" i="142"/>
  <c r="L329" i="142"/>
  <c r="AD329" i="142" s="1"/>
  <c r="AV328" i="142"/>
  <c r="X328" i="142"/>
  <c r="R328" i="142"/>
  <c r="AX328" i="142" s="1"/>
  <c r="L328" i="142"/>
  <c r="AD328" i="142" s="1"/>
  <c r="AV327" i="142"/>
  <c r="X327" i="142"/>
  <c r="R327" i="142"/>
  <c r="AX327" i="142" s="1"/>
  <c r="L327" i="142"/>
  <c r="AD327" i="142" s="1"/>
  <c r="AV326" i="142"/>
  <c r="X326" i="142"/>
  <c r="R326" i="142"/>
  <c r="AX326" i="142" s="1"/>
  <c r="L326" i="142"/>
  <c r="AV325" i="142"/>
  <c r="X325" i="142"/>
  <c r="AY325" i="142" s="1"/>
  <c r="R325" i="142"/>
  <c r="L325" i="142"/>
  <c r="AD325" i="142" s="1"/>
  <c r="AV324" i="142"/>
  <c r="X324" i="142"/>
  <c r="R324" i="142"/>
  <c r="L324" i="142"/>
  <c r="AW324" i="142" s="1"/>
  <c r="AV323" i="142"/>
  <c r="X323" i="142"/>
  <c r="AY323" i="142" s="1"/>
  <c r="R323" i="142"/>
  <c r="AX323" i="142" s="1"/>
  <c r="L323" i="142"/>
  <c r="AQ321" i="142"/>
  <c r="AP321" i="142"/>
  <c r="AV290" i="142"/>
  <c r="X290" i="142"/>
  <c r="AY290" i="142" s="1"/>
  <c r="R290" i="142"/>
  <c r="AX290" i="142" s="1"/>
  <c r="L290" i="142"/>
  <c r="AV289" i="142"/>
  <c r="X289" i="142"/>
  <c r="AY289" i="142" s="1"/>
  <c r="R289" i="142"/>
  <c r="L289" i="142"/>
  <c r="AV288" i="142"/>
  <c r="X288" i="142"/>
  <c r="AY288" i="142" s="1"/>
  <c r="R288" i="142"/>
  <c r="AX288" i="142" s="1"/>
  <c r="L288" i="142"/>
  <c r="AW288" i="142" s="1"/>
  <c r="AV287" i="142"/>
  <c r="X287" i="142"/>
  <c r="AY287" i="142" s="1"/>
  <c r="R287" i="142"/>
  <c r="AX287" i="142" s="1"/>
  <c r="L287" i="142"/>
  <c r="AD287" i="142" s="1"/>
  <c r="AV286" i="142"/>
  <c r="X286" i="142"/>
  <c r="R286" i="142"/>
  <c r="AX286" i="142" s="1"/>
  <c r="L286" i="142"/>
  <c r="AD286" i="142" s="1"/>
  <c r="AZ286" i="142" s="1"/>
  <c r="AV285" i="142"/>
  <c r="X285" i="142"/>
  <c r="AY285" i="142" s="1"/>
  <c r="R285" i="142"/>
  <c r="L285" i="142"/>
  <c r="AW285" i="142" s="1"/>
  <c r="AV284" i="142"/>
  <c r="X284" i="142"/>
  <c r="R284" i="142"/>
  <c r="AX284" i="142" s="1"/>
  <c r="L284" i="142"/>
  <c r="AW284" i="142" s="1"/>
  <c r="AV283" i="142"/>
  <c r="X283" i="142"/>
  <c r="R283" i="142"/>
  <c r="AX283" i="142" s="1"/>
  <c r="L283" i="142"/>
  <c r="AV282" i="142"/>
  <c r="X282" i="142"/>
  <c r="R282" i="142"/>
  <c r="L282" i="142"/>
  <c r="AW282" i="142" s="1"/>
  <c r="AV281" i="142"/>
  <c r="X281" i="142"/>
  <c r="AY281" i="142" s="1"/>
  <c r="R281" i="142"/>
  <c r="L281" i="142"/>
  <c r="AD281" i="142" s="1"/>
  <c r="AV280" i="142"/>
  <c r="X280" i="142"/>
  <c r="AY280" i="142" s="1"/>
  <c r="R280" i="142"/>
  <c r="L280" i="142"/>
  <c r="AW280" i="142" s="1"/>
  <c r="AV279" i="142"/>
  <c r="X279" i="142"/>
  <c r="R279" i="142"/>
  <c r="AX279" i="142" s="1"/>
  <c r="L279" i="142"/>
  <c r="AV278" i="142"/>
  <c r="X278" i="142"/>
  <c r="R278" i="142"/>
  <c r="L278" i="142"/>
  <c r="AD278" i="142" s="1"/>
  <c r="AV277" i="142"/>
  <c r="X277" i="142"/>
  <c r="AY277" i="142" s="1"/>
  <c r="R277" i="142"/>
  <c r="L277" i="142"/>
  <c r="AW277" i="142" s="1"/>
  <c r="AV276" i="142"/>
  <c r="X276" i="142"/>
  <c r="R276" i="142"/>
  <c r="L276" i="142"/>
  <c r="AD276" i="142" s="1"/>
  <c r="AZ276" i="142" s="1"/>
  <c r="AV242" i="142"/>
  <c r="X242" i="142"/>
  <c r="AY242" i="142" s="1"/>
  <c r="R242" i="142"/>
  <c r="L242" i="142"/>
  <c r="AW242" i="142" s="1"/>
  <c r="AV241" i="142"/>
  <c r="X241" i="142"/>
  <c r="R241" i="142"/>
  <c r="L241" i="142"/>
  <c r="AD241" i="142" s="1"/>
  <c r="AV240" i="142"/>
  <c r="X240" i="142"/>
  <c r="AY240" i="142" s="1"/>
  <c r="R240" i="142"/>
  <c r="AX240" i="142" s="1"/>
  <c r="L240" i="142"/>
  <c r="AV239" i="142"/>
  <c r="X239" i="142"/>
  <c r="AY239" i="142" s="1"/>
  <c r="R239" i="142"/>
  <c r="L239" i="142"/>
  <c r="AW239" i="142" s="1"/>
  <c r="AV238" i="142"/>
  <c r="X238" i="142"/>
  <c r="AY238" i="142" s="1"/>
  <c r="R238" i="142"/>
  <c r="L238" i="142"/>
  <c r="AW238" i="142" s="1"/>
  <c r="AV237" i="142"/>
  <c r="X237" i="142"/>
  <c r="AY237" i="142" s="1"/>
  <c r="R237" i="142"/>
  <c r="L237" i="142"/>
  <c r="AV236" i="142"/>
  <c r="X236" i="142"/>
  <c r="R236" i="142"/>
  <c r="AX236" i="142" s="1"/>
  <c r="L236" i="142"/>
  <c r="AV235" i="142"/>
  <c r="X235" i="142"/>
  <c r="R235" i="142"/>
  <c r="L235" i="142"/>
  <c r="AD235" i="142" s="1"/>
  <c r="AV234" i="142"/>
  <c r="X234" i="142"/>
  <c r="AY234" i="142" s="1"/>
  <c r="R234" i="142"/>
  <c r="L234" i="142"/>
  <c r="AW234" i="142" s="1"/>
  <c r="AV233" i="142"/>
  <c r="X233" i="142"/>
  <c r="R233" i="142"/>
  <c r="L233" i="142"/>
  <c r="AD233" i="142" s="1"/>
  <c r="AV232" i="142"/>
  <c r="X232" i="142"/>
  <c r="AY232" i="142" s="1"/>
  <c r="R232" i="142"/>
  <c r="AX232" i="142" s="1"/>
  <c r="L232" i="142"/>
  <c r="AV231" i="142"/>
  <c r="X231" i="142"/>
  <c r="AY231" i="142" s="1"/>
  <c r="R231" i="142"/>
  <c r="AX231" i="142" s="1"/>
  <c r="L231" i="142"/>
  <c r="AD231" i="142" s="1"/>
  <c r="AW230" i="142"/>
  <c r="AV230" i="142"/>
  <c r="X230" i="142"/>
  <c r="AY230" i="142" s="1"/>
  <c r="R230" i="142"/>
  <c r="AX230" i="142" s="1"/>
  <c r="L230" i="142"/>
  <c r="AD230" i="142" s="1"/>
  <c r="AZ230" i="142" s="1"/>
  <c r="AV229" i="142"/>
  <c r="X229" i="142"/>
  <c r="R229" i="142"/>
  <c r="L229" i="142"/>
  <c r="AD229" i="142" s="1"/>
  <c r="AV228" i="142"/>
  <c r="X228" i="142"/>
  <c r="AY228" i="142" s="1"/>
  <c r="R228" i="142"/>
  <c r="L228" i="142"/>
  <c r="AD228" i="142" s="1"/>
  <c r="AZ228" i="142" s="1"/>
  <c r="AV195" i="142"/>
  <c r="X195" i="142"/>
  <c r="R195" i="142"/>
  <c r="L195" i="142"/>
  <c r="AW195" i="142" s="1"/>
  <c r="AV194" i="142"/>
  <c r="X194" i="142"/>
  <c r="AY194" i="142" s="1"/>
  <c r="R194" i="142"/>
  <c r="AX194" i="142" s="1"/>
  <c r="L194" i="142"/>
  <c r="AV193" i="142"/>
  <c r="X193" i="142"/>
  <c r="AY193" i="142" s="1"/>
  <c r="R193" i="142"/>
  <c r="L193" i="142"/>
  <c r="AD193" i="142" s="1"/>
  <c r="AV192" i="142"/>
  <c r="X192" i="142"/>
  <c r="AY192" i="142" s="1"/>
  <c r="R192" i="142"/>
  <c r="AX192" i="142" s="1"/>
  <c r="L192" i="142"/>
  <c r="AW192" i="142" s="1"/>
  <c r="AV191" i="142"/>
  <c r="X191" i="142"/>
  <c r="R191" i="142"/>
  <c r="L191" i="142"/>
  <c r="AV190" i="142"/>
  <c r="X190" i="142"/>
  <c r="R190" i="142"/>
  <c r="AX190" i="142" s="1"/>
  <c r="L190" i="142"/>
  <c r="AD190" i="142" s="1"/>
  <c r="AV189" i="142"/>
  <c r="X189" i="142"/>
  <c r="R189" i="142"/>
  <c r="L189" i="142"/>
  <c r="AV188" i="142"/>
  <c r="X188" i="142"/>
  <c r="AY188" i="142" s="1"/>
  <c r="R188" i="142"/>
  <c r="AX188" i="142" s="1"/>
  <c r="L188" i="142"/>
  <c r="AD188" i="142" s="1"/>
  <c r="AZ188" i="142" s="1"/>
  <c r="AV187" i="142"/>
  <c r="X187" i="142"/>
  <c r="R187" i="142"/>
  <c r="L187" i="142"/>
  <c r="AW187" i="142" s="1"/>
  <c r="AV186" i="142"/>
  <c r="X186" i="142"/>
  <c r="AY186" i="142" s="1"/>
  <c r="R186" i="142"/>
  <c r="AX186" i="142" s="1"/>
  <c r="L186" i="142"/>
  <c r="AV185" i="142"/>
  <c r="X185" i="142"/>
  <c r="AY185" i="142" s="1"/>
  <c r="R185" i="142"/>
  <c r="L185" i="142"/>
  <c r="AD185" i="142" s="1"/>
  <c r="AV184" i="142"/>
  <c r="X184" i="142"/>
  <c r="AY184" i="142" s="1"/>
  <c r="R184" i="142"/>
  <c r="AX184" i="142" s="1"/>
  <c r="L184" i="142"/>
  <c r="AD184" i="142" s="1"/>
  <c r="AZ184" i="142" s="1"/>
  <c r="AV183" i="142"/>
  <c r="X183" i="142"/>
  <c r="AY183" i="142" s="1"/>
  <c r="R183" i="142"/>
  <c r="L183" i="142"/>
  <c r="AV182" i="142"/>
  <c r="X182" i="142"/>
  <c r="AY182" i="142" s="1"/>
  <c r="R182" i="142"/>
  <c r="AX182" i="142" s="1"/>
  <c r="L182" i="142"/>
  <c r="AD182" i="142" s="1"/>
  <c r="AV181" i="142"/>
  <c r="X181" i="142"/>
  <c r="R181" i="142"/>
  <c r="AX181" i="142" s="1"/>
  <c r="L181" i="142"/>
  <c r="X173" i="142"/>
  <c r="R173" i="142"/>
  <c r="L173" i="142"/>
  <c r="X172" i="142"/>
  <c r="R172" i="142"/>
  <c r="L172" i="142"/>
  <c r="X171" i="142"/>
  <c r="R171" i="142"/>
  <c r="L171" i="142"/>
  <c r="X170" i="142"/>
  <c r="R170" i="142"/>
  <c r="L170" i="142"/>
  <c r="X169" i="142"/>
  <c r="R169" i="142"/>
  <c r="L169" i="142"/>
  <c r="X168" i="142"/>
  <c r="R168" i="142"/>
  <c r="L168" i="142"/>
  <c r="X167" i="142"/>
  <c r="R167" i="142"/>
  <c r="L167" i="142"/>
  <c r="X166" i="142"/>
  <c r="R166" i="142"/>
  <c r="L166" i="142"/>
  <c r="X165" i="142"/>
  <c r="R165" i="142"/>
  <c r="L165" i="142"/>
  <c r="X164" i="142"/>
  <c r="R164" i="142"/>
  <c r="L164" i="142"/>
  <c r="X163" i="142"/>
  <c r="R163" i="142"/>
  <c r="L163" i="142"/>
  <c r="X162" i="142"/>
  <c r="R162" i="142"/>
  <c r="L162" i="142"/>
  <c r="X161" i="142"/>
  <c r="R161" i="142"/>
  <c r="L161" i="142"/>
  <c r="X160" i="142"/>
  <c r="R160" i="142"/>
  <c r="L160" i="142"/>
  <c r="X159" i="142"/>
  <c r="R159" i="142"/>
  <c r="L159" i="142"/>
  <c r="X158" i="142"/>
  <c r="R158" i="142"/>
  <c r="L158" i="142"/>
  <c r="X157" i="142"/>
  <c r="R157" i="142"/>
  <c r="L157" i="142"/>
  <c r="X156" i="142"/>
  <c r="R156" i="142"/>
  <c r="L156" i="142"/>
  <c r="X155" i="142"/>
  <c r="R155" i="142"/>
  <c r="L155" i="142"/>
  <c r="X154" i="142"/>
  <c r="R154" i="142"/>
  <c r="L154" i="142"/>
  <c r="X153" i="142"/>
  <c r="R153" i="142"/>
  <c r="L153" i="142"/>
  <c r="X152" i="142"/>
  <c r="R152" i="142"/>
  <c r="L152" i="142"/>
  <c r="X151" i="142"/>
  <c r="R151" i="142"/>
  <c r="L151" i="142"/>
  <c r="X150" i="142"/>
  <c r="R150" i="142"/>
  <c r="L150" i="142"/>
  <c r="X149" i="142"/>
  <c r="R149" i="142"/>
  <c r="L149" i="142"/>
  <c r="X148" i="142"/>
  <c r="R148" i="142"/>
  <c r="L148" i="142"/>
  <c r="X147" i="142"/>
  <c r="R147" i="142"/>
  <c r="L147" i="142"/>
  <c r="AV146" i="142"/>
  <c r="X146" i="142"/>
  <c r="AY146" i="142" s="1"/>
  <c r="R146" i="142"/>
  <c r="L146" i="142"/>
  <c r="AW146" i="142" s="1"/>
  <c r="AV145" i="142"/>
  <c r="X145" i="142"/>
  <c r="AY145" i="142" s="1"/>
  <c r="R145" i="142"/>
  <c r="AX145" i="142" s="1"/>
  <c r="L145" i="142"/>
  <c r="AW145" i="142" s="1"/>
  <c r="AV144" i="142"/>
  <c r="X144" i="142"/>
  <c r="R144" i="142"/>
  <c r="L144" i="142"/>
  <c r="AD144" i="142" s="1"/>
  <c r="AV143" i="142"/>
  <c r="X143" i="142"/>
  <c r="AY143" i="142" s="1"/>
  <c r="R143" i="142"/>
  <c r="L143" i="142"/>
  <c r="AW143" i="142" s="1"/>
  <c r="AV142" i="142"/>
  <c r="X142" i="142"/>
  <c r="R142" i="142"/>
  <c r="L142" i="142"/>
  <c r="AV141" i="142"/>
  <c r="X141" i="142"/>
  <c r="AY141" i="142" s="1"/>
  <c r="R141" i="142"/>
  <c r="AX141" i="142" s="1"/>
  <c r="L141" i="142"/>
  <c r="AW141" i="142" s="1"/>
  <c r="AV140" i="142"/>
  <c r="X140" i="142"/>
  <c r="AY140" i="142" s="1"/>
  <c r="R140" i="142"/>
  <c r="L140" i="142"/>
  <c r="AD140" i="142" s="1"/>
  <c r="AV139" i="142"/>
  <c r="X139" i="142"/>
  <c r="R139" i="142"/>
  <c r="AX139" i="142" s="1"/>
  <c r="L139" i="142"/>
  <c r="AW139" i="142" s="1"/>
  <c r="AV138" i="142"/>
  <c r="X138" i="142"/>
  <c r="R138" i="142"/>
  <c r="AX138" i="142" s="1"/>
  <c r="L138" i="142"/>
  <c r="AW138" i="142" s="1"/>
  <c r="AV137" i="142"/>
  <c r="X137" i="142"/>
  <c r="AY137" i="142" s="1"/>
  <c r="R137" i="142"/>
  <c r="L137" i="142"/>
  <c r="AW137" i="142" s="1"/>
  <c r="AV136" i="142"/>
  <c r="X136" i="142"/>
  <c r="R136" i="142"/>
  <c r="AX136" i="142" s="1"/>
  <c r="L136" i="142"/>
  <c r="AD136" i="142" s="1"/>
  <c r="AV135" i="142"/>
  <c r="X135" i="142"/>
  <c r="AY135" i="142" s="1"/>
  <c r="R135" i="142"/>
  <c r="AX135" i="142" s="1"/>
  <c r="L135" i="142"/>
  <c r="AD135" i="142" s="1"/>
  <c r="AV134" i="142"/>
  <c r="X134" i="142"/>
  <c r="AY134" i="142" s="1"/>
  <c r="R134" i="142"/>
  <c r="AX134" i="142" s="1"/>
  <c r="L134" i="142"/>
  <c r="AW134" i="142" s="1"/>
  <c r="AV133" i="142"/>
  <c r="X133" i="142"/>
  <c r="AY133" i="142" s="1"/>
  <c r="R133" i="142"/>
  <c r="AX133" i="142" s="1"/>
  <c r="L133" i="142"/>
  <c r="AW133" i="142" s="1"/>
  <c r="AV132" i="142"/>
  <c r="X132" i="142"/>
  <c r="R132" i="142"/>
  <c r="AX132" i="142" s="1"/>
  <c r="L132" i="142"/>
  <c r="AW132" i="142" s="1"/>
  <c r="X125" i="142"/>
  <c r="R125" i="142"/>
  <c r="L125" i="142"/>
  <c r="X124" i="142"/>
  <c r="R124" i="142"/>
  <c r="L124" i="142"/>
  <c r="X123" i="142"/>
  <c r="R123" i="142"/>
  <c r="L123" i="142"/>
  <c r="X122" i="142"/>
  <c r="R122" i="142"/>
  <c r="L122" i="142"/>
  <c r="X121" i="142"/>
  <c r="R121" i="142"/>
  <c r="L121" i="142"/>
  <c r="X120" i="142"/>
  <c r="R120" i="142"/>
  <c r="L120" i="142"/>
  <c r="X119" i="142"/>
  <c r="R119" i="142"/>
  <c r="L119" i="142"/>
  <c r="X118" i="142"/>
  <c r="R118" i="142"/>
  <c r="L118" i="142"/>
  <c r="X117" i="142"/>
  <c r="R117" i="142"/>
  <c r="L117" i="142"/>
  <c r="X116" i="142"/>
  <c r="R116" i="142"/>
  <c r="L116" i="142"/>
  <c r="X115" i="142"/>
  <c r="R115" i="142"/>
  <c r="L115" i="142"/>
  <c r="X114" i="142"/>
  <c r="R114" i="142"/>
  <c r="L114" i="142"/>
  <c r="X113" i="142"/>
  <c r="R113" i="142"/>
  <c r="L113" i="142"/>
  <c r="X112" i="142"/>
  <c r="R112" i="142"/>
  <c r="L112" i="142"/>
  <c r="AV98" i="142"/>
  <c r="X98" i="142"/>
  <c r="R98" i="142"/>
  <c r="L98" i="142"/>
  <c r="AD98" i="142" s="1"/>
  <c r="AV97" i="142"/>
  <c r="X97" i="142"/>
  <c r="AY97" i="142" s="1"/>
  <c r="R97" i="142"/>
  <c r="L97" i="142"/>
  <c r="AW97" i="142" s="1"/>
  <c r="AV96" i="142"/>
  <c r="X96" i="142"/>
  <c r="R96" i="142"/>
  <c r="L96" i="142"/>
  <c r="AD96" i="142" s="1"/>
  <c r="AV95" i="142"/>
  <c r="X95" i="142"/>
  <c r="R95" i="142"/>
  <c r="AX95" i="142" s="1"/>
  <c r="L95" i="142"/>
  <c r="AV94" i="142"/>
  <c r="X94" i="142"/>
  <c r="R94" i="142"/>
  <c r="L94" i="142"/>
  <c r="AV93" i="142"/>
  <c r="X93" i="142"/>
  <c r="AY93" i="142" s="1"/>
  <c r="R93" i="142"/>
  <c r="L93" i="142"/>
  <c r="AW93" i="142" s="1"/>
  <c r="AV92" i="142"/>
  <c r="X92" i="142"/>
  <c r="AY92" i="142" s="1"/>
  <c r="R92" i="142"/>
  <c r="AX92" i="142" s="1"/>
  <c r="L92" i="142"/>
  <c r="AD92" i="142" s="1"/>
  <c r="AV91" i="142"/>
  <c r="X91" i="142"/>
  <c r="AY91" i="142" s="1"/>
  <c r="R91" i="142"/>
  <c r="AX91" i="142" s="1"/>
  <c r="L91" i="142"/>
  <c r="AD91" i="142" s="1"/>
  <c r="AZ91" i="142" s="1"/>
  <c r="AW90" i="142"/>
  <c r="AV90" i="142"/>
  <c r="X90" i="142"/>
  <c r="AY90" i="142" s="1"/>
  <c r="R90" i="142"/>
  <c r="L90" i="142"/>
  <c r="AV89" i="142"/>
  <c r="X89" i="142"/>
  <c r="AY89" i="142" s="1"/>
  <c r="R89" i="142"/>
  <c r="AX89" i="142" s="1"/>
  <c r="L89" i="142"/>
  <c r="AW89" i="142" s="1"/>
  <c r="AV88" i="142"/>
  <c r="X88" i="142"/>
  <c r="AY88" i="142" s="1"/>
  <c r="R88" i="142"/>
  <c r="L88" i="142"/>
  <c r="AW88" i="142" s="1"/>
  <c r="AV87" i="142"/>
  <c r="X87" i="142"/>
  <c r="AY87" i="142" s="1"/>
  <c r="R87" i="142"/>
  <c r="L87" i="142"/>
  <c r="AW87" i="142" s="1"/>
  <c r="AV86" i="142"/>
  <c r="X86" i="142"/>
  <c r="AY86" i="142" s="1"/>
  <c r="R86" i="142"/>
  <c r="AX86" i="142" s="1"/>
  <c r="L86" i="142"/>
  <c r="AV85" i="142"/>
  <c r="X85" i="142"/>
  <c r="AY85" i="142" s="1"/>
  <c r="R85" i="142"/>
  <c r="AX85" i="142" s="1"/>
  <c r="L85" i="142"/>
  <c r="AW85" i="142" s="1"/>
  <c r="AV84" i="142"/>
  <c r="X84" i="142"/>
  <c r="R84" i="142"/>
  <c r="AX84" i="142" s="1"/>
  <c r="L84" i="142"/>
  <c r="AW84" i="142" s="1"/>
  <c r="AV50" i="142"/>
  <c r="X50" i="142"/>
  <c r="AY50" i="142" s="1"/>
  <c r="R50" i="142"/>
  <c r="AX50" i="142" s="1"/>
  <c r="L50" i="142"/>
  <c r="AV49" i="142"/>
  <c r="X49" i="142"/>
  <c r="AY49" i="142" s="1"/>
  <c r="R49" i="142"/>
  <c r="L49" i="142"/>
  <c r="AW49" i="142" s="1"/>
  <c r="AV48" i="142"/>
  <c r="X48" i="142"/>
  <c r="R48" i="142"/>
  <c r="AX48" i="142" s="1"/>
  <c r="L48" i="142"/>
  <c r="AD48" i="142" s="1"/>
  <c r="AV47" i="142"/>
  <c r="X47" i="142"/>
  <c r="AY47" i="142" s="1"/>
  <c r="R47" i="142"/>
  <c r="L47" i="142"/>
  <c r="AV46" i="142"/>
  <c r="X46" i="142"/>
  <c r="R46" i="142"/>
  <c r="AX46" i="142" s="1"/>
  <c r="L46" i="142"/>
  <c r="AV45" i="142"/>
  <c r="X45" i="142"/>
  <c r="R45" i="142"/>
  <c r="AX45" i="142" s="1"/>
  <c r="L45" i="142"/>
  <c r="AD45" i="142" s="1"/>
  <c r="AV44" i="142"/>
  <c r="X44" i="142"/>
  <c r="AY44" i="142" s="1"/>
  <c r="R44" i="142"/>
  <c r="AX44" i="142" s="1"/>
  <c r="L44" i="142"/>
  <c r="AD44" i="142" s="1"/>
  <c r="AV43" i="142"/>
  <c r="X43" i="142"/>
  <c r="AY43" i="142" s="1"/>
  <c r="R43" i="142"/>
  <c r="L43" i="142"/>
  <c r="AW43" i="142" s="1"/>
  <c r="AV42" i="142"/>
  <c r="X42" i="142"/>
  <c r="R42" i="142"/>
  <c r="AX42" i="142" s="1"/>
  <c r="L42" i="142"/>
  <c r="AV41" i="142"/>
  <c r="X41" i="142"/>
  <c r="R41" i="142"/>
  <c r="AX41" i="142" s="1"/>
  <c r="L41" i="142"/>
  <c r="AW41" i="142" s="1"/>
  <c r="AV40" i="142"/>
  <c r="X40" i="142"/>
  <c r="R40" i="142"/>
  <c r="L40" i="142"/>
  <c r="AW40" i="142" s="1"/>
  <c r="AV39" i="142"/>
  <c r="X39" i="142"/>
  <c r="AY39" i="142" s="1"/>
  <c r="R39" i="142"/>
  <c r="L39" i="142"/>
  <c r="AW39" i="142" s="1"/>
  <c r="AV38" i="142"/>
  <c r="X38" i="142"/>
  <c r="AY38" i="142" s="1"/>
  <c r="R38" i="142"/>
  <c r="AX38" i="142" s="1"/>
  <c r="L38" i="142"/>
  <c r="AV37" i="142"/>
  <c r="X37" i="142"/>
  <c r="R37" i="142"/>
  <c r="AX37" i="142" s="1"/>
  <c r="L37" i="142"/>
  <c r="AD37" i="142" s="1"/>
  <c r="AV31" i="142"/>
  <c r="X31" i="142"/>
  <c r="AY31" i="142" s="1"/>
  <c r="R31" i="142"/>
  <c r="AX31" i="142" s="1"/>
  <c r="L31" i="142"/>
  <c r="AW31" i="142" s="1"/>
  <c r="AV30" i="142"/>
  <c r="X30" i="142"/>
  <c r="AY30" i="142" s="1"/>
  <c r="R30" i="142"/>
  <c r="L30" i="142"/>
  <c r="AW30" i="142" s="1"/>
  <c r="AV29" i="142"/>
  <c r="X29" i="142"/>
  <c r="R29" i="142"/>
  <c r="L29" i="142"/>
  <c r="AV28" i="142"/>
  <c r="X28" i="142"/>
  <c r="R28" i="142"/>
  <c r="L28" i="142"/>
  <c r="AV27" i="142"/>
  <c r="X27" i="142"/>
  <c r="R27" i="142"/>
  <c r="AX27" i="142" s="1"/>
  <c r="L27" i="142"/>
  <c r="AD27" i="142" s="1"/>
  <c r="AV26" i="142"/>
  <c r="X26" i="142"/>
  <c r="AY26" i="142" s="1"/>
  <c r="R26" i="142"/>
  <c r="L26" i="142"/>
  <c r="AV25" i="142"/>
  <c r="X25" i="142"/>
  <c r="R25" i="142"/>
  <c r="AX25" i="142" s="1"/>
  <c r="L25" i="142"/>
  <c r="AV24" i="142"/>
  <c r="X24" i="142"/>
  <c r="R24" i="142"/>
  <c r="AX24" i="142" s="1"/>
  <c r="L24" i="142"/>
  <c r="AV23" i="142"/>
  <c r="X23" i="142"/>
  <c r="R23" i="142"/>
  <c r="L23" i="142"/>
  <c r="AW23" i="142" s="1"/>
  <c r="AV22" i="142"/>
  <c r="X22" i="142"/>
  <c r="R22" i="142"/>
  <c r="AX22" i="142" s="1"/>
  <c r="L22" i="142"/>
  <c r="AD22" i="142" s="1"/>
  <c r="AV21" i="142"/>
  <c r="X21" i="142"/>
  <c r="R21" i="142"/>
  <c r="AX21" i="142" s="1"/>
  <c r="L21" i="142"/>
  <c r="AV20" i="142"/>
  <c r="X20" i="142"/>
  <c r="AY20" i="142" s="1"/>
  <c r="R20" i="142"/>
  <c r="L20" i="142"/>
  <c r="AW20" i="142" s="1"/>
  <c r="AV19" i="142"/>
  <c r="X19" i="142"/>
  <c r="AY19" i="142" s="1"/>
  <c r="R19" i="142"/>
  <c r="L19" i="142"/>
  <c r="AD19" i="142" s="1"/>
  <c r="AZ19" i="142" s="1"/>
  <c r="AV18" i="142"/>
  <c r="X18" i="142"/>
  <c r="R18" i="142"/>
  <c r="AX18" i="142" s="1"/>
  <c r="L18" i="142"/>
  <c r="AD18" i="142" s="1"/>
  <c r="AV17" i="142"/>
  <c r="X17" i="142"/>
  <c r="R17" i="142"/>
  <c r="AX17" i="142" s="1"/>
  <c r="L17" i="142"/>
  <c r="F5" i="142"/>
  <c r="P3" i="142"/>
  <c r="J3" i="142"/>
  <c r="F3" i="142"/>
  <c r="F22" i="141"/>
  <c r="F21" i="141"/>
  <c r="F20" i="141"/>
  <c r="N14" i="141"/>
  <c r="M14" i="141"/>
  <c r="L14" i="141"/>
  <c r="J14" i="141"/>
  <c r="I14" i="141"/>
  <c r="H14" i="141"/>
  <c r="F14" i="141"/>
  <c r="N13" i="141"/>
  <c r="M13" i="141"/>
  <c r="L13" i="141"/>
  <c r="J13" i="141"/>
  <c r="I13" i="141"/>
  <c r="H13" i="141"/>
  <c r="F13" i="141"/>
  <c r="N12" i="141"/>
  <c r="M12" i="141"/>
  <c r="L12" i="141"/>
  <c r="J12" i="141"/>
  <c r="I12" i="141"/>
  <c r="H12" i="141"/>
  <c r="F12" i="141"/>
  <c r="N11" i="141"/>
  <c r="M11" i="141"/>
  <c r="L11" i="141"/>
  <c r="J11" i="141"/>
  <c r="I11" i="141"/>
  <c r="H11" i="141"/>
  <c r="F11" i="141"/>
  <c r="N10" i="141"/>
  <c r="M10" i="141"/>
  <c r="L10" i="141"/>
  <c r="J10" i="141"/>
  <c r="I10" i="141"/>
  <c r="H10" i="141"/>
  <c r="F10" i="141"/>
  <c r="N9" i="141"/>
  <c r="M9" i="141"/>
  <c r="L9" i="141"/>
  <c r="J9" i="141"/>
  <c r="I9" i="141"/>
  <c r="H9" i="141"/>
  <c r="F9" i="141"/>
  <c r="N8" i="141"/>
  <c r="M8" i="141"/>
  <c r="L8" i="141"/>
  <c r="J8" i="141"/>
  <c r="I8" i="141"/>
  <c r="H8" i="141"/>
  <c r="F8" i="141"/>
  <c r="N7" i="141"/>
  <c r="M7" i="141"/>
  <c r="L7" i="141"/>
  <c r="J7" i="141"/>
  <c r="I7" i="141"/>
  <c r="H7" i="141"/>
  <c r="F7" i="141"/>
  <c r="N6" i="141"/>
  <c r="M6" i="141"/>
  <c r="L6" i="141"/>
  <c r="J6" i="141"/>
  <c r="I6" i="141"/>
  <c r="H6" i="141"/>
  <c r="F6" i="141"/>
  <c r="N5" i="141"/>
  <c r="M5" i="141"/>
  <c r="L5" i="141"/>
  <c r="J5" i="141"/>
  <c r="I5" i="141"/>
  <c r="H5" i="141"/>
  <c r="F5" i="141"/>
  <c r="AW330" i="142" l="1"/>
  <c r="AD337" i="142"/>
  <c r="AW334" i="142"/>
  <c r="AD277" i="142"/>
  <c r="AW228" i="142"/>
  <c r="AW135" i="142"/>
  <c r="AW144" i="142"/>
  <c r="AD138" i="142"/>
  <c r="AZ138" i="142" s="1"/>
  <c r="AW91" i="142"/>
  <c r="AD43" i="142"/>
  <c r="AZ43" i="142" s="1"/>
  <c r="AD40" i="142"/>
  <c r="AD31" i="142"/>
  <c r="AZ31" i="142" s="1"/>
  <c r="AW22" i="142"/>
  <c r="AW44" i="142"/>
  <c r="AD143" i="142"/>
  <c r="AW182" i="142"/>
  <c r="AD133" i="142"/>
  <c r="AZ133" i="142" s="1"/>
  <c r="AD134" i="142"/>
  <c r="AZ134" i="142" s="1"/>
  <c r="AW140" i="142"/>
  <c r="AD234" i="142"/>
  <c r="AZ234" i="142" s="1"/>
  <c r="AW286" i="142"/>
  <c r="AD30" i="142"/>
  <c r="AZ30" i="142" s="1"/>
  <c r="AW48" i="142"/>
  <c r="AD89" i="142"/>
  <c r="AZ89" i="142" s="1"/>
  <c r="AW281" i="142"/>
  <c r="AD23" i="142"/>
  <c r="AZ23" i="142" s="1"/>
  <c r="AD97" i="142"/>
  <c r="AD192" i="142"/>
  <c r="AZ192" i="142" s="1"/>
  <c r="AD285" i="142"/>
  <c r="AZ285" i="142" s="1"/>
  <c r="AD39" i="142"/>
  <c r="AZ39" i="142" s="1"/>
  <c r="AD84" i="142"/>
  <c r="AZ84" i="142" s="1"/>
  <c r="AD146" i="142"/>
  <c r="AZ146" i="142" s="1"/>
  <c r="AD88" i="142"/>
  <c r="AZ88" i="142" s="1"/>
  <c r="AD145" i="142"/>
  <c r="AZ145" i="142" s="1"/>
  <c r="AW188" i="142"/>
  <c r="AD239" i="142"/>
  <c r="AZ239" i="142" s="1"/>
  <c r="AD242" i="142"/>
  <c r="AZ242" i="142" s="1"/>
  <c r="AW325" i="142"/>
  <c r="AD331" i="142"/>
  <c r="AD137" i="142"/>
  <c r="AZ137" i="142" s="1"/>
  <c r="AD93" i="142"/>
  <c r="AZ93" i="142" s="1"/>
  <c r="AD141" i="142"/>
  <c r="AZ141" i="142" s="1"/>
  <c r="AW184" i="142"/>
  <c r="AD187" i="142"/>
  <c r="AD238" i="142"/>
  <c r="AZ238" i="142" s="1"/>
  <c r="AD288" i="142"/>
  <c r="AZ288" i="142" s="1"/>
  <c r="AW190" i="142"/>
  <c r="AW25" i="142"/>
  <c r="AX26" i="142"/>
  <c r="AZ40" i="142"/>
  <c r="AW47" i="142"/>
  <c r="AW29" i="142"/>
  <c r="AX30" i="142"/>
  <c r="AY18" i="142"/>
  <c r="AD28" i="142"/>
  <c r="AY37" i="142"/>
  <c r="AW19" i="142"/>
  <c r="AY21" i="142"/>
  <c r="AY23" i="142"/>
  <c r="AX28" i="142"/>
  <c r="AY84" i="142"/>
  <c r="AW17" i="142"/>
  <c r="AX23" i="142"/>
  <c r="AD26" i="142"/>
  <c r="AZ27" i="142"/>
  <c r="AW28" i="142"/>
  <c r="AY29" i="142"/>
  <c r="AY17" i="142"/>
  <c r="AZ18" i="142"/>
  <c r="AD20" i="142"/>
  <c r="AY22" i="142"/>
  <c r="AY25" i="142"/>
  <c r="AW37" i="142"/>
  <c r="AX39" i="142"/>
  <c r="AX40" i="142"/>
  <c r="AY41" i="142"/>
  <c r="AX19" i="142"/>
  <c r="AX20" i="142"/>
  <c r="AZ22" i="142"/>
  <c r="AY24" i="142"/>
  <c r="AW26" i="142"/>
  <c r="AW27" i="142"/>
  <c r="AY28" i="142"/>
  <c r="AD38" i="142"/>
  <c r="AW38" i="142"/>
  <c r="AW42" i="142"/>
  <c r="AD42" i="142"/>
  <c r="AZ44" i="142"/>
  <c r="AZ45" i="142"/>
  <c r="AX49" i="142"/>
  <c r="AW50" i="142"/>
  <c r="AD50" i="142"/>
  <c r="AX43" i="142"/>
  <c r="AD41" i="142"/>
  <c r="AY45" i="142"/>
  <c r="AZ48" i="142"/>
  <c r="AW45" i="142"/>
  <c r="AX47" i="142"/>
  <c r="AZ96" i="142"/>
  <c r="AD29" i="142"/>
  <c r="AD46" i="142"/>
  <c r="AW46" i="142"/>
  <c r="AD17" i="142"/>
  <c r="AZ37" i="142"/>
  <c r="AW18" i="142"/>
  <c r="AD21" i="142"/>
  <c r="AW21" i="142"/>
  <c r="AW24" i="142"/>
  <c r="AD24" i="142"/>
  <c r="AD25" i="142"/>
  <c r="AX29" i="142"/>
  <c r="AY42" i="142"/>
  <c r="AY46" i="142"/>
  <c r="AD47" i="142"/>
  <c r="AZ92" i="142"/>
  <c r="AX93" i="142"/>
  <c r="AX94" i="142"/>
  <c r="AW95" i="142"/>
  <c r="AD95" i="142"/>
  <c r="AX96" i="142"/>
  <c r="AX97" i="142"/>
  <c r="AY27" i="142"/>
  <c r="AY40" i="142"/>
  <c r="AY48" i="142"/>
  <c r="AX87" i="142"/>
  <c r="AD90" i="142"/>
  <c r="AY98" i="142"/>
  <c r="AD49" i="142"/>
  <c r="AD85" i="142"/>
  <c r="AD87" i="142"/>
  <c r="AW86" i="142"/>
  <c r="AD86" i="142"/>
  <c r="AY94" i="142"/>
  <c r="AY96" i="142"/>
  <c r="AW94" i="142"/>
  <c r="AD94" i="142"/>
  <c r="AY95" i="142"/>
  <c r="AW96" i="142"/>
  <c r="AZ97" i="142"/>
  <c r="AZ98" i="142"/>
  <c r="AX88" i="142"/>
  <c r="AW92" i="142"/>
  <c r="AX98" i="142"/>
  <c r="AX90" i="142"/>
  <c r="AZ136" i="142"/>
  <c r="AW98" i="142"/>
  <c r="AY132" i="142"/>
  <c r="AZ135" i="142"/>
  <c r="AX142" i="142"/>
  <c r="AD142" i="142"/>
  <c r="AY144" i="142"/>
  <c r="AX146" i="142"/>
  <c r="AW136" i="142"/>
  <c r="AX137" i="142"/>
  <c r="AY139" i="142"/>
  <c r="AZ140" i="142"/>
  <c r="AW142" i="142"/>
  <c r="AD132" i="142"/>
  <c r="AY138" i="142"/>
  <c r="AY142" i="142"/>
  <c r="AX143" i="142"/>
  <c r="AY136" i="142"/>
  <c r="AX140" i="142"/>
  <c r="AZ143" i="142"/>
  <c r="AX144" i="142"/>
  <c r="AZ144" i="142"/>
  <c r="AD139" i="142"/>
  <c r="AW181" i="142"/>
  <c r="AD181" i="142"/>
  <c r="AW183" i="142"/>
  <c r="AD183" i="142"/>
  <c r="AD186" i="142"/>
  <c r="AW186" i="142"/>
  <c r="AZ187" i="142"/>
  <c r="AX183" i="142"/>
  <c r="AZ185" i="142"/>
  <c r="AW191" i="142"/>
  <c r="AD191" i="142"/>
  <c r="AX191" i="142"/>
  <c r="AY235" i="142"/>
  <c r="AX187" i="142"/>
  <c r="AW189" i="142"/>
  <c r="AD189" i="142"/>
  <c r="AZ190" i="142"/>
  <c r="AX185" i="142"/>
  <c r="AY187" i="142"/>
  <c r="AX189" i="142"/>
  <c r="AZ182" i="142"/>
  <c r="AZ193" i="142"/>
  <c r="AD194" i="142"/>
  <c r="AW194" i="142"/>
  <c r="AX234" i="142"/>
  <c r="AY236" i="142"/>
  <c r="AW193" i="142"/>
  <c r="AX195" i="142"/>
  <c r="AY190" i="142"/>
  <c r="AY191" i="142"/>
  <c r="AY181" i="142"/>
  <c r="AW185" i="142"/>
  <c r="AY189" i="142"/>
  <c r="AD195" i="142"/>
  <c r="AX237" i="142"/>
  <c r="AY195" i="142"/>
  <c r="AY233" i="142"/>
  <c r="AX193" i="142"/>
  <c r="AW229" i="142"/>
  <c r="AY229" i="142"/>
  <c r="AZ235" i="142"/>
  <c r="AZ241" i="142"/>
  <c r="AX228" i="142"/>
  <c r="AZ233" i="142"/>
  <c r="AX235" i="142"/>
  <c r="AX238" i="142"/>
  <c r="AX242" i="142"/>
  <c r="AX229" i="142"/>
  <c r="AW236" i="142"/>
  <c r="AD236" i="142"/>
  <c r="AD237" i="142"/>
  <c r="AX239" i="142"/>
  <c r="AZ231" i="142"/>
  <c r="AD232" i="142"/>
  <c r="AW232" i="142"/>
  <c r="AX233" i="142"/>
  <c r="AW233" i="142"/>
  <c r="AW235" i="142"/>
  <c r="AD240" i="142"/>
  <c r="AW240" i="142"/>
  <c r="AW237" i="142"/>
  <c r="AW231" i="142"/>
  <c r="AW241" i="142"/>
  <c r="AX241" i="142"/>
  <c r="AY241" i="142"/>
  <c r="AD280" i="142"/>
  <c r="AX280" i="142"/>
  <c r="AZ278" i="142"/>
  <c r="AY279" i="142"/>
  <c r="AD279" i="142"/>
  <c r="AW279" i="142"/>
  <c r="AX285" i="142"/>
  <c r="AW290" i="142"/>
  <c r="AD290" i="142"/>
  <c r="AX276" i="142"/>
  <c r="AW276" i="142"/>
  <c r="AW278" i="142"/>
  <c r="AY286" i="142"/>
  <c r="AW289" i="142"/>
  <c r="AD289" i="142"/>
  <c r="AY276" i="142"/>
  <c r="AX277" i="142"/>
  <c r="AX278" i="142"/>
  <c r="AZ281" i="142"/>
  <c r="AW283" i="142"/>
  <c r="AD283" i="142"/>
  <c r="AY283" i="142"/>
  <c r="AY284" i="142"/>
  <c r="AZ277" i="142"/>
  <c r="AY278" i="142"/>
  <c r="AD282" i="142"/>
  <c r="AX282" i="142"/>
  <c r="AX289" i="142"/>
  <c r="AX281" i="142"/>
  <c r="AY282" i="142"/>
  <c r="AD284" i="142"/>
  <c r="AZ287" i="142"/>
  <c r="AW287" i="142"/>
  <c r="AW323" i="142"/>
  <c r="AD323" i="142"/>
  <c r="AD324" i="142"/>
  <c r="AZ325" i="142"/>
  <c r="AW326" i="142"/>
  <c r="AY327" i="142"/>
  <c r="AZ328" i="142"/>
  <c r="AX329" i="142"/>
  <c r="AZ327" i="142"/>
  <c r="AY328" i="142"/>
  <c r="AY324" i="142"/>
  <c r="AX325" i="142"/>
  <c r="AY326" i="142"/>
  <c r="AW329" i="142"/>
  <c r="AZ329" i="142"/>
  <c r="AD332" i="142"/>
  <c r="AW332" i="142"/>
  <c r="AX324" i="142"/>
  <c r="AD326" i="142"/>
  <c r="AW328" i="142"/>
  <c r="AW327" i="142"/>
  <c r="AZ331" i="142"/>
  <c r="AW335" i="142"/>
  <c r="AZ337" i="142"/>
  <c r="AX333" i="142"/>
  <c r="AY334" i="142"/>
  <c r="AZ335" i="142"/>
  <c r="AZ330" i="142"/>
  <c r="AY331" i="142"/>
  <c r="AD333" i="142"/>
  <c r="AW333" i="142"/>
  <c r="AY337" i="142"/>
  <c r="AW336" i="142"/>
  <c r="AD336" i="142"/>
  <c r="AX337" i="142"/>
  <c r="AZ132" i="142" l="1"/>
  <c r="AZ280" i="142"/>
  <c r="AZ194" i="142"/>
  <c r="AZ186" i="142"/>
  <c r="AZ142" i="142"/>
  <c r="AZ95" i="142"/>
  <c r="AZ47" i="142"/>
  <c r="AZ21" i="142"/>
  <c r="AZ46" i="142"/>
  <c r="AZ236" i="142"/>
  <c r="AZ87" i="142"/>
  <c r="AZ139" i="142"/>
  <c r="AZ282" i="142"/>
  <c r="AZ240" i="142"/>
  <c r="AZ229" i="142"/>
  <c r="AZ85" i="142"/>
  <c r="AZ49" i="142"/>
  <c r="AZ20" i="142"/>
  <c r="AZ289" i="142"/>
  <c r="AZ191" i="142"/>
  <c r="AZ232" i="142"/>
  <c r="AZ29" i="142"/>
  <c r="AZ283" i="142"/>
  <c r="AZ237" i="142"/>
  <c r="AZ181" i="142"/>
  <c r="AZ94" i="142"/>
  <c r="AZ90" i="142"/>
  <c r="AZ326" i="142"/>
  <c r="AZ333" i="142"/>
  <c r="AZ323" i="142"/>
  <c r="AZ284" i="142"/>
  <c r="AZ86" i="142"/>
  <c r="AZ25" i="142"/>
  <c r="AZ50" i="142"/>
  <c r="AZ38" i="142"/>
  <c r="AZ26" i="142"/>
  <c r="AZ279" i="142"/>
  <c r="AZ42" i="142"/>
  <c r="AZ195" i="142"/>
  <c r="AZ336" i="142"/>
  <c r="AZ324" i="142"/>
  <c r="AZ332" i="142"/>
  <c r="AZ290" i="142"/>
  <c r="AZ189" i="142"/>
  <c r="AZ183" i="142"/>
  <c r="AZ24" i="142"/>
  <c r="AZ17" i="142"/>
  <c r="AZ41" i="142"/>
  <c r="AZ28" i="142"/>
  <c r="BJ649" i="131" l="1" a="1"/>
  <c r="BJ649" i="131" s="1"/>
  <c r="BJ648" i="131" a="1"/>
  <c r="BJ648" i="131" s="1"/>
  <c r="BJ647" i="131" a="1"/>
  <c r="BJ647" i="131" s="1"/>
  <c r="BJ646" i="131" a="1"/>
  <c r="BJ646" i="131" s="1"/>
  <c r="BJ640" i="131" a="1"/>
  <c r="BJ640" i="131" s="1"/>
  <c r="BJ639" i="131" a="1"/>
  <c r="BJ639" i="131" s="1"/>
  <c r="BJ638" i="131" a="1"/>
  <c r="BJ638" i="131" s="1"/>
  <c r="BJ637" i="131" a="1"/>
  <c r="BJ637" i="131" s="1"/>
  <c r="BJ636" i="131" a="1"/>
  <c r="BJ636" i="131" s="1"/>
  <c r="BJ635" i="131" a="1"/>
  <c r="BJ635" i="131" s="1"/>
  <c r="BJ634" i="131" a="1"/>
  <c r="BJ634" i="131" s="1"/>
  <c r="BJ633" i="131" a="1"/>
  <c r="BJ633" i="131" s="1"/>
  <c r="BJ632" i="131" a="1"/>
  <c r="BJ632" i="131" s="1"/>
  <c r="BJ631" i="131" a="1"/>
  <c r="BJ631" i="131" s="1"/>
  <c r="BJ630" i="131" a="1"/>
  <c r="BJ630" i="131" s="1"/>
  <c r="BJ629" i="131" a="1"/>
  <c r="BJ629" i="131" s="1"/>
  <c r="BJ628" i="131" a="1"/>
  <c r="BJ628" i="131" s="1"/>
  <c r="BJ627" i="131" a="1"/>
  <c r="BJ627" i="131" s="1"/>
  <c r="BJ626" i="131" a="1"/>
  <c r="BJ626" i="131" s="1"/>
  <c r="BJ625" i="131" a="1"/>
  <c r="BJ625" i="131" s="1"/>
  <c r="BJ624" i="131" a="1"/>
  <c r="BJ624" i="131" s="1"/>
  <c r="BJ623" i="131" a="1"/>
  <c r="BJ623" i="131" s="1"/>
  <c r="BJ622" i="131" a="1"/>
  <c r="BJ622" i="131" s="1"/>
  <c r="BJ621" i="131" a="1"/>
  <c r="BJ621" i="131" s="1"/>
  <c r="BJ620" i="131" a="1"/>
  <c r="BJ620" i="131" s="1"/>
  <c r="BJ619" i="131" a="1"/>
  <c r="BJ619" i="131" s="1"/>
  <c r="BJ618" i="131" a="1"/>
  <c r="BJ618" i="131" s="1"/>
  <c r="BJ617" i="131" a="1"/>
  <c r="BJ617" i="131" s="1"/>
  <c r="BJ616" i="131" a="1"/>
  <c r="BJ616" i="131" s="1"/>
  <c r="BJ615" i="131" a="1"/>
  <c r="BJ615" i="131" s="1"/>
  <c r="BJ614" i="131" a="1"/>
  <c r="BJ614" i="131" s="1"/>
  <c r="BJ613" i="131" a="1"/>
  <c r="BJ613" i="131" s="1"/>
  <c r="BJ612" i="131" a="1"/>
  <c r="BJ612" i="131" s="1"/>
  <c r="BJ611" i="131" a="1"/>
  <c r="BJ611" i="131" s="1"/>
  <c r="BJ610" i="131" a="1"/>
  <c r="BJ610" i="131" s="1"/>
  <c r="BJ609" i="131" a="1"/>
  <c r="BJ609" i="131" s="1"/>
  <c r="BJ608" i="131" a="1"/>
  <c r="BJ608" i="131" s="1"/>
  <c r="BJ607" i="131" a="1"/>
  <c r="BJ607" i="131" s="1"/>
  <c r="BJ606" i="131" a="1"/>
  <c r="BJ606" i="131" s="1"/>
  <c r="BJ605" i="131" a="1"/>
  <c r="BJ605" i="131" s="1"/>
  <c r="BJ604" i="131" a="1"/>
  <c r="BJ604" i="131" s="1"/>
  <c r="BJ603" i="131" a="1"/>
  <c r="BJ603" i="131" s="1"/>
  <c r="BJ602" i="131" a="1"/>
  <c r="BJ602" i="131" s="1"/>
  <c r="BJ601" i="131" a="1"/>
  <c r="BJ601" i="131" s="1"/>
  <c r="BJ600" i="131" a="1"/>
  <c r="BJ600" i="131" s="1"/>
  <c r="BJ599" i="131" a="1"/>
  <c r="BJ599" i="131" s="1"/>
  <c r="BJ598" i="131" a="1"/>
  <c r="BJ598" i="131" s="1"/>
  <c r="BJ597" i="131" a="1"/>
  <c r="BJ597" i="131" s="1"/>
  <c r="BJ596" i="131" a="1"/>
  <c r="BJ596" i="131" s="1"/>
  <c r="BJ595" i="131" a="1"/>
  <c r="BJ595" i="131" s="1"/>
  <c r="BJ594" i="131" a="1"/>
  <c r="BJ594" i="131" s="1"/>
  <c r="BJ593" i="131" a="1"/>
  <c r="BJ593" i="131" s="1"/>
  <c r="BJ592" i="131" a="1"/>
  <c r="BJ592" i="131" s="1"/>
  <c r="BJ591" i="131" a="1"/>
  <c r="BJ591" i="131" s="1"/>
  <c r="BJ590" i="131" a="1"/>
  <c r="BJ590" i="131" s="1"/>
  <c r="BJ589" i="131" a="1"/>
  <c r="BJ589" i="131" s="1"/>
  <c r="BJ588" i="131" a="1"/>
  <c r="BJ588" i="131" s="1"/>
  <c r="BJ587" i="131" a="1"/>
  <c r="BJ587" i="131" s="1"/>
  <c r="BJ586" i="131" a="1"/>
  <c r="BJ586" i="131" s="1"/>
  <c r="BJ585" i="131" a="1"/>
  <c r="BJ585" i="131" s="1"/>
  <c r="BJ584" i="131" a="1"/>
  <c r="BJ584" i="131" s="1"/>
  <c r="BJ583" i="131" a="1"/>
  <c r="BJ583" i="131" s="1"/>
  <c r="BJ582" i="131" a="1"/>
  <c r="BJ582" i="131" s="1"/>
  <c r="BJ576" i="131" a="1"/>
  <c r="BJ576" i="131" s="1"/>
  <c r="BJ575" i="131" a="1"/>
  <c r="BJ575" i="131" s="1"/>
  <c r="BJ574" i="131" a="1"/>
  <c r="BJ574" i="131" s="1"/>
  <c r="BJ573" i="131" a="1"/>
  <c r="BJ573" i="131" s="1"/>
  <c r="BJ572" i="131" a="1"/>
  <c r="BJ572" i="131" s="1"/>
  <c r="BJ571" i="131" a="1"/>
  <c r="BJ571" i="131" s="1"/>
  <c r="BJ570" i="131" a="1"/>
  <c r="BJ570" i="131" s="1"/>
  <c r="BJ569" i="131" a="1"/>
  <c r="BJ569" i="131" s="1"/>
  <c r="BJ568" i="131" a="1"/>
  <c r="BJ568" i="131" s="1"/>
  <c r="BJ567" i="131" a="1"/>
  <c r="BJ567" i="131" s="1"/>
  <c r="BJ566" i="131" a="1"/>
  <c r="BJ566" i="131" s="1"/>
  <c r="BJ565" i="131" a="1"/>
  <c r="BJ565" i="131" s="1"/>
  <c r="BJ564" i="131" a="1"/>
  <c r="BJ564" i="131" s="1"/>
  <c r="BJ563" i="131" a="1"/>
  <c r="BJ563" i="131" s="1"/>
  <c r="BJ542" i="131" a="1"/>
  <c r="BJ542" i="131" s="1"/>
  <c r="BJ541" i="131" a="1"/>
  <c r="BJ541" i="131" s="1"/>
  <c r="BJ540" i="131" a="1"/>
  <c r="BJ540" i="131" s="1"/>
  <c r="BJ539" i="131" a="1"/>
  <c r="BJ539" i="131" s="1"/>
  <c r="BJ538" i="131" a="1"/>
  <c r="BJ538" i="131" s="1"/>
  <c r="BJ531" i="131" a="1"/>
  <c r="BJ531" i="131" s="1"/>
  <c r="BJ530" i="131" a="1"/>
  <c r="BJ530" i="131" s="1"/>
  <c r="BJ529" i="131" a="1"/>
  <c r="BJ529" i="131" s="1"/>
  <c r="BJ528" i="131" a="1"/>
  <c r="BJ528" i="131" s="1"/>
  <c r="BJ527" i="131" a="1"/>
  <c r="BJ527" i="131" s="1"/>
  <c r="BJ526" i="131" a="1"/>
  <c r="BJ526" i="131" s="1"/>
  <c r="BJ525" i="131" a="1"/>
  <c r="BJ525" i="131" s="1"/>
  <c r="BJ524" i="131" a="1"/>
  <c r="BJ524" i="131" s="1"/>
  <c r="BJ523" i="131" a="1"/>
  <c r="BJ523" i="131" s="1"/>
  <c r="BJ522" i="131" a="1"/>
  <c r="BJ522" i="131" s="1"/>
  <c r="BJ521" i="131" a="1"/>
  <c r="BJ521" i="131" s="1"/>
  <c r="BJ520" i="131" a="1"/>
  <c r="BJ520" i="131" s="1"/>
  <c r="BJ519" i="131" a="1"/>
  <c r="BJ519" i="131" s="1"/>
  <c r="BJ518" i="131" a="1"/>
  <c r="BJ518" i="131" s="1"/>
  <c r="BJ517" i="131" a="1"/>
  <c r="BJ517" i="131" s="1"/>
  <c r="BJ516" i="131" a="1"/>
  <c r="BJ516" i="131" s="1"/>
  <c r="BJ515" i="131" a="1"/>
  <c r="BJ515" i="131" s="1"/>
  <c r="BJ514" i="131" a="1"/>
  <c r="BJ514" i="131" s="1"/>
  <c r="BJ513" i="131" a="1"/>
  <c r="BJ513" i="131" s="1"/>
  <c r="BJ512" i="131" a="1"/>
  <c r="BJ512" i="131" s="1"/>
  <c r="BJ511" i="131" a="1"/>
  <c r="BJ511" i="131" s="1"/>
  <c r="BJ510" i="131" a="1"/>
  <c r="BJ510" i="131" s="1"/>
  <c r="BJ509" i="131" a="1"/>
  <c r="BJ509" i="131" s="1"/>
  <c r="BJ508" i="131" a="1"/>
  <c r="BJ508" i="131" s="1"/>
  <c r="BJ507" i="131" a="1"/>
  <c r="BJ507" i="131" s="1"/>
  <c r="BJ506" i="131" a="1"/>
  <c r="BJ506" i="131" s="1"/>
  <c r="BJ505" i="131" a="1"/>
  <c r="BJ505" i="131" s="1"/>
  <c r="BJ504" i="131" a="1"/>
  <c r="BJ504" i="131" s="1"/>
  <c r="BJ503" i="131" a="1"/>
  <c r="BJ503" i="131" s="1"/>
  <c r="BJ502" i="131" a="1"/>
  <c r="BJ502" i="131" s="1"/>
  <c r="BJ501" i="131" a="1"/>
  <c r="BJ501" i="131" s="1"/>
  <c r="BJ500" i="131" a="1"/>
  <c r="BJ500" i="131" s="1"/>
  <c r="BJ499" i="131" a="1"/>
  <c r="BJ499" i="131" s="1"/>
  <c r="BJ498" i="131" a="1"/>
  <c r="BJ498" i="131" s="1"/>
  <c r="BJ497" i="131" a="1"/>
  <c r="BJ497" i="131" s="1"/>
  <c r="BJ496" i="131" a="1"/>
  <c r="BJ496" i="131" s="1"/>
  <c r="BJ495" i="131" a="1"/>
  <c r="BJ495" i="131" s="1"/>
  <c r="BJ494" i="131" a="1"/>
  <c r="BJ494" i="131" s="1"/>
  <c r="BJ493" i="131" a="1"/>
  <c r="BJ493" i="131" s="1"/>
  <c r="BJ492" i="131" a="1"/>
  <c r="BJ492" i="131" s="1"/>
  <c r="BJ491" i="131" a="1"/>
  <c r="BJ491" i="131" s="1"/>
  <c r="BJ490" i="131" a="1"/>
  <c r="BJ490" i="131" s="1"/>
  <c r="BJ489" i="131" a="1"/>
  <c r="BJ489" i="131" s="1"/>
  <c r="BJ488" i="131" a="1"/>
  <c r="BJ488" i="131" s="1"/>
  <c r="BJ487" i="131" a="1"/>
  <c r="BJ487" i="131" s="1"/>
  <c r="BJ486" i="131" a="1"/>
  <c r="BJ486" i="131" s="1"/>
  <c r="BJ485" i="131" a="1"/>
  <c r="BJ485" i="131" s="1"/>
  <c r="BJ484" i="131" a="1"/>
  <c r="BJ484" i="131" s="1"/>
  <c r="BJ483" i="131" a="1"/>
  <c r="BJ483" i="131" s="1"/>
  <c r="BJ482" i="131" a="1"/>
  <c r="BJ482" i="131" s="1"/>
  <c r="BJ475" i="131" a="1"/>
  <c r="BJ475" i="131" s="1"/>
  <c r="BJ474" i="131" a="1"/>
  <c r="BJ474" i="131" s="1"/>
  <c r="BJ473" i="131" a="1"/>
  <c r="BJ473" i="131" s="1"/>
  <c r="BJ472" i="131" a="1"/>
  <c r="BJ472" i="131" s="1"/>
  <c r="BJ471" i="131" a="1"/>
  <c r="BJ471" i="131" s="1"/>
  <c r="BJ470" i="131" a="1"/>
  <c r="BJ470" i="131" s="1"/>
  <c r="BJ469" i="131" a="1"/>
  <c r="BJ469" i="131" s="1"/>
  <c r="BJ468" i="131" a="1"/>
  <c r="BJ468" i="131" s="1"/>
  <c r="BJ467" i="131" a="1"/>
  <c r="BJ467" i="131" s="1"/>
  <c r="BJ466" i="131" a="1"/>
  <c r="BJ466" i="131" s="1"/>
  <c r="BJ465" i="131" a="1"/>
  <c r="BJ465" i="131" s="1"/>
  <c r="BJ464" i="131" a="1"/>
  <c r="BJ464" i="131" s="1"/>
  <c r="BJ463" i="131" a="1"/>
  <c r="BJ463" i="131" s="1"/>
  <c r="BJ462" i="131" a="1"/>
  <c r="BJ462" i="131" s="1"/>
  <c r="BJ455" i="131" a="1"/>
  <c r="BJ455" i="131" s="1"/>
  <c r="BJ454" i="131" a="1"/>
  <c r="BJ454" i="131" s="1"/>
  <c r="BJ453" i="131" a="1"/>
  <c r="BJ453" i="131" s="1"/>
  <c r="BJ452" i="131" a="1"/>
  <c r="BJ452" i="131" s="1"/>
  <c r="BJ451" i="131" a="1"/>
  <c r="BJ451" i="131" s="1"/>
  <c r="BJ435" i="131" a="1"/>
  <c r="BJ435" i="131" s="1"/>
  <c r="BJ434" i="131" a="1"/>
  <c r="BJ434" i="131" s="1"/>
  <c r="BJ433" i="131" a="1"/>
  <c r="BJ433" i="131" s="1"/>
  <c r="BJ432" i="131" a="1"/>
  <c r="BJ432" i="131" s="1"/>
  <c r="BJ431" i="131" a="1"/>
  <c r="BJ431" i="131" s="1"/>
  <c r="BJ416" i="131" a="1"/>
  <c r="BJ416" i="131" s="1"/>
  <c r="BJ415" i="131" a="1"/>
  <c r="BJ415" i="131" s="1"/>
  <c r="BJ414" i="131" a="1"/>
  <c r="BJ414" i="131" s="1"/>
  <c r="BJ413" i="131" a="1"/>
  <c r="BJ413" i="131" s="1"/>
  <c r="BJ398" i="131" a="1"/>
  <c r="BJ398" i="131" s="1"/>
  <c r="BJ397" i="131" a="1"/>
  <c r="BJ397" i="131" s="1"/>
  <c r="BJ396" i="131" a="1"/>
  <c r="BJ396" i="131" s="1"/>
  <c r="BJ395" i="131" a="1"/>
  <c r="BJ395" i="131" s="1"/>
  <c r="BJ394" i="131" a="1"/>
  <c r="BJ394" i="131" s="1"/>
  <c r="BJ393" i="131" a="1"/>
  <c r="BJ393" i="131" s="1"/>
  <c r="BJ392" i="131" a="1"/>
  <c r="BJ392" i="131" s="1"/>
  <c r="BJ391" i="131" a="1"/>
  <c r="BJ391" i="131" s="1"/>
  <c r="BJ390" i="131" a="1"/>
  <c r="BJ390" i="131" s="1"/>
  <c r="BJ389" i="131" a="1"/>
  <c r="BJ389" i="131" s="1"/>
  <c r="BJ388" i="131" a="1"/>
  <c r="BJ388" i="131" s="1"/>
  <c r="BJ387" i="131" a="1"/>
  <c r="BJ387" i="131" s="1"/>
  <c r="BJ386" i="131" a="1"/>
  <c r="BJ386" i="131" s="1"/>
  <c r="BJ385" i="131" a="1"/>
  <c r="BJ385" i="131" s="1"/>
  <c r="BJ384" i="131" a="1"/>
  <c r="BJ384" i="131" s="1"/>
  <c r="BJ383" i="131" a="1"/>
  <c r="BJ383" i="131" s="1"/>
  <c r="BJ382" i="131" a="1"/>
  <c r="BJ382" i="131" s="1"/>
  <c r="BJ381" i="131" a="1"/>
  <c r="BJ381" i="131" s="1"/>
  <c r="BJ380" i="131" a="1"/>
  <c r="BJ380" i="131" s="1"/>
  <c r="BJ379" i="131" a="1"/>
  <c r="BJ379" i="131" s="1"/>
  <c r="BJ378" i="131" a="1"/>
  <c r="BJ378" i="131" s="1"/>
  <c r="BJ377" i="131" a="1"/>
  <c r="BJ377" i="131" s="1"/>
  <c r="BJ376" i="131" a="1"/>
  <c r="BJ376" i="131" s="1"/>
  <c r="BJ375" i="131" a="1"/>
  <c r="BJ375" i="131" s="1"/>
  <c r="BJ360" i="131" a="1"/>
  <c r="BJ360" i="131" s="1"/>
  <c r="BJ359" i="131" a="1"/>
  <c r="BJ359" i="131" s="1"/>
  <c r="BJ358" i="131" a="1"/>
  <c r="BJ358" i="131" s="1"/>
  <c r="BJ357" i="131" a="1"/>
  <c r="BJ357" i="131" s="1"/>
  <c r="BJ356" i="131" a="1"/>
  <c r="BJ356" i="131" s="1"/>
  <c r="BJ355" i="131" a="1"/>
  <c r="BJ355" i="131" s="1"/>
  <c r="BJ354" i="131" a="1"/>
  <c r="BJ354" i="131" s="1"/>
  <c r="BJ353" i="131" a="1"/>
  <c r="BJ353" i="131" s="1"/>
  <c r="BJ352" i="131" a="1"/>
  <c r="BJ352" i="131" s="1"/>
  <c r="BJ351" i="131" a="1"/>
  <c r="BJ351" i="131" s="1"/>
  <c r="BJ326" i="131" a="1"/>
  <c r="BJ326" i="131" s="1"/>
  <c r="BJ325" i="131" a="1"/>
  <c r="BJ325" i="131" s="1"/>
  <c r="BJ324" i="131" a="1"/>
  <c r="BJ324" i="131" s="1"/>
  <c r="BJ323" i="131" a="1"/>
  <c r="BJ323" i="131" s="1"/>
  <c r="BJ322" i="131" a="1"/>
  <c r="BJ322" i="131" s="1"/>
  <c r="BJ318" i="131" a="1"/>
  <c r="BJ318" i="131" s="1"/>
  <c r="BJ317" i="131" a="1"/>
  <c r="BJ317" i="131" s="1"/>
  <c r="BJ316" i="131" a="1"/>
  <c r="BJ316" i="131" s="1"/>
  <c r="BJ315" i="131" a="1"/>
  <c r="BJ315" i="131" s="1"/>
  <c r="BJ314" i="131" a="1"/>
  <c r="BJ314" i="131" s="1"/>
  <c r="BJ313" i="131" a="1"/>
  <c r="BJ313" i="131" s="1"/>
  <c r="BJ312" i="131" a="1"/>
  <c r="BJ312" i="131" s="1"/>
  <c r="BJ311" i="131" a="1"/>
  <c r="BJ311" i="131" s="1"/>
  <c r="BJ310" i="131" a="1"/>
  <c r="BJ310" i="131" s="1"/>
  <c r="BJ309" i="131" a="1"/>
  <c r="BJ309" i="131" s="1"/>
  <c r="BJ308" i="131" a="1"/>
  <c r="BJ308" i="131" s="1"/>
  <c r="BJ307" i="131" a="1"/>
  <c r="BJ307" i="131" s="1"/>
  <c r="BJ306" i="131" a="1"/>
  <c r="BJ306" i="131" s="1"/>
  <c r="BJ305" i="131" a="1"/>
  <c r="BJ305" i="131" s="1"/>
  <c r="BJ304" i="131" a="1"/>
  <c r="BJ304" i="131" s="1"/>
  <c r="BJ303" i="131" a="1"/>
  <c r="BJ303" i="131" s="1"/>
  <c r="BJ302" i="131" a="1"/>
  <c r="BJ302" i="131" s="1"/>
  <c r="BJ301" i="131" a="1"/>
  <c r="BJ301" i="131" s="1"/>
  <c r="BJ300" i="131" a="1"/>
  <c r="BJ300" i="131" s="1"/>
  <c r="BJ299" i="131" a="1"/>
  <c r="BJ299" i="131" s="1"/>
  <c r="BJ298" i="131" a="1"/>
  <c r="BJ298" i="131" s="1"/>
  <c r="BJ297" i="131" a="1"/>
  <c r="BJ297" i="131" s="1"/>
  <c r="BJ296" i="131" a="1"/>
  <c r="BJ296" i="131" s="1"/>
  <c r="BJ295" i="131" a="1"/>
  <c r="BJ295" i="131" s="1"/>
  <c r="BJ294" i="131" a="1"/>
  <c r="BJ294" i="131" s="1"/>
  <c r="BJ293" i="131" a="1"/>
  <c r="BJ293" i="131" s="1"/>
  <c r="BJ292" i="131" a="1"/>
  <c r="BJ292" i="131" s="1"/>
  <c r="BJ291" i="131" a="1"/>
  <c r="BJ291" i="131" s="1"/>
  <c r="BJ290" i="131" a="1"/>
  <c r="BJ290" i="131" s="1"/>
  <c r="BJ289" i="131" a="1"/>
  <c r="BJ289" i="131" s="1"/>
  <c r="BJ288" i="131" a="1"/>
  <c r="BJ288" i="131" s="1"/>
  <c r="BJ287" i="131" a="1"/>
  <c r="BJ287" i="131" s="1"/>
  <c r="BJ286" i="131" a="1"/>
  <c r="BJ286" i="131" s="1"/>
  <c r="BJ285" i="131" a="1"/>
  <c r="BJ285" i="131" s="1"/>
  <c r="BJ284" i="131" a="1"/>
  <c r="BJ284" i="131" s="1"/>
  <c r="BJ283" i="131" a="1"/>
  <c r="BJ283" i="131" s="1"/>
  <c r="BJ282" i="131" a="1"/>
  <c r="BJ282" i="131" s="1"/>
  <c r="BJ281" i="131" a="1"/>
  <c r="BJ281" i="131" s="1"/>
  <c r="BJ280" i="131" a="1"/>
  <c r="BJ280" i="131" s="1"/>
  <c r="BJ279" i="131" a="1"/>
  <c r="BJ279" i="131" s="1"/>
  <c r="BJ278" i="131" a="1"/>
  <c r="BJ278" i="131" s="1"/>
  <c r="BJ277" i="131" a="1"/>
  <c r="BJ277" i="131" s="1"/>
  <c r="BJ276" i="131" a="1"/>
  <c r="BJ276" i="131" s="1"/>
  <c r="BJ275" i="131" a="1"/>
  <c r="BJ275" i="131" s="1"/>
  <c r="BJ274" i="131" a="1"/>
  <c r="BJ274" i="131" s="1"/>
  <c r="BJ273" i="131" a="1"/>
  <c r="BJ273" i="131" s="1"/>
  <c r="BJ272" i="131" a="1"/>
  <c r="BJ272" i="131" s="1"/>
  <c r="BJ271" i="131" a="1"/>
  <c r="BJ271" i="131" s="1"/>
  <c r="BJ270" i="131" a="1"/>
  <c r="BJ270" i="131" s="1"/>
  <c r="BJ269" i="131" a="1"/>
  <c r="BJ269" i="131" s="1"/>
  <c r="BJ268" i="131" a="1"/>
  <c r="BJ268" i="131" s="1"/>
  <c r="BJ267" i="131" a="1"/>
  <c r="BJ267" i="131" s="1"/>
  <c r="BJ266" i="131" a="1"/>
  <c r="BJ266" i="131" s="1"/>
  <c r="BJ265" i="131" a="1"/>
  <c r="BJ265" i="131" s="1"/>
  <c r="BJ264" i="131" a="1"/>
  <c r="BJ264" i="131" s="1"/>
  <c r="BJ263" i="131" a="1"/>
  <c r="BJ263" i="131" s="1"/>
  <c r="BJ262" i="131" a="1"/>
  <c r="BJ262" i="131" s="1"/>
  <c r="BJ261" i="131" a="1"/>
  <c r="BJ261" i="131" s="1"/>
  <c r="BJ260" i="131" a="1"/>
  <c r="BJ260" i="131" s="1"/>
  <c r="BJ259" i="131" a="1"/>
  <c r="BJ259" i="131" s="1"/>
  <c r="BJ258" i="131" a="1"/>
  <c r="BJ258" i="131" s="1"/>
  <c r="BJ257" i="131" a="1"/>
  <c r="BJ257" i="131" s="1"/>
  <c r="BJ256" i="131" a="1"/>
  <c r="BJ256" i="131" s="1"/>
  <c r="BJ255" i="131" a="1"/>
  <c r="BJ255" i="131" s="1"/>
  <c r="BJ254" i="131" a="1"/>
  <c r="BJ254" i="131" s="1"/>
  <c r="BJ253" i="131" a="1"/>
  <c r="BJ253" i="131" s="1"/>
  <c r="BJ252" i="131" a="1"/>
  <c r="BJ252" i="131" s="1"/>
  <c r="BJ251" i="131" a="1"/>
  <c r="BJ251" i="131" s="1"/>
  <c r="BJ250" i="131" a="1"/>
  <c r="BJ250" i="131" s="1"/>
  <c r="BJ249" i="131" a="1"/>
  <c r="BJ249" i="131" s="1"/>
  <c r="BJ248" i="131" a="1"/>
  <c r="BJ248" i="131" s="1"/>
  <c r="BJ244" i="131" a="1"/>
  <c r="BJ244" i="131" s="1"/>
  <c r="BJ243" i="131" a="1"/>
  <c r="BJ243" i="131" s="1"/>
  <c r="BJ242" i="131" a="1"/>
  <c r="BJ242" i="131" s="1"/>
  <c r="BJ241" i="131" a="1"/>
  <c r="BJ241" i="131" s="1"/>
  <c r="BJ240" i="131" a="1"/>
  <c r="BJ240" i="131" s="1"/>
  <c r="BJ239" i="131" a="1"/>
  <c r="BJ239" i="131" s="1"/>
  <c r="BJ238" i="131" a="1"/>
  <c r="BJ238" i="131" s="1"/>
  <c r="BJ237" i="131" a="1"/>
  <c r="BJ237" i="131" s="1"/>
  <c r="BJ236" i="131" a="1"/>
  <c r="BJ236" i="131" s="1"/>
  <c r="BJ235" i="131" a="1"/>
  <c r="BJ235" i="131" s="1"/>
  <c r="BJ234" i="131" a="1"/>
  <c r="BJ234" i="131" s="1"/>
  <c r="BJ220" i="131" a="1"/>
  <c r="BJ220" i="131" s="1"/>
  <c r="BJ219" i="131" a="1"/>
  <c r="BJ219" i="131" s="1"/>
  <c r="BJ218" i="131" a="1"/>
  <c r="BJ218" i="131" s="1"/>
  <c r="BJ217" i="131" a="1"/>
  <c r="BJ217" i="131" s="1"/>
  <c r="BJ216" i="131" a="1"/>
  <c r="BJ216" i="131" s="1"/>
  <c r="BJ215" i="131" a="1"/>
  <c r="BJ215" i="131" s="1"/>
  <c r="BJ214" i="131" a="1"/>
  <c r="BJ214" i="131" s="1"/>
  <c r="BJ213" i="131" a="1"/>
  <c r="BJ213" i="131" s="1"/>
  <c r="BJ212" i="131" a="1"/>
  <c r="BJ212" i="131" s="1"/>
  <c r="BJ211" i="131" a="1"/>
  <c r="BJ211" i="131" s="1"/>
  <c r="BJ210" i="131" a="1"/>
  <c r="BJ210" i="131" s="1"/>
  <c r="BJ209" i="131" a="1"/>
  <c r="BJ209" i="131" s="1"/>
  <c r="BJ208" i="131" a="1"/>
  <c r="BJ208" i="131" s="1"/>
  <c r="BJ207" i="131" a="1"/>
  <c r="BJ207" i="131" s="1"/>
  <c r="BJ206" i="131" a="1"/>
  <c r="BJ206" i="131" s="1"/>
  <c r="BJ205" i="131" a="1"/>
  <c r="BJ205" i="131" s="1"/>
  <c r="BJ204" i="131" a="1"/>
  <c r="BJ204" i="131" s="1"/>
  <c r="BJ202" i="131" a="1"/>
  <c r="BJ202" i="131" s="1"/>
  <c r="BJ201" i="131" a="1"/>
  <c r="BJ201" i="131" s="1"/>
  <c r="BJ200" i="131" a="1"/>
  <c r="BJ200" i="131" s="1"/>
  <c r="BJ199" i="131" a="1"/>
  <c r="BJ199" i="131" s="1"/>
  <c r="BJ198" i="131" a="1"/>
  <c r="BJ198" i="131" s="1"/>
  <c r="BJ197" i="131" a="1"/>
  <c r="BJ197" i="131" s="1"/>
  <c r="BJ196" i="131" a="1"/>
  <c r="BJ196" i="131" s="1"/>
  <c r="BJ195" i="131" a="1"/>
  <c r="BJ195" i="131" s="1"/>
  <c r="BJ194" i="131" a="1"/>
  <c r="BJ194" i="131" s="1"/>
  <c r="BJ193" i="131" a="1"/>
  <c r="BJ193" i="131" s="1"/>
  <c r="K6" i="133" l="1"/>
  <c r="Q21" i="139"/>
  <c r="Q25" i="139"/>
  <c r="Q20" i="139"/>
  <c r="Q24" i="139"/>
  <c r="Q19" i="139"/>
  <c r="Q23" i="139"/>
  <c r="Q18" i="139"/>
  <c r="Q22" i="139"/>
  <c r="Q17" i="139"/>
  <c r="Q16" i="139"/>
  <c r="Q15" i="139"/>
  <c r="Q14" i="139"/>
  <c r="Q16" i="98"/>
  <c r="Q20" i="98"/>
  <c r="Q15" i="98"/>
  <c r="Q19" i="98"/>
  <c r="Q18" i="98"/>
  <c r="Q14" i="98"/>
  <c r="AI202" i="136"/>
  <c r="AI201" i="136"/>
  <c r="AI200" i="136"/>
  <c r="AI199" i="136"/>
  <c r="AI198" i="136"/>
  <c r="AI197" i="136"/>
  <c r="AI196" i="136"/>
  <c r="AI195" i="136"/>
  <c r="AI194" i="136"/>
  <c r="AI193" i="136"/>
  <c r="AI192" i="136"/>
  <c r="AI191" i="136"/>
  <c r="AI190" i="136"/>
  <c r="AI189" i="136"/>
  <c r="AI188" i="136"/>
  <c r="AI187" i="136"/>
  <c r="AI186" i="136"/>
  <c r="AI185" i="136"/>
  <c r="AI184" i="136"/>
  <c r="AI183" i="136"/>
  <c r="AI182" i="136"/>
  <c r="AI181" i="136"/>
  <c r="AI180" i="136"/>
  <c r="AI179" i="136"/>
  <c r="AI178" i="136"/>
  <c r="AI177" i="136"/>
  <c r="AI176" i="136"/>
  <c r="AI175" i="136"/>
  <c r="AI174" i="136"/>
  <c r="AI173" i="136"/>
  <c r="AI172" i="136"/>
  <c r="AI171" i="136"/>
  <c r="AI170" i="136"/>
  <c r="AI169" i="136"/>
  <c r="AI168" i="136"/>
  <c r="AI167" i="136"/>
  <c r="AI166" i="136"/>
  <c r="AI165" i="136"/>
  <c r="AI164" i="136"/>
  <c r="AI163" i="136"/>
  <c r="AI162" i="136"/>
  <c r="AI161" i="136"/>
  <c r="AI160" i="136"/>
  <c r="AI159" i="136"/>
  <c r="AI158" i="136"/>
  <c r="AI157" i="136"/>
  <c r="AI156" i="136"/>
  <c r="AI155" i="136"/>
  <c r="AI154" i="136"/>
  <c r="AI153" i="136"/>
  <c r="AI152" i="136"/>
  <c r="AI151" i="136"/>
  <c r="AI150" i="136"/>
  <c r="AI149" i="136"/>
  <c r="AI148" i="136"/>
  <c r="AI147" i="136"/>
  <c r="AI146" i="136"/>
  <c r="AI145" i="136"/>
  <c r="AI144" i="136"/>
  <c r="AI143" i="136"/>
  <c r="AI142" i="136"/>
  <c r="AI141" i="136"/>
  <c r="AI140" i="136"/>
  <c r="AI139" i="136"/>
  <c r="AI138" i="136"/>
  <c r="AI137" i="136"/>
  <c r="AI136" i="136"/>
  <c r="AI135" i="136"/>
  <c r="AI134" i="136"/>
  <c r="AI133" i="136"/>
  <c r="AI132" i="136"/>
  <c r="AI131" i="136"/>
  <c r="AI130" i="136"/>
  <c r="AI129" i="136"/>
  <c r="AI128" i="136"/>
  <c r="AI127" i="136"/>
  <c r="AI126" i="136"/>
  <c r="AI125" i="136"/>
  <c r="AI124" i="136"/>
  <c r="AI123" i="136"/>
  <c r="AI122" i="136"/>
  <c r="AI121" i="136"/>
  <c r="AI120" i="136"/>
  <c r="AI119" i="136"/>
  <c r="AI118" i="136"/>
  <c r="AI117" i="136"/>
  <c r="AI116" i="136"/>
  <c r="AI115" i="136"/>
  <c r="AI114" i="136"/>
  <c r="AI113" i="136"/>
  <c r="AI112" i="136"/>
  <c r="AI111" i="136"/>
  <c r="AI110" i="136"/>
  <c r="AI109" i="136"/>
  <c r="AI108" i="136"/>
  <c r="AI107" i="136"/>
  <c r="AI106" i="136"/>
  <c r="AI105" i="136"/>
  <c r="AI104" i="136"/>
  <c r="AI103" i="136"/>
  <c r="AI102" i="136"/>
  <c r="AI101" i="136"/>
  <c r="AI100" i="136"/>
  <c r="AI99" i="136"/>
  <c r="AI98" i="136"/>
  <c r="AI97" i="136"/>
  <c r="AI96" i="136"/>
  <c r="AI95" i="136"/>
  <c r="AI94" i="136"/>
  <c r="AI93" i="136"/>
  <c r="AI92" i="136"/>
  <c r="AI91" i="136"/>
  <c r="AI90" i="136"/>
  <c r="AI89" i="136"/>
  <c r="AI88" i="136"/>
  <c r="AI87" i="136"/>
  <c r="AI86" i="136"/>
  <c r="AI85" i="136"/>
  <c r="AI84" i="136"/>
  <c r="AI83" i="136"/>
  <c r="AI82" i="136"/>
  <c r="AI81" i="136"/>
  <c r="AI80" i="136"/>
  <c r="AI79" i="136"/>
  <c r="AI78" i="136"/>
  <c r="AI77" i="136"/>
  <c r="AI76" i="136"/>
  <c r="AI75" i="136"/>
  <c r="AI74" i="136"/>
  <c r="AI73" i="136"/>
  <c r="AI72" i="136"/>
  <c r="AI71" i="136"/>
  <c r="AI70" i="136"/>
  <c r="AI69" i="136"/>
  <c r="AI68" i="136"/>
  <c r="AI67" i="136"/>
  <c r="AI66" i="136"/>
  <c r="AI65" i="136"/>
  <c r="AI64" i="136"/>
  <c r="AI63" i="136"/>
  <c r="AI62" i="136"/>
  <c r="AI61" i="136"/>
  <c r="AI60" i="136"/>
  <c r="AI59" i="136"/>
  <c r="AI58" i="136"/>
  <c r="AI57" i="136"/>
  <c r="AI56" i="136"/>
  <c r="AI55" i="136"/>
  <c r="AI54" i="136"/>
  <c r="AI53" i="136"/>
  <c r="AI52" i="136"/>
  <c r="AI51" i="136"/>
  <c r="AI50" i="136"/>
  <c r="AI49" i="136"/>
  <c r="AI48" i="136"/>
  <c r="AI47" i="136"/>
  <c r="AI46" i="136"/>
  <c r="AI45" i="136"/>
  <c r="AI44" i="136"/>
  <c r="AI43" i="136"/>
  <c r="AI42" i="136"/>
  <c r="AI41" i="136"/>
  <c r="AI40" i="136"/>
  <c r="AI39" i="136"/>
  <c r="AI38" i="136"/>
  <c r="AI37" i="136"/>
  <c r="AI36" i="136"/>
  <c r="AI35" i="136"/>
  <c r="AI34" i="136"/>
  <c r="AI33" i="136"/>
  <c r="AI32" i="136"/>
  <c r="AI31" i="136"/>
  <c r="AI30" i="136"/>
  <c r="AI29" i="136"/>
  <c r="AI28" i="136"/>
  <c r="AI27" i="136"/>
  <c r="AI26" i="136"/>
  <c r="AI25" i="136"/>
  <c r="AI24" i="136"/>
  <c r="AI23" i="136"/>
  <c r="AI22" i="136"/>
  <c r="AI21" i="136"/>
  <c r="AI20" i="136"/>
  <c r="AI19" i="136"/>
  <c r="AI18" i="136"/>
  <c r="AI17" i="136"/>
  <c r="AI16" i="136"/>
  <c r="AI15" i="136"/>
  <c r="AI14" i="136"/>
  <c r="AI13" i="136"/>
  <c r="AI12" i="136"/>
  <c r="AI11" i="136"/>
  <c r="AI10" i="136"/>
  <c r="AI9" i="136"/>
  <c r="AI8" i="136"/>
  <c r="AI7" i="136"/>
  <c r="AI6" i="136"/>
  <c r="AI5" i="136"/>
  <c r="AD202" i="136"/>
  <c r="AD201" i="136"/>
  <c r="AD200" i="136"/>
  <c r="AD199" i="136"/>
  <c r="AD198" i="136"/>
  <c r="AD197" i="136"/>
  <c r="AD196" i="136"/>
  <c r="AD195" i="136"/>
  <c r="AD194" i="136"/>
  <c r="AD193" i="136"/>
  <c r="AD192" i="136"/>
  <c r="AD191" i="136"/>
  <c r="AD190" i="136"/>
  <c r="AD189" i="136"/>
  <c r="AD188" i="136"/>
  <c r="AD187" i="136"/>
  <c r="AD186" i="136"/>
  <c r="AD185" i="136"/>
  <c r="AD184" i="136"/>
  <c r="AD183" i="136"/>
  <c r="AD182" i="136"/>
  <c r="AD181" i="136"/>
  <c r="AD180" i="136"/>
  <c r="AD179" i="136"/>
  <c r="AD178" i="136"/>
  <c r="AD177" i="136"/>
  <c r="AD176" i="136"/>
  <c r="AD175" i="136"/>
  <c r="AD174" i="136"/>
  <c r="AD173" i="136"/>
  <c r="AD172" i="136"/>
  <c r="AD171" i="136"/>
  <c r="AD170" i="136"/>
  <c r="AD169" i="136"/>
  <c r="AD168" i="136"/>
  <c r="AD167" i="136"/>
  <c r="AD166" i="136"/>
  <c r="AD165" i="136"/>
  <c r="AD164" i="136"/>
  <c r="AD163" i="136"/>
  <c r="AD162" i="136"/>
  <c r="AD161" i="136"/>
  <c r="AD160" i="136"/>
  <c r="AD159" i="136"/>
  <c r="AD158" i="136"/>
  <c r="AD157" i="136"/>
  <c r="AD156" i="136"/>
  <c r="AD155" i="136"/>
  <c r="AD154" i="136"/>
  <c r="AD153" i="136"/>
  <c r="AD152" i="136"/>
  <c r="AD151" i="136"/>
  <c r="AD150" i="136"/>
  <c r="AD149" i="136"/>
  <c r="AD148" i="136"/>
  <c r="AD147" i="136"/>
  <c r="AD146" i="136"/>
  <c r="AD145" i="136"/>
  <c r="AD144" i="136"/>
  <c r="AD143" i="136"/>
  <c r="AD142" i="136"/>
  <c r="AD141" i="136"/>
  <c r="AD140" i="136"/>
  <c r="AD139" i="136"/>
  <c r="AD138" i="136"/>
  <c r="AD137" i="136"/>
  <c r="AD136" i="136"/>
  <c r="AD135" i="136"/>
  <c r="AD134" i="136"/>
  <c r="AD133" i="136"/>
  <c r="AD132" i="136"/>
  <c r="AD131" i="136"/>
  <c r="AD130" i="136"/>
  <c r="AD129" i="136"/>
  <c r="AD128" i="136"/>
  <c r="AD127" i="136"/>
  <c r="AD126" i="136"/>
  <c r="AD125" i="136"/>
  <c r="AD124" i="136"/>
  <c r="AD123" i="136"/>
  <c r="AD122" i="136"/>
  <c r="AD121" i="136"/>
  <c r="AD120" i="136"/>
  <c r="AD119" i="136"/>
  <c r="AD118" i="136"/>
  <c r="AD117" i="136"/>
  <c r="AD116" i="136"/>
  <c r="AD115" i="136"/>
  <c r="AD114" i="136"/>
  <c r="AD113" i="136"/>
  <c r="AD112" i="136"/>
  <c r="AD111" i="136"/>
  <c r="AD110" i="136"/>
  <c r="AD109" i="136"/>
  <c r="AD108" i="136"/>
  <c r="AD107" i="136"/>
  <c r="AD106" i="136"/>
  <c r="AD105" i="136"/>
  <c r="AD104" i="136"/>
  <c r="AD103" i="136"/>
  <c r="AD102" i="136"/>
  <c r="AD101" i="136"/>
  <c r="AD100" i="136"/>
  <c r="AD99" i="136"/>
  <c r="AD98" i="136"/>
  <c r="AD97" i="136"/>
  <c r="AD96" i="136"/>
  <c r="AD95" i="136"/>
  <c r="AD94" i="136"/>
  <c r="AD93" i="136"/>
  <c r="AD92" i="136"/>
  <c r="AD91" i="136"/>
  <c r="AD90" i="136"/>
  <c r="AD89" i="136"/>
  <c r="AD88" i="136"/>
  <c r="AD87" i="136"/>
  <c r="AD86" i="136"/>
  <c r="AD85" i="136"/>
  <c r="AD84" i="136"/>
  <c r="AD83" i="136"/>
  <c r="AD82" i="136"/>
  <c r="AD81" i="136"/>
  <c r="AD80" i="136"/>
  <c r="AD79" i="136"/>
  <c r="AD78" i="136"/>
  <c r="AD77" i="136"/>
  <c r="AD76" i="136"/>
  <c r="AD75" i="136"/>
  <c r="AD74" i="136"/>
  <c r="AD73" i="136"/>
  <c r="AD72" i="136"/>
  <c r="AD71" i="136"/>
  <c r="AD70" i="136"/>
  <c r="AD69" i="136"/>
  <c r="AD68" i="136"/>
  <c r="AD67" i="136"/>
  <c r="AD66" i="136"/>
  <c r="AD65" i="136"/>
  <c r="AD64" i="136"/>
  <c r="AD63" i="136"/>
  <c r="AD62" i="136"/>
  <c r="AD61" i="136"/>
  <c r="AD60" i="136"/>
  <c r="AD59" i="136"/>
  <c r="AD58" i="136"/>
  <c r="AD57" i="136"/>
  <c r="AD56" i="136"/>
  <c r="AD55" i="136"/>
  <c r="AD54" i="136"/>
  <c r="AD53" i="136"/>
  <c r="AD52" i="136"/>
  <c r="AD51" i="136"/>
  <c r="AD50" i="136"/>
  <c r="AD49" i="136"/>
  <c r="AD48" i="136"/>
  <c r="AD47" i="136"/>
  <c r="AD46" i="136"/>
  <c r="AD45" i="136"/>
  <c r="AD44" i="136"/>
  <c r="AD43" i="136"/>
  <c r="AD42" i="136"/>
  <c r="AD41" i="136"/>
  <c r="AD40" i="136"/>
  <c r="AD39" i="136"/>
  <c r="AD38" i="136"/>
  <c r="AD37" i="136"/>
  <c r="AD36" i="136"/>
  <c r="AD35" i="136"/>
  <c r="AD34" i="136"/>
  <c r="AD33" i="136"/>
  <c r="AD32" i="136"/>
  <c r="AD31" i="136"/>
  <c r="AD30" i="136"/>
  <c r="AD29" i="136"/>
  <c r="AD28" i="136"/>
  <c r="AD27" i="136"/>
  <c r="AD26" i="136"/>
  <c r="AD25" i="136"/>
  <c r="AD24" i="136"/>
  <c r="AD23" i="136"/>
  <c r="AD22" i="136"/>
  <c r="AD21" i="136"/>
  <c r="AD20" i="136"/>
  <c r="AD19" i="136"/>
  <c r="AD18" i="136"/>
  <c r="AD17" i="136"/>
  <c r="AD16" i="136"/>
  <c r="AD15" i="136"/>
  <c r="AD14" i="136"/>
  <c r="AD13" i="136"/>
  <c r="AD12" i="136"/>
  <c r="AD11" i="136"/>
  <c r="AD10" i="136"/>
  <c r="AD9" i="136"/>
  <c r="AD8" i="136"/>
  <c r="AD7" i="136"/>
  <c r="AD6" i="136"/>
  <c r="AD5" i="136"/>
  <c r="Y202" i="136"/>
  <c r="Y201" i="136"/>
  <c r="Y200" i="136"/>
  <c r="Y199" i="136"/>
  <c r="Y198" i="136"/>
  <c r="Y197" i="136"/>
  <c r="Y196" i="136"/>
  <c r="Y195" i="136"/>
  <c r="Y194" i="136"/>
  <c r="Y193" i="136"/>
  <c r="Y192" i="136"/>
  <c r="Y191" i="136"/>
  <c r="Y190" i="136"/>
  <c r="Y189" i="136"/>
  <c r="Y188" i="136"/>
  <c r="Y187" i="136"/>
  <c r="Y186" i="136"/>
  <c r="Y185" i="136"/>
  <c r="Y184" i="136"/>
  <c r="Y183" i="136"/>
  <c r="Y182" i="136"/>
  <c r="Y181" i="136"/>
  <c r="Y180" i="136"/>
  <c r="Y179" i="136"/>
  <c r="Y178" i="136"/>
  <c r="Y177" i="136"/>
  <c r="Y176" i="136"/>
  <c r="Y175" i="136"/>
  <c r="Y174" i="136"/>
  <c r="Y173" i="136"/>
  <c r="Y172" i="136"/>
  <c r="Y171" i="136"/>
  <c r="Y170" i="136"/>
  <c r="Y169" i="136"/>
  <c r="Y168" i="136"/>
  <c r="Y167" i="136"/>
  <c r="Y166" i="136"/>
  <c r="Y165" i="136"/>
  <c r="Y164" i="136"/>
  <c r="Y163" i="136"/>
  <c r="Y162" i="136"/>
  <c r="Y161" i="136"/>
  <c r="Y160" i="136"/>
  <c r="Y159" i="136"/>
  <c r="Y158" i="136"/>
  <c r="Y157" i="136"/>
  <c r="Y156" i="136"/>
  <c r="Y155" i="136"/>
  <c r="Y154" i="136"/>
  <c r="Y153" i="136"/>
  <c r="Y152" i="136"/>
  <c r="Y151" i="136"/>
  <c r="Y150" i="136"/>
  <c r="Y149" i="136"/>
  <c r="Y148" i="136"/>
  <c r="Y147" i="136"/>
  <c r="Y146" i="136"/>
  <c r="Y145" i="136"/>
  <c r="Y144" i="136"/>
  <c r="Y143" i="136"/>
  <c r="Y142" i="136"/>
  <c r="Y141" i="136"/>
  <c r="Y140" i="136"/>
  <c r="Y139" i="136"/>
  <c r="Y138" i="136"/>
  <c r="Y137" i="136"/>
  <c r="Y136" i="136"/>
  <c r="Y135" i="136"/>
  <c r="Y134" i="136"/>
  <c r="Y133" i="136"/>
  <c r="Y132" i="136"/>
  <c r="Y131" i="136"/>
  <c r="Y130" i="136"/>
  <c r="Y129" i="136"/>
  <c r="Y128" i="136"/>
  <c r="Y127" i="136"/>
  <c r="Y126" i="136"/>
  <c r="Y125" i="136"/>
  <c r="Y124" i="136"/>
  <c r="Y123" i="136"/>
  <c r="Y122" i="136"/>
  <c r="Y121" i="136"/>
  <c r="Y120" i="136"/>
  <c r="Y119" i="136"/>
  <c r="Y118" i="136"/>
  <c r="Y117" i="136"/>
  <c r="Y116" i="136"/>
  <c r="Y115" i="136"/>
  <c r="Y114" i="136"/>
  <c r="Y113" i="136"/>
  <c r="Y112" i="136"/>
  <c r="Y111" i="136"/>
  <c r="Y110" i="136"/>
  <c r="Y109" i="136"/>
  <c r="Y108" i="136"/>
  <c r="Y107" i="136"/>
  <c r="Y106" i="136"/>
  <c r="Y105" i="136"/>
  <c r="Y104" i="136"/>
  <c r="Y103" i="136"/>
  <c r="Y102" i="136"/>
  <c r="Y101" i="136"/>
  <c r="Y100" i="136"/>
  <c r="Y99" i="136"/>
  <c r="Y98" i="136"/>
  <c r="Y97" i="136"/>
  <c r="Y96" i="136"/>
  <c r="Y95" i="136"/>
  <c r="Y94" i="136"/>
  <c r="Y93" i="136"/>
  <c r="Y92" i="136"/>
  <c r="Y91" i="136"/>
  <c r="Y90" i="136"/>
  <c r="Y89" i="136"/>
  <c r="Y88" i="136"/>
  <c r="Y87" i="136"/>
  <c r="Y86" i="136"/>
  <c r="Y85" i="136"/>
  <c r="Y84" i="136"/>
  <c r="Y83" i="136"/>
  <c r="Y82" i="136"/>
  <c r="Y81" i="136"/>
  <c r="Y80" i="136"/>
  <c r="Y79" i="136"/>
  <c r="Y78" i="136"/>
  <c r="Y77" i="136"/>
  <c r="Y76" i="136"/>
  <c r="Y75" i="136"/>
  <c r="Y74" i="136"/>
  <c r="Y73" i="136"/>
  <c r="Y72" i="136"/>
  <c r="Y71" i="136"/>
  <c r="Y70" i="136"/>
  <c r="Y69" i="136"/>
  <c r="Y68" i="136"/>
  <c r="Y67" i="136"/>
  <c r="Y66" i="136"/>
  <c r="Y65" i="136"/>
  <c r="Y64" i="136"/>
  <c r="Y63" i="136"/>
  <c r="Y62" i="136"/>
  <c r="Y61" i="136"/>
  <c r="Y60" i="136"/>
  <c r="Y59" i="136"/>
  <c r="Y58" i="136"/>
  <c r="Y57" i="136"/>
  <c r="Y56" i="136"/>
  <c r="Y55" i="136"/>
  <c r="Y54" i="136"/>
  <c r="Y53" i="136"/>
  <c r="Y52" i="136"/>
  <c r="Y51" i="136"/>
  <c r="Y50" i="136"/>
  <c r="Y49" i="136"/>
  <c r="Y48" i="136"/>
  <c r="Y47" i="136"/>
  <c r="Y46" i="136"/>
  <c r="Y45" i="136"/>
  <c r="Y44" i="136"/>
  <c r="Y43" i="136"/>
  <c r="Y42" i="136"/>
  <c r="Y41" i="136"/>
  <c r="Y40" i="136"/>
  <c r="Y39" i="136"/>
  <c r="Y38" i="136"/>
  <c r="Y37" i="136"/>
  <c r="Y36" i="136"/>
  <c r="Y35" i="136"/>
  <c r="Y34" i="136"/>
  <c r="Y33" i="136"/>
  <c r="Y32" i="136"/>
  <c r="Y31" i="136"/>
  <c r="Y30" i="136"/>
  <c r="Y29" i="136"/>
  <c r="Y28" i="136"/>
  <c r="Y27" i="136"/>
  <c r="Y26" i="136"/>
  <c r="Y25" i="136"/>
  <c r="Y24" i="136"/>
  <c r="Y23" i="136"/>
  <c r="Y22" i="136"/>
  <c r="Y21" i="136"/>
  <c r="Y20" i="136"/>
  <c r="Y19" i="136"/>
  <c r="Y18" i="136"/>
  <c r="Y17" i="136"/>
  <c r="Y16" i="136"/>
  <c r="Y15" i="136"/>
  <c r="Y14" i="136"/>
  <c r="Y13" i="136"/>
  <c r="Y12" i="136"/>
  <c r="Y11" i="136"/>
  <c r="Y10" i="136"/>
  <c r="Y9" i="136"/>
  <c r="Y8" i="136"/>
  <c r="Y7" i="136"/>
  <c r="Y6" i="136"/>
  <c r="Y5" i="136"/>
  <c r="T202" i="136"/>
  <c r="T201" i="136"/>
  <c r="T200" i="136"/>
  <c r="T199" i="136"/>
  <c r="T198" i="136"/>
  <c r="T197" i="136"/>
  <c r="T196" i="136"/>
  <c r="T195" i="136"/>
  <c r="T194" i="136"/>
  <c r="T193" i="136"/>
  <c r="T192" i="136"/>
  <c r="T191" i="136"/>
  <c r="T190" i="136"/>
  <c r="T189" i="136"/>
  <c r="T188" i="136"/>
  <c r="T187" i="136"/>
  <c r="T186" i="136"/>
  <c r="T185" i="136"/>
  <c r="T184" i="136"/>
  <c r="T183" i="136"/>
  <c r="T182" i="136"/>
  <c r="T181" i="136"/>
  <c r="T180" i="136"/>
  <c r="T179" i="136"/>
  <c r="T178" i="136"/>
  <c r="T177" i="136"/>
  <c r="T176" i="136"/>
  <c r="T175" i="136"/>
  <c r="T174" i="136"/>
  <c r="T173" i="136"/>
  <c r="T172" i="136"/>
  <c r="T171" i="136"/>
  <c r="T170" i="136"/>
  <c r="T169" i="136"/>
  <c r="T168" i="136"/>
  <c r="T167" i="136"/>
  <c r="T166" i="136"/>
  <c r="T165" i="136"/>
  <c r="T164" i="136"/>
  <c r="T163" i="136"/>
  <c r="T162" i="136"/>
  <c r="T161" i="136"/>
  <c r="T160" i="136"/>
  <c r="T159" i="136"/>
  <c r="T158" i="136"/>
  <c r="T157" i="136"/>
  <c r="T156" i="136"/>
  <c r="T155" i="136"/>
  <c r="T154" i="136"/>
  <c r="T153" i="136"/>
  <c r="T152" i="136"/>
  <c r="T151" i="136"/>
  <c r="T150" i="136"/>
  <c r="T149" i="136"/>
  <c r="T148" i="136"/>
  <c r="T147" i="136"/>
  <c r="T146" i="136"/>
  <c r="T145" i="136"/>
  <c r="T144" i="136"/>
  <c r="T143" i="136"/>
  <c r="T142" i="136"/>
  <c r="T141" i="136"/>
  <c r="T140" i="136"/>
  <c r="T139" i="136"/>
  <c r="T138" i="136"/>
  <c r="T137" i="136"/>
  <c r="T136" i="136"/>
  <c r="T135" i="136"/>
  <c r="T134" i="136"/>
  <c r="T133" i="136"/>
  <c r="T132" i="136"/>
  <c r="T131" i="136"/>
  <c r="T130" i="136"/>
  <c r="T129" i="136"/>
  <c r="T128" i="136"/>
  <c r="T127" i="136"/>
  <c r="T126" i="136"/>
  <c r="T125" i="136"/>
  <c r="T124" i="136"/>
  <c r="T123" i="136"/>
  <c r="T122" i="136"/>
  <c r="T121" i="136"/>
  <c r="T120" i="136"/>
  <c r="T119" i="136"/>
  <c r="T118" i="136"/>
  <c r="T117" i="136"/>
  <c r="T116" i="136"/>
  <c r="T115" i="136"/>
  <c r="T114" i="136"/>
  <c r="T113" i="136"/>
  <c r="T112" i="136"/>
  <c r="T111" i="136"/>
  <c r="T110" i="136"/>
  <c r="T109" i="136"/>
  <c r="T108" i="136"/>
  <c r="T107" i="136"/>
  <c r="T106" i="136"/>
  <c r="T105" i="136"/>
  <c r="T104" i="136"/>
  <c r="T103" i="136"/>
  <c r="T102" i="136"/>
  <c r="T101" i="136"/>
  <c r="T100" i="136"/>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9" i="136"/>
  <c r="T58" i="136"/>
  <c r="T57" i="136"/>
  <c r="T56" i="136"/>
  <c r="T55" i="136"/>
  <c r="T54" i="136"/>
  <c r="T53" i="136"/>
  <c r="T52" i="136"/>
  <c r="T51" i="136"/>
  <c r="T50" i="136"/>
  <c r="T49" i="136"/>
  <c r="T48" i="136"/>
  <c r="T47" i="136"/>
  <c r="T46" i="136"/>
  <c r="T45" i="136"/>
  <c r="T44" i="136"/>
  <c r="T43" i="136"/>
  <c r="T42" i="136"/>
  <c r="T41" i="136"/>
  <c r="T40" i="136"/>
  <c r="T39" i="136"/>
  <c r="T38" i="136"/>
  <c r="T37" i="136"/>
  <c r="T36" i="136"/>
  <c r="T35" i="136"/>
  <c r="T34" i="136"/>
  <c r="T33" i="136"/>
  <c r="T32" i="136"/>
  <c r="T31" i="136"/>
  <c r="T30" i="136"/>
  <c r="T29" i="136"/>
  <c r="T28" i="136"/>
  <c r="T27" i="136"/>
  <c r="T26" i="136"/>
  <c r="T25" i="136"/>
  <c r="T24" i="136"/>
  <c r="T23" i="136"/>
  <c r="T22" i="136"/>
  <c r="T21" i="136"/>
  <c r="T20" i="136"/>
  <c r="T19" i="136"/>
  <c r="T18" i="136"/>
  <c r="T17" i="136"/>
  <c r="T16" i="136"/>
  <c r="T15" i="136"/>
  <c r="T14" i="136"/>
  <c r="T13" i="136"/>
  <c r="T12" i="136"/>
  <c r="T11" i="136"/>
  <c r="T10" i="136"/>
  <c r="T9" i="136"/>
  <c r="T8" i="136"/>
  <c r="T7" i="136"/>
  <c r="T6" i="136"/>
  <c r="T5" i="136"/>
  <c r="O202" i="136"/>
  <c r="O201" i="136"/>
  <c r="O200" i="136"/>
  <c r="O199" i="136"/>
  <c r="O198" i="136"/>
  <c r="O197" i="136"/>
  <c r="O196" i="136"/>
  <c r="O195" i="136"/>
  <c r="O194" i="136"/>
  <c r="O193" i="136"/>
  <c r="O192" i="136"/>
  <c r="O191" i="136"/>
  <c r="O190" i="136"/>
  <c r="O189" i="136"/>
  <c r="O188" i="136"/>
  <c r="O187" i="136"/>
  <c r="O186" i="136"/>
  <c r="O185" i="136"/>
  <c r="O184" i="136"/>
  <c r="O183" i="136"/>
  <c r="O182" i="136"/>
  <c r="O181" i="136"/>
  <c r="O180" i="136"/>
  <c r="O179" i="136"/>
  <c r="O178" i="136"/>
  <c r="O177" i="136"/>
  <c r="O176" i="136"/>
  <c r="O175" i="136"/>
  <c r="O174" i="136"/>
  <c r="O173" i="136"/>
  <c r="O172" i="136"/>
  <c r="O171" i="136"/>
  <c r="O170" i="136"/>
  <c r="O169" i="136"/>
  <c r="O168" i="136"/>
  <c r="O167" i="136"/>
  <c r="O166" i="136"/>
  <c r="O165" i="136"/>
  <c r="O164" i="136"/>
  <c r="O163" i="136"/>
  <c r="O162" i="136"/>
  <c r="O161" i="136"/>
  <c r="O160" i="136"/>
  <c r="O159" i="136"/>
  <c r="O158" i="136"/>
  <c r="O157" i="136"/>
  <c r="O156" i="136"/>
  <c r="O155" i="136"/>
  <c r="O154" i="136"/>
  <c r="O153" i="136"/>
  <c r="O152" i="136"/>
  <c r="O151" i="136"/>
  <c r="O150" i="136"/>
  <c r="O149" i="136"/>
  <c r="O148" i="136"/>
  <c r="O147" i="136"/>
  <c r="O146" i="136"/>
  <c r="O145" i="136"/>
  <c r="O144" i="136"/>
  <c r="O143" i="136"/>
  <c r="O142" i="136"/>
  <c r="O141" i="136"/>
  <c r="O140" i="136"/>
  <c r="O139" i="136"/>
  <c r="O138" i="136"/>
  <c r="O137" i="136"/>
  <c r="O136" i="136"/>
  <c r="O135" i="136"/>
  <c r="O134" i="136"/>
  <c r="O133" i="136"/>
  <c r="O132" i="136"/>
  <c r="O131" i="136"/>
  <c r="O130" i="136"/>
  <c r="O129" i="136"/>
  <c r="O128" i="136"/>
  <c r="O127" i="136"/>
  <c r="O126" i="136"/>
  <c r="O125" i="136"/>
  <c r="O124" i="136"/>
  <c r="O123" i="136"/>
  <c r="O122" i="136"/>
  <c r="O121" i="136"/>
  <c r="O120" i="136"/>
  <c r="O119" i="136"/>
  <c r="O118" i="136"/>
  <c r="O117" i="136"/>
  <c r="O116" i="136"/>
  <c r="O115" i="136"/>
  <c r="O114" i="136"/>
  <c r="O113" i="136"/>
  <c r="O112" i="136"/>
  <c r="O111" i="136"/>
  <c r="O110" i="136"/>
  <c r="O109" i="136"/>
  <c r="O108" i="136"/>
  <c r="O107" i="136"/>
  <c r="O106" i="136"/>
  <c r="O105" i="136"/>
  <c r="O104" i="136"/>
  <c r="O103" i="136"/>
  <c r="O102" i="136"/>
  <c r="O101" i="136"/>
  <c r="O100" i="136"/>
  <c r="O99" i="136"/>
  <c r="O98" i="136"/>
  <c r="O97" i="136"/>
  <c r="O96" i="136"/>
  <c r="O95" i="136"/>
  <c r="O94" i="136"/>
  <c r="O93" i="136"/>
  <c r="O92" i="136"/>
  <c r="O91" i="136"/>
  <c r="O90" i="136"/>
  <c r="O89" i="136"/>
  <c r="O88" i="136"/>
  <c r="O87" i="136"/>
  <c r="O86" i="136"/>
  <c r="O85" i="136"/>
  <c r="O84" i="136"/>
  <c r="O83" i="136"/>
  <c r="O82" i="136"/>
  <c r="O81" i="136"/>
  <c r="O80" i="136"/>
  <c r="O79" i="136"/>
  <c r="O78" i="136"/>
  <c r="O77" i="136"/>
  <c r="O76" i="136"/>
  <c r="O75" i="136"/>
  <c r="O74" i="136"/>
  <c r="O73" i="136"/>
  <c r="O72" i="136"/>
  <c r="O71" i="136"/>
  <c r="O70" i="136"/>
  <c r="O69" i="136"/>
  <c r="O68" i="136"/>
  <c r="O67" i="136"/>
  <c r="O66" i="136"/>
  <c r="O65" i="136"/>
  <c r="O64" i="136"/>
  <c r="O63" i="136"/>
  <c r="O62" i="136"/>
  <c r="O61" i="136"/>
  <c r="O60" i="136"/>
  <c r="O59" i="136"/>
  <c r="O58" i="136"/>
  <c r="O57" i="136"/>
  <c r="O56" i="136"/>
  <c r="O55" i="136"/>
  <c r="O54" i="136"/>
  <c r="O53" i="136"/>
  <c r="O52" i="136"/>
  <c r="O51" i="136"/>
  <c r="O50" i="136"/>
  <c r="O49" i="136"/>
  <c r="O48" i="136"/>
  <c r="O47" i="136"/>
  <c r="O46" i="136"/>
  <c r="O45" i="136"/>
  <c r="O44" i="136"/>
  <c r="O43" i="136"/>
  <c r="O42" i="136"/>
  <c r="O41" i="136"/>
  <c r="O40" i="136"/>
  <c r="O39" i="136"/>
  <c r="O38" i="136"/>
  <c r="O37" i="136"/>
  <c r="O36" i="136"/>
  <c r="O35" i="136"/>
  <c r="O34" i="136"/>
  <c r="O33" i="136"/>
  <c r="O32" i="136"/>
  <c r="O31" i="136"/>
  <c r="O30" i="136"/>
  <c r="O29" i="136"/>
  <c r="O28" i="136"/>
  <c r="O27" i="136"/>
  <c r="O26" i="136"/>
  <c r="O25" i="136"/>
  <c r="O24" i="136"/>
  <c r="O23" i="136"/>
  <c r="O22" i="136"/>
  <c r="O21" i="136"/>
  <c r="O20" i="136"/>
  <c r="O19" i="136"/>
  <c r="O18" i="136"/>
  <c r="O17" i="136"/>
  <c r="O16" i="136"/>
  <c r="O15" i="136"/>
  <c r="O14" i="136"/>
  <c r="O13" i="136"/>
  <c r="O12" i="136"/>
  <c r="O11" i="136"/>
  <c r="O10" i="136"/>
  <c r="O9" i="136"/>
  <c r="O8" i="136"/>
  <c r="O7" i="136"/>
  <c r="O6" i="136"/>
  <c r="O5" i="136"/>
  <c r="AS202" i="136" a="1"/>
  <c r="AS202" i="136" s="1"/>
  <c r="AO202" i="136" s="1"/>
  <c r="AS201" i="136" a="1"/>
  <c r="AS201" i="136" s="1"/>
  <c r="AO201" i="136" s="1"/>
  <c r="AS200" i="136" a="1"/>
  <c r="AS200" i="136" s="1"/>
  <c r="AO200" i="136" s="1"/>
  <c r="AS199" i="136" a="1"/>
  <c r="AS199" i="136" s="1"/>
  <c r="AO199" i="136" s="1"/>
  <c r="AS198" i="136" a="1"/>
  <c r="AS198" i="136" s="1"/>
  <c r="AO198" i="136" s="1"/>
  <c r="AS197" i="136" a="1"/>
  <c r="AS197" i="136" s="1"/>
  <c r="AO197" i="136" s="1"/>
  <c r="AS196" i="136" a="1"/>
  <c r="AS196" i="136" s="1"/>
  <c r="AO196" i="136" s="1"/>
  <c r="AS195" i="136" a="1"/>
  <c r="AS195" i="136" s="1"/>
  <c r="AO195" i="136" s="1"/>
  <c r="AS194" i="136" a="1"/>
  <c r="AS194" i="136" s="1"/>
  <c r="AO194" i="136" s="1"/>
  <c r="AS193" i="136" a="1"/>
  <c r="AS193" i="136" s="1"/>
  <c r="AO193" i="136" s="1"/>
  <c r="AS192" i="136" a="1"/>
  <c r="AS192" i="136" s="1"/>
  <c r="AO192" i="136" s="1"/>
  <c r="AS191" i="136" a="1"/>
  <c r="AS191" i="136" s="1"/>
  <c r="AO191" i="136" s="1"/>
  <c r="AS190" i="136" a="1"/>
  <c r="AS190" i="136" s="1"/>
  <c r="AO190" i="136" s="1"/>
  <c r="AS189" i="136" a="1"/>
  <c r="AS189" i="136" s="1"/>
  <c r="AO189" i="136" s="1"/>
  <c r="AS188" i="136" a="1"/>
  <c r="AS188" i="136" s="1"/>
  <c r="AO188" i="136" s="1"/>
  <c r="AS187" i="136" a="1"/>
  <c r="AS187" i="136" s="1"/>
  <c r="AO187" i="136" s="1"/>
  <c r="AS186" i="136" a="1"/>
  <c r="AS186" i="136" s="1"/>
  <c r="AO186" i="136" s="1"/>
  <c r="AS185" i="136" a="1"/>
  <c r="AS185" i="136" s="1"/>
  <c r="AO185" i="136" s="1"/>
  <c r="AS184" i="136" a="1"/>
  <c r="AS184" i="136" s="1"/>
  <c r="AO184" i="136" s="1"/>
  <c r="AS183" i="136" a="1"/>
  <c r="AS183" i="136" s="1"/>
  <c r="AO183" i="136" s="1"/>
  <c r="AS182" i="136" a="1"/>
  <c r="AS182" i="136" s="1"/>
  <c r="AO182" i="136" s="1"/>
  <c r="AS181" i="136" a="1"/>
  <c r="AS181" i="136" s="1"/>
  <c r="AO181" i="136" s="1"/>
  <c r="AS180" i="136" a="1"/>
  <c r="AS180" i="136" s="1"/>
  <c r="AO180" i="136" s="1"/>
  <c r="AS179" i="136" a="1"/>
  <c r="AS179" i="136" s="1"/>
  <c r="AO179" i="136" s="1"/>
  <c r="AS178" i="136" a="1"/>
  <c r="AS178" i="136" s="1"/>
  <c r="AO178" i="136" s="1"/>
  <c r="AS177" i="136" a="1"/>
  <c r="AS177" i="136" s="1"/>
  <c r="AO177" i="136" s="1"/>
  <c r="AS176" i="136" a="1"/>
  <c r="AS176" i="136" s="1"/>
  <c r="AO176" i="136" s="1"/>
  <c r="AS175" i="136" a="1"/>
  <c r="AS175" i="136" s="1"/>
  <c r="AO175" i="136" s="1"/>
  <c r="AS174" i="136" a="1"/>
  <c r="AS174" i="136" s="1"/>
  <c r="AO174" i="136" s="1"/>
  <c r="AS173" i="136" a="1"/>
  <c r="AS173" i="136" s="1"/>
  <c r="AO173" i="136" s="1"/>
  <c r="AS172" i="136" a="1"/>
  <c r="AS172" i="136" s="1"/>
  <c r="AO172" i="136" s="1"/>
  <c r="AS171" i="136" a="1"/>
  <c r="AS171" i="136" s="1"/>
  <c r="AO171" i="136" s="1"/>
  <c r="AS170" i="136" a="1"/>
  <c r="AS170" i="136" s="1"/>
  <c r="AO170" i="136" s="1"/>
  <c r="AS169" i="136" a="1"/>
  <c r="AS169" i="136" s="1"/>
  <c r="AO169" i="136" s="1"/>
  <c r="AS168" i="136" a="1"/>
  <c r="AS168" i="136" s="1"/>
  <c r="AO168" i="136" s="1"/>
  <c r="AS167" i="136" a="1"/>
  <c r="AS167" i="136" s="1"/>
  <c r="AO167" i="136" s="1"/>
  <c r="AS166" i="136" a="1"/>
  <c r="AS166" i="136" s="1"/>
  <c r="AO166" i="136" s="1"/>
  <c r="AS165" i="136" a="1"/>
  <c r="AS165" i="136" s="1"/>
  <c r="AO165" i="136" s="1"/>
  <c r="AS164" i="136" a="1"/>
  <c r="AS164" i="136" s="1"/>
  <c r="AO164" i="136" s="1"/>
  <c r="AS163" i="136" a="1"/>
  <c r="AS163" i="136" s="1"/>
  <c r="AO163" i="136" s="1"/>
  <c r="AS162" i="136" a="1"/>
  <c r="AS162" i="136" s="1"/>
  <c r="AO162" i="136" s="1"/>
  <c r="AS161" i="136" a="1"/>
  <c r="AS161" i="136" s="1"/>
  <c r="AO161" i="136" s="1"/>
  <c r="AS160" i="136" a="1"/>
  <c r="AS160" i="136" s="1"/>
  <c r="AO160" i="136" s="1"/>
  <c r="AS159" i="136" a="1"/>
  <c r="AS159" i="136" s="1"/>
  <c r="AO159" i="136" s="1"/>
  <c r="AS158" i="136" a="1"/>
  <c r="AS158" i="136" s="1"/>
  <c r="AO158" i="136" s="1"/>
  <c r="AS157" i="136" a="1"/>
  <c r="AS157" i="136" s="1"/>
  <c r="AO157" i="136" s="1"/>
  <c r="AS156" i="136" a="1"/>
  <c r="AS156" i="136" s="1"/>
  <c r="AO156" i="136" s="1"/>
  <c r="AS155" i="136" a="1"/>
  <c r="AS155" i="136" s="1"/>
  <c r="AO155" i="136" s="1"/>
  <c r="AS154" i="136" a="1"/>
  <c r="AS154" i="136" s="1"/>
  <c r="AO154" i="136" s="1"/>
  <c r="AS153" i="136" a="1"/>
  <c r="AS153" i="136" s="1"/>
  <c r="AO153" i="136" s="1"/>
  <c r="AS152" i="136" a="1"/>
  <c r="AS152" i="136" s="1"/>
  <c r="AO152" i="136" s="1"/>
  <c r="AS151" i="136" a="1"/>
  <c r="AS151" i="136" s="1"/>
  <c r="AO151" i="136" s="1"/>
  <c r="AS150" i="136" a="1"/>
  <c r="AS150" i="136" s="1"/>
  <c r="AO150" i="136" s="1"/>
  <c r="AS149" i="136" a="1"/>
  <c r="AS149" i="136" s="1"/>
  <c r="AO149" i="136" s="1"/>
  <c r="AS148" i="136" a="1"/>
  <c r="AS148" i="136" s="1"/>
  <c r="AO148" i="136" s="1"/>
  <c r="AS147" i="136" a="1"/>
  <c r="AS147" i="136" s="1"/>
  <c r="AO147" i="136" s="1"/>
  <c r="AS146" i="136" a="1"/>
  <c r="AS146" i="136" s="1"/>
  <c r="AO146" i="136" s="1"/>
  <c r="AS145" i="136" a="1"/>
  <c r="AS145" i="136" s="1"/>
  <c r="AO145" i="136" s="1"/>
  <c r="AS144" i="136" a="1"/>
  <c r="AS144" i="136" s="1"/>
  <c r="AO144" i="136" s="1"/>
  <c r="AS143" i="136" a="1"/>
  <c r="AS143" i="136" s="1"/>
  <c r="AO143" i="136" s="1"/>
  <c r="AS142" i="136" a="1"/>
  <c r="AS142" i="136" s="1"/>
  <c r="AO142" i="136" s="1"/>
  <c r="AS141" i="136" a="1"/>
  <c r="AS141" i="136" s="1"/>
  <c r="AO141" i="136" s="1"/>
  <c r="AS140" i="136" a="1"/>
  <c r="AS140" i="136" s="1"/>
  <c r="AO140" i="136" s="1"/>
  <c r="AS139" i="136" a="1"/>
  <c r="AS139" i="136" s="1"/>
  <c r="AO139" i="136" s="1"/>
  <c r="AS138" i="136" a="1"/>
  <c r="AS138" i="136" s="1"/>
  <c r="AO138" i="136" s="1"/>
  <c r="AS137" i="136" a="1"/>
  <c r="AS137" i="136" s="1"/>
  <c r="AO137" i="136" s="1"/>
  <c r="AS136" i="136" a="1"/>
  <c r="AS136" i="136" s="1"/>
  <c r="AO136" i="136" s="1"/>
  <c r="AS135" i="136" a="1"/>
  <c r="AS135" i="136" s="1"/>
  <c r="AO135" i="136" s="1"/>
  <c r="AS134" i="136" a="1"/>
  <c r="AS134" i="136" s="1"/>
  <c r="AO134" i="136" s="1"/>
  <c r="AS133" i="136" a="1"/>
  <c r="AS133" i="136" s="1"/>
  <c r="AO133" i="136" s="1"/>
  <c r="AS132" i="136" a="1"/>
  <c r="AS132" i="136" s="1"/>
  <c r="AO132" i="136" s="1"/>
  <c r="AS131" i="136" a="1"/>
  <c r="AS131" i="136" s="1"/>
  <c r="AO131" i="136" s="1"/>
  <c r="AS130" i="136" a="1"/>
  <c r="AS130" i="136" s="1"/>
  <c r="AO130" i="136" s="1"/>
  <c r="AS129" i="136" a="1"/>
  <c r="AS129" i="136" s="1"/>
  <c r="AO129" i="136" s="1"/>
  <c r="AS128" i="136" a="1"/>
  <c r="AS128" i="136" s="1"/>
  <c r="AO128" i="136" s="1"/>
  <c r="AS127" i="136" a="1"/>
  <c r="AS127" i="136" s="1"/>
  <c r="AO127" i="136" s="1"/>
  <c r="AS126" i="136" a="1"/>
  <c r="AS126" i="136" s="1"/>
  <c r="AO126" i="136" s="1"/>
  <c r="AS125" i="136" a="1"/>
  <c r="AS125" i="136" s="1"/>
  <c r="AO125" i="136" s="1"/>
  <c r="AS124" i="136" a="1"/>
  <c r="AS124" i="136" s="1"/>
  <c r="AO124" i="136" s="1"/>
  <c r="AS123" i="136" a="1"/>
  <c r="AS123" i="136" s="1"/>
  <c r="AO123" i="136" s="1"/>
  <c r="AS122" i="136" a="1"/>
  <c r="AS122" i="136" s="1"/>
  <c r="AO122" i="136" s="1"/>
  <c r="AS121" i="136" a="1"/>
  <c r="AS121" i="136" s="1"/>
  <c r="AO121" i="136" s="1"/>
  <c r="AS120" i="136" a="1"/>
  <c r="AS120" i="136" s="1"/>
  <c r="AO120" i="136" s="1"/>
  <c r="AS119" i="136" a="1"/>
  <c r="AS119" i="136" s="1"/>
  <c r="AO119" i="136" s="1"/>
  <c r="AS118" i="136" a="1"/>
  <c r="AS118" i="136" s="1"/>
  <c r="AO118" i="136" s="1"/>
  <c r="AS117" i="136" a="1"/>
  <c r="AS117" i="136" s="1"/>
  <c r="AO117" i="136" s="1"/>
  <c r="AS116" i="136" a="1"/>
  <c r="AS116" i="136" s="1"/>
  <c r="AO116" i="136" s="1"/>
  <c r="AS115" i="136" a="1"/>
  <c r="AS115" i="136" s="1"/>
  <c r="AO115" i="136" s="1"/>
  <c r="AS114" i="136" a="1"/>
  <c r="AS114" i="136" s="1"/>
  <c r="AO114" i="136" s="1"/>
  <c r="AS113" i="136" a="1"/>
  <c r="AS113" i="136" s="1"/>
  <c r="AO113" i="136" s="1"/>
  <c r="AS112" i="136" a="1"/>
  <c r="AS112" i="136" s="1"/>
  <c r="AO112" i="136" s="1"/>
  <c r="AS111" i="136" a="1"/>
  <c r="AS111" i="136" s="1"/>
  <c r="AO111" i="136" s="1"/>
  <c r="AS110" i="136" a="1"/>
  <c r="AS110" i="136" s="1"/>
  <c r="AO110" i="136" s="1"/>
  <c r="AS109" i="136" a="1"/>
  <c r="AS109" i="136" s="1"/>
  <c r="AO109" i="136" s="1"/>
  <c r="AS108" i="136" a="1"/>
  <c r="AS108" i="136" s="1"/>
  <c r="AO108" i="136" s="1"/>
  <c r="AS107" i="136" a="1"/>
  <c r="AS107" i="136" s="1"/>
  <c r="AO107" i="136" s="1"/>
  <c r="AS106" i="136" a="1"/>
  <c r="AS106" i="136" s="1"/>
  <c r="AO106" i="136" s="1"/>
  <c r="AS105" i="136" a="1"/>
  <c r="AS105" i="136" s="1"/>
  <c r="AO105" i="136" s="1"/>
  <c r="AS104" i="136" a="1"/>
  <c r="AS104" i="136" s="1"/>
  <c r="AO104" i="136" s="1"/>
  <c r="AS103" i="136" a="1"/>
  <c r="AS103" i="136" s="1"/>
  <c r="AO103" i="136" s="1"/>
  <c r="AS102" i="136" a="1"/>
  <c r="AS102" i="136" s="1"/>
  <c r="AO102" i="136" s="1"/>
  <c r="AS101" i="136" a="1"/>
  <c r="AS101" i="136" s="1"/>
  <c r="AO101" i="136" s="1"/>
  <c r="AS100" i="136" a="1"/>
  <c r="AS100" i="136" s="1"/>
  <c r="AO100" i="136" s="1"/>
  <c r="AS99" i="136" a="1"/>
  <c r="AS99" i="136" s="1"/>
  <c r="AO99" i="136" s="1"/>
  <c r="AS98" i="136" a="1"/>
  <c r="AS98" i="136" s="1"/>
  <c r="AO98" i="136" s="1"/>
  <c r="AS97" i="136" a="1"/>
  <c r="AS97" i="136" s="1"/>
  <c r="AO97" i="136" s="1"/>
  <c r="AS96" i="136" a="1"/>
  <c r="AS96" i="136" s="1"/>
  <c r="AO96" i="136" s="1"/>
  <c r="AS95" i="136" a="1"/>
  <c r="AS95" i="136" s="1"/>
  <c r="AO95" i="136" s="1"/>
  <c r="AS94" i="136" a="1"/>
  <c r="AS94" i="136" s="1"/>
  <c r="AO94" i="136" s="1"/>
  <c r="AS93" i="136" a="1"/>
  <c r="AS93" i="136" s="1"/>
  <c r="AO93" i="136" s="1"/>
  <c r="AS92" i="136" a="1"/>
  <c r="AS92" i="136" s="1"/>
  <c r="AO92" i="136" s="1"/>
  <c r="AS91" i="136" a="1"/>
  <c r="AS91" i="136" s="1"/>
  <c r="AO91" i="136" s="1"/>
  <c r="AS90" i="136" a="1"/>
  <c r="AS90" i="136" s="1"/>
  <c r="AO90" i="136" s="1"/>
  <c r="AS89" i="136" a="1"/>
  <c r="AS89" i="136" s="1"/>
  <c r="AO89" i="136" s="1"/>
  <c r="AS88" i="136" a="1"/>
  <c r="AS88" i="136" s="1"/>
  <c r="AO88" i="136" s="1"/>
  <c r="AS87" i="136" a="1"/>
  <c r="AS87" i="136" s="1"/>
  <c r="AO87" i="136" s="1"/>
  <c r="AS86" i="136" a="1"/>
  <c r="AS86" i="136" s="1"/>
  <c r="AO86" i="136" s="1"/>
  <c r="AS85" i="136" a="1"/>
  <c r="AS85" i="136" s="1"/>
  <c r="AO85" i="136" s="1"/>
  <c r="AS84" i="136" a="1"/>
  <c r="AS84" i="136" s="1"/>
  <c r="AO84" i="136" s="1"/>
  <c r="AS83" i="136" a="1"/>
  <c r="AS83" i="136" s="1"/>
  <c r="AO83" i="136" s="1"/>
  <c r="AS82" i="136" a="1"/>
  <c r="AS82" i="136" s="1"/>
  <c r="AO82" i="136" s="1"/>
  <c r="AS81" i="136" a="1"/>
  <c r="AS81" i="136" s="1"/>
  <c r="AO81" i="136" s="1"/>
  <c r="AS80" i="136" a="1"/>
  <c r="AS80" i="136" s="1"/>
  <c r="AO80" i="136" s="1"/>
  <c r="AS79" i="136" a="1"/>
  <c r="AS79" i="136" s="1"/>
  <c r="AO79" i="136" s="1"/>
  <c r="AS78" i="136" a="1"/>
  <c r="AS78" i="136" s="1"/>
  <c r="AO78" i="136" s="1"/>
  <c r="AS77" i="136" a="1"/>
  <c r="AS77" i="136" s="1"/>
  <c r="AO77" i="136" s="1"/>
  <c r="AS76" i="136" a="1"/>
  <c r="AS76" i="136" s="1"/>
  <c r="AO76" i="136" s="1"/>
  <c r="AS75" i="136" a="1"/>
  <c r="AS75" i="136" s="1"/>
  <c r="AO75" i="136" s="1"/>
  <c r="AS74" i="136" a="1"/>
  <c r="AS74" i="136" s="1"/>
  <c r="AO74" i="136" s="1"/>
  <c r="AS73" i="136" a="1"/>
  <c r="AS73" i="136" s="1"/>
  <c r="AO73" i="136" s="1"/>
  <c r="AS72" i="136" a="1"/>
  <c r="AS72" i="136" s="1"/>
  <c r="AO72" i="136" s="1"/>
  <c r="AS71" i="136" a="1"/>
  <c r="AS71" i="136" s="1"/>
  <c r="AO71" i="136" s="1"/>
  <c r="AS70" i="136" a="1"/>
  <c r="AS70" i="136" s="1"/>
  <c r="AO70" i="136" s="1"/>
  <c r="AS69" i="136" a="1"/>
  <c r="AS69" i="136" s="1"/>
  <c r="AO69" i="136" s="1"/>
  <c r="AS68" i="136" a="1"/>
  <c r="AS68" i="136" s="1"/>
  <c r="AO68" i="136" s="1"/>
  <c r="AS67" i="136" a="1"/>
  <c r="AS67" i="136" s="1"/>
  <c r="AO67" i="136" s="1"/>
  <c r="AS66" i="136" a="1"/>
  <c r="AS66" i="136" s="1"/>
  <c r="AO66" i="136" s="1"/>
  <c r="AS65" i="136" a="1"/>
  <c r="AS65" i="136" s="1"/>
  <c r="AO65" i="136" s="1"/>
  <c r="AS64" i="136" a="1"/>
  <c r="AS64" i="136" s="1"/>
  <c r="AO64" i="136" s="1"/>
  <c r="AS63" i="136" a="1"/>
  <c r="AS63" i="136" s="1"/>
  <c r="AO63" i="136" s="1"/>
  <c r="AS62" i="136" a="1"/>
  <c r="AS62" i="136" s="1"/>
  <c r="AO62" i="136" s="1"/>
  <c r="AS61" i="136" a="1"/>
  <c r="AS61" i="136" s="1"/>
  <c r="AO61" i="136" s="1"/>
  <c r="AS60" i="136" a="1"/>
  <c r="AS60" i="136" s="1"/>
  <c r="AO60" i="136" s="1"/>
  <c r="AS59" i="136" a="1"/>
  <c r="AS59" i="136" s="1"/>
  <c r="AO59" i="136" s="1"/>
  <c r="AS58" i="136" a="1"/>
  <c r="AS58" i="136" s="1"/>
  <c r="AO58" i="136" s="1"/>
  <c r="AS57" i="136" a="1"/>
  <c r="AS57" i="136" s="1"/>
  <c r="AO57" i="136" s="1"/>
  <c r="AS56" i="136" a="1"/>
  <c r="AS56" i="136" s="1"/>
  <c r="AO56" i="136" s="1"/>
  <c r="AS55" i="136" a="1"/>
  <c r="AS55" i="136" s="1"/>
  <c r="AO55" i="136" s="1"/>
  <c r="AS54" i="136" a="1"/>
  <c r="AS54" i="136" s="1"/>
  <c r="AO54" i="136" s="1"/>
  <c r="AS53" i="136" a="1"/>
  <c r="AS53" i="136" s="1"/>
  <c r="AO53" i="136" s="1"/>
  <c r="AS52" i="136" a="1"/>
  <c r="AS52" i="136" s="1"/>
  <c r="AO52" i="136" s="1"/>
  <c r="AS51" i="136" a="1"/>
  <c r="AS51" i="136" s="1"/>
  <c r="AO51" i="136" s="1"/>
  <c r="AS50" i="136" a="1"/>
  <c r="AS50" i="136" s="1"/>
  <c r="AO50" i="136" s="1"/>
  <c r="AS49" i="136" a="1"/>
  <c r="AS49" i="136" s="1"/>
  <c r="AO49" i="136" s="1"/>
  <c r="AS48" i="136" a="1"/>
  <c r="AS48" i="136" s="1"/>
  <c r="AO48" i="136" s="1"/>
  <c r="AS47" i="136" a="1"/>
  <c r="AS47" i="136" s="1"/>
  <c r="AO47" i="136" s="1"/>
  <c r="AS46" i="136" a="1"/>
  <c r="AS46" i="136" s="1"/>
  <c r="AO46" i="136" s="1"/>
  <c r="AS45" i="136" a="1"/>
  <c r="AS45" i="136" s="1"/>
  <c r="AO45" i="136" s="1"/>
  <c r="AS44" i="136" a="1"/>
  <c r="AS44" i="136" s="1"/>
  <c r="AO44" i="136" s="1"/>
  <c r="AS43" i="136" a="1"/>
  <c r="AS43" i="136" s="1"/>
  <c r="AO43" i="136" s="1"/>
  <c r="AS42" i="136" a="1"/>
  <c r="AS42" i="136" s="1"/>
  <c r="AO42" i="136" s="1"/>
  <c r="AS41" i="136" a="1"/>
  <c r="AS41" i="136" s="1"/>
  <c r="AO41" i="136" s="1"/>
  <c r="AS40" i="136" a="1"/>
  <c r="AS40" i="136" s="1"/>
  <c r="AO40" i="136" s="1"/>
  <c r="AS39" i="136" a="1"/>
  <c r="AS39" i="136" s="1"/>
  <c r="AO39" i="136" s="1"/>
  <c r="AS38" i="136" a="1"/>
  <c r="AS38" i="136" s="1"/>
  <c r="AO38" i="136" s="1"/>
  <c r="AS37" i="136" a="1"/>
  <c r="AS37" i="136" s="1"/>
  <c r="AO37" i="136" s="1"/>
  <c r="AS36" i="136" a="1"/>
  <c r="AS36" i="136" s="1"/>
  <c r="AO36" i="136" s="1"/>
  <c r="AS35" i="136" a="1"/>
  <c r="AS35" i="136" s="1"/>
  <c r="AO35" i="136" s="1"/>
  <c r="AS34" i="136" a="1"/>
  <c r="AS34" i="136" s="1"/>
  <c r="AO34" i="136" s="1"/>
  <c r="AS33" i="136" a="1"/>
  <c r="AS33" i="136" s="1"/>
  <c r="AO33" i="136" s="1"/>
  <c r="AS32" i="136" a="1"/>
  <c r="AS32" i="136" s="1"/>
  <c r="AO32" i="136" s="1"/>
  <c r="AS31" i="136" a="1"/>
  <c r="AS31" i="136" s="1"/>
  <c r="AO31" i="136" s="1"/>
  <c r="AS30" i="136" a="1"/>
  <c r="AS30" i="136" s="1"/>
  <c r="AO30" i="136" s="1"/>
  <c r="AS29" i="136" a="1"/>
  <c r="AS29" i="136" s="1"/>
  <c r="AO29" i="136" s="1"/>
  <c r="AS28" i="136" a="1"/>
  <c r="AS28" i="136" s="1"/>
  <c r="AO28" i="136" s="1"/>
  <c r="AS27" i="136" a="1"/>
  <c r="AS27" i="136" s="1"/>
  <c r="AO27" i="136" s="1"/>
  <c r="AS26" i="136" a="1"/>
  <c r="AS26" i="136" s="1"/>
  <c r="AO26" i="136" s="1"/>
  <c r="AS25" i="136" a="1"/>
  <c r="AS25" i="136" s="1"/>
  <c r="AO25" i="136" s="1"/>
  <c r="AS24" i="136" a="1"/>
  <c r="AS24" i="136" s="1"/>
  <c r="AO24" i="136" s="1"/>
  <c r="AS23" i="136" a="1"/>
  <c r="AS23" i="136" s="1"/>
  <c r="AO23" i="136" s="1"/>
  <c r="AS22" i="136" a="1"/>
  <c r="AS22" i="136" s="1"/>
  <c r="AO22" i="136" s="1"/>
  <c r="AS21" i="136" a="1"/>
  <c r="AS21" i="136" s="1"/>
  <c r="AO21" i="136" s="1"/>
  <c r="AS20" i="136" a="1"/>
  <c r="AS20" i="136" s="1"/>
  <c r="AO20" i="136" s="1"/>
  <c r="AS19" i="136" a="1"/>
  <c r="AS19" i="136" s="1"/>
  <c r="AO19" i="136" s="1"/>
  <c r="AS18" i="136" a="1"/>
  <c r="AS18" i="136" s="1"/>
  <c r="AO18" i="136" s="1"/>
  <c r="AS17" i="136" a="1"/>
  <c r="AS17" i="136" s="1"/>
  <c r="AO17" i="136" s="1"/>
  <c r="AS16" i="136" a="1"/>
  <c r="AS16" i="136" s="1"/>
  <c r="AO16" i="136" s="1"/>
  <c r="AS15" i="136" a="1"/>
  <c r="AS15" i="136" s="1"/>
  <c r="AO15" i="136" s="1"/>
  <c r="AS14" i="136" a="1"/>
  <c r="AS14" i="136" s="1"/>
  <c r="AO14" i="136" s="1"/>
  <c r="AS13" i="136" a="1"/>
  <c r="AS13" i="136" s="1"/>
  <c r="AO13" i="136" s="1"/>
  <c r="AS12" i="136" a="1"/>
  <c r="AS12" i="136" s="1"/>
  <c r="AO12" i="136" s="1"/>
  <c r="AS11" i="136" a="1"/>
  <c r="AS11" i="136" s="1"/>
  <c r="AO11" i="136" s="1"/>
  <c r="AS10" i="136" a="1"/>
  <c r="AS10" i="136" s="1"/>
  <c r="AO10" i="136" s="1"/>
  <c r="AS9" i="136" a="1"/>
  <c r="AS9" i="136" s="1"/>
  <c r="AS8" i="136" a="1"/>
  <c r="AS8" i="136" s="1"/>
  <c r="AO8" i="136" s="1"/>
  <c r="AS7" i="136" a="1"/>
  <c r="AS7" i="136" s="1"/>
  <c r="AO7" i="136" s="1"/>
  <c r="AS6" i="136" a="1"/>
  <c r="AS6" i="136" s="1"/>
  <c r="AG41" i="139" a="1"/>
  <c r="AG41" i="139" s="1"/>
  <c r="AG4" i="139" a="1"/>
  <c r="AG4" i="139" s="1"/>
  <c r="AO6" i="136" l="1"/>
  <c r="AO9" i="136"/>
  <c r="AS5" i="136" a="1"/>
  <c r="AS5" i="136" s="1"/>
  <c r="AO5" i="136" s="1"/>
  <c r="D5" i="135" s="1" a="1"/>
  <c r="D5" i="135" s="1"/>
  <c r="AG42" i="139" a="1"/>
  <c r="AG42" i="139" s="1"/>
  <c r="AG43" i="139" s="1" a="1"/>
  <c r="AG43" i="139" s="1"/>
  <c r="AG5" i="139" a="1"/>
  <c r="AG5" i="139" s="1"/>
  <c r="AF5" i="139" s="1"/>
  <c r="AF4" i="139"/>
  <c r="D4" i="135" l="1"/>
  <c r="AG44" i="139" a="1"/>
  <c r="AG44" i="139" s="1"/>
  <c r="AG6" i="139" a="1"/>
  <c r="AG6" i="139" s="1"/>
  <c r="AF6" i="139" s="1"/>
  <c r="AG7" i="139" l="1" a="1"/>
  <c r="AG7" i="139" s="1"/>
  <c r="AF7" i="139" s="1"/>
  <c r="AG8" i="139" l="1" a="1"/>
  <c r="AG8" i="139" s="1"/>
  <c r="AF8" i="139" l="1"/>
  <c r="AG9" i="139" a="1"/>
  <c r="AG9" i="139" s="1"/>
  <c r="AG10" i="139" a="1"/>
  <c r="AG10" i="139" s="1"/>
  <c r="AF10" i="139" s="1"/>
  <c r="AG11" i="139" l="1" a="1"/>
  <c r="AG11" i="139" s="1"/>
  <c r="AF11" i="139" s="1"/>
  <c r="AF9" i="139"/>
  <c r="AG12" i="139" a="1"/>
  <c r="AG12" i="139" s="1"/>
  <c r="AF12" i="139" s="1"/>
  <c r="AG13" i="139" l="1" a="1"/>
  <c r="AG13" i="139" s="1"/>
  <c r="AF13" i="139" l="1"/>
  <c r="AG14" i="139" a="1"/>
  <c r="AG14" i="139" s="1"/>
  <c r="AF14" i="139" l="1"/>
  <c r="AG15" i="139" a="1"/>
  <c r="AG15" i="139" s="1"/>
  <c r="AF15" i="139" l="1"/>
  <c r="AG16" i="139" a="1"/>
  <c r="AG16" i="139" s="1"/>
  <c r="AF16" i="139" l="1"/>
  <c r="AG17" i="139" a="1"/>
  <c r="AG17" i="139" s="1"/>
  <c r="AF17" i="139" l="1"/>
  <c r="AG18" i="139" a="1"/>
  <c r="AG18" i="139" s="1"/>
  <c r="AF18" i="139" l="1"/>
  <c r="AG19" i="139" a="1"/>
  <c r="AG19" i="139" s="1"/>
  <c r="AF19" i="139" l="1"/>
  <c r="AG20" i="139" a="1"/>
  <c r="AG20" i="139" s="1"/>
  <c r="AF20" i="139" l="1"/>
  <c r="AG21" i="139" a="1"/>
  <c r="AG21" i="139" s="1"/>
  <c r="AF21" i="139" l="1"/>
  <c r="AG22" i="139" a="1"/>
  <c r="AG22" i="139" s="1"/>
  <c r="AF22" i="139" l="1"/>
  <c r="AG23" i="139" a="1"/>
  <c r="AG23" i="139" s="1"/>
  <c r="AF23" i="139" l="1"/>
  <c r="AG24" i="139" a="1"/>
  <c r="AG24" i="139" s="1"/>
  <c r="AF24" i="139" l="1"/>
  <c r="AG25" i="139" a="1"/>
  <c r="AG25" i="139" s="1"/>
  <c r="AF25" i="139" l="1"/>
  <c r="AG26" i="139" a="1"/>
  <c r="AG26" i="139" s="1"/>
  <c r="AF26" i="139" l="1"/>
  <c r="AG27" i="139" a="1"/>
  <c r="AG27" i="139" s="1"/>
  <c r="AF27" i="139" l="1"/>
  <c r="AG28" i="139" a="1"/>
  <c r="AG28" i="139" s="1"/>
  <c r="AF28" i="139" l="1"/>
  <c r="AG29" i="139" a="1"/>
  <c r="AG29" i="139" s="1"/>
  <c r="AF29" i="139" l="1"/>
  <c r="AG30" i="139" a="1"/>
  <c r="AG30" i="139" s="1"/>
  <c r="AF30" i="139" l="1"/>
  <c r="AG31" i="139" a="1"/>
  <c r="AG31" i="139" s="1"/>
  <c r="AF31" i="139" l="1"/>
  <c r="AG32" i="139" a="1"/>
  <c r="AG32" i="139" s="1"/>
  <c r="AF32" i="139" l="1"/>
  <c r="AG33" i="139" a="1"/>
  <c r="AG33" i="139" s="1"/>
  <c r="AF33" i="139" l="1"/>
  <c r="AG34" i="139" a="1"/>
  <c r="AG34" i="139" s="1"/>
  <c r="AF34" i="139" l="1"/>
  <c r="AG35" i="139" a="1"/>
  <c r="AG35" i="139" s="1"/>
  <c r="AF35" i="139" l="1"/>
  <c r="AG36" i="139" a="1"/>
  <c r="AG36" i="139" s="1"/>
  <c r="AF36" i="139" l="1"/>
  <c r="AG37" i="139" a="1"/>
  <c r="AG37" i="139" s="1"/>
  <c r="AF37" i="139" l="1"/>
  <c r="AG38" i="139" a="1"/>
  <c r="AG38" i="139" s="1"/>
  <c r="AF38" i="139" l="1"/>
  <c r="AG39" i="139" a="1"/>
  <c r="AG39" i="139" s="1"/>
  <c r="AF39" i="139" l="1"/>
  <c r="AG40" i="139" a="1"/>
  <c r="AG40" i="139" s="1"/>
  <c r="AF40" i="139" s="1"/>
  <c r="AG3" i="139" l="1" a="1"/>
  <c r="AG3" i="139" s="1"/>
  <c r="AF3" i="139" s="1"/>
  <c r="AB541" i="131" l="1"/>
  <c r="AB540" i="131"/>
  <c r="AB539" i="131"/>
  <c r="AB538" i="131"/>
  <c r="AB537" i="131"/>
  <c r="AB536" i="131"/>
  <c r="AB535" i="131"/>
  <c r="AB534" i="131"/>
  <c r="AB533" i="131"/>
  <c r="AB532" i="131"/>
  <c r="AB531" i="131"/>
  <c r="AB530" i="131"/>
  <c r="AB529" i="131"/>
  <c r="AB528" i="131"/>
  <c r="AB527" i="131"/>
  <c r="AB526" i="131"/>
  <c r="AB525" i="131"/>
  <c r="AB524" i="131"/>
  <c r="AB523" i="131"/>
  <c r="AB522" i="131"/>
  <c r="AB521" i="131"/>
  <c r="AB520" i="131"/>
  <c r="AB519" i="131"/>
  <c r="AB518" i="131"/>
  <c r="AB517" i="131"/>
  <c r="AB516" i="131"/>
  <c r="AB515" i="131"/>
  <c r="AB514" i="131"/>
  <c r="AB513" i="131"/>
  <c r="AB512" i="131"/>
  <c r="AB511" i="131"/>
  <c r="AB510" i="131"/>
  <c r="AB509" i="131"/>
  <c r="AB508" i="131"/>
  <c r="AB507" i="131"/>
  <c r="AB506" i="131"/>
  <c r="AB505" i="131"/>
  <c r="AB504" i="131"/>
  <c r="AB503" i="131"/>
  <c r="AB502" i="131"/>
  <c r="AB501" i="131"/>
  <c r="AB500" i="131"/>
  <c r="AB499" i="131"/>
  <c r="AB498" i="131"/>
  <c r="AB497" i="131"/>
  <c r="AB496" i="131"/>
  <c r="AB495" i="131"/>
  <c r="AB494" i="131"/>
  <c r="AB493" i="131"/>
  <c r="AB492" i="131"/>
  <c r="AB491" i="131"/>
  <c r="AI541" i="131"/>
  <c r="AI540" i="131"/>
  <c r="AI539" i="131"/>
  <c r="AI538" i="131"/>
  <c r="AI537" i="131"/>
  <c r="AI536" i="131"/>
  <c r="AI535" i="131"/>
  <c r="AI534" i="131"/>
  <c r="AI533" i="131"/>
  <c r="AI532" i="131"/>
  <c r="AI531" i="131"/>
  <c r="AI530" i="131"/>
  <c r="AI529" i="131"/>
  <c r="AI528" i="131"/>
  <c r="AI527" i="131"/>
  <c r="AI526" i="131"/>
  <c r="AI525" i="131"/>
  <c r="AI524" i="131"/>
  <c r="AI523" i="131"/>
  <c r="AI522" i="131"/>
  <c r="AI521" i="131"/>
  <c r="AI520" i="131"/>
  <c r="AI519" i="131"/>
  <c r="AI518" i="131"/>
  <c r="AI517" i="131"/>
  <c r="AI516" i="131"/>
  <c r="AI515" i="131"/>
  <c r="AI514" i="131"/>
  <c r="AI513" i="131"/>
  <c r="AI512" i="131"/>
  <c r="AI511" i="131"/>
  <c r="AI510" i="131"/>
  <c r="AI509" i="131"/>
  <c r="AI508" i="131"/>
  <c r="AI507" i="131"/>
  <c r="AI506" i="131"/>
  <c r="AI505" i="131"/>
  <c r="AI504" i="131"/>
  <c r="AI503" i="131"/>
  <c r="AI502" i="131"/>
  <c r="AI501" i="131"/>
  <c r="AI500" i="131"/>
  <c r="AI499" i="131"/>
  <c r="AI498" i="131"/>
  <c r="AI497" i="131"/>
  <c r="AI496" i="131"/>
  <c r="AI495" i="131"/>
  <c r="AI494" i="131"/>
  <c r="AI493" i="131"/>
  <c r="AI492" i="131"/>
  <c r="AI491" i="131"/>
  <c r="AP540" i="131"/>
  <c r="AP539" i="131"/>
  <c r="AP538" i="131"/>
  <c r="AP537" i="131"/>
  <c r="AP536" i="131"/>
  <c r="AP535" i="131"/>
  <c r="AP534" i="131"/>
  <c r="AP533" i="131"/>
  <c r="AP532" i="131"/>
  <c r="AP531" i="131"/>
  <c r="AP530" i="131"/>
  <c r="AP529" i="131"/>
  <c r="AP528" i="131"/>
  <c r="AP527" i="131"/>
  <c r="AP526" i="131"/>
  <c r="AP525" i="131"/>
  <c r="AP524" i="131"/>
  <c r="AP523" i="131"/>
  <c r="AP522" i="131"/>
  <c r="AP521" i="131"/>
  <c r="AP520" i="131"/>
  <c r="AP519" i="131"/>
  <c r="AP518" i="131"/>
  <c r="AP517" i="131"/>
  <c r="AP516" i="131"/>
  <c r="AP515" i="131"/>
  <c r="AP514" i="131"/>
  <c r="AP513" i="131"/>
  <c r="AP512" i="131"/>
  <c r="AP511" i="131"/>
  <c r="AP510" i="131"/>
  <c r="AP509" i="131"/>
  <c r="AP508" i="131"/>
  <c r="AP507" i="131"/>
  <c r="AP506" i="131"/>
  <c r="AP505" i="131"/>
  <c r="AP504" i="131"/>
  <c r="AP503" i="131"/>
  <c r="AP502" i="131"/>
  <c r="AP501" i="131"/>
  <c r="AP500" i="131"/>
  <c r="AP499" i="131"/>
  <c r="AP498" i="131"/>
  <c r="AP497" i="131"/>
  <c r="AP496" i="131"/>
  <c r="AP495" i="131"/>
  <c r="AP494" i="131"/>
  <c r="AP493" i="131"/>
  <c r="AP492" i="131"/>
  <c r="AP491" i="131"/>
  <c r="U541" i="131"/>
  <c r="U540" i="131"/>
  <c r="U539" i="131"/>
  <c r="U538" i="131"/>
  <c r="U537" i="131"/>
  <c r="U536" i="131"/>
  <c r="U535" i="131"/>
  <c r="U534" i="131"/>
  <c r="U533" i="131"/>
  <c r="U532" i="131"/>
  <c r="U531" i="131"/>
  <c r="U530" i="131"/>
  <c r="U529" i="131"/>
  <c r="U528" i="131"/>
  <c r="U527" i="131"/>
  <c r="U526" i="131"/>
  <c r="U525" i="131"/>
  <c r="U524" i="131"/>
  <c r="U523" i="131"/>
  <c r="U522" i="131"/>
  <c r="U521" i="131"/>
  <c r="U520" i="131"/>
  <c r="U519" i="131"/>
  <c r="U518" i="131"/>
  <c r="U517" i="131"/>
  <c r="U516" i="131"/>
  <c r="U515" i="131"/>
  <c r="U514" i="131"/>
  <c r="U513" i="131"/>
  <c r="U512" i="131"/>
  <c r="U511" i="131"/>
  <c r="U510" i="131"/>
  <c r="U509" i="131"/>
  <c r="U508" i="131"/>
  <c r="U507" i="131"/>
  <c r="U506" i="131"/>
  <c r="U505" i="131"/>
  <c r="U504" i="131"/>
  <c r="U503" i="131"/>
  <c r="U502" i="131"/>
  <c r="U501" i="131"/>
  <c r="U500" i="131"/>
  <c r="U499" i="131"/>
  <c r="U498" i="131"/>
  <c r="U497" i="131"/>
  <c r="U496" i="131"/>
  <c r="U495" i="131"/>
  <c r="U494" i="131"/>
  <c r="U493" i="131"/>
  <c r="U492" i="131"/>
  <c r="U491" i="131"/>
  <c r="L540" i="131" a="1"/>
  <c r="L540" i="131" s="1"/>
  <c r="O540" i="131" s="1"/>
  <c r="L539" i="131" a="1"/>
  <c r="L539" i="131" s="1"/>
  <c r="L538" i="131" a="1"/>
  <c r="L538" i="131" s="1"/>
  <c r="L537" i="131" a="1"/>
  <c r="L537" i="131" s="1"/>
  <c r="L536" i="131" a="1"/>
  <c r="L536" i="131" s="1"/>
  <c r="O536" i="131" s="1"/>
  <c r="L535" i="131" a="1"/>
  <c r="L535" i="131" s="1"/>
  <c r="L534" i="131" a="1"/>
  <c r="L534" i="131" s="1"/>
  <c r="L533" i="131" a="1"/>
  <c r="L533" i="131" s="1"/>
  <c r="L532" i="131" a="1"/>
  <c r="L532" i="131" s="1"/>
  <c r="O532" i="131" s="1"/>
  <c r="L531" i="131" a="1"/>
  <c r="L531" i="131" s="1"/>
  <c r="L530" i="131" a="1"/>
  <c r="L530" i="131" s="1"/>
  <c r="L529" i="131" a="1"/>
  <c r="L529" i="131" s="1"/>
  <c r="L528" i="131" a="1"/>
  <c r="L528" i="131" s="1"/>
  <c r="O528" i="131" s="1"/>
  <c r="L527" i="131" a="1"/>
  <c r="L527" i="131" s="1"/>
  <c r="L526" i="131" a="1"/>
  <c r="L526" i="131" s="1"/>
  <c r="M526" i="131" s="1"/>
  <c r="L525" i="131" a="1"/>
  <c r="L525" i="131" s="1"/>
  <c r="L524" i="131" a="1"/>
  <c r="L524" i="131" s="1"/>
  <c r="O524" i="131" s="1"/>
  <c r="L523" i="131" a="1"/>
  <c r="L523" i="131" s="1"/>
  <c r="L522" i="131" a="1"/>
  <c r="L522" i="131" s="1"/>
  <c r="L521" i="131" a="1"/>
  <c r="L521" i="131" s="1"/>
  <c r="L520" i="131" a="1"/>
  <c r="L520" i="131" s="1"/>
  <c r="O520" i="131" s="1"/>
  <c r="L519" i="131" a="1"/>
  <c r="L519" i="131" s="1"/>
  <c r="L518" i="131" a="1"/>
  <c r="L518" i="131" s="1"/>
  <c r="L517" i="131" a="1"/>
  <c r="L517" i="131" s="1"/>
  <c r="L516" i="131" a="1"/>
  <c r="L516" i="131" s="1"/>
  <c r="O516" i="131" s="1"/>
  <c r="L515" i="131" a="1"/>
  <c r="L515" i="131" s="1"/>
  <c r="L514" i="131" a="1"/>
  <c r="L514" i="131" s="1"/>
  <c r="L513" i="131" a="1"/>
  <c r="L513" i="131" s="1"/>
  <c r="L512" i="131" a="1"/>
  <c r="L512" i="131" s="1"/>
  <c r="O512" i="131" s="1"/>
  <c r="L511" i="131" a="1"/>
  <c r="L511" i="131" s="1"/>
  <c r="L510" i="131" a="1"/>
  <c r="L510" i="131" s="1"/>
  <c r="L509" i="131" a="1"/>
  <c r="L509" i="131" s="1"/>
  <c r="L508" i="131" a="1"/>
  <c r="L508" i="131" s="1"/>
  <c r="O508" i="131" s="1"/>
  <c r="L507" i="131" a="1"/>
  <c r="L507" i="131" s="1"/>
  <c r="L506" i="131" a="1"/>
  <c r="L506" i="131" s="1"/>
  <c r="L505" i="131" a="1"/>
  <c r="L505" i="131" s="1"/>
  <c r="L504" i="131" a="1"/>
  <c r="L504" i="131" s="1"/>
  <c r="O504" i="131" s="1"/>
  <c r="L503" i="131" a="1"/>
  <c r="L503" i="131" s="1"/>
  <c r="L502" i="131" a="1"/>
  <c r="L502" i="131" s="1"/>
  <c r="L501" i="131" a="1"/>
  <c r="L501" i="131" s="1"/>
  <c r="L500" i="131" a="1"/>
  <c r="L500" i="131" s="1"/>
  <c r="O500" i="131" s="1"/>
  <c r="L499" i="131" a="1"/>
  <c r="L499" i="131" s="1"/>
  <c r="L498" i="131" a="1"/>
  <c r="L498" i="131" s="1"/>
  <c r="L497" i="131" a="1"/>
  <c r="L497" i="131" s="1"/>
  <c r="L496" i="131" a="1"/>
  <c r="L496" i="131" s="1"/>
  <c r="O496" i="131" s="1"/>
  <c r="L495" i="131" a="1"/>
  <c r="L495" i="131" s="1"/>
  <c r="L494" i="131" a="1"/>
  <c r="L494" i="131" s="1"/>
  <c r="L493" i="131" a="1"/>
  <c r="L493" i="131" s="1"/>
  <c r="L492" i="131" a="1"/>
  <c r="L492" i="131" s="1"/>
  <c r="O492" i="131" s="1"/>
  <c r="L491" i="131" a="1"/>
  <c r="L491" i="131" s="1"/>
  <c r="U433" i="131"/>
  <c r="U432" i="131"/>
  <c r="U431" i="131"/>
  <c r="U430" i="131"/>
  <c r="U429" i="131"/>
  <c r="U428" i="131"/>
  <c r="U427" i="131"/>
  <c r="U426" i="131"/>
  <c r="U425" i="131"/>
  <c r="U424" i="131"/>
  <c r="U423" i="131"/>
  <c r="U422" i="131"/>
  <c r="U421" i="131"/>
  <c r="U420" i="131"/>
  <c r="U419" i="131"/>
  <c r="U418" i="131"/>
  <c r="U417" i="131"/>
  <c r="U416" i="131"/>
  <c r="U415" i="131"/>
  <c r="U414" i="131"/>
  <c r="U413" i="131"/>
  <c r="U412" i="131"/>
  <c r="U411" i="131"/>
  <c r="U410" i="131"/>
  <c r="U409" i="131"/>
  <c r="U408" i="131"/>
  <c r="U407" i="131"/>
  <c r="U406" i="131"/>
  <c r="U405" i="131"/>
  <c r="U404" i="131"/>
  <c r="U403" i="131"/>
  <c r="U402" i="131"/>
  <c r="U401" i="131"/>
  <c r="U400" i="131"/>
  <c r="U399" i="131"/>
  <c r="U398" i="131"/>
  <c r="U397" i="131"/>
  <c r="U396" i="131"/>
  <c r="U395" i="131"/>
  <c r="U394" i="131"/>
  <c r="U393" i="131"/>
  <c r="U392" i="131"/>
  <c r="U391" i="131"/>
  <c r="U390" i="131"/>
  <c r="U389" i="131"/>
  <c r="U388" i="131"/>
  <c r="U387" i="131"/>
  <c r="U386" i="131"/>
  <c r="U385" i="131"/>
  <c r="U384" i="131"/>
  <c r="AB433" i="131"/>
  <c r="AB432" i="131"/>
  <c r="AB431" i="131"/>
  <c r="AB430" i="131"/>
  <c r="AB429" i="131"/>
  <c r="AB428" i="131"/>
  <c r="AB427" i="131"/>
  <c r="AB426" i="131"/>
  <c r="AB425" i="131"/>
  <c r="AB424" i="131"/>
  <c r="AB423" i="131"/>
  <c r="AB422" i="131"/>
  <c r="AB421" i="131"/>
  <c r="AB420" i="131"/>
  <c r="AB419" i="131"/>
  <c r="AB418" i="131"/>
  <c r="AB417" i="131"/>
  <c r="AB416" i="131"/>
  <c r="AB415" i="131"/>
  <c r="AB414" i="131"/>
  <c r="AB413" i="131"/>
  <c r="AB412" i="131"/>
  <c r="AB411" i="131"/>
  <c r="AB410" i="131"/>
  <c r="AB409" i="131"/>
  <c r="AB408" i="131"/>
  <c r="AB407" i="131"/>
  <c r="AB406" i="131"/>
  <c r="AB405" i="131"/>
  <c r="AB404" i="131"/>
  <c r="AB403" i="131"/>
  <c r="AB402" i="131"/>
  <c r="AB401" i="131"/>
  <c r="AB400" i="131"/>
  <c r="AB399" i="131"/>
  <c r="AB398" i="131"/>
  <c r="AB397" i="131"/>
  <c r="AB396" i="131"/>
  <c r="AB395" i="131"/>
  <c r="AB394" i="131"/>
  <c r="AB393" i="131"/>
  <c r="AB392" i="131"/>
  <c r="AB391" i="131"/>
  <c r="AB390" i="131"/>
  <c r="AB389" i="131"/>
  <c r="AB388" i="131"/>
  <c r="AB387" i="131"/>
  <c r="AB386" i="131"/>
  <c r="AB385" i="131"/>
  <c r="AB384" i="131"/>
  <c r="AI433" i="131"/>
  <c r="AI432" i="131"/>
  <c r="AI431" i="131"/>
  <c r="AI430" i="131"/>
  <c r="AI429" i="131"/>
  <c r="AI428" i="131"/>
  <c r="AI427" i="131"/>
  <c r="AI426" i="131"/>
  <c r="AI425" i="131"/>
  <c r="AI424" i="131"/>
  <c r="AI423" i="131"/>
  <c r="AI422" i="131"/>
  <c r="AI421" i="131"/>
  <c r="AI420" i="131"/>
  <c r="AI419" i="131"/>
  <c r="AI418" i="131"/>
  <c r="AI417" i="131"/>
  <c r="AI416" i="131"/>
  <c r="AI415" i="131"/>
  <c r="AI414" i="131"/>
  <c r="AI413" i="131"/>
  <c r="AI412" i="131"/>
  <c r="AI411" i="131"/>
  <c r="AI410" i="131"/>
  <c r="AI409" i="131"/>
  <c r="AI408" i="131"/>
  <c r="AI407" i="131"/>
  <c r="AI406" i="131"/>
  <c r="AI405" i="131"/>
  <c r="AI404" i="131"/>
  <c r="AI403" i="131"/>
  <c r="AI402" i="131"/>
  <c r="AI401" i="131"/>
  <c r="AI400" i="131"/>
  <c r="AI399" i="131"/>
  <c r="AI398" i="131"/>
  <c r="AI397" i="131"/>
  <c r="AI396" i="131"/>
  <c r="AI395" i="131"/>
  <c r="AI394" i="131"/>
  <c r="AI393" i="131"/>
  <c r="AI392" i="131"/>
  <c r="AI391" i="131"/>
  <c r="AI390" i="131"/>
  <c r="AI389" i="131"/>
  <c r="AI388" i="131"/>
  <c r="AI387" i="131"/>
  <c r="AI386" i="131"/>
  <c r="AI385" i="131"/>
  <c r="AI384" i="131"/>
  <c r="AP433" i="131"/>
  <c r="AP432" i="131"/>
  <c r="AP431" i="131"/>
  <c r="AP430" i="131"/>
  <c r="AP429" i="131"/>
  <c r="AP428" i="131"/>
  <c r="AP427" i="131"/>
  <c r="AP426" i="131"/>
  <c r="AP425" i="131"/>
  <c r="AP424" i="131"/>
  <c r="AP423" i="131"/>
  <c r="AP422" i="131"/>
  <c r="AP421" i="131"/>
  <c r="AP420" i="131"/>
  <c r="AP419" i="131"/>
  <c r="AP418" i="131"/>
  <c r="AP417" i="131"/>
  <c r="AP416" i="131"/>
  <c r="AP415" i="131"/>
  <c r="AP414" i="131"/>
  <c r="AP413" i="131"/>
  <c r="AP412" i="131"/>
  <c r="AP411" i="131"/>
  <c r="AP410" i="131"/>
  <c r="AP409" i="131"/>
  <c r="AP408" i="131"/>
  <c r="AP407" i="131"/>
  <c r="AP406" i="131"/>
  <c r="AP405" i="131"/>
  <c r="AP404" i="131"/>
  <c r="AP403" i="131"/>
  <c r="AP402" i="131"/>
  <c r="AP401" i="131"/>
  <c r="AP400" i="131"/>
  <c r="AP399" i="131"/>
  <c r="AP398" i="131"/>
  <c r="AP397" i="131"/>
  <c r="AP396" i="131"/>
  <c r="AP395" i="131"/>
  <c r="AP394" i="131"/>
  <c r="AP393" i="131"/>
  <c r="AP392" i="131"/>
  <c r="AP391" i="131"/>
  <c r="AP390" i="131"/>
  <c r="AP389" i="131"/>
  <c r="AP388" i="131"/>
  <c r="AP387" i="131"/>
  <c r="AP386" i="131"/>
  <c r="AP385" i="131"/>
  <c r="AP384" i="131"/>
  <c r="L435" i="131" a="1"/>
  <c r="L435" i="131" s="1"/>
  <c r="O435" i="131" s="1"/>
  <c r="L434" i="131" a="1"/>
  <c r="L434" i="131" s="1"/>
  <c r="O434" i="131" s="1"/>
  <c r="L433" i="131" a="1"/>
  <c r="L433" i="131" s="1"/>
  <c r="O433" i="131" s="1"/>
  <c r="L432" i="131" a="1"/>
  <c r="L432" i="131" s="1"/>
  <c r="O432" i="131" s="1"/>
  <c r="L431" i="131" a="1"/>
  <c r="L431" i="131" s="1"/>
  <c r="M431" i="131" s="1"/>
  <c r="L430" i="131" a="1"/>
  <c r="L430" i="131" s="1"/>
  <c r="O430" i="131" s="1"/>
  <c r="L429" i="131" a="1"/>
  <c r="L429" i="131" s="1"/>
  <c r="O429" i="131" s="1"/>
  <c r="L428" i="131" a="1"/>
  <c r="L428" i="131" s="1"/>
  <c r="M428" i="131" s="1"/>
  <c r="L427" i="131" a="1"/>
  <c r="L427" i="131" s="1"/>
  <c r="O427" i="131" s="1"/>
  <c r="L426" i="131" a="1"/>
  <c r="L426" i="131" s="1"/>
  <c r="O426" i="131" s="1"/>
  <c r="L425" i="131" a="1"/>
  <c r="L425" i="131" s="1"/>
  <c r="O425" i="131" s="1"/>
  <c r="L424" i="131" a="1"/>
  <c r="L424" i="131" s="1"/>
  <c r="O424" i="131" s="1"/>
  <c r="L423" i="131" a="1"/>
  <c r="L423" i="131" s="1"/>
  <c r="M423" i="131" s="1"/>
  <c r="L422" i="131" a="1"/>
  <c r="L422" i="131" s="1"/>
  <c r="O422" i="131" s="1"/>
  <c r="L421" i="131" a="1"/>
  <c r="L421" i="131" s="1"/>
  <c r="O421" i="131" s="1"/>
  <c r="L420" i="131" a="1"/>
  <c r="L420" i="131" s="1"/>
  <c r="O420" i="131" s="1"/>
  <c r="L419" i="131" a="1"/>
  <c r="L419" i="131" s="1"/>
  <c r="O419" i="131" s="1"/>
  <c r="L418" i="131" a="1"/>
  <c r="L418" i="131" s="1"/>
  <c r="M418" i="131" s="1"/>
  <c r="L417" i="131" a="1"/>
  <c r="L417" i="131" s="1"/>
  <c r="O417" i="131" s="1"/>
  <c r="L416" i="131" a="1"/>
  <c r="L416" i="131" s="1"/>
  <c r="O416" i="131" s="1"/>
  <c r="L415" i="131" a="1"/>
  <c r="L415" i="131" s="1"/>
  <c r="M415" i="131" s="1"/>
  <c r="L414" i="131" a="1"/>
  <c r="L414" i="131" s="1"/>
  <c r="O414" i="131" s="1"/>
  <c r="L413" i="131" a="1"/>
  <c r="L413" i="131" s="1"/>
  <c r="O413" i="131" s="1"/>
  <c r="L412" i="131" a="1"/>
  <c r="L412" i="131" s="1"/>
  <c r="O412" i="131" s="1"/>
  <c r="L411" i="131" a="1"/>
  <c r="L411" i="131" s="1"/>
  <c r="O411" i="131" s="1"/>
  <c r="L410" i="131" a="1"/>
  <c r="L410" i="131" s="1"/>
  <c r="M410" i="131" s="1"/>
  <c r="L409" i="131" a="1"/>
  <c r="L409" i="131" s="1"/>
  <c r="M409" i="131" s="1"/>
  <c r="L408" i="131" a="1"/>
  <c r="L408" i="131" s="1"/>
  <c r="O408" i="131" s="1"/>
  <c r="L407" i="131" a="1"/>
  <c r="L407" i="131" s="1"/>
  <c r="M407" i="131" s="1"/>
  <c r="L406" i="131" a="1"/>
  <c r="L406" i="131" s="1"/>
  <c r="O406" i="131" s="1"/>
  <c r="L405" i="131" a="1"/>
  <c r="L405" i="131" s="1"/>
  <c r="O405" i="131" s="1"/>
  <c r="L404" i="131" a="1"/>
  <c r="L404" i="131" s="1"/>
  <c r="O404" i="131" s="1"/>
  <c r="L403" i="131" a="1"/>
  <c r="L403" i="131" s="1"/>
  <c r="O403" i="131" s="1"/>
  <c r="L402" i="131" a="1"/>
  <c r="L402" i="131" s="1"/>
  <c r="O402" i="131" s="1"/>
  <c r="L401" i="131" a="1"/>
  <c r="L401" i="131" s="1"/>
  <c r="M401" i="131" s="1"/>
  <c r="L400" i="131" a="1"/>
  <c r="L400" i="131" s="1"/>
  <c r="M400" i="131" s="1"/>
  <c r="L399" i="131" a="1"/>
  <c r="L399" i="131" s="1"/>
  <c r="M399" i="131" s="1"/>
  <c r="L398" i="131" a="1"/>
  <c r="L398" i="131" s="1"/>
  <c r="M398" i="131" s="1"/>
  <c r="L397" i="131" a="1"/>
  <c r="L397" i="131" s="1"/>
  <c r="O397" i="131" s="1"/>
  <c r="L396" i="131" a="1"/>
  <c r="L396" i="131" s="1"/>
  <c r="M396" i="131" s="1"/>
  <c r="L395" i="131" a="1"/>
  <c r="L395" i="131" s="1"/>
  <c r="O395" i="131" s="1"/>
  <c r="L394" i="131" a="1"/>
  <c r="L394" i="131" s="1"/>
  <c r="M394" i="131" s="1"/>
  <c r="L393" i="131" a="1"/>
  <c r="L393" i="131" s="1"/>
  <c r="M393" i="131" s="1"/>
  <c r="L392" i="131" a="1"/>
  <c r="L392" i="131" s="1"/>
  <c r="M392" i="131" s="1"/>
  <c r="L391" i="131" a="1"/>
  <c r="L391" i="131" s="1"/>
  <c r="M391" i="131" s="1"/>
  <c r="L390" i="131" a="1"/>
  <c r="L390" i="131" s="1"/>
  <c r="O390" i="131" s="1"/>
  <c r="L389" i="131" a="1"/>
  <c r="L389" i="131" s="1"/>
  <c r="M389" i="131" s="1"/>
  <c r="L388" i="131" a="1"/>
  <c r="L388" i="131" s="1"/>
  <c r="O388" i="131" s="1"/>
  <c r="L387" i="131" a="1"/>
  <c r="L387" i="131" s="1"/>
  <c r="O387" i="131" s="1"/>
  <c r="L386" i="131" a="1"/>
  <c r="L386" i="131" s="1"/>
  <c r="O386" i="131" s="1"/>
  <c r="L385" i="131" a="1"/>
  <c r="L385" i="131" s="1"/>
  <c r="O385" i="131" s="1"/>
  <c r="L384" i="131" a="1"/>
  <c r="L384" i="131" s="1"/>
  <c r="O384" i="131" s="1"/>
  <c r="L383" i="131" a="1"/>
  <c r="L383" i="131" s="1"/>
  <c r="M383" i="131" s="1"/>
  <c r="M386" i="131" l="1"/>
  <c r="M424" i="131"/>
  <c r="O394" i="131"/>
  <c r="M411" i="131"/>
  <c r="O400" i="131"/>
  <c r="M433" i="131"/>
  <c r="M434" i="131"/>
  <c r="M435" i="131"/>
  <c r="M385" i="131"/>
  <c r="M425" i="131"/>
  <c r="M402" i="131"/>
  <c r="M430" i="131"/>
  <c r="O392" i="131"/>
  <c r="O418" i="131"/>
  <c r="M384" i="131"/>
  <c r="M403" i="131"/>
  <c r="M432" i="131"/>
  <c r="O393" i="131"/>
  <c r="M387" i="131"/>
  <c r="O401" i="131"/>
  <c r="M426" i="131"/>
  <c r="M427" i="131"/>
  <c r="O409" i="131"/>
  <c r="M395" i="131"/>
  <c r="M429" i="131"/>
  <c r="O391" i="131"/>
  <c r="O410" i="131"/>
  <c r="M534" i="131"/>
  <c r="O534" i="131"/>
  <c r="M420" i="131"/>
  <c r="M404" i="131"/>
  <c r="M413" i="131"/>
  <c r="M422" i="131"/>
  <c r="M518" i="131"/>
  <c r="O518" i="131"/>
  <c r="M421" i="131"/>
  <c r="O431" i="131"/>
  <c r="M494" i="131"/>
  <c r="O494" i="131"/>
  <c r="M412" i="131"/>
  <c r="O396" i="131"/>
  <c r="O423" i="131"/>
  <c r="O428" i="131"/>
  <c r="M405" i="131"/>
  <c r="M414" i="131"/>
  <c r="M388" i="131"/>
  <c r="M397" i="131"/>
  <c r="M416" i="131"/>
  <c r="M406" i="131"/>
  <c r="M390" i="131"/>
  <c r="O389" i="131"/>
  <c r="O398" i="131"/>
  <c r="O407" i="131"/>
  <c r="M408" i="131"/>
  <c r="M417" i="131"/>
  <c r="O415" i="131"/>
  <c r="M419" i="131"/>
  <c r="O399" i="131"/>
  <c r="O526" i="131"/>
  <c r="M535" i="131"/>
  <c r="O535" i="131"/>
  <c r="O506" i="131"/>
  <c r="M506" i="131"/>
  <c r="O523" i="131"/>
  <c r="M523" i="131"/>
  <c r="M527" i="131"/>
  <c r="O527" i="131"/>
  <c r="O533" i="131"/>
  <c r="M533" i="131"/>
  <c r="M537" i="131"/>
  <c r="O537" i="131"/>
  <c r="M510" i="131"/>
  <c r="O510" i="131"/>
  <c r="M507" i="131"/>
  <c r="O507" i="131"/>
  <c r="M513" i="131"/>
  <c r="O513" i="131"/>
  <c r="O538" i="131"/>
  <c r="M538" i="131"/>
  <c r="O493" i="131"/>
  <c r="M493" i="131"/>
  <c r="M497" i="131"/>
  <c r="O497" i="131"/>
  <c r="O539" i="131"/>
  <c r="M539" i="131"/>
  <c r="M531" i="131"/>
  <c r="O531" i="131"/>
  <c r="O498" i="131"/>
  <c r="M498" i="131"/>
  <c r="M511" i="131"/>
  <c r="O511" i="131"/>
  <c r="O517" i="131"/>
  <c r="M517" i="131"/>
  <c r="M521" i="131"/>
  <c r="O521" i="131"/>
  <c r="M499" i="131"/>
  <c r="O499" i="131"/>
  <c r="M505" i="131"/>
  <c r="O505" i="131"/>
  <c r="O522" i="131"/>
  <c r="M522" i="131"/>
  <c r="M491" i="131"/>
  <c r="O491" i="131"/>
  <c r="M495" i="131"/>
  <c r="O495" i="131"/>
  <c r="O501" i="131"/>
  <c r="M501" i="131"/>
  <c r="O514" i="131"/>
  <c r="M514" i="131"/>
  <c r="M502" i="131"/>
  <c r="O502" i="131"/>
  <c r="M515" i="131"/>
  <c r="O515" i="131"/>
  <c r="M519" i="131"/>
  <c r="O519" i="131"/>
  <c r="O525" i="131"/>
  <c r="M525" i="131"/>
  <c r="M529" i="131"/>
  <c r="O529" i="131"/>
  <c r="M503" i="131"/>
  <c r="O503" i="131"/>
  <c r="O509" i="131"/>
  <c r="M509" i="131"/>
  <c r="O530" i="131"/>
  <c r="M530" i="131"/>
  <c r="M496" i="131"/>
  <c r="M504" i="131"/>
  <c r="M512" i="131"/>
  <c r="M520" i="131"/>
  <c r="M528" i="131"/>
  <c r="M536" i="131"/>
  <c r="M492" i="131"/>
  <c r="M500" i="131"/>
  <c r="M508" i="131"/>
  <c r="M516" i="131"/>
  <c r="M524" i="131"/>
  <c r="M532" i="131"/>
  <c r="M540" i="131"/>
  <c r="O3" i="116" l="1" a="1"/>
  <c r="O3" i="116" s="1"/>
  <c r="J5" i="1" a="1"/>
  <c r="J5" i="1" s="1"/>
  <c r="AQ3" i="116" a="1"/>
  <c r="AQ3" i="116" s="1"/>
  <c r="G44" i="141" l="1"/>
  <c r="G36" i="141"/>
  <c r="G28" i="141"/>
  <c r="G20" i="141"/>
  <c r="G43" i="141"/>
  <c r="G35" i="141"/>
  <c r="G27" i="141"/>
  <c r="G19" i="141"/>
  <c r="G21" i="141"/>
  <c r="G42" i="141"/>
  <c r="G34" i="141"/>
  <c r="G26" i="141"/>
  <c r="G18" i="141"/>
  <c r="G29" i="141"/>
  <c r="G41" i="141"/>
  <c r="G33" i="141"/>
  <c r="G25" i="141"/>
  <c r="G17" i="141"/>
  <c r="G37" i="141"/>
  <c r="G40" i="141"/>
  <c r="G32" i="141"/>
  <c r="G24" i="141"/>
  <c r="G16" i="141"/>
  <c r="G39" i="141"/>
  <c r="G31" i="141"/>
  <c r="G23" i="141"/>
  <c r="G15" i="141"/>
  <c r="G38" i="141"/>
  <c r="G30" i="141"/>
  <c r="G22" i="141"/>
  <c r="G6" i="141"/>
  <c r="G9" i="141"/>
  <c r="G12" i="141"/>
  <c r="G13" i="141"/>
  <c r="G7" i="141"/>
  <c r="G10" i="141"/>
  <c r="G14" i="141"/>
  <c r="G5" i="141"/>
  <c r="G8" i="141"/>
  <c r="G11" i="141"/>
  <c r="AW649" i="131" l="1"/>
  <c r="AW648" i="131"/>
  <c r="AW647" i="131"/>
  <c r="AW646" i="131"/>
  <c r="AW645" i="131"/>
  <c r="AW644" i="131"/>
  <c r="AW643" i="131"/>
  <c r="AW642" i="131"/>
  <c r="AW641" i="131"/>
  <c r="AW640" i="131"/>
  <c r="AW639" i="131"/>
  <c r="AW638" i="131"/>
  <c r="AW637" i="131"/>
  <c r="AW636" i="131"/>
  <c r="AW635" i="131"/>
  <c r="AW634" i="131"/>
  <c r="AW633" i="131"/>
  <c r="AW632" i="131"/>
  <c r="AW631" i="131"/>
  <c r="AW630" i="131"/>
  <c r="AW629" i="131"/>
  <c r="AW628" i="131"/>
  <c r="AW627" i="131"/>
  <c r="AW626" i="131"/>
  <c r="AW625" i="131"/>
  <c r="AW624" i="131"/>
  <c r="AW623" i="131"/>
  <c r="AW622" i="131"/>
  <c r="AW621" i="131"/>
  <c r="AW620" i="131"/>
  <c r="AW619" i="131"/>
  <c r="AW618" i="131"/>
  <c r="AW617" i="131"/>
  <c r="AW616" i="131"/>
  <c r="AW615" i="131"/>
  <c r="AW614" i="131"/>
  <c r="AW613" i="131"/>
  <c r="AW612" i="131"/>
  <c r="AW611" i="131"/>
  <c r="AW610" i="131"/>
  <c r="AW609" i="131"/>
  <c r="AW608" i="131"/>
  <c r="AW607" i="131"/>
  <c r="AW606" i="131"/>
  <c r="AW605" i="131"/>
  <c r="AW604" i="131"/>
  <c r="AW603" i="131"/>
  <c r="AW602" i="131"/>
  <c r="AW601" i="131"/>
  <c r="AW600" i="131"/>
  <c r="AW599" i="131"/>
  <c r="AW598" i="131"/>
  <c r="AW597" i="131"/>
  <c r="AW596" i="131"/>
  <c r="AW595" i="131"/>
  <c r="AW594" i="131"/>
  <c r="AW593" i="131"/>
  <c r="AW592" i="131"/>
  <c r="AW591" i="131"/>
  <c r="AW590" i="131"/>
  <c r="AW589" i="131"/>
  <c r="AW588" i="131"/>
  <c r="AW587" i="131"/>
  <c r="AW586" i="131"/>
  <c r="AW585" i="131"/>
  <c r="AW584" i="131"/>
  <c r="AW583" i="131"/>
  <c r="AW582" i="131"/>
  <c r="AW581" i="131"/>
  <c r="AW580" i="131"/>
  <c r="AW579" i="131"/>
  <c r="AW578" i="131"/>
  <c r="AW577" i="131"/>
  <c r="AW576" i="131"/>
  <c r="AW575" i="131"/>
  <c r="AW574" i="131"/>
  <c r="AW573" i="131"/>
  <c r="AW572" i="131"/>
  <c r="AW571" i="131"/>
  <c r="AW570" i="131"/>
  <c r="AW569" i="131"/>
  <c r="AW568" i="131"/>
  <c r="AW567" i="131"/>
  <c r="AW566" i="131"/>
  <c r="AW565" i="131"/>
  <c r="AW564" i="131"/>
  <c r="AW563" i="131"/>
  <c r="AW562" i="131"/>
  <c r="AW561" i="131"/>
  <c r="AW560" i="131"/>
  <c r="AW559" i="131"/>
  <c r="AW558" i="131"/>
  <c r="AW557" i="131"/>
  <c r="AW556" i="131"/>
  <c r="AW555" i="131"/>
  <c r="AW554" i="131"/>
  <c r="AW553" i="131"/>
  <c r="AW552" i="131"/>
  <c r="AW551" i="131"/>
  <c r="AW550" i="131"/>
  <c r="BF525" i="131"/>
  <c r="BV525" i="131" s="1"/>
  <c r="BF493" i="131"/>
  <c r="BV493" i="131" s="1"/>
  <c r="AW542" i="131"/>
  <c r="AW541" i="131"/>
  <c r="AW540" i="131"/>
  <c r="BF540" i="131" s="1"/>
  <c r="AW539" i="131"/>
  <c r="BF539" i="131" s="1"/>
  <c r="BV539" i="131" s="1"/>
  <c r="AW538" i="131"/>
  <c r="AW537" i="131"/>
  <c r="BF537" i="131" s="1"/>
  <c r="BV537" i="131" s="1"/>
  <c r="AW536" i="131"/>
  <c r="AW535" i="131"/>
  <c r="BF535" i="131" s="1"/>
  <c r="BV535" i="131" s="1"/>
  <c r="AW534" i="131"/>
  <c r="BF534" i="131" s="1"/>
  <c r="BV534" i="131" s="1"/>
  <c r="AW533" i="131"/>
  <c r="BF533" i="131" s="1"/>
  <c r="BV533" i="131" s="1"/>
  <c r="AW532" i="131"/>
  <c r="BF532" i="131" s="1"/>
  <c r="AW531" i="131"/>
  <c r="BF531" i="131" s="1"/>
  <c r="BV531" i="131" s="1"/>
  <c r="AW530" i="131"/>
  <c r="AW529" i="131"/>
  <c r="BF529" i="131" s="1"/>
  <c r="BV529" i="131" s="1"/>
  <c r="AW528" i="131"/>
  <c r="AW527" i="131"/>
  <c r="BF527" i="131" s="1"/>
  <c r="BV527" i="131" s="1"/>
  <c r="AW526" i="131"/>
  <c r="BF526" i="131" s="1"/>
  <c r="AW525" i="131"/>
  <c r="AW524" i="131"/>
  <c r="BF524" i="131" s="1"/>
  <c r="AW523" i="131"/>
  <c r="BF523" i="131" s="1"/>
  <c r="BV523" i="131" s="1"/>
  <c r="AW522" i="131"/>
  <c r="AW521" i="131"/>
  <c r="BF521" i="131" s="1"/>
  <c r="BV521" i="131" s="1"/>
  <c r="AW520" i="131"/>
  <c r="AW519" i="131"/>
  <c r="BF519" i="131" s="1"/>
  <c r="BV519" i="131" s="1"/>
  <c r="AW518" i="131"/>
  <c r="BF518" i="131" s="1"/>
  <c r="AW517" i="131"/>
  <c r="BF517" i="131" s="1"/>
  <c r="BV517" i="131" s="1"/>
  <c r="AW516" i="131"/>
  <c r="BF516" i="131" s="1"/>
  <c r="AW515" i="131"/>
  <c r="BF515" i="131" s="1"/>
  <c r="BV515" i="131" s="1"/>
  <c r="AW514" i="131"/>
  <c r="AW513" i="131"/>
  <c r="BF513" i="131" s="1"/>
  <c r="AW512" i="131"/>
  <c r="AW511" i="131"/>
  <c r="BF511" i="131" s="1"/>
  <c r="BV511" i="131" s="1"/>
  <c r="AW510" i="131"/>
  <c r="BF510" i="131" s="1"/>
  <c r="AW509" i="131"/>
  <c r="BF509" i="131" s="1"/>
  <c r="BV509" i="131" s="1"/>
  <c r="AW508" i="131"/>
  <c r="BF508" i="131" s="1"/>
  <c r="AW507" i="131"/>
  <c r="BF507" i="131" s="1"/>
  <c r="BV507" i="131" s="1"/>
  <c r="AW506" i="131"/>
  <c r="AW505" i="131"/>
  <c r="BF505" i="131" s="1"/>
  <c r="BV505" i="131" s="1"/>
  <c r="AW504" i="131"/>
  <c r="AW503" i="131"/>
  <c r="BF503" i="131" s="1"/>
  <c r="BV503" i="131" s="1"/>
  <c r="AW502" i="131"/>
  <c r="BF502" i="131" s="1"/>
  <c r="AW501" i="131"/>
  <c r="BF501" i="131" s="1"/>
  <c r="BV501" i="131" s="1"/>
  <c r="AW500" i="131"/>
  <c r="BF500" i="131" s="1"/>
  <c r="AW499" i="131"/>
  <c r="BF499" i="131" s="1"/>
  <c r="BV499" i="131" s="1"/>
  <c r="AW498" i="131"/>
  <c r="AW497" i="131"/>
  <c r="BF497" i="131" s="1"/>
  <c r="BV497" i="131" s="1"/>
  <c r="AW496" i="131"/>
  <c r="AW495" i="131"/>
  <c r="BF495" i="131" s="1"/>
  <c r="BV495" i="131" s="1"/>
  <c r="AW494" i="131"/>
  <c r="BF494" i="131" s="1"/>
  <c r="AW493" i="131"/>
  <c r="AW492" i="131"/>
  <c r="BF492" i="131" s="1"/>
  <c r="AW491" i="131"/>
  <c r="BF491" i="131" s="1"/>
  <c r="BV491" i="131" s="1"/>
  <c r="AW490" i="131"/>
  <c r="AW489" i="131"/>
  <c r="AW488" i="131"/>
  <c r="AW487" i="131"/>
  <c r="AW486" i="131"/>
  <c r="AW485" i="131"/>
  <c r="AW484" i="131"/>
  <c r="AW483" i="131"/>
  <c r="AW482" i="131"/>
  <c r="AW481" i="131"/>
  <c r="AW480" i="131"/>
  <c r="AW479" i="131"/>
  <c r="AW478" i="131"/>
  <c r="AW477" i="131"/>
  <c r="AW476" i="131"/>
  <c r="AW475" i="131"/>
  <c r="AW474" i="131"/>
  <c r="AW473" i="131"/>
  <c r="AW472" i="131"/>
  <c r="AW471" i="131"/>
  <c r="AW470" i="131"/>
  <c r="AW469" i="131"/>
  <c r="AW468" i="131"/>
  <c r="AW467" i="131"/>
  <c r="AW466" i="131"/>
  <c r="AW465" i="131"/>
  <c r="AW464" i="131"/>
  <c r="AW463" i="131"/>
  <c r="AW462" i="131"/>
  <c r="AW461" i="131"/>
  <c r="AW460" i="131"/>
  <c r="AW459" i="131"/>
  <c r="AW458" i="131"/>
  <c r="AW457" i="131"/>
  <c r="AW456" i="131"/>
  <c r="AW455" i="131"/>
  <c r="AW454" i="131"/>
  <c r="AW453" i="131"/>
  <c r="AW452" i="131"/>
  <c r="AW451" i="131"/>
  <c r="AW450" i="131"/>
  <c r="AW449" i="131"/>
  <c r="AW448" i="131"/>
  <c r="AW447" i="131"/>
  <c r="AW446" i="131"/>
  <c r="AW445" i="131"/>
  <c r="AW444" i="131"/>
  <c r="AW443" i="131"/>
  <c r="BJ350" i="131" a="1"/>
  <c r="BJ350" i="131" s="1"/>
  <c r="AW435" i="131"/>
  <c r="AW434" i="131"/>
  <c r="AW433" i="131"/>
  <c r="AW432" i="131"/>
  <c r="BF432" i="131" s="1"/>
  <c r="BV432" i="131" s="1"/>
  <c r="AW431" i="131"/>
  <c r="BF431" i="131" s="1"/>
  <c r="BV431" i="131" s="1"/>
  <c r="AW430" i="131"/>
  <c r="BF430" i="131" s="1"/>
  <c r="BV430" i="131" s="1"/>
  <c r="AW429" i="131"/>
  <c r="AW428" i="131"/>
  <c r="AW427" i="131"/>
  <c r="AW426" i="131"/>
  <c r="BF426" i="131" s="1"/>
  <c r="BV426" i="131" s="1"/>
  <c r="AW425" i="131"/>
  <c r="AW424" i="131"/>
  <c r="BF424" i="131" s="1"/>
  <c r="BV424" i="131" s="1"/>
  <c r="AW423" i="131"/>
  <c r="BF423" i="131" s="1"/>
  <c r="BV423" i="131" s="1"/>
  <c r="AW422" i="131"/>
  <c r="BF422" i="131" s="1"/>
  <c r="BV422" i="131" s="1"/>
  <c r="AW421" i="131"/>
  <c r="AW420" i="131"/>
  <c r="BF420" i="131" s="1"/>
  <c r="BV420" i="131" s="1"/>
  <c r="AW419" i="131"/>
  <c r="AW418" i="131"/>
  <c r="BF418" i="131" s="1"/>
  <c r="BV418" i="131" s="1"/>
  <c r="AW417" i="131"/>
  <c r="AW416" i="131"/>
  <c r="BF416" i="131" s="1"/>
  <c r="BV416" i="131" s="1"/>
  <c r="AW415" i="131"/>
  <c r="BF415" i="131" s="1"/>
  <c r="BV415" i="131" s="1"/>
  <c r="AW414" i="131"/>
  <c r="BF414" i="131" s="1"/>
  <c r="BV414" i="131" s="1"/>
  <c r="AW413" i="131"/>
  <c r="BF413" i="131" s="1"/>
  <c r="BV413" i="131" s="1"/>
  <c r="AW412" i="131"/>
  <c r="BF412" i="131" s="1"/>
  <c r="BV412" i="131" s="1"/>
  <c r="AW411" i="131"/>
  <c r="AW410" i="131"/>
  <c r="BF410" i="131" s="1"/>
  <c r="BV410" i="131" s="1"/>
  <c r="AW409" i="131"/>
  <c r="AW408" i="131"/>
  <c r="BF408" i="131" s="1"/>
  <c r="BV408" i="131" s="1"/>
  <c r="AW407" i="131"/>
  <c r="BF407" i="131" s="1"/>
  <c r="BV407" i="131" s="1"/>
  <c r="AW406" i="131"/>
  <c r="BF406" i="131" s="1"/>
  <c r="BV406" i="131" s="1"/>
  <c r="AW405" i="131"/>
  <c r="BF405" i="131" s="1"/>
  <c r="BV405" i="131" s="1"/>
  <c r="AW404" i="131"/>
  <c r="AW403" i="131"/>
  <c r="AW402" i="131"/>
  <c r="AW401" i="131"/>
  <c r="AW400" i="131"/>
  <c r="BF400" i="131" s="1"/>
  <c r="BV400" i="131" s="1"/>
  <c r="AW399" i="131"/>
  <c r="BF399" i="131" s="1"/>
  <c r="BV399" i="131" s="1"/>
  <c r="AW398" i="131"/>
  <c r="BF398" i="131" s="1"/>
  <c r="AW397" i="131"/>
  <c r="BF397" i="131" s="1"/>
  <c r="BV397" i="131" s="1"/>
  <c r="AW396" i="131"/>
  <c r="AW395" i="131"/>
  <c r="AW394" i="131"/>
  <c r="BF394" i="131" s="1"/>
  <c r="AW393" i="131"/>
  <c r="AW392" i="131"/>
  <c r="BF392" i="131" s="1"/>
  <c r="BV392" i="131" s="1"/>
  <c r="AW391" i="131"/>
  <c r="BF391" i="131" s="1"/>
  <c r="BV391" i="131" s="1"/>
  <c r="AW390" i="131"/>
  <c r="BF390" i="131" s="1"/>
  <c r="BV390" i="131" s="1"/>
  <c r="AW389" i="131"/>
  <c r="BF389" i="131" s="1"/>
  <c r="BV389" i="131" s="1"/>
  <c r="AW388" i="131"/>
  <c r="BF388" i="131" s="1"/>
  <c r="BV388" i="131" s="1"/>
  <c r="AW387" i="131"/>
  <c r="AW386" i="131"/>
  <c r="BF386" i="131" s="1"/>
  <c r="BV386" i="131" s="1"/>
  <c r="AW385" i="131"/>
  <c r="AW384" i="131"/>
  <c r="BF384" i="131" s="1"/>
  <c r="BV384" i="131" s="1"/>
  <c r="AW383" i="131"/>
  <c r="AW382" i="131"/>
  <c r="AW381" i="131"/>
  <c r="AW380" i="131"/>
  <c r="AW379" i="131"/>
  <c r="AW378" i="131"/>
  <c r="AW377" i="131"/>
  <c r="AW376" i="131"/>
  <c r="AW375" i="131"/>
  <c r="AW374" i="131"/>
  <c r="AW373" i="131"/>
  <c r="AW372" i="131"/>
  <c r="AW371" i="131"/>
  <c r="AW370" i="131"/>
  <c r="AW369" i="131"/>
  <c r="AW368" i="131"/>
  <c r="AW367" i="131"/>
  <c r="AW366" i="131"/>
  <c r="AW365" i="131"/>
  <c r="AW364" i="131"/>
  <c r="AW363" i="131"/>
  <c r="AW362" i="131"/>
  <c r="AW361" i="131"/>
  <c r="AW360" i="131"/>
  <c r="AW359" i="131"/>
  <c r="AW358" i="131"/>
  <c r="AW357" i="131"/>
  <c r="AW356" i="131"/>
  <c r="AW355" i="131"/>
  <c r="AW354" i="131"/>
  <c r="AW353" i="131"/>
  <c r="AW352" i="131"/>
  <c r="AW351" i="131"/>
  <c r="AW350" i="131"/>
  <c r="AW349" i="131"/>
  <c r="AW348" i="131"/>
  <c r="AW347" i="131"/>
  <c r="AW346" i="131"/>
  <c r="AW345" i="131"/>
  <c r="AW344" i="131"/>
  <c r="AW343" i="131"/>
  <c r="AW342" i="131"/>
  <c r="AW341" i="131"/>
  <c r="AW340" i="131"/>
  <c r="AW339" i="131"/>
  <c r="AW338" i="131"/>
  <c r="AW337" i="131"/>
  <c r="AW336" i="131"/>
  <c r="BJ232" i="131" a="1"/>
  <c r="BJ232" i="131" s="1"/>
  <c r="BJ231" i="131" a="1"/>
  <c r="BJ231" i="131" s="1"/>
  <c r="AW327" i="131"/>
  <c r="AW326" i="131"/>
  <c r="AW325" i="131"/>
  <c r="AW324" i="131"/>
  <c r="AW323" i="131"/>
  <c r="AW322" i="131"/>
  <c r="AW321" i="131"/>
  <c r="AW320" i="131"/>
  <c r="AW319" i="131"/>
  <c r="AW318" i="131"/>
  <c r="AW317" i="131"/>
  <c r="AW316" i="131"/>
  <c r="AW315" i="131"/>
  <c r="AW314" i="131"/>
  <c r="AW313" i="131"/>
  <c r="AW312" i="131"/>
  <c r="AW311" i="131"/>
  <c r="AW310" i="131"/>
  <c r="AW309" i="131"/>
  <c r="AW308" i="131"/>
  <c r="AW307" i="131"/>
  <c r="AW306" i="131"/>
  <c r="AW305" i="131"/>
  <c r="AW304" i="131"/>
  <c r="AW303" i="131"/>
  <c r="AW302" i="131"/>
  <c r="AW301" i="131"/>
  <c r="AW300" i="131"/>
  <c r="AW299" i="131"/>
  <c r="AW298" i="131"/>
  <c r="AW297" i="131"/>
  <c r="AW296" i="131"/>
  <c r="AW295" i="131"/>
  <c r="AW294" i="131"/>
  <c r="AW293" i="131"/>
  <c r="AW292" i="131"/>
  <c r="AW291" i="131"/>
  <c r="AW290" i="131"/>
  <c r="AW289" i="131"/>
  <c r="AW288" i="131"/>
  <c r="AW287" i="131"/>
  <c r="AW286" i="131"/>
  <c r="AW285" i="131"/>
  <c r="AW284" i="131"/>
  <c r="AW283" i="131"/>
  <c r="AW282" i="131"/>
  <c r="AW281" i="131"/>
  <c r="AW280" i="131"/>
  <c r="AW279" i="131"/>
  <c r="AW278" i="131"/>
  <c r="AW277" i="131"/>
  <c r="AW276" i="131"/>
  <c r="AW275" i="131"/>
  <c r="AW274" i="131"/>
  <c r="AW273" i="131"/>
  <c r="AW272" i="131"/>
  <c r="AW271" i="131"/>
  <c r="AW270" i="131"/>
  <c r="AW269" i="131"/>
  <c r="AW268" i="131"/>
  <c r="AW267" i="131"/>
  <c r="AW266" i="131"/>
  <c r="AW265" i="131"/>
  <c r="AW264" i="131"/>
  <c r="AW263" i="131"/>
  <c r="AW262" i="131"/>
  <c r="AW261" i="131"/>
  <c r="AW260" i="131"/>
  <c r="AW259" i="131"/>
  <c r="AW258" i="131"/>
  <c r="AW257" i="131"/>
  <c r="AW256" i="131"/>
  <c r="AW255" i="131"/>
  <c r="AW254" i="131"/>
  <c r="AW253" i="131"/>
  <c r="AW252" i="131"/>
  <c r="AW251" i="131"/>
  <c r="AW250" i="131"/>
  <c r="AW249" i="131"/>
  <c r="AW248" i="131"/>
  <c r="AW247" i="131"/>
  <c r="AW246" i="131"/>
  <c r="AW245" i="131"/>
  <c r="AW244" i="131"/>
  <c r="AW243" i="131"/>
  <c r="AW242" i="131"/>
  <c r="AW241" i="131"/>
  <c r="AW240" i="131"/>
  <c r="AW239" i="131"/>
  <c r="AW238" i="131"/>
  <c r="AW237" i="131"/>
  <c r="AW236" i="131"/>
  <c r="AW235" i="131"/>
  <c r="AW234" i="131"/>
  <c r="AW233" i="131"/>
  <c r="AW232" i="131"/>
  <c r="AW231" i="131"/>
  <c r="AW230" i="131"/>
  <c r="AW229" i="131"/>
  <c r="AW228" i="131"/>
  <c r="AW220" i="131"/>
  <c r="AW219" i="131"/>
  <c r="AW218" i="131"/>
  <c r="AW217" i="131"/>
  <c r="AW216" i="131"/>
  <c r="AW215" i="131"/>
  <c r="AW214" i="131"/>
  <c r="AW213" i="131"/>
  <c r="AW212" i="131"/>
  <c r="AW211" i="131"/>
  <c r="AW210" i="131"/>
  <c r="AW209" i="131"/>
  <c r="AW208" i="131"/>
  <c r="AW207" i="131"/>
  <c r="AW206" i="131"/>
  <c r="AW205" i="131"/>
  <c r="AW204" i="131"/>
  <c r="AW203" i="131"/>
  <c r="AW202" i="131"/>
  <c r="AW201" i="131"/>
  <c r="AW200" i="131"/>
  <c r="AW199" i="131"/>
  <c r="AW198" i="131"/>
  <c r="AW197" i="131"/>
  <c r="AW196" i="131"/>
  <c r="AW195" i="131"/>
  <c r="AW194" i="131"/>
  <c r="AW193" i="131"/>
  <c r="AW192" i="131"/>
  <c r="AW191" i="131"/>
  <c r="AW190" i="131"/>
  <c r="AW189" i="131"/>
  <c r="AW188" i="131"/>
  <c r="AW187" i="131"/>
  <c r="AW186" i="131"/>
  <c r="AW185" i="131"/>
  <c r="AW184" i="131"/>
  <c r="AW183" i="131"/>
  <c r="AW182" i="131"/>
  <c r="AW181" i="131"/>
  <c r="AW180" i="131"/>
  <c r="AW179" i="131"/>
  <c r="AW178" i="131"/>
  <c r="AW177" i="131"/>
  <c r="AW176" i="131"/>
  <c r="AW175" i="131"/>
  <c r="AW174" i="131"/>
  <c r="AW173" i="131"/>
  <c r="AW172" i="131"/>
  <c r="AW171" i="131"/>
  <c r="AW170" i="131"/>
  <c r="AW169" i="131"/>
  <c r="AW168" i="131"/>
  <c r="AW167" i="131"/>
  <c r="AW166" i="131"/>
  <c r="AW165" i="131"/>
  <c r="AW164" i="131"/>
  <c r="AW163" i="131"/>
  <c r="AW162" i="131"/>
  <c r="AW161" i="131"/>
  <c r="AW160" i="131"/>
  <c r="AW159" i="131"/>
  <c r="AW158" i="131"/>
  <c r="AW157" i="131"/>
  <c r="AW156" i="131"/>
  <c r="AW155" i="131"/>
  <c r="AW154" i="131"/>
  <c r="AW153" i="131"/>
  <c r="AW152" i="131"/>
  <c r="AW151" i="131"/>
  <c r="AW150" i="131"/>
  <c r="AW149" i="131"/>
  <c r="AW148" i="131"/>
  <c r="AW147" i="131"/>
  <c r="AW146" i="131"/>
  <c r="AW145" i="131"/>
  <c r="AW144" i="131"/>
  <c r="AW143" i="131"/>
  <c r="AW142" i="131"/>
  <c r="AW141" i="131"/>
  <c r="AW140" i="131"/>
  <c r="AW139" i="131"/>
  <c r="AW138" i="131"/>
  <c r="AW137" i="131"/>
  <c r="AW136" i="131"/>
  <c r="AW135" i="131"/>
  <c r="AW134" i="131"/>
  <c r="AW133" i="131"/>
  <c r="AW132" i="131"/>
  <c r="AW131" i="131"/>
  <c r="AW130" i="131"/>
  <c r="AW129" i="131"/>
  <c r="AW128" i="131"/>
  <c r="AW127" i="131"/>
  <c r="AW126" i="131"/>
  <c r="AW125" i="131"/>
  <c r="AW124" i="131"/>
  <c r="AW123" i="131"/>
  <c r="AW122" i="131"/>
  <c r="AW121" i="131"/>
  <c r="BV540" i="131"/>
  <c r="BU540" i="131"/>
  <c r="BU539" i="131"/>
  <c r="BU538" i="131"/>
  <c r="BU537" i="131"/>
  <c r="BU536" i="131"/>
  <c r="BU535" i="131"/>
  <c r="BU534" i="131"/>
  <c r="BU533" i="131"/>
  <c r="BV532" i="131"/>
  <c r="BU532" i="131"/>
  <c r="BU531" i="131"/>
  <c r="BU530" i="131"/>
  <c r="BU529" i="131"/>
  <c r="BU528" i="131"/>
  <c r="BU527" i="131"/>
  <c r="BV526" i="131"/>
  <c r="BU526" i="131"/>
  <c r="BU525" i="131"/>
  <c r="BV524" i="131"/>
  <c r="BU524" i="131"/>
  <c r="BU523" i="131"/>
  <c r="BU522" i="131"/>
  <c r="BU521" i="131"/>
  <c r="BU520" i="131"/>
  <c r="BU519" i="131"/>
  <c r="BV518" i="131"/>
  <c r="BU518" i="131"/>
  <c r="BU517" i="131"/>
  <c r="BV516" i="131"/>
  <c r="BU516" i="131"/>
  <c r="BU515" i="131"/>
  <c r="BU514" i="131"/>
  <c r="BV513" i="131"/>
  <c r="BU513" i="131"/>
  <c r="BU512" i="131"/>
  <c r="BU511" i="131"/>
  <c r="BV510" i="131"/>
  <c r="BU510" i="131"/>
  <c r="BU509" i="131"/>
  <c r="BV508" i="131"/>
  <c r="BU508" i="131"/>
  <c r="BU507" i="131"/>
  <c r="BU506" i="131"/>
  <c r="BU505" i="131"/>
  <c r="BU504" i="131"/>
  <c r="BU503" i="131"/>
  <c r="BV502" i="131"/>
  <c r="BU502" i="131"/>
  <c r="BU501" i="131"/>
  <c r="BV500" i="131"/>
  <c r="BU500" i="131"/>
  <c r="BU499" i="131"/>
  <c r="BU498" i="131"/>
  <c r="BU497" i="131"/>
  <c r="BU496" i="131"/>
  <c r="BU495" i="131"/>
  <c r="BV494" i="131"/>
  <c r="BU494" i="131"/>
  <c r="BU493" i="131"/>
  <c r="BV492" i="131"/>
  <c r="BU492" i="131"/>
  <c r="BU491" i="131"/>
  <c r="BU433" i="131"/>
  <c r="BU432" i="131"/>
  <c r="BU431" i="131"/>
  <c r="BU430" i="131"/>
  <c r="BU429" i="131"/>
  <c r="BU428" i="131"/>
  <c r="BU427" i="131"/>
  <c r="BU426" i="131"/>
  <c r="BU425" i="131"/>
  <c r="BU424" i="131"/>
  <c r="BU423" i="131"/>
  <c r="BU422" i="131"/>
  <c r="BU421" i="131"/>
  <c r="BU420" i="131"/>
  <c r="BU419" i="131"/>
  <c r="BU418" i="131"/>
  <c r="BU417" i="131"/>
  <c r="BU416" i="131"/>
  <c r="BU415" i="131"/>
  <c r="BU414" i="131"/>
  <c r="BU413" i="131"/>
  <c r="BU412" i="131"/>
  <c r="BU411" i="131"/>
  <c r="BU410" i="131"/>
  <c r="BU409" i="131"/>
  <c r="BU408" i="131"/>
  <c r="BU407" i="131"/>
  <c r="BU406" i="131"/>
  <c r="BU405" i="131"/>
  <c r="BU404" i="131"/>
  <c r="BU403" i="131"/>
  <c r="BU402" i="131"/>
  <c r="BU401" i="131"/>
  <c r="BU400" i="131"/>
  <c r="BU399" i="131"/>
  <c r="BV398" i="131"/>
  <c r="BU398" i="131"/>
  <c r="BU397" i="131"/>
  <c r="BU396" i="131"/>
  <c r="BU395" i="131"/>
  <c r="BV394" i="131"/>
  <c r="BU394" i="131"/>
  <c r="BU393" i="131"/>
  <c r="BU392" i="131"/>
  <c r="BU391" i="131"/>
  <c r="BU390" i="131"/>
  <c r="BU389" i="131"/>
  <c r="BU388" i="131"/>
  <c r="BU387" i="131"/>
  <c r="BU386" i="131"/>
  <c r="BU385" i="131"/>
  <c r="BU384" i="131"/>
  <c r="BJ113" i="131"/>
  <c r="BJ112" i="131"/>
  <c r="BJ111" i="131"/>
  <c r="BJ110" i="131"/>
  <c r="BJ109" i="131"/>
  <c r="BJ108" i="131"/>
  <c r="BJ107" i="131"/>
  <c r="BJ106" i="131"/>
  <c r="BJ105" i="131"/>
  <c r="BJ104" i="131"/>
  <c r="BJ103" i="131"/>
  <c r="BJ102" i="131"/>
  <c r="BJ101" i="131"/>
  <c r="BJ100" i="131"/>
  <c r="BJ99" i="131"/>
  <c r="BJ98" i="131"/>
  <c r="BJ97" i="131"/>
  <c r="BJ96" i="131"/>
  <c r="BJ95" i="131"/>
  <c r="BJ94" i="131"/>
  <c r="BJ93" i="131"/>
  <c r="BJ92" i="131"/>
  <c r="BJ91" i="131"/>
  <c r="BJ90" i="131"/>
  <c r="BJ82" i="131"/>
  <c r="BJ81" i="131"/>
  <c r="BJ80" i="131"/>
  <c r="BJ79" i="131"/>
  <c r="BJ78" i="131"/>
  <c r="BJ77" i="131"/>
  <c r="BJ76" i="131"/>
  <c r="BJ75" i="131"/>
  <c r="BJ74" i="131"/>
  <c r="BJ73" i="131"/>
  <c r="BJ72" i="131"/>
  <c r="BJ71" i="131"/>
  <c r="BJ70" i="131"/>
  <c r="BJ62" i="131"/>
  <c r="BJ61" i="131"/>
  <c r="BJ60" i="131"/>
  <c r="BJ59" i="131"/>
  <c r="BJ58" i="131"/>
  <c r="BJ57" i="131"/>
  <c r="BJ56" i="131"/>
  <c r="BJ55" i="131"/>
  <c r="BJ54" i="131"/>
  <c r="BJ53" i="131"/>
  <c r="BJ52" i="131"/>
  <c r="BJ51" i="131"/>
  <c r="BJ50" i="131"/>
  <c r="BJ49" i="131"/>
  <c r="BJ48" i="131"/>
  <c r="BJ47" i="131"/>
  <c r="BJ46" i="131"/>
  <c r="BJ45" i="131"/>
  <c r="BJ44" i="131"/>
  <c r="BJ36" i="131"/>
  <c r="BJ35" i="131"/>
  <c r="BJ34" i="131"/>
  <c r="BJ33" i="131"/>
  <c r="BJ32" i="131"/>
  <c r="BJ31" i="131"/>
  <c r="BJ30" i="131"/>
  <c r="BJ29" i="131"/>
  <c r="BJ28" i="131"/>
  <c r="BJ27" i="131"/>
  <c r="BJ26" i="131"/>
  <c r="BJ25" i="131"/>
  <c r="BF385" i="131" l="1"/>
  <c r="BV385" i="131" s="1"/>
  <c r="BF393" i="131"/>
  <c r="BV393" i="131" s="1"/>
  <c r="BF409" i="131"/>
  <c r="BV409" i="131" s="1"/>
  <c r="BF417" i="131"/>
  <c r="BV417" i="131" s="1"/>
  <c r="BF425" i="131"/>
  <c r="BV425" i="131" s="1"/>
  <c r="BF433" i="131"/>
  <c r="BV433" i="131" s="1"/>
  <c r="BF401" i="131"/>
  <c r="BV401" i="131" s="1"/>
  <c r="BF387" i="131"/>
  <c r="BV387" i="131" s="1"/>
  <c r="BF395" i="131"/>
  <c r="BV395" i="131" s="1"/>
  <c r="BF403" i="131"/>
  <c r="BV403" i="131" s="1"/>
  <c r="BF411" i="131"/>
  <c r="BV411" i="131" s="1"/>
  <c r="BF419" i="131"/>
  <c r="BV419" i="131" s="1"/>
  <c r="BF427" i="131"/>
  <c r="BV427" i="131" s="1"/>
  <c r="BF402" i="131"/>
  <c r="BV402" i="131" s="1"/>
  <c r="BF428" i="131"/>
  <c r="BV428" i="131" s="1"/>
  <c r="BF404" i="131"/>
  <c r="BV404" i="131" s="1"/>
  <c r="BF429" i="131"/>
  <c r="BV429" i="131" s="1"/>
  <c r="BF396" i="131"/>
  <c r="BV396" i="131" s="1"/>
  <c r="BF421" i="131"/>
  <c r="BV421" i="131" s="1"/>
  <c r="BF498" i="131"/>
  <c r="BV498" i="131" s="1"/>
  <c r="BF506" i="131"/>
  <c r="BV506" i="131" s="1"/>
  <c r="BF514" i="131"/>
  <c r="BV514" i="131" s="1"/>
  <c r="BF522" i="131"/>
  <c r="BV522" i="131" s="1"/>
  <c r="BF530" i="131"/>
  <c r="BV530" i="131" s="1"/>
  <c r="BF538" i="131"/>
  <c r="BV538" i="131" s="1"/>
  <c r="BF496" i="131"/>
  <c r="BV496" i="131" s="1"/>
  <c r="BF504" i="131"/>
  <c r="BV504" i="131" s="1"/>
  <c r="BF512" i="131"/>
  <c r="BV512" i="131" s="1"/>
  <c r="BF520" i="131"/>
  <c r="BV520" i="131" s="1"/>
  <c r="BF528" i="131"/>
  <c r="BV528" i="131" s="1"/>
  <c r="BF536" i="131"/>
  <c r="BV536" i="131" s="1"/>
  <c r="Q13" i="139" l="1"/>
  <c r="Q12" i="139"/>
  <c r="Q11" i="139"/>
  <c r="Q10" i="139"/>
  <c r="Q9" i="139"/>
  <c r="Q8" i="139"/>
  <c r="Q7" i="139"/>
  <c r="Q6" i="139"/>
  <c r="K6" i="139"/>
  <c r="Q5" i="139"/>
  <c r="K5" i="139"/>
  <c r="Q4" i="139"/>
  <c r="Q3" i="139"/>
  <c r="Q2" i="139"/>
  <c r="K2" i="139"/>
  <c r="C2" i="139"/>
  <c r="K1" i="139"/>
  <c r="P496" i="131" l="1"/>
  <c r="P417" i="131"/>
  <c r="P508" i="131"/>
  <c r="P520" i="131"/>
  <c r="P429" i="131"/>
  <c r="P419" i="131"/>
  <c r="V419" i="131" s="1"/>
  <c r="P420" i="131"/>
  <c r="P504" i="131"/>
  <c r="V504" i="131" s="1"/>
  <c r="P434" i="131"/>
  <c r="P413" i="131"/>
  <c r="P500" i="131"/>
  <c r="P524" i="131"/>
  <c r="P388" i="131"/>
  <c r="P412" i="131"/>
  <c r="V412" i="131" s="1"/>
  <c r="P540" i="131"/>
  <c r="V540" i="131" s="1"/>
  <c r="P411" i="131"/>
  <c r="V411" i="131" s="1"/>
  <c r="P435" i="131"/>
  <c r="P516" i="131"/>
  <c r="P397" i="131"/>
  <c r="P384" i="131"/>
  <c r="P424" i="131"/>
  <c r="P385" i="131"/>
  <c r="V385" i="131" s="1"/>
  <c r="P528" i="131"/>
  <c r="P421" i="131"/>
  <c r="V421" i="131" s="1"/>
  <c r="P536" i="131"/>
  <c r="P403" i="131"/>
  <c r="P427" i="131"/>
  <c r="P404" i="131"/>
  <c r="P387" i="131"/>
  <c r="P406" i="131"/>
  <c r="V406" i="131" s="1"/>
  <c r="P402" i="131"/>
  <c r="V402" i="131" s="1"/>
  <c r="P395" i="131"/>
  <c r="V395" i="131" s="1"/>
  <c r="P492" i="131"/>
  <c r="P532" i="131"/>
  <c r="P433" i="131"/>
  <c r="P414" i="131"/>
  <c r="P386" i="131"/>
  <c r="P416" i="131"/>
  <c r="V416" i="131" s="1"/>
  <c r="P512" i="131"/>
  <c r="V512" i="131" s="1"/>
  <c r="P425" i="131"/>
  <c r="V425" i="131" s="1"/>
  <c r="P426" i="131"/>
  <c r="P390" i="131"/>
  <c r="V390" i="131" s="1"/>
  <c r="P430" i="131"/>
  <c r="P422" i="131"/>
  <c r="P405" i="131"/>
  <c r="P408" i="131"/>
  <c r="V408" i="131" s="1"/>
  <c r="P432" i="131"/>
  <c r="V432" i="131" s="1"/>
  <c r="P495" i="131"/>
  <c r="V495" i="131" s="1"/>
  <c r="P537" i="131"/>
  <c r="P418" i="131"/>
  <c r="P501" i="131"/>
  <c r="P431" i="131"/>
  <c r="P497" i="131"/>
  <c r="P526" i="131"/>
  <c r="V526" i="131" s="1"/>
  <c r="P527" i="131"/>
  <c r="V527" i="131" s="1"/>
  <c r="P531" i="131"/>
  <c r="V531" i="131" s="1"/>
  <c r="P503" i="131"/>
  <c r="P391" i="131"/>
  <c r="P513" i="131"/>
  <c r="P400" i="131"/>
  <c r="P517" i="131"/>
  <c r="P398" i="131"/>
  <c r="V398" i="131" s="1"/>
  <c r="P519" i="131"/>
  <c r="P428" i="131"/>
  <c r="V428" i="131" s="1"/>
  <c r="P515" i="131"/>
  <c r="P538" i="131"/>
  <c r="P407" i="131"/>
  <c r="P539" i="131"/>
  <c r="P529" i="131"/>
  <c r="P533" i="131"/>
  <c r="V533" i="131" s="1"/>
  <c r="P394" i="131"/>
  <c r="V394" i="131" s="1"/>
  <c r="P525" i="131"/>
  <c r="V525" i="131" s="1"/>
  <c r="P509" i="131"/>
  <c r="P523" i="131"/>
  <c r="P522" i="131"/>
  <c r="P505" i="131"/>
  <c r="P507" i="131"/>
  <c r="P510" i="131"/>
  <c r="V510" i="131" s="1"/>
  <c r="P409" i="131"/>
  <c r="V409" i="131" s="1"/>
  <c r="P499" i="131"/>
  <c r="V499" i="131" s="1"/>
  <c r="P506" i="131"/>
  <c r="P423" i="131"/>
  <c r="P534" i="131"/>
  <c r="P392" i="131"/>
  <c r="P530" i="131"/>
  <c r="P511" i="131"/>
  <c r="V511" i="131" s="1"/>
  <c r="P410" i="131"/>
  <c r="V410" i="131" s="1"/>
  <c r="P493" i="131"/>
  <c r="V493" i="131" s="1"/>
  <c r="P491" i="131"/>
  <c r="P521" i="131"/>
  <c r="P396" i="131"/>
  <c r="P393" i="131"/>
  <c r="P535" i="131"/>
  <c r="P514" i="131"/>
  <c r="V514" i="131" s="1"/>
  <c r="P401" i="131"/>
  <c r="V401" i="131" s="1"/>
  <c r="P389" i="131"/>
  <c r="V389" i="131" s="1"/>
  <c r="P518" i="131"/>
  <c r="P399" i="131"/>
  <c r="P498" i="131"/>
  <c r="P415" i="131"/>
  <c r="P502" i="131"/>
  <c r="P494" i="131"/>
  <c r="V494" i="131" s="1"/>
  <c r="H2" i="139"/>
  <c r="N425" i="131"/>
  <c r="N512" i="131"/>
  <c r="N402" i="131"/>
  <c r="N416" i="131"/>
  <c r="V417" i="131"/>
  <c r="N403" i="131"/>
  <c r="N435" i="131"/>
  <c r="V413" i="131"/>
  <c r="V500" i="131"/>
  <c r="V422" i="131"/>
  <c r="V427" i="131"/>
  <c r="N420" i="131"/>
  <c r="N413" i="131"/>
  <c r="N500" i="131"/>
  <c r="N532" i="131"/>
  <c r="N406" i="131"/>
  <c r="N427" i="131"/>
  <c r="N412" i="131"/>
  <c r="V387" i="131"/>
  <c r="V508" i="131"/>
  <c r="V404" i="131"/>
  <c r="N417" i="131"/>
  <c r="V433" i="131"/>
  <c r="N504" i="131"/>
  <c r="N536" i="131"/>
  <c r="V426" i="131"/>
  <c r="V384" i="131"/>
  <c r="N408" i="131"/>
  <c r="N385" i="131"/>
  <c r="V528" i="131"/>
  <c r="N395" i="131"/>
  <c r="V424" i="131"/>
  <c r="N496" i="131"/>
  <c r="N528" i="131"/>
  <c r="N434" i="131"/>
  <c r="N384" i="131"/>
  <c r="N432" i="131"/>
  <c r="V520" i="131"/>
  <c r="N419" i="131"/>
  <c r="N433" i="131"/>
  <c r="N520" i="131"/>
  <c r="N426" i="131"/>
  <c r="N424" i="131"/>
  <c r="V496" i="131"/>
  <c r="V536" i="131"/>
  <c r="V403" i="131"/>
  <c r="N411" i="131"/>
  <c r="N421" i="131"/>
  <c r="V386" i="131"/>
  <c r="V414" i="131"/>
  <c r="N387" i="131"/>
  <c r="V429" i="131"/>
  <c r="V516" i="131"/>
  <c r="N386" i="131"/>
  <c r="N422" i="131"/>
  <c r="V524" i="131"/>
  <c r="N414" i="131"/>
  <c r="V388" i="131"/>
  <c r="N516" i="131"/>
  <c r="N390" i="131"/>
  <c r="V397" i="131"/>
  <c r="N429" i="131"/>
  <c r="N430" i="131"/>
  <c r="N388" i="131"/>
  <c r="N397" i="131"/>
  <c r="V430" i="131"/>
  <c r="V420" i="131"/>
  <c r="V405" i="131"/>
  <c r="V492" i="131"/>
  <c r="N524" i="131"/>
  <c r="N404" i="131"/>
  <c r="N492" i="131"/>
  <c r="V532" i="131"/>
  <c r="N540" i="131"/>
  <c r="N405" i="131"/>
  <c r="N508" i="131"/>
  <c r="N501" i="131"/>
  <c r="V391" i="131"/>
  <c r="N515" i="131"/>
  <c r="V529" i="131"/>
  <c r="V407" i="131"/>
  <c r="N398" i="131"/>
  <c r="N538" i="131"/>
  <c r="N507" i="131"/>
  <c r="N518" i="131"/>
  <c r="V538" i="131"/>
  <c r="N530" i="131"/>
  <c r="N505" i="131"/>
  <c r="V502" i="131"/>
  <c r="V418" i="131"/>
  <c r="V509" i="131"/>
  <c r="N491" i="131"/>
  <c r="N498" i="131"/>
  <c r="N529" i="131"/>
  <c r="N431" i="131"/>
  <c r="N514" i="131"/>
  <c r="N533" i="131"/>
  <c r="N392" i="131"/>
  <c r="N497" i="131"/>
  <c r="N428" i="131"/>
  <c r="V497" i="131"/>
  <c r="V518" i="131"/>
  <c r="N509" i="131"/>
  <c r="N503" i="131"/>
  <c r="N396" i="131"/>
  <c r="V521" i="131"/>
  <c r="V506" i="131"/>
  <c r="V517" i="131"/>
  <c r="N409" i="131"/>
  <c r="N389" i="131"/>
  <c r="N394" i="131"/>
  <c r="N418" i="131"/>
  <c r="V423" i="131"/>
  <c r="N391" i="131"/>
  <c r="V491" i="131"/>
  <c r="V537" i="131"/>
  <c r="N393" i="131"/>
  <c r="N415" i="131"/>
  <c r="N407" i="131"/>
  <c r="V530" i="131"/>
  <c r="N525" i="131"/>
  <c r="V522" i="131"/>
  <c r="N539" i="131"/>
  <c r="N534" i="131"/>
  <c r="V519" i="131"/>
  <c r="N511" i="131"/>
  <c r="N526" i="131"/>
  <c r="V523" i="131"/>
  <c r="N531" i="131"/>
  <c r="V505" i="131"/>
  <c r="N423" i="131"/>
  <c r="V503" i="131"/>
  <c r="V515" i="131"/>
  <c r="N510" i="131"/>
  <c r="V431" i="131"/>
  <c r="V392" i="131"/>
  <c r="N517" i="131"/>
  <c r="N535" i="131"/>
  <c r="N502" i="131"/>
  <c r="V501" i="131"/>
  <c r="V399" i="131"/>
  <c r="N499" i="131"/>
  <c r="N494" i="131"/>
  <c r="N523" i="131"/>
  <c r="N506" i="131"/>
  <c r="V513" i="131"/>
  <c r="N399" i="131"/>
  <c r="N495" i="131"/>
  <c r="V396" i="131"/>
  <c r="V498" i="131"/>
  <c r="V415" i="131"/>
  <c r="V400" i="131"/>
  <c r="V539" i="131"/>
  <c r="N401" i="131"/>
  <c r="N513" i="131"/>
  <c r="V507" i="131"/>
  <c r="N527" i="131"/>
  <c r="N410" i="131"/>
  <c r="N537" i="131"/>
  <c r="V393" i="131"/>
  <c r="N493" i="131"/>
  <c r="N521" i="131"/>
  <c r="N400" i="131"/>
  <c r="N522" i="131"/>
  <c r="V535" i="131"/>
  <c r="V534" i="131"/>
  <c r="N519" i="131"/>
  <c r="K4" i="139"/>
  <c r="L4" i="139" s="1"/>
  <c r="O3" i="139" s="1"/>
  <c r="N3" i="139" s="1"/>
  <c r="D2" i="139"/>
  <c r="F2" i="139"/>
  <c r="E2" i="139"/>
  <c r="G2" i="139"/>
  <c r="AR520" i="131" l="1"/>
  <c r="AR403" i="131"/>
  <c r="AR404" i="131"/>
  <c r="AR524" i="131"/>
  <c r="AR435" i="131"/>
  <c r="AR504" i="131"/>
  <c r="AX504" i="131" s="1"/>
  <c r="AR388" i="131"/>
  <c r="AX388" i="131" s="1"/>
  <c r="AR540" i="131"/>
  <c r="AX540" i="131" s="1"/>
  <c r="AR402" i="131"/>
  <c r="AR500" i="131"/>
  <c r="AR411" i="131"/>
  <c r="AR413" i="131"/>
  <c r="AR492" i="131"/>
  <c r="AR516" i="131"/>
  <c r="AX516" i="131" s="1"/>
  <c r="AR417" i="131"/>
  <c r="AX417" i="131" s="1"/>
  <c r="AR429" i="131"/>
  <c r="AX429" i="131" s="1"/>
  <c r="AR430" i="131"/>
  <c r="AR536" i="131"/>
  <c r="AR416" i="131"/>
  <c r="AR387" i="131"/>
  <c r="AR419" i="131"/>
  <c r="AR420" i="131"/>
  <c r="AX420" i="131" s="1"/>
  <c r="AR395" i="131"/>
  <c r="AX395" i="131" s="1"/>
  <c r="AR532" i="131"/>
  <c r="AX532" i="131" s="1"/>
  <c r="AR390" i="131"/>
  <c r="AR432" i="131"/>
  <c r="AR427" i="131"/>
  <c r="AR496" i="131"/>
  <c r="AR412" i="131"/>
  <c r="AR434" i="131"/>
  <c r="AX434" i="131" s="1"/>
  <c r="AR508" i="131"/>
  <c r="AX508" i="131" s="1"/>
  <c r="AR433" i="131"/>
  <c r="AX433" i="131" s="1"/>
  <c r="AR414" i="131"/>
  <c r="AR422" i="131"/>
  <c r="AR384" i="131"/>
  <c r="AR512" i="131"/>
  <c r="AR397" i="131"/>
  <c r="AR408" i="131"/>
  <c r="AX408" i="131" s="1"/>
  <c r="AR385" i="131"/>
  <c r="AX385" i="131" s="1"/>
  <c r="AR405" i="131"/>
  <c r="AX405" i="131" s="1"/>
  <c r="AR424" i="131"/>
  <c r="AR425" i="131"/>
  <c r="AR386" i="131"/>
  <c r="AR426" i="131"/>
  <c r="AR528" i="131"/>
  <c r="AR421" i="131"/>
  <c r="AX421" i="131" s="1"/>
  <c r="AR406" i="131"/>
  <c r="AX406" i="131" s="1"/>
  <c r="AR510" i="131"/>
  <c r="AX510" i="131" s="1"/>
  <c r="AR502" i="131"/>
  <c r="AR529" i="131"/>
  <c r="AR423" i="131"/>
  <c r="AR525" i="131"/>
  <c r="AR517" i="131"/>
  <c r="AR527" i="131"/>
  <c r="AX527" i="131" s="1"/>
  <c r="AR401" i="131"/>
  <c r="AX401" i="131" s="1"/>
  <c r="AR498" i="131"/>
  <c r="AX498" i="131" s="1"/>
  <c r="AR534" i="131"/>
  <c r="AR507" i="131"/>
  <c r="AR523" i="131"/>
  <c r="AR409" i="131"/>
  <c r="AR501" i="131"/>
  <c r="AR392" i="131"/>
  <c r="AX392" i="131" s="1"/>
  <c r="AR522" i="131"/>
  <c r="AX522" i="131" s="1"/>
  <c r="AR511" i="131"/>
  <c r="AX511" i="131" s="1"/>
  <c r="AR410" i="131"/>
  <c r="AR393" i="131"/>
  <c r="AR526" i="131"/>
  <c r="AR531" i="131"/>
  <c r="AR506" i="131"/>
  <c r="AR509" i="131"/>
  <c r="AX509" i="131" s="1"/>
  <c r="AR407" i="131"/>
  <c r="AX407" i="131" s="1"/>
  <c r="AR530" i="131"/>
  <c r="AX530" i="131" s="1"/>
  <c r="AR495" i="131"/>
  <c r="AR499" i="131"/>
  <c r="AR539" i="131"/>
  <c r="AR518" i="131"/>
  <c r="AR493" i="131"/>
  <c r="AR494" i="131"/>
  <c r="AX494" i="131" s="1"/>
  <c r="AR538" i="131"/>
  <c r="AX538" i="131" s="1"/>
  <c r="AR521" i="131"/>
  <c r="AX521" i="131" s="1"/>
  <c r="AR389" i="131"/>
  <c r="AR519" i="131"/>
  <c r="AR415" i="131"/>
  <c r="AR515" i="131"/>
  <c r="AR491" i="131"/>
  <c r="AR418" i="131"/>
  <c r="AX418" i="131" s="1"/>
  <c r="AR399" i="131"/>
  <c r="AX399" i="131" s="1"/>
  <c r="AR535" i="131"/>
  <c r="AX535" i="131" s="1"/>
  <c r="AR514" i="131"/>
  <c r="AR533" i="131"/>
  <c r="AR505" i="131"/>
  <c r="AR391" i="131"/>
  <c r="AR431" i="131"/>
  <c r="AR400" i="131"/>
  <c r="AX400" i="131" s="1"/>
  <c r="AR398" i="131"/>
  <c r="AX398" i="131" s="1"/>
  <c r="AR497" i="131"/>
  <c r="AX497" i="131" s="1"/>
  <c r="AR394" i="131"/>
  <c r="AR503" i="131"/>
  <c r="AR396" i="131"/>
  <c r="AR428" i="131"/>
  <c r="AR537" i="131"/>
  <c r="AR513" i="131"/>
  <c r="AX513" i="131" s="1"/>
  <c r="AD427" i="131"/>
  <c r="AJ427" i="131" s="1"/>
  <c r="AD500" i="131"/>
  <c r="AJ500" i="131" s="1"/>
  <c r="AD403" i="131"/>
  <c r="AD496" i="131"/>
  <c r="AD404" i="131"/>
  <c r="AD434" i="131"/>
  <c r="AD413" i="131"/>
  <c r="AD540" i="131"/>
  <c r="AJ540" i="131" s="1"/>
  <c r="AD516" i="131"/>
  <c r="AJ516" i="131" s="1"/>
  <c r="AD520" i="131"/>
  <c r="AJ520" i="131" s="1"/>
  <c r="AD419" i="131"/>
  <c r="AD420" i="131"/>
  <c r="AD504" i="131"/>
  <c r="AD492" i="131"/>
  <c r="AD435" i="131"/>
  <c r="AD388" i="131"/>
  <c r="AJ388" i="131" s="1"/>
  <c r="AD417" i="131"/>
  <c r="AJ417" i="131" s="1"/>
  <c r="AD532" i="131"/>
  <c r="AJ532" i="131" s="1"/>
  <c r="AD412" i="131"/>
  <c r="AD395" i="131"/>
  <c r="AD508" i="131"/>
  <c r="AD433" i="131"/>
  <c r="AD512" i="131"/>
  <c r="AD386" i="131"/>
  <c r="AJ386" i="131" s="1"/>
  <c r="AD421" i="131"/>
  <c r="AJ421" i="131" s="1"/>
  <c r="AD390" i="131"/>
  <c r="AJ390" i="131" s="1"/>
  <c r="AD430" i="131"/>
  <c r="AD432" i="131"/>
  <c r="AD402" i="131"/>
  <c r="AD429" i="131"/>
  <c r="AD524" i="131"/>
  <c r="AD425" i="131"/>
  <c r="AJ425" i="131" s="1"/>
  <c r="AD528" i="131"/>
  <c r="AJ528" i="131" s="1"/>
  <c r="AD405" i="131"/>
  <c r="AJ405" i="131" s="1"/>
  <c r="AD536" i="131"/>
  <c r="AD408" i="131"/>
  <c r="AD387" i="131"/>
  <c r="AD414" i="131"/>
  <c r="AD411" i="131"/>
  <c r="AD424" i="131"/>
  <c r="AJ424" i="131" s="1"/>
  <c r="AD397" i="131"/>
  <c r="AJ397" i="131" s="1"/>
  <c r="AD422" i="131"/>
  <c r="AJ422" i="131" s="1"/>
  <c r="AD384" i="131"/>
  <c r="AD426" i="131"/>
  <c r="AD406" i="131"/>
  <c r="AD385" i="131"/>
  <c r="AD416" i="131"/>
  <c r="AD498" i="131"/>
  <c r="AJ498" i="131" s="1"/>
  <c r="AD523" i="131"/>
  <c r="AJ523" i="131" s="1"/>
  <c r="AD409" i="131"/>
  <c r="AJ409" i="131" s="1"/>
  <c r="AD396" i="131"/>
  <c r="AD392" i="131"/>
  <c r="AD526" i="131"/>
  <c r="AD518" i="131"/>
  <c r="AD497" i="131"/>
  <c r="AD394" i="131"/>
  <c r="AJ394" i="131" s="1"/>
  <c r="AD401" i="131"/>
  <c r="AJ401" i="131" s="1"/>
  <c r="AD506" i="131"/>
  <c r="AJ506" i="131" s="1"/>
  <c r="AD391" i="131"/>
  <c r="AD410" i="131"/>
  <c r="AD502" i="131"/>
  <c r="AD495" i="131"/>
  <c r="AD537" i="131"/>
  <c r="AD423" i="131"/>
  <c r="AJ423" i="131" s="1"/>
  <c r="AD407" i="131"/>
  <c r="AJ407" i="131" s="1"/>
  <c r="AD517" i="131"/>
  <c r="AJ517" i="131" s="1"/>
  <c r="AD519" i="131"/>
  <c r="AD428" i="131"/>
  <c r="AD398" i="131"/>
  <c r="AD534" i="131"/>
  <c r="AD515" i="131"/>
  <c r="AD499" i="131"/>
  <c r="AJ499" i="131" s="1"/>
  <c r="AD503" i="131"/>
  <c r="AJ503" i="131" s="1"/>
  <c r="AD501" i="131"/>
  <c r="AJ501" i="131" s="1"/>
  <c r="AD393" i="131"/>
  <c r="AD513" i="131"/>
  <c r="AD525" i="131"/>
  <c r="AD533" i="131"/>
  <c r="AD415" i="131"/>
  <c r="AD400" i="131"/>
  <c r="AJ400" i="131" s="1"/>
  <c r="AD511" i="131"/>
  <c r="AJ511" i="131" s="1"/>
  <c r="AD510" i="131"/>
  <c r="AJ510" i="131" s="1"/>
  <c r="AD491" i="131"/>
  <c r="AD529" i="131"/>
  <c r="AD399" i="131"/>
  <c r="AD389" i="131"/>
  <c r="AD493" i="131"/>
  <c r="AD530" i="131"/>
  <c r="AJ530" i="131" s="1"/>
  <c r="AD514" i="131"/>
  <c r="AJ514" i="131" s="1"/>
  <c r="AD509" i="131"/>
  <c r="AJ509" i="131" s="1"/>
  <c r="AD522" i="131"/>
  <c r="AD539" i="131"/>
  <c r="AD507" i="131"/>
  <c r="AD527" i="131"/>
  <c r="AD494" i="131"/>
  <c r="AD538" i="131"/>
  <c r="AJ538" i="131" s="1"/>
  <c r="AD505" i="131"/>
  <c r="AJ505" i="131" s="1"/>
  <c r="AD418" i="131"/>
  <c r="AJ418" i="131" s="1"/>
  <c r="AD531" i="131"/>
  <c r="AD535" i="131"/>
  <c r="AD431" i="131"/>
  <c r="AD521" i="131"/>
  <c r="AK434" i="131"/>
  <c r="AK413" i="131"/>
  <c r="AQ413" i="131" s="1"/>
  <c r="AK540" i="131"/>
  <c r="AQ540" i="131" s="1"/>
  <c r="AK419" i="131"/>
  <c r="AQ419" i="131" s="1"/>
  <c r="AK388" i="131"/>
  <c r="AK420" i="131"/>
  <c r="AK516" i="131"/>
  <c r="AK520" i="131"/>
  <c r="AQ520" i="131" s="1"/>
  <c r="AK492" i="131"/>
  <c r="AK411" i="131"/>
  <c r="AQ411" i="131" s="1"/>
  <c r="AK435" i="131"/>
  <c r="AK412" i="131"/>
  <c r="AQ412" i="131" s="1"/>
  <c r="AK532" i="131"/>
  <c r="AK504" i="131"/>
  <c r="AQ504" i="131" s="1"/>
  <c r="AK395" i="131"/>
  <c r="AK508" i="131"/>
  <c r="AK427" i="131"/>
  <c r="AQ427" i="131" s="1"/>
  <c r="AK402" i="131"/>
  <c r="AQ402" i="131" s="1"/>
  <c r="AK387" i="131"/>
  <c r="AQ387" i="131" s="1"/>
  <c r="AK385" i="131"/>
  <c r="AQ385" i="131" s="1"/>
  <c r="AK528" i="131"/>
  <c r="AQ528" i="131" s="1"/>
  <c r="AK406" i="131"/>
  <c r="AK405" i="131"/>
  <c r="AQ405" i="131" s="1"/>
  <c r="AK384" i="131"/>
  <c r="AQ384" i="131" s="1"/>
  <c r="AK496" i="131"/>
  <c r="AQ496" i="131" s="1"/>
  <c r="AK417" i="131"/>
  <c r="AQ417" i="131" s="1"/>
  <c r="AK500" i="131"/>
  <c r="AQ500" i="131" s="1"/>
  <c r="AK416" i="131"/>
  <c r="AQ416" i="131" s="1"/>
  <c r="AK433" i="131"/>
  <c r="AK426" i="131"/>
  <c r="AQ426" i="131" s="1"/>
  <c r="AK403" i="131"/>
  <c r="AK404" i="131"/>
  <c r="AK429" i="131"/>
  <c r="AQ429" i="131" s="1"/>
  <c r="AK524" i="131"/>
  <c r="AQ524" i="131" s="1"/>
  <c r="AK397" i="131"/>
  <c r="AQ397" i="131" s="1"/>
  <c r="AK414" i="131"/>
  <c r="AQ414" i="131" s="1"/>
  <c r="AK386" i="131"/>
  <c r="AQ386" i="131" s="1"/>
  <c r="AK512" i="131"/>
  <c r="AK425" i="131"/>
  <c r="AK422" i="131"/>
  <c r="AQ422" i="131" s="1"/>
  <c r="AK424" i="131"/>
  <c r="AK408" i="131"/>
  <c r="AQ408" i="131" s="1"/>
  <c r="AK390" i="131"/>
  <c r="AQ390" i="131" s="1"/>
  <c r="AK430" i="131"/>
  <c r="AQ430" i="131" s="1"/>
  <c r="AK536" i="131"/>
  <c r="AQ536" i="131" s="1"/>
  <c r="AK421" i="131"/>
  <c r="AQ421" i="131" s="1"/>
  <c r="AK432" i="131"/>
  <c r="AQ432" i="131" s="1"/>
  <c r="AK521" i="131"/>
  <c r="AQ521" i="131" s="1"/>
  <c r="AK391" i="131"/>
  <c r="AQ391" i="131" s="1"/>
  <c r="AK513" i="131"/>
  <c r="AQ513" i="131" s="1"/>
  <c r="AK535" i="131"/>
  <c r="AQ535" i="131" s="1"/>
  <c r="AK400" i="131"/>
  <c r="AQ400" i="131" s="1"/>
  <c r="AK533" i="131"/>
  <c r="AQ533" i="131" s="1"/>
  <c r="AK394" i="131"/>
  <c r="AQ394" i="131" s="1"/>
  <c r="AK428" i="131"/>
  <c r="AQ428" i="131" s="1"/>
  <c r="AK522" i="131"/>
  <c r="AK527" i="131"/>
  <c r="AQ527" i="131" s="1"/>
  <c r="AK392" i="131"/>
  <c r="AQ392" i="131" s="1"/>
  <c r="AK539" i="131"/>
  <c r="AQ539" i="131" s="1"/>
  <c r="AK494" i="131"/>
  <c r="AQ494" i="131" s="1"/>
  <c r="AK514" i="131"/>
  <c r="AQ514" i="131" s="1"/>
  <c r="AK401" i="131"/>
  <c r="AK525" i="131"/>
  <c r="AK505" i="131"/>
  <c r="AQ505" i="131" s="1"/>
  <c r="AK526" i="131"/>
  <c r="AQ526" i="131" s="1"/>
  <c r="AK515" i="131"/>
  <c r="AQ515" i="131" s="1"/>
  <c r="AK499" i="131"/>
  <c r="AQ499" i="131" s="1"/>
  <c r="AK529" i="131"/>
  <c r="AQ529" i="131" s="1"/>
  <c r="AK509" i="131"/>
  <c r="AQ509" i="131" s="1"/>
  <c r="AK519" i="131"/>
  <c r="AQ519" i="131" s="1"/>
  <c r="AK530" i="131"/>
  <c r="AQ530" i="131" s="1"/>
  <c r="AK399" i="131"/>
  <c r="AQ399" i="131" s="1"/>
  <c r="AK497" i="131"/>
  <c r="AQ497" i="131" s="1"/>
  <c r="AK510" i="131"/>
  <c r="AQ510" i="131" s="1"/>
  <c r="AK493" i="131"/>
  <c r="AQ493" i="131" s="1"/>
  <c r="AK502" i="131"/>
  <c r="AQ502" i="131" s="1"/>
  <c r="AK491" i="131"/>
  <c r="AK537" i="131"/>
  <c r="AK423" i="131"/>
  <c r="AQ423" i="131" s="1"/>
  <c r="AK431" i="131"/>
  <c r="AQ431" i="131" s="1"/>
  <c r="AK389" i="131"/>
  <c r="AQ389" i="131" s="1"/>
  <c r="AK507" i="131"/>
  <c r="AQ507" i="131" s="1"/>
  <c r="AK410" i="131"/>
  <c r="AQ410" i="131" s="1"/>
  <c r="AK393" i="131"/>
  <c r="AQ393" i="131" s="1"/>
  <c r="AK409" i="131"/>
  <c r="AQ409" i="131" s="1"/>
  <c r="AK506" i="131"/>
  <c r="AQ506" i="131" s="1"/>
  <c r="AK503" i="131"/>
  <c r="AQ503" i="131" s="1"/>
  <c r="AK511" i="131"/>
  <c r="AQ511" i="131" s="1"/>
  <c r="AK396" i="131"/>
  <c r="AQ396" i="131" s="1"/>
  <c r="AK538" i="131"/>
  <c r="AQ538" i="131" s="1"/>
  <c r="AK407" i="131"/>
  <c r="AQ407" i="131" s="1"/>
  <c r="AK498" i="131"/>
  <c r="AQ498" i="131" s="1"/>
  <c r="AK415" i="131"/>
  <c r="AQ415" i="131" s="1"/>
  <c r="AK418" i="131"/>
  <c r="AK531" i="131"/>
  <c r="AK501" i="131"/>
  <c r="AK534" i="131"/>
  <c r="AQ534" i="131" s="1"/>
  <c r="AK517" i="131"/>
  <c r="AQ517" i="131" s="1"/>
  <c r="AK495" i="131"/>
  <c r="AQ495" i="131" s="1"/>
  <c r="AK398" i="131"/>
  <c r="AQ398" i="131" s="1"/>
  <c r="AK523" i="131"/>
  <c r="AQ523" i="131" s="1"/>
  <c r="AK518" i="131"/>
  <c r="W419" i="131"/>
  <c r="AC419" i="131" s="1"/>
  <c r="W388" i="131"/>
  <c r="AC388" i="131" s="1"/>
  <c r="W420" i="131"/>
  <c r="AC420" i="131" s="1"/>
  <c r="W429" i="131"/>
  <c r="AC429" i="131" s="1"/>
  <c r="W500" i="131"/>
  <c r="AC500" i="131" s="1"/>
  <c r="W524" i="131"/>
  <c r="AC524" i="131" s="1"/>
  <c r="W411" i="131"/>
  <c r="AC411" i="131" s="1"/>
  <c r="W435" i="131"/>
  <c r="W496" i="131"/>
  <c r="AC496" i="131" s="1"/>
  <c r="W412" i="131"/>
  <c r="AC412" i="131" s="1"/>
  <c r="W395" i="131"/>
  <c r="W413" i="131"/>
  <c r="AC413" i="131" s="1"/>
  <c r="W516" i="131"/>
  <c r="AC516" i="131" s="1"/>
  <c r="W540" i="131"/>
  <c r="AC540" i="131" s="1"/>
  <c r="W520" i="131"/>
  <c r="AC520" i="131" s="1"/>
  <c r="W427" i="131"/>
  <c r="AC427" i="131" s="1"/>
  <c r="W402" i="131"/>
  <c r="W403" i="131"/>
  <c r="AC403" i="131" s="1"/>
  <c r="W404" i="131"/>
  <c r="AC404" i="131" s="1"/>
  <c r="W504" i="131"/>
  <c r="AC504" i="131" s="1"/>
  <c r="W492" i="131"/>
  <c r="AC492" i="131" s="1"/>
  <c r="W532" i="131"/>
  <c r="AC532" i="131" s="1"/>
  <c r="W406" i="131"/>
  <c r="AC406" i="131" s="1"/>
  <c r="W512" i="131"/>
  <c r="AC512" i="131" s="1"/>
  <c r="W416" i="131"/>
  <c r="AC416" i="131" s="1"/>
  <c r="W434" i="131"/>
  <c r="W508" i="131"/>
  <c r="AC508" i="131" s="1"/>
  <c r="W433" i="131"/>
  <c r="AC433" i="131" s="1"/>
  <c r="W426" i="131"/>
  <c r="AC426" i="131" s="1"/>
  <c r="W430" i="131"/>
  <c r="AC430" i="131" s="1"/>
  <c r="W421" i="131"/>
  <c r="AC421" i="131" s="1"/>
  <c r="W390" i="131"/>
  <c r="AC390" i="131" s="1"/>
  <c r="W417" i="131"/>
  <c r="AC417" i="131" s="1"/>
  <c r="W385" i="131"/>
  <c r="AC385" i="131" s="1"/>
  <c r="W386" i="131"/>
  <c r="AC386" i="131" s="1"/>
  <c r="W424" i="131"/>
  <c r="AC424" i="131" s="1"/>
  <c r="W425" i="131"/>
  <c r="AC425" i="131" s="1"/>
  <c r="W384" i="131"/>
  <c r="AC384" i="131" s="1"/>
  <c r="W397" i="131"/>
  <c r="W414" i="131"/>
  <c r="W422" i="131"/>
  <c r="AC422" i="131" s="1"/>
  <c r="W408" i="131"/>
  <c r="AC408" i="131" s="1"/>
  <c r="W387" i="131"/>
  <c r="AC387" i="131" s="1"/>
  <c r="W405" i="131"/>
  <c r="AC405" i="131" s="1"/>
  <c r="W432" i="131"/>
  <c r="AC432" i="131" s="1"/>
  <c r="W528" i="131"/>
  <c r="AC528" i="131" s="1"/>
  <c r="W536" i="131"/>
  <c r="AC536" i="131" s="1"/>
  <c r="W415" i="131"/>
  <c r="AC415" i="131" s="1"/>
  <c r="W531" i="131"/>
  <c r="AC531" i="131" s="1"/>
  <c r="W503" i="131"/>
  <c r="AC503" i="131" s="1"/>
  <c r="W514" i="131"/>
  <c r="AC514" i="131" s="1"/>
  <c r="W398" i="131"/>
  <c r="AC398" i="131" s="1"/>
  <c r="W519" i="131"/>
  <c r="AC519" i="131" s="1"/>
  <c r="W505" i="131"/>
  <c r="AC505" i="131" s="1"/>
  <c r="W428" i="131"/>
  <c r="AC428" i="131" s="1"/>
  <c r="W497" i="131"/>
  <c r="AC497" i="131" s="1"/>
  <c r="W410" i="131"/>
  <c r="AC410" i="131" s="1"/>
  <c r="W423" i="131"/>
  <c r="AC423" i="131" s="1"/>
  <c r="W418" i="131"/>
  <c r="AC418" i="131" s="1"/>
  <c r="W517" i="131"/>
  <c r="AC517" i="131" s="1"/>
  <c r="W394" i="131"/>
  <c r="AC394" i="131" s="1"/>
  <c r="W510" i="131"/>
  <c r="AC510" i="131" s="1"/>
  <c r="W498" i="131"/>
  <c r="AC498" i="131" s="1"/>
  <c r="W521" i="131"/>
  <c r="AC521" i="131" s="1"/>
  <c r="W431" i="131"/>
  <c r="AC431" i="131" s="1"/>
  <c r="W525" i="131"/>
  <c r="AC525" i="131" s="1"/>
  <c r="W533" i="131"/>
  <c r="AC533" i="131" s="1"/>
  <c r="W527" i="131"/>
  <c r="AC527" i="131" s="1"/>
  <c r="W523" i="131"/>
  <c r="AC523" i="131" s="1"/>
  <c r="W409" i="131"/>
  <c r="AC409" i="131" s="1"/>
  <c r="W392" i="131"/>
  <c r="AC392" i="131" s="1"/>
  <c r="W511" i="131"/>
  <c r="AC511" i="131" s="1"/>
  <c r="W407" i="131"/>
  <c r="AC407" i="131" s="1"/>
  <c r="W515" i="131"/>
  <c r="AC515" i="131" s="1"/>
  <c r="W537" i="131"/>
  <c r="AC537" i="131" s="1"/>
  <c r="W499" i="131"/>
  <c r="AC499" i="131" s="1"/>
  <c r="W509" i="131"/>
  <c r="AC509" i="131" s="1"/>
  <c r="W513" i="131"/>
  <c r="AC513" i="131" s="1"/>
  <c r="W534" i="131"/>
  <c r="AC534" i="131" s="1"/>
  <c r="W491" i="131"/>
  <c r="AC491" i="131" s="1"/>
  <c r="W535" i="131"/>
  <c r="AC535" i="131" s="1"/>
  <c r="W522" i="131"/>
  <c r="AC522" i="131" s="1"/>
  <c r="W400" i="131"/>
  <c r="AC400" i="131" s="1"/>
  <c r="W493" i="131"/>
  <c r="AC493" i="131" s="1"/>
  <c r="W494" i="131"/>
  <c r="AC494" i="131" s="1"/>
  <c r="W529" i="131"/>
  <c r="AC529" i="131" s="1"/>
  <c r="W396" i="131"/>
  <c r="AC396" i="131" s="1"/>
  <c r="W393" i="131"/>
  <c r="AC393" i="131" s="1"/>
  <c r="W401" i="131"/>
  <c r="AC401" i="131" s="1"/>
  <c r="W389" i="131"/>
  <c r="AC389" i="131" s="1"/>
  <c r="W518" i="131"/>
  <c r="AC518" i="131" s="1"/>
  <c r="W502" i="131"/>
  <c r="AC502" i="131" s="1"/>
  <c r="W495" i="131"/>
  <c r="AC495" i="131" s="1"/>
  <c r="W506" i="131"/>
  <c r="AC506" i="131" s="1"/>
  <c r="W399" i="131"/>
  <c r="AC399" i="131" s="1"/>
  <c r="W530" i="131"/>
  <c r="AC530" i="131" s="1"/>
  <c r="W539" i="131"/>
  <c r="AC539" i="131" s="1"/>
  <c r="W507" i="131"/>
  <c r="AC507" i="131" s="1"/>
  <c r="W526" i="131"/>
  <c r="AC526" i="131" s="1"/>
  <c r="W538" i="131"/>
  <c r="AC538" i="131" s="1"/>
  <c r="W501" i="131"/>
  <c r="AC501" i="131" s="1"/>
  <c r="W391" i="131"/>
  <c r="AC391" i="131" s="1"/>
  <c r="BO392" i="131"/>
  <c r="BT392" i="131"/>
  <c r="BO538" i="131"/>
  <c r="BT538" i="131"/>
  <c r="BT501" i="131"/>
  <c r="BO501" i="131"/>
  <c r="BT388" i="131"/>
  <c r="BO388" i="131"/>
  <c r="BO421" i="131"/>
  <c r="BT421" i="131"/>
  <c r="BT426" i="131"/>
  <c r="BO426" i="131"/>
  <c r="BT434" i="131"/>
  <c r="BO434" i="131"/>
  <c r="BT385" i="131"/>
  <c r="BO385" i="131"/>
  <c r="BO427" i="131"/>
  <c r="BT427" i="131"/>
  <c r="BO503" i="131"/>
  <c r="BT503" i="131"/>
  <c r="BT533" i="131"/>
  <c r="BO533" i="131"/>
  <c r="BO398" i="131"/>
  <c r="BT398" i="131"/>
  <c r="BO508" i="131"/>
  <c r="BT508" i="131"/>
  <c r="BO430" i="131"/>
  <c r="BT430" i="131"/>
  <c r="BO422" i="131"/>
  <c r="BT422" i="131"/>
  <c r="BT520" i="131"/>
  <c r="BO520" i="131"/>
  <c r="BO408" i="131"/>
  <c r="BT408" i="131"/>
  <c r="BO417" i="131"/>
  <c r="BT417" i="131"/>
  <c r="BO416" i="131"/>
  <c r="BT416" i="131"/>
  <c r="BT509" i="131"/>
  <c r="BO509" i="131"/>
  <c r="BO514" i="131"/>
  <c r="BT514" i="131"/>
  <c r="BO524" i="131"/>
  <c r="BT524" i="131"/>
  <c r="BO429" i="131"/>
  <c r="BT429" i="131"/>
  <c r="BT386" i="131"/>
  <c r="BO386" i="131"/>
  <c r="BO411" i="131"/>
  <c r="BT411" i="131"/>
  <c r="BO433" i="131"/>
  <c r="BT433" i="131"/>
  <c r="BT528" i="131"/>
  <c r="BO528" i="131"/>
  <c r="BO406" i="131"/>
  <c r="BT406" i="131"/>
  <c r="BT402" i="131"/>
  <c r="BO402" i="131"/>
  <c r="BO519" i="131"/>
  <c r="BT519" i="131"/>
  <c r="BT493" i="131"/>
  <c r="BO493" i="131"/>
  <c r="BO535" i="131"/>
  <c r="BT535" i="131"/>
  <c r="BT423" i="131"/>
  <c r="BO423" i="131"/>
  <c r="BT415" i="131"/>
  <c r="BO415" i="131"/>
  <c r="BT418" i="131"/>
  <c r="BO418" i="131"/>
  <c r="BT506" i="131"/>
  <c r="BO506" i="131"/>
  <c r="BT517" i="131"/>
  <c r="BO517" i="131"/>
  <c r="BO534" i="131"/>
  <c r="BT534" i="131"/>
  <c r="BO393" i="131"/>
  <c r="BT393" i="131"/>
  <c r="BT394" i="131"/>
  <c r="BO394" i="131"/>
  <c r="BT428" i="131"/>
  <c r="BO428" i="131"/>
  <c r="BO537" i="131"/>
  <c r="BT537" i="131"/>
  <c r="BT523" i="131"/>
  <c r="BO523" i="131"/>
  <c r="BT410" i="131"/>
  <c r="BO410" i="131"/>
  <c r="BO494" i="131"/>
  <c r="BT494" i="131"/>
  <c r="BT531" i="131"/>
  <c r="BO531" i="131"/>
  <c r="BT539" i="131"/>
  <c r="BO539" i="131"/>
  <c r="BT396" i="131"/>
  <c r="BO396" i="131"/>
  <c r="BO522" i="131"/>
  <c r="BT522" i="131"/>
  <c r="BO527" i="131"/>
  <c r="BT527" i="131"/>
  <c r="BT499" i="131"/>
  <c r="BO499" i="131"/>
  <c r="BO389" i="131"/>
  <c r="BT389" i="131"/>
  <c r="BO510" i="131"/>
  <c r="BT510" i="131"/>
  <c r="BO526" i="131"/>
  <c r="BT526" i="131"/>
  <c r="BT525" i="131"/>
  <c r="BO525" i="131"/>
  <c r="BO400" i="131"/>
  <c r="BT400" i="131"/>
  <c r="BO513" i="131"/>
  <c r="BT513" i="131"/>
  <c r="BO495" i="131"/>
  <c r="BT495" i="131"/>
  <c r="BT391" i="131"/>
  <c r="BO391" i="131"/>
  <c r="BO409" i="131"/>
  <c r="BT409" i="131"/>
  <c r="BO521" i="131"/>
  <c r="BT521" i="131"/>
  <c r="BO401" i="131"/>
  <c r="BT401" i="131"/>
  <c r="BT399" i="131"/>
  <c r="BO399" i="131"/>
  <c r="BO502" i="131"/>
  <c r="BT502" i="131"/>
  <c r="BO511" i="131"/>
  <c r="BT511" i="131"/>
  <c r="BT407" i="131"/>
  <c r="BO407" i="131"/>
  <c r="BT431" i="131"/>
  <c r="BO431" i="131"/>
  <c r="BO505" i="131"/>
  <c r="BT505" i="131"/>
  <c r="BO405" i="131"/>
  <c r="BT405" i="131"/>
  <c r="BT496" i="131"/>
  <c r="BO496" i="131"/>
  <c r="BO532" i="131"/>
  <c r="BT532" i="131"/>
  <c r="BT512" i="131"/>
  <c r="BO512" i="131"/>
  <c r="BO529" i="131"/>
  <c r="BT529" i="131"/>
  <c r="BO530" i="131"/>
  <c r="BT530" i="131"/>
  <c r="BO540" i="131"/>
  <c r="BT540" i="131"/>
  <c r="BO390" i="131"/>
  <c r="BT390" i="131"/>
  <c r="BO419" i="131"/>
  <c r="BT419" i="131"/>
  <c r="BO500" i="131"/>
  <c r="BT500" i="131"/>
  <c r="BO498" i="131"/>
  <c r="BT498" i="131"/>
  <c r="BO516" i="131"/>
  <c r="BT516" i="131"/>
  <c r="BO387" i="131"/>
  <c r="BT387" i="131"/>
  <c r="BO395" i="131"/>
  <c r="BT395" i="131"/>
  <c r="BO413" i="131"/>
  <c r="BT413" i="131"/>
  <c r="BO435" i="131"/>
  <c r="BT435" i="131"/>
  <c r="BO425" i="131"/>
  <c r="BT425" i="131"/>
  <c r="BT491" i="131"/>
  <c r="BO491" i="131"/>
  <c r="BO518" i="131"/>
  <c r="BT518" i="131"/>
  <c r="BT515" i="131"/>
  <c r="BO515" i="131"/>
  <c r="BO492" i="131"/>
  <c r="BT492" i="131"/>
  <c r="BO432" i="131"/>
  <c r="BT432" i="131"/>
  <c r="BT536" i="131"/>
  <c r="BO536" i="131"/>
  <c r="BT420" i="131"/>
  <c r="BO420" i="131"/>
  <c r="BO403" i="131"/>
  <c r="BT403" i="131"/>
  <c r="BO497" i="131"/>
  <c r="BT497" i="131"/>
  <c r="BT507" i="131"/>
  <c r="BO507" i="131"/>
  <c r="BT404" i="131"/>
  <c r="BO404" i="131"/>
  <c r="BO397" i="131"/>
  <c r="BT397" i="131"/>
  <c r="BO414" i="131"/>
  <c r="BT414" i="131"/>
  <c r="BO424" i="131"/>
  <c r="BT424" i="131"/>
  <c r="BO384" i="131"/>
  <c r="BT384" i="131"/>
  <c r="BT504" i="131"/>
  <c r="BO504" i="131"/>
  <c r="BT412" i="131"/>
  <c r="BO412" i="131"/>
  <c r="AC395" i="131"/>
  <c r="AC402" i="131"/>
  <c r="AC414" i="131"/>
  <c r="AC397" i="131"/>
  <c r="AQ404" i="131"/>
  <c r="AQ492" i="131"/>
  <c r="AQ388" i="131"/>
  <c r="AQ424" i="131"/>
  <c r="AQ433" i="131"/>
  <c r="AQ425" i="131"/>
  <c r="AQ403" i="131"/>
  <c r="AQ395" i="131"/>
  <c r="AQ512" i="131"/>
  <c r="AQ516" i="131"/>
  <c r="AQ532" i="131"/>
  <c r="AQ420" i="131"/>
  <c r="AQ508" i="131"/>
  <c r="AQ406" i="131"/>
  <c r="AQ401" i="131"/>
  <c r="AQ537" i="131"/>
  <c r="AQ525" i="131"/>
  <c r="AQ522" i="131"/>
  <c r="AQ501" i="131"/>
  <c r="AQ518" i="131"/>
  <c r="AQ418" i="131"/>
  <c r="AQ491" i="131"/>
  <c r="AQ531" i="131"/>
  <c r="AX536" i="131"/>
  <c r="AX419" i="131"/>
  <c r="AX397" i="131"/>
  <c r="AX386" i="131"/>
  <c r="AX430" i="131"/>
  <c r="AX492" i="131"/>
  <c r="AX414" i="131"/>
  <c r="AX411" i="131"/>
  <c r="AX435" i="131"/>
  <c r="AX387" i="131"/>
  <c r="AX424" i="131"/>
  <c r="AX432" i="131"/>
  <c r="AX528" i="131"/>
  <c r="AX425" i="131"/>
  <c r="AX496" i="131"/>
  <c r="AX520" i="131"/>
  <c r="AX426" i="131"/>
  <c r="AX384" i="131"/>
  <c r="AX402" i="131"/>
  <c r="AX416" i="131"/>
  <c r="AX512" i="131"/>
  <c r="AX403" i="131"/>
  <c r="AX412" i="131"/>
  <c r="AX413" i="131"/>
  <c r="AX500" i="131"/>
  <c r="AX390" i="131"/>
  <c r="AX524" i="131"/>
  <c r="AX427" i="131"/>
  <c r="AX404" i="131"/>
  <c r="AX422" i="131"/>
  <c r="AX393" i="131"/>
  <c r="AX523" i="131"/>
  <c r="AX506" i="131"/>
  <c r="AX517" i="131"/>
  <c r="AX409" i="131"/>
  <c r="AX537" i="131"/>
  <c r="AX423" i="131"/>
  <c r="AX391" i="131"/>
  <c r="AX499" i="131"/>
  <c r="AX525" i="131"/>
  <c r="AX539" i="131"/>
  <c r="AX531" i="131"/>
  <c r="AX526" i="131"/>
  <c r="AX410" i="131"/>
  <c r="AX431" i="131"/>
  <c r="AX505" i="131"/>
  <c r="AX514" i="131"/>
  <c r="AX519" i="131"/>
  <c r="AX501" i="131"/>
  <c r="AX495" i="131"/>
  <c r="AX507" i="131"/>
  <c r="AX428" i="131"/>
  <c r="AX518" i="131"/>
  <c r="AX394" i="131"/>
  <c r="AX502" i="131"/>
  <c r="AX515" i="131"/>
  <c r="AX491" i="131"/>
  <c r="AX493" i="131"/>
  <c r="AX503" i="131"/>
  <c r="AX529" i="131"/>
  <c r="AX533" i="131"/>
  <c r="AX534" i="131"/>
  <c r="AX389" i="131"/>
  <c r="AX396" i="131"/>
  <c r="AX415" i="131"/>
  <c r="AJ432" i="131"/>
  <c r="AJ385" i="131"/>
  <c r="AJ384" i="131"/>
  <c r="AJ408" i="131"/>
  <c r="AJ404" i="131"/>
  <c r="AJ412" i="131"/>
  <c r="AJ429" i="131"/>
  <c r="AJ492" i="131"/>
  <c r="AJ524" i="131"/>
  <c r="AJ419" i="131"/>
  <c r="AJ496" i="131"/>
  <c r="AJ416" i="131"/>
  <c r="AJ433" i="131"/>
  <c r="AJ512" i="131"/>
  <c r="AJ504" i="131"/>
  <c r="AJ536" i="131"/>
  <c r="AJ426" i="131"/>
  <c r="AJ403" i="131"/>
  <c r="AJ395" i="131"/>
  <c r="AJ411" i="131"/>
  <c r="AJ402" i="131"/>
  <c r="AJ413" i="131"/>
  <c r="AJ414" i="131"/>
  <c r="AJ430" i="131"/>
  <c r="AJ508" i="131"/>
  <c r="AJ420" i="131"/>
  <c r="AJ406" i="131"/>
  <c r="AJ387" i="131"/>
  <c r="AJ396" i="131"/>
  <c r="AJ491" i="131"/>
  <c r="AJ539" i="131"/>
  <c r="AJ531" i="131"/>
  <c r="AJ534" i="131"/>
  <c r="AJ497" i="131"/>
  <c r="AJ399" i="131"/>
  <c r="AJ494" i="131"/>
  <c r="AJ415" i="131"/>
  <c r="AJ513" i="131"/>
  <c r="AJ529" i="131"/>
  <c r="AJ526" i="131"/>
  <c r="AJ393" i="131"/>
  <c r="AJ493" i="131"/>
  <c r="AJ527" i="131"/>
  <c r="AJ502" i="131"/>
  <c r="AJ521" i="131"/>
  <c r="AJ535" i="131"/>
  <c r="AJ410" i="131"/>
  <c r="AJ495" i="131"/>
  <c r="AJ533" i="131"/>
  <c r="AJ537" i="131"/>
  <c r="AJ391" i="131"/>
  <c r="AJ522" i="131"/>
  <c r="AJ398" i="131"/>
  <c r="AJ519" i="131"/>
  <c r="AJ428" i="131"/>
  <c r="AJ515" i="131"/>
  <c r="AJ431" i="131"/>
  <c r="AJ525" i="131"/>
  <c r="AJ392" i="131"/>
  <c r="AJ507" i="131"/>
  <c r="AJ389" i="131"/>
  <c r="AJ518" i="131"/>
  <c r="R11" i="130"/>
  <c r="L2" i="136" s="1"/>
  <c r="R11" i="131"/>
  <c r="O6" i="139"/>
  <c r="N6" i="139" s="1"/>
  <c r="O12" i="139"/>
  <c r="N12" i="139" s="1"/>
  <c r="O18" i="139"/>
  <c r="N18" i="139" s="1"/>
  <c r="O4" i="139"/>
  <c r="N4" i="139" s="1"/>
  <c r="O20" i="139"/>
  <c r="N20" i="139" s="1"/>
  <c r="O8" i="139"/>
  <c r="N8" i="139" s="1"/>
  <c r="O7" i="139"/>
  <c r="N7" i="139" s="1"/>
  <c r="O24" i="139"/>
  <c r="N24" i="139" s="1"/>
  <c r="O16" i="139"/>
  <c r="N16" i="139" s="1"/>
  <c r="O13" i="139"/>
  <c r="N13" i="139" s="1"/>
  <c r="O9" i="139"/>
  <c r="O23" i="139"/>
  <c r="N23" i="139" s="1"/>
  <c r="O15" i="139"/>
  <c r="N15" i="139" s="1"/>
  <c r="O11" i="139"/>
  <c r="N11" i="139" s="1"/>
  <c r="O5" i="139"/>
  <c r="N5" i="139" s="1"/>
  <c r="O2" i="139"/>
  <c r="N2" i="139" s="1"/>
  <c r="O17" i="139"/>
  <c r="O21" i="139"/>
  <c r="N21" i="139" s="1"/>
  <c r="O22" i="139"/>
  <c r="N22" i="139" s="1"/>
  <c r="O19" i="139"/>
  <c r="N19" i="139" s="1"/>
  <c r="O14" i="139"/>
  <c r="N14" i="139" s="1"/>
  <c r="O25" i="139"/>
  <c r="N25" i="139" s="1"/>
  <c r="O10" i="139"/>
  <c r="N10" i="139" s="1"/>
  <c r="M14" i="142" l="1"/>
  <c r="BS412" i="131"/>
  <c r="BQ384" i="131"/>
  <c r="BP404" i="131"/>
  <c r="BQ507" i="131"/>
  <c r="BQ497" i="131"/>
  <c r="BP420" i="131"/>
  <c r="BQ536" i="131"/>
  <c r="BQ432" i="131"/>
  <c r="BP518" i="131"/>
  <c r="BS491" i="131"/>
  <c r="BS435" i="131"/>
  <c r="BP413" i="131"/>
  <c r="BP395" i="131"/>
  <c r="BS516" i="131"/>
  <c r="BR498" i="131"/>
  <c r="BP500" i="131"/>
  <c r="BR390" i="131"/>
  <c r="BS496" i="131"/>
  <c r="BQ431" i="131"/>
  <c r="BS407" i="131"/>
  <c r="BQ399" i="131"/>
  <c r="BQ409" i="131"/>
  <c r="BQ391" i="131"/>
  <c r="BQ525" i="131"/>
  <c r="BR526" i="131"/>
  <c r="BQ499" i="131"/>
  <c r="BP396" i="131"/>
  <c r="BQ539" i="131"/>
  <c r="BS531" i="131"/>
  <c r="BQ523" i="131"/>
  <c r="BQ537" i="131"/>
  <c r="BR393" i="131"/>
  <c r="BR534" i="131"/>
  <c r="BR506" i="131"/>
  <c r="BQ418" i="131"/>
  <c r="BS415" i="131"/>
  <c r="BR535" i="131"/>
  <c r="BQ493" i="131"/>
  <c r="BR406" i="131"/>
  <c r="BQ528" i="131"/>
  <c r="BP386" i="131"/>
  <c r="BP429" i="131"/>
  <c r="BP524" i="131"/>
  <c r="BP509" i="131"/>
  <c r="BS422" i="131"/>
  <c r="BR398" i="131"/>
  <c r="BQ533" i="131"/>
  <c r="BQ434" i="131"/>
  <c r="BS426" i="131"/>
  <c r="BP388" i="131"/>
  <c r="BQ501" i="131"/>
  <c r="BP384" i="131"/>
  <c r="BP424" i="131"/>
  <c r="BP414" i="131"/>
  <c r="BR507" i="131"/>
  <c r="BR497" i="131"/>
  <c r="BR536" i="131"/>
  <c r="BR432" i="131"/>
  <c r="BP515" i="131"/>
  <c r="BQ518" i="131"/>
  <c r="BR435" i="131"/>
  <c r="BQ413" i="131"/>
  <c r="BQ395" i="131"/>
  <c r="BR516" i="131"/>
  <c r="BS498" i="131"/>
  <c r="BQ500" i="131"/>
  <c r="BQ390" i="131"/>
  <c r="BP512" i="131"/>
  <c r="BS505" i="131"/>
  <c r="BR431" i="131"/>
  <c r="BR399" i="131"/>
  <c r="BP409" i="131"/>
  <c r="BR391" i="131"/>
  <c r="BP495" i="131"/>
  <c r="BS400" i="131"/>
  <c r="BR525" i="131"/>
  <c r="BS526" i="131"/>
  <c r="BR499" i="131"/>
  <c r="BP527" i="131"/>
  <c r="BR539" i="131"/>
  <c r="BP410" i="131"/>
  <c r="BR523" i="131"/>
  <c r="BR537" i="131"/>
  <c r="BP394" i="131"/>
  <c r="BS393" i="131"/>
  <c r="BS534" i="131"/>
  <c r="BQ506" i="131"/>
  <c r="BR418" i="131"/>
  <c r="BQ535" i="131"/>
  <c r="BR493" i="131"/>
  <c r="BP519" i="131"/>
  <c r="BQ406" i="131"/>
  <c r="BR528" i="131"/>
  <c r="BQ429" i="131"/>
  <c r="BQ524" i="131"/>
  <c r="BP416" i="131"/>
  <c r="BP520" i="131"/>
  <c r="BP430" i="131"/>
  <c r="BQ398" i="131"/>
  <c r="BR533" i="131"/>
  <c r="BP503" i="131"/>
  <c r="BP385" i="131"/>
  <c r="BR434" i="131"/>
  <c r="BR501" i="131"/>
  <c r="BR384" i="131"/>
  <c r="BQ424" i="131"/>
  <c r="BQ404" i="131"/>
  <c r="BS507" i="131"/>
  <c r="BS403" i="131"/>
  <c r="BQ420" i="131"/>
  <c r="BS536" i="131"/>
  <c r="BS492" i="131"/>
  <c r="BQ515" i="131"/>
  <c r="BR518" i="131"/>
  <c r="BQ425" i="131"/>
  <c r="BR413" i="131"/>
  <c r="BS387" i="131"/>
  <c r="BS419" i="131"/>
  <c r="BS390" i="131"/>
  <c r="BP540" i="131"/>
  <c r="BQ512" i="131"/>
  <c r="BP532" i="131"/>
  <c r="BS431" i="131"/>
  <c r="BR511" i="131"/>
  <c r="BP502" i="131"/>
  <c r="BS399" i="131"/>
  <c r="BR409" i="131"/>
  <c r="BS391" i="131"/>
  <c r="BS525" i="131"/>
  <c r="BP389" i="131"/>
  <c r="BS499" i="131"/>
  <c r="BQ522" i="131"/>
  <c r="BQ396" i="131"/>
  <c r="BS539" i="131"/>
  <c r="BQ410" i="131"/>
  <c r="BS523" i="131"/>
  <c r="BP428" i="131"/>
  <c r="BQ394" i="131"/>
  <c r="BP517" i="131"/>
  <c r="BS418" i="131"/>
  <c r="BS535" i="131"/>
  <c r="BS493" i="131"/>
  <c r="BS406" i="131"/>
  <c r="BS528" i="131"/>
  <c r="BS411" i="131"/>
  <c r="BQ386" i="131"/>
  <c r="BR429" i="131"/>
  <c r="BQ514" i="131"/>
  <c r="BQ509" i="131"/>
  <c r="BQ416" i="131"/>
  <c r="BQ520" i="131"/>
  <c r="BS508" i="131"/>
  <c r="BS398" i="131"/>
  <c r="BS533" i="131"/>
  <c r="BS427" i="131"/>
  <c r="BQ385" i="131"/>
  <c r="BS434" i="131"/>
  <c r="BQ388" i="131"/>
  <c r="BS501" i="131"/>
  <c r="BP504" i="131"/>
  <c r="BS384" i="131"/>
  <c r="BR424" i="131"/>
  <c r="BR404" i="131"/>
  <c r="BR403" i="131"/>
  <c r="BR420" i="131"/>
  <c r="BR492" i="131"/>
  <c r="BR515" i="131"/>
  <c r="BS518" i="131"/>
  <c r="BP425" i="131"/>
  <c r="BS413" i="131"/>
  <c r="BR387" i="131"/>
  <c r="BR419" i="131"/>
  <c r="BQ540" i="131"/>
  <c r="BS529" i="131"/>
  <c r="BR512" i="131"/>
  <c r="BQ532" i="131"/>
  <c r="BP505" i="131"/>
  <c r="BQ511" i="131"/>
  <c r="BQ502" i="131"/>
  <c r="BS521" i="131"/>
  <c r="BS409" i="131"/>
  <c r="BS513" i="131"/>
  <c r="BP400" i="131"/>
  <c r="BQ389" i="131"/>
  <c r="BP522" i="131"/>
  <c r="BR396" i="131"/>
  <c r="BR410" i="131"/>
  <c r="BR394" i="131"/>
  <c r="BP506" i="131"/>
  <c r="BP423" i="131"/>
  <c r="BP402" i="131"/>
  <c r="BR411" i="131"/>
  <c r="BR386" i="131"/>
  <c r="BS429" i="131"/>
  <c r="BP514" i="131"/>
  <c r="BR509" i="131"/>
  <c r="BR416" i="131"/>
  <c r="BS408" i="131"/>
  <c r="BR520" i="131"/>
  <c r="BP422" i="131"/>
  <c r="BR508" i="131"/>
  <c r="BR427" i="131"/>
  <c r="BR385" i="131"/>
  <c r="BR388" i="131"/>
  <c r="BS392" i="131"/>
  <c r="BP412" i="131"/>
  <c r="BQ504" i="131"/>
  <c r="BR414" i="131"/>
  <c r="BP397" i="131"/>
  <c r="BS404" i="131"/>
  <c r="BS420" i="131"/>
  <c r="BS515" i="131"/>
  <c r="BR425" i="131"/>
  <c r="BP435" i="131"/>
  <c r="BS395" i="131"/>
  <c r="BP516" i="131"/>
  <c r="BS500" i="131"/>
  <c r="BQ530" i="131"/>
  <c r="BS512" i="131"/>
  <c r="BP405" i="131"/>
  <c r="BQ505" i="131"/>
  <c r="BS511" i="131"/>
  <c r="BR502" i="131"/>
  <c r="BQ401" i="131"/>
  <c r="BR495" i="131"/>
  <c r="BQ400" i="131"/>
  <c r="BP510" i="131"/>
  <c r="BR389" i="131"/>
  <c r="BR527" i="131"/>
  <c r="BR522" i="131"/>
  <c r="BS396" i="131"/>
  <c r="BP494" i="131"/>
  <c r="BS410" i="131"/>
  <c r="BQ428" i="131"/>
  <c r="BS394" i="131"/>
  <c r="BQ517" i="131"/>
  <c r="BS506" i="131"/>
  <c r="BQ423" i="131"/>
  <c r="BR519" i="131"/>
  <c r="BQ402" i="131"/>
  <c r="BQ433" i="131"/>
  <c r="BS386" i="131"/>
  <c r="BS524" i="131"/>
  <c r="BR514" i="131"/>
  <c r="BS509" i="131"/>
  <c r="BQ417" i="131"/>
  <c r="BS520" i="131"/>
  <c r="BR430" i="131"/>
  <c r="BR503" i="131"/>
  <c r="BS385" i="131"/>
  <c r="BP421" i="131"/>
  <c r="BS388" i="131"/>
  <c r="BQ538" i="131"/>
  <c r="BR504" i="131"/>
  <c r="BQ414" i="131"/>
  <c r="BQ397" i="131"/>
  <c r="BS497" i="131"/>
  <c r="BS432" i="131"/>
  <c r="BP491" i="131"/>
  <c r="BS425" i="131"/>
  <c r="BQ435" i="131"/>
  <c r="BR395" i="131"/>
  <c r="BQ516" i="131"/>
  <c r="BR500" i="131"/>
  <c r="BP390" i="131"/>
  <c r="BP530" i="131"/>
  <c r="BP529" i="131"/>
  <c r="BP496" i="131"/>
  <c r="BQ405" i="131"/>
  <c r="BR505" i="131"/>
  <c r="BP407" i="131"/>
  <c r="BS502" i="131"/>
  <c r="BP401" i="131"/>
  <c r="BP521" i="131"/>
  <c r="BQ495" i="131"/>
  <c r="BP513" i="131"/>
  <c r="BR400" i="131"/>
  <c r="BQ510" i="131"/>
  <c r="BS389" i="131"/>
  <c r="BQ527" i="131"/>
  <c r="BS522" i="131"/>
  <c r="BP531" i="131"/>
  <c r="BQ494" i="131"/>
  <c r="BS537" i="131"/>
  <c r="BR428" i="131"/>
  <c r="BR517" i="131"/>
  <c r="BP415" i="131"/>
  <c r="BR423" i="131"/>
  <c r="BP535" i="131"/>
  <c r="BQ519" i="131"/>
  <c r="BR402" i="131"/>
  <c r="BP406" i="131"/>
  <c r="BP433" i="131"/>
  <c r="BR524" i="131"/>
  <c r="BS514" i="131"/>
  <c r="BP417" i="131"/>
  <c r="BP408" i="131"/>
  <c r="BQ430" i="131"/>
  <c r="BP398" i="131"/>
  <c r="BQ503" i="131"/>
  <c r="BP426" i="131"/>
  <c r="BQ421" i="131"/>
  <c r="BP538" i="131"/>
  <c r="BP392" i="131"/>
  <c r="BQ412" i="131"/>
  <c r="BS504" i="131"/>
  <c r="BS414" i="131"/>
  <c r="BR397" i="131"/>
  <c r="BP403" i="131"/>
  <c r="BP492" i="131"/>
  <c r="BQ491" i="131"/>
  <c r="BP387" i="131"/>
  <c r="BQ498" i="131"/>
  <c r="BP419" i="131"/>
  <c r="BS540" i="131"/>
  <c r="BR530" i="131"/>
  <c r="BQ529" i="131"/>
  <c r="BS532" i="131"/>
  <c r="BQ496" i="131"/>
  <c r="BR405" i="131"/>
  <c r="BQ407" i="131"/>
  <c r="BR401" i="131"/>
  <c r="BQ521" i="131"/>
  <c r="BS495" i="131"/>
  <c r="BQ513" i="131"/>
  <c r="BP525" i="131"/>
  <c r="BP526" i="131"/>
  <c r="BR510" i="131"/>
  <c r="BS527" i="131"/>
  <c r="BQ531" i="131"/>
  <c r="BR494" i="131"/>
  <c r="BS428" i="131"/>
  <c r="BQ393" i="131"/>
  <c r="BP534" i="131"/>
  <c r="BS517" i="131"/>
  <c r="BQ415" i="131"/>
  <c r="BS423" i="131"/>
  <c r="BP493" i="131"/>
  <c r="BS519" i="131"/>
  <c r="BS402" i="131"/>
  <c r="BR433" i="131"/>
  <c r="BP411" i="131"/>
  <c r="BR417" i="131"/>
  <c r="BQ408" i="131"/>
  <c r="BR422" i="131"/>
  <c r="BS430" i="131"/>
  <c r="BP508" i="131"/>
  <c r="BP533" i="131"/>
  <c r="BS503" i="131"/>
  <c r="BP427" i="131"/>
  <c r="BQ426" i="131"/>
  <c r="BR421" i="131"/>
  <c r="BP501" i="131"/>
  <c r="BR538" i="131"/>
  <c r="BQ392" i="131"/>
  <c r="BR412" i="131"/>
  <c r="BS424" i="131"/>
  <c r="BS397" i="131"/>
  <c r="BP507" i="131"/>
  <c r="BP497" i="131"/>
  <c r="BQ403" i="131"/>
  <c r="BP536" i="131"/>
  <c r="BP432" i="131"/>
  <c r="BQ492" i="131"/>
  <c r="BR491" i="131"/>
  <c r="BQ387" i="131"/>
  <c r="BP498" i="131"/>
  <c r="BQ419" i="131"/>
  <c r="BR540" i="131"/>
  <c r="BS530" i="131"/>
  <c r="BR529" i="131"/>
  <c r="BR532" i="131"/>
  <c r="BR496" i="131"/>
  <c r="BS405" i="131"/>
  <c r="BP431" i="131"/>
  <c r="BR407" i="131"/>
  <c r="BP511" i="131"/>
  <c r="BP399" i="131"/>
  <c r="BS401" i="131"/>
  <c r="BR521" i="131"/>
  <c r="BP391" i="131"/>
  <c r="BR513" i="131"/>
  <c r="BQ526" i="131"/>
  <c r="BS510" i="131"/>
  <c r="BP499" i="131"/>
  <c r="BP539" i="131"/>
  <c r="BR531" i="131"/>
  <c r="BS494" i="131"/>
  <c r="BP523" i="131"/>
  <c r="BP537" i="131"/>
  <c r="BP393" i="131"/>
  <c r="BQ534" i="131"/>
  <c r="BP418" i="131"/>
  <c r="BR415" i="131"/>
  <c r="BP528" i="131"/>
  <c r="BS433" i="131"/>
  <c r="BQ411" i="131"/>
  <c r="BS416" i="131"/>
  <c r="BS417" i="131"/>
  <c r="BR408" i="131"/>
  <c r="BQ422" i="131"/>
  <c r="BQ508" i="131"/>
  <c r="BQ427" i="131"/>
  <c r="BP434" i="131"/>
  <c r="BR426" i="131"/>
  <c r="BS421" i="131"/>
  <c r="BS538" i="131"/>
  <c r="BR392" i="131"/>
  <c r="W12" i="130"/>
  <c r="D1" i="139" s="1"/>
  <c r="AS11" i="130"/>
  <c r="AE2" i="136" s="1"/>
  <c r="AS11" i="131"/>
  <c r="AV11" i="131"/>
  <c r="AV11" i="130"/>
  <c r="AH2" i="136" s="1"/>
  <c r="AH11" i="131"/>
  <c r="AH11" i="130"/>
  <c r="X2" i="136" s="1"/>
  <c r="AG11" i="130"/>
  <c r="W2" i="136" s="1"/>
  <c r="AG11" i="131"/>
  <c r="AN11" i="131"/>
  <c r="AN11" i="130"/>
  <c r="AB2" i="136" s="1"/>
  <c r="V22" i="139"/>
  <c r="BB11" i="131"/>
  <c r="BB11" i="130"/>
  <c r="AE11" i="130"/>
  <c r="U2" i="136" s="1"/>
  <c r="AE11" i="131"/>
  <c r="T11" i="131"/>
  <c r="T11" i="130"/>
  <c r="N2" i="136" s="1"/>
  <c r="Y11" i="131"/>
  <c r="Y11" i="130"/>
  <c r="Q2" i="136" s="1"/>
  <c r="BC11" i="131"/>
  <c r="BC11" i="130"/>
  <c r="AF11" i="130"/>
  <c r="V2" i="136" s="1"/>
  <c r="AF11" i="131"/>
  <c r="Z11" i="131"/>
  <c r="Z11" i="130"/>
  <c r="R2" i="136" s="1"/>
  <c r="X11" i="131"/>
  <c r="X11" i="130"/>
  <c r="P2" i="136" s="1"/>
  <c r="Q11" i="130"/>
  <c r="K2" i="136" s="1"/>
  <c r="Q11" i="131"/>
  <c r="AL11" i="131"/>
  <c r="AL11" i="130"/>
  <c r="Z2" i="136" s="1"/>
  <c r="AM11" i="131"/>
  <c r="AM11" i="130"/>
  <c r="AA2" i="136" s="1"/>
  <c r="AU11" i="130"/>
  <c r="AG2" i="136" s="1"/>
  <c r="AU11" i="131"/>
  <c r="S11" i="130"/>
  <c r="M2" i="136" s="1"/>
  <c r="S11" i="131"/>
  <c r="AZ11" i="131"/>
  <c r="AZ11" i="130"/>
  <c r="AT11" i="130"/>
  <c r="AF2" i="136" s="1"/>
  <c r="AT11" i="131"/>
  <c r="BA11" i="131"/>
  <c r="BA11" i="130"/>
  <c r="AK14" i="142"/>
  <c r="N9" i="139"/>
  <c r="Y14" i="142"/>
  <c r="V23" i="139"/>
  <c r="V25" i="139"/>
  <c r="S14" i="142"/>
  <c r="AE14" i="142"/>
  <c r="N17" i="139"/>
  <c r="V24" i="139"/>
  <c r="W12" i="131" l="1"/>
  <c r="H2" i="140" s="1"/>
  <c r="G14" i="142"/>
  <c r="P12" i="131"/>
  <c r="D2" i="140" s="1"/>
  <c r="P3" i="136"/>
  <c r="V3" i="141"/>
  <c r="AY12" i="131"/>
  <c r="AY12" i="130"/>
  <c r="P12" i="130"/>
  <c r="C1" i="139" s="1"/>
  <c r="AK12" i="130"/>
  <c r="F1" i="139" s="1"/>
  <c r="AK12" i="131"/>
  <c r="AD12" i="130"/>
  <c r="E1" i="139" s="1"/>
  <c r="AD12" i="131"/>
  <c r="L2" i="140" s="1"/>
  <c r="AA11" i="131"/>
  <c r="AA11" i="130"/>
  <c r="S2" i="136" s="1"/>
  <c r="AO11" i="130"/>
  <c r="AC2" i="136" s="1"/>
  <c r="AO11" i="131"/>
  <c r="AR12" i="130"/>
  <c r="G1" i="139" s="1"/>
  <c r="AR12" i="131"/>
  <c r="Z3" i="136" l="1"/>
  <c r="AD3" i="141"/>
  <c r="AE3" i="136"/>
  <c r="AH3" i="141"/>
  <c r="AL3" i="141" s="1"/>
  <c r="AP3" i="141" s="1"/>
  <c r="K3" i="136"/>
  <c r="R3" i="141"/>
  <c r="U3" i="136"/>
  <c r="Z3" i="141"/>
  <c r="AF41" i="139"/>
  <c r="AF42" i="139" l="1"/>
  <c r="AF43" i="139" l="1"/>
  <c r="AF44" i="139" l="1"/>
  <c r="J203" i="136" l="1"/>
  <c r="I203" i="136"/>
  <c r="H203" i="136"/>
  <c r="J202" i="136"/>
  <c r="I202" i="136"/>
  <c r="H202" i="136"/>
  <c r="A202" i="136"/>
  <c r="J201" i="136"/>
  <c r="I201" i="136"/>
  <c r="H201" i="136"/>
  <c r="G201" i="136"/>
  <c r="A201" i="136"/>
  <c r="AT201" i="136" s="1"/>
  <c r="J200" i="136"/>
  <c r="I200" i="136"/>
  <c r="H200" i="136"/>
  <c r="G200" i="136"/>
  <c r="A200" i="136"/>
  <c r="AT200" i="136" s="1"/>
  <c r="J199" i="136"/>
  <c r="I199" i="136"/>
  <c r="H199" i="136"/>
  <c r="G199" i="136"/>
  <c r="A199" i="136"/>
  <c r="AT199" i="136" s="1"/>
  <c r="J198" i="136"/>
  <c r="I198" i="136"/>
  <c r="H198" i="136"/>
  <c r="G198" i="136"/>
  <c r="A198" i="136"/>
  <c r="AT198" i="136" s="1"/>
  <c r="J197" i="136"/>
  <c r="I197" i="136"/>
  <c r="H197" i="136"/>
  <c r="G197" i="136"/>
  <c r="A197" i="136"/>
  <c r="AT197" i="136" s="1"/>
  <c r="J196" i="136"/>
  <c r="I196" i="136"/>
  <c r="H196" i="136"/>
  <c r="G196" i="136"/>
  <c r="A196" i="136"/>
  <c r="AT196" i="136" s="1"/>
  <c r="J195" i="136"/>
  <c r="I195" i="136"/>
  <c r="H195" i="136"/>
  <c r="G195" i="136"/>
  <c r="A195" i="136"/>
  <c r="AT195" i="136" s="1"/>
  <c r="J194" i="136"/>
  <c r="I194" i="136"/>
  <c r="H194" i="136"/>
  <c r="G194" i="136"/>
  <c r="A194" i="136"/>
  <c r="AT194" i="136" s="1"/>
  <c r="J193" i="136"/>
  <c r="I193" i="136"/>
  <c r="H193" i="136"/>
  <c r="G193" i="136"/>
  <c r="A193" i="136"/>
  <c r="AT193" i="136" s="1"/>
  <c r="J192" i="136"/>
  <c r="I192" i="136"/>
  <c r="H192" i="136"/>
  <c r="G192" i="136"/>
  <c r="A192" i="136"/>
  <c r="AT192" i="136" s="1"/>
  <c r="J191" i="136"/>
  <c r="I191" i="136"/>
  <c r="H191" i="136"/>
  <c r="G191" i="136"/>
  <c r="A191" i="136"/>
  <c r="AT191" i="136" s="1"/>
  <c r="J190" i="136"/>
  <c r="I190" i="136"/>
  <c r="H190" i="136"/>
  <c r="G190" i="136"/>
  <c r="A190" i="136"/>
  <c r="AT190" i="136" s="1"/>
  <c r="J189" i="136"/>
  <c r="I189" i="136"/>
  <c r="H189" i="136"/>
  <c r="G189" i="136"/>
  <c r="A189" i="136"/>
  <c r="AT189" i="136" s="1"/>
  <c r="J188" i="136"/>
  <c r="I188" i="136"/>
  <c r="H188" i="136"/>
  <c r="G188" i="136"/>
  <c r="A188" i="136"/>
  <c r="AT188" i="136" s="1"/>
  <c r="J187" i="136"/>
  <c r="I187" i="136"/>
  <c r="H187" i="136"/>
  <c r="G187" i="136"/>
  <c r="A187" i="136"/>
  <c r="AT187" i="136" s="1"/>
  <c r="J186" i="136"/>
  <c r="I186" i="136"/>
  <c r="H186" i="136"/>
  <c r="G186" i="136"/>
  <c r="A186" i="136"/>
  <c r="AT186" i="136" s="1"/>
  <c r="J185" i="136"/>
  <c r="I185" i="136"/>
  <c r="H185" i="136"/>
  <c r="G185" i="136"/>
  <c r="A185" i="136"/>
  <c r="AT185" i="136" s="1"/>
  <c r="J184" i="136"/>
  <c r="I184" i="136"/>
  <c r="H184" i="136"/>
  <c r="G184" i="136"/>
  <c r="A184" i="136"/>
  <c r="AT184" i="136" s="1"/>
  <c r="J183" i="136"/>
  <c r="I183" i="136"/>
  <c r="H183" i="136"/>
  <c r="G183" i="136"/>
  <c r="A183" i="136"/>
  <c r="AT183" i="136" s="1"/>
  <c r="J182" i="136"/>
  <c r="I182" i="136"/>
  <c r="H182" i="136"/>
  <c r="G182" i="136"/>
  <c r="A182" i="136"/>
  <c r="AT182" i="136" s="1"/>
  <c r="J181" i="136"/>
  <c r="I181" i="136"/>
  <c r="H181" i="136"/>
  <c r="G181" i="136"/>
  <c r="A181" i="136"/>
  <c r="AT181" i="136" s="1"/>
  <c r="J180" i="136"/>
  <c r="I180" i="136"/>
  <c r="H180" i="136"/>
  <c r="G180" i="136"/>
  <c r="A180" i="136"/>
  <c r="AT180" i="136" s="1"/>
  <c r="J179" i="136"/>
  <c r="I179" i="136"/>
  <c r="H179" i="136"/>
  <c r="G179" i="136"/>
  <c r="A179" i="136"/>
  <c r="AT179" i="136" s="1"/>
  <c r="J178" i="136"/>
  <c r="I178" i="136"/>
  <c r="H178" i="136"/>
  <c r="G178" i="136"/>
  <c r="A178" i="136"/>
  <c r="AT178" i="136" s="1"/>
  <c r="J177" i="136"/>
  <c r="I177" i="136"/>
  <c r="H177" i="136"/>
  <c r="G177" i="136"/>
  <c r="A177" i="136"/>
  <c r="AT177" i="136" s="1"/>
  <c r="J176" i="136"/>
  <c r="I176" i="136"/>
  <c r="H176" i="136"/>
  <c r="G176" i="136"/>
  <c r="A176" i="136"/>
  <c r="AT176" i="136" s="1"/>
  <c r="J175" i="136"/>
  <c r="I175" i="136"/>
  <c r="H175" i="136"/>
  <c r="G175" i="136"/>
  <c r="A175" i="136"/>
  <c r="AT175" i="136" s="1"/>
  <c r="J174" i="136"/>
  <c r="I174" i="136"/>
  <c r="H174" i="136"/>
  <c r="G174" i="136"/>
  <c r="A174" i="136"/>
  <c r="AT174" i="136" s="1"/>
  <c r="J173" i="136"/>
  <c r="I173" i="136"/>
  <c r="H173" i="136"/>
  <c r="G173" i="136"/>
  <c r="A173" i="136"/>
  <c r="AT173" i="136" s="1"/>
  <c r="J172" i="136"/>
  <c r="I172" i="136"/>
  <c r="H172" i="136"/>
  <c r="G172" i="136"/>
  <c r="A172" i="136"/>
  <c r="AT172" i="136" s="1"/>
  <c r="J171" i="136"/>
  <c r="I171" i="136"/>
  <c r="H171" i="136"/>
  <c r="G171" i="136"/>
  <c r="A171" i="136"/>
  <c r="AT171" i="136" s="1"/>
  <c r="J170" i="136"/>
  <c r="I170" i="136"/>
  <c r="H170" i="136"/>
  <c r="G170" i="136"/>
  <c r="A170" i="136"/>
  <c r="AT170" i="136" s="1"/>
  <c r="J169" i="136"/>
  <c r="I169" i="136"/>
  <c r="H169" i="136"/>
  <c r="G169" i="136"/>
  <c r="A169" i="136"/>
  <c r="AT169" i="136" s="1"/>
  <c r="J168" i="136"/>
  <c r="I168" i="136"/>
  <c r="H168" i="136"/>
  <c r="G168" i="136"/>
  <c r="A168" i="136"/>
  <c r="AT168" i="136" s="1"/>
  <c r="J167" i="136"/>
  <c r="I167" i="136"/>
  <c r="H167" i="136"/>
  <c r="G167" i="136"/>
  <c r="A167" i="136"/>
  <c r="AT167" i="136" s="1"/>
  <c r="J166" i="136"/>
  <c r="I166" i="136"/>
  <c r="H166" i="136"/>
  <c r="G166" i="136"/>
  <c r="A166" i="136"/>
  <c r="AT166" i="136" s="1"/>
  <c r="J165" i="136"/>
  <c r="I165" i="136"/>
  <c r="H165" i="136"/>
  <c r="G165" i="136"/>
  <c r="A165" i="136"/>
  <c r="AT165" i="136" s="1"/>
  <c r="J164" i="136"/>
  <c r="I164" i="136"/>
  <c r="H164" i="136"/>
  <c r="G164" i="136"/>
  <c r="A164" i="136"/>
  <c r="AT164" i="136" s="1"/>
  <c r="J163" i="136"/>
  <c r="I163" i="136"/>
  <c r="H163" i="136"/>
  <c r="G163" i="136"/>
  <c r="A163" i="136"/>
  <c r="AT163" i="136" s="1"/>
  <c r="J162" i="136"/>
  <c r="I162" i="136"/>
  <c r="H162" i="136"/>
  <c r="G162" i="136"/>
  <c r="A162" i="136"/>
  <c r="AT162" i="136" s="1"/>
  <c r="J161" i="136"/>
  <c r="I161" i="136"/>
  <c r="H161" i="136"/>
  <c r="G161" i="136"/>
  <c r="A161" i="136"/>
  <c r="AT161" i="136" s="1"/>
  <c r="J160" i="136"/>
  <c r="I160" i="136"/>
  <c r="H160" i="136"/>
  <c r="G160" i="136"/>
  <c r="A160" i="136"/>
  <c r="AT160" i="136" s="1"/>
  <c r="J159" i="136"/>
  <c r="I159" i="136"/>
  <c r="H159" i="136"/>
  <c r="G159" i="136"/>
  <c r="A159" i="136"/>
  <c r="AT159" i="136" s="1"/>
  <c r="J158" i="136"/>
  <c r="I158" i="136"/>
  <c r="H158" i="136"/>
  <c r="G158" i="136"/>
  <c r="A158" i="136"/>
  <c r="AT158" i="136" s="1"/>
  <c r="J157" i="136"/>
  <c r="I157" i="136"/>
  <c r="H157" i="136"/>
  <c r="G157" i="136"/>
  <c r="A157" i="136"/>
  <c r="AT157" i="136" s="1"/>
  <c r="J156" i="136"/>
  <c r="I156" i="136"/>
  <c r="H156" i="136"/>
  <c r="G156" i="136"/>
  <c r="A156" i="136"/>
  <c r="AT156" i="136" s="1"/>
  <c r="J155" i="136"/>
  <c r="I155" i="136"/>
  <c r="H155" i="136"/>
  <c r="G155" i="136"/>
  <c r="A155" i="136"/>
  <c r="AT155" i="136" s="1"/>
  <c r="J154" i="136"/>
  <c r="I154" i="136"/>
  <c r="H154" i="136"/>
  <c r="G154" i="136"/>
  <c r="A154" i="136"/>
  <c r="AT154" i="136" s="1"/>
  <c r="J153" i="136"/>
  <c r="I153" i="136"/>
  <c r="H153" i="136"/>
  <c r="G153" i="136"/>
  <c r="A153" i="136"/>
  <c r="AT153" i="136" s="1"/>
  <c r="J152" i="136"/>
  <c r="I152" i="136"/>
  <c r="H152" i="136"/>
  <c r="G152" i="136"/>
  <c r="A152" i="136"/>
  <c r="AT152" i="136" s="1"/>
  <c r="J151" i="136"/>
  <c r="I151" i="136"/>
  <c r="H151" i="136"/>
  <c r="G151" i="136"/>
  <c r="A151" i="136"/>
  <c r="AT151" i="136" s="1"/>
  <c r="J150" i="136"/>
  <c r="I150" i="136"/>
  <c r="H150" i="136"/>
  <c r="G150" i="136"/>
  <c r="A150" i="136"/>
  <c r="AT150" i="136" s="1"/>
  <c r="J149" i="136"/>
  <c r="I149" i="136"/>
  <c r="H149" i="136"/>
  <c r="G149" i="136"/>
  <c r="A149" i="136"/>
  <c r="AT149" i="136" s="1"/>
  <c r="J148" i="136"/>
  <c r="I148" i="136"/>
  <c r="H148" i="136"/>
  <c r="G148" i="136"/>
  <c r="A148" i="136"/>
  <c r="AT148" i="136" s="1"/>
  <c r="J147" i="136"/>
  <c r="I147" i="136"/>
  <c r="H147" i="136"/>
  <c r="G147" i="136"/>
  <c r="A147" i="136"/>
  <c r="AT147" i="136" s="1"/>
  <c r="J146" i="136"/>
  <c r="I146" i="136"/>
  <c r="H146" i="136"/>
  <c r="G146" i="136"/>
  <c r="A146" i="136"/>
  <c r="AT146" i="136" s="1"/>
  <c r="J145" i="136"/>
  <c r="I145" i="136"/>
  <c r="H145" i="136"/>
  <c r="G145" i="136"/>
  <c r="A145" i="136"/>
  <c r="AT145" i="136" s="1"/>
  <c r="J144" i="136"/>
  <c r="I144" i="136"/>
  <c r="H144" i="136"/>
  <c r="G144" i="136"/>
  <c r="A144" i="136"/>
  <c r="AT144" i="136" s="1"/>
  <c r="J143" i="136"/>
  <c r="I143" i="136"/>
  <c r="H143" i="136"/>
  <c r="G143" i="136"/>
  <c r="A143" i="136"/>
  <c r="AT143" i="136" s="1"/>
  <c r="J142" i="136"/>
  <c r="I142" i="136"/>
  <c r="H142" i="136"/>
  <c r="G142" i="136"/>
  <c r="A142" i="136"/>
  <c r="AT142" i="136" s="1"/>
  <c r="J141" i="136"/>
  <c r="I141" i="136"/>
  <c r="H141" i="136"/>
  <c r="G141" i="136"/>
  <c r="A141" i="136"/>
  <c r="AT141" i="136" s="1"/>
  <c r="J140" i="136"/>
  <c r="I140" i="136"/>
  <c r="H140" i="136"/>
  <c r="G140" i="136"/>
  <c r="A140" i="136"/>
  <c r="AT140" i="136" s="1"/>
  <c r="J139" i="136"/>
  <c r="I139" i="136"/>
  <c r="H139" i="136"/>
  <c r="G139" i="136"/>
  <c r="A139" i="136"/>
  <c r="AT139" i="136" s="1"/>
  <c r="J138" i="136"/>
  <c r="I138" i="136"/>
  <c r="H138" i="136"/>
  <c r="G138" i="136"/>
  <c r="A138" i="136"/>
  <c r="AT138" i="136" s="1"/>
  <c r="J137" i="136"/>
  <c r="I137" i="136"/>
  <c r="H137" i="136"/>
  <c r="G137" i="136"/>
  <c r="A137" i="136"/>
  <c r="AT137" i="136" s="1"/>
  <c r="J136" i="136"/>
  <c r="I136" i="136"/>
  <c r="H136" i="136"/>
  <c r="G136" i="136"/>
  <c r="A136" i="136"/>
  <c r="AT136" i="136" s="1"/>
  <c r="J135" i="136"/>
  <c r="I135" i="136"/>
  <c r="H135" i="136"/>
  <c r="G135" i="136"/>
  <c r="A135" i="136"/>
  <c r="AT135" i="136" s="1"/>
  <c r="J134" i="136"/>
  <c r="I134" i="136"/>
  <c r="H134" i="136"/>
  <c r="G134" i="136"/>
  <c r="A134" i="136"/>
  <c r="AT134" i="136" s="1"/>
  <c r="J133" i="136"/>
  <c r="I133" i="136"/>
  <c r="H133" i="136"/>
  <c r="G133" i="136"/>
  <c r="A133" i="136"/>
  <c r="AT133" i="136" s="1"/>
  <c r="J132" i="136"/>
  <c r="I132" i="136"/>
  <c r="H132" i="136"/>
  <c r="G132" i="136"/>
  <c r="A132" i="136"/>
  <c r="AT132" i="136" s="1"/>
  <c r="J131" i="136"/>
  <c r="I131" i="136"/>
  <c r="H131" i="136"/>
  <c r="G131" i="136"/>
  <c r="A131" i="136"/>
  <c r="AT131" i="136" s="1"/>
  <c r="J130" i="136"/>
  <c r="I130" i="136"/>
  <c r="H130" i="136"/>
  <c r="G130" i="136"/>
  <c r="A130" i="136"/>
  <c r="AT130" i="136" s="1"/>
  <c r="J129" i="136"/>
  <c r="I129" i="136"/>
  <c r="H129" i="136"/>
  <c r="G129" i="136"/>
  <c r="A129" i="136"/>
  <c r="AT129" i="136" s="1"/>
  <c r="J128" i="136"/>
  <c r="I128" i="136"/>
  <c r="H128" i="136"/>
  <c r="G128" i="136"/>
  <c r="A128" i="136"/>
  <c r="AT128" i="136" s="1"/>
  <c r="J127" i="136"/>
  <c r="I127" i="136"/>
  <c r="H127" i="136"/>
  <c r="G127" i="136"/>
  <c r="A127" i="136"/>
  <c r="AT127" i="136" s="1"/>
  <c r="J126" i="136"/>
  <c r="I126" i="136"/>
  <c r="H126" i="136"/>
  <c r="G126" i="136"/>
  <c r="A126" i="136"/>
  <c r="AT126" i="136" s="1"/>
  <c r="J125" i="136"/>
  <c r="I125" i="136"/>
  <c r="H125" i="136"/>
  <c r="G125" i="136"/>
  <c r="A125" i="136"/>
  <c r="AT125" i="136" s="1"/>
  <c r="J124" i="136"/>
  <c r="I124" i="136"/>
  <c r="H124" i="136"/>
  <c r="G124" i="136"/>
  <c r="A124" i="136"/>
  <c r="AT124" i="136" s="1"/>
  <c r="J123" i="136"/>
  <c r="I123" i="136"/>
  <c r="H123" i="136"/>
  <c r="G123" i="136"/>
  <c r="A123" i="136"/>
  <c r="AT123" i="136" s="1"/>
  <c r="J122" i="136"/>
  <c r="I122" i="136"/>
  <c r="H122" i="136"/>
  <c r="G122" i="136"/>
  <c r="A122" i="136"/>
  <c r="AT122" i="136" s="1"/>
  <c r="J121" i="136"/>
  <c r="I121" i="136"/>
  <c r="H121" i="136"/>
  <c r="G121" i="136"/>
  <c r="A121" i="136"/>
  <c r="AT121" i="136" s="1"/>
  <c r="J120" i="136"/>
  <c r="I120" i="136"/>
  <c r="H120" i="136"/>
  <c r="G120" i="136"/>
  <c r="A120" i="136"/>
  <c r="AT120" i="136" s="1"/>
  <c r="J119" i="136"/>
  <c r="I119" i="136"/>
  <c r="H119" i="136"/>
  <c r="A119" i="136"/>
  <c r="J118" i="136"/>
  <c r="I118" i="136"/>
  <c r="H118" i="136"/>
  <c r="G118" i="136"/>
  <c r="A118" i="136"/>
  <c r="AT118" i="136" s="1"/>
  <c r="J117" i="136"/>
  <c r="I117" i="136"/>
  <c r="H117" i="136"/>
  <c r="G117" i="136"/>
  <c r="A117" i="136"/>
  <c r="AT117" i="136" s="1"/>
  <c r="J116" i="136"/>
  <c r="I116" i="136"/>
  <c r="H116" i="136"/>
  <c r="G116" i="136"/>
  <c r="A116" i="136"/>
  <c r="AT116" i="136" s="1"/>
  <c r="J115" i="136"/>
  <c r="I115" i="136"/>
  <c r="H115" i="136"/>
  <c r="G115" i="136"/>
  <c r="A115" i="136"/>
  <c r="AT115" i="136" s="1"/>
  <c r="J114" i="136"/>
  <c r="I114" i="136"/>
  <c r="H114" i="136"/>
  <c r="G114" i="136"/>
  <c r="A114" i="136"/>
  <c r="AT114" i="136" s="1"/>
  <c r="J113" i="136"/>
  <c r="I113" i="136"/>
  <c r="H113" i="136"/>
  <c r="G113" i="136"/>
  <c r="A113" i="136"/>
  <c r="AT113" i="136" s="1"/>
  <c r="J112" i="136"/>
  <c r="I112" i="136"/>
  <c r="H112" i="136"/>
  <c r="G112" i="136"/>
  <c r="A112" i="136"/>
  <c r="AT112" i="136" s="1"/>
  <c r="J111" i="136"/>
  <c r="I111" i="136"/>
  <c r="H111" i="136"/>
  <c r="G111" i="136"/>
  <c r="A111" i="136"/>
  <c r="AT111" i="136" s="1"/>
  <c r="J110" i="136"/>
  <c r="I110" i="136"/>
  <c r="H110" i="136"/>
  <c r="G110" i="136"/>
  <c r="A110" i="136"/>
  <c r="AT110" i="136" s="1"/>
  <c r="J109" i="136"/>
  <c r="I109" i="136"/>
  <c r="H109" i="136"/>
  <c r="G109" i="136"/>
  <c r="A109" i="136"/>
  <c r="AT109" i="136" s="1"/>
  <c r="J108" i="136"/>
  <c r="I108" i="136"/>
  <c r="H108" i="136"/>
  <c r="G108" i="136"/>
  <c r="A108" i="136"/>
  <c r="AT108" i="136" s="1"/>
  <c r="J107" i="136"/>
  <c r="I107" i="136"/>
  <c r="H107" i="136"/>
  <c r="G107" i="136"/>
  <c r="A107" i="136"/>
  <c r="AT107" i="136" s="1"/>
  <c r="J106" i="136"/>
  <c r="I106" i="136"/>
  <c r="H106" i="136"/>
  <c r="G106" i="136"/>
  <c r="A106" i="136"/>
  <c r="AT106" i="136" s="1"/>
  <c r="J105" i="136"/>
  <c r="I105" i="136"/>
  <c r="H105" i="136"/>
  <c r="G105" i="136"/>
  <c r="A105" i="136"/>
  <c r="AT105" i="136" s="1"/>
  <c r="J104" i="136"/>
  <c r="I104" i="136"/>
  <c r="H104" i="136"/>
  <c r="G104" i="136"/>
  <c r="A104" i="136"/>
  <c r="AT104" i="136" s="1"/>
  <c r="J103" i="136"/>
  <c r="I103" i="136"/>
  <c r="H103" i="136"/>
  <c r="G103" i="136"/>
  <c r="A103" i="136"/>
  <c r="AT103" i="136" s="1"/>
  <c r="J102" i="136"/>
  <c r="I102" i="136"/>
  <c r="H102" i="136"/>
  <c r="G102" i="136"/>
  <c r="A102" i="136"/>
  <c r="AT102" i="136" s="1"/>
  <c r="J101" i="136"/>
  <c r="I101" i="136"/>
  <c r="H101" i="136"/>
  <c r="G101" i="136"/>
  <c r="A101" i="136"/>
  <c r="AT101" i="136" s="1"/>
  <c r="J100" i="136"/>
  <c r="I100" i="136"/>
  <c r="H100" i="136"/>
  <c r="G100" i="136"/>
  <c r="A100" i="136"/>
  <c r="AT100" i="136" s="1"/>
  <c r="J99" i="136"/>
  <c r="I99" i="136"/>
  <c r="H99" i="136"/>
  <c r="G99" i="136"/>
  <c r="A99" i="136"/>
  <c r="AT99" i="136" s="1"/>
  <c r="J98" i="136"/>
  <c r="I98" i="136"/>
  <c r="H98" i="136"/>
  <c r="G98" i="136"/>
  <c r="A98" i="136"/>
  <c r="AT98" i="136" s="1"/>
  <c r="J97" i="136"/>
  <c r="I97" i="136"/>
  <c r="H97" i="136"/>
  <c r="G97" i="136"/>
  <c r="A97" i="136"/>
  <c r="AT97" i="136" s="1"/>
  <c r="J96" i="136"/>
  <c r="I96" i="136"/>
  <c r="H96" i="136"/>
  <c r="G96" i="136"/>
  <c r="A96" i="136"/>
  <c r="AT96" i="136" s="1"/>
  <c r="J95" i="136"/>
  <c r="I95" i="136"/>
  <c r="H95" i="136"/>
  <c r="G95" i="136"/>
  <c r="A95" i="136"/>
  <c r="AT95" i="136" s="1"/>
  <c r="J94" i="136"/>
  <c r="I94" i="136"/>
  <c r="H94" i="136"/>
  <c r="G94" i="136"/>
  <c r="A94" i="136"/>
  <c r="AT94" i="136" s="1"/>
  <c r="J93" i="136"/>
  <c r="I93" i="136"/>
  <c r="H93" i="136"/>
  <c r="G93" i="136"/>
  <c r="A93" i="136"/>
  <c r="AT93" i="136" s="1"/>
  <c r="J92" i="136"/>
  <c r="I92" i="136"/>
  <c r="H92" i="136"/>
  <c r="G92" i="136"/>
  <c r="A92" i="136"/>
  <c r="AT92" i="136" s="1"/>
  <c r="J91" i="136"/>
  <c r="I91" i="136"/>
  <c r="H91" i="136"/>
  <c r="G91" i="136"/>
  <c r="A91" i="136"/>
  <c r="AT91" i="136" s="1"/>
  <c r="J90" i="136"/>
  <c r="I90" i="136"/>
  <c r="H90" i="136"/>
  <c r="G90" i="136"/>
  <c r="A90" i="136"/>
  <c r="AT90" i="136" s="1"/>
  <c r="J89" i="136"/>
  <c r="I89" i="136"/>
  <c r="H89" i="136"/>
  <c r="G89" i="136"/>
  <c r="A89" i="136"/>
  <c r="AT89" i="136" s="1"/>
  <c r="J88" i="136"/>
  <c r="I88" i="136"/>
  <c r="H88" i="136"/>
  <c r="G88" i="136"/>
  <c r="A88" i="136"/>
  <c r="AT88" i="136" s="1"/>
  <c r="J87" i="136"/>
  <c r="I87" i="136"/>
  <c r="H87" i="136"/>
  <c r="G87" i="136"/>
  <c r="A87" i="136"/>
  <c r="AT87" i="136" s="1"/>
  <c r="J86" i="136"/>
  <c r="I86" i="136"/>
  <c r="H86" i="136"/>
  <c r="G86" i="136"/>
  <c r="A86" i="136"/>
  <c r="AT86" i="136" s="1"/>
  <c r="J85" i="136"/>
  <c r="I85" i="136"/>
  <c r="H85" i="136"/>
  <c r="G85" i="136"/>
  <c r="A85" i="136"/>
  <c r="AT85" i="136" s="1"/>
  <c r="J84" i="136"/>
  <c r="I84" i="136"/>
  <c r="H84" i="136"/>
  <c r="G84" i="136"/>
  <c r="A84" i="136"/>
  <c r="AT84" i="136" s="1"/>
  <c r="J83" i="136"/>
  <c r="I83" i="136"/>
  <c r="H83" i="136"/>
  <c r="G83" i="136"/>
  <c r="A83" i="136"/>
  <c r="AT83" i="136" s="1"/>
  <c r="J82" i="136"/>
  <c r="I82" i="136"/>
  <c r="H82" i="136"/>
  <c r="G82" i="136"/>
  <c r="A82" i="136"/>
  <c r="AT82" i="136" s="1"/>
  <c r="J81" i="136"/>
  <c r="I81" i="136"/>
  <c r="H81" i="136"/>
  <c r="G81" i="136"/>
  <c r="A81" i="136"/>
  <c r="AT81" i="136" s="1"/>
  <c r="J80" i="136"/>
  <c r="I80" i="136"/>
  <c r="H80" i="136"/>
  <c r="G80" i="136"/>
  <c r="A80" i="136"/>
  <c r="AT80" i="136" s="1"/>
  <c r="J79" i="136"/>
  <c r="I79" i="136"/>
  <c r="H79" i="136"/>
  <c r="G79" i="136"/>
  <c r="A79" i="136"/>
  <c r="AT79" i="136" s="1"/>
  <c r="J78" i="136"/>
  <c r="I78" i="136"/>
  <c r="H78" i="136"/>
  <c r="G78" i="136"/>
  <c r="A78" i="136"/>
  <c r="AT78" i="136" s="1"/>
  <c r="J77" i="136"/>
  <c r="I77" i="136"/>
  <c r="H77" i="136"/>
  <c r="G77" i="136"/>
  <c r="A77" i="136"/>
  <c r="AT77" i="136" s="1"/>
  <c r="J76" i="136"/>
  <c r="I76" i="136"/>
  <c r="H76" i="136"/>
  <c r="G76" i="136"/>
  <c r="A76" i="136"/>
  <c r="AT76" i="136" s="1"/>
  <c r="J75" i="136"/>
  <c r="I75" i="136"/>
  <c r="H75" i="136"/>
  <c r="G75" i="136"/>
  <c r="A75" i="136"/>
  <c r="AT75" i="136" s="1"/>
  <c r="J74" i="136"/>
  <c r="I74" i="136"/>
  <c r="H74" i="136"/>
  <c r="G74" i="136"/>
  <c r="A74" i="136"/>
  <c r="AT74" i="136" s="1"/>
  <c r="J73" i="136"/>
  <c r="I73" i="136"/>
  <c r="H73" i="136"/>
  <c r="G73" i="136"/>
  <c r="A73" i="136"/>
  <c r="AT73" i="136" s="1"/>
  <c r="J72" i="136"/>
  <c r="I72" i="136"/>
  <c r="H72" i="136"/>
  <c r="G72" i="136"/>
  <c r="A72" i="136"/>
  <c r="AT72" i="136" s="1"/>
  <c r="J71" i="136"/>
  <c r="I71" i="136"/>
  <c r="H71" i="136"/>
  <c r="G71" i="136"/>
  <c r="A71" i="136"/>
  <c r="AT71" i="136" s="1"/>
  <c r="J70" i="136"/>
  <c r="I70" i="136"/>
  <c r="H70" i="136"/>
  <c r="G70" i="136"/>
  <c r="A70" i="136"/>
  <c r="AT70" i="136" s="1"/>
  <c r="J69" i="136"/>
  <c r="I69" i="136"/>
  <c r="H69" i="136"/>
  <c r="G69" i="136"/>
  <c r="A69" i="136"/>
  <c r="AT69" i="136" s="1"/>
  <c r="J68" i="136"/>
  <c r="I68" i="136"/>
  <c r="H68" i="136"/>
  <c r="G68" i="136"/>
  <c r="A68" i="136"/>
  <c r="AT68" i="136" s="1"/>
  <c r="J67" i="136"/>
  <c r="I67" i="136"/>
  <c r="H67" i="136"/>
  <c r="G67" i="136"/>
  <c r="A67" i="136"/>
  <c r="AT67" i="136" s="1"/>
  <c r="J66" i="136"/>
  <c r="I66" i="136"/>
  <c r="H66" i="136"/>
  <c r="G66" i="136"/>
  <c r="A66" i="136"/>
  <c r="AT66" i="136" s="1"/>
  <c r="J65" i="136"/>
  <c r="I65" i="136"/>
  <c r="H65" i="136"/>
  <c r="G65" i="136"/>
  <c r="A65" i="136"/>
  <c r="AT65" i="136" s="1"/>
  <c r="J64" i="136"/>
  <c r="I64" i="136"/>
  <c r="H64" i="136"/>
  <c r="G64" i="136"/>
  <c r="A64" i="136"/>
  <c r="AT64" i="136" s="1"/>
  <c r="J63" i="136"/>
  <c r="I63" i="136"/>
  <c r="H63" i="136"/>
  <c r="G63" i="136"/>
  <c r="A63" i="136"/>
  <c r="AT63" i="136" s="1"/>
  <c r="J62" i="136"/>
  <c r="I62" i="136"/>
  <c r="H62" i="136"/>
  <c r="A62" i="136"/>
  <c r="J61" i="136"/>
  <c r="I61" i="136"/>
  <c r="H61" i="136"/>
  <c r="G61" i="136"/>
  <c r="A61" i="136"/>
  <c r="AT61" i="136" s="1"/>
  <c r="J60" i="136"/>
  <c r="I60" i="136"/>
  <c r="H60" i="136"/>
  <c r="G60" i="136"/>
  <c r="A60" i="136"/>
  <c r="AT60" i="136" s="1"/>
  <c r="J59" i="136"/>
  <c r="I59" i="136"/>
  <c r="H59" i="136"/>
  <c r="G59" i="136"/>
  <c r="A59" i="136"/>
  <c r="AT59" i="136" s="1"/>
  <c r="J58" i="136"/>
  <c r="I58" i="136"/>
  <c r="H58" i="136"/>
  <c r="G58" i="136"/>
  <c r="A58" i="136"/>
  <c r="AT58" i="136" s="1"/>
  <c r="J57" i="136"/>
  <c r="I57" i="136"/>
  <c r="H57" i="136"/>
  <c r="G57" i="136"/>
  <c r="A57" i="136"/>
  <c r="AT57" i="136" s="1"/>
  <c r="J56" i="136"/>
  <c r="I56" i="136"/>
  <c r="H56" i="136"/>
  <c r="G56" i="136"/>
  <c r="A56" i="136"/>
  <c r="AT56" i="136" s="1"/>
  <c r="J55" i="136"/>
  <c r="I55" i="136"/>
  <c r="H55" i="136"/>
  <c r="G55" i="136"/>
  <c r="A55" i="136"/>
  <c r="AT55" i="136" s="1"/>
  <c r="J54" i="136"/>
  <c r="I54" i="136"/>
  <c r="H54" i="136"/>
  <c r="G54" i="136"/>
  <c r="A54" i="136"/>
  <c r="AT54" i="136" s="1"/>
  <c r="J53" i="136"/>
  <c r="I53" i="136"/>
  <c r="H53" i="136"/>
  <c r="G53" i="136"/>
  <c r="A53" i="136"/>
  <c r="AT53" i="136" s="1"/>
  <c r="J52" i="136"/>
  <c r="I52" i="136"/>
  <c r="H52" i="136"/>
  <c r="G52" i="136"/>
  <c r="A52" i="136"/>
  <c r="AT52" i="136" s="1"/>
  <c r="J51" i="136"/>
  <c r="I51" i="136"/>
  <c r="H51" i="136"/>
  <c r="G51" i="136"/>
  <c r="A51" i="136"/>
  <c r="AT51" i="136" s="1"/>
  <c r="J50" i="136"/>
  <c r="I50" i="136"/>
  <c r="H50" i="136"/>
  <c r="G50" i="136"/>
  <c r="A50" i="136"/>
  <c r="AT50" i="136" s="1"/>
  <c r="J49" i="136"/>
  <c r="I49" i="136"/>
  <c r="H49" i="136"/>
  <c r="G49" i="136"/>
  <c r="A49" i="136"/>
  <c r="AT49" i="136" s="1"/>
  <c r="J48" i="136"/>
  <c r="I48" i="136"/>
  <c r="H48" i="136"/>
  <c r="G48" i="136"/>
  <c r="A48" i="136"/>
  <c r="AT48" i="136" s="1"/>
  <c r="J47" i="136"/>
  <c r="I47" i="136"/>
  <c r="H47" i="136"/>
  <c r="G47" i="136"/>
  <c r="A47" i="136"/>
  <c r="AT47" i="136" s="1"/>
  <c r="J46" i="136"/>
  <c r="I46" i="136"/>
  <c r="H46" i="136"/>
  <c r="G46" i="136"/>
  <c r="A46" i="136"/>
  <c r="AT46" i="136" s="1"/>
  <c r="J45" i="136"/>
  <c r="I45" i="136"/>
  <c r="H45" i="136"/>
  <c r="G45" i="136"/>
  <c r="A45" i="136"/>
  <c r="AT45" i="136" s="1"/>
  <c r="J44" i="136"/>
  <c r="I44" i="136"/>
  <c r="H44" i="136"/>
  <c r="G44" i="136"/>
  <c r="A44" i="136"/>
  <c r="AT44" i="136" s="1"/>
  <c r="J43" i="136"/>
  <c r="I43" i="136"/>
  <c r="H43" i="136"/>
  <c r="G43" i="136"/>
  <c r="A43" i="136"/>
  <c r="AT43" i="136" s="1"/>
  <c r="J42" i="136"/>
  <c r="I42" i="136"/>
  <c r="H42" i="136"/>
  <c r="G42" i="136"/>
  <c r="A42" i="136"/>
  <c r="AT42" i="136" s="1"/>
  <c r="J41" i="136"/>
  <c r="I41" i="136"/>
  <c r="H41" i="136"/>
  <c r="G41" i="136"/>
  <c r="A41" i="136"/>
  <c r="AT41" i="136" s="1"/>
  <c r="J40" i="136"/>
  <c r="I40" i="136"/>
  <c r="H40" i="136"/>
  <c r="G40" i="136"/>
  <c r="A40" i="136"/>
  <c r="AT40" i="136" s="1"/>
  <c r="J39" i="136"/>
  <c r="I39" i="136"/>
  <c r="H39" i="136"/>
  <c r="G39" i="136"/>
  <c r="A39" i="136"/>
  <c r="AT39" i="136" s="1"/>
  <c r="J38" i="136"/>
  <c r="I38" i="136"/>
  <c r="H38" i="136"/>
  <c r="G38" i="136"/>
  <c r="A38" i="136"/>
  <c r="AT38" i="136" s="1"/>
  <c r="J37" i="136"/>
  <c r="I37" i="136"/>
  <c r="H37" i="136"/>
  <c r="G37" i="136"/>
  <c r="A37" i="136"/>
  <c r="AT37" i="136" s="1"/>
  <c r="J36" i="136"/>
  <c r="I36" i="136"/>
  <c r="H36" i="136"/>
  <c r="G36" i="136"/>
  <c r="A36" i="136"/>
  <c r="AT36" i="136" s="1"/>
  <c r="J35" i="136"/>
  <c r="I35" i="136"/>
  <c r="H35" i="136"/>
  <c r="G35" i="136"/>
  <c r="A35" i="136"/>
  <c r="AT35" i="136" s="1"/>
  <c r="J34" i="136"/>
  <c r="I34" i="136"/>
  <c r="H34" i="136"/>
  <c r="G34" i="136"/>
  <c r="A34" i="136"/>
  <c r="AT34" i="136" s="1"/>
  <c r="J33" i="136"/>
  <c r="I33" i="136"/>
  <c r="H33" i="136"/>
  <c r="G33" i="136"/>
  <c r="A33" i="136"/>
  <c r="AT33" i="136" s="1"/>
  <c r="J32" i="136"/>
  <c r="I32" i="136"/>
  <c r="H32" i="136"/>
  <c r="G32" i="136"/>
  <c r="A32" i="136"/>
  <c r="AT32" i="136" s="1"/>
  <c r="J31" i="136"/>
  <c r="I31" i="136"/>
  <c r="H31" i="136"/>
  <c r="A31" i="136"/>
  <c r="J30" i="136"/>
  <c r="I30" i="136"/>
  <c r="H30" i="136"/>
  <c r="G30" i="136"/>
  <c r="A30" i="136"/>
  <c r="AT30" i="136" s="1"/>
  <c r="J29" i="136"/>
  <c r="I29" i="136"/>
  <c r="H29" i="136"/>
  <c r="G29" i="136"/>
  <c r="A29" i="136"/>
  <c r="AT29" i="136" s="1"/>
  <c r="J28" i="136"/>
  <c r="I28" i="136"/>
  <c r="H28" i="136"/>
  <c r="G28" i="136"/>
  <c r="A28" i="136"/>
  <c r="AT28" i="136" s="1"/>
  <c r="J27" i="136"/>
  <c r="I27" i="136"/>
  <c r="H27" i="136"/>
  <c r="G27" i="136"/>
  <c r="A27" i="136"/>
  <c r="AT27" i="136" s="1"/>
  <c r="J26" i="136"/>
  <c r="I26" i="136"/>
  <c r="H26" i="136"/>
  <c r="G26" i="136"/>
  <c r="A26" i="136"/>
  <c r="AT26" i="136" s="1"/>
  <c r="J25" i="136"/>
  <c r="I25" i="136"/>
  <c r="H25" i="136"/>
  <c r="G25" i="136"/>
  <c r="A25" i="136"/>
  <c r="AT25" i="136" s="1"/>
  <c r="J24" i="136"/>
  <c r="I24" i="136"/>
  <c r="H24" i="136"/>
  <c r="G24" i="136"/>
  <c r="A24" i="136"/>
  <c r="AT24" i="136" s="1"/>
  <c r="J23" i="136"/>
  <c r="I23" i="136"/>
  <c r="H23" i="136"/>
  <c r="G23" i="136"/>
  <c r="A23" i="136"/>
  <c r="AT23" i="136" s="1"/>
  <c r="J22" i="136"/>
  <c r="I22" i="136"/>
  <c r="H22" i="136"/>
  <c r="G22" i="136"/>
  <c r="A22" i="136"/>
  <c r="AT22" i="136" s="1"/>
  <c r="J21" i="136"/>
  <c r="I21" i="136"/>
  <c r="H21" i="136"/>
  <c r="G21" i="136"/>
  <c r="A21" i="136"/>
  <c r="AT21" i="136" s="1"/>
  <c r="J20" i="136"/>
  <c r="I20" i="136"/>
  <c r="H20" i="136"/>
  <c r="A20" i="136"/>
  <c r="J19" i="136"/>
  <c r="I19" i="136"/>
  <c r="H19" i="136"/>
  <c r="G19" i="136"/>
  <c r="A19" i="136"/>
  <c r="AT19" i="136" s="1"/>
  <c r="J18" i="136"/>
  <c r="I18" i="136"/>
  <c r="H18" i="136"/>
  <c r="G18" i="136"/>
  <c r="A18" i="136"/>
  <c r="AT18" i="136" s="1"/>
  <c r="J17" i="136"/>
  <c r="I17" i="136"/>
  <c r="H17" i="136"/>
  <c r="A17" i="136"/>
  <c r="J16" i="136"/>
  <c r="I16" i="136"/>
  <c r="H16" i="136"/>
  <c r="G16" i="136"/>
  <c r="A16" i="136"/>
  <c r="AT16" i="136" s="1"/>
  <c r="J15" i="136"/>
  <c r="I15" i="136"/>
  <c r="H15" i="136"/>
  <c r="A15" i="136"/>
  <c r="J14" i="136"/>
  <c r="I14" i="136"/>
  <c r="H14" i="136"/>
  <c r="G14" i="136"/>
  <c r="A14" i="136"/>
  <c r="AT14" i="136" s="1"/>
  <c r="J13" i="136"/>
  <c r="I13" i="136"/>
  <c r="H13" i="136"/>
  <c r="G13" i="136"/>
  <c r="A13" i="136"/>
  <c r="AT13" i="136" s="1"/>
  <c r="J12" i="136"/>
  <c r="I12" i="136"/>
  <c r="H12" i="136"/>
  <c r="G12" i="136"/>
  <c r="A12" i="136"/>
  <c r="AT12" i="136" s="1"/>
  <c r="J11" i="136"/>
  <c r="I11" i="136"/>
  <c r="H11" i="136"/>
  <c r="A11" i="136"/>
  <c r="J10" i="136"/>
  <c r="I10" i="136"/>
  <c r="H10" i="136"/>
  <c r="G10" i="136"/>
  <c r="A10" i="136"/>
  <c r="AT10" i="136" s="1"/>
  <c r="J9" i="136"/>
  <c r="I9" i="136"/>
  <c r="H9" i="136"/>
  <c r="A9" i="136"/>
  <c r="J8" i="136"/>
  <c r="I8" i="136"/>
  <c r="H8" i="136"/>
  <c r="A8" i="136"/>
  <c r="J7" i="136"/>
  <c r="I7" i="136"/>
  <c r="H7" i="136"/>
  <c r="A7" i="136"/>
  <c r="J6" i="136"/>
  <c r="I6" i="136"/>
  <c r="H6" i="136"/>
  <c r="A6" i="136"/>
  <c r="AX5" i="136"/>
  <c r="J5" i="136"/>
  <c r="I5" i="136"/>
  <c r="H5" i="136"/>
  <c r="A5" i="136"/>
  <c r="A3" i="136"/>
  <c r="BR9" i="133" l="1"/>
  <c r="BR74" i="133"/>
  <c r="BR61" i="133"/>
  <c r="BR49" i="133"/>
  <c r="BR38" i="133"/>
  <c r="BR24" i="133"/>
  <c r="BR10" i="133"/>
  <c r="BR73" i="133"/>
  <c r="BR60" i="133"/>
  <c r="BR48" i="133"/>
  <c r="BR37" i="133"/>
  <c r="BR72" i="133"/>
  <c r="BR22" i="133"/>
  <c r="BR71" i="133"/>
  <c r="BR58" i="133"/>
  <c r="BR46" i="133"/>
  <c r="BR35" i="133"/>
  <c r="BR15" i="133"/>
  <c r="BR40" i="133"/>
  <c r="BR12" i="133"/>
  <c r="BR50" i="133"/>
  <c r="BR11" i="133"/>
  <c r="BR59" i="133"/>
  <c r="BR70" i="133"/>
  <c r="BR57" i="133"/>
  <c r="BR45" i="133"/>
  <c r="BR28" i="133"/>
  <c r="BR14" i="133"/>
  <c r="BR51" i="133"/>
  <c r="BR62" i="133"/>
  <c r="BR25" i="133"/>
  <c r="BR36" i="133"/>
  <c r="BR69" i="133"/>
  <c r="BR56" i="133"/>
  <c r="BR41" i="133"/>
  <c r="BR27" i="133"/>
  <c r="BR13" i="133"/>
  <c r="BR68" i="133"/>
  <c r="BR26" i="133"/>
  <c r="BR39" i="133"/>
  <c r="BR23" i="133"/>
  <c r="BR47" i="133"/>
  <c r="AW71" i="136"/>
  <c r="AR71" i="136" s="1"/>
  <c r="AW75" i="136"/>
  <c r="AR75" i="136" s="1"/>
  <c r="AW174" i="136"/>
  <c r="AR174" i="136" s="1"/>
  <c r="AW187" i="136"/>
  <c r="AR187" i="136" s="1"/>
  <c r="AW166" i="136"/>
  <c r="AR166" i="136" s="1"/>
  <c r="AW93" i="136"/>
  <c r="AR93" i="136" s="1"/>
  <c r="AW95" i="136"/>
  <c r="AR95" i="136" s="1"/>
  <c r="AW12" i="136"/>
  <c r="AR12" i="136" s="1"/>
  <c r="AW70" i="136"/>
  <c r="AR70" i="136" s="1"/>
  <c r="AW150" i="136"/>
  <c r="AR150" i="136" s="1"/>
  <c r="AW48" i="136"/>
  <c r="AR48" i="136" s="1"/>
  <c r="AW49" i="136"/>
  <c r="AR49" i="136" s="1"/>
  <c r="AW40" i="136"/>
  <c r="AR40" i="136" s="1"/>
  <c r="AW41" i="136"/>
  <c r="AR41" i="136" s="1"/>
  <c r="AW158" i="136"/>
  <c r="AR158" i="136" s="1"/>
  <c r="AW26" i="136"/>
  <c r="AR26" i="136" s="1"/>
  <c r="AW54" i="136"/>
  <c r="AR54" i="136" s="1"/>
  <c r="AW79" i="136"/>
  <c r="AR79" i="136" s="1"/>
  <c r="AW200" i="136"/>
  <c r="AR200" i="136" s="1"/>
  <c r="AW46" i="136"/>
  <c r="AR46" i="136" s="1"/>
  <c r="AW38" i="136"/>
  <c r="AR38" i="136" s="1"/>
  <c r="AW134" i="136"/>
  <c r="AR134" i="136" s="1"/>
  <c r="AW92" i="136"/>
  <c r="AR92" i="136" s="1"/>
  <c r="AW197" i="136"/>
  <c r="AR197" i="136" s="1"/>
  <c r="AW58" i="136"/>
  <c r="AR58" i="136" s="1"/>
  <c r="AW63" i="136"/>
  <c r="AR63" i="136" s="1"/>
  <c r="AW69" i="136"/>
  <c r="AR69" i="136" s="1"/>
  <c r="AW87" i="136"/>
  <c r="AR87" i="136" s="1"/>
  <c r="AW94" i="136"/>
  <c r="AR94" i="136" s="1"/>
  <c r="AW106" i="136"/>
  <c r="AR106" i="136" s="1"/>
  <c r="AW157" i="136"/>
  <c r="AR157" i="136" s="1"/>
  <c r="AW189" i="136"/>
  <c r="AR189" i="136" s="1"/>
  <c r="AW190" i="136"/>
  <c r="AR190" i="136" s="1"/>
  <c r="AW196" i="136"/>
  <c r="AR196" i="136" s="1"/>
  <c r="AW201" i="136"/>
  <c r="AR201" i="136" s="1"/>
  <c r="AW14" i="136"/>
  <c r="AR14" i="136" s="1"/>
  <c r="AW22" i="136"/>
  <c r="AR22" i="136" s="1"/>
  <c r="AW39" i="136"/>
  <c r="AR39" i="136" s="1"/>
  <c r="AW42" i="136"/>
  <c r="AR42" i="136" s="1"/>
  <c r="AW47" i="136"/>
  <c r="AR47" i="136" s="1"/>
  <c r="AW50" i="136"/>
  <c r="AR50" i="136" s="1"/>
  <c r="AW55" i="136"/>
  <c r="AR55" i="136" s="1"/>
  <c r="AW76" i="136"/>
  <c r="AR76" i="136" s="1"/>
  <c r="AW84" i="136"/>
  <c r="AR84" i="136" s="1"/>
  <c r="AW90" i="136"/>
  <c r="AR90" i="136" s="1"/>
  <c r="AW126" i="136"/>
  <c r="AR126" i="136" s="1"/>
  <c r="AW181" i="136"/>
  <c r="AR181" i="136" s="1"/>
  <c r="AW182" i="136"/>
  <c r="AR182" i="136" s="1"/>
  <c r="AW188" i="136"/>
  <c r="AR188" i="136" s="1"/>
  <c r="AW194" i="136"/>
  <c r="AR194" i="136" s="1"/>
  <c r="AW195" i="136"/>
  <c r="AR195" i="136" s="1"/>
  <c r="AW30" i="136"/>
  <c r="AR30" i="136" s="1"/>
  <c r="AW37" i="136"/>
  <c r="AR37" i="136" s="1"/>
  <c r="AW61" i="136"/>
  <c r="AR61" i="136" s="1"/>
  <c r="AW68" i="136"/>
  <c r="AR68" i="136" s="1"/>
  <c r="AW103" i="136"/>
  <c r="AR103" i="136" s="1"/>
  <c r="AW118" i="136"/>
  <c r="AR118" i="136" s="1"/>
  <c r="AW148" i="136"/>
  <c r="AR148" i="136" s="1"/>
  <c r="AW153" i="136"/>
  <c r="AR153" i="136" s="1"/>
  <c r="AW161" i="136"/>
  <c r="AR161" i="136" s="1"/>
  <c r="AW172" i="136"/>
  <c r="AR172" i="136" s="1"/>
  <c r="AW180" i="136"/>
  <c r="AR180" i="136" s="1"/>
  <c r="AW186" i="136"/>
  <c r="AR186" i="136" s="1"/>
  <c r="AW193" i="136"/>
  <c r="AR193" i="136" s="1"/>
  <c r="AW28" i="136"/>
  <c r="AR28" i="136" s="1"/>
  <c r="AW45" i="136"/>
  <c r="AR45" i="136" s="1"/>
  <c r="AW53" i="136"/>
  <c r="AR53" i="136" s="1"/>
  <c r="AW140" i="136"/>
  <c r="AR140" i="136" s="1"/>
  <c r="AW142" i="136"/>
  <c r="AR142" i="136" s="1"/>
  <c r="AW145" i="136"/>
  <c r="AR145" i="136" s="1"/>
  <c r="AW162" i="136"/>
  <c r="AR162" i="136" s="1"/>
  <c r="AW170" i="136"/>
  <c r="AR170" i="136" s="1"/>
  <c r="AW178" i="136"/>
  <c r="AR178" i="136" s="1"/>
  <c r="AW185" i="136"/>
  <c r="AR185" i="136" s="1"/>
  <c r="AW56" i="136"/>
  <c r="AR56" i="136" s="1"/>
  <c r="AW16" i="136"/>
  <c r="AR16" i="136" s="1"/>
  <c r="AW36" i="136"/>
  <c r="AR36" i="136" s="1"/>
  <c r="AW100" i="136"/>
  <c r="AR100" i="136" s="1"/>
  <c r="AW129" i="136"/>
  <c r="AR129" i="136" s="1"/>
  <c r="AW137" i="136"/>
  <c r="AR137" i="136" s="1"/>
  <c r="AW160" i="136"/>
  <c r="AR160" i="136" s="1"/>
  <c r="AW169" i="136"/>
  <c r="AR169" i="136" s="1"/>
  <c r="AW177" i="136"/>
  <c r="AR177" i="136" s="1"/>
  <c r="AW179" i="136"/>
  <c r="AR179" i="136" s="1"/>
  <c r="AW25" i="136"/>
  <c r="AR25" i="136" s="1"/>
  <c r="AW27" i="136"/>
  <c r="AR27" i="136" s="1"/>
  <c r="AW65" i="136"/>
  <c r="AR65" i="136" s="1"/>
  <c r="AW98" i="136"/>
  <c r="AR98" i="136" s="1"/>
  <c r="AW116" i="136"/>
  <c r="AR116" i="136" s="1"/>
  <c r="AW121" i="136"/>
  <c r="AR121" i="136" s="1"/>
  <c r="AW163" i="136"/>
  <c r="AR163" i="136" s="1"/>
  <c r="AW33" i="136"/>
  <c r="AR33" i="136" s="1"/>
  <c r="AW57" i="136"/>
  <c r="AR57" i="136" s="1"/>
  <c r="AW83" i="136"/>
  <c r="AR83" i="136" s="1"/>
  <c r="AW102" i="136"/>
  <c r="AR102" i="136" s="1"/>
  <c r="AW105" i="136"/>
  <c r="AR105" i="136" s="1"/>
  <c r="AW108" i="136"/>
  <c r="AR108" i="136" s="1"/>
  <c r="AW110" i="136"/>
  <c r="AR110" i="136" s="1"/>
  <c r="AW113" i="136"/>
  <c r="AR113" i="136" s="1"/>
  <c r="AW128" i="136"/>
  <c r="AR128" i="136" s="1"/>
  <c r="AW130" i="136"/>
  <c r="AR130" i="136" s="1"/>
  <c r="AW136" i="136"/>
  <c r="AR136" i="136" s="1"/>
  <c r="AW138" i="136"/>
  <c r="AR138" i="136" s="1"/>
  <c r="AW151" i="136"/>
  <c r="AR151" i="136" s="1"/>
  <c r="AW159" i="136"/>
  <c r="AR159" i="136" s="1"/>
  <c r="AW168" i="136"/>
  <c r="AR168" i="136" s="1"/>
  <c r="AW43" i="136"/>
  <c r="AR43" i="136" s="1"/>
  <c r="AW51" i="136"/>
  <c r="AR51" i="136" s="1"/>
  <c r="AW66" i="136"/>
  <c r="AR66" i="136" s="1"/>
  <c r="AW85" i="136"/>
  <c r="AR85" i="136" s="1"/>
  <c r="AW21" i="136"/>
  <c r="AR21" i="136" s="1"/>
  <c r="AW24" i="136"/>
  <c r="AR24" i="136" s="1"/>
  <c r="AW18" i="136"/>
  <c r="AR18" i="136" s="1"/>
  <c r="AW19" i="136"/>
  <c r="AR19" i="136" s="1"/>
  <c r="AW23" i="136"/>
  <c r="AR23" i="136" s="1"/>
  <c r="AW10" i="136"/>
  <c r="AR10" i="136" s="1"/>
  <c r="AW13" i="136"/>
  <c r="AR13" i="136" s="1"/>
  <c r="AW32" i="136"/>
  <c r="AR32" i="136" s="1"/>
  <c r="AW60" i="136"/>
  <c r="AR60" i="136" s="1"/>
  <c r="AW67" i="136"/>
  <c r="AR67" i="136" s="1"/>
  <c r="AW74" i="136"/>
  <c r="AR74" i="136" s="1"/>
  <c r="AW82" i="136"/>
  <c r="AR82" i="136" s="1"/>
  <c r="AW101" i="136"/>
  <c r="AR101" i="136" s="1"/>
  <c r="AW35" i="136"/>
  <c r="AR35" i="136" s="1"/>
  <c r="AW44" i="136"/>
  <c r="AR44" i="136" s="1"/>
  <c r="AW52" i="136"/>
  <c r="AR52" i="136" s="1"/>
  <c r="AW78" i="136"/>
  <c r="AR78" i="136" s="1"/>
  <c r="AW86" i="136"/>
  <c r="AR86" i="136" s="1"/>
  <c r="AW29" i="136"/>
  <c r="AR29" i="136" s="1"/>
  <c r="AW34" i="136"/>
  <c r="AR34" i="136" s="1"/>
  <c r="AW59" i="136"/>
  <c r="AR59" i="136" s="1"/>
  <c r="AW64" i="136"/>
  <c r="AR64" i="136" s="1"/>
  <c r="AW77" i="136"/>
  <c r="AR77" i="136" s="1"/>
  <c r="AW80" i="136"/>
  <c r="AR80" i="136" s="1"/>
  <c r="AW99" i="136"/>
  <c r="AR99" i="136" s="1"/>
  <c r="AW109" i="136"/>
  <c r="AR109" i="136" s="1"/>
  <c r="AW141" i="136"/>
  <c r="AR141" i="136" s="1"/>
  <c r="AW164" i="136"/>
  <c r="AR164" i="136" s="1"/>
  <c r="AW173" i="136"/>
  <c r="AR173" i="136" s="1"/>
  <c r="AW183" i="136"/>
  <c r="AR183" i="136" s="1"/>
  <c r="AW198" i="136"/>
  <c r="AR198" i="136" s="1"/>
  <c r="AW81" i="136"/>
  <c r="AR81" i="136" s="1"/>
  <c r="AW131" i="136"/>
  <c r="AR131" i="136" s="1"/>
  <c r="AW72" i="136"/>
  <c r="AR72" i="136" s="1"/>
  <c r="AW96" i="136"/>
  <c r="AR96" i="136" s="1"/>
  <c r="AW117" i="136"/>
  <c r="AR117" i="136" s="1"/>
  <c r="AW149" i="136"/>
  <c r="AR149" i="136" s="1"/>
  <c r="AW73" i="136"/>
  <c r="AR73" i="136" s="1"/>
  <c r="AW97" i="136"/>
  <c r="AR97" i="136" s="1"/>
  <c r="AW104" i="136"/>
  <c r="AR104" i="136" s="1"/>
  <c r="AW107" i="136"/>
  <c r="AR107" i="136" s="1"/>
  <c r="AW127" i="136"/>
  <c r="AR127" i="136" s="1"/>
  <c r="AW139" i="136"/>
  <c r="AR139" i="136" s="1"/>
  <c r="AW171" i="136"/>
  <c r="AR171" i="136" s="1"/>
  <c r="AW125" i="136"/>
  <c r="AR125" i="136" s="1"/>
  <c r="AW91" i="136"/>
  <c r="AR91" i="136" s="1"/>
  <c r="AW112" i="136"/>
  <c r="AR112" i="136" s="1"/>
  <c r="AW114" i="136"/>
  <c r="AR114" i="136" s="1"/>
  <c r="AW115" i="136"/>
  <c r="AR115" i="136" s="1"/>
  <c r="AW124" i="136"/>
  <c r="AR124" i="136" s="1"/>
  <c r="AW135" i="136"/>
  <c r="AR135" i="136" s="1"/>
  <c r="AW144" i="136"/>
  <c r="AR144" i="136" s="1"/>
  <c r="AW146" i="136"/>
  <c r="AR146" i="136" s="1"/>
  <c r="AW147" i="136"/>
  <c r="AR147" i="136" s="1"/>
  <c r="AW156" i="136"/>
  <c r="AR156" i="136" s="1"/>
  <c r="AW176" i="136"/>
  <c r="AR176" i="136" s="1"/>
  <c r="AW192" i="136"/>
  <c r="AR192" i="136" s="1"/>
  <c r="AW88" i="136"/>
  <c r="AR88" i="136" s="1"/>
  <c r="AW133" i="136"/>
  <c r="AR133" i="136" s="1"/>
  <c r="AW167" i="136"/>
  <c r="AR167" i="136" s="1"/>
  <c r="AW184" i="136"/>
  <c r="AR184" i="136" s="1"/>
  <c r="AW199" i="136"/>
  <c r="AR199" i="136" s="1"/>
  <c r="AW89" i="136"/>
  <c r="AR89" i="136" s="1"/>
  <c r="AW111" i="136"/>
  <c r="AR111" i="136" s="1"/>
  <c r="AW120" i="136"/>
  <c r="AR120" i="136" s="1"/>
  <c r="AW122" i="136"/>
  <c r="AR122" i="136" s="1"/>
  <c r="AW123" i="136"/>
  <c r="AR123" i="136" s="1"/>
  <c r="AW132" i="136"/>
  <c r="AR132" i="136" s="1"/>
  <c r="AW143" i="136"/>
  <c r="AR143" i="136" s="1"/>
  <c r="AW152" i="136"/>
  <c r="AR152" i="136" s="1"/>
  <c r="AW154" i="136"/>
  <c r="AR154" i="136" s="1"/>
  <c r="AW155" i="136"/>
  <c r="AR155" i="136" s="1"/>
  <c r="AW165" i="136"/>
  <c r="AR165" i="136" s="1"/>
  <c r="AW175" i="136"/>
  <c r="AR175" i="136" s="1"/>
  <c r="AW191" i="136"/>
  <c r="AR191" i="136" s="1"/>
  <c r="BJ61" i="130" l="1"/>
  <c r="BJ60" i="130"/>
  <c r="BJ59" i="130"/>
  <c r="BJ58" i="130"/>
  <c r="BJ57" i="130"/>
  <c r="BJ56" i="130"/>
  <c r="BJ55" i="130"/>
  <c r="BJ54" i="130"/>
  <c r="BJ53" i="130"/>
  <c r="BJ52" i="130"/>
  <c r="BJ51" i="130"/>
  <c r="BJ50" i="130"/>
  <c r="BJ49" i="130"/>
  <c r="BJ48" i="130"/>
  <c r="BJ47" i="130"/>
  <c r="BJ46" i="130"/>
  <c r="BJ45" i="130"/>
  <c r="BJ44" i="130"/>
  <c r="BJ43" i="130"/>
  <c r="BJ42" i="130"/>
  <c r="BJ41" i="130"/>
  <c r="BJ40" i="130"/>
  <c r="BJ39" i="130"/>
  <c r="BJ38" i="130"/>
  <c r="BJ37" i="130"/>
  <c r="BJ36" i="130"/>
  <c r="BJ35" i="130"/>
  <c r="BJ34" i="130"/>
  <c r="BJ33" i="130"/>
  <c r="BJ32" i="130"/>
  <c r="BJ31" i="130"/>
  <c r="BJ30" i="130"/>
  <c r="BJ29" i="130"/>
  <c r="BJ28" i="130"/>
  <c r="BJ24" i="130"/>
  <c r="BJ23" i="130"/>
  <c r="AP326" i="131" l="1"/>
  <c r="AP325" i="131"/>
  <c r="AP324" i="131"/>
  <c r="AP323" i="131"/>
  <c r="AP322" i="131"/>
  <c r="AP321" i="131"/>
  <c r="AP320" i="131"/>
  <c r="AP319" i="131"/>
  <c r="AP318" i="131"/>
  <c r="AP317" i="131"/>
  <c r="AP316" i="131"/>
  <c r="AP315" i="131"/>
  <c r="AP314" i="131"/>
  <c r="AP313" i="131"/>
  <c r="AP312" i="131"/>
  <c r="AP311" i="131"/>
  <c r="AP310" i="131"/>
  <c r="AP309" i="131"/>
  <c r="AP308" i="131"/>
  <c r="AP307" i="131"/>
  <c r="AP306" i="131"/>
  <c r="AP305" i="131"/>
  <c r="AP304" i="131"/>
  <c r="AP303" i="131"/>
  <c r="AP302" i="131"/>
  <c r="AP301" i="131"/>
  <c r="AP300" i="131"/>
  <c r="AP299" i="131"/>
  <c r="AP298" i="131"/>
  <c r="AP297" i="131"/>
  <c r="AP296" i="131"/>
  <c r="AP295" i="131"/>
  <c r="AP294" i="131"/>
  <c r="AP293" i="131"/>
  <c r="AP292" i="131"/>
  <c r="AP291" i="131"/>
  <c r="AP290" i="131"/>
  <c r="AP289" i="131"/>
  <c r="AP288" i="131"/>
  <c r="AP287" i="131"/>
  <c r="AP286" i="131"/>
  <c r="AP285" i="131"/>
  <c r="AP284" i="131"/>
  <c r="AP283" i="131"/>
  <c r="AP282" i="131"/>
  <c r="AP281" i="131"/>
  <c r="AP280" i="131"/>
  <c r="AP279" i="131"/>
  <c r="AP278" i="131"/>
  <c r="AP277" i="131"/>
  <c r="AI326" i="131"/>
  <c r="AI325" i="131"/>
  <c r="AI324" i="131"/>
  <c r="AI323" i="131"/>
  <c r="AI322" i="131"/>
  <c r="AI321" i="131"/>
  <c r="AI320" i="131"/>
  <c r="AI319" i="131"/>
  <c r="AI318" i="131"/>
  <c r="AI317" i="131"/>
  <c r="AI316" i="131"/>
  <c r="AI315" i="131"/>
  <c r="AI314" i="131"/>
  <c r="AI313" i="131"/>
  <c r="AI312" i="131"/>
  <c r="AI311" i="131"/>
  <c r="AI310" i="131"/>
  <c r="AI309" i="131"/>
  <c r="AI308" i="131"/>
  <c r="AI307" i="131"/>
  <c r="AI306" i="131"/>
  <c r="AI305" i="131"/>
  <c r="AI304" i="131"/>
  <c r="AI303" i="131"/>
  <c r="AI302" i="131"/>
  <c r="AI301" i="131"/>
  <c r="AI300" i="131"/>
  <c r="AI299" i="131"/>
  <c r="AI298" i="131"/>
  <c r="AI297" i="131"/>
  <c r="AI296" i="131"/>
  <c r="AI295" i="131"/>
  <c r="AI294" i="131"/>
  <c r="AI293" i="131"/>
  <c r="AI292" i="131"/>
  <c r="AI291" i="131"/>
  <c r="AI290" i="131"/>
  <c r="AI289" i="131"/>
  <c r="AI288" i="131"/>
  <c r="AI287" i="131"/>
  <c r="AI286" i="131"/>
  <c r="AI285" i="131"/>
  <c r="AI284" i="131"/>
  <c r="AI283" i="131"/>
  <c r="AI282" i="131"/>
  <c r="AI281" i="131"/>
  <c r="AI280" i="131"/>
  <c r="AI279" i="131"/>
  <c r="AI278" i="131"/>
  <c r="AI277" i="131"/>
  <c r="AB326" i="131"/>
  <c r="AB325" i="131"/>
  <c r="AB324" i="131"/>
  <c r="AB323" i="131"/>
  <c r="AB322" i="131"/>
  <c r="AB321" i="131"/>
  <c r="AB320" i="131"/>
  <c r="AB319" i="131"/>
  <c r="AB318" i="131"/>
  <c r="AB317" i="131"/>
  <c r="AB316" i="131"/>
  <c r="AB315" i="131"/>
  <c r="AB314" i="131"/>
  <c r="AB313" i="131"/>
  <c r="AB312" i="131"/>
  <c r="AB311" i="131"/>
  <c r="AB310" i="131"/>
  <c r="AB309" i="131"/>
  <c r="AB308" i="131"/>
  <c r="AB307" i="131"/>
  <c r="AB306" i="131"/>
  <c r="AB305" i="131"/>
  <c r="AB304" i="131"/>
  <c r="AB303" i="131"/>
  <c r="AB302" i="131"/>
  <c r="AB301" i="131"/>
  <c r="AB300" i="131"/>
  <c r="AB299" i="131"/>
  <c r="AB298" i="131"/>
  <c r="AB297" i="131"/>
  <c r="AB296" i="131"/>
  <c r="AB295" i="131"/>
  <c r="AB294" i="131"/>
  <c r="AB293" i="131"/>
  <c r="AB292" i="131"/>
  <c r="AB291" i="131"/>
  <c r="AB290" i="131"/>
  <c r="AB289" i="131"/>
  <c r="AB288" i="131"/>
  <c r="AB287" i="131"/>
  <c r="AB286" i="131"/>
  <c r="AB285" i="131"/>
  <c r="AB284" i="131"/>
  <c r="AB283" i="131"/>
  <c r="AB282" i="131"/>
  <c r="AB281" i="131"/>
  <c r="AB280" i="131"/>
  <c r="AB279" i="131"/>
  <c r="AB278" i="131"/>
  <c r="AB277" i="131"/>
  <c r="U326" i="131"/>
  <c r="U325" i="131"/>
  <c r="U324" i="131"/>
  <c r="U323" i="131"/>
  <c r="U322" i="131"/>
  <c r="U321" i="131"/>
  <c r="U320" i="131"/>
  <c r="U319" i="131"/>
  <c r="U318" i="131"/>
  <c r="U317" i="131"/>
  <c r="U316" i="131"/>
  <c r="U315" i="131"/>
  <c r="U314" i="131"/>
  <c r="U313" i="131"/>
  <c r="U312" i="131"/>
  <c r="U311" i="131"/>
  <c r="U310" i="131"/>
  <c r="U309" i="131"/>
  <c r="U308" i="131"/>
  <c r="U307" i="131"/>
  <c r="U306" i="131"/>
  <c r="BF306" i="131" s="1"/>
  <c r="BV306" i="131" s="1"/>
  <c r="U305" i="131"/>
  <c r="U304" i="131"/>
  <c r="U303" i="131"/>
  <c r="U302" i="131"/>
  <c r="U301" i="131"/>
  <c r="U300" i="131"/>
  <c r="U299" i="131"/>
  <c r="U298" i="131"/>
  <c r="BF298" i="131" s="1"/>
  <c r="BV298" i="131" s="1"/>
  <c r="U297" i="131"/>
  <c r="U296" i="131"/>
  <c r="U295" i="131"/>
  <c r="U294" i="131"/>
  <c r="U293" i="131"/>
  <c r="U292" i="131"/>
  <c r="U291" i="131"/>
  <c r="U290" i="131"/>
  <c r="BF290" i="131" s="1"/>
  <c r="BV290" i="131" s="1"/>
  <c r="U289" i="131"/>
  <c r="U288" i="131"/>
  <c r="U287" i="131"/>
  <c r="U286" i="131"/>
  <c r="U285" i="131"/>
  <c r="U284" i="131"/>
  <c r="U283" i="131"/>
  <c r="U282" i="131"/>
  <c r="BF282" i="131" s="1"/>
  <c r="BV282" i="131" s="1"/>
  <c r="U281" i="131"/>
  <c r="U280" i="131"/>
  <c r="U279" i="131"/>
  <c r="U278" i="131"/>
  <c r="U277" i="131"/>
  <c r="L326" i="131" a="1"/>
  <c r="L326" i="131" s="1"/>
  <c r="BU326" i="131" s="1"/>
  <c r="L325" i="131" a="1"/>
  <c r="L325" i="131" s="1"/>
  <c r="L324" i="131" a="1"/>
  <c r="L324" i="131" s="1"/>
  <c r="L323" i="131" a="1"/>
  <c r="L323" i="131" s="1"/>
  <c r="L322" i="131" a="1"/>
  <c r="L322" i="131" s="1"/>
  <c r="L321" i="131" a="1"/>
  <c r="L321" i="131" s="1"/>
  <c r="L320" i="131" a="1"/>
  <c r="L320" i="131" s="1"/>
  <c r="L319" i="131" a="1"/>
  <c r="L319" i="131" s="1"/>
  <c r="BU319" i="131" s="1"/>
  <c r="L318" i="131" a="1"/>
  <c r="L318" i="131" s="1"/>
  <c r="BU318" i="131" s="1"/>
  <c r="L317" i="131" a="1"/>
  <c r="L317" i="131" s="1"/>
  <c r="L316" i="131" a="1"/>
  <c r="L316" i="131" s="1"/>
  <c r="L315" i="131" a="1"/>
  <c r="L315" i="131" s="1"/>
  <c r="L314" i="131" a="1"/>
  <c r="L314" i="131" s="1"/>
  <c r="L313" i="131" a="1"/>
  <c r="L313" i="131" s="1"/>
  <c r="L312" i="131" a="1"/>
  <c r="L312" i="131" s="1"/>
  <c r="L311" i="131" a="1"/>
  <c r="L311" i="131" s="1"/>
  <c r="BU311" i="131" s="1"/>
  <c r="L310" i="131" a="1"/>
  <c r="L310" i="131" s="1"/>
  <c r="BU310" i="131" s="1"/>
  <c r="L309" i="131" a="1"/>
  <c r="L309" i="131" s="1"/>
  <c r="L308" i="131" a="1"/>
  <c r="L308" i="131" s="1"/>
  <c r="L307" i="131" a="1"/>
  <c r="L307" i="131" s="1"/>
  <c r="L306" i="131" a="1"/>
  <c r="L306" i="131" s="1"/>
  <c r="L305" i="131" a="1"/>
  <c r="L305" i="131" s="1"/>
  <c r="L304" i="131" a="1"/>
  <c r="L304" i="131" s="1"/>
  <c r="L303" i="131" a="1"/>
  <c r="L303" i="131" s="1"/>
  <c r="BU303" i="131" s="1"/>
  <c r="L302" i="131" a="1"/>
  <c r="L302" i="131" s="1"/>
  <c r="BU302" i="131" s="1"/>
  <c r="L301" i="131" a="1"/>
  <c r="L301" i="131" s="1"/>
  <c r="L300" i="131" a="1"/>
  <c r="L300" i="131" s="1"/>
  <c r="L299" i="131" a="1"/>
  <c r="L299" i="131" s="1"/>
  <c r="L298" i="131" a="1"/>
  <c r="L298" i="131" s="1"/>
  <c r="L297" i="131" a="1"/>
  <c r="L297" i="131" s="1"/>
  <c r="L296" i="131" a="1"/>
  <c r="L296" i="131" s="1"/>
  <c r="L295" i="131" a="1"/>
  <c r="L295" i="131" s="1"/>
  <c r="BU295" i="131" s="1"/>
  <c r="L294" i="131" a="1"/>
  <c r="L294" i="131" s="1"/>
  <c r="BU294" i="131" s="1"/>
  <c r="L293" i="131" a="1"/>
  <c r="L293" i="131" s="1"/>
  <c r="L292" i="131" a="1"/>
  <c r="L292" i="131" s="1"/>
  <c r="L291" i="131" a="1"/>
  <c r="L291" i="131" s="1"/>
  <c r="L290" i="131" a="1"/>
  <c r="L290" i="131" s="1"/>
  <c r="L289" i="131" a="1"/>
  <c r="L289" i="131" s="1"/>
  <c r="L288" i="131" a="1"/>
  <c r="L288" i="131" s="1"/>
  <c r="L287" i="131" a="1"/>
  <c r="L287" i="131" s="1"/>
  <c r="BU287" i="131" s="1"/>
  <c r="L286" i="131" a="1"/>
  <c r="L286" i="131" s="1"/>
  <c r="BU286" i="131" s="1"/>
  <c r="L285" i="131" a="1"/>
  <c r="L285" i="131" s="1"/>
  <c r="L284" i="131" a="1"/>
  <c r="L284" i="131" s="1"/>
  <c r="L283" i="131" a="1"/>
  <c r="L283" i="131" s="1"/>
  <c r="L282" i="131" a="1"/>
  <c r="L282" i="131" s="1"/>
  <c r="L281" i="131" a="1"/>
  <c r="L281" i="131" s="1"/>
  <c r="L280" i="131" a="1"/>
  <c r="L280" i="131" s="1"/>
  <c r="L279" i="131" a="1"/>
  <c r="L279" i="131" s="1"/>
  <c r="BU279" i="131" s="1"/>
  <c r="L278" i="131" a="1"/>
  <c r="L278" i="131" s="1"/>
  <c r="BU278" i="131" s="1"/>
  <c r="L277" i="131" a="1"/>
  <c r="L277" i="131" s="1"/>
  <c r="AP219" i="131"/>
  <c r="AP218" i="131"/>
  <c r="AP217" i="131"/>
  <c r="AP216" i="131"/>
  <c r="AP215" i="131"/>
  <c r="AP214" i="131"/>
  <c r="AP213" i="131"/>
  <c r="AP212" i="131"/>
  <c r="AP211" i="131"/>
  <c r="AP210" i="131"/>
  <c r="AP209" i="131"/>
  <c r="AP208" i="131"/>
  <c r="AP207" i="131"/>
  <c r="AP206" i="131"/>
  <c r="AP205" i="131"/>
  <c r="AP204" i="131"/>
  <c r="AP203" i="131"/>
  <c r="AP202" i="131"/>
  <c r="AP201" i="131"/>
  <c r="AP200" i="131"/>
  <c r="AP199" i="131"/>
  <c r="AP198" i="131"/>
  <c r="AP197" i="131"/>
  <c r="AP196" i="131"/>
  <c r="AP195" i="131"/>
  <c r="AP194" i="131"/>
  <c r="AP193" i="131"/>
  <c r="AP192" i="131"/>
  <c r="AP191" i="131"/>
  <c r="AP190" i="131"/>
  <c r="AP189" i="131"/>
  <c r="AP188" i="131"/>
  <c r="AP187" i="131"/>
  <c r="AP186" i="131"/>
  <c r="AP185" i="131"/>
  <c r="AP184" i="131"/>
  <c r="AP183" i="131"/>
  <c r="AP182" i="131"/>
  <c r="AP181" i="131"/>
  <c r="AP180" i="131"/>
  <c r="AP179" i="131"/>
  <c r="AP178" i="131"/>
  <c r="AP177" i="131"/>
  <c r="AP176" i="131"/>
  <c r="AP175" i="131"/>
  <c r="AP174" i="131"/>
  <c r="AP173" i="131"/>
  <c r="AP172" i="131"/>
  <c r="AP171" i="131"/>
  <c r="AP170" i="131"/>
  <c r="AP169" i="131"/>
  <c r="AP168" i="131"/>
  <c r="AP167" i="131"/>
  <c r="AP166" i="131"/>
  <c r="AP165" i="131"/>
  <c r="AP164" i="131"/>
  <c r="AP163" i="131"/>
  <c r="AP162" i="131"/>
  <c r="AP161" i="131"/>
  <c r="AP160" i="131"/>
  <c r="AP159" i="131"/>
  <c r="AP158" i="131"/>
  <c r="AP157" i="131"/>
  <c r="AP156" i="131"/>
  <c r="AP155" i="131"/>
  <c r="AP154" i="131"/>
  <c r="AP153" i="131"/>
  <c r="AP152" i="131"/>
  <c r="AP151" i="131"/>
  <c r="AP150" i="131"/>
  <c r="AP149" i="131"/>
  <c r="AP148" i="131"/>
  <c r="AP147" i="131"/>
  <c r="AP146" i="131"/>
  <c r="AP145" i="131"/>
  <c r="AP144" i="131"/>
  <c r="AP143" i="131"/>
  <c r="AP142" i="131"/>
  <c r="AP141" i="131"/>
  <c r="AP140" i="131"/>
  <c r="AI220" i="131"/>
  <c r="AI219" i="131"/>
  <c r="AI218" i="131"/>
  <c r="AI217" i="131"/>
  <c r="AI216" i="131"/>
  <c r="AI215" i="131"/>
  <c r="AI214" i="131"/>
  <c r="AI213" i="131"/>
  <c r="AI212" i="131"/>
  <c r="AI211" i="131"/>
  <c r="AI210" i="131"/>
  <c r="AI209" i="131"/>
  <c r="AI208" i="131"/>
  <c r="AI207" i="131"/>
  <c r="AI206" i="131"/>
  <c r="AI205" i="131"/>
  <c r="AI204" i="131"/>
  <c r="AI203" i="131"/>
  <c r="AI202" i="131"/>
  <c r="AI201" i="131"/>
  <c r="AI200" i="131"/>
  <c r="AI199" i="131"/>
  <c r="AI198" i="131"/>
  <c r="AI197" i="131"/>
  <c r="AI196" i="131"/>
  <c r="AI195" i="131"/>
  <c r="AI194" i="131"/>
  <c r="AI193" i="131"/>
  <c r="AI192" i="131"/>
  <c r="AI191" i="131"/>
  <c r="AI190" i="131"/>
  <c r="AI189" i="131"/>
  <c r="AI188" i="131"/>
  <c r="AI187" i="131"/>
  <c r="AI186" i="131"/>
  <c r="AI185" i="131"/>
  <c r="AI184" i="131"/>
  <c r="AI183" i="131"/>
  <c r="AI182" i="131"/>
  <c r="AI181" i="131"/>
  <c r="AI180" i="131"/>
  <c r="AI179" i="131"/>
  <c r="AI178" i="131"/>
  <c r="AI177" i="131"/>
  <c r="AI176" i="131"/>
  <c r="AI175" i="131"/>
  <c r="AI174" i="131"/>
  <c r="AI173" i="131"/>
  <c r="AI172" i="131"/>
  <c r="AI171" i="131"/>
  <c r="AI170" i="131"/>
  <c r="AI169" i="131"/>
  <c r="AI168" i="131"/>
  <c r="AI167" i="131"/>
  <c r="AI166" i="131"/>
  <c r="AI165" i="131"/>
  <c r="AI164" i="131"/>
  <c r="AI163" i="131"/>
  <c r="AI162" i="131"/>
  <c r="AI161" i="131"/>
  <c r="AI160" i="131"/>
  <c r="AI159" i="131"/>
  <c r="AI158" i="131"/>
  <c r="AI157" i="131"/>
  <c r="AI156" i="131"/>
  <c r="AI155" i="131"/>
  <c r="AI154" i="131"/>
  <c r="AI153" i="131"/>
  <c r="AI152" i="131"/>
  <c r="AI151" i="131"/>
  <c r="AI150" i="131"/>
  <c r="AI149" i="131"/>
  <c r="AI148" i="131"/>
  <c r="AI147" i="131"/>
  <c r="AI146" i="131"/>
  <c r="AI145" i="131"/>
  <c r="AI144" i="131"/>
  <c r="AI143" i="131"/>
  <c r="AI142" i="131"/>
  <c r="AI141" i="131"/>
  <c r="AI140" i="131"/>
  <c r="AB219" i="131"/>
  <c r="AB218" i="131"/>
  <c r="AB217" i="131"/>
  <c r="AB216" i="131"/>
  <c r="AB215" i="131"/>
  <c r="AB214" i="131"/>
  <c r="AB213" i="131"/>
  <c r="AB212" i="131"/>
  <c r="AB211" i="131"/>
  <c r="AB210" i="131"/>
  <c r="AB209" i="131"/>
  <c r="AB208" i="131"/>
  <c r="AB207" i="131"/>
  <c r="AB206" i="131"/>
  <c r="AB205" i="131"/>
  <c r="AB204" i="131"/>
  <c r="AB203" i="131"/>
  <c r="AB202" i="131"/>
  <c r="AB201" i="131"/>
  <c r="AB200" i="131"/>
  <c r="AB199" i="131"/>
  <c r="AB198" i="131"/>
  <c r="AB197" i="131"/>
  <c r="AB196" i="131"/>
  <c r="AB195" i="131"/>
  <c r="AB194" i="131"/>
  <c r="AB193" i="131"/>
  <c r="AB192" i="131"/>
  <c r="AB191" i="131"/>
  <c r="AB190" i="131"/>
  <c r="AB189" i="131"/>
  <c r="AB188" i="131"/>
  <c r="AB187" i="131"/>
  <c r="AB186" i="131"/>
  <c r="AB185" i="131"/>
  <c r="AB184" i="131"/>
  <c r="AB183" i="131"/>
  <c r="AB182" i="131"/>
  <c r="AB181" i="131"/>
  <c r="AB180" i="131"/>
  <c r="AB179" i="131"/>
  <c r="AB178" i="131"/>
  <c r="AB177" i="131"/>
  <c r="AB176" i="131"/>
  <c r="AB175" i="131"/>
  <c r="AB174" i="131"/>
  <c r="AB173" i="131"/>
  <c r="AB172" i="131"/>
  <c r="AB171" i="131"/>
  <c r="AB170" i="131"/>
  <c r="AB169" i="131"/>
  <c r="AB168" i="131"/>
  <c r="AB167" i="131"/>
  <c r="AB166" i="131"/>
  <c r="AB165" i="131"/>
  <c r="AB164" i="131"/>
  <c r="AB163" i="131"/>
  <c r="AB162" i="131"/>
  <c r="AB161" i="131"/>
  <c r="AB160" i="131"/>
  <c r="AB159" i="131"/>
  <c r="AB158" i="131"/>
  <c r="AB157" i="131"/>
  <c r="AB156" i="131"/>
  <c r="AB155" i="131"/>
  <c r="AB154" i="131"/>
  <c r="AB153" i="131"/>
  <c r="AB152" i="131"/>
  <c r="AB151" i="131"/>
  <c r="AB150" i="131"/>
  <c r="AB149" i="131"/>
  <c r="AB148" i="131"/>
  <c r="AB147" i="131"/>
  <c r="AB146" i="131"/>
  <c r="AB145" i="131"/>
  <c r="AB144" i="131"/>
  <c r="AB143" i="131"/>
  <c r="AB142" i="131"/>
  <c r="AB141" i="131"/>
  <c r="AB140" i="131"/>
  <c r="U219" i="131"/>
  <c r="BF219" i="131" s="1"/>
  <c r="U218" i="131"/>
  <c r="BF218" i="131" s="1"/>
  <c r="BV218" i="131" s="1"/>
  <c r="U217" i="131"/>
  <c r="BF217" i="131" s="1"/>
  <c r="BV217" i="131" s="1"/>
  <c r="U216" i="131"/>
  <c r="U215" i="131"/>
  <c r="BF215" i="131" s="1"/>
  <c r="BV215" i="131" s="1"/>
  <c r="U214" i="131"/>
  <c r="U213" i="131"/>
  <c r="BF213" i="131" s="1"/>
  <c r="BV213" i="131" s="1"/>
  <c r="U212" i="131"/>
  <c r="BF212" i="131" s="1"/>
  <c r="BV212" i="131" s="1"/>
  <c r="U211" i="131"/>
  <c r="BF211" i="131" s="1"/>
  <c r="BV211" i="131" s="1"/>
  <c r="U210" i="131"/>
  <c r="BF210" i="131" s="1"/>
  <c r="BV210" i="131" s="1"/>
  <c r="U209" i="131"/>
  <c r="BF209" i="131" s="1"/>
  <c r="BV209" i="131" s="1"/>
  <c r="U208" i="131"/>
  <c r="U207" i="131"/>
  <c r="BF207" i="131" s="1"/>
  <c r="BV207" i="131" s="1"/>
  <c r="U206" i="131"/>
  <c r="U205" i="131"/>
  <c r="BF205" i="131" s="1"/>
  <c r="BV205" i="131" s="1"/>
  <c r="U204" i="131"/>
  <c r="BF204" i="131" s="1"/>
  <c r="BV204" i="131" s="1"/>
  <c r="U203" i="131"/>
  <c r="BF203" i="131" s="1"/>
  <c r="BV203" i="131" s="1"/>
  <c r="U202" i="131"/>
  <c r="BF202" i="131" s="1"/>
  <c r="BV202" i="131" s="1"/>
  <c r="U201" i="131"/>
  <c r="BF201" i="131" s="1"/>
  <c r="BV201" i="131" s="1"/>
  <c r="U200" i="131"/>
  <c r="U199" i="131"/>
  <c r="BF199" i="131" s="1"/>
  <c r="BV199" i="131" s="1"/>
  <c r="U198" i="131"/>
  <c r="U197" i="131"/>
  <c r="BF197" i="131" s="1"/>
  <c r="BV197" i="131" s="1"/>
  <c r="U196" i="131"/>
  <c r="BF196" i="131" s="1"/>
  <c r="BV196" i="131" s="1"/>
  <c r="U195" i="131"/>
  <c r="BF195" i="131" s="1"/>
  <c r="BV195" i="131" s="1"/>
  <c r="U194" i="131"/>
  <c r="BF194" i="131" s="1"/>
  <c r="BV194" i="131" s="1"/>
  <c r="U165" i="131"/>
  <c r="BF165" i="131" s="1"/>
  <c r="U164" i="131"/>
  <c r="BF164" i="131" s="1"/>
  <c r="BV164" i="131" s="1"/>
  <c r="U163" i="131"/>
  <c r="BF163" i="131" s="1"/>
  <c r="BV163" i="131" s="1"/>
  <c r="U162" i="131"/>
  <c r="BF162" i="131" s="1"/>
  <c r="BV162" i="131" s="1"/>
  <c r="U161" i="131"/>
  <c r="U160" i="131"/>
  <c r="U159" i="131"/>
  <c r="U158" i="131"/>
  <c r="U157" i="131"/>
  <c r="BF157" i="131" s="1"/>
  <c r="BV157" i="131" s="1"/>
  <c r="U156" i="131"/>
  <c r="BF156" i="131" s="1"/>
  <c r="BV156" i="131" s="1"/>
  <c r="U155" i="131"/>
  <c r="BF155" i="131" s="1"/>
  <c r="BV155" i="131" s="1"/>
  <c r="U154" i="131"/>
  <c r="BF154" i="131" s="1"/>
  <c r="BV154" i="131" s="1"/>
  <c r="U153" i="131"/>
  <c r="U152" i="131"/>
  <c r="U151" i="131"/>
  <c r="U150" i="131"/>
  <c r="U149" i="131"/>
  <c r="BF149" i="131" s="1"/>
  <c r="BV149" i="131" s="1"/>
  <c r="U148" i="131"/>
  <c r="BF148" i="131" s="1"/>
  <c r="BV148" i="131" s="1"/>
  <c r="U147" i="131"/>
  <c r="BF147" i="131" s="1"/>
  <c r="BV147" i="131" s="1"/>
  <c r="U146" i="131"/>
  <c r="BF146" i="131" s="1"/>
  <c r="BV146" i="131" s="1"/>
  <c r="U145" i="131"/>
  <c r="U144" i="131"/>
  <c r="U143" i="131"/>
  <c r="U142" i="131"/>
  <c r="U141" i="131"/>
  <c r="BF141" i="131" s="1"/>
  <c r="BV141" i="131" s="1"/>
  <c r="U140" i="131"/>
  <c r="BF140" i="131" s="1"/>
  <c r="BV140" i="131" s="1"/>
  <c r="L220" i="131" a="1"/>
  <c r="L220" i="131" s="1"/>
  <c r="M220" i="131" s="1"/>
  <c r="L219" i="131" a="1"/>
  <c r="L219" i="131" s="1"/>
  <c r="M219" i="131" s="1"/>
  <c r="L218" i="131" a="1"/>
  <c r="L218" i="131" s="1"/>
  <c r="L217" i="131" a="1"/>
  <c r="L217" i="131" s="1"/>
  <c r="L216" i="131" a="1"/>
  <c r="L216" i="131" s="1"/>
  <c r="L215" i="131" a="1"/>
  <c r="L215" i="131" s="1"/>
  <c r="L214" i="131" a="1"/>
  <c r="L214" i="131" s="1"/>
  <c r="L213" i="131" a="1"/>
  <c r="L213" i="131" s="1"/>
  <c r="M213" i="131" s="1"/>
  <c r="L212" i="131" a="1"/>
  <c r="L212" i="131" s="1"/>
  <c r="M212" i="131" s="1"/>
  <c r="L211" i="131" a="1"/>
  <c r="L211" i="131" s="1"/>
  <c r="L210" i="131" a="1"/>
  <c r="L210" i="131" s="1"/>
  <c r="L209" i="131" a="1"/>
  <c r="L209" i="131" s="1"/>
  <c r="L208" i="131" a="1"/>
  <c r="L208" i="131" s="1"/>
  <c r="L207" i="131" a="1"/>
  <c r="L207" i="131" s="1"/>
  <c r="L206" i="131" a="1"/>
  <c r="L206" i="131" s="1"/>
  <c r="L205" i="131" a="1"/>
  <c r="L205" i="131" s="1"/>
  <c r="M205" i="131" s="1"/>
  <c r="L204" i="131" a="1"/>
  <c r="L204" i="131" s="1"/>
  <c r="M204" i="131" s="1"/>
  <c r="L203" i="131" a="1"/>
  <c r="L203" i="131" s="1"/>
  <c r="L202" i="131" a="1"/>
  <c r="L202" i="131" s="1"/>
  <c r="L201" i="131" a="1"/>
  <c r="L201" i="131" s="1"/>
  <c r="L200" i="131" a="1"/>
  <c r="L200" i="131" s="1"/>
  <c r="L199" i="131" a="1"/>
  <c r="L199" i="131" s="1"/>
  <c r="L198" i="131" a="1"/>
  <c r="L198" i="131" s="1"/>
  <c r="L197" i="131" a="1"/>
  <c r="L197" i="131" s="1"/>
  <c r="M197" i="131" s="1"/>
  <c r="L196" i="131" a="1"/>
  <c r="L196" i="131" s="1"/>
  <c r="M196" i="131" s="1"/>
  <c r="L195" i="131" a="1"/>
  <c r="L195" i="131" s="1"/>
  <c r="L194" i="131" a="1"/>
  <c r="L194" i="131" s="1"/>
  <c r="L193" i="131" a="1"/>
  <c r="L193" i="131" s="1"/>
  <c r="M193" i="131" s="1"/>
  <c r="L192" i="131" a="1"/>
  <c r="L192" i="131" s="1"/>
  <c r="M192" i="131" s="1"/>
  <c r="L191" i="131" a="1"/>
  <c r="L191" i="131" s="1"/>
  <c r="M191" i="131" s="1"/>
  <c r="L190" i="131" a="1"/>
  <c r="L190" i="131" s="1"/>
  <c r="M190" i="131" s="1"/>
  <c r="L189" i="131" a="1"/>
  <c r="L189" i="131" s="1"/>
  <c r="M189" i="131" s="1"/>
  <c r="L188" i="131" a="1"/>
  <c r="L188" i="131" s="1"/>
  <c r="M188" i="131" s="1"/>
  <c r="L187" i="131" a="1"/>
  <c r="L187" i="131" s="1"/>
  <c r="M187" i="131" s="1"/>
  <c r="L186" i="131" a="1"/>
  <c r="L186" i="131" s="1"/>
  <c r="M186" i="131" s="1"/>
  <c r="L185" i="131" a="1"/>
  <c r="L185" i="131" s="1"/>
  <c r="M185" i="131" s="1"/>
  <c r="L184" i="131" a="1"/>
  <c r="L184" i="131" s="1"/>
  <c r="M184" i="131" s="1"/>
  <c r="L183" i="131" a="1"/>
  <c r="L183" i="131" s="1"/>
  <c r="M183" i="131" s="1"/>
  <c r="L182" i="131" a="1"/>
  <c r="L182" i="131" s="1"/>
  <c r="M182" i="131" s="1"/>
  <c r="L181" i="131" a="1"/>
  <c r="L181" i="131" s="1"/>
  <c r="M181" i="131" s="1"/>
  <c r="L180" i="131" a="1"/>
  <c r="L180" i="131" s="1"/>
  <c r="M180" i="131" s="1"/>
  <c r="L179" i="131" a="1"/>
  <c r="L179" i="131" s="1"/>
  <c r="M179" i="131" s="1"/>
  <c r="L178" i="131" a="1"/>
  <c r="L178" i="131" s="1"/>
  <c r="M178" i="131" s="1"/>
  <c r="L177" i="131" a="1"/>
  <c r="L177" i="131" s="1"/>
  <c r="M177" i="131" s="1"/>
  <c r="L176" i="131" a="1"/>
  <c r="L176" i="131" s="1"/>
  <c r="M176" i="131" s="1"/>
  <c r="L175" i="131" a="1"/>
  <c r="L175" i="131" s="1"/>
  <c r="M175" i="131" s="1"/>
  <c r="L174" i="131" a="1"/>
  <c r="L174" i="131" s="1"/>
  <c r="M174" i="131" s="1"/>
  <c r="L173" i="131" a="1"/>
  <c r="L173" i="131" s="1"/>
  <c r="M173" i="131" s="1"/>
  <c r="L172" i="131" a="1"/>
  <c r="L172" i="131" s="1"/>
  <c r="M172" i="131" s="1"/>
  <c r="L171" i="131" a="1"/>
  <c r="L171" i="131" s="1"/>
  <c r="M171" i="131" s="1"/>
  <c r="L170" i="131" a="1"/>
  <c r="L170" i="131" s="1"/>
  <c r="M170" i="131" s="1"/>
  <c r="L169" i="131" a="1"/>
  <c r="L169" i="131" s="1"/>
  <c r="M169" i="131" s="1"/>
  <c r="L168" i="131" a="1"/>
  <c r="L168" i="131" s="1"/>
  <c r="M168" i="131" s="1"/>
  <c r="L167" i="131" a="1"/>
  <c r="L167" i="131" s="1"/>
  <c r="M167" i="131" s="1"/>
  <c r="L166" i="131" a="1"/>
  <c r="L166" i="131" s="1"/>
  <c r="M166" i="131" s="1"/>
  <c r="L165" i="131" a="1"/>
  <c r="L165" i="131" s="1"/>
  <c r="M165" i="131" s="1"/>
  <c r="L164" i="131" a="1"/>
  <c r="L164" i="131" s="1"/>
  <c r="L163" i="131" a="1"/>
  <c r="L163" i="131" s="1"/>
  <c r="L162" i="131" a="1"/>
  <c r="L162" i="131" s="1"/>
  <c r="L161" i="131" a="1"/>
  <c r="L161" i="131" s="1"/>
  <c r="L160" i="131" a="1"/>
  <c r="L160" i="131" s="1"/>
  <c r="L159" i="131" a="1"/>
  <c r="L159" i="131" s="1"/>
  <c r="L158" i="131" a="1"/>
  <c r="L158" i="131" s="1"/>
  <c r="L157" i="131" a="1"/>
  <c r="L157" i="131" s="1"/>
  <c r="L156" i="131" a="1"/>
  <c r="L156" i="131" s="1"/>
  <c r="L155" i="131" a="1"/>
  <c r="L155" i="131" s="1"/>
  <c r="L154" i="131" a="1"/>
  <c r="L154" i="131" s="1"/>
  <c r="L153" i="131" a="1"/>
  <c r="L153" i="131" s="1"/>
  <c r="L152" i="131" a="1"/>
  <c r="L152" i="131" s="1"/>
  <c r="L151" i="131" a="1"/>
  <c r="L151" i="131" s="1"/>
  <c r="L150" i="131" a="1"/>
  <c r="L150" i="131" s="1"/>
  <c r="L149" i="131" a="1"/>
  <c r="L149" i="131" s="1"/>
  <c r="L148" i="131" a="1"/>
  <c r="L148" i="131" s="1"/>
  <c r="L147" i="131" a="1"/>
  <c r="L147" i="131" s="1"/>
  <c r="L146" i="131" a="1"/>
  <c r="L146" i="131" s="1"/>
  <c r="L145" i="131" a="1"/>
  <c r="L145" i="131" s="1"/>
  <c r="L144" i="131" a="1"/>
  <c r="L144" i="131" s="1"/>
  <c r="L143" i="131" a="1"/>
  <c r="L143" i="131" s="1"/>
  <c r="L142" i="131" a="1"/>
  <c r="L142" i="131" s="1"/>
  <c r="L141" i="131" a="1"/>
  <c r="L141" i="131" s="1"/>
  <c r="L140" i="131" a="1"/>
  <c r="L140" i="131" s="1"/>
  <c r="AW113" i="131"/>
  <c r="AW112" i="131"/>
  <c r="AW111" i="131"/>
  <c r="AW110" i="131"/>
  <c r="AW109" i="131"/>
  <c r="AW108" i="131"/>
  <c r="AW107" i="131"/>
  <c r="AW106" i="131"/>
  <c r="AW105" i="131"/>
  <c r="AW104" i="131"/>
  <c r="AW103" i="131"/>
  <c r="AW102" i="131"/>
  <c r="AW101" i="131"/>
  <c r="AW100" i="131"/>
  <c r="AW99" i="131"/>
  <c r="AW98" i="131"/>
  <c r="AW97" i="131"/>
  <c r="AW96" i="131"/>
  <c r="AW95" i="131"/>
  <c r="AW94" i="131"/>
  <c r="AW93" i="131"/>
  <c r="AW92" i="131"/>
  <c r="AW91" i="131"/>
  <c r="AW90" i="131"/>
  <c r="AW89" i="131"/>
  <c r="AW88" i="131"/>
  <c r="AW87" i="131"/>
  <c r="AW86" i="131"/>
  <c r="AW85" i="131"/>
  <c r="AW84" i="131"/>
  <c r="AW83" i="131"/>
  <c r="AW82" i="131"/>
  <c r="AW81" i="131"/>
  <c r="AW80" i="131"/>
  <c r="AW79" i="131"/>
  <c r="AW78" i="131"/>
  <c r="AW77" i="131"/>
  <c r="AW76" i="131"/>
  <c r="AW75" i="131"/>
  <c r="AW74" i="131"/>
  <c r="AW73" i="131"/>
  <c r="AW72" i="131"/>
  <c r="AW71" i="131"/>
  <c r="AW70" i="131"/>
  <c r="AW69" i="131"/>
  <c r="AW68" i="131"/>
  <c r="AW67" i="131"/>
  <c r="AW66" i="131"/>
  <c r="AW65" i="131"/>
  <c r="AW64" i="131"/>
  <c r="AW63" i="131"/>
  <c r="AW62" i="131"/>
  <c r="AW61" i="131"/>
  <c r="AW60" i="131"/>
  <c r="AW59" i="131"/>
  <c r="AW58" i="131"/>
  <c r="AW57" i="131"/>
  <c r="AW56" i="131"/>
  <c r="AW55" i="131"/>
  <c r="AW54" i="131"/>
  <c r="AW53" i="131"/>
  <c r="AW52" i="131"/>
  <c r="AW51" i="131"/>
  <c r="AW50" i="131"/>
  <c r="AW49" i="131"/>
  <c r="AW48" i="131"/>
  <c r="AW47" i="131"/>
  <c r="AW46" i="131"/>
  <c r="AW45" i="131"/>
  <c r="AW44" i="131"/>
  <c r="AW43" i="131"/>
  <c r="AW42" i="131"/>
  <c r="AW41" i="131"/>
  <c r="AW40" i="131"/>
  <c r="AW39" i="131"/>
  <c r="AW38" i="131"/>
  <c r="AW37" i="131"/>
  <c r="AW36" i="131"/>
  <c r="AW35" i="131"/>
  <c r="AW34" i="131"/>
  <c r="AW33" i="131"/>
  <c r="AW32" i="131"/>
  <c r="AW31" i="131"/>
  <c r="AW30" i="131"/>
  <c r="AW29" i="131"/>
  <c r="AW28" i="131"/>
  <c r="AW27" i="131"/>
  <c r="AW26" i="131"/>
  <c r="AW25" i="131"/>
  <c r="AW24" i="131"/>
  <c r="AW23" i="131"/>
  <c r="AW22" i="131"/>
  <c r="AW21" i="131"/>
  <c r="AW20" i="131"/>
  <c r="AW19" i="131"/>
  <c r="AW18" i="131"/>
  <c r="AW17" i="131"/>
  <c r="AW16" i="131"/>
  <c r="AW15" i="131"/>
  <c r="AW14" i="131"/>
  <c r="AP82" i="131"/>
  <c r="AP81" i="131"/>
  <c r="AP80" i="131"/>
  <c r="AP79" i="131"/>
  <c r="AP78" i="131"/>
  <c r="AP77" i="131"/>
  <c r="AP76" i="131"/>
  <c r="AP75" i="131"/>
  <c r="AP74" i="131"/>
  <c r="AP73" i="131"/>
  <c r="AP72" i="131"/>
  <c r="AP71" i="131"/>
  <c r="AP70" i="131"/>
  <c r="AP69" i="131"/>
  <c r="AP68" i="131"/>
  <c r="AP67" i="131"/>
  <c r="AP66" i="131"/>
  <c r="AP65" i="131"/>
  <c r="AP64" i="131"/>
  <c r="AP63" i="131"/>
  <c r="AP62" i="131"/>
  <c r="AP61" i="131"/>
  <c r="AP60" i="131"/>
  <c r="AP59" i="131"/>
  <c r="AP58" i="131"/>
  <c r="AP57" i="131"/>
  <c r="AP56" i="131"/>
  <c r="AP55" i="131"/>
  <c r="AP54" i="131"/>
  <c r="AP53" i="131"/>
  <c r="AP52" i="131"/>
  <c r="AP51" i="131"/>
  <c r="AP50" i="131"/>
  <c r="AP49" i="131"/>
  <c r="AP48" i="131"/>
  <c r="AP47" i="131"/>
  <c r="AP46" i="131"/>
  <c r="AP45" i="131"/>
  <c r="AP44" i="131"/>
  <c r="AP43" i="131"/>
  <c r="AP42" i="131"/>
  <c r="AP41" i="131"/>
  <c r="AP40" i="131"/>
  <c r="AP39" i="131"/>
  <c r="AP38" i="131"/>
  <c r="AP37" i="131"/>
  <c r="AP36" i="131"/>
  <c r="AP35" i="131"/>
  <c r="AP34" i="131"/>
  <c r="AI83" i="131"/>
  <c r="AI82" i="131"/>
  <c r="AI81" i="131"/>
  <c r="AI80" i="131"/>
  <c r="AI79" i="131"/>
  <c r="AI78" i="131"/>
  <c r="AI77" i="131"/>
  <c r="AI76" i="131"/>
  <c r="AI75" i="131"/>
  <c r="AI74" i="131"/>
  <c r="AI73" i="131"/>
  <c r="AI72" i="131"/>
  <c r="AI71" i="131"/>
  <c r="AI70" i="131"/>
  <c r="AI69" i="131"/>
  <c r="AI68" i="131"/>
  <c r="AI67" i="131"/>
  <c r="AI66" i="131"/>
  <c r="AI65" i="131"/>
  <c r="AI64" i="131"/>
  <c r="AI63" i="131"/>
  <c r="AI62" i="131"/>
  <c r="AI61" i="131"/>
  <c r="AI60" i="131"/>
  <c r="AI59" i="131"/>
  <c r="AI58" i="131"/>
  <c r="AI57" i="131"/>
  <c r="AI56" i="131"/>
  <c r="AI55" i="131"/>
  <c r="AI54" i="131"/>
  <c r="AI53" i="131"/>
  <c r="AI52" i="131"/>
  <c r="AI51" i="131"/>
  <c r="AI50" i="131"/>
  <c r="AI49" i="131"/>
  <c r="AI48" i="131"/>
  <c r="AI47" i="131"/>
  <c r="AI46" i="131"/>
  <c r="AI45" i="131"/>
  <c r="AI44" i="131"/>
  <c r="AI43" i="131"/>
  <c r="AI42" i="131"/>
  <c r="AI41" i="131"/>
  <c r="AI40" i="131"/>
  <c r="AI39" i="131"/>
  <c r="AI38" i="131"/>
  <c r="AI37" i="131"/>
  <c r="AI36" i="131"/>
  <c r="AI35" i="131"/>
  <c r="AI34" i="131"/>
  <c r="AB83" i="131"/>
  <c r="AB82" i="131"/>
  <c r="AB81" i="131"/>
  <c r="AB80" i="131"/>
  <c r="AB79" i="131"/>
  <c r="AB78" i="131"/>
  <c r="AB77" i="131"/>
  <c r="AB76" i="131"/>
  <c r="AB75" i="131"/>
  <c r="AB74" i="131"/>
  <c r="AB73" i="131"/>
  <c r="AB72" i="131"/>
  <c r="AB71" i="131"/>
  <c r="AB70" i="131"/>
  <c r="AB69" i="131"/>
  <c r="AB68" i="131"/>
  <c r="AB67" i="131"/>
  <c r="AB66" i="131"/>
  <c r="AB65" i="131"/>
  <c r="AB64" i="131"/>
  <c r="AB63" i="131"/>
  <c r="AB62" i="131"/>
  <c r="AB61" i="131"/>
  <c r="AB60" i="131"/>
  <c r="AB59" i="131"/>
  <c r="AB58" i="131"/>
  <c r="AB57" i="131"/>
  <c r="AB56" i="131"/>
  <c r="AB55" i="131"/>
  <c r="AB54" i="131"/>
  <c r="AB53" i="131"/>
  <c r="AB52" i="131"/>
  <c r="AB51" i="131"/>
  <c r="AB50" i="131"/>
  <c r="AB49" i="131"/>
  <c r="AB48" i="131"/>
  <c r="AB47" i="131"/>
  <c r="AB46" i="131"/>
  <c r="AB45" i="131"/>
  <c r="AB44" i="131"/>
  <c r="AB43" i="131"/>
  <c r="AB42" i="131"/>
  <c r="AB41" i="131"/>
  <c r="AB40" i="131"/>
  <c r="AB39" i="131"/>
  <c r="AB38" i="131"/>
  <c r="AB37" i="131"/>
  <c r="AB36" i="131"/>
  <c r="AB35" i="131"/>
  <c r="AB34" i="131"/>
  <c r="U83" i="131"/>
  <c r="U82" i="131"/>
  <c r="U81" i="131"/>
  <c r="U80" i="131"/>
  <c r="U79" i="131"/>
  <c r="U78" i="131"/>
  <c r="U77" i="131"/>
  <c r="U76" i="131"/>
  <c r="BF76" i="131" s="1"/>
  <c r="BV76" i="131" s="1"/>
  <c r="U75" i="131"/>
  <c r="U74" i="131"/>
  <c r="U73" i="131"/>
  <c r="U72" i="131"/>
  <c r="U71" i="131"/>
  <c r="U70" i="131"/>
  <c r="U69" i="131"/>
  <c r="U68" i="131"/>
  <c r="BF68" i="131" s="1"/>
  <c r="BV68" i="131" s="1"/>
  <c r="U67" i="131"/>
  <c r="U66" i="131"/>
  <c r="U65" i="131"/>
  <c r="U64" i="131"/>
  <c r="U63" i="131"/>
  <c r="U62" i="131"/>
  <c r="U61" i="131"/>
  <c r="U60" i="131"/>
  <c r="BF60" i="131" s="1"/>
  <c r="BV60" i="131" s="1"/>
  <c r="U59" i="131"/>
  <c r="U58" i="131"/>
  <c r="U57" i="131"/>
  <c r="U56" i="131"/>
  <c r="U55" i="131"/>
  <c r="U54" i="131"/>
  <c r="U53" i="131"/>
  <c r="U52" i="131"/>
  <c r="BF52" i="131" s="1"/>
  <c r="BV52" i="131" s="1"/>
  <c r="U51" i="131"/>
  <c r="U50" i="131"/>
  <c r="U49" i="131"/>
  <c r="U48" i="131"/>
  <c r="U47" i="131"/>
  <c r="U46" i="131"/>
  <c r="U45" i="131"/>
  <c r="U44" i="131"/>
  <c r="U43" i="131"/>
  <c r="U42" i="131"/>
  <c r="U41" i="131"/>
  <c r="U40" i="131"/>
  <c r="U39" i="131"/>
  <c r="U38" i="131"/>
  <c r="U37" i="131"/>
  <c r="U36" i="131"/>
  <c r="BF36" i="131" s="1"/>
  <c r="BV36" i="131" s="1"/>
  <c r="U35" i="131"/>
  <c r="U34" i="131"/>
  <c r="L83" i="131" a="1"/>
  <c r="L83" i="131" s="1"/>
  <c r="BU83" i="131" s="1"/>
  <c r="L82" i="131" a="1"/>
  <c r="L82" i="131" s="1"/>
  <c r="L81" i="131" a="1"/>
  <c r="L81" i="131" s="1"/>
  <c r="L80" i="131" a="1"/>
  <c r="L80" i="131" s="1"/>
  <c r="M80" i="131" s="1"/>
  <c r="L79" i="131" a="1"/>
  <c r="L79" i="131" s="1"/>
  <c r="L78" i="131" a="1"/>
  <c r="L78" i="131" s="1"/>
  <c r="L77" i="131" a="1"/>
  <c r="L77" i="131" s="1"/>
  <c r="L76" i="131" a="1"/>
  <c r="L76" i="131" s="1"/>
  <c r="L75" i="131" a="1"/>
  <c r="L75" i="131" s="1"/>
  <c r="L74" i="131" a="1"/>
  <c r="L74" i="131" s="1"/>
  <c r="L73" i="131" a="1"/>
  <c r="L73" i="131" s="1"/>
  <c r="L72" i="131" a="1"/>
  <c r="L72" i="131" s="1"/>
  <c r="L71" i="131" a="1"/>
  <c r="L71" i="131" s="1"/>
  <c r="L70" i="131" a="1"/>
  <c r="L70" i="131" s="1"/>
  <c r="L69" i="131" a="1"/>
  <c r="L69" i="131" s="1"/>
  <c r="L68" i="131" a="1"/>
  <c r="L68" i="131" s="1"/>
  <c r="L67" i="131" a="1"/>
  <c r="L67" i="131" s="1"/>
  <c r="L66" i="131" a="1"/>
  <c r="L66" i="131" s="1"/>
  <c r="L65" i="131" a="1"/>
  <c r="L65" i="131" s="1"/>
  <c r="L64" i="131" a="1"/>
  <c r="L64" i="131" s="1"/>
  <c r="L63" i="131" a="1"/>
  <c r="L63" i="131" s="1"/>
  <c r="L62" i="131" a="1"/>
  <c r="L62" i="131" s="1"/>
  <c r="L61" i="131" a="1"/>
  <c r="L61" i="131" s="1"/>
  <c r="L60" i="131" a="1"/>
  <c r="L60" i="131" s="1"/>
  <c r="L59" i="131" a="1"/>
  <c r="L59" i="131" s="1"/>
  <c r="L58" i="131" a="1"/>
  <c r="L58" i="131" s="1"/>
  <c r="L57" i="131" a="1"/>
  <c r="L57" i="131" s="1"/>
  <c r="L56" i="131" a="1"/>
  <c r="L56" i="131" s="1"/>
  <c r="L55" i="131" a="1"/>
  <c r="L55" i="131" s="1"/>
  <c r="L54" i="131" a="1"/>
  <c r="L54" i="131" s="1"/>
  <c r="O54" i="131" s="1"/>
  <c r="L53" i="131" a="1"/>
  <c r="L53" i="131" s="1"/>
  <c r="L52" i="131" a="1"/>
  <c r="L52" i="131" s="1"/>
  <c r="L51" i="131" a="1"/>
  <c r="L51" i="131" s="1"/>
  <c r="L50" i="131" a="1"/>
  <c r="L50" i="131" s="1"/>
  <c r="L49" i="131" a="1"/>
  <c r="L49" i="131" s="1"/>
  <c r="L48" i="131" a="1"/>
  <c r="L48" i="131" s="1"/>
  <c r="L47" i="131" a="1"/>
  <c r="L47" i="131" s="1"/>
  <c r="L46" i="131" a="1"/>
  <c r="L46" i="131" s="1"/>
  <c r="L45" i="131" a="1"/>
  <c r="L45" i="131" s="1"/>
  <c r="L44" i="131" a="1"/>
  <c r="L44" i="131" s="1"/>
  <c r="L43" i="131" a="1"/>
  <c r="L43" i="131" s="1"/>
  <c r="L42" i="131" a="1"/>
  <c r="L42" i="131" s="1"/>
  <c r="L41" i="131" a="1"/>
  <c r="L41" i="131" s="1"/>
  <c r="L40" i="131" a="1"/>
  <c r="L40" i="131" s="1"/>
  <c r="L39" i="131" a="1"/>
  <c r="L39" i="131" s="1"/>
  <c r="L38" i="131" a="1"/>
  <c r="L38" i="131" s="1"/>
  <c r="L37" i="131" a="1"/>
  <c r="L37" i="131" s="1"/>
  <c r="L36" i="131" a="1"/>
  <c r="L36" i="131" s="1"/>
  <c r="L35" i="131" a="1"/>
  <c r="L35" i="131" s="1"/>
  <c r="L34" i="131" a="1"/>
  <c r="L34" i="131" s="1"/>
  <c r="AW62" i="130"/>
  <c r="AW61" i="130"/>
  <c r="AW60" i="130"/>
  <c r="AW59" i="130"/>
  <c r="AW58" i="130"/>
  <c r="AW57" i="130"/>
  <c r="AW56" i="130"/>
  <c r="AW55" i="130"/>
  <c r="AW54" i="130"/>
  <c r="AW53" i="130"/>
  <c r="AW52" i="130"/>
  <c r="AW51" i="130"/>
  <c r="AW50" i="130"/>
  <c r="AW49" i="130"/>
  <c r="AW48" i="130"/>
  <c r="AW47" i="130"/>
  <c r="AW46" i="130"/>
  <c r="AW45" i="130"/>
  <c r="AW44" i="130"/>
  <c r="AW43" i="130"/>
  <c r="AW42" i="130"/>
  <c r="AW41" i="130"/>
  <c r="AW40" i="130"/>
  <c r="AW39" i="130"/>
  <c r="AW38" i="130"/>
  <c r="AW37" i="130"/>
  <c r="AW36" i="130"/>
  <c r="AW35" i="130"/>
  <c r="AW34" i="130"/>
  <c r="AW33" i="130"/>
  <c r="AW32" i="130"/>
  <c r="AW31" i="130"/>
  <c r="AW30" i="130"/>
  <c r="AW29" i="130"/>
  <c r="AW28" i="130"/>
  <c r="AW27" i="130"/>
  <c r="AW26" i="130"/>
  <c r="AW25" i="130"/>
  <c r="AW24" i="130"/>
  <c r="AW23" i="130"/>
  <c r="AW22" i="130"/>
  <c r="AW21" i="130"/>
  <c r="AW20" i="130"/>
  <c r="AW19" i="130"/>
  <c r="AW18" i="130"/>
  <c r="AW17" i="130"/>
  <c r="AW16" i="130"/>
  <c r="AW15" i="130"/>
  <c r="AW14" i="130"/>
  <c r="AP62" i="130"/>
  <c r="AP61" i="130"/>
  <c r="AP60" i="130"/>
  <c r="AP59" i="130"/>
  <c r="AP58" i="130"/>
  <c r="AP57" i="130"/>
  <c r="AP56" i="130"/>
  <c r="AP55" i="130"/>
  <c r="AP54" i="130"/>
  <c r="AP53" i="130"/>
  <c r="AP52" i="130"/>
  <c r="AP51" i="130"/>
  <c r="AP50" i="130"/>
  <c r="AP49" i="130"/>
  <c r="AP48" i="130"/>
  <c r="AP47" i="130"/>
  <c r="AP46" i="130"/>
  <c r="AP45" i="130"/>
  <c r="AP44" i="130"/>
  <c r="AP43" i="130"/>
  <c r="AP42" i="130"/>
  <c r="AP41" i="130"/>
  <c r="AP40" i="130"/>
  <c r="AP39" i="130"/>
  <c r="AP38" i="130"/>
  <c r="AP37" i="130"/>
  <c r="AP36" i="130"/>
  <c r="AP35" i="130"/>
  <c r="AP34" i="130"/>
  <c r="AP33" i="130"/>
  <c r="AP32" i="130"/>
  <c r="AP31" i="130"/>
  <c r="AP30" i="130"/>
  <c r="AP29" i="130"/>
  <c r="AP28" i="130"/>
  <c r="AP27" i="130"/>
  <c r="AP26" i="130"/>
  <c r="AP25" i="130"/>
  <c r="AP24" i="130"/>
  <c r="AP23" i="130"/>
  <c r="AP22" i="130"/>
  <c r="AP21" i="130"/>
  <c r="AP20" i="130"/>
  <c r="AP19" i="130"/>
  <c r="AP18" i="130"/>
  <c r="AP17" i="130"/>
  <c r="AP16" i="130"/>
  <c r="AP15" i="130"/>
  <c r="AP14" i="130"/>
  <c r="AI62" i="130"/>
  <c r="AI61" i="130"/>
  <c r="AI60" i="130"/>
  <c r="AI59" i="130"/>
  <c r="AI58" i="130"/>
  <c r="AI57" i="130"/>
  <c r="AI56" i="130"/>
  <c r="AI55" i="130"/>
  <c r="AI54" i="130"/>
  <c r="AI53" i="130"/>
  <c r="AI52" i="130"/>
  <c r="AI51" i="130"/>
  <c r="AI50" i="130"/>
  <c r="AI49" i="130"/>
  <c r="AI48" i="130"/>
  <c r="AI47" i="130"/>
  <c r="AI46" i="130"/>
  <c r="AI45" i="130"/>
  <c r="AI44" i="130"/>
  <c r="AI43" i="130"/>
  <c r="AI42" i="130"/>
  <c r="AI41" i="130"/>
  <c r="AI40" i="130"/>
  <c r="AI39" i="130"/>
  <c r="AI38" i="130"/>
  <c r="AI37" i="130"/>
  <c r="AI36" i="130"/>
  <c r="AI35" i="130"/>
  <c r="AI34" i="130"/>
  <c r="AI33" i="130"/>
  <c r="AI32" i="130"/>
  <c r="AI31" i="130"/>
  <c r="AI30" i="130"/>
  <c r="AI29" i="130"/>
  <c r="AI28" i="130"/>
  <c r="AI27" i="130"/>
  <c r="AI26" i="130"/>
  <c r="AI25" i="130"/>
  <c r="AI24" i="130"/>
  <c r="AI23" i="130"/>
  <c r="AI22" i="130"/>
  <c r="AI21" i="130"/>
  <c r="AI20" i="130"/>
  <c r="AI19" i="130"/>
  <c r="AI18" i="130"/>
  <c r="AI17" i="130"/>
  <c r="AI16" i="130"/>
  <c r="AI15" i="130"/>
  <c r="AI14" i="130"/>
  <c r="AB62" i="130"/>
  <c r="AB61" i="130"/>
  <c r="AB60" i="130"/>
  <c r="AB59" i="130"/>
  <c r="AB58" i="130"/>
  <c r="AB57" i="130"/>
  <c r="AB56" i="130"/>
  <c r="AB55" i="130"/>
  <c r="AB54" i="130"/>
  <c r="AB53" i="130"/>
  <c r="AB52" i="130"/>
  <c r="AB51" i="130"/>
  <c r="AB50" i="130"/>
  <c r="AB49" i="130"/>
  <c r="AB48" i="130"/>
  <c r="AB47" i="130"/>
  <c r="AB46" i="130"/>
  <c r="AB45" i="130"/>
  <c r="AB44" i="130"/>
  <c r="AB43" i="130"/>
  <c r="AB42" i="130"/>
  <c r="AB41" i="130"/>
  <c r="AB40" i="130"/>
  <c r="AB39" i="130"/>
  <c r="AB38" i="130"/>
  <c r="AB37" i="130"/>
  <c r="AB36" i="130"/>
  <c r="AB35" i="130"/>
  <c r="AB34" i="130"/>
  <c r="AB33" i="130"/>
  <c r="AB32" i="130"/>
  <c r="AB31" i="130"/>
  <c r="AB30" i="130"/>
  <c r="AB29" i="130"/>
  <c r="AB28" i="130"/>
  <c r="AB27" i="130"/>
  <c r="AB26" i="130"/>
  <c r="AB25" i="130"/>
  <c r="AB24" i="130"/>
  <c r="AB23" i="130"/>
  <c r="AB22" i="130"/>
  <c r="AB21" i="130"/>
  <c r="AB20" i="130"/>
  <c r="AB19" i="130"/>
  <c r="AB18" i="130"/>
  <c r="AB17" i="130"/>
  <c r="AB16" i="130"/>
  <c r="AB15" i="130"/>
  <c r="AB14" i="130"/>
  <c r="U62" i="130"/>
  <c r="U61" i="130"/>
  <c r="U60" i="130"/>
  <c r="U59" i="130"/>
  <c r="U58" i="130"/>
  <c r="U57" i="130"/>
  <c r="U56" i="130"/>
  <c r="U55" i="130"/>
  <c r="U54" i="130"/>
  <c r="U53" i="130"/>
  <c r="U52" i="130"/>
  <c r="U51" i="130"/>
  <c r="U50" i="130"/>
  <c r="U49" i="130"/>
  <c r="U48" i="130"/>
  <c r="U47" i="130"/>
  <c r="U46" i="130"/>
  <c r="U45" i="130"/>
  <c r="U44" i="130"/>
  <c r="U43" i="130"/>
  <c r="U42" i="130"/>
  <c r="U41" i="130"/>
  <c r="U40" i="130"/>
  <c r="U39" i="130"/>
  <c r="U38" i="130"/>
  <c r="U37" i="130"/>
  <c r="U36" i="130"/>
  <c r="U35" i="130"/>
  <c r="U34" i="130"/>
  <c r="U33" i="130"/>
  <c r="U32" i="130"/>
  <c r="U31" i="130"/>
  <c r="U30" i="130"/>
  <c r="U29" i="130"/>
  <c r="U28" i="130"/>
  <c r="U27" i="130"/>
  <c r="U26" i="130"/>
  <c r="U25" i="130"/>
  <c r="U24" i="130"/>
  <c r="U23" i="130"/>
  <c r="U22" i="130"/>
  <c r="U21" i="130"/>
  <c r="U20" i="130"/>
  <c r="U19" i="130"/>
  <c r="U18" i="130"/>
  <c r="U17" i="130"/>
  <c r="U16" i="130"/>
  <c r="U15" i="130"/>
  <c r="U14" i="130"/>
  <c r="L62" i="130" a="1"/>
  <c r="L62" i="130" s="1"/>
  <c r="L61" i="130" a="1"/>
  <c r="L61" i="130" s="1"/>
  <c r="BU61" i="130" s="1"/>
  <c r="L60" i="130" a="1"/>
  <c r="L60" i="130" s="1"/>
  <c r="L59" i="130" a="1"/>
  <c r="L59" i="130" s="1"/>
  <c r="O59" i="130" s="1"/>
  <c r="L58" i="130" a="1"/>
  <c r="L58" i="130" s="1"/>
  <c r="BU58" i="130" s="1"/>
  <c r="L57" i="130" a="1"/>
  <c r="L57" i="130" s="1"/>
  <c r="BU57" i="130" s="1"/>
  <c r="L56" i="130" a="1"/>
  <c r="L56" i="130" s="1"/>
  <c r="BU56" i="130" s="1"/>
  <c r="L55" i="130" a="1"/>
  <c r="L55" i="130" s="1"/>
  <c r="O55" i="130" s="1"/>
  <c r="L54" i="130" a="1"/>
  <c r="L54" i="130" s="1"/>
  <c r="O54" i="130" s="1"/>
  <c r="L53" i="130" a="1"/>
  <c r="L53" i="130" s="1"/>
  <c r="BU53" i="130" s="1"/>
  <c r="L52" i="130" a="1"/>
  <c r="L52" i="130" s="1"/>
  <c r="L51" i="130" a="1"/>
  <c r="L51" i="130" s="1"/>
  <c r="BU51" i="130" s="1"/>
  <c r="L50" i="130" a="1"/>
  <c r="L50" i="130" s="1"/>
  <c r="L49" i="130" a="1"/>
  <c r="L49" i="130" s="1"/>
  <c r="BU49" i="130" s="1"/>
  <c r="L48" i="130" a="1"/>
  <c r="L48" i="130" s="1"/>
  <c r="L47" i="130" a="1"/>
  <c r="L47" i="130" s="1"/>
  <c r="O47" i="130" s="1"/>
  <c r="L46" i="130" a="1"/>
  <c r="L46" i="130" s="1"/>
  <c r="L45" i="130" a="1"/>
  <c r="L45" i="130" s="1"/>
  <c r="BU45" i="130" s="1"/>
  <c r="L44" i="130" a="1"/>
  <c r="L44" i="130" s="1"/>
  <c r="L43" i="130" a="1"/>
  <c r="L43" i="130" s="1"/>
  <c r="O43" i="130" s="1"/>
  <c r="L42" i="130" a="1"/>
  <c r="L42" i="130" s="1"/>
  <c r="BU42" i="130" s="1"/>
  <c r="L41" i="130" a="1"/>
  <c r="L41" i="130" s="1"/>
  <c r="BU41" i="130" s="1"/>
  <c r="L40" i="130" a="1"/>
  <c r="L40" i="130" s="1"/>
  <c r="BU40" i="130" s="1"/>
  <c r="L39" i="130" a="1"/>
  <c r="L39" i="130" s="1"/>
  <c r="O39" i="130" s="1"/>
  <c r="L38" i="130" a="1"/>
  <c r="L38" i="130" s="1"/>
  <c r="O38" i="130" s="1"/>
  <c r="L37" i="130" a="1"/>
  <c r="L37" i="130" s="1"/>
  <c r="BU37" i="130" s="1"/>
  <c r="L36" i="130" a="1"/>
  <c r="L36" i="130" s="1"/>
  <c r="L35" i="130" a="1"/>
  <c r="L35" i="130" s="1"/>
  <c r="BU35" i="130" s="1"/>
  <c r="L34" i="130" a="1"/>
  <c r="L34" i="130" s="1"/>
  <c r="L33" i="130" a="1"/>
  <c r="L33" i="130" s="1"/>
  <c r="BU33" i="130" s="1"/>
  <c r="L32" i="130" a="1"/>
  <c r="L32" i="130" s="1"/>
  <c r="L31" i="130" a="1"/>
  <c r="L31" i="130" s="1"/>
  <c r="O31" i="130" s="1"/>
  <c r="AR31" i="130" s="1"/>
  <c r="L30" i="130" a="1"/>
  <c r="L30" i="130" s="1"/>
  <c r="L29" i="130" a="1"/>
  <c r="L29" i="130" s="1"/>
  <c r="BU29" i="130" s="1"/>
  <c r="L28" i="130" a="1"/>
  <c r="L28" i="130" s="1"/>
  <c r="L27" i="130" a="1"/>
  <c r="L27" i="130" s="1"/>
  <c r="O27" i="130" s="1"/>
  <c r="L26" i="130" a="1"/>
  <c r="L26" i="130" s="1"/>
  <c r="BU26" i="130" s="1"/>
  <c r="L25" i="130" a="1"/>
  <c r="L25" i="130" s="1"/>
  <c r="BU25" i="130" s="1"/>
  <c r="L24" i="130" a="1"/>
  <c r="L24" i="130" s="1"/>
  <c r="BU24" i="130" s="1"/>
  <c r="L23" i="130" a="1"/>
  <c r="L23" i="130" s="1"/>
  <c r="O23" i="130" s="1"/>
  <c r="L22" i="130" a="1"/>
  <c r="L22" i="130" s="1"/>
  <c r="O22" i="130" s="1"/>
  <c r="L21" i="130" a="1"/>
  <c r="L21" i="130" s="1"/>
  <c r="BU21" i="130" s="1"/>
  <c r="L20" i="130" a="1"/>
  <c r="L20" i="130" s="1"/>
  <c r="L19" i="130" a="1"/>
  <c r="L19" i="130" s="1"/>
  <c r="M19" i="130" s="1"/>
  <c r="L18" i="130" a="1"/>
  <c r="L18" i="130" s="1"/>
  <c r="L17" i="130" a="1"/>
  <c r="L17" i="130" s="1"/>
  <c r="BU17" i="130" s="1"/>
  <c r="L16" i="130" a="1"/>
  <c r="L16" i="130" s="1"/>
  <c r="O16" i="130" s="1"/>
  <c r="L15" i="130" a="1"/>
  <c r="L15" i="130" s="1"/>
  <c r="O15" i="130" s="1"/>
  <c r="L14" i="130" a="1"/>
  <c r="L14" i="130" s="1"/>
  <c r="O14" i="130" s="1"/>
  <c r="M74" i="133"/>
  <c r="H74" i="133"/>
  <c r="M73" i="133"/>
  <c r="H73" i="133"/>
  <c r="M72" i="133"/>
  <c r="H72" i="133"/>
  <c r="M71" i="133"/>
  <c r="H71" i="133"/>
  <c r="M70" i="133"/>
  <c r="H70" i="133"/>
  <c r="M69" i="133"/>
  <c r="H69" i="133"/>
  <c r="M68" i="133"/>
  <c r="H68" i="133"/>
  <c r="M67" i="133"/>
  <c r="H67" i="133"/>
  <c r="M66" i="133"/>
  <c r="H66" i="133"/>
  <c r="M65" i="133"/>
  <c r="H65" i="133"/>
  <c r="M64" i="133"/>
  <c r="H64" i="133"/>
  <c r="M63" i="133"/>
  <c r="H63" i="133"/>
  <c r="M62" i="133"/>
  <c r="H62" i="133"/>
  <c r="M61" i="133"/>
  <c r="H61" i="133"/>
  <c r="M60" i="133"/>
  <c r="H60" i="133"/>
  <c r="M59" i="133"/>
  <c r="H59" i="133"/>
  <c r="M58" i="133"/>
  <c r="H58" i="133"/>
  <c r="M57" i="133"/>
  <c r="H57" i="133"/>
  <c r="M56" i="133"/>
  <c r="H56" i="133"/>
  <c r="M55" i="133"/>
  <c r="H55" i="133"/>
  <c r="M54" i="133"/>
  <c r="H54" i="133"/>
  <c r="M53" i="133"/>
  <c r="H53" i="133"/>
  <c r="M52" i="133"/>
  <c r="H52" i="133"/>
  <c r="M51" i="133"/>
  <c r="H51" i="133"/>
  <c r="M50" i="133"/>
  <c r="H50" i="133"/>
  <c r="M49" i="133"/>
  <c r="H49" i="133"/>
  <c r="M48" i="133"/>
  <c r="H48" i="133"/>
  <c r="M47" i="133"/>
  <c r="H47" i="133"/>
  <c r="M46" i="133"/>
  <c r="H46" i="133"/>
  <c r="M45" i="133"/>
  <c r="H45" i="133"/>
  <c r="M44" i="133"/>
  <c r="H44" i="133"/>
  <c r="M43" i="133"/>
  <c r="H43" i="133"/>
  <c r="M42" i="133"/>
  <c r="H42" i="133"/>
  <c r="M41" i="133"/>
  <c r="H41" i="133"/>
  <c r="M40" i="133"/>
  <c r="H40" i="133"/>
  <c r="M39" i="133"/>
  <c r="H39" i="133"/>
  <c r="M38" i="133"/>
  <c r="H38" i="133"/>
  <c r="M37" i="133"/>
  <c r="H37" i="133"/>
  <c r="M36" i="133"/>
  <c r="H36" i="133"/>
  <c r="M35" i="133"/>
  <c r="H35" i="133"/>
  <c r="M34" i="133"/>
  <c r="H34" i="133"/>
  <c r="M33" i="133"/>
  <c r="H33" i="133"/>
  <c r="M32" i="133"/>
  <c r="H32" i="133"/>
  <c r="M31" i="133"/>
  <c r="H31" i="133"/>
  <c r="M30" i="133"/>
  <c r="H30" i="133"/>
  <c r="M29" i="133"/>
  <c r="H29" i="133"/>
  <c r="M28" i="133"/>
  <c r="H28" i="133"/>
  <c r="M27" i="133"/>
  <c r="H27" i="133"/>
  <c r="M26" i="133"/>
  <c r="H26" i="133"/>
  <c r="M25" i="133"/>
  <c r="H25" i="133"/>
  <c r="M24" i="133"/>
  <c r="H24" i="133"/>
  <c r="M23" i="133"/>
  <c r="H23" i="133"/>
  <c r="M22" i="133"/>
  <c r="H22" i="133"/>
  <c r="M21" i="133"/>
  <c r="H21" i="133"/>
  <c r="M20" i="133"/>
  <c r="H20" i="133"/>
  <c r="M19" i="133"/>
  <c r="H19" i="133"/>
  <c r="M18" i="133"/>
  <c r="H18" i="133"/>
  <c r="M17" i="133"/>
  <c r="H17" i="133"/>
  <c r="M16" i="133"/>
  <c r="H16" i="133"/>
  <c r="M15" i="133"/>
  <c r="H15" i="133"/>
  <c r="M14" i="133"/>
  <c r="H14" i="133"/>
  <c r="M13" i="133"/>
  <c r="H13" i="133"/>
  <c r="M12" i="133"/>
  <c r="H12" i="133"/>
  <c r="M11" i="133"/>
  <c r="H11" i="133"/>
  <c r="M10" i="133"/>
  <c r="H10" i="133"/>
  <c r="M9" i="133"/>
  <c r="H9" i="133"/>
  <c r="H8" i="133"/>
  <c r="M7" i="133"/>
  <c r="H7" i="133"/>
  <c r="M6" i="133"/>
  <c r="H6" i="133"/>
  <c r="P23" i="130" l="1"/>
  <c r="V23" i="130" s="1"/>
  <c r="AK23" i="130"/>
  <c r="AD23" i="130"/>
  <c r="AR23" i="130"/>
  <c r="P15" i="130"/>
  <c r="V15" i="130" s="1"/>
  <c r="AR15" i="130"/>
  <c r="AX15" i="130" s="1"/>
  <c r="AD15" i="130"/>
  <c r="AJ15" i="130" s="1"/>
  <c r="AK15" i="130"/>
  <c r="AQ15" i="130" s="1"/>
  <c r="AK14" i="130"/>
  <c r="AQ14" i="130" s="1"/>
  <c r="AR14" i="130"/>
  <c r="AX14" i="130" s="1"/>
  <c r="P14" i="130"/>
  <c r="V14" i="130" s="1"/>
  <c r="AD14" i="130"/>
  <c r="AJ14" i="130" s="1"/>
  <c r="AK22" i="130"/>
  <c r="AR22" i="130"/>
  <c r="P22" i="130"/>
  <c r="AD22" i="130"/>
  <c r="P16" i="130"/>
  <c r="V16" i="130" s="1"/>
  <c r="AK16" i="130"/>
  <c r="AQ16" i="130" s="1"/>
  <c r="AD16" i="130"/>
  <c r="AJ16" i="130" s="1"/>
  <c r="AR16" i="130"/>
  <c r="AX16" i="130" s="1"/>
  <c r="AR54" i="131"/>
  <c r="AX54" i="131" s="1"/>
  <c r="AD54" i="131"/>
  <c r="AJ54" i="131" s="1"/>
  <c r="AK54" i="131"/>
  <c r="AQ54" i="131" s="1"/>
  <c r="W54" i="131"/>
  <c r="AC54" i="131" s="1"/>
  <c r="P54" i="131"/>
  <c r="V54" i="131" s="1"/>
  <c r="BF277" i="131"/>
  <c r="BV277" i="131" s="1"/>
  <c r="BF285" i="131"/>
  <c r="BV285" i="131" s="1"/>
  <c r="BF293" i="131"/>
  <c r="BV293" i="131" s="1"/>
  <c r="BF301" i="131"/>
  <c r="BV301" i="131" s="1"/>
  <c r="BF309" i="131"/>
  <c r="BV309" i="131" s="1"/>
  <c r="BF317" i="131"/>
  <c r="BV317" i="131" s="1"/>
  <c r="BF325" i="131"/>
  <c r="BV325" i="131" s="1"/>
  <c r="BF278" i="131"/>
  <c r="BV278" i="131" s="1"/>
  <c r="BF286" i="131"/>
  <c r="BV286" i="131" s="1"/>
  <c r="BF294" i="131"/>
  <c r="BV294" i="131" s="1"/>
  <c r="BF302" i="131"/>
  <c r="BV302" i="131" s="1"/>
  <c r="BF310" i="131"/>
  <c r="BV310" i="131" s="1"/>
  <c r="BF318" i="131"/>
  <c r="BV318" i="131" s="1"/>
  <c r="BF326" i="131"/>
  <c r="BV326" i="131" s="1"/>
  <c r="BF280" i="131"/>
  <c r="BV280" i="131" s="1"/>
  <c r="BF288" i="131"/>
  <c r="BV288" i="131" s="1"/>
  <c r="BF296" i="131"/>
  <c r="BV296" i="131" s="1"/>
  <c r="BF304" i="131"/>
  <c r="BV304" i="131" s="1"/>
  <c r="BF312" i="131"/>
  <c r="BV312" i="131" s="1"/>
  <c r="BF320" i="131"/>
  <c r="BV320" i="131" s="1"/>
  <c r="BF142" i="131"/>
  <c r="BV142" i="131" s="1"/>
  <c r="BF150" i="131"/>
  <c r="BV150" i="131" s="1"/>
  <c r="BF158" i="131"/>
  <c r="BV158" i="131" s="1"/>
  <c r="BF143" i="131"/>
  <c r="BV143" i="131" s="1"/>
  <c r="BF151" i="131"/>
  <c r="BV151" i="131" s="1"/>
  <c r="BF159" i="131"/>
  <c r="BV159" i="131" s="1"/>
  <c r="BF39" i="131"/>
  <c r="BV39" i="131" s="1"/>
  <c r="BF47" i="131"/>
  <c r="BV47" i="131" s="1"/>
  <c r="BF55" i="131"/>
  <c r="BV55" i="131" s="1"/>
  <c r="BF63" i="131"/>
  <c r="BV63" i="131" s="1"/>
  <c r="BF71" i="131"/>
  <c r="BV71" i="131" s="1"/>
  <c r="BF79" i="131"/>
  <c r="BV79" i="131" s="1"/>
  <c r="BF35" i="131"/>
  <c r="BV35" i="131" s="1"/>
  <c r="BF43" i="131"/>
  <c r="BV43" i="131" s="1"/>
  <c r="BF51" i="131"/>
  <c r="BV51" i="131" s="1"/>
  <c r="BF59" i="131"/>
  <c r="BV59" i="131" s="1"/>
  <c r="BF67" i="131"/>
  <c r="BV67" i="131" s="1"/>
  <c r="BF75" i="131"/>
  <c r="BV75" i="131" s="1"/>
  <c r="BF37" i="131"/>
  <c r="BV37" i="131" s="1"/>
  <c r="BF45" i="131"/>
  <c r="BV45" i="131" s="1"/>
  <c r="BF53" i="131"/>
  <c r="BV53" i="131" s="1"/>
  <c r="BF61" i="131"/>
  <c r="BV61" i="131" s="1"/>
  <c r="BF69" i="131"/>
  <c r="BV69" i="131" s="1"/>
  <c r="BF77" i="131"/>
  <c r="BV77" i="131" s="1"/>
  <c r="AC15" i="130"/>
  <c r="AC14" i="130"/>
  <c r="AX31" i="130"/>
  <c r="BF56" i="130"/>
  <c r="BV56" i="130" s="1"/>
  <c r="BF57" i="130"/>
  <c r="BV57" i="130" s="1"/>
  <c r="BF19" i="130"/>
  <c r="BV19" i="130" s="1"/>
  <c r="BF27" i="130"/>
  <c r="BV27" i="130" s="1"/>
  <c r="BF35" i="130"/>
  <c r="BV35" i="130" s="1"/>
  <c r="BF43" i="130"/>
  <c r="BV43" i="130" s="1"/>
  <c r="BF51" i="130"/>
  <c r="BV51" i="130" s="1"/>
  <c r="BF59" i="130"/>
  <c r="BV59" i="130" s="1"/>
  <c r="BF32" i="130"/>
  <c r="BV32" i="130" s="1"/>
  <c r="BF48" i="130"/>
  <c r="BV48" i="130" s="1"/>
  <c r="BF25" i="130"/>
  <c r="BV25" i="130" s="1"/>
  <c r="BF49" i="130"/>
  <c r="BV49" i="130" s="1"/>
  <c r="BF24" i="130"/>
  <c r="BV24" i="130" s="1"/>
  <c r="BF33" i="130"/>
  <c r="BV33" i="130" s="1"/>
  <c r="BF40" i="130"/>
  <c r="BV40" i="130" s="1"/>
  <c r="BF41" i="130"/>
  <c r="BV41" i="130" s="1"/>
  <c r="N43" i="130"/>
  <c r="N59" i="130"/>
  <c r="N38" i="130"/>
  <c r="N54" i="130"/>
  <c r="N31" i="130"/>
  <c r="N39" i="130"/>
  <c r="N47" i="130"/>
  <c r="N55" i="130"/>
  <c r="N15" i="130"/>
  <c r="N14" i="130"/>
  <c r="N16" i="130"/>
  <c r="AC16" i="130"/>
  <c r="P27" i="130"/>
  <c r="V27" i="130" s="1"/>
  <c r="N27" i="130"/>
  <c r="V22" i="130"/>
  <c r="N22" i="130"/>
  <c r="N23" i="130"/>
  <c r="N54" i="131"/>
  <c r="BF16" i="130"/>
  <c r="BV16" i="130" s="1"/>
  <c r="BF18" i="130"/>
  <c r="BV18" i="130" s="1"/>
  <c r="BF26" i="130"/>
  <c r="BV26" i="130" s="1"/>
  <c r="BF34" i="130"/>
  <c r="BV34" i="130" s="1"/>
  <c r="BF42" i="130"/>
  <c r="BV42" i="130" s="1"/>
  <c r="BF50" i="130"/>
  <c r="BV50" i="130" s="1"/>
  <c r="BF58" i="130"/>
  <c r="BV58" i="130" s="1"/>
  <c r="BF20" i="130"/>
  <c r="BV20" i="130" s="1"/>
  <c r="BF28" i="130"/>
  <c r="BV28" i="130" s="1"/>
  <c r="BF36" i="130"/>
  <c r="BV36" i="130" s="1"/>
  <c r="BF44" i="130"/>
  <c r="BV44" i="130" s="1"/>
  <c r="BF52" i="130"/>
  <c r="BV52" i="130" s="1"/>
  <c r="BF60" i="130"/>
  <c r="BV60" i="130" s="1"/>
  <c r="BF21" i="130"/>
  <c r="BV21" i="130" s="1"/>
  <c r="BF29" i="130"/>
  <c r="BV29" i="130" s="1"/>
  <c r="BF37" i="130"/>
  <c r="BV37" i="130" s="1"/>
  <c r="BF45" i="130"/>
  <c r="BV45" i="130" s="1"/>
  <c r="BF53" i="130"/>
  <c r="BV53" i="130" s="1"/>
  <c r="BF61" i="130"/>
  <c r="BV61" i="130" s="1"/>
  <c r="BF17" i="130"/>
  <c r="BV17" i="130" s="1"/>
  <c r="BF22" i="130"/>
  <c r="BV22" i="130" s="1"/>
  <c r="BF30" i="130"/>
  <c r="BV30" i="130" s="1"/>
  <c r="BF38" i="130"/>
  <c r="BV38" i="130" s="1"/>
  <c r="BF46" i="130"/>
  <c r="BV46" i="130" s="1"/>
  <c r="BF54" i="130"/>
  <c r="BV54" i="130" s="1"/>
  <c r="BF62" i="130"/>
  <c r="BV62" i="130" s="1"/>
  <c r="BF15" i="130"/>
  <c r="BV15" i="130" s="1"/>
  <c r="BF23" i="130"/>
  <c r="BV23" i="130" s="1"/>
  <c r="BF31" i="130"/>
  <c r="BV31" i="130" s="1"/>
  <c r="BF39" i="130"/>
  <c r="BV39" i="130" s="1"/>
  <c r="BF47" i="130"/>
  <c r="BV47" i="130" s="1"/>
  <c r="BF55" i="130"/>
  <c r="BV55" i="130" s="1"/>
  <c r="M39" i="130"/>
  <c r="M27" i="130"/>
  <c r="BU27" i="130"/>
  <c r="BU43" i="130"/>
  <c r="BU50" i="130"/>
  <c r="O50" i="130"/>
  <c r="M50" i="130"/>
  <c r="M15" i="130"/>
  <c r="M55" i="130"/>
  <c r="BU31" i="130"/>
  <c r="M23" i="130"/>
  <c r="M59" i="130"/>
  <c r="BU39" i="130"/>
  <c r="M31" i="130"/>
  <c r="BU47" i="130"/>
  <c r="M43" i="130"/>
  <c r="BU15" i="130"/>
  <c r="BU55" i="130"/>
  <c r="M47" i="130"/>
  <c r="BU23" i="130"/>
  <c r="BU59" i="130"/>
  <c r="BU16" i="130"/>
  <c r="M16" i="130"/>
  <c r="O30" i="130"/>
  <c r="BU30" i="130"/>
  <c r="M30" i="130"/>
  <c r="BU34" i="130"/>
  <c r="M34" i="130"/>
  <c r="O34" i="130"/>
  <c r="O52" i="130"/>
  <c r="BU52" i="130"/>
  <c r="M52" i="130"/>
  <c r="BU18" i="130"/>
  <c r="M18" i="130"/>
  <c r="O18" i="130"/>
  <c r="BU44" i="130"/>
  <c r="M44" i="130"/>
  <c r="O44" i="130"/>
  <c r="BU32" i="130"/>
  <c r="M32" i="130"/>
  <c r="O32" i="130"/>
  <c r="BU20" i="130"/>
  <c r="M20" i="130"/>
  <c r="O20" i="130"/>
  <c r="O46" i="130"/>
  <c r="BU46" i="130"/>
  <c r="M46" i="130"/>
  <c r="BU60" i="130"/>
  <c r="M60" i="130"/>
  <c r="O60" i="130"/>
  <c r="BU48" i="130"/>
  <c r="M48" i="130"/>
  <c r="O48" i="130"/>
  <c r="O28" i="130"/>
  <c r="BU28" i="130"/>
  <c r="M28" i="130"/>
  <c r="BU36" i="130"/>
  <c r="M36" i="130"/>
  <c r="O36" i="130"/>
  <c r="M22" i="130"/>
  <c r="M38" i="130"/>
  <c r="M54" i="130"/>
  <c r="BU22" i="130"/>
  <c r="BU38" i="130"/>
  <c r="BU54" i="130"/>
  <c r="BU142" i="131"/>
  <c r="O142" i="131"/>
  <c r="M142" i="131"/>
  <c r="BU150" i="131"/>
  <c r="O150" i="131"/>
  <c r="M150" i="131"/>
  <c r="BU158" i="131"/>
  <c r="O158" i="131"/>
  <c r="M158" i="131"/>
  <c r="BU198" i="131"/>
  <c r="M198" i="131"/>
  <c r="BU206" i="131"/>
  <c r="M206" i="131"/>
  <c r="BU214" i="131"/>
  <c r="M214" i="131"/>
  <c r="BU199" i="131"/>
  <c r="M199" i="131"/>
  <c r="BU207" i="131"/>
  <c r="M207" i="131"/>
  <c r="BU215" i="131"/>
  <c r="M215" i="131"/>
  <c r="O24" i="130"/>
  <c r="O40" i="130"/>
  <c r="O56" i="130"/>
  <c r="M24" i="130"/>
  <c r="M40" i="130"/>
  <c r="M56" i="130"/>
  <c r="O17" i="130"/>
  <c r="O25" i="130"/>
  <c r="AD25" i="130" s="1"/>
  <c r="O33" i="130"/>
  <c r="O41" i="130"/>
  <c r="O49" i="130"/>
  <c r="O57" i="130"/>
  <c r="BU144" i="131"/>
  <c r="M144" i="131"/>
  <c r="O144" i="131"/>
  <c r="BU152" i="131"/>
  <c r="M152" i="131"/>
  <c r="O152" i="131"/>
  <c r="BU160" i="131"/>
  <c r="M160" i="131"/>
  <c r="O160" i="131"/>
  <c r="BU200" i="131"/>
  <c r="M200" i="131"/>
  <c r="BU208" i="131"/>
  <c r="M208" i="131"/>
  <c r="BU216" i="131"/>
  <c r="M216" i="131"/>
  <c r="BU201" i="131"/>
  <c r="M201" i="131"/>
  <c r="BU209" i="131"/>
  <c r="M209" i="131"/>
  <c r="BU217" i="131"/>
  <c r="M217" i="131"/>
  <c r="BU151" i="131"/>
  <c r="O151" i="131"/>
  <c r="M151" i="131"/>
  <c r="M17" i="130"/>
  <c r="M25" i="130"/>
  <c r="M33" i="130"/>
  <c r="M41" i="130"/>
  <c r="M49" i="130"/>
  <c r="M57" i="130"/>
  <c r="O26" i="130"/>
  <c r="O42" i="130"/>
  <c r="O58" i="130"/>
  <c r="BU145" i="131"/>
  <c r="M145" i="131"/>
  <c r="O145" i="131"/>
  <c r="BU153" i="131"/>
  <c r="M153" i="131"/>
  <c r="O153" i="131"/>
  <c r="M26" i="130"/>
  <c r="M42" i="130"/>
  <c r="M58" i="130"/>
  <c r="O19" i="130"/>
  <c r="O35" i="130"/>
  <c r="O51" i="130"/>
  <c r="BU146" i="131"/>
  <c r="M146" i="131"/>
  <c r="O146" i="131"/>
  <c r="BU154" i="131"/>
  <c r="M154" i="131"/>
  <c r="O154" i="131"/>
  <c r="BU162" i="131"/>
  <c r="M162" i="131"/>
  <c r="O162" i="131"/>
  <c r="BU194" i="131"/>
  <c r="M194" i="131"/>
  <c r="BU202" i="131"/>
  <c r="M202" i="131"/>
  <c r="BU210" i="131"/>
  <c r="M210" i="131"/>
  <c r="BU218" i="131"/>
  <c r="M218" i="131"/>
  <c r="BU211" i="131"/>
  <c r="M211" i="131"/>
  <c r="BU143" i="131"/>
  <c r="O143" i="131"/>
  <c r="M143" i="131"/>
  <c r="M35" i="130"/>
  <c r="BU19" i="130"/>
  <c r="BU155" i="131"/>
  <c r="M155" i="131"/>
  <c r="O155" i="131"/>
  <c r="BU195" i="131"/>
  <c r="M195" i="131"/>
  <c r="O21" i="130"/>
  <c r="O29" i="130"/>
  <c r="O37" i="130"/>
  <c r="O45" i="130"/>
  <c r="O53" i="130"/>
  <c r="O61" i="130"/>
  <c r="BU140" i="131"/>
  <c r="M140" i="131"/>
  <c r="O140" i="131"/>
  <c r="BU148" i="131"/>
  <c r="M148" i="131"/>
  <c r="O148" i="131"/>
  <c r="BU156" i="131"/>
  <c r="M156" i="131"/>
  <c r="O156" i="131"/>
  <c r="BU164" i="131"/>
  <c r="M164" i="131"/>
  <c r="O164" i="131"/>
  <c r="BU159" i="131"/>
  <c r="O159" i="131"/>
  <c r="M159" i="131"/>
  <c r="M51" i="130"/>
  <c r="BU147" i="131"/>
  <c r="M147" i="131"/>
  <c r="O147" i="131"/>
  <c r="BU163" i="131"/>
  <c r="M163" i="131"/>
  <c r="O163" i="131"/>
  <c r="M21" i="130"/>
  <c r="M29" i="130"/>
  <c r="M37" i="130"/>
  <c r="M45" i="130"/>
  <c r="M53" i="130"/>
  <c r="M61" i="130"/>
  <c r="BU141" i="131"/>
  <c r="M141" i="131"/>
  <c r="O141" i="131"/>
  <c r="BU149" i="131"/>
  <c r="M149" i="131"/>
  <c r="O149" i="131"/>
  <c r="BU157" i="131"/>
  <c r="M157" i="131"/>
  <c r="O157" i="131"/>
  <c r="BU161" i="131"/>
  <c r="M161" i="131"/>
  <c r="O161" i="131"/>
  <c r="BU203" i="131"/>
  <c r="M203" i="131"/>
  <c r="BF44" i="131"/>
  <c r="BV44" i="131" s="1"/>
  <c r="BF14" i="130"/>
  <c r="BV14" i="130" s="1"/>
  <c r="BU62" i="130"/>
  <c r="O62" i="130"/>
  <c r="M62" i="130"/>
  <c r="BU14" i="130"/>
  <c r="M14" i="130"/>
  <c r="O280" i="131"/>
  <c r="BU280" i="131"/>
  <c r="O288" i="131"/>
  <c r="BU288" i="131"/>
  <c r="M296" i="131"/>
  <c r="BU296" i="131"/>
  <c r="M304" i="131"/>
  <c r="BU304" i="131"/>
  <c r="O312" i="131"/>
  <c r="BU312" i="131"/>
  <c r="O320" i="131"/>
  <c r="BU320" i="131"/>
  <c r="BF38" i="131"/>
  <c r="BV38" i="131" s="1"/>
  <c r="BF46" i="131"/>
  <c r="BV46" i="131" s="1"/>
  <c r="BF54" i="131"/>
  <c r="BV54" i="131" s="1"/>
  <c r="BF62" i="131"/>
  <c r="BV62" i="131" s="1"/>
  <c r="BF70" i="131"/>
  <c r="BV70" i="131" s="1"/>
  <c r="BF78" i="131"/>
  <c r="BV78" i="131" s="1"/>
  <c r="BF144" i="131"/>
  <c r="BV144" i="131" s="1"/>
  <c r="BF152" i="131"/>
  <c r="BV152" i="131" s="1"/>
  <c r="BF160" i="131"/>
  <c r="BV160" i="131" s="1"/>
  <c r="O281" i="131"/>
  <c r="BU281" i="131"/>
  <c r="O289" i="131"/>
  <c r="BU289" i="131"/>
  <c r="O297" i="131"/>
  <c r="BU297" i="131"/>
  <c r="O305" i="131"/>
  <c r="BU305" i="131"/>
  <c r="O313" i="131"/>
  <c r="BU313" i="131"/>
  <c r="O321" i="131"/>
  <c r="BU321" i="131"/>
  <c r="BF279" i="131"/>
  <c r="BV279" i="131" s="1"/>
  <c r="BF287" i="131"/>
  <c r="BV287" i="131" s="1"/>
  <c r="BF295" i="131"/>
  <c r="BV295" i="131" s="1"/>
  <c r="BF303" i="131"/>
  <c r="BV303" i="131" s="1"/>
  <c r="BF311" i="131"/>
  <c r="BV311" i="131" s="1"/>
  <c r="BF319" i="131"/>
  <c r="BV319" i="131" s="1"/>
  <c r="BF145" i="131"/>
  <c r="BV145" i="131" s="1"/>
  <c r="BF153" i="131"/>
  <c r="BV153" i="131" s="1"/>
  <c r="BF161" i="131"/>
  <c r="BV161" i="131" s="1"/>
  <c r="M282" i="131"/>
  <c r="BU282" i="131"/>
  <c r="M290" i="131"/>
  <c r="BU290" i="131"/>
  <c r="M298" i="131"/>
  <c r="BU298" i="131"/>
  <c r="O306" i="131"/>
  <c r="BU306" i="131"/>
  <c r="O314" i="131"/>
  <c r="BU314" i="131"/>
  <c r="O322" i="131"/>
  <c r="BU322" i="131"/>
  <c r="BF40" i="131"/>
  <c r="BV40" i="131" s="1"/>
  <c r="BF48" i="131"/>
  <c r="BV48" i="131" s="1"/>
  <c r="BF56" i="131"/>
  <c r="BV56" i="131" s="1"/>
  <c r="BF64" i="131"/>
  <c r="BV64" i="131" s="1"/>
  <c r="BF72" i="131"/>
  <c r="BV72" i="131" s="1"/>
  <c r="BF80" i="131"/>
  <c r="BV80" i="131" s="1"/>
  <c r="M283" i="131"/>
  <c r="BU283" i="131"/>
  <c r="M291" i="131"/>
  <c r="BU291" i="131"/>
  <c r="M299" i="131"/>
  <c r="BU299" i="131"/>
  <c r="M307" i="131"/>
  <c r="BU307" i="131"/>
  <c r="M315" i="131"/>
  <c r="BU315" i="131"/>
  <c r="M323" i="131"/>
  <c r="BU323" i="131"/>
  <c r="BF281" i="131"/>
  <c r="BV281" i="131" s="1"/>
  <c r="BF289" i="131"/>
  <c r="BV289" i="131" s="1"/>
  <c r="BF297" i="131"/>
  <c r="BV297" i="131" s="1"/>
  <c r="BF305" i="131"/>
  <c r="BV305" i="131" s="1"/>
  <c r="BF313" i="131"/>
  <c r="BV313" i="131" s="1"/>
  <c r="BF321" i="131"/>
  <c r="BV321" i="131" s="1"/>
  <c r="BF41" i="131"/>
  <c r="BV41" i="131" s="1"/>
  <c r="BF49" i="131"/>
  <c r="BV49" i="131" s="1"/>
  <c r="BF57" i="131"/>
  <c r="BV57" i="131" s="1"/>
  <c r="BF65" i="131"/>
  <c r="BV65" i="131" s="1"/>
  <c r="BF73" i="131"/>
  <c r="BV73" i="131" s="1"/>
  <c r="BF81" i="131"/>
  <c r="BV81" i="131" s="1"/>
  <c r="BF198" i="131"/>
  <c r="BV198" i="131" s="1"/>
  <c r="BF206" i="131"/>
  <c r="BV206" i="131" s="1"/>
  <c r="BF214" i="131"/>
  <c r="BV214" i="131" s="1"/>
  <c r="O284" i="131"/>
  <c r="BU284" i="131"/>
  <c r="O292" i="131"/>
  <c r="BU292" i="131"/>
  <c r="O300" i="131"/>
  <c r="BU300" i="131"/>
  <c r="O308" i="131"/>
  <c r="BU308" i="131"/>
  <c r="O316" i="131"/>
  <c r="BU316" i="131"/>
  <c r="O324" i="131"/>
  <c r="BU324" i="131"/>
  <c r="BF314" i="131"/>
  <c r="BV314" i="131" s="1"/>
  <c r="BF322" i="131"/>
  <c r="BV322" i="131" s="1"/>
  <c r="BF34" i="131"/>
  <c r="BV34" i="131" s="1"/>
  <c r="BF42" i="131"/>
  <c r="BV42" i="131" s="1"/>
  <c r="BF50" i="131"/>
  <c r="BV50" i="131" s="1"/>
  <c r="BF58" i="131"/>
  <c r="BV58" i="131" s="1"/>
  <c r="BF66" i="131"/>
  <c r="BV66" i="131" s="1"/>
  <c r="BF74" i="131"/>
  <c r="BV74" i="131" s="1"/>
  <c r="BF82" i="131"/>
  <c r="BV82" i="131" s="1"/>
  <c r="O277" i="131"/>
  <c r="BU277" i="131"/>
  <c r="O285" i="131"/>
  <c r="BU285" i="131"/>
  <c r="O293" i="131"/>
  <c r="BU293" i="131"/>
  <c r="O301" i="131"/>
  <c r="BU301" i="131"/>
  <c r="O309" i="131"/>
  <c r="BU309" i="131"/>
  <c r="O317" i="131"/>
  <c r="BU317" i="131"/>
  <c r="O325" i="131"/>
  <c r="BU325" i="131"/>
  <c r="BF283" i="131"/>
  <c r="BV283" i="131" s="1"/>
  <c r="BF291" i="131"/>
  <c r="BV291" i="131" s="1"/>
  <c r="BF299" i="131"/>
  <c r="BV299" i="131" s="1"/>
  <c r="BF307" i="131"/>
  <c r="BV307" i="131" s="1"/>
  <c r="BF315" i="131"/>
  <c r="BV315" i="131" s="1"/>
  <c r="BF323" i="131"/>
  <c r="BV323" i="131" s="1"/>
  <c r="BF200" i="131"/>
  <c r="BV200" i="131" s="1"/>
  <c r="BF208" i="131"/>
  <c r="BV208" i="131" s="1"/>
  <c r="BF216" i="131"/>
  <c r="BV216" i="131" s="1"/>
  <c r="BF284" i="131"/>
  <c r="BV284" i="131" s="1"/>
  <c r="BF292" i="131"/>
  <c r="BV292" i="131" s="1"/>
  <c r="BF300" i="131"/>
  <c r="BV300" i="131" s="1"/>
  <c r="BF308" i="131"/>
  <c r="BV308" i="131" s="1"/>
  <c r="BF316" i="131"/>
  <c r="BV316" i="131" s="1"/>
  <c r="BF324" i="131"/>
  <c r="BV324" i="131" s="1"/>
  <c r="M284" i="131"/>
  <c r="M313" i="131"/>
  <c r="M288" i="131"/>
  <c r="M316" i="131"/>
  <c r="M292" i="131"/>
  <c r="M322" i="131"/>
  <c r="M297" i="131"/>
  <c r="M300" i="131"/>
  <c r="O282" i="131"/>
  <c r="M306" i="131"/>
  <c r="M308" i="131"/>
  <c r="O298" i="131"/>
  <c r="M309" i="131"/>
  <c r="O304" i="131"/>
  <c r="M285" i="131"/>
  <c r="M312" i="131"/>
  <c r="M325" i="131"/>
  <c r="O283" i="131"/>
  <c r="O323" i="131"/>
  <c r="O208" i="131"/>
  <c r="O307" i="131"/>
  <c r="O207" i="131"/>
  <c r="M289" i="131"/>
  <c r="M301" i="131"/>
  <c r="M314" i="131"/>
  <c r="O290" i="131"/>
  <c r="M277" i="131"/>
  <c r="O291" i="131"/>
  <c r="M280" i="131"/>
  <c r="M305" i="131"/>
  <c r="M317" i="131"/>
  <c r="O296" i="131"/>
  <c r="O315" i="131"/>
  <c r="M281" i="131"/>
  <c r="M293" i="131"/>
  <c r="M320" i="131"/>
  <c r="O203" i="131"/>
  <c r="M321" i="131"/>
  <c r="O299" i="131"/>
  <c r="O214" i="131"/>
  <c r="O199" i="131"/>
  <c r="O215" i="131"/>
  <c r="O200" i="131"/>
  <c r="O216" i="131"/>
  <c r="O202" i="131"/>
  <c r="M324" i="131"/>
  <c r="O206" i="131"/>
  <c r="O278" i="131"/>
  <c r="M278" i="131"/>
  <c r="O286" i="131"/>
  <c r="M286" i="131"/>
  <c r="O294" i="131"/>
  <c r="M294" i="131"/>
  <c r="O302" i="131"/>
  <c r="M302" i="131"/>
  <c r="O310" i="131"/>
  <c r="M310" i="131"/>
  <c r="O318" i="131"/>
  <c r="M318" i="131"/>
  <c r="O326" i="131"/>
  <c r="M326" i="131"/>
  <c r="O279" i="131"/>
  <c r="M279" i="131"/>
  <c r="O287" i="131"/>
  <c r="M287" i="131"/>
  <c r="O295" i="131"/>
  <c r="M295" i="131"/>
  <c r="O303" i="131"/>
  <c r="M303" i="131"/>
  <c r="O311" i="131"/>
  <c r="M311" i="131"/>
  <c r="O319" i="131"/>
  <c r="M319" i="131"/>
  <c r="BU196" i="131"/>
  <c r="O196" i="131"/>
  <c r="BU204" i="131"/>
  <c r="O204" i="131"/>
  <c r="BU212" i="131"/>
  <c r="O212" i="131"/>
  <c r="O195" i="131"/>
  <c r="O217" i="131"/>
  <c r="BU197" i="131"/>
  <c r="O197" i="131"/>
  <c r="BU205" i="131"/>
  <c r="O205" i="131"/>
  <c r="BU213" i="131"/>
  <c r="O213" i="131"/>
  <c r="O198" i="131"/>
  <c r="O218" i="131"/>
  <c r="O209" i="131"/>
  <c r="O219" i="131"/>
  <c r="O194" i="131"/>
  <c r="O210" i="131"/>
  <c r="O201" i="131"/>
  <c r="O211" i="131"/>
  <c r="O47" i="131"/>
  <c r="BU47" i="131"/>
  <c r="O79" i="131"/>
  <c r="BU79" i="131"/>
  <c r="O40" i="131"/>
  <c r="BU40" i="131"/>
  <c r="O48" i="131"/>
  <c r="BU48" i="131"/>
  <c r="O56" i="131"/>
  <c r="BU56" i="131"/>
  <c r="O64" i="131"/>
  <c r="BU64" i="131"/>
  <c r="O72" i="131"/>
  <c r="BU72" i="131"/>
  <c r="O80" i="131"/>
  <c r="BU80" i="131"/>
  <c r="M63" i="131"/>
  <c r="BU63" i="131"/>
  <c r="O41" i="131"/>
  <c r="BU41" i="131"/>
  <c r="O49" i="131"/>
  <c r="BU49" i="131"/>
  <c r="O57" i="131"/>
  <c r="BU57" i="131"/>
  <c r="M65" i="131"/>
  <c r="BU65" i="131"/>
  <c r="O73" i="131"/>
  <c r="BU73" i="131"/>
  <c r="O81" i="131"/>
  <c r="BU81" i="131"/>
  <c r="O71" i="131"/>
  <c r="BU71" i="131"/>
  <c r="O34" i="131"/>
  <c r="BU34" i="131"/>
  <c r="M42" i="131"/>
  <c r="BU42" i="131"/>
  <c r="O50" i="131"/>
  <c r="BU50" i="131"/>
  <c r="M58" i="131"/>
  <c r="BU58" i="131"/>
  <c r="O66" i="131"/>
  <c r="BU66" i="131"/>
  <c r="O74" i="131"/>
  <c r="BU74" i="131"/>
  <c r="O82" i="131"/>
  <c r="BU82" i="131"/>
  <c r="O55" i="131"/>
  <c r="BU55" i="131"/>
  <c r="O35" i="131"/>
  <c r="BU35" i="131"/>
  <c r="O43" i="131"/>
  <c r="BU43" i="131"/>
  <c r="O51" i="131"/>
  <c r="BU51" i="131"/>
  <c r="O59" i="131"/>
  <c r="BU59" i="131"/>
  <c r="O67" i="131"/>
  <c r="BU67" i="131"/>
  <c r="O75" i="131"/>
  <c r="BU75" i="131"/>
  <c r="M36" i="131"/>
  <c r="BU36" i="131"/>
  <c r="M44" i="131"/>
  <c r="BU44" i="131"/>
  <c r="M52" i="131"/>
  <c r="BU52" i="131"/>
  <c r="M60" i="131"/>
  <c r="BU60" i="131"/>
  <c r="M68" i="131"/>
  <c r="BU68" i="131"/>
  <c r="M76" i="131"/>
  <c r="BU76" i="131"/>
  <c r="M37" i="131"/>
  <c r="BU37" i="131"/>
  <c r="M45" i="131"/>
  <c r="BU45" i="131"/>
  <c r="M53" i="131"/>
  <c r="BU53" i="131"/>
  <c r="M61" i="131"/>
  <c r="BU61" i="131"/>
  <c r="M69" i="131"/>
  <c r="BU69" i="131"/>
  <c r="M77" i="131"/>
  <c r="BU77" i="131"/>
  <c r="M39" i="131"/>
  <c r="BU39" i="131"/>
  <c r="M38" i="131"/>
  <c r="BU38" i="131"/>
  <c r="O46" i="131"/>
  <c r="BU46" i="131"/>
  <c r="M54" i="131"/>
  <c r="BU54" i="131"/>
  <c r="O62" i="131"/>
  <c r="BU62" i="131"/>
  <c r="M70" i="131"/>
  <c r="BU70" i="131"/>
  <c r="O78" i="131"/>
  <c r="BU78" i="131"/>
  <c r="O70" i="131"/>
  <c r="M62" i="131"/>
  <c r="M78" i="131"/>
  <c r="O38" i="131"/>
  <c r="M46" i="131"/>
  <c r="M47" i="131"/>
  <c r="O39" i="131"/>
  <c r="M48" i="131"/>
  <c r="M71" i="131"/>
  <c r="O45" i="131"/>
  <c r="O63" i="131"/>
  <c r="M72" i="131"/>
  <c r="O69" i="131"/>
  <c r="M55" i="131"/>
  <c r="M56" i="131"/>
  <c r="M79" i="131"/>
  <c r="O53" i="131"/>
  <c r="O77" i="131"/>
  <c r="M40" i="131"/>
  <c r="O37" i="131"/>
  <c r="M64" i="131"/>
  <c r="O61" i="131"/>
  <c r="O83" i="131"/>
  <c r="M83" i="131"/>
  <c r="M34" i="131"/>
  <c r="M50" i="131"/>
  <c r="M66" i="131"/>
  <c r="M74" i="131"/>
  <c r="M82" i="131"/>
  <c r="O65" i="131"/>
  <c r="O36" i="131"/>
  <c r="O44" i="131"/>
  <c r="O52" i="131"/>
  <c r="O60" i="131"/>
  <c r="O68" i="131"/>
  <c r="O76" i="131"/>
  <c r="M41" i="131"/>
  <c r="M49" i="131"/>
  <c r="M57" i="131"/>
  <c r="M73" i="131"/>
  <c r="M81" i="131"/>
  <c r="M35" i="131"/>
  <c r="M43" i="131"/>
  <c r="M51" i="131"/>
  <c r="M59" i="131"/>
  <c r="M67" i="131"/>
  <c r="M75" i="131"/>
  <c r="O42" i="131"/>
  <c r="O58" i="131"/>
  <c r="AW113" i="130"/>
  <c r="AW112" i="130"/>
  <c r="AW111" i="130"/>
  <c r="AW110" i="130"/>
  <c r="AW109" i="130"/>
  <c r="AW108" i="130"/>
  <c r="AW107" i="130"/>
  <c r="AW106" i="130"/>
  <c r="AW105" i="130"/>
  <c r="AW104" i="130"/>
  <c r="AW103" i="130"/>
  <c r="AW102" i="130"/>
  <c r="AW101" i="130"/>
  <c r="AW100" i="130"/>
  <c r="AW99" i="130"/>
  <c r="AW98" i="130"/>
  <c r="AW97" i="130"/>
  <c r="AW96" i="130"/>
  <c r="AW95" i="130"/>
  <c r="AW94" i="130"/>
  <c r="AW93" i="130"/>
  <c r="AW92" i="130"/>
  <c r="AW91" i="130"/>
  <c r="AW90" i="130"/>
  <c r="AW89" i="130"/>
  <c r="AW88" i="130"/>
  <c r="AW87" i="130"/>
  <c r="AW86" i="130"/>
  <c r="AW85" i="130"/>
  <c r="AW84" i="130"/>
  <c r="AW83" i="130"/>
  <c r="AW82" i="130"/>
  <c r="AW81" i="130"/>
  <c r="AW80" i="130"/>
  <c r="AW79" i="130"/>
  <c r="AW78" i="130"/>
  <c r="AW77" i="130"/>
  <c r="AW76" i="130"/>
  <c r="AW75" i="130"/>
  <c r="AW74" i="130"/>
  <c r="AW73" i="130"/>
  <c r="AW72" i="130"/>
  <c r="AW71" i="130"/>
  <c r="AW70" i="130"/>
  <c r="AW69" i="130"/>
  <c r="AW68" i="130"/>
  <c r="AW67" i="130"/>
  <c r="AW66" i="130"/>
  <c r="AW65" i="130"/>
  <c r="AW64" i="130"/>
  <c r="AW63" i="130"/>
  <c r="AP63" i="130"/>
  <c r="AP64" i="130"/>
  <c r="J3" i="83"/>
  <c r="J4" i="83"/>
  <c r="J5" i="83"/>
  <c r="J6" i="83"/>
  <c r="J7" i="83"/>
  <c r="J8" i="83"/>
  <c r="J9" i="83"/>
  <c r="J10" i="83"/>
  <c r="J11" i="83"/>
  <c r="J12" i="83"/>
  <c r="J13" i="83"/>
  <c r="J14" i="83"/>
  <c r="J15" i="83"/>
  <c r="J16" i="83"/>
  <c r="J17" i="83"/>
  <c r="J18" i="83"/>
  <c r="J19" i="83"/>
  <c r="J20" i="83"/>
  <c r="J21" i="83"/>
  <c r="J22" i="83"/>
  <c r="J23" i="83"/>
  <c r="J24" i="83"/>
  <c r="J25" i="83"/>
  <c r="J26" i="83"/>
  <c r="J27" i="83"/>
  <c r="J28" i="83"/>
  <c r="J29" i="83"/>
  <c r="J30" i="83"/>
  <c r="J31" i="83"/>
  <c r="J32" i="83"/>
  <c r="J33" i="83"/>
  <c r="J34" i="83"/>
  <c r="J35" i="83"/>
  <c r="J36" i="83"/>
  <c r="J37" i="83"/>
  <c r="J38" i="83"/>
  <c r="J39" i="83"/>
  <c r="J40" i="83"/>
  <c r="J41" i="83"/>
  <c r="J42" i="83"/>
  <c r="J43" i="83"/>
  <c r="J44" i="83"/>
  <c r="J45" i="83"/>
  <c r="J46" i="83"/>
  <c r="J47" i="83"/>
  <c r="J48" i="83"/>
  <c r="J49" i="83"/>
  <c r="J50" i="83"/>
  <c r="J51" i="83"/>
  <c r="J52" i="83"/>
  <c r="J53" i="83"/>
  <c r="J54" i="83"/>
  <c r="J55" i="83"/>
  <c r="J56" i="83"/>
  <c r="J57" i="83"/>
  <c r="J58" i="83"/>
  <c r="J59" i="83"/>
  <c r="J60" i="83"/>
  <c r="J61" i="83"/>
  <c r="J62" i="83"/>
  <c r="J63" i="83"/>
  <c r="J64" i="83"/>
  <c r="J65" i="83"/>
  <c r="J66" i="83"/>
  <c r="J67" i="83"/>
  <c r="J68" i="83"/>
  <c r="J69" i="83"/>
  <c r="J70" i="83"/>
  <c r="J71" i="83"/>
  <c r="J72" i="83"/>
  <c r="J73" i="83"/>
  <c r="J130" i="83"/>
  <c r="J131" i="83"/>
  <c r="J132" i="83"/>
  <c r="J133" i="83"/>
  <c r="J74" i="83"/>
  <c r="J75" i="83"/>
  <c r="J76" i="83"/>
  <c r="J77" i="83"/>
  <c r="J78" i="83"/>
  <c r="J79" i="83"/>
  <c r="J80" i="83"/>
  <c r="J81" i="83"/>
  <c r="J82" i="83"/>
  <c r="J83" i="83"/>
  <c r="J84" i="83"/>
  <c r="J85" i="83"/>
  <c r="J86" i="83"/>
  <c r="J87" i="83"/>
  <c r="J88" i="83"/>
  <c r="J89" i="83"/>
  <c r="J90" i="83"/>
  <c r="J91" i="83"/>
  <c r="J92" i="83"/>
  <c r="J93" i="83"/>
  <c r="J94" i="83"/>
  <c r="J95" i="83"/>
  <c r="J96" i="83"/>
  <c r="J97" i="83"/>
  <c r="J98" i="83"/>
  <c r="J99" i="83"/>
  <c r="J100" i="83"/>
  <c r="J101" i="83"/>
  <c r="J102" i="83"/>
  <c r="J103" i="83"/>
  <c r="J104" i="83"/>
  <c r="J105" i="83"/>
  <c r="J106" i="83"/>
  <c r="J107" i="83"/>
  <c r="J108" i="83"/>
  <c r="J109" i="83"/>
  <c r="J110" i="83"/>
  <c r="J111" i="83"/>
  <c r="J112" i="83"/>
  <c r="J113" i="83"/>
  <c r="J114" i="83"/>
  <c r="J115" i="83"/>
  <c r="J116" i="83"/>
  <c r="J117" i="83"/>
  <c r="J118" i="83"/>
  <c r="J119" i="83"/>
  <c r="J120" i="83"/>
  <c r="J121" i="83"/>
  <c r="J122" i="83"/>
  <c r="J123" i="83"/>
  <c r="J124" i="83"/>
  <c r="J125" i="83"/>
  <c r="J126" i="83"/>
  <c r="J127" i="83"/>
  <c r="J128" i="83"/>
  <c r="J129" i="83"/>
  <c r="J134" i="83"/>
  <c r="J135" i="83"/>
  <c r="J136" i="83"/>
  <c r="J137" i="83"/>
  <c r="J138" i="83"/>
  <c r="J139" i="83"/>
  <c r="J140" i="83"/>
  <c r="J141" i="83"/>
  <c r="J142" i="83"/>
  <c r="J143" i="83"/>
  <c r="J144" i="83"/>
  <c r="J145" i="83"/>
  <c r="J146" i="83"/>
  <c r="J147" i="83"/>
  <c r="J148" i="83"/>
  <c r="J149" i="83"/>
  <c r="J150" i="83"/>
  <c r="J151" i="83"/>
  <c r="J152" i="83"/>
  <c r="J153" i="83"/>
  <c r="J154" i="83"/>
  <c r="J155" i="83"/>
  <c r="J156" i="83"/>
  <c r="J157" i="83"/>
  <c r="J158" i="83"/>
  <c r="J159" i="83"/>
  <c r="J160" i="83"/>
  <c r="J161" i="83"/>
  <c r="J162" i="83"/>
  <c r="J163" i="83"/>
  <c r="J164" i="83"/>
  <c r="J165" i="83"/>
  <c r="J166" i="83"/>
  <c r="J167" i="83"/>
  <c r="J168" i="83"/>
  <c r="J169" i="83"/>
  <c r="J170" i="83"/>
  <c r="J171" i="83"/>
  <c r="J172" i="83"/>
  <c r="J173" i="83"/>
  <c r="J174" i="83"/>
  <c r="J175" i="83"/>
  <c r="J176" i="83"/>
  <c r="J177" i="83"/>
  <c r="J178" i="83"/>
  <c r="J179" i="83"/>
  <c r="J180" i="83"/>
  <c r="J181" i="83"/>
  <c r="J182" i="83"/>
  <c r="J183" i="83"/>
  <c r="J184" i="83"/>
  <c r="J185" i="83"/>
  <c r="J186" i="83"/>
  <c r="J187" i="83"/>
  <c r="J188" i="83"/>
  <c r="J189" i="83"/>
  <c r="J190" i="83"/>
  <c r="J191" i="83"/>
  <c r="J192" i="83"/>
  <c r="J201" i="83"/>
  <c r="J202" i="83"/>
  <c r="J203" i="83"/>
  <c r="J204" i="83"/>
  <c r="J205" i="83"/>
  <c r="J206" i="83"/>
  <c r="J207" i="83"/>
  <c r="J208" i="83"/>
  <c r="J209" i="83"/>
  <c r="J210" i="83"/>
  <c r="J211" i="83"/>
  <c r="J212" i="83"/>
  <c r="J213" i="83"/>
  <c r="J214" i="83"/>
  <c r="J215" i="83"/>
  <c r="J216" i="83"/>
  <c r="J217" i="83"/>
  <c r="J218" i="83"/>
  <c r="J219" i="83"/>
  <c r="J220" i="83"/>
  <c r="J221" i="83"/>
  <c r="J222" i="83"/>
  <c r="J223" i="83"/>
  <c r="J224" i="83"/>
  <c r="J225" i="83"/>
  <c r="J226" i="83"/>
  <c r="J227" i="83"/>
  <c r="J228" i="83"/>
  <c r="J229" i="83"/>
  <c r="J230" i="83"/>
  <c r="J231" i="83"/>
  <c r="J232" i="83"/>
  <c r="J233" i="83"/>
  <c r="J234" i="83"/>
  <c r="J235" i="83"/>
  <c r="J236" i="83"/>
  <c r="J193" i="83"/>
  <c r="J194" i="83"/>
  <c r="J195" i="83"/>
  <c r="J196" i="83"/>
  <c r="J197" i="83"/>
  <c r="J198" i="83"/>
  <c r="J199" i="83"/>
  <c r="J200" i="83"/>
  <c r="J237" i="83"/>
  <c r="J238" i="83"/>
  <c r="J239" i="83"/>
  <c r="J240" i="83"/>
  <c r="J241" i="83"/>
  <c r="J242" i="83"/>
  <c r="J243" i="83"/>
  <c r="J244" i="83"/>
  <c r="J245" i="83"/>
  <c r="J246" i="83"/>
  <c r="J247" i="83"/>
  <c r="J248" i="83"/>
  <c r="J249" i="83"/>
  <c r="J250" i="83"/>
  <c r="J269" i="83"/>
  <c r="J251" i="83"/>
  <c r="J252" i="83"/>
  <c r="J253" i="83"/>
  <c r="J254" i="83"/>
  <c r="J255" i="83"/>
  <c r="J256" i="83"/>
  <c r="J257" i="83"/>
  <c r="J258" i="83"/>
  <c r="J259" i="83"/>
  <c r="J260" i="83"/>
  <c r="J261" i="83"/>
  <c r="J262" i="83"/>
  <c r="J263" i="83"/>
  <c r="J264" i="83"/>
  <c r="J265" i="83"/>
  <c r="J266" i="83"/>
  <c r="J267" i="83"/>
  <c r="J268" i="83"/>
  <c r="J270" i="83"/>
  <c r="J271" i="83"/>
  <c r="J272" i="83"/>
  <c r="J273" i="83"/>
  <c r="J274" i="83"/>
  <c r="J275" i="83"/>
  <c r="J276" i="83"/>
  <c r="J277" i="83"/>
  <c r="J278" i="83"/>
  <c r="J279" i="83"/>
  <c r="J280" i="83"/>
  <c r="J281" i="83"/>
  <c r="J282" i="83"/>
  <c r="J283" i="83"/>
  <c r="J284" i="83"/>
  <c r="J285" i="83"/>
  <c r="J286" i="83"/>
  <c r="J287" i="83"/>
  <c r="J288" i="83"/>
  <c r="J289" i="83"/>
  <c r="J290" i="83"/>
  <c r="J291" i="83"/>
  <c r="J292" i="83"/>
  <c r="J293" i="83"/>
  <c r="AD302" i="131" l="1"/>
  <c r="AR302" i="131"/>
  <c r="P302" i="131"/>
  <c r="W302" i="131"/>
  <c r="AK302" i="131"/>
  <c r="W36" i="131"/>
  <c r="AC36" i="131" s="1"/>
  <c r="AR36" i="131"/>
  <c r="AX36" i="131" s="1"/>
  <c r="AK36" i="131"/>
  <c r="AQ36" i="131" s="1"/>
  <c r="AD36" i="131"/>
  <c r="P36" i="131"/>
  <c r="AD39" i="131"/>
  <c r="AR39" i="131"/>
  <c r="AK39" i="131"/>
  <c r="W39" i="131"/>
  <c r="AC39" i="131" s="1"/>
  <c r="P39" i="131"/>
  <c r="V39" i="131" s="1"/>
  <c r="AR46" i="131"/>
  <c r="AX46" i="131" s="1"/>
  <c r="AD46" i="131"/>
  <c r="W46" i="131"/>
  <c r="AK46" i="131"/>
  <c r="P46" i="131"/>
  <c r="AK35" i="131"/>
  <c r="W35" i="131"/>
  <c r="AR35" i="131"/>
  <c r="AX35" i="131" s="1"/>
  <c r="AD35" i="131"/>
  <c r="AJ35" i="131" s="1"/>
  <c r="P35" i="131"/>
  <c r="AK34" i="131"/>
  <c r="AD34" i="131"/>
  <c r="W34" i="131"/>
  <c r="AR34" i="131"/>
  <c r="P34" i="131"/>
  <c r="V34" i="131" s="1"/>
  <c r="AD47" i="131"/>
  <c r="AK47" i="131"/>
  <c r="AQ47" i="131" s="1"/>
  <c r="W47" i="131"/>
  <c r="AR47" i="131"/>
  <c r="P47" i="131"/>
  <c r="AR319" i="131"/>
  <c r="P319" i="131"/>
  <c r="W319" i="131"/>
  <c r="AC319" i="131" s="1"/>
  <c r="AK319" i="131"/>
  <c r="AQ319" i="131" s="1"/>
  <c r="AD319" i="131"/>
  <c r="AJ319" i="131" s="1"/>
  <c r="AD310" i="131"/>
  <c r="AR310" i="131"/>
  <c r="P310" i="131"/>
  <c r="W310" i="131"/>
  <c r="AK310" i="131"/>
  <c r="W296" i="131"/>
  <c r="AC296" i="131" s="1"/>
  <c r="AK296" i="131"/>
  <c r="AQ296" i="131" s="1"/>
  <c r="AR296" i="131"/>
  <c r="AX296" i="131" s="1"/>
  <c r="P296" i="131"/>
  <c r="AD296" i="131"/>
  <c r="W312" i="131"/>
  <c r="AK312" i="131"/>
  <c r="AR312" i="131"/>
  <c r="P312" i="131"/>
  <c r="V312" i="131" s="1"/>
  <c r="AD312" i="131"/>
  <c r="AJ312" i="131" s="1"/>
  <c r="AK143" i="131"/>
  <c r="AQ143" i="131" s="1"/>
  <c r="W143" i="131"/>
  <c r="P143" i="131"/>
  <c r="AR143" i="131"/>
  <c r="AD143" i="131"/>
  <c r="W69" i="131"/>
  <c r="AR69" i="131"/>
  <c r="AX69" i="131" s="1"/>
  <c r="AK69" i="131"/>
  <c r="AQ69" i="131" s="1"/>
  <c r="AD69" i="131"/>
  <c r="AJ69" i="131" s="1"/>
  <c r="P69" i="131"/>
  <c r="AD80" i="131"/>
  <c r="W80" i="131"/>
  <c r="AK80" i="131"/>
  <c r="AR80" i="131"/>
  <c r="P80" i="131"/>
  <c r="V80" i="131" s="1"/>
  <c r="AK83" i="131"/>
  <c r="W83" i="131"/>
  <c r="AC83" i="131" s="1"/>
  <c r="AD83" i="131"/>
  <c r="AR83" i="131"/>
  <c r="P83" i="131"/>
  <c r="AR78" i="131"/>
  <c r="AD78" i="131"/>
  <c r="W78" i="131"/>
  <c r="AC78" i="131" s="1"/>
  <c r="AK78" i="131"/>
  <c r="P78" i="131"/>
  <c r="V78" i="131" s="1"/>
  <c r="AK67" i="131"/>
  <c r="W67" i="131"/>
  <c r="AD67" i="131"/>
  <c r="AR67" i="131"/>
  <c r="P67" i="131"/>
  <c r="AK66" i="131"/>
  <c r="AQ66" i="131" s="1"/>
  <c r="AR66" i="131"/>
  <c r="AX66" i="131" s="1"/>
  <c r="W66" i="131"/>
  <c r="AC66" i="131" s="1"/>
  <c r="AD66" i="131"/>
  <c r="P66" i="131"/>
  <c r="AD56" i="131"/>
  <c r="AR56" i="131"/>
  <c r="AK56" i="131"/>
  <c r="W56" i="131"/>
  <c r="AC56" i="131" s="1"/>
  <c r="P56" i="131"/>
  <c r="V56" i="131" s="1"/>
  <c r="AK198" i="131"/>
  <c r="AQ198" i="131" s="1"/>
  <c r="W198" i="131"/>
  <c r="AD198" i="131"/>
  <c r="AR198" i="131"/>
  <c r="P198" i="131"/>
  <c r="AR195" i="131"/>
  <c r="AD195" i="131"/>
  <c r="AJ195" i="131" s="1"/>
  <c r="P195" i="131"/>
  <c r="V195" i="131" s="1"/>
  <c r="W195" i="131"/>
  <c r="AC195" i="131" s="1"/>
  <c r="AK195" i="131"/>
  <c r="AR287" i="131"/>
  <c r="P287" i="131"/>
  <c r="W287" i="131"/>
  <c r="AK287" i="131"/>
  <c r="AD287" i="131"/>
  <c r="AJ287" i="131" s="1"/>
  <c r="AD278" i="131"/>
  <c r="AJ278" i="131" s="1"/>
  <c r="AR278" i="131"/>
  <c r="AX278" i="131" s="1"/>
  <c r="P278" i="131"/>
  <c r="W278" i="131"/>
  <c r="AK278" i="131"/>
  <c r="AR214" i="131"/>
  <c r="AK214" i="131"/>
  <c r="W214" i="131"/>
  <c r="AC214" i="131" s="1"/>
  <c r="P214" i="131"/>
  <c r="V214" i="131" s="1"/>
  <c r="AD214" i="131"/>
  <c r="AJ214" i="131" s="1"/>
  <c r="AD325" i="131"/>
  <c r="AR325" i="131"/>
  <c r="P325" i="131"/>
  <c r="W325" i="131"/>
  <c r="AK325" i="131"/>
  <c r="AD293" i="131"/>
  <c r="AJ293" i="131" s="1"/>
  <c r="AR293" i="131"/>
  <c r="AX293" i="131" s="1"/>
  <c r="P293" i="131"/>
  <c r="V293" i="131" s="1"/>
  <c r="AK293" i="131"/>
  <c r="W293" i="131"/>
  <c r="AK306" i="131"/>
  <c r="AD306" i="131"/>
  <c r="W306" i="131"/>
  <c r="P306" i="131"/>
  <c r="V306" i="131" s="1"/>
  <c r="AR306" i="131"/>
  <c r="AX306" i="131" s="1"/>
  <c r="W280" i="131"/>
  <c r="AC280" i="131" s="1"/>
  <c r="AK280" i="131"/>
  <c r="AR280" i="131"/>
  <c r="AD280" i="131"/>
  <c r="P280" i="131"/>
  <c r="AR149" i="131"/>
  <c r="AK149" i="131"/>
  <c r="AQ149" i="131" s="1"/>
  <c r="AD149" i="131"/>
  <c r="AJ149" i="131" s="1"/>
  <c r="W149" i="131"/>
  <c r="AC149" i="131" s="1"/>
  <c r="P149" i="131"/>
  <c r="AR20" i="130"/>
  <c r="P20" i="130"/>
  <c r="AK20" i="130"/>
  <c r="AD20" i="130"/>
  <c r="AK65" i="131"/>
  <c r="AQ65" i="131" s="1"/>
  <c r="W65" i="131"/>
  <c r="AC65" i="131" s="1"/>
  <c r="AR65" i="131"/>
  <c r="AX65" i="131" s="1"/>
  <c r="AD65" i="131"/>
  <c r="P65" i="131"/>
  <c r="W61" i="131"/>
  <c r="AR61" i="131"/>
  <c r="AD61" i="131"/>
  <c r="AK61" i="131"/>
  <c r="AQ61" i="131" s="1"/>
  <c r="P61" i="131"/>
  <c r="V61" i="131" s="1"/>
  <c r="AD211" i="131"/>
  <c r="AJ211" i="131" s="1"/>
  <c r="P211" i="131"/>
  <c r="AK211" i="131"/>
  <c r="W211" i="131"/>
  <c r="AR211" i="131"/>
  <c r="AR213" i="131"/>
  <c r="AK213" i="131"/>
  <c r="AQ213" i="131" s="1"/>
  <c r="W213" i="131"/>
  <c r="P213" i="131"/>
  <c r="V213" i="131" s="1"/>
  <c r="AD213" i="131"/>
  <c r="AD212" i="131"/>
  <c r="P212" i="131"/>
  <c r="AR212" i="131"/>
  <c r="AK212" i="131"/>
  <c r="W212" i="131"/>
  <c r="AC212" i="131" s="1"/>
  <c r="AR206" i="131"/>
  <c r="AX206" i="131" s="1"/>
  <c r="AK206" i="131"/>
  <c r="AQ206" i="131" s="1"/>
  <c r="W206" i="131"/>
  <c r="P206" i="131"/>
  <c r="AD206" i="131"/>
  <c r="AK299" i="131"/>
  <c r="AD299" i="131"/>
  <c r="AR299" i="131"/>
  <c r="AX299" i="131" s="1"/>
  <c r="P299" i="131"/>
  <c r="W299" i="131"/>
  <c r="AC299" i="131" s="1"/>
  <c r="AD316" i="131"/>
  <c r="AR316" i="131"/>
  <c r="W316" i="131"/>
  <c r="AK316" i="131"/>
  <c r="P316" i="131"/>
  <c r="AD284" i="131"/>
  <c r="AJ284" i="131" s="1"/>
  <c r="AR284" i="131"/>
  <c r="AK284" i="131"/>
  <c r="AQ284" i="131" s="1"/>
  <c r="P284" i="131"/>
  <c r="W284" i="131"/>
  <c r="W321" i="131"/>
  <c r="AK321" i="131"/>
  <c r="AD321" i="131"/>
  <c r="AR321" i="131"/>
  <c r="AX321" i="131" s="1"/>
  <c r="P321" i="131"/>
  <c r="V321" i="131" s="1"/>
  <c r="W289" i="131"/>
  <c r="AC289" i="131" s="1"/>
  <c r="AK289" i="131"/>
  <c r="AD289" i="131"/>
  <c r="P289" i="131"/>
  <c r="AR289" i="131"/>
  <c r="AR156" i="131"/>
  <c r="AD156" i="131"/>
  <c r="AJ156" i="131" s="1"/>
  <c r="P156" i="131"/>
  <c r="V156" i="131" s="1"/>
  <c r="W156" i="131"/>
  <c r="AC156" i="131" s="1"/>
  <c r="AK156" i="131"/>
  <c r="AK160" i="131"/>
  <c r="W160" i="131"/>
  <c r="P160" i="131"/>
  <c r="AR160" i="131"/>
  <c r="AD160" i="131"/>
  <c r="AJ160" i="131" s="1"/>
  <c r="AK142" i="131"/>
  <c r="AQ142" i="131" s="1"/>
  <c r="W142" i="131"/>
  <c r="AC142" i="131" s="1"/>
  <c r="P142" i="131"/>
  <c r="AR142" i="131"/>
  <c r="AD142" i="131"/>
  <c r="AD18" i="130"/>
  <c r="AR18" i="130"/>
  <c r="P18" i="130"/>
  <c r="V18" i="130" s="1"/>
  <c r="AK18" i="130"/>
  <c r="AQ18" i="130" s="1"/>
  <c r="AD71" i="131"/>
  <c r="AJ71" i="131" s="1"/>
  <c r="W71" i="131"/>
  <c r="AR71" i="131"/>
  <c r="AK71" i="131"/>
  <c r="P71" i="131"/>
  <c r="V71" i="131" s="1"/>
  <c r="AR311" i="131"/>
  <c r="P311" i="131"/>
  <c r="V311" i="131" s="1"/>
  <c r="W311" i="131"/>
  <c r="AC311" i="131" s="1"/>
  <c r="AK311" i="131"/>
  <c r="AQ311" i="131" s="1"/>
  <c r="AD311" i="131"/>
  <c r="AR207" i="131"/>
  <c r="AK207" i="131"/>
  <c r="W207" i="131"/>
  <c r="AC207" i="131" s="1"/>
  <c r="AD207" i="131"/>
  <c r="P207" i="131"/>
  <c r="V207" i="131" s="1"/>
  <c r="W304" i="131"/>
  <c r="AC304" i="131" s="1"/>
  <c r="AK304" i="131"/>
  <c r="AQ304" i="131" s="1"/>
  <c r="P304" i="131"/>
  <c r="AD304" i="131"/>
  <c r="AR304" i="131"/>
  <c r="AD317" i="131"/>
  <c r="AJ317" i="131" s="1"/>
  <c r="AR317" i="131"/>
  <c r="P317" i="131"/>
  <c r="V317" i="131" s="1"/>
  <c r="AK317" i="131"/>
  <c r="AQ317" i="131" s="1"/>
  <c r="W317" i="131"/>
  <c r="AC317" i="131" s="1"/>
  <c r="AR161" i="131"/>
  <c r="AD161" i="131"/>
  <c r="W161" i="131"/>
  <c r="AK161" i="131"/>
  <c r="AQ161" i="131" s="1"/>
  <c r="P161" i="131"/>
  <c r="AR155" i="131"/>
  <c r="AX155" i="131" s="1"/>
  <c r="AD155" i="131"/>
  <c r="AJ155" i="131" s="1"/>
  <c r="P155" i="131"/>
  <c r="V155" i="131" s="1"/>
  <c r="W155" i="131"/>
  <c r="AK155" i="131"/>
  <c r="AR146" i="131"/>
  <c r="AD146" i="131"/>
  <c r="P146" i="131"/>
  <c r="W146" i="131"/>
  <c r="AC146" i="131" s="1"/>
  <c r="AK146" i="131"/>
  <c r="AQ146" i="131" s="1"/>
  <c r="W76" i="131"/>
  <c r="AC76" i="131" s="1"/>
  <c r="AR76" i="131"/>
  <c r="AD76" i="131"/>
  <c r="AK76" i="131"/>
  <c r="P76" i="131"/>
  <c r="W37" i="131"/>
  <c r="AR37" i="131"/>
  <c r="AX37" i="131" s="1"/>
  <c r="AD37" i="131"/>
  <c r="AJ37" i="131" s="1"/>
  <c r="AK37" i="131"/>
  <c r="AQ37" i="131" s="1"/>
  <c r="P37" i="131"/>
  <c r="AR38" i="131"/>
  <c r="AD38" i="131"/>
  <c r="W38" i="131"/>
  <c r="AC38" i="131" s="1"/>
  <c r="AK38" i="131"/>
  <c r="P38" i="131"/>
  <c r="V38" i="131" s="1"/>
  <c r="AD210" i="131"/>
  <c r="AJ210" i="131" s="1"/>
  <c r="P210" i="131"/>
  <c r="V210" i="131" s="1"/>
  <c r="AK210" i="131"/>
  <c r="W210" i="131"/>
  <c r="AR210" i="131"/>
  <c r="AR205" i="131"/>
  <c r="W205" i="131"/>
  <c r="P205" i="131"/>
  <c r="V205" i="131" s="1"/>
  <c r="AK205" i="131"/>
  <c r="AQ205" i="131" s="1"/>
  <c r="AD205" i="131"/>
  <c r="AJ205" i="131" s="1"/>
  <c r="AR204" i="131"/>
  <c r="AD204" i="131"/>
  <c r="P204" i="131"/>
  <c r="W204" i="131"/>
  <c r="AC204" i="131" s="1"/>
  <c r="AK204" i="131"/>
  <c r="AR202" i="131"/>
  <c r="AX202" i="131" s="1"/>
  <c r="AD202" i="131"/>
  <c r="AJ202" i="131" s="1"/>
  <c r="P202" i="131"/>
  <c r="V202" i="131" s="1"/>
  <c r="W202" i="131"/>
  <c r="AK202" i="131"/>
  <c r="AR203" i="131"/>
  <c r="AD203" i="131"/>
  <c r="P203" i="131"/>
  <c r="W203" i="131"/>
  <c r="AC203" i="131" s="1"/>
  <c r="AK203" i="131"/>
  <c r="AQ203" i="131" s="1"/>
  <c r="AK307" i="131"/>
  <c r="AQ307" i="131" s="1"/>
  <c r="AD307" i="131"/>
  <c r="AR307" i="131"/>
  <c r="W307" i="131"/>
  <c r="P307" i="131"/>
  <c r="AD308" i="131"/>
  <c r="AR308" i="131"/>
  <c r="AX308" i="131" s="1"/>
  <c r="AK308" i="131"/>
  <c r="AQ308" i="131" s="1"/>
  <c r="W308" i="131"/>
  <c r="AC308" i="131" s="1"/>
  <c r="P308" i="131"/>
  <c r="W313" i="131"/>
  <c r="AK313" i="131"/>
  <c r="AR313" i="131"/>
  <c r="AX313" i="131" s="1"/>
  <c r="P313" i="131"/>
  <c r="AD313" i="131"/>
  <c r="AJ313" i="131" s="1"/>
  <c r="W281" i="131"/>
  <c r="AC281" i="131" s="1"/>
  <c r="AK281" i="131"/>
  <c r="AQ281" i="131" s="1"/>
  <c r="AR281" i="131"/>
  <c r="AD281" i="131"/>
  <c r="P281" i="131"/>
  <c r="AR141" i="131"/>
  <c r="AX141" i="131" s="1"/>
  <c r="W141" i="131"/>
  <c r="P141" i="131"/>
  <c r="V141" i="131" s="1"/>
  <c r="AD141" i="131"/>
  <c r="AJ141" i="131" s="1"/>
  <c r="AK141" i="131"/>
  <c r="AQ141" i="131" s="1"/>
  <c r="P153" i="131"/>
  <c r="AK153" i="131"/>
  <c r="AR153" i="131"/>
  <c r="W153" i="131"/>
  <c r="AC153" i="131" s="1"/>
  <c r="AD153" i="131"/>
  <c r="AK151" i="131"/>
  <c r="AQ151" i="131" s="1"/>
  <c r="W151" i="131"/>
  <c r="AC151" i="131" s="1"/>
  <c r="AR151" i="131"/>
  <c r="AX151" i="131" s="1"/>
  <c r="AD151" i="131"/>
  <c r="P151" i="131"/>
  <c r="AK158" i="131"/>
  <c r="W158" i="131"/>
  <c r="AC158" i="131" s="1"/>
  <c r="P158" i="131"/>
  <c r="AD158" i="131"/>
  <c r="AJ158" i="131" s="1"/>
  <c r="AR158" i="131"/>
  <c r="AD55" i="131"/>
  <c r="AJ55" i="131" s="1"/>
  <c r="AR55" i="131"/>
  <c r="AK55" i="131"/>
  <c r="W55" i="131"/>
  <c r="P55" i="131"/>
  <c r="V55" i="131" s="1"/>
  <c r="AD63" i="131"/>
  <c r="AR63" i="131"/>
  <c r="AX63" i="131" s="1"/>
  <c r="W63" i="131"/>
  <c r="AC63" i="131" s="1"/>
  <c r="AK63" i="131"/>
  <c r="AQ63" i="131" s="1"/>
  <c r="P63" i="131"/>
  <c r="AK81" i="131"/>
  <c r="AD81" i="131"/>
  <c r="AR81" i="131"/>
  <c r="AX81" i="131" s="1"/>
  <c r="W81" i="131"/>
  <c r="P81" i="131"/>
  <c r="V81" i="131" s="1"/>
  <c r="AD40" i="131"/>
  <c r="AJ40" i="131" s="1"/>
  <c r="AK40" i="131"/>
  <c r="AQ40" i="131" s="1"/>
  <c r="AR40" i="131"/>
  <c r="W40" i="131"/>
  <c r="P40" i="131"/>
  <c r="AD294" i="131"/>
  <c r="AJ294" i="131" s="1"/>
  <c r="AR294" i="131"/>
  <c r="P294" i="131"/>
  <c r="V294" i="131" s="1"/>
  <c r="AK294" i="131"/>
  <c r="AQ294" i="131" s="1"/>
  <c r="W294" i="131"/>
  <c r="AC294" i="131" s="1"/>
  <c r="AR208" i="131"/>
  <c r="AK208" i="131"/>
  <c r="W208" i="131"/>
  <c r="AD208" i="131"/>
  <c r="AJ208" i="131" s="1"/>
  <c r="P208" i="131"/>
  <c r="AD309" i="131"/>
  <c r="AJ309" i="131" s="1"/>
  <c r="AR309" i="131"/>
  <c r="AX309" i="131" s="1"/>
  <c r="P309" i="131"/>
  <c r="V309" i="131" s="1"/>
  <c r="W309" i="131"/>
  <c r="AK309" i="131"/>
  <c r="AK159" i="131"/>
  <c r="W159" i="131"/>
  <c r="AC159" i="131" s="1"/>
  <c r="AD159" i="131"/>
  <c r="P159" i="131"/>
  <c r="V159" i="131" s="1"/>
  <c r="AR159" i="131"/>
  <c r="AX159" i="131" s="1"/>
  <c r="AR162" i="131"/>
  <c r="AX162" i="131" s="1"/>
  <c r="AD162" i="131"/>
  <c r="P162" i="131"/>
  <c r="AK162" i="131"/>
  <c r="W162" i="131"/>
  <c r="AC162" i="131" s="1"/>
  <c r="AK152" i="131"/>
  <c r="W152" i="131"/>
  <c r="AC152" i="131" s="1"/>
  <c r="P152" i="131"/>
  <c r="V152" i="131" s="1"/>
  <c r="AR152" i="131"/>
  <c r="AX152" i="131" s="1"/>
  <c r="AD152" i="131"/>
  <c r="AK59" i="131"/>
  <c r="W59" i="131"/>
  <c r="AD59" i="131"/>
  <c r="AJ59" i="131" s="1"/>
  <c r="AR59" i="131"/>
  <c r="P59" i="131"/>
  <c r="V59" i="131" s="1"/>
  <c r="AK201" i="131"/>
  <c r="AQ201" i="131" s="1"/>
  <c r="AR201" i="131"/>
  <c r="AX201" i="131" s="1"/>
  <c r="P201" i="131"/>
  <c r="AD201" i="131"/>
  <c r="W201" i="131"/>
  <c r="AR279" i="131"/>
  <c r="P279" i="131"/>
  <c r="W279" i="131"/>
  <c r="AC279" i="131" s="1"/>
  <c r="AK279" i="131"/>
  <c r="AQ279" i="131" s="1"/>
  <c r="AD279" i="131"/>
  <c r="AJ279" i="131" s="1"/>
  <c r="W68" i="131"/>
  <c r="AR68" i="131"/>
  <c r="AK68" i="131"/>
  <c r="AD68" i="131"/>
  <c r="AJ68" i="131" s="1"/>
  <c r="P68" i="131"/>
  <c r="AK51" i="131"/>
  <c r="AQ51" i="131" s="1"/>
  <c r="W51" i="131"/>
  <c r="AC51" i="131" s="1"/>
  <c r="AR51" i="131"/>
  <c r="AX51" i="131" s="1"/>
  <c r="AD51" i="131"/>
  <c r="P51" i="131"/>
  <c r="AK50" i="131"/>
  <c r="W50" i="131"/>
  <c r="AR50" i="131"/>
  <c r="AD50" i="131"/>
  <c r="AJ50" i="131" s="1"/>
  <c r="P50" i="131"/>
  <c r="V50" i="131" s="1"/>
  <c r="AD72" i="131"/>
  <c r="AJ72" i="131" s="1"/>
  <c r="AK72" i="131"/>
  <c r="W72" i="131"/>
  <c r="AR72" i="131"/>
  <c r="P72" i="131"/>
  <c r="V72" i="131" s="1"/>
  <c r="AR303" i="131"/>
  <c r="P303" i="131"/>
  <c r="V303" i="131" s="1"/>
  <c r="W303" i="131"/>
  <c r="AC303" i="131" s="1"/>
  <c r="AK303" i="131"/>
  <c r="AQ303" i="131" s="1"/>
  <c r="AD303" i="131"/>
  <c r="AD326" i="131"/>
  <c r="AR326" i="131"/>
  <c r="P326" i="131"/>
  <c r="V326" i="131" s="1"/>
  <c r="W326" i="131"/>
  <c r="AK326" i="131"/>
  <c r="AQ326" i="131" s="1"/>
  <c r="AR216" i="131"/>
  <c r="AX216" i="131" s="1"/>
  <c r="AK216" i="131"/>
  <c r="AQ216" i="131" s="1"/>
  <c r="W216" i="131"/>
  <c r="P216" i="131"/>
  <c r="AD216" i="131"/>
  <c r="AK291" i="131"/>
  <c r="AQ291" i="131" s="1"/>
  <c r="AD291" i="131"/>
  <c r="W291" i="131"/>
  <c r="AC291" i="131" s="1"/>
  <c r="AR291" i="131"/>
  <c r="AX291" i="131" s="1"/>
  <c r="P291" i="131"/>
  <c r="V291" i="131" s="1"/>
  <c r="AK298" i="131"/>
  <c r="AR298" i="131"/>
  <c r="P298" i="131"/>
  <c r="W298" i="131"/>
  <c r="AC298" i="131" s="1"/>
  <c r="AD298" i="131"/>
  <c r="AD277" i="131"/>
  <c r="AJ277" i="131" s="1"/>
  <c r="AR277" i="131"/>
  <c r="AX277" i="131" s="1"/>
  <c r="P277" i="131"/>
  <c r="V277" i="131" s="1"/>
  <c r="W277" i="131"/>
  <c r="AK277" i="131"/>
  <c r="AK322" i="131"/>
  <c r="AD322" i="131"/>
  <c r="AJ322" i="131" s="1"/>
  <c r="P322" i="131"/>
  <c r="AR322" i="131"/>
  <c r="AX322" i="131" s="1"/>
  <c r="W322" i="131"/>
  <c r="AC322" i="131" s="1"/>
  <c r="AR163" i="131"/>
  <c r="AX163" i="131" s="1"/>
  <c r="AD163" i="131"/>
  <c r="P163" i="131"/>
  <c r="W163" i="131"/>
  <c r="AK163" i="131"/>
  <c r="AQ163" i="131" s="1"/>
  <c r="AR148" i="131"/>
  <c r="AD148" i="131"/>
  <c r="AJ148" i="131" s="1"/>
  <c r="P148" i="131"/>
  <c r="V148" i="131" s="1"/>
  <c r="AK148" i="131"/>
  <c r="AQ148" i="131" s="1"/>
  <c r="W148" i="131"/>
  <c r="W60" i="131"/>
  <c r="AR60" i="131"/>
  <c r="AD60" i="131"/>
  <c r="AJ60" i="131" s="1"/>
  <c r="AK60" i="131"/>
  <c r="P60" i="131"/>
  <c r="V60" i="131" s="1"/>
  <c r="W77" i="131"/>
  <c r="AC77" i="131" s="1"/>
  <c r="AR77" i="131"/>
  <c r="AX77" i="131" s="1"/>
  <c r="AK77" i="131"/>
  <c r="AD77" i="131"/>
  <c r="P77" i="131"/>
  <c r="W45" i="131"/>
  <c r="AC45" i="131" s="1"/>
  <c r="AR45" i="131"/>
  <c r="AD45" i="131"/>
  <c r="AJ45" i="131" s="1"/>
  <c r="AK45" i="131"/>
  <c r="AQ45" i="131" s="1"/>
  <c r="P45" i="131"/>
  <c r="V45" i="131" s="1"/>
  <c r="AR219" i="131"/>
  <c r="AD219" i="131"/>
  <c r="P219" i="131"/>
  <c r="W219" i="131"/>
  <c r="AC219" i="131" s="1"/>
  <c r="AK219" i="131"/>
  <c r="AR197" i="131"/>
  <c r="AX197" i="131" s="1"/>
  <c r="W197" i="131"/>
  <c r="AC197" i="131" s="1"/>
  <c r="P197" i="131"/>
  <c r="V197" i="131" s="1"/>
  <c r="AD197" i="131"/>
  <c r="AK197" i="131"/>
  <c r="AR196" i="131"/>
  <c r="AD196" i="131"/>
  <c r="AJ196" i="131" s="1"/>
  <c r="P196" i="131"/>
  <c r="AK196" i="131"/>
  <c r="AQ196" i="131" s="1"/>
  <c r="W196" i="131"/>
  <c r="AC196" i="131" s="1"/>
  <c r="AK200" i="131"/>
  <c r="AQ200" i="131" s="1"/>
  <c r="W200" i="131"/>
  <c r="AR200" i="131"/>
  <c r="P200" i="131"/>
  <c r="AD200" i="131"/>
  <c r="AK323" i="131"/>
  <c r="AD323" i="131"/>
  <c r="AJ323" i="131" s="1"/>
  <c r="P323" i="131"/>
  <c r="V323" i="131" s="1"/>
  <c r="W323" i="131"/>
  <c r="AC323" i="131" s="1"/>
  <c r="AR323" i="131"/>
  <c r="AD300" i="131"/>
  <c r="AR300" i="131"/>
  <c r="P300" i="131"/>
  <c r="V300" i="131" s="1"/>
  <c r="W300" i="131"/>
  <c r="AK300" i="131"/>
  <c r="AQ300" i="131" s="1"/>
  <c r="W305" i="131"/>
  <c r="AC305" i="131" s="1"/>
  <c r="AK305" i="131"/>
  <c r="AQ305" i="131" s="1"/>
  <c r="AD305" i="131"/>
  <c r="P305" i="131"/>
  <c r="AR305" i="131"/>
  <c r="AR157" i="131"/>
  <c r="AX157" i="131" s="1"/>
  <c r="AD157" i="131"/>
  <c r="W157" i="131"/>
  <c r="AC157" i="131" s="1"/>
  <c r="P157" i="131"/>
  <c r="V157" i="131" s="1"/>
  <c r="AK157" i="131"/>
  <c r="AQ157" i="131" s="1"/>
  <c r="AD24" i="130"/>
  <c r="AR24" i="130"/>
  <c r="AD48" i="131"/>
  <c r="AJ48" i="131" s="1"/>
  <c r="W48" i="131"/>
  <c r="AC48" i="131" s="1"/>
  <c r="AK48" i="131"/>
  <c r="AR48" i="131"/>
  <c r="AX48" i="131" s="1"/>
  <c r="P48" i="131"/>
  <c r="V48" i="131" s="1"/>
  <c r="AD285" i="131"/>
  <c r="AJ285" i="131" s="1"/>
  <c r="AR285" i="131"/>
  <c r="AX285" i="131" s="1"/>
  <c r="P285" i="131"/>
  <c r="AK285" i="131"/>
  <c r="W285" i="131"/>
  <c r="AC285" i="131" s="1"/>
  <c r="AR62" i="131"/>
  <c r="AD62" i="131"/>
  <c r="AJ62" i="131" s="1"/>
  <c r="W62" i="131"/>
  <c r="AC62" i="131" s="1"/>
  <c r="AK62" i="131"/>
  <c r="AQ62" i="131" s="1"/>
  <c r="P62" i="131"/>
  <c r="AK82" i="131"/>
  <c r="W82" i="131"/>
  <c r="AR82" i="131"/>
  <c r="AX82" i="131" s="1"/>
  <c r="AD82" i="131"/>
  <c r="P82" i="131"/>
  <c r="V82" i="131" s="1"/>
  <c r="AK49" i="131"/>
  <c r="AQ49" i="131" s="1"/>
  <c r="AD49" i="131"/>
  <c r="AJ49" i="131" s="1"/>
  <c r="W49" i="131"/>
  <c r="AC49" i="131" s="1"/>
  <c r="AR49" i="131"/>
  <c r="P49" i="131"/>
  <c r="AR194" i="131"/>
  <c r="AX194" i="131" s="1"/>
  <c r="AD194" i="131"/>
  <c r="P194" i="131"/>
  <c r="V194" i="131" s="1"/>
  <c r="AK194" i="131"/>
  <c r="AQ194" i="131" s="1"/>
  <c r="W194" i="131"/>
  <c r="AC194" i="131" s="1"/>
  <c r="AK58" i="131"/>
  <c r="AD58" i="131"/>
  <c r="W58" i="131"/>
  <c r="AR58" i="131"/>
  <c r="AX58" i="131" s="1"/>
  <c r="P58" i="131"/>
  <c r="W52" i="131"/>
  <c r="AC52" i="131" s="1"/>
  <c r="AR52" i="131"/>
  <c r="AX52" i="131" s="1"/>
  <c r="AD52" i="131"/>
  <c r="AJ52" i="131" s="1"/>
  <c r="AK52" i="131"/>
  <c r="P52" i="131"/>
  <c r="W53" i="131"/>
  <c r="AC53" i="131" s="1"/>
  <c r="AR53" i="131"/>
  <c r="AX53" i="131" s="1"/>
  <c r="AD53" i="131"/>
  <c r="AK53" i="131"/>
  <c r="AQ53" i="131" s="1"/>
  <c r="P53" i="131"/>
  <c r="V53" i="131" s="1"/>
  <c r="AR70" i="131"/>
  <c r="AX70" i="131" s="1"/>
  <c r="AD70" i="131"/>
  <c r="AK70" i="131"/>
  <c r="W70" i="131"/>
  <c r="AC70" i="131" s="1"/>
  <c r="P70" i="131"/>
  <c r="V70" i="131" s="1"/>
  <c r="AK75" i="131"/>
  <c r="W75" i="131"/>
  <c r="AC75" i="131" s="1"/>
  <c r="AD75" i="131"/>
  <c r="AJ75" i="131" s="1"/>
  <c r="AR75" i="131"/>
  <c r="AX75" i="131" s="1"/>
  <c r="P75" i="131"/>
  <c r="AK43" i="131"/>
  <c r="W43" i="131"/>
  <c r="AR43" i="131"/>
  <c r="AD43" i="131"/>
  <c r="P43" i="131"/>
  <c r="V43" i="131" s="1"/>
  <c r="AK74" i="131"/>
  <c r="AQ74" i="131" s="1"/>
  <c r="AD74" i="131"/>
  <c r="AJ74" i="131" s="1"/>
  <c r="W74" i="131"/>
  <c r="AR74" i="131"/>
  <c r="P74" i="131"/>
  <c r="V74" i="131" s="1"/>
  <c r="AK73" i="131"/>
  <c r="AD73" i="131"/>
  <c r="W73" i="131"/>
  <c r="AC73" i="131" s="1"/>
  <c r="AR73" i="131"/>
  <c r="AX73" i="131" s="1"/>
  <c r="P73" i="131"/>
  <c r="V73" i="131" s="1"/>
  <c r="AK41" i="131"/>
  <c r="AQ41" i="131" s="1"/>
  <c r="AR41" i="131"/>
  <c r="W41" i="131"/>
  <c r="AC41" i="131" s="1"/>
  <c r="AD41" i="131"/>
  <c r="AJ41" i="131" s="1"/>
  <c r="P41" i="131"/>
  <c r="AD64" i="131"/>
  <c r="AJ64" i="131" s="1"/>
  <c r="AK64" i="131"/>
  <c r="AQ64" i="131" s="1"/>
  <c r="W64" i="131"/>
  <c r="AC64" i="131" s="1"/>
  <c r="AR64" i="131"/>
  <c r="P64" i="131"/>
  <c r="AD79" i="131"/>
  <c r="W79" i="131"/>
  <c r="AC79" i="131" s="1"/>
  <c r="AR79" i="131"/>
  <c r="AK79" i="131"/>
  <c r="AQ79" i="131" s="1"/>
  <c r="P79" i="131"/>
  <c r="V79" i="131" s="1"/>
  <c r="AK209" i="131"/>
  <c r="AQ209" i="131" s="1"/>
  <c r="AD209" i="131"/>
  <c r="AJ209" i="131" s="1"/>
  <c r="W209" i="131"/>
  <c r="AR209" i="131"/>
  <c r="P209" i="131"/>
  <c r="AR295" i="131"/>
  <c r="P295" i="131"/>
  <c r="V295" i="131" s="1"/>
  <c r="W295" i="131"/>
  <c r="AC295" i="131" s="1"/>
  <c r="AK295" i="131"/>
  <c r="AQ295" i="131" s="1"/>
  <c r="AD295" i="131"/>
  <c r="AD318" i="131"/>
  <c r="AR318" i="131"/>
  <c r="P318" i="131"/>
  <c r="V318" i="131" s="1"/>
  <c r="AK318" i="131"/>
  <c r="W318" i="131"/>
  <c r="AC318" i="131" s="1"/>
  <c r="AD286" i="131"/>
  <c r="AJ286" i="131" s="1"/>
  <c r="AR286" i="131"/>
  <c r="AX286" i="131" s="1"/>
  <c r="P286" i="131"/>
  <c r="AK286" i="131"/>
  <c r="W286" i="131"/>
  <c r="AC286" i="131" s="1"/>
  <c r="AR215" i="131"/>
  <c r="AX215" i="131" s="1"/>
  <c r="AK215" i="131"/>
  <c r="W215" i="131"/>
  <c r="AC215" i="131" s="1"/>
  <c r="AD215" i="131"/>
  <c r="AJ215" i="131" s="1"/>
  <c r="P215" i="131"/>
  <c r="V215" i="131" s="1"/>
  <c r="AK290" i="131"/>
  <c r="AQ290" i="131" s="1"/>
  <c r="AD290" i="131"/>
  <c r="P290" i="131"/>
  <c r="W290" i="131"/>
  <c r="AC290" i="131" s="1"/>
  <c r="AR290" i="131"/>
  <c r="AK283" i="131"/>
  <c r="AQ283" i="131" s="1"/>
  <c r="AD283" i="131"/>
  <c r="AJ283" i="131" s="1"/>
  <c r="AR283" i="131"/>
  <c r="AX283" i="131" s="1"/>
  <c r="W283" i="131"/>
  <c r="P283" i="131"/>
  <c r="AD301" i="131"/>
  <c r="AR301" i="131"/>
  <c r="AX301" i="131" s="1"/>
  <c r="P301" i="131"/>
  <c r="W301" i="131"/>
  <c r="AC301" i="131" s="1"/>
  <c r="AK301" i="131"/>
  <c r="AQ301" i="131" s="1"/>
  <c r="AK314" i="131"/>
  <c r="AQ314" i="131" s="1"/>
  <c r="AR314" i="131"/>
  <c r="AX314" i="131" s="1"/>
  <c r="P314" i="131"/>
  <c r="W314" i="131"/>
  <c r="AC314" i="131" s="1"/>
  <c r="AD314" i="131"/>
  <c r="AJ314" i="131" s="1"/>
  <c r="W320" i="131"/>
  <c r="AK320" i="131"/>
  <c r="AQ320" i="131" s="1"/>
  <c r="AD320" i="131"/>
  <c r="AJ320" i="131" s="1"/>
  <c r="AR320" i="131"/>
  <c r="AX320" i="131" s="1"/>
  <c r="P320" i="131"/>
  <c r="W288" i="131"/>
  <c r="AK288" i="131"/>
  <c r="AD288" i="131"/>
  <c r="AJ288" i="131" s="1"/>
  <c r="P288" i="131"/>
  <c r="V288" i="131" s="1"/>
  <c r="AR288" i="131"/>
  <c r="AX288" i="131" s="1"/>
  <c r="AR164" i="131"/>
  <c r="AX164" i="131" s="1"/>
  <c r="AD164" i="131"/>
  <c r="AJ164" i="131" s="1"/>
  <c r="P164" i="131"/>
  <c r="V164" i="131" s="1"/>
  <c r="AK164" i="131"/>
  <c r="W164" i="131"/>
  <c r="AR145" i="131"/>
  <c r="AX145" i="131" s="1"/>
  <c r="AD145" i="131"/>
  <c r="W145" i="131"/>
  <c r="AC145" i="131" s="1"/>
  <c r="P145" i="131"/>
  <c r="V145" i="131" s="1"/>
  <c r="AK145" i="131"/>
  <c r="AQ145" i="131" s="1"/>
  <c r="AK150" i="131"/>
  <c r="AQ150" i="131" s="1"/>
  <c r="W150" i="131"/>
  <c r="AR150" i="131"/>
  <c r="AX150" i="131" s="1"/>
  <c r="AD150" i="131"/>
  <c r="P150" i="131"/>
  <c r="AK57" i="131"/>
  <c r="AQ57" i="131" s="1"/>
  <c r="W57" i="131"/>
  <c r="AC57" i="131" s="1"/>
  <c r="AR57" i="131"/>
  <c r="AX57" i="131" s="1"/>
  <c r="AD57" i="131"/>
  <c r="AJ57" i="131" s="1"/>
  <c r="P57" i="131"/>
  <c r="AK42" i="131"/>
  <c r="AQ42" i="131" s="1"/>
  <c r="AD42" i="131"/>
  <c r="AR42" i="131"/>
  <c r="AX42" i="131" s="1"/>
  <c r="W42" i="131"/>
  <c r="AC42" i="131" s="1"/>
  <c r="P42" i="131"/>
  <c r="V42" i="131" s="1"/>
  <c r="W44" i="131"/>
  <c r="AC44" i="131" s="1"/>
  <c r="AR44" i="131"/>
  <c r="AX44" i="131" s="1"/>
  <c r="AD44" i="131"/>
  <c r="AK44" i="131"/>
  <c r="P44" i="131"/>
  <c r="AR218" i="131"/>
  <c r="AD218" i="131"/>
  <c r="AJ218" i="131" s="1"/>
  <c r="P218" i="131"/>
  <c r="V218" i="131" s="1"/>
  <c r="W218" i="131"/>
  <c r="AC218" i="131" s="1"/>
  <c r="AK218" i="131"/>
  <c r="AK217" i="131"/>
  <c r="AR217" i="131"/>
  <c r="P217" i="131"/>
  <c r="AD217" i="131"/>
  <c r="W217" i="131"/>
  <c r="AC217" i="131" s="1"/>
  <c r="AK199" i="131"/>
  <c r="AQ199" i="131" s="1"/>
  <c r="W199" i="131"/>
  <c r="AC199" i="131" s="1"/>
  <c r="AR199" i="131"/>
  <c r="AX199" i="131" s="1"/>
  <c r="P199" i="131"/>
  <c r="AD199" i="131"/>
  <c r="AK315" i="131"/>
  <c r="AD315" i="131"/>
  <c r="AR315" i="131"/>
  <c r="AX315" i="131" s="1"/>
  <c r="P315" i="131"/>
  <c r="V315" i="131" s="1"/>
  <c r="W315" i="131"/>
  <c r="AC315" i="131" s="1"/>
  <c r="AK282" i="131"/>
  <c r="AQ282" i="131" s="1"/>
  <c r="AR282" i="131"/>
  <c r="AD282" i="131"/>
  <c r="W282" i="131"/>
  <c r="AC282" i="131" s="1"/>
  <c r="P282" i="131"/>
  <c r="AD324" i="131"/>
  <c r="AJ324" i="131" s="1"/>
  <c r="AR324" i="131"/>
  <c r="AX324" i="131" s="1"/>
  <c r="P324" i="131"/>
  <c r="V324" i="131" s="1"/>
  <c r="W324" i="131"/>
  <c r="AK324" i="131"/>
  <c r="AD292" i="131"/>
  <c r="AR292" i="131"/>
  <c r="P292" i="131"/>
  <c r="AK292" i="131"/>
  <c r="AQ292" i="131" s="1"/>
  <c r="W292" i="131"/>
  <c r="AC292" i="131" s="1"/>
  <c r="W297" i="131"/>
  <c r="AC297" i="131" s="1"/>
  <c r="AK297" i="131"/>
  <c r="AR297" i="131"/>
  <c r="P297" i="131"/>
  <c r="V297" i="131" s="1"/>
  <c r="AD297" i="131"/>
  <c r="AJ297" i="131" s="1"/>
  <c r="AR147" i="131"/>
  <c r="AD147" i="131"/>
  <c r="AJ147" i="131" s="1"/>
  <c r="P147" i="131"/>
  <c r="V147" i="131" s="1"/>
  <c r="W147" i="131"/>
  <c r="AC147" i="131" s="1"/>
  <c r="AK147" i="131"/>
  <c r="AR140" i="131"/>
  <c r="AD140" i="131"/>
  <c r="P140" i="131"/>
  <c r="W140" i="131"/>
  <c r="AK140" i="131"/>
  <c r="AQ140" i="131" s="1"/>
  <c r="AR21" i="130"/>
  <c r="AX21" i="130" s="1"/>
  <c r="AK21" i="130"/>
  <c r="AQ21" i="130" s="1"/>
  <c r="AD21" i="130"/>
  <c r="P21" i="130"/>
  <c r="AR154" i="131"/>
  <c r="AD154" i="131"/>
  <c r="AJ154" i="131" s="1"/>
  <c r="P154" i="131"/>
  <c r="V154" i="131" s="1"/>
  <c r="AK154" i="131"/>
  <c r="AQ154" i="131" s="1"/>
  <c r="W154" i="131"/>
  <c r="AC154" i="131" s="1"/>
  <c r="AR19" i="130"/>
  <c r="AX19" i="130" s="1"/>
  <c r="AD19" i="130"/>
  <c r="P19" i="130"/>
  <c r="AK19" i="130"/>
  <c r="AK144" i="131"/>
  <c r="AQ144" i="131" s="1"/>
  <c r="W144" i="131"/>
  <c r="P144" i="131"/>
  <c r="V144" i="131" s="1"/>
  <c r="AR144" i="131"/>
  <c r="AX144" i="131" s="1"/>
  <c r="AD144" i="131"/>
  <c r="AJ144" i="131" s="1"/>
  <c r="P17" i="130"/>
  <c r="AD17" i="130"/>
  <c r="AR17" i="130"/>
  <c r="AK17" i="130"/>
  <c r="AQ17" i="130" s="1"/>
  <c r="BT22" i="130"/>
  <c r="BO22" i="130"/>
  <c r="BT55" i="130"/>
  <c r="BT59" i="130"/>
  <c r="BT47" i="130"/>
  <c r="BT43" i="130"/>
  <c r="BT27" i="130"/>
  <c r="BO27" i="130"/>
  <c r="BT39" i="130"/>
  <c r="BT31" i="130"/>
  <c r="BS31" i="130"/>
  <c r="BT54" i="130"/>
  <c r="BT23" i="130"/>
  <c r="BO23" i="130"/>
  <c r="BT38" i="130"/>
  <c r="BQ16" i="130"/>
  <c r="BP16" i="130"/>
  <c r="BT16" i="130"/>
  <c r="BO16" i="130"/>
  <c r="BR16" i="130"/>
  <c r="BS16" i="130"/>
  <c r="BO15" i="130"/>
  <c r="BT15" i="130"/>
  <c r="BR15" i="130"/>
  <c r="BQ15" i="130"/>
  <c r="BP15" i="130"/>
  <c r="BS15" i="130"/>
  <c r="BP14" i="130"/>
  <c r="BO14" i="130"/>
  <c r="BQ14" i="130"/>
  <c r="BS14" i="130"/>
  <c r="BT14" i="130"/>
  <c r="BR14" i="130"/>
  <c r="BQ54" i="131"/>
  <c r="BP54" i="131"/>
  <c r="BR54" i="131"/>
  <c r="BO54" i="131"/>
  <c r="BT54" i="131"/>
  <c r="BS54" i="131"/>
  <c r="P62" i="130"/>
  <c r="V62" i="130" s="1"/>
  <c r="N62" i="130"/>
  <c r="N41" i="130"/>
  <c r="N37" i="130"/>
  <c r="N51" i="130"/>
  <c r="N33" i="130"/>
  <c r="N29" i="130"/>
  <c r="N35" i="130"/>
  <c r="N44" i="130"/>
  <c r="N52" i="130"/>
  <c r="N50" i="130"/>
  <c r="N19" i="130"/>
  <c r="N17" i="130"/>
  <c r="N48" i="130"/>
  <c r="N46" i="130"/>
  <c r="N34" i="130"/>
  <c r="N30" i="130"/>
  <c r="N45" i="130"/>
  <c r="N40" i="130"/>
  <c r="N58" i="130"/>
  <c r="N61" i="130"/>
  <c r="N42" i="130"/>
  <c r="N57" i="130"/>
  <c r="N60" i="130"/>
  <c r="N53" i="130"/>
  <c r="N49" i="130"/>
  <c r="N56" i="130"/>
  <c r="N32" i="130"/>
  <c r="AJ36" i="131"/>
  <c r="N36" i="131"/>
  <c r="V36" i="131"/>
  <c r="AJ83" i="131"/>
  <c r="N83" i="131"/>
  <c r="V83" i="131"/>
  <c r="AX83" i="131"/>
  <c r="N39" i="131"/>
  <c r="AX39" i="131"/>
  <c r="AQ39" i="131"/>
  <c r="AJ39" i="131"/>
  <c r="AX78" i="131"/>
  <c r="N78" i="131"/>
  <c r="AQ78" i="131"/>
  <c r="AJ78" i="131"/>
  <c r="V46" i="131"/>
  <c r="AQ46" i="131"/>
  <c r="AJ46" i="131"/>
  <c r="N46" i="131"/>
  <c r="AC46" i="131"/>
  <c r="AX67" i="131"/>
  <c r="AQ67" i="131"/>
  <c r="AJ67" i="131"/>
  <c r="AC67" i="131"/>
  <c r="V67" i="131"/>
  <c r="N67" i="131"/>
  <c r="AQ35" i="131"/>
  <c r="AC35" i="131"/>
  <c r="N35" i="131"/>
  <c r="V35" i="131"/>
  <c r="V66" i="131"/>
  <c r="AJ66" i="131"/>
  <c r="N66" i="131"/>
  <c r="AX34" i="131"/>
  <c r="AQ34" i="131"/>
  <c r="AJ34" i="131"/>
  <c r="N34" i="131"/>
  <c r="AC34" i="131"/>
  <c r="AX56" i="131"/>
  <c r="AQ56" i="131"/>
  <c r="AJ56" i="131"/>
  <c r="N56" i="131"/>
  <c r="N47" i="131"/>
  <c r="AX47" i="131"/>
  <c r="AC47" i="131"/>
  <c r="AJ47" i="131"/>
  <c r="V47" i="131"/>
  <c r="AJ198" i="131"/>
  <c r="AX198" i="131"/>
  <c r="AC198" i="131"/>
  <c r="V198" i="131"/>
  <c r="N198" i="131"/>
  <c r="AQ195" i="131"/>
  <c r="AX195" i="131"/>
  <c r="N195" i="131"/>
  <c r="AX319" i="131"/>
  <c r="V319" i="131"/>
  <c r="N319" i="131"/>
  <c r="AC287" i="131"/>
  <c r="V287" i="131"/>
  <c r="AX287" i="131"/>
  <c r="AQ287" i="131"/>
  <c r="N287" i="131"/>
  <c r="V310" i="131"/>
  <c r="AJ310" i="131"/>
  <c r="AX310" i="131"/>
  <c r="AQ310" i="131"/>
  <c r="AC310" i="131"/>
  <c r="N310" i="131"/>
  <c r="AQ278" i="131"/>
  <c r="AC278" i="131"/>
  <c r="V278" i="131"/>
  <c r="N278" i="131"/>
  <c r="AX214" i="131"/>
  <c r="AQ214" i="131"/>
  <c r="N214" i="131"/>
  <c r="V296" i="131"/>
  <c r="AJ296" i="131"/>
  <c r="N296" i="131"/>
  <c r="AX325" i="131"/>
  <c r="AC325" i="131"/>
  <c r="V325" i="131"/>
  <c r="AQ325" i="131"/>
  <c r="AJ325" i="131"/>
  <c r="N325" i="131"/>
  <c r="AQ293" i="131"/>
  <c r="AC293" i="131"/>
  <c r="N293" i="131"/>
  <c r="AQ306" i="131"/>
  <c r="AJ306" i="131"/>
  <c r="AC306" i="131"/>
  <c r="N306" i="131"/>
  <c r="AC312" i="131"/>
  <c r="AX312" i="131"/>
  <c r="AQ312" i="131"/>
  <c r="N312" i="131"/>
  <c r="AX280" i="131"/>
  <c r="AQ280" i="131"/>
  <c r="AJ280" i="131"/>
  <c r="V280" i="131"/>
  <c r="N280" i="131"/>
  <c r="AX149" i="131"/>
  <c r="N149" i="131"/>
  <c r="V149" i="131"/>
  <c r="AC143" i="131"/>
  <c r="V143" i="131"/>
  <c r="AJ143" i="131"/>
  <c r="AX143" i="131"/>
  <c r="N143" i="131"/>
  <c r="V20" i="130"/>
  <c r="N20" i="130"/>
  <c r="AQ70" i="131"/>
  <c r="AJ70" i="131"/>
  <c r="N70" i="131"/>
  <c r="AJ65" i="131"/>
  <c r="V65" i="131"/>
  <c r="N65" i="131"/>
  <c r="AC61" i="131"/>
  <c r="AX61" i="131"/>
  <c r="AJ61" i="131"/>
  <c r="N61" i="131"/>
  <c r="V211" i="131"/>
  <c r="AQ211" i="131"/>
  <c r="AC211" i="131"/>
  <c r="N211" i="131"/>
  <c r="AX211" i="131"/>
  <c r="AC213" i="131"/>
  <c r="AX213" i="131"/>
  <c r="AJ213" i="131"/>
  <c r="N213" i="131"/>
  <c r="V212" i="131"/>
  <c r="AQ212" i="131"/>
  <c r="AX212" i="131"/>
  <c r="AJ212" i="131"/>
  <c r="N212" i="131"/>
  <c r="AC206" i="131"/>
  <c r="AJ206" i="131"/>
  <c r="N206" i="131"/>
  <c r="V206" i="131"/>
  <c r="AQ299" i="131"/>
  <c r="AJ299" i="131"/>
  <c r="V299" i="131"/>
  <c r="N299" i="131"/>
  <c r="AJ316" i="131"/>
  <c r="AC316" i="131"/>
  <c r="AX316" i="131"/>
  <c r="AQ316" i="131"/>
  <c r="V316" i="131"/>
  <c r="N316" i="131"/>
  <c r="V284" i="131"/>
  <c r="AX284" i="131"/>
  <c r="AC284" i="131"/>
  <c r="N284" i="131"/>
  <c r="AC321" i="131"/>
  <c r="AQ321" i="131"/>
  <c r="AJ321" i="131"/>
  <c r="N321" i="131"/>
  <c r="AJ289" i="131"/>
  <c r="AX289" i="131"/>
  <c r="AQ289" i="131"/>
  <c r="V289" i="131"/>
  <c r="N289" i="131"/>
  <c r="AX156" i="131"/>
  <c r="AQ156" i="131"/>
  <c r="N156" i="131"/>
  <c r="AQ160" i="131"/>
  <c r="AC160" i="131"/>
  <c r="V160" i="131"/>
  <c r="AX160" i="131"/>
  <c r="N160" i="131"/>
  <c r="AX142" i="131"/>
  <c r="AJ142" i="131"/>
  <c r="N142" i="131"/>
  <c r="V142" i="131"/>
  <c r="AR36" i="130"/>
  <c r="AX36" i="130" s="1"/>
  <c r="N36" i="130"/>
  <c r="N18" i="130"/>
  <c r="AJ53" i="131"/>
  <c r="N53" i="131"/>
  <c r="AC69" i="131"/>
  <c r="V69" i="131"/>
  <c r="N69" i="131"/>
  <c r="AX59" i="131"/>
  <c r="AQ59" i="131"/>
  <c r="AC59" i="131"/>
  <c r="N59" i="131"/>
  <c r="N55" i="131"/>
  <c r="AX55" i="131"/>
  <c r="AC55" i="131"/>
  <c r="AQ55" i="131"/>
  <c r="N71" i="131"/>
  <c r="AX71" i="131"/>
  <c r="AC71" i="131"/>
  <c r="AQ71" i="131"/>
  <c r="V57" i="131"/>
  <c r="N57" i="131"/>
  <c r="AX80" i="131"/>
  <c r="AC80" i="131"/>
  <c r="AQ80" i="131"/>
  <c r="AJ80" i="131"/>
  <c r="N80" i="131"/>
  <c r="AQ48" i="131"/>
  <c r="N48" i="131"/>
  <c r="AJ201" i="131"/>
  <c r="V201" i="131"/>
  <c r="AC201" i="131"/>
  <c r="N201" i="131"/>
  <c r="AJ311" i="131"/>
  <c r="AX311" i="131"/>
  <c r="N311" i="131"/>
  <c r="AX279" i="131"/>
  <c r="V279" i="131"/>
  <c r="N279" i="131"/>
  <c r="V302" i="131"/>
  <c r="AJ302" i="131"/>
  <c r="AC302" i="131"/>
  <c r="AX302" i="131"/>
  <c r="AQ302" i="131"/>
  <c r="N302" i="131"/>
  <c r="AX207" i="131"/>
  <c r="AJ207" i="131"/>
  <c r="AQ207" i="131"/>
  <c r="N207" i="131"/>
  <c r="V304" i="131"/>
  <c r="AJ304" i="131"/>
  <c r="AX304" i="131"/>
  <c r="N304" i="131"/>
  <c r="AX317" i="131"/>
  <c r="N317" i="131"/>
  <c r="V285" i="131"/>
  <c r="N285" i="131"/>
  <c r="AQ285" i="131"/>
  <c r="AX161" i="131"/>
  <c r="AJ161" i="131"/>
  <c r="V161" i="131"/>
  <c r="AC161" i="131"/>
  <c r="N161" i="131"/>
  <c r="AC155" i="131"/>
  <c r="AQ155" i="131"/>
  <c r="N155" i="131"/>
  <c r="AX146" i="131"/>
  <c r="V146" i="131"/>
  <c r="AJ146" i="131"/>
  <c r="N146" i="131"/>
  <c r="N52" i="131"/>
  <c r="V52" i="131"/>
  <c r="AQ52" i="131"/>
  <c r="AJ44" i="131"/>
  <c r="N44" i="131"/>
  <c r="AQ44" i="131"/>
  <c r="V44" i="131"/>
  <c r="AX76" i="131"/>
  <c r="AQ76" i="131"/>
  <c r="AJ76" i="131"/>
  <c r="V76" i="131"/>
  <c r="N76" i="131"/>
  <c r="AC37" i="131"/>
  <c r="V37" i="131"/>
  <c r="N37" i="131"/>
  <c r="AX38" i="131"/>
  <c r="AQ38" i="131"/>
  <c r="AJ38" i="131"/>
  <c r="N38" i="131"/>
  <c r="AX210" i="131"/>
  <c r="AQ210" i="131"/>
  <c r="AC210" i="131"/>
  <c r="N210" i="131"/>
  <c r="AC205" i="131"/>
  <c r="N205" i="131"/>
  <c r="AX205" i="131"/>
  <c r="V204" i="131"/>
  <c r="AQ204" i="131"/>
  <c r="AX204" i="131"/>
  <c r="AJ204" i="131"/>
  <c r="N204" i="131"/>
  <c r="AQ202" i="131"/>
  <c r="AC202" i="131"/>
  <c r="N202" i="131"/>
  <c r="V203" i="131"/>
  <c r="AX203" i="131"/>
  <c r="AJ203" i="131"/>
  <c r="N203" i="131"/>
  <c r="AC307" i="131"/>
  <c r="AJ307" i="131"/>
  <c r="V307" i="131"/>
  <c r="AX307" i="131"/>
  <c r="N307" i="131"/>
  <c r="AJ308" i="131"/>
  <c r="V308" i="131"/>
  <c r="N308" i="131"/>
  <c r="AC313" i="131"/>
  <c r="V313" i="131"/>
  <c r="AQ313" i="131"/>
  <c r="N313" i="131"/>
  <c r="AJ281" i="131"/>
  <c r="AX281" i="131"/>
  <c r="V281" i="131"/>
  <c r="N281" i="131"/>
  <c r="N141" i="131"/>
  <c r="AC141" i="131"/>
  <c r="AJ153" i="131"/>
  <c r="AX153" i="131"/>
  <c r="AQ153" i="131"/>
  <c r="V153" i="131"/>
  <c r="N153" i="131"/>
  <c r="P26" i="130"/>
  <c r="V26" i="130" s="1"/>
  <c r="N26" i="130"/>
  <c r="V151" i="131"/>
  <c r="AJ151" i="131"/>
  <c r="N151" i="131"/>
  <c r="AX158" i="131"/>
  <c r="AQ158" i="131"/>
  <c r="N158" i="131"/>
  <c r="V158" i="131"/>
  <c r="V58" i="131"/>
  <c r="AQ58" i="131"/>
  <c r="AJ58" i="131"/>
  <c r="AC58" i="131"/>
  <c r="N58" i="131"/>
  <c r="AJ42" i="131"/>
  <c r="N42" i="131"/>
  <c r="AC68" i="131"/>
  <c r="V68" i="131"/>
  <c r="N68" i="131"/>
  <c r="AQ68" i="131"/>
  <c r="AX68" i="131"/>
  <c r="N63" i="131"/>
  <c r="AJ63" i="131"/>
  <c r="V63" i="131"/>
  <c r="AX62" i="131"/>
  <c r="V62" i="131"/>
  <c r="N62" i="131"/>
  <c r="AJ51" i="131"/>
  <c r="N51" i="131"/>
  <c r="V51" i="131"/>
  <c r="AQ82" i="131"/>
  <c r="AJ82" i="131"/>
  <c r="N82" i="131"/>
  <c r="AC82" i="131"/>
  <c r="AX50" i="131"/>
  <c r="AQ50" i="131"/>
  <c r="AC50" i="131"/>
  <c r="N50" i="131"/>
  <c r="AQ81" i="131"/>
  <c r="AC81" i="131"/>
  <c r="AJ81" i="131"/>
  <c r="N81" i="131"/>
  <c r="V49" i="131"/>
  <c r="N49" i="131"/>
  <c r="AX49" i="131"/>
  <c r="AX72" i="131"/>
  <c r="AQ72" i="131"/>
  <c r="AC72" i="131"/>
  <c r="N72" i="131"/>
  <c r="AX40" i="131"/>
  <c r="AC40" i="131"/>
  <c r="N40" i="131"/>
  <c r="V40" i="131"/>
  <c r="AJ194" i="131"/>
  <c r="N194" i="131"/>
  <c r="AJ303" i="131"/>
  <c r="AX303" i="131"/>
  <c r="N303" i="131"/>
  <c r="AJ326" i="131"/>
  <c r="AX326" i="131"/>
  <c r="AC326" i="131"/>
  <c r="N326" i="131"/>
  <c r="AX294" i="131"/>
  <c r="N294" i="131"/>
  <c r="AJ216" i="131"/>
  <c r="AC216" i="131"/>
  <c r="V216" i="131"/>
  <c r="N216" i="131"/>
  <c r="AJ291" i="131"/>
  <c r="N291" i="131"/>
  <c r="AX208" i="131"/>
  <c r="AQ208" i="131"/>
  <c r="AC208" i="131"/>
  <c r="V208" i="131"/>
  <c r="N208" i="131"/>
  <c r="AX298" i="131"/>
  <c r="AQ298" i="131"/>
  <c r="AJ298" i="131"/>
  <c r="V298" i="131"/>
  <c r="N298" i="131"/>
  <c r="AQ309" i="131"/>
  <c r="AC309" i="131"/>
  <c r="N309" i="131"/>
  <c r="AQ277" i="131"/>
  <c r="AC277" i="131"/>
  <c r="N277" i="131"/>
  <c r="AQ322" i="131"/>
  <c r="V322" i="131"/>
  <c r="N322" i="131"/>
  <c r="AC163" i="131"/>
  <c r="AJ163" i="131"/>
  <c r="V163" i="131"/>
  <c r="N163" i="131"/>
  <c r="AQ159" i="131"/>
  <c r="AJ159" i="131"/>
  <c r="N159" i="131"/>
  <c r="AC148" i="131"/>
  <c r="AX148" i="131"/>
  <c r="N148" i="131"/>
  <c r="V162" i="131"/>
  <c r="AQ162" i="131"/>
  <c r="AJ162" i="131"/>
  <c r="N162" i="131"/>
  <c r="AJ152" i="131"/>
  <c r="AQ152" i="131"/>
  <c r="N152" i="131"/>
  <c r="AC60" i="131"/>
  <c r="N60" i="131"/>
  <c r="AX60" i="131"/>
  <c r="AQ60" i="131"/>
  <c r="AJ77" i="131"/>
  <c r="AQ77" i="131"/>
  <c r="V77" i="131"/>
  <c r="N77" i="131"/>
  <c r="AX45" i="131"/>
  <c r="N45" i="131"/>
  <c r="AQ219" i="131"/>
  <c r="AJ219" i="131"/>
  <c r="V219" i="131"/>
  <c r="N219" i="131"/>
  <c r="AX219" i="131"/>
  <c r="AQ197" i="131"/>
  <c r="AJ197" i="131"/>
  <c r="N197" i="131"/>
  <c r="AX196" i="131"/>
  <c r="V196" i="131"/>
  <c r="N196" i="131"/>
  <c r="AX200" i="131"/>
  <c r="AJ200" i="131"/>
  <c r="AC200" i="131"/>
  <c r="V200" i="131"/>
  <c r="N200" i="131"/>
  <c r="AX323" i="131"/>
  <c r="AQ323" i="131"/>
  <c r="N323" i="131"/>
  <c r="AJ300" i="131"/>
  <c r="AC300" i="131"/>
  <c r="AX300" i="131"/>
  <c r="N300" i="131"/>
  <c r="V305" i="131"/>
  <c r="AX305" i="131"/>
  <c r="AJ305" i="131"/>
  <c r="N305" i="131"/>
  <c r="AJ157" i="131"/>
  <c r="N157" i="131"/>
  <c r="P24" i="130"/>
  <c r="V24" i="130" s="1"/>
  <c r="N24" i="130"/>
  <c r="AQ75" i="131"/>
  <c r="V75" i="131"/>
  <c r="N75" i="131"/>
  <c r="AX43" i="131"/>
  <c r="AQ43" i="131"/>
  <c r="AJ43" i="131"/>
  <c r="AC43" i="131"/>
  <c r="N43" i="131"/>
  <c r="AX74" i="131"/>
  <c r="AC74" i="131"/>
  <c r="N74" i="131"/>
  <c r="AQ73" i="131"/>
  <c r="AJ73" i="131"/>
  <c r="N73" i="131"/>
  <c r="V41" i="131"/>
  <c r="N41" i="131"/>
  <c r="AX41" i="131"/>
  <c r="AX64" i="131"/>
  <c r="N64" i="131"/>
  <c r="V64" i="131"/>
  <c r="AX79" i="131"/>
  <c r="AJ79" i="131"/>
  <c r="N79" i="131"/>
  <c r="AC209" i="131"/>
  <c r="V209" i="131"/>
  <c r="AX209" i="131"/>
  <c r="N209" i="131"/>
  <c r="AJ295" i="131"/>
  <c r="AX295" i="131"/>
  <c r="N295" i="131"/>
  <c r="AJ318" i="131"/>
  <c r="AX318" i="131"/>
  <c r="AQ318" i="131"/>
  <c r="N318" i="131"/>
  <c r="AQ286" i="131"/>
  <c r="V286" i="131"/>
  <c r="N286" i="131"/>
  <c r="AQ215" i="131"/>
  <c r="N215" i="131"/>
  <c r="AX290" i="131"/>
  <c r="AJ290" i="131"/>
  <c r="V290" i="131"/>
  <c r="N290" i="131"/>
  <c r="AC283" i="131"/>
  <c r="V283" i="131"/>
  <c r="N283" i="131"/>
  <c r="AJ301" i="131"/>
  <c r="V301" i="131"/>
  <c r="N301" i="131"/>
  <c r="V314" i="131"/>
  <c r="N314" i="131"/>
  <c r="V320" i="131"/>
  <c r="AC320" i="131"/>
  <c r="N320" i="131"/>
  <c r="AC288" i="131"/>
  <c r="AQ288" i="131"/>
  <c r="N288" i="131"/>
  <c r="AQ164" i="131"/>
  <c r="AC164" i="131"/>
  <c r="N164" i="131"/>
  <c r="AJ145" i="131"/>
  <c r="N145" i="131"/>
  <c r="P25" i="130"/>
  <c r="V25" i="130" s="1"/>
  <c r="N25" i="130"/>
  <c r="V150" i="131"/>
  <c r="AJ150" i="131"/>
  <c r="N150" i="131"/>
  <c r="AC150" i="131"/>
  <c r="P28" i="130"/>
  <c r="V28" i="130" s="1"/>
  <c r="N28" i="130"/>
  <c r="AQ218" i="131"/>
  <c r="AX218" i="131"/>
  <c r="N218" i="131"/>
  <c r="V217" i="131"/>
  <c r="AX217" i="131"/>
  <c r="AJ217" i="131"/>
  <c r="AQ217" i="131"/>
  <c r="N217" i="131"/>
  <c r="V199" i="131"/>
  <c r="AJ199" i="131"/>
  <c r="N199" i="131"/>
  <c r="AQ315" i="131"/>
  <c r="AJ315" i="131"/>
  <c r="N315" i="131"/>
  <c r="AX282" i="131"/>
  <c r="AJ282" i="131"/>
  <c r="V282" i="131"/>
  <c r="N282" i="131"/>
  <c r="AC324" i="131"/>
  <c r="AQ324" i="131"/>
  <c r="N324" i="131"/>
  <c r="AJ292" i="131"/>
  <c r="AX292" i="131"/>
  <c r="V292" i="131"/>
  <c r="N292" i="131"/>
  <c r="AQ297" i="131"/>
  <c r="AX297" i="131"/>
  <c r="N297" i="131"/>
  <c r="AX147" i="131"/>
  <c r="AQ147" i="131"/>
  <c r="N147" i="131"/>
  <c r="AJ140" i="131"/>
  <c r="AC140" i="131"/>
  <c r="V140" i="131"/>
  <c r="AX140" i="131"/>
  <c r="N140" i="131"/>
  <c r="V21" i="130"/>
  <c r="N21" i="130"/>
  <c r="AX154" i="131"/>
  <c r="N154" i="131"/>
  <c r="AC144" i="131"/>
  <c r="N144" i="131"/>
  <c r="V17" i="130"/>
  <c r="AJ17" i="130"/>
  <c r="AC17" i="130"/>
  <c r="V19" i="130"/>
  <c r="AK27" i="130"/>
  <c r="AQ27" i="130" s="1"/>
  <c r="AK55" i="130"/>
  <c r="AQ55" i="130" s="1"/>
  <c r="W39" i="130"/>
  <c r="AC39" i="130" s="1"/>
  <c r="AJ23" i="130"/>
  <c r="AD38" i="130"/>
  <c r="AJ38" i="130" s="1"/>
  <c r="AC22" i="130"/>
  <c r="AR43" i="130"/>
  <c r="AX43" i="130" s="1"/>
  <c r="W47" i="130"/>
  <c r="AC47" i="130" s="1"/>
  <c r="AR39" i="130"/>
  <c r="AX39" i="130" s="1"/>
  <c r="AR38" i="130"/>
  <c r="AX38" i="130" s="1"/>
  <c r="P59" i="130"/>
  <c r="V59" i="130" s="1"/>
  <c r="W43" i="130"/>
  <c r="AC43" i="130" s="1"/>
  <c r="AD47" i="130"/>
  <c r="AJ47" i="130" s="1"/>
  <c r="AK39" i="130"/>
  <c r="AQ39" i="130" s="1"/>
  <c r="W23" i="130"/>
  <c r="AC23" i="130" s="1"/>
  <c r="AD54" i="130"/>
  <c r="AJ54" i="130" s="1"/>
  <c r="P38" i="130"/>
  <c r="V38" i="130" s="1"/>
  <c r="AR59" i="130"/>
  <c r="AX59" i="130" s="1"/>
  <c r="AK43" i="130"/>
  <c r="AQ43" i="130" s="1"/>
  <c r="AK47" i="130"/>
  <c r="AQ47" i="130" s="1"/>
  <c r="W31" i="130"/>
  <c r="AC31" i="130" s="1"/>
  <c r="AX23" i="130"/>
  <c r="AK54" i="130"/>
  <c r="AQ54" i="130" s="1"/>
  <c r="W38" i="130"/>
  <c r="AC38" i="130" s="1"/>
  <c r="W59" i="130"/>
  <c r="AC59" i="130" s="1"/>
  <c r="P55" i="130"/>
  <c r="V55" i="130" s="1"/>
  <c r="AR47" i="130"/>
  <c r="AX47" i="130" s="1"/>
  <c r="AD31" i="130"/>
  <c r="AJ31" i="130" s="1"/>
  <c r="AQ23" i="130"/>
  <c r="AR54" i="130"/>
  <c r="AX54" i="130" s="1"/>
  <c r="AJ22" i="130"/>
  <c r="AD59" i="130"/>
  <c r="AJ59" i="130" s="1"/>
  <c r="AR27" i="130"/>
  <c r="AX27" i="130" s="1"/>
  <c r="W55" i="130"/>
  <c r="AC55" i="130" s="1"/>
  <c r="P47" i="130"/>
  <c r="V47" i="130" s="1"/>
  <c r="AK31" i="130"/>
  <c r="AQ31" i="130" s="1"/>
  <c r="P54" i="130"/>
  <c r="V54" i="130" s="1"/>
  <c r="AQ22" i="130"/>
  <c r="AK59" i="130"/>
  <c r="AQ59" i="130" s="1"/>
  <c r="AD27" i="130"/>
  <c r="AJ27" i="130" s="1"/>
  <c r="AR55" i="130"/>
  <c r="AX55" i="130" s="1"/>
  <c r="P39" i="130"/>
  <c r="V39" i="130" s="1"/>
  <c r="W54" i="130"/>
  <c r="AC54" i="130" s="1"/>
  <c r="AX22" i="130"/>
  <c r="AD43" i="130"/>
  <c r="AJ43" i="130" s="1"/>
  <c r="W27" i="130"/>
  <c r="AC27" i="130" s="1"/>
  <c r="AD55" i="130"/>
  <c r="AJ55" i="130" s="1"/>
  <c r="AD39" i="130"/>
  <c r="AJ39" i="130" s="1"/>
  <c r="P31" i="130"/>
  <c r="V31" i="130" s="1"/>
  <c r="AK38" i="130"/>
  <c r="AQ38" i="130" s="1"/>
  <c r="P43" i="130"/>
  <c r="V43" i="130" s="1"/>
  <c r="AC20" i="130"/>
  <c r="AX20" i="130"/>
  <c r="AQ20" i="130"/>
  <c r="AJ20" i="130"/>
  <c r="W61" i="130"/>
  <c r="AC61" i="130" s="1"/>
  <c r="P61" i="130"/>
  <c r="V61" i="130" s="1"/>
  <c r="AR61" i="130"/>
  <c r="AX61" i="130" s="1"/>
  <c r="AK61" i="130"/>
  <c r="AQ61" i="130" s="1"/>
  <c r="AD61" i="130"/>
  <c r="AJ61" i="130" s="1"/>
  <c r="AD42" i="130"/>
  <c r="AJ42" i="130" s="1"/>
  <c r="P42" i="130"/>
  <c r="V42" i="130" s="1"/>
  <c r="AR42" i="130"/>
  <c r="AX42" i="130" s="1"/>
  <c r="AK42" i="130"/>
  <c r="AQ42" i="130" s="1"/>
  <c r="W42" i="130"/>
  <c r="AC42" i="130" s="1"/>
  <c r="AR57" i="130"/>
  <c r="AX57" i="130" s="1"/>
  <c r="W57" i="130"/>
  <c r="AC57" i="130" s="1"/>
  <c r="P57" i="130"/>
  <c r="V57" i="130" s="1"/>
  <c r="AK57" i="130"/>
  <c r="AQ57" i="130" s="1"/>
  <c r="AD57" i="130"/>
  <c r="AJ57" i="130" s="1"/>
  <c r="AK60" i="130"/>
  <c r="AQ60" i="130" s="1"/>
  <c r="AD60" i="130"/>
  <c r="AJ60" i="130" s="1"/>
  <c r="AR60" i="130"/>
  <c r="AX60" i="130" s="1"/>
  <c r="W60" i="130"/>
  <c r="AC60" i="130" s="1"/>
  <c r="P60" i="130"/>
  <c r="V60" i="130" s="1"/>
  <c r="AK53" i="130"/>
  <c r="AQ53" i="130" s="1"/>
  <c r="AD53" i="130"/>
  <c r="AJ53" i="130" s="1"/>
  <c r="AR53" i="130"/>
  <c r="AX53" i="130" s="1"/>
  <c r="P53" i="130"/>
  <c r="V53" i="130" s="1"/>
  <c r="W53" i="130"/>
  <c r="AC53" i="130" s="1"/>
  <c r="AD26" i="130"/>
  <c r="AJ26" i="130" s="1"/>
  <c r="AR26" i="130"/>
  <c r="AX26" i="130" s="1"/>
  <c r="AK26" i="130"/>
  <c r="AQ26" i="130" s="1"/>
  <c r="W26" i="130"/>
  <c r="AC26" i="130" s="1"/>
  <c r="AR49" i="130"/>
  <c r="AX49" i="130" s="1"/>
  <c r="AK49" i="130"/>
  <c r="AQ49" i="130" s="1"/>
  <c r="AD49" i="130"/>
  <c r="AJ49" i="130" s="1"/>
  <c r="P49" i="130"/>
  <c r="V49" i="130" s="1"/>
  <c r="W49" i="130"/>
  <c r="AC49" i="130" s="1"/>
  <c r="AR56" i="130"/>
  <c r="AX56" i="130" s="1"/>
  <c r="AK56" i="130"/>
  <c r="AQ56" i="130" s="1"/>
  <c r="AD56" i="130"/>
  <c r="AJ56" i="130" s="1"/>
  <c r="W56" i="130"/>
  <c r="AC56" i="130" s="1"/>
  <c r="P56" i="130"/>
  <c r="V56" i="130" s="1"/>
  <c r="AR32" i="130"/>
  <c r="AX32" i="130" s="1"/>
  <c r="AD32" i="130"/>
  <c r="AJ32" i="130" s="1"/>
  <c r="P32" i="130"/>
  <c r="V32" i="130" s="1"/>
  <c r="W32" i="130"/>
  <c r="AC32" i="130" s="1"/>
  <c r="AK32" i="130"/>
  <c r="AQ32" i="130" s="1"/>
  <c r="AK62" i="130"/>
  <c r="AQ62" i="130" s="1"/>
  <c r="AR62" i="130"/>
  <c r="AX62" i="130" s="1"/>
  <c r="AD62" i="130"/>
  <c r="AJ62" i="130" s="1"/>
  <c r="W62" i="130"/>
  <c r="AC62" i="130" s="1"/>
  <c r="W45" i="130"/>
  <c r="AC45" i="130" s="1"/>
  <c r="P45" i="130"/>
  <c r="V45" i="130" s="1"/>
  <c r="AR45" i="130"/>
  <c r="AX45" i="130" s="1"/>
  <c r="AK45" i="130"/>
  <c r="AQ45" i="130" s="1"/>
  <c r="AD45" i="130"/>
  <c r="AJ45" i="130" s="1"/>
  <c r="AR41" i="130"/>
  <c r="AX41" i="130" s="1"/>
  <c r="W41" i="130"/>
  <c r="AC41" i="130" s="1"/>
  <c r="P41" i="130"/>
  <c r="V41" i="130" s="1"/>
  <c r="AK41" i="130"/>
  <c r="AQ41" i="130" s="1"/>
  <c r="AD41" i="130"/>
  <c r="AJ41" i="130" s="1"/>
  <c r="AR40" i="130"/>
  <c r="AX40" i="130" s="1"/>
  <c r="AK40" i="130"/>
  <c r="AQ40" i="130" s="1"/>
  <c r="AD40" i="130"/>
  <c r="AJ40" i="130" s="1"/>
  <c r="W40" i="130"/>
  <c r="AC40" i="130" s="1"/>
  <c r="P40" i="130"/>
  <c r="V40" i="130" s="1"/>
  <c r="AR30" i="130"/>
  <c r="AX30" i="130" s="1"/>
  <c r="AD30" i="130"/>
  <c r="AJ30" i="130" s="1"/>
  <c r="P30" i="130"/>
  <c r="V30" i="130" s="1"/>
  <c r="AK30" i="130"/>
  <c r="AQ30" i="130" s="1"/>
  <c r="W30" i="130"/>
  <c r="AC30" i="130" s="1"/>
  <c r="AD58" i="130"/>
  <c r="AJ58" i="130" s="1"/>
  <c r="W58" i="130"/>
  <c r="AC58" i="130" s="1"/>
  <c r="P58" i="130"/>
  <c r="V58" i="130" s="1"/>
  <c r="AK58" i="130"/>
  <c r="AQ58" i="130" s="1"/>
  <c r="AR58" i="130"/>
  <c r="AX58" i="130" s="1"/>
  <c r="W36" i="130"/>
  <c r="AC36" i="130" s="1"/>
  <c r="AK36" i="130"/>
  <c r="AQ36" i="130" s="1"/>
  <c r="AD36" i="130"/>
  <c r="AJ36" i="130" s="1"/>
  <c r="P36" i="130"/>
  <c r="V36" i="130" s="1"/>
  <c r="AJ18" i="130"/>
  <c r="AX18" i="130"/>
  <c r="AC18" i="130"/>
  <c r="AD37" i="130"/>
  <c r="AJ37" i="130" s="1"/>
  <c r="AR37" i="130"/>
  <c r="AX37" i="130" s="1"/>
  <c r="P37" i="130"/>
  <c r="V37" i="130" s="1"/>
  <c r="AK37" i="130"/>
  <c r="AQ37" i="130" s="1"/>
  <c r="W37" i="130"/>
  <c r="AC37" i="130" s="1"/>
  <c r="P51" i="130"/>
  <c r="V51" i="130" s="1"/>
  <c r="AR51" i="130"/>
  <c r="AX51" i="130" s="1"/>
  <c r="AD51" i="130"/>
  <c r="AJ51" i="130" s="1"/>
  <c r="W51" i="130"/>
  <c r="AC51" i="130" s="1"/>
  <c r="AK51" i="130"/>
  <c r="AQ51" i="130" s="1"/>
  <c r="AR33" i="130"/>
  <c r="AX33" i="130" s="1"/>
  <c r="AK33" i="130"/>
  <c r="AQ33" i="130" s="1"/>
  <c r="AD33" i="130"/>
  <c r="AJ33" i="130" s="1"/>
  <c r="P33" i="130"/>
  <c r="V33" i="130" s="1"/>
  <c r="W33" i="130"/>
  <c r="AC33" i="130" s="1"/>
  <c r="AX24" i="130"/>
  <c r="AK24" i="130"/>
  <c r="AQ24" i="130" s="1"/>
  <c r="AJ24" i="130"/>
  <c r="W24" i="130"/>
  <c r="AC24" i="130" s="1"/>
  <c r="W29" i="130"/>
  <c r="AC29" i="130" s="1"/>
  <c r="P29" i="130"/>
  <c r="V29" i="130" s="1"/>
  <c r="AR29" i="130"/>
  <c r="AX29" i="130" s="1"/>
  <c r="AD29" i="130"/>
  <c r="AJ29" i="130" s="1"/>
  <c r="AK29" i="130"/>
  <c r="AQ29" i="130" s="1"/>
  <c r="P35" i="130"/>
  <c r="V35" i="130" s="1"/>
  <c r="AK35" i="130"/>
  <c r="AQ35" i="130" s="1"/>
  <c r="AR35" i="130"/>
  <c r="AX35" i="130" s="1"/>
  <c r="AD35" i="130"/>
  <c r="AJ35" i="130" s="1"/>
  <c r="W35" i="130"/>
  <c r="AC35" i="130" s="1"/>
  <c r="AR25" i="130"/>
  <c r="AX25" i="130" s="1"/>
  <c r="W25" i="130"/>
  <c r="AC25" i="130" s="1"/>
  <c r="AK25" i="130"/>
  <c r="AQ25" i="130" s="1"/>
  <c r="AJ25" i="130"/>
  <c r="AD28" i="130"/>
  <c r="AJ28" i="130" s="1"/>
  <c r="AR28" i="130"/>
  <c r="AX28" i="130" s="1"/>
  <c r="W28" i="130"/>
  <c r="AC28" i="130" s="1"/>
  <c r="AK28" i="130"/>
  <c r="AQ28" i="130" s="1"/>
  <c r="AD44" i="130"/>
  <c r="AJ44" i="130" s="1"/>
  <c r="AR44" i="130"/>
  <c r="AX44" i="130" s="1"/>
  <c r="W44" i="130"/>
  <c r="AC44" i="130" s="1"/>
  <c r="AK44" i="130"/>
  <c r="AQ44" i="130" s="1"/>
  <c r="P44" i="130"/>
  <c r="V44" i="130" s="1"/>
  <c r="W52" i="130"/>
  <c r="AC52" i="130" s="1"/>
  <c r="P52" i="130"/>
  <c r="V52" i="130" s="1"/>
  <c r="AR52" i="130"/>
  <c r="AX52" i="130" s="1"/>
  <c r="AK52" i="130"/>
  <c r="AQ52" i="130" s="1"/>
  <c r="AD52" i="130"/>
  <c r="AJ52" i="130" s="1"/>
  <c r="AJ21" i="130"/>
  <c r="AC21" i="130"/>
  <c r="AJ19" i="130"/>
  <c r="AC19" i="130"/>
  <c r="AQ19" i="130"/>
  <c r="AX17" i="130"/>
  <c r="AR48" i="130"/>
  <c r="AX48" i="130" s="1"/>
  <c r="AD48" i="130"/>
  <c r="AJ48" i="130" s="1"/>
  <c r="W48" i="130"/>
  <c r="AC48" i="130" s="1"/>
  <c r="P48" i="130"/>
  <c r="V48" i="130" s="1"/>
  <c r="AK48" i="130"/>
  <c r="AQ48" i="130" s="1"/>
  <c r="AK46" i="130"/>
  <c r="AQ46" i="130" s="1"/>
  <c r="AR46" i="130"/>
  <c r="AX46" i="130" s="1"/>
  <c r="AD46" i="130"/>
  <c r="AJ46" i="130" s="1"/>
  <c r="P46" i="130"/>
  <c r="V46" i="130" s="1"/>
  <c r="W46" i="130"/>
  <c r="AC46" i="130" s="1"/>
  <c r="AD34" i="130"/>
  <c r="AJ34" i="130" s="1"/>
  <c r="W34" i="130"/>
  <c r="AC34" i="130" s="1"/>
  <c r="P34" i="130"/>
  <c r="V34" i="130" s="1"/>
  <c r="AR34" i="130"/>
  <c r="AX34" i="130" s="1"/>
  <c r="AK34" i="130"/>
  <c r="AQ34" i="130" s="1"/>
  <c r="AK50" i="130"/>
  <c r="AQ50" i="130" s="1"/>
  <c r="AR50" i="130"/>
  <c r="AX50" i="130" s="1"/>
  <c r="AD50" i="130"/>
  <c r="AJ50" i="130" s="1"/>
  <c r="W50" i="130"/>
  <c r="AC50" i="130" s="1"/>
  <c r="P50" i="130"/>
  <c r="V50" i="130" s="1"/>
  <c r="Q25" i="98"/>
  <c r="Q24" i="98"/>
  <c r="Q23" i="98"/>
  <c r="Q22" i="98"/>
  <c r="Q21" i="98"/>
  <c r="Q17" i="98"/>
  <c r="V5" i="98"/>
  <c r="U22" i="98"/>
  <c r="U18" i="98"/>
  <c r="U14" i="98"/>
  <c r="BL649" i="131" a="1"/>
  <c r="BL649" i="131" s="1"/>
  <c r="BK649" i="131" a="1"/>
  <c r="BK649" i="131" s="1"/>
  <c r="AP649" i="131"/>
  <c r="AI649" i="131"/>
  <c r="AB649" i="131"/>
  <c r="U649" i="131"/>
  <c r="L649" i="131" a="1"/>
  <c r="L649" i="131" s="1"/>
  <c r="BU649" i="131" s="1"/>
  <c r="BL648" i="131" a="1"/>
  <c r="BL648" i="131" s="1"/>
  <c r="BK648" i="131" a="1"/>
  <c r="BK648" i="131" s="1"/>
  <c r="AP648" i="131"/>
  <c r="AI648" i="131"/>
  <c r="AB648" i="131"/>
  <c r="U648" i="131"/>
  <c r="L648" i="131" a="1"/>
  <c r="L648" i="131" s="1"/>
  <c r="BL647" i="131" a="1"/>
  <c r="BL647" i="131" s="1"/>
  <c r="BK647" i="131" a="1"/>
  <c r="BK647" i="131" s="1"/>
  <c r="AP647" i="131"/>
  <c r="AI647" i="131"/>
  <c r="AB647" i="131"/>
  <c r="U647" i="131"/>
  <c r="BF647" i="131" s="1"/>
  <c r="L647" i="131" a="1"/>
  <c r="L647" i="131" s="1"/>
  <c r="BL646" i="131" a="1"/>
  <c r="BL646" i="131" s="1"/>
  <c r="BK646" i="131" a="1"/>
  <c r="BK646" i="131" s="1"/>
  <c r="AP646" i="131"/>
  <c r="AI646" i="131"/>
  <c r="AB646" i="131"/>
  <c r="U646" i="131"/>
  <c r="L646" i="131" a="1"/>
  <c r="L646" i="131" s="1"/>
  <c r="BL645" i="131" a="1"/>
  <c r="BL645" i="131" s="1"/>
  <c r="AP645" i="131"/>
  <c r="AI645" i="131"/>
  <c r="AB645" i="131"/>
  <c r="U645" i="131"/>
  <c r="L645" i="131" a="1"/>
  <c r="L645" i="131" s="1"/>
  <c r="BL644" i="131" a="1"/>
  <c r="BL644" i="131" s="1"/>
  <c r="AP644" i="131"/>
  <c r="AI644" i="131"/>
  <c r="AB644" i="131"/>
  <c r="U644" i="131"/>
  <c r="L644" i="131" a="1"/>
  <c r="L644" i="131" s="1"/>
  <c r="BL643" i="131" a="1"/>
  <c r="BL643" i="131" s="1"/>
  <c r="AP643" i="131"/>
  <c r="AI643" i="131"/>
  <c r="AB643" i="131"/>
  <c r="U643" i="131"/>
  <c r="L643" i="131" a="1"/>
  <c r="L643" i="131" s="1"/>
  <c r="BL642" i="131" a="1"/>
  <c r="BL642" i="131" s="1"/>
  <c r="AP642" i="131"/>
  <c r="AI642" i="131"/>
  <c r="AB642" i="131"/>
  <c r="U642" i="131"/>
  <c r="L642" i="131" a="1"/>
  <c r="L642" i="131" s="1"/>
  <c r="BL641" i="131" a="1"/>
  <c r="BL641" i="131" s="1"/>
  <c r="AP641" i="131"/>
  <c r="AI641" i="131"/>
  <c r="AB641" i="131"/>
  <c r="U641" i="131"/>
  <c r="L641" i="131" a="1"/>
  <c r="L641" i="131" s="1"/>
  <c r="BL640" i="131" a="1"/>
  <c r="BL640" i="131" s="1"/>
  <c r="BK640" i="131" a="1"/>
  <c r="BK640" i="131" s="1"/>
  <c r="AP640" i="131"/>
  <c r="AI640" i="131"/>
  <c r="AB640" i="131"/>
  <c r="U640" i="131"/>
  <c r="L640" i="131" a="1"/>
  <c r="L640" i="131" s="1"/>
  <c r="M640" i="131" s="1"/>
  <c r="BL639" i="131" a="1"/>
  <c r="BL639" i="131" s="1"/>
  <c r="BK639" i="131" a="1"/>
  <c r="BK639" i="131" s="1"/>
  <c r="AP639" i="131"/>
  <c r="AI639" i="131"/>
  <c r="AB639" i="131"/>
  <c r="U639" i="131"/>
  <c r="BF639" i="131" s="1"/>
  <c r="L639" i="131" a="1"/>
  <c r="L639" i="131" s="1"/>
  <c r="O639" i="131" s="1"/>
  <c r="BL638" i="131" a="1"/>
  <c r="BL638" i="131" s="1"/>
  <c r="BK638" i="131" a="1"/>
  <c r="BK638" i="131" s="1"/>
  <c r="AP638" i="131"/>
  <c r="AI638" i="131"/>
  <c r="AB638" i="131"/>
  <c r="U638" i="131"/>
  <c r="BF638" i="131" s="1"/>
  <c r="L638" i="131" a="1"/>
  <c r="L638" i="131" s="1"/>
  <c r="BL637" i="131" a="1"/>
  <c r="BL637" i="131" s="1"/>
  <c r="BK637" i="131" a="1"/>
  <c r="BK637" i="131" s="1"/>
  <c r="AP637" i="131"/>
  <c r="AI637" i="131"/>
  <c r="AB637" i="131"/>
  <c r="U637" i="131"/>
  <c r="L637" i="131" a="1"/>
  <c r="L637" i="131" s="1"/>
  <c r="BL636" i="131" a="1"/>
  <c r="BL636" i="131" s="1"/>
  <c r="BK636" i="131" a="1"/>
  <c r="BK636" i="131" s="1"/>
  <c r="AP636" i="131"/>
  <c r="AI636" i="131"/>
  <c r="AB636" i="131"/>
  <c r="U636" i="131"/>
  <c r="L636" i="131" a="1"/>
  <c r="L636" i="131" s="1"/>
  <c r="BL635" i="131" a="1"/>
  <c r="BL635" i="131" s="1"/>
  <c r="BK635" i="131" a="1"/>
  <c r="BK635" i="131" s="1"/>
  <c r="AP635" i="131"/>
  <c r="AI635" i="131"/>
  <c r="AB635" i="131"/>
  <c r="U635" i="131"/>
  <c r="L635" i="131" a="1"/>
  <c r="L635" i="131" s="1"/>
  <c r="BL634" i="131" a="1"/>
  <c r="BL634" i="131" s="1"/>
  <c r="BK634" i="131" a="1"/>
  <c r="BK634" i="131" s="1"/>
  <c r="AP634" i="131"/>
  <c r="AI634" i="131"/>
  <c r="AB634" i="131"/>
  <c r="U634" i="131"/>
  <c r="L634" i="131" a="1"/>
  <c r="L634" i="131" s="1"/>
  <c r="O634" i="131" s="1"/>
  <c r="BL633" i="131" a="1"/>
  <c r="BL633" i="131" s="1"/>
  <c r="BK633" i="131" a="1"/>
  <c r="BK633" i="131" s="1"/>
  <c r="AP633" i="131"/>
  <c r="AI633" i="131"/>
  <c r="AB633" i="131"/>
  <c r="U633" i="131"/>
  <c r="L633" i="131" a="1"/>
  <c r="L633" i="131" s="1"/>
  <c r="BL632" i="131" a="1"/>
  <c r="BL632" i="131" s="1"/>
  <c r="BK632" i="131" a="1"/>
  <c r="BK632" i="131" s="1"/>
  <c r="AP632" i="131"/>
  <c r="AI632" i="131"/>
  <c r="AB632" i="131"/>
  <c r="U632" i="131"/>
  <c r="L632" i="131" a="1"/>
  <c r="L632" i="131" s="1"/>
  <c r="BL631" i="131" a="1"/>
  <c r="BL631" i="131" s="1"/>
  <c r="BK631" i="131" a="1"/>
  <c r="BK631" i="131" s="1"/>
  <c r="AP631" i="131"/>
  <c r="AI631" i="131"/>
  <c r="AB631" i="131"/>
  <c r="U631" i="131"/>
  <c r="BF631" i="131" s="1"/>
  <c r="L631" i="131" a="1"/>
  <c r="L631" i="131" s="1"/>
  <c r="BL630" i="131" a="1"/>
  <c r="BL630" i="131" s="1"/>
  <c r="BK630" i="131" a="1"/>
  <c r="BK630" i="131" s="1"/>
  <c r="AP630" i="131"/>
  <c r="AI630" i="131"/>
  <c r="AB630" i="131"/>
  <c r="U630" i="131"/>
  <c r="BF630" i="131" s="1"/>
  <c r="L630" i="131" a="1"/>
  <c r="L630" i="131" s="1"/>
  <c r="BL629" i="131" a="1"/>
  <c r="BL629" i="131" s="1"/>
  <c r="BK629" i="131" a="1"/>
  <c r="BK629" i="131" s="1"/>
  <c r="AP629" i="131"/>
  <c r="AI629" i="131"/>
  <c r="AB629" i="131"/>
  <c r="U629" i="131"/>
  <c r="L629" i="131" a="1"/>
  <c r="L629" i="131" s="1"/>
  <c r="O629" i="131" s="1"/>
  <c r="BL628" i="131" a="1"/>
  <c r="BL628" i="131" s="1"/>
  <c r="BK628" i="131" a="1"/>
  <c r="BK628" i="131" s="1"/>
  <c r="AP628" i="131"/>
  <c r="AI628" i="131"/>
  <c r="AB628" i="131"/>
  <c r="U628" i="131"/>
  <c r="L628" i="131" a="1"/>
  <c r="L628" i="131" s="1"/>
  <c r="BL627" i="131" a="1"/>
  <c r="BL627" i="131" s="1"/>
  <c r="BK627" i="131" a="1"/>
  <c r="BK627" i="131" s="1"/>
  <c r="AP627" i="131"/>
  <c r="AI627" i="131"/>
  <c r="AB627" i="131"/>
  <c r="U627" i="131"/>
  <c r="L627" i="131" a="1"/>
  <c r="L627" i="131" s="1"/>
  <c r="BL626" i="131" a="1"/>
  <c r="BL626" i="131" s="1"/>
  <c r="BK626" i="131" a="1"/>
  <c r="BK626" i="131" s="1"/>
  <c r="AP626" i="131"/>
  <c r="AI626" i="131"/>
  <c r="AB626" i="131"/>
  <c r="U626" i="131"/>
  <c r="L626" i="131" a="1"/>
  <c r="L626" i="131" s="1"/>
  <c r="BL625" i="131" a="1"/>
  <c r="BL625" i="131" s="1"/>
  <c r="BK625" i="131" a="1"/>
  <c r="BK625" i="131" s="1"/>
  <c r="AP625" i="131"/>
  <c r="AI625" i="131"/>
  <c r="AB625" i="131"/>
  <c r="U625" i="131"/>
  <c r="L625" i="131" a="1"/>
  <c r="L625" i="131" s="1"/>
  <c r="BL624" i="131" a="1"/>
  <c r="BL624" i="131" s="1"/>
  <c r="BK624" i="131" a="1"/>
  <c r="BK624" i="131" s="1"/>
  <c r="AP624" i="131"/>
  <c r="AI624" i="131"/>
  <c r="AB624" i="131"/>
  <c r="U624" i="131"/>
  <c r="L624" i="131" a="1"/>
  <c r="L624" i="131" s="1"/>
  <c r="M624" i="131" s="1"/>
  <c r="BL623" i="131" a="1"/>
  <c r="BL623" i="131" s="1"/>
  <c r="BK623" i="131" a="1"/>
  <c r="BK623" i="131" s="1"/>
  <c r="AP623" i="131"/>
  <c r="AI623" i="131"/>
  <c r="AB623" i="131"/>
  <c r="U623" i="131"/>
  <c r="BF623" i="131" s="1"/>
  <c r="L623" i="131" a="1"/>
  <c r="L623" i="131" s="1"/>
  <c r="O623" i="131" s="1"/>
  <c r="BL622" i="131" a="1"/>
  <c r="BL622" i="131" s="1"/>
  <c r="BK622" i="131" a="1"/>
  <c r="BK622" i="131" s="1"/>
  <c r="AP622" i="131"/>
  <c r="AI622" i="131"/>
  <c r="AB622" i="131"/>
  <c r="U622" i="131"/>
  <c r="BF622" i="131" s="1"/>
  <c r="L622" i="131" a="1"/>
  <c r="L622" i="131" s="1"/>
  <c r="BL621" i="131" a="1"/>
  <c r="BL621" i="131" s="1"/>
  <c r="BK621" i="131" a="1"/>
  <c r="BK621" i="131" s="1"/>
  <c r="AP621" i="131"/>
  <c r="AI621" i="131"/>
  <c r="AB621" i="131"/>
  <c r="U621" i="131"/>
  <c r="L621" i="131" a="1"/>
  <c r="L621" i="131" s="1"/>
  <c r="BL620" i="131" a="1"/>
  <c r="BL620" i="131" s="1"/>
  <c r="BK620" i="131" a="1"/>
  <c r="BK620" i="131" s="1"/>
  <c r="AP620" i="131"/>
  <c r="AI620" i="131"/>
  <c r="AB620" i="131"/>
  <c r="U620" i="131"/>
  <c r="L620" i="131" a="1"/>
  <c r="L620" i="131" s="1"/>
  <c r="BL619" i="131" a="1"/>
  <c r="BL619" i="131" s="1"/>
  <c r="BK619" i="131" a="1"/>
  <c r="BK619" i="131" s="1"/>
  <c r="AP619" i="131"/>
  <c r="AI619" i="131"/>
  <c r="AB619" i="131"/>
  <c r="U619" i="131"/>
  <c r="L619" i="131" a="1"/>
  <c r="L619" i="131" s="1"/>
  <c r="BL618" i="131" a="1"/>
  <c r="BL618" i="131" s="1"/>
  <c r="BK618" i="131" a="1"/>
  <c r="BK618" i="131" s="1"/>
  <c r="AP618" i="131"/>
  <c r="AI618" i="131"/>
  <c r="AB618" i="131"/>
  <c r="U618" i="131"/>
  <c r="L618" i="131" a="1"/>
  <c r="L618" i="131" s="1"/>
  <c r="BL617" i="131" a="1"/>
  <c r="BL617" i="131" s="1"/>
  <c r="BK617" i="131" a="1"/>
  <c r="BK617" i="131" s="1"/>
  <c r="AP617" i="131"/>
  <c r="AI617" i="131"/>
  <c r="AB617" i="131"/>
  <c r="U617" i="131"/>
  <c r="L617" i="131" a="1"/>
  <c r="L617" i="131" s="1"/>
  <c r="BL616" i="131" a="1"/>
  <c r="BL616" i="131" s="1"/>
  <c r="BK616" i="131" a="1"/>
  <c r="BK616" i="131" s="1"/>
  <c r="AP616" i="131"/>
  <c r="AI616" i="131"/>
  <c r="AB616" i="131"/>
  <c r="U616" i="131"/>
  <c r="L616" i="131" a="1"/>
  <c r="L616" i="131" s="1"/>
  <c r="BL615" i="131" a="1"/>
  <c r="BL615" i="131" s="1"/>
  <c r="BK615" i="131" a="1"/>
  <c r="BK615" i="131" s="1"/>
  <c r="AP615" i="131"/>
  <c r="AI615" i="131"/>
  <c r="AB615" i="131"/>
  <c r="U615" i="131"/>
  <c r="BF615" i="131" s="1"/>
  <c r="L615" i="131" a="1"/>
  <c r="L615" i="131" s="1"/>
  <c r="BU615" i="131" s="1"/>
  <c r="BL614" i="131" a="1"/>
  <c r="BL614" i="131" s="1"/>
  <c r="BK614" i="131" a="1"/>
  <c r="BK614" i="131" s="1"/>
  <c r="AP614" i="131"/>
  <c r="AI614" i="131"/>
  <c r="AB614" i="131"/>
  <c r="U614" i="131"/>
  <c r="BF614" i="131" s="1"/>
  <c r="L614" i="131" a="1"/>
  <c r="L614" i="131" s="1"/>
  <c r="M614" i="131" s="1"/>
  <c r="BL613" i="131" a="1"/>
  <c r="BL613" i="131" s="1"/>
  <c r="BK613" i="131" a="1"/>
  <c r="BK613" i="131" s="1"/>
  <c r="AP613" i="131"/>
  <c r="AI613" i="131"/>
  <c r="AB613" i="131"/>
  <c r="U613" i="131"/>
  <c r="L613" i="131" a="1"/>
  <c r="L613" i="131" s="1"/>
  <c r="BL612" i="131" a="1"/>
  <c r="BL612" i="131" s="1"/>
  <c r="BK612" i="131" a="1"/>
  <c r="BK612" i="131" s="1"/>
  <c r="AP612" i="131"/>
  <c r="AI612" i="131"/>
  <c r="AB612" i="131"/>
  <c r="U612" i="131"/>
  <c r="L612" i="131" a="1"/>
  <c r="L612" i="131" s="1"/>
  <c r="BL611" i="131" a="1"/>
  <c r="BL611" i="131" s="1"/>
  <c r="BK611" i="131" a="1"/>
  <c r="BK611" i="131" s="1"/>
  <c r="AP611" i="131"/>
  <c r="AI611" i="131"/>
  <c r="AB611" i="131"/>
  <c r="U611" i="131"/>
  <c r="L611" i="131" a="1"/>
  <c r="L611" i="131" s="1"/>
  <c r="BL610" i="131" a="1"/>
  <c r="BL610" i="131" s="1"/>
  <c r="BK610" i="131" a="1"/>
  <c r="BK610" i="131" s="1"/>
  <c r="AP610" i="131"/>
  <c r="AI610" i="131"/>
  <c r="AB610" i="131"/>
  <c r="U610" i="131"/>
  <c r="L610" i="131" a="1"/>
  <c r="L610" i="131" s="1"/>
  <c r="BL609" i="131" a="1"/>
  <c r="BL609" i="131" s="1"/>
  <c r="BK609" i="131" a="1"/>
  <c r="BK609" i="131" s="1"/>
  <c r="AP609" i="131"/>
  <c r="AI609" i="131"/>
  <c r="AB609" i="131"/>
  <c r="U609" i="131"/>
  <c r="BF609" i="131" s="1"/>
  <c r="L609" i="131" a="1"/>
  <c r="L609" i="131" s="1"/>
  <c r="BU609" i="131" s="1"/>
  <c r="BL608" i="131" a="1"/>
  <c r="BL608" i="131" s="1"/>
  <c r="BK608" i="131" a="1"/>
  <c r="BK608" i="131" s="1"/>
  <c r="AP608" i="131"/>
  <c r="AI608" i="131"/>
  <c r="AB608" i="131"/>
  <c r="U608" i="131"/>
  <c r="L608" i="131" a="1"/>
  <c r="L608" i="131" s="1"/>
  <c r="BL607" i="131" a="1"/>
  <c r="BL607" i="131" s="1"/>
  <c r="BK607" i="131" a="1"/>
  <c r="BK607" i="131" s="1"/>
  <c r="AP607" i="131"/>
  <c r="AI607" i="131"/>
  <c r="AB607" i="131"/>
  <c r="U607" i="131"/>
  <c r="BF607" i="131" s="1"/>
  <c r="L607" i="131" a="1"/>
  <c r="L607" i="131" s="1"/>
  <c r="BU607" i="131" s="1"/>
  <c r="BL606" i="131" a="1"/>
  <c r="BL606" i="131" s="1"/>
  <c r="BK606" i="131" a="1"/>
  <c r="BK606" i="131" s="1"/>
  <c r="AP606" i="131"/>
  <c r="AI606" i="131"/>
  <c r="AB606" i="131"/>
  <c r="U606" i="131"/>
  <c r="BF606" i="131" s="1"/>
  <c r="L606" i="131" a="1"/>
  <c r="L606" i="131" s="1"/>
  <c r="BU606" i="131" s="1"/>
  <c r="BL605" i="131" a="1"/>
  <c r="BL605" i="131" s="1"/>
  <c r="BK605" i="131" a="1"/>
  <c r="BK605" i="131" s="1"/>
  <c r="AP605" i="131"/>
  <c r="AI605" i="131"/>
  <c r="AB605" i="131"/>
  <c r="U605" i="131"/>
  <c r="L605" i="131" a="1"/>
  <c r="L605" i="131" s="1"/>
  <c r="BU605" i="131" s="1"/>
  <c r="BL604" i="131" a="1"/>
  <c r="BL604" i="131" s="1"/>
  <c r="BK604" i="131" a="1"/>
  <c r="BK604" i="131" s="1"/>
  <c r="AP604" i="131"/>
  <c r="AI604" i="131"/>
  <c r="AB604" i="131"/>
  <c r="U604" i="131"/>
  <c r="L604" i="131" a="1"/>
  <c r="L604" i="131" s="1"/>
  <c r="BL603" i="131" a="1"/>
  <c r="BL603" i="131" s="1"/>
  <c r="BK603" i="131" a="1"/>
  <c r="BK603" i="131" s="1"/>
  <c r="AP603" i="131"/>
  <c r="AI603" i="131"/>
  <c r="AB603" i="131"/>
  <c r="U603" i="131"/>
  <c r="L603" i="131" a="1"/>
  <c r="L603" i="131" s="1"/>
  <c r="BU603" i="131" s="1"/>
  <c r="BL602" i="131" a="1"/>
  <c r="BL602" i="131" s="1"/>
  <c r="BK602" i="131" a="1"/>
  <c r="BK602" i="131" s="1"/>
  <c r="AP602" i="131"/>
  <c r="AI602" i="131"/>
  <c r="AB602" i="131"/>
  <c r="U602" i="131"/>
  <c r="L602" i="131" a="1"/>
  <c r="L602" i="131" s="1"/>
  <c r="BU602" i="131" s="1"/>
  <c r="BL601" i="131" a="1"/>
  <c r="BL601" i="131" s="1"/>
  <c r="BK601" i="131" a="1"/>
  <c r="BK601" i="131" s="1"/>
  <c r="AP601" i="131"/>
  <c r="AI601" i="131"/>
  <c r="AB601" i="131"/>
  <c r="U601" i="131"/>
  <c r="BF601" i="131" s="1"/>
  <c r="L601" i="131" a="1"/>
  <c r="L601" i="131" s="1"/>
  <c r="BU601" i="131" s="1"/>
  <c r="BL600" i="131" a="1"/>
  <c r="BL600" i="131" s="1"/>
  <c r="BK600" i="131" a="1"/>
  <c r="BK600" i="131" s="1"/>
  <c r="AP600" i="131"/>
  <c r="AI600" i="131"/>
  <c r="AB600" i="131"/>
  <c r="U600" i="131"/>
  <c r="L600" i="131" a="1"/>
  <c r="L600" i="131" s="1"/>
  <c r="BL599" i="131" a="1"/>
  <c r="BL599" i="131" s="1"/>
  <c r="BK599" i="131" a="1"/>
  <c r="BK599" i="131" s="1"/>
  <c r="AP599" i="131"/>
  <c r="AI599" i="131"/>
  <c r="AB599" i="131"/>
  <c r="U599" i="131"/>
  <c r="BF599" i="131" s="1"/>
  <c r="L599" i="131" a="1"/>
  <c r="L599" i="131" s="1"/>
  <c r="BU599" i="131" s="1"/>
  <c r="BL598" i="131" a="1"/>
  <c r="BL598" i="131" s="1"/>
  <c r="BK598" i="131" a="1"/>
  <c r="BK598" i="131" s="1"/>
  <c r="AP598" i="131"/>
  <c r="AI598" i="131"/>
  <c r="AB598" i="131"/>
  <c r="U598" i="131"/>
  <c r="BF598" i="131" s="1"/>
  <c r="L598" i="131" a="1"/>
  <c r="L598" i="131" s="1"/>
  <c r="BU598" i="131" s="1"/>
  <c r="BL597" i="131" a="1"/>
  <c r="BL597" i="131" s="1"/>
  <c r="BK597" i="131" a="1"/>
  <c r="BK597" i="131" s="1"/>
  <c r="AP597" i="131"/>
  <c r="AI597" i="131"/>
  <c r="AB597" i="131"/>
  <c r="U597" i="131"/>
  <c r="L597" i="131" a="1"/>
  <c r="L597" i="131" s="1"/>
  <c r="BU597" i="131" s="1"/>
  <c r="BL596" i="131" a="1"/>
  <c r="BL596" i="131" s="1"/>
  <c r="BK596" i="131" a="1"/>
  <c r="BK596" i="131" s="1"/>
  <c r="AP596" i="131"/>
  <c r="AI596" i="131"/>
  <c r="AB596" i="131"/>
  <c r="U596" i="131"/>
  <c r="L596" i="131" a="1"/>
  <c r="L596" i="131" s="1"/>
  <c r="BL595" i="131" a="1"/>
  <c r="BL595" i="131" s="1"/>
  <c r="BK595" i="131" a="1"/>
  <c r="BK595" i="131" s="1"/>
  <c r="AP595" i="131"/>
  <c r="AI595" i="131"/>
  <c r="AB595" i="131"/>
  <c r="U595" i="131"/>
  <c r="L595" i="131" a="1"/>
  <c r="L595" i="131" s="1"/>
  <c r="BL594" i="131" a="1"/>
  <c r="BL594" i="131" s="1"/>
  <c r="BK594" i="131" a="1"/>
  <c r="BK594" i="131" s="1"/>
  <c r="AP594" i="131"/>
  <c r="AI594" i="131"/>
  <c r="AB594" i="131"/>
  <c r="U594" i="131"/>
  <c r="L594" i="131" a="1"/>
  <c r="L594" i="131" s="1"/>
  <c r="O594" i="131" s="1"/>
  <c r="BL593" i="131" a="1"/>
  <c r="BL593" i="131" s="1"/>
  <c r="BK593" i="131" a="1"/>
  <c r="BK593" i="131" s="1"/>
  <c r="AP593" i="131"/>
  <c r="AI593" i="131"/>
  <c r="AB593" i="131"/>
  <c r="U593" i="131"/>
  <c r="BF593" i="131" s="1"/>
  <c r="L593" i="131" a="1"/>
  <c r="L593" i="131" s="1"/>
  <c r="BL592" i="131" a="1"/>
  <c r="BL592" i="131" s="1"/>
  <c r="BK592" i="131" a="1"/>
  <c r="BK592" i="131" s="1"/>
  <c r="AP592" i="131"/>
  <c r="AI592" i="131"/>
  <c r="AB592" i="131"/>
  <c r="U592" i="131"/>
  <c r="L592" i="131" a="1"/>
  <c r="L592" i="131" s="1"/>
  <c r="M592" i="131" s="1"/>
  <c r="BL591" i="131" a="1"/>
  <c r="BL591" i="131" s="1"/>
  <c r="BK591" i="131" a="1"/>
  <c r="BK591" i="131" s="1"/>
  <c r="AP591" i="131"/>
  <c r="AI591" i="131"/>
  <c r="AB591" i="131"/>
  <c r="U591" i="131"/>
  <c r="L591" i="131" a="1"/>
  <c r="L591" i="131" s="1"/>
  <c r="O591" i="131" s="1"/>
  <c r="BL590" i="131" a="1"/>
  <c r="BL590" i="131" s="1"/>
  <c r="BK590" i="131" a="1"/>
  <c r="BK590" i="131" s="1"/>
  <c r="AP590" i="131"/>
  <c r="AI590" i="131"/>
  <c r="AB590" i="131"/>
  <c r="U590" i="131"/>
  <c r="L590" i="131" a="1"/>
  <c r="L590" i="131" s="1"/>
  <c r="BL589" i="131" a="1"/>
  <c r="BL589" i="131" s="1"/>
  <c r="BK589" i="131" a="1"/>
  <c r="BK589" i="131" s="1"/>
  <c r="AP589" i="131"/>
  <c r="AI589" i="131"/>
  <c r="AB589" i="131"/>
  <c r="U589" i="131"/>
  <c r="L589" i="131" a="1"/>
  <c r="L589" i="131" s="1"/>
  <c r="BL588" i="131" a="1"/>
  <c r="BL588" i="131" s="1"/>
  <c r="BK588" i="131" a="1"/>
  <c r="BK588" i="131" s="1"/>
  <c r="AP588" i="131"/>
  <c r="AI588" i="131"/>
  <c r="AB588" i="131"/>
  <c r="U588" i="131"/>
  <c r="L588" i="131" a="1"/>
  <c r="L588" i="131" s="1"/>
  <c r="BU588" i="131" s="1"/>
  <c r="BL587" i="131" a="1"/>
  <c r="BL587" i="131" s="1"/>
  <c r="BK587" i="131" a="1"/>
  <c r="BK587" i="131" s="1"/>
  <c r="AP587" i="131"/>
  <c r="AI587" i="131"/>
  <c r="AB587" i="131"/>
  <c r="U587" i="131"/>
  <c r="L587" i="131" a="1"/>
  <c r="L587" i="131" s="1"/>
  <c r="BL586" i="131" a="1"/>
  <c r="BL586" i="131" s="1"/>
  <c r="BK586" i="131" a="1"/>
  <c r="BK586" i="131" s="1"/>
  <c r="AP586" i="131"/>
  <c r="AI586" i="131"/>
  <c r="AB586" i="131"/>
  <c r="U586" i="131"/>
  <c r="L586" i="131" a="1"/>
  <c r="L586" i="131" s="1"/>
  <c r="BL585" i="131" a="1"/>
  <c r="BL585" i="131" s="1"/>
  <c r="BK585" i="131" a="1"/>
  <c r="BK585" i="131" s="1"/>
  <c r="AP585" i="131"/>
  <c r="AI585" i="131"/>
  <c r="AB585" i="131"/>
  <c r="U585" i="131"/>
  <c r="L585" i="131" a="1"/>
  <c r="L585" i="131" s="1"/>
  <c r="BU585" i="131" s="1"/>
  <c r="BL584" i="131" a="1"/>
  <c r="BL584" i="131" s="1"/>
  <c r="BK584" i="131" a="1"/>
  <c r="BK584" i="131" s="1"/>
  <c r="AP584" i="131"/>
  <c r="AI584" i="131"/>
  <c r="AB584" i="131"/>
  <c r="U584" i="131"/>
  <c r="L584" i="131" a="1"/>
  <c r="L584" i="131" s="1"/>
  <c r="BL583" i="131" a="1"/>
  <c r="BL583" i="131" s="1"/>
  <c r="BK583" i="131" a="1"/>
  <c r="BK583" i="131" s="1"/>
  <c r="AP583" i="131"/>
  <c r="AI583" i="131"/>
  <c r="AB583" i="131"/>
  <c r="U583" i="131"/>
  <c r="L583" i="131" a="1"/>
  <c r="L583" i="131" s="1"/>
  <c r="O583" i="131" s="1"/>
  <c r="BL582" i="131" a="1"/>
  <c r="BL582" i="131" s="1"/>
  <c r="BK582" i="131" a="1"/>
  <c r="BK582" i="131" s="1"/>
  <c r="AP582" i="131"/>
  <c r="AI582" i="131"/>
  <c r="AB582" i="131"/>
  <c r="U582" i="131"/>
  <c r="L582" i="131" a="1"/>
  <c r="L582" i="131" s="1"/>
  <c r="BL581" i="131" a="1"/>
  <c r="BL581" i="131" s="1"/>
  <c r="AP581" i="131"/>
  <c r="AI581" i="131"/>
  <c r="AB581" i="131"/>
  <c r="U581" i="131"/>
  <c r="L581" i="131" a="1"/>
  <c r="L581" i="131" s="1"/>
  <c r="BL580" i="131" a="1"/>
  <c r="BL580" i="131" s="1"/>
  <c r="AP580" i="131"/>
  <c r="AI580" i="131"/>
  <c r="AB580" i="131"/>
  <c r="U580" i="131"/>
  <c r="L580" i="131" a="1"/>
  <c r="L580" i="131" s="1"/>
  <c r="BL579" i="131" a="1"/>
  <c r="BL579" i="131" s="1"/>
  <c r="AP579" i="131"/>
  <c r="AI579" i="131"/>
  <c r="AB579" i="131"/>
  <c r="U579" i="131"/>
  <c r="L579" i="131" a="1"/>
  <c r="L579" i="131" s="1"/>
  <c r="M579" i="131" s="1"/>
  <c r="BL578" i="131" a="1"/>
  <c r="BL578" i="131" s="1"/>
  <c r="AP578" i="131"/>
  <c r="AI578" i="131"/>
  <c r="AB578" i="131"/>
  <c r="U578" i="131"/>
  <c r="L578" i="131" a="1"/>
  <c r="L578" i="131" s="1"/>
  <c r="BL577" i="131" a="1"/>
  <c r="BL577" i="131" s="1"/>
  <c r="AP577" i="131"/>
  <c r="AI577" i="131"/>
  <c r="AB577" i="131"/>
  <c r="U577" i="131"/>
  <c r="L577" i="131" a="1"/>
  <c r="L577" i="131" s="1"/>
  <c r="BU577" i="131" s="1"/>
  <c r="BL576" i="131" a="1"/>
  <c r="BL576" i="131" s="1"/>
  <c r="BK576" i="131" a="1"/>
  <c r="BK576" i="131" s="1"/>
  <c r="AP576" i="131"/>
  <c r="AI576" i="131"/>
  <c r="AB576" i="131"/>
  <c r="U576" i="131"/>
  <c r="L576" i="131" a="1"/>
  <c r="L576" i="131" s="1"/>
  <c r="BL575" i="131" a="1"/>
  <c r="BL575" i="131" s="1"/>
  <c r="BK575" i="131" a="1"/>
  <c r="BK575" i="131" s="1"/>
  <c r="AP575" i="131"/>
  <c r="AI575" i="131"/>
  <c r="AB575" i="131"/>
  <c r="U575" i="131"/>
  <c r="BF575" i="131" s="1"/>
  <c r="L575" i="131" a="1"/>
  <c r="L575" i="131" s="1"/>
  <c r="BL574" i="131" a="1"/>
  <c r="BL574" i="131" s="1"/>
  <c r="BK574" i="131" a="1"/>
  <c r="BK574" i="131" s="1"/>
  <c r="AP574" i="131"/>
  <c r="AI574" i="131"/>
  <c r="AB574" i="131"/>
  <c r="U574" i="131"/>
  <c r="BF574" i="131" s="1"/>
  <c r="L574" i="131" a="1"/>
  <c r="L574" i="131" s="1"/>
  <c r="BL573" i="131" a="1"/>
  <c r="BL573" i="131" s="1"/>
  <c r="BK573" i="131" a="1"/>
  <c r="BK573" i="131" s="1"/>
  <c r="AP573" i="131"/>
  <c r="AI573" i="131"/>
  <c r="AB573" i="131"/>
  <c r="U573" i="131"/>
  <c r="L573" i="131" a="1"/>
  <c r="L573" i="131" s="1"/>
  <c r="BU573" i="131" s="1"/>
  <c r="BL572" i="131" a="1"/>
  <c r="BL572" i="131" s="1"/>
  <c r="BK572" i="131" a="1"/>
  <c r="BK572" i="131" s="1"/>
  <c r="AP572" i="131"/>
  <c r="AI572" i="131"/>
  <c r="AB572" i="131"/>
  <c r="U572" i="131"/>
  <c r="L572" i="131" a="1"/>
  <c r="L572" i="131" s="1"/>
  <c r="BL571" i="131" a="1"/>
  <c r="BL571" i="131" s="1"/>
  <c r="BK571" i="131" a="1"/>
  <c r="BK571" i="131" s="1"/>
  <c r="AP571" i="131"/>
  <c r="AI571" i="131"/>
  <c r="AB571" i="131"/>
  <c r="U571" i="131"/>
  <c r="L571" i="131" a="1"/>
  <c r="L571" i="131" s="1"/>
  <c r="BL570" i="131" a="1"/>
  <c r="BL570" i="131" s="1"/>
  <c r="BK570" i="131" a="1"/>
  <c r="BK570" i="131" s="1"/>
  <c r="AP570" i="131"/>
  <c r="AI570" i="131"/>
  <c r="AB570" i="131"/>
  <c r="U570" i="131"/>
  <c r="L570" i="131" a="1"/>
  <c r="L570" i="131" s="1"/>
  <c r="BL569" i="131" a="1"/>
  <c r="BL569" i="131" s="1"/>
  <c r="BK569" i="131" a="1"/>
  <c r="BK569" i="131" s="1"/>
  <c r="AP569" i="131"/>
  <c r="AI569" i="131"/>
  <c r="AB569" i="131"/>
  <c r="U569" i="131"/>
  <c r="BF569" i="131" s="1"/>
  <c r="L569" i="131" a="1"/>
  <c r="L569" i="131" s="1"/>
  <c r="BU569" i="131" s="1"/>
  <c r="BL568" i="131" a="1"/>
  <c r="BL568" i="131" s="1"/>
  <c r="BK568" i="131" a="1"/>
  <c r="BK568" i="131" s="1"/>
  <c r="AP568" i="131"/>
  <c r="AI568" i="131"/>
  <c r="AB568" i="131"/>
  <c r="U568" i="131"/>
  <c r="L568" i="131" a="1"/>
  <c r="L568" i="131" s="1"/>
  <c r="BL567" i="131" a="1"/>
  <c r="BL567" i="131" s="1"/>
  <c r="BK567" i="131" a="1"/>
  <c r="BK567" i="131" s="1"/>
  <c r="AP567" i="131"/>
  <c r="AI567" i="131"/>
  <c r="AB567" i="131"/>
  <c r="U567" i="131"/>
  <c r="BF567" i="131" s="1"/>
  <c r="L567" i="131" a="1"/>
  <c r="L567" i="131" s="1"/>
  <c r="BL566" i="131" a="1"/>
  <c r="BL566" i="131" s="1"/>
  <c r="BK566" i="131" a="1"/>
  <c r="BK566" i="131" s="1"/>
  <c r="AP566" i="131"/>
  <c r="AI566" i="131"/>
  <c r="AB566" i="131"/>
  <c r="U566" i="131"/>
  <c r="BF566" i="131" s="1"/>
  <c r="L566" i="131" a="1"/>
  <c r="L566" i="131" s="1"/>
  <c r="BU566" i="131" s="1"/>
  <c r="BL565" i="131" a="1"/>
  <c r="BL565" i="131" s="1"/>
  <c r="BK565" i="131" a="1"/>
  <c r="BK565" i="131" s="1"/>
  <c r="AP565" i="131"/>
  <c r="AI565" i="131"/>
  <c r="AB565" i="131"/>
  <c r="U565" i="131"/>
  <c r="L565" i="131" a="1"/>
  <c r="L565" i="131" s="1"/>
  <c r="BL564" i="131" a="1"/>
  <c r="BL564" i="131" s="1"/>
  <c r="BK564" i="131" a="1"/>
  <c r="BK564" i="131" s="1"/>
  <c r="AP564" i="131"/>
  <c r="AI564" i="131"/>
  <c r="AB564" i="131"/>
  <c r="U564" i="131"/>
  <c r="L564" i="131" a="1"/>
  <c r="L564" i="131" s="1"/>
  <c r="BU564" i="131" s="1"/>
  <c r="BL563" i="131" a="1"/>
  <c r="BL563" i="131" s="1"/>
  <c r="BK563" i="131" a="1"/>
  <c r="BK563" i="131" s="1"/>
  <c r="AP563" i="131"/>
  <c r="AI563" i="131"/>
  <c r="AB563" i="131"/>
  <c r="U563" i="131"/>
  <c r="L563" i="131" a="1"/>
  <c r="L563" i="131" s="1"/>
  <c r="BL562" i="131" a="1"/>
  <c r="BL562" i="131" s="1"/>
  <c r="AP562" i="131"/>
  <c r="AI562" i="131"/>
  <c r="AB562" i="131"/>
  <c r="U562" i="131"/>
  <c r="L562" i="131" a="1"/>
  <c r="L562" i="131" s="1"/>
  <c r="BL561" i="131" a="1"/>
  <c r="BL561" i="131" s="1"/>
  <c r="BK561" i="131" a="1"/>
  <c r="BK561" i="131" s="1"/>
  <c r="BJ561" i="131" a="1"/>
  <c r="BJ561" i="131" s="1"/>
  <c r="AP561" i="131"/>
  <c r="AI561" i="131"/>
  <c r="AB561" i="131"/>
  <c r="U561" i="131"/>
  <c r="L561" i="131" a="1"/>
  <c r="L561" i="131" s="1"/>
  <c r="BL560" i="131" a="1"/>
  <c r="BL560" i="131" s="1"/>
  <c r="BK560" i="131" a="1"/>
  <c r="BK560" i="131" s="1"/>
  <c r="BJ560" i="131" a="1"/>
  <c r="BJ560" i="131" s="1"/>
  <c r="AP560" i="131"/>
  <c r="AI560" i="131"/>
  <c r="AB560" i="131"/>
  <c r="U560" i="131"/>
  <c r="L560" i="131" a="1"/>
  <c r="L560" i="131" s="1"/>
  <c r="BL559" i="131" a="1"/>
  <c r="BL559" i="131" s="1"/>
  <c r="BK559" i="131" a="1"/>
  <c r="BK559" i="131" s="1"/>
  <c r="BJ559" i="131" a="1"/>
  <c r="BJ559" i="131" s="1"/>
  <c r="AP559" i="131"/>
  <c r="AI559" i="131"/>
  <c r="AB559" i="131"/>
  <c r="U559" i="131"/>
  <c r="L559" i="131" a="1"/>
  <c r="L559" i="131" s="1"/>
  <c r="BL558" i="131" a="1"/>
  <c r="BL558" i="131" s="1"/>
  <c r="BK558" i="131" a="1"/>
  <c r="BK558" i="131" s="1"/>
  <c r="BJ558" i="131" a="1"/>
  <c r="BJ558" i="131" s="1"/>
  <c r="AP558" i="131"/>
  <c r="AI558" i="131"/>
  <c r="AB558" i="131"/>
  <c r="U558" i="131"/>
  <c r="BF558" i="131" s="1"/>
  <c r="L558" i="131" a="1"/>
  <c r="L558" i="131" s="1"/>
  <c r="BL557" i="131" a="1"/>
  <c r="BL557" i="131" s="1"/>
  <c r="BK557" i="131" a="1"/>
  <c r="BK557" i="131" s="1"/>
  <c r="BJ557" i="131" a="1"/>
  <c r="BJ557" i="131" s="1"/>
  <c r="AP557" i="131"/>
  <c r="AI557" i="131"/>
  <c r="AB557" i="131"/>
  <c r="U557" i="131"/>
  <c r="BF557" i="131" s="1"/>
  <c r="L557" i="131" a="1"/>
  <c r="L557" i="131" s="1"/>
  <c r="BL556" i="131" a="1"/>
  <c r="BL556" i="131" s="1"/>
  <c r="BK556" i="131" a="1"/>
  <c r="BK556" i="131" s="1"/>
  <c r="BJ556" i="131" a="1"/>
  <c r="BJ556" i="131" s="1"/>
  <c r="AP556" i="131"/>
  <c r="AI556" i="131"/>
  <c r="AB556" i="131"/>
  <c r="U556" i="131"/>
  <c r="BF556" i="131" s="1"/>
  <c r="L556" i="131" a="1"/>
  <c r="L556" i="131" s="1"/>
  <c r="BL555" i="131" a="1"/>
  <c r="BL555" i="131" s="1"/>
  <c r="BK555" i="131" a="1"/>
  <c r="BK555" i="131" s="1"/>
  <c r="BJ555" i="131" a="1"/>
  <c r="BJ555" i="131" s="1"/>
  <c r="AP555" i="131"/>
  <c r="AI555" i="131"/>
  <c r="AB555" i="131"/>
  <c r="U555" i="131"/>
  <c r="L555" i="131" a="1"/>
  <c r="L555" i="131" s="1"/>
  <c r="BL554" i="131" a="1"/>
  <c r="BL554" i="131" s="1"/>
  <c r="AP554" i="131"/>
  <c r="AI554" i="131"/>
  <c r="AB554" i="131"/>
  <c r="U554" i="131"/>
  <c r="L554" i="131" a="1"/>
  <c r="L554" i="131" s="1"/>
  <c r="BU554" i="131" s="1"/>
  <c r="BL553" i="131" a="1"/>
  <c r="BL553" i="131" s="1"/>
  <c r="AP553" i="131"/>
  <c r="AI553" i="131"/>
  <c r="AB553" i="131"/>
  <c r="U553" i="131"/>
  <c r="L553" i="131" a="1"/>
  <c r="L553" i="131" s="1"/>
  <c r="BL552" i="131" a="1"/>
  <c r="BL552" i="131" s="1"/>
  <c r="AP552" i="131"/>
  <c r="AI552" i="131"/>
  <c r="AB552" i="131"/>
  <c r="U552" i="131"/>
  <c r="L552" i="131" a="1"/>
  <c r="L552" i="131" s="1"/>
  <c r="BU552" i="131" s="1"/>
  <c r="BL551" i="131" a="1"/>
  <c r="BL551" i="131" s="1"/>
  <c r="AP551" i="131"/>
  <c r="AI551" i="131"/>
  <c r="AB551" i="131"/>
  <c r="U551" i="131"/>
  <c r="L551" i="131" a="1"/>
  <c r="L551" i="131" s="1"/>
  <c r="BL550" i="131" a="1"/>
  <c r="BL550" i="131" s="1"/>
  <c r="AP550" i="131"/>
  <c r="AI550" i="131"/>
  <c r="AB550" i="131"/>
  <c r="U550" i="131"/>
  <c r="L550" i="131" a="1"/>
  <c r="L550" i="131" s="1"/>
  <c r="M550" i="131" s="1"/>
  <c r="O544" i="131"/>
  <c r="BL542" i="131" a="1"/>
  <c r="BL542" i="131" s="1"/>
  <c r="BK542" i="131" a="1"/>
  <c r="BK542" i="131" s="1"/>
  <c r="AP542" i="131"/>
  <c r="AI542" i="131"/>
  <c r="AB542" i="131"/>
  <c r="U542" i="131"/>
  <c r="BF542" i="131" s="1"/>
  <c r="L542" i="131" a="1"/>
  <c r="L542" i="131" s="1"/>
  <c r="M542" i="131" s="1"/>
  <c r="BL541" i="131" a="1"/>
  <c r="BL541" i="131" s="1"/>
  <c r="BK541" i="131" a="1"/>
  <c r="BK541" i="131" s="1"/>
  <c r="AP541" i="131"/>
  <c r="L541" i="131" a="1"/>
  <c r="L541" i="131" s="1"/>
  <c r="BL490" i="131" a="1"/>
  <c r="BL490" i="131" s="1"/>
  <c r="BK490" i="131" a="1"/>
  <c r="BK490" i="131" s="1"/>
  <c r="AP490" i="131"/>
  <c r="AI490" i="131"/>
  <c r="AB490" i="131"/>
  <c r="U490" i="131"/>
  <c r="L490" i="131" a="1"/>
  <c r="L490" i="131" s="1"/>
  <c r="BL489" i="131" a="1"/>
  <c r="BL489" i="131" s="1"/>
  <c r="BK489" i="131" a="1"/>
  <c r="BK489" i="131" s="1"/>
  <c r="AP489" i="131"/>
  <c r="AI489" i="131"/>
  <c r="AB489" i="131"/>
  <c r="U489" i="131"/>
  <c r="L489" i="131" a="1"/>
  <c r="L489" i="131" s="1"/>
  <c r="BL488" i="131" a="1"/>
  <c r="BL488" i="131" s="1"/>
  <c r="BK488" i="131" a="1"/>
  <c r="BK488" i="131" s="1"/>
  <c r="AP488" i="131"/>
  <c r="AI488" i="131"/>
  <c r="AB488" i="131"/>
  <c r="U488" i="131"/>
  <c r="L488" i="131" a="1"/>
  <c r="L488" i="131" s="1"/>
  <c r="BL487" i="131" a="1"/>
  <c r="BL487" i="131" s="1"/>
  <c r="BK487" i="131" a="1"/>
  <c r="BK487" i="131" s="1"/>
  <c r="AP487" i="131"/>
  <c r="AI487" i="131"/>
  <c r="AB487" i="131"/>
  <c r="U487" i="131"/>
  <c r="L487" i="131" a="1"/>
  <c r="L487" i="131" s="1"/>
  <c r="BL486" i="131" a="1"/>
  <c r="BL486" i="131" s="1"/>
  <c r="BK486" i="131" a="1"/>
  <c r="BK486" i="131" s="1"/>
  <c r="AP486" i="131"/>
  <c r="AI486" i="131"/>
  <c r="AB486" i="131"/>
  <c r="U486" i="131"/>
  <c r="L486" i="131" a="1"/>
  <c r="L486" i="131" s="1"/>
  <c r="M486" i="131" s="1"/>
  <c r="BL485" i="131" a="1"/>
  <c r="BL485" i="131" s="1"/>
  <c r="BK485" i="131" a="1"/>
  <c r="BK485" i="131" s="1"/>
  <c r="AP485" i="131"/>
  <c r="AI485" i="131"/>
  <c r="AB485" i="131"/>
  <c r="U485" i="131"/>
  <c r="L485" i="131" a="1"/>
  <c r="L485" i="131" s="1"/>
  <c r="BL484" i="131" a="1"/>
  <c r="BL484" i="131" s="1"/>
  <c r="BK484" i="131" a="1"/>
  <c r="BK484" i="131" s="1"/>
  <c r="AP484" i="131"/>
  <c r="AI484" i="131"/>
  <c r="AB484" i="131"/>
  <c r="U484" i="131"/>
  <c r="L484" i="131" a="1"/>
  <c r="L484" i="131" s="1"/>
  <c r="BL483" i="131" a="1"/>
  <c r="BL483" i="131" s="1"/>
  <c r="BK483" i="131" a="1"/>
  <c r="BK483" i="131" s="1"/>
  <c r="AP483" i="131"/>
  <c r="AI483" i="131"/>
  <c r="AB483" i="131"/>
  <c r="U483" i="131"/>
  <c r="L483" i="131" a="1"/>
  <c r="L483" i="131" s="1"/>
  <c r="BL482" i="131" a="1"/>
  <c r="BL482" i="131" s="1"/>
  <c r="BK482" i="131" a="1"/>
  <c r="BK482" i="131" s="1"/>
  <c r="AP482" i="131"/>
  <c r="AI482" i="131"/>
  <c r="AB482" i="131"/>
  <c r="U482" i="131"/>
  <c r="L482" i="131" a="1"/>
  <c r="L482" i="131" s="1"/>
  <c r="O482" i="131" s="1"/>
  <c r="BL481" i="131" a="1"/>
  <c r="BL481" i="131" s="1"/>
  <c r="AP481" i="131"/>
  <c r="AI481" i="131"/>
  <c r="AB481" i="131"/>
  <c r="U481" i="131"/>
  <c r="L481" i="131" a="1"/>
  <c r="L481" i="131" s="1"/>
  <c r="BL480" i="131" a="1"/>
  <c r="BL480" i="131" s="1"/>
  <c r="AP480" i="131"/>
  <c r="AI480" i="131"/>
  <c r="AB480" i="131"/>
  <c r="U480" i="131"/>
  <c r="L480" i="131" a="1"/>
  <c r="L480" i="131" s="1"/>
  <c r="BL479" i="131" a="1"/>
  <c r="BL479" i="131" s="1"/>
  <c r="AP479" i="131"/>
  <c r="AI479" i="131"/>
  <c r="AB479" i="131"/>
  <c r="U479" i="131"/>
  <c r="BF479" i="131" s="1"/>
  <c r="L479" i="131" a="1"/>
  <c r="L479" i="131" s="1"/>
  <c r="BL478" i="131" a="1"/>
  <c r="BL478" i="131" s="1"/>
  <c r="AP478" i="131"/>
  <c r="AI478" i="131"/>
  <c r="AB478" i="131"/>
  <c r="U478" i="131"/>
  <c r="L478" i="131" a="1"/>
  <c r="L478" i="131" s="1"/>
  <c r="BL477" i="131" a="1"/>
  <c r="BL477" i="131" s="1"/>
  <c r="AP477" i="131"/>
  <c r="AI477" i="131"/>
  <c r="AB477" i="131"/>
  <c r="U477" i="131"/>
  <c r="L477" i="131" a="1"/>
  <c r="L477" i="131" s="1"/>
  <c r="BL476" i="131" a="1"/>
  <c r="BL476" i="131" s="1"/>
  <c r="AP476" i="131"/>
  <c r="AI476" i="131"/>
  <c r="AB476" i="131"/>
  <c r="U476" i="131"/>
  <c r="L476" i="131" a="1"/>
  <c r="L476" i="131" s="1"/>
  <c r="BL475" i="131" a="1"/>
  <c r="BL475" i="131" s="1"/>
  <c r="BK475" i="131" a="1"/>
  <c r="BK475" i="131" s="1"/>
  <c r="AP475" i="131"/>
  <c r="AI475" i="131"/>
  <c r="AB475" i="131"/>
  <c r="U475" i="131"/>
  <c r="L475" i="131" a="1"/>
  <c r="L475" i="131" s="1"/>
  <c r="BL474" i="131" a="1"/>
  <c r="BL474" i="131" s="1"/>
  <c r="BK474" i="131" a="1"/>
  <c r="BK474" i="131" s="1"/>
  <c r="AP474" i="131"/>
  <c r="AI474" i="131"/>
  <c r="AB474" i="131"/>
  <c r="U474" i="131"/>
  <c r="L474" i="131" a="1"/>
  <c r="L474" i="131" s="1"/>
  <c r="O474" i="131" s="1"/>
  <c r="BL473" i="131" a="1"/>
  <c r="BL473" i="131" s="1"/>
  <c r="BK473" i="131" a="1"/>
  <c r="BK473" i="131" s="1"/>
  <c r="AP473" i="131"/>
  <c r="AI473" i="131"/>
  <c r="AB473" i="131"/>
  <c r="U473" i="131"/>
  <c r="L473" i="131" a="1"/>
  <c r="L473" i="131" s="1"/>
  <c r="BU473" i="131" s="1"/>
  <c r="BL472" i="131" a="1"/>
  <c r="BL472" i="131" s="1"/>
  <c r="BK472" i="131" a="1"/>
  <c r="BK472" i="131" s="1"/>
  <c r="AP472" i="131"/>
  <c r="AI472" i="131"/>
  <c r="AB472" i="131"/>
  <c r="U472" i="131"/>
  <c r="L472" i="131" a="1"/>
  <c r="L472" i="131" s="1"/>
  <c r="BL471" i="131" a="1"/>
  <c r="BL471" i="131" s="1"/>
  <c r="BK471" i="131" a="1"/>
  <c r="BK471" i="131" s="1"/>
  <c r="AP471" i="131"/>
  <c r="AI471" i="131"/>
  <c r="AB471" i="131"/>
  <c r="U471" i="131"/>
  <c r="L471" i="131" a="1"/>
  <c r="L471" i="131" s="1"/>
  <c r="BU471" i="131" s="1"/>
  <c r="BL470" i="131" a="1"/>
  <c r="BL470" i="131" s="1"/>
  <c r="BK470" i="131" a="1"/>
  <c r="BK470" i="131" s="1"/>
  <c r="AP470" i="131"/>
  <c r="AI470" i="131"/>
  <c r="AB470" i="131"/>
  <c r="U470" i="131"/>
  <c r="L470" i="131" a="1"/>
  <c r="L470" i="131" s="1"/>
  <c r="BL469" i="131" a="1"/>
  <c r="BL469" i="131" s="1"/>
  <c r="BK469" i="131" a="1"/>
  <c r="BK469" i="131" s="1"/>
  <c r="AP469" i="131"/>
  <c r="AI469" i="131"/>
  <c r="AB469" i="131"/>
  <c r="U469" i="131"/>
  <c r="L469" i="131" a="1"/>
  <c r="L469" i="131" s="1"/>
  <c r="BL468" i="131" a="1"/>
  <c r="BL468" i="131" s="1"/>
  <c r="BK468" i="131" a="1"/>
  <c r="BK468" i="131" s="1"/>
  <c r="AP468" i="131"/>
  <c r="AI468" i="131"/>
  <c r="AB468" i="131"/>
  <c r="U468" i="131"/>
  <c r="L468" i="131" a="1"/>
  <c r="L468" i="131" s="1"/>
  <c r="BL467" i="131" a="1"/>
  <c r="BL467" i="131" s="1"/>
  <c r="BK467" i="131" a="1"/>
  <c r="BK467" i="131" s="1"/>
  <c r="AP467" i="131"/>
  <c r="AI467" i="131"/>
  <c r="AB467" i="131"/>
  <c r="U467" i="131"/>
  <c r="L467" i="131" a="1"/>
  <c r="L467" i="131" s="1"/>
  <c r="M467" i="131" s="1"/>
  <c r="BL466" i="131" a="1"/>
  <c r="BL466" i="131" s="1"/>
  <c r="BK466" i="131" a="1"/>
  <c r="BK466" i="131" s="1"/>
  <c r="AP466" i="131"/>
  <c r="AI466" i="131"/>
  <c r="AB466" i="131"/>
  <c r="U466" i="131"/>
  <c r="L466" i="131" a="1"/>
  <c r="L466" i="131" s="1"/>
  <c r="M466" i="131" s="1"/>
  <c r="BL465" i="131" a="1"/>
  <c r="BL465" i="131" s="1"/>
  <c r="BK465" i="131" a="1"/>
  <c r="BK465" i="131" s="1"/>
  <c r="AP465" i="131"/>
  <c r="AI465" i="131"/>
  <c r="AB465" i="131"/>
  <c r="U465" i="131"/>
  <c r="L465" i="131" a="1"/>
  <c r="L465" i="131" s="1"/>
  <c r="BL464" i="131" a="1"/>
  <c r="BL464" i="131" s="1"/>
  <c r="BK464" i="131" a="1"/>
  <c r="BK464" i="131" s="1"/>
  <c r="AP464" i="131"/>
  <c r="AI464" i="131"/>
  <c r="AB464" i="131"/>
  <c r="U464" i="131"/>
  <c r="L464" i="131" a="1"/>
  <c r="L464" i="131" s="1"/>
  <c r="BL463" i="131" a="1"/>
  <c r="BL463" i="131" s="1"/>
  <c r="BK463" i="131" a="1"/>
  <c r="BK463" i="131" s="1"/>
  <c r="AP463" i="131"/>
  <c r="AI463" i="131"/>
  <c r="AB463" i="131"/>
  <c r="U463" i="131"/>
  <c r="BF463" i="131" s="1"/>
  <c r="L463" i="131" a="1"/>
  <c r="L463" i="131" s="1"/>
  <c r="BL462" i="131" a="1"/>
  <c r="BL462" i="131" s="1"/>
  <c r="BK462" i="131" a="1"/>
  <c r="BK462" i="131" s="1"/>
  <c r="AP462" i="131"/>
  <c r="AI462" i="131"/>
  <c r="AB462" i="131"/>
  <c r="U462" i="131"/>
  <c r="L462" i="131" a="1"/>
  <c r="L462" i="131" s="1"/>
  <c r="BL461" i="131" a="1"/>
  <c r="BL461" i="131" s="1"/>
  <c r="AP461" i="131"/>
  <c r="AI461" i="131"/>
  <c r="AB461" i="131"/>
  <c r="U461" i="131"/>
  <c r="L461" i="131" a="1"/>
  <c r="L461" i="131" s="1"/>
  <c r="BL460" i="131" a="1"/>
  <c r="BL460" i="131" s="1"/>
  <c r="AP460" i="131"/>
  <c r="AI460" i="131"/>
  <c r="AB460" i="131"/>
  <c r="U460" i="131"/>
  <c r="L460" i="131" a="1"/>
  <c r="L460" i="131" s="1"/>
  <c r="BU460" i="131" s="1"/>
  <c r="BL459" i="131" a="1"/>
  <c r="BL459" i="131" s="1"/>
  <c r="AP459" i="131"/>
  <c r="AI459" i="131"/>
  <c r="AB459" i="131"/>
  <c r="U459" i="131"/>
  <c r="L459" i="131" a="1"/>
  <c r="L459" i="131" s="1"/>
  <c r="BU459" i="131" s="1"/>
  <c r="BL458" i="131" a="1"/>
  <c r="BL458" i="131" s="1"/>
  <c r="AP458" i="131"/>
  <c r="AI458" i="131"/>
  <c r="AB458" i="131"/>
  <c r="U458" i="131"/>
  <c r="L458" i="131" a="1"/>
  <c r="L458" i="131" s="1"/>
  <c r="BL457" i="131" a="1"/>
  <c r="BL457" i="131" s="1"/>
  <c r="AP457" i="131"/>
  <c r="AI457" i="131"/>
  <c r="AB457" i="131"/>
  <c r="U457" i="131"/>
  <c r="L457" i="131" a="1"/>
  <c r="L457" i="131" s="1"/>
  <c r="BL456" i="131" a="1"/>
  <c r="BL456" i="131" s="1"/>
  <c r="AP456" i="131"/>
  <c r="AI456" i="131"/>
  <c r="AB456" i="131"/>
  <c r="U456" i="131"/>
  <c r="L456" i="131" a="1"/>
  <c r="L456" i="131" s="1"/>
  <c r="BU456" i="131" s="1"/>
  <c r="BL455" i="131" a="1"/>
  <c r="BL455" i="131" s="1"/>
  <c r="BK455" i="131" a="1"/>
  <c r="BK455" i="131" s="1"/>
  <c r="AP455" i="131"/>
  <c r="AI455" i="131"/>
  <c r="AB455" i="131"/>
  <c r="U455" i="131"/>
  <c r="L455" i="131" a="1"/>
  <c r="L455" i="131" s="1"/>
  <c r="BU455" i="131" s="1"/>
  <c r="BL454" i="131" a="1"/>
  <c r="BL454" i="131" s="1"/>
  <c r="BK454" i="131" a="1"/>
  <c r="BK454" i="131" s="1"/>
  <c r="AP454" i="131"/>
  <c r="AI454" i="131"/>
  <c r="AB454" i="131"/>
  <c r="U454" i="131"/>
  <c r="L454" i="131" a="1"/>
  <c r="L454" i="131" s="1"/>
  <c r="BL453" i="131" a="1"/>
  <c r="BL453" i="131" s="1"/>
  <c r="BK453" i="131" a="1"/>
  <c r="BK453" i="131" s="1"/>
  <c r="AP453" i="131"/>
  <c r="AI453" i="131"/>
  <c r="AB453" i="131"/>
  <c r="U453" i="131"/>
  <c r="L453" i="131" a="1"/>
  <c r="L453" i="131" s="1"/>
  <c r="O453" i="131" s="1"/>
  <c r="BL452" i="131" a="1"/>
  <c r="BL452" i="131" s="1"/>
  <c r="BK452" i="131" a="1"/>
  <c r="BK452" i="131" s="1"/>
  <c r="AP452" i="131"/>
  <c r="AI452" i="131"/>
  <c r="AB452" i="131"/>
  <c r="U452" i="131"/>
  <c r="L452" i="131" a="1"/>
  <c r="L452" i="131" s="1"/>
  <c r="O452" i="131" s="1"/>
  <c r="BL451" i="131" a="1"/>
  <c r="BL451" i="131" s="1"/>
  <c r="BK451" i="131" a="1"/>
  <c r="BK451" i="131" s="1"/>
  <c r="AP451" i="131"/>
  <c r="AI451" i="131"/>
  <c r="AB451" i="131"/>
  <c r="U451" i="131"/>
  <c r="L451" i="131" a="1"/>
  <c r="L451" i="131" s="1"/>
  <c r="O451" i="131" s="1"/>
  <c r="BL450" i="131" a="1"/>
  <c r="BL450" i="131" s="1"/>
  <c r="AP450" i="131"/>
  <c r="AI450" i="131"/>
  <c r="AB450" i="131"/>
  <c r="U450" i="131"/>
  <c r="L450" i="131" a="1"/>
  <c r="L450" i="131" s="1"/>
  <c r="BL449" i="131" a="1"/>
  <c r="BL449" i="131" s="1"/>
  <c r="BK449" i="131" a="1"/>
  <c r="BK449" i="131" s="1"/>
  <c r="BJ449" i="131" a="1"/>
  <c r="BJ449" i="131" s="1"/>
  <c r="AP449" i="131"/>
  <c r="AI449" i="131"/>
  <c r="AB449" i="131"/>
  <c r="U449" i="131"/>
  <c r="L449" i="131" a="1"/>
  <c r="L449" i="131" s="1"/>
  <c r="BL448" i="131" a="1"/>
  <c r="BL448" i="131" s="1"/>
  <c r="AP448" i="131"/>
  <c r="AI448" i="131"/>
  <c r="AB448" i="131"/>
  <c r="U448" i="131"/>
  <c r="L448" i="131" a="1"/>
  <c r="L448" i="131" s="1"/>
  <c r="M448" i="131" s="1"/>
  <c r="BL447" i="131" a="1"/>
  <c r="BL447" i="131" s="1"/>
  <c r="AP447" i="131"/>
  <c r="AI447" i="131"/>
  <c r="AB447" i="131"/>
  <c r="U447" i="131"/>
  <c r="L447" i="131" a="1"/>
  <c r="L447" i="131" s="1"/>
  <c r="BL446" i="131" a="1"/>
  <c r="BL446" i="131" s="1"/>
  <c r="AP446" i="131"/>
  <c r="AI446" i="131"/>
  <c r="AB446" i="131"/>
  <c r="U446" i="131"/>
  <c r="L446" i="131" a="1"/>
  <c r="L446" i="131" s="1"/>
  <c r="O446" i="131" s="1"/>
  <c r="BL445" i="131" a="1"/>
  <c r="BL445" i="131" s="1"/>
  <c r="AP445" i="131"/>
  <c r="AI445" i="131"/>
  <c r="AB445" i="131"/>
  <c r="U445" i="131"/>
  <c r="L445" i="131" a="1"/>
  <c r="L445" i="131" s="1"/>
  <c r="M445" i="131" s="1"/>
  <c r="BL444" i="131" a="1"/>
  <c r="BL444" i="131" s="1"/>
  <c r="AP444" i="131"/>
  <c r="AI444" i="131"/>
  <c r="AB444" i="131"/>
  <c r="U444" i="131"/>
  <c r="L444" i="131" a="1"/>
  <c r="L444" i="131" s="1"/>
  <c r="M444" i="131" s="1"/>
  <c r="BL443" i="131" a="1"/>
  <c r="BL443" i="131" s="1"/>
  <c r="AP443" i="131"/>
  <c r="AI443" i="131"/>
  <c r="AB443" i="131"/>
  <c r="U443" i="131"/>
  <c r="L443" i="131" a="1"/>
  <c r="L443" i="131" s="1"/>
  <c r="O437" i="131"/>
  <c r="BL435" i="131" a="1"/>
  <c r="BL435" i="131" s="1"/>
  <c r="BK435" i="131" a="1"/>
  <c r="BK435" i="131" s="1"/>
  <c r="AP435" i="131"/>
  <c r="AQ435" i="131" s="1"/>
  <c r="AI435" i="131"/>
  <c r="AJ435" i="131" s="1"/>
  <c r="AB435" i="131"/>
  <c r="AC435" i="131" s="1"/>
  <c r="U435" i="131"/>
  <c r="V435" i="131" s="1"/>
  <c r="BL434" i="131" a="1"/>
  <c r="BL434" i="131" s="1"/>
  <c r="BK434" i="131" a="1"/>
  <c r="BK434" i="131" s="1"/>
  <c r="AP434" i="131"/>
  <c r="AQ434" i="131" s="1"/>
  <c r="AI434" i="131"/>
  <c r="AJ434" i="131" s="1"/>
  <c r="AB434" i="131"/>
  <c r="AC434" i="131" s="1"/>
  <c r="U434" i="131"/>
  <c r="V434" i="131" s="1"/>
  <c r="BU434" i="131"/>
  <c r="BL383" i="131" a="1"/>
  <c r="BL383" i="131" s="1"/>
  <c r="BK383" i="131" a="1"/>
  <c r="BK383" i="131" s="1"/>
  <c r="AP383" i="131"/>
  <c r="AI383" i="131"/>
  <c r="AB383" i="131"/>
  <c r="U383" i="131"/>
  <c r="BL382" i="131" a="1"/>
  <c r="BL382" i="131" s="1"/>
  <c r="BK382" i="131" a="1"/>
  <c r="BK382" i="131" s="1"/>
  <c r="AP382" i="131"/>
  <c r="AI382" i="131"/>
  <c r="AB382" i="131"/>
  <c r="U382" i="131"/>
  <c r="L382" i="131" a="1"/>
  <c r="L382" i="131" s="1"/>
  <c r="O382" i="131" s="1"/>
  <c r="BL381" i="131" a="1"/>
  <c r="BL381" i="131" s="1"/>
  <c r="BK381" i="131" a="1"/>
  <c r="BK381" i="131" s="1"/>
  <c r="AP381" i="131"/>
  <c r="AI381" i="131"/>
  <c r="AB381" i="131"/>
  <c r="U381" i="131"/>
  <c r="L381" i="131" a="1"/>
  <c r="L381" i="131" s="1"/>
  <c r="BL380" i="131" a="1"/>
  <c r="BL380" i="131" s="1"/>
  <c r="BK380" i="131" a="1"/>
  <c r="BK380" i="131" s="1"/>
  <c r="AP380" i="131"/>
  <c r="AI380" i="131"/>
  <c r="AB380" i="131"/>
  <c r="U380" i="131"/>
  <c r="L380" i="131" a="1"/>
  <c r="L380" i="131" s="1"/>
  <c r="BL379" i="131" a="1"/>
  <c r="BL379" i="131" s="1"/>
  <c r="BK379" i="131" a="1"/>
  <c r="BK379" i="131" s="1"/>
  <c r="AP379" i="131"/>
  <c r="AI379" i="131"/>
  <c r="AB379" i="131"/>
  <c r="U379" i="131"/>
  <c r="L379" i="131" a="1"/>
  <c r="L379" i="131" s="1"/>
  <c r="BU379" i="131" s="1"/>
  <c r="BL378" i="131" a="1"/>
  <c r="BL378" i="131" s="1"/>
  <c r="BK378" i="131" a="1"/>
  <c r="BK378" i="131" s="1"/>
  <c r="AP378" i="131"/>
  <c r="AI378" i="131"/>
  <c r="AB378" i="131"/>
  <c r="U378" i="131"/>
  <c r="L378" i="131" a="1"/>
  <c r="L378" i="131" s="1"/>
  <c r="BL377" i="131" a="1"/>
  <c r="BL377" i="131" s="1"/>
  <c r="BK377" i="131" a="1"/>
  <c r="BK377" i="131" s="1"/>
  <c r="AP377" i="131"/>
  <c r="AI377" i="131"/>
  <c r="AB377" i="131"/>
  <c r="U377" i="131"/>
  <c r="L377" i="131" a="1"/>
  <c r="L377" i="131" s="1"/>
  <c r="O377" i="131" s="1"/>
  <c r="BL376" i="131" a="1"/>
  <c r="BL376" i="131" s="1"/>
  <c r="BK376" i="131" a="1"/>
  <c r="BK376" i="131" s="1"/>
  <c r="AP376" i="131"/>
  <c r="AI376" i="131"/>
  <c r="AB376" i="131"/>
  <c r="U376" i="131"/>
  <c r="L376" i="131" a="1"/>
  <c r="L376" i="131" s="1"/>
  <c r="BU376" i="131" s="1"/>
  <c r="BL375" i="131" a="1"/>
  <c r="BL375" i="131" s="1"/>
  <c r="BK375" i="131" a="1"/>
  <c r="BK375" i="131" s="1"/>
  <c r="AP375" i="131"/>
  <c r="AI375" i="131"/>
  <c r="AB375" i="131"/>
  <c r="U375" i="131"/>
  <c r="L375" i="131" a="1"/>
  <c r="L375" i="131" s="1"/>
  <c r="BL374" i="131" a="1"/>
  <c r="BL374" i="131" s="1"/>
  <c r="AP374" i="131"/>
  <c r="AI374" i="131"/>
  <c r="AB374" i="131"/>
  <c r="U374" i="131"/>
  <c r="L374" i="131" a="1"/>
  <c r="L374" i="131" s="1"/>
  <c r="O374" i="131" s="1"/>
  <c r="BL373" i="131" a="1"/>
  <c r="BL373" i="131" s="1"/>
  <c r="AP373" i="131"/>
  <c r="AI373" i="131"/>
  <c r="AB373" i="131"/>
  <c r="U373" i="131"/>
  <c r="L373" i="131" a="1"/>
  <c r="L373" i="131" s="1"/>
  <c r="BU373" i="131" s="1"/>
  <c r="BL372" i="131" a="1"/>
  <c r="BL372" i="131" s="1"/>
  <c r="AP372" i="131"/>
  <c r="AI372" i="131"/>
  <c r="AB372" i="131"/>
  <c r="U372" i="131"/>
  <c r="L372" i="131" a="1"/>
  <c r="L372" i="131" s="1"/>
  <c r="M372" i="131" s="1"/>
  <c r="BL371" i="131" a="1"/>
  <c r="BL371" i="131" s="1"/>
  <c r="AP371" i="131"/>
  <c r="AI371" i="131"/>
  <c r="AB371" i="131"/>
  <c r="U371" i="131"/>
  <c r="L371" i="131" a="1"/>
  <c r="L371" i="131" s="1"/>
  <c r="BL370" i="131" a="1"/>
  <c r="BL370" i="131" s="1"/>
  <c r="AP370" i="131"/>
  <c r="AI370" i="131"/>
  <c r="AB370" i="131"/>
  <c r="U370" i="131"/>
  <c r="L370" i="131" a="1"/>
  <c r="L370" i="131" s="1"/>
  <c r="BL369" i="131" a="1"/>
  <c r="BL369" i="131" s="1"/>
  <c r="AP369" i="131"/>
  <c r="AI369" i="131"/>
  <c r="AB369" i="131"/>
  <c r="U369" i="131"/>
  <c r="L369" i="131" a="1"/>
  <c r="L369" i="131" s="1"/>
  <c r="M369" i="131" s="1"/>
  <c r="BL368" i="131" a="1"/>
  <c r="BL368" i="131" s="1"/>
  <c r="AP368" i="131"/>
  <c r="AI368" i="131"/>
  <c r="AB368" i="131"/>
  <c r="U368" i="131"/>
  <c r="L368" i="131" a="1"/>
  <c r="L368" i="131" s="1"/>
  <c r="BL367" i="131" a="1"/>
  <c r="BL367" i="131" s="1"/>
  <c r="AP367" i="131"/>
  <c r="AI367" i="131"/>
  <c r="AB367" i="131"/>
  <c r="U367" i="131"/>
  <c r="L367" i="131" a="1"/>
  <c r="L367" i="131" s="1"/>
  <c r="BL366" i="131" a="1"/>
  <c r="BL366" i="131" s="1"/>
  <c r="AP366" i="131"/>
  <c r="AI366" i="131"/>
  <c r="AB366" i="131"/>
  <c r="U366" i="131"/>
  <c r="L366" i="131" a="1"/>
  <c r="L366" i="131" s="1"/>
  <c r="BL365" i="131" a="1"/>
  <c r="BL365" i="131" s="1"/>
  <c r="AP365" i="131"/>
  <c r="AI365" i="131"/>
  <c r="AB365" i="131"/>
  <c r="U365" i="131"/>
  <c r="L365" i="131" a="1"/>
  <c r="L365" i="131" s="1"/>
  <c r="BL364" i="131" a="1"/>
  <c r="BL364" i="131" s="1"/>
  <c r="AP364" i="131"/>
  <c r="AI364" i="131"/>
  <c r="AB364" i="131"/>
  <c r="U364" i="131"/>
  <c r="L364" i="131" a="1"/>
  <c r="L364" i="131" s="1"/>
  <c r="M364" i="131" s="1"/>
  <c r="BL363" i="131" a="1"/>
  <c r="BL363" i="131" s="1"/>
  <c r="AP363" i="131"/>
  <c r="AI363" i="131"/>
  <c r="AB363" i="131"/>
  <c r="U363" i="131"/>
  <c r="L363" i="131" a="1"/>
  <c r="L363" i="131" s="1"/>
  <c r="BL362" i="131" a="1"/>
  <c r="BL362" i="131" s="1"/>
  <c r="AP362" i="131"/>
  <c r="AI362" i="131"/>
  <c r="AB362" i="131"/>
  <c r="U362" i="131"/>
  <c r="L362" i="131" a="1"/>
  <c r="L362" i="131" s="1"/>
  <c r="BL361" i="131" a="1"/>
  <c r="BL361" i="131" s="1"/>
  <c r="AP361" i="131"/>
  <c r="AI361" i="131"/>
  <c r="AB361" i="131"/>
  <c r="U361" i="131"/>
  <c r="L361" i="131" a="1"/>
  <c r="L361" i="131" s="1"/>
  <c r="BL360" i="131" a="1"/>
  <c r="BL360" i="131" s="1"/>
  <c r="BK360" i="131" a="1"/>
  <c r="BK360" i="131" s="1"/>
  <c r="AP360" i="131"/>
  <c r="AI360" i="131"/>
  <c r="AB360" i="131"/>
  <c r="U360" i="131"/>
  <c r="L360" i="131" a="1"/>
  <c r="L360" i="131" s="1"/>
  <c r="BL359" i="131" a="1"/>
  <c r="BL359" i="131" s="1"/>
  <c r="BK359" i="131" a="1"/>
  <c r="BK359" i="131" s="1"/>
  <c r="AP359" i="131"/>
  <c r="AI359" i="131"/>
  <c r="AB359" i="131"/>
  <c r="U359" i="131"/>
  <c r="L359" i="131" a="1"/>
  <c r="L359" i="131" s="1"/>
  <c r="O359" i="131" s="1"/>
  <c r="BL358" i="131" a="1"/>
  <c r="BL358" i="131" s="1"/>
  <c r="BK358" i="131" a="1"/>
  <c r="BK358" i="131" s="1"/>
  <c r="AP358" i="131"/>
  <c r="AI358" i="131"/>
  <c r="AB358" i="131"/>
  <c r="U358" i="131"/>
  <c r="L358" i="131" a="1"/>
  <c r="L358" i="131" s="1"/>
  <c r="M358" i="131" s="1"/>
  <c r="BL357" i="131" a="1"/>
  <c r="BL357" i="131" s="1"/>
  <c r="BK357" i="131" a="1"/>
  <c r="BK357" i="131" s="1"/>
  <c r="AP357" i="131"/>
  <c r="AI357" i="131"/>
  <c r="AB357" i="131"/>
  <c r="U357" i="131"/>
  <c r="L357" i="131" a="1"/>
  <c r="L357" i="131" s="1"/>
  <c r="BL356" i="131" a="1"/>
  <c r="BL356" i="131" s="1"/>
  <c r="BK356" i="131" a="1"/>
  <c r="BK356" i="131" s="1"/>
  <c r="AP356" i="131"/>
  <c r="AI356" i="131"/>
  <c r="AB356" i="131"/>
  <c r="U356" i="131"/>
  <c r="L356" i="131" a="1"/>
  <c r="L356" i="131" s="1"/>
  <c r="O356" i="131" s="1"/>
  <c r="BL355" i="131" a="1"/>
  <c r="BL355" i="131" s="1"/>
  <c r="BK355" i="131" a="1"/>
  <c r="BK355" i="131" s="1"/>
  <c r="AP355" i="131"/>
  <c r="AI355" i="131"/>
  <c r="AB355" i="131"/>
  <c r="U355" i="131"/>
  <c r="L355" i="131" a="1"/>
  <c r="L355" i="131" s="1"/>
  <c r="BL354" i="131" a="1"/>
  <c r="BL354" i="131" s="1"/>
  <c r="BK354" i="131" a="1"/>
  <c r="BK354" i="131" s="1"/>
  <c r="AP354" i="131"/>
  <c r="AI354" i="131"/>
  <c r="AB354" i="131"/>
  <c r="U354" i="131"/>
  <c r="L354" i="131" a="1"/>
  <c r="L354" i="131" s="1"/>
  <c r="BL353" i="131" a="1"/>
  <c r="BL353" i="131" s="1"/>
  <c r="BK353" i="131" a="1"/>
  <c r="BK353" i="131" s="1"/>
  <c r="AP353" i="131"/>
  <c r="AI353" i="131"/>
  <c r="AB353" i="131"/>
  <c r="U353" i="131"/>
  <c r="L353" i="131" a="1"/>
  <c r="L353" i="131" s="1"/>
  <c r="BU353" i="131" s="1"/>
  <c r="BL352" i="131" a="1"/>
  <c r="BL352" i="131" s="1"/>
  <c r="BK352" i="131" a="1"/>
  <c r="BK352" i="131" s="1"/>
  <c r="AP352" i="131"/>
  <c r="AI352" i="131"/>
  <c r="AB352" i="131"/>
  <c r="U352" i="131"/>
  <c r="L352" i="131" a="1"/>
  <c r="L352" i="131" s="1"/>
  <c r="BL351" i="131" a="1"/>
  <c r="BL351" i="131" s="1"/>
  <c r="BK351" i="131" a="1"/>
  <c r="BK351" i="131" s="1"/>
  <c r="AP351" i="131"/>
  <c r="AI351" i="131"/>
  <c r="AB351" i="131"/>
  <c r="U351" i="131"/>
  <c r="L351" i="131" a="1"/>
  <c r="L351" i="131" s="1"/>
  <c r="BL350" i="131" a="1"/>
  <c r="BL350" i="131" s="1"/>
  <c r="BK350" i="131" a="1"/>
  <c r="BK350" i="131" s="1"/>
  <c r="AP350" i="131"/>
  <c r="AI350" i="131"/>
  <c r="AB350" i="131"/>
  <c r="U350" i="131"/>
  <c r="L350" i="131" a="1"/>
  <c r="L350" i="131" s="1"/>
  <c r="BU350" i="131" s="1"/>
  <c r="BL349" i="131" a="1"/>
  <c r="BL349" i="131" s="1"/>
  <c r="AP349" i="131"/>
  <c r="AI349" i="131"/>
  <c r="AB349" i="131"/>
  <c r="U349" i="131"/>
  <c r="L349" i="131" a="1"/>
  <c r="L349" i="131" s="1"/>
  <c r="BL348" i="131" a="1"/>
  <c r="BL348" i="131" s="1"/>
  <c r="AP348" i="131"/>
  <c r="AI348" i="131"/>
  <c r="AB348" i="131"/>
  <c r="U348" i="131"/>
  <c r="L348" i="131" a="1"/>
  <c r="L348" i="131" s="1"/>
  <c r="M348" i="131" s="1"/>
  <c r="BL347" i="131" a="1"/>
  <c r="BL347" i="131" s="1"/>
  <c r="AP347" i="131"/>
  <c r="AI347" i="131"/>
  <c r="AB347" i="131"/>
  <c r="U347" i="131"/>
  <c r="BF347" i="131" s="1"/>
  <c r="L347" i="131" a="1"/>
  <c r="L347" i="131" s="1"/>
  <c r="O347" i="131" s="1"/>
  <c r="BL346" i="131" a="1"/>
  <c r="BL346" i="131" s="1"/>
  <c r="AP346" i="131"/>
  <c r="AI346" i="131"/>
  <c r="AB346" i="131"/>
  <c r="U346" i="131"/>
  <c r="L346" i="131" a="1"/>
  <c r="L346" i="131" s="1"/>
  <c r="BL345" i="131" a="1"/>
  <c r="BL345" i="131" s="1"/>
  <c r="AP345" i="131"/>
  <c r="AI345" i="131"/>
  <c r="AB345" i="131"/>
  <c r="U345" i="131"/>
  <c r="L345" i="131" a="1"/>
  <c r="L345" i="131" s="1"/>
  <c r="BL344" i="131" a="1"/>
  <c r="BL344" i="131" s="1"/>
  <c r="AP344" i="131"/>
  <c r="AI344" i="131"/>
  <c r="AB344" i="131"/>
  <c r="U344" i="131"/>
  <c r="L344" i="131" a="1"/>
  <c r="L344" i="131" s="1"/>
  <c r="BL343" i="131" a="1"/>
  <c r="BL343" i="131" s="1"/>
  <c r="AP343" i="131"/>
  <c r="AI343" i="131"/>
  <c r="AB343" i="131"/>
  <c r="U343" i="131"/>
  <c r="L343" i="131" a="1"/>
  <c r="L343" i="131" s="1"/>
  <c r="O343" i="131" s="1"/>
  <c r="BL342" i="131" a="1"/>
  <c r="BL342" i="131" s="1"/>
  <c r="AP342" i="131"/>
  <c r="AI342" i="131"/>
  <c r="AB342" i="131"/>
  <c r="U342" i="131"/>
  <c r="L342" i="131" a="1"/>
  <c r="L342" i="131" s="1"/>
  <c r="BL341" i="131" a="1"/>
  <c r="BL341" i="131" s="1"/>
  <c r="AP341" i="131"/>
  <c r="AI341" i="131"/>
  <c r="AB341" i="131"/>
  <c r="U341" i="131"/>
  <c r="L341" i="131" a="1"/>
  <c r="L341" i="131" s="1"/>
  <c r="BL340" i="131" a="1"/>
  <c r="BL340" i="131" s="1"/>
  <c r="AP340" i="131"/>
  <c r="AI340" i="131"/>
  <c r="AB340" i="131"/>
  <c r="U340" i="131"/>
  <c r="L340" i="131" a="1"/>
  <c r="L340" i="131" s="1"/>
  <c r="BL339" i="131" a="1"/>
  <c r="BL339" i="131" s="1"/>
  <c r="AP339" i="131"/>
  <c r="AI339" i="131"/>
  <c r="AB339" i="131"/>
  <c r="U339" i="131"/>
  <c r="L339" i="131" a="1"/>
  <c r="L339" i="131" s="1"/>
  <c r="BL338" i="131" a="1"/>
  <c r="BL338" i="131" s="1"/>
  <c r="AP338" i="131"/>
  <c r="AI338" i="131"/>
  <c r="AB338" i="131"/>
  <c r="U338" i="131"/>
  <c r="L338" i="131" a="1"/>
  <c r="L338" i="131" s="1"/>
  <c r="BL337" i="131" a="1"/>
  <c r="BL337" i="131" s="1"/>
  <c r="AP337" i="131"/>
  <c r="AI337" i="131"/>
  <c r="AB337" i="131"/>
  <c r="U337" i="131"/>
  <c r="L337" i="131" a="1"/>
  <c r="L337" i="131" s="1"/>
  <c r="BL336" i="131" a="1"/>
  <c r="BL336" i="131" s="1"/>
  <c r="AP336" i="131"/>
  <c r="AI336" i="131"/>
  <c r="AB336" i="131"/>
  <c r="U336" i="131"/>
  <c r="L336" i="131" a="1"/>
  <c r="L336" i="131" s="1"/>
  <c r="BU336" i="131" s="1"/>
  <c r="BL334" i="131"/>
  <c r="O330" i="131"/>
  <c r="BL327" i="131" a="1"/>
  <c r="BL327" i="131" s="1"/>
  <c r="AP327" i="131"/>
  <c r="AI327" i="131"/>
  <c r="AB327" i="131"/>
  <c r="U327" i="131"/>
  <c r="L327" i="131" a="1"/>
  <c r="L327" i="131" s="1"/>
  <c r="BL276" i="131" a="1"/>
  <c r="BL276" i="131" s="1"/>
  <c r="BK276" i="131" a="1"/>
  <c r="BK276" i="131" s="1"/>
  <c r="AP276" i="131"/>
  <c r="AI276" i="131"/>
  <c r="AB276" i="131"/>
  <c r="U276" i="131"/>
  <c r="L276" i="131" a="1"/>
  <c r="L276" i="131" s="1"/>
  <c r="BL275" i="131" a="1"/>
  <c r="BL275" i="131" s="1"/>
  <c r="BK275" i="131" a="1"/>
  <c r="BK275" i="131" s="1"/>
  <c r="AP275" i="131"/>
  <c r="AI275" i="131"/>
  <c r="AB275" i="131"/>
  <c r="U275" i="131"/>
  <c r="L275" i="131" a="1"/>
  <c r="L275" i="131" s="1"/>
  <c r="BL274" i="131" a="1"/>
  <c r="BL274" i="131" s="1"/>
  <c r="BK274" i="131" a="1"/>
  <c r="BK274" i="131" s="1"/>
  <c r="AP274" i="131"/>
  <c r="AI274" i="131"/>
  <c r="AB274" i="131"/>
  <c r="U274" i="131"/>
  <c r="L274" i="131" a="1"/>
  <c r="L274" i="131" s="1"/>
  <c r="BL273" i="131" a="1"/>
  <c r="BL273" i="131" s="1"/>
  <c r="BK273" i="131" a="1"/>
  <c r="BK273" i="131" s="1"/>
  <c r="AP273" i="131"/>
  <c r="AI273" i="131"/>
  <c r="AB273" i="131"/>
  <c r="U273" i="131"/>
  <c r="L273" i="131" a="1"/>
  <c r="L273" i="131" s="1"/>
  <c r="BU273" i="131" s="1"/>
  <c r="BL272" i="131" a="1"/>
  <c r="BL272" i="131" s="1"/>
  <c r="BK272" i="131" a="1"/>
  <c r="BK272" i="131" s="1"/>
  <c r="AP272" i="131"/>
  <c r="AI272" i="131"/>
  <c r="AB272" i="131"/>
  <c r="U272" i="131"/>
  <c r="L272" i="131" a="1"/>
  <c r="L272" i="131" s="1"/>
  <c r="BL271" i="131" a="1"/>
  <c r="BL271" i="131" s="1"/>
  <c r="BK271" i="131" a="1"/>
  <c r="BK271" i="131" s="1"/>
  <c r="AP271" i="131"/>
  <c r="AI271" i="131"/>
  <c r="AB271" i="131"/>
  <c r="U271" i="131"/>
  <c r="L271" i="131" a="1"/>
  <c r="L271" i="131" s="1"/>
  <c r="M271" i="131" s="1"/>
  <c r="BL270" i="131" a="1"/>
  <c r="BL270" i="131" s="1"/>
  <c r="BK270" i="131" a="1"/>
  <c r="BK270" i="131" s="1"/>
  <c r="AP270" i="131"/>
  <c r="AI270" i="131"/>
  <c r="AB270" i="131"/>
  <c r="U270" i="131"/>
  <c r="L270" i="131" a="1"/>
  <c r="L270" i="131" s="1"/>
  <c r="BL269" i="131" a="1"/>
  <c r="BL269" i="131" s="1"/>
  <c r="BK269" i="131" a="1"/>
  <c r="BK269" i="131" s="1"/>
  <c r="AP269" i="131"/>
  <c r="AI269" i="131"/>
  <c r="AB269" i="131"/>
  <c r="U269" i="131"/>
  <c r="L269" i="131" a="1"/>
  <c r="L269" i="131" s="1"/>
  <c r="BL268" i="131" a="1"/>
  <c r="BL268" i="131" s="1"/>
  <c r="BK268" i="131" a="1"/>
  <c r="BK268" i="131" s="1"/>
  <c r="AP268" i="131"/>
  <c r="AI268" i="131"/>
  <c r="AB268" i="131"/>
  <c r="U268" i="131"/>
  <c r="L268" i="131" a="1"/>
  <c r="L268" i="131" s="1"/>
  <c r="BL267" i="131" a="1"/>
  <c r="BL267" i="131" s="1"/>
  <c r="BK267" i="131" a="1"/>
  <c r="BK267" i="131" s="1"/>
  <c r="AP267" i="131"/>
  <c r="AI267" i="131"/>
  <c r="AB267" i="131"/>
  <c r="U267" i="131"/>
  <c r="L267" i="131" a="1"/>
  <c r="L267" i="131" s="1"/>
  <c r="BL266" i="131" a="1"/>
  <c r="BL266" i="131" s="1"/>
  <c r="BK266" i="131" a="1"/>
  <c r="BK266" i="131" s="1"/>
  <c r="AP266" i="131"/>
  <c r="AI266" i="131"/>
  <c r="AB266" i="131"/>
  <c r="U266" i="131"/>
  <c r="L266" i="131" a="1"/>
  <c r="L266" i="131" s="1"/>
  <c r="BL265" i="131" a="1"/>
  <c r="BL265" i="131" s="1"/>
  <c r="BK265" i="131" a="1"/>
  <c r="BK265" i="131" s="1"/>
  <c r="AP265" i="131"/>
  <c r="AI265" i="131"/>
  <c r="AB265" i="131"/>
  <c r="U265" i="131"/>
  <c r="L265" i="131" a="1"/>
  <c r="L265" i="131" s="1"/>
  <c r="BL264" i="131" a="1"/>
  <c r="BL264" i="131" s="1"/>
  <c r="BK264" i="131" a="1"/>
  <c r="BK264" i="131" s="1"/>
  <c r="AP264" i="131"/>
  <c r="AI264" i="131"/>
  <c r="AB264" i="131"/>
  <c r="U264" i="131"/>
  <c r="L264" i="131" a="1"/>
  <c r="L264" i="131" s="1"/>
  <c r="BL263" i="131" a="1"/>
  <c r="BL263" i="131" s="1"/>
  <c r="BK263" i="131" a="1"/>
  <c r="BK263" i="131" s="1"/>
  <c r="AP263" i="131"/>
  <c r="AI263" i="131"/>
  <c r="AB263" i="131"/>
  <c r="U263" i="131"/>
  <c r="L263" i="131" a="1"/>
  <c r="L263" i="131" s="1"/>
  <c r="BL262" i="131" a="1"/>
  <c r="BL262" i="131" s="1"/>
  <c r="BK262" i="131" a="1"/>
  <c r="BK262" i="131" s="1"/>
  <c r="AP262" i="131"/>
  <c r="AI262" i="131"/>
  <c r="AB262" i="131"/>
  <c r="U262" i="131"/>
  <c r="L262" i="131" a="1"/>
  <c r="L262" i="131" s="1"/>
  <c r="BU262" i="131" s="1"/>
  <c r="BL261" i="131" a="1"/>
  <c r="BL261" i="131" s="1"/>
  <c r="BK261" i="131" a="1"/>
  <c r="BK261" i="131" s="1"/>
  <c r="AP261" i="131"/>
  <c r="AI261" i="131"/>
  <c r="AB261" i="131"/>
  <c r="U261" i="131"/>
  <c r="L261" i="131" a="1"/>
  <c r="L261" i="131" s="1"/>
  <c r="BL260" i="131" a="1"/>
  <c r="BL260" i="131" s="1"/>
  <c r="BK260" i="131" a="1"/>
  <c r="BK260" i="131" s="1"/>
  <c r="AP260" i="131"/>
  <c r="AI260" i="131"/>
  <c r="AB260" i="131"/>
  <c r="U260" i="131"/>
  <c r="L260" i="131" a="1"/>
  <c r="L260" i="131" s="1"/>
  <c r="BL259" i="131" a="1"/>
  <c r="BL259" i="131" s="1"/>
  <c r="BK259" i="131" a="1"/>
  <c r="BK259" i="131" s="1"/>
  <c r="AP259" i="131"/>
  <c r="AI259" i="131"/>
  <c r="AB259" i="131"/>
  <c r="U259" i="131"/>
  <c r="L259" i="131" a="1"/>
  <c r="L259" i="131" s="1"/>
  <c r="BL258" i="131" a="1"/>
  <c r="BL258" i="131" s="1"/>
  <c r="BK258" i="131" a="1"/>
  <c r="BK258" i="131" s="1"/>
  <c r="AP258" i="131"/>
  <c r="AI258" i="131"/>
  <c r="AB258" i="131"/>
  <c r="U258" i="131"/>
  <c r="L258" i="131" a="1"/>
  <c r="L258" i="131" s="1"/>
  <c r="BL257" i="131" a="1"/>
  <c r="BL257" i="131" s="1"/>
  <c r="BK257" i="131" a="1"/>
  <c r="BK257" i="131" s="1"/>
  <c r="AP257" i="131"/>
  <c r="AI257" i="131"/>
  <c r="AB257" i="131"/>
  <c r="U257" i="131"/>
  <c r="L257" i="131" a="1"/>
  <c r="L257" i="131" s="1"/>
  <c r="BL256" i="131" a="1"/>
  <c r="BL256" i="131" s="1"/>
  <c r="BK256" i="131" a="1"/>
  <c r="BK256" i="131" s="1"/>
  <c r="AP256" i="131"/>
  <c r="AI256" i="131"/>
  <c r="AB256" i="131"/>
  <c r="U256" i="131"/>
  <c r="L256" i="131" a="1"/>
  <c r="L256" i="131" s="1"/>
  <c r="BL255" i="131" a="1"/>
  <c r="BL255" i="131" s="1"/>
  <c r="BK255" i="131" a="1"/>
  <c r="BK255" i="131" s="1"/>
  <c r="AP255" i="131"/>
  <c r="AI255" i="131"/>
  <c r="AB255" i="131"/>
  <c r="U255" i="131"/>
  <c r="L255" i="131" a="1"/>
  <c r="L255" i="131" s="1"/>
  <c r="BL254" i="131" a="1"/>
  <c r="BL254" i="131" s="1"/>
  <c r="BK254" i="131" a="1"/>
  <c r="BK254" i="131" s="1"/>
  <c r="AP254" i="131"/>
  <c r="AI254" i="131"/>
  <c r="AB254" i="131"/>
  <c r="U254" i="131"/>
  <c r="L254" i="131" a="1"/>
  <c r="L254" i="131" s="1"/>
  <c r="O254" i="131" s="1"/>
  <c r="BL253" i="131" a="1"/>
  <c r="BL253" i="131" s="1"/>
  <c r="BK253" i="131" a="1"/>
  <c r="BK253" i="131" s="1"/>
  <c r="AP253" i="131"/>
  <c r="AI253" i="131"/>
  <c r="AB253" i="131"/>
  <c r="U253" i="131"/>
  <c r="L253" i="131" a="1"/>
  <c r="L253" i="131" s="1"/>
  <c r="BL252" i="131" a="1"/>
  <c r="BL252" i="131" s="1"/>
  <c r="BK252" i="131" a="1"/>
  <c r="BK252" i="131" s="1"/>
  <c r="AP252" i="131"/>
  <c r="AI252" i="131"/>
  <c r="AB252" i="131"/>
  <c r="U252" i="131"/>
  <c r="L252" i="131" a="1"/>
  <c r="L252" i="131" s="1"/>
  <c r="BL251" i="131" a="1"/>
  <c r="BL251" i="131" s="1"/>
  <c r="BK251" i="131" a="1"/>
  <c r="BK251" i="131" s="1"/>
  <c r="AP251" i="131"/>
  <c r="AI251" i="131"/>
  <c r="AB251" i="131"/>
  <c r="U251" i="131"/>
  <c r="L251" i="131" a="1"/>
  <c r="L251" i="131" s="1"/>
  <c r="BU251" i="131" s="1"/>
  <c r="BL250" i="131" a="1"/>
  <c r="BL250" i="131" s="1"/>
  <c r="BK250" i="131" a="1"/>
  <c r="BK250" i="131" s="1"/>
  <c r="AP250" i="131"/>
  <c r="AI250" i="131"/>
  <c r="AB250" i="131"/>
  <c r="U250" i="131"/>
  <c r="L250" i="131" a="1"/>
  <c r="L250" i="131" s="1"/>
  <c r="BL249" i="131" a="1"/>
  <c r="BL249" i="131" s="1"/>
  <c r="BK249" i="131" a="1"/>
  <c r="BK249" i="131" s="1"/>
  <c r="AP249" i="131"/>
  <c r="AI249" i="131"/>
  <c r="AB249" i="131"/>
  <c r="U249" i="131"/>
  <c r="L249" i="131" a="1"/>
  <c r="L249" i="131" s="1"/>
  <c r="BL248" i="131" a="1"/>
  <c r="BL248" i="131" s="1"/>
  <c r="BK248" i="131" a="1"/>
  <c r="BK248" i="131" s="1"/>
  <c r="AP248" i="131"/>
  <c r="AI248" i="131"/>
  <c r="AB248" i="131"/>
  <c r="U248" i="131"/>
  <c r="L248" i="131" a="1"/>
  <c r="L248" i="131" s="1"/>
  <c r="BL247" i="131" a="1"/>
  <c r="BL247" i="131" s="1"/>
  <c r="AP247" i="131"/>
  <c r="AI247" i="131"/>
  <c r="AB247" i="131"/>
  <c r="U247" i="131"/>
  <c r="L247" i="131" a="1"/>
  <c r="L247" i="131" s="1"/>
  <c r="BU247" i="131" s="1"/>
  <c r="BL246" i="131" a="1"/>
  <c r="BL246" i="131" s="1"/>
  <c r="AP246" i="131"/>
  <c r="AI246" i="131"/>
  <c r="AB246" i="131"/>
  <c r="U246" i="131"/>
  <c r="L246" i="131" a="1"/>
  <c r="L246" i="131" s="1"/>
  <c r="O246" i="131" s="1"/>
  <c r="BL245" i="131" a="1"/>
  <c r="BL245" i="131" s="1"/>
  <c r="AP245" i="131"/>
  <c r="AI245" i="131"/>
  <c r="AB245" i="131"/>
  <c r="U245" i="131"/>
  <c r="L245" i="131" a="1"/>
  <c r="L245" i="131" s="1"/>
  <c r="BL244" i="131" a="1"/>
  <c r="BL244" i="131" s="1"/>
  <c r="BK244" i="131" a="1"/>
  <c r="BK244" i="131" s="1"/>
  <c r="AP244" i="131"/>
  <c r="AI244" i="131"/>
  <c r="AB244" i="131"/>
  <c r="U244" i="131"/>
  <c r="L244" i="131" a="1"/>
  <c r="L244" i="131" s="1"/>
  <c r="BL243" i="131" a="1"/>
  <c r="BL243" i="131" s="1"/>
  <c r="BK243" i="131" a="1"/>
  <c r="BK243" i="131" s="1"/>
  <c r="AP243" i="131"/>
  <c r="AI243" i="131"/>
  <c r="AB243" i="131"/>
  <c r="U243" i="131"/>
  <c r="L243" i="131" a="1"/>
  <c r="L243" i="131" s="1"/>
  <c r="BL242" i="131" a="1"/>
  <c r="BL242" i="131" s="1"/>
  <c r="BK242" i="131" a="1"/>
  <c r="BK242" i="131" s="1"/>
  <c r="AP242" i="131"/>
  <c r="AI242" i="131"/>
  <c r="AB242" i="131"/>
  <c r="U242" i="131"/>
  <c r="L242" i="131" a="1"/>
  <c r="L242" i="131" s="1"/>
  <c r="BL241" i="131" a="1"/>
  <c r="BL241" i="131" s="1"/>
  <c r="BK241" i="131" a="1"/>
  <c r="BK241" i="131" s="1"/>
  <c r="AP241" i="131"/>
  <c r="AI241" i="131"/>
  <c r="AB241" i="131"/>
  <c r="U241" i="131"/>
  <c r="L241" i="131" a="1"/>
  <c r="L241" i="131" s="1"/>
  <c r="BL240" i="131" a="1"/>
  <c r="BL240" i="131" s="1"/>
  <c r="BK240" i="131" a="1"/>
  <c r="BK240" i="131" s="1"/>
  <c r="AP240" i="131"/>
  <c r="AI240" i="131"/>
  <c r="AB240" i="131"/>
  <c r="U240" i="131"/>
  <c r="L240" i="131" a="1"/>
  <c r="L240" i="131" s="1"/>
  <c r="M240" i="131" s="1"/>
  <c r="BL239" i="131" a="1"/>
  <c r="BL239" i="131" s="1"/>
  <c r="BK239" i="131" a="1"/>
  <c r="BK239" i="131" s="1"/>
  <c r="AP239" i="131"/>
  <c r="AI239" i="131"/>
  <c r="AB239" i="131"/>
  <c r="U239" i="131"/>
  <c r="L239" i="131" a="1"/>
  <c r="L239" i="131" s="1"/>
  <c r="BL238" i="131" a="1"/>
  <c r="BL238" i="131" s="1"/>
  <c r="BK238" i="131" a="1"/>
  <c r="BK238" i="131" s="1"/>
  <c r="AP238" i="131"/>
  <c r="AI238" i="131"/>
  <c r="AB238" i="131"/>
  <c r="U238" i="131"/>
  <c r="L238" i="131" a="1"/>
  <c r="L238" i="131" s="1"/>
  <c r="O238" i="131" s="1"/>
  <c r="BL237" i="131" a="1"/>
  <c r="BL237" i="131" s="1"/>
  <c r="BK237" i="131" a="1"/>
  <c r="BK237" i="131" s="1"/>
  <c r="AP237" i="131"/>
  <c r="AI237" i="131"/>
  <c r="AB237" i="131"/>
  <c r="U237" i="131"/>
  <c r="L237" i="131" a="1"/>
  <c r="L237" i="131" s="1"/>
  <c r="BL236" i="131" a="1"/>
  <c r="BL236" i="131" s="1"/>
  <c r="BK236" i="131" a="1"/>
  <c r="BK236" i="131" s="1"/>
  <c r="AP236" i="131"/>
  <c r="AI236" i="131"/>
  <c r="AB236" i="131"/>
  <c r="U236" i="131"/>
  <c r="L236" i="131" a="1"/>
  <c r="L236" i="131" s="1"/>
  <c r="BL235" i="131" a="1"/>
  <c r="BL235" i="131" s="1"/>
  <c r="BK235" i="131" a="1"/>
  <c r="BK235" i="131" s="1"/>
  <c r="AP235" i="131"/>
  <c r="AI235" i="131"/>
  <c r="AB235" i="131"/>
  <c r="U235" i="131"/>
  <c r="L235" i="131" a="1"/>
  <c r="L235" i="131" s="1"/>
  <c r="M235" i="131" s="1"/>
  <c r="BL234" i="131" a="1"/>
  <c r="BL234" i="131" s="1"/>
  <c r="BK234" i="131" a="1"/>
  <c r="BK234" i="131" s="1"/>
  <c r="AP234" i="131"/>
  <c r="AI234" i="131"/>
  <c r="AB234" i="131"/>
  <c r="U234" i="131"/>
  <c r="L234" i="131" a="1"/>
  <c r="L234" i="131" s="1"/>
  <c r="O234" i="131" s="1"/>
  <c r="BL233" i="131" a="1"/>
  <c r="BL233" i="131" s="1"/>
  <c r="AP233" i="131"/>
  <c r="AI233" i="131"/>
  <c r="AB233" i="131"/>
  <c r="U233" i="131"/>
  <c r="L233" i="131" a="1"/>
  <c r="L233" i="131" s="1"/>
  <c r="BL232" i="131" a="1"/>
  <c r="BL232" i="131" s="1"/>
  <c r="BK232" i="131" a="1"/>
  <c r="BK232" i="131" s="1"/>
  <c r="AP232" i="131"/>
  <c r="AI232" i="131"/>
  <c r="AB232" i="131"/>
  <c r="U232" i="131"/>
  <c r="L232" i="131" a="1"/>
  <c r="L232" i="131" s="1"/>
  <c r="O232" i="131" s="1"/>
  <c r="BL231" i="131" a="1"/>
  <c r="BL231" i="131" s="1"/>
  <c r="BK231" i="131" a="1"/>
  <c r="BK231" i="131" s="1"/>
  <c r="AP231" i="131"/>
  <c r="AI231" i="131"/>
  <c r="AB231" i="131"/>
  <c r="U231" i="131"/>
  <c r="L231" i="131" a="1"/>
  <c r="L231" i="131" s="1"/>
  <c r="BL230" i="131" a="1"/>
  <c r="BL230" i="131" s="1"/>
  <c r="AP230" i="131"/>
  <c r="AI230" i="131"/>
  <c r="AB230" i="131"/>
  <c r="U230" i="131"/>
  <c r="L230" i="131" a="1"/>
  <c r="L230" i="131" s="1"/>
  <c r="M230" i="131" s="1"/>
  <c r="BL229" i="131" a="1"/>
  <c r="BL229" i="131" s="1"/>
  <c r="AP229" i="131"/>
  <c r="AI229" i="131"/>
  <c r="AB229" i="131"/>
  <c r="U229" i="131"/>
  <c r="L229" i="131" a="1"/>
  <c r="L229" i="131" s="1"/>
  <c r="O229" i="131" s="1"/>
  <c r="BL228" i="131" a="1"/>
  <c r="BL228" i="131" s="1"/>
  <c r="AP228" i="131"/>
  <c r="AI228" i="131"/>
  <c r="AB228" i="131"/>
  <c r="U228" i="131"/>
  <c r="L228" i="131" a="1"/>
  <c r="L228" i="131" s="1"/>
  <c r="BL226" i="131"/>
  <c r="O222" i="131"/>
  <c r="BL220" i="131" a="1"/>
  <c r="BL220" i="131" s="1"/>
  <c r="BK220" i="131" a="1"/>
  <c r="BK220" i="131" s="1"/>
  <c r="AP220" i="131"/>
  <c r="AB220" i="131"/>
  <c r="U220" i="131"/>
  <c r="BL219" i="131" a="1"/>
  <c r="BL219" i="131" s="1"/>
  <c r="BK219" i="131" a="1"/>
  <c r="BK219" i="131" s="1"/>
  <c r="BL193" i="131" a="1"/>
  <c r="BL193" i="131" s="1"/>
  <c r="BK193" i="131" a="1"/>
  <c r="BK193" i="131" s="1"/>
  <c r="U193" i="131"/>
  <c r="BF193" i="131" s="1"/>
  <c r="BL192" i="131" a="1"/>
  <c r="BL192" i="131" s="1"/>
  <c r="U192" i="131"/>
  <c r="BF192" i="131" s="1"/>
  <c r="BU192" i="131"/>
  <c r="BL191" i="131" a="1"/>
  <c r="BL191" i="131" s="1"/>
  <c r="U191" i="131"/>
  <c r="BF191" i="131" s="1"/>
  <c r="BL190" i="131" a="1"/>
  <c r="BL190" i="131" s="1"/>
  <c r="U190" i="131"/>
  <c r="BF190" i="131" s="1"/>
  <c r="BL189" i="131" a="1"/>
  <c r="BL189" i="131" s="1"/>
  <c r="U189" i="131"/>
  <c r="BF189" i="131" s="1"/>
  <c r="BU189" i="131"/>
  <c r="BL188" i="131" a="1"/>
  <c r="BL188" i="131" s="1"/>
  <c r="U188" i="131"/>
  <c r="BF188" i="131" s="1"/>
  <c r="BL187" i="131" a="1"/>
  <c r="BL187" i="131" s="1"/>
  <c r="U187" i="131"/>
  <c r="BF187" i="131" s="1"/>
  <c r="BU187" i="131"/>
  <c r="BL186" i="131" a="1"/>
  <c r="BL186" i="131" s="1"/>
  <c r="U186" i="131"/>
  <c r="BF186" i="131" s="1"/>
  <c r="BL185" i="131" a="1"/>
  <c r="BL185" i="131" s="1"/>
  <c r="U185" i="131"/>
  <c r="BF185" i="131" s="1"/>
  <c r="BL184" i="131" a="1"/>
  <c r="BL184" i="131" s="1"/>
  <c r="U184" i="131"/>
  <c r="BF184" i="131" s="1"/>
  <c r="BL183" i="131" a="1"/>
  <c r="BL183" i="131" s="1"/>
  <c r="U183" i="131"/>
  <c r="BF183" i="131" s="1"/>
  <c r="BL182" i="131" a="1"/>
  <c r="BL182" i="131" s="1"/>
  <c r="U182" i="131"/>
  <c r="BF182" i="131" s="1"/>
  <c r="BU182" i="131"/>
  <c r="BL181" i="131" a="1"/>
  <c r="BL181" i="131" s="1"/>
  <c r="U181" i="131"/>
  <c r="BF181" i="131" s="1"/>
  <c r="BU181" i="131"/>
  <c r="BL180" i="131" a="1"/>
  <c r="BL180" i="131" s="1"/>
  <c r="U180" i="131"/>
  <c r="BF180" i="131" s="1"/>
  <c r="BL179" i="131" a="1"/>
  <c r="BL179" i="131" s="1"/>
  <c r="U179" i="131"/>
  <c r="BF179" i="131" s="1"/>
  <c r="BU179" i="131"/>
  <c r="BL178" i="131" a="1"/>
  <c r="BL178" i="131" s="1"/>
  <c r="U178" i="131"/>
  <c r="BF178" i="131" s="1"/>
  <c r="BL177" i="131" a="1"/>
  <c r="BL177" i="131" s="1"/>
  <c r="U177" i="131"/>
  <c r="BF177" i="131" s="1"/>
  <c r="BL176" i="131" a="1"/>
  <c r="BL176" i="131" s="1"/>
  <c r="U176" i="131"/>
  <c r="BF176" i="131" s="1"/>
  <c r="BL175" i="131" a="1"/>
  <c r="BL175" i="131" s="1"/>
  <c r="U175" i="131"/>
  <c r="BF175" i="131" s="1"/>
  <c r="BL174" i="131" a="1"/>
  <c r="BL174" i="131" s="1"/>
  <c r="U174" i="131"/>
  <c r="BF174" i="131" s="1"/>
  <c r="O174" i="131"/>
  <c r="BL173" i="131" a="1"/>
  <c r="BL173" i="131" s="1"/>
  <c r="U173" i="131"/>
  <c r="BF173" i="131" s="1"/>
  <c r="BL172" i="131" a="1"/>
  <c r="BL172" i="131" s="1"/>
  <c r="U172" i="131"/>
  <c r="BF172" i="131" s="1"/>
  <c r="BL171" i="131" a="1"/>
  <c r="BL171" i="131" s="1"/>
  <c r="U171" i="131"/>
  <c r="BF171" i="131" s="1"/>
  <c r="BL170" i="131" a="1"/>
  <c r="BL170" i="131" s="1"/>
  <c r="U170" i="131"/>
  <c r="BF170" i="131" s="1"/>
  <c r="O170" i="131"/>
  <c r="BL169" i="131" a="1"/>
  <c r="BL169" i="131" s="1"/>
  <c r="U169" i="131"/>
  <c r="BF169" i="131" s="1"/>
  <c r="BL168" i="131" a="1"/>
  <c r="BL168" i="131" s="1"/>
  <c r="U168" i="131"/>
  <c r="BF168" i="131" s="1"/>
  <c r="BL167" i="131" a="1"/>
  <c r="BL167" i="131" s="1"/>
  <c r="U167" i="131"/>
  <c r="BF167" i="131" s="1"/>
  <c r="BL166" i="131" a="1"/>
  <c r="BL166" i="131" s="1"/>
  <c r="U166" i="131"/>
  <c r="BF166" i="131" s="1"/>
  <c r="BL165" i="131" a="1"/>
  <c r="BL165" i="131" s="1"/>
  <c r="BL139" i="131" a="1"/>
  <c r="BL139" i="131" s="1"/>
  <c r="AP139" i="131"/>
  <c r="AI139" i="131"/>
  <c r="AB139" i="131"/>
  <c r="U139" i="131"/>
  <c r="L139" i="131" a="1"/>
  <c r="L139" i="131" s="1"/>
  <c r="M139" i="131" s="1"/>
  <c r="BL138" i="131" a="1"/>
  <c r="BL138" i="131" s="1"/>
  <c r="AP138" i="131"/>
  <c r="AI138" i="131"/>
  <c r="AB138" i="131"/>
  <c r="U138" i="131"/>
  <c r="L138" i="131" a="1"/>
  <c r="L138" i="131" s="1"/>
  <c r="M138" i="131" s="1"/>
  <c r="BL137" i="131" a="1"/>
  <c r="BL137" i="131" s="1"/>
  <c r="AP137" i="131"/>
  <c r="AI137" i="131"/>
  <c r="AB137" i="131"/>
  <c r="U137" i="131"/>
  <c r="L137" i="131" a="1"/>
  <c r="L137" i="131" s="1"/>
  <c r="O137" i="131" s="1"/>
  <c r="BL136" i="131" a="1"/>
  <c r="BL136" i="131" s="1"/>
  <c r="AP136" i="131"/>
  <c r="AI136" i="131"/>
  <c r="AB136" i="131"/>
  <c r="U136" i="131"/>
  <c r="L136" i="131" a="1"/>
  <c r="L136" i="131" s="1"/>
  <c r="BL135" i="131" a="1"/>
  <c r="BL135" i="131" s="1"/>
  <c r="AP135" i="131"/>
  <c r="AI135" i="131"/>
  <c r="AB135" i="131"/>
  <c r="U135" i="131"/>
  <c r="L135" i="131" a="1"/>
  <c r="L135" i="131" s="1"/>
  <c r="O135" i="131" s="1"/>
  <c r="BL134" i="131" a="1"/>
  <c r="BL134" i="131" s="1"/>
  <c r="AP134" i="131"/>
  <c r="AI134" i="131"/>
  <c r="AB134" i="131"/>
  <c r="U134" i="131"/>
  <c r="L134" i="131" a="1"/>
  <c r="L134" i="131" s="1"/>
  <c r="BL133" i="131" a="1"/>
  <c r="BL133" i="131" s="1"/>
  <c r="AP133" i="131"/>
  <c r="AI133" i="131"/>
  <c r="AB133" i="131"/>
  <c r="U133" i="131"/>
  <c r="L133" i="131" a="1"/>
  <c r="L133" i="131" s="1"/>
  <c r="O133" i="131" s="1"/>
  <c r="BL132" i="131" a="1"/>
  <c r="BL132" i="131" s="1"/>
  <c r="AP132" i="131"/>
  <c r="AI132" i="131"/>
  <c r="AB132" i="131"/>
  <c r="U132" i="131"/>
  <c r="L132" i="131" a="1"/>
  <c r="L132" i="131" s="1"/>
  <c r="BL131" i="131" a="1"/>
  <c r="BL131" i="131" s="1"/>
  <c r="AP131" i="131"/>
  <c r="AI131" i="131"/>
  <c r="AB131" i="131"/>
  <c r="U131" i="131"/>
  <c r="L131" i="131" a="1"/>
  <c r="L131" i="131" s="1"/>
  <c r="BL130" i="131" a="1"/>
  <c r="BL130" i="131" s="1"/>
  <c r="AP130" i="131"/>
  <c r="AI130" i="131"/>
  <c r="AB130" i="131"/>
  <c r="U130" i="131"/>
  <c r="L130" i="131" a="1"/>
  <c r="L130" i="131" s="1"/>
  <c r="BL129" i="131" a="1"/>
  <c r="BL129" i="131" s="1"/>
  <c r="AP129" i="131"/>
  <c r="AI129" i="131"/>
  <c r="AB129" i="131"/>
  <c r="U129" i="131"/>
  <c r="L129" i="131" a="1"/>
  <c r="L129" i="131" s="1"/>
  <c r="BL128" i="131" a="1"/>
  <c r="BL128" i="131" s="1"/>
  <c r="AP128" i="131"/>
  <c r="AI128" i="131"/>
  <c r="AB128" i="131"/>
  <c r="U128" i="131"/>
  <c r="L128" i="131" a="1"/>
  <c r="L128" i="131" s="1"/>
  <c r="BL127" i="131" a="1"/>
  <c r="BL127" i="131" s="1"/>
  <c r="AP127" i="131"/>
  <c r="AI127" i="131"/>
  <c r="AB127" i="131"/>
  <c r="U127" i="131"/>
  <c r="L127" i="131" a="1"/>
  <c r="L127" i="131" s="1"/>
  <c r="BU127" i="131" s="1"/>
  <c r="BL126" i="131" a="1"/>
  <c r="BL126" i="131" s="1"/>
  <c r="AP126" i="131"/>
  <c r="AI126" i="131"/>
  <c r="AB126" i="131"/>
  <c r="U126" i="131"/>
  <c r="L126" i="131" a="1"/>
  <c r="L126" i="131" s="1"/>
  <c r="BL125" i="131" a="1"/>
  <c r="BL125" i="131" s="1"/>
  <c r="AP125" i="131"/>
  <c r="AI125" i="131"/>
  <c r="AB125" i="131"/>
  <c r="U125" i="131"/>
  <c r="L125" i="131" a="1"/>
  <c r="L125" i="131" s="1"/>
  <c r="M125" i="131" s="1"/>
  <c r="BL124" i="131" a="1"/>
  <c r="BL124" i="131" s="1"/>
  <c r="AP124" i="131"/>
  <c r="AI124" i="131"/>
  <c r="AB124" i="131"/>
  <c r="U124" i="131"/>
  <c r="L124" i="131" a="1"/>
  <c r="L124" i="131" s="1"/>
  <c r="BL123" i="131" a="1"/>
  <c r="BL123" i="131" s="1"/>
  <c r="AP123" i="131"/>
  <c r="AI123" i="131"/>
  <c r="AB123" i="131"/>
  <c r="U123" i="131"/>
  <c r="L123" i="131" a="1"/>
  <c r="L123" i="131" s="1"/>
  <c r="M123" i="131" s="1"/>
  <c r="BL122" i="131" a="1"/>
  <c r="BL122" i="131" s="1"/>
  <c r="AP122" i="131"/>
  <c r="AI122" i="131"/>
  <c r="AB122" i="131"/>
  <c r="U122" i="131"/>
  <c r="L122" i="131" a="1"/>
  <c r="L122" i="131" s="1"/>
  <c r="BL121" i="131" a="1"/>
  <c r="BL121" i="131" s="1"/>
  <c r="AP121" i="131"/>
  <c r="AI121" i="131"/>
  <c r="AB121" i="131"/>
  <c r="U121" i="131"/>
  <c r="L121" i="131" a="1"/>
  <c r="L121" i="131" s="1"/>
  <c r="BL119" i="131"/>
  <c r="O115" i="131"/>
  <c r="BL113" i="131" a="1"/>
  <c r="BL113" i="131" s="1"/>
  <c r="BK113" i="131" a="1"/>
  <c r="BK113" i="131" s="1"/>
  <c r="AP113" i="131"/>
  <c r="AI113" i="131"/>
  <c r="AB113" i="131"/>
  <c r="U113" i="131"/>
  <c r="L113" i="131" a="1"/>
  <c r="L113" i="131" s="1"/>
  <c r="BL112" i="131" a="1"/>
  <c r="BL112" i="131" s="1"/>
  <c r="BK112" i="131"/>
  <c r="AP112" i="131"/>
  <c r="AI112" i="131"/>
  <c r="AB112" i="131"/>
  <c r="U112" i="131"/>
  <c r="L112" i="131" a="1"/>
  <c r="L112" i="131" s="1"/>
  <c r="O112" i="131" s="1"/>
  <c r="BL111" i="131" a="1"/>
  <c r="BL111" i="131" s="1"/>
  <c r="BK111" i="131"/>
  <c r="AP111" i="131"/>
  <c r="AI111" i="131"/>
  <c r="AB111" i="131"/>
  <c r="U111" i="131"/>
  <c r="L111" i="131" a="1"/>
  <c r="L111" i="131" s="1"/>
  <c r="O111" i="131" s="1"/>
  <c r="BL110" i="131" a="1"/>
  <c r="BL110" i="131" s="1"/>
  <c r="BK110" i="131"/>
  <c r="AP110" i="131"/>
  <c r="AI110" i="131"/>
  <c r="AB110" i="131"/>
  <c r="U110" i="131"/>
  <c r="L110" i="131" a="1"/>
  <c r="L110" i="131" s="1"/>
  <c r="M110" i="131" s="1"/>
  <c r="BL109" i="131" a="1"/>
  <c r="BL109" i="131" s="1"/>
  <c r="BK109" i="131"/>
  <c r="AP109" i="131"/>
  <c r="AI109" i="131"/>
  <c r="AB109" i="131"/>
  <c r="U109" i="131"/>
  <c r="L109" i="131" a="1"/>
  <c r="L109" i="131" s="1"/>
  <c r="BU109" i="131" s="1"/>
  <c r="BL108" i="131" a="1"/>
  <c r="BL108" i="131" s="1"/>
  <c r="BK108" i="131"/>
  <c r="AP108" i="131"/>
  <c r="AI108" i="131"/>
  <c r="AB108" i="131"/>
  <c r="U108" i="131"/>
  <c r="L108" i="131" a="1"/>
  <c r="L108" i="131" s="1"/>
  <c r="BL107" i="131" a="1"/>
  <c r="BL107" i="131" s="1"/>
  <c r="BK107" i="131"/>
  <c r="AP107" i="131"/>
  <c r="AI107" i="131"/>
  <c r="AB107" i="131"/>
  <c r="U107" i="131"/>
  <c r="L107" i="131" a="1"/>
  <c r="L107" i="131" s="1"/>
  <c r="BL106" i="131" a="1"/>
  <c r="BL106" i="131" s="1"/>
  <c r="BK106" i="131"/>
  <c r="AP106" i="131"/>
  <c r="AI106" i="131"/>
  <c r="AB106" i="131"/>
  <c r="U106" i="131"/>
  <c r="L106" i="131" a="1"/>
  <c r="L106" i="131" s="1"/>
  <c r="BL105" i="131" a="1"/>
  <c r="BL105" i="131" s="1"/>
  <c r="BK105" i="131"/>
  <c r="AP105" i="131"/>
  <c r="AI105" i="131"/>
  <c r="AB105" i="131"/>
  <c r="U105" i="131"/>
  <c r="L105" i="131" a="1"/>
  <c r="L105" i="131" s="1"/>
  <c r="BU105" i="131" s="1"/>
  <c r="BL104" i="131" a="1"/>
  <c r="BL104" i="131" s="1"/>
  <c r="BK104" i="131"/>
  <c r="AP104" i="131"/>
  <c r="AI104" i="131"/>
  <c r="AB104" i="131"/>
  <c r="U104" i="131"/>
  <c r="L104" i="131" a="1"/>
  <c r="L104" i="131" s="1"/>
  <c r="BL103" i="131" a="1"/>
  <c r="BL103" i="131" s="1"/>
  <c r="BK103" i="131"/>
  <c r="AP103" i="131"/>
  <c r="AI103" i="131"/>
  <c r="AB103" i="131"/>
  <c r="U103" i="131"/>
  <c r="L103" i="131" a="1"/>
  <c r="L103" i="131" s="1"/>
  <c r="BU103" i="131" s="1"/>
  <c r="BL102" i="131" a="1"/>
  <c r="BL102" i="131" s="1"/>
  <c r="BK102" i="131"/>
  <c r="AP102" i="131"/>
  <c r="AI102" i="131"/>
  <c r="AB102" i="131"/>
  <c r="U102" i="131"/>
  <c r="BF102" i="131" s="1"/>
  <c r="L102" i="131" a="1"/>
  <c r="L102" i="131" s="1"/>
  <c r="BL101" i="131" a="1"/>
  <c r="BL101" i="131" s="1"/>
  <c r="BK101" i="131"/>
  <c r="AP101" i="131"/>
  <c r="AI101" i="131"/>
  <c r="AB101" i="131"/>
  <c r="U101" i="131"/>
  <c r="L101" i="131" a="1"/>
  <c r="L101" i="131" s="1"/>
  <c r="BU101" i="131" s="1"/>
  <c r="BL100" i="131" a="1"/>
  <c r="BL100" i="131" s="1"/>
  <c r="BK100" i="131"/>
  <c r="AP100" i="131"/>
  <c r="AI100" i="131"/>
  <c r="AB100" i="131"/>
  <c r="U100" i="131"/>
  <c r="L100" i="131" a="1"/>
  <c r="L100" i="131" s="1"/>
  <c r="BL99" i="131" a="1"/>
  <c r="BL99" i="131" s="1"/>
  <c r="BK99" i="131"/>
  <c r="AP99" i="131"/>
  <c r="AI99" i="131"/>
  <c r="AB99" i="131"/>
  <c r="U99" i="131"/>
  <c r="L99" i="131" a="1"/>
  <c r="L99" i="131" s="1"/>
  <c r="BL98" i="131" a="1"/>
  <c r="BL98" i="131" s="1"/>
  <c r="BK98" i="131"/>
  <c r="AP98" i="131"/>
  <c r="AI98" i="131"/>
  <c r="AB98" i="131"/>
  <c r="U98" i="131"/>
  <c r="L98" i="131" a="1"/>
  <c r="L98" i="131" s="1"/>
  <c r="BL97" i="131" a="1"/>
  <c r="BL97" i="131" s="1"/>
  <c r="BK97" i="131"/>
  <c r="AP97" i="131"/>
  <c r="AI97" i="131"/>
  <c r="AB97" i="131"/>
  <c r="U97" i="131"/>
  <c r="L97" i="131" a="1"/>
  <c r="L97" i="131" s="1"/>
  <c r="O97" i="131" s="1"/>
  <c r="BL96" i="131" a="1"/>
  <c r="BL96" i="131" s="1"/>
  <c r="BK96" i="131"/>
  <c r="AP96" i="131"/>
  <c r="AI96" i="131"/>
  <c r="AB96" i="131"/>
  <c r="U96" i="131"/>
  <c r="L96" i="131" a="1"/>
  <c r="L96" i="131" s="1"/>
  <c r="BL95" i="131" a="1"/>
  <c r="BL95" i="131" s="1"/>
  <c r="BK95" i="131"/>
  <c r="AP95" i="131"/>
  <c r="AI95" i="131"/>
  <c r="AB95" i="131"/>
  <c r="U95" i="131"/>
  <c r="L95" i="131" a="1"/>
  <c r="L95" i="131" s="1"/>
  <c r="BU95" i="131" s="1"/>
  <c r="BL94" i="131" a="1"/>
  <c r="BL94" i="131" s="1"/>
  <c r="BK94" i="131"/>
  <c r="AP94" i="131"/>
  <c r="AI94" i="131"/>
  <c r="AB94" i="131"/>
  <c r="U94" i="131"/>
  <c r="BF94" i="131" s="1"/>
  <c r="L94" i="131" a="1"/>
  <c r="L94" i="131" s="1"/>
  <c r="BL93" i="131" a="1"/>
  <c r="BL93" i="131" s="1"/>
  <c r="BK93" i="131"/>
  <c r="AP93" i="131"/>
  <c r="AI93" i="131"/>
  <c r="AB93" i="131"/>
  <c r="U93" i="131"/>
  <c r="L93" i="131" a="1"/>
  <c r="L93" i="131" s="1"/>
  <c r="BL92" i="131" a="1"/>
  <c r="BL92" i="131" s="1"/>
  <c r="BK92" i="131"/>
  <c r="AP92" i="131"/>
  <c r="AI92" i="131"/>
  <c r="AB92" i="131"/>
  <c r="U92" i="131"/>
  <c r="L92" i="131" a="1"/>
  <c r="L92" i="131" s="1"/>
  <c r="O92" i="131" s="1"/>
  <c r="BL91" i="131" a="1"/>
  <c r="BL91" i="131" s="1"/>
  <c r="BK91" i="131"/>
  <c r="AP91" i="131"/>
  <c r="AI91" i="131"/>
  <c r="AB91" i="131"/>
  <c r="U91" i="131"/>
  <c r="L91" i="131" a="1"/>
  <c r="L91" i="131" s="1"/>
  <c r="BL90" i="131" a="1"/>
  <c r="BL90" i="131" s="1"/>
  <c r="BK90" i="131"/>
  <c r="AP90" i="131"/>
  <c r="AI90" i="131"/>
  <c r="AB90" i="131"/>
  <c r="U90" i="131"/>
  <c r="L90" i="131" a="1"/>
  <c r="L90" i="131" s="1"/>
  <c r="M90" i="131" s="1"/>
  <c r="BL89" i="131" a="1"/>
  <c r="BL89" i="131" s="1"/>
  <c r="AP89" i="131"/>
  <c r="AI89" i="131"/>
  <c r="AB89" i="131"/>
  <c r="U89" i="131"/>
  <c r="L89" i="131" a="1"/>
  <c r="L89" i="131" s="1"/>
  <c r="O89" i="131" s="1"/>
  <c r="BL88" i="131" a="1"/>
  <c r="BL88" i="131" s="1"/>
  <c r="AP88" i="131"/>
  <c r="AI88" i="131"/>
  <c r="AB88" i="131"/>
  <c r="U88" i="131"/>
  <c r="L88" i="131" a="1"/>
  <c r="L88" i="131" s="1"/>
  <c r="O88" i="131" s="1"/>
  <c r="BL87" i="131" a="1"/>
  <c r="BL87" i="131" s="1"/>
  <c r="AP87" i="131"/>
  <c r="AI87" i="131"/>
  <c r="AB87" i="131"/>
  <c r="U87" i="131"/>
  <c r="L87" i="131" a="1"/>
  <c r="L87" i="131" s="1"/>
  <c r="BL86" i="131" a="1"/>
  <c r="BL86" i="131" s="1"/>
  <c r="AP86" i="131"/>
  <c r="AI86" i="131"/>
  <c r="AB86" i="131"/>
  <c r="U86" i="131"/>
  <c r="L86" i="131" a="1"/>
  <c r="L86" i="131" s="1"/>
  <c r="BL85" i="131" a="1"/>
  <c r="BL85" i="131" s="1"/>
  <c r="AP85" i="131"/>
  <c r="AI85" i="131"/>
  <c r="AB85" i="131"/>
  <c r="U85" i="131"/>
  <c r="L85" i="131" a="1"/>
  <c r="L85" i="131" s="1"/>
  <c r="BU85" i="131" s="1"/>
  <c r="BL84" i="131" a="1"/>
  <c r="BL84" i="131" s="1"/>
  <c r="AP84" i="131"/>
  <c r="AI84" i="131"/>
  <c r="AB84" i="131"/>
  <c r="U84" i="131"/>
  <c r="L84" i="131" a="1"/>
  <c r="L84" i="131" s="1"/>
  <c r="M84" i="131" s="1"/>
  <c r="BL83" i="131" a="1"/>
  <c r="BL83" i="131" s="1"/>
  <c r="AP83" i="131"/>
  <c r="BF83" i="131" s="1"/>
  <c r="BL33" i="131" a="1"/>
  <c r="BL33" i="131" s="1"/>
  <c r="BK33" i="131"/>
  <c r="AP33" i="131"/>
  <c r="AI33" i="131"/>
  <c r="AB33" i="131"/>
  <c r="U33" i="131"/>
  <c r="L33" i="131" a="1"/>
  <c r="L33" i="131" s="1"/>
  <c r="O33" i="131" s="1"/>
  <c r="BL32" i="131" a="1"/>
  <c r="BL32" i="131" s="1"/>
  <c r="BK32" i="131"/>
  <c r="AP32" i="131"/>
  <c r="AI32" i="131"/>
  <c r="AB32" i="131"/>
  <c r="U32" i="131"/>
  <c r="BF32" i="131" s="1"/>
  <c r="L32" i="131" a="1"/>
  <c r="L32" i="131" s="1"/>
  <c r="BL31" i="131" a="1"/>
  <c r="BL31" i="131" s="1"/>
  <c r="BK31" i="131"/>
  <c r="AP31" i="131"/>
  <c r="AI31" i="131"/>
  <c r="AB31" i="131"/>
  <c r="U31" i="131"/>
  <c r="L31" i="131" a="1"/>
  <c r="L31" i="131" s="1"/>
  <c r="BL30" i="131" a="1"/>
  <c r="BL30" i="131" s="1"/>
  <c r="BK30" i="131"/>
  <c r="AP30" i="131"/>
  <c r="AI30" i="131"/>
  <c r="AB30" i="131"/>
  <c r="U30" i="131"/>
  <c r="L30" i="131" a="1"/>
  <c r="L30" i="131" s="1"/>
  <c r="BL29" i="131" a="1"/>
  <c r="BL29" i="131" s="1"/>
  <c r="BK29" i="131"/>
  <c r="AP29" i="131"/>
  <c r="AI29" i="131"/>
  <c r="AB29" i="131"/>
  <c r="U29" i="131"/>
  <c r="L29" i="131" a="1"/>
  <c r="L29" i="131" s="1"/>
  <c r="M29" i="131" s="1"/>
  <c r="BL28" i="131" a="1"/>
  <c r="BL28" i="131" s="1"/>
  <c r="BK28" i="131"/>
  <c r="AP28" i="131"/>
  <c r="AI28" i="131"/>
  <c r="AB28" i="131"/>
  <c r="U28" i="131"/>
  <c r="L28" i="131" a="1"/>
  <c r="L28" i="131" s="1"/>
  <c r="BU28" i="131" s="1"/>
  <c r="BL27" i="131" a="1"/>
  <c r="BL27" i="131" s="1"/>
  <c r="BK27" i="131"/>
  <c r="AP27" i="131"/>
  <c r="AI27" i="131"/>
  <c r="AB27" i="131"/>
  <c r="U27" i="131"/>
  <c r="L27" i="131" a="1"/>
  <c r="L27" i="131" s="1"/>
  <c r="M27" i="131" s="1"/>
  <c r="BL26" i="131" a="1"/>
  <c r="BL26" i="131" s="1"/>
  <c r="BK26" i="131"/>
  <c r="AP26" i="131"/>
  <c r="AI26" i="131"/>
  <c r="AB26" i="131"/>
  <c r="U26" i="131"/>
  <c r="L26" i="131" a="1"/>
  <c r="L26" i="131" s="1"/>
  <c r="O26" i="131" s="1"/>
  <c r="BL25" i="131" a="1"/>
  <c r="BL25" i="131" s="1"/>
  <c r="BK25" i="131"/>
  <c r="AP25" i="131"/>
  <c r="AI25" i="131"/>
  <c r="AB25" i="131"/>
  <c r="U25" i="131"/>
  <c r="BF25" i="131" s="1"/>
  <c r="L25" i="131" a="1"/>
  <c r="L25" i="131" s="1"/>
  <c r="BL24" i="131" a="1"/>
  <c r="BL24" i="131" s="1"/>
  <c r="AP24" i="131"/>
  <c r="AI24" i="131"/>
  <c r="AB24" i="131"/>
  <c r="U24" i="131"/>
  <c r="L24" i="131" a="1"/>
  <c r="L24" i="131" s="1"/>
  <c r="M24" i="131" s="1"/>
  <c r="BL23" i="131" a="1"/>
  <c r="BL23" i="131" s="1"/>
  <c r="BK23" i="131"/>
  <c r="AP23" i="131"/>
  <c r="AI23" i="131"/>
  <c r="AB23" i="131"/>
  <c r="U23" i="131"/>
  <c r="L23" i="131" a="1"/>
  <c r="L23" i="131" s="1"/>
  <c r="BU23" i="131" s="1"/>
  <c r="BL22" i="131" a="1"/>
  <c r="BL22" i="131" s="1"/>
  <c r="BK22" i="131"/>
  <c r="AP22" i="131"/>
  <c r="AI22" i="131"/>
  <c r="AB22" i="131"/>
  <c r="U22" i="131"/>
  <c r="L22" i="131" a="1"/>
  <c r="L22" i="131" s="1"/>
  <c r="M22" i="131" s="1"/>
  <c r="BL21" i="131" a="1"/>
  <c r="BL21" i="131" s="1"/>
  <c r="BK21" i="131"/>
  <c r="AP21" i="131"/>
  <c r="AI21" i="131"/>
  <c r="AB21" i="131"/>
  <c r="U21" i="131"/>
  <c r="L21" i="131" a="1"/>
  <c r="L21" i="131" s="1"/>
  <c r="BL20" i="131" a="1"/>
  <c r="BL20" i="131" s="1"/>
  <c r="AP20" i="131"/>
  <c r="AI20" i="131"/>
  <c r="AB20" i="131"/>
  <c r="U20" i="131"/>
  <c r="L20" i="131" a="1"/>
  <c r="L20" i="131" s="1"/>
  <c r="BL19" i="131" a="1"/>
  <c r="BL19" i="131" s="1"/>
  <c r="AP19" i="131"/>
  <c r="AI19" i="131"/>
  <c r="AB19" i="131"/>
  <c r="U19" i="131"/>
  <c r="L19" i="131" a="1"/>
  <c r="L19" i="131" s="1"/>
  <c r="BL18" i="131" a="1"/>
  <c r="BL18" i="131" s="1"/>
  <c r="AP18" i="131"/>
  <c r="AI18" i="131"/>
  <c r="AB18" i="131"/>
  <c r="U18" i="131"/>
  <c r="L18" i="131" a="1"/>
  <c r="L18" i="131" s="1"/>
  <c r="O18" i="131" s="1"/>
  <c r="BL17" i="131" a="1"/>
  <c r="BL17" i="131" s="1"/>
  <c r="AP17" i="131"/>
  <c r="AI17" i="131"/>
  <c r="AB17" i="131"/>
  <c r="U17" i="131"/>
  <c r="L17" i="131" a="1"/>
  <c r="L17" i="131" s="1"/>
  <c r="BL16" i="131" a="1"/>
  <c r="BL16" i="131" s="1"/>
  <c r="AP16" i="131"/>
  <c r="AI16" i="131"/>
  <c r="AB16" i="131"/>
  <c r="U16" i="131"/>
  <c r="L16" i="131" a="1"/>
  <c r="L16" i="131" s="1"/>
  <c r="BL15" i="131" a="1"/>
  <c r="BL15" i="131" s="1"/>
  <c r="AP15" i="131"/>
  <c r="AI15" i="131"/>
  <c r="AB15" i="131"/>
  <c r="U15" i="131"/>
  <c r="L15" i="131" a="1"/>
  <c r="L15" i="131" s="1"/>
  <c r="O15" i="131" s="1"/>
  <c r="BL14" i="131" a="1"/>
  <c r="BL14" i="131" s="1"/>
  <c r="AP14" i="131"/>
  <c r="AI14" i="131"/>
  <c r="AB14" i="131"/>
  <c r="U14" i="131"/>
  <c r="L14" i="131" a="1"/>
  <c r="L14" i="131" s="1"/>
  <c r="M14" i="131" s="1"/>
  <c r="BK12" i="131"/>
  <c r="BK226" i="131" s="1"/>
  <c r="O8" i="131"/>
  <c r="A7" i="131"/>
  <c r="C5" i="131"/>
  <c r="H3" i="131"/>
  <c r="C3" i="131"/>
  <c r="BL170" i="130" a="1"/>
  <c r="BL170" i="130" s="1"/>
  <c r="BK170" i="130" a="1"/>
  <c r="BK170" i="130" s="1"/>
  <c r="BJ170" i="130" a="1"/>
  <c r="BJ170" i="130" s="1"/>
  <c r="BH170" i="130" a="1"/>
  <c r="BH170" i="130" s="1"/>
  <c r="AP170" i="130"/>
  <c r="AI170" i="130"/>
  <c r="AB170" i="130"/>
  <c r="U170" i="130"/>
  <c r="L170" i="130" a="1"/>
  <c r="L170" i="130" s="1"/>
  <c r="O170" i="130" s="1"/>
  <c r="N170" i="130" s="1"/>
  <c r="BL169" i="130" a="1"/>
  <c r="BL169" i="130" s="1"/>
  <c r="BK169" i="130" a="1"/>
  <c r="BK169" i="130" s="1"/>
  <c r="BJ169" i="130" a="1"/>
  <c r="BJ169" i="130" s="1"/>
  <c r="BH169" i="130" a="1"/>
  <c r="BH169" i="130" s="1"/>
  <c r="AP169" i="130"/>
  <c r="AI169" i="130"/>
  <c r="AB169" i="130"/>
  <c r="U169" i="130"/>
  <c r="L169" i="130" a="1"/>
  <c r="L169" i="130" s="1"/>
  <c r="BU169" i="130" s="1"/>
  <c r="BL168" i="130" a="1"/>
  <c r="BL168" i="130" s="1"/>
  <c r="BK168" i="130" a="1"/>
  <c r="BK168" i="130" s="1"/>
  <c r="BJ168" i="130" a="1"/>
  <c r="BJ168" i="130" s="1"/>
  <c r="BH168" i="130" a="1"/>
  <c r="BH168" i="130" s="1"/>
  <c r="AP168" i="130"/>
  <c r="AI168" i="130"/>
  <c r="AB168" i="130"/>
  <c r="U168" i="130"/>
  <c r="L168" i="130" a="1"/>
  <c r="L168" i="130" s="1"/>
  <c r="BL167" i="130" a="1"/>
  <c r="BL167" i="130" s="1"/>
  <c r="BK167" i="130" a="1"/>
  <c r="BK167" i="130" s="1"/>
  <c r="BJ167" i="130" a="1"/>
  <c r="BJ167" i="130" s="1"/>
  <c r="BH167" i="130" a="1"/>
  <c r="BH167" i="130" s="1"/>
  <c r="AP167" i="130"/>
  <c r="AI167" i="130"/>
  <c r="AB167" i="130"/>
  <c r="U167" i="130"/>
  <c r="L167" i="130" a="1"/>
  <c r="L167" i="130" s="1"/>
  <c r="BL166" i="130" a="1"/>
  <c r="BL166" i="130" s="1"/>
  <c r="BK166" i="130" a="1"/>
  <c r="BK166" i="130" s="1"/>
  <c r="BJ166" i="130" a="1"/>
  <c r="BJ166" i="130" s="1"/>
  <c r="BH166" i="130" a="1"/>
  <c r="BH166" i="130" s="1"/>
  <c r="AP166" i="130"/>
  <c r="AI166" i="130"/>
  <c r="AB166" i="130"/>
  <c r="U166" i="130"/>
  <c r="L166" i="130" a="1"/>
  <c r="L166" i="130" s="1"/>
  <c r="O166" i="130" s="1"/>
  <c r="N166" i="130" s="1"/>
  <c r="BL165" i="130" a="1"/>
  <c r="BL165" i="130" s="1"/>
  <c r="BK165" i="130" a="1"/>
  <c r="BK165" i="130" s="1"/>
  <c r="BJ165" i="130" a="1"/>
  <c r="BJ165" i="130" s="1"/>
  <c r="BH165" i="130" a="1"/>
  <c r="BH165" i="130" s="1"/>
  <c r="AP165" i="130"/>
  <c r="AI165" i="130"/>
  <c r="AB165" i="130"/>
  <c r="U165" i="130"/>
  <c r="L165" i="130" a="1"/>
  <c r="L165" i="130" s="1"/>
  <c r="BL164" i="130" a="1"/>
  <c r="BL164" i="130" s="1"/>
  <c r="BK164" i="130" a="1"/>
  <c r="BK164" i="130" s="1"/>
  <c r="BJ164" i="130" a="1"/>
  <c r="BJ164" i="130" s="1"/>
  <c r="BH164" i="130" a="1"/>
  <c r="BH164" i="130" s="1"/>
  <c r="AP164" i="130"/>
  <c r="AI164" i="130"/>
  <c r="AB164" i="130"/>
  <c r="U164" i="130"/>
  <c r="L164" i="130" a="1"/>
  <c r="L164" i="130" s="1"/>
  <c r="BL163" i="130" a="1"/>
  <c r="BL163" i="130" s="1"/>
  <c r="BK163" i="130" a="1"/>
  <c r="BK163" i="130" s="1"/>
  <c r="BJ163" i="130" a="1"/>
  <c r="BJ163" i="130" s="1"/>
  <c r="BH163" i="130" a="1"/>
  <c r="BH163" i="130" s="1"/>
  <c r="AP163" i="130"/>
  <c r="AI163" i="130"/>
  <c r="AB163" i="130"/>
  <c r="U163" i="130"/>
  <c r="L163" i="130" a="1"/>
  <c r="L163" i="130" s="1"/>
  <c r="O163" i="130" s="1"/>
  <c r="N163" i="130" s="1"/>
  <c r="BL162" i="130" a="1"/>
  <c r="BL162" i="130" s="1"/>
  <c r="BK162" i="130" a="1"/>
  <c r="BK162" i="130" s="1"/>
  <c r="BJ162" i="130" a="1"/>
  <c r="BJ162" i="130" s="1"/>
  <c r="BH162" i="130" a="1"/>
  <c r="BH162" i="130" s="1"/>
  <c r="AP162" i="130"/>
  <c r="AI162" i="130"/>
  <c r="AB162" i="130"/>
  <c r="U162" i="130"/>
  <c r="L162" i="130" a="1"/>
  <c r="L162" i="130" s="1"/>
  <c r="BL161" i="130" a="1"/>
  <c r="BL161" i="130" s="1"/>
  <c r="BK161" i="130" a="1"/>
  <c r="BK161" i="130" s="1"/>
  <c r="BJ161" i="130" a="1"/>
  <c r="BJ161" i="130" s="1"/>
  <c r="BH161" i="130" a="1"/>
  <c r="BH161" i="130" s="1"/>
  <c r="AP161" i="130"/>
  <c r="AI161" i="130"/>
  <c r="AB161" i="130"/>
  <c r="U161" i="130"/>
  <c r="L161" i="130" a="1"/>
  <c r="L161" i="130" s="1"/>
  <c r="M161" i="130" s="1"/>
  <c r="BL160" i="130" a="1"/>
  <c r="BL160" i="130" s="1"/>
  <c r="BK160" i="130" a="1"/>
  <c r="BK160" i="130" s="1"/>
  <c r="BJ160" i="130" a="1"/>
  <c r="BJ160" i="130" s="1"/>
  <c r="BH160" i="130" a="1"/>
  <c r="BH160" i="130" s="1"/>
  <c r="AP160" i="130"/>
  <c r="AI160" i="130"/>
  <c r="AB160" i="130"/>
  <c r="U160" i="130"/>
  <c r="L160" i="130" a="1"/>
  <c r="L160" i="130" s="1"/>
  <c r="BL159" i="130" a="1"/>
  <c r="BL159" i="130" s="1"/>
  <c r="BK159" i="130" a="1"/>
  <c r="BK159" i="130" s="1"/>
  <c r="BJ159" i="130" a="1"/>
  <c r="BJ159" i="130" s="1"/>
  <c r="BH159" i="130" a="1"/>
  <c r="BH159" i="130" s="1"/>
  <c r="AP159" i="130"/>
  <c r="AI159" i="130"/>
  <c r="AB159" i="130"/>
  <c r="U159" i="130"/>
  <c r="L159" i="130" a="1"/>
  <c r="L159" i="130" s="1"/>
  <c r="O159" i="130" s="1"/>
  <c r="N159" i="130" s="1"/>
  <c r="BL158" i="130" a="1"/>
  <c r="BL158" i="130" s="1"/>
  <c r="BK158" i="130" a="1"/>
  <c r="BK158" i="130" s="1"/>
  <c r="BJ158" i="130" a="1"/>
  <c r="BJ158" i="130" s="1"/>
  <c r="BH158" i="130" a="1"/>
  <c r="BH158" i="130" s="1"/>
  <c r="AP158" i="130"/>
  <c r="AI158" i="130"/>
  <c r="AB158" i="130"/>
  <c r="U158" i="130"/>
  <c r="L158" i="130" a="1"/>
  <c r="L158" i="130" s="1"/>
  <c r="BL157" i="130" a="1"/>
  <c r="BL157" i="130" s="1"/>
  <c r="BK157" i="130" a="1"/>
  <c r="BK157" i="130" s="1"/>
  <c r="BJ157" i="130" a="1"/>
  <c r="BJ157" i="130" s="1"/>
  <c r="BH157" i="130" a="1"/>
  <c r="BH157" i="130" s="1"/>
  <c r="AP157" i="130"/>
  <c r="AI157" i="130"/>
  <c r="AB157" i="130"/>
  <c r="U157" i="130"/>
  <c r="L157" i="130" a="1"/>
  <c r="L157" i="130" s="1"/>
  <c r="O157" i="130" s="1"/>
  <c r="N157" i="130" s="1"/>
  <c r="BL156" i="130" a="1"/>
  <c r="BL156" i="130" s="1"/>
  <c r="BK156" i="130" a="1"/>
  <c r="BK156" i="130" s="1"/>
  <c r="BJ156" i="130" a="1"/>
  <c r="BJ156" i="130" s="1"/>
  <c r="BH156" i="130" a="1"/>
  <c r="BH156" i="130" s="1"/>
  <c r="AP156" i="130"/>
  <c r="AI156" i="130"/>
  <c r="AB156" i="130"/>
  <c r="U156" i="130"/>
  <c r="L156" i="130" a="1"/>
  <c r="L156" i="130" s="1"/>
  <c r="BL155" i="130" a="1"/>
  <c r="BL155" i="130" s="1"/>
  <c r="BK155" i="130" a="1"/>
  <c r="BK155" i="130" s="1"/>
  <c r="BJ155" i="130" a="1"/>
  <c r="BJ155" i="130" s="1"/>
  <c r="BH155" i="130" a="1"/>
  <c r="BH155" i="130" s="1"/>
  <c r="AP155" i="130"/>
  <c r="AI155" i="130"/>
  <c r="AB155" i="130"/>
  <c r="U155" i="130"/>
  <c r="L155" i="130" a="1"/>
  <c r="L155" i="130" s="1"/>
  <c r="O155" i="130" s="1"/>
  <c r="N155" i="130" s="1"/>
  <c r="BL154" i="130" a="1"/>
  <c r="BL154" i="130" s="1"/>
  <c r="BK154" i="130" a="1"/>
  <c r="BK154" i="130" s="1"/>
  <c r="BJ154" i="130" a="1"/>
  <c r="BJ154" i="130" s="1"/>
  <c r="BH154" i="130" a="1"/>
  <c r="BH154" i="130" s="1"/>
  <c r="AP154" i="130"/>
  <c r="AI154" i="130"/>
  <c r="AB154" i="130"/>
  <c r="U154" i="130"/>
  <c r="L154" i="130" a="1"/>
  <c r="L154" i="130" s="1"/>
  <c r="O154" i="130" s="1"/>
  <c r="N154" i="130" s="1"/>
  <c r="BL153" i="130" a="1"/>
  <c r="BL153" i="130" s="1"/>
  <c r="BK153" i="130" a="1"/>
  <c r="BK153" i="130" s="1"/>
  <c r="BJ153" i="130" a="1"/>
  <c r="BJ153" i="130" s="1"/>
  <c r="BH153" i="130" a="1"/>
  <c r="BH153" i="130" s="1"/>
  <c r="AP153" i="130"/>
  <c r="AI153" i="130"/>
  <c r="AB153" i="130"/>
  <c r="U153" i="130"/>
  <c r="L153" i="130" a="1"/>
  <c r="L153" i="130" s="1"/>
  <c r="BL152" i="130" a="1"/>
  <c r="BL152" i="130" s="1"/>
  <c r="BK152" i="130" a="1"/>
  <c r="BK152" i="130" s="1"/>
  <c r="BJ152" i="130" a="1"/>
  <c r="BJ152" i="130" s="1"/>
  <c r="BH152" i="130" a="1"/>
  <c r="BH152" i="130" s="1"/>
  <c r="AP152" i="130"/>
  <c r="AI152" i="130"/>
  <c r="AB152" i="130"/>
  <c r="U152" i="130"/>
  <c r="L152" i="130" a="1"/>
  <c r="L152" i="130" s="1"/>
  <c r="M152" i="130" s="1"/>
  <c r="BL151" i="130" a="1"/>
  <c r="BL151" i="130" s="1"/>
  <c r="BK151" i="130" a="1"/>
  <c r="BK151" i="130" s="1"/>
  <c r="BJ151" i="130" a="1"/>
  <c r="BJ151" i="130" s="1"/>
  <c r="BH151" i="130" a="1"/>
  <c r="BH151" i="130" s="1"/>
  <c r="AP151" i="130"/>
  <c r="AI151" i="130"/>
  <c r="AB151" i="130"/>
  <c r="U151" i="130"/>
  <c r="L151" i="130" a="1"/>
  <c r="L151" i="130" s="1"/>
  <c r="BL150" i="130" a="1"/>
  <c r="BL150" i="130" s="1"/>
  <c r="BK150" i="130" a="1"/>
  <c r="BK150" i="130" s="1"/>
  <c r="BJ150" i="130" a="1"/>
  <c r="BJ150" i="130" s="1"/>
  <c r="BH150" i="130" a="1"/>
  <c r="BH150" i="130" s="1"/>
  <c r="AP150" i="130"/>
  <c r="AI150" i="130"/>
  <c r="AB150" i="130"/>
  <c r="U150" i="130"/>
  <c r="L150" i="130" a="1"/>
  <c r="L150" i="130" s="1"/>
  <c r="BU150" i="130" s="1"/>
  <c r="BL149" i="130" a="1"/>
  <c r="BL149" i="130" s="1"/>
  <c r="BK149" i="130" a="1"/>
  <c r="BK149" i="130" s="1"/>
  <c r="BJ149" i="130" a="1"/>
  <c r="BJ149" i="130" s="1"/>
  <c r="BH149" i="130" a="1"/>
  <c r="BH149" i="130" s="1"/>
  <c r="AP149" i="130"/>
  <c r="AI149" i="130"/>
  <c r="AB149" i="130"/>
  <c r="U149" i="130"/>
  <c r="L149" i="130" a="1"/>
  <c r="L149" i="130" s="1"/>
  <c r="BU149" i="130" s="1"/>
  <c r="BL148" i="130" a="1"/>
  <c r="BL148" i="130" s="1"/>
  <c r="BK148" i="130" a="1"/>
  <c r="BK148" i="130" s="1"/>
  <c r="BJ148" i="130" a="1"/>
  <c r="BJ148" i="130" s="1"/>
  <c r="BH148" i="130" a="1"/>
  <c r="BH148" i="130" s="1"/>
  <c r="AP148" i="130"/>
  <c r="AI148" i="130"/>
  <c r="AB148" i="130"/>
  <c r="U148" i="130"/>
  <c r="L148" i="130" a="1"/>
  <c r="L148" i="130" s="1"/>
  <c r="O148" i="130" s="1"/>
  <c r="N148" i="130" s="1"/>
  <c r="BL147" i="130" a="1"/>
  <c r="BL147" i="130" s="1"/>
  <c r="BK147" i="130" a="1"/>
  <c r="BK147" i="130" s="1"/>
  <c r="BJ147" i="130" a="1"/>
  <c r="BJ147" i="130" s="1"/>
  <c r="BH147" i="130" a="1"/>
  <c r="BH147" i="130" s="1"/>
  <c r="AP147" i="130"/>
  <c r="AI147" i="130"/>
  <c r="AB147" i="130"/>
  <c r="U147" i="130"/>
  <c r="L147" i="130" a="1"/>
  <c r="L147" i="130" s="1"/>
  <c r="BL146" i="130" a="1"/>
  <c r="BL146" i="130" s="1"/>
  <c r="BK146" i="130" a="1"/>
  <c r="BK146" i="130" s="1"/>
  <c r="BJ146" i="130" a="1"/>
  <c r="BJ146" i="130" s="1"/>
  <c r="BH146" i="130" a="1"/>
  <c r="BH146" i="130" s="1"/>
  <c r="AP146" i="130"/>
  <c r="AI146" i="130"/>
  <c r="AB146" i="130"/>
  <c r="U146" i="130"/>
  <c r="L146" i="130" a="1"/>
  <c r="L146" i="130" s="1"/>
  <c r="BL145" i="130" a="1"/>
  <c r="BL145" i="130" s="1"/>
  <c r="BK145" i="130" a="1"/>
  <c r="BK145" i="130" s="1"/>
  <c r="BJ145" i="130" a="1"/>
  <c r="BJ145" i="130" s="1"/>
  <c r="BH145" i="130" a="1"/>
  <c r="BH145" i="130" s="1"/>
  <c r="AP145" i="130"/>
  <c r="AI145" i="130"/>
  <c r="AB145" i="130"/>
  <c r="U145" i="130"/>
  <c r="L145" i="130" a="1"/>
  <c r="L145" i="130" s="1"/>
  <c r="BL144" i="130" a="1"/>
  <c r="BL144" i="130" s="1"/>
  <c r="BK144" i="130" a="1"/>
  <c r="BK144" i="130" s="1"/>
  <c r="BJ144" i="130" a="1"/>
  <c r="BJ144" i="130" s="1"/>
  <c r="BH144" i="130" a="1"/>
  <c r="BH144" i="130" s="1"/>
  <c r="AP144" i="130"/>
  <c r="AI144" i="130"/>
  <c r="AB144" i="130"/>
  <c r="U144" i="130"/>
  <c r="L144" i="130" a="1"/>
  <c r="L144" i="130" s="1"/>
  <c r="BL143" i="130" a="1"/>
  <c r="BL143" i="130" s="1"/>
  <c r="BK143" i="130" a="1"/>
  <c r="BK143" i="130" s="1"/>
  <c r="BJ143" i="130" a="1"/>
  <c r="BJ143" i="130" s="1"/>
  <c r="BH143" i="130" a="1"/>
  <c r="BH143" i="130" s="1"/>
  <c r="AP143" i="130"/>
  <c r="AI143" i="130"/>
  <c r="AB143" i="130"/>
  <c r="U143" i="130"/>
  <c r="L143" i="130" a="1"/>
  <c r="L143" i="130" s="1"/>
  <c r="BL142" i="130" a="1"/>
  <c r="BL142" i="130" s="1"/>
  <c r="BK142" i="130" a="1"/>
  <c r="BK142" i="130" s="1"/>
  <c r="BJ142" i="130" a="1"/>
  <c r="BJ142" i="130" s="1"/>
  <c r="BH142" i="130" a="1"/>
  <c r="BH142" i="130" s="1"/>
  <c r="AP142" i="130"/>
  <c r="AI142" i="130"/>
  <c r="AB142" i="130"/>
  <c r="U142" i="130"/>
  <c r="L142" i="130" a="1"/>
  <c r="L142" i="130" s="1"/>
  <c r="O142" i="130" s="1"/>
  <c r="N142" i="130" s="1"/>
  <c r="BL141" i="130" a="1"/>
  <c r="BL141" i="130" s="1"/>
  <c r="BK141" i="130" a="1"/>
  <c r="BK141" i="130" s="1"/>
  <c r="BJ141" i="130" a="1"/>
  <c r="BJ141" i="130" s="1"/>
  <c r="BH141" i="130" a="1"/>
  <c r="BH141" i="130" s="1"/>
  <c r="AP141" i="130"/>
  <c r="AI141" i="130"/>
  <c r="AB141" i="130"/>
  <c r="U141" i="130"/>
  <c r="L141" i="130" a="1"/>
  <c r="L141" i="130" s="1"/>
  <c r="BU141" i="130" s="1"/>
  <c r="BL140" i="130" a="1"/>
  <c r="BL140" i="130" s="1"/>
  <c r="BK140" i="130" a="1"/>
  <c r="BK140" i="130" s="1"/>
  <c r="BJ140" i="130" a="1"/>
  <c r="BJ140" i="130" s="1"/>
  <c r="BH140" i="130" a="1"/>
  <c r="BH140" i="130" s="1"/>
  <c r="AP140" i="130"/>
  <c r="AI140" i="130"/>
  <c r="AB140" i="130"/>
  <c r="U140" i="130"/>
  <c r="L140" i="130" a="1"/>
  <c r="L140" i="130" s="1"/>
  <c r="BL139" i="130" a="1"/>
  <c r="BL139" i="130" s="1"/>
  <c r="BK139" i="130" a="1"/>
  <c r="BK139" i="130" s="1"/>
  <c r="BJ139" i="130" a="1"/>
  <c r="BJ139" i="130" s="1"/>
  <c r="BH139" i="130" a="1"/>
  <c r="BH139" i="130" s="1"/>
  <c r="AP139" i="130"/>
  <c r="AI139" i="130"/>
  <c r="AB139" i="130"/>
  <c r="U139" i="130"/>
  <c r="L139" i="130" a="1"/>
  <c r="L139" i="130" s="1"/>
  <c r="BL138" i="130" a="1"/>
  <c r="BL138" i="130" s="1"/>
  <c r="BK138" i="130" a="1"/>
  <c r="BK138" i="130" s="1"/>
  <c r="BJ138" i="130" a="1"/>
  <c r="BJ138" i="130" s="1"/>
  <c r="BH138" i="130" a="1"/>
  <c r="BH138" i="130" s="1"/>
  <c r="AP138" i="130"/>
  <c r="AI138" i="130"/>
  <c r="AB138" i="130"/>
  <c r="U138" i="130"/>
  <c r="L138" i="130" a="1"/>
  <c r="L138" i="130" s="1"/>
  <c r="BL137" i="130" a="1"/>
  <c r="BL137" i="130" s="1"/>
  <c r="BK137" i="130" a="1"/>
  <c r="BK137" i="130" s="1"/>
  <c r="BJ137" i="130" a="1"/>
  <c r="BJ137" i="130" s="1"/>
  <c r="BH137" i="130" a="1"/>
  <c r="BH137" i="130" s="1"/>
  <c r="AP137" i="130"/>
  <c r="AI137" i="130"/>
  <c r="AB137" i="130"/>
  <c r="U137" i="130"/>
  <c r="L137" i="130" a="1"/>
  <c r="L137" i="130" s="1"/>
  <c r="BU137" i="130" s="1"/>
  <c r="BL136" i="130" a="1"/>
  <c r="BL136" i="130" s="1"/>
  <c r="BK136" i="130" a="1"/>
  <c r="BK136" i="130" s="1"/>
  <c r="BJ136" i="130" a="1"/>
  <c r="BJ136" i="130" s="1"/>
  <c r="BH136" i="130" a="1"/>
  <c r="BH136" i="130" s="1"/>
  <c r="AP136" i="130"/>
  <c r="AI136" i="130"/>
  <c r="AB136" i="130"/>
  <c r="U136" i="130"/>
  <c r="L136" i="130" a="1"/>
  <c r="L136" i="130" s="1"/>
  <c r="BU136" i="130" s="1"/>
  <c r="BL135" i="130" a="1"/>
  <c r="BL135" i="130" s="1"/>
  <c r="BK135" i="130" a="1"/>
  <c r="BK135" i="130" s="1"/>
  <c r="BJ135" i="130" a="1"/>
  <c r="BJ135" i="130" s="1"/>
  <c r="BH135" i="130" a="1"/>
  <c r="BH135" i="130" s="1"/>
  <c r="AP135" i="130"/>
  <c r="AI135" i="130"/>
  <c r="AB135" i="130"/>
  <c r="U135" i="130"/>
  <c r="L135" i="130" a="1"/>
  <c r="L135" i="130" s="1"/>
  <c r="BL134" i="130" a="1"/>
  <c r="BL134" i="130" s="1"/>
  <c r="BK134" i="130" a="1"/>
  <c r="BK134" i="130" s="1"/>
  <c r="BJ134" i="130" a="1"/>
  <c r="BJ134" i="130" s="1"/>
  <c r="BH134" i="130" a="1"/>
  <c r="BH134" i="130" s="1"/>
  <c r="AP134" i="130"/>
  <c r="AI134" i="130"/>
  <c r="AB134" i="130"/>
  <c r="U134" i="130"/>
  <c r="L134" i="130" a="1"/>
  <c r="L134" i="130" s="1"/>
  <c r="BL133" i="130" a="1"/>
  <c r="BL133" i="130" s="1"/>
  <c r="BK133" i="130" a="1"/>
  <c r="BK133" i="130" s="1"/>
  <c r="BJ133" i="130" a="1"/>
  <c r="BJ133" i="130" s="1"/>
  <c r="BH133" i="130" a="1"/>
  <c r="BH133" i="130" s="1"/>
  <c r="AP133" i="130"/>
  <c r="AI133" i="130"/>
  <c r="AB133" i="130"/>
  <c r="U133" i="130"/>
  <c r="L133" i="130" a="1"/>
  <c r="L133" i="130" s="1"/>
  <c r="BU133" i="130" s="1"/>
  <c r="BL132" i="130" a="1"/>
  <c r="BL132" i="130" s="1"/>
  <c r="BK132" i="130" a="1"/>
  <c r="BK132" i="130" s="1"/>
  <c r="BJ132" i="130" a="1"/>
  <c r="BJ132" i="130" s="1"/>
  <c r="BH132" i="130" a="1"/>
  <c r="BH132" i="130" s="1"/>
  <c r="AP132" i="130"/>
  <c r="AI132" i="130"/>
  <c r="AB132" i="130"/>
  <c r="U132" i="130"/>
  <c r="L132" i="130" a="1"/>
  <c r="L132" i="130" s="1"/>
  <c r="BL131" i="130" a="1"/>
  <c r="BL131" i="130" s="1"/>
  <c r="BK131" i="130" a="1"/>
  <c r="BK131" i="130" s="1"/>
  <c r="BJ131" i="130" a="1"/>
  <c r="BJ131" i="130" s="1"/>
  <c r="BH131" i="130" a="1"/>
  <c r="BH131" i="130" s="1"/>
  <c r="AP131" i="130"/>
  <c r="AI131" i="130"/>
  <c r="AB131" i="130"/>
  <c r="U131" i="130"/>
  <c r="L131" i="130" a="1"/>
  <c r="L131" i="130" s="1"/>
  <c r="O131" i="130" s="1"/>
  <c r="N131" i="130" s="1"/>
  <c r="BL130" i="130" a="1"/>
  <c r="BL130" i="130" s="1"/>
  <c r="BK130" i="130" a="1"/>
  <c r="BK130" i="130" s="1"/>
  <c r="BJ130" i="130" a="1"/>
  <c r="BJ130" i="130" s="1"/>
  <c r="BH130" i="130" a="1"/>
  <c r="BH130" i="130" s="1"/>
  <c r="AP130" i="130"/>
  <c r="AI130" i="130"/>
  <c r="AB130" i="130"/>
  <c r="U130" i="130"/>
  <c r="L130" i="130" a="1"/>
  <c r="L130" i="130" s="1"/>
  <c r="BL129" i="130" a="1"/>
  <c r="BL129" i="130" s="1"/>
  <c r="BK129" i="130" a="1"/>
  <c r="BK129" i="130" s="1"/>
  <c r="BJ129" i="130" a="1"/>
  <c r="BJ129" i="130" s="1"/>
  <c r="BH129" i="130" a="1"/>
  <c r="BH129" i="130" s="1"/>
  <c r="AP129" i="130"/>
  <c r="AI129" i="130"/>
  <c r="AB129" i="130"/>
  <c r="U129" i="130"/>
  <c r="L129" i="130" a="1"/>
  <c r="L129" i="130" s="1"/>
  <c r="BL128" i="130" a="1"/>
  <c r="BL128" i="130" s="1"/>
  <c r="BK128" i="130" a="1"/>
  <c r="BK128" i="130" s="1"/>
  <c r="BJ128" i="130" a="1"/>
  <c r="BJ128" i="130" s="1"/>
  <c r="BH128" i="130" a="1"/>
  <c r="BH128" i="130" s="1"/>
  <c r="AP128" i="130"/>
  <c r="AI128" i="130"/>
  <c r="AB128" i="130"/>
  <c r="U128" i="130"/>
  <c r="L128" i="130" a="1"/>
  <c r="L128" i="130" s="1"/>
  <c r="M128" i="130" s="1"/>
  <c r="BL127" i="130" a="1"/>
  <c r="BL127" i="130" s="1"/>
  <c r="BK127" i="130" a="1"/>
  <c r="BK127" i="130" s="1"/>
  <c r="BJ127" i="130" a="1"/>
  <c r="BJ127" i="130" s="1"/>
  <c r="BH127" i="130" a="1"/>
  <c r="BH127" i="130" s="1"/>
  <c r="AP127" i="130"/>
  <c r="AI127" i="130"/>
  <c r="AB127" i="130"/>
  <c r="U127" i="130"/>
  <c r="L127" i="130" a="1"/>
  <c r="L127" i="130" s="1"/>
  <c r="BL126" i="130" a="1"/>
  <c r="BL126" i="130" s="1"/>
  <c r="BK126" i="130" a="1"/>
  <c r="BK126" i="130" s="1"/>
  <c r="BJ126" i="130" a="1"/>
  <c r="BJ126" i="130" s="1"/>
  <c r="BH126" i="130" a="1"/>
  <c r="BH126" i="130" s="1"/>
  <c r="AP126" i="130"/>
  <c r="AI126" i="130"/>
  <c r="AB126" i="130"/>
  <c r="U126" i="130"/>
  <c r="L126" i="130" a="1"/>
  <c r="L126" i="130" s="1"/>
  <c r="M126" i="130" s="1"/>
  <c r="BL125" i="130" a="1"/>
  <c r="BL125" i="130" s="1"/>
  <c r="BK125" i="130" a="1"/>
  <c r="BK125" i="130" s="1"/>
  <c r="BJ125" i="130" a="1"/>
  <c r="BJ125" i="130" s="1"/>
  <c r="BH125" i="130" a="1"/>
  <c r="BH125" i="130" s="1"/>
  <c r="AP125" i="130"/>
  <c r="AI125" i="130"/>
  <c r="AB125" i="130"/>
  <c r="U125" i="130"/>
  <c r="L125" i="130" a="1"/>
  <c r="L125" i="130" s="1"/>
  <c r="O125" i="130" s="1"/>
  <c r="N125" i="130" s="1"/>
  <c r="BL124" i="130" a="1"/>
  <c r="BL124" i="130" s="1"/>
  <c r="BK124" i="130" a="1"/>
  <c r="BK124" i="130" s="1"/>
  <c r="BJ124" i="130" a="1"/>
  <c r="BJ124" i="130" s="1"/>
  <c r="BH124" i="130" a="1"/>
  <c r="BH124" i="130" s="1"/>
  <c r="AP124" i="130"/>
  <c r="AI124" i="130"/>
  <c r="AB124" i="130"/>
  <c r="U124" i="130"/>
  <c r="L124" i="130" a="1"/>
  <c r="L124" i="130" s="1"/>
  <c r="O124" i="130" s="1"/>
  <c r="N124" i="130" s="1"/>
  <c r="BL123" i="130" a="1"/>
  <c r="BL123" i="130" s="1"/>
  <c r="BK123" i="130" a="1"/>
  <c r="BK123" i="130" s="1"/>
  <c r="BJ123" i="130" a="1"/>
  <c r="BJ123" i="130" s="1"/>
  <c r="BH123" i="130" a="1"/>
  <c r="BH123" i="130" s="1"/>
  <c r="AP123" i="130"/>
  <c r="AI123" i="130"/>
  <c r="AB123" i="130"/>
  <c r="U123" i="130"/>
  <c r="L123" i="130" a="1"/>
  <c r="L123" i="130" s="1"/>
  <c r="O123" i="130" s="1"/>
  <c r="N123" i="130" s="1"/>
  <c r="BL122" i="130" a="1"/>
  <c r="BL122" i="130" s="1"/>
  <c r="BK122" i="130" a="1"/>
  <c r="BK122" i="130" s="1"/>
  <c r="BJ122" i="130" a="1"/>
  <c r="BJ122" i="130" s="1"/>
  <c r="BH122" i="130" a="1"/>
  <c r="BH122" i="130" s="1"/>
  <c r="AP122" i="130"/>
  <c r="AI122" i="130"/>
  <c r="AB122" i="130"/>
  <c r="U122" i="130"/>
  <c r="L122" i="130" a="1"/>
  <c r="L122" i="130" s="1"/>
  <c r="BL121" i="130" a="1"/>
  <c r="BL121" i="130" s="1"/>
  <c r="BK121" i="130" a="1"/>
  <c r="BK121" i="130" s="1"/>
  <c r="BJ121" i="130" a="1"/>
  <c r="BJ121" i="130" s="1"/>
  <c r="BH121" i="130" a="1"/>
  <c r="BH121" i="130" s="1"/>
  <c r="AP121" i="130"/>
  <c r="AI121" i="130"/>
  <c r="AB121" i="130"/>
  <c r="U121" i="130"/>
  <c r="L121" i="130" a="1"/>
  <c r="L121" i="130" s="1"/>
  <c r="O115" i="130"/>
  <c r="BL113" i="130" a="1"/>
  <c r="BL113" i="130" s="1"/>
  <c r="AP113" i="130"/>
  <c r="AI113" i="130"/>
  <c r="AB113" i="130"/>
  <c r="U113" i="130"/>
  <c r="L113" i="130" a="1"/>
  <c r="L113" i="130" s="1"/>
  <c r="O113" i="130" s="1"/>
  <c r="P113" i="130" s="1"/>
  <c r="BL112" i="130" a="1"/>
  <c r="BL112" i="130" s="1"/>
  <c r="AP112" i="130"/>
  <c r="AI112" i="130"/>
  <c r="AB112" i="130"/>
  <c r="U112" i="130"/>
  <c r="L112" i="130" a="1"/>
  <c r="L112" i="130" s="1"/>
  <c r="M112" i="130" s="1"/>
  <c r="BL111" i="130" a="1"/>
  <c r="BL111" i="130" s="1"/>
  <c r="AP111" i="130"/>
  <c r="AI111" i="130"/>
  <c r="AB111" i="130"/>
  <c r="U111" i="130"/>
  <c r="L111" i="130" a="1"/>
  <c r="L111" i="130" s="1"/>
  <c r="O111" i="130" s="1"/>
  <c r="P111" i="130" s="1"/>
  <c r="BL110" i="130" a="1"/>
  <c r="BL110" i="130" s="1"/>
  <c r="BK110" i="130"/>
  <c r="BJ110" i="130"/>
  <c r="AP110" i="130"/>
  <c r="AI110" i="130"/>
  <c r="AB110" i="130"/>
  <c r="U110" i="130"/>
  <c r="L110" i="130" a="1"/>
  <c r="L110" i="130" s="1"/>
  <c r="BU110" i="130" s="1"/>
  <c r="BL109" i="130" a="1"/>
  <c r="BL109" i="130" s="1"/>
  <c r="AP109" i="130"/>
  <c r="AI109" i="130"/>
  <c r="AB109" i="130"/>
  <c r="U109" i="130"/>
  <c r="L109" i="130" a="1"/>
  <c r="L109" i="130" s="1"/>
  <c r="BL108" i="130" a="1"/>
  <c r="BL108" i="130" s="1"/>
  <c r="AP108" i="130"/>
  <c r="AI108" i="130"/>
  <c r="AB108" i="130"/>
  <c r="U108" i="130"/>
  <c r="L108" i="130" a="1"/>
  <c r="L108" i="130" s="1"/>
  <c r="O108" i="130" s="1"/>
  <c r="P108" i="130" s="1"/>
  <c r="BL107" i="130" a="1"/>
  <c r="BL107" i="130" s="1"/>
  <c r="AP107" i="130"/>
  <c r="AI107" i="130"/>
  <c r="AB107" i="130"/>
  <c r="U107" i="130"/>
  <c r="L107" i="130" a="1"/>
  <c r="L107" i="130" s="1"/>
  <c r="BL106" i="130" a="1"/>
  <c r="BL106" i="130" s="1"/>
  <c r="AP106" i="130"/>
  <c r="AI106" i="130"/>
  <c r="AB106" i="130"/>
  <c r="U106" i="130"/>
  <c r="L106" i="130" a="1"/>
  <c r="L106" i="130" s="1"/>
  <c r="BU106" i="130" s="1"/>
  <c r="BL105" i="130" a="1"/>
  <c r="BL105" i="130" s="1"/>
  <c r="AP105" i="130"/>
  <c r="AI105" i="130"/>
  <c r="AB105" i="130"/>
  <c r="U105" i="130"/>
  <c r="L105" i="130" a="1"/>
  <c r="L105" i="130" s="1"/>
  <c r="O105" i="130" s="1"/>
  <c r="P105" i="130" s="1"/>
  <c r="BL104" i="130" a="1"/>
  <c r="BL104" i="130" s="1"/>
  <c r="AP104" i="130"/>
  <c r="AI104" i="130"/>
  <c r="AB104" i="130"/>
  <c r="U104" i="130"/>
  <c r="L104" i="130" a="1"/>
  <c r="L104" i="130" s="1"/>
  <c r="M104" i="130" s="1"/>
  <c r="BL103" i="130" a="1"/>
  <c r="BL103" i="130" s="1"/>
  <c r="AP103" i="130"/>
  <c r="AI103" i="130"/>
  <c r="AB103" i="130"/>
  <c r="U103" i="130"/>
  <c r="L103" i="130" a="1"/>
  <c r="L103" i="130" s="1"/>
  <c r="O103" i="130" s="1"/>
  <c r="P103" i="130" s="1"/>
  <c r="BL102" i="130" a="1"/>
  <c r="BL102" i="130" s="1"/>
  <c r="AP102" i="130"/>
  <c r="AI102" i="130"/>
  <c r="AB102" i="130"/>
  <c r="U102" i="130"/>
  <c r="L102" i="130" a="1"/>
  <c r="L102" i="130" s="1"/>
  <c r="M102" i="130" s="1"/>
  <c r="BL101" i="130" a="1"/>
  <c r="BL101" i="130" s="1"/>
  <c r="AP101" i="130"/>
  <c r="AI101" i="130"/>
  <c r="AB101" i="130"/>
  <c r="U101" i="130"/>
  <c r="L101" i="130" a="1"/>
  <c r="L101" i="130" s="1"/>
  <c r="BL100" i="130" a="1"/>
  <c r="BL100" i="130" s="1"/>
  <c r="AP100" i="130"/>
  <c r="AI100" i="130"/>
  <c r="AB100" i="130"/>
  <c r="U100" i="130"/>
  <c r="L100" i="130" a="1"/>
  <c r="L100" i="130" s="1"/>
  <c r="BL99" i="130" a="1"/>
  <c r="BL99" i="130" s="1"/>
  <c r="BK99" i="130"/>
  <c r="BJ99" i="130"/>
  <c r="AP99" i="130"/>
  <c r="AI99" i="130"/>
  <c r="AB99" i="130"/>
  <c r="U99" i="130"/>
  <c r="L99" i="130" a="1"/>
  <c r="L99" i="130" s="1"/>
  <c r="O99" i="130" s="1"/>
  <c r="BL98" i="130" a="1"/>
  <c r="BL98" i="130" s="1"/>
  <c r="BK98" i="130"/>
  <c r="BJ98" i="130"/>
  <c r="AP98" i="130"/>
  <c r="AI98" i="130"/>
  <c r="AB98" i="130"/>
  <c r="U98" i="130"/>
  <c r="L98" i="130" a="1"/>
  <c r="L98" i="130" s="1"/>
  <c r="BL97" i="130" a="1"/>
  <c r="BL97" i="130" s="1"/>
  <c r="BK97" i="130"/>
  <c r="BJ97" i="130"/>
  <c r="AP97" i="130"/>
  <c r="AI97" i="130"/>
  <c r="AB97" i="130"/>
  <c r="U97" i="130"/>
  <c r="L97" i="130" a="1"/>
  <c r="L97" i="130" s="1"/>
  <c r="M97" i="130" s="1"/>
  <c r="BL96" i="130" a="1"/>
  <c r="BL96" i="130" s="1"/>
  <c r="BK96" i="130"/>
  <c r="BJ96" i="130"/>
  <c r="AP96" i="130"/>
  <c r="AI96" i="130"/>
  <c r="AB96" i="130"/>
  <c r="U96" i="130"/>
  <c r="L96" i="130" a="1"/>
  <c r="L96" i="130" s="1"/>
  <c r="BL95" i="130" a="1"/>
  <c r="BL95" i="130" s="1"/>
  <c r="BK95" i="130"/>
  <c r="BJ95" i="130"/>
  <c r="AP95" i="130"/>
  <c r="AI95" i="130"/>
  <c r="AB95" i="130"/>
  <c r="U95" i="130"/>
  <c r="L95" i="130" a="1"/>
  <c r="L95" i="130" s="1"/>
  <c r="BL94" i="130" a="1"/>
  <c r="BL94" i="130" s="1"/>
  <c r="BK94" i="130"/>
  <c r="BJ94" i="130"/>
  <c r="AP94" i="130"/>
  <c r="AI94" i="130"/>
  <c r="AB94" i="130"/>
  <c r="U94" i="130"/>
  <c r="L94" i="130" a="1"/>
  <c r="L94" i="130" s="1"/>
  <c r="BL93" i="130" a="1"/>
  <c r="BL93" i="130" s="1"/>
  <c r="BK93" i="130"/>
  <c r="BJ93" i="130"/>
  <c r="AP93" i="130"/>
  <c r="AI93" i="130"/>
  <c r="AB93" i="130"/>
  <c r="U93" i="130"/>
  <c r="L93" i="130" a="1"/>
  <c r="L93" i="130" s="1"/>
  <c r="BL92" i="130" a="1"/>
  <c r="BL92" i="130" s="1"/>
  <c r="BK92" i="130"/>
  <c r="BJ92" i="130"/>
  <c r="AP92" i="130"/>
  <c r="AI92" i="130"/>
  <c r="AB92" i="130"/>
  <c r="U92" i="130"/>
  <c r="L92" i="130" a="1"/>
  <c r="L92" i="130" s="1"/>
  <c r="BL91" i="130" a="1"/>
  <c r="BL91" i="130" s="1"/>
  <c r="BK91" i="130"/>
  <c r="BJ91" i="130"/>
  <c r="AP91" i="130"/>
  <c r="AI91" i="130"/>
  <c r="AB91" i="130"/>
  <c r="U91" i="130"/>
  <c r="L91" i="130" a="1"/>
  <c r="L91" i="130" s="1"/>
  <c r="BL90" i="130" a="1"/>
  <c r="BL90" i="130" s="1"/>
  <c r="BK90" i="130"/>
  <c r="BJ90" i="130"/>
  <c r="AP90" i="130"/>
  <c r="AI90" i="130"/>
  <c r="AB90" i="130"/>
  <c r="U90" i="130"/>
  <c r="L90" i="130" a="1"/>
  <c r="L90" i="130" s="1"/>
  <c r="BL89" i="130" a="1"/>
  <c r="BL89" i="130" s="1"/>
  <c r="BK89" i="130"/>
  <c r="BJ89" i="130"/>
  <c r="AP89" i="130"/>
  <c r="AI89" i="130"/>
  <c r="AB89" i="130"/>
  <c r="U89" i="130"/>
  <c r="L89" i="130" a="1"/>
  <c r="L89" i="130" s="1"/>
  <c r="BL88" i="130" a="1"/>
  <c r="BL88" i="130" s="1"/>
  <c r="BK88" i="130"/>
  <c r="BJ88" i="130"/>
  <c r="AP88" i="130"/>
  <c r="AI88" i="130"/>
  <c r="AB88" i="130"/>
  <c r="U88" i="130"/>
  <c r="L88" i="130" a="1"/>
  <c r="L88" i="130" s="1"/>
  <c r="BL87" i="130" a="1"/>
  <c r="BL87" i="130" s="1"/>
  <c r="BK87" i="130"/>
  <c r="BJ87" i="130"/>
  <c r="AP87" i="130"/>
  <c r="AI87" i="130"/>
  <c r="AB87" i="130"/>
  <c r="U87" i="130"/>
  <c r="L87" i="130" a="1"/>
  <c r="L87" i="130" s="1"/>
  <c r="O87" i="130" s="1"/>
  <c r="BL86" i="130" a="1"/>
  <c r="BL86" i="130" s="1"/>
  <c r="BK86" i="130"/>
  <c r="BJ86" i="130"/>
  <c r="AP86" i="130"/>
  <c r="AI86" i="130"/>
  <c r="AB86" i="130"/>
  <c r="U86" i="130"/>
  <c r="L86" i="130" a="1"/>
  <c r="L86" i="130" s="1"/>
  <c r="O86" i="130" s="1"/>
  <c r="BL85" i="130" a="1"/>
  <c r="BL85" i="130" s="1"/>
  <c r="BK85" i="130"/>
  <c r="BJ85" i="130"/>
  <c r="AP85" i="130"/>
  <c r="AI85" i="130"/>
  <c r="AB85" i="130"/>
  <c r="U85" i="130"/>
  <c r="L85" i="130" a="1"/>
  <c r="L85" i="130" s="1"/>
  <c r="BL84" i="130" a="1"/>
  <c r="BL84" i="130" s="1"/>
  <c r="BK84" i="130"/>
  <c r="BJ84" i="130"/>
  <c r="AP84" i="130"/>
  <c r="AI84" i="130"/>
  <c r="AB84" i="130"/>
  <c r="U84" i="130"/>
  <c r="L84" i="130" a="1"/>
  <c r="L84" i="130" s="1"/>
  <c r="M84" i="130" s="1"/>
  <c r="BL83" i="130" a="1"/>
  <c r="BL83" i="130" s="1"/>
  <c r="BK83" i="130"/>
  <c r="BJ83" i="130"/>
  <c r="AP83" i="130"/>
  <c r="AI83" i="130"/>
  <c r="AB83" i="130"/>
  <c r="U83" i="130"/>
  <c r="L83" i="130" a="1"/>
  <c r="L83" i="130" s="1"/>
  <c r="O83" i="130" s="1"/>
  <c r="BL82" i="130" a="1"/>
  <c r="BL82" i="130" s="1"/>
  <c r="BK82" i="130"/>
  <c r="BJ82" i="130"/>
  <c r="AP82" i="130"/>
  <c r="AI82" i="130"/>
  <c r="AB82" i="130"/>
  <c r="U82" i="130"/>
  <c r="L82" i="130" a="1"/>
  <c r="L82" i="130" s="1"/>
  <c r="BL81" i="130" a="1"/>
  <c r="BL81" i="130" s="1"/>
  <c r="BK81" i="130"/>
  <c r="BJ81" i="130"/>
  <c r="AP81" i="130"/>
  <c r="AI81" i="130"/>
  <c r="AB81" i="130"/>
  <c r="U81" i="130"/>
  <c r="L81" i="130" a="1"/>
  <c r="L81" i="130" s="1"/>
  <c r="BL80" i="130" a="1"/>
  <c r="BL80" i="130" s="1"/>
  <c r="BK80" i="130"/>
  <c r="BJ80" i="130"/>
  <c r="AP80" i="130"/>
  <c r="AI80" i="130"/>
  <c r="AB80" i="130"/>
  <c r="U80" i="130"/>
  <c r="L80" i="130" a="1"/>
  <c r="L80" i="130" s="1"/>
  <c r="M80" i="130" s="1"/>
  <c r="BL79" i="130" a="1"/>
  <c r="BL79" i="130" s="1"/>
  <c r="BK79" i="130"/>
  <c r="BJ79" i="130"/>
  <c r="AP79" i="130"/>
  <c r="AI79" i="130"/>
  <c r="AB79" i="130"/>
  <c r="U79" i="130"/>
  <c r="L79" i="130" a="1"/>
  <c r="L79" i="130" s="1"/>
  <c r="O79" i="130" s="1"/>
  <c r="BL78" i="130" a="1"/>
  <c r="BL78" i="130" s="1"/>
  <c r="BK78" i="130"/>
  <c r="BJ78" i="130"/>
  <c r="AP78" i="130"/>
  <c r="AI78" i="130"/>
  <c r="AB78" i="130"/>
  <c r="U78" i="130"/>
  <c r="L78" i="130" a="1"/>
  <c r="L78" i="130" s="1"/>
  <c r="BL77" i="130" a="1"/>
  <c r="BL77" i="130" s="1"/>
  <c r="BK77" i="130"/>
  <c r="BJ77" i="130"/>
  <c r="AP77" i="130"/>
  <c r="AI77" i="130"/>
  <c r="AB77" i="130"/>
  <c r="U77" i="130"/>
  <c r="L77" i="130" a="1"/>
  <c r="L77" i="130" s="1"/>
  <c r="M77" i="130" s="1"/>
  <c r="BL76" i="130" a="1"/>
  <c r="BL76" i="130" s="1"/>
  <c r="BK76" i="130"/>
  <c r="BJ76" i="130"/>
  <c r="AP76" i="130"/>
  <c r="AI76" i="130"/>
  <c r="AB76" i="130"/>
  <c r="U76" i="130"/>
  <c r="L76" i="130" a="1"/>
  <c r="L76" i="130" s="1"/>
  <c r="BL75" i="130" a="1"/>
  <c r="BL75" i="130" s="1"/>
  <c r="BK75" i="130"/>
  <c r="BJ75" i="130"/>
  <c r="AP75" i="130"/>
  <c r="AI75" i="130"/>
  <c r="AB75" i="130"/>
  <c r="U75" i="130"/>
  <c r="L75" i="130" a="1"/>
  <c r="L75" i="130" s="1"/>
  <c r="BU75" i="130" s="1"/>
  <c r="BL74" i="130" a="1"/>
  <c r="BL74" i="130" s="1"/>
  <c r="BK74" i="130"/>
  <c r="BJ74" i="130"/>
  <c r="AP74" i="130"/>
  <c r="AI74" i="130"/>
  <c r="AB74" i="130"/>
  <c r="U74" i="130"/>
  <c r="L74" i="130" a="1"/>
  <c r="L74" i="130" s="1"/>
  <c r="BU74" i="130" s="1"/>
  <c r="BL73" i="130" a="1"/>
  <c r="BL73" i="130" s="1"/>
  <c r="BK73" i="130"/>
  <c r="BJ73" i="130"/>
  <c r="AP73" i="130"/>
  <c r="AI73" i="130"/>
  <c r="AB73" i="130"/>
  <c r="U73" i="130"/>
  <c r="L73" i="130" a="1"/>
  <c r="L73" i="130" s="1"/>
  <c r="BL72" i="130" a="1"/>
  <c r="BL72" i="130" s="1"/>
  <c r="BK72" i="130"/>
  <c r="BJ72" i="130"/>
  <c r="AP72" i="130"/>
  <c r="AI72" i="130"/>
  <c r="AB72" i="130"/>
  <c r="U72" i="130"/>
  <c r="L72" i="130" a="1"/>
  <c r="L72" i="130" s="1"/>
  <c r="BL71" i="130" a="1"/>
  <c r="BL71" i="130" s="1"/>
  <c r="BK71" i="130"/>
  <c r="BJ71" i="130"/>
  <c r="AP71" i="130"/>
  <c r="AI71" i="130"/>
  <c r="AB71" i="130"/>
  <c r="U71" i="130"/>
  <c r="L71" i="130" a="1"/>
  <c r="L71" i="130" s="1"/>
  <c r="BU71" i="130" s="1"/>
  <c r="BL70" i="130" a="1"/>
  <c r="BL70" i="130" s="1"/>
  <c r="BK70" i="130"/>
  <c r="BJ70" i="130"/>
  <c r="AP70" i="130"/>
  <c r="AI70" i="130"/>
  <c r="AB70" i="130"/>
  <c r="U70" i="130"/>
  <c r="L70" i="130" a="1"/>
  <c r="L70" i="130" s="1"/>
  <c r="M70" i="130" s="1"/>
  <c r="BL69" i="130" a="1"/>
  <c r="BL69" i="130" s="1"/>
  <c r="BK69" i="130"/>
  <c r="BJ69" i="130"/>
  <c r="AP69" i="130"/>
  <c r="AI69" i="130"/>
  <c r="AB69" i="130"/>
  <c r="U69" i="130"/>
  <c r="L69" i="130" a="1"/>
  <c r="L69" i="130" s="1"/>
  <c r="BL68" i="130" a="1"/>
  <c r="BL68" i="130" s="1"/>
  <c r="BK68" i="130"/>
  <c r="BJ68" i="130"/>
  <c r="AP68" i="130"/>
  <c r="AI68" i="130"/>
  <c r="AB68" i="130"/>
  <c r="U68" i="130"/>
  <c r="L68" i="130" a="1"/>
  <c r="L68" i="130" s="1"/>
  <c r="O68" i="130" s="1"/>
  <c r="BL67" i="130" a="1"/>
  <c r="BL67" i="130" s="1"/>
  <c r="BK67" i="130"/>
  <c r="BJ67" i="130"/>
  <c r="AP67" i="130"/>
  <c r="AI67" i="130"/>
  <c r="AB67" i="130"/>
  <c r="U67" i="130"/>
  <c r="L67" i="130" a="1"/>
  <c r="L67" i="130" s="1"/>
  <c r="BL66" i="130" a="1"/>
  <c r="BL66" i="130" s="1"/>
  <c r="BK66" i="130"/>
  <c r="BJ66" i="130"/>
  <c r="AP66" i="130"/>
  <c r="AI66" i="130"/>
  <c r="AB66" i="130"/>
  <c r="U66" i="130"/>
  <c r="L66" i="130" a="1"/>
  <c r="L66" i="130" s="1"/>
  <c r="BL65" i="130" a="1"/>
  <c r="BL65" i="130" s="1"/>
  <c r="AP65" i="130"/>
  <c r="AI65" i="130"/>
  <c r="AB65" i="130"/>
  <c r="U65" i="130"/>
  <c r="L65" i="130" a="1"/>
  <c r="L65" i="130" s="1"/>
  <c r="BL64" i="130" a="1"/>
  <c r="BL64" i="130" s="1"/>
  <c r="AI64" i="130"/>
  <c r="AB64" i="130"/>
  <c r="U64" i="130"/>
  <c r="L64" i="130" a="1"/>
  <c r="L64" i="130" s="1"/>
  <c r="BL63" i="130" a="1"/>
  <c r="BL63" i="130" s="1"/>
  <c r="AI63" i="130"/>
  <c r="AB63" i="130"/>
  <c r="U63" i="130"/>
  <c r="L63" i="130" a="1"/>
  <c r="L63" i="130" s="1"/>
  <c r="BL12" i="130"/>
  <c r="BK12" i="130"/>
  <c r="O8" i="130"/>
  <c r="A7" i="130"/>
  <c r="C5" i="130"/>
  <c r="H3" i="130"/>
  <c r="C3" i="130"/>
  <c r="AR133" i="131" l="1"/>
  <c r="W133" i="131"/>
  <c r="P133" i="131"/>
  <c r="AK133" i="131"/>
  <c r="AD133" i="131"/>
  <c r="AJ133" i="131" s="1"/>
  <c r="AD377" i="131"/>
  <c r="AJ377" i="131" s="1"/>
  <c r="AR377" i="131"/>
  <c r="W377" i="131"/>
  <c r="AC377" i="131" s="1"/>
  <c r="AK377" i="131"/>
  <c r="P377" i="131"/>
  <c r="AK33" i="131"/>
  <c r="AD33" i="131"/>
  <c r="W33" i="131"/>
  <c r="AC33" i="131" s="1"/>
  <c r="AR33" i="131"/>
  <c r="AX33" i="131" s="1"/>
  <c r="P33" i="131"/>
  <c r="V33" i="131" s="1"/>
  <c r="AD111" i="131"/>
  <c r="AJ111" i="131" s="1"/>
  <c r="W111" i="131"/>
  <c r="AK111" i="131"/>
  <c r="AR111" i="131"/>
  <c r="P111" i="131"/>
  <c r="AR446" i="131"/>
  <c r="AX446" i="131" s="1"/>
  <c r="W446" i="131"/>
  <c r="AC446" i="131" s="1"/>
  <c r="AK446" i="131"/>
  <c r="AQ446" i="131" s="1"/>
  <c r="AD446" i="131"/>
  <c r="AJ446" i="131" s="1"/>
  <c r="P446" i="131"/>
  <c r="AK594" i="131"/>
  <c r="W594" i="131"/>
  <c r="AR594" i="131"/>
  <c r="P594" i="131"/>
  <c r="V594" i="131" s="1"/>
  <c r="AD594" i="131"/>
  <c r="AJ594" i="131" s="1"/>
  <c r="AD15" i="131"/>
  <c r="AJ15" i="131" s="1"/>
  <c r="AK15" i="131"/>
  <c r="AQ15" i="131" s="1"/>
  <c r="W15" i="131"/>
  <c r="AC15" i="131" s="1"/>
  <c r="AR15" i="131"/>
  <c r="P15" i="131"/>
  <c r="V15" i="131" s="1"/>
  <c r="AD88" i="131"/>
  <c r="AK88" i="131"/>
  <c r="AQ88" i="131" s="1"/>
  <c r="AR88" i="131"/>
  <c r="AX88" i="131" s="1"/>
  <c r="W88" i="131"/>
  <c r="AC88" i="131" s="1"/>
  <c r="P88" i="131"/>
  <c r="V88" i="131" s="1"/>
  <c r="AR170" i="131"/>
  <c r="AD170" i="131"/>
  <c r="P170" i="131"/>
  <c r="W170" i="131"/>
  <c r="AK170" i="131"/>
  <c r="AD229" i="131"/>
  <c r="AJ229" i="131" s="1"/>
  <c r="AR229" i="131"/>
  <c r="AX229" i="131" s="1"/>
  <c r="P229" i="131"/>
  <c r="V229" i="131" s="1"/>
  <c r="W229" i="131"/>
  <c r="AK229" i="131"/>
  <c r="AQ229" i="131" s="1"/>
  <c r="AK234" i="131"/>
  <c r="AR234" i="131"/>
  <c r="P234" i="131"/>
  <c r="V234" i="131" s="1"/>
  <c r="AD234" i="131"/>
  <c r="AJ234" i="131" s="1"/>
  <c r="W234" i="131"/>
  <c r="AK356" i="131"/>
  <c r="AQ356" i="131" s="1"/>
  <c r="P356" i="131"/>
  <c r="AR356" i="131"/>
  <c r="AD356" i="131"/>
  <c r="W356" i="131"/>
  <c r="AD382" i="131"/>
  <c r="AJ382" i="131" s="1"/>
  <c r="AR382" i="131"/>
  <c r="AX382" i="131" s="1"/>
  <c r="AK382" i="131"/>
  <c r="AQ382" i="131" s="1"/>
  <c r="W382" i="131"/>
  <c r="AC382" i="131" s="1"/>
  <c r="P382" i="131"/>
  <c r="AR474" i="131"/>
  <c r="AK474" i="131"/>
  <c r="P474" i="131"/>
  <c r="AD474" i="131"/>
  <c r="AJ474" i="131" s="1"/>
  <c r="W474" i="131"/>
  <c r="AC474" i="131" s="1"/>
  <c r="AD583" i="131"/>
  <c r="AJ583" i="131" s="1"/>
  <c r="P583" i="131"/>
  <c r="V583" i="131" s="1"/>
  <c r="AK583" i="131"/>
  <c r="W583" i="131"/>
  <c r="AR583" i="131"/>
  <c r="AD591" i="131"/>
  <c r="P591" i="131"/>
  <c r="V591" i="131" s="1"/>
  <c r="AK591" i="131"/>
  <c r="AQ591" i="131" s="1"/>
  <c r="AR591" i="131"/>
  <c r="W591" i="131"/>
  <c r="AC591" i="131" s="1"/>
  <c r="AD623" i="131"/>
  <c r="P623" i="131"/>
  <c r="AK623" i="131"/>
  <c r="AR623" i="131"/>
  <c r="W623" i="131"/>
  <c r="AC623" i="131" s="1"/>
  <c r="AD639" i="131"/>
  <c r="AJ639" i="131" s="1"/>
  <c r="P639" i="131"/>
  <c r="AK639" i="131"/>
  <c r="AQ639" i="131" s="1"/>
  <c r="AR639" i="131"/>
  <c r="AX639" i="131" s="1"/>
  <c r="W639" i="131"/>
  <c r="AK137" i="131"/>
  <c r="AR137" i="131"/>
  <c r="P137" i="131"/>
  <c r="V137" i="131" s="1"/>
  <c r="W137" i="131"/>
  <c r="AC137" i="131" s="1"/>
  <c r="AD137" i="131"/>
  <c r="AJ137" i="131" s="1"/>
  <c r="AD451" i="131"/>
  <c r="AJ451" i="131" s="1"/>
  <c r="W451" i="131"/>
  <c r="AR451" i="131"/>
  <c r="P451" i="131"/>
  <c r="AK451" i="131"/>
  <c r="AK634" i="131"/>
  <c r="W634" i="131"/>
  <c r="AC634" i="131" s="1"/>
  <c r="AR634" i="131"/>
  <c r="AD634" i="131"/>
  <c r="AJ634" i="131" s="1"/>
  <c r="P634" i="131"/>
  <c r="AK18" i="131"/>
  <c r="W18" i="131"/>
  <c r="AD18" i="131"/>
  <c r="AR18" i="131"/>
  <c r="AX18" i="131" s="1"/>
  <c r="P18" i="131"/>
  <c r="V18" i="131" s="1"/>
  <c r="W92" i="131"/>
  <c r="AR92" i="131"/>
  <c r="AX92" i="131" s="1"/>
  <c r="AD92" i="131"/>
  <c r="AJ92" i="131" s="1"/>
  <c r="AK92" i="131"/>
  <c r="P92" i="131"/>
  <c r="AK135" i="131"/>
  <c r="W135" i="131"/>
  <c r="AC135" i="131" s="1"/>
  <c r="AD135" i="131"/>
  <c r="AJ135" i="131" s="1"/>
  <c r="P135" i="131"/>
  <c r="AR135" i="131"/>
  <c r="AX135" i="131" s="1"/>
  <c r="AK174" i="131"/>
  <c r="AQ174" i="131" s="1"/>
  <c r="W174" i="131"/>
  <c r="P174" i="131"/>
  <c r="AD174" i="131"/>
  <c r="AR174" i="131"/>
  <c r="AX174" i="131" s="1"/>
  <c r="AD254" i="131"/>
  <c r="AJ254" i="131" s="1"/>
  <c r="AR254" i="131"/>
  <c r="P254" i="131"/>
  <c r="V254" i="131" s="1"/>
  <c r="AK254" i="131"/>
  <c r="AQ254" i="131" s="1"/>
  <c r="W254" i="131"/>
  <c r="AD374" i="131"/>
  <c r="AR374" i="131"/>
  <c r="AK374" i="131"/>
  <c r="AQ374" i="131" s="1"/>
  <c r="W374" i="131"/>
  <c r="AC374" i="131" s="1"/>
  <c r="P374" i="131"/>
  <c r="V374" i="131" s="1"/>
  <c r="AD112" i="131"/>
  <c r="AJ112" i="131" s="1"/>
  <c r="AK112" i="131"/>
  <c r="AQ112" i="131" s="1"/>
  <c r="W112" i="131"/>
  <c r="AR112" i="131"/>
  <c r="P112" i="131"/>
  <c r="AR482" i="131"/>
  <c r="AK482" i="131"/>
  <c r="AQ482" i="131" s="1"/>
  <c r="P482" i="131"/>
  <c r="V482" i="131" s="1"/>
  <c r="AD482" i="131"/>
  <c r="AJ482" i="131" s="1"/>
  <c r="W482" i="131"/>
  <c r="AC482" i="131" s="1"/>
  <c r="AR629" i="131"/>
  <c r="AD629" i="131"/>
  <c r="P629" i="131"/>
  <c r="W629" i="131"/>
  <c r="AC629" i="131" s="1"/>
  <c r="AK629" i="131"/>
  <c r="AQ629" i="131" s="1"/>
  <c r="AK89" i="131"/>
  <c r="AD89" i="131"/>
  <c r="AJ89" i="131" s="1"/>
  <c r="W89" i="131"/>
  <c r="AC89" i="131" s="1"/>
  <c r="AR89" i="131"/>
  <c r="P89" i="131"/>
  <c r="AD359" i="131"/>
  <c r="AR359" i="131"/>
  <c r="AX359" i="131" s="1"/>
  <c r="AK359" i="131"/>
  <c r="AQ359" i="131" s="1"/>
  <c r="W359" i="131"/>
  <c r="AC359" i="131" s="1"/>
  <c r="P359" i="131"/>
  <c r="V359" i="131" s="1"/>
  <c r="W232" i="131"/>
  <c r="AC232" i="131" s="1"/>
  <c r="AK232" i="131"/>
  <c r="AR232" i="131"/>
  <c r="AX232" i="131" s="1"/>
  <c r="AD232" i="131"/>
  <c r="P232" i="131"/>
  <c r="V232" i="131" s="1"/>
  <c r="AD246" i="131"/>
  <c r="AJ246" i="131" s="1"/>
  <c r="AR246" i="131"/>
  <c r="AX246" i="131" s="1"/>
  <c r="P246" i="131"/>
  <c r="V246" i="131" s="1"/>
  <c r="W246" i="131"/>
  <c r="AC246" i="131" s="1"/>
  <c r="AK246" i="131"/>
  <c r="W453" i="131"/>
  <c r="AR453" i="131"/>
  <c r="P453" i="131"/>
  <c r="V453" i="131" s="1"/>
  <c r="AK453" i="131"/>
  <c r="AQ453" i="131" s="1"/>
  <c r="AD453" i="131"/>
  <c r="AJ453" i="131" s="1"/>
  <c r="AK26" i="131"/>
  <c r="AQ26" i="131" s="1"/>
  <c r="W26" i="131"/>
  <c r="AC26" i="131" s="1"/>
  <c r="AR26" i="131"/>
  <c r="AD26" i="131"/>
  <c r="P26" i="131"/>
  <c r="AK97" i="131"/>
  <c r="AQ97" i="131" s="1"/>
  <c r="AD97" i="131"/>
  <c r="AJ97" i="131" s="1"/>
  <c r="AR97" i="131"/>
  <c r="AX97" i="131" s="1"/>
  <c r="W97" i="131"/>
  <c r="AC97" i="131" s="1"/>
  <c r="P97" i="131"/>
  <c r="V97" i="131" s="1"/>
  <c r="AD238" i="131"/>
  <c r="AR238" i="131"/>
  <c r="P238" i="131"/>
  <c r="W238" i="131"/>
  <c r="AC238" i="131" s="1"/>
  <c r="AK238" i="131"/>
  <c r="AQ238" i="131" s="1"/>
  <c r="AD343" i="131"/>
  <c r="AR343" i="131"/>
  <c r="AX343" i="131" s="1"/>
  <c r="W343" i="131"/>
  <c r="AC343" i="131" s="1"/>
  <c r="P343" i="131"/>
  <c r="AK343" i="131"/>
  <c r="AK347" i="131"/>
  <c r="AR347" i="131"/>
  <c r="P347" i="131"/>
  <c r="V347" i="131" s="1"/>
  <c r="AD347" i="131"/>
  <c r="W347" i="131"/>
  <c r="AC347" i="131" s="1"/>
  <c r="AD452" i="131"/>
  <c r="AJ452" i="131" s="1"/>
  <c r="W452" i="131"/>
  <c r="AR452" i="131"/>
  <c r="P452" i="131"/>
  <c r="AK452" i="131"/>
  <c r="AQ452" i="131" s="1"/>
  <c r="BF582" i="131"/>
  <c r="BF577" i="131"/>
  <c r="BF585" i="131"/>
  <c r="BF646" i="131"/>
  <c r="BF455" i="131"/>
  <c r="BF471" i="131"/>
  <c r="BF33" i="131"/>
  <c r="BF93" i="131"/>
  <c r="BF561" i="131"/>
  <c r="BF624" i="131"/>
  <c r="BF640" i="131"/>
  <c r="BV640" i="131" s="1"/>
  <c r="BF590" i="131"/>
  <c r="BF565" i="131"/>
  <c r="BF581" i="131"/>
  <c r="BF589" i="131"/>
  <c r="BF597" i="131"/>
  <c r="BV597" i="131" s="1"/>
  <c r="BF605" i="131"/>
  <c r="BF613" i="131"/>
  <c r="BF621" i="131"/>
  <c r="BF629" i="131"/>
  <c r="BF637" i="131"/>
  <c r="BF645" i="131"/>
  <c r="BF564" i="131"/>
  <c r="BF572" i="131"/>
  <c r="BV572" i="131" s="1"/>
  <c r="BF580" i="131"/>
  <c r="BF588" i="131"/>
  <c r="BF604" i="131"/>
  <c r="BF612" i="131"/>
  <c r="BF447" i="131"/>
  <c r="BF268" i="131"/>
  <c r="BF276" i="131"/>
  <c r="BF265" i="131"/>
  <c r="BF135" i="131"/>
  <c r="BF127" i="131"/>
  <c r="AQ83" i="131"/>
  <c r="BF24" i="131"/>
  <c r="BF110" i="131"/>
  <c r="BF85" i="131"/>
  <c r="BV85" i="131" s="1"/>
  <c r="BF86" i="131"/>
  <c r="BV86" i="131" s="1"/>
  <c r="BO28" i="130"/>
  <c r="BQ28" i="130"/>
  <c r="BT28" i="130"/>
  <c r="BS28" i="130"/>
  <c r="BR28" i="130"/>
  <c r="BP28" i="130"/>
  <c r="BQ25" i="130"/>
  <c r="BP25" i="130"/>
  <c r="BO25" i="130"/>
  <c r="BS25" i="130"/>
  <c r="BR25" i="130"/>
  <c r="BT25" i="130"/>
  <c r="BR36" i="130"/>
  <c r="BQ36" i="130"/>
  <c r="BP36" i="130"/>
  <c r="BS36" i="130"/>
  <c r="BO36" i="130"/>
  <c r="BT36" i="130"/>
  <c r="BT42" i="130"/>
  <c r="BQ42" i="130"/>
  <c r="BO42" i="130"/>
  <c r="BR42" i="130"/>
  <c r="BP42" i="130"/>
  <c r="BS42" i="130"/>
  <c r="BR48" i="130"/>
  <c r="BQ48" i="130"/>
  <c r="BP48" i="130"/>
  <c r="BS48" i="130"/>
  <c r="BT48" i="130"/>
  <c r="BO48" i="130"/>
  <c r="BQ33" i="130"/>
  <c r="BP33" i="130"/>
  <c r="BS33" i="130"/>
  <c r="BO33" i="130"/>
  <c r="BT33" i="130"/>
  <c r="BR33" i="130"/>
  <c r="BS38" i="130"/>
  <c r="BO31" i="130"/>
  <c r="BQ39" i="130"/>
  <c r="BS27" i="130"/>
  <c r="BR47" i="130"/>
  <c r="BS59" i="130"/>
  <c r="BO55" i="130"/>
  <c r="BT61" i="130"/>
  <c r="BS61" i="130"/>
  <c r="BR61" i="130"/>
  <c r="BQ61" i="130"/>
  <c r="BP61" i="130"/>
  <c r="BO61" i="130"/>
  <c r="BQ17" i="130"/>
  <c r="BS17" i="130"/>
  <c r="BP17" i="130"/>
  <c r="BR17" i="130"/>
  <c r="BO17" i="130"/>
  <c r="BT17" i="130"/>
  <c r="BP51" i="130"/>
  <c r="BO51" i="130"/>
  <c r="BS51" i="130"/>
  <c r="BQ51" i="130"/>
  <c r="BT51" i="130"/>
  <c r="BR51" i="130"/>
  <c r="BO38" i="130"/>
  <c r="BP31" i="130"/>
  <c r="BS39" i="130"/>
  <c r="BP55" i="130"/>
  <c r="BQ21" i="130"/>
  <c r="BR21" i="130"/>
  <c r="BP21" i="130"/>
  <c r="BO21" i="130"/>
  <c r="BT21" i="130"/>
  <c r="BS21" i="130"/>
  <c r="BO24" i="130"/>
  <c r="BT24" i="130"/>
  <c r="BQ24" i="130"/>
  <c r="BP24" i="130"/>
  <c r="BS24" i="130"/>
  <c r="BR24" i="130"/>
  <c r="BS26" i="130"/>
  <c r="BR26" i="130"/>
  <c r="BQ26" i="130"/>
  <c r="BP26" i="130"/>
  <c r="BO26" i="130"/>
  <c r="BT26" i="130"/>
  <c r="BO32" i="130"/>
  <c r="BQ32" i="130"/>
  <c r="BP32" i="130"/>
  <c r="BT32" i="130"/>
  <c r="BS32" i="130"/>
  <c r="BR32" i="130"/>
  <c r="BT58" i="130"/>
  <c r="BS58" i="130"/>
  <c r="BR58" i="130"/>
  <c r="BQ58" i="130"/>
  <c r="BO58" i="130"/>
  <c r="BP58" i="130"/>
  <c r="BT19" i="130"/>
  <c r="BS19" i="130"/>
  <c r="BR19" i="130"/>
  <c r="BQ19" i="130"/>
  <c r="BO19" i="130"/>
  <c r="BP19" i="130"/>
  <c r="BT37" i="130"/>
  <c r="BS37" i="130"/>
  <c r="BR37" i="130"/>
  <c r="BO37" i="130"/>
  <c r="BQ37" i="130"/>
  <c r="BP37" i="130"/>
  <c r="BQ38" i="130"/>
  <c r="BS54" i="130"/>
  <c r="BQ31" i="130"/>
  <c r="BO39" i="130"/>
  <c r="BQ47" i="130"/>
  <c r="BO59" i="130"/>
  <c r="BR56" i="130"/>
  <c r="BQ56" i="130"/>
  <c r="BP56" i="130"/>
  <c r="BO56" i="130"/>
  <c r="BS56" i="130"/>
  <c r="BT56" i="130"/>
  <c r="BR40" i="130"/>
  <c r="BQ40" i="130"/>
  <c r="BP40" i="130"/>
  <c r="BS40" i="130"/>
  <c r="BT40" i="130"/>
  <c r="BO40" i="130"/>
  <c r="BT50" i="130"/>
  <c r="BQ50" i="130"/>
  <c r="BO50" i="130"/>
  <c r="BP50" i="130"/>
  <c r="BS50" i="130"/>
  <c r="BR50" i="130"/>
  <c r="BT41" i="130"/>
  <c r="BS41" i="130"/>
  <c r="BR41" i="130"/>
  <c r="BO41" i="130"/>
  <c r="BQ41" i="130"/>
  <c r="BP41" i="130"/>
  <c r="BP54" i="130"/>
  <c r="BR31" i="130"/>
  <c r="BP39" i="130"/>
  <c r="BR43" i="130"/>
  <c r="BS47" i="130"/>
  <c r="BP59" i="130"/>
  <c r="BP22" i="130"/>
  <c r="BO20" i="130"/>
  <c r="BQ20" i="130"/>
  <c r="BT20" i="130"/>
  <c r="BS20" i="130"/>
  <c r="BR20" i="130"/>
  <c r="BP20" i="130"/>
  <c r="BT49" i="130"/>
  <c r="BS49" i="130"/>
  <c r="BR49" i="130"/>
  <c r="BO49" i="130"/>
  <c r="BQ49" i="130"/>
  <c r="BP49" i="130"/>
  <c r="BT45" i="130"/>
  <c r="BS45" i="130"/>
  <c r="BR45" i="130"/>
  <c r="BO45" i="130"/>
  <c r="BQ45" i="130"/>
  <c r="BP45" i="130"/>
  <c r="BR52" i="130"/>
  <c r="BQ52" i="130"/>
  <c r="BP52" i="130"/>
  <c r="BS52" i="130"/>
  <c r="BT52" i="130"/>
  <c r="BO52" i="130"/>
  <c r="BT62" i="130"/>
  <c r="BS62" i="130"/>
  <c r="BR62" i="130"/>
  <c r="BQ62" i="130"/>
  <c r="BO62" i="130"/>
  <c r="BP62" i="130"/>
  <c r="BP23" i="130"/>
  <c r="BO54" i="130"/>
  <c r="BP27" i="130"/>
  <c r="BQ43" i="130"/>
  <c r="BO47" i="130"/>
  <c r="BR55" i="130"/>
  <c r="BQ22" i="130"/>
  <c r="BT53" i="130"/>
  <c r="BS53" i="130"/>
  <c r="BR53" i="130"/>
  <c r="BO53" i="130"/>
  <c r="BP53" i="130"/>
  <c r="BQ53" i="130"/>
  <c r="BS30" i="130"/>
  <c r="BR30" i="130"/>
  <c r="BT30" i="130"/>
  <c r="BQ30" i="130"/>
  <c r="BP30" i="130"/>
  <c r="BO30" i="130"/>
  <c r="BR44" i="130"/>
  <c r="BQ44" i="130"/>
  <c r="BP44" i="130"/>
  <c r="BS44" i="130"/>
  <c r="BT44" i="130"/>
  <c r="BO44" i="130"/>
  <c r="BQ23" i="130"/>
  <c r="BQ54" i="130"/>
  <c r="BS43" i="130"/>
  <c r="BP47" i="130"/>
  <c r="BQ55" i="130"/>
  <c r="BS18" i="130"/>
  <c r="BR18" i="130"/>
  <c r="BQ18" i="130"/>
  <c r="BT18" i="130"/>
  <c r="BP18" i="130"/>
  <c r="BO18" i="130"/>
  <c r="BR60" i="130"/>
  <c r="BQ60" i="130"/>
  <c r="BP60" i="130"/>
  <c r="BO60" i="130"/>
  <c r="BS60" i="130"/>
  <c r="BT60" i="130"/>
  <c r="BT34" i="130"/>
  <c r="BQ34" i="130"/>
  <c r="BS34" i="130"/>
  <c r="BR34" i="130"/>
  <c r="BP34" i="130"/>
  <c r="BO34" i="130"/>
  <c r="BP35" i="130"/>
  <c r="BO35" i="130"/>
  <c r="BS35" i="130"/>
  <c r="BQ35" i="130"/>
  <c r="BR35" i="130"/>
  <c r="BT35" i="130"/>
  <c r="BP38" i="130"/>
  <c r="BR23" i="130"/>
  <c r="BR54" i="130"/>
  <c r="BR39" i="130"/>
  <c r="BQ27" i="130"/>
  <c r="BO43" i="130"/>
  <c r="BR59" i="130"/>
  <c r="BS55" i="130"/>
  <c r="BR22" i="130"/>
  <c r="BT57" i="130"/>
  <c r="BS57" i="130"/>
  <c r="BR57" i="130"/>
  <c r="BQ57" i="130"/>
  <c r="BP57" i="130"/>
  <c r="BO57" i="130"/>
  <c r="BT46" i="130"/>
  <c r="BQ46" i="130"/>
  <c r="BO46" i="130"/>
  <c r="BP46" i="130"/>
  <c r="BR46" i="130"/>
  <c r="BS46" i="130"/>
  <c r="BQ29" i="130"/>
  <c r="BS29" i="130"/>
  <c r="BR29" i="130"/>
  <c r="BP29" i="130"/>
  <c r="BO29" i="130"/>
  <c r="BT29" i="130"/>
  <c r="BR38" i="130"/>
  <c r="BS23" i="130"/>
  <c r="BR27" i="130"/>
  <c r="BP43" i="130"/>
  <c r="BQ59" i="130"/>
  <c r="BS22" i="130"/>
  <c r="P68" i="130"/>
  <c r="V68" i="130" s="1"/>
  <c r="W68" i="130"/>
  <c r="AC68" i="130" s="1"/>
  <c r="AD68" i="130"/>
  <c r="AJ68" i="130" s="1"/>
  <c r="BP144" i="131"/>
  <c r="BO144" i="131"/>
  <c r="BT144" i="131"/>
  <c r="BS144" i="131"/>
  <c r="BR144" i="131"/>
  <c r="BQ144" i="131"/>
  <c r="BO292" i="131"/>
  <c r="BT292" i="131"/>
  <c r="BR292" i="131"/>
  <c r="BP292" i="131"/>
  <c r="BS292" i="131"/>
  <c r="BQ292" i="131"/>
  <c r="BS199" i="131"/>
  <c r="BR199" i="131"/>
  <c r="BQ199" i="131"/>
  <c r="BP199" i="131"/>
  <c r="BO199" i="131"/>
  <c r="BT199" i="131"/>
  <c r="BS288" i="131"/>
  <c r="BR288" i="131"/>
  <c r="BQ288" i="131"/>
  <c r="BP288" i="131"/>
  <c r="BO288" i="131"/>
  <c r="BT288" i="131"/>
  <c r="BR283" i="131"/>
  <c r="BQ283" i="131"/>
  <c r="BP283" i="131"/>
  <c r="BO283" i="131"/>
  <c r="BT283" i="131"/>
  <c r="BS283" i="131"/>
  <c r="BS318" i="131"/>
  <c r="BQ318" i="131"/>
  <c r="BP318" i="131"/>
  <c r="BO318" i="131"/>
  <c r="BT318" i="131"/>
  <c r="BR318" i="131"/>
  <c r="BT323" i="131"/>
  <c r="BR323" i="131"/>
  <c r="BQ323" i="131"/>
  <c r="BP323" i="131"/>
  <c r="BO323" i="131"/>
  <c r="BS323" i="131"/>
  <c r="BP152" i="131"/>
  <c r="BO152" i="131"/>
  <c r="BT152" i="131"/>
  <c r="BS152" i="131"/>
  <c r="BR152" i="131"/>
  <c r="BQ152" i="131"/>
  <c r="BO163" i="131"/>
  <c r="BT163" i="131"/>
  <c r="BP163" i="131"/>
  <c r="BS163" i="131"/>
  <c r="BR163" i="131"/>
  <c r="BQ163" i="131"/>
  <c r="BT298" i="131"/>
  <c r="BS298" i="131"/>
  <c r="BR298" i="131"/>
  <c r="BP298" i="131"/>
  <c r="BQ298" i="131"/>
  <c r="BO298" i="131"/>
  <c r="BQ294" i="131"/>
  <c r="BP294" i="131"/>
  <c r="BO294" i="131"/>
  <c r="BT294" i="131"/>
  <c r="BR294" i="131"/>
  <c r="BS294" i="131"/>
  <c r="BO68" i="131"/>
  <c r="BT68" i="131"/>
  <c r="BS68" i="131"/>
  <c r="BR68" i="131"/>
  <c r="BP68" i="131"/>
  <c r="BQ68" i="131"/>
  <c r="BR313" i="131"/>
  <c r="BP313" i="131"/>
  <c r="BO313" i="131"/>
  <c r="BS313" i="131"/>
  <c r="BT313" i="131"/>
  <c r="BQ313" i="131"/>
  <c r="BR202" i="131"/>
  <c r="BQ202" i="131"/>
  <c r="BP202" i="131"/>
  <c r="BO202" i="131"/>
  <c r="BT202" i="131"/>
  <c r="BS202" i="131"/>
  <c r="BS302" i="131"/>
  <c r="BQ302" i="131"/>
  <c r="BP302" i="131"/>
  <c r="BO302" i="131"/>
  <c r="BT302" i="131"/>
  <c r="BR302" i="131"/>
  <c r="BS48" i="131"/>
  <c r="BR48" i="131"/>
  <c r="BQ48" i="131"/>
  <c r="BP48" i="131"/>
  <c r="BO48" i="131"/>
  <c r="BT48" i="131"/>
  <c r="BT156" i="131"/>
  <c r="BS156" i="131"/>
  <c r="BR156" i="131"/>
  <c r="BQ156" i="131"/>
  <c r="BP156" i="131"/>
  <c r="BO156" i="131"/>
  <c r="BQ316" i="131"/>
  <c r="BO316" i="131"/>
  <c r="BT316" i="131"/>
  <c r="BR316" i="131"/>
  <c r="BS316" i="131"/>
  <c r="BP316" i="131"/>
  <c r="BQ213" i="131"/>
  <c r="BP213" i="131"/>
  <c r="BO213" i="131"/>
  <c r="BT213" i="131"/>
  <c r="BS213" i="131"/>
  <c r="BR213" i="131"/>
  <c r="BS143" i="131"/>
  <c r="BR143" i="131"/>
  <c r="BQ143" i="131"/>
  <c r="BP143" i="131"/>
  <c r="BO143" i="131"/>
  <c r="BT143" i="131"/>
  <c r="BQ149" i="131"/>
  <c r="BP149" i="131"/>
  <c r="BO149" i="131"/>
  <c r="BT149" i="131"/>
  <c r="BS149" i="131"/>
  <c r="BR149" i="131"/>
  <c r="BO306" i="131"/>
  <c r="BT306" i="131"/>
  <c r="BS306" i="131"/>
  <c r="BR306" i="131"/>
  <c r="BP306" i="131"/>
  <c r="BQ306" i="131"/>
  <c r="BP319" i="131"/>
  <c r="BT319" i="131"/>
  <c r="BS319" i="131"/>
  <c r="BQ319" i="131"/>
  <c r="BR319" i="131"/>
  <c r="BO319" i="131"/>
  <c r="BS56" i="131"/>
  <c r="BR56" i="131"/>
  <c r="BQ56" i="131"/>
  <c r="BP56" i="131"/>
  <c r="BO56" i="131"/>
  <c r="BT56" i="131"/>
  <c r="BR67" i="131"/>
  <c r="BQ67" i="131"/>
  <c r="BP67" i="131"/>
  <c r="BO67" i="131"/>
  <c r="BS67" i="131"/>
  <c r="BT67" i="131"/>
  <c r="BS64" i="131"/>
  <c r="BT64" i="131"/>
  <c r="BR64" i="131"/>
  <c r="BQ64" i="131"/>
  <c r="BP64" i="131"/>
  <c r="BO64" i="131"/>
  <c r="BR43" i="131"/>
  <c r="BQ43" i="131"/>
  <c r="BP43" i="131"/>
  <c r="BO43" i="131"/>
  <c r="BS43" i="131"/>
  <c r="BT43" i="131"/>
  <c r="BS40" i="131"/>
  <c r="BR40" i="131"/>
  <c r="BQ40" i="131"/>
  <c r="BP40" i="131"/>
  <c r="BT40" i="131"/>
  <c r="BO40" i="131"/>
  <c r="BT50" i="131"/>
  <c r="BS50" i="131"/>
  <c r="BR50" i="131"/>
  <c r="BQ50" i="131"/>
  <c r="BP50" i="131"/>
  <c r="BO50" i="131"/>
  <c r="BT158" i="131"/>
  <c r="BS158" i="131"/>
  <c r="BR158" i="131"/>
  <c r="BQ158" i="131"/>
  <c r="BP158" i="131"/>
  <c r="BO158" i="131"/>
  <c r="BQ38" i="131"/>
  <c r="BP38" i="131"/>
  <c r="BO38" i="131"/>
  <c r="BT38" i="131"/>
  <c r="BR38" i="131"/>
  <c r="BS38" i="131"/>
  <c r="BT285" i="131"/>
  <c r="BS285" i="131"/>
  <c r="BR285" i="131"/>
  <c r="BQ285" i="131"/>
  <c r="BO285" i="131"/>
  <c r="BP285" i="131"/>
  <c r="BQ70" i="131"/>
  <c r="BP70" i="131"/>
  <c r="BR70" i="131"/>
  <c r="BO70" i="131"/>
  <c r="BT70" i="131"/>
  <c r="BS70" i="131"/>
  <c r="BT214" i="131"/>
  <c r="BS214" i="131"/>
  <c r="BR214" i="131"/>
  <c r="BQ214" i="131"/>
  <c r="BP214" i="131"/>
  <c r="BO214" i="131"/>
  <c r="BO36" i="131"/>
  <c r="BP36" i="131"/>
  <c r="BT36" i="131"/>
  <c r="BS36" i="131"/>
  <c r="BR36" i="131"/>
  <c r="BQ36" i="131"/>
  <c r="BP297" i="131"/>
  <c r="BO297" i="131"/>
  <c r="BS297" i="131"/>
  <c r="BT297" i="131"/>
  <c r="BR297" i="131"/>
  <c r="BQ297" i="131"/>
  <c r="BT315" i="131"/>
  <c r="BR315" i="131"/>
  <c r="BQ315" i="131"/>
  <c r="BP315" i="131"/>
  <c r="BO315" i="131"/>
  <c r="BS315" i="131"/>
  <c r="BT164" i="131"/>
  <c r="BS164" i="131"/>
  <c r="BR164" i="131"/>
  <c r="BQ164" i="131"/>
  <c r="BP164" i="131"/>
  <c r="BO164" i="131"/>
  <c r="BT301" i="131"/>
  <c r="BS301" i="131"/>
  <c r="BR301" i="131"/>
  <c r="BQ301" i="131"/>
  <c r="BO301" i="131"/>
  <c r="BP301" i="131"/>
  <c r="BQ286" i="131"/>
  <c r="BP286" i="131"/>
  <c r="BO286" i="131"/>
  <c r="BT286" i="131"/>
  <c r="BR286" i="131"/>
  <c r="BS286" i="131"/>
  <c r="BO300" i="131"/>
  <c r="BT300" i="131"/>
  <c r="BR300" i="131"/>
  <c r="BS300" i="131"/>
  <c r="BQ300" i="131"/>
  <c r="BP300" i="131"/>
  <c r="BQ197" i="131"/>
  <c r="BP197" i="131"/>
  <c r="BO197" i="131"/>
  <c r="BT197" i="131"/>
  <c r="BS197" i="131"/>
  <c r="BR197" i="131"/>
  <c r="BO219" i="131"/>
  <c r="BT219" i="131"/>
  <c r="BS219" i="131"/>
  <c r="BR219" i="131"/>
  <c r="BQ219" i="131"/>
  <c r="BP219" i="131"/>
  <c r="BS159" i="131"/>
  <c r="BR159" i="131"/>
  <c r="BQ159" i="131"/>
  <c r="BP159" i="131"/>
  <c r="BT159" i="131"/>
  <c r="BO159" i="131"/>
  <c r="BT309" i="131"/>
  <c r="BS309" i="131"/>
  <c r="BR309" i="131"/>
  <c r="BQ309" i="131"/>
  <c r="BO309" i="131"/>
  <c r="BP309" i="131"/>
  <c r="BP216" i="131"/>
  <c r="BO216" i="131"/>
  <c r="BT216" i="131"/>
  <c r="BS216" i="131"/>
  <c r="BR216" i="131"/>
  <c r="BQ216" i="131"/>
  <c r="BP81" i="131"/>
  <c r="BO81" i="131"/>
  <c r="BT81" i="131"/>
  <c r="BS81" i="131"/>
  <c r="BR81" i="131"/>
  <c r="BQ81" i="131"/>
  <c r="BT58" i="131"/>
  <c r="BS58" i="131"/>
  <c r="BR58" i="131"/>
  <c r="BQ58" i="131"/>
  <c r="BP58" i="131"/>
  <c r="BO58" i="131"/>
  <c r="BP281" i="131"/>
  <c r="BO281" i="131"/>
  <c r="BS281" i="131"/>
  <c r="BT281" i="131"/>
  <c r="BR281" i="131"/>
  <c r="BQ281" i="131"/>
  <c r="BO203" i="131"/>
  <c r="BT203" i="131"/>
  <c r="BS203" i="131"/>
  <c r="BR203" i="131"/>
  <c r="BQ203" i="131"/>
  <c r="BP203" i="131"/>
  <c r="BR210" i="131"/>
  <c r="BQ210" i="131"/>
  <c r="BP210" i="131"/>
  <c r="BO210" i="131"/>
  <c r="BT210" i="131"/>
  <c r="BS210" i="131"/>
  <c r="BT161" i="131"/>
  <c r="BS161" i="131"/>
  <c r="BR161" i="131"/>
  <c r="BQ161" i="131"/>
  <c r="BP161" i="131"/>
  <c r="BO161" i="131"/>
  <c r="BS207" i="131"/>
  <c r="BR207" i="131"/>
  <c r="BQ207" i="131"/>
  <c r="BP207" i="131"/>
  <c r="BO207" i="131"/>
  <c r="BT207" i="131"/>
  <c r="BT201" i="131"/>
  <c r="BS201" i="131"/>
  <c r="BR201" i="131"/>
  <c r="BQ201" i="131"/>
  <c r="BP201" i="131"/>
  <c r="BO201" i="131"/>
  <c r="BT53" i="131"/>
  <c r="BS53" i="131"/>
  <c r="BR53" i="131"/>
  <c r="BQ53" i="131"/>
  <c r="BP53" i="131"/>
  <c r="BO53" i="131"/>
  <c r="BP160" i="131"/>
  <c r="BO160" i="131"/>
  <c r="BQ160" i="131"/>
  <c r="BT160" i="131"/>
  <c r="BS160" i="131"/>
  <c r="BR160" i="131"/>
  <c r="BO284" i="131"/>
  <c r="BT284" i="131"/>
  <c r="BR284" i="131"/>
  <c r="BQ284" i="131"/>
  <c r="BP284" i="131"/>
  <c r="BS284" i="131"/>
  <c r="BT212" i="131"/>
  <c r="BS212" i="131"/>
  <c r="BR212" i="131"/>
  <c r="BQ212" i="131"/>
  <c r="BP212" i="131"/>
  <c r="BO212" i="131"/>
  <c r="BP65" i="131"/>
  <c r="BO65" i="131"/>
  <c r="BQ65" i="131"/>
  <c r="BT65" i="131"/>
  <c r="BS65" i="131"/>
  <c r="BR65" i="131"/>
  <c r="BS312" i="131"/>
  <c r="BR312" i="131"/>
  <c r="BQ312" i="131"/>
  <c r="BP312" i="131"/>
  <c r="BT312" i="131"/>
  <c r="BO312" i="131"/>
  <c r="BS296" i="131"/>
  <c r="BR296" i="131"/>
  <c r="BQ296" i="131"/>
  <c r="BP296" i="131"/>
  <c r="BT296" i="131"/>
  <c r="BO296" i="131"/>
  <c r="BT287" i="131"/>
  <c r="BS287" i="131"/>
  <c r="BQ287" i="131"/>
  <c r="BR287" i="131"/>
  <c r="BP287" i="131"/>
  <c r="BO287" i="131"/>
  <c r="BR83" i="131"/>
  <c r="BQ83" i="131"/>
  <c r="BP83" i="131"/>
  <c r="BS83" i="131"/>
  <c r="BO83" i="131"/>
  <c r="BT83" i="131"/>
  <c r="BT74" i="131"/>
  <c r="BS74" i="131"/>
  <c r="BR74" i="131"/>
  <c r="BQ74" i="131"/>
  <c r="BP74" i="131"/>
  <c r="BO74" i="131"/>
  <c r="BR194" i="131"/>
  <c r="BQ194" i="131"/>
  <c r="BP194" i="131"/>
  <c r="BO194" i="131"/>
  <c r="BS194" i="131"/>
  <c r="BT194" i="131"/>
  <c r="BQ62" i="131"/>
  <c r="BP62" i="131"/>
  <c r="BO62" i="131"/>
  <c r="BR62" i="131"/>
  <c r="BT62" i="131"/>
  <c r="BS62" i="131"/>
  <c r="BO52" i="131"/>
  <c r="BT52" i="131"/>
  <c r="BS52" i="131"/>
  <c r="BR52" i="131"/>
  <c r="BQ52" i="131"/>
  <c r="BP52" i="131"/>
  <c r="BR35" i="131"/>
  <c r="BQ35" i="131"/>
  <c r="BP35" i="131"/>
  <c r="BO35" i="131"/>
  <c r="BS35" i="131"/>
  <c r="BT35" i="131"/>
  <c r="BO147" i="131"/>
  <c r="BT147" i="131"/>
  <c r="BS147" i="131"/>
  <c r="BR147" i="131"/>
  <c r="BQ147" i="131"/>
  <c r="BP147" i="131"/>
  <c r="BT282" i="131"/>
  <c r="BS282" i="131"/>
  <c r="BR282" i="131"/>
  <c r="BP282" i="131"/>
  <c r="BQ282" i="131"/>
  <c r="BO282" i="131"/>
  <c r="BR218" i="131"/>
  <c r="BQ218" i="131"/>
  <c r="BP218" i="131"/>
  <c r="BO218" i="131"/>
  <c r="BS218" i="131"/>
  <c r="BT218" i="131"/>
  <c r="BT145" i="131"/>
  <c r="BS145" i="131"/>
  <c r="BR145" i="131"/>
  <c r="BQ145" i="131"/>
  <c r="BP145" i="131"/>
  <c r="BO145" i="131"/>
  <c r="BO314" i="131"/>
  <c r="BT314" i="131"/>
  <c r="BS314" i="131"/>
  <c r="BR314" i="131"/>
  <c r="BP314" i="131"/>
  <c r="BQ314" i="131"/>
  <c r="BS215" i="131"/>
  <c r="BR215" i="131"/>
  <c r="BQ215" i="131"/>
  <c r="BP215" i="131"/>
  <c r="BO215" i="131"/>
  <c r="BT215" i="131"/>
  <c r="BT209" i="131"/>
  <c r="BS209" i="131"/>
  <c r="BR209" i="131"/>
  <c r="BQ209" i="131"/>
  <c r="BP209" i="131"/>
  <c r="BO209" i="131"/>
  <c r="BO79" i="131"/>
  <c r="BT79" i="131"/>
  <c r="BS79" i="131"/>
  <c r="BR79" i="131"/>
  <c r="BQ79" i="131"/>
  <c r="BP79" i="131"/>
  <c r="BR305" i="131"/>
  <c r="BP305" i="131"/>
  <c r="BO305" i="131"/>
  <c r="BS305" i="131"/>
  <c r="BT305" i="131"/>
  <c r="BQ305" i="131"/>
  <c r="BT196" i="131"/>
  <c r="BS196" i="131"/>
  <c r="BR196" i="131"/>
  <c r="BQ196" i="131"/>
  <c r="BP196" i="131"/>
  <c r="BO196" i="131"/>
  <c r="BT77" i="131"/>
  <c r="BS77" i="131"/>
  <c r="BR77" i="131"/>
  <c r="BQ77" i="131"/>
  <c r="BP77" i="131"/>
  <c r="BO77" i="131"/>
  <c r="BT148" i="131"/>
  <c r="BS148" i="131"/>
  <c r="BR148" i="131"/>
  <c r="BQ148" i="131"/>
  <c r="BP148" i="131"/>
  <c r="BO148" i="131"/>
  <c r="BT277" i="131"/>
  <c r="BS277" i="131"/>
  <c r="BR277" i="131"/>
  <c r="BQ277" i="131"/>
  <c r="BO277" i="131"/>
  <c r="BP277" i="131"/>
  <c r="BR291" i="131"/>
  <c r="BQ291" i="131"/>
  <c r="BP291" i="131"/>
  <c r="BO291" i="131"/>
  <c r="BT291" i="131"/>
  <c r="BS291" i="131"/>
  <c r="BP303" i="131"/>
  <c r="BT303" i="131"/>
  <c r="BS303" i="131"/>
  <c r="BQ303" i="131"/>
  <c r="BR303" i="131"/>
  <c r="BO303" i="131"/>
  <c r="BT307" i="131"/>
  <c r="BR307" i="131"/>
  <c r="BQ307" i="131"/>
  <c r="BP307" i="131"/>
  <c r="BO307" i="131"/>
  <c r="BS307" i="131"/>
  <c r="BO76" i="131"/>
  <c r="BT76" i="131"/>
  <c r="BS76" i="131"/>
  <c r="BR76" i="131"/>
  <c r="BP76" i="131"/>
  <c r="BQ76" i="131"/>
  <c r="BO155" i="131"/>
  <c r="BT155" i="131"/>
  <c r="BS155" i="131"/>
  <c r="BR155" i="131"/>
  <c r="BQ155" i="131"/>
  <c r="BP155" i="131"/>
  <c r="BS304" i="131"/>
  <c r="BR304" i="131"/>
  <c r="BQ304" i="131"/>
  <c r="BP304" i="131"/>
  <c r="BT304" i="131"/>
  <c r="BO304" i="131"/>
  <c r="BP311" i="131"/>
  <c r="BT311" i="131"/>
  <c r="BS311" i="131"/>
  <c r="BQ311" i="131"/>
  <c r="BR311" i="131"/>
  <c r="BO311" i="131"/>
  <c r="BP57" i="131"/>
  <c r="BO57" i="131"/>
  <c r="BQ57" i="131"/>
  <c r="BT57" i="131"/>
  <c r="BS57" i="131"/>
  <c r="BR57" i="131"/>
  <c r="BT69" i="131"/>
  <c r="BS69" i="131"/>
  <c r="BR69" i="131"/>
  <c r="BQ69" i="131"/>
  <c r="BP69" i="131"/>
  <c r="BO69" i="131"/>
  <c r="BR321" i="131"/>
  <c r="BP321" i="131"/>
  <c r="BO321" i="131"/>
  <c r="BS321" i="131"/>
  <c r="BT321" i="131"/>
  <c r="BQ321" i="131"/>
  <c r="BT61" i="131"/>
  <c r="BS61" i="131"/>
  <c r="BR61" i="131"/>
  <c r="BQ61" i="131"/>
  <c r="BP61" i="131"/>
  <c r="BO61" i="131"/>
  <c r="BS280" i="131"/>
  <c r="BR280" i="131"/>
  <c r="BQ280" i="131"/>
  <c r="BP280" i="131"/>
  <c r="BT280" i="131"/>
  <c r="BO280" i="131"/>
  <c r="BT325" i="131"/>
  <c r="BS325" i="131"/>
  <c r="BR325" i="131"/>
  <c r="BQ325" i="131"/>
  <c r="BO325" i="131"/>
  <c r="BP325" i="131"/>
  <c r="BS310" i="131"/>
  <c r="BQ310" i="131"/>
  <c r="BP310" i="131"/>
  <c r="BO310" i="131"/>
  <c r="BT310" i="131"/>
  <c r="BR310" i="131"/>
  <c r="BT198" i="131"/>
  <c r="BS198" i="131"/>
  <c r="BR198" i="131"/>
  <c r="BP198" i="131"/>
  <c r="BO198" i="131"/>
  <c r="BQ198" i="131"/>
  <c r="BT150" i="131"/>
  <c r="BS150" i="131"/>
  <c r="BR150" i="131"/>
  <c r="BQ150" i="131"/>
  <c r="BP150" i="131"/>
  <c r="BO150" i="131"/>
  <c r="BP73" i="131"/>
  <c r="BO73" i="131"/>
  <c r="BT73" i="131"/>
  <c r="BQ73" i="131"/>
  <c r="BS73" i="131"/>
  <c r="BR73" i="131"/>
  <c r="BO60" i="131"/>
  <c r="BT60" i="131"/>
  <c r="BS60" i="131"/>
  <c r="BR60" i="131"/>
  <c r="BQ60" i="131"/>
  <c r="BP60" i="131"/>
  <c r="BP49" i="131"/>
  <c r="BO49" i="131"/>
  <c r="BT49" i="131"/>
  <c r="BS49" i="131"/>
  <c r="BQ49" i="131"/>
  <c r="BR49" i="131"/>
  <c r="BR51" i="131"/>
  <c r="BQ51" i="131"/>
  <c r="BP51" i="131"/>
  <c r="BO51" i="131"/>
  <c r="BS51" i="131"/>
  <c r="BT51" i="131"/>
  <c r="BT63" i="131"/>
  <c r="BS63" i="131"/>
  <c r="BR63" i="131"/>
  <c r="BQ63" i="131"/>
  <c r="BO63" i="131"/>
  <c r="BP63" i="131"/>
  <c r="BT42" i="131"/>
  <c r="BS42" i="131"/>
  <c r="BR42" i="131"/>
  <c r="BQ42" i="131"/>
  <c r="BP42" i="131"/>
  <c r="BO42" i="131"/>
  <c r="BO44" i="131"/>
  <c r="BP44" i="131"/>
  <c r="BT44" i="131"/>
  <c r="BS44" i="131"/>
  <c r="BR44" i="131"/>
  <c r="BQ44" i="131"/>
  <c r="BT55" i="131"/>
  <c r="BS55" i="131"/>
  <c r="BO55" i="131"/>
  <c r="BR55" i="131"/>
  <c r="BQ55" i="131"/>
  <c r="BP55" i="131"/>
  <c r="BT206" i="131"/>
  <c r="BS206" i="131"/>
  <c r="BR206" i="131"/>
  <c r="BQ206" i="131"/>
  <c r="BP206" i="131"/>
  <c r="BO206" i="131"/>
  <c r="BT66" i="131"/>
  <c r="BS66" i="131"/>
  <c r="BR66" i="131"/>
  <c r="BQ66" i="131"/>
  <c r="BP66" i="131"/>
  <c r="BO66" i="131"/>
  <c r="BR154" i="131"/>
  <c r="BQ154" i="131"/>
  <c r="BP154" i="131"/>
  <c r="BO154" i="131"/>
  <c r="BS154" i="131"/>
  <c r="BT154" i="131"/>
  <c r="BT140" i="131"/>
  <c r="BS140" i="131"/>
  <c r="BR140" i="131"/>
  <c r="BQ140" i="131"/>
  <c r="BP140" i="131"/>
  <c r="BO140" i="131"/>
  <c r="BQ324" i="131"/>
  <c r="BO324" i="131"/>
  <c r="BT324" i="131"/>
  <c r="BR324" i="131"/>
  <c r="BS324" i="131"/>
  <c r="BP324" i="131"/>
  <c r="BT217" i="131"/>
  <c r="BS217" i="131"/>
  <c r="BR217" i="131"/>
  <c r="BQ217" i="131"/>
  <c r="BP217" i="131"/>
  <c r="BO217" i="131"/>
  <c r="BS320" i="131"/>
  <c r="BR320" i="131"/>
  <c r="BQ320" i="131"/>
  <c r="BP320" i="131"/>
  <c r="BT320" i="131"/>
  <c r="BO320" i="131"/>
  <c r="BT290" i="131"/>
  <c r="BS290" i="131"/>
  <c r="BR290" i="131"/>
  <c r="BP290" i="131"/>
  <c r="BO290" i="131"/>
  <c r="BQ290" i="131"/>
  <c r="BT295" i="131"/>
  <c r="BS295" i="131"/>
  <c r="BQ295" i="131"/>
  <c r="BR295" i="131"/>
  <c r="BP295" i="131"/>
  <c r="BO295" i="131"/>
  <c r="BR75" i="131"/>
  <c r="BQ75" i="131"/>
  <c r="BS75" i="131"/>
  <c r="BP75" i="131"/>
  <c r="BO75" i="131"/>
  <c r="BT75" i="131"/>
  <c r="BP200" i="131"/>
  <c r="BO200" i="131"/>
  <c r="BT200" i="131"/>
  <c r="BQ200" i="131"/>
  <c r="BS200" i="131"/>
  <c r="BR200" i="131"/>
  <c r="BT45" i="131"/>
  <c r="BS45" i="131"/>
  <c r="BR45" i="131"/>
  <c r="BQ45" i="131"/>
  <c r="BP45" i="131"/>
  <c r="BO45" i="131"/>
  <c r="BR162" i="131"/>
  <c r="BQ162" i="131"/>
  <c r="BP162" i="131"/>
  <c r="BO162" i="131"/>
  <c r="BT162" i="131"/>
  <c r="BS162" i="131"/>
  <c r="BO322" i="131"/>
  <c r="BT322" i="131"/>
  <c r="BS322" i="131"/>
  <c r="BR322" i="131"/>
  <c r="BP322" i="131"/>
  <c r="BQ322" i="131"/>
  <c r="BP208" i="131"/>
  <c r="BO208" i="131"/>
  <c r="BT208" i="131"/>
  <c r="BS208" i="131"/>
  <c r="BR208" i="131"/>
  <c r="BQ208" i="131"/>
  <c r="BS326" i="131"/>
  <c r="BQ326" i="131"/>
  <c r="BP326" i="131"/>
  <c r="BO326" i="131"/>
  <c r="BT326" i="131"/>
  <c r="BR326" i="131"/>
  <c r="BS72" i="131"/>
  <c r="BR72" i="131"/>
  <c r="BQ72" i="131"/>
  <c r="BP72" i="131"/>
  <c r="BO72" i="131"/>
  <c r="BT72" i="131"/>
  <c r="BT153" i="131"/>
  <c r="BS153" i="131"/>
  <c r="BR153" i="131"/>
  <c r="BQ153" i="131"/>
  <c r="BP153" i="131"/>
  <c r="BO153" i="131"/>
  <c r="BQ141" i="131"/>
  <c r="BP141" i="131"/>
  <c r="BO141" i="131"/>
  <c r="BT141" i="131"/>
  <c r="BS141" i="131"/>
  <c r="BR141" i="131"/>
  <c r="BQ308" i="131"/>
  <c r="BO308" i="131"/>
  <c r="BT308" i="131"/>
  <c r="BR308" i="131"/>
  <c r="BS308" i="131"/>
  <c r="BP308" i="131"/>
  <c r="BT204" i="131"/>
  <c r="BS204" i="131"/>
  <c r="BR204" i="131"/>
  <c r="BQ204" i="131"/>
  <c r="BP204" i="131"/>
  <c r="BO204" i="131"/>
  <c r="BQ205" i="131"/>
  <c r="BP205" i="131"/>
  <c r="BO205" i="131"/>
  <c r="BT205" i="131"/>
  <c r="BS205" i="131"/>
  <c r="BR205" i="131"/>
  <c r="BT37" i="131"/>
  <c r="BS37" i="131"/>
  <c r="BR37" i="131"/>
  <c r="BQ37" i="131"/>
  <c r="BP37" i="131"/>
  <c r="BO37" i="131"/>
  <c r="BT317" i="131"/>
  <c r="BS317" i="131"/>
  <c r="BR317" i="131"/>
  <c r="BQ317" i="131"/>
  <c r="BO317" i="131"/>
  <c r="BP317" i="131"/>
  <c r="BT279" i="131"/>
  <c r="BS279" i="131"/>
  <c r="BQ279" i="131"/>
  <c r="BR279" i="131"/>
  <c r="BP279" i="131"/>
  <c r="BO279" i="131"/>
  <c r="BS80" i="131"/>
  <c r="BR80" i="131"/>
  <c r="BQ80" i="131"/>
  <c r="BP80" i="131"/>
  <c r="BT80" i="131"/>
  <c r="BO80" i="131"/>
  <c r="BR59" i="131"/>
  <c r="BQ59" i="131"/>
  <c r="BP59" i="131"/>
  <c r="BO59" i="131"/>
  <c r="BS59" i="131"/>
  <c r="BT59" i="131"/>
  <c r="BT142" i="131"/>
  <c r="BS142" i="131"/>
  <c r="BR142" i="131"/>
  <c r="BQ142" i="131"/>
  <c r="BP142" i="131"/>
  <c r="BO142" i="131"/>
  <c r="BP289" i="131"/>
  <c r="BO289" i="131"/>
  <c r="BS289" i="131"/>
  <c r="BT289" i="131"/>
  <c r="BR289" i="131"/>
  <c r="BQ289" i="131"/>
  <c r="BR299" i="131"/>
  <c r="BQ299" i="131"/>
  <c r="BP299" i="131"/>
  <c r="BO299" i="131"/>
  <c r="BT299" i="131"/>
  <c r="BS299" i="131"/>
  <c r="BT293" i="131"/>
  <c r="BS293" i="131"/>
  <c r="BR293" i="131"/>
  <c r="BQ293" i="131"/>
  <c r="BO293" i="131"/>
  <c r="BP293" i="131"/>
  <c r="BQ278" i="131"/>
  <c r="BP278" i="131"/>
  <c r="BO278" i="131"/>
  <c r="BT278" i="131"/>
  <c r="BS278" i="131"/>
  <c r="BR278" i="131"/>
  <c r="BP41" i="131"/>
  <c r="BO41" i="131"/>
  <c r="BT41" i="131"/>
  <c r="BQ41" i="131"/>
  <c r="BS41" i="131"/>
  <c r="BR41" i="131"/>
  <c r="BQ157" i="131"/>
  <c r="BP157" i="131"/>
  <c r="BO157" i="131"/>
  <c r="BR157" i="131"/>
  <c r="BT157" i="131"/>
  <c r="BS157" i="131"/>
  <c r="BT82" i="131"/>
  <c r="BS82" i="131"/>
  <c r="BR82" i="131"/>
  <c r="BQ82" i="131"/>
  <c r="BP82" i="131"/>
  <c r="BO82" i="131"/>
  <c r="BS151" i="131"/>
  <c r="BR151" i="131"/>
  <c r="BQ151" i="131"/>
  <c r="BP151" i="131"/>
  <c r="BO151" i="131"/>
  <c r="BT151" i="131"/>
  <c r="BR146" i="131"/>
  <c r="BQ146" i="131"/>
  <c r="BP146" i="131"/>
  <c r="BO146" i="131"/>
  <c r="BT146" i="131"/>
  <c r="BS146" i="131"/>
  <c r="BT71" i="131"/>
  <c r="BS71" i="131"/>
  <c r="BR71" i="131"/>
  <c r="BQ71" i="131"/>
  <c r="BP71" i="131"/>
  <c r="BO71" i="131"/>
  <c r="BO211" i="131"/>
  <c r="BT211" i="131"/>
  <c r="BS211" i="131"/>
  <c r="BR211" i="131"/>
  <c r="BQ211" i="131"/>
  <c r="BP211" i="131"/>
  <c r="BO195" i="131"/>
  <c r="BT195" i="131"/>
  <c r="BS195" i="131"/>
  <c r="BR195" i="131"/>
  <c r="BQ195" i="131"/>
  <c r="BP195" i="131"/>
  <c r="BT47" i="131"/>
  <c r="BS47" i="131"/>
  <c r="BR47" i="131"/>
  <c r="BO47" i="131"/>
  <c r="BQ47" i="131"/>
  <c r="BP47" i="131"/>
  <c r="BT34" i="131"/>
  <c r="BS34" i="131"/>
  <c r="BR34" i="131"/>
  <c r="BQ34" i="131"/>
  <c r="BP34" i="131"/>
  <c r="BO34" i="131"/>
  <c r="BQ46" i="131"/>
  <c r="BP46" i="131"/>
  <c r="BO46" i="131"/>
  <c r="BT46" i="131"/>
  <c r="BS46" i="131"/>
  <c r="BR46" i="131"/>
  <c r="BQ78" i="131"/>
  <c r="BP78" i="131"/>
  <c r="BO78" i="131"/>
  <c r="BR78" i="131"/>
  <c r="BT78" i="131"/>
  <c r="BS78" i="131"/>
  <c r="BT39" i="131"/>
  <c r="BS39" i="131"/>
  <c r="BR39" i="131"/>
  <c r="BQ39" i="131"/>
  <c r="BP39" i="131"/>
  <c r="BO39" i="131"/>
  <c r="N113" i="130"/>
  <c r="N103" i="130"/>
  <c r="N105" i="130"/>
  <c r="N108" i="130"/>
  <c r="N68" i="130"/>
  <c r="N79" i="130"/>
  <c r="N83" i="130"/>
  <c r="N86" i="130"/>
  <c r="N87" i="130"/>
  <c r="N99" i="130"/>
  <c r="AJ232" i="131"/>
  <c r="AQ232" i="131"/>
  <c r="N232" i="131"/>
  <c r="AQ18" i="131"/>
  <c r="AC18" i="131"/>
  <c r="N18" i="131"/>
  <c r="AJ18" i="131"/>
  <c r="AQ92" i="131"/>
  <c r="V92" i="131"/>
  <c r="N92" i="131"/>
  <c r="AC92" i="131"/>
  <c r="AJ238" i="131"/>
  <c r="V238" i="131"/>
  <c r="AX238" i="131"/>
  <c r="N238" i="131"/>
  <c r="AQ246" i="131"/>
  <c r="N246" i="131"/>
  <c r="AC254" i="131"/>
  <c r="AX254" i="131"/>
  <c r="N254" i="131"/>
  <c r="AJ359" i="131"/>
  <c r="N359" i="131"/>
  <c r="V629" i="131"/>
  <c r="AX629" i="131"/>
  <c r="AJ629" i="131"/>
  <c r="N629" i="131"/>
  <c r="AJ347" i="131"/>
  <c r="AQ347" i="131"/>
  <c r="AX347" i="131"/>
  <c r="N347" i="131"/>
  <c r="AX374" i="131"/>
  <c r="AJ374" i="131"/>
  <c r="N374" i="131"/>
  <c r="V382" i="131"/>
  <c r="N382" i="131"/>
  <c r="AX133" i="131"/>
  <c r="AQ133" i="131"/>
  <c r="N133" i="131"/>
  <c r="AC133" i="131"/>
  <c r="V133" i="131"/>
  <c r="V135" i="131"/>
  <c r="AQ135" i="131"/>
  <c r="N135" i="131"/>
  <c r="AX137" i="131"/>
  <c r="AQ137" i="131"/>
  <c r="N137" i="131"/>
  <c r="AC174" i="131"/>
  <c r="AJ174" i="131"/>
  <c r="N174" i="131"/>
  <c r="V174" i="131"/>
  <c r="AX453" i="131"/>
  <c r="AC453" i="131"/>
  <c r="N453" i="131"/>
  <c r="AX89" i="131"/>
  <c r="AQ89" i="131"/>
  <c r="V89" i="131"/>
  <c r="N89" i="131"/>
  <c r="N97" i="131"/>
  <c r="AQ343" i="131"/>
  <c r="V343" i="131"/>
  <c r="AJ343" i="131"/>
  <c r="N343" i="131"/>
  <c r="AJ356" i="131"/>
  <c r="AX356" i="131"/>
  <c r="AC356" i="131"/>
  <c r="V356" i="131"/>
  <c r="N356" i="131"/>
  <c r="AX452" i="131"/>
  <c r="AC452" i="131"/>
  <c r="V452" i="131"/>
  <c r="N452" i="131"/>
  <c r="AX594" i="131"/>
  <c r="AQ594" i="131"/>
  <c r="AC594" i="131"/>
  <c r="N594" i="131"/>
  <c r="AX634" i="131"/>
  <c r="V634" i="131"/>
  <c r="AQ634" i="131"/>
  <c r="N634" i="131"/>
  <c r="AJ88" i="131"/>
  <c r="N88" i="131"/>
  <c r="AX112" i="131"/>
  <c r="AC112" i="131"/>
  <c r="V112" i="131"/>
  <c r="N112" i="131"/>
  <c r="AC229" i="131"/>
  <c r="N229" i="131"/>
  <c r="AX234" i="131"/>
  <c r="AQ234" i="131"/>
  <c r="AC234" i="131"/>
  <c r="N234" i="131"/>
  <c r="AX451" i="131"/>
  <c r="AQ451" i="131"/>
  <c r="AC451" i="131"/>
  <c r="V451" i="131"/>
  <c r="N451" i="131"/>
  <c r="AR111" i="130"/>
  <c r="AX111" i="130" s="1"/>
  <c r="N111" i="130"/>
  <c r="V26" i="131"/>
  <c r="AX26" i="131"/>
  <c r="N26" i="131"/>
  <c r="AJ26" i="131"/>
  <c r="AX111" i="131"/>
  <c r="AQ111" i="131"/>
  <c r="AC111" i="131"/>
  <c r="V111" i="131"/>
  <c r="N111" i="131"/>
  <c r="AX170" i="131"/>
  <c r="AC170" i="131"/>
  <c r="V170" i="131"/>
  <c r="AJ170" i="131"/>
  <c r="N170" i="131"/>
  <c r="AQ170" i="131"/>
  <c r="AX474" i="131"/>
  <c r="V474" i="131"/>
  <c r="AQ474" i="131"/>
  <c r="N474" i="131"/>
  <c r="N482" i="131"/>
  <c r="AX482" i="131"/>
  <c r="N15" i="131"/>
  <c r="AX15" i="131"/>
  <c r="AQ33" i="131"/>
  <c r="AJ33" i="131"/>
  <c r="N33" i="131"/>
  <c r="AQ377" i="131"/>
  <c r="V377" i="131"/>
  <c r="AX377" i="131"/>
  <c r="N377" i="131"/>
  <c r="V446" i="131"/>
  <c r="N446" i="131"/>
  <c r="AQ583" i="131"/>
  <c r="AC583" i="131"/>
  <c r="AX583" i="131"/>
  <c r="N583" i="131"/>
  <c r="AX591" i="131"/>
  <c r="AJ591" i="131"/>
  <c r="N591" i="131"/>
  <c r="AX623" i="131"/>
  <c r="AQ623" i="131"/>
  <c r="V623" i="131"/>
  <c r="AJ623" i="131"/>
  <c r="N623" i="131"/>
  <c r="V639" i="131"/>
  <c r="AC639" i="131"/>
  <c r="N639" i="131"/>
  <c r="BF72" i="130"/>
  <c r="BV72" i="130" s="1"/>
  <c r="BF89" i="130"/>
  <c r="BV89" i="130" s="1"/>
  <c r="BF97" i="130"/>
  <c r="BV97" i="130" s="1"/>
  <c r="BF339" i="131"/>
  <c r="BV339" i="131" s="1"/>
  <c r="BF550" i="131"/>
  <c r="BV550" i="131" s="1"/>
  <c r="BF445" i="131"/>
  <c r="BV445" i="131" s="1"/>
  <c r="BF66" i="130"/>
  <c r="BV66" i="130" s="1"/>
  <c r="BF16" i="131"/>
  <c r="BV16" i="131" s="1"/>
  <c r="AD87" i="130"/>
  <c r="AJ87" i="130" s="1"/>
  <c r="AR87" i="130"/>
  <c r="AX87" i="130" s="1"/>
  <c r="W87" i="130"/>
  <c r="AC87" i="130" s="1"/>
  <c r="P87" i="130"/>
  <c r="V87" i="130" s="1"/>
  <c r="AK87" i="130"/>
  <c r="AQ87" i="130" s="1"/>
  <c r="AR113" i="130"/>
  <c r="AX113" i="130" s="1"/>
  <c r="V113" i="130"/>
  <c r="AK113" i="130"/>
  <c r="AQ113" i="130" s="1"/>
  <c r="W113" i="130"/>
  <c r="AC113" i="130" s="1"/>
  <c r="AD113" i="130"/>
  <c r="AJ113" i="130" s="1"/>
  <c r="V108" i="130"/>
  <c r="AR108" i="130"/>
  <c r="AX108" i="130" s="1"/>
  <c r="AK108" i="130"/>
  <c r="AQ108" i="130" s="1"/>
  <c r="AD108" i="130"/>
  <c r="AJ108" i="130" s="1"/>
  <c r="W108" i="130"/>
  <c r="AC108" i="130" s="1"/>
  <c r="AD79" i="130"/>
  <c r="AJ79" i="130" s="1"/>
  <c r="W79" i="130"/>
  <c r="AC79" i="130" s="1"/>
  <c r="AR79" i="130"/>
  <c r="AX79" i="130" s="1"/>
  <c r="P79" i="130"/>
  <c r="V79" i="130" s="1"/>
  <c r="AK79" i="130"/>
  <c r="AQ79" i="130" s="1"/>
  <c r="AR105" i="130"/>
  <c r="AX105" i="130" s="1"/>
  <c r="V105" i="130"/>
  <c r="AK105" i="130"/>
  <c r="AQ105" i="130" s="1"/>
  <c r="AD105" i="130"/>
  <c r="AJ105" i="130" s="1"/>
  <c r="W105" i="130"/>
  <c r="AC105" i="130" s="1"/>
  <c r="AD83" i="130"/>
  <c r="AJ83" i="130" s="1"/>
  <c r="AR83" i="130"/>
  <c r="AX83" i="130" s="1"/>
  <c r="W83" i="130"/>
  <c r="AC83" i="130" s="1"/>
  <c r="P83" i="130"/>
  <c r="V83" i="130" s="1"/>
  <c r="AK83" i="130"/>
  <c r="AQ83" i="130" s="1"/>
  <c r="AR68" i="130"/>
  <c r="AX68" i="130" s="1"/>
  <c r="AK68" i="130"/>
  <c r="AQ68" i="130" s="1"/>
  <c r="AK99" i="130"/>
  <c r="AQ99" i="130" s="1"/>
  <c r="AD99" i="130"/>
  <c r="AJ99" i="130" s="1"/>
  <c r="AR99" i="130"/>
  <c r="AX99" i="130" s="1"/>
  <c r="W99" i="130"/>
  <c r="AC99" i="130" s="1"/>
  <c r="P99" i="130"/>
  <c r="V99" i="130" s="1"/>
  <c r="W103" i="130"/>
  <c r="AC103" i="130" s="1"/>
  <c r="AR103" i="130"/>
  <c r="AX103" i="130" s="1"/>
  <c r="V103" i="130"/>
  <c r="AK103" i="130"/>
  <c r="AQ103" i="130" s="1"/>
  <c r="AD103" i="130"/>
  <c r="AJ103" i="130" s="1"/>
  <c r="P86" i="130"/>
  <c r="V86" i="130" s="1"/>
  <c r="AR86" i="130"/>
  <c r="AX86" i="130" s="1"/>
  <c r="AK86" i="130"/>
  <c r="AQ86" i="130" s="1"/>
  <c r="AD86" i="130"/>
  <c r="AJ86" i="130" s="1"/>
  <c r="W86" i="130"/>
  <c r="AC86" i="130" s="1"/>
  <c r="AD111" i="130"/>
  <c r="AJ111" i="130" s="1"/>
  <c r="W111" i="130"/>
  <c r="AC111" i="130" s="1"/>
  <c r="V111" i="130"/>
  <c r="AK111" i="130"/>
  <c r="AQ111" i="130" s="1"/>
  <c r="BF17" i="131"/>
  <c r="BV17" i="131" s="1"/>
  <c r="BF74" i="130"/>
  <c r="BV74" i="130" s="1"/>
  <c r="BF103" i="130"/>
  <c r="BV103" i="130" s="1"/>
  <c r="BF78" i="130"/>
  <c r="BV78" i="130" s="1"/>
  <c r="BF79" i="130"/>
  <c r="BV79" i="130" s="1"/>
  <c r="BF87" i="130"/>
  <c r="BV87" i="130" s="1"/>
  <c r="BF95" i="130"/>
  <c r="BV95" i="130" s="1"/>
  <c r="BF591" i="131"/>
  <c r="BV591" i="131" s="1"/>
  <c r="BF128" i="131"/>
  <c r="BV128" i="131" s="1"/>
  <c r="BF111" i="130"/>
  <c r="BV111" i="130" s="1"/>
  <c r="BF110" i="130"/>
  <c r="BV110" i="130" s="1"/>
  <c r="BF63" i="130"/>
  <c r="BV63" i="130" s="1"/>
  <c r="BF89" i="131"/>
  <c r="BF105" i="131"/>
  <c r="BV105" i="131" s="1"/>
  <c r="BF132" i="131"/>
  <c r="BF229" i="131"/>
  <c r="BV229" i="131" s="1"/>
  <c r="BF434" i="131"/>
  <c r="BV434" i="131" s="1"/>
  <c r="BF450" i="131"/>
  <c r="BV450" i="131" s="1"/>
  <c r="BF458" i="131"/>
  <c r="BF466" i="131"/>
  <c r="BV466" i="131" s="1"/>
  <c r="BF474" i="131"/>
  <c r="BV474" i="131" s="1"/>
  <c r="BF482" i="131"/>
  <c r="BV482" i="131" s="1"/>
  <c r="BF483" i="131"/>
  <c r="BF484" i="131"/>
  <c r="BF485" i="131"/>
  <c r="BF486" i="131"/>
  <c r="BV486" i="131" s="1"/>
  <c r="BF487" i="131"/>
  <c r="BF488" i="131"/>
  <c r="BV488" i="131" s="1"/>
  <c r="BF489" i="131"/>
  <c r="BV489" i="131" s="1"/>
  <c r="BF553" i="131"/>
  <c r="BV553" i="131" s="1"/>
  <c r="BF617" i="131"/>
  <c r="BF625" i="131"/>
  <c r="BV625" i="131" s="1"/>
  <c r="BF633" i="131"/>
  <c r="BV633" i="131" s="1"/>
  <c r="BF641" i="131"/>
  <c r="BF28" i="131"/>
  <c r="BF97" i="131"/>
  <c r="BV97" i="131" s="1"/>
  <c r="BF122" i="131"/>
  <c r="BV122" i="131" s="1"/>
  <c r="BF19" i="131"/>
  <c r="BV19" i="131" s="1"/>
  <c r="BF27" i="131"/>
  <c r="BV27" i="131" s="1"/>
  <c r="BF88" i="131"/>
  <c r="BF96" i="131"/>
  <c r="BV96" i="131" s="1"/>
  <c r="BF104" i="131"/>
  <c r="BV104" i="131" s="1"/>
  <c r="BF112" i="131"/>
  <c r="BF121" i="131"/>
  <c r="BV121" i="131" s="1"/>
  <c r="BF123" i="131"/>
  <c r="BV123" i="131" s="1"/>
  <c r="BF125" i="131"/>
  <c r="BV125" i="131" s="1"/>
  <c r="BF133" i="131"/>
  <c r="BF228" i="131"/>
  <c r="BV228" i="131" s="1"/>
  <c r="BF267" i="131"/>
  <c r="BF275" i="131"/>
  <c r="BF340" i="131"/>
  <c r="BF348" i="131"/>
  <c r="BV348" i="131" s="1"/>
  <c r="BF383" i="131"/>
  <c r="BV383" i="131" s="1"/>
  <c r="BF451" i="131"/>
  <c r="BV451" i="131" s="1"/>
  <c r="BF459" i="131"/>
  <c r="BV459" i="131" s="1"/>
  <c r="BF467" i="131"/>
  <c r="BF475" i="131"/>
  <c r="BF554" i="131"/>
  <c r="BF562" i="131"/>
  <c r="BF570" i="131"/>
  <c r="BF578" i="131"/>
  <c r="BF586" i="131"/>
  <c r="BV586" i="131" s="1"/>
  <c r="BF594" i="131"/>
  <c r="BV594" i="131" s="1"/>
  <c r="BF602" i="131"/>
  <c r="BV602" i="131" s="1"/>
  <c r="BF610" i="131"/>
  <c r="BF618" i="131"/>
  <c r="BF626" i="131"/>
  <c r="BF634" i="131"/>
  <c r="BF642" i="131"/>
  <c r="BF20" i="131"/>
  <c r="BV20" i="131" s="1"/>
  <c r="BF113" i="131"/>
  <c r="BV113" i="131" s="1"/>
  <c r="BF18" i="131"/>
  <c r="BV18" i="131" s="1"/>
  <c r="BF26" i="131"/>
  <c r="BV26" i="131" s="1"/>
  <c r="BF87" i="131"/>
  <c r="BV87" i="131" s="1"/>
  <c r="BF95" i="131"/>
  <c r="BF103" i="131"/>
  <c r="BV103" i="131" s="1"/>
  <c r="BF111" i="131"/>
  <c r="BV111" i="131" s="1"/>
  <c r="BF124" i="131"/>
  <c r="BV124" i="131" s="1"/>
  <c r="BF126" i="131"/>
  <c r="BV126" i="131" s="1"/>
  <c r="BF134" i="131"/>
  <c r="BV134" i="131" s="1"/>
  <c r="BF266" i="131"/>
  <c r="BF274" i="131"/>
  <c r="BF341" i="131"/>
  <c r="BV341" i="131" s="1"/>
  <c r="BF349" i="131"/>
  <c r="BV349" i="131" s="1"/>
  <c r="BF382" i="131"/>
  <c r="BV382" i="131" s="1"/>
  <c r="BF452" i="131"/>
  <c r="BV452" i="131" s="1"/>
  <c r="BF460" i="131"/>
  <c r="BF468" i="131"/>
  <c r="BF476" i="131"/>
  <c r="BV476" i="131" s="1"/>
  <c r="BF555" i="131"/>
  <c r="BF563" i="131"/>
  <c r="BF571" i="131"/>
  <c r="BF579" i="131"/>
  <c r="BF587" i="131"/>
  <c r="BV587" i="131" s="1"/>
  <c r="BF595" i="131"/>
  <c r="BF603" i="131"/>
  <c r="BV603" i="131" s="1"/>
  <c r="BF611" i="131"/>
  <c r="BV611" i="131" s="1"/>
  <c r="BF619" i="131"/>
  <c r="BF627" i="131"/>
  <c r="BF635" i="131"/>
  <c r="BF643" i="131"/>
  <c r="BF273" i="131"/>
  <c r="BV273" i="131" s="1"/>
  <c r="BF342" i="131"/>
  <c r="BF350" i="131"/>
  <c r="BV350" i="131" s="1"/>
  <c r="BF351" i="131"/>
  <c r="BF352" i="131"/>
  <c r="BF353" i="131"/>
  <c r="BF354" i="131"/>
  <c r="BV354" i="131" s="1"/>
  <c r="BF355" i="131"/>
  <c r="BV355" i="131" s="1"/>
  <c r="BF356" i="131"/>
  <c r="BV356" i="131" s="1"/>
  <c r="BF357" i="131"/>
  <c r="BF358" i="131"/>
  <c r="BF359" i="131"/>
  <c r="BF360" i="131"/>
  <c r="BF361" i="131"/>
  <c r="BV361" i="131" s="1"/>
  <c r="BF362" i="131"/>
  <c r="BV362" i="131" s="1"/>
  <c r="BF363" i="131"/>
  <c r="BV363" i="131" s="1"/>
  <c r="BF364" i="131"/>
  <c r="BV364" i="131" s="1"/>
  <c r="BF365" i="131"/>
  <c r="BF366" i="131"/>
  <c r="BF367" i="131"/>
  <c r="BF368" i="131"/>
  <c r="BF369" i="131"/>
  <c r="BF370" i="131"/>
  <c r="BV370" i="131" s="1"/>
  <c r="BF371" i="131"/>
  <c r="BV371" i="131" s="1"/>
  <c r="BF372" i="131"/>
  <c r="BV372" i="131" s="1"/>
  <c r="BF373" i="131"/>
  <c r="BF374" i="131"/>
  <c r="BF375" i="131"/>
  <c r="BF376" i="131"/>
  <c r="BF377" i="131"/>
  <c r="BF378" i="131"/>
  <c r="BV378" i="131" s="1"/>
  <c r="BF379" i="131"/>
  <c r="BV379" i="131" s="1"/>
  <c r="BF380" i="131"/>
  <c r="BV380" i="131" s="1"/>
  <c r="BF381" i="131"/>
  <c r="BF453" i="131"/>
  <c r="BF461" i="131"/>
  <c r="BV461" i="131" s="1"/>
  <c r="BF469" i="131"/>
  <c r="BV469" i="131" s="1"/>
  <c r="BF477" i="131"/>
  <c r="BF596" i="131"/>
  <c r="BF620" i="131"/>
  <c r="BF628" i="131"/>
  <c r="BF636" i="131"/>
  <c r="BF644" i="131"/>
  <c r="BV644" i="131" s="1"/>
  <c r="BF101" i="131"/>
  <c r="BV101" i="131" s="1"/>
  <c r="BF109" i="131"/>
  <c r="BV109" i="131" s="1"/>
  <c r="BF136" i="131"/>
  <c r="BV136" i="131" s="1"/>
  <c r="BF264" i="131"/>
  <c r="BF272" i="131"/>
  <c r="BF343" i="131"/>
  <c r="BV343" i="131" s="1"/>
  <c r="BF446" i="131"/>
  <c r="BV446" i="131" s="1"/>
  <c r="BF454" i="131"/>
  <c r="BF462" i="131"/>
  <c r="BF470" i="131"/>
  <c r="BV470" i="131" s="1"/>
  <c r="BF478" i="131"/>
  <c r="BF573" i="131"/>
  <c r="BF15" i="131"/>
  <c r="BV15" i="131" s="1"/>
  <c r="BF92" i="131"/>
  <c r="BV92" i="131" s="1"/>
  <c r="BF129" i="131"/>
  <c r="BF137" i="131"/>
  <c r="BV137" i="131" s="1"/>
  <c r="BF263" i="131"/>
  <c r="BF271" i="131"/>
  <c r="BF344" i="131"/>
  <c r="BF31" i="131"/>
  <c r="BF84" i="131"/>
  <c r="BF108" i="131"/>
  <c r="BV108" i="131" s="1"/>
  <c r="BF14" i="131"/>
  <c r="BV14" i="131" s="1"/>
  <c r="BF22" i="131"/>
  <c r="BV22" i="131" s="1"/>
  <c r="BF91" i="131"/>
  <c r="BF107" i="131"/>
  <c r="BV107" i="131" s="1"/>
  <c r="BF130" i="131"/>
  <c r="BV130" i="131" s="1"/>
  <c r="BF138" i="131"/>
  <c r="BV138" i="131" s="1"/>
  <c r="BF231" i="131"/>
  <c r="BV231" i="131" s="1"/>
  <c r="BF232" i="131"/>
  <c r="BV232" i="131" s="1"/>
  <c r="BF233" i="131"/>
  <c r="BV233" i="131" s="1"/>
  <c r="BF234" i="131"/>
  <c r="BF235" i="131"/>
  <c r="BF236" i="131"/>
  <c r="BV236" i="131" s="1"/>
  <c r="BF237" i="131"/>
  <c r="BV237" i="131" s="1"/>
  <c r="BF238" i="131"/>
  <c r="BF239" i="131"/>
  <c r="BV239" i="131" s="1"/>
  <c r="BF240" i="131"/>
  <c r="BV240" i="131" s="1"/>
  <c r="BF241" i="131"/>
  <c r="BV241" i="131" s="1"/>
  <c r="BF242" i="131"/>
  <c r="BF243" i="131"/>
  <c r="BF244" i="131"/>
  <c r="BV244" i="131" s="1"/>
  <c r="BF245" i="131"/>
  <c r="BF246" i="131"/>
  <c r="BF247" i="131"/>
  <c r="BV247" i="131" s="1"/>
  <c r="BF248" i="131"/>
  <c r="BV248" i="131" s="1"/>
  <c r="BF249" i="131"/>
  <c r="BF250" i="131"/>
  <c r="BF251" i="131"/>
  <c r="BV251" i="131" s="1"/>
  <c r="BF252" i="131"/>
  <c r="BF253" i="131"/>
  <c r="BV253" i="131" s="1"/>
  <c r="BF254" i="131"/>
  <c r="BV254" i="131" s="1"/>
  <c r="BF255" i="131"/>
  <c r="BV255" i="131" s="1"/>
  <c r="BF256" i="131"/>
  <c r="BV256" i="131" s="1"/>
  <c r="BF257" i="131"/>
  <c r="BV257" i="131" s="1"/>
  <c r="BF258" i="131"/>
  <c r="BF259" i="131"/>
  <c r="BV259" i="131" s="1"/>
  <c r="BF260" i="131"/>
  <c r="BF261" i="131"/>
  <c r="BF262" i="131"/>
  <c r="BF270" i="131"/>
  <c r="BF337" i="131"/>
  <c r="BV337" i="131" s="1"/>
  <c r="BF345" i="131"/>
  <c r="BV345" i="131" s="1"/>
  <c r="BF444" i="131"/>
  <c r="BF448" i="131"/>
  <c r="BV448" i="131" s="1"/>
  <c r="BF456" i="131"/>
  <c r="BV456" i="131" s="1"/>
  <c r="BF464" i="131"/>
  <c r="BF472" i="131"/>
  <c r="BV472" i="131" s="1"/>
  <c r="BF480" i="131"/>
  <c r="BV480" i="131" s="1"/>
  <c r="BF541" i="131"/>
  <c r="BF551" i="131"/>
  <c r="BV551" i="131" s="1"/>
  <c r="BF559" i="131"/>
  <c r="BV559" i="131" s="1"/>
  <c r="BF583" i="131"/>
  <c r="BF23" i="131"/>
  <c r="BV23" i="131" s="1"/>
  <c r="BF100" i="131"/>
  <c r="BF30" i="131"/>
  <c r="BV30" i="131" s="1"/>
  <c r="BF99" i="131"/>
  <c r="BF21" i="131"/>
  <c r="BV21" i="131" s="1"/>
  <c r="BF29" i="131"/>
  <c r="BF90" i="131"/>
  <c r="BV90" i="131" s="1"/>
  <c r="BF98" i="131"/>
  <c r="BV98" i="131" s="1"/>
  <c r="BF106" i="131"/>
  <c r="BV106" i="131" s="1"/>
  <c r="BF131" i="131"/>
  <c r="BF139" i="131"/>
  <c r="BV139" i="131" s="1"/>
  <c r="BF220" i="131"/>
  <c r="BF230" i="131"/>
  <c r="BV230" i="131" s="1"/>
  <c r="BF269" i="131"/>
  <c r="BF327" i="131"/>
  <c r="BV327" i="131" s="1"/>
  <c r="BF336" i="131"/>
  <c r="BV336" i="131" s="1"/>
  <c r="BF338" i="131"/>
  <c r="BV338" i="131" s="1"/>
  <c r="BF346" i="131"/>
  <c r="BF435" i="131"/>
  <c r="BF443" i="131"/>
  <c r="BV443" i="131" s="1"/>
  <c r="BF449" i="131"/>
  <c r="BV449" i="131" s="1"/>
  <c r="BF457" i="131"/>
  <c r="BV457" i="131" s="1"/>
  <c r="BF465" i="131"/>
  <c r="BF473" i="131"/>
  <c r="BV473" i="131" s="1"/>
  <c r="BF481" i="131"/>
  <c r="BV481" i="131" s="1"/>
  <c r="BF490" i="131"/>
  <c r="BF552" i="131"/>
  <c r="BV552" i="131" s="1"/>
  <c r="BF560" i="131"/>
  <c r="BF568" i="131"/>
  <c r="BV568" i="131" s="1"/>
  <c r="BF576" i="131"/>
  <c r="BV576" i="131" s="1"/>
  <c r="BF584" i="131"/>
  <c r="BV584" i="131" s="1"/>
  <c r="BF592" i="131"/>
  <c r="BF600" i="131"/>
  <c r="BF608" i="131"/>
  <c r="BF616" i="131"/>
  <c r="BF632" i="131"/>
  <c r="BF648" i="131"/>
  <c r="BV648" i="131" s="1"/>
  <c r="BF649" i="131"/>
  <c r="BV649" i="131" s="1"/>
  <c r="BU327" i="131"/>
  <c r="O327" i="131"/>
  <c r="BV598" i="131"/>
  <c r="BV627" i="131"/>
  <c r="BV276" i="131"/>
  <c r="BV340" i="131"/>
  <c r="BV376" i="131"/>
  <c r="BV220" i="131"/>
  <c r="BV642" i="131"/>
  <c r="BV617" i="131"/>
  <c r="BV110" i="131"/>
  <c r="BV174" i="131"/>
  <c r="BV189" i="131"/>
  <c r="BV460" i="131"/>
  <c r="BV485" i="131"/>
  <c r="BV610" i="131"/>
  <c r="BV455" i="131"/>
  <c r="BV369" i="131"/>
  <c r="BV600" i="131"/>
  <c r="BV175" i="131"/>
  <c r="BV580" i="131"/>
  <c r="BV606" i="131"/>
  <c r="BV628" i="131"/>
  <c r="BV193" i="131"/>
  <c r="BV366" i="131"/>
  <c r="BV373" i="131"/>
  <c r="BV561" i="131"/>
  <c r="BV614" i="131"/>
  <c r="BV25" i="131"/>
  <c r="BV168" i="131"/>
  <c r="BV186" i="131"/>
  <c r="BV381" i="131"/>
  <c r="BV471" i="131"/>
  <c r="BV475" i="131"/>
  <c r="BV483" i="131"/>
  <c r="BV94" i="131"/>
  <c r="BV353" i="131"/>
  <c r="BV542" i="131"/>
  <c r="BV556" i="131"/>
  <c r="BV588" i="131"/>
  <c r="BV89" i="131"/>
  <c r="BV454" i="131"/>
  <c r="BV634" i="131"/>
  <c r="BV173" i="131"/>
  <c r="BV219" i="131"/>
  <c r="BV347" i="131"/>
  <c r="BV462" i="131"/>
  <c r="BV595" i="131"/>
  <c r="BV129" i="131"/>
  <c r="BV167" i="131"/>
  <c r="BV264" i="131"/>
  <c r="BV272" i="131"/>
  <c r="BV342" i="131"/>
  <c r="BV374" i="131"/>
  <c r="BV463" i="131"/>
  <c r="BV541" i="131"/>
  <c r="BV577" i="131"/>
  <c r="BV608" i="131"/>
  <c r="BV622" i="131"/>
  <c r="BV243" i="131"/>
  <c r="BV368" i="131"/>
  <c r="BV464" i="131"/>
  <c r="BV274" i="131"/>
  <c r="BV344" i="131"/>
  <c r="BV465" i="131"/>
  <c r="BV564" i="131"/>
  <c r="BV565" i="131"/>
  <c r="BV624" i="131"/>
  <c r="BV638" i="131"/>
  <c r="BV639" i="131"/>
  <c r="BV131" i="131"/>
  <c r="BV170" i="131"/>
  <c r="BV245" i="131"/>
  <c r="BV252" i="131"/>
  <c r="BV377" i="131"/>
  <c r="BV478" i="131"/>
  <c r="BV558" i="131"/>
  <c r="BV112" i="131"/>
  <c r="BV176" i="131"/>
  <c r="BV183" i="131"/>
  <c r="BV191" i="131"/>
  <c r="BV246" i="131"/>
  <c r="BV267" i="131"/>
  <c r="BV352" i="131"/>
  <c r="BV358" i="131"/>
  <c r="BV178" i="131"/>
  <c r="BV184" i="131"/>
  <c r="BV260" i="131"/>
  <c r="BV360" i="131"/>
  <c r="BV365" i="131"/>
  <c r="BV487" i="131"/>
  <c r="BV613" i="131"/>
  <c r="BV626" i="131"/>
  <c r="BV646" i="131"/>
  <c r="BF102" i="130"/>
  <c r="BV102" i="130" s="1"/>
  <c r="BF94" i="130"/>
  <c r="BV94" i="130" s="1"/>
  <c r="BF86" i="130"/>
  <c r="BV86" i="130" s="1"/>
  <c r="BF81" i="130"/>
  <c r="BV81" i="130" s="1"/>
  <c r="BF71" i="130"/>
  <c r="BF73" i="130"/>
  <c r="BV73" i="130" s="1"/>
  <c r="BF80" i="130"/>
  <c r="BV80" i="130" s="1"/>
  <c r="BF88" i="130"/>
  <c r="BV88" i="130" s="1"/>
  <c r="BF96" i="130"/>
  <c r="BV96" i="130" s="1"/>
  <c r="BF104" i="130"/>
  <c r="BV104" i="130" s="1"/>
  <c r="BF112" i="130"/>
  <c r="BV112" i="130" s="1"/>
  <c r="BF105" i="130"/>
  <c r="BV105" i="130" s="1"/>
  <c r="BF113" i="130"/>
  <c r="BV113" i="130" s="1"/>
  <c r="BF65" i="130"/>
  <c r="BV65" i="130" s="1"/>
  <c r="BF67" i="130"/>
  <c r="BV67" i="130" s="1"/>
  <c r="BF75" i="130"/>
  <c r="BV75" i="130" s="1"/>
  <c r="BF82" i="130"/>
  <c r="BV82" i="130" s="1"/>
  <c r="BF90" i="130"/>
  <c r="BV90" i="130" s="1"/>
  <c r="BF98" i="130"/>
  <c r="BV98" i="130" s="1"/>
  <c r="BF106" i="130"/>
  <c r="BV106" i="130" s="1"/>
  <c r="BF68" i="130"/>
  <c r="BV68" i="130" s="1"/>
  <c r="BF76" i="130"/>
  <c r="BV76" i="130" s="1"/>
  <c r="BF83" i="130"/>
  <c r="BV83" i="130" s="1"/>
  <c r="BF91" i="130"/>
  <c r="BV91" i="130" s="1"/>
  <c r="BF99" i="130"/>
  <c r="BV99" i="130" s="1"/>
  <c r="BF107" i="130"/>
  <c r="BV107" i="130" s="1"/>
  <c r="BF84" i="130"/>
  <c r="BV84" i="130" s="1"/>
  <c r="BF92" i="130"/>
  <c r="BV92" i="130" s="1"/>
  <c r="BF100" i="130"/>
  <c r="BV100" i="130" s="1"/>
  <c r="BF108" i="130"/>
  <c r="BV108" i="130" s="1"/>
  <c r="BF64" i="130"/>
  <c r="BV64" i="130" s="1"/>
  <c r="BF69" i="130"/>
  <c r="BV69" i="130" s="1"/>
  <c r="BF70" i="130"/>
  <c r="BV70" i="130" s="1"/>
  <c r="BF77" i="130"/>
  <c r="BV77" i="130" s="1"/>
  <c r="BF85" i="130"/>
  <c r="BV85" i="130" s="1"/>
  <c r="BF93" i="130"/>
  <c r="BV93" i="130" s="1"/>
  <c r="BF101" i="130"/>
  <c r="BV101" i="130" s="1"/>
  <c r="BF109" i="130"/>
  <c r="BV109" i="130" s="1"/>
  <c r="BF163" i="130"/>
  <c r="BV163" i="130" s="1"/>
  <c r="BF134" i="130"/>
  <c r="BV134" i="130" s="1"/>
  <c r="BF161" i="130"/>
  <c r="BV161" i="130" s="1"/>
  <c r="BF148" i="130"/>
  <c r="BV148" i="130" s="1"/>
  <c r="O585" i="131"/>
  <c r="M95" i="131"/>
  <c r="BU171" i="131"/>
  <c r="O230" i="131"/>
  <c r="M585" i="131"/>
  <c r="M327" i="131"/>
  <c r="BU629" i="131"/>
  <c r="M337" i="131"/>
  <c r="O337" i="131"/>
  <c r="BU337" i="131"/>
  <c r="M249" i="131"/>
  <c r="O249" i="131"/>
  <c r="O259" i="131"/>
  <c r="BU259" i="131"/>
  <c r="BU468" i="131"/>
  <c r="O468" i="131"/>
  <c r="BU553" i="131"/>
  <c r="O553" i="131"/>
  <c r="BU617" i="131"/>
  <c r="M617" i="131"/>
  <c r="O609" i="131"/>
  <c r="O28" i="131"/>
  <c r="O105" i="131"/>
  <c r="M109" i="131"/>
  <c r="M601" i="131"/>
  <c r="BU157" i="130"/>
  <c r="M634" i="131"/>
  <c r="BU236" i="131"/>
  <c r="O236" i="131"/>
  <c r="BU443" i="131"/>
  <c r="O443" i="131"/>
  <c r="O635" i="131"/>
  <c r="BU635" i="131"/>
  <c r="BU238" i="131"/>
  <c r="M629" i="131"/>
  <c r="M468" i="131"/>
  <c r="O466" i="131"/>
  <c r="M103" i="131"/>
  <c r="M137" i="131"/>
  <c r="BU170" i="131"/>
  <c r="O182" i="131"/>
  <c r="M169" i="130"/>
  <c r="O90" i="131"/>
  <c r="O103" i="131"/>
  <c r="BU230" i="131"/>
  <c r="BU271" i="131"/>
  <c r="BU466" i="131"/>
  <c r="BU15" i="131"/>
  <c r="BU111" i="131"/>
  <c r="BU20" i="131"/>
  <c r="O20" i="131"/>
  <c r="O130" i="131"/>
  <c r="BU130" i="131"/>
  <c r="BU100" i="131"/>
  <c r="O100" i="131"/>
  <c r="M100" i="131"/>
  <c r="O30" i="131"/>
  <c r="M30" i="131"/>
  <c r="BU30" i="131"/>
  <c r="O98" i="131"/>
  <c r="M98" i="131"/>
  <c r="M86" i="131"/>
  <c r="O86" i="131"/>
  <c r="M113" i="131"/>
  <c r="BU113" i="131"/>
  <c r="O173" i="131"/>
  <c r="BU173" i="131"/>
  <c r="BU184" i="131"/>
  <c r="O184" i="131"/>
  <c r="BU190" i="131"/>
  <c r="O190" i="131"/>
  <c r="BU244" i="131"/>
  <c r="O244" i="131"/>
  <c r="M244" i="131"/>
  <c r="M263" i="131"/>
  <c r="BU263" i="131"/>
  <c r="BU470" i="131"/>
  <c r="M470" i="131"/>
  <c r="O29" i="131"/>
  <c r="BU90" i="131"/>
  <c r="M111" i="131"/>
  <c r="O113" i="131"/>
  <c r="O235" i="131"/>
  <c r="BU235" i="131"/>
  <c r="O22" i="131"/>
  <c r="O101" i="131"/>
  <c r="BU168" i="131"/>
  <c r="O168" i="131"/>
  <c r="BU435" i="131"/>
  <c r="M28" i="131"/>
  <c r="M127" i="131"/>
  <c r="O165" i="131"/>
  <c r="BU165" i="131"/>
  <c r="O171" i="131"/>
  <c r="O192" i="131"/>
  <c r="M265" i="131"/>
  <c r="BU265" i="131"/>
  <c r="O265" i="131"/>
  <c r="BU561" i="131"/>
  <c r="O561" i="131"/>
  <c r="M561" i="131"/>
  <c r="BU627" i="131"/>
  <c r="M627" i="131"/>
  <c r="M233" i="131"/>
  <c r="BU233" i="131"/>
  <c r="O233" i="131"/>
  <c r="M257" i="131"/>
  <c r="O257" i="131"/>
  <c r="BU257" i="131"/>
  <c r="BU345" i="131"/>
  <c r="M345" i="131"/>
  <c r="BU484" i="131"/>
  <c r="O484" i="131"/>
  <c r="M484" i="131"/>
  <c r="M23" i="131"/>
  <c r="M85" i="131"/>
  <c r="O251" i="131"/>
  <c r="M251" i="131"/>
  <c r="BU476" i="131"/>
  <c r="O476" i="131"/>
  <c r="M476" i="131"/>
  <c r="O85" i="131"/>
  <c r="O110" i="131"/>
  <c r="M243" i="131"/>
  <c r="BU243" i="131"/>
  <c r="BU267" i="131"/>
  <c r="O267" i="131"/>
  <c r="M267" i="131"/>
  <c r="M105" i="130"/>
  <c r="O95" i="131"/>
  <c r="M105" i="131"/>
  <c r="BU112" i="131"/>
  <c r="O125" i="131"/>
  <c r="BU137" i="131"/>
  <c r="O176" i="131"/>
  <c r="BU176" i="131"/>
  <c r="O243" i="131"/>
  <c r="BU252" i="131"/>
  <c r="O252" i="131"/>
  <c r="O459" i="131"/>
  <c r="M615" i="131"/>
  <c r="O617" i="131"/>
  <c r="O640" i="131"/>
  <c r="BU246" i="131"/>
  <c r="M254" i="131"/>
  <c r="O615" i="131"/>
  <c r="M236" i="131"/>
  <c r="M553" i="131"/>
  <c r="O573" i="131"/>
  <c r="O601" i="131"/>
  <c r="M246" i="131"/>
  <c r="M259" i="131"/>
  <c r="M336" i="131"/>
  <c r="M443" i="131"/>
  <c r="O460" i="131"/>
  <c r="M605" i="131"/>
  <c r="BU249" i="131"/>
  <c r="O336" i="131"/>
  <c r="M273" i="131"/>
  <c r="O273" i="131"/>
  <c r="M340" i="131"/>
  <c r="O340" i="131"/>
  <c r="BU342" i="131"/>
  <c r="O342" i="131"/>
  <c r="O350" i="131"/>
  <c r="M350" i="131"/>
  <c r="O353" i="131"/>
  <c r="M353" i="131"/>
  <c r="M356" i="131"/>
  <c r="BU356" i="131"/>
  <c r="BU358" i="131"/>
  <c r="O358" i="131"/>
  <c r="BU367" i="131"/>
  <c r="O367" i="131"/>
  <c r="BU368" i="131"/>
  <c r="O368" i="131"/>
  <c r="M368" i="131"/>
  <c r="O448" i="131"/>
  <c r="BU448" i="131"/>
  <c r="M452" i="131"/>
  <c r="BU452" i="131"/>
  <c r="M457" i="131"/>
  <c r="O457" i="131"/>
  <c r="BU462" i="131"/>
  <c r="O462" i="131"/>
  <c r="O463" i="131"/>
  <c r="BU463" i="131"/>
  <c r="M463" i="131"/>
  <c r="O481" i="131"/>
  <c r="BU481" i="131"/>
  <c r="O489" i="131"/>
  <c r="BU489" i="131"/>
  <c r="BU541" i="131"/>
  <c r="O541" i="131"/>
  <c r="M541" i="131"/>
  <c r="BU542" i="131"/>
  <c r="O542" i="131"/>
  <c r="BU550" i="131"/>
  <c r="O550" i="131"/>
  <c r="BU560" i="131"/>
  <c r="O560" i="131"/>
  <c r="M560" i="131"/>
  <c r="O569" i="131"/>
  <c r="M569" i="131"/>
  <c r="O570" i="131"/>
  <c r="BU570" i="131"/>
  <c r="M570" i="131"/>
  <c r="O574" i="131"/>
  <c r="M574" i="131"/>
  <c r="BU574" i="131"/>
  <c r="BU575" i="131"/>
  <c r="O575" i="131"/>
  <c r="M575" i="131"/>
  <c r="O582" i="131"/>
  <c r="BU582" i="131"/>
  <c r="O590" i="131"/>
  <c r="BU590" i="131"/>
  <c r="BU616" i="131"/>
  <c r="O616" i="131"/>
  <c r="M616" i="131"/>
  <c r="BU619" i="131"/>
  <c r="O619" i="131"/>
  <c r="M619" i="131"/>
  <c r="BU625" i="131"/>
  <c r="O625" i="131"/>
  <c r="BU643" i="131"/>
  <c r="O643" i="131"/>
  <c r="M643" i="131"/>
  <c r="M552" i="131"/>
  <c r="M577" i="131"/>
  <c r="BU614" i="131"/>
  <c r="BU634" i="131"/>
  <c r="O552" i="131"/>
  <c r="O577" i="131"/>
  <c r="O364" i="131"/>
  <c r="M455" i="131"/>
  <c r="M573" i="131"/>
  <c r="O605" i="131"/>
  <c r="O614" i="131"/>
  <c r="O627" i="131"/>
  <c r="BU167" i="130"/>
  <c r="M167" i="130"/>
  <c r="BU90" i="130"/>
  <c r="M90" i="130"/>
  <c r="BU94" i="130"/>
  <c r="O94" i="130"/>
  <c r="M94" i="130"/>
  <c r="O97" i="130"/>
  <c r="BU103" i="130"/>
  <c r="M142" i="130"/>
  <c r="BU155" i="130"/>
  <c r="BF156" i="130"/>
  <c r="BV156" i="130" s="1"/>
  <c r="BU97" i="130"/>
  <c r="M108" i="130"/>
  <c r="M110" i="130"/>
  <c r="BF124" i="130"/>
  <c r="BV124" i="130" s="1"/>
  <c r="M149" i="130"/>
  <c r="BF159" i="130"/>
  <c r="BV159" i="130" s="1"/>
  <c r="M163" i="130"/>
  <c r="BF143" i="130"/>
  <c r="BV143" i="130" s="1"/>
  <c r="BF153" i="130"/>
  <c r="BV153" i="130" s="1"/>
  <c r="BF135" i="130"/>
  <c r="BV135" i="130" s="1"/>
  <c r="BF169" i="130"/>
  <c r="BV169" i="130" s="1"/>
  <c r="BF131" i="130"/>
  <c r="BV131" i="130" s="1"/>
  <c r="BU105" i="130"/>
  <c r="BU108" i="130"/>
  <c r="BF125" i="130"/>
  <c r="BV125" i="130" s="1"/>
  <c r="BF127" i="130"/>
  <c r="BV127" i="130" s="1"/>
  <c r="BU163" i="130"/>
  <c r="O81" i="130"/>
  <c r="BU81" i="130"/>
  <c r="M92" i="130"/>
  <c r="BU92" i="130"/>
  <c r="O92" i="130"/>
  <c r="BU82" i="130"/>
  <c r="M82" i="130"/>
  <c r="BU139" i="130"/>
  <c r="O139" i="130"/>
  <c r="N139" i="130" s="1"/>
  <c r="BU146" i="130"/>
  <c r="M146" i="130"/>
  <c r="O146" i="130"/>
  <c r="N146" i="130" s="1"/>
  <c r="O85" i="130"/>
  <c r="BU85" i="130"/>
  <c r="M85" i="130"/>
  <c r="O78" i="130"/>
  <c r="BU78" i="130"/>
  <c r="M78" i="130"/>
  <c r="O93" i="130"/>
  <c r="BU93" i="130"/>
  <c r="M93" i="130"/>
  <c r="BU101" i="130"/>
  <c r="M101" i="130"/>
  <c r="M71" i="130"/>
  <c r="M86" i="130"/>
  <c r="M125" i="130"/>
  <c r="M141" i="130"/>
  <c r="M150" i="130"/>
  <c r="M154" i="130"/>
  <c r="M158" i="130"/>
  <c r="O158" i="130"/>
  <c r="N158" i="130" s="1"/>
  <c r="BU86" i="130"/>
  <c r="BU77" i="130"/>
  <c r="M98" i="130"/>
  <c r="O98" i="130"/>
  <c r="O110" i="130"/>
  <c r="P110" i="130" s="1"/>
  <c r="M129" i="130"/>
  <c r="O129" i="130"/>
  <c r="N129" i="130" s="1"/>
  <c r="BU129" i="130"/>
  <c r="O71" i="130"/>
  <c r="BV71" i="130"/>
  <c r="O165" i="130"/>
  <c r="N165" i="130" s="1"/>
  <c r="BU165" i="130"/>
  <c r="O104" i="130"/>
  <c r="P104" i="130" s="1"/>
  <c r="O70" i="130"/>
  <c r="O102" i="130"/>
  <c r="P102" i="130" s="1"/>
  <c r="BU125" i="130"/>
  <c r="M133" i="130"/>
  <c r="BF136" i="130"/>
  <c r="BV136" i="130" s="1"/>
  <c r="O147" i="130"/>
  <c r="N147" i="130" s="1"/>
  <c r="BU147" i="130"/>
  <c r="M165" i="130"/>
  <c r="BU104" i="130"/>
  <c r="BF123" i="130"/>
  <c r="BV123" i="130" s="1"/>
  <c r="BF137" i="130"/>
  <c r="BV137" i="130" s="1"/>
  <c r="O160" i="130"/>
  <c r="N160" i="130" s="1"/>
  <c r="M160" i="130"/>
  <c r="BU70" i="130"/>
  <c r="M103" i="130"/>
  <c r="BU160" i="130"/>
  <c r="BF164" i="130"/>
  <c r="BV164" i="130" s="1"/>
  <c r="M148" i="130"/>
  <c r="BU148" i="130"/>
  <c r="BF142" i="130"/>
  <c r="BV142" i="130" s="1"/>
  <c r="BF144" i="130"/>
  <c r="BV144" i="130" s="1"/>
  <c r="BF157" i="130"/>
  <c r="BV157" i="130" s="1"/>
  <c r="O169" i="130"/>
  <c r="N169" i="130" s="1"/>
  <c r="BF139" i="130"/>
  <c r="BV139" i="130" s="1"/>
  <c r="BF141" i="130"/>
  <c r="BV141" i="130" s="1"/>
  <c r="BF158" i="130"/>
  <c r="BV158" i="130" s="1"/>
  <c r="BF145" i="130"/>
  <c r="BV145" i="130" s="1"/>
  <c r="BF155" i="130"/>
  <c r="BV155" i="130" s="1"/>
  <c r="BF126" i="130"/>
  <c r="BV126" i="130" s="1"/>
  <c r="BF140" i="130"/>
  <c r="BV140" i="130" s="1"/>
  <c r="M157" i="130"/>
  <c r="O21" i="131"/>
  <c r="BU21" i="131"/>
  <c r="M21" i="131"/>
  <c r="M33" i="131"/>
  <c r="BU33" i="131"/>
  <c r="BU19" i="131"/>
  <c r="O19" i="131"/>
  <c r="M19" i="131"/>
  <c r="M16" i="131"/>
  <c r="BU16" i="131"/>
  <c r="O16" i="131"/>
  <c r="O17" i="131"/>
  <c r="BU17" i="131"/>
  <c r="M17" i="131"/>
  <c r="M25" i="131"/>
  <c r="BU25" i="131"/>
  <c r="O25" i="131"/>
  <c r="BU99" i="131"/>
  <c r="O99" i="131"/>
  <c r="M99" i="131"/>
  <c r="BU14" i="131"/>
  <c r="O14" i="131"/>
  <c r="BU91" i="131"/>
  <c r="O91" i="131"/>
  <c r="M91" i="131"/>
  <c r="BK119" i="131"/>
  <c r="BK334" i="131" s="1"/>
  <c r="BU32" i="131"/>
  <c r="M32" i="131"/>
  <c r="M26" i="131"/>
  <c r="BV31" i="131"/>
  <c r="O32" i="131"/>
  <c r="BV83" i="131"/>
  <c r="O87" i="131"/>
  <c r="BU87" i="131"/>
  <c r="M87" i="131"/>
  <c r="BU92" i="131"/>
  <c r="BU132" i="131"/>
  <c r="O132" i="131"/>
  <c r="M132" i="131"/>
  <c r="BU139" i="131"/>
  <c r="O139" i="131"/>
  <c r="M15" i="131"/>
  <c r="O23" i="131"/>
  <c r="O24" i="131"/>
  <c r="BV28" i="131"/>
  <c r="BV32" i="131"/>
  <c r="O93" i="131"/>
  <c r="BU93" i="131"/>
  <c r="M93" i="131"/>
  <c r="O96" i="131"/>
  <c r="M96" i="131"/>
  <c r="BU96" i="131"/>
  <c r="M102" i="131"/>
  <c r="BU102" i="131"/>
  <c r="O102" i="131"/>
  <c r="BU107" i="131"/>
  <c r="O107" i="131"/>
  <c r="M107" i="131"/>
  <c r="BV91" i="131"/>
  <c r="M92" i="131"/>
  <c r="M94" i="131"/>
  <c r="O94" i="131"/>
  <c r="BU94" i="131"/>
  <c r="BV100" i="131"/>
  <c r="BU27" i="131"/>
  <c r="O27" i="131"/>
  <c r="BV24" i="131"/>
  <c r="BU84" i="131"/>
  <c r="O84" i="131"/>
  <c r="BV95" i="131"/>
  <c r="O121" i="131"/>
  <c r="M121" i="131"/>
  <c r="BU121" i="131"/>
  <c r="BV33" i="131"/>
  <c r="O104" i="131"/>
  <c r="M104" i="131"/>
  <c r="BU104" i="131"/>
  <c r="BU131" i="131"/>
  <c r="O131" i="131"/>
  <c r="M131" i="131"/>
  <c r="BK548" i="131"/>
  <c r="BK441" i="131"/>
  <c r="BU22" i="131"/>
  <c r="BU26" i="131"/>
  <c r="BV29" i="131"/>
  <c r="BU88" i="131"/>
  <c r="M18" i="131"/>
  <c r="BU18" i="131"/>
  <c r="M20" i="131"/>
  <c r="BU24" i="131"/>
  <c r="O31" i="131"/>
  <c r="M31" i="131"/>
  <c r="BU31" i="131"/>
  <c r="BV84" i="131"/>
  <c r="M88" i="131"/>
  <c r="O106" i="131"/>
  <c r="M106" i="131"/>
  <c r="BU106" i="131"/>
  <c r="O122" i="131"/>
  <c r="M122" i="131"/>
  <c r="BU122" i="131"/>
  <c r="BU29" i="131"/>
  <c r="BU86" i="131"/>
  <c r="BV88" i="131"/>
  <c r="BU89" i="131"/>
  <c r="M89" i="131"/>
  <c r="BU97" i="131"/>
  <c r="M97" i="131"/>
  <c r="O108" i="131"/>
  <c r="BU108" i="131"/>
  <c r="M108" i="131"/>
  <c r="O124" i="131"/>
  <c r="M124" i="131"/>
  <c r="BU124" i="131"/>
  <c r="O169" i="131"/>
  <c r="BU169" i="131"/>
  <c r="O185" i="131"/>
  <c r="BU185" i="131"/>
  <c r="BV171" i="131"/>
  <c r="BV188" i="131"/>
  <c r="O193" i="131"/>
  <c r="BU193" i="131"/>
  <c r="O109" i="131"/>
  <c r="BU110" i="131"/>
  <c r="O127" i="131"/>
  <c r="BU133" i="131"/>
  <c r="BV166" i="131"/>
  <c r="O178" i="131"/>
  <c r="BU178" i="131"/>
  <c r="BV190" i="131"/>
  <c r="BU125" i="131"/>
  <c r="M130" i="131"/>
  <c r="BV132" i="131"/>
  <c r="BU134" i="131"/>
  <c r="O134" i="131"/>
  <c r="M134" i="131"/>
  <c r="M135" i="131"/>
  <c r="BU135" i="131"/>
  <c r="BV135" i="131"/>
  <c r="BV185" i="131"/>
  <c r="BV127" i="131"/>
  <c r="M128" i="131"/>
  <c r="BU128" i="131"/>
  <c r="BU129" i="131"/>
  <c r="O129" i="131"/>
  <c r="O136" i="131"/>
  <c r="M136" i="131"/>
  <c r="BU136" i="131"/>
  <c r="BU172" i="131"/>
  <c r="O172" i="131"/>
  <c r="BV102" i="131"/>
  <c r="O126" i="131"/>
  <c r="M126" i="131"/>
  <c r="BU126" i="131"/>
  <c r="M129" i="131"/>
  <c r="M133" i="131"/>
  <c r="BU219" i="131"/>
  <c r="BV93" i="131"/>
  <c r="BV99" i="131"/>
  <c r="M101" i="131"/>
  <c r="O128" i="131"/>
  <c r="BV172" i="131"/>
  <c r="BU98" i="131"/>
  <c r="BU123" i="131"/>
  <c r="O123" i="131"/>
  <c r="BV133" i="131"/>
  <c r="BV177" i="131"/>
  <c r="BV179" i="131"/>
  <c r="BV181" i="131"/>
  <c r="M231" i="131"/>
  <c r="O231" i="131"/>
  <c r="BU231" i="131"/>
  <c r="O237" i="131"/>
  <c r="BU237" i="131"/>
  <c r="M237" i="131"/>
  <c r="BV165" i="131"/>
  <c r="BU166" i="131"/>
  <c r="BU180" i="131"/>
  <c r="O180" i="131"/>
  <c r="O181" i="131"/>
  <c r="BU183" i="131"/>
  <c r="O183" i="131"/>
  <c r="BU220" i="131"/>
  <c r="O220" i="131"/>
  <c r="BU228" i="131"/>
  <c r="O228" i="131"/>
  <c r="M228" i="131"/>
  <c r="M241" i="131"/>
  <c r="BU241" i="131"/>
  <c r="O241" i="131"/>
  <c r="BU250" i="131"/>
  <c r="M250" i="131"/>
  <c r="O250" i="131"/>
  <c r="BV169" i="131"/>
  <c r="BV180" i="131"/>
  <c r="BV192" i="131"/>
  <c r="O270" i="131"/>
  <c r="M270" i="131"/>
  <c r="BU270" i="131"/>
  <c r="O166" i="131"/>
  <c r="O179" i="131"/>
  <c r="M112" i="131"/>
  <c r="O138" i="131"/>
  <c r="BU138" i="131"/>
  <c r="BU167" i="131"/>
  <c r="O167" i="131"/>
  <c r="BV182" i="131"/>
  <c r="O186" i="131"/>
  <c r="BU186" i="131"/>
  <c r="BV187" i="131"/>
  <c r="BU188" i="131"/>
  <c r="O188" i="131"/>
  <c r="O189" i="131"/>
  <c r="BU191" i="131"/>
  <c r="O191" i="131"/>
  <c r="O253" i="131"/>
  <c r="M253" i="131"/>
  <c r="BU253" i="131"/>
  <c r="BU242" i="131"/>
  <c r="M242" i="131"/>
  <c r="O242" i="131"/>
  <c r="BU174" i="131"/>
  <c r="BU175" i="131"/>
  <c r="O175" i="131"/>
  <c r="O177" i="131"/>
  <c r="BU177" i="131"/>
  <c r="O187" i="131"/>
  <c r="O260" i="131"/>
  <c r="M260" i="131"/>
  <c r="BU260" i="131"/>
  <c r="BV268" i="131"/>
  <c r="M255" i="131"/>
  <c r="O255" i="131"/>
  <c r="BU255" i="131"/>
  <c r="BV271" i="131"/>
  <c r="BU229" i="131"/>
  <c r="BV235" i="131"/>
  <c r="M239" i="131"/>
  <c r="O239" i="131"/>
  <c r="BV242" i="131"/>
  <c r="O245" i="131"/>
  <c r="M245" i="131"/>
  <c r="BU245" i="131"/>
  <c r="BV250" i="131"/>
  <c r="BU254" i="131"/>
  <c r="BU258" i="131"/>
  <c r="O258" i="131"/>
  <c r="M258" i="131"/>
  <c r="O261" i="131"/>
  <c r="M261" i="131"/>
  <c r="BU261" i="131"/>
  <c r="BV262" i="131"/>
  <c r="O354" i="131"/>
  <c r="M354" i="131"/>
  <c r="BU354" i="131"/>
  <c r="M229" i="131"/>
  <c r="M238" i="131"/>
  <c r="BU239" i="131"/>
  <c r="BV249" i="131"/>
  <c r="M252" i="131"/>
  <c r="M264" i="131"/>
  <c r="BU264" i="131"/>
  <c r="O264" i="131"/>
  <c r="O268" i="131"/>
  <c r="M268" i="131"/>
  <c r="BU268" i="131"/>
  <c r="M275" i="131"/>
  <c r="BU275" i="131"/>
  <c r="O275" i="131"/>
  <c r="BV351" i="131"/>
  <c r="BV234" i="131"/>
  <c r="BU240" i="131"/>
  <c r="O240" i="131"/>
  <c r="M256" i="131"/>
  <c r="BU256" i="131"/>
  <c r="O256" i="131"/>
  <c r="BV275" i="131"/>
  <c r="O338" i="131"/>
  <c r="BU338" i="131"/>
  <c r="M338" i="131"/>
  <c r="O341" i="131"/>
  <c r="BU341" i="131"/>
  <c r="M341" i="131"/>
  <c r="O362" i="131"/>
  <c r="M362" i="131"/>
  <c r="BU362" i="131"/>
  <c r="BV265" i="131"/>
  <c r="O274" i="131"/>
  <c r="BU274" i="131"/>
  <c r="M274" i="131"/>
  <c r="O262" i="131"/>
  <c r="M262" i="131"/>
  <c r="BV263" i="131"/>
  <c r="BU344" i="131"/>
  <c r="O344" i="131"/>
  <c r="M344" i="131"/>
  <c r="O365" i="131"/>
  <c r="M365" i="131"/>
  <c r="BU365" i="131"/>
  <c r="BL548" i="131"/>
  <c r="BL441" i="131"/>
  <c r="BU232" i="131"/>
  <c r="BU234" i="131"/>
  <c r="M234" i="131"/>
  <c r="BV238" i="131"/>
  <c r="M248" i="131"/>
  <c r="BU248" i="131"/>
  <c r="O248" i="131"/>
  <c r="BU266" i="131"/>
  <c r="O266" i="131"/>
  <c r="M266" i="131"/>
  <c r="O269" i="131"/>
  <c r="M269" i="131"/>
  <c r="BU269" i="131"/>
  <c r="BV270" i="131"/>
  <c r="M276" i="131"/>
  <c r="BU276" i="131"/>
  <c r="O276" i="131"/>
  <c r="M339" i="131"/>
  <c r="BU339" i="131"/>
  <c r="O339" i="131"/>
  <c r="BV346" i="131"/>
  <c r="O361" i="131"/>
  <c r="BU361" i="131"/>
  <c r="M361" i="131"/>
  <c r="M232" i="131"/>
  <c r="M247" i="131"/>
  <c r="O247" i="131"/>
  <c r="M272" i="131"/>
  <c r="BU272" i="131"/>
  <c r="O272" i="131"/>
  <c r="BV258" i="131"/>
  <c r="O263" i="131"/>
  <c r="BV266" i="131"/>
  <c r="O271" i="131"/>
  <c r="BU340" i="131"/>
  <c r="M342" i="131"/>
  <c r="O346" i="131"/>
  <c r="M346" i="131"/>
  <c r="BU346" i="131"/>
  <c r="BU352" i="131"/>
  <c r="O352" i="131"/>
  <c r="BU366" i="131"/>
  <c r="O366" i="131"/>
  <c r="M366" i="131"/>
  <c r="BU343" i="131"/>
  <c r="M343" i="131"/>
  <c r="BU347" i="131"/>
  <c r="M352" i="131"/>
  <c r="M357" i="131"/>
  <c r="BU357" i="131"/>
  <c r="O357" i="131"/>
  <c r="BV261" i="131"/>
  <c r="BV269" i="131"/>
  <c r="O355" i="131"/>
  <c r="M355" i="131"/>
  <c r="BU359" i="131"/>
  <c r="M359" i="131"/>
  <c r="BV359" i="131"/>
  <c r="O363" i="131"/>
  <c r="M363" i="131"/>
  <c r="BU363" i="131"/>
  <c r="BU375" i="131"/>
  <c r="O375" i="131"/>
  <c r="M375" i="131"/>
  <c r="BU351" i="131"/>
  <c r="M351" i="131"/>
  <c r="BV357" i="131"/>
  <c r="O370" i="131"/>
  <c r="BU370" i="131"/>
  <c r="M370" i="131"/>
  <c r="O345" i="131"/>
  <c r="M347" i="131"/>
  <c r="O348" i="131"/>
  <c r="BU348" i="131"/>
  <c r="BU355" i="131"/>
  <c r="BU360" i="131"/>
  <c r="O360" i="131"/>
  <c r="M349" i="131"/>
  <c r="BU349" i="131"/>
  <c r="O349" i="131"/>
  <c r="O351" i="131"/>
  <c r="M360" i="131"/>
  <c r="BU371" i="131"/>
  <c r="O371" i="131"/>
  <c r="M371" i="131"/>
  <c r="O369" i="131"/>
  <c r="BU369" i="131"/>
  <c r="BU454" i="131"/>
  <c r="O454" i="131"/>
  <c r="M454" i="131"/>
  <c r="O558" i="131"/>
  <c r="M558" i="131"/>
  <c r="BU558" i="131"/>
  <c r="BU364" i="131"/>
  <c r="M367" i="131"/>
  <c r="O372" i="131"/>
  <c r="BU372" i="131"/>
  <c r="BV375" i="131"/>
  <c r="BU445" i="131"/>
  <c r="O445" i="131"/>
  <c r="BU451" i="131"/>
  <c r="M451" i="131"/>
  <c r="BU453" i="131"/>
  <c r="M453" i="131"/>
  <c r="O465" i="131"/>
  <c r="M465" i="131"/>
  <c r="BU465" i="131"/>
  <c r="BU374" i="131"/>
  <c r="BV444" i="131"/>
  <c r="BU447" i="131"/>
  <c r="O447" i="131"/>
  <c r="M447" i="131"/>
  <c r="O456" i="131"/>
  <c r="M456" i="131"/>
  <c r="M490" i="131"/>
  <c r="BU490" i="131"/>
  <c r="O490" i="131"/>
  <c r="M374" i="131"/>
  <c r="BU380" i="131"/>
  <c r="M380" i="131"/>
  <c r="BU382" i="131"/>
  <c r="M458" i="131"/>
  <c r="BU458" i="131"/>
  <c r="O458" i="131"/>
  <c r="BU461" i="131"/>
  <c r="O461" i="131"/>
  <c r="M461" i="131"/>
  <c r="BU555" i="131"/>
  <c r="O555" i="131"/>
  <c r="M555" i="131"/>
  <c r="M373" i="131"/>
  <c r="BU377" i="131"/>
  <c r="M379" i="131"/>
  <c r="M382" i="131"/>
  <c r="BU446" i="131"/>
  <c r="M446" i="131"/>
  <c r="BV458" i="131"/>
  <c r="O464" i="131"/>
  <c r="BU464" i="131"/>
  <c r="M464" i="131"/>
  <c r="O379" i="131"/>
  <c r="O380" i="131"/>
  <c r="BU381" i="131"/>
  <c r="O381" i="131"/>
  <c r="O383" i="131"/>
  <c r="BU383" i="131"/>
  <c r="M450" i="131"/>
  <c r="BU450" i="131"/>
  <c r="O450" i="131"/>
  <c r="BU485" i="131"/>
  <c r="O485" i="131"/>
  <c r="M485" i="131"/>
  <c r="M559" i="131"/>
  <c r="BU559" i="131"/>
  <c r="O559" i="131"/>
  <c r="O373" i="131"/>
  <c r="M377" i="131"/>
  <c r="M381" i="131"/>
  <c r="BV435" i="131"/>
  <c r="O449" i="131"/>
  <c r="M449" i="131"/>
  <c r="BU449" i="131"/>
  <c r="BV367" i="131"/>
  <c r="O376" i="131"/>
  <c r="M376" i="131"/>
  <c r="M378" i="131"/>
  <c r="BU378" i="131"/>
  <c r="O378" i="131"/>
  <c r="O444" i="131"/>
  <c r="BV447" i="131"/>
  <c r="BU457" i="131"/>
  <c r="M459" i="131"/>
  <c r="M460" i="131"/>
  <c r="M462" i="131"/>
  <c r="BU467" i="131"/>
  <c r="BU477" i="131"/>
  <c r="O477" i="131"/>
  <c r="M477" i="131"/>
  <c r="BU486" i="131"/>
  <c r="O486" i="131"/>
  <c r="O488" i="131"/>
  <c r="M488" i="131"/>
  <c r="BU488" i="131"/>
  <c r="M580" i="131"/>
  <c r="O580" i="131"/>
  <c r="BU580" i="131"/>
  <c r="O473" i="131"/>
  <c r="M473" i="131"/>
  <c r="M474" i="131"/>
  <c r="BU474" i="131"/>
  <c r="O479" i="131"/>
  <c r="M479" i="131"/>
  <c r="M565" i="131"/>
  <c r="O565" i="131"/>
  <c r="BU565" i="131"/>
  <c r="BV571" i="131"/>
  <c r="BU444" i="131"/>
  <c r="BV453" i="131"/>
  <c r="O467" i="131"/>
  <c r="BU469" i="131"/>
  <c r="O469" i="131"/>
  <c r="O470" i="131"/>
  <c r="O472" i="131"/>
  <c r="BU472" i="131"/>
  <c r="BV484" i="131"/>
  <c r="O487" i="131"/>
  <c r="M487" i="131"/>
  <c r="O557" i="131"/>
  <c r="BU557" i="131"/>
  <c r="O455" i="131"/>
  <c r="M469" i="131"/>
  <c r="M472" i="131"/>
  <c r="M475" i="131"/>
  <c r="BU475" i="131"/>
  <c r="O475" i="131"/>
  <c r="BV490" i="131"/>
  <c r="M557" i="131"/>
  <c r="BU562" i="131"/>
  <c r="O562" i="131"/>
  <c r="M562" i="131"/>
  <c r="O564" i="131"/>
  <c r="M564" i="131"/>
  <c r="BV566" i="131"/>
  <c r="BV467" i="131"/>
  <c r="BU479" i="131"/>
  <c r="BU556" i="131"/>
  <c r="O556" i="131"/>
  <c r="M556" i="131"/>
  <c r="BU478" i="131"/>
  <c r="O478" i="131"/>
  <c r="O480" i="131"/>
  <c r="M480" i="131"/>
  <c r="BU480" i="131"/>
  <c r="BU551" i="131"/>
  <c r="O551" i="131"/>
  <c r="M551" i="131"/>
  <c r="BV555" i="131"/>
  <c r="BV563" i="131"/>
  <c r="BV468" i="131"/>
  <c r="O471" i="131"/>
  <c r="M471" i="131"/>
  <c r="BV477" i="131"/>
  <c r="M478" i="131"/>
  <c r="BV479" i="131"/>
  <c r="M482" i="131"/>
  <c r="BU482" i="131"/>
  <c r="M483" i="131"/>
  <c r="BU483" i="131"/>
  <c r="O483" i="131"/>
  <c r="BU487" i="131"/>
  <c r="BV562" i="131"/>
  <c r="BV574" i="131"/>
  <c r="BV554" i="131"/>
  <c r="BU567" i="131"/>
  <c r="O567" i="131"/>
  <c r="M567" i="131"/>
  <c r="BV560" i="131"/>
  <c r="BU568" i="131"/>
  <c r="M568" i="131"/>
  <c r="M572" i="131"/>
  <c r="BU572" i="131"/>
  <c r="O572" i="131"/>
  <c r="M481" i="131"/>
  <c r="M489" i="131"/>
  <c r="M554" i="131"/>
  <c r="BV567" i="131"/>
  <c r="O568" i="131"/>
  <c r="BV557" i="131"/>
  <c r="O563" i="131"/>
  <c r="BU563" i="131"/>
  <c r="M566" i="131"/>
  <c r="O566" i="131"/>
  <c r="O554" i="131"/>
  <c r="M563" i="131"/>
  <c r="BU571" i="131"/>
  <c r="O571" i="131"/>
  <c r="M571" i="131"/>
  <c r="M576" i="131"/>
  <c r="O576" i="131"/>
  <c r="BU576" i="131"/>
  <c r="BV570" i="131"/>
  <c r="BV579" i="131"/>
  <c r="BU583" i="131"/>
  <c r="M583" i="131"/>
  <c r="O587" i="131"/>
  <c r="BU587" i="131"/>
  <c r="M589" i="131"/>
  <c r="BU589" i="131"/>
  <c r="O589" i="131"/>
  <c r="BV569" i="131"/>
  <c r="BV582" i="131"/>
  <c r="M587" i="131"/>
  <c r="BV589" i="131"/>
  <c r="BU591" i="131"/>
  <c r="M591" i="131"/>
  <c r="O592" i="131"/>
  <c r="O578" i="131"/>
  <c r="BU578" i="131"/>
  <c r="BU584" i="131"/>
  <c r="O584" i="131"/>
  <c r="M584" i="131"/>
  <c r="M578" i="131"/>
  <c r="M581" i="131"/>
  <c r="O581" i="131"/>
  <c r="BV583" i="131"/>
  <c r="O586" i="131"/>
  <c r="M586" i="131"/>
  <c r="BU586" i="131"/>
  <c r="BV581" i="131"/>
  <c r="BU581" i="131"/>
  <c r="BV585" i="131"/>
  <c r="M588" i="131"/>
  <c r="O588" i="131"/>
  <c r="BU592" i="131"/>
  <c r="BV575" i="131"/>
  <c r="BV590" i="131"/>
  <c r="BV592" i="131"/>
  <c r="BU593" i="131"/>
  <c r="M593" i="131"/>
  <c r="O593" i="131"/>
  <c r="BV573" i="131"/>
  <c r="BV578" i="131"/>
  <c r="O579" i="131"/>
  <c r="BU579" i="131"/>
  <c r="M595" i="131"/>
  <c r="BU595" i="131"/>
  <c r="O595" i="131"/>
  <c r="M582" i="131"/>
  <c r="M590" i="131"/>
  <c r="M596" i="131"/>
  <c r="O596" i="131"/>
  <c r="O612" i="131"/>
  <c r="BU612" i="131"/>
  <c r="M612" i="131"/>
  <c r="BV616" i="131"/>
  <c r="O600" i="131"/>
  <c r="M600" i="131"/>
  <c r="O608" i="131"/>
  <c r="M608" i="131"/>
  <c r="BU613" i="131"/>
  <c r="M613" i="131"/>
  <c r="O618" i="131"/>
  <c r="BU618" i="131"/>
  <c r="M599" i="131"/>
  <c r="BU600" i="131"/>
  <c r="BV605" i="131"/>
  <c r="M607" i="131"/>
  <c r="BU608" i="131"/>
  <c r="BV612" i="131"/>
  <c r="O613" i="131"/>
  <c r="M618" i="131"/>
  <c r="BU594" i="131"/>
  <c r="BV596" i="131"/>
  <c r="O599" i="131"/>
  <c r="O602" i="131"/>
  <c r="M602" i="131"/>
  <c r="O607" i="131"/>
  <c r="O610" i="131"/>
  <c r="M610" i="131"/>
  <c r="BU610" i="131"/>
  <c r="BV619" i="131"/>
  <c r="BV593" i="131"/>
  <c r="M594" i="131"/>
  <c r="BU596" i="131"/>
  <c r="BV599" i="131"/>
  <c r="BV607" i="131"/>
  <c r="M609" i="131"/>
  <c r="O626" i="131"/>
  <c r="M626" i="131"/>
  <c r="BU626" i="131"/>
  <c r="M604" i="131"/>
  <c r="O604" i="131"/>
  <c r="O620" i="131"/>
  <c r="M620" i="131"/>
  <c r="BU620" i="131"/>
  <c r="M597" i="131"/>
  <c r="BV601" i="131"/>
  <c r="M603" i="131"/>
  <c r="BU604" i="131"/>
  <c r="BV609" i="131"/>
  <c r="BU611" i="131"/>
  <c r="O611" i="131"/>
  <c r="M611" i="131"/>
  <c r="BV620" i="131"/>
  <c r="O631" i="131"/>
  <c r="BU631" i="131"/>
  <c r="M631" i="131"/>
  <c r="O597" i="131"/>
  <c r="O598" i="131"/>
  <c r="M598" i="131"/>
  <c r="O603" i="131"/>
  <c r="BV604" i="131"/>
  <c r="O606" i="131"/>
  <c r="M606" i="131"/>
  <c r="M633" i="131"/>
  <c r="BU633" i="131"/>
  <c r="O633" i="131"/>
  <c r="BU623" i="131"/>
  <c r="M623" i="131"/>
  <c r="BU637" i="131"/>
  <c r="O637" i="131"/>
  <c r="M637" i="131"/>
  <c r="BU645" i="131"/>
  <c r="O645" i="131"/>
  <c r="M645" i="131"/>
  <c r="M622" i="131"/>
  <c r="BU622" i="131"/>
  <c r="O622" i="131"/>
  <c r="O632" i="131"/>
  <c r="M632" i="131"/>
  <c r="BV635" i="131"/>
  <c r="BU624" i="131"/>
  <c r="BU628" i="131"/>
  <c r="O628" i="131"/>
  <c r="M628" i="131"/>
  <c r="O621" i="131"/>
  <c r="BU621" i="131"/>
  <c r="M630" i="131"/>
  <c r="BU630" i="131"/>
  <c r="O630" i="131"/>
  <c r="BV618" i="131"/>
  <c r="M621" i="131"/>
  <c r="O624" i="131"/>
  <c r="BV630" i="131"/>
  <c r="BV632" i="131"/>
  <c r="BU632" i="131"/>
  <c r="BV615" i="131"/>
  <c r="BV621" i="131"/>
  <c r="BV629" i="131"/>
  <c r="BU636" i="131"/>
  <c r="O636" i="131"/>
  <c r="M636" i="131"/>
  <c r="BV631" i="131"/>
  <c r="M635" i="131"/>
  <c r="BU640" i="131"/>
  <c r="BV623" i="131"/>
  <c r="BU641" i="131"/>
  <c r="O641" i="131"/>
  <c r="M641" i="131"/>
  <c r="BU642" i="131"/>
  <c r="O642" i="131"/>
  <c r="M642" i="131"/>
  <c r="M625" i="131"/>
  <c r="BV636" i="131"/>
  <c r="BV637" i="131"/>
  <c r="O638" i="131"/>
  <c r="BU638" i="131"/>
  <c r="M638" i="131"/>
  <c r="BU639" i="131"/>
  <c r="M639" i="131"/>
  <c r="M644" i="131"/>
  <c r="BU644" i="131"/>
  <c r="O644" i="131"/>
  <c r="BV645" i="131"/>
  <c r="BV647" i="131"/>
  <c r="BU648" i="131"/>
  <c r="O648" i="131"/>
  <c r="M648" i="131"/>
  <c r="BU646" i="131"/>
  <c r="O646" i="131"/>
  <c r="M646" i="131"/>
  <c r="O647" i="131"/>
  <c r="M647" i="131"/>
  <c r="BU647" i="131"/>
  <c r="BV643" i="131"/>
  <c r="BV641" i="131"/>
  <c r="M649" i="131"/>
  <c r="O649" i="131"/>
  <c r="O66" i="130"/>
  <c r="M66" i="130"/>
  <c r="BU66" i="130"/>
  <c r="BU73" i="130"/>
  <c r="O73" i="130"/>
  <c r="M73" i="130"/>
  <c r="M64" i="130"/>
  <c r="BU64" i="130"/>
  <c r="O64" i="130"/>
  <c r="O69" i="130"/>
  <c r="BU69" i="130"/>
  <c r="M69" i="130"/>
  <c r="BU67" i="130"/>
  <c r="O67" i="130"/>
  <c r="M67" i="130"/>
  <c r="M76" i="130"/>
  <c r="O76" i="130"/>
  <c r="BU76" i="130"/>
  <c r="M65" i="130"/>
  <c r="BU65" i="130"/>
  <c r="O65" i="130"/>
  <c r="O63" i="130"/>
  <c r="BU63" i="130"/>
  <c r="M63" i="130"/>
  <c r="M72" i="130"/>
  <c r="BU72" i="130"/>
  <c r="O72" i="130"/>
  <c r="M68" i="130"/>
  <c r="O77" i="130"/>
  <c r="M81" i="130"/>
  <c r="BU99" i="130"/>
  <c r="M99" i="130"/>
  <c r="M107" i="130"/>
  <c r="BU107" i="130"/>
  <c r="O107" i="130"/>
  <c r="P107" i="130" s="1"/>
  <c r="O135" i="130"/>
  <c r="N135" i="130" s="1"/>
  <c r="M135" i="130"/>
  <c r="BU135" i="130"/>
  <c r="M91" i="130"/>
  <c r="BU91" i="130"/>
  <c r="BK119" i="130"/>
  <c r="BU89" i="130"/>
  <c r="O89" i="130"/>
  <c r="BU96" i="130"/>
  <c r="O96" i="130"/>
  <c r="M96" i="130"/>
  <c r="M89" i="130"/>
  <c r="BU95" i="130"/>
  <c r="O95" i="130"/>
  <c r="M95" i="130"/>
  <c r="O74" i="130"/>
  <c r="M75" i="130"/>
  <c r="BU80" i="130"/>
  <c r="BU87" i="130"/>
  <c r="M87" i="130"/>
  <c r="O100" i="130"/>
  <c r="BU100" i="130"/>
  <c r="M100" i="130"/>
  <c r="M74" i="130"/>
  <c r="O80" i="130"/>
  <c r="O84" i="130"/>
  <c r="BU84" i="130"/>
  <c r="BU68" i="130"/>
  <c r="BU79" i="130"/>
  <c r="M79" i="130"/>
  <c r="O88" i="130"/>
  <c r="M88" i="130"/>
  <c r="O91" i="130"/>
  <c r="BL119" i="130"/>
  <c r="O75" i="130"/>
  <c r="M83" i="130"/>
  <c r="BU83" i="130"/>
  <c r="BU88" i="130"/>
  <c r="O82" i="130"/>
  <c r="O90" i="130"/>
  <c r="BF128" i="130"/>
  <c r="BV128" i="130" s="1"/>
  <c r="BU128" i="130"/>
  <c r="BU140" i="130"/>
  <c r="M140" i="130"/>
  <c r="BU98" i="130"/>
  <c r="BU123" i="130"/>
  <c r="M123" i="130"/>
  <c r="BU124" i="130"/>
  <c r="M124" i="130"/>
  <c r="O126" i="130"/>
  <c r="N126" i="130" s="1"/>
  <c r="BU126" i="130"/>
  <c r="BF130" i="130"/>
  <c r="BV130" i="130" s="1"/>
  <c r="BF132" i="130"/>
  <c r="BV132" i="130" s="1"/>
  <c r="M138" i="130"/>
  <c r="BU138" i="130"/>
  <c r="O138" i="130"/>
  <c r="N138" i="130" s="1"/>
  <c r="O140" i="130"/>
  <c r="N140" i="130" s="1"/>
  <c r="BF150" i="130"/>
  <c r="BV150" i="130" s="1"/>
  <c r="O136" i="130"/>
  <c r="N136" i="130" s="1"/>
  <c r="M136" i="130"/>
  <c r="M145" i="130"/>
  <c r="O145" i="130"/>
  <c r="N145" i="130" s="1"/>
  <c r="BU151" i="130"/>
  <c r="M151" i="130"/>
  <c r="O151" i="130"/>
  <c r="N151" i="130" s="1"/>
  <c r="BU112" i="130"/>
  <c r="M121" i="130"/>
  <c r="O121" i="130"/>
  <c r="N121" i="130" s="1"/>
  <c r="BU121" i="130"/>
  <c r="O134" i="130"/>
  <c r="N134" i="130" s="1"/>
  <c r="BU134" i="130"/>
  <c r="M137" i="130"/>
  <c r="O137" i="130"/>
  <c r="N137" i="130" s="1"/>
  <c r="BF138" i="130"/>
  <c r="BV138" i="130" s="1"/>
  <c r="O144" i="130"/>
  <c r="N144" i="130" s="1"/>
  <c r="M144" i="130"/>
  <c r="BU144" i="130"/>
  <c r="BF147" i="130"/>
  <c r="BV147" i="130" s="1"/>
  <c r="BF151" i="130"/>
  <c r="BV151" i="130" s="1"/>
  <c r="O101" i="130"/>
  <c r="P101" i="130" s="1"/>
  <c r="BU102" i="130"/>
  <c r="M106" i="130"/>
  <c r="O106" i="130"/>
  <c r="P106" i="130" s="1"/>
  <c r="BU109" i="130"/>
  <c r="O109" i="130"/>
  <c r="P109" i="130" s="1"/>
  <c r="O112" i="130"/>
  <c r="P112" i="130" s="1"/>
  <c r="BU122" i="130"/>
  <c r="O122" i="130"/>
  <c r="N122" i="130" s="1"/>
  <c r="BU131" i="130"/>
  <c r="M131" i="130"/>
  <c r="BU132" i="130"/>
  <c r="M132" i="130"/>
  <c r="M134" i="130"/>
  <c r="BF146" i="130"/>
  <c r="BV146" i="130" s="1"/>
  <c r="M109" i="130"/>
  <c r="M113" i="130"/>
  <c r="BF121" i="130"/>
  <c r="BV121" i="130" s="1"/>
  <c r="M122" i="130"/>
  <c r="O127" i="130"/>
  <c r="N127" i="130" s="1"/>
  <c r="M127" i="130"/>
  <c r="BU127" i="130"/>
  <c r="BU153" i="130"/>
  <c r="O153" i="130"/>
  <c r="N153" i="130" s="1"/>
  <c r="M153" i="130"/>
  <c r="BU111" i="130"/>
  <c r="M111" i="130"/>
  <c r="BU113" i="130"/>
  <c r="BU130" i="130"/>
  <c r="O130" i="130"/>
  <c r="N130" i="130" s="1"/>
  <c r="O132" i="130"/>
  <c r="N132" i="130" s="1"/>
  <c r="BF133" i="130"/>
  <c r="BV133" i="130" s="1"/>
  <c r="BU145" i="130"/>
  <c r="M156" i="130"/>
  <c r="O156" i="130"/>
  <c r="N156" i="130" s="1"/>
  <c r="BU156" i="130"/>
  <c r="BF122" i="130"/>
  <c r="BV122" i="130" s="1"/>
  <c r="O128" i="130"/>
  <c r="N128" i="130" s="1"/>
  <c r="BF129" i="130"/>
  <c r="BV129" i="130" s="1"/>
  <c r="M130" i="130"/>
  <c r="O143" i="130"/>
  <c r="N143" i="130" s="1"/>
  <c r="M143" i="130"/>
  <c r="BU143" i="130"/>
  <c r="M139" i="130"/>
  <c r="BU142" i="130"/>
  <c r="M147" i="130"/>
  <c r="O152" i="130"/>
  <c r="N152" i="130" s="1"/>
  <c r="BU152" i="130"/>
  <c r="BF154" i="130"/>
  <c r="BV154" i="130" s="1"/>
  <c r="M155" i="130"/>
  <c r="BF166" i="130"/>
  <c r="BV166" i="130" s="1"/>
  <c r="O161" i="130"/>
  <c r="N161" i="130" s="1"/>
  <c r="BF165" i="130"/>
  <c r="BV165" i="130" s="1"/>
  <c r="M168" i="130"/>
  <c r="O168" i="130"/>
  <c r="N168" i="130" s="1"/>
  <c r="O133" i="130"/>
  <c r="N133" i="130" s="1"/>
  <c r="O141" i="130"/>
  <c r="N141" i="130" s="1"/>
  <c r="O149" i="130"/>
  <c r="N149" i="130" s="1"/>
  <c r="O150" i="130"/>
  <c r="N150" i="130" s="1"/>
  <c r="BF152" i="130"/>
  <c r="BV152" i="130" s="1"/>
  <c r="BU154" i="130"/>
  <c r="BU161" i="130"/>
  <c r="BF167" i="130"/>
  <c r="BV167" i="130" s="1"/>
  <c r="BF168" i="130"/>
  <c r="BV168" i="130" s="1"/>
  <c r="BU158" i="130"/>
  <c r="O162" i="130"/>
  <c r="N162" i="130" s="1"/>
  <c r="BU162" i="130"/>
  <c r="BF149" i="130"/>
  <c r="BV149" i="130" s="1"/>
  <c r="M162" i="130"/>
  <c r="BU168" i="130"/>
  <c r="BF170" i="130"/>
  <c r="BV170" i="130" s="1"/>
  <c r="BU159" i="130"/>
  <c r="M159" i="130"/>
  <c r="BF160" i="130"/>
  <c r="BV160" i="130" s="1"/>
  <c r="BF162" i="130"/>
  <c r="BV162" i="130" s="1"/>
  <c r="M164" i="130"/>
  <c r="BU164" i="130"/>
  <c r="O164" i="130"/>
  <c r="N164" i="130" s="1"/>
  <c r="BU166" i="130"/>
  <c r="BU170" i="130"/>
  <c r="M166" i="130"/>
  <c r="O167" i="130"/>
  <c r="N167" i="130" s="1"/>
  <c r="M170" i="130"/>
  <c r="P632" i="131" l="1"/>
  <c r="AK632" i="131"/>
  <c r="W632" i="131"/>
  <c r="AC632" i="131" s="1"/>
  <c r="AD632" i="131"/>
  <c r="AR632" i="131"/>
  <c r="AR589" i="131"/>
  <c r="AX589" i="131" s="1"/>
  <c r="AD589" i="131"/>
  <c r="AK589" i="131"/>
  <c r="AQ589" i="131" s="1"/>
  <c r="P589" i="131"/>
  <c r="W589" i="131"/>
  <c r="W580" i="131"/>
  <c r="AC580" i="131" s="1"/>
  <c r="AR580" i="131"/>
  <c r="AD580" i="131"/>
  <c r="P580" i="131"/>
  <c r="V580" i="131" s="1"/>
  <c r="AK580" i="131"/>
  <c r="AD276" i="131"/>
  <c r="AJ276" i="131" s="1"/>
  <c r="AR276" i="131"/>
  <c r="P276" i="131"/>
  <c r="W276" i="131"/>
  <c r="AC276" i="131" s="1"/>
  <c r="AK276" i="131"/>
  <c r="W636" i="131"/>
  <c r="AR636" i="131"/>
  <c r="AX636" i="131" s="1"/>
  <c r="AD636" i="131"/>
  <c r="AK636" i="131"/>
  <c r="AQ636" i="131" s="1"/>
  <c r="P636" i="131"/>
  <c r="P624" i="131"/>
  <c r="AK624" i="131"/>
  <c r="AR624" i="131"/>
  <c r="W624" i="131"/>
  <c r="AD624" i="131"/>
  <c r="AJ624" i="131" s="1"/>
  <c r="W603" i="131"/>
  <c r="AR603" i="131"/>
  <c r="AX603" i="131" s="1"/>
  <c r="AD603" i="131"/>
  <c r="AK603" i="131"/>
  <c r="P603" i="131"/>
  <c r="V603" i="131" s="1"/>
  <c r="W595" i="131"/>
  <c r="AR595" i="131"/>
  <c r="P595" i="131"/>
  <c r="V595" i="131" s="1"/>
  <c r="AD595" i="131"/>
  <c r="AK595" i="131"/>
  <c r="AQ595" i="131" s="1"/>
  <c r="P576" i="131"/>
  <c r="AK576" i="131"/>
  <c r="AR576" i="131"/>
  <c r="W576" i="131"/>
  <c r="AD576" i="131"/>
  <c r="AD567" i="131"/>
  <c r="AJ567" i="131" s="1"/>
  <c r="P567" i="131"/>
  <c r="AK567" i="131"/>
  <c r="AQ567" i="131" s="1"/>
  <c r="W567" i="131"/>
  <c r="AR567" i="131"/>
  <c r="AR480" i="131"/>
  <c r="AX480" i="131" s="1"/>
  <c r="AK480" i="131"/>
  <c r="P480" i="131"/>
  <c r="AD480" i="131"/>
  <c r="AJ480" i="131" s="1"/>
  <c r="W480" i="131"/>
  <c r="AK475" i="131"/>
  <c r="AQ475" i="131" s="1"/>
  <c r="AD475" i="131"/>
  <c r="AR475" i="131"/>
  <c r="W475" i="131"/>
  <c r="AC475" i="131" s="1"/>
  <c r="P475" i="131"/>
  <c r="AK467" i="131"/>
  <c r="AD467" i="131"/>
  <c r="AJ467" i="131" s="1"/>
  <c r="W467" i="131"/>
  <c r="P467" i="131"/>
  <c r="V467" i="131" s="1"/>
  <c r="AR467" i="131"/>
  <c r="AR479" i="131"/>
  <c r="W479" i="131"/>
  <c r="AK479" i="131"/>
  <c r="P479" i="131"/>
  <c r="AD479" i="131"/>
  <c r="AJ479" i="131" s="1"/>
  <c r="AK485" i="131"/>
  <c r="W485" i="131"/>
  <c r="AC485" i="131" s="1"/>
  <c r="AR485" i="131"/>
  <c r="P485" i="131"/>
  <c r="AD485" i="131"/>
  <c r="AJ485" i="131" s="1"/>
  <c r="AR447" i="131"/>
  <c r="W447" i="131"/>
  <c r="AK447" i="131"/>
  <c r="AQ447" i="131" s="1"/>
  <c r="P447" i="131"/>
  <c r="AD447" i="131"/>
  <c r="AJ447" i="131" s="1"/>
  <c r="AD345" i="131"/>
  <c r="AR345" i="131"/>
  <c r="AK345" i="131"/>
  <c r="AQ345" i="131" s="1"/>
  <c r="W345" i="131"/>
  <c r="P345" i="131"/>
  <c r="AD375" i="131"/>
  <c r="AJ375" i="131" s="1"/>
  <c r="AR375" i="131"/>
  <c r="AK375" i="131"/>
  <c r="AQ375" i="131" s="1"/>
  <c r="W375" i="131"/>
  <c r="P375" i="131"/>
  <c r="W248" i="131"/>
  <c r="AC248" i="131" s="1"/>
  <c r="AK248" i="131"/>
  <c r="AR248" i="131"/>
  <c r="P248" i="131"/>
  <c r="V248" i="131" s="1"/>
  <c r="AD248" i="131"/>
  <c r="AR362" i="131"/>
  <c r="AX362" i="131" s="1"/>
  <c r="AK362" i="131"/>
  <c r="P362" i="131"/>
  <c r="W362" i="131"/>
  <c r="AC362" i="131" s="1"/>
  <c r="AD362" i="131"/>
  <c r="W256" i="131"/>
  <c r="AK256" i="131"/>
  <c r="AQ256" i="131" s="1"/>
  <c r="AD256" i="131"/>
  <c r="AR256" i="131"/>
  <c r="AX256" i="131" s="1"/>
  <c r="P256" i="131"/>
  <c r="AD260" i="131"/>
  <c r="AR260" i="131"/>
  <c r="AX260" i="131" s="1"/>
  <c r="P260" i="131"/>
  <c r="W260" i="131"/>
  <c r="AK260" i="131"/>
  <c r="AQ260" i="131" s="1"/>
  <c r="AR188" i="131"/>
  <c r="AD188" i="131"/>
  <c r="AJ188" i="131" s="1"/>
  <c r="P188" i="131"/>
  <c r="W188" i="131"/>
  <c r="AK188" i="131"/>
  <c r="AQ188" i="131" s="1"/>
  <c r="AR181" i="131"/>
  <c r="W181" i="131"/>
  <c r="P181" i="131"/>
  <c r="V181" i="131" s="1"/>
  <c r="AK181" i="131"/>
  <c r="AD181" i="131"/>
  <c r="AJ181" i="131" s="1"/>
  <c r="AD24" i="131"/>
  <c r="AK24" i="131"/>
  <c r="AR24" i="131"/>
  <c r="AX24" i="131" s="1"/>
  <c r="W24" i="131"/>
  <c r="P24" i="131"/>
  <c r="AK17" i="131"/>
  <c r="AQ17" i="131" s="1"/>
  <c r="AD17" i="131"/>
  <c r="W17" i="131"/>
  <c r="AC17" i="131" s="1"/>
  <c r="AR17" i="131"/>
  <c r="P17" i="131"/>
  <c r="AD575" i="131"/>
  <c r="AJ575" i="131" s="1"/>
  <c r="P575" i="131"/>
  <c r="AK575" i="131"/>
  <c r="AR575" i="131"/>
  <c r="AX575" i="131" s="1"/>
  <c r="W575" i="131"/>
  <c r="AD358" i="131"/>
  <c r="AJ358" i="131" s="1"/>
  <c r="AR358" i="131"/>
  <c r="AK358" i="131"/>
  <c r="W358" i="131"/>
  <c r="P358" i="131"/>
  <c r="AD342" i="131"/>
  <c r="AR342" i="131"/>
  <c r="AX342" i="131" s="1"/>
  <c r="W342" i="131"/>
  <c r="P342" i="131"/>
  <c r="V342" i="131" s="1"/>
  <c r="AK342" i="131"/>
  <c r="AD459" i="131"/>
  <c r="AR459" i="131"/>
  <c r="AX459" i="131" s="1"/>
  <c r="AK459" i="131"/>
  <c r="W459" i="131"/>
  <c r="P459" i="131"/>
  <c r="V459" i="131" s="1"/>
  <c r="W257" i="131"/>
  <c r="AK257" i="131"/>
  <c r="AQ257" i="131" s="1"/>
  <c r="AD257" i="131"/>
  <c r="AR257" i="131"/>
  <c r="P257" i="131"/>
  <c r="V257" i="131" s="1"/>
  <c r="P561" i="131"/>
  <c r="AK561" i="131"/>
  <c r="W561" i="131"/>
  <c r="AC561" i="131" s="1"/>
  <c r="AR561" i="131"/>
  <c r="AD561" i="131"/>
  <c r="AJ561" i="131" s="1"/>
  <c r="AR165" i="131"/>
  <c r="AK165" i="131"/>
  <c r="AD165" i="131"/>
  <c r="AJ165" i="131" s="1"/>
  <c r="P165" i="131"/>
  <c r="W165" i="131"/>
  <c r="AK98" i="131"/>
  <c r="AQ98" i="131" s="1"/>
  <c r="AD98" i="131"/>
  <c r="W98" i="131"/>
  <c r="AC98" i="131" s="1"/>
  <c r="AR98" i="131"/>
  <c r="P98" i="131"/>
  <c r="AR130" i="131"/>
  <c r="AX130" i="131" s="1"/>
  <c r="AD130" i="131"/>
  <c r="P130" i="131"/>
  <c r="W130" i="131"/>
  <c r="AC130" i="131" s="1"/>
  <c r="AK130" i="131"/>
  <c r="AD103" i="131"/>
  <c r="AJ103" i="131" s="1"/>
  <c r="AK103" i="131"/>
  <c r="AR103" i="131"/>
  <c r="W103" i="131"/>
  <c r="AC103" i="131" s="1"/>
  <c r="P103" i="131"/>
  <c r="W249" i="131"/>
  <c r="AK249" i="131"/>
  <c r="AQ249" i="131" s="1"/>
  <c r="AR249" i="131"/>
  <c r="P249" i="131"/>
  <c r="V249" i="131" s="1"/>
  <c r="AD249" i="131"/>
  <c r="AD230" i="131"/>
  <c r="AR230" i="131"/>
  <c r="AX230" i="131" s="1"/>
  <c r="P230" i="131"/>
  <c r="W230" i="131"/>
  <c r="AK230" i="131"/>
  <c r="AQ230" i="131" s="1"/>
  <c r="AK642" i="131"/>
  <c r="W642" i="131"/>
  <c r="AC642" i="131" s="1"/>
  <c r="AR642" i="131"/>
  <c r="P642" i="131"/>
  <c r="AD642" i="131"/>
  <c r="AJ642" i="131" s="1"/>
  <c r="AD631" i="131"/>
  <c r="P631" i="131"/>
  <c r="AK631" i="131"/>
  <c r="AQ631" i="131" s="1"/>
  <c r="W631" i="131"/>
  <c r="AR631" i="131"/>
  <c r="AX631" i="131" s="1"/>
  <c r="AK469" i="131"/>
  <c r="W469" i="131"/>
  <c r="P469" i="131"/>
  <c r="AD469" i="131"/>
  <c r="AR469" i="131"/>
  <c r="AD383" i="131"/>
  <c r="AJ383" i="131" s="1"/>
  <c r="AR383" i="131"/>
  <c r="W383" i="131"/>
  <c r="AC383" i="131" s="1"/>
  <c r="P383" i="131"/>
  <c r="AK383" i="131"/>
  <c r="AR456" i="131"/>
  <c r="AX456" i="131" s="1"/>
  <c r="AK456" i="131"/>
  <c r="P456" i="131"/>
  <c r="AD456" i="131"/>
  <c r="AJ456" i="131" s="1"/>
  <c r="W456" i="131"/>
  <c r="AD647" i="131"/>
  <c r="AJ647" i="131" s="1"/>
  <c r="P647" i="131"/>
  <c r="AK647" i="131"/>
  <c r="W647" i="131"/>
  <c r="AC647" i="131" s="1"/>
  <c r="AR647" i="131"/>
  <c r="AD638" i="131"/>
  <c r="P638" i="131"/>
  <c r="V638" i="131" s="1"/>
  <c r="AK638" i="131"/>
  <c r="AR638" i="131"/>
  <c r="AX638" i="131" s="1"/>
  <c r="W638" i="131"/>
  <c r="P641" i="131"/>
  <c r="AK641" i="131"/>
  <c r="AQ641" i="131" s="1"/>
  <c r="W641" i="131"/>
  <c r="AR641" i="131"/>
  <c r="AD641" i="131"/>
  <c r="AJ641" i="131" s="1"/>
  <c r="W628" i="131"/>
  <c r="AR628" i="131"/>
  <c r="AX628" i="131" s="1"/>
  <c r="AD628" i="131"/>
  <c r="P628" i="131"/>
  <c r="AK628" i="131"/>
  <c r="AQ628" i="131" s="1"/>
  <c r="W611" i="131"/>
  <c r="AR611" i="131"/>
  <c r="P611" i="131"/>
  <c r="V611" i="131" s="1"/>
  <c r="AD611" i="131"/>
  <c r="AK611" i="131"/>
  <c r="AQ611" i="131" s="1"/>
  <c r="AK610" i="131"/>
  <c r="W610" i="131"/>
  <c r="AR610" i="131"/>
  <c r="AX610" i="131" s="1"/>
  <c r="P610" i="131"/>
  <c r="AD610" i="131"/>
  <c r="AR613" i="131"/>
  <c r="AX613" i="131" s="1"/>
  <c r="AD613" i="131"/>
  <c r="P613" i="131"/>
  <c r="V613" i="131" s="1"/>
  <c r="W613" i="131"/>
  <c r="AK613" i="131"/>
  <c r="AK618" i="131"/>
  <c r="AQ618" i="131" s="1"/>
  <c r="W618" i="131"/>
  <c r="AR618" i="131"/>
  <c r="AD618" i="131"/>
  <c r="AJ618" i="131" s="1"/>
  <c r="P618" i="131"/>
  <c r="W572" i="131"/>
  <c r="AC572" i="131" s="1"/>
  <c r="AR572" i="131"/>
  <c r="AD572" i="131"/>
  <c r="AK572" i="131"/>
  <c r="AQ572" i="131" s="1"/>
  <c r="P572" i="131"/>
  <c r="AR478" i="131"/>
  <c r="W478" i="131"/>
  <c r="AC478" i="131" s="1"/>
  <c r="AK478" i="131"/>
  <c r="AD478" i="131"/>
  <c r="AJ478" i="131" s="1"/>
  <c r="P478" i="131"/>
  <c r="AR487" i="131"/>
  <c r="W487" i="131"/>
  <c r="AC487" i="131" s="1"/>
  <c r="P487" i="131"/>
  <c r="AK487" i="131"/>
  <c r="AD487" i="131"/>
  <c r="AJ487" i="131" s="1"/>
  <c r="W380" i="131"/>
  <c r="AK380" i="131"/>
  <c r="AQ380" i="131" s="1"/>
  <c r="P380" i="131"/>
  <c r="AR380" i="131"/>
  <c r="AD380" i="131"/>
  <c r="AJ380" i="131" s="1"/>
  <c r="AR461" i="131"/>
  <c r="W461" i="131"/>
  <c r="AK461" i="131"/>
  <c r="AQ461" i="131" s="1"/>
  <c r="AD461" i="131"/>
  <c r="P461" i="131"/>
  <c r="V461" i="131" s="1"/>
  <c r="AD369" i="131"/>
  <c r="AR369" i="131"/>
  <c r="AK369" i="131"/>
  <c r="AQ369" i="131" s="1"/>
  <c r="W369" i="131"/>
  <c r="P369" i="131"/>
  <c r="AK355" i="131"/>
  <c r="AQ355" i="131" s="1"/>
  <c r="P355" i="131"/>
  <c r="AR355" i="131"/>
  <c r="AX355" i="131" s="1"/>
  <c r="W355" i="131"/>
  <c r="AD355" i="131"/>
  <c r="W272" i="131"/>
  <c r="AC272" i="131" s="1"/>
  <c r="AK272" i="131"/>
  <c r="AD272" i="131"/>
  <c r="P272" i="131"/>
  <c r="V272" i="131" s="1"/>
  <c r="AR272" i="131"/>
  <c r="AD361" i="131"/>
  <c r="AJ361" i="131" s="1"/>
  <c r="AR361" i="131"/>
  <c r="AK361" i="131"/>
  <c r="W361" i="131"/>
  <c r="AC361" i="131" s="1"/>
  <c r="P361" i="131"/>
  <c r="AD262" i="131"/>
  <c r="AR262" i="131"/>
  <c r="AX262" i="131" s="1"/>
  <c r="P262" i="131"/>
  <c r="W262" i="131"/>
  <c r="AC262" i="131" s="1"/>
  <c r="AK262" i="131"/>
  <c r="AR187" i="131"/>
  <c r="AD187" i="131"/>
  <c r="AJ187" i="131" s="1"/>
  <c r="P187" i="131"/>
  <c r="AK187" i="131"/>
  <c r="W187" i="131"/>
  <c r="AC187" i="131" s="1"/>
  <c r="AR138" i="131"/>
  <c r="AD138" i="131"/>
  <c r="AJ138" i="131" s="1"/>
  <c r="P138" i="131"/>
  <c r="AK138" i="131"/>
  <c r="W138" i="131"/>
  <c r="AR180" i="131"/>
  <c r="AD180" i="131"/>
  <c r="P180" i="131"/>
  <c r="V180" i="131" s="1"/>
  <c r="AK180" i="131"/>
  <c r="W180" i="131"/>
  <c r="AC180" i="131" s="1"/>
  <c r="AR231" i="131"/>
  <c r="P231" i="131"/>
  <c r="W231" i="131"/>
  <c r="AC231" i="131" s="1"/>
  <c r="AD231" i="131"/>
  <c r="AK231" i="131"/>
  <c r="W109" i="131"/>
  <c r="AC109" i="131" s="1"/>
  <c r="AR109" i="131"/>
  <c r="AK109" i="131"/>
  <c r="AQ109" i="131" s="1"/>
  <c r="AD109" i="131"/>
  <c r="P109" i="131"/>
  <c r="AK169" i="131"/>
  <c r="AQ169" i="131" s="1"/>
  <c r="W169" i="131"/>
  <c r="AD169" i="131"/>
  <c r="P169" i="131"/>
  <c r="V169" i="131" s="1"/>
  <c r="AR169" i="131"/>
  <c r="AR122" i="131"/>
  <c r="AX122" i="131" s="1"/>
  <c r="AD122" i="131"/>
  <c r="P122" i="131"/>
  <c r="AK122" i="131"/>
  <c r="AQ122" i="131" s="1"/>
  <c r="W122" i="131"/>
  <c r="AD31" i="131"/>
  <c r="AR31" i="131"/>
  <c r="AX31" i="131" s="1"/>
  <c r="AK31" i="131"/>
  <c r="W31" i="131"/>
  <c r="AC31" i="131" s="1"/>
  <c r="P31" i="131"/>
  <c r="AD104" i="131"/>
  <c r="W104" i="131"/>
  <c r="AC104" i="131" s="1"/>
  <c r="AR104" i="131"/>
  <c r="AK104" i="131"/>
  <c r="P104" i="131"/>
  <c r="V104" i="131" s="1"/>
  <c r="AD23" i="131"/>
  <c r="W23" i="131"/>
  <c r="AC23" i="131" s="1"/>
  <c r="AK23" i="131"/>
  <c r="AR23" i="131"/>
  <c r="P23" i="131"/>
  <c r="V23" i="131" s="1"/>
  <c r="AK99" i="131"/>
  <c r="W99" i="131"/>
  <c r="AR99" i="131"/>
  <c r="AX99" i="131" s="1"/>
  <c r="AD99" i="131"/>
  <c r="P99" i="131"/>
  <c r="V99" i="131" s="1"/>
  <c r="AD16" i="131"/>
  <c r="AR16" i="131"/>
  <c r="W16" i="131"/>
  <c r="AC16" i="131" s="1"/>
  <c r="AK16" i="131"/>
  <c r="P16" i="131"/>
  <c r="V16" i="131" s="1"/>
  <c r="AK364" i="131"/>
  <c r="AQ364" i="131" s="1"/>
  <c r="P364" i="131"/>
  <c r="AR364" i="131"/>
  <c r="AX364" i="131" s="1"/>
  <c r="AD364" i="131"/>
  <c r="W364" i="131"/>
  <c r="W643" i="131"/>
  <c r="AC643" i="131" s="1"/>
  <c r="AR643" i="131"/>
  <c r="P643" i="131"/>
  <c r="AD643" i="131"/>
  <c r="AJ643" i="131" s="1"/>
  <c r="AK643" i="131"/>
  <c r="P616" i="131"/>
  <c r="V616" i="131" s="1"/>
  <c r="AK616" i="131"/>
  <c r="W616" i="131"/>
  <c r="AD616" i="131"/>
  <c r="AJ616" i="131" s="1"/>
  <c r="AR616" i="131"/>
  <c r="P569" i="131"/>
  <c r="AK569" i="131"/>
  <c r="AQ569" i="131" s="1"/>
  <c r="W569" i="131"/>
  <c r="AD569" i="131"/>
  <c r="AJ569" i="131" s="1"/>
  <c r="AR569" i="131"/>
  <c r="AD460" i="131"/>
  <c r="AR460" i="131"/>
  <c r="AX460" i="131" s="1"/>
  <c r="W460" i="131"/>
  <c r="AK460" i="131"/>
  <c r="P460" i="131"/>
  <c r="V460" i="131" s="1"/>
  <c r="AD252" i="131"/>
  <c r="AR252" i="131"/>
  <c r="AX252" i="131" s="1"/>
  <c r="W252" i="131"/>
  <c r="AK252" i="131"/>
  <c r="P252" i="131"/>
  <c r="V252" i="131" s="1"/>
  <c r="AR110" i="131"/>
  <c r="AD110" i="131"/>
  <c r="W110" i="131"/>
  <c r="AC110" i="131" s="1"/>
  <c r="AK110" i="131"/>
  <c r="P110" i="131"/>
  <c r="V110" i="131" s="1"/>
  <c r="AK235" i="131"/>
  <c r="AR235" i="131"/>
  <c r="P235" i="131"/>
  <c r="V235" i="131" s="1"/>
  <c r="W235" i="131"/>
  <c r="AD235" i="131"/>
  <c r="W20" i="131"/>
  <c r="AC20" i="131" s="1"/>
  <c r="AR20" i="131"/>
  <c r="AK20" i="131"/>
  <c r="AQ20" i="131" s="1"/>
  <c r="AD20" i="131"/>
  <c r="P20" i="131"/>
  <c r="AK90" i="131"/>
  <c r="AQ90" i="131" s="1"/>
  <c r="AD90" i="131"/>
  <c r="W90" i="131"/>
  <c r="AR90" i="131"/>
  <c r="AX90" i="131" s="1"/>
  <c r="P90" i="131"/>
  <c r="AD606" i="131"/>
  <c r="AJ606" i="131" s="1"/>
  <c r="P606" i="131"/>
  <c r="AK606" i="131"/>
  <c r="AR606" i="131"/>
  <c r="AX606" i="131" s="1"/>
  <c r="W606" i="131"/>
  <c r="AK554" i="131"/>
  <c r="W554" i="131"/>
  <c r="AC554" i="131" s="1"/>
  <c r="AR554" i="131"/>
  <c r="AD554" i="131"/>
  <c r="AJ554" i="131" s="1"/>
  <c r="P554" i="131"/>
  <c r="AD444" i="131"/>
  <c r="AR444" i="131"/>
  <c r="AX444" i="131" s="1"/>
  <c r="W444" i="131"/>
  <c r="AK444" i="131"/>
  <c r="P444" i="131"/>
  <c r="V444" i="131" s="1"/>
  <c r="AD351" i="131"/>
  <c r="AR351" i="131"/>
  <c r="AX351" i="131" s="1"/>
  <c r="W351" i="131"/>
  <c r="AK351" i="131"/>
  <c r="P351" i="131"/>
  <c r="V351" i="131" s="1"/>
  <c r="W644" i="131"/>
  <c r="AR644" i="131"/>
  <c r="AD644" i="131"/>
  <c r="AJ644" i="131" s="1"/>
  <c r="P644" i="131"/>
  <c r="AK644" i="131"/>
  <c r="AQ644" i="131" s="1"/>
  <c r="P633" i="131"/>
  <c r="AK633" i="131"/>
  <c r="W633" i="131"/>
  <c r="AC633" i="131" s="1"/>
  <c r="AD633" i="131"/>
  <c r="AR633" i="131"/>
  <c r="AD598" i="131"/>
  <c r="AJ598" i="131" s="1"/>
  <c r="P598" i="131"/>
  <c r="W598" i="131"/>
  <c r="AC598" i="131" s="1"/>
  <c r="AK598" i="131"/>
  <c r="AR598" i="131"/>
  <c r="W620" i="131"/>
  <c r="AC620" i="131" s="1"/>
  <c r="AR620" i="131"/>
  <c r="AD620" i="131"/>
  <c r="AK620" i="131"/>
  <c r="AQ620" i="131" s="1"/>
  <c r="P620" i="131"/>
  <c r="AD607" i="131"/>
  <c r="AJ607" i="131" s="1"/>
  <c r="P607" i="131"/>
  <c r="AK607" i="131"/>
  <c r="AR607" i="131"/>
  <c r="AX607" i="131" s="1"/>
  <c r="W607" i="131"/>
  <c r="W587" i="131"/>
  <c r="AR587" i="131"/>
  <c r="AX587" i="131" s="1"/>
  <c r="AD587" i="131"/>
  <c r="AK587" i="131"/>
  <c r="AQ587" i="131" s="1"/>
  <c r="P587" i="131"/>
  <c r="W563" i="131"/>
  <c r="AR563" i="131"/>
  <c r="AX563" i="131" s="1"/>
  <c r="P563" i="131"/>
  <c r="AD563" i="131"/>
  <c r="AK563" i="131"/>
  <c r="AQ563" i="131" s="1"/>
  <c r="W564" i="131"/>
  <c r="AR564" i="131"/>
  <c r="AX564" i="131" s="1"/>
  <c r="AD564" i="131"/>
  <c r="P564" i="131"/>
  <c r="AK564" i="131"/>
  <c r="AQ564" i="131" s="1"/>
  <c r="AR488" i="131"/>
  <c r="P488" i="131"/>
  <c r="AK488" i="131"/>
  <c r="AQ488" i="131" s="1"/>
  <c r="AD488" i="131"/>
  <c r="W488" i="131"/>
  <c r="AC488" i="131" s="1"/>
  <c r="AR450" i="131"/>
  <c r="P450" i="131"/>
  <c r="AD450" i="131"/>
  <c r="W450" i="131"/>
  <c r="AK450" i="131"/>
  <c r="W379" i="131"/>
  <c r="AC379" i="131" s="1"/>
  <c r="AK379" i="131"/>
  <c r="P379" i="131"/>
  <c r="V379" i="131" s="1"/>
  <c r="AD379" i="131"/>
  <c r="AR379" i="131"/>
  <c r="AR490" i="131"/>
  <c r="AX490" i="131" s="1"/>
  <c r="AK490" i="131"/>
  <c r="P490" i="131"/>
  <c r="AD490" i="131"/>
  <c r="AJ490" i="131" s="1"/>
  <c r="W490" i="131"/>
  <c r="AD360" i="131"/>
  <c r="AJ360" i="131" s="1"/>
  <c r="AR360" i="131"/>
  <c r="W360" i="131"/>
  <c r="AK360" i="131"/>
  <c r="AQ360" i="131" s="1"/>
  <c r="P360" i="131"/>
  <c r="AR346" i="131"/>
  <c r="AK346" i="131"/>
  <c r="AQ346" i="131" s="1"/>
  <c r="P346" i="131"/>
  <c r="AD346" i="131"/>
  <c r="AJ346" i="131" s="1"/>
  <c r="W346" i="131"/>
  <c r="AR228" i="131"/>
  <c r="AX228" i="131" s="1"/>
  <c r="AD228" i="131"/>
  <c r="AJ228" i="131" s="1"/>
  <c r="W228" i="131"/>
  <c r="AK228" i="131"/>
  <c r="P228" i="131"/>
  <c r="V228" i="131" s="1"/>
  <c r="AK136" i="131"/>
  <c r="W136" i="131"/>
  <c r="AC136" i="131" s="1"/>
  <c r="AD136" i="131"/>
  <c r="P136" i="131"/>
  <c r="AR136" i="131"/>
  <c r="AX136" i="131" s="1"/>
  <c r="AK27" i="131"/>
  <c r="W27" i="131"/>
  <c r="AD27" i="131"/>
  <c r="AJ27" i="131" s="1"/>
  <c r="AR27" i="131"/>
  <c r="P27" i="131"/>
  <c r="V27" i="131" s="1"/>
  <c r="AD96" i="131"/>
  <c r="W96" i="131"/>
  <c r="AR96" i="131"/>
  <c r="AX96" i="131" s="1"/>
  <c r="AK96" i="131"/>
  <c r="P96" i="131"/>
  <c r="P577" i="131"/>
  <c r="V577" i="131" s="1"/>
  <c r="AK577" i="131"/>
  <c r="W577" i="131"/>
  <c r="AC577" i="131" s="1"/>
  <c r="AR577" i="131"/>
  <c r="AD577" i="131"/>
  <c r="AK541" i="131"/>
  <c r="AQ541" i="131" s="1"/>
  <c r="AR541" i="131"/>
  <c r="W541" i="131"/>
  <c r="AD541" i="131"/>
  <c r="AJ541" i="131" s="1"/>
  <c r="P541" i="131"/>
  <c r="AR463" i="131"/>
  <c r="AX463" i="131" s="1"/>
  <c r="W463" i="131"/>
  <c r="AK463" i="131"/>
  <c r="P463" i="131"/>
  <c r="V463" i="131" s="1"/>
  <c r="AD463" i="131"/>
  <c r="AR448" i="131"/>
  <c r="AK448" i="131"/>
  <c r="AQ448" i="131" s="1"/>
  <c r="P448" i="131"/>
  <c r="AD448" i="131"/>
  <c r="AJ448" i="131" s="1"/>
  <c r="W448" i="131"/>
  <c r="AK340" i="131"/>
  <c r="P340" i="131"/>
  <c r="V340" i="131" s="1"/>
  <c r="AR340" i="131"/>
  <c r="AD340" i="131"/>
  <c r="W340" i="131"/>
  <c r="AC340" i="131" s="1"/>
  <c r="AD615" i="131"/>
  <c r="P615" i="131"/>
  <c r="V615" i="131" s="1"/>
  <c r="AK615" i="131"/>
  <c r="W615" i="131"/>
  <c r="AR615" i="131"/>
  <c r="AX615" i="131" s="1"/>
  <c r="AD95" i="131"/>
  <c r="W95" i="131"/>
  <c r="AR95" i="131"/>
  <c r="AX95" i="131" s="1"/>
  <c r="AK95" i="131"/>
  <c r="P95" i="131"/>
  <c r="V95" i="131" s="1"/>
  <c r="W85" i="131"/>
  <c r="AR85" i="131"/>
  <c r="AK85" i="131"/>
  <c r="AQ85" i="131" s="1"/>
  <c r="AD85" i="131"/>
  <c r="P85" i="131"/>
  <c r="W233" i="131"/>
  <c r="AC233" i="131" s="1"/>
  <c r="AK233" i="131"/>
  <c r="AR233" i="131"/>
  <c r="AX233" i="131" s="1"/>
  <c r="P233" i="131"/>
  <c r="AD233" i="131"/>
  <c r="W265" i="131"/>
  <c r="AK265" i="131"/>
  <c r="P265" i="131"/>
  <c r="AR265" i="131"/>
  <c r="AX265" i="131" s="1"/>
  <c r="AD265" i="131"/>
  <c r="AK113" i="131"/>
  <c r="AQ113" i="131" s="1"/>
  <c r="AD113" i="131"/>
  <c r="AR113" i="131"/>
  <c r="W113" i="131"/>
  <c r="AC113" i="131" s="1"/>
  <c r="P113" i="131"/>
  <c r="AR173" i="131"/>
  <c r="AK173" i="131"/>
  <c r="AQ173" i="131" s="1"/>
  <c r="AD173" i="131"/>
  <c r="W173" i="131"/>
  <c r="AC173" i="131" s="1"/>
  <c r="P173" i="131"/>
  <c r="P553" i="131"/>
  <c r="AK553" i="131"/>
  <c r="AQ553" i="131" s="1"/>
  <c r="W553" i="131"/>
  <c r="AD553" i="131"/>
  <c r="AR553" i="131"/>
  <c r="AX553" i="131" s="1"/>
  <c r="AR327" i="131"/>
  <c r="P327" i="131"/>
  <c r="V327" i="131" s="1"/>
  <c r="W327" i="131"/>
  <c r="AD327" i="131"/>
  <c r="AK327" i="131"/>
  <c r="AQ327" i="131" s="1"/>
  <c r="W240" i="131"/>
  <c r="AK240" i="131"/>
  <c r="P240" i="131"/>
  <c r="V240" i="131" s="1"/>
  <c r="AD240" i="131"/>
  <c r="AR240" i="131"/>
  <c r="AX240" i="131" s="1"/>
  <c r="AD261" i="131"/>
  <c r="AR261" i="131"/>
  <c r="P261" i="131"/>
  <c r="V261" i="131" s="1"/>
  <c r="W261" i="131"/>
  <c r="AK261" i="131"/>
  <c r="AD245" i="131"/>
  <c r="AJ245" i="131" s="1"/>
  <c r="AR245" i="131"/>
  <c r="P245" i="131"/>
  <c r="V245" i="131" s="1"/>
  <c r="W245" i="131"/>
  <c r="AK245" i="131"/>
  <c r="AR255" i="131"/>
  <c r="AX255" i="131" s="1"/>
  <c r="P255" i="131"/>
  <c r="W255" i="131"/>
  <c r="AK255" i="131"/>
  <c r="AQ255" i="131" s="1"/>
  <c r="AD255" i="131"/>
  <c r="AR177" i="131"/>
  <c r="AX177" i="131" s="1"/>
  <c r="AD177" i="131"/>
  <c r="W177" i="131"/>
  <c r="AK177" i="131"/>
  <c r="AQ177" i="131" s="1"/>
  <c r="P177" i="131"/>
  <c r="AR179" i="131"/>
  <c r="AD179" i="131"/>
  <c r="AJ179" i="131" s="1"/>
  <c r="P179" i="131"/>
  <c r="AK179" i="131"/>
  <c r="AQ179" i="131" s="1"/>
  <c r="W179" i="131"/>
  <c r="AK250" i="131"/>
  <c r="AR250" i="131"/>
  <c r="AX250" i="131" s="1"/>
  <c r="P250" i="131"/>
  <c r="W250" i="131"/>
  <c r="AD250" i="131"/>
  <c r="AJ250" i="131" s="1"/>
  <c r="AK128" i="131"/>
  <c r="W128" i="131"/>
  <c r="AC128" i="131" s="1"/>
  <c r="P128" i="131"/>
  <c r="AR128" i="131"/>
  <c r="AD128" i="131"/>
  <c r="AJ128" i="131" s="1"/>
  <c r="AR129" i="131"/>
  <c r="P129" i="131"/>
  <c r="AD129" i="131"/>
  <c r="AJ129" i="131" s="1"/>
  <c r="W129" i="131"/>
  <c r="AK129" i="131"/>
  <c r="AQ129" i="131" s="1"/>
  <c r="AR193" i="131"/>
  <c r="AD193" i="131"/>
  <c r="W193" i="131"/>
  <c r="AC193" i="131" s="1"/>
  <c r="AK193" i="131"/>
  <c r="P193" i="131"/>
  <c r="AK107" i="131"/>
  <c r="AQ107" i="131" s="1"/>
  <c r="W107" i="131"/>
  <c r="AD107" i="131"/>
  <c r="AJ107" i="131" s="1"/>
  <c r="AR107" i="131"/>
  <c r="P107" i="131"/>
  <c r="AR139" i="131"/>
  <c r="AD139" i="131"/>
  <c r="P139" i="131"/>
  <c r="AK139" i="131"/>
  <c r="AQ139" i="131" s="1"/>
  <c r="W139" i="131"/>
  <c r="AD87" i="131"/>
  <c r="AJ87" i="131" s="1"/>
  <c r="AK87" i="131"/>
  <c r="W87" i="131"/>
  <c r="AR87" i="131"/>
  <c r="AX87" i="131" s="1"/>
  <c r="P87" i="131"/>
  <c r="AK25" i="131"/>
  <c r="AR25" i="131"/>
  <c r="AX25" i="131" s="1"/>
  <c r="AD25" i="131"/>
  <c r="W25" i="131"/>
  <c r="AC25" i="131" s="1"/>
  <c r="P25" i="131"/>
  <c r="W21" i="131"/>
  <c r="AR21" i="131"/>
  <c r="AX21" i="131" s="1"/>
  <c r="AK21" i="131"/>
  <c r="AD21" i="131"/>
  <c r="P21" i="131"/>
  <c r="V21" i="131" s="1"/>
  <c r="P552" i="131"/>
  <c r="AK552" i="131"/>
  <c r="AQ552" i="131" s="1"/>
  <c r="W552" i="131"/>
  <c r="AD552" i="131"/>
  <c r="AR552" i="131"/>
  <c r="AX552" i="131" s="1"/>
  <c r="P625" i="131"/>
  <c r="AK625" i="131"/>
  <c r="W625" i="131"/>
  <c r="AC625" i="131" s="1"/>
  <c r="AR625" i="131"/>
  <c r="AD625" i="131"/>
  <c r="AJ625" i="131" s="1"/>
  <c r="P560" i="131"/>
  <c r="AK560" i="131"/>
  <c r="AR560" i="131"/>
  <c r="AX560" i="131" s="1"/>
  <c r="W560" i="131"/>
  <c r="AD560" i="131"/>
  <c r="AR462" i="131"/>
  <c r="AX462" i="131" s="1"/>
  <c r="W462" i="131"/>
  <c r="AK462" i="131"/>
  <c r="AQ462" i="131" s="1"/>
  <c r="AD462" i="131"/>
  <c r="P462" i="131"/>
  <c r="AK243" i="131"/>
  <c r="AQ243" i="131" s="1"/>
  <c r="AD243" i="131"/>
  <c r="AR243" i="131"/>
  <c r="W243" i="131"/>
  <c r="AC243" i="131" s="1"/>
  <c r="P243" i="131"/>
  <c r="AK484" i="131"/>
  <c r="AQ484" i="131" s="1"/>
  <c r="AD484" i="131"/>
  <c r="W484" i="131"/>
  <c r="AR484" i="131"/>
  <c r="AX484" i="131" s="1"/>
  <c r="P484" i="131"/>
  <c r="AD244" i="131"/>
  <c r="AR244" i="131"/>
  <c r="AX244" i="131" s="1"/>
  <c r="P244" i="131"/>
  <c r="W244" i="131"/>
  <c r="AC244" i="131" s="1"/>
  <c r="AK244" i="131"/>
  <c r="AR30" i="131"/>
  <c r="AD30" i="131"/>
  <c r="AJ30" i="131" s="1"/>
  <c r="AK30" i="131"/>
  <c r="W30" i="131"/>
  <c r="P30" i="131"/>
  <c r="V30" i="131" s="1"/>
  <c r="AK182" i="131"/>
  <c r="W182" i="131"/>
  <c r="AC182" i="131" s="1"/>
  <c r="P182" i="131"/>
  <c r="AR182" i="131"/>
  <c r="AD182" i="131"/>
  <c r="AJ182" i="131" s="1"/>
  <c r="AD337" i="131"/>
  <c r="AR337" i="131"/>
  <c r="AK337" i="131"/>
  <c r="AQ337" i="131" s="1"/>
  <c r="W337" i="131"/>
  <c r="P337" i="131"/>
  <c r="V337" i="131" s="1"/>
  <c r="P585" i="131"/>
  <c r="AK585" i="131"/>
  <c r="W585" i="131"/>
  <c r="AC585" i="131" s="1"/>
  <c r="AD585" i="131"/>
  <c r="AR585" i="131"/>
  <c r="AD646" i="131"/>
  <c r="AJ646" i="131" s="1"/>
  <c r="P646" i="131"/>
  <c r="W646" i="131"/>
  <c r="AC646" i="131" s="1"/>
  <c r="AK646" i="131"/>
  <c r="AR646" i="131"/>
  <c r="AD630" i="131"/>
  <c r="AJ630" i="131" s="1"/>
  <c r="P630" i="131"/>
  <c r="W630" i="131"/>
  <c r="AK630" i="131"/>
  <c r="AQ630" i="131" s="1"/>
  <c r="AR630" i="131"/>
  <c r="AR645" i="131"/>
  <c r="AX645" i="131" s="1"/>
  <c r="AD645" i="131"/>
  <c r="P645" i="131"/>
  <c r="W645" i="131"/>
  <c r="AC645" i="131" s="1"/>
  <c r="AK645" i="131"/>
  <c r="AR597" i="131"/>
  <c r="AD597" i="131"/>
  <c r="AJ597" i="131" s="1"/>
  <c r="P597" i="131"/>
  <c r="W597" i="131"/>
  <c r="AC597" i="131" s="1"/>
  <c r="AK597" i="131"/>
  <c r="W604" i="131"/>
  <c r="AR604" i="131"/>
  <c r="AX604" i="131" s="1"/>
  <c r="AD604" i="131"/>
  <c r="AK604" i="131"/>
  <c r="P604" i="131"/>
  <c r="V604" i="131" s="1"/>
  <c r="W612" i="131"/>
  <c r="AR612" i="131"/>
  <c r="AX612" i="131" s="1"/>
  <c r="AD612" i="131"/>
  <c r="P612" i="131"/>
  <c r="AK612" i="131"/>
  <c r="AQ612" i="131" s="1"/>
  <c r="P584" i="131"/>
  <c r="AK584" i="131"/>
  <c r="W584" i="131"/>
  <c r="AC584" i="131" s="1"/>
  <c r="AD584" i="131"/>
  <c r="AR584" i="131"/>
  <c r="AX584" i="131" s="1"/>
  <c r="W571" i="131"/>
  <c r="AR571" i="131"/>
  <c r="AD571" i="131"/>
  <c r="AJ571" i="131" s="1"/>
  <c r="AK571" i="131"/>
  <c r="P571" i="131"/>
  <c r="W486" i="131"/>
  <c r="AC486" i="131" s="1"/>
  <c r="AR486" i="131"/>
  <c r="P486" i="131"/>
  <c r="V486" i="131" s="1"/>
  <c r="AK486" i="131"/>
  <c r="AD486" i="131"/>
  <c r="AD376" i="131"/>
  <c r="AJ376" i="131" s="1"/>
  <c r="AR376" i="131"/>
  <c r="W376" i="131"/>
  <c r="AK376" i="131"/>
  <c r="AQ376" i="131" s="1"/>
  <c r="P376" i="131"/>
  <c r="AK373" i="131"/>
  <c r="AQ373" i="131" s="1"/>
  <c r="AD373" i="131"/>
  <c r="AR373" i="131"/>
  <c r="W373" i="131"/>
  <c r="AC373" i="131" s="1"/>
  <c r="P373" i="131"/>
  <c r="AR458" i="131"/>
  <c r="P458" i="131"/>
  <c r="V458" i="131" s="1"/>
  <c r="AD458" i="131"/>
  <c r="AK458" i="131"/>
  <c r="AQ458" i="131" s="1"/>
  <c r="W458" i="131"/>
  <c r="AR445" i="131"/>
  <c r="W445" i="131"/>
  <c r="AC445" i="131" s="1"/>
  <c r="AK445" i="131"/>
  <c r="AD445" i="131"/>
  <c r="P445" i="131"/>
  <c r="V445" i="131" s="1"/>
  <c r="W371" i="131"/>
  <c r="AK371" i="131"/>
  <c r="AQ371" i="131" s="1"/>
  <c r="AD371" i="131"/>
  <c r="P371" i="131"/>
  <c r="AR371" i="131"/>
  <c r="AX371" i="131" s="1"/>
  <c r="AR370" i="131"/>
  <c r="AK370" i="131"/>
  <c r="AD370" i="131"/>
  <c r="AJ370" i="131" s="1"/>
  <c r="P370" i="131"/>
  <c r="W370" i="131"/>
  <c r="AC370" i="131" s="1"/>
  <c r="AK339" i="131"/>
  <c r="P339" i="131"/>
  <c r="AR339" i="131"/>
  <c r="AX339" i="131" s="1"/>
  <c r="AD339" i="131"/>
  <c r="W339" i="131"/>
  <c r="AK365" i="131"/>
  <c r="AQ365" i="131" s="1"/>
  <c r="AD365" i="131"/>
  <c r="AR365" i="131"/>
  <c r="AX365" i="131" s="1"/>
  <c r="W365" i="131"/>
  <c r="P365" i="131"/>
  <c r="AK341" i="131"/>
  <c r="AQ341" i="131" s="1"/>
  <c r="AD341" i="131"/>
  <c r="AR341" i="131"/>
  <c r="W341" i="131"/>
  <c r="AC341" i="131" s="1"/>
  <c r="P341" i="131"/>
  <c r="AK602" i="131"/>
  <c r="AQ602" i="131" s="1"/>
  <c r="W602" i="131"/>
  <c r="AR602" i="131"/>
  <c r="AD602" i="131"/>
  <c r="AJ602" i="131" s="1"/>
  <c r="P602" i="131"/>
  <c r="W596" i="131"/>
  <c r="AR596" i="131"/>
  <c r="AX596" i="131" s="1"/>
  <c r="AD596" i="131"/>
  <c r="P596" i="131"/>
  <c r="V596" i="131" s="1"/>
  <c r="AK596" i="131"/>
  <c r="W579" i="131"/>
  <c r="AR579" i="131"/>
  <c r="AX579" i="131" s="1"/>
  <c r="P579" i="131"/>
  <c r="AD579" i="131"/>
  <c r="AK579" i="131"/>
  <c r="AQ579" i="131" s="1"/>
  <c r="P568" i="131"/>
  <c r="AK568" i="131"/>
  <c r="AQ568" i="131" s="1"/>
  <c r="W568" i="131"/>
  <c r="AD568" i="131"/>
  <c r="AR568" i="131"/>
  <c r="AX568" i="131" s="1"/>
  <c r="AD551" i="131"/>
  <c r="P551" i="131"/>
  <c r="AK551" i="131"/>
  <c r="AQ551" i="131" s="1"/>
  <c r="W551" i="131"/>
  <c r="AC551" i="131" s="1"/>
  <c r="AR551" i="131"/>
  <c r="AX551" i="131" s="1"/>
  <c r="W556" i="131"/>
  <c r="AR556" i="131"/>
  <c r="AD556" i="131"/>
  <c r="AK556" i="131"/>
  <c r="P556" i="131"/>
  <c r="AK562" i="131"/>
  <c r="AQ562" i="131" s="1"/>
  <c r="W562" i="131"/>
  <c r="AR562" i="131"/>
  <c r="AX562" i="131" s="1"/>
  <c r="P562" i="131"/>
  <c r="AD562" i="131"/>
  <c r="AR472" i="131"/>
  <c r="AX472" i="131" s="1"/>
  <c r="P472" i="131"/>
  <c r="AD472" i="131"/>
  <c r="W472" i="131"/>
  <c r="AC472" i="131" s="1"/>
  <c r="AK472" i="131"/>
  <c r="AR473" i="131"/>
  <c r="AX473" i="131" s="1"/>
  <c r="P473" i="131"/>
  <c r="AD473" i="131"/>
  <c r="AK473" i="131"/>
  <c r="AQ473" i="131" s="1"/>
  <c r="W473" i="131"/>
  <c r="AD559" i="131"/>
  <c r="P559" i="131"/>
  <c r="V559" i="131" s="1"/>
  <c r="AK559" i="131"/>
  <c r="AR559" i="131"/>
  <c r="AX559" i="131" s="1"/>
  <c r="W559" i="131"/>
  <c r="AD558" i="131"/>
  <c r="P558" i="131"/>
  <c r="V558" i="131" s="1"/>
  <c r="AK558" i="131"/>
  <c r="AR558" i="131"/>
  <c r="W558" i="131"/>
  <c r="AC558" i="131" s="1"/>
  <c r="AK363" i="131"/>
  <c r="P363" i="131"/>
  <c r="V363" i="131" s="1"/>
  <c r="AR363" i="131"/>
  <c r="W363" i="131"/>
  <c r="AD363" i="131"/>
  <c r="AJ363" i="131" s="1"/>
  <c r="AK357" i="131"/>
  <c r="AD357" i="131"/>
  <c r="AR357" i="131"/>
  <c r="AX357" i="131" s="1"/>
  <c r="P357" i="131"/>
  <c r="W357" i="131"/>
  <c r="AC357" i="131" s="1"/>
  <c r="AD366" i="131"/>
  <c r="AR366" i="131"/>
  <c r="W366" i="131"/>
  <c r="AC366" i="131" s="1"/>
  <c r="AK366" i="131"/>
  <c r="P366" i="131"/>
  <c r="AR247" i="131"/>
  <c r="AX247" i="131" s="1"/>
  <c r="P247" i="131"/>
  <c r="W247" i="131"/>
  <c r="AC247" i="131" s="1"/>
  <c r="AK247" i="131"/>
  <c r="AD247" i="131"/>
  <c r="AD269" i="131"/>
  <c r="AJ269" i="131" s="1"/>
  <c r="AR269" i="131"/>
  <c r="P269" i="131"/>
  <c r="AK269" i="131"/>
  <c r="AQ269" i="131" s="1"/>
  <c r="W269" i="131"/>
  <c r="AK274" i="131"/>
  <c r="AQ274" i="131" s="1"/>
  <c r="AD274" i="131"/>
  <c r="P274" i="131"/>
  <c r="W274" i="131"/>
  <c r="AC274" i="131" s="1"/>
  <c r="AR274" i="131"/>
  <c r="AD268" i="131"/>
  <c r="AR268" i="131"/>
  <c r="AX268" i="131" s="1"/>
  <c r="AK268" i="131"/>
  <c r="P268" i="131"/>
  <c r="V268" i="131" s="1"/>
  <c r="W268" i="131"/>
  <c r="AK175" i="131"/>
  <c r="W175" i="131"/>
  <c r="AC175" i="131" s="1"/>
  <c r="P175" i="131"/>
  <c r="AR175" i="131"/>
  <c r="AD175" i="131"/>
  <c r="AJ175" i="131" s="1"/>
  <c r="AD253" i="131"/>
  <c r="AR253" i="131"/>
  <c r="AX253" i="131" s="1"/>
  <c r="P253" i="131"/>
  <c r="AK253" i="131"/>
  <c r="W253" i="131"/>
  <c r="AC253" i="131" s="1"/>
  <c r="AR186" i="131"/>
  <c r="AD186" i="131"/>
  <c r="P186" i="131"/>
  <c r="V186" i="131" s="1"/>
  <c r="W186" i="131"/>
  <c r="AK186" i="131"/>
  <c r="AQ186" i="131" s="1"/>
  <c r="AK166" i="131"/>
  <c r="W166" i="131"/>
  <c r="AD166" i="131"/>
  <c r="AJ166" i="131" s="1"/>
  <c r="AR166" i="131"/>
  <c r="P166" i="131"/>
  <c r="AD220" i="131"/>
  <c r="AJ220" i="131" s="1"/>
  <c r="P220" i="131"/>
  <c r="W220" i="131"/>
  <c r="AC220" i="131" s="1"/>
  <c r="AR220" i="131"/>
  <c r="AK220" i="131"/>
  <c r="AK126" i="131"/>
  <c r="AQ126" i="131" s="1"/>
  <c r="W126" i="131"/>
  <c r="AR126" i="131"/>
  <c r="P126" i="131"/>
  <c r="V126" i="131" s="1"/>
  <c r="AD126" i="131"/>
  <c r="AR178" i="131"/>
  <c r="AX178" i="131" s="1"/>
  <c r="AD178" i="131"/>
  <c r="P178" i="131"/>
  <c r="W178" i="131"/>
  <c r="AC178" i="131" s="1"/>
  <c r="AK178" i="131"/>
  <c r="AR124" i="131"/>
  <c r="AD124" i="131"/>
  <c r="AJ124" i="131" s="1"/>
  <c r="P124" i="131"/>
  <c r="AK124" i="131"/>
  <c r="AQ124" i="131" s="1"/>
  <c r="W124" i="131"/>
  <c r="AK106" i="131"/>
  <c r="AD106" i="131"/>
  <c r="AJ106" i="131" s="1"/>
  <c r="W106" i="131"/>
  <c r="AR106" i="131"/>
  <c r="P106" i="131"/>
  <c r="V106" i="131" s="1"/>
  <c r="AK91" i="131"/>
  <c r="W91" i="131"/>
  <c r="AC91" i="131" s="1"/>
  <c r="AD91" i="131"/>
  <c r="AR91" i="131"/>
  <c r="P91" i="131"/>
  <c r="V91" i="131" s="1"/>
  <c r="W627" i="131"/>
  <c r="AR627" i="131"/>
  <c r="P627" i="131"/>
  <c r="V627" i="131" s="1"/>
  <c r="AD627" i="131"/>
  <c r="AK627" i="131"/>
  <c r="AQ627" i="131" s="1"/>
  <c r="AD590" i="131"/>
  <c r="P590" i="131"/>
  <c r="AK590" i="131"/>
  <c r="AQ590" i="131" s="1"/>
  <c r="AR590" i="131"/>
  <c r="W590" i="131"/>
  <c r="AD574" i="131"/>
  <c r="AJ574" i="131" s="1"/>
  <c r="P574" i="131"/>
  <c r="AK574" i="131"/>
  <c r="AQ574" i="131" s="1"/>
  <c r="AR574" i="131"/>
  <c r="W574" i="131"/>
  <c r="AD368" i="131"/>
  <c r="AJ368" i="131" s="1"/>
  <c r="AR368" i="131"/>
  <c r="W368" i="131"/>
  <c r="AK368" i="131"/>
  <c r="AQ368" i="131" s="1"/>
  <c r="P368" i="131"/>
  <c r="W273" i="131"/>
  <c r="AC273" i="131" s="1"/>
  <c r="AK273" i="131"/>
  <c r="AD273" i="131"/>
  <c r="P273" i="131"/>
  <c r="V273" i="131" s="1"/>
  <c r="AR273" i="131"/>
  <c r="AK476" i="131"/>
  <c r="AD476" i="131"/>
  <c r="AJ476" i="131" s="1"/>
  <c r="AR476" i="131"/>
  <c r="W476" i="131"/>
  <c r="AC476" i="131" s="1"/>
  <c r="P476" i="131"/>
  <c r="AK168" i="131"/>
  <c r="W168" i="131"/>
  <c r="AR168" i="131"/>
  <c r="P168" i="131"/>
  <c r="AD168" i="131"/>
  <c r="AJ168" i="131" s="1"/>
  <c r="W635" i="131"/>
  <c r="AR635" i="131"/>
  <c r="AX635" i="131" s="1"/>
  <c r="AD635" i="131"/>
  <c r="AK635" i="131"/>
  <c r="P635" i="131"/>
  <c r="V635" i="131" s="1"/>
  <c r="AK468" i="131"/>
  <c r="AD468" i="131"/>
  <c r="W468" i="131"/>
  <c r="AC468" i="131" s="1"/>
  <c r="P468" i="131"/>
  <c r="AR468" i="131"/>
  <c r="AX468" i="131" s="1"/>
  <c r="P649" i="131"/>
  <c r="AK649" i="131"/>
  <c r="W649" i="131"/>
  <c r="AC649" i="131" s="1"/>
  <c r="AD649" i="131"/>
  <c r="AR649" i="131"/>
  <c r="AD599" i="131"/>
  <c r="AJ599" i="131" s="1"/>
  <c r="P599" i="131"/>
  <c r="AK599" i="131"/>
  <c r="AQ599" i="131" s="1"/>
  <c r="W599" i="131"/>
  <c r="AR599" i="131"/>
  <c r="P608" i="131"/>
  <c r="V608" i="131" s="1"/>
  <c r="AK608" i="131"/>
  <c r="AR608" i="131"/>
  <c r="W608" i="131"/>
  <c r="AC608" i="131" s="1"/>
  <c r="AD608" i="131"/>
  <c r="AK586" i="131"/>
  <c r="AQ586" i="131" s="1"/>
  <c r="W586" i="131"/>
  <c r="AR586" i="131"/>
  <c r="AD586" i="131"/>
  <c r="AJ586" i="131" s="1"/>
  <c r="P586" i="131"/>
  <c r="AR455" i="131"/>
  <c r="W455" i="131"/>
  <c r="AC455" i="131" s="1"/>
  <c r="AK455" i="131"/>
  <c r="P455" i="131"/>
  <c r="V455" i="131" s="1"/>
  <c r="AD455" i="131"/>
  <c r="W470" i="131"/>
  <c r="P470" i="131"/>
  <c r="V470" i="131" s="1"/>
  <c r="AR470" i="131"/>
  <c r="AD470" i="131"/>
  <c r="AK470" i="131"/>
  <c r="AQ470" i="131" s="1"/>
  <c r="AR565" i="131"/>
  <c r="AD565" i="131"/>
  <c r="AJ565" i="131" s="1"/>
  <c r="P565" i="131"/>
  <c r="W565" i="131"/>
  <c r="AK565" i="131"/>
  <c r="AQ565" i="131" s="1"/>
  <c r="AR464" i="131"/>
  <c r="AK464" i="131"/>
  <c r="P464" i="131"/>
  <c r="V464" i="131" s="1"/>
  <c r="AD464" i="131"/>
  <c r="W464" i="131"/>
  <c r="AC464" i="131" s="1"/>
  <c r="AR271" i="131"/>
  <c r="P271" i="131"/>
  <c r="W271" i="131"/>
  <c r="AC271" i="131" s="1"/>
  <c r="AK271" i="131"/>
  <c r="AD271" i="131"/>
  <c r="AD344" i="131"/>
  <c r="AJ344" i="131" s="1"/>
  <c r="AR344" i="131"/>
  <c r="W344" i="131"/>
  <c r="AC344" i="131" s="1"/>
  <c r="P344" i="131"/>
  <c r="AK344" i="131"/>
  <c r="W264" i="131"/>
  <c r="AK264" i="131"/>
  <c r="P264" i="131"/>
  <c r="AR264" i="131"/>
  <c r="AX264" i="131" s="1"/>
  <c r="AD264" i="131"/>
  <c r="AK258" i="131"/>
  <c r="AQ258" i="131" s="1"/>
  <c r="AD258" i="131"/>
  <c r="W258" i="131"/>
  <c r="P258" i="131"/>
  <c r="V258" i="131" s="1"/>
  <c r="AR258" i="131"/>
  <c r="AR239" i="131"/>
  <c r="P239" i="131"/>
  <c r="V239" i="131" s="1"/>
  <c r="W239" i="131"/>
  <c r="AC239" i="131" s="1"/>
  <c r="AK239" i="131"/>
  <c r="AQ239" i="131" s="1"/>
  <c r="AD239" i="131"/>
  <c r="AK191" i="131"/>
  <c r="W191" i="131"/>
  <c r="AC191" i="131" s="1"/>
  <c r="AD191" i="131"/>
  <c r="P191" i="131"/>
  <c r="AR191" i="131"/>
  <c r="AX191" i="131" s="1"/>
  <c r="AK134" i="131"/>
  <c r="W134" i="131"/>
  <c r="AC134" i="131" s="1"/>
  <c r="AD134" i="131"/>
  <c r="AR134" i="131"/>
  <c r="P134" i="131"/>
  <c r="V134" i="131" s="1"/>
  <c r="AR131" i="131"/>
  <c r="AD131" i="131"/>
  <c r="P131" i="131"/>
  <c r="V131" i="131" s="1"/>
  <c r="W131" i="131"/>
  <c r="AK131" i="131"/>
  <c r="AQ131" i="131" s="1"/>
  <c r="AD121" i="131"/>
  <c r="W121" i="131"/>
  <c r="AK121" i="131"/>
  <c r="AQ121" i="131" s="1"/>
  <c r="P121" i="131"/>
  <c r="V121" i="131" s="1"/>
  <c r="AR121" i="131"/>
  <c r="AX121" i="131" s="1"/>
  <c r="AR102" i="131"/>
  <c r="AX102" i="131" s="1"/>
  <c r="AD102" i="131"/>
  <c r="AK102" i="131"/>
  <c r="AQ102" i="131" s="1"/>
  <c r="W102" i="131"/>
  <c r="P102" i="131"/>
  <c r="W93" i="131"/>
  <c r="AC93" i="131" s="1"/>
  <c r="AR93" i="131"/>
  <c r="AK93" i="131"/>
  <c r="AD93" i="131"/>
  <c r="AJ93" i="131" s="1"/>
  <c r="P93" i="131"/>
  <c r="AD32" i="131"/>
  <c r="AJ32" i="131" s="1"/>
  <c r="W32" i="131"/>
  <c r="AR32" i="131"/>
  <c r="AK32" i="131"/>
  <c r="AQ32" i="131" s="1"/>
  <c r="P32" i="131"/>
  <c r="AK19" i="131"/>
  <c r="W19" i="131"/>
  <c r="AC19" i="131" s="1"/>
  <c r="AD19" i="131"/>
  <c r="AR19" i="131"/>
  <c r="AX19" i="131" s="1"/>
  <c r="P19" i="131"/>
  <c r="AD614" i="131"/>
  <c r="P614" i="131"/>
  <c r="W614" i="131"/>
  <c r="AK614" i="131"/>
  <c r="AQ614" i="131" s="1"/>
  <c r="AR614" i="131"/>
  <c r="AX614" i="131" s="1"/>
  <c r="AK550" i="131"/>
  <c r="AQ550" i="131" s="1"/>
  <c r="AD550" i="131"/>
  <c r="AJ550" i="131" s="1"/>
  <c r="W550" i="131"/>
  <c r="AC550" i="131" s="1"/>
  <c r="P550" i="131"/>
  <c r="V550" i="131" s="1"/>
  <c r="AR550" i="131"/>
  <c r="AX550" i="131" s="1"/>
  <c r="AR489" i="131"/>
  <c r="P489" i="131"/>
  <c r="AD489" i="131"/>
  <c r="AJ489" i="131" s="1"/>
  <c r="AK489" i="131"/>
  <c r="AQ489" i="131" s="1"/>
  <c r="W489" i="131"/>
  <c r="AC489" i="131" s="1"/>
  <c r="AR457" i="131"/>
  <c r="AK457" i="131"/>
  <c r="P457" i="131"/>
  <c r="V457" i="131" s="1"/>
  <c r="AD457" i="131"/>
  <c r="W457" i="131"/>
  <c r="AD353" i="131"/>
  <c r="AJ353" i="131" s="1"/>
  <c r="AR353" i="131"/>
  <c r="AX353" i="131" s="1"/>
  <c r="AK353" i="131"/>
  <c r="AQ353" i="131" s="1"/>
  <c r="W353" i="131"/>
  <c r="P353" i="131"/>
  <c r="P640" i="131"/>
  <c r="V640" i="131" s="1"/>
  <c r="AK640" i="131"/>
  <c r="AR640" i="131"/>
  <c r="W640" i="131"/>
  <c r="AC640" i="131" s="1"/>
  <c r="AD640" i="131"/>
  <c r="AK176" i="131"/>
  <c r="AQ176" i="131" s="1"/>
  <c r="W176" i="131"/>
  <c r="AD176" i="131"/>
  <c r="AR176" i="131"/>
  <c r="AX176" i="131" s="1"/>
  <c r="P176" i="131"/>
  <c r="AK267" i="131"/>
  <c r="AD267" i="131"/>
  <c r="AJ267" i="131" s="1"/>
  <c r="AR267" i="131"/>
  <c r="P267" i="131"/>
  <c r="V267" i="131" s="1"/>
  <c r="W267" i="131"/>
  <c r="AK192" i="131"/>
  <c r="W192" i="131"/>
  <c r="AC192" i="131" s="1"/>
  <c r="P192" i="131"/>
  <c r="AD192" i="131"/>
  <c r="AR192" i="131"/>
  <c r="AX192" i="131" s="1"/>
  <c r="W29" i="131"/>
  <c r="AD29" i="131"/>
  <c r="AJ29" i="131" s="1"/>
  <c r="AR29" i="131"/>
  <c r="AK29" i="131"/>
  <c r="P29" i="131"/>
  <c r="V29" i="131" s="1"/>
  <c r="AK190" i="131"/>
  <c r="W190" i="131"/>
  <c r="P190" i="131"/>
  <c r="V190" i="131" s="1"/>
  <c r="AD190" i="131"/>
  <c r="AJ190" i="131" s="1"/>
  <c r="AR190" i="131"/>
  <c r="AX190" i="131" s="1"/>
  <c r="AR86" i="131"/>
  <c r="AD86" i="131"/>
  <c r="AK86" i="131"/>
  <c r="AQ86" i="131" s="1"/>
  <c r="W86" i="131"/>
  <c r="P86" i="131"/>
  <c r="V86" i="131" s="1"/>
  <c r="W100" i="131"/>
  <c r="AC100" i="131" s="1"/>
  <c r="AR100" i="131"/>
  <c r="AX100" i="131" s="1"/>
  <c r="AK100" i="131"/>
  <c r="AQ100" i="131" s="1"/>
  <c r="AD100" i="131"/>
  <c r="P100" i="131"/>
  <c r="AK443" i="131"/>
  <c r="AQ443" i="131" s="1"/>
  <c r="AD443" i="131"/>
  <c r="AJ443" i="131" s="1"/>
  <c r="W443" i="131"/>
  <c r="AC443" i="131" s="1"/>
  <c r="P443" i="131"/>
  <c r="V443" i="131" s="1"/>
  <c r="AR443" i="131"/>
  <c r="AX443" i="131" s="1"/>
  <c r="AK105" i="131"/>
  <c r="AQ105" i="131" s="1"/>
  <c r="AD105" i="131"/>
  <c r="W105" i="131"/>
  <c r="AR105" i="131"/>
  <c r="AX105" i="131" s="1"/>
  <c r="P105" i="131"/>
  <c r="AR637" i="131"/>
  <c r="AD637" i="131"/>
  <c r="AJ637" i="131" s="1"/>
  <c r="AK637" i="131"/>
  <c r="P637" i="131"/>
  <c r="V637" i="131" s="1"/>
  <c r="W637" i="131"/>
  <c r="AK578" i="131"/>
  <c r="W578" i="131"/>
  <c r="AC578" i="131" s="1"/>
  <c r="AR578" i="131"/>
  <c r="P578" i="131"/>
  <c r="AD578" i="131"/>
  <c r="AJ578" i="131" s="1"/>
  <c r="AK477" i="131"/>
  <c r="AR477" i="131"/>
  <c r="AX477" i="131" s="1"/>
  <c r="W477" i="131"/>
  <c r="AD477" i="131"/>
  <c r="P477" i="131"/>
  <c r="V477" i="131" s="1"/>
  <c r="AR465" i="131"/>
  <c r="AK465" i="131"/>
  <c r="P465" i="131"/>
  <c r="V465" i="131" s="1"/>
  <c r="AD465" i="131"/>
  <c r="W465" i="131"/>
  <c r="AC465" i="131" s="1"/>
  <c r="W454" i="131"/>
  <c r="AK454" i="131"/>
  <c r="AR454" i="131"/>
  <c r="AX454" i="131" s="1"/>
  <c r="P454" i="131"/>
  <c r="AD454" i="131"/>
  <c r="AK348" i="131"/>
  <c r="AQ348" i="131" s="1"/>
  <c r="P348" i="131"/>
  <c r="V348" i="131" s="1"/>
  <c r="AD348" i="131"/>
  <c r="AJ348" i="131" s="1"/>
  <c r="W348" i="131"/>
  <c r="AR348" i="131"/>
  <c r="AD352" i="131"/>
  <c r="AJ352" i="131" s="1"/>
  <c r="AR352" i="131"/>
  <c r="W352" i="131"/>
  <c r="AK352" i="131"/>
  <c r="AQ352" i="131" s="1"/>
  <c r="P352" i="131"/>
  <c r="AK266" i="131"/>
  <c r="AQ266" i="131" s="1"/>
  <c r="W266" i="131"/>
  <c r="AR266" i="131"/>
  <c r="P266" i="131"/>
  <c r="V266" i="131" s="1"/>
  <c r="AD266" i="131"/>
  <c r="AR338" i="131"/>
  <c r="AK338" i="131"/>
  <c r="AQ338" i="131" s="1"/>
  <c r="P338" i="131"/>
  <c r="V338" i="131" s="1"/>
  <c r="AD338" i="131"/>
  <c r="AJ338" i="131" s="1"/>
  <c r="W338" i="131"/>
  <c r="AC338" i="131" s="1"/>
  <c r="AK167" i="131"/>
  <c r="W167" i="131"/>
  <c r="AC167" i="131" s="1"/>
  <c r="P167" i="131"/>
  <c r="AR167" i="131"/>
  <c r="AD167" i="131"/>
  <c r="AJ167" i="131" s="1"/>
  <c r="W241" i="131"/>
  <c r="AK241" i="131"/>
  <c r="AQ241" i="131" s="1"/>
  <c r="AD241" i="131"/>
  <c r="AR241" i="131"/>
  <c r="P241" i="131"/>
  <c r="V241" i="131" s="1"/>
  <c r="AK183" i="131"/>
  <c r="W183" i="131"/>
  <c r="AR183" i="131"/>
  <c r="AX183" i="131" s="1"/>
  <c r="P183" i="131"/>
  <c r="AD183" i="131"/>
  <c r="AJ183" i="131" s="1"/>
  <c r="AR172" i="131"/>
  <c r="AD172" i="131"/>
  <c r="P172" i="131"/>
  <c r="V172" i="131" s="1"/>
  <c r="AK172" i="131"/>
  <c r="W172" i="131"/>
  <c r="AR94" i="131"/>
  <c r="AX94" i="131" s="1"/>
  <c r="AD94" i="131"/>
  <c r="W94" i="131"/>
  <c r="AC94" i="131" s="1"/>
  <c r="AK94" i="131"/>
  <c r="P94" i="131"/>
  <c r="AR132" i="131"/>
  <c r="AX132" i="131" s="1"/>
  <c r="AD132" i="131"/>
  <c r="P132" i="131"/>
  <c r="W132" i="131"/>
  <c r="AC132" i="131" s="1"/>
  <c r="AK132" i="131"/>
  <c r="AD14" i="131"/>
  <c r="AJ14" i="131" s="1"/>
  <c r="W14" i="131"/>
  <c r="AC14" i="131" s="1"/>
  <c r="AR14" i="131"/>
  <c r="AX14" i="131" s="1"/>
  <c r="AK14" i="131"/>
  <c r="AQ14" i="131" s="1"/>
  <c r="P14" i="131"/>
  <c r="AR605" i="131"/>
  <c r="AD605" i="131"/>
  <c r="AJ605" i="131" s="1"/>
  <c r="AK605" i="131"/>
  <c r="P605" i="131"/>
  <c r="V605" i="131" s="1"/>
  <c r="W605" i="131"/>
  <c r="W619" i="131"/>
  <c r="AR619" i="131"/>
  <c r="AX619" i="131" s="1"/>
  <c r="AD619" i="131"/>
  <c r="AK619" i="131"/>
  <c r="P619" i="131"/>
  <c r="V619" i="131" s="1"/>
  <c r="AD582" i="131"/>
  <c r="P582" i="131"/>
  <c r="V582" i="131" s="1"/>
  <c r="W582" i="131"/>
  <c r="AK582" i="131"/>
  <c r="AR582" i="131"/>
  <c r="AX582" i="131" s="1"/>
  <c r="AD367" i="131"/>
  <c r="AR367" i="131"/>
  <c r="W367" i="131"/>
  <c r="AC367" i="131" s="1"/>
  <c r="AK367" i="131"/>
  <c r="P367" i="131"/>
  <c r="V367" i="131" s="1"/>
  <c r="AK336" i="131"/>
  <c r="AQ336" i="131" s="1"/>
  <c r="AR336" i="131"/>
  <c r="AX336" i="131" s="1"/>
  <c r="AD336" i="131"/>
  <c r="AJ336" i="131" s="1"/>
  <c r="W336" i="131"/>
  <c r="AC336" i="131" s="1"/>
  <c r="P336" i="131"/>
  <c r="V336" i="131" s="1"/>
  <c r="P601" i="131"/>
  <c r="V601" i="131" s="1"/>
  <c r="AK601" i="131"/>
  <c r="W601" i="131"/>
  <c r="AC601" i="131" s="1"/>
  <c r="AD601" i="131"/>
  <c r="AR601" i="131"/>
  <c r="P617" i="131"/>
  <c r="V617" i="131" s="1"/>
  <c r="AK617" i="131"/>
  <c r="W617" i="131"/>
  <c r="AD617" i="131"/>
  <c r="AJ617" i="131" s="1"/>
  <c r="AR617" i="131"/>
  <c r="AR171" i="131"/>
  <c r="AX171" i="131" s="1"/>
  <c r="AD171" i="131"/>
  <c r="P171" i="131"/>
  <c r="W171" i="131"/>
  <c r="AC171" i="131" s="1"/>
  <c r="AK171" i="131"/>
  <c r="W101" i="131"/>
  <c r="AR101" i="131"/>
  <c r="AX101" i="131" s="1"/>
  <c r="AK101" i="131"/>
  <c r="AD101" i="131"/>
  <c r="AJ101" i="131" s="1"/>
  <c r="P101" i="131"/>
  <c r="W28" i="131"/>
  <c r="AR28" i="131"/>
  <c r="AX28" i="131" s="1"/>
  <c r="AD28" i="131"/>
  <c r="AK28" i="131"/>
  <c r="P28" i="131"/>
  <c r="V28" i="131" s="1"/>
  <c r="P648" i="131"/>
  <c r="AK648" i="131"/>
  <c r="AQ648" i="131" s="1"/>
  <c r="W648" i="131"/>
  <c r="AD648" i="131"/>
  <c r="AR648" i="131"/>
  <c r="AX648" i="131" s="1"/>
  <c r="W588" i="131"/>
  <c r="AR588" i="131"/>
  <c r="AD588" i="131"/>
  <c r="AJ588" i="131" s="1"/>
  <c r="AK588" i="131"/>
  <c r="P588" i="131"/>
  <c r="V588" i="131" s="1"/>
  <c r="AK483" i="131"/>
  <c r="AQ483" i="131" s="1"/>
  <c r="AD483" i="131"/>
  <c r="W483" i="131"/>
  <c r="AC483" i="131" s="1"/>
  <c r="AR483" i="131"/>
  <c r="P483" i="131"/>
  <c r="V483" i="131" s="1"/>
  <c r="W555" i="131"/>
  <c r="AC555" i="131" s="1"/>
  <c r="AR555" i="131"/>
  <c r="AD555" i="131"/>
  <c r="AJ555" i="131" s="1"/>
  <c r="AK555" i="131"/>
  <c r="AQ555" i="131" s="1"/>
  <c r="P555" i="131"/>
  <c r="AR621" i="131"/>
  <c r="AX621" i="131" s="1"/>
  <c r="AD621" i="131"/>
  <c r="AK621" i="131"/>
  <c r="P621" i="131"/>
  <c r="V621" i="131" s="1"/>
  <c r="W621" i="131"/>
  <c r="AD622" i="131"/>
  <c r="AJ622" i="131" s="1"/>
  <c r="P622" i="131"/>
  <c r="AK622" i="131"/>
  <c r="AR622" i="131"/>
  <c r="AX622" i="131" s="1"/>
  <c r="W622" i="131"/>
  <c r="AK626" i="131"/>
  <c r="W626" i="131"/>
  <c r="AC626" i="131" s="1"/>
  <c r="AR626" i="131"/>
  <c r="P626" i="131"/>
  <c r="V626" i="131" s="1"/>
  <c r="AD626" i="131"/>
  <c r="P600" i="131"/>
  <c r="AK600" i="131"/>
  <c r="AQ600" i="131" s="1"/>
  <c r="W600" i="131"/>
  <c r="AD600" i="131"/>
  <c r="AR600" i="131"/>
  <c r="AX600" i="131" s="1"/>
  <c r="P593" i="131"/>
  <c r="V593" i="131" s="1"/>
  <c r="AK593" i="131"/>
  <c r="AQ593" i="131" s="1"/>
  <c r="W593" i="131"/>
  <c r="AR593" i="131"/>
  <c r="AD593" i="131"/>
  <c r="AJ593" i="131" s="1"/>
  <c r="AR581" i="131"/>
  <c r="AX581" i="131" s="1"/>
  <c r="AD581" i="131"/>
  <c r="P581" i="131"/>
  <c r="V581" i="131" s="1"/>
  <c r="W581" i="131"/>
  <c r="AC581" i="131" s="1"/>
  <c r="AK581" i="131"/>
  <c r="AQ581" i="131" s="1"/>
  <c r="P592" i="131"/>
  <c r="AK592" i="131"/>
  <c r="AR592" i="131"/>
  <c r="AX592" i="131" s="1"/>
  <c r="W592" i="131"/>
  <c r="AD592" i="131"/>
  <c r="AJ592" i="131" s="1"/>
  <c r="AD566" i="131"/>
  <c r="AJ566" i="131" s="1"/>
  <c r="P566" i="131"/>
  <c r="V566" i="131" s="1"/>
  <c r="W566" i="131"/>
  <c r="AC566" i="131" s="1"/>
  <c r="AK566" i="131"/>
  <c r="AQ566" i="131" s="1"/>
  <c r="AR566" i="131"/>
  <c r="AR471" i="131"/>
  <c r="AX471" i="131" s="1"/>
  <c r="W471" i="131"/>
  <c r="AC471" i="131" s="1"/>
  <c r="P471" i="131"/>
  <c r="AD471" i="131"/>
  <c r="AJ471" i="131" s="1"/>
  <c r="AK471" i="131"/>
  <c r="AQ471" i="131" s="1"/>
  <c r="AR557" i="131"/>
  <c r="AX557" i="131" s="1"/>
  <c r="AD557" i="131"/>
  <c r="AK557" i="131"/>
  <c r="P557" i="131"/>
  <c r="V557" i="131" s="1"/>
  <c r="W557" i="131"/>
  <c r="AC557" i="131" s="1"/>
  <c r="AR378" i="131"/>
  <c r="W378" i="131"/>
  <c r="AC378" i="131" s="1"/>
  <c r="AK378" i="131"/>
  <c r="P378" i="131"/>
  <c r="V378" i="131" s="1"/>
  <c r="AD378" i="131"/>
  <c r="AR449" i="131"/>
  <c r="AK449" i="131"/>
  <c r="AQ449" i="131" s="1"/>
  <c r="P449" i="131"/>
  <c r="AD449" i="131"/>
  <c r="W449" i="131"/>
  <c r="AC449" i="131" s="1"/>
  <c r="AK381" i="131"/>
  <c r="AD381" i="131"/>
  <c r="AJ381" i="131" s="1"/>
  <c r="AR381" i="131"/>
  <c r="W381" i="131"/>
  <c r="P381" i="131"/>
  <c r="V381" i="131" s="1"/>
  <c r="W372" i="131"/>
  <c r="AK372" i="131"/>
  <c r="AD372" i="131"/>
  <c r="AJ372" i="131" s="1"/>
  <c r="P372" i="131"/>
  <c r="V372" i="131" s="1"/>
  <c r="AR372" i="131"/>
  <c r="AX372" i="131" s="1"/>
  <c r="AK349" i="131"/>
  <c r="AD349" i="131"/>
  <c r="W349" i="131"/>
  <c r="AC349" i="131" s="1"/>
  <c r="AR349" i="131"/>
  <c r="P349" i="131"/>
  <c r="AR263" i="131"/>
  <c r="AX263" i="131" s="1"/>
  <c r="P263" i="131"/>
  <c r="W263" i="131"/>
  <c r="AC263" i="131" s="1"/>
  <c r="AD263" i="131"/>
  <c r="AK263" i="131"/>
  <c r="AK275" i="131"/>
  <c r="AQ275" i="131" s="1"/>
  <c r="AD275" i="131"/>
  <c r="AJ275" i="131" s="1"/>
  <c r="P275" i="131"/>
  <c r="V275" i="131" s="1"/>
  <c r="W275" i="131"/>
  <c r="AC275" i="131" s="1"/>
  <c r="AR275" i="131"/>
  <c r="AX275" i="131" s="1"/>
  <c r="AR354" i="131"/>
  <c r="AX354" i="131" s="1"/>
  <c r="AK354" i="131"/>
  <c r="AD354" i="131"/>
  <c r="P354" i="131"/>
  <c r="V354" i="131" s="1"/>
  <c r="W354" i="131"/>
  <c r="AK242" i="131"/>
  <c r="AD242" i="131"/>
  <c r="AJ242" i="131" s="1"/>
  <c r="AR242" i="131"/>
  <c r="AX242" i="131" s="1"/>
  <c r="P242" i="131"/>
  <c r="V242" i="131" s="1"/>
  <c r="W242" i="131"/>
  <c r="AR189" i="131"/>
  <c r="W189" i="131"/>
  <c r="AC189" i="131" s="1"/>
  <c r="P189" i="131"/>
  <c r="AK189" i="131"/>
  <c r="AD189" i="131"/>
  <c r="AJ189" i="131" s="1"/>
  <c r="AD270" i="131"/>
  <c r="AJ270" i="131" s="1"/>
  <c r="AR270" i="131"/>
  <c r="AX270" i="131" s="1"/>
  <c r="P270" i="131"/>
  <c r="AK270" i="131"/>
  <c r="W270" i="131"/>
  <c r="AC270" i="131" s="1"/>
  <c r="AD237" i="131"/>
  <c r="AR237" i="131"/>
  <c r="AX237" i="131" s="1"/>
  <c r="P237" i="131"/>
  <c r="V237" i="131" s="1"/>
  <c r="W237" i="131"/>
  <c r="AK237" i="131"/>
  <c r="AQ237" i="131" s="1"/>
  <c r="AR123" i="131"/>
  <c r="AX123" i="131" s="1"/>
  <c r="AD123" i="131"/>
  <c r="P123" i="131"/>
  <c r="V123" i="131" s="1"/>
  <c r="AK123" i="131"/>
  <c r="W123" i="131"/>
  <c r="AK127" i="131"/>
  <c r="AQ127" i="131" s="1"/>
  <c r="W127" i="131"/>
  <c r="AR127" i="131"/>
  <c r="AX127" i="131" s="1"/>
  <c r="P127" i="131"/>
  <c r="AD127" i="131"/>
  <c r="AR185" i="131"/>
  <c r="AX185" i="131" s="1"/>
  <c r="W185" i="131"/>
  <c r="AC185" i="131" s="1"/>
  <c r="P185" i="131"/>
  <c r="V185" i="131" s="1"/>
  <c r="AD185" i="131"/>
  <c r="AJ185" i="131" s="1"/>
  <c r="AK185" i="131"/>
  <c r="AQ185" i="131" s="1"/>
  <c r="W108" i="131"/>
  <c r="AC108" i="131" s="1"/>
  <c r="AR108" i="131"/>
  <c r="AX108" i="131" s="1"/>
  <c r="AD108" i="131"/>
  <c r="AJ108" i="131" s="1"/>
  <c r="AK108" i="131"/>
  <c r="AQ108" i="131" s="1"/>
  <c r="P108" i="131"/>
  <c r="V108" i="131" s="1"/>
  <c r="W84" i="131"/>
  <c r="AR84" i="131"/>
  <c r="AX84" i="131" s="1"/>
  <c r="AK84" i="131"/>
  <c r="AQ84" i="131" s="1"/>
  <c r="AD84" i="131"/>
  <c r="AJ84" i="131" s="1"/>
  <c r="P84" i="131"/>
  <c r="AK570" i="131"/>
  <c r="W570" i="131"/>
  <c r="AC570" i="131" s="1"/>
  <c r="AR570" i="131"/>
  <c r="AD570" i="131"/>
  <c r="P570" i="131"/>
  <c r="V570" i="131" s="1"/>
  <c r="AR542" i="131"/>
  <c r="W542" i="131"/>
  <c r="AC542" i="131" s="1"/>
  <c r="AK542" i="131"/>
  <c r="AD542" i="131"/>
  <c r="P542" i="131"/>
  <c r="V542" i="131" s="1"/>
  <c r="AR481" i="131"/>
  <c r="AX481" i="131" s="1"/>
  <c r="AK481" i="131"/>
  <c r="P481" i="131"/>
  <c r="V481" i="131" s="1"/>
  <c r="AD481" i="131"/>
  <c r="AJ481" i="131" s="1"/>
  <c r="W481" i="131"/>
  <c r="AC481" i="131" s="1"/>
  <c r="AD350" i="131"/>
  <c r="AJ350" i="131" s="1"/>
  <c r="AR350" i="131"/>
  <c r="W350" i="131"/>
  <c r="AC350" i="131" s="1"/>
  <c r="P350" i="131"/>
  <c r="V350" i="131" s="1"/>
  <c r="AK350" i="131"/>
  <c r="AQ350" i="131" s="1"/>
  <c r="AR573" i="131"/>
  <c r="AX573" i="131" s="1"/>
  <c r="AD573" i="131"/>
  <c r="AK573" i="131"/>
  <c r="AQ573" i="131" s="1"/>
  <c r="P573" i="131"/>
  <c r="W573" i="131"/>
  <c r="AR125" i="131"/>
  <c r="AX125" i="131" s="1"/>
  <c r="W125" i="131"/>
  <c r="AC125" i="131" s="1"/>
  <c r="P125" i="131"/>
  <c r="V125" i="131" s="1"/>
  <c r="AK125" i="131"/>
  <c r="AQ125" i="131" s="1"/>
  <c r="AD125" i="131"/>
  <c r="AJ125" i="131" s="1"/>
  <c r="AK251" i="131"/>
  <c r="AQ251" i="131" s="1"/>
  <c r="AD251" i="131"/>
  <c r="AJ251" i="131" s="1"/>
  <c r="AR251" i="131"/>
  <c r="P251" i="131"/>
  <c r="V251" i="131" s="1"/>
  <c r="W251" i="131"/>
  <c r="AC251" i="131" s="1"/>
  <c r="AR22" i="131"/>
  <c r="AX22" i="131" s="1"/>
  <c r="AD22" i="131"/>
  <c r="AJ22" i="131" s="1"/>
  <c r="AK22" i="131"/>
  <c r="AQ22" i="131" s="1"/>
  <c r="W22" i="131"/>
  <c r="AC22" i="131" s="1"/>
  <c r="P22" i="131"/>
  <c r="V22" i="131" s="1"/>
  <c r="AK184" i="131"/>
  <c r="W184" i="131"/>
  <c r="AC184" i="131" s="1"/>
  <c r="AD184" i="131"/>
  <c r="AJ184" i="131" s="1"/>
  <c r="AR184" i="131"/>
  <c r="P184" i="131"/>
  <c r="V184" i="131" s="1"/>
  <c r="AR466" i="131"/>
  <c r="AX466" i="131" s="1"/>
  <c r="AK466" i="131"/>
  <c r="AQ466" i="131" s="1"/>
  <c r="P466" i="131"/>
  <c r="V466" i="131" s="1"/>
  <c r="AD466" i="131"/>
  <c r="AJ466" i="131" s="1"/>
  <c r="W466" i="131"/>
  <c r="AC466" i="131" s="1"/>
  <c r="AD236" i="131"/>
  <c r="AJ236" i="131" s="1"/>
  <c r="AR236" i="131"/>
  <c r="P236" i="131"/>
  <c r="V236" i="131" s="1"/>
  <c r="W236" i="131"/>
  <c r="AC236" i="131" s="1"/>
  <c r="AK236" i="131"/>
  <c r="AQ236" i="131" s="1"/>
  <c r="P609" i="131"/>
  <c r="V609" i="131" s="1"/>
  <c r="AK609" i="131"/>
  <c r="W609" i="131"/>
  <c r="AC609" i="131" s="1"/>
  <c r="AR609" i="131"/>
  <c r="AX609" i="131" s="1"/>
  <c r="AD609" i="131"/>
  <c r="AK259" i="131"/>
  <c r="AQ259" i="131" s="1"/>
  <c r="AD259" i="131"/>
  <c r="AJ259" i="131" s="1"/>
  <c r="P259" i="131"/>
  <c r="V259" i="131" s="1"/>
  <c r="AR259" i="131"/>
  <c r="AX259" i="131" s="1"/>
  <c r="W259" i="131"/>
  <c r="AC228" i="131"/>
  <c r="AX338" i="131"/>
  <c r="AQ16" i="131"/>
  <c r="AX16" i="131"/>
  <c r="AC553" i="131"/>
  <c r="AJ553" i="131"/>
  <c r="AC339" i="131"/>
  <c r="V552" i="131"/>
  <c r="AC552" i="131"/>
  <c r="AJ552" i="131"/>
  <c r="AC121" i="131"/>
  <c r="AX231" i="131"/>
  <c r="V231" i="131"/>
  <c r="BT86" i="130"/>
  <c r="BS86" i="130"/>
  <c r="BR86" i="130"/>
  <c r="BQ86" i="130"/>
  <c r="BO86" i="130"/>
  <c r="BP86" i="130"/>
  <c r="BP83" i="130"/>
  <c r="BO83" i="130"/>
  <c r="BT83" i="130"/>
  <c r="BS83" i="130"/>
  <c r="BQ83" i="130"/>
  <c r="BR83" i="130"/>
  <c r="BP79" i="130"/>
  <c r="BO79" i="130"/>
  <c r="BT79" i="130"/>
  <c r="BS79" i="130"/>
  <c r="BQ79" i="130"/>
  <c r="BR79" i="130"/>
  <c r="BR68" i="130"/>
  <c r="BQ68" i="130"/>
  <c r="BP68" i="130"/>
  <c r="BO68" i="130"/>
  <c r="BS68" i="130"/>
  <c r="BT68" i="130"/>
  <c r="BR108" i="130"/>
  <c r="BQ108" i="130"/>
  <c r="BP108" i="130"/>
  <c r="BO108" i="130"/>
  <c r="BS108" i="130"/>
  <c r="BT108" i="130"/>
  <c r="BT105" i="130"/>
  <c r="BS105" i="130"/>
  <c r="BR105" i="130"/>
  <c r="BQ105" i="130"/>
  <c r="BP105" i="130"/>
  <c r="BO105" i="130"/>
  <c r="BP111" i="130"/>
  <c r="BO111" i="130"/>
  <c r="BT111" i="130"/>
  <c r="BS111" i="130"/>
  <c r="BQ111" i="130"/>
  <c r="BR111" i="130"/>
  <c r="BP99" i="130"/>
  <c r="BO99" i="130"/>
  <c r="BT99" i="130"/>
  <c r="BS99" i="130"/>
  <c r="BQ99" i="130"/>
  <c r="BR99" i="130"/>
  <c r="BP103" i="130"/>
  <c r="BO103" i="130"/>
  <c r="BT103" i="130"/>
  <c r="BS103" i="130"/>
  <c r="BQ103" i="130"/>
  <c r="BR103" i="130"/>
  <c r="BP87" i="130"/>
  <c r="BO87" i="130"/>
  <c r="BT87" i="130"/>
  <c r="BS87" i="130"/>
  <c r="BQ87" i="130"/>
  <c r="BR87" i="130"/>
  <c r="BT113" i="130"/>
  <c r="BS113" i="130"/>
  <c r="BR113" i="130"/>
  <c r="BQ113" i="130"/>
  <c r="BP113" i="130"/>
  <c r="BO113" i="130"/>
  <c r="BQ623" i="131"/>
  <c r="BP623" i="131"/>
  <c r="BO623" i="131"/>
  <c r="BT623" i="131"/>
  <c r="BS623" i="131"/>
  <c r="BR623" i="131"/>
  <c r="BT377" i="131"/>
  <c r="BR377" i="131"/>
  <c r="BQ377" i="131"/>
  <c r="BP377" i="131"/>
  <c r="BO377" i="131"/>
  <c r="BS377" i="131"/>
  <c r="BO474" i="131"/>
  <c r="BT474" i="131"/>
  <c r="BS474" i="131"/>
  <c r="BR474" i="131"/>
  <c r="BP474" i="131"/>
  <c r="BQ474" i="131"/>
  <c r="BP634" i="131"/>
  <c r="BO634" i="131"/>
  <c r="BS634" i="131"/>
  <c r="BT634" i="131"/>
  <c r="BR634" i="131"/>
  <c r="BQ634" i="131"/>
  <c r="BR343" i="131"/>
  <c r="BP343" i="131"/>
  <c r="BO343" i="131"/>
  <c r="BS343" i="131"/>
  <c r="BT343" i="131"/>
  <c r="BQ343" i="131"/>
  <c r="BT382" i="131"/>
  <c r="BS382" i="131"/>
  <c r="BR382" i="131"/>
  <c r="BQ382" i="131"/>
  <c r="BP382" i="131"/>
  <c r="BO382" i="131"/>
  <c r="BR359" i="131"/>
  <c r="BP359" i="131"/>
  <c r="BO359" i="131"/>
  <c r="BS359" i="131"/>
  <c r="BT359" i="131"/>
  <c r="BQ359" i="131"/>
  <c r="BT174" i="131"/>
  <c r="BS174" i="131"/>
  <c r="BR174" i="131"/>
  <c r="BQ174" i="131"/>
  <c r="BP174" i="131"/>
  <c r="BO174" i="131"/>
  <c r="BO92" i="131"/>
  <c r="BT92" i="131"/>
  <c r="BP92" i="131"/>
  <c r="BS92" i="131"/>
  <c r="BR92" i="131"/>
  <c r="BQ92" i="131"/>
  <c r="BQ639" i="131"/>
  <c r="BP639" i="131"/>
  <c r="BO639" i="131"/>
  <c r="BT639" i="131"/>
  <c r="BR639" i="131"/>
  <c r="BS639" i="131"/>
  <c r="BP451" i="131"/>
  <c r="BO451" i="131"/>
  <c r="BT451" i="131"/>
  <c r="BS451" i="131"/>
  <c r="BQ451" i="131"/>
  <c r="BR451" i="131"/>
  <c r="BS356" i="131"/>
  <c r="BQ356" i="131"/>
  <c r="BP356" i="131"/>
  <c r="BO356" i="131"/>
  <c r="BT356" i="131"/>
  <c r="BR356" i="131"/>
  <c r="BT453" i="131"/>
  <c r="BS453" i="131"/>
  <c r="BR453" i="131"/>
  <c r="BQ453" i="131"/>
  <c r="BO453" i="131"/>
  <c r="BP453" i="131"/>
  <c r="BO629" i="131"/>
  <c r="BT629" i="131"/>
  <c r="BR629" i="131"/>
  <c r="BS629" i="131"/>
  <c r="BQ629" i="131"/>
  <c r="BP629" i="131"/>
  <c r="BP238" i="131"/>
  <c r="BO238" i="131"/>
  <c r="BT238" i="131"/>
  <c r="BS238" i="131"/>
  <c r="BQ238" i="131"/>
  <c r="BR238" i="131"/>
  <c r="BO482" i="131"/>
  <c r="BT482" i="131"/>
  <c r="BS482" i="131"/>
  <c r="BR482" i="131"/>
  <c r="BP482" i="131"/>
  <c r="BQ482" i="131"/>
  <c r="BT26" i="131"/>
  <c r="BS26" i="131"/>
  <c r="BR26" i="131"/>
  <c r="BQ26" i="131"/>
  <c r="BP26" i="131"/>
  <c r="BO26" i="131"/>
  <c r="BS88" i="131"/>
  <c r="BR88" i="131"/>
  <c r="BQ88" i="131"/>
  <c r="BP88" i="131"/>
  <c r="BT88" i="131"/>
  <c r="BO88" i="131"/>
  <c r="AC559" i="131"/>
  <c r="BP583" i="131"/>
  <c r="BO583" i="131"/>
  <c r="BT583" i="131"/>
  <c r="BS583" i="131"/>
  <c r="BQ583" i="131"/>
  <c r="BR583" i="131"/>
  <c r="BT111" i="131"/>
  <c r="BS111" i="131"/>
  <c r="BR111" i="131"/>
  <c r="BQ111" i="131"/>
  <c r="BO111" i="131"/>
  <c r="BP111" i="131"/>
  <c r="BS112" i="131"/>
  <c r="BR112" i="131"/>
  <c r="BQ112" i="131"/>
  <c r="BP112" i="131"/>
  <c r="BO112" i="131"/>
  <c r="BT112" i="131"/>
  <c r="BQ452" i="131"/>
  <c r="BT452" i="131"/>
  <c r="BR452" i="131"/>
  <c r="BO452" i="131"/>
  <c r="BP452" i="131"/>
  <c r="BS452" i="131"/>
  <c r="BQ133" i="131"/>
  <c r="BP133" i="131"/>
  <c r="BO133" i="131"/>
  <c r="BT133" i="131"/>
  <c r="BS133" i="131"/>
  <c r="BR133" i="131"/>
  <c r="BT347" i="131"/>
  <c r="BS347" i="131"/>
  <c r="BR347" i="131"/>
  <c r="BQ347" i="131"/>
  <c r="BO347" i="131"/>
  <c r="BP347" i="131"/>
  <c r="BP246" i="131"/>
  <c r="BO246" i="131"/>
  <c r="BT246" i="131"/>
  <c r="BS246" i="131"/>
  <c r="BR246" i="131"/>
  <c r="BQ246" i="131"/>
  <c r="BP89" i="131"/>
  <c r="BQ89" i="131"/>
  <c r="BO89" i="131"/>
  <c r="BT89" i="131"/>
  <c r="BS89" i="131"/>
  <c r="BR89" i="131"/>
  <c r="BS135" i="131"/>
  <c r="BR135" i="131"/>
  <c r="BQ135" i="131"/>
  <c r="BP135" i="131"/>
  <c r="BO135" i="131"/>
  <c r="BT135" i="131"/>
  <c r="BP591" i="131"/>
  <c r="BO591" i="131"/>
  <c r="BT591" i="131"/>
  <c r="BS591" i="131"/>
  <c r="BQ591" i="131"/>
  <c r="BR591" i="131"/>
  <c r="BP33" i="131"/>
  <c r="BQ33" i="131"/>
  <c r="BO33" i="131"/>
  <c r="BT33" i="131"/>
  <c r="BS33" i="131"/>
  <c r="BR33" i="131"/>
  <c r="BO594" i="131"/>
  <c r="BT594" i="131"/>
  <c r="BS594" i="131"/>
  <c r="BR594" i="131"/>
  <c r="BP594" i="131"/>
  <c r="BQ594" i="131"/>
  <c r="BP97" i="131"/>
  <c r="BO97" i="131"/>
  <c r="BQ97" i="131"/>
  <c r="BT97" i="131"/>
  <c r="BS97" i="131"/>
  <c r="BR97" i="131"/>
  <c r="BT137" i="131"/>
  <c r="BS137" i="131"/>
  <c r="BR137" i="131"/>
  <c r="BQ137" i="131"/>
  <c r="BP137" i="131"/>
  <c r="BO137" i="131"/>
  <c r="BS374" i="131"/>
  <c r="BR374" i="131"/>
  <c r="BQ374" i="131"/>
  <c r="BP374" i="131"/>
  <c r="BO374" i="131"/>
  <c r="BT374" i="131"/>
  <c r="BP254" i="131"/>
  <c r="BO254" i="131"/>
  <c r="BT254" i="131"/>
  <c r="BS254" i="131"/>
  <c r="BR254" i="131"/>
  <c r="BQ254" i="131"/>
  <c r="P69" i="130"/>
  <c r="V69" i="130" s="1"/>
  <c r="AD69" i="130"/>
  <c r="AJ69" i="130" s="1"/>
  <c r="AQ554" i="131"/>
  <c r="AX554" i="131"/>
  <c r="V551" i="131"/>
  <c r="AJ551" i="131"/>
  <c r="AQ556" i="131"/>
  <c r="AC556" i="131"/>
  <c r="BR170" i="131"/>
  <c r="BQ170" i="131"/>
  <c r="BP170" i="131"/>
  <c r="BO170" i="131"/>
  <c r="BS170" i="131"/>
  <c r="BT170" i="131"/>
  <c r="BP18" i="131"/>
  <c r="BR18" i="131"/>
  <c r="BO18" i="131"/>
  <c r="BT18" i="131"/>
  <c r="BS18" i="131"/>
  <c r="BQ18" i="131"/>
  <c r="BQ15" i="131"/>
  <c r="BP15" i="131"/>
  <c r="BS15" i="131"/>
  <c r="BO15" i="131"/>
  <c r="BT15" i="131"/>
  <c r="BR15" i="131"/>
  <c r="BT229" i="131"/>
  <c r="BS229" i="131"/>
  <c r="BR229" i="131"/>
  <c r="BO229" i="131"/>
  <c r="BQ229" i="131"/>
  <c r="BP229" i="131"/>
  <c r="BT234" i="131"/>
  <c r="BP234" i="131"/>
  <c r="BS234" i="131"/>
  <c r="BR234" i="131"/>
  <c r="BQ234" i="131"/>
  <c r="BO234" i="131"/>
  <c r="BT232" i="131"/>
  <c r="BS232" i="131"/>
  <c r="BR232" i="131"/>
  <c r="BQ232" i="131"/>
  <c r="BP232" i="131"/>
  <c r="BO232" i="131"/>
  <c r="BS446" i="131"/>
  <c r="BR446" i="131"/>
  <c r="BQ446" i="131"/>
  <c r="BP446" i="131"/>
  <c r="BO446" i="131"/>
  <c r="BT446" i="131"/>
  <c r="AK63" i="130"/>
  <c r="AQ63" i="130" s="1"/>
  <c r="AD63" i="130"/>
  <c r="AJ63" i="130" s="1"/>
  <c r="W63" i="130"/>
  <c r="AC63" i="130" s="1"/>
  <c r="P63" i="130"/>
  <c r="AD67" i="130"/>
  <c r="AJ67" i="130" s="1"/>
  <c r="W67" i="130"/>
  <c r="AC67" i="130" s="1"/>
  <c r="AK67" i="130"/>
  <c r="AQ67" i="130" s="1"/>
  <c r="P67" i="130"/>
  <c r="V67" i="130" s="1"/>
  <c r="AK65" i="130"/>
  <c r="AQ65" i="130" s="1"/>
  <c r="AD65" i="130"/>
  <c r="AJ65" i="130" s="1"/>
  <c r="W65" i="130"/>
  <c r="P65" i="130"/>
  <c r="V65" i="130" s="1"/>
  <c r="AK64" i="130"/>
  <c r="AQ64" i="130" s="1"/>
  <c r="AD64" i="130"/>
  <c r="AJ64" i="130" s="1"/>
  <c r="W64" i="130"/>
  <c r="P64" i="130"/>
  <c r="V64" i="130" s="1"/>
  <c r="AD66" i="130"/>
  <c r="AJ66" i="130" s="1"/>
  <c r="W66" i="130"/>
  <c r="P66" i="130"/>
  <c r="V66" i="130" s="1"/>
  <c r="AK66" i="130"/>
  <c r="AQ66" i="130" s="1"/>
  <c r="N106" i="130"/>
  <c r="N102" i="130"/>
  <c r="N78" i="130"/>
  <c r="N75" i="130"/>
  <c r="N70" i="130"/>
  <c r="N84" i="130"/>
  <c r="N96" i="130"/>
  <c r="N63" i="130"/>
  <c r="N67" i="130"/>
  <c r="N104" i="130"/>
  <c r="N110" i="130"/>
  <c r="N101" i="130"/>
  <c r="N91" i="130"/>
  <c r="N80" i="130"/>
  <c r="N77" i="130"/>
  <c r="N65" i="130"/>
  <c r="N73" i="130"/>
  <c r="N98" i="130"/>
  <c r="N85" i="130"/>
  <c r="N92" i="130"/>
  <c r="N90" i="130"/>
  <c r="N74" i="130"/>
  <c r="N89" i="130"/>
  <c r="N82" i="130"/>
  <c r="N88" i="130"/>
  <c r="N107" i="130"/>
  <c r="N72" i="130"/>
  <c r="N93" i="130"/>
  <c r="N97" i="130"/>
  <c r="N109" i="130"/>
  <c r="N95" i="130"/>
  <c r="N69" i="130"/>
  <c r="N71" i="130"/>
  <c r="N100" i="130"/>
  <c r="N76" i="130"/>
  <c r="N64" i="130"/>
  <c r="N66" i="130"/>
  <c r="N81" i="130"/>
  <c r="N94" i="130"/>
  <c r="N14" i="131"/>
  <c r="AJ613" i="131"/>
  <c r="AQ613" i="131"/>
  <c r="AC613" i="131"/>
  <c r="N613" i="131"/>
  <c r="N338" i="131"/>
  <c r="V253" i="131"/>
  <c r="AQ253" i="131"/>
  <c r="AJ253" i="131"/>
  <c r="N253" i="131"/>
  <c r="AX128" i="131"/>
  <c r="AQ128" i="131"/>
  <c r="V128" i="131"/>
  <c r="N128" i="131"/>
  <c r="AR112" i="130"/>
  <c r="AX112" i="130" s="1"/>
  <c r="N112" i="130"/>
  <c r="AC644" i="131"/>
  <c r="V644" i="131"/>
  <c r="AX644" i="131"/>
  <c r="N644" i="131"/>
  <c r="AC624" i="131"/>
  <c r="AQ624" i="131"/>
  <c r="V624" i="131"/>
  <c r="AX624" i="131"/>
  <c r="N624" i="131"/>
  <c r="AJ603" i="131"/>
  <c r="AC603" i="131"/>
  <c r="AQ603" i="131"/>
  <c r="N603" i="131"/>
  <c r="AC593" i="131"/>
  <c r="AX593" i="131"/>
  <c r="N593" i="131"/>
  <c r="AJ581" i="131"/>
  <c r="N581" i="131"/>
  <c r="V592" i="131"/>
  <c r="AQ592" i="131"/>
  <c r="AC592" i="131"/>
  <c r="N592" i="131"/>
  <c r="AX566" i="131"/>
  <c r="N566" i="131"/>
  <c r="AJ483" i="131"/>
  <c r="AX483" i="131"/>
  <c r="N483" i="131"/>
  <c r="V485" i="131"/>
  <c r="AQ485" i="131"/>
  <c r="AX485" i="131"/>
  <c r="N485" i="131"/>
  <c r="AC360" i="131"/>
  <c r="V360" i="131"/>
  <c r="AX360" i="131"/>
  <c r="N360" i="131"/>
  <c r="AX248" i="131"/>
  <c r="AQ248" i="131"/>
  <c r="AJ248" i="131"/>
  <c r="N248" i="131"/>
  <c r="AQ268" i="131"/>
  <c r="AJ268" i="131"/>
  <c r="AC268" i="131"/>
  <c r="N268" i="131"/>
  <c r="AX245" i="131"/>
  <c r="AQ245" i="131"/>
  <c r="AC245" i="131"/>
  <c r="N245" i="131"/>
  <c r="AJ255" i="131"/>
  <c r="AC255" i="131"/>
  <c r="V255" i="131"/>
  <c r="N255" i="131"/>
  <c r="AC177" i="131"/>
  <c r="AJ177" i="131"/>
  <c r="V177" i="131"/>
  <c r="N177" i="131"/>
  <c r="AC179" i="131"/>
  <c r="V179" i="131"/>
  <c r="AX179" i="131"/>
  <c r="N179" i="131"/>
  <c r="AQ228" i="131"/>
  <c r="N228" i="131"/>
  <c r="AJ136" i="131"/>
  <c r="V136" i="131"/>
  <c r="AQ136" i="131"/>
  <c r="N136" i="131"/>
  <c r="N185" i="131"/>
  <c r="N108" i="131"/>
  <c r="AX107" i="131"/>
  <c r="AC107" i="131"/>
  <c r="V107" i="131"/>
  <c r="N107" i="131"/>
  <c r="AC139" i="131"/>
  <c r="V139" i="131"/>
  <c r="AX139" i="131"/>
  <c r="AJ139" i="131"/>
  <c r="N139" i="131"/>
  <c r="AJ17" i="131"/>
  <c r="V17" i="131"/>
  <c r="N17" i="131"/>
  <c r="AX17" i="131"/>
  <c r="AC614" i="131"/>
  <c r="V614" i="131"/>
  <c r="AJ614" i="131"/>
  <c r="N614" i="131"/>
  <c r="N550" i="131"/>
  <c r="AX489" i="131"/>
  <c r="V489" i="131"/>
  <c r="N489" i="131"/>
  <c r="AJ457" i="131"/>
  <c r="AC457" i="131"/>
  <c r="AQ457" i="131"/>
  <c r="AX457" i="131"/>
  <c r="N457" i="131"/>
  <c r="AC353" i="131"/>
  <c r="V353" i="131"/>
  <c r="N353" i="131"/>
  <c r="AX640" i="131"/>
  <c r="AQ640" i="131"/>
  <c r="AJ640" i="131"/>
  <c r="N640" i="131"/>
  <c r="AC176" i="131"/>
  <c r="AJ176" i="131"/>
  <c r="V176" i="131"/>
  <c r="N176" i="131"/>
  <c r="AC267" i="131"/>
  <c r="AQ267" i="131"/>
  <c r="AX267" i="131"/>
  <c r="N267" i="131"/>
  <c r="V192" i="131"/>
  <c r="AQ192" i="131"/>
  <c r="AJ192" i="131"/>
  <c r="N192" i="131"/>
  <c r="AC29" i="131"/>
  <c r="AX29" i="131"/>
  <c r="AQ29" i="131"/>
  <c r="N29" i="131"/>
  <c r="AQ190" i="131"/>
  <c r="AC190" i="131"/>
  <c r="N190" i="131"/>
  <c r="AX86" i="131"/>
  <c r="AJ86" i="131"/>
  <c r="N86" i="131"/>
  <c r="AC86" i="131"/>
  <c r="AJ100" i="131"/>
  <c r="V100" i="131"/>
  <c r="N100" i="131"/>
  <c r="N443" i="131"/>
  <c r="V105" i="131"/>
  <c r="AC105" i="131"/>
  <c r="AJ105" i="131"/>
  <c r="N105" i="131"/>
  <c r="AJ595" i="131"/>
  <c r="AX595" i="131"/>
  <c r="AC595" i="131"/>
  <c r="N595" i="131"/>
  <c r="AJ576" i="131"/>
  <c r="AC576" i="131"/>
  <c r="AQ576" i="131"/>
  <c r="V576" i="131"/>
  <c r="AX576" i="131"/>
  <c r="N576" i="131"/>
  <c r="AX370" i="131"/>
  <c r="AQ370" i="131"/>
  <c r="V370" i="131"/>
  <c r="N370" i="131"/>
  <c r="AJ264" i="131"/>
  <c r="AQ264" i="131"/>
  <c r="AC264" i="131"/>
  <c r="V264" i="131"/>
  <c r="N264" i="131"/>
  <c r="AX175" i="131"/>
  <c r="V175" i="131"/>
  <c r="AQ175" i="131"/>
  <c r="N175" i="131"/>
  <c r="AQ250" i="131"/>
  <c r="AC250" i="131"/>
  <c r="V250" i="131"/>
  <c r="N250" i="131"/>
  <c r="AQ87" i="131"/>
  <c r="N87" i="131"/>
  <c r="AC87" i="131"/>
  <c r="V87" i="131"/>
  <c r="AJ633" i="131"/>
  <c r="AX633" i="131"/>
  <c r="V633" i="131"/>
  <c r="AQ633" i="131"/>
  <c r="N633" i="131"/>
  <c r="V598" i="131"/>
  <c r="AQ598" i="131"/>
  <c r="AX598" i="131"/>
  <c r="N598" i="131"/>
  <c r="AJ620" i="131"/>
  <c r="V620" i="131"/>
  <c r="AX620" i="131"/>
  <c r="N620" i="131"/>
  <c r="AQ607" i="131"/>
  <c r="AC607" i="131"/>
  <c r="V607" i="131"/>
  <c r="N607" i="131"/>
  <c r="AX572" i="131"/>
  <c r="V572" i="131"/>
  <c r="AJ572" i="131"/>
  <c r="N572" i="131"/>
  <c r="V567" i="131"/>
  <c r="AX567" i="131"/>
  <c r="AC567" i="131"/>
  <c r="N567" i="131"/>
  <c r="V471" i="131"/>
  <c r="N471" i="131"/>
  <c r="AC470" i="131"/>
  <c r="AJ470" i="131"/>
  <c r="AX470" i="131"/>
  <c r="N470" i="131"/>
  <c r="AX565" i="131"/>
  <c r="V565" i="131"/>
  <c r="AC565" i="131"/>
  <c r="N565" i="131"/>
  <c r="AQ486" i="131"/>
  <c r="AJ486" i="131"/>
  <c r="AX486" i="131"/>
  <c r="N486" i="131"/>
  <c r="AC376" i="131"/>
  <c r="V376" i="131"/>
  <c r="AX376" i="131"/>
  <c r="N376" i="131"/>
  <c r="AC450" i="131"/>
  <c r="V450" i="131"/>
  <c r="AQ450" i="131"/>
  <c r="AJ450" i="131"/>
  <c r="AX450" i="131"/>
  <c r="N450" i="131"/>
  <c r="AX379" i="131"/>
  <c r="AQ379" i="131"/>
  <c r="AJ379" i="131"/>
  <c r="N379" i="131"/>
  <c r="AX461" i="131"/>
  <c r="AJ461" i="131"/>
  <c r="AC461" i="131"/>
  <c r="N461" i="131"/>
  <c r="AQ372" i="131"/>
  <c r="AC372" i="131"/>
  <c r="N372" i="131"/>
  <c r="AC351" i="131"/>
  <c r="AQ351" i="131"/>
  <c r="AJ351" i="131"/>
  <c r="N351" i="131"/>
  <c r="AX363" i="131"/>
  <c r="AQ363" i="131"/>
  <c r="AC363" i="131"/>
  <c r="N363" i="131"/>
  <c r="AX346" i="131"/>
  <c r="AC346" i="131"/>
  <c r="V346" i="131"/>
  <c r="N346" i="131"/>
  <c r="AQ262" i="131"/>
  <c r="AJ262" i="131"/>
  <c r="V262" i="131"/>
  <c r="N262" i="131"/>
  <c r="N275" i="131"/>
  <c r="AX239" i="131"/>
  <c r="AJ239" i="131"/>
  <c r="N239" i="131"/>
  <c r="V191" i="131"/>
  <c r="AQ191" i="131"/>
  <c r="AJ191" i="131"/>
  <c r="N191" i="131"/>
  <c r="V220" i="131"/>
  <c r="AQ220" i="131"/>
  <c r="AX220" i="131"/>
  <c r="N220" i="131"/>
  <c r="AJ126" i="131"/>
  <c r="AC126" i="131"/>
  <c r="N126" i="131"/>
  <c r="AX126" i="131"/>
  <c r="AX169" i="131"/>
  <c r="AJ169" i="131"/>
  <c r="AC169" i="131"/>
  <c r="N169" i="131"/>
  <c r="V122" i="131"/>
  <c r="AJ122" i="131"/>
  <c r="AC122" i="131"/>
  <c r="N122" i="131"/>
  <c r="N31" i="131"/>
  <c r="AQ31" i="131"/>
  <c r="V31" i="131"/>
  <c r="AJ31" i="131"/>
  <c r="AQ104" i="131"/>
  <c r="AJ104" i="131"/>
  <c r="AX104" i="131"/>
  <c r="N104" i="131"/>
  <c r="AJ102" i="131"/>
  <c r="N102" i="131"/>
  <c r="V102" i="131"/>
  <c r="AC102" i="131"/>
  <c r="AX93" i="131"/>
  <c r="AQ93" i="131"/>
  <c r="N93" i="131"/>
  <c r="V93" i="131"/>
  <c r="AX91" i="131"/>
  <c r="AQ91" i="131"/>
  <c r="AJ91" i="131"/>
  <c r="N91" i="131"/>
  <c r="AQ570" i="131"/>
  <c r="AJ570" i="131"/>
  <c r="AX570" i="131"/>
  <c r="N570" i="131"/>
  <c r="AJ542" i="131"/>
  <c r="AX542" i="131"/>
  <c r="AQ542" i="131"/>
  <c r="N542" i="131"/>
  <c r="AQ481" i="131"/>
  <c r="N481" i="131"/>
  <c r="AX350" i="131"/>
  <c r="N350" i="131"/>
  <c r="AC573" i="131"/>
  <c r="AJ573" i="131"/>
  <c r="V573" i="131"/>
  <c r="N573" i="131"/>
  <c r="N125" i="131"/>
  <c r="AX251" i="131"/>
  <c r="N251" i="131"/>
  <c r="N22" i="131"/>
  <c r="AX184" i="131"/>
  <c r="AQ184" i="131"/>
  <c r="N184" i="131"/>
  <c r="N466" i="131"/>
  <c r="AX236" i="131"/>
  <c r="N236" i="131"/>
  <c r="AJ609" i="131"/>
  <c r="AQ609" i="131"/>
  <c r="N609" i="131"/>
  <c r="AC259" i="131"/>
  <c r="N259" i="131"/>
  <c r="V646" i="131"/>
  <c r="AQ646" i="131"/>
  <c r="AX646" i="131"/>
  <c r="N646" i="131"/>
  <c r="AC610" i="131"/>
  <c r="V610" i="131"/>
  <c r="AQ610" i="131"/>
  <c r="AJ610" i="131"/>
  <c r="N610" i="131"/>
  <c r="AJ455" i="131"/>
  <c r="AX455" i="131"/>
  <c r="AQ455" i="131"/>
  <c r="N455" i="131"/>
  <c r="AJ488" i="131"/>
  <c r="AX488" i="131"/>
  <c r="V488" i="131"/>
  <c r="N488" i="131"/>
  <c r="AJ272" i="131"/>
  <c r="AX272" i="131"/>
  <c r="N272" i="131"/>
  <c r="AQ272" i="131"/>
  <c r="AC258" i="131"/>
  <c r="AX258" i="131"/>
  <c r="AJ258" i="131"/>
  <c r="N258" i="131"/>
  <c r="AQ166" i="131"/>
  <c r="AC166" i="131"/>
  <c r="AX166" i="131"/>
  <c r="V166" i="131"/>
  <c r="N166" i="131"/>
  <c r="AJ109" i="131"/>
  <c r="AX109" i="131"/>
  <c r="N109" i="131"/>
  <c r="V109" i="131"/>
  <c r="AJ619" i="131"/>
  <c r="AQ619" i="131"/>
  <c r="AC619" i="131"/>
  <c r="N619" i="131"/>
  <c r="N336" i="131"/>
  <c r="AC630" i="131"/>
  <c r="V630" i="131"/>
  <c r="AX630" i="131"/>
  <c r="N630" i="131"/>
  <c r="V645" i="131"/>
  <c r="AQ645" i="131"/>
  <c r="AJ645" i="131"/>
  <c r="N645" i="131"/>
  <c r="V597" i="131"/>
  <c r="AX597" i="131"/>
  <c r="AQ597" i="131"/>
  <c r="N597" i="131"/>
  <c r="AQ604" i="131"/>
  <c r="AJ604" i="131"/>
  <c r="N604" i="131"/>
  <c r="AC604" i="131"/>
  <c r="AJ587" i="131"/>
  <c r="AC587" i="131"/>
  <c r="V587" i="131"/>
  <c r="N587" i="131"/>
  <c r="AJ563" i="131"/>
  <c r="AC563" i="131"/>
  <c r="V563" i="131"/>
  <c r="N563" i="131"/>
  <c r="V480" i="131"/>
  <c r="AQ480" i="131"/>
  <c r="AC480" i="131"/>
  <c r="N480" i="131"/>
  <c r="V475" i="131"/>
  <c r="AX475" i="131"/>
  <c r="AJ475" i="131"/>
  <c r="N475" i="131"/>
  <c r="AC469" i="131"/>
  <c r="AJ469" i="131"/>
  <c r="AX469" i="131"/>
  <c r="AQ469" i="131"/>
  <c r="V469" i="131"/>
  <c r="N469" i="131"/>
  <c r="V473" i="131"/>
  <c r="AJ473" i="131"/>
  <c r="AC473" i="131"/>
  <c r="N473" i="131"/>
  <c r="V373" i="131"/>
  <c r="AX373" i="131"/>
  <c r="AJ373" i="131"/>
  <c r="N373" i="131"/>
  <c r="AC490" i="131"/>
  <c r="AQ490" i="131"/>
  <c r="V490" i="131"/>
  <c r="N490" i="131"/>
  <c r="AJ349" i="131"/>
  <c r="AQ349" i="131"/>
  <c r="V349" i="131"/>
  <c r="N349" i="131"/>
  <c r="AX349" i="131"/>
  <c r="AJ357" i="131"/>
  <c r="AQ357" i="131"/>
  <c r="V357" i="131"/>
  <c r="N357" i="131"/>
  <c r="V339" i="131"/>
  <c r="AJ339" i="131"/>
  <c r="AQ339" i="131"/>
  <c r="N339" i="131"/>
  <c r="V362" i="131"/>
  <c r="AQ362" i="131"/>
  <c r="AJ362" i="131"/>
  <c r="N362" i="131"/>
  <c r="AJ256" i="131"/>
  <c r="AC256" i="131"/>
  <c r="V256" i="131"/>
  <c r="N256" i="131"/>
  <c r="AQ354" i="131"/>
  <c r="AJ354" i="131"/>
  <c r="AC354" i="131"/>
  <c r="N354" i="131"/>
  <c r="AX167" i="131"/>
  <c r="AQ167" i="131"/>
  <c r="V167" i="131"/>
  <c r="N167" i="131"/>
  <c r="V94" i="131"/>
  <c r="N94" i="131"/>
  <c r="AQ94" i="131"/>
  <c r="AJ94" i="131"/>
  <c r="AJ132" i="131"/>
  <c r="V132" i="131"/>
  <c r="AQ132" i="131"/>
  <c r="N132" i="131"/>
  <c r="AX32" i="131"/>
  <c r="AC32" i="131"/>
  <c r="N32" i="131"/>
  <c r="V32" i="131"/>
  <c r="AQ25" i="131"/>
  <c r="AJ25" i="131"/>
  <c r="V25" i="131"/>
  <c r="N25" i="131"/>
  <c r="AC21" i="131"/>
  <c r="AQ21" i="131"/>
  <c r="AJ21" i="131"/>
  <c r="N21" i="131"/>
  <c r="V575" i="131"/>
  <c r="AQ575" i="131"/>
  <c r="AC575" i="131"/>
  <c r="N575" i="131"/>
  <c r="AC358" i="131"/>
  <c r="V358" i="131"/>
  <c r="AX358" i="131"/>
  <c r="AQ358" i="131"/>
  <c r="N358" i="131"/>
  <c r="AC342" i="131"/>
  <c r="AQ342" i="131"/>
  <c r="AJ342" i="131"/>
  <c r="N342" i="131"/>
  <c r="AQ459" i="131"/>
  <c r="AJ459" i="131"/>
  <c r="AC459" i="131"/>
  <c r="N459" i="131"/>
  <c r="AX257" i="131"/>
  <c r="AJ257" i="131"/>
  <c r="AC257" i="131"/>
  <c r="N257" i="131"/>
  <c r="AQ561" i="131"/>
  <c r="V561" i="131"/>
  <c r="AX561" i="131"/>
  <c r="N561" i="131"/>
  <c r="AX165" i="131"/>
  <c r="V165" i="131"/>
  <c r="AQ165" i="131"/>
  <c r="N165" i="131"/>
  <c r="AC165" i="131"/>
  <c r="AJ98" i="131"/>
  <c r="AX98" i="131"/>
  <c r="V98" i="131"/>
  <c r="N98" i="131"/>
  <c r="V130" i="131"/>
  <c r="AJ130" i="131"/>
  <c r="N130" i="131"/>
  <c r="AQ130" i="131"/>
  <c r="AX103" i="131"/>
  <c r="AQ103" i="131"/>
  <c r="N103" i="131"/>
  <c r="V103" i="131"/>
  <c r="AJ249" i="131"/>
  <c r="AC249" i="131"/>
  <c r="AX249" i="131"/>
  <c r="N249" i="131"/>
  <c r="V230" i="131"/>
  <c r="AJ230" i="131"/>
  <c r="AC230" i="131"/>
  <c r="N230" i="131"/>
  <c r="AJ472" i="131"/>
  <c r="V472" i="131"/>
  <c r="AQ472" i="131"/>
  <c r="N472" i="131"/>
  <c r="V380" i="131"/>
  <c r="AX380" i="131"/>
  <c r="AC380" i="131"/>
  <c r="N380" i="131"/>
  <c r="AC447" i="131"/>
  <c r="V447" i="131"/>
  <c r="AX447" i="131"/>
  <c r="N447" i="131"/>
  <c r="AX129" i="131"/>
  <c r="AC129" i="131"/>
  <c r="V129" i="131"/>
  <c r="N129" i="131"/>
  <c r="AJ601" i="131"/>
  <c r="AX601" i="131"/>
  <c r="AQ601" i="131"/>
  <c r="N601" i="131"/>
  <c r="AJ171" i="131"/>
  <c r="AQ171" i="131"/>
  <c r="V171" i="131"/>
  <c r="N171" i="131"/>
  <c r="AC648" i="131"/>
  <c r="AJ648" i="131"/>
  <c r="V648" i="131"/>
  <c r="N648" i="131"/>
  <c r="AX642" i="131"/>
  <c r="AQ642" i="131"/>
  <c r="V642" i="131"/>
  <c r="N642" i="131"/>
  <c r="AX602" i="131"/>
  <c r="AC602" i="131"/>
  <c r="V602" i="131"/>
  <c r="N602" i="131"/>
  <c r="AJ612" i="131"/>
  <c r="AC612" i="131"/>
  <c r="V612" i="131"/>
  <c r="N612" i="131"/>
  <c r="V584" i="131"/>
  <c r="AQ584" i="131"/>
  <c r="AJ584" i="131"/>
  <c r="N584" i="131"/>
  <c r="AQ571" i="131"/>
  <c r="AX571" i="131"/>
  <c r="AC571" i="131"/>
  <c r="V571" i="131"/>
  <c r="N571" i="131"/>
  <c r="AX478" i="131"/>
  <c r="AQ478" i="131"/>
  <c r="V478" i="131"/>
  <c r="N478" i="131"/>
  <c r="AJ557" i="131"/>
  <c r="AQ557" i="131"/>
  <c r="N557" i="131"/>
  <c r="AQ559" i="131"/>
  <c r="AJ559" i="131"/>
  <c r="N559" i="131"/>
  <c r="AJ458" i="131"/>
  <c r="AX458" i="131"/>
  <c r="AC458" i="131"/>
  <c r="N458" i="131"/>
  <c r="AJ369" i="131"/>
  <c r="AC369" i="131"/>
  <c r="V369" i="131"/>
  <c r="AX369" i="131"/>
  <c r="N369" i="131"/>
  <c r="AC348" i="131"/>
  <c r="AX348" i="131"/>
  <c r="N348" i="131"/>
  <c r="AQ366" i="131"/>
  <c r="AJ366" i="131"/>
  <c r="V366" i="131"/>
  <c r="AX366" i="131"/>
  <c r="N366" i="131"/>
  <c r="AQ247" i="131"/>
  <c r="AJ247" i="131"/>
  <c r="V247" i="131"/>
  <c r="N247" i="131"/>
  <c r="AC269" i="131"/>
  <c r="AX269" i="131"/>
  <c r="V269" i="131"/>
  <c r="N269" i="131"/>
  <c r="AJ365" i="131"/>
  <c r="AC365" i="131"/>
  <c r="V365" i="131"/>
  <c r="N365" i="131"/>
  <c r="AC242" i="131"/>
  <c r="AQ242" i="131"/>
  <c r="N242" i="131"/>
  <c r="V189" i="131"/>
  <c r="AQ189" i="131"/>
  <c r="N189" i="131"/>
  <c r="AX189" i="131"/>
  <c r="AQ270" i="131"/>
  <c r="V270" i="131"/>
  <c r="N270" i="131"/>
  <c r="AX241" i="131"/>
  <c r="AJ241" i="131"/>
  <c r="AC241" i="131"/>
  <c r="N241" i="131"/>
  <c r="AC183" i="131"/>
  <c r="V183" i="131"/>
  <c r="AQ183" i="131"/>
  <c r="N183" i="131"/>
  <c r="AX172" i="131"/>
  <c r="AQ172" i="131"/>
  <c r="AJ172" i="131"/>
  <c r="AC172" i="131"/>
  <c r="N172" i="131"/>
  <c r="AQ178" i="131"/>
  <c r="AJ178" i="131"/>
  <c r="V178" i="131"/>
  <c r="N178" i="131"/>
  <c r="AQ193" i="131"/>
  <c r="V193" i="131"/>
  <c r="AX193" i="131"/>
  <c r="AJ193" i="131"/>
  <c r="N193" i="131"/>
  <c r="AJ364" i="131"/>
  <c r="AC364" i="131"/>
  <c r="V364" i="131"/>
  <c r="N364" i="131"/>
  <c r="V643" i="131"/>
  <c r="AX643" i="131"/>
  <c r="AQ643" i="131"/>
  <c r="N643" i="131"/>
  <c r="AC616" i="131"/>
  <c r="AQ616" i="131"/>
  <c r="AX616" i="131"/>
  <c r="N616" i="131"/>
  <c r="AC569" i="131"/>
  <c r="V569" i="131"/>
  <c r="AX569" i="131"/>
  <c r="N569" i="131"/>
  <c r="AQ460" i="131"/>
  <c r="AJ460" i="131"/>
  <c r="AC460" i="131"/>
  <c r="N460" i="131"/>
  <c r="AQ252" i="131"/>
  <c r="AJ252" i="131"/>
  <c r="AC252" i="131"/>
  <c r="N252" i="131"/>
  <c r="AX110" i="131"/>
  <c r="N110" i="131"/>
  <c r="AQ110" i="131"/>
  <c r="AJ110" i="131"/>
  <c r="AX235" i="131"/>
  <c r="AQ235" i="131"/>
  <c r="AJ235" i="131"/>
  <c r="AC235" i="131"/>
  <c r="N235" i="131"/>
  <c r="AJ20" i="131"/>
  <c r="N20" i="131"/>
  <c r="AX20" i="131"/>
  <c r="V20" i="131"/>
  <c r="AJ90" i="131"/>
  <c r="AC90" i="131"/>
  <c r="V90" i="131"/>
  <c r="N90" i="131"/>
  <c r="AJ611" i="131"/>
  <c r="AX611" i="131"/>
  <c r="AC611" i="131"/>
  <c r="N611" i="131"/>
  <c r="AC454" i="131"/>
  <c r="AJ454" i="131"/>
  <c r="AQ454" i="131"/>
  <c r="V454" i="131"/>
  <c r="N454" i="131"/>
  <c r="AJ99" i="131"/>
  <c r="N99" i="131"/>
  <c r="AC99" i="131"/>
  <c r="AQ99" i="131"/>
  <c r="AX599" i="131"/>
  <c r="AC599" i="131"/>
  <c r="V599" i="131"/>
  <c r="N599" i="131"/>
  <c r="AJ608" i="131"/>
  <c r="AQ608" i="131"/>
  <c r="AX608" i="131"/>
  <c r="N608" i="131"/>
  <c r="AQ596" i="131"/>
  <c r="AJ596" i="131"/>
  <c r="AC596" i="131"/>
  <c r="N596" i="131"/>
  <c r="V579" i="131"/>
  <c r="AJ579" i="131"/>
  <c r="AC579" i="131"/>
  <c r="N579" i="131"/>
  <c r="AC568" i="131"/>
  <c r="V568" i="131"/>
  <c r="AJ568" i="131"/>
  <c r="N568" i="131"/>
  <c r="AJ564" i="131"/>
  <c r="AC564" i="131"/>
  <c r="V564" i="131"/>
  <c r="N564" i="131"/>
  <c r="AX467" i="131"/>
  <c r="AQ467" i="131"/>
  <c r="AC467" i="131"/>
  <c r="N467" i="131"/>
  <c r="AX580" i="131"/>
  <c r="AQ580" i="131"/>
  <c r="AJ580" i="131"/>
  <c r="N580" i="131"/>
  <c r="AJ477" i="131"/>
  <c r="AC477" i="131"/>
  <c r="AQ477" i="131"/>
  <c r="N477" i="131"/>
  <c r="AC444" i="131"/>
  <c r="AQ444" i="131"/>
  <c r="AJ444" i="131"/>
  <c r="N444" i="131"/>
  <c r="AQ464" i="131"/>
  <c r="AJ464" i="131"/>
  <c r="AX464" i="131"/>
  <c r="N464" i="131"/>
  <c r="AX271" i="131"/>
  <c r="AQ271" i="131"/>
  <c r="AJ271" i="131"/>
  <c r="V271" i="131"/>
  <c r="N271" i="131"/>
  <c r="AJ260" i="131"/>
  <c r="AC260" i="131"/>
  <c r="V260" i="131"/>
  <c r="N260" i="131"/>
  <c r="AC188" i="131"/>
  <c r="AX188" i="131"/>
  <c r="V188" i="131"/>
  <c r="N188" i="131"/>
  <c r="AJ237" i="131"/>
  <c r="AC237" i="131"/>
  <c r="N237" i="131"/>
  <c r="AC123" i="131"/>
  <c r="AQ123" i="131"/>
  <c r="AJ123" i="131"/>
  <c r="N123" i="131"/>
  <c r="AQ134" i="131"/>
  <c r="AX134" i="131"/>
  <c r="AJ134" i="131"/>
  <c r="N134" i="131"/>
  <c r="AC124" i="131"/>
  <c r="V124" i="131"/>
  <c r="AX124" i="131"/>
  <c r="N124" i="131"/>
  <c r="AQ106" i="131"/>
  <c r="AC106" i="131"/>
  <c r="AX106" i="131"/>
  <c r="N106" i="131"/>
  <c r="AQ24" i="131"/>
  <c r="AC24" i="131"/>
  <c r="AJ24" i="131"/>
  <c r="N24" i="131"/>
  <c r="V24" i="131"/>
  <c r="V14" i="131"/>
  <c r="AQ19" i="131"/>
  <c r="AJ19" i="131"/>
  <c r="V19" i="131"/>
  <c r="N19" i="131"/>
  <c r="AJ577" i="131"/>
  <c r="AX577" i="131"/>
  <c r="AQ577" i="131"/>
  <c r="N577" i="131"/>
  <c r="AX541" i="131"/>
  <c r="AC541" i="131"/>
  <c r="V541" i="131"/>
  <c r="N541" i="131"/>
  <c r="AC463" i="131"/>
  <c r="AJ463" i="131"/>
  <c r="AQ463" i="131"/>
  <c r="N463" i="131"/>
  <c r="V448" i="131"/>
  <c r="AC448" i="131"/>
  <c r="AX448" i="131"/>
  <c r="N448" i="131"/>
  <c r="AX340" i="131"/>
  <c r="AQ340" i="131"/>
  <c r="AJ340" i="131"/>
  <c r="N340" i="131"/>
  <c r="AQ615" i="131"/>
  <c r="AC615" i="131"/>
  <c r="AJ615" i="131"/>
  <c r="N615" i="131"/>
  <c r="AQ95" i="131"/>
  <c r="AJ95" i="131"/>
  <c r="AC95" i="131"/>
  <c r="N95" i="131"/>
  <c r="AJ85" i="131"/>
  <c r="AC85" i="131"/>
  <c r="V85" i="131"/>
  <c r="AX85" i="131"/>
  <c r="N85" i="131"/>
  <c r="AQ233" i="131"/>
  <c r="AJ233" i="131"/>
  <c r="V233" i="131"/>
  <c r="N233" i="131"/>
  <c r="AQ265" i="131"/>
  <c r="AC265" i="131"/>
  <c r="V265" i="131"/>
  <c r="AJ265" i="131"/>
  <c r="N265" i="131"/>
  <c r="AX113" i="131"/>
  <c r="AJ113" i="131"/>
  <c r="V113" i="131"/>
  <c r="N113" i="131"/>
  <c r="AJ173" i="131"/>
  <c r="V173" i="131"/>
  <c r="N173" i="131"/>
  <c r="AX173" i="131"/>
  <c r="V553" i="131"/>
  <c r="N553" i="131"/>
  <c r="AX618" i="131"/>
  <c r="V618" i="131"/>
  <c r="AC618" i="131"/>
  <c r="N618" i="131"/>
  <c r="AJ465" i="131"/>
  <c r="AQ465" i="131"/>
  <c r="AX465" i="131"/>
  <c r="N465" i="131"/>
  <c r="AC186" i="131"/>
  <c r="AX186" i="131"/>
  <c r="AJ186" i="131"/>
  <c r="N186" i="131"/>
  <c r="AC84" i="131"/>
  <c r="V84" i="131"/>
  <c r="N84" i="131"/>
  <c r="AJ16" i="131"/>
  <c r="N16" i="131"/>
  <c r="AC605" i="131"/>
  <c r="AQ605" i="131"/>
  <c r="AX605" i="131"/>
  <c r="N605" i="131"/>
  <c r="AC617" i="131"/>
  <c r="AX617" i="131"/>
  <c r="AQ617" i="131"/>
  <c r="N617" i="131"/>
  <c r="AC101" i="131"/>
  <c r="V101" i="131"/>
  <c r="AQ101" i="131"/>
  <c r="N101" i="131"/>
  <c r="AJ28" i="131"/>
  <c r="AC28" i="131"/>
  <c r="N28" i="131"/>
  <c r="AQ28" i="131"/>
  <c r="AJ327" i="131"/>
  <c r="AX327" i="131"/>
  <c r="AC327" i="131"/>
  <c r="N327" i="131"/>
  <c r="AJ636" i="131"/>
  <c r="AC636" i="131"/>
  <c r="V636" i="131"/>
  <c r="N636" i="131"/>
  <c r="AX632" i="131"/>
  <c r="AQ632" i="131"/>
  <c r="AJ632" i="131"/>
  <c r="V632" i="131"/>
  <c r="N632" i="131"/>
  <c r="AX637" i="131"/>
  <c r="AC637" i="131"/>
  <c r="AQ637" i="131"/>
  <c r="N637" i="131"/>
  <c r="AC606" i="131"/>
  <c r="V606" i="131"/>
  <c r="AQ606" i="131"/>
  <c r="N606" i="131"/>
  <c r="AC631" i="131"/>
  <c r="AJ631" i="131"/>
  <c r="V631" i="131"/>
  <c r="N631" i="131"/>
  <c r="AC586" i="131"/>
  <c r="V586" i="131"/>
  <c r="AX586" i="131"/>
  <c r="N586" i="131"/>
  <c r="AQ487" i="131"/>
  <c r="V487" i="131"/>
  <c r="AX487" i="131"/>
  <c r="N487" i="131"/>
  <c r="AX378" i="131"/>
  <c r="AQ378" i="131"/>
  <c r="AJ378" i="131"/>
  <c r="N378" i="131"/>
  <c r="AQ383" i="131"/>
  <c r="V383" i="131"/>
  <c r="AX383" i="131"/>
  <c r="N383" i="131"/>
  <c r="AJ445" i="131"/>
  <c r="AX445" i="131"/>
  <c r="AQ445" i="131"/>
  <c r="N445" i="131"/>
  <c r="AJ371" i="131"/>
  <c r="AC371" i="131"/>
  <c r="V371" i="131"/>
  <c r="N371" i="131"/>
  <c r="AJ345" i="131"/>
  <c r="AX345" i="131"/>
  <c r="AC345" i="131"/>
  <c r="V345" i="131"/>
  <c r="N345" i="131"/>
  <c r="AC375" i="131"/>
  <c r="V375" i="131"/>
  <c r="AX375" i="131"/>
  <c r="N375" i="131"/>
  <c r="AX352" i="131"/>
  <c r="AC352" i="131"/>
  <c r="V352" i="131"/>
  <c r="N352" i="131"/>
  <c r="AQ276" i="131"/>
  <c r="V276" i="131"/>
  <c r="AX276" i="131"/>
  <c r="N276" i="131"/>
  <c r="AC266" i="131"/>
  <c r="AX266" i="131"/>
  <c r="AJ266" i="131"/>
  <c r="N266" i="131"/>
  <c r="AQ344" i="131"/>
  <c r="AX344" i="131"/>
  <c r="V344" i="131"/>
  <c r="N344" i="131"/>
  <c r="AJ274" i="131"/>
  <c r="V274" i="131"/>
  <c r="AX274" i="131"/>
  <c r="N274" i="131"/>
  <c r="V341" i="131"/>
  <c r="AX341" i="131"/>
  <c r="AJ341" i="131"/>
  <c r="N341" i="131"/>
  <c r="AQ240" i="131"/>
  <c r="AJ240" i="131"/>
  <c r="AC240" i="131"/>
  <c r="N240" i="131"/>
  <c r="AQ187" i="131"/>
  <c r="V187" i="131"/>
  <c r="AX187" i="131"/>
  <c r="N187" i="131"/>
  <c r="AX138" i="131"/>
  <c r="AQ138" i="131"/>
  <c r="AC138" i="131"/>
  <c r="V138" i="131"/>
  <c r="N138" i="131"/>
  <c r="AX181" i="131"/>
  <c r="AC181" i="131"/>
  <c r="AQ181" i="131"/>
  <c r="N181" i="131"/>
  <c r="AC131" i="131"/>
  <c r="AX131" i="131"/>
  <c r="AJ131" i="131"/>
  <c r="N131" i="131"/>
  <c r="AJ121" i="131"/>
  <c r="N121" i="131"/>
  <c r="N23" i="131"/>
  <c r="AX23" i="131"/>
  <c r="AQ23" i="131"/>
  <c r="AJ23" i="131"/>
  <c r="N552" i="131"/>
  <c r="AX625" i="131"/>
  <c r="AQ625" i="131"/>
  <c r="V625" i="131"/>
  <c r="N625" i="131"/>
  <c r="V560" i="131"/>
  <c r="AJ560" i="131"/>
  <c r="AQ560" i="131"/>
  <c r="N560" i="131"/>
  <c r="AC462" i="131"/>
  <c r="AJ462" i="131"/>
  <c r="V462" i="131"/>
  <c r="N462" i="131"/>
  <c r="AJ243" i="131"/>
  <c r="V243" i="131"/>
  <c r="AX243" i="131"/>
  <c r="N243" i="131"/>
  <c r="V484" i="131"/>
  <c r="AJ484" i="131"/>
  <c r="AC484" i="131"/>
  <c r="N484" i="131"/>
  <c r="AQ244" i="131"/>
  <c r="AJ244" i="131"/>
  <c r="V244" i="131"/>
  <c r="N244" i="131"/>
  <c r="AX30" i="131"/>
  <c r="AQ30" i="131"/>
  <c r="N30" i="131"/>
  <c r="AC30" i="131"/>
  <c r="AX182" i="131"/>
  <c r="AQ182" i="131"/>
  <c r="V182" i="131"/>
  <c r="N182" i="131"/>
  <c r="AJ337" i="131"/>
  <c r="AX337" i="131"/>
  <c r="AC337" i="131"/>
  <c r="N337" i="131"/>
  <c r="V585" i="131"/>
  <c r="AJ585" i="131"/>
  <c r="AQ585" i="131"/>
  <c r="AX585" i="131"/>
  <c r="N585" i="131"/>
  <c r="AJ649" i="131"/>
  <c r="V649" i="131"/>
  <c r="AX649" i="131"/>
  <c r="AQ649" i="131"/>
  <c r="N649" i="131"/>
  <c r="AJ628" i="131"/>
  <c r="V628" i="131"/>
  <c r="AC628" i="131"/>
  <c r="N628" i="131"/>
  <c r="V361" i="131"/>
  <c r="AX361" i="131"/>
  <c r="AQ361" i="131"/>
  <c r="N361" i="131"/>
  <c r="AC582" i="131"/>
  <c r="AQ582" i="131"/>
  <c r="AJ582" i="131"/>
  <c r="N582" i="131"/>
  <c r="AJ367" i="131"/>
  <c r="AX367" i="131"/>
  <c r="AQ367" i="131"/>
  <c r="N367" i="131"/>
  <c r="AX647" i="131"/>
  <c r="AQ647" i="131"/>
  <c r="V647" i="131"/>
  <c r="N647" i="131"/>
  <c r="AC638" i="131"/>
  <c r="AQ638" i="131"/>
  <c r="AJ638" i="131"/>
  <c r="N638" i="131"/>
  <c r="AC641" i="131"/>
  <c r="V641" i="131"/>
  <c r="AX641" i="131"/>
  <c r="N641" i="131"/>
  <c r="AC621" i="131"/>
  <c r="AQ621" i="131"/>
  <c r="AJ621" i="131"/>
  <c r="N621" i="131"/>
  <c r="AC622" i="131"/>
  <c r="V622" i="131"/>
  <c r="AQ622" i="131"/>
  <c r="N622" i="131"/>
  <c r="AX626" i="131"/>
  <c r="AJ626" i="131"/>
  <c r="AQ626" i="131"/>
  <c r="N626" i="131"/>
  <c r="AC600" i="131"/>
  <c r="V600" i="131"/>
  <c r="AJ600" i="131"/>
  <c r="N600" i="131"/>
  <c r="AX588" i="131"/>
  <c r="AC588" i="131"/>
  <c r="AQ588" i="131"/>
  <c r="N588" i="131"/>
  <c r="AQ578" i="131"/>
  <c r="AX578" i="131"/>
  <c r="V578" i="131"/>
  <c r="N578" i="131"/>
  <c r="V589" i="131"/>
  <c r="AJ589" i="131"/>
  <c r="AC589" i="131"/>
  <c r="N589" i="131"/>
  <c r="V554" i="131"/>
  <c r="N554" i="131"/>
  <c r="N551" i="131"/>
  <c r="V556" i="131"/>
  <c r="AJ556" i="131"/>
  <c r="AX556" i="131"/>
  <c r="N556" i="131"/>
  <c r="AC562" i="131"/>
  <c r="AJ562" i="131"/>
  <c r="V562" i="131"/>
  <c r="N562" i="131"/>
  <c r="V479" i="131"/>
  <c r="AC479" i="131"/>
  <c r="AX479" i="131"/>
  <c r="AQ479" i="131"/>
  <c r="N479" i="131"/>
  <c r="V449" i="131"/>
  <c r="AJ449" i="131"/>
  <c r="AX449" i="131"/>
  <c r="N449" i="131"/>
  <c r="AC381" i="131"/>
  <c r="AX381" i="131"/>
  <c r="AQ381" i="131"/>
  <c r="N381" i="131"/>
  <c r="V555" i="131"/>
  <c r="AX555" i="131"/>
  <c r="N555" i="131"/>
  <c r="V456" i="131"/>
  <c r="AC456" i="131"/>
  <c r="AQ456" i="131"/>
  <c r="N456" i="131"/>
  <c r="AQ558" i="131"/>
  <c r="AJ558" i="131"/>
  <c r="AX558" i="131"/>
  <c r="N558" i="131"/>
  <c r="AJ355" i="131"/>
  <c r="AC355" i="131"/>
  <c r="V355" i="131"/>
  <c r="N355" i="131"/>
  <c r="AQ263" i="131"/>
  <c r="V263" i="131"/>
  <c r="AJ263" i="131"/>
  <c r="N263" i="131"/>
  <c r="AX261" i="131"/>
  <c r="AQ261" i="131"/>
  <c r="AJ261" i="131"/>
  <c r="AC261" i="131"/>
  <c r="N261" i="131"/>
  <c r="AX180" i="131"/>
  <c r="AQ180" i="131"/>
  <c r="AJ180" i="131"/>
  <c r="N180" i="131"/>
  <c r="AQ231" i="131"/>
  <c r="AJ231" i="131"/>
  <c r="N231" i="131"/>
  <c r="AJ127" i="131"/>
  <c r="AC127" i="131"/>
  <c r="V127" i="131"/>
  <c r="N127" i="131"/>
  <c r="AX27" i="131"/>
  <c r="AQ27" i="131"/>
  <c r="AC27" i="131"/>
  <c r="N27" i="131"/>
  <c r="AQ96" i="131"/>
  <c r="AJ96" i="131"/>
  <c r="AC96" i="131"/>
  <c r="V96" i="131"/>
  <c r="N96" i="131"/>
  <c r="AJ627" i="131"/>
  <c r="AX627" i="131"/>
  <c r="AC627" i="131"/>
  <c r="N627" i="131"/>
  <c r="AJ590" i="131"/>
  <c r="AC590" i="131"/>
  <c r="AX590" i="131"/>
  <c r="V590" i="131"/>
  <c r="N590" i="131"/>
  <c r="V574" i="131"/>
  <c r="AC574" i="131"/>
  <c r="AX574" i="131"/>
  <c r="N574" i="131"/>
  <c r="AC368" i="131"/>
  <c r="V368" i="131"/>
  <c r="AX368" i="131"/>
  <c r="N368" i="131"/>
  <c r="AJ273" i="131"/>
  <c r="AQ273" i="131"/>
  <c r="AX273" i="131"/>
  <c r="N273" i="131"/>
  <c r="V476" i="131"/>
  <c r="AX476" i="131"/>
  <c r="AQ476" i="131"/>
  <c r="N476" i="131"/>
  <c r="V168" i="131"/>
  <c r="AX168" i="131"/>
  <c r="AQ168" i="131"/>
  <c r="AC168" i="131"/>
  <c r="N168" i="131"/>
  <c r="AJ635" i="131"/>
  <c r="AQ635" i="131"/>
  <c r="AC635" i="131"/>
  <c r="N635" i="131"/>
  <c r="V468" i="131"/>
  <c r="AJ468" i="131"/>
  <c r="AQ468" i="131"/>
  <c r="N468" i="131"/>
  <c r="BF6" i="141" a="1"/>
  <c r="BF6" i="141" s="1"/>
  <c r="BF7" i="141" a="1"/>
  <c r="BF7" i="141" s="1"/>
  <c r="BF5" i="141" a="1"/>
  <c r="BF5" i="141" s="1"/>
  <c r="BD7" i="141" a="1"/>
  <c r="BD7" i="141" s="1"/>
  <c r="BD6" i="141" a="1"/>
  <c r="BD6" i="141" s="1"/>
  <c r="BD5" i="141" a="1"/>
  <c r="BD5" i="141" s="1"/>
  <c r="AR63" i="130"/>
  <c r="AX63" i="130" s="1"/>
  <c r="P100" i="130"/>
  <c r="V100" i="130" s="1"/>
  <c r="AR100" i="130"/>
  <c r="AX100" i="130" s="1"/>
  <c r="AK100" i="130"/>
  <c r="AQ100" i="130" s="1"/>
  <c r="AD100" i="130"/>
  <c r="AJ100" i="130" s="1"/>
  <c r="W100" i="130"/>
  <c r="AC100" i="130" s="1"/>
  <c r="AD106" i="130"/>
  <c r="AJ106" i="130" s="1"/>
  <c r="W106" i="130"/>
  <c r="AC106" i="130" s="1"/>
  <c r="V106" i="130"/>
  <c r="AR106" i="130"/>
  <c r="AX106" i="130" s="1"/>
  <c r="AK106" i="130"/>
  <c r="AQ106" i="130" s="1"/>
  <c r="AK91" i="130"/>
  <c r="AQ91" i="130" s="1"/>
  <c r="AD91" i="130"/>
  <c r="AJ91" i="130" s="1"/>
  <c r="AR91" i="130"/>
  <c r="AX91" i="130" s="1"/>
  <c r="W91" i="130"/>
  <c r="AC91" i="130" s="1"/>
  <c r="P91" i="130"/>
  <c r="V91" i="130" s="1"/>
  <c r="AR80" i="130"/>
  <c r="AX80" i="130" s="1"/>
  <c r="AK80" i="130"/>
  <c r="AQ80" i="130" s="1"/>
  <c r="AD80" i="130"/>
  <c r="AJ80" i="130" s="1"/>
  <c r="P80" i="130"/>
  <c r="V80" i="130" s="1"/>
  <c r="W80" i="130"/>
  <c r="AC80" i="130" s="1"/>
  <c r="AR96" i="130"/>
  <c r="AX96" i="130" s="1"/>
  <c r="AK96" i="130"/>
  <c r="AQ96" i="130" s="1"/>
  <c r="AD96" i="130"/>
  <c r="AJ96" i="130" s="1"/>
  <c r="W96" i="130"/>
  <c r="AC96" i="130" s="1"/>
  <c r="P96" i="130"/>
  <c r="V96" i="130" s="1"/>
  <c r="W71" i="130"/>
  <c r="AC71" i="130" s="1"/>
  <c r="P71" i="130"/>
  <c r="V71" i="130" s="1"/>
  <c r="AR71" i="130"/>
  <c r="AX71" i="130" s="1"/>
  <c r="AK71" i="130"/>
  <c r="AQ71" i="130" s="1"/>
  <c r="AD71" i="130"/>
  <c r="AJ71" i="130" s="1"/>
  <c r="AR67" i="130"/>
  <c r="AX67" i="130" s="1"/>
  <c r="AR88" i="130"/>
  <c r="AX88" i="130" s="1"/>
  <c r="AK88" i="130"/>
  <c r="AQ88" i="130" s="1"/>
  <c r="W88" i="130"/>
  <c r="AC88" i="130" s="1"/>
  <c r="P88" i="130"/>
  <c r="V88" i="130" s="1"/>
  <c r="AD88" i="130"/>
  <c r="AJ88" i="130" s="1"/>
  <c r="AR89" i="130"/>
  <c r="AX89" i="130" s="1"/>
  <c r="P89" i="130"/>
  <c r="V89" i="130" s="1"/>
  <c r="AK89" i="130"/>
  <c r="AQ89" i="130" s="1"/>
  <c r="W89" i="130"/>
  <c r="AC89" i="130" s="1"/>
  <c r="AD89" i="130"/>
  <c r="AJ89" i="130" s="1"/>
  <c r="AK77" i="130"/>
  <c r="AQ77" i="130" s="1"/>
  <c r="AD77" i="130"/>
  <c r="AJ77" i="130" s="1"/>
  <c r="W77" i="130"/>
  <c r="AC77" i="130" s="1"/>
  <c r="P77" i="130"/>
  <c r="V77" i="130" s="1"/>
  <c r="AR77" i="130"/>
  <c r="AX77" i="130" s="1"/>
  <c r="AR65" i="130"/>
  <c r="AX65" i="130" s="1"/>
  <c r="AR73" i="130"/>
  <c r="AX73" i="130" s="1"/>
  <c r="P73" i="130"/>
  <c r="V73" i="130" s="1"/>
  <c r="AK73" i="130"/>
  <c r="AQ73" i="130" s="1"/>
  <c r="AD73" i="130"/>
  <c r="AJ73" i="130" s="1"/>
  <c r="W73" i="130"/>
  <c r="AC73" i="130" s="1"/>
  <c r="AR78" i="130"/>
  <c r="AX78" i="130" s="1"/>
  <c r="AK78" i="130"/>
  <c r="AQ78" i="130" s="1"/>
  <c r="AD78" i="130"/>
  <c r="AJ78" i="130" s="1"/>
  <c r="W78" i="130"/>
  <c r="AC78" i="130" s="1"/>
  <c r="P78" i="130"/>
  <c r="V78" i="130" s="1"/>
  <c r="AD74" i="130"/>
  <c r="AJ74" i="130" s="1"/>
  <c r="W74" i="130"/>
  <c r="AC74" i="130" s="1"/>
  <c r="AK74" i="130"/>
  <c r="AQ74" i="130" s="1"/>
  <c r="AR74" i="130"/>
  <c r="AX74" i="130" s="1"/>
  <c r="P74" i="130"/>
  <c r="V74" i="130" s="1"/>
  <c r="AK101" i="130"/>
  <c r="AQ101" i="130" s="1"/>
  <c r="AD101" i="130"/>
  <c r="AJ101" i="130" s="1"/>
  <c r="W101" i="130"/>
  <c r="AC101" i="130" s="1"/>
  <c r="AR101" i="130"/>
  <c r="AX101" i="130" s="1"/>
  <c r="V101" i="130"/>
  <c r="AK70" i="130"/>
  <c r="AQ70" i="130" s="1"/>
  <c r="AR70" i="130"/>
  <c r="AX70" i="130" s="1"/>
  <c r="AD70" i="130"/>
  <c r="AJ70" i="130" s="1"/>
  <c r="W70" i="130"/>
  <c r="AC70" i="130" s="1"/>
  <c r="P70" i="130"/>
  <c r="V70" i="130" s="1"/>
  <c r="P94" i="130"/>
  <c r="V94" i="130" s="1"/>
  <c r="AR94" i="130"/>
  <c r="AX94" i="130" s="1"/>
  <c r="AK94" i="130"/>
  <c r="AQ94" i="130" s="1"/>
  <c r="AD94" i="130"/>
  <c r="AJ94" i="130" s="1"/>
  <c r="W94" i="130"/>
  <c r="AC94" i="130" s="1"/>
  <c r="AD95" i="130"/>
  <c r="AJ95" i="130" s="1"/>
  <c r="AR95" i="130"/>
  <c r="AX95" i="130" s="1"/>
  <c r="W95" i="130"/>
  <c r="AC95" i="130" s="1"/>
  <c r="P95" i="130"/>
  <c r="V95" i="130" s="1"/>
  <c r="AK95" i="130"/>
  <c r="AQ95" i="130" s="1"/>
  <c r="AK107" i="130"/>
  <c r="AQ107" i="130" s="1"/>
  <c r="AD107" i="130"/>
  <c r="AJ107" i="130" s="1"/>
  <c r="W107" i="130"/>
  <c r="AC107" i="130" s="1"/>
  <c r="AR107" i="130"/>
  <c r="AX107" i="130" s="1"/>
  <c r="V107" i="130"/>
  <c r="AR72" i="130"/>
  <c r="AX72" i="130" s="1"/>
  <c r="AK72" i="130"/>
  <c r="AQ72" i="130" s="1"/>
  <c r="AD72" i="130"/>
  <c r="AJ72" i="130" s="1"/>
  <c r="W72" i="130"/>
  <c r="AC72" i="130" s="1"/>
  <c r="P72" i="130"/>
  <c r="V72" i="130" s="1"/>
  <c r="AR104" i="130"/>
  <c r="AX104" i="130" s="1"/>
  <c r="AK104" i="130"/>
  <c r="AQ104" i="130" s="1"/>
  <c r="AD104" i="130"/>
  <c r="AJ104" i="130" s="1"/>
  <c r="W104" i="130"/>
  <c r="AC104" i="130" s="1"/>
  <c r="V104" i="130"/>
  <c r="AR110" i="130"/>
  <c r="AX110" i="130" s="1"/>
  <c r="AK110" i="130"/>
  <c r="AQ110" i="130" s="1"/>
  <c r="AD110" i="130"/>
  <c r="AJ110" i="130" s="1"/>
  <c r="W110" i="130"/>
  <c r="AC110" i="130" s="1"/>
  <c r="V110" i="130"/>
  <c r="AR102" i="130"/>
  <c r="AX102" i="130" s="1"/>
  <c r="AK102" i="130"/>
  <c r="AQ102" i="130" s="1"/>
  <c r="AD102" i="130"/>
  <c r="AJ102" i="130" s="1"/>
  <c r="W102" i="130"/>
  <c r="AC102" i="130" s="1"/>
  <c r="V102" i="130"/>
  <c r="AK98" i="130"/>
  <c r="AQ98" i="130" s="1"/>
  <c r="AD98" i="130"/>
  <c r="AJ98" i="130" s="1"/>
  <c r="W98" i="130"/>
  <c r="AC98" i="130" s="1"/>
  <c r="P98" i="130"/>
  <c r="V98" i="130" s="1"/>
  <c r="AR98" i="130"/>
  <c r="AX98" i="130" s="1"/>
  <c r="AK85" i="130"/>
  <c r="AQ85" i="130" s="1"/>
  <c r="AD85" i="130"/>
  <c r="AJ85" i="130" s="1"/>
  <c r="AR85" i="130"/>
  <c r="AX85" i="130" s="1"/>
  <c r="P85" i="130"/>
  <c r="V85" i="130" s="1"/>
  <c r="W85" i="130"/>
  <c r="AC85" i="130" s="1"/>
  <c r="W92" i="130"/>
  <c r="AC92" i="130" s="1"/>
  <c r="P92" i="130"/>
  <c r="V92" i="130" s="1"/>
  <c r="AR92" i="130"/>
  <c r="AX92" i="130" s="1"/>
  <c r="AD92" i="130"/>
  <c r="AJ92" i="130" s="1"/>
  <c r="AK92" i="130"/>
  <c r="AQ92" i="130" s="1"/>
  <c r="AR97" i="130"/>
  <c r="AX97" i="130" s="1"/>
  <c r="P97" i="130"/>
  <c r="V97" i="130" s="1"/>
  <c r="AK97" i="130"/>
  <c r="AQ97" i="130" s="1"/>
  <c r="AD97" i="130"/>
  <c r="AJ97" i="130" s="1"/>
  <c r="W97" i="130"/>
  <c r="AC97" i="130" s="1"/>
  <c r="W69" i="130"/>
  <c r="AC69" i="130" s="1"/>
  <c r="AR69" i="130"/>
  <c r="AX69" i="130" s="1"/>
  <c r="AK69" i="130"/>
  <c r="AQ69" i="130" s="1"/>
  <c r="AD109" i="130"/>
  <c r="AJ109" i="130" s="1"/>
  <c r="W109" i="130"/>
  <c r="AC109" i="130" s="1"/>
  <c r="AR109" i="130"/>
  <c r="AX109" i="130" s="1"/>
  <c r="V109" i="130"/>
  <c r="AK109" i="130"/>
  <c r="AQ109" i="130" s="1"/>
  <c r="AK90" i="130"/>
  <c r="AQ90" i="130" s="1"/>
  <c r="AD90" i="130"/>
  <c r="AJ90" i="130" s="1"/>
  <c r="W90" i="130"/>
  <c r="AC90" i="130" s="1"/>
  <c r="AR90" i="130"/>
  <c r="AX90" i="130" s="1"/>
  <c r="P90" i="130"/>
  <c r="V90" i="130" s="1"/>
  <c r="AK75" i="130"/>
  <c r="AQ75" i="130" s="1"/>
  <c r="AD75" i="130"/>
  <c r="AJ75" i="130" s="1"/>
  <c r="W75" i="130"/>
  <c r="AC75" i="130" s="1"/>
  <c r="P75" i="130"/>
  <c r="V75" i="130" s="1"/>
  <c r="AR75" i="130"/>
  <c r="AX75" i="130" s="1"/>
  <c r="P76" i="130"/>
  <c r="V76" i="130" s="1"/>
  <c r="AR76" i="130"/>
  <c r="AX76" i="130" s="1"/>
  <c r="W76" i="130"/>
  <c r="AC76" i="130" s="1"/>
  <c r="AK76" i="130"/>
  <c r="AQ76" i="130" s="1"/>
  <c r="AD76" i="130"/>
  <c r="AJ76" i="130" s="1"/>
  <c r="AR64" i="130"/>
  <c r="AX64" i="130" s="1"/>
  <c r="AR66" i="130"/>
  <c r="AX66" i="130" s="1"/>
  <c r="AR81" i="130"/>
  <c r="AX81" i="130" s="1"/>
  <c r="W81" i="130"/>
  <c r="AC81" i="130" s="1"/>
  <c r="P81" i="130"/>
  <c r="V81" i="130" s="1"/>
  <c r="AK81" i="130"/>
  <c r="AQ81" i="130" s="1"/>
  <c r="AD81" i="130"/>
  <c r="AJ81" i="130" s="1"/>
  <c r="AK82" i="130"/>
  <c r="AQ82" i="130" s="1"/>
  <c r="AD82" i="130"/>
  <c r="AJ82" i="130" s="1"/>
  <c r="P82" i="130"/>
  <c r="V82" i="130" s="1"/>
  <c r="AR82" i="130"/>
  <c r="AX82" i="130" s="1"/>
  <c r="W82" i="130"/>
  <c r="AC82" i="130" s="1"/>
  <c r="W84" i="130"/>
  <c r="AC84" i="130" s="1"/>
  <c r="P84" i="130"/>
  <c r="V84" i="130" s="1"/>
  <c r="AR84" i="130"/>
  <c r="AX84" i="130" s="1"/>
  <c r="AK84" i="130"/>
  <c r="AQ84" i="130" s="1"/>
  <c r="AD84" i="130"/>
  <c r="AJ84" i="130" s="1"/>
  <c r="AK93" i="130"/>
  <c r="AQ93" i="130" s="1"/>
  <c r="AD93" i="130"/>
  <c r="AJ93" i="130" s="1"/>
  <c r="AR93" i="130"/>
  <c r="AX93" i="130" s="1"/>
  <c r="W93" i="130"/>
  <c r="AC93" i="130" s="1"/>
  <c r="P93" i="130"/>
  <c r="V93" i="130" s="1"/>
  <c r="V112" i="130"/>
  <c r="W112" i="130"/>
  <c r="AC112" i="130" s="1"/>
  <c r="AK112" i="130"/>
  <c r="AQ112" i="130" s="1"/>
  <c r="AD112" i="130"/>
  <c r="AJ112" i="130" s="1"/>
  <c r="BU1" i="131"/>
  <c r="M1" i="131" s="1"/>
  <c r="CH8" i="133" s="1"/>
  <c r="CI8" i="133" s="1"/>
  <c r="BU1" i="130"/>
  <c r="M1" i="130" s="1"/>
  <c r="CH7" i="133" s="1"/>
  <c r="CI7" i="133" s="1"/>
  <c r="K5" i="98"/>
  <c r="Q5" i="98"/>
  <c r="BT93" i="130" l="1"/>
  <c r="BS93" i="130"/>
  <c r="BR93" i="130"/>
  <c r="BQ93" i="130"/>
  <c r="BP93" i="130"/>
  <c r="BO93" i="130"/>
  <c r="BT85" i="130"/>
  <c r="BS85" i="130"/>
  <c r="BR85" i="130"/>
  <c r="BQ85" i="130"/>
  <c r="BP85" i="130"/>
  <c r="BO85" i="130"/>
  <c r="BR112" i="130"/>
  <c r="BQ112" i="130"/>
  <c r="BP112" i="130"/>
  <c r="BO112" i="130"/>
  <c r="BS112" i="130"/>
  <c r="BT112" i="130"/>
  <c r="BR100" i="130"/>
  <c r="BQ100" i="130"/>
  <c r="BP100" i="130"/>
  <c r="BO100" i="130"/>
  <c r="BS100" i="130"/>
  <c r="BT100" i="130"/>
  <c r="BP107" i="130"/>
  <c r="BO107" i="130"/>
  <c r="BT107" i="130"/>
  <c r="BS107" i="130"/>
  <c r="BQ107" i="130"/>
  <c r="BR107" i="130"/>
  <c r="BT98" i="130"/>
  <c r="BS98" i="130"/>
  <c r="BR98" i="130"/>
  <c r="BQ98" i="130"/>
  <c r="BO98" i="130"/>
  <c r="BP98" i="130"/>
  <c r="BR104" i="130"/>
  <c r="BQ104" i="130"/>
  <c r="BP104" i="130"/>
  <c r="BO104" i="130"/>
  <c r="BS104" i="130"/>
  <c r="BT104" i="130"/>
  <c r="BT102" i="130"/>
  <c r="BS102" i="130"/>
  <c r="BR102" i="130"/>
  <c r="BQ102" i="130"/>
  <c r="BO102" i="130"/>
  <c r="BP102" i="130"/>
  <c r="BP75" i="130"/>
  <c r="BO75" i="130"/>
  <c r="BT75" i="130"/>
  <c r="BS75" i="130"/>
  <c r="BQ75" i="130"/>
  <c r="BR75" i="130"/>
  <c r="BP71" i="130"/>
  <c r="BO71" i="130"/>
  <c r="BT71" i="130"/>
  <c r="BS71" i="130"/>
  <c r="BQ71" i="130"/>
  <c r="BR71" i="130"/>
  <c r="BR88" i="130"/>
  <c r="BQ88" i="130"/>
  <c r="BP88" i="130"/>
  <c r="BO88" i="130"/>
  <c r="BS88" i="130"/>
  <c r="BT88" i="130"/>
  <c r="BT73" i="130"/>
  <c r="BS73" i="130"/>
  <c r="BR73" i="130"/>
  <c r="BQ73" i="130"/>
  <c r="BP73" i="130"/>
  <c r="BO73" i="130"/>
  <c r="BP67" i="130"/>
  <c r="BO67" i="130"/>
  <c r="BT67" i="130"/>
  <c r="BS67" i="130"/>
  <c r="BQ67" i="130"/>
  <c r="BR67" i="130"/>
  <c r="BT106" i="130"/>
  <c r="BS106" i="130"/>
  <c r="BR106" i="130"/>
  <c r="BQ106" i="130"/>
  <c r="BO106" i="130"/>
  <c r="BP106" i="130"/>
  <c r="BR92" i="130"/>
  <c r="BQ92" i="130"/>
  <c r="BP92" i="130"/>
  <c r="BO92" i="130"/>
  <c r="BS92" i="130"/>
  <c r="BT92" i="130"/>
  <c r="BT101" i="130"/>
  <c r="BS101" i="130"/>
  <c r="BR101" i="130"/>
  <c r="BQ101" i="130"/>
  <c r="BP101" i="130"/>
  <c r="BO101" i="130"/>
  <c r="BR76" i="130"/>
  <c r="BQ76" i="130"/>
  <c r="BP76" i="130"/>
  <c r="BO76" i="130"/>
  <c r="BS76" i="130"/>
  <c r="BT76" i="130"/>
  <c r="BT110" i="130"/>
  <c r="BS110" i="130"/>
  <c r="BR110" i="130"/>
  <c r="BQ110" i="130"/>
  <c r="BO110" i="130"/>
  <c r="BP110" i="130"/>
  <c r="BT69" i="130"/>
  <c r="BS69" i="130"/>
  <c r="BR69" i="130"/>
  <c r="BQ69" i="130"/>
  <c r="BP69" i="130"/>
  <c r="BO69" i="130"/>
  <c r="BT82" i="130"/>
  <c r="BS82" i="130"/>
  <c r="BR82" i="130"/>
  <c r="BQ82" i="130"/>
  <c r="BO82" i="130"/>
  <c r="BP82" i="130"/>
  <c r="BT65" i="130"/>
  <c r="BS65" i="130"/>
  <c r="BR65" i="130"/>
  <c r="BQ65" i="130"/>
  <c r="BP65" i="130"/>
  <c r="BO65" i="130"/>
  <c r="BP63" i="130"/>
  <c r="BO63" i="130"/>
  <c r="BT63" i="130"/>
  <c r="BS63" i="130"/>
  <c r="BQ63" i="130"/>
  <c r="BR63" i="130"/>
  <c r="BT94" i="130"/>
  <c r="BS94" i="130"/>
  <c r="BR94" i="130"/>
  <c r="BQ94" i="130"/>
  <c r="BO94" i="130"/>
  <c r="BP94" i="130"/>
  <c r="BP95" i="130"/>
  <c r="BO95" i="130"/>
  <c r="BT95" i="130"/>
  <c r="BS95" i="130"/>
  <c r="BQ95" i="130"/>
  <c r="BR95" i="130"/>
  <c r="BT89" i="130"/>
  <c r="BS89" i="130"/>
  <c r="BR89" i="130"/>
  <c r="BQ89" i="130"/>
  <c r="BP89" i="130"/>
  <c r="BO89" i="130"/>
  <c r="BT77" i="130"/>
  <c r="BS77" i="130"/>
  <c r="BR77" i="130"/>
  <c r="BQ77" i="130"/>
  <c r="BP77" i="130"/>
  <c r="BO77" i="130"/>
  <c r="BR96" i="130"/>
  <c r="BQ96" i="130"/>
  <c r="BP96" i="130"/>
  <c r="BO96" i="130"/>
  <c r="BS96" i="130"/>
  <c r="BT96" i="130"/>
  <c r="BR64" i="130"/>
  <c r="BQ64" i="130"/>
  <c r="BP64" i="130"/>
  <c r="BO64" i="130"/>
  <c r="BS64" i="130"/>
  <c r="BT64" i="130"/>
  <c r="BT81" i="130"/>
  <c r="BS81" i="130"/>
  <c r="BR81" i="130"/>
  <c r="BQ81" i="130"/>
  <c r="BP81" i="130"/>
  <c r="BO81" i="130"/>
  <c r="BT109" i="130"/>
  <c r="BS109" i="130"/>
  <c r="BR109" i="130"/>
  <c r="BQ109" i="130"/>
  <c r="BP109" i="130"/>
  <c r="BO109" i="130"/>
  <c r="BT74" i="130"/>
  <c r="BS74" i="130"/>
  <c r="BR74" i="130"/>
  <c r="BQ74" i="130"/>
  <c r="BO74" i="130"/>
  <c r="BP74" i="130"/>
  <c r="BR80" i="130"/>
  <c r="BQ80" i="130"/>
  <c r="BP80" i="130"/>
  <c r="BO80" i="130"/>
  <c r="BS80" i="130"/>
  <c r="BT80" i="130"/>
  <c r="BR84" i="130"/>
  <c r="BQ84" i="130"/>
  <c r="BP84" i="130"/>
  <c r="BO84" i="130"/>
  <c r="BS84" i="130"/>
  <c r="BT84" i="130"/>
  <c r="BR72" i="130"/>
  <c r="BQ72" i="130"/>
  <c r="BP72" i="130"/>
  <c r="BO72" i="130"/>
  <c r="BS72" i="130"/>
  <c r="BT72" i="130"/>
  <c r="BT78" i="130"/>
  <c r="BS78" i="130"/>
  <c r="BR78" i="130"/>
  <c r="BQ78" i="130"/>
  <c r="BO78" i="130"/>
  <c r="BP78" i="130"/>
  <c r="BT66" i="130"/>
  <c r="BS66" i="130"/>
  <c r="BR66" i="130"/>
  <c r="BQ66" i="130"/>
  <c r="BO66" i="130"/>
  <c r="BP66" i="130"/>
  <c r="BT97" i="130"/>
  <c r="BS97" i="130"/>
  <c r="BR97" i="130"/>
  <c r="BQ97" i="130"/>
  <c r="BP97" i="130"/>
  <c r="BO97" i="130"/>
  <c r="BT90" i="130"/>
  <c r="BS90" i="130"/>
  <c r="BR90" i="130"/>
  <c r="BQ90" i="130"/>
  <c r="BO90" i="130"/>
  <c r="BP90" i="130"/>
  <c r="BP91" i="130"/>
  <c r="BO91" i="130"/>
  <c r="BT91" i="130"/>
  <c r="BS91" i="130"/>
  <c r="BQ91" i="130"/>
  <c r="BR91" i="130"/>
  <c r="BT70" i="130"/>
  <c r="BS70" i="130"/>
  <c r="BR70" i="130"/>
  <c r="BQ70" i="130"/>
  <c r="BO70" i="130"/>
  <c r="BP70" i="130"/>
  <c r="BT266" i="131"/>
  <c r="BS266" i="131"/>
  <c r="BR266" i="131"/>
  <c r="BP266" i="131"/>
  <c r="BQ266" i="131"/>
  <c r="BO266" i="131"/>
  <c r="BR127" i="131"/>
  <c r="BQ127" i="131"/>
  <c r="BP127" i="131"/>
  <c r="BO127" i="131"/>
  <c r="BS127" i="131"/>
  <c r="BT127" i="131"/>
  <c r="BP554" i="131"/>
  <c r="BO554" i="131"/>
  <c r="BT554" i="131"/>
  <c r="BQ554" i="131"/>
  <c r="BR554" i="131"/>
  <c r="BT622" i="131"/>
  <c r="BS622" i="131"/>
  <c r="BR622" i="131"/>
  <c r="BQ622" i="131"/>
  <c r="BO622" i="131"/>
  <c r="BP622" i="131"/>
  <c r="BR628" i="131"/>
  <c r="BQ628" i="131"/>
  <c r="BP628" i="131"/>
  <c r="BO628" i="131"/>
  <c r="BT628" i="131"/>
  <c r="BS628" i="131"/>
  <c r="BQ243" i="131"/>
  <c r="BP243" i="131"/>
  <c r="BO243" i="131"/>
  <c r="BT243" i="131"/>
  <c r="BS243" i="131"/>
  <c r="BR243" i="131"/>
  <c r="BS456" i="131"/>
  <c r="BR456" i="131"/>
  <c r="BQ456" i="131"/>
  <c r="BP456" i="131"/>
  <c r="BT456" i="131"/>
  <c r="BO456" i="131"/>
  <c r="BT449" i="131"/>
  <c r="BS449" i="131"/>
  <c r="BR449" i="131"/>
  <c r="BQ449" i="131"/>
  <c r="BO449" i="131"/>
  <c r="BP449" i="131"/>
  <c r="BS625" i="131"/>
  <c r="BR625" i="131"/>
  <c r="BQ625" i="131"/>
  <c r="BP625" i="131"/>
  <c r="BT625" i="131"/>
  <c r="BO625" i="131"/>
  <c r="BO187" i="131"/>
  <c r="BT187" i="131"/>
  <c r="BS187" i="131"/>
  <c r="BR187" i="131"/>
  <c r="BQ187" i="131"/>
  <c r="BP187" i="131"/>
  <c r="BO344" i="131"/>
  <c r="BT344" i="131"/>
  <c r="BS344" i="131"/>
  <c r="BR344" i="131"/>
  <c r="BP344" i="131"/>
  <c r="BQ344" i="131"/>
  <c r="BR375" i="131"/>
  <c r="BP375" i="131"/>
  <c r="BO375" i="131"/>
  <c r="BS375" i="131"/>
  <c r="BT375" i="131"/>
  <c r="BQ375" i="131"/>
  <c r="BR383" i="131"/>
  <c r="BQ383" i="131"/>
  <c r="BP383" i="131"/>
  <c r="BO383" i="131"/>
  <c r="BS383" i="131"/>
  <c r="BT383" i="131"/>
  <c r="BQ631" i="131"/>
  <c r="BP631" i="131"/>
  <c r="BO631" i="131"/>
  <c r="BT631" i="131"/>
  <c r="BS631" i="131"/>
  <c r="BR631" i="131"/>
  <c r="BR636" i="131"/>
  <c r="BQ636" i="131"/>
  <c r="BP636" i="131"/>
  <c r="BO636" i="131"/>
  <c r="BT636" i="131"/>
  <c r="BS636" i="131"/>
  <c r="BR617" i="131"/>
  <c r="BQ617" i="131"/>
  <c r="BP617" i="131"/>
  <c r="BO617" i="131"/>
  <c r="BS617" i="131"/>
  <c r="BT617" i="131"/>
  <c r="BR186" i="131"/>
  <c r="BQ186" i="131"/>
  <c r="BP186" i="131"/>
  <c r="BO186" i="131"/>
  <c r="BT186" i="131"/>
  <c r="BS186" i="131"/>
  <c r="BT188" i="131"/>
  <c r="BS188" i="131"/>
  <c r="BR188" i="131"/>
  <c r="BQ188" i="131"/>
  <c r="BP188" i="131"/>
  <c r="BO188" i="131"/>
  <c r="BO564" i="131"/>
  <c r="BT564" i="131"/>
  <c r="BS564" i="131"/>
  <c r="BR564" i="131"/>
  <c r="BP564" i="131"/>
  <c r="BQ564" i="131"/>
  <c r="BT608" i="131"/>
  <c r="BS608" i="131"/>
  <c r="BR608" i="131"/>
  <c r="BQ608" i="131"/>
  <c r="BP608" i="131"/>
  <c r="BO608" i="131"/>
  <c r="BR99" i="131"/>
  <c r="BS99" i="131"/>
  <c r="BQ99" i="131"/>
  <c r="BP99" i="131"/>
  <c r="BO99" i="131"/>
  <c r="BT99" i="131"/>
  <c r="BT611" i="131"/>
  <c r="BS611" i="131"/>
  <c r="BR611" i="131"/>
  <c r="BQ611" i="131"/>
  <c r="BP611" i="131"/>
  <c r="BO611" i="131"/>
  <c r="BT616" i="131"/>
  <c r="BS616" i="131"/>
  <c r="BR616" i="131"/>
  <c r="BQ616" i="131"/>
  <c r="BP616" i="131"/>
  <c r="BO616" i="131"/>
  <c r="BQ270" i="131"/>
  <c r="BP270" i="131"/>
  <c r="BO270" i="131"/>
  <c r="BT270" i="131"/>
  <c r="BS270" i="131"/>
  <c r="BR270" i="131"/>
  <c r="BQ189" i="131"/>
  <c r="BP189" i="131"/>
  <c r="BO189" i="131"/>
  <c r="BT189" i="131"/>
  <c r="BS189" i="131"/>
  <c r="BR189" i="131"/>
  <c r="BT269" i="131"/>
  <c r="BS269" i="131"/>
  <c r="BR269" i="131"/>
  <c r="BQ269" i="131"/>
  <c r="BO269" i="131"/>
  <c r="BP269" i="131"/>
  <c r="BT369" i="131"/>
  <c r="BR369" i="131"/>
  <c r="BQ369" i="131"/>
  <c r="BP369" i="131"/>
  <c r="BO369" i="131"/>
  <c r="BS369" i="131"/>
  <c r="BQ612" i="131"/>
  <c r="BP612" i="131"/>
  <c r="BO612" i="131"/>
  <c r="BT612" i="131"/>
  <c r="BR612" i="131"/>
  <c r="BS612" i="131"/>
  <c r="BO171" i="131"/>
  <c r="BT171" i="131"/>
  <c r="BS171" i="131"/>
  <c r="BR171" i="131"/>
  <c r="BQ171" i="131"/>
  <c r="BP171" i="131"/>
  <c r="BS380" i="131"/>
  <c r="BR380" i="131"/>
  <c r="BQ380" i="131"/>
  <c r="BP380" i="131"/>
  <c r="BO380" i="131"/>
  <c r="BT380" i="131"/>
  <c r="BR130" i="131"/>
  <c r="BQ130" i="131"/>
  <c r="BP130" i="131"/>
  <c r="BO130" i="131"/>
  <c r="BS130" i="131"/>
  <c r="BT130" i="131"/>
  <c r="BP561" i="131"/>
  <c r="BO561" i="131"/>
  <c r="BT561" i="131"/>
  <c r="BS561" i="131"/>
  <c r="BQ561" i="131"/>
  <c r="BR561" i="131"/>
  <c r="BS358" i="131"/>
  <c r="BR358" i="131"/>
  <c r="BQ358" i="131"/>
  <c r="BP358" i="131"/>
  <c r="BT358" i="131"/>
  <c r="BO358" i="131"/>
  <c r="BQ354" i="131"/>
  <c r="BO354" i="131"/>
  <c r="BT354" i="131"/>
  <c r="BR354" i="131"/>
  <c r="BS354" i="131"/>
  <c r="BP354" i="131"/>
  <c r="BP357" i="131"/>
  <c r="BT357" i="131"/>
  <c r="BS357" i="131"/>
  <c r="BQ357" i="131"/>
  <c r="BR357" i="131"/>
  <c r="BO357" i="131"/>
  <c r="BR473" i="131"/>
  <c r="BQ473" i="131"/>
  <c r="BP473" i="131"/>
  <c r="BO473" i="131"/>
  <c r="BS473" i="131"/>
  <c r="BT473" i="131"/>
  <c r="BR563" i="131"/>
  <c r="BQ563" i="131"/>
  <c r="BP563" i="131"/>
  <c r="BO563" i="131"/>
  <c r="BS563" i="131"/>
  <c r="BT563" i="131"/>
  <c r="BO645" i="131"/>
  <c r="BT645" i="131"/>
  <c r="BS645" i="131"/>
  <c r="BR645" i="131"/>
  <c r="BQ645" i="131"/>
  <c r="BP645" i="131"/>
  <c r="BT488" i="131"/>
  <c r="BS488" i="131"/>
  <c r="BR488" i="131"/>
  <c r="BQ488" i="131"/>
  <c r="BP488" i="131"/>
  <c r="BO488" i="131"/>
  <c r="BR259" i="131"/>
  <c r="BQ259" i="131"/>
  <c r="BP259" i="131"/>
  <c r="BO259" i="131"/>
  <c r="BT259" i="131"/>
  <c r="BS259" i="131"/>
  <c r="BT573" i="131"/>
  <c r="BS573" i="131"/>
  <c r="BR573" i="131"/>
  <c r="BQ573" i="131"/>
  <c r="BO573" i="131"/>
  <c r="BP573" i="131"/>
  <c r="BT570" i="131"/>
  <c r="BS570" i="131"/>
  <c r="BR570" i="131"/>
  <c r="BQ570" i="131"/>
  <c r="BP570" i="131"/>
  <c r="BO570" i="131"/>
  <c r="BS104" i="131"/>
  <c r="BT104" i="131"/>
  <c r="BR104" i="131"/>
  <c r="BQ104" i="131"/>
  <c r="BP104" i="131"/>
  <c r="BO104" i="131"/>
  <c r="BR275" i="131"/>
  <c r="BQ275" i="131"/>
  <c r="BP275" i="131"/>
  <c r="BO275" i="131"/>
  <c r="BT275" i="131"/>
  <c r="BS275" i="131"/>
  <c r="BR351" i="131"/>
  <c r="BP351" i="131"/>
  <c r="BO351" i="131"/>
  <c r="BS351" i="131"/>
  <c r="BQ351" i="131"/>
  <c r="BT351" i="131"/>
  <c r="BS450" i="131"/>
  <c r="BR450" i="131"/>
  <c r="BQ450" i="131"/>
  <c r="BP450" i="131"/>
  <c r="BO450" i="131"/>
  <c r="BT450" i="131"/>
  <c r="BS470" i="131"/>
  <c r="BR470" i="131"/>
  <c r="BQ470" i="131"/>
  <c r="BP470" i="131"/>
  <c r="BO470" i="131"/>
  <c r="BT470" i="131"/>
  <c r="BP607" i="131"/>
  <c r="BO607" i="131"/>
  <c r="BT607" i="131"/>
  <c r="BS607" i="131"/>
  <c r="BQ607" i="131"/>
  <c r="BR607" i="131"/>
  <c r="BQ370" i="131"/>
  <c r="BO370" i="131"/>
  <c r="BT370" i="131"/>
  <c r="BR370" i="131"/>
  <c r="BS370" i="131"/>
  <c r="BP370" i="131"/>
  <c r="BT29" i="131"/>
  <c r="BS29" i="131"/>
  <c r="BR29" i="131"/>
  <c r="BQ29" i="131"/>
  <c r="BP29" i="131"/>
  <c r="BO29" i="131"/>
  <c r="BT640" i="131"/>
  <c r="BS640" i="131"/>
  <c r="BQ640" i="131"/>
  <c r="BR640" i="131"/>
  <c r="BP640" i="131"/>
  <c r="BO640" i="131"/>
  <c r="BQ30" i="131"/>
  <c r="BP30" i="131"/>
  <c r="BR30" i="131"/>
  <c r="BO30" i="131"/>
  <c r="BT30" i="131"/>
  <c r="BS30" i="131"/>
  <c r="BP327" i="131"/>
  <c r="BT327" i="131"/>
  <c r="BS327" i="131"/>
  <c r="BQ327" i="131"/>
  <c r="BR327" i="131"/>
  <c r="BO327" i="131"/>
  <c r="BP168" i="131"/>
  <c r="BO168" i="131"/>
  <c r="BT168" i="131"/>
  <c r="BS168" i="131"/>
  <c r="BR168" i="131"/>
  <c r="BQ168" i="131"/>
  <c r="BP265" i="131"/>
  <c r="BO265" i="131"/>
  <c r="BS265" i="131"/>
  <c r="BT265" i="131"/>
  <c r="BR265" i="131"/>
  <c r="BQ265" i="131"/>
  <c r="BP615" i="131"/>
  <c r="BO615" i="131"/>
  <c r="BT615" i="131"/>
  <c r="BS615" i="131"/>
  <c r="BQ615" i="131"/>
  <c r="BR615" i="131"/>
  <c r="BT541" i="131"/>
  <c r="BS541" i="131"/>
  <c r="BR541" i="131"/>
  <c r="BQ541" i="131"/>
  <c r="BO541" i="131"/>
  <c r="BP541" i="131"/>
  <c r="BR178" i="131"/>
  <c r="BQ178" i="131"/>
  <c r="BP178" i="131"/>
  <c r="BO178" i="131"/>
  <c r="BT178" i="131"/>
  <c r="BS178" i="131"/>
  <c r="BR557" i="131"/>
  <c r="BQ557" i="131"/>
  <c r="BP557" i="131"/>
  <c r="BO557" i="131"/>
  <c r="BS557" i="131"/>
  <c r="BT557" i="131"/>
  <c r="BS32" i="131"/>
  <c r="BR32" i="131"/>
  <c r="BQ32" i="131"/>
  <c r="BT32" i="131"/>
  <c r="BP32" i="131"/>
  <c r="BO32" i="131"/>
  <c r="BT109" i="131"/>
  <c r="BS109" i="131"/>
  <c r="BR109" i="131"/>
  <c r="BQ109" i="131"/>
  <c r="BP109" i="131"/>
  <c r="BO109" i="131"/>
  <c r="BS614" i="131"/>
  <c r="BR614" i="131"/>
  <c r="BQ614" i="131"/>
  <c r="BP614" i="131"/>
  <c r="BO614" i="131"/>
  <c r="BT614" i="131"/>
  <c r="BO268" i="131"/>
  <c r="BT268" i="131"/>
  <c r="BR268" i="131"/>
  <c r="BS268" i="131"/>
  <c r="BQ268" i="131"/>
  <c r="BP268" i="131"/>
  <c r="BT483" i="131"/>
  <c r="BS483" i="131"/>
  <c r="BR483" i="131"/>
  <c r="BQ483" i="131"/>
  <c r="BP483" i="131"/>
  <c r="BO483" i="131"/>
  <c r="BR593" i="131"/>
  <c r="BQ593" i="131"/>
  <c r="BP593" i="131"/>
  <c r="BO593" i="131"/>
  <c r="BS593" i="131"/>
  <c r="BT593" i="131"/>
  <c r="BS253" i="131"/>
  <c r="BR253" i="131"/>
  <c r="BQ253" i="131"/>
  <c r="BP253" i="131"/>
  <c r="BO253" i="131"/>
  <c r="BT253" i="131"/>
  <c r="BS554" i="131"/>
  <c r="BQ378" i="131"/>
  <c r="BP378" i="131"/>
  <c r="BO378" i="131"/>
  <c r="BT378" i="131"/>
  <c r="BR378" i="131"/>
  <c r="BS378" i="131"/>
  <c r="BS590" i="131"/>
  <c r="BR590" i="131"/>
  <c r="BQ590" i="131"/>
  <c r="BP590" i="131"/>
  <c r="BO590" i="131"/>
  <c r="BT590" i="131"/>
  <c r="BT589" i="131"/>
  <c r="BS589" i="131"/>
  <c r="BR589" i="131"/>
  <c r="BQ589" i="131"/>
  <c r="BO589" i="131"/>
  <c r="BP589" i="131"/>
  <c r="BP381" i="131"/>
  <c r="BO381" i="131"/>
  <c r="BT381" i="131"/>
  <c r="BS381" i="131"/>
  <c r="BQ381" i="131"/>
  <c r="BR381" i="131"/>
  <c r="BT556" i="131"/>
  <c r="BS556" i="131"/>
  <c r="BQ556" i="131"/>
  <c r="BP556" i="131"/>
  <c r="BO556" i="131"/>
  <c r="BT274" i="131"/>
  <c r="BS274" i="131"/>
  <c r="BR274" i="131"/>
  <c r="BP274" i="131"/>
  <c r="BQ274" i="131"/>
  <c r="BO274" i="131"/>
  <c r="BO352" i="131"/>
  <c r="BT352" i="131"/>
  <c r="BS352" i="131"/>
  <c r="BR352" i="131"/>
  <c r="BP352" i="131"/>
  <c r="BQ352" i="131"/>
  <c r="BO586" i="131"/>
  <c r="BT586" i="131"/>
  <c r="BS586" i="131"/>
  <c r="BR586" i="131"/>
  <c r="BP586" i="131"/>
  <c r="BQ586" i="131"/>
  <c r="BT632" i="131"/>
  <c r="BS632" i="131"/>
  <c r="BQ632" i="131"/>
  <c r="BR632" i="131"/>
  <c r="BP632" i="131"/>
  <c r="BO632" i="131"/>
  <c r="BT101" i="131"/>
  <c r="BS101" i="131"/>
  <c r="BR101" i="131"/>
  <c r="BQ101" i="131"/>
  <c r="BP101" i="131"/>
  <c r="BO101" i="131"/>
  <c r="BO84" i="131"/>
  <c r="BT84" i="131"/>
  <c r="BP84" i="131"/>
  <c r="BS84" i="131"/>
  <c r="BR84" i="131"/>
  <c r="BQ84" i="131"/>
  <c r="BS553" i="131"/>
  <c r="BR553" i="131"/>
  <c r="BQ553" i="131"/>
  <c r="BO553" i="131"/>
  <c r="BT553" i="131"/>
  <c r="BP553" i="131"/>
  <c r="BT106" i="131"/>
  <c r="BS106" i="131"/>
  <c r="BR106" i="131"/>
  <c r="BQ106" i="131"/>
  <c r="BP106" i="131"/>
  <c r="BO106" i="131"/>
  <c r="BS237" i="131"/>
  <c r="BR237" i="131"/>
  <c r="BQ237" i="131"/>
  <c r="BP237" i="131"/>
  <c r="BO237" i="131"/>
  <c r="BT237" i="131"/>
  <c r="BT464" i="131"/>
  <c r="BS464" i="131"/>
  <c r="BR464" i="131"/>
  <c r="BQ464" i="131"/>
  <c r="BP464" i="131"/>
  <c r="BO464" i="131"/>
  <c r="BT467" i="131"/>
  <c r="BS467" i="131"/>
  <c r="BR467" i="131"/>
  <c r="BQ467" i="131"/>
  <c r="BP467" i="131"/>
  <c r="BO467" i="131"/>
  <c r="BQ596" i="131"/>
  <c r="BP596" i="131"/>
  <c r="BO596" i="131"/>
  <c r="BT596" i="131"/>
  <c r="BR596" i="131"/>
  <c r="BS596" i="131"/>
  <c r="BS454" i="131"/>
  <c r="BQ454" i="131"/>
  <c r="BP454" i="131"/>
  <c r="BO454" i="131"/>
  <c r="BT454" i="131"/>
  <c r="BR454" i="131"/>
  <c r="BQ235" i="131"/>
  <c r="BP235" i="131"/>
  <c r="BO235" i="131"/>
  <c r="BT235" i="131"/>
  <c r="BR235" i="131"/>
  <c r="BS235" i="131"/>
  <c r="BQ110" i="131"/>
  <c r="BP110" i="131"/>
  <c r="BO110" i="131"/>
  <c r="BR110" i="131"/>
  <c r="BT110" i="131"/>
  <c r="BS110" i="131"/>
  <c r="BP569" i="131"/>
  <c r="BO569" i="131"/>
  <c r="BT569" i="131"/>
  <c r="BS569" i="131"/>
  <c r="BQ569" i="131"/>
  <c r="BR569" i="131"/>
  <c r="BT193" i="131"/>
  <c r="BS193" i="131"/>
  <c r="BR193" i="131"/>
  <c r="BQ193" i="131"/>
  <c r="BP193" i="131"/>
  <c r="BO193" i="131"/>
  <c r="BO241" i="131"/>
  <c r="BT241" i="131"/>
  <c r="BS241" i="131"/>
  <c r="BR241" i="131"/>
  <c r="BP241" i="131"/>
  <c r="BQ241" i="131"/>
  <c r="BP365" i="131"/>
  <c r="BT365" i="131"/>
  <c r="BS365" i="131"/>
  <c r="BQ365" i="131"/>
  <c r="BR365" i="131"/>
  <c r="BO365" i="131"/>
  <c r="BT584" i="131"/>
  <c r="BS584" i="131"/>
  <c r="BR584" i="131"/>
  <c r="BQ584" i="131"/>
  <c r="BP584" i="131"/>
  <c r="BO584" i="131"/>
  <c r="BT648" i="131"/>
  <c r="BS648" i="131"/>
  <c r="BR648" i="131"/>
  <c r="BQ648" i="131"/>
  <c r="BO648" i="131"/>
  <c r="BP648" i="131"/>
  <c r="BO249" i="131"/>
  <c r="BT249" i="131"/>
  <c r="BS249" i="131"/>
  <c r="BR249" i="131"/>
  <c r="BQ249" i="131"/>
  <c r="BP249" i="131"/>
  <c r="BT103" i="131"/>
  <c r="BS103" i="131"/>
  <c r="BR103" i="131"/>
  <c r="BQ103" i="131"/>
  <c r="BO103" i="131"/>
  <c r="BP103" i="131"/>
  <c r="BS342" i="131"/>
  <c r="BR342" i="131"/>
  <c r="BQ342" i="131"/>
  <c r="BP342" i="131"/>
  <c r="BO342" i="131"/>
  <c r="BT342" i="131"/>
  <c r="BP25" i="131"/>
  <c r="BO25" i="131"/>
  <c r="BQ25" i="131"/>
  <c r="BT25" i="131"/>
  <c r="BS25" i="131"/>
  <c r="BR25" i="131"/>
  <c r="BS167" i="131"/>
  <c r="BR167" i="131"/>
  <c r="BQ167" i="131"/>
  <c r="BP167" i="131"/>
  <c r="BT167" i="131"/>
  <c r="BO167" i="131"/>
  <c r="BP373" i="131"/>
  <c r="BT373" i="131"/>
  <c r="BS373" i="131"/>
  <c r="BQ373" i="131"/>
  <c r="BR373" i="131"/>
  <c r="BO373" i="131"/>
  <c r="BT480" i="131"/>
  <c r="BS480" i="131"/>
  <c r="BR480" i="131"/>
  <c r="BQ480" i="131"/>
  <c r="BP480" i="131"/>
  <c r="BO480" i="131"/>
  <c r="BT597" i="131"/>
  <c r="BS597" i="131"/>
  <c r="BR597" i="131"/>
  <c r="BQ597" i="131"/>
  <c r="BO597" i="131"/>
  <c r="BP597" i="131"/>
  <c r="BT619" i="131"/>
  <c r="BS619" i="131"/>
  <c r="BR619" i="131"/>
  <c r="BP619" i="131"/>
  <c r="BQ619" i="131"/>
  <c r="BO619" i="131"/>
  <c r="BT646" i="131"/>
  <c r="BS646" i="131"/>
  <c r="BR646" i="131"/>
  <c r="BQ646" i="131"/>
  <c r="BP646" i="131"/>
  <c r="BO646" i="131"/>
  <c r="BO466" i="131"/>
  <c r="BT466" i="131"/>
  <c r="BS466" i="131"/>
  <c r="BR466" i="131"/>
  <c r="BP466" i="131"/>
  <c r="BQ466" i="131"/>
  <c r="BP184" i="131"/>
  <c r="BO184" i="131"/>
  <c r="BT184" i="131"/>
  <c r="BS184" i="131"/>
  <c r="BR184" i="131"/>
  <c r="BQ184" i="131"/>
  <c r="BS542" i="131"/>
  <c r="BR542" i="131"/>
  <c r="BQ542" i="131"/>
  <c r="BP542" i="131"/>
  <c r="BO542" i="131"/>
  <c r="BT542" i="131"/>
  <c r="BT169" i="131"/>
  <c r="BS169" i="131"/>
  <c r="BR169" i="131"/>
  <c r="BQ169" i="131"/>
  <c r="BP169" i="131"/>
  <c r="BO169" i="131"/>
  <c r="BT126" i="131"/>
  <c r="BS126" i="131"/>
  <c r="BR126" i="131"/>
  <c r="BQ126" i="131"/>
  <c r="BP126" i="131"/>
  <c r="BO126" i="131"/>
  <c r="BT239" i="131"/>
  <c r="BS239" i="131"/>
  <c r="BR239" i="131"/>
  <c r="BQ239" i="131"/>
  <c r="BP239" i="131"/>
  <c r="BO239" i="131"/>
  <c r="BT363" i="131"/>
  <c r="BS363" i="131"/>
  <c r="BR363" i="131"/>
  <c r="BQ363" i="131"/>
  <c r="BO363" i="131"/>
  <c r="BP363" i="131"/>
  <c r="BT379" i="131"/>
  <c r="BS379" i="131"/>
  <c r="BR379" i="131"/>
  <c r="BQ379" i="131"/>
  <c r="BO379" i="131"/>
  <c r="BP379" i="131"/>
  <c r="BT565" i="131"/>
  <c r="BS565" i="131"/>
  <c r="BR565" i="131"/>
  <c r="BQ565" i="131"/>
  <c r="BP565" i="131"/>
  <c r="BO565" i="131"/>
  <c r="BQ572" i="131"/>
  <c r="BP572" i="131"/>
  <c r="BO572" i="131"/>
  <c r="BT572" i="131"/>
  <c r="BR572" i="131"/>
  <c r="BS572" i="131"/>
  <c r="BS633" i="131"/>
  <c r="BR633" i="131"/>
  <c r="BQ633" i="131"/>
  <c r="BP633" i="131"/>
  <c r="BT633" i="131"/>
  <c r="BO633" i="131"/>
  <c r="BT87" i="131"/>
  <c r="BS87" i="131"/>
  <c r="BR87" i="131"/>
  <c r="BO87" i="131"/>
  <c r="BQ87" i="131"/>
  <c r="BP87" i="131"/>
  <c r="BS264" i="131"/>
  <c r="BR264" i="131"/>
  <c r="BQ264" i="131"/>
  <c r="BP264" i="131"/>
  <c r="BT264" i="131"/>
  <c r="BO264" i="131"/>
  <c r="BP105" i="131"/>
  <c r="BO105" i="131"/>
  <c r="BQ105" i="131"/>
  <c r="BT105" i="131"/>
  <c r="BS105" i="131"/>
  <c r="BR105" i="131"/>
  <c r="BP176" i="131"/>
  <c r="BO176" i="131"/>
  <c r="BT176" i="131"/>
  <c r="BS176" i="131"/>
  <c r="BR176" i="131"/>
  <c r="BQ176" i="131"/>
  <c r="BR489" i="131"/>
  <c r="BQ489" i="131"/>
  <c r="BP489" i="131"/>
  <c r="BO489" i="131"/>
  <c r="BS489" i="131"/>
  <c r="BT489" i="131"/>
  <c r="BO108" i="131"/>
  <c r="BT108" i="131"/>
  <c r="BS108" i="131"/>
  <c r="BR108" i="131"/>
  <c r="BP108" i="131"/>
  <c r="BQ108" i="131"/>
  <c r="BO179" i="131"/>
  <c r="BT179" i="131"/>
  <c r="BS179" i="131"/>
  <c r="BR179" i="131"/>
  <c r="BQ179" i="131"/>
  <c r="BP179" i="131"/>
  <c r="BR240" i="131"/>
  <c r="BQ240" i="131"/>
  <c r="BP240" i="131"/>
  <c r="BO240" i="131"/>
  <c r="BT240" i="131"/>
  <c r="BS240" i="131"/>
  <c r="BQ476" i="131"/>
  <c r="BP476" i="131"/>
  <c r="BO476" i="131"/>
  <c r="BT476" i="131"/>
  <c r="BR476" i="131"/>
  <c r="BS476" i="131"/>
  <c r="BT261" i="131"/>
  <c r="BS261" i="131"/>
  <c r="BR261" i="131"/>
  <c r="BQ261" i="131"/>
  <c r="BO261" i="131"/>
  <c r="BP261" i="131"/>
  <c r="BT638" i="131"/>
  <c r="BS638" i="131"/>
  <c r="BR638" i="131"/>
  <c r="BQ638" i="131"/>
  <c r="BO638" i="131"/>
  <c r="BP638" i="131"/>
  <c r="BQ484" i="131"/>
  <c r="BP484" i="131"/>
  <c r="BO484" i="131"/>
  <c r="BT484" i="131"/>
  <c r="BR484" i="131"/>
  <c r="BS484" i="131"/>
  <c r="BT635" i="131"/>
  <c r="BS635" i="131"/>
  <c r="BR635" i="131"/>
  <c r="BP635" i="131"/>
  <c r="BQ635" i="131"/>
  <c r="BO635" i="131"/>
  <c r="BO368" i="131"/>
  <c r="BT368" i="131"/>
  <c r="BS368" i="131"/>
  <c r="BR368" i="131"/>
  <c r="BP368" i="131"/>
  <c r="BQ368" i="131"/>
  <c r="BS96" i="131"/>
  <c r="BR96" i="131"/>
  <c r="BQ96" i="131"/>
  <c r="BP96" i="131"/>
  <c r="BO96" i="131"/>
  <c r="BT96" i="131"/>
  <c r="BT180" i="131"/>
  <c r="BS180" i="131"/>
  <c r="BR180" i="131"/>
  <c r="BQ180" i="131"/>
  <c r="BP180" i="131"/>
  <c r="BO180" i="131"/>
  <c r="BO558" i="131"/>
  <c r="BT558" i="131"/>
  <c r="BS558" i="131"/>
  <c r="BR558" i="131"/>
  <c r="BP558" i="131"/>
  <c r="BQ558" i="131"/>
  <c r="BT600" i="131"/>
  <c r="BS600" i="131"/>
  <c r="BR600" i="131"/>
  <c r="BQ600" i="131"/>
  <c r="BP600" i="131"/>
  <c r="BO600" i="131"/>
  <c r="BS641" i="131"/>
  <c r="BR641" i="131"/>
  <c r="BQ641" i="131"/>
  <c r="BP641" i="131"/>
  <c r="BO641" i="131"/>
  <c r="BT641" i="131"/>
  <c r="BS582" i="131"/>
  <c r="BR582" i="131"/>
  <c r="BQ582" i="131"/>
  <c r="BP582" i="131"/>
  <c r="BO582" i="131"/>
  <c r="BT582" i="131"/>
  <c r="BR585" i="131"/>
  <c r="BQ585" i="131"/>
  <c r="BP585" i="131"/>
  <c r="BO585" i="131"/>
  <c r="BS585" i="131"/>
  <c r="BT585" i="131"/>
  <c r="BT244" i="131"/>
  <c r="BS244" i="131"/>
  <c r="BR244" i="131"/>
  <c r="BQ244" i="131"/>
  <c r="BO244" i="131"/>
  <c r="BP244" i="131"/>
  <c r="BS560" i="131"/>
  <c r="BR560" i="131"/>
  <c r="BQ560" i="131"/>
  <c r="BO560" i="131"/>
  <c r="BT560" i="131"/>
  <c r="BR138" i="131"/>
  <c r="BQ138" i="131"/>
  <c r="BP138" i="131"/>
  <c r="BO138" i="131"/>
  <c r="BT138" i="131"/>
  <c r="BS138" i="131"/>
  <c r="BP113" i="131"/>
  <c r="BQ113" i="131"/>
  <c r="BO113" i="131"/>
  <c r="BT113" i="131"/>
  <c r="BS113" i="131"/>
  <c r="BR113" i="131"/>
  <c r="BT95" i="131"/>
  <c r="BS95" i="131"/>
  <c r="BO95" i="131"/>
  <c r="BR95" i="131"/>
  <c r="BQ95" i="131"/>
  <c r="BP95" i="131"/>
  <c r="BP463" i="131"/>
  <c r="BO463" i="131"/>
  <c r="BT463" i="131"/>
  <c r="BS463" i="131"/>
  <c r="BQ463" i="131"/>
  <c r="BR463" i="131"/>
  <c r="BS348" i="131"/>
  <c r="BQ348" i="131"/>
  <c r="BP348" i="131"/>
  <c r="BO348" i="131"/>
  <c r="BT348" i="131"/>
  <c r="BR348" i="131"/>
  <c r="BS272" i="131"/>
  <c r="BR272" i="131"/>
  <c r="BQ272" i="131"/>
  <c r="BP272" i="131"/>
  <c r="BT272" i="131"/>
  <c r="BO272" i="131"/>
  <c r="BT31" i="131"/>
  <c r="BS31" i="131"/>
  <c r="BR31" i="131"/>
  <c r="BO31" i="131"/>
  <c r="BQ31" i="131"/>
  <c r="BP31" i="131"/>
  <c r="BT190" i="131"/>
  <c r="BS190" i="131"/>
  <c r="BR190" i="131"/>
  <c r="BQ190" i="131"/>
  <c r="BP190" i="131"/>
  <c r="BO190" i="131"/>
  <c r="BR107" i="131"/>
  <c r="BS107" i="131"/>
  <c r="BQ107" i="131"/>
  <c r="BP107" i="131"/>
  <c r="BO107" i="131"/>
  <c r="BT107" i="131"/>
  <c r="BS245" i="131"/>
  <c r="BR245" i="131"/>
  <c r="BQ245" i="131"/>
  <c r="BP245" i="131"/>
  <c r="BO245" i="131"/>
  <c r="BT245" i="131"/>
  <c r="BT485" i="131"/>
  <c r="BS485" i="131"/>
  <c r="BR485" i="131"/>
  <c r="BQ485" i="131"/>
  <c r="BO485" i="131"/>
  <c r="BP485" i="131"/>
  <c r="BT581" i="131"/>
  <c r="BS581" i="131"/>
  <c r="BR581" i="131"/>
  <c r="BQ581" i="131"/>
  <c r="BO581" i="131"/>
  <c r="BP581" i="131"/>
  <c r="BR644" i="131"/>
  <c r="BQ644" i="131"/>
  <c r="BP644" i="131"/>
  <c r="BO644" i="131"/>
  <c r="BT644" i="131"/>
  <c r="BS644" i="131"/>
  <c r="BR27" i="131"/>
  <c r="BS27" i="131"/>
  <c r="BQ27" i="131"/>
  <c r="BP27" i="131"/>
  <c r="BO27" i="131"/>
  <c r="BT27" i="131"/>
  <c r="BT361" i="131"/>
  <c r="BR361" i="131"/>
  <c r="BQ361" i="131"/>
  <c r="BP361" i="131"/>
  <c r="BO361" i="131"/>
  <c r="BS361" i="131"/>
  <c r="BT562" i="131"/>
  <c r="BS562" i="131"/>
  <c r="BR562" i="131"/>
  <c r="BQ562" i="131"/>
  <c r="BP562" i="131"/>
  <c r="BO562" i="131"/>
  <c r="BQ181" i="131"/>
  <c r="BP181" i="131"/>
  <c r="BO181" i="131"/>
  <c r="BT181" i="131"/>
  <c r="BS181" i="131"/>
  <c r="BR181" i="131"/>
  <c r="BO276" i="131"/>
  <c r="BT276" i="131"/>
  <c r="BR276" i="131"/>
  <c r="BS276" i="131"/>
  <c r="BQ276" i="131"/>
  <c r="BP276" i="131"/>
  <c r="BT371" i="131"/>
  <c r="BS371" i="131"/>
  <c r="BR371" i="131"/>
  <c r="BQ371" i="131"/>
  <c r="BO371" i="131"/>
  <c r="BP371" i="131"/>
  <c r="BP487" i="131"/>
  <c r="BO487" i="131"/>
  <c r="BT487" i="131"/>
  <c r="BS487" i="131"/>
  <c r="BQ487" i="131"/>
  <c r="BR487" i="131"/>
  <c r="BO637" i="131"/>
  <c r="BT637" i="131"/>
  <c r="BR637" i="131"/>
  <c r="BQ637" i="131"/>
  <c r="BP637" i="131"/>
  <c r="BS637" i="131"/>
  <c r="BP618" i="131"/>
  <c r="BS618" i="131"/>
  <c r="BO618" i="131"/>
  <c r="BT618" i="131"/>
  <c r="BQ618" i="131"/>
  <c r="BR618" i="131"/>
  <c r="BT271" i="131"/>
  <c r="BS271" i="131"/>
  <c r="BQ271" i="131"/>
  <c r="BR271" i="131"/>
  <c r="BO271" i="131"/>
  <c r="BP271" i="131"/>
  <c r="BQ580" i="131"/>
  <c r="BP580" i="131"/>
  <c r="BO580" i="131"/>
  <c r="BT580" i="131"/>
  <c r="BR580" i="131"/>
  <c r="BS580" i="131"/>
  <c r="BT579" i="131"/>
  <c r="BS579" i="131"/>
  <c r="BR579" i="131"/>
  <c r="BQ579" i="131"/>
  <c r="BP579" i="131"/>
  <c r="BO579" i="131"/>
  <c r="BQ460" i="131"/>
  <c r="BP460" i="131"/>
  <c r="BO460" i="131"/>
  <c r="BT460" i="131"/>
  <c r="BR460" i="131"/>
  <c r="BS460" i="131"/>
  <c r="BS364" i="131"/>
  <c r="BQ364" i="131"/>
  <c r="BP364" i="131"/>
  <c r="BO364" i="131"/>
  <c r="BT364" i="131"/>
  <c r="BR364" i="131"/>
  <c r="BS183" i="131"/>
  <c r="BR183" i="131"/>
  <c r="BQ183" i="131"/>
  <c r="BP183" i="131"/>
  <c r="BO183" i="131"/>
  <c r="BT183" i="131"/>
  <c r="BT242" i="131"/>
  <c r="BS242" i="131"/>
  <c r="BR242" i="131"/>
  <c r="BQ242" i="131"/>
  <c r="BP242" i="131"/>
  <c r="BO242" i="131"/>
  <c r="BS366" i="131"/>
  <c r="BR366" i="131"/>
  <c r="BQ366" i="131"/>
  <c r="BP366" i="131"/>
  <c r="BT366" i="131"/>
  <c r="BO366" i="131"/>
  <c r="BT559" i="131"/>
  <c r="BS559" i="131"/>
  <c r="BR559" i="131"/>
  <c r="BQ559" i="131"/>
  <c r="BP559" i="131"/>
  <c r="BO559" i="131"/>
  <c r="BT571" i="131"/>
  <c r="BS571" i="131"/>
  <c r="BR571" i="131"/>
  <c r="BQ571" i="131"/>
  <c r="BP571" i="131"/>
  <c r="BO571" i="131"/>
  <c r="BP642" i="131"/>
  <c r="BO642" i="131"/>
  <c r="BS642" i="131"/>
  <c r="BT642" i="131"/>
  <c r="BR642" i="131"/>
  <c r="BQ642" i="131"/>
  <c r="BT129" i="131"/>
  <c r="BS129" i="131"/>
  <c r="BR129" i="131"/>
  <c r="BQ129" i="131"/>
  <c r="BP129" i="131"/>
  <c r="BO129" i="131"/>
  <c r="BT98" i="131"/>
  <c r="BS98" i="131"/>
  <c r="BR98" i="131"/>
  <c r="BQ98" i="131"/>
  <c r="BP98" i="131"/>
  <c r="BO98" i="131"/>
  <c r="BQ165" i="131"/>
  <c r="BP165" i="131"/>
  <c r="BO165" i="131"/>
  <c r="BT165" i="131"/>
  <c r="BS165" i="131"/>
  <c r="BR165" i="131"/>
  <c r="BT459" i="131"/>
  <c r="BS459" i="131"/>
  <c r="BR459" i="131"/>
  <c r="BQ459" i="131"/>
  <c r="BP459" i="131"/>
  <c r="BO459" i="131"/>
  <c r="BT21" i="131"/>
  <c r="BS21" i="131"/>
  <c r="BR21" i="131"/>
  <c r="BQ21" i="131"/>
  <c r="BP21" i="131"/>
  <c r="BO21" i="131"/>
  <c r="BQ362" i="131"/>
  <c r="BO362" i="131"/>
  <c r="BT362" i="131"/>
  <c r="BR362" i="131"/>
  <c r="BS362" i="131"/>
  <c r="BP362" i="131"/>
  <c r="BO490" i="131"/>
  <c r="BT490" i="131"/>
  <c r="BS490" i="131"/>
  <c r="BR490" i="131"/>
  <c r="BP490" i="131"/>
  <c r="BQ490" i="131"/>
  <c r="BT475" i="131"/>
  <c r="BS475" i="131"/>
  <c r="BR475" i="131"/>
  <c r="BQ475" i="131"/>
  <c r="BP475" i="131"/>
  <c r="BO475" i="131"/>
  <c r="BT258" i="131"/>
  <c r="BS258" i="131"/>
  <c r="BR258" i="131"/>
  <c r="BP258" i="131"/>
  <c r="BQ258" i="131"/>
  <c r="BO258" i="131"/>
  <c r="BO610" i="131"/>
  <c r="BT610" i="131"/>
  <c r="BS610" i="131"/>
  <c r="BR610" i="131"/>
  <c r="BP610" i="131"/>
  <c r="BQ610" i="131"/>
  <c r="BT236" i="131"/>
  <c r="BS236" i="131"/>
  <c r="BR236" i="131"/>
  <c r="BQ236" i="131"/>
  <c r="BP236" i="131"/>
  <c r="BO236" i="131"/>
  <c r="BQ251" i="131"/>
  <c r="BP251" i="131"/>
  <c r="BO251" i="131"/>
  <c r="BT251" i="131"/>
  <c r="BS251" i="131"/>
  <c r="BR251" i="131"/>
  <c r="BR481" i="131"/>
  <c r="BQ481" i="131"/>
  <c r="BP481" i="131"/>
  <c r="BO481" i="131"/>
  <c r="BS481" i="131"/>
  <c r="BT481" i="131"/>
  <c r="BQ102" i="131"/>
  <c r="BP102" i="131"/>
  <c r="BO102" i="131"/>
  <c r="BR102" i="131"/>
  <c r="BT102" i="131"/>
  <c r="BS102" i="131"/>
  <c r="BS191" i="131"/>
  <c r="BR191" i="131"/>
  <c r="BQ191" i="131"/>
  <c r="BP191" i="131"/>
  <c r="BO191" i="131"/>
  <c r="BT191" i="131"/>
  <c r="BQ346" i="131"/>
  <c r="BO346" i="131"/>
  <c r="BT346" i="131"/>
  <c r="BR346" i="131"/>
  <c r="BS346" i="131"/>
  <c r="BP346" i="131"/>
  <c r="BT461" i="131"/>
  <c r="BS461" i="131"/>
  <c r="BR461" i="131"/>
  <c r="BQ461" i="131"/>
  <c r="BO461" i="131"/>
  <c r="BP461" i="131"/>
  <c r="BS486" i="131"/>
  <c r="BR486" i="131"/>
  <c r="BQ486" i="131"/>
  <c r="BP486" i="131"/>
  <c r="BO486" i="131"/>
  <c r="BT486" i="131"/>
  <c r="BT567" i="131"/>
  <c r="BS567" i="131"/>
  <c r="BR567" i="131"/>
  <c r="BQ567" i="131"/>
  <c r="BO567" i="131"/>
  <c r="BP567" i="131"/>
  <c r="BS598" i="131"/>
  <c r="BR598" i="131"/>
  <c r="BQ598" i="131"/>
  <c r="BP598" i="131"/>
  <c r="BO598" i="131"/>
  <c r="BT598" i="131"/>
  <c r="BS175" i="131"/>
  <c r="BR175" i="131"/>
  <c r="BQ175" i="131"/>
  <c r="BP175" i="131"/>
  <c r="BO175" i="131"/>
  <c r="BT175" i="131"/>
  <c r="BT595" i="131"/>
  <c r="BS595" i="131"/>
  <c r="BR595" i="131"/>
  <c r="BQ595" i="131"/>
  <c r="BP595" i="131"/>
  <c r="BO595" i="131"/>
  <c r="BR267" i="131"/>
  <c r="BQ267" i="131"/>
  <c r="BP267" i="131"/>
  <c r="BO267" i="131"/>
  <c r="BT267" i="131"/>
  <c r="BS267" i="131"/>
  <c r="BR457" i="131"/>
  <c r="BP457" i="131"/>
  <c r="BO457" i="131"/>
  <c r="BS457" i="131"/>
  <c r="BQ457" i="131"/>
  <c r="BT457" i="131"/>
  <c r="BT128" i="131"/>
  <c r="BO128" i="131"/>
  <c r="BP128" i="131"/>
  <c r="BS128" i="131"/>
  <c r="BR128" i="131"/>
  <c r="BQ128" i="131"/>
  <c r="BR465" i="131"/>
  <c r="BQ465" i="131"/>
  <c r="BP465" i="131"/>
  <c r="BO465" i="131"/>
  <c r="BS465" i="131"/>
  <c r="BT465" i="131"/>
  <c r="BS574" i="131"/>
  <c r="BR574" i="131"/>
  <c r="BQ574" i="131"/>
  <c r="BP574" i="131"/>
  <c r="BO574" i="131"/>
  <c r="BT574" i="131"/>
  <c r="BP626" i="131"/>
  <c r="BO626" i="131"/>
  <c r="BS626" i="131"/>
  <c r="BT626" i="131"/>
  <c r="BR626" i="131"/>
  <c r="BQ626" i="131"/>
  <c r="BQ468" i="131"/>
  <c r="BP468" i="131"/>
  <c r="BO468" i="131"/>
  <c r="BT468" i="131"/>
  <c r="BR468" i="131"/>
  <c r="BS468" i="131"/>
  <c r="BP273" i="131"/>
  <c r="BO273" i="131"/>
  <c r="BS273" i="131"/>
  <c r="BT273" i="131"/>
  <c r="BR273" i="131"/>
  <c r="BQ273" i="131"/>
  <c r="BT627" i="131"/>
  <c r="BS627" i="131"/>
  <c r="BR627" i="131"/>
  <c r="BP627" i="131"/>
  <c r="BQ627" i="131"/>
  <c r="BO627" i="131"/>
  <c r="BT355" i="131"/>
  <c r="BS355" i="131"/>
  <c r="BR355" i="131"/>
  <c r="BQ355" i="131"/>
  <c r="BO355" i="131"/>
  <c r="BP355" i="131"/>
  <c r="BQ588" i="131"/>
  <c r="BP588" i="131"/>
  <c r="BO588" i="131"/>
  <c r="BT588" i="131"/>
  <c r="BR588" i="131"/>
  <c r="BS588" i="131"/>
  <c r="BO621" i="131"/>
  <c r="BT621" i="131"/>
  <c r="BR621" i="131"/>
  <c r="BS621" i="131"/>
  <c r="BQ621" i="131"/>
  <c r="BP621" i="131"/>
  <c r="BR367" i="131"/>
  <c r="BP367" i="131"/>
  <c r="BO367" i="131"/>
  <c r="BS367" i="131"/>
  <c r="BT367" i="131"/>
  <c r="BQ367" i="131"/>
  <c r="BS649" i="131"/>
  <c r="BR649" i="131"/>
  <c r="BQ649" i="131"/>
  <c r="BP649" i="131"/>
  <c r="BO649" i="131"/>
  <c r="BT649" i="131"/>
  <c r="BS462" i="131"/>
  <c r="BR462" i="131"/>
  <c r="BQ462" i="131"/>
  <c r="BP462" i="131"/>
  <c r="BO462" i="131"/>
  <c r="BT462" i="131"/>
  <c r="BT85" i="131"/>
  <c r="BS85" i="131"/>
  <c r="BR85" i="131"/>
  <c r="BQ85" i="131"/>
  <c r="BP85" i="131"/>
  <c r="BO85" i="131"/>
  <c r="BS24" i="131"/>
  <c r="BR24" i="131"/>
  <c r="BQ24" i="131"/>
  <c r="BT24" i="131"/>
  <c r="BP24" i="131"/>
  <c r="BO24" i="131"/>
  <c r="BQ604" i="131"/>
  <c r="BP604" i="131"/>
  <c r="BO604" i="131"/>
  <c r="BT604" i="131"/>
  <c r="BR604" i="131"/>
  <c r="BS604" i="131"/>
  <c r="BT93" i="131"/>
  <c r="BS93" i="131"/>
  <c r="BR93" i="131"/>
  <c r="BQ93" i="131"/>
  <c r="BP93" i="131"/>
  <c r="BO93" i="131"/>
  <c r="BO139" i="131"/>
  <c r="BT139" i="131"/>
  <c r="BS139" i="131"/>
  <c r="BR139" i="131"/>
  <c r="BQ139" i="131"/>
  <c r="BP139" i="131"/>
  <c r="BP136" i="131"/>
  <c r="BO136" i="131"/>
  <c r="BT136" i="131"/>
  <c r="BS136" i="131"/>
  <c r="BR136" i="131"/>
  <c r="BQ136" i="131"/>
  <c r="BT255" i="131"/>
  <c r="BS255" i="131"/>
  <c r="BR255" i="131"/>
  <c r="BQ255" i="131"/>
  <c r="BP255" i="131"/>
  <c r="BO255" i="131"/>
  <c r="BO360" i="131"/>
  <c r="BT360" i="131"/>
  <c r="BS360" i="131"/>
  <c r="BR360" i="131"/>
  <c r="BP360" i="131"/>
  <c r="BQ360" i="131"/>
  <c r="BT592" i="131"/>
  <c r="BS592" i="131"/>
  <c r="BR592" i="131"/>
  <c r="BQ592" i="131"/>
  <c r="BP592" i="131"/>
  <c r="BO592" i="131"/>
  <c r="BT624" i="131"/>
  <c r="BS624" i="131"/>
  <c r="BQ624" i="131"/>
  <c r="BR624" i="131"/>
  <c r="BO624" i="131"/>
  <c r="BP624" i="131"/>
  <c r="BT613" i="131"/>
  <c r="BS613" i="131"/>
  <c r="BR613" i="131"/>
  <c r="BQ613" i="131"/>
  <c r="BO613" i="131"/>
  <c r="BP613" i="131"/>
  <c r="BO555" i="131"/>
  <c r="BT555" i="131"/>
  <c r="BS555" i="131"/>
  <c r="BR555" i="131"/>
  <c r="BP555" i="131"/>
  <c r="BQ555" i="131"/>
  <c r="BO131" i="131"/>
  <c r="BT131" i="131"/>
  <c r="BS131" i="131"/>
  <c r="BR131" i="131"/>
  <c r="BQ131" i="131"/>
  <c r="BP131" i="131"/>
  <c r="BT345" i="131"/>
  <c r="BR345" i="131"/>
  <c r="BQ345" i="131"/>
  <c r="BP345" i="131"/>
  <c r="BO345" i="131"/>
  <c r="BS345" i="131"/>
  <c r="BQ173" i="131"/>
  <c r="BP173" i="131"/>
  <c r="BO173" i="131"/>
  <c r="BR173" i="131"/>
  <c r="BT173" i="131"/>
  <c r="BS173" i="131"/>
  <c r="BO260" i="131"/>
  <c r="BT260" i="131"/>
  <c r="BR260" i="131"/>
  <c r="BS260" i="131"/>
  <c r="BQ260" i="131"/>
  <c r="BP260" i="131"/>
  <c r="BT477" i="131"/>
  <c r="BS477" i="131"/>
  <c r="BR477" i="131"/>
  <c r="BQ477" i="131"/>
  <c r="BO477" i="131"/>
  <c r="BP477" i="131"/>
  <c r="BS568" i="131"/>
  <c r="BR568" i="131"/>
  <c r="BQ568" i="131"/>
  <c r="BP568" i="131"/>
  <c r="BO568" i="131"/>
  <c r="BT568" i="131"/>
  <c r="BP599" i="131"/>
  <c r="BO599" i="131"/>
  <c r="BT599" i="131"/>
  <c r="BS599" i="131"/>
  <c r="BQ599" i="131"/>
  <c r="BR599" i="131"/>
  <c r="BT90" i="131"/>
  <c r="BS90" i="131"/>
  <c r="BR90" i="131"/>
  <c r="BQ90" i="131"/>
  <c r="BP90" i="131"/>
  <c r="BO90" i="131"/>
  <c r="BT252" i="131"/>
  <c r="BS252" i="131"/>
  <c r="BR252" i="131"/>
  <c r="BQ252" i="131"/>
  <c r="BP252" i="131"/>
  <c r="BO252" i="131"/>
  <c r="BT643" i="131"/>
  <c r="BS643" i="131"/>
  <c r="BR643" i="131"/>
  <c r="BP643" i="131"/>
  <c r="BO643" i="131"/>
  <c r="BQ643" i="131"/>
  <c r="BT172" i="131"/>
  <c r="BS172" i="131"/>
  <c r="BR172" i="131"/>
  <c r="BQ172" i="131"/>
  <c r="BP172" i="131"/>
  <c r="BO172" i="131"/>
  <c r="BT247" i="131"/>
  <c r="BS247" i="131"/>
  <c r="BR247" i="131"/>
  <c r="BQ247" i="131"/>
  <c r="BP247" i="131"/>
  <c r="BO247" i="131"/>
  <c r="BO458" i="131"/>
  <c r="BT458" i="131"/>
  <c r="BS458" i="131"/>
  <c r="BR458" i="131"/>
  <c r="BP458" i="131"/>
  <c r="BQ458" i="131"/>
  <c r="BS478" i="131"/>
  <c r="BR478" i="131"/>
  <c r="BQ478" i="131"/>
  <c r="BP478" i="131"/>
  <c r="BO478" i="131"/>
  <c r="BT478" i="131"/>
  <c r="BO602" i="131"/>
  <c r="BT602" i="131"/>
  <c r="BS602" i="131"/>
  <c r="BR602" i="131"/>
  <c r="BP602" i="131"/>
  <c r="BQ602" i="131"/>
  <c r="BR601" i="131"/>
  <c r="BQ601" i="131"/>
  <c r="BP601" i="131"/>
  <c r="BO601" i="131"/>
  <c r="BS601" i="131"/>
  <c r="BT601" i="131"/>
  <c r="BT472" i="131"/>
  <c r="BS472" i="131"/>
  <c r="BR472" i="131"/>
  <c r="BQ472" i="131"/>
  <c r="BP472" i="131"/>
  <c r="BO472" i="131"/>
  <c r="BP257" i="131"/>
  <c r="BO257" i="131"/>
  <c r="BS257" i="131"/>
  <c r="BQ257" i="131"/>
  <c r="BT257" i="131"/>
  <c r="BR257" i="131"/>
  <c r="BP575" i="131"/>
  <c r="BO575" i="131"/>
  <c r="BT575" i="131"/>
  <c r="BS575" i="131"/>
  <c r="BQ575" i="131"/>
  <c r="BR575" i="131"/>
  <c r="BT132" i="131"/>
  <c r="BS132" i="131"/>
  <c r="BR132" i="131"/>
  <c r="BQ132" i="131"/>
  <c r="BP132" i="131"/>
  <c r="BO132" i="131"/>
  <c r="BQ94" i="131"/>
  <c r="BR94" i="131"/>
  <c r="BP94" i="131"/>
  <c r="BO94" i="131"/>
  <c r="BT94" i="131"/>
  <c r="BS94" i="131"/>
  <c r="BS256" i="131"/>
  <c r="BR256" i="131"/>
  <c r="BQ256" i="131"/>
  <c r="BP256" i="131"/>
  <c r="BT256" i="131"/>
  <c r="BO256" i="131"/>
  <c r="BT469" i="131"/>
  <c r="BS469" i="131"/>
  <c r="BR469" i="131"/>
  <c r="BQ469" i="131"/>
  <c r="BO469" i="131"/>
  <c r="BP469" i="131"/>
  <c r="BT587" i="131"/>
  <c r="BS587" i="131"/>
  <c r="BR587" i="131"/>
  <c r="BQ587" i="131"/>
  <c r="BP587" i="131"/>
  <c r="BO587" i="131"/>
  <c r="BT630" i="131"/>
  <c r="BS630" i="131"/>
  <c r="BR630" i="131"/>
  <c r="BQ630" i="131"/>
  <c r="BO630" i="131"/>
  <c r="BP630" i="131"/>
  <c r="BT166" i="131"/>
  <c r="BS166" i="131"/>
  <c r="BO166" i="131"/>
  <c r="BR166" i="131"/>
  <c r="BQ166" i="131"/>
  <c r="BP166" i="131"/>
  <c r="BP455" i="131"/>
  <c r="BT455" i="131"/>
  <c r="BS455" i="131"/>
  <c r="BQ455" i="131"/>
  <c r="BR455" i="131"/>
  <c r="BO455" i="131"/>
  <c r="BR609" i="131"/>
  <c r="BQ609" i="131"/>
  <c r="BP609" i="131"/>
  <c r="BO609" i="131"/>
  <c r="BS609" i="131"/>
  <c r="BT609" i="131"/>
  <c r="BS350" i="131"/>
  <c r="BR350" i="131"/>
  <c r="BQ350" i="131"/>
  <c r="BP350" i="131"/>
  <c r="BT350" i="131"/>
  <c r="BO350" i="131"/>
  <c r="BR91" i="131"/>
  <c r="BQ91" i="131"/>
  <c r="BP91" i="131"/>
  <c r="BO91" i="131"/>
  <c r="BT91" i="131"/>
  <c r="BS91" i="131"/>
  <c r="BT220" i="131"/>
  <c r="BS220" i="131"/>
  <c r="BR220" i="131"/>
  <c r="BQ220" i="131"/>
  <c r="BP220" i="131"/>
  <c r="BO220" i="131"/>
  <c r="BQ262" i="131"/>
  <c r="BP262" i="131"/>
  <c r="BO262" i="131"/>
  <c r="BT262" i="131"/>
  <c r="BS262" i="131"/>
  <c r="BR262" i="131"/>
  <c r="BS372" i="131"/>
  <c r="BQ372" i="131"/>
  <c r="BP372" i="131"/>
  <c r="BO372" i="131"/>
  <c r="BT372" i="131"/>
  <c r="BR372" i="131"/>
  <c r="BO376" i="131"/>
  <c r="BT376" i="131"/>
  <c r="BS376" i="131"/>
  <c r="BR376" i="131"/>
  <c r="BP376" i="131"/>
  <c r="BQ376" i="131"/>
  <c r="BP471" i="131"/>
  <c r="BO471" i="131"/>
  <c r="BT471" i="131"/>
  <c r="BS471" i="131"/>
  <c r="BQ471" i="131"/>
  <c r="BR471" i="131"/>
  <c r="BR620" i="131"/>
  <c r="BQ620" i="131"/>
  <c r="BP620" i="131"/>
  <c r="BO620" i="131"/>
  <c r="BT620" i="131"/>
  <c r="BS620" i="131"/>
  <c r="BT250" i="131"/>
  <c r="BS250" i="131"/>
  <c r="BR250" i="131"/>
  <c r="BQ250" i="131"/>
  <c r="BP250" i="131"/>
  <c r="BO250" i="131"/>
  <c r="BT576" i="131"/>
  <c r="BS576" i="131"/>
  <c r="BR576" i="131"/>
  <c r="BQ576" i="131"/>
  <c r="BP576" i="131"/>
  <c r="BO576" i="131"/>
  <c r="BO100" i="131"/>
  <c r="BT100" i="131"/>
  <c r="BP100" i="131"/>
  <c r="BS100" i="131"/>
  <c r="BR100" i="131"/>
  <c r="BQ100" i="131"/>
  <c r="BQ86" i="131"/>
  <c r="BP86" i="131"/>
  <c r="BO86" i="131"/>
  <c r="BT86" i="131"/>
  <c r="BS86" i="131"/>
  <c r="BR86" i="131"/>
  <c r="BP192" i="131"/>
  <c r="BO192" i="131"/>
  <c r="BT192" i="131"/>
  <c r="BR192" i="131"/>
  <c r="BQ192" i="131"/>
  <c r="BS192" i="131"/>
  <c r="BT353" i="131"/>
  <c r="BR353" i="131"/>
  <c r="BQ353" i="131"/>
  <c r="BP353" i="131"/>
  <c r="BO353" i="131"/>
  <c r="BS353" i="131"/>
  <c r="AC65" i="130"/>
  <c r="BR556" i="131"/>
  <c r="BP479" i="131"/>
  <c r="BO479" i="131"/>
  <c r="BT479" i="131"/>
  <c r="BS479" i="131"/>
  <c r="BQ479" i="131"/>
  <c r="BR479" i="131"/>
  <c r="BS606" i="131"/>
  <c r="BR606" i="131"/>
  <c r="BQ606" i="131"/>
  <c r="BP606" i="131"/>
  <c r="BO606" i="131"/>
  <c r="BT606" i="131"/>
  <c r="BT605" i="131"/>
  <c r="BS605" i="131"/>
  <c r="BR605" i="131"/>
  <c r="BQ605" i="131"/>
  <c r="BO605" i="131"/>
  <c r="BP605" i="131"/>
  <c r="BT263" i="131"/>
  <c r="BS263" i="131"/>
  <c r="BQ263" i="131"/>
  <c r="BO263" i="131"/>
  <c r="BP263" i="131"/>
  <c r="BR263" i="131"/>
  <c r="BO578" i="131"/>
  <c r="BT578" i="131"/>
  <c r="BS578" i="131"/>
  <c r="BR578" i="131"/>
  <c r="BP578" i="131"/>
  <c r="BQ578" i="131"/>
  <c r="BQ647" i="131"/>
  <c r="BP647" i="131"/>
  <c r="BO647" i="131"/>
  <c r="BT647" i="131"/>
  <c r="BR647" i="131"/>
  <c r="BS647" i="131"/>
  <c r="BT182" i="131"/>
  <c r="BS182" i="131"/>
  <c r="BR182" i="131"/>
  <c r="BQ182" i="131"/>
  <c r="BP182" i="131"/>
  <c r="BO182" i="131"/>
  <c r="BT23" i="131"/>
  <c r="BS23" i="131"/>
  <c r="BR23" i="131"/>
  <c r="BQ23" i="131"/>
  <c r="BO23" i="131"/>
  <c r="BP23" i="131"/>
  <c r="BO28" i="131"/>
  <c r="BP28" i="131"/>
  <c r="BT28" i="131"/>
  <c r="BS28" i="131"/>
  <c r="BR28" i="131"/>
  <c r="BQ28" i="131"/>
  <c r="BR577" i="131"/>
  <c r="BQ577" i="131"/>
  <c r="BP577" i="131"/>
  <c r="BO577" i="131"/>
  <c r="BS577" i="131"/>
  <c r="BT577" i="131"/>
  <c r="BT134" i="131"/>
  <c r="BS134" i="131"/>
  <c r="BR134" i="131"/>
  <c r="BQ134" i="131"/>
  <c r="BP134" i="131"/>
  <c r="BO134" i="131"/>
  <c r="BO20" i="131"/>
  <c r="BT20" i="131"/>
  <c r="BS20" i="131"/>
  <c r="BP20" i="131"/>
  <c r="BR20" i="131"/>
  <c r="BQ20" i="131"/>
  <c r="BP349" i="131"/>
  <c r="BT349" i="131"/>
  <c r="BS349" i="131"/>
  <c r="BQ349" i="131"/>
  <c r="BR349" i="131"/>
  <c r="BO349" i="131"/>
  <c r="BQ22" i="131"/>
  <c r="BR22" i="131"/>
  <c r="BP22" i="131"/>
  <c r="BO22" i="131"/>
  <c r="BT22" i="131"/>
  <c r="BS22" i="131"/>
  <c r="BT185" i="131"/>
  <c r="BS185" i="131"/>
  <c r="BR185" i="131"/>
  <c r="BQ185" i="131"/>
  <c r="BP185" i="131"/>
  <c r="BO185" i="131"/>
  <c r="BT177" i="131"/>
  <c r="BS177" i="131"/>
  <c r="BR177" i="131"/>
  <c r="BQ177" i="131"/>
  <c r="BP177" i="131"/>
  <c r="BO177" i="131"/>
  <c r="BR248" i="131"/>
  <c r="BQ248" i="131"/>
  <c r="BP248" i="131"/>
  <c r="BO248" i="131"/>
  <c r="BT248" i="131"/>
  <c r="BS248" i="131"/>
  <c r="BQ566" i="131"/>
  <c r="BP566" i="131"/>
  <c r="BO566" i="131"/>
  <c r="BT566" i="131"/>
  <c r="BR566" i="131"/>
  <c r="BS566" i="131"/>
  <c r="BT603" i="131"/>
  <c r="BS603" i="131"/>
  <c r="BR603" i="131"/>
  <c r="BQ603" i="131"/>
  <c r="BP603" i="131"/>
  <c r="BO603" i="131"/>
  <c r="BP560" i="131"/>
  <c r="AC560" i="131"/>
  <c r="BT19" i="131"/>
  <c r="BO19" i="131"/>
  <c r="BS19" i="131"/>
  <c r="BR19" i="131"/>
  <c r="BQ19" i="131"/>
  <c r="BP19" i="131"/>
  <c r="BP16" i="131"/>
  <c r="BT16" i="131"/>
  <c r="BS16" i="131"/>
  <c r="BR16" i="131"/>
  <c r="BQ16" i="131"/>
  <c r="BO16" i="131"/>
  <c r="BS17" i="131"/>
  <c r="BR17" i="131"/>
  <c r="BQ17" i="131"/>
  <c r="BP17" i="131"/>
  <c r="BO17" i="131"/>
  <c r="BT17" i="131"/>
  <c r="BT14" i="131"/>
  <c r="BS14" i="131"/>
  <c r="BR14" i="131"/>
  <c r="BQ14" i="131"/>
  <c r="BP14" i="131"/>
  <c r="BO14" i="131"/>
  <c r="BT122" i="131"/>
  <c r="BQ122" i="131"/>
  <c r="BS122" i="131"/>
  <c r="BR122" i="131"/>
  <c r="BP122" i="131"/>
  <c r="BO122" i="131"/>
  <c r="BQ123" i="131"/>
  <c r="BR123" i="131"/>
  <c r="BP123" i="131"/>
  <c r="BO123" i="131"/>
  <c r="BT123" i="131"/>
  <c r="BS123" i="131"/>
  <c r="BS124" i="131"/>
  <c r="BT124" i="131"/>
  <c r="BR124" i="131"/>
  <c r="BQ124" i="131"/>
  <c r="BP124" i="131"/>
  <c r="BO124" i="131"/>
  <c r="BO121" i="131"/>
  <c r="BT121" i="131"/>
  <c r="BS121" i="131"/>
  <c r="BR121" i="131"/>
  <c r="BQ121" i="131"/>
  <c r="BP121" i="131"/>
  <c r="BS125" i="131"/>
  <c r="BR125" i="131"/>
  <c r="BQ125" i="131"/>
  <c r="BP125" i="131"/>
  <c r="BO125" i="131"/>
  <c r="BT125" i="131"/>
  <c r="BO231" i="131"/>
  <c r="BQ231" i="131"/>
  <c r="BP231" i="131"/>
  <c r="BT231" i="131"/>
  <c r="BS231" i="131"/>
  <c r="BR231" i="131"/>
  <c r="BR230" i="131"/>
  <c r="BQ230" i="131"/>
  <c r="BT230" i="131"/>
  <c r="BP230" i="131"/>
  <c r="BO230" i="131"/>
  <c r="BS230" i="131"/>
  <c r="BQ233" i="131"/>
  <c r="BP233" i="131"/>
  <c r="BO233" i="131"/>
  <c r="BR233" i="131"/>
  <c r="BT233" i="131"/>
  <c r="BS233" i="131"/>
  <c r="BP228" i="131"/>
  <c r="BO228" i="131"/>
  <c r="BR228" i="131"/>
  <c r="BQ228" i="131"/>
  <c r="BT228" i="131"/>
  <c r="BS228" i="131"/>
  <c r="BS337" i="131"/>
  <c r="BR337" i="131"/>
  <c r="BQ337" i="131"/>
  <c r="BP337" i="131"/>
  <c r="BO337" i="131"/>
  <c r="BT337" i="131"/>
  <c r="BO341" i="131"/>
  <c r="BT341" i="131"/>
  <c r="BS341" i="131"/>
  <c r="BR341" i="131"/>
  <c r="BP341" i="131"/>
  <c r="BQ341" i="131"/>
  <c r="BO336" i="131"/>
  <c r="BT336" i="131"/>
  <c r="BS336" i="131"/>
  <c r="BR336" i="131"/>
  <c r="BQ336" i="131"/>
  <c r="BP336" i="131"/>
  <c r="BT339" i="131"/>
  <c r="BS339" i="131"/>
  <c r="BR339" i="131"/>
  <c r="BQ339" i="131"/>
  <c r="BP339" i="131"/>
  <c r="BO339" i="131"/>
  <c r="BR340" i="131"/>
  <c r="BQ340" i="131"/>
  <c r="BP340" i="131"/>
  <c r="BO340" i="131"/>
  <c r="BT340" i="131"/>
  <c r="BS340" i="131"/>
  <c r="BP338" i="131"/>
  <c r="BO338" i="131"/>
  <c r="BQ338" i="131"/>
  <c r="BT338" i="131"/>
  <c r="BS338" i="131"/>
  <c r="BR338" i="131"/>
  <c r="BT445" i="131"/>
  <c r="BS445" i="131"/>
  <c r="BR445" i="131"/>
  <c r="BQ445" i="131"/>
  <c r="BP445" i="131"/>
  <c r="BO445" i="131"/>
  <c r="BP447" i="131"/>
  <c r="BO447" i="131"/>
  <c r="BT447" i="131"/>
  <c r="BS447" i="131"/>
  <c r="BR447" i="131"/>
  <c r="BQ447" i="131"/>
  <c r="BT448" i="131"/>
  <c r="BS448" i="131"/>
  <c r="BR448" i="131"/>
  <c r="BQ448" i="131"/>
  <c r="BP448" i="131"/>
  <c r="BO448" i="131"/>
  <c r="BQ444" i="131"/>
  <c r="BP444" i="131"/>
  <c r="BO444" i="131"/>
  <c r="BT444" i="131"/>
  <c r="BS444" i="131"/>
  <c r="BR444" i="131"/>
  <c r="BT443" i="131"/>
  <c r="BS443" i="131"/>
  <c r="BR443" i="131"/>
  <c r="BQ443" i="131"/>
  <c r="BP443" i="131"/>
  <c r="BO443" i="131"/>
  <c r="BS550" i="131"/>
  <c r="BR550" i="131"/>
  <c r="BQ550" i="131"/>
  <c r="BT550" i="131"/>
  <c r="BP550" i="131"/>
  <c r="BO550" i="131"/>
  <c r="BP551" i="131"/>
  <c r="BO551" i="131"/>
  <c r="BR551" i="131"/>
  <c r="BQ551" i="131"/>
  <c r="BT551" i="131"/>
  <c r="BS551" i="131"/>
  <c r="BT552" i="131"/>
  <c r="BS552" i="131"/>
  <c r="BR552" i="131"/>
  <c r="BQ552" i="131"/>
  <c r="BO552" i="131"/>
  <c r="BP552" i="131"/>
  <c r="V63" i="130"/>
  <c r="AC66" i="130"/>
  <c r="AC64" i="130"/>
  <c r="S9" i="130"/>
  <c r="R9" i="130"/>
  <c r="AT3" i="116" a="1"/>
  <c r="AT3" i="116" s="1"/>
  <c r="AS3" i="116" a="1"/>
  <c r="AS3" i="116" s="1"/>
  <c r="Q9" i="130" l="1"/>
  <c r="R8" i="1"/>
  <c r="V70" i="1" l="1"/>
  <c r="AE93" i="83" l="1"/>
  <c r="AE94" i="83" s="1"/>
  <c r="AG93" i="83"/>
  <c r="AK93" i="83" s="1"/>
  <c r="AJ93" i="83" l="1"/>
  <c r="AI93" i="83"/>
  <c r="AG94" i="83" l="1"/>
  <c r="D13" i="1"/>
  <c r="C2" i="98"/>
  <c r="G2" i="98" l="1"/>
  <c r="H2" i="98"/>
  <c r="T9" i="130" l="1"/>
  <c r="T545" i="131"/>
  <c r="AD89" i="83"/>
  <c r="T331" i="131" l="1"/>
  <c r="T438" i="131"/>
  <c r="T9" i="131"/>
  <c r="P160" i="130" l="1"/>
  <c r="BO160" i="130" s="1"/>
  <c r="P146" i="130"/>
  <c r="BO146" i="130" s="1"/>
  <c r="P148" i="130"/>
  <c r="BO148" i="130" s="1"/>
  <c r="P165" i="130"/>
  <c r="BO165" i="130" s="1"/>
  <c r="P158" i="130"/>
  <c r="BO158" i="130" s="1"/>
  <c r="P170" i="130"/>
  <c r="BO170" i="130" s="1"/>
  <c r="P169" i="130"/>
  <c r="BO169" i="130" s="1"/>
  <c r="P129" i="130"/>
  <c r="BO129" i="130" s="1"/>
  <c r="P166" i="130"/>
  <c r="BO166" i="130" s="1"/>
  <c r="P159" i="130"/>
  <c r="BO159" i="130" s="1"/>
  <c r="P154" i="130"/>
  <c r="BO154" i="130" s="1"/>
  <c r="P123" i="130"/>
  <c r="BO123" i="130" s="1"/>
  <c r="P147" i="130"/>
  <c r="BO147" i="130" s="1"/>
  <c r="P124" i="130"/>
  <c r="BO124" i="130" s="1"/>
  <c r="P139" i="130"/>
  <c r="BO139" i="130" s="1"/>
  <c r="P125" i="130"/>
  <c r="BO125" i="130" s="1"/>
  <c r="P155" i="130"/>
  <c r="BO155" i="130" s="1"/>
  <c r="P163" i="130"/>
  <c r="BO163" i="130" s="1"/>
  <c r="P157" i="130"/>
  <c r="BO157" i="130" s="1"/>
  <c r="P142" i="130"/>
  <c r="BO142" i="130" s="1"/>
  <c r="P131" i="130"/>
  <c r="BO131" i="130" s="1"/>
  <c r="P156" i="130"/>
  <c r="BO156" i="130" s="1"/>
  <c r="P141" i="130"/>
  <c r="BO141" i="130" s="1"/>
  <c r="P126" i="130"/>
  <c r="BO126" i="130" s="1"/>
  <c r="P122" i="130"/>
  <c r="BO122" i="130" s="1"/>
  <c r="P121" i="130"/>
  <c r="BO121" i="130" s="1"/>
  <c r="P149" i="130"/>
  <c r="BO149" i="130" s="1"/>
  <c r="P136" i="130"/>
  <c r="BO136" i="130" s="1"/>
  <c r="P135" i="130"/>
  <c r="BO135" i="130" s="1"/>
  <c r="P133" i="130"/>
  <c r="BO133" i="130" s="1"/>
  <c r="P137" i="130"/>
  <c r="BO137" i="130" s="1"/>
  <c r="P130" i="130"/>
  <c r="BO130" i="130" s="1"/>
  <c r="P138" i="130"/>
  <c r="BO138" i="130" s="1"/>
  <c r="P145" i="130"/>
  <c r="BO145" i="130" s="1"/>
  <c r="P143" i="130"/>
  <c r="BO143" i="130" s="1"/>
  <c r="P127" i="130"/>
  <c r="BO127" i="130" s="1"/>
  <c r="P161" i="130"/>
  <c r="BO161" i="130" s="1"/>
  <c r="P128" i="130"/>
  <c r="BO128" i="130" s="1"/>
  <c r="P153" i="130"/>
  <c r="BO153" i="130" s="1"/>
  <c r="P164" i="130"/>
  <c r="BO164" i="130" s="1"/>
  <c r="P134" i="130"/>
  <c r="BO134" i="130" s="1"/>
  <c r="P144" i="130"/>
  <c r="BO144" i="130" s="1"/>
  <c r="P151" i="130"/>
  <c r="BO151" i="130" s="1"/>
  <c r="P168" i="130"/>
  <c r="BO168" i="130" s="1"/>
  <c r="P162" i="130"/>
  <c r="BO162" i="130" s="1"/>
  <c r="P150" i="130"/>
  <c r="BO150" i="130" s="1"/>
  <c r="P152" i="130"/>
  <c r="BO152" i="130" s="1"/>
  <c r="P140" i="130"/>
  <c r="BO140" i="130" s="1"/>
  <c r="P167" i="130"/>
  <c r="BO167" i="130" s="1"/>
  <c r="P132" i="130"/>
  <c r="BO132" i="130" s="1"/>
  <c r="R7" i="1"/>
  <c r="V126" i="130" l="1"/>
  <c r="V125" i="130"/>
  <c r="V129" i="130"/>
  <c r="V152" i="130"/>
  <c r="V153" i="130"/>
  <c r="V137" i="130"/>
  <c r="V141" i="130"/>
  <c r="V139" i="130"/>
  <c r="V169" i="130"/>
  <c r="V124" i="130"/>
  <c r="V170" i="130"/>
  <c r="V164" i="130"/>
  <c r="V158" i="130"/>
  <c r="V130" i="130"/>
  <c r="V156" i="130"/>
  <c r="V147" i="130"/>
  <c r="V168" i="130"/>
  <c r="V127" i="130"/>
  <c r="V136" i="130"/>
  <c r="V142" i="130"/>
  <c r="V123" i="130"/>
  <c r="V165" i="130"/>
  <c r="V150" i="130"/>
  <c r="V162" i="130"/>
  <c r="V131" i="130"/>
  <c r="V151" i="130"/>
  <c r="V143" i="130"/>
  <c r="V149" i="130"/>
  <c r="V157" i="130"/>
  <c r="V154" i="130"/>
  <c r="V148" i="130"/>
  <c r="V133" i="130"/>
  <c r="V135" i="130"/>
  <c r="V132" i="130"/>
  <c r="V144" i="130"/>
  <c r="V145" i="130"/>
  <c r="V121" i="130"/>
  <c r="V163" i="130"/>
  <c r="V159" i="130"/>
  <c r="V146" i="130"/>
  <c r="V140" i="130"/>
  <c r="V128" i="130"/>
  <c r="V161" i="130"/>
  <c r="V167" i="130"/>
  <c r="V134" i="130"/>
  <c r="V138" i="130"/>
  <c r="V122" i="130"/>
  <c r="V155" i="130"/>
  <c r="V166" i="130"/>
  <c r="V160" i="130"/>
  <c r="E27" i="140" a="1"/>
  <c r="E27" i="140" s="1"/>
  <c r="F27" i="140" a="1"/>
  <c r="F27" i="140" s="1"/>
  <c r="D27" i="140" a="1"/>
  <c r="D27" i="140" s="1"/>
  <c r="G24" i="140" a="1"/>
  <c r="G24" i="140" s="1"/>
  <c r="E24" i="140" a="1"/>
  <c r="E24" i="140" s="1"/>
  <c r="F26" i="140" a="1"/>
  <c r="F26" i="140" s="1"/>
  <c r="E26" i="140" a="1"/>
  <c r="E26" i="140" s="1"/>
  <c r="E23" i="140" a="1"/>
  <c r="E23" i="140" s="1"/>
  <c r="G27" i="140" a="1"/>
  <c r="G27" i="140" s="1"/>
  <c r="D23" i="140" a="1"/>
  <c r="D23" i="140" s="1"/>
  <c r="F25" i="140" a="1"/>
  <c r="F25" i="140" s="1"/>
  <c r="G23" i="140" a="1"/>
  <c r="G23" i="140" s="1"/>
  <c r="D24" i="140" a="1"/>
  <c r="D24" i="140" s="1"/>
  <c r="G26" i="140" a="1"/>
  <c r="G26" i="140" s="1"/>
  <c r="E25" i="140" a="1"/>
  <c r="E25" i="140" s="1"/>
  <c r="F24" i="140" a="1"/>
  <c r="F24" i="140" s="1"/>
  <c r="F23" i="140" a="1"/>
  <c r="F23" i="140" s="1"/>
  <c r="G25" i="140" a="1"/>
  <c r="G25" i="140" s="1"/>
  <c r="D25" i="140" a="1"/>
  <c r="D25" i="140" s="1"/>
  <c r="D26" i="140" a="1"/>
  <c r="D26" i="140" s="1"/>
  <c r="P223" i="131"/>
  <c r="G14" i="140" a="1"/>
  <c r="G14" i="140" s="1"/>
  <c r="D15" i="140" a="1"/>
  <c r="D15" i="140" s="1"/>
  <c r="F15" i="140" a="1"/>
  <c r="F15" i="140" s="1"/>
  <c r="D14" i="140" a="1"/>
  <c r="D14" i="140" s="1"/>
  <c r="E14" i="140" a="1"/>
  <c r="E14" i="140" s="1"/>
  <c r="G15" i="140" a="1"/>
  <c r="G15" i="140" s="1"/>
  <c r="F14" i="140" a="1"/>
  <c r="F14" i="140" s="1"/>
  <c r="E15" i="140" a="1"/>
  <c r="E15" i="140" s="1"/>
  <c r="P116" i="131"/>
  <c r="F10" i="140" a="1"/>
  <c r="F10" i="140" s="1"/>
  <c r="D11" i="140" a="1"/>
  <c r="D11" i="140" s="1"/>
  <c r="F12" i="140" a="1"/>
  <c r="F12" i="140" s="1"/>
  <c r="G11" i="140" a="1"/>
  <c r="G11" i="140" s="1"/>
  <c r="D10" i="140" a="1"/>
  <c r="D10" i="140" s="1"/>
  <c r="G13" i="140" a="1"/>
  <c r="G13" i="140" s="1"/>
  <c r="G10" i="140" a="1"/>
  <c r="G10" i="140" s="1"/>
  <c r="E11" i="140" a="1"/>
  <c r="E11" i="140" s="1"/>
  <c r="F13" i="140" a="1"/>
  <c r="F13" i="140" s="1"/>
  <c r="E10" i="140" a="1"/>
  <c r="E10" i="140" s="1"/>
  <c r="F11" i="140" a="1"/>
  <c r="F11" i="140" s="1"/>
  <c r="G12" i="140" a="1"/>
  <c r="G12" i="140" s="1"/>
  <c r="D12" i="140" a="1"/>
  <c r="D12" i="140" s="1"/>
  <c r="E12" i="140" a="1"/>
  <c r="E12" i="140" s="1"/>
  <c r="D13" i="140" a="1"/>
  <c r="D13" i="140" s="1"/>
  <c r="E13" i="140" a="1"/>
  <c r="E13" i="140" s="1"/>
  <c r="P438" i="131"/>
  <c r="D22" i="140" a="1"/>
  <c r="D22" i="140" s="1"/>
  <c r="G22" i="140" a="1"/>
  <c r="G22" i="140" s="1"/>
  <c r="E20" i="140" a="1"/>
  <c r="E20" i="140" s="1"/>
  <c r="F21" i="140" a="1"/>
  <c r="F21" i="140" s="1"/>
  <c r="F22" i="140" a="1"/>
  <c r="F22" i="140" s="1"/>
  <c r="F19" i="140" a="1"/>
  <c r="F19" i="140" s="1"/>
  <c r="D20" i="140" a="1"/>
  <c r="D20" i="140" s="1"/>
  <c r="G19" i="140" a="1"/>
  <c r="G19" i="140" s="1"/>
  <c r="E21" i="140" a="1"/>
  <c r="E21" i="140" s="1"/>
  <c r="D21" i="140" a="1"/>
  <c r="D21" i="140" s="1"/>
  <c r="F20" i="140" a="1"/>
  <c r="F20" i="140" s="1"/>
  <c r="D19" i="140" a="1"/>
  <c r="D19" i="140" s="1"/>
  <c r="G20" i="140" a="1"/>
  <c r="G20" i="140" s="1"/>
  <c r="G21" i="140" a="1"/>
  <c r="G21" i="140" s="1"/>
  <c r="E19" i="140" a="1"/>
  <c r="E19" i="140" s="1"/>
  <c r="E22" i="140" a="1"/>
  <c r="E22" i="140" s="1"/>
  <c r="F17" i="140" a="1"/>
  <c r="F17" i="140" s="1"/>
  <c r="G17" i="140" a="1"/>
  <c r="G17" i="140" s="1"/>
  <c r="G18" i="140" a="1"/>
  <c r="G18" i="140" s="1"/>
  <c r="E17" i="140" a="1"/>
  <c r="E17" i="140" s="1"/>
  <c r="E18" i="140" a="1"/>
  <c r="E18" i="140" s="1"/>
  <c r="E16" i="140" a="1"/>
  <c r="E16" i="140" s="1"/>
  <c r="F16" i="140" a="1"/>
  <c r="F16" i="140" s="1"/>
  <c r="G16" i="140" a="1"/>
  <c r="G16" i="140" s="1"/>
  <c r="F18" i="140" a="1"/>
  <c r="F18" i="140" s="1"/>
  <c r="E9" i="140" a="1"/>
  <c r="E9" i="140" s="1"/>
  <c r="D5" i="140" a="1"/>
  <c r="D5" i="140" s="1"/>
  <c r="G7" i="140" a="1"/>
  <c r="G7" i="140" s="1"/>
  <c r="D8" i="140" a="1"/>
  <c r="D8" i="140" s="1"/>
  <c r="F7" i="140" a="1"/>
  <c r="F7" i="140" s="1"/>
  <c r="D6" i="140" a="1"/>
  <c r="D6" i="140" s="1"/>
  <c r="E7" i="140" a="1"/>
  <c r="E7" i="140" s="1"/>
  <c r="F6" i="140" a="1"/>
  <c r="F6" i="140" s="1"/>
  <c r="G4" i="140" a="1"/>
  <c r="G4" i="140" s="1"/>
  <c r="D4" i="140" a="1"/>
  <c r="D4" i="140" s="1"/>
  <c r="G6" i="140" a="1"/>
  <c r="G6" i="140" s="1"/>
  <c r="F4" i="140" a="1"/>
  <c r="F4" i="140" s="1"/>
  <c r="F9" i="140" a="1"/>
  <c r="F9" i="140" s="1"/>
  <c r="E6" i="140" a="1"/>
  <c r="E6" i="140" s="1"/>
  <c r="E4" i="140" a="1"/>
  <c r="E4" i="140" s="1"/>
  <c r="D7" i="140" a="1"/>
  <c r="D7" i="140" s="1"/>
  <c r="G8" i="140" a="1"/>
  <c r="G8" i="140" s="1"/>
  <c r="F5" i="140" a="1"/>
  <c r="F5" i="140" s="1"/>
  <c r="D9" i="140" a="1"/>
  <c r="D9" i="140" s="1"/>
  <c r="G5" i="140" a="1"/>
  <c r="G5" i="140" s="1"/>
  <c r="E5" i="140" a="1"/>
  <c r="E5" i="140" s="1"/>
  <c r="G9" i="140" a="1"/>
  <c r="G9" i="140" s="1"/>
  <c r="F8" i="140" a="1"/>
  <c r="F8" i="140" s="1"/>
  <c r="E8" i="140" a="1"/>
  <c r="E8" i="140" s="1"/>
  <c r="P331" i="131"/>
  <c r="D16" i="140" a="1"/>
  <c r="D16" i="140" s="1"/>
  <c r="D18" i="140" a="1"/>
  <c r="D18" i="140" s="1"/>
  <c r="D17" i="140" a="1"/>
  <c r="D17" i="140" s="1"/>
  <c r="P9" i="130"/>
  <c r="P545" i="131"/>
  <c r="P116" i="130" l="1"/>
  <c r="P9" i="131"/>
  <c r="AJ3" i="83" l="1" a="1"/>
  <c r="AJ3" i="83" s="1"/>
  <c r="AK3" i="83" a="1"/>
  <c r="AK3" i="83" s="1"/>
  <c r="AG86" i="83" l="1"/>
  <c r="AF86" i="83"/>
  <c r="AE86" i="83"/>
  <c r="AE87" i="83" s="1"/>
  <c r="AF94" i="83" l="1"/>
  <c r="AF87" i="83"/>
  <c r="AE88" i="83"/>
  <c r="AM3" i="116" a="1"/>
  <c r="AM3" i="116" s="1"/>
  <c r="T3" i="1" l="1"/>
  <c r="AD86" i="83" l="1"/>
  <c r="AO3" i="116" a="1"/>
  <c r="AO3" i="116" s="1"/>
  <c r="H5" i="131" l="1"/>
  <c r="R5" i="1"/>
  <c r="H5" i="130"/>
  <c r="AD94" i="83"/>
  <c r="AH94" i="83" s="1"/>
  <c r="AD87" i="83"/>
  <c r="AH87" i="83" s="1"/>
  <c r="AI87" i="83" s="1"/>
  <c r="T5" i="1"/>
  <c r="T2" i="1" s="1"/>
  <c r="G62" i="136" l="1"/>
  <c r="AW62" i="136" s="1"/>
  <c r="AR62" i="136" s="1"/>
  <c r="G15" i="136"/>
  <c r="AW15" i="136" s="1"/>
  <c r="AT62" i="136"/>
  <c r="G20" i="136"/>
  <c r="AW20" i="136" s="1"/>
  <c r="AR20" i="136" s="1"/>
  <c r="G31" i="136"/>
  <c r="AW31" i="136" s="1"/>
  <c r="J5" i="142"/>
  <c r="G17" i="136"/>
  <c r="AW17" i="136" s="1"/>
  <c r="G9" i="136"/>
  <c r="AW9" i="136" s="1"/>
  <c r="AR9" i="136" s="1"/>
  <c r="G202" i="136"/>
  <c r="AW202" i="136" s="1"/>
  <c r="G8" i="136"/>
  <c r="AW8" i="136" s="1"/>
  <c r="AR8" i="136" s="1"/>
  <c r="G11" i="136"/>
  <c r="AW11" i="136" s="1"/>
  <c r="G7" i="136"/>
  <c r="AW7" i="136" s="1"/>
  <c r="AR7" i="136" s="1"/>
  <c r="G119" i="136"/>
  <c r="AW119" i="136" s="1"/>
  <c r="G5" i="136"/>
  <c r="AW5" i="136" s="1"/>
  <c r="AR5" i="136" s="1"/>
  <c r="G6" i="136"/>
  <c r="AW6" i="136" s="1"/>
  <c r="AN1" i="1"/>
  <c r="B71" i="133"/>
  <c r="B73" i="133"/>
  <c r="B65" i="133"/>
  <c r="B69" i="133"/>
  <c r="B53" i="133"/>
  <c r="B44" i="133"/>
  <c r="B36" i="133"/>
  <c r="B33" i="133"/>
  <c r="B27" i="133"/>
  <c r="B74" i="133"/>
  <c r="B68" i="133"/>
  <c r="B64" i="133"/>
  <c r="B61" i="133"/>
  <c r="B55" i="133"/>
  <c r="B38" i="133"/>
  <c r="B29" i="133"/>
  <c r="B21" i="133"/>
  <c r="B18" i="133"/>
  <c r="B12" i="133"/>
  <c r="B52" i="133"/>
  <c r="B43" i="133"/>
  <c r="B35" i="133"/>
  <c r="B32" i="133"/>
  <c r="B26" i="133"/>
  <c r="B66" i="133"/>
  <c r="B59" i="133"/>
  <c r="B51" i="133"/>
  <c r="B48" i="133"/>
  <c r="B45" i="133"/>
  <c r="B42" i="133"/>
  <c r="B25" i="133"/>
  <c r="B63" i="133"/>
  <c r="B39" i="133"/>
  <c r="B22" i="133"/>
  <c r="B20" i="133"/>
  <c r="B11" i="133"/>
  <c r="B7" i="133"/>
  <c r="B67" i="133"/>
  <c r="B47" i="133"/>
  <c r="B41" i="133"/>
  <c r="B19" i="133"/>
  <c r="B17" i="133"/>
  <c r="B10" i="133"/>
  <c r="B54" i="133"/>
  <c r="B34" i="133"/>
  <c r="B28" i="133"/>
  <c r="B16" i="133"/>
  <c r="B9" i="133"/>
  <c r="B6" i="133"/>
  <c r="B56" i="133"/>
  <c r="B30" i="133"/>
  <c r="B15" i="133"/>
  <c r="B14" i="133"/>
  <c r="B72" i="133"/>
  <c r="B57" i="133"/>
  <c r="B49" i="133"/>
  <c r="B37" i="133"/>
  <c r="B8" i="133"/>
  <c r="B50" i="133"/>
  <c r="B31" i="133"/>
  <c r="B46" i="133"/>
  <c r="B40" i="133"/>
  <c r="B13" i="133"/>
  <c r="B23" i="133"/>
  <c r="B58" i="133"/>
  <c r="B70" i="133"/>
  <c r="B60" i="133"/>
  <c r="B62" i="133"/>
  <c r="B24" i="133"/>
  <c r="G70" i="133"/>
  <c r="G58" i="133"/>
  <c r="G50" i="133"/>
  <c r="G47" i="133"/>
  <c r="G41" i="133"/>
  <c r="G24" i="133"/>
  <c r="G74" i="133"/>
  <c r="G68" i="133"/>
  <c r="G64" i="133"/>
  <c r="G61" i="133"/>
  <c r="G73" i="133"/>
  <c r="G52" i="133"/>
  <c r="G43" i="133"/>
  <c r="G35" i="133"/>
  <c r="G32" i="133"/>
  <c r="G26" i="133"/>
  <c r="G9" i="133"/>
  <c r="G72" i="133"/>
  <c r="G67" i="133"/>
  <c r="G63" i="133"/>
  <c r="G60" i="133"/>
  <c r="G57" i="133"/>
  <c r="G49" i="133"/>
  <c r="G46" i="133"/>
  <c r="G40" i="133"/>
  <c r="G23" i="133"/>
  <c r="G20" i="133"/>
  <c r="G17" i="133"/>
  <c r="G14" i="133"/>
  <c r="G62" i="133"/>
  <c r="G56" i="133"/>
  <c r="G39" i="133"/>
  <c r="G30" i="133"/>
  <c r="G66" i="133"/>
  <c r="G21" i="133"/>
  <c r="G54" i="133"/>
  <c r="G34" i="133"/>
  <c r="G28" i="133"/>
  <c r="G18" i="133"/>
  <c r="G16" i="133"/>
  <c r="G6" i="133"/>
  <c r="G71" i="133"/>
  <c r="G55" i="133"/>
  <c r="G48" i="133"/>
  <c r="G42" i="133"/>
  <c r="G29" i="133"/>
  <c r="G15" i="133"/>
  <c r="G65" i="133"/>
  <c r="G44" i="133"/>
  <c r="G36" i="133"/>
  <c r="G13" i="133"/>
  <c r="G8" i="133"/>
  <c r="G37" i="133"/>
  <c r="G11" i="133"/>
  <c r="G59" i="133"/>
  <c r="G31" i="133"/>
  <c r="G33" i="133"/>
  <c r="G27" i="133"/>
  <c r="G25" i="133"/>
  <c r="G12" i="133"/>
  <c r="G69" i="133"/>
  <c r="G38" i="133"/>
  <c r="G22" i="133"/>
  <c r="G53" i="133"/>
  <c r="G51" i="133"/>
  <c r="G10" i="133"/>
  <c r="G45" i="133"/>
  <c r="G19" i="133"/>
  <c r="G7" i="133"/>
  <c r="O4" i="116" a="1"/>
  <c r="O4" i="116" s="1"/>
  <c r="AI94" i="83"/>
  <c r="AR15" i="136" l="1"/>
  <c r="AT15" i="136"/>
  <c r="AT20" i="136"/>
  <c r="AR31" i="136"/>
  <c r="AT31" i="136"/>
  <c r="AR17" i="136"/>
  <c r="AT17" i="136"/>
  <c r="AT9" i="136"/>
  <c r="AR202" i="136"/>
  <c r="AT202" i="136"/>
  <c r="AT8" i="136"/>
  <c r="AR11" i="136"/>
  <c r="AT11" i="136"/>
  <c r="AT7" i="136"/>
  <c r="AR119" i="136"/>
  <c r="AT119" i="136"/>
  <c r="AT5" i="136"/>
  <c r="AR6" i="136"/>
  <c r="AT6" i="136"/>
  <c r="O5" i="116" a="1"/>
  <c r="O5" i="116" s="1"/>
  <c r="O6" i="116" s="1" a="1"/>
  <c r="O6" i="116" s="1"/>
  <c r="O7" i="116" l="1" a="1"/>
  <c r="O7" i="116" s="1"/>
  <c r="O8" i="116" s="1" a="1"/>
  <c r="O8" i="116" s="1"/>
  <c r="AT1" i="136"/>
  <c r="F1" i="136" s="1"/>
  <c r="CH9" i="133" l="1"/>
  <c r="CI9" i="133" s="1"/>
  <c r="O9" i="116" a="1"/>
  <c r="O9" i="116" s="1"/>
  <c r="O10" i="116" l="1" a="1"/>
  <c r="O10" i="116" s="1"/>
  <c r="O11" i="116" s="1" a="1"/>
  <c r="O11" i="116" s="1"/>
  <c r="O12" i="116" l="1" a="1"/>
  <c r="O12" i="116" s="1"/>
  <c r="O13" i="116" l="1" a="1"/>
  <c r="O13" i="116" s="1"/>
  <c r="O14" i="116" l="1" a="1"/>
  <c r="O14" i="116" s="1"/>
  <c r="O15" i="116" s="1" a="1"/>
  <c r="O15" i="116" s="1"/>
  <c r="O16" i="116" s="1" a="1"/>
  <c r="O16" i="116" s="1"/>
  <c r="O17" i="116" s="1" a="1"/>
  <c r="O17" i="116" s="1"/>
  <c r="O18" i="116" s="1" a="1"/>
  <c r="O18" i="116" s="1"/>
  <c r="O19" i="116" s="1" a="1"/>
  <c r="O19" i="116" s="1"/>
  <c r="O20" i="116" s="1" a="1"/>
  <c r="O20" i="116" s="1"/>
  <c r="O21" i="116" s="1" a="1"/>
  <c r="O21" i="116" s="1"/>
  <c r="O22" i="116" s="1" a="1"/>
  <c r="O22" i="116" s="1"/>
  <c r="O23" i="116" s="1" a="1"/>
  <c r="O23" i="116" s="1"/>
  <c r="O24" i="116" s="1" a="1"/>
  <c r="O24" i="116" s="1"/>
  <c r="O25" i="116" s="1" a="1"/>
  <c r="O25" i="116" s="1"/>
  <c r="O26" i="116" s="1" a="1"/>
  <c r="O26" i="116" s="1"/>
  <c r="O27" i="116" s="1" a="1"/>
  <c r="O27" i="116" s="1"/>
  <c r="O28" i="116" s="1" a="1"/>
  <c r="O28" i="116" s="1"/>
  <c r="O29" i="116" s="1" a="1"/>
  <c r="O29" i="116" s="1"/>
  <c r="O30" i="116" s="1" a="1"/>
  <c r="O30" i="116" s="1"/>
  <c r="O31" i="116" s="1" a="1"/>
  <c r="O31" i="116" s="1"/>
  <c r="O32" i="116" s="1" a="1"/>
  <c r="O32" i="116" s="1"/>
  <c r="O33" i="116" s="1" a="1"/>
  <c r="O33" i="116" s="1"/>
  <c r="O34" i="116" s="1" a="1"/>
  <c r="O34" i="116" s="1"/>
  <c r="O35" i="116" s="1" a="1"/>
  <c r="O35" i="116" s="1"/>
  <c r="O36" i="116" s="1" a="1"/>
  <c r="O36" i="116" s="1"/>
  <c r="O37" i="116" s="1" a="1"/>
  <c r="O37" i="116" s="1"/>
  <c r="O38" i="116" s="1" a="1"/>
  <c r="O38" i="116" s="1"/>
  <c r="O39" i="116" s="1" a="1"/>
  <c r="O39" i="116" s="1"/>
  <c r="O40" i="116" s="1" a="1"/>
  <c r="O40" i="116" s="1"/>
  <c r="O41" i="116" s="1" a="1"/>
  <c r="O41" i="116" s="1"/>
  <c r="O42" i="116" s="1" a="1"/>
  <c r="O42" i="116" s="1"/>
  <c r="O43" i="116" s="1" a="1"/>
  <c r="O43" i="116" s="1"/>
  <c r="O44" i="116" s="1" a="1"/>
  <c r="O44" i="116" s="1"/>
  <c r="O45" i="116" s="1" a="1"/>
  <c r="O45" i="116" s="1"/>
  <c r="O46" i="116" s="1" a="1"/>
  <c r="O46" i="116" s="1"/>
  <c r="O47" i="116" s="1" a="1"/>
  <c r="O47" i="116" s="1"/>
  <c r="O48" i="116" s="1" a="1"/>
  <c r="O48" i="116" s="1"/>
  <c r="O49" i="116" s="1" a="1"/>
  <c r="O49" i="116" s="1"/>
  <c r="O50" i="116" s="1" a="1"/>
  <c r="O50" i="116" s="1"/>
  <c r="O51" i="116" s="1" a="1"/>
  <c r="O51" i="116" s="1"/>
  <c r="O52" i="116" s="1" a="1"/>
  <c r="O52" i="116" s="1"/>
  <c r="O53" i="116" s="1" a="1"/>
  <c r="O53" i="116" s="1"/>
  <c r="O54" i="116" s="1" a="1"/>
  <c r="O54" i="116" s="1"/>
  <c r="O55" i="116" s="1" a="1"/>
  <c r="O55" i="116" s="1"/>
  <c r="O56" i="116" s="1" a="1"/>
  <c r="O56" i="116" s="1"/>
  <c r="O57" i="116" s="1" a="1"/>
  <c r="O57" i="116" s="1"/>
  <c r="O58" i="116" s="1" a="1"/>
  <c r="O58" i="116" s="1"/>
  <c r="O59" i="116" s="1" a="1"/>
  <c r="O59" i="116" s="1"/>
  <c r="O60" i="116" s="1" a="1"/>
  <c r="O60" i="116" s="1"/>
  <c r="O61" i="116" s="1" a="1"/>
  <c r="O61" i="116" s="1"/>
  <c r="O62" i="116" s="1" a="1"/>
  <c r="O62" i="116" s="1"/>
  <c r="O63" i="116" s="1" a="1"/>
  <c r="O63" i="116" s="1"/>
  <c r="O64" i="116" s="1" a="1"/>
  <c r="O64" i="116" s="1"/>
  <c r="O65" i="116" s="1" a="1"/>
  <c r="O65" i="116" s="1"/>
  <c r="O66" i="116" s="1" a="1"/>
  <c r="O66" i="116" s="1"/>
  <c r="O67" i="116" s="1" a="1"/>
  <c r="O67" i="116" s="1"/>
  <c r="O68" i="116" s="1" a="1"/>
  <c r="O68" i="116" s="1"/>
  <c r="O69" i="116" s="1" a="1"/>
  <c r="O69" i="116" s="1"/>
  <c r="O70" i="116" s="1" a="1"/>
  <c r="O70" i="116" s="1"/>
  <c r="O71" i="116" s="1" a="1"/>
  <c r="O71" i="116" s="1"/>
  <c r="O72" i="116" s="1" a="1"/>
  <c r="O72" i="116" s="1"/>
  <c r="O73" i="116" s="1" a="1"/>
  <c r="O73" i="116" s="1"/>
  <c r="O74" i="116" s="1" a="1"/>
  <c r="O74" i="116" s="1"/>
  <c r="O75" i="116" s="1" a="1"/>
  <c r="O75" i="116" s="1"/>
  <c r="O76" i="116" s="1" a="1"/>
  <c r="O76" i="116" s="1"/>
  <c r="O77" i="116" s="1" a="1"/>
  <c r="O77" i="116" s="1"/>
  <c r="O78" i="116" s="1" a="1"/>
  <c r="O78" i="116" s="1"/>
  <c r="O79" i="116" s="1" a="1"/>
  <c r="O79" i="116" s="1"/>
  <c r="O80" i="116" s="1" a="1"/>
  <c r="O80" i="116" s="1"/>
  <c r="O81" i="116" s="1" a="1"/>
  <c r="O81" i="116" s="1"/>
  <c r="O82" i="116" s="1" a="1"/>
  <c r="O82" i="116" s="1"/>
  <c r="O83" i="116" s="1" a="1"/>
  <c r="O83" i="116" s="1"/>
  <c r="O84" i="116" s="1" a="1"/>
  <c r="O84" i="116" s="1"/>
  <c r="O85" i="116" s="1" a="1"/>
  <c r="O85" i="116" s="1"/>
  <c r="O86" i="116" s="1" a="1"/>
  <c r="O86" i="116" s="1"/>
  <c r="O87" i="116" s="1" a="1"/>
  <c r="O87" i="116" s="1"/>
  <c r="O88" i="116" s="1" a="1"/>
  <c r="O88" i="116" s="1"/>
  <c r="O89" i="116" s="1" a="1"/>
  <c r="O89" i="116" s="1"/>
  <c r="O90" i="116" s="1" a="1"/>
  <c r="O90" i="116" s="1"/>
  <c r="O91" i="116" s="1" a="1"/>
  <c r="O91" i="116" s="1"/>
  <c r="O92" i="116" s="1" a="1"/>
  <c r="O92" i="116" s="1"/>
  <c r="O93" i="116" s="1" a="1"/>
  <c r="O93" i="116" s="1"/>
  <c r="O94" i="116" s="1" a="1"/>
  <c r="O94" i="116" s="1"/>
  <c r="O95" i="116" s="1" a="1"/>
  <c r="O95" i="116" s="1"/>
  <c r="O96" i="116" s="1" a="1"/>
  <c r="O96" i="116" s="1"/>
  <c r="O97" i="116" s="1" a="1"/>
  <c r="O97" i="116" s="1"/>
  <c r="O98" i="116" s="1" a="1"/>
  <c r="O98" i="116" s="1"/>
  <c r="O99" i="116" s="1" a="1"/>
  <c r="O99" i="116" s="1"/>
  <c r="O100" i="116" s="1" a="1"/>
  <c r="O100" i="116" s="1"/>
  <c r="O101" i="116" s="1" a="1"/>
  <c r="O101" i="116" s="1"/>
  <c r="O102" i="116" s="1" a="1"/>
  <c r="O102" i="116" s="1"/>
  <c r="O103" i="116" s="1" a="1"/>
  <c r="O103" i="116" s="1"/>
  <c r="O104" i="116" s="1" a="1"/>
  <c r="O104" i="116" s="1"/>
  <c r="O105" i="116" s="1" a="1"/>
  <c r="O105" i="116" s="1"/>
  <c r="O106" i="116" s="1" a="1"/>
  <c r="O106" i="116" s="1"/>
  <c r="O107" i="116" s="1" a="1"/>
  <c r="O107" i="116" s="1"/>
  <c r="O108" i="116" s="1" a="1"/>
  <c r="O108" i="116" s="1"/>
  <c r="O109" i="116" s="1" a="1"/>
  <c r="O109" i="116" s="1"/>
  <c r="O110" i="116" s="1" a="1"/>
  <c r="O110" i="116" s="1"/>
  <c r="O111" i="116" s="1" a="1"/>
  <c r="O111" i="116" s="1"/>
  <c r="O112" i="116" s="1" a="1"/>
  <c r="O112" i="116" s="1"/>
  <c r="O113" i="116" s="1" a="1"/>
  <c r="O113" i="116" s="1"/>
  <c r="O114" i="116" s="1" a="1"/>
  <c r="O114" i="116" s="1"/>
  <c r="O115" i="116" s="1" a="1"/>
  <c r="O115" i="116" s="1"/>
  <c r="O116" i="116" s="1" a="1"/>
  <c r="O116" i="116" s="1"/>
  <c r="O117" i="116" s="1" a="1"/>
  <c r="O117" i="116" s="1"/>
  <c r="O118" i="116" s="1" a="1"/>
  <c r="O118" i="116" s="1"/>
  <c r="O119" i="116" s="1" a="1"/>
  <c r="O119" i="116" s="1"/>
  <c r="O120" i="116" s="1" a="1"/>
  <c r="O120" i="116" s="1"/>
  <c r="O121" i="116" s="1" a="1"/>
  <c r="O121" i="116" s="1"/>
  <c r="O122" i="116" s="1" a="1"/>
  <c r="O122" i="116" s="1"/>
  <c r="O123" i="116" s="1" a="1"/>
  <c r="O123" i="116" s="1"/>
  <c r="O124" i="116" s="1" a="1"/>
  <c r="O124" i="116" s="1"/>
  <c r="O125" i="116" l="1" a="1"/>
  <c r="O125" i="116" s="1"/>
  <c r="O126" i="116" s="1" a="1"/>
  <c r="O126" i="116" s="1"/>
  <c r="O127" i="116" s="1" a="1"/>
  <c r="O127" i="116" s="1"/>
  <c r="O128" i="116" s="1" a="1"/>
  <c r="O128" i="116" s="1"/>
  <c r="O129" i="116" s="1" a="1"/>
  <c r="O129" i="116" s="1"/>
  <c r="O130" i="116" s="1" a="1"/>
  <c r="O130" i="116" s="1"/>
  <c r="O131" i="116" s="1" a="1"/>
  <c r="O131" i="116" s="1"/>
  <c r="O132" i="116" s="1" a="1"/>
  <c r="O132" i="116" s="1"/>
  <c r="O133" i="116" s="1" a="1"/>
  <c r="O133" i="116" s="1"/>
  <c r="O134" i="116" s="1" a="1"/>
  <c r="O134" i="116" s="1"/>
  <c r="O135" i="116" s="1" a="1"/>
  <c r="O135" i="116" s="1"/>
  <c r="O136" i="116" s="1" a="1"/>
  <c r="O136" i="116" s="1"/>
  <c r="O137" i="116" s="1" a="1"/>
  <c r="O137" i="116" s="1"/>
  <c r="O138" i="116" s="1" a="1"/>
  <c r="O138" i="116" s="1"/>
  <c r="O139" i="116" s="1" a="1"/>
  <c r="O139" i="116" s="1"/>
  <c r="O140" i="116" s="1" a="1"/>
  <c r="O140" i="116" s="1"/>
  <c r="O141" i="116" s="1" a="1"/>
  <c r="O141" i="116" s="1"/>
  <c r="AK3" i="116" a="1"/>
  <c r="AK3" i="116" s="1"/>
  <c r="O142" i="116" l="1" a="1"/>
  <c r="O142" i="116" s="1"/>
  <c r="O143" i="116" s="1" a="1"/>
  <c r="O143" i="116" s="1"/>
  <c r="O144" i="116" s="1" a="1"/>
  <c r="O144" i="116" s="1"/>
  <c r="O145" i="116" s="1" a="1"/>
  <c r="O145" i="116" s="1"/>
  <c r="O146" i="116" s="1" a="1"/>
  <c r="O146" i="116" s="1"/>
  <c r="O147" i="116" s="1" a="1"/>
  <c r="O147" i="116" s="1"/>
  <c r="O148" i="116" s="1" a="1"/>
  <c r="O148" i="116" s="1"/>
  <c r="O149" i="116" s="1" a="1"/>
  <c r="O149" i="116" s="1"/>
  <c r="O150" i="116" s="1" a="1"/>
  <c r="O150" i="116" s="1"/>
  <c r="O151" i="116" s="1" a="1"/>
  <c r="O151" i="116" s="1"/>
  <c r="O152" i="116" s="1" a="1"/>
  <c r="O152" i="116" s="1"/>
  <c r="O153" i="116" s="1" a="1"/>
  <c r="O153" i="116" s="1"/>
  <c r="O154" i="116" s="1" a="1"/>
  <c r="O154" i="116" s="1"/>
  <c r="O155" i="116" s="1" a="1"/>
  <c r="O155" i="116" s="1"/>
  <c r="O156" i="116" s="1" a="1"/>
  <c r="O156" i="116" s="1"/>
  <c r="O157" i="116" s="1" a="1"/>
  <c r="O157" i="116" s="1"/>
  <c r="O158" i="116" s="1" a="1"/>
  <c r="O158" i="116" s="1"/>
  <c r="O159" i="116" s="1" a="1"/>
  <c r="O159" i="116" s="1"/>
  <c r="O160" i="116" s="1" a="1"/>
  <c r="O160" i="116" s="1"/>
  <c r="O161" i="116" s="1" a="1"/>
  <c r="O161" i="116" s="1"/>
  <c r="O162" i="116" s="1" a="1"/>
  <c r="O162" i="116" s="1"/>
  <c r="O163" i="116" s="1" a="1"/>
  <c r="O163" i="116" s="1"/>
  <c r="O164" i="116" s="1" a="1"/>
  <c r="O164" i="116" s="1"/>
  <c r="O165" i="116" s="1" a="1"/>
  <c r="O165" i="116" s="1"/>
  <c r="O166" i="116" s="1" a="1"/>
  <c r="O166" i="116" s="1"/>
  <c r="O167" i="116" s="1" a="1"/>
  <c r="O167" i="116" s="1"/>
  <c r="O168" i="116" s="1" a="1"/>
  <c r="O168" i="116" s="1"/>
  <c r="O169" i="116" s="1" a="1"/>
  <c r="O169" i="116" s="1"/>
  <c r="O170" i="116" s="1" a="1"/>
  <c r="O170" i="116" s="1"/>
  <c r="O171" i="116" s="1" a="1"/>
  <c r="O171" i="116" s="1"/>
  <c r="O172" i="116" s="1" a="1"/>
  <c r="O172" i="116" s="1"/>
  <c r="O173" i="116" s="1" a="1"/>
  <c r="O173" i="116" s="1"/>
  <c r="O174" i="116" s="1" a="1"/>
  <c r="O174" i="116" s="1"/>
  <c r="O175" i="116" s="1" a="1"/>
  <c r="O175" i="116" s="1"/>
  <c r="O176" i="116" s="1" a="1"/>
  <c r="O176" i="116" s="1"/>
  <c r="O177" i="116" s="1" a="1"/>
  <c r="O177" i="116" s="1"/>
  <c r="O178" i="116" s="1" a="1"/>
  <c r="O178" i="116" s="1"/>
  <c r="O179" i="116" s="1" a="1"/>
  <c r="O179" i="116" s="1"/>
  <c r="O180" i="116" s="1" a="1"/>
  <c r="O180" i="116" s="1"/>
  <c r="O181" i="116" s="1" a="1"/>
  <c r="O181" i="116" s="1"/>
  <c r="O182" i="116" s="1" a="1"/>
  <c r="O182" i="116" s="1"/>
  <c r="O183" i="116" s="1" a="1"/>
  <c r="O183" i="116" s="1"/>
  <c r="O184" i="116" s="1" a="1"/>
  <c r="O184" i="116" s="1"/>
  <c r="O185" i="116" s="1" a="1"/>
  <c r="O185" i="116" s="1"/>
  <c r="O186" i="116" s="1" a="1"/>
  <c r="O186" i="116" s="1"/>
  <c r="O187" i="116" s="1" a="1"/>
  <c r="O187" i="116" s="1"/>
  <c r="O188" i="116" s="1" a="1"/>
  <c r="O188" i="116" s="1"/>
  <c r="O189" i="116" s="1" a="1"/>
  <c r="O189" i="116" s="1"/>
  <c r="O190" i="116" s="1" a="1"/>
  <c r="O190" i="116" s="1"/>
  <c r="O191" i="116" s="1" a="1"/>
  <c r="O191" i="116" s="1"/>
  <c r="O192" i="116" s="1" a="1"/>
  <c r="O192" i="116" s="1"/>
  <c r="O193" i="116" s="1" a="1"/>
  <c r="O193" i="116" s="1"/>
  <c r="O194" i="116" s="1" a="1"/>
  <c r="O194" i="116" s="1"/>
  <c r="O195" i="116" s="1" a="1"/>
  <c r="O195" i="116" s="1"/>
  <c r="O196" i="116" s="1" a="1"/>
  <c r="O196" i="116" s="1"/>
  <c r="O197" i="116" s="1" a="1"/>
  <c r="O197" i="116" s="1"/>
  <c r="O198" i="116" s="1" a="1"/>
  <c r="O198" i="116" s="1"/>
  <c r="O199" i="116" s="1" a="1"/>
  <c r="O199" i="116" s="1"/>
  <c r="O200" i="116" s="1" a="1"/>
  <c r="O200" i="116" s="1"/>
  <c r="O201" i="116" s="1" a="1"/>
  <c r="O201" i="116" s="1"/>
  <c r="O202" i="116" s="1" a="1"/>
  <c r="O202" i="116" s="1"/>
  <c r="O203" i="116" s="1" a="1"/>
  <c r="O203" i="116" s="1"/>
  <c r="O204" i="116" s="1" a="1"/>
  <c r="O204" i="116" s="1"/>
  <c r="O205" i="116" s="1" a="1"/>
  <c r="O205" i="116" s="1"/>
  <c r="O206" i="116" s="1" a="1"/>
  <c r="O206" i="116" s="1"/>
  <c r="O207" i="116" s="1" a="1"/>
  <c r="O207" i="116" s="1"/>
  <c r="O208" i="116" s="1" a="1"/>
  <c r="O208" i="116" s="1"/>
  <c r="O209" i="116" s="1" a="1"/>
  <c r="O209" i="116" s="1"/>
  <c r="O210" i="116" s="1" a="1"/>
  <c r="O210" i="116" s="1"/>
  <c r="O211" i="116" s="1" a="1"/>
  <c r="O211" i="116" s="1"/>
  <c r="O212" i="116" s="1" a="1"/>
  <c r="O212" i="116" s="1"/>
  <c r="O213" i="116" s="1" a="1"/>
  <c r="O213" i="116" s="1"/>
  <c r="O214" i="116" s="1" a="1"/>
  <c r="O214" i="116" s="1"/>
  <c r="O215" i="116" s="1" a="1"/>
  <c r="O215" i="116" s="1"/>
  <c r="O216" i="116" s="1" a="1"/>
  <c r="O216" i="116" s="1"/>
  <c r="O217" i="116" s="1" a="1"/>
  <c r="O217" i="116" s="1"/>
  <c r="O218" i="116" s="1" a="1"/>
  <c r="O218" i="116" s="1"/>
  <c r="O219" i="116" s="1" a="1"/>
  <c r="O219" i="116" s="1"/>
  <c r="O220" i="116" s="1" a="1"/>
  <c r="O220" i="116" s="1"/>
  <c r="O221" i="116" s="1" a="1"/>
  <c r="O221" i="116" s="1"/>
  <c r="O222" i="116" s="1" a="1"/>
  <c r="O222" i="116" s="1"/>
  <c r="O223" i="116" s="1" a="1"/>
  <c r="O223" i="116" s="1"/>
  <c r="O224" i="116" s="1" a="1"/>
  <c r="O224" i="116" s="1"/>
  <c r="O225" i="116" s="1" a="1"/>
  <c r="O225" i="116" s="1"/>
  <c r="O226" i="116" s="1" a="1"/>
  <c r="O226" i="116" s="1"/>
  <c r="O227" i="116" s="1" a="1"/>
  <c r="O227" i="116" s="1"/>
  <c r="O228" i="116" s="1" a="1"/>
  <c r="O228" i="116" s="1"/>
  <c r="O229" i="116" s="1" a="1"/>
  <c r="O229" i="116" s="1"/>
  <c r="O230" i="116" s="1" a="1"/>
  <c r="O230" i="116" s="1"/>
  <c r="O231" i="116" s="1" a="1"/>
  <c r="O231" i="116" s="1"/>
  <c r="O232" i="116" s="1" a="1"/>
  <c r="O232" i="116" s="1"/>
  <c r="O233" i="116" s="1" a="1"/>
  <c r="O233" i="116" s="1"/>
  <c r="O234" i="116" s="1" a="1"/>
  <c r="O234" i="116" s="1"/>
  <c r="O235" i="116" s="1" a="1"/>
  <c r="O235" i="116" s="1"/>
  <c r="O236" i="116" s="1" a="1"/>
  <c r="O236" i="116" s="1"/>
  <c r="O237" i="116" s="1" a="1"/>
  <c r="O237" i="116" s="1"/>
  <c r="O238" i="116" s="1" a="1"/>
  <c r="O238" i="116" s="1"/>
  <c r="O239" i="116" s="1" a="1"/>
  <c r="O239" i="116" s="1"/>
  <c r="O240" i="116" s="1" a="1"/>
  <c r="O240" i="116" s="1"/>
  <c r="O241" i="116" s="1" a="1"/>
  <c r="O241" i="116" s="1"/>
  <c r="O242" i="116" s="1" a="1"/>
  <c r="O242" i="116" s="1"/>
  <c r="O243" i="116" s="1" a="1"/>
  <c r="O243" i="116" s="1"/>
  <c r="O244" i="116" s="1" a="1"/>
  <c r="O244" i="116" s="1"/>
  <c r="O245" i="116" s="1" a="1"/>
  <c r="O245" i="116" s="1"/>
  <c r="O246" i="116" s="1" a="1"/>
  <c r="O246" i="116" s="1"/>
  <c r="O247" i="116" s="1" a="1"/>
  <c r="O247" i="116" s="1"/>
  <c r="O248" i="116" s="1" a="1"/>
  <c r="O248" i="116" s="1"/>
  <c r="O249" i="116" s="1" a="1"/>
  <c r="O249" i="116" s="1"/>
  <c r="O250" i="116" s="1" a="1"/>
  <c r="O250" i="116" s="1"/>
  <c r="O251" i="116" s="1" a="1"/>
  <c r="O251" i="116" s="1"/>
  <c r="O252" i="116" s="1" a="1"/>
  <c r="O252" i="116" s="1"/>
  <c r="O253" i="116" s="1" a="1"/>
  <c r="O253" i="116" s="1"/>
  <c r="O254" i="116" s="1" a="1"/>
  <c r="O254" i="116" s="1"/>
  <c r="O255" i="116" s="1" a="1"/>
  <c r="O255" i="116" s="1"/>
  <c r="O256" i="116" s="1" a="1"/>
  <c r="O256" i="116" s="1"/>
  <c r="O257" i="116" s="1" a="1"/>
  <c r="O257" i="116" s="1"/>
  <c r="O258" i="116" s="1" a="1"/>
  <c r="O258" i="116" s="1"/>
  <c r="O259" i="116" s="1" a="1"/>
  <c r="O259" i="116" s="1"/>
  <c r="O260" i="116" s="1" a="1"/>
  <c r="O260" i="116" s="1"/>
  <c r="O261" i="116" s="1" a="1"/>
  <c r="O261" i="116" s="1"/>
  <c r="O262" i="116" s="1" a="1"/>
  <c r="O262" i="116" s="1"/>
  <c r="O263" i="116" s="1" a="1"/>
  <c r="O263" i="116" s="1"/>
  <c r="O264" i="116" s="1" a="1"/>
  <c r="O264" i="116" s="1"/>
  <c r="O265" i="116" s="1" a="1"/>
  <c r="O265" i="116" s="1"/>
  <c r="O266" i="116" s="1" a="1"/>
  <c r="O266" i="116" s="1"/>
  <c r="O267" i="116" s="1" a="1"/>
  <c r="O267" i="116" s="1"/>
  <c r="O268" i="116" s="1" a="1"/>
  <c r="O268" i="116" s="1"/>
  <c r="O269" i="116" s="1" a="1"/>
  <c r="O269" i="116" s="1"/>
  <c r="O270" i="116" s="1" a="1"/>
  <c r="O270" i="116" s="1"/>
  <c r="O271" i="116" s="1" a="1"/>
  <c r="O271" i="116" s="1"/>
  <c r="O272" i="116" s="1" a="1"/>
  <c r="O272" i="116" s="1"/>
  <c r="O273" i="116" s="1" a="1"/>
  <c r="O273" i="116" s="1"/>
  <c r="O274" i="116" s="1" a="1"/>
  <c r="O274" i="116" s="1"/>
  <c r="O275" i="116" s="1" a="1"/>
  <c r="O275" i="116" s="1"/>
  <c r="O276" i="116" s="1" a="1"/>
  <c r="O276" i="116" s="1"/>
  <c r="O277" i="116" s="1" a="1"/>
  <c r="O277" i="116" s="1"/>
  <c r="O278" i="116" s="1" a="1"/>
  <c r="O278" i="116" s="1"/>
  <c r="O279" i="116" s="1" a="1"/>
  <c r="O279" i="116" s="1"/>
  <c r="O280" i="116" s="1" a="1"/>
  <c r="O280" i="116" s="1"/>
  <c r="O281" i="116" s="1" a="1"/>
  <c r="O281" i="116" s="1"/>
  <c r="O282" i="116" s="1" a="1"/>
  <c r="O282" i="116" s="1"/>
  <c r="O283" i="116" s="1" a="1"/>
  <c r="O283" i="116" s="1"/>
  <c r="O284" i="116" s="1" a="1"/>
  <c r="O284" i="116" s="1"/>
  <c r="O285" i="116" s="1" a="1"/>
  <c r="O285" i="116" s="1"/>
  <c r="O286" i="116" s="1" a="1"/>
  <c r="O286" i="116" s="1"/>
  <c r="O287" i="116" s="1" a="1"/>
  <c r="O287" i="116" s="1"/>
  <c r="O288" i="116" s="1" a="1"/>
  <c r="O288" i="116" s="1"/>
  <c r="O289" i="116" s="1" a="1"/>
  <c r="O289" i="116" s="1"/>
  <c r="O290" i="116" s="1" a="1"/>
  <c r="O290" i="116" s="1"/>
  <c r="O291" i="116" s="1" a="1"/>
  <c r="O291" i="116" s="1"/>
  <c r="O292" i="116" s="1" a="1"/>
  <c r="O292" i="116" s="1"/>
  <c r="O293" i="116" s="1" a="1"/>
  <c r="O293" i="116" s="1"/>
  <c r="O294" i="116" s="1" a="1"/>
  <c r="O294" i="116" s="1"/>
  <c r="O295" i="116" s="1" a="1"/>
  <c r="O295" i="116" s="1"/>
  <c r="O296" i="116" s="1" a="1"/>
  <c r="O296" i="116" s="1"/>
  <c r="O297" i="116" s="1" a="1"/>
  <c r="O297" i="116" s="1"/>
  <c r="O298" i="116" s="1" a="1"/>
  <c r="O298" i="116" s="1"/>
  <c r="O299" i="116" s="1" a="1"/>
  <c r="O299" i="116" s="1"/>
  <c r="O300" i="116" s="1" a="1"/>
  <c r="O300" i="116" s="1"/>
  <c r="O301" i="116" s="1" a="1"/>
  <c r="O301" i="116" s="1"/>
  <c r="O302" i="116" s="1" a="1"/>
  <c r="O302" i="116" s="1"/>
  <c r="O303" i="116" s="1" a="1"/>
  <c r="O303" i="116" s="1"/>
  <c r="O304" i="116" s="1" a="1"/>
  <c r="O304" i="116" s="1"/>
  <c r="O305" i="116" s="1" a="1"/>
  <c r="O305" i="116" s="1"/>
  <c r="O306" i="116" s="1" a="1"/>
  <c r="O306" i="116" s="1"/>
  <c r="O307" i="116" s="1" a="1"/>
  <c r="O307" i="116" s="1"/>
  <c r="O308" i="116" s="1" a="1"/>
  <c r="O308" i="116" s="1"/>
  <c r="O309" i="116" s="1" a="1"/>
  <c r="O309" i="116" s="1"/>
  <c r="O310" i="116" s="1" a="1"/>
  <c r="O310" i="116" s="1"/>
  <c r="O311" i="116" s="1" a="1"/>
  <c r="O311" i="116" s="1"/>
  <c r="O312" i="116" s="1" a="1"/>
  <c r="O312" i="116" s="1"/>
  <c r="O313" i="116" s="1" a="1"/>
  <c r="O313" i="116" s="1"/>
  <c r="O314" i="116" s="1" a="1"/>
  <c r="O314" i="116" s="1"/>
  <c r="O315" i="116" s="1" a="1"/>
  <c r="O315" i="116" s="1"/>
  <c r="O316" i="116" s="1" a="1"/>
  <c r="O316" i="116" s="1"/>
  <c r="O317" i="116" s="1" a="1"/>
  <c r="O317" i="116" s="1"/>
  <c r="O318" i="116" s="1" a="1"/>
  <c r="O318" i="116" s="1"/>
  <c r="O319" i="116" s="1" a="1"/>
  <c r="O319" i="116" s="1"/>
  <c r="O320" i="116" s="1" a="1"/>
  <c r="O320" i="116" s="1"/>
  <c r="O321" i="116" s="1" a="1"/>
  <c r="O321" i="116" s="1"/>
  <c r="O322" i="116" s="1" a="1"/>
  <c r="O322" i="116" s="1"/>
  <c r="O323" i="116" s="1" a="1"/>
  <c r="O323" i="116" s="1"/>
  <c r="O324" i="116" s="1" a="1"/>
  <c r="O324" i="116" s="1"/>
  <c r="O325" i="116" s="1" a="1"/>
  <c r="O325" i="116" s="1"/>
  <c r="O326" i="116" s="1" a="1"/>
  <c r="O326" i="116" s="1"/>
  <c r="O327" i="116" s="1" a="1"/>
  <c r="O327" i="116" s="1"/>
  <c r="O328" i="116" s="1" a="1"/>
  <c r="O328" i="116" s="1"/>
  <c r="O329" i="116" s="1" a="1"/>
  <c r="O329" i="116" s="1"/>
  <c r="O330" i="116" s="1" a="1"/>
  <c r="O330" i="116" s="1"/>
  <c r="O331" i="116" s="1" a="1"/>
  <c r="O331" i="116" s="1"/>
  <c r="O332" i="116" s="1" a="1"/>
  <c r="O332" i="116" s="1"/>
  <c r="O333" i="116" s="1" a="1"/>
  <c r="O333" i="116" s="1"/>
  <c r="O334" i="116" s="1" a="1"/>
  <c r="O334" i="116" s="1"/>
  <c r="O335" i="116" s="1" a="1"/>
  <c r="O335" i="116" s="1"/>
  <c r="O336" i="116" s="1" a="1"/>
  <c r="O336" i="116" s="1"/>
  <c r="O337" i="116" s="1" a="1"/>
  <c r="O337" i="116" s="1"/>
  <c r="O338" i="116" s="1" a="1"/>
  <c r="O338" i="116" s="1"/>
  <c r="O339" i="116" s="1" a="1"/>
  <c r="O339" i="116" s="1"/>
  <c r="O340" i="116" s="1" a="1"/>
  <c r="O340" i="116" s="1"/>
  <c r="O341" i="116" s="1" a="1"/>
  <c r="O341" i="116" s="1"/>
  <c r="O342" i="116" s="1" a="1"/>
  <c r="O342" i="116" s="1"/>
  <c r="O343" i="116" s="1" a="1"/>
  <c r="O343" i="116" s="1"/>
  <c r="O344" i="116" s="1" a="1"/>
  <c r="O344" i="116" s="1"/>
  <c r="O345" i="116" s="1" a="1"/>
  <c r="O345" i="116" s="1"/>
  <c r="O346" i="116" s="1" a="1"/>
  <c r="O346" i="116" s="1"/>
  <c r="O347" i="116" s="1" a="1"/>
  <c r="O347" i="116" s="1"/>
  <c r="O348" i="116" s="1" a="1"/>
  <c r="O348" i="116" s="1"/>
  <c r="O349" i="116" s="1" a="1"/>
  <c r="O349" i="116" s="1"/>
  <c r="O350" i="116" s="1" a="1"/>
  <c r="O350" i="116" s="1"/>
  <c r="O351" i="116" s="1" a="1"/>
  <c r="O351" i="116" s="1"/>
  <c r="O352" i="116" s="1" a="1"/>
  <c r="O352" i="116" s="1"/>
  <c r="O353" i="116" s="1" a="1"/>
  <c r="O353" i="116" s="1"/>
  <c r="O354" i="116" s="1" a="1"/>
  <c r="O354" i="116" s="1"/>
  <c r="O355" i="116" s="1" a="1"/>
  <c r="O355" i="116" s="1"/>
  <c r="O356" i="116" s="1" a="1"/>
  <c r="O356" i="116" s="1"/>
  <c r="O357" i="116" s="1" a="1"/>
  <c r="O357" i="116" s="1"/>
  <c r="O358" i="116" s="1" a="1"/>
  <c r="O358" i="116" s="1"/>
  <c r="O359" i="116" s="1" a="1"/>
  <c r="O359" i="116" s="1"/>
  <c r="O360" i="116" s="1" a="1"/>
  <c r="O360" i="116" s="1"/>
  <c r="O361" i="116" s="1" a="1"/>
  <c r="O361" i="116" s="1"/>
  <c r="O362" i="116" s="1" a="1"/>
  <c r="O362" i="116" s="1"/>
  <c r="O363" i="116" s="1" a="1"/>
  <c r="O363" i="116" s="1"/>
  <c r="O364" i="116" s="1" a="1"/>
  <c r="O364" i="116" s="1"/>
  <c r="O365" i="116" s="1" a="1"/>
  <c r="O365" i="116" s="1"/>
  <c r="O366" i="116" s="1" a="1"/>
  <c r="O366" i="116" s="1"/>
  <c r="O367" i="116" s="1" a="1"/>
  <c r="O367" i="116" s="1"/>
  <c r="O368" i="116" s="1" a="1"/>
  <c r="O368" i="116" s="1"/>
  <c r="O369" i="116" s="1" a="1"/>
  <c r="O369" i="116" s="1"/>
  <c r="O370" i="116" s="1" a="1"/>
  <c r="O370" i="116" s="1"/>
  <c r="O371" i="116" s="1" a="1"/>
  <c r="O371" i="116" s="1"/>
  <c r="O372" i="116" s="1" a="1"/>
  <c r="O372" i="116" s="1"/>
  <c r="O373" i="116" s="1" a="1"/>
  <c r="O373" i="116" s="1"/>
  <c r="O374" i="116" s="1" a="1"/>
  <c r="O374" i="116" s="1"/>
  <c r="O375" i="116" s="1" a="1"/>
  <c r="O375" i="116" s="1"/>
  <c r="O376" i="116" s="1" a="1"/>
  <c r="O376" i="116" s="1"/>
  <c r="O377" i="116" s="1" a="1"/>
  <c r="O377" i="116" s="1"/>
  <c r="O378" i="116" s="1" a="1"/>
  <c r="O378" i="116" s="1"/>
  <c r="O379" i="116" s="1" a="1"/>
  <c r="O379" i="116" s="1"/>
  <c r="O380" i="116" s="1" a="1"/>
  <c r="O380" i="116" s="1"/>
  <c r="O381" i="116" s="1" a="1"/>
  <c r="O381" i="116" s="1"/>
  <c r="O382" i="116" s="1" a="1"/>
  <c r="O382" i="116" s="1"/>
  <c r="O383" i="116" s="1" a="1"/>
  <c r="O383" i="116" s="1"/>
  <c r="O384" i="116" s="1" a="1"/>
  <c r="O384" i="116" s="1"/>
  <c r="O385" i="116" s="1" a="1"/>
  <c r="O385" i="116" s="1"/>
  <c r="O386" i="116" s="1" a="1"/>
  <c r="O386" i="116" s="1"/>
  <c r="O387" i="116" s="1" a="1"/>
  <c r="O387" i="116" s="1"/>
  <c r="O388" i="116" s="1" a="1"/>
  <c r="O388" i="116" s="1"/>
  <c r="O389" i="116" s="1" a="1"/>
  <c r="O389" i="116" s="1"/>
  <c r="O390" i="116" s="1" a="1"/>
  <c r="O390" i="116" s="1"/>
  <c r="O391" i="116" s="1" a="1"/>
  <c r="O391" i="116" s="1"/>
  <c r="O392" i="116" s="1" a="1"/>
  <c r="O392" i="116" s="1"/>
  <c r="O393" i="116" s="1" a="1"/>
  <c r="O393" i="116" s="1"/>
  <c r="O394" i="116" s="1" a="1"/>
  <c r="O394" i="116" s="1"/>
  <c r="O395" i="116" s="1" a="1"/>
  <c r="O395" i="116" s="1"/>
  <c r="O396" i="116" s="1" a="1"/>
  <c r="O396" i="116" s="1"/>
  <c r="O397" i="116" s="1" a="1"/>
  <c r="O397" i="116" s="1"/>
  <c r="O398" i="116" s="1" a="1"/>
  <c r="O398" i="116" s="1"/>
  <c r="O399" i="116" s="1" a="1"/>
  <c r="O399" i="116" s="1"/>
  <c r="O400" i="116" s="1" a="1"/>
  <c r="O400" i="116" s="1"/>
  <c r="O401" i="116" s="1" a="1"/>
  <c r="O401" i="116" s="1"/>
  <c r="O402" i="116" s="1" a="1"/>
  <c r="O402" i="116" s="1"/>
  <c r="O403" i="116" s="1" a="1"/>
  <c r="O403" i="116" s="1"/>
  <c r="O404" i="116" s="1" a="1"/>
  <c r="O404" i="116" s="1"/>
  <c r="O405" i="116" s="1" a="1"/>
  <c r="O405" i="116" s="1"/>
  <c r="O406" i="116" s="1" a="1"/>
  <c r="O406" i="116" s="1"/>
  <c r="O407" i="116" s="1" a="1"/>
  <c r="O407" i="116" s="1"/>
  <c r="O408" i="116" s="1" a="1"/>
  <c r="O408" i="116" s="1"/>
  <c r="O409" i="116" s="1" a="1"/>
  <c r="O409" i="116" s="1"/>
  <c r="O410" i="116" s="1" a="1"/>
  <c r="O410" i="116" s="1"/>
  <c r="O411" i="116" s="1" a="1"/>
  <c r="O411" i="116" s="1"/>
  <c r="O412" i="116" s="1" a="1"/>
  <c r="O412" i="116" s="1"/>
  <c r="O413" i="116" s="1" a="1"/>
  <c r="O413" i="116" s="1"/>
  <c r="O414" i="116" s="1" a="1"/>
  <c r="O414" i="116" s="1"/>
  <c r="O415" i="116" s="1" a="1"/>
  <c r="O415" i="116" s="1"/>
  <c r="O416" i="116" s="1" a="1"/>
  <c r="O416" i="116" s="1"/>
  <c r="O417" i="116" s="1" a="1"/>
  <c r="O417" i="116" s="1"/>
  <c r="O418" i="116" s="1" a="1"/>
  <c r="O418" i="116" s="1"/>
  <c r="O419" i="116" s="1" a="1"/>
  <c r="O419" i="116" s="1"/>
  <c r="O420" i="116" s="1" a="1"/>
  <c r="O420" i="116" s="1"/>
  <c r="O421" i="116" s="1" a="1"/>
  <c r="O421" i="116" s="1"/>
  <c r="O422" i="116" s="1" a="1"/>
  <c r="O422" i="116" s="1"/>
  <c r="O423" i="116" s="1" a="1"/>
  <c r="O423" i="116" s="1"/>
  <c r="O424" i="116" s="1" a="1"/>
  <c r="O424" i="116" s="1"/>
  <c r="O425" i="116" s="1" a="1"/>
  <c r="O425" i="116" s="1"/>
  <c r="O426" i="116" s="1" a="1"/>
  <c r="O426" i="116" s="1"/>
  <c r="O427" i="116" s="1" a="1"/>
  <c r="O427" i="116" s="1"/>
  <c r="O428" i="116" s="1" a="1"/>
  <c r="O428" i="116" s="1"/>
  <c r="O429" i="116" s="1" a="1"/>
  <c r="O429" i="116" s="1"/>
  <c r="O430" i="116" s="1" a="1"/>
  <c r="O430" i="116" s="1"/>
  <c r="O431" i="116" s="1" a="1"/>
  <c r="O431" i="116" s="1"/>
  <c r="O432" i="116" s="1" a="1"/>
  <c r="O432" i="116" s="1"/>
  <c r="O433" i="116" s="1" a="1"/>
  <c r="O433" i="116" s="1"/>
  <c r="O434" i="116" s="1" a="1"/>
  <c r="O434" i="116" s="1"/>
  <c r="O435" i="116" s="1" a="1"/>
  <c r="O435" i="116" s="1"/>
  <c r="O436" i="116" s="1" a="1"/>
  <c r="O436" i="116" s="1"/>
  <c r="O437" i="116" s="1" a="1"/>
  <c r="O437" i="116" s="1"/>
  <c r="O438" i="116" s="1" a="1"/>
  <c r="O438" i="116" s="1"/>
  <c r="O439" i="116" s="1" a="1"/>
  <c r="O439" i="116" s="1"/>
  <c r="O440" i="116" s="1" a="1"/>
  <c r="O440" i="116" s="1"/>
  <c r="O441" i="116" s="1" a="1"/>
  <c r="O441" i="116" s="1"/>
  <c r="O442" i="116" s="1" a="1"/>
  <c r="O442" i="116" s="1"/>
  <c r="O443" i="116" s="1" a="1"/>
  <c r="O443" i="116" s="1"/>
  <c r="O444" i="116" s="1" a="1"/>
  <c r="O444" i="116" s="1"/>
  <c r="O445" i="116" s="1" a="1"/>
  <c r="O445" i="116" s="1"/>
  <c r="O446" i="116" s="1" a="1"/>
  <c r="O446" i="116" s="1"/>
  <c r="O447" i="116" s="1" a="1"/>
  <c r="O447" i="116" s="1"/>
  <c r="O448" i="116" s="1" a="1"/>
  <c r="O448" i="116" s="1"/>
  <c r="O449" i="116" s="1" a="1"/>
  <c r="O449" i="116" s="1"/>
  <c r="O450" i="116" s="1" a="1"/>
  <c r="O450" i="116" s="1"/>
  <c r="O451" i="116" s="1" a="1"/>
  <c r="O451" i="116" s="1"/>
  <c r="O452" i="116" s="1" a="1"/>
  <c r="O452" i="116" s="1"/>
  <c r="O453" i="116" s="1" a="1"/>
  <c r="O453" i="116" s="1"/>
  <c r="O454" i="116" s="1" a="1"/>
  <c r="O454" i="116" s="1"/>
  <c r="O455" i="116" s="1" a="1"/>
  <c r="O455" i="116" s="1"/>
  <c r="O456" i="116" s="1" a="1"/>
  <c r="O456" i="116" s="1"/>
  <c r="O457" i="116" s="1" a="1"/>
  <c r="O457" i="116" s="1"/>
  <c r="O458" i="116" s="1" a="1"/>
  <c r="O458" i="116" s="1"/>
  <c r="O459" i="116" s="1" a="1"/>
  <c r="O459" i="116" s="1"/>
  <c r="O460" i="116" s="1" a="1"/>
  <c r="O460" i="116" s="1"/>
  <c r="O461" i="116" s="1" a="1"/>
  <c r="O461" i="116" s="1"/>
  <c r="O462" i="116" s="1" a="1"/>
  <c r="O462" i="116" s="1"/>
  <c r="O463" i="116" s="1" a="1"/>
  <c r="O463" i="116" s="1"/>
  <c r="O464" i="116" s="1" a="1"/>
  <c r="O464" i="116" s="1"/>
  <c r="O465" i="116" s="1" a="1"/>
  <c r="O465" i="116" s="1"/>
  <c r="O466" i="116" s="1" a="1"/>
  <c r="O466" i="116" s="1"/>
  <c r="O467" i="116" s="1" a="1"/>
  <c r="O467" i="116" s="1"/>
  <c r="O468" i="116" s="1" a="1"/>
  <c r="O468" i="116" s="1"/>
  <c r="O469" i="116" s="1" a="1"/>
  <c r="O469" i="116" s="1"/>
  <c r="O470" i="116" s="1" a="1"/>
  <c r="O470" i="116" s="1"/>
  <c r="O471" i="116" s="1" a="1"/>
  <c r="O471" i="116" s="1"/>
  <c r="O472" i="116" s="1" a="1"/>
  <c r="O472" i="116" s="1"/>
  <c r="O473" i="116" s="1" a="1"/>
  <c r="O473" i="116" s="1"/>
  <c r="O474" i="116" s="1" a="1"/>
  <c r="O474" i="116" s="1"/>
  <c r="O475" i="116" s="1" a="1"/>
  <c r="O475" i="116" s="1"/>
  <c r="O476" i="116" s="1" a="1"/>
  <c r="O476" i="116" s="1"/>
  <c r="O477" i="116" s="1" a="1"/>
  <c r="O477" i="116" s="1"/>
  <c r="O478" i="116" s="1" a="1"/>
  <c r="O478" i="116" s="1"/>
  <c r="O479" i="116" s="1" a="1"/>
  <c r="O479" i="116" s="1"/>
  <c r="O480" i="116" s="1" a="1"/>
  <c r="O480" i="116" s="1"/>
  <c r="O481" i="116" s="1" a="1"/>
  <c r="O481" i="116" s="1"/>
  <c r="O482" i="116" s="1" a="1"/>
  <c r="O482" i="116" s="1"/>
  <c r="O483" i="116" s="1" a="1"/>
  <c r="O483" i="116" s="1"/>
  <c r="O484" i="116" s="1" a="1"/>
  <c r="O484" i="116" s="1"/>
  <c r="O485" i="116" s="1" a="1"/>
  <c r="O485" i="116" s="1"/>
  <c r="O486" i="116" s="1" a="1"/>
  <c r="O486" i="116" s="1"/>
  <c r="O487" i="116" s="1" a="1"/>
  <c r="O487" i="116" s="1"/>
  <c r="O488" i="116" s="1" a="1"/>
  <c r="O488" i="116" s="1"/>
  <c r="O489" i="116" s="1" a="1"/>
  <c r="O489" i="116" s="1"/>
  <c r="O490" i="116" s="1" a="1"/>
  <c r="O490" i="116" s="1"/>
  <c r="O491" i="116" s="1" a="1"/>
  <c r="O491" i="116" s="1"/>
  <c r="O492" i="116" s="1" a="1"/>
  <c r="O492" i="116" s="1"/>
  <c r="O493" i="116" s="1" a="1"/>
  <c r="O493" i="116" s="1"/>
  <c r="O494" i="116" s="1" a="1"/>
  <c r="O494" i="116" s="1"/>
  <c r="O495" i="116" s="1" a="1"/>
  <c r="O495" i="116" s="1"/>
  <c r="O496" i="116" s="1" a="1"/>
  <c r="O496" i="116" s="1"/>
  <c r="O497" i="116" s="1" a="1"/>
  <c r="O497" i="116" s="1"/>
  <c r="O498" i="116" s="1" a="1"/>
  <c r="O498" i="116" s="1"/>
  <c r="O499" i="116" s="1" a="1"/>
  <c r="O499" i="116" s="1"/>
  <c r="O500" i="116" s="1" a="1"/>
  <c r="O500" i="116" s="1"/>
  <c r="O501" i="116" s="1" a="1"/>
  <c r="O501" i="116" s="1"/>
  <c r="O502" i="116" s="1" a="1"/>
  <c r="O502" i="116" s="1"/>
  <c r="O503" i="116" s="1" a="1"/>
  <c r="O503" i="116" s="1"/>
  <c r="O504" i="116" s="1" a="1"/>
  <c r="O504" i="116" s="1"/>
  <c r="O505" i="116" s="1" a="1"/>
  <c r="O505" i="116" s="1"/>
  <c r="O506" i="116" s="1" a="1"/>
  <c r="O506" i="116" s="1"/>
  <c r="O507" i="116" s="1" a="1"/>
  <c r="O507" i="116" s="1"/>
  <c r="O508" i="116" s="1" a="1"/>
  <c r="O508" i="116" s="1"/>
  <c r="O509" i="116" s="1" a="1"/>
  <c r="O509" i="116" s="1"/>
  <c r="O510" i="116" s="1" a="1"/>
  <c r="O510" i="116" s="1"/>
  <c r="O511" i="116" s="1" a="1"/>
  <c r="O511" i="116" s="1"/>
  <c r="O512" i="116" s="1" a="1"/>
  <c r="O512" i="116" s="1"/>
  <c r="O513" i="116" s="1" a="1"/>
  <c r="O513" i="116" s="1"/>
  <c r="O514" i="116" s="1" a="1"/>
  <c r="O514" i="116" s="1"/>
  <c r="O515" i="116" s="1" a="1"/>
  <c r="O515" i="116" s="1"/>
  <c r="O516" i="116" s="1" a="1"/>
  <c r="O516" i="116" s="1"/>
  <c r="O517" i="116" s="1" a="1"/>
  <c r="O517" i="116" s="1"/>
  <c r="O518" i="116" s="1" a="1"/>
  <c r="O518" i="116" s="1"/>
  <c r="O519" i="116" s="1" a="1"/>
  <c r="O519" i="116" s="1"/>
  <c r="O520" i="116" s="1" a="1"/>
  <c r="O520" i="116" s="1"/>
  <c r="O521" i="116" s="1" a="1"/>
  <c r="O521" i="116" s="1"/>
  <c r="O522" i="116" s="1" a="1"/>
  <c r="O522" i="116" s="1"/>
  <c r="O523" i="116" s="1" a="1"/>
  <c r="O523" i="116" s="1"/>
  <c r="O524" i="116" s="1" a="1"/>
  <c r="O524" i="116" s="1"/>
  <c r="O525" i="116" s="1" a="1"/>
  <c r="O525" i="116" s="1"/>
  <c r="R3" i="1"/>
  <c r="T66" i="1" l="1"/>
  <c r="T50" i="1"/>
  <c r="T47" i="1"/>
  <c r="T29" i="1"/>
  <c r="T22" i="1"/>
  <c r="K31" i="1" l="1"/>
  <c r="K30" i="1"/>
  <c r="K29" i="1"/>
  <c r="K28" i="1"/>
  <c r="K27" i="1"/>
  <c r="K26" i="1"/>
  <c r="T67" i="1" l="1"/>
  <c r="T65" i="1"/>
  <c r="T64" i="1"/>
  <c r="T63" i="1"/>
  <c r="T62" i="1"/>
  <c r="T61" i="1"/>
  <c r="T60" i="1"/>
  <c r="T59" i="1"/>
  <c r="T58" i="1"/>
  <c r="T57" i="1"/>
  <c r="T56" i="1"/>
  <c r="T46" i="1"/>
  <c r="T45" i="1"/>
  <c r="T40" i="1"/>
  <c r="T39" i="1"/>
  <c r="T38" i="1"/>
  <c r="T37" i="1"/>
  <c r="T36" i="1"/>
  <c r="T35" i="1"/>
  <c r="T27" i="1"/>
  <c r="T26" i="1"/>
  <c r="T25" i="1"/>
  <c r="T24" i="1"/>
  <c r="T20" i="1"/>
  <c r="T32" i="1" l="1"/>
  <c r="T33" i="1"/>
  <c r="T31" i="1"/>
  <c r="T30" i="1"/>
  <c r="T28" i="1"/>
  <c r="BJ23" i="131"/>
  <c r="BJ22" i="131"/>
  <c r="BJ21" i="131"/>
  <c r="T23" i="1"/>
  <c r="T21" i="1"/>
  <c r="T34" i="1"/>
  <c r="T55" i="1"/>
  <c r="T54" i="1"/>
  <c r="T53" i="1"/>
  <c r="T52" i="1"/>
  <c r="T51" i="1"/>
  <c r="T49" i="1"/>
  <c r="T48" i="1"/>
  <c r="T43" i="1"/>
  <c r="T44" i="1"/>
  <c r="T42" i="1"/>
  <c r="T41" i="1"/>
  <c r="K6" i="98" l="1"/>
  <c r="Q13" i="98"/>
  <c r="Q3" i="98"/>
  <c r="U19" i="1" l="1"/>
  <c r="AG3" i="98" l="1" a="1"/>
  <c r="AG3" i="98" s="1"/>
  <c r="AG4" i="98" s="1" a="1"/>
  <c r="AG4" i="98" s="1"/>
  <c r="AG5" i="98" l="1" a="1"/>
  <c r="AG5" i="98" s="1"/>
  <c r="AF5" i="98" s="1"/>
  <c r="AF4" i="98"/>
  <c r="AF3" i="98"/>
  <c r="AG6" i="98" l="1" a="1"/>
  <c r="AG6" i="98" s="1"/>
  <c r="AF6" i="98" l="1"/>
  <c r="AG7" i="98" a="1"/>
  <c r="AG7" i="98" s="1"/>
  <c r="AG8" i="98" l="1" a="1"/>
  <c r="AG8" i="98" s="1"/>
  <c r="AG9" i="98" s="1" a="1"/>
  <c r="AG9" i="98" s="1"/>
  <c r="AF9" i="98" s="1"/>
  <c r="AF7" i="98"/>
  <c r="AF8" i="98" l="1"/>
  <c r="AG10" i="98" a="1"/>
  <c r="AG10" i="98" s="1"/>
  <c r="AG11" i="98" l="1" a="1"/>
  <c r="AG11" i="98" s="1"/>
  <c r="AF11" i="98" s="1"/>
  <c r="AF10" i="98"/>
  <c r="AG12" i="98" l="1" a="1"/>
  <c r="AG12" i="98" s="1"/>
  <c r="AF12" i="98" s="1"/>
  <c r="AG13" i="98" l="1" a="1"/>
  <c r="AG13" i="98" s="1"/>
  <c r="AF13" i="98" s="1"/>
  <c r="AG14" i="98" l="1" a="1"/>
  <c r="AG14" i="98" s="1"/>
  <c r="AF14" i="98" s="1"/>
  <c r="AG15" i="98" l="1" a="1"/>
  <c r="AG15" i="98" s="1"/>
  <c r="AF15" i="98" s="1"/>
  <c r="AG16" i="98" l="1" a="1"/>
  <c r="AG16" i="98" s="1"/>
  <c r="AF16" i="98" s="1"/>
  <c r="AG17" i="98" l="1" a="1"/>
  <c r="AG17" i="98" s="1"/>
  <c r="AF17" i="98" s="1"/>
  <c r="AG18" i="98" l="1" a="1"/>
  <c r="AG18" i="98" s="1"/>
  <c r="AF18" i="98" s="1"/>
  <c r="AG19" i="98" l="1" a="1"/>
  <c r="AG19" i="98" s="1"/>
  <c r="AF19" i="98" s="1"/>
  <c r="AG20" i="98" l="1" a="1"/>
  <c r="AG20" i="98" s="1"/>
  <c r="AF20" i="98" s="1"/>
  <c r="AG21" i="98" l="1" a="1"/>
  <c r="AG21" i="98" s="1"/>
  <c r="AF21" i="98" s="1"/>
  <c r="AG22" i="98" l="1" a="1"/>
  <c r="AG22" i="98" s="1"/>
  <c r="AF22" i="98" s="1"/>
  <c r="AG23" i="98" l="1" a="1"/>
  <c r="AG23" i="98" s="1"/>
  <c r="AF23" i="98" s="1"/>
  <c r="AG24" i="98" l="1" a="1"/>
  <c r="AG24" i="98" s="1"/>
  <c r="AF24" i="98" s="1"/>
  <c r="AG25" i="98" l="1" a="1"/>
  <c r="AG25" i="98" s="1"/>
  <c r="AF25" i="98" s="1"/>
  <c r="AG26" i="98" l="1" a="1"/>
  <c r="AG26" i="98" s="1"/>
  <c r="AF26" i="98" s="1"/>
  <c r="AG27" i="98" l="1" a="1"/>
  <c r="AG27" i="98" s="1"/>
  <c r="AF27" i="98" s="1"/>
  <c r="AG28" i="98" l="1" a="1"/>
  <c r="AG28" i="98" s="1"/>
  <c r="AF28" i="98" s="1"/>
  <c r="AG29" i="98" l="1" a="1"/>
  <c r="AG29" i="98" s="1"/>
  <c r="AF29" i="98" s="1"/>
  <c r="AG30" i="98" l="1" a="1"/>
  <c r="AG30" i="98" s="1"/>
  <c r="AF30" i="98" s="1"/>
  <c r="AG31" i="98" l="1" a="1"/>
  <c r="AG31" i="98" s="1"/>
  <c r="AF31" i="98" s="1"/>
  <c r="AG32" i="98" l="1" a="1"/>
  <c r="AG32" i="98" s="1"/>
  <c r="AF32" i="98" s="1"/>
  <c r="AG33" i="98" l="1" a="1"/>
  <c r="AG33" i="98" s="1"/>
  <c r="AF33" i="98" s="1"/>
  <c r="AG34" i="98" l="1" a="1"/>
  <c r="AG34" i="98" s="1"/>
  <c r="AF34" i="98" s="1"/>
  <c r="AG35" i="98" l="1" a="1"/>
  <c r="AG35" i="98" s="1"/>
  <c r="AF35" i="98" s="1"/>
  <c r="AG36" i="98" l="1" a="1"/>
  <c r="AG36" i="98" s="1"/>
  <c r="AF36" i="98" s="1"/>
  <c r="AG37" i="98" l="1" a="1"/>
  <c r="AG37" i="98" s="1"/>
  <c r="AF37" i="98" s="1"/>
  <c r="AG38" i="98" l="1" a="1"/>
  <c r="AG38" i="98" s="1"/>
  <c r="AF38" i="98" s="1"/>
  <c r="AG39" i="98" l="1" a="1"/>
  <c r="AG39" i="98" s="1"/>
  <c r="AF39" i="98" s="1"/>
  <c r="AG40" i="98" l="1" a="1"/>
  <c r="AG40" i="98" s="1"/>
  <c r="AF40" i="98" s="1"/>
  <c r="AG41" i="98" l="1" a="1"/>
  <c r="AG41" i="98" s="1"/>
  <c r="AF41" i="98" s="1"/>
  <c r="AG42" i="98" l="1" a="1"/>
  <c r="AG42" i="98" s="1"/>
  <c r="AF42" i="98" s="1"/>
  <c r="AG43" i="98" l="1" a="1"/>
  <c r="AG43" i="98" s="1"/>
  <c r="AF43" i="98" s="1"/>
  <c r="AG44" i="98" l="1" a="1"/>
  <c r="AG44" i="98" s="1"/>
  <c r="AF44" i="98" s="1"/>
  <c r="AG45" i="98" l="1" a="1"/>
  <c r="AG45" i="98" s="1"/>
  <c r="AF45" i="98" s="1"/>
  <c r="AG46" i="98" l="1" a="1"/>
  <c r="AG46" i="98" s="1"/>
  <c r="AF46" i="98" s="1"/>
  <c r="AG47" i="98" l="1" a="1"/>
  <c r="AG47" i="98" s="1"/>
  <c r="AF47" i="98" s="1"/>
  <c r="AG48" i="98" l="1" a="1"/>
  <c r="AG48" i="98" s="1"/>
  <c r="AF48" i="98" s="1"/>
  <c r="AG49" i="98" l="1" a="1"/>
  <c r="AG49" i="98" s="1"/>
  <c r="AF49" i="98" s="1"/>
  <c r="AG50" i="98" l="1" a="1"/>
  <c r="AG50" i="98" s="1"/>
  <c r="AF50" i="98" s="1"/>
  <c r="AG51" i="98" l="1" a="1"/>
  <c r="AG51" i="98" s="1"/>
  <c r="AF51" i="98" s="1"/>
  <c r="AG52" i="98" l="1" a="1"/>
  <c r="AG52" i="98" s="1"/>
  <c r="AF52" i="98" s="1"/>
  <c r="AG53" i="98" l="1" a="1"/>
  <c r="AG53" i="98" s="1"/>
  <c r="AF53" i="98" s="1"/>
  <c r="AG54" i="98" l="1" a="1"/>
  <c r="AG54" i="98" s="1"/>
  <c r="AF54" i="98" s="1"/>
  <c r="AG55" i="98" l="1" a="1"/>
  <c r="AG55" i="98" s="1"/>
  <c r="AF55" i="98" s="1"/>
  <c r="AG56" i="98" l="1" a="1"/>
  <c r="AG56" i="98" s="1"/>
  <c r="AF56" i="98" s="1"/>
  <c r="AG57" i="98" l="1" a="1"/>
  <c r="AG57" i="98" s="1"/>
  <c r="AF57" i="98" s="1"/>
  <c r="AG58" i="98" l="1" a="1"/>
  <c r="AG58" i="98" s="1"/>
  <c r="AF58" i="98" s="1"/>
  <c r="AG59" i="98" l="1" a="1"/>
  <c r="AG59" i="98" s="1"/>
  <c r="AF59" i="98" s="1"/>
  <c r="AG60" i="98" l="1" a="1"/>
  <c r="AG60" i="98" s="1"/>
  <c r="AF60" i="98" s="1"/>
  <c r="AG61" i="98" l="1" a="1"/>
  <c r="AG61" i="98" s="1"/>
  <c r="AF61" i="98" s="1"/>
  <c r="AG62" i="98" l="1" a="1"/>
  <c r="AG62" i="98" s="1"/>
  <c r="AF62" i="98" s="1"/>
  <c r="AG63" i="98" l="1" a="1"/>
  <c r="AG63" i="98" s="1"/>
  <c r="AF63" i="98" s="1"/>
  <c r="AG64" i="98" l="1" a="1"/>
  <c r="AG64" i="98" s="1"/>
  <c r="AF64" i="98" s="1"/>
  <c r="AG65" i="98" l="1" a="1"/>
  <c r="AG65" i="98" s="1"/>
  <c r="AF65" i="98" s="1"/>
  <c r="AG66" i="98" l="1" a="1"/>
  <c r="AG66" i="98" s="1"/>
  <c r="AF66" i="98" s="1"/>
  <c r="AG67" i="98" l="1" a="1"/>
  <c r="AG67" i="98" s="1"/>
  <c r="AF67" i="98" s="1"/>
  <c r="AG68" i="98" l="1" a="1"/>
  <c r="AG68" i="98" s="1"/>
  <c r="AF68" i="98" s="1"/>
  <c r="AG69" i="98" l="1" a="1"/>
  <c r="AG69" i="98" s="1"/>
  <c r="AF69" i="98" s="1"/>
  <c r="AG70" i="98" l="1" a="1"/>
  <c r="AG70" i="98" s="1"/>
  <c r="AF70" i="98" s="1"/>
  <c r="AG71" i="98" l="1" a="1"/>
  <c r="AG71" i="98" s="1"/>
  <c r="AF71" i="98" s="1"/>
  <c r="AG72" i="98" l="1" a="1"/>
  <c r="AG72" i="98" s="1"/>
  <c r="AF72" i="98" s="1"/>
  <c r="AG73" i="98" l="1" a="1"/>
  <c r="AG73" i="98" s="1"/>
  <c r="AF73" i="98" s="1"/>
  <c r="AG74" i="98" l="1" a="1"/>
  <c r="AG74" i="98" s="1"/>
  <c r="AF74" i="98" s="1"/>
  <c r="AG75" i="98" l="1" a="1"/>
  <c r="AG75" i="98" s="1"/>
  <c r="AF75" i="98" s="1"/>
  <c r="AG76" i="98" l="1" a="1"/>
  <c r="AG76" i="98" s="1"/>
  <c r="AF76" i="98" s="1"/>
  <c r="AG77" i="98" l="1" a="1"/>
  <c r="AG77" i="98" s="1"/>
  <c r="AF77" i="98" s="1"/>
  <c r="AG78" i="98" l="1" a="1"/>
  <c r="AG78" i="98" s="1"/>
  <c r="AF78" i="98" s="1"/>
  <c r="AG79" i="98" l="1" a="1"/>
  <c r="AG79" i="98" s="1"/>
  <c r="AF79" i="98" s="1"/>
  <c r="AG80" i="98" l="1" a="1"/>
  <c r="AG80" i="98" s="1"/>
  <c r="AF80" i="98" s="1"/>
  <c r="AG81" i="98" l="1" a="1"/>
  <c r="AG81" i="98" s="1"/>
  <c r="AF81" i="98" s="1"/>
  <c r="AG82" i="98" l="1" a="1"/>
  <c r="AG82" i="98" s="1"/>
  <c r="AF82" i="98" s="1"/>
  <c r="AG83" i="98" l="1" a="1"/>
  <c r="AG83" i="98" s="1"/>
  <c r="AF83" i="98" s="1"/>
  <c r="AG84" i="98" l="1" a="1"/>
  <c r="AG84" i="98" s="1"/>
  <c r="AF84" i="98" s="1"/>
  <c r="AG85" i="98" l="1" a="1"/>
  <c r="AG85" i="98" s="1"/>
  <c r="AF85" i="98" s="1"/>
  <c r="AG86" i="98" l="1" a="1"/>
  <c r="AG86" i="98" s="1"/>
  <c r="AF86" i="98" s="1"/>
  <c r="AG87" i="98" l="1" a="1"/>
  <c r="AG87" i="98" s="1"/>
  <c r="AF87" i="98" s="1"/>
  <c r="AG88" i="98" l="1" a="1"/>
  <c r="AG88" i="98" s="1"/>
  <c r="AF88" i="98" s="1"/>
  <c r="AG89" i="98" l="1" a="1"/>
  <c r="AG89" i="98" s="1"/>
  <c r="AF89" i="98" s="1"/>
  <c r="AG90" i="98" l="1" a="1"/>
  <c r="AG90" i="98" s="1"/>
  <c r="AF90" i="98" s="1"/>
  <c r="AG91" i="98" l="1" a="1"/>
  <c r="AG91" i="98" s="1"/>
  <c r="AF91" i="98" s="1"/>
  <c r="AG92" i="98" l="1" a="1"/>
  <c r="AG92" i="98" s="1"/>
  <c r="AF92" i="98" s="1"/>
  <c r="AG93" i="98" l="1" a="1"/>
  <c r="AG93" i="98" s="1"/>
  <c r="AF93" i="98" s="1"/>
  <c r="AG94" i="98" l="1" a="1"/>
  <c r="AG94" i="98" s="1"/>
  <c r="AF94" i="98" s="1"/>
  <c r="AG95" i="98" l="1" a="1"/>
  <c r="AG95" i="98" s="1"/>
  <c r="AF95" i="98" s="1"/>
  <c r="AG96" i="98" l="1" a="1"/>
  <c r="AG96" i="98" s="1"/>
  <c r="AF96" i="98" s="1"/>
  <c r="AG97" i="98" l="1" a="1"/>
  <c r="AG97" i="98" s="1"/>
  <c r="AF97" i="98" s="1"/>
  <c r="AG98" i="98" l="1" a="1"/>
  <c r="AG98" i="98" s="1"/>
  <c r="AF98" i="98" s="1"/>
  <c r="AG99" i="98" l="1" a="1"/>
  <c r="AG99" i="98" s="1"/>
  <c r="AF99" i="98" s="1"/>
  <c r="AG100" i="98" l="1" a="1"/>
  <c r="AG100" i="98" s="1"/>
  <c r="AF100" i="98" s="1"/>
  <c r="AG101" i="98" l="1" a="1"/>
  <c r="AG101" i="98" s="1"/>
  <c r="AF101" i="98" s="1"/>
  <c r="AG102" i="98" l="1" a="1"/>
  <c r="AG102" i="98" s="1"/>
  <c r="AF102" i="98" s="1"/>
  <c r="AG103" i="98" l="1" a="1"/>
  <c r="AG103" i="98" s="1"/>
  <c r="AF103" i="98" s="1"/>
  <c r="AG104" i="98" l="1" a="1"/>
  <c r="AG104" i="98" s="1"/>
  <c r="AF104" i="98" s="1"/>
  <c r="AG105" i="98" l="1" a="1"/>
  <c r="AG105" i="98" s="1"/>
  <c r="AF105" i="98" s="1"/>
  <c r="AG106" i="98" l="1" a="1"/>
  <c r="AG106" i="98" s="1"/>
  <c r="AF106" i="98" s="1"/>
  <c r="AG107" i="98" l="1" a="1"/>
  <c r="AG107" i="98" s="1"/>
  <c r="AF107" i="98" s="1"/>
  <c r="AG108" i="98" l="1" a="1"/>
  <c r="AG108" i="98" s="1"/>
  <c r="AF108" i="98" s="1"/>
  <c r="AG109" i="98" l="1" a="1"/>
  <c r="AG109" i="98" s="1"/>
  <c r="AF109" i="98" s="1"/>
  <c r="AG110" i="98" l="1" a="1"/>
  <c r="AG110" i="98" s="1"/>
  <c r="AF110" i="98" s="1"/>
  <c r="AG111" i="98" l="1" a="1"/>
  <c r="AG111" i="98" s="1"/>
  <c r="AF111" i="98" s="1"/>
  <c r="AG112" i="98" l="1" a="1"/>
  <c r="AG112" i="98" s="1"/>
  <c r="AF112" i="98" s="1"/>
  <c r="AG113" i="98" l="1" a="1"/>
  <c r="AG113" i="98" s="1"/>
  <c r="AF113" i="98" s="1"/>
  <c r="AG114" i="98" l="1" a="1"/>
  <c r="AG114" i="98" s="1"/>
  <c r="AF114" i="98" s="1"/>
  <c r="AG115" i="98" l="1" a="1"/>
  <c r="AG115" i="98" s="1"/>
  <c r="AF115" i="98" s="1"/>
  <c r="AG116" i="98" l="1" a="1"/>
  <c r="AG116" i="98" s="1"/>
  <c r="AF116" i="98" s="1"/>
  <c r="AG117" i="98" l="1" a="1"/>
  <c r="AG117" i="98" s="1"/>
  <c r="AF117" i="98" s="1"/>
  <c r="AG118" i="98" l="1" a="1"/>
  <c r="AG118" i="98" s="1"/>
  <c r="AF118" i="98" s="1"/>
  <c r="AG119" i="98" l="1" a="1"/>
  <c r="AG119" i="98" s="1"/>
  <c r="AF119" i="98" s="1"/>
  <c r="AG120" i="98" l="1" a="1"/>
  <c r="AG120" i="98" s="1"/>
  <c r="AF120" i="98" s="1"/>
  <c r="AG121" i="98" l="1" a="1"/>
  <c r="AG121" i="98" s="1"/>
  <c r="AF121" i="98" s="1"/>
  <c r="AG122" i="98" l="1" a="1"/>
  <c r="AG122" i="98" s="1"/>
  <c r="AF122" i="98" s="1"/>
  <c r="AG123" i="98" l="1" a="1"/>
  <c r="AG123" i="98" s="1"/>
  <c r="AF123" i="98" s="1"/>
  <c r="AG124" i="98" l="1" a="1"/>
  <c r="AG124" i="98" s="1"/>
  <c r="AF124" i="98" s="1"/>
  <c r="AG125" i="98" l="1" a="1"/>
  <c r="AG125" i="98" s="1"/>
  <c r="AF125" i="98" s="1"/>
  <c r="AG126" i="98" l="1" a="1"/>
  <c r="AG126" i="98" s="1"/>
  <c r="AF126" i="98" s="1"/>
  <c r="AG127" i="98" l="1" a="1"/>
  <c r="AG127" i="98" s="1"/>
  <c r="AF127" i="98" s="1"/>
  <c r="AG128" i="98" l="1" a="1"/>
  <c r="AG128" i="98" s="1"/>
  <c r="AF128" i="98" s="1"/>
  <c r="AG129" i="98" l="1" a="1"/>
  <c r="AG129" i="98" s="1"/>
  <c r="AF129" i="98" s="1"/>
  <c r="AG130" i="98" l="1" a="1"/>
  <c r="AG130" i="98" s="1"/>
  <c r="AF130" i="98" s="1"/>
  <c r="AG131" i="98" l="1" a="1"/>
  <c r="AG131" i="98" s="1"/>
  <c r="AF131" i="98" s="1"/>
  <c r="AG132" i="98" l="1" a="1"/>
  <c r="AG132" i="98" s="1"/>
  <c r="AF132" i="98" s="1"/>
  <c r="AG133" i="98" l="1" a="1"/>
  <c r="AG133" i="98" s="1"/>
  <c r="AF133" i="98" s="1"/>
  <c r="AG134" i="98" l="1" a="1"/>
  <c r="AG134" i="98" s="1"/>
  <c r="AF134" i="98" s="1"/>
  <c r="AG135" i="98" l="1" a="1"/>
  <c r="AG135" i="98" s="1"/>
  <c r="AF135" i="98" s="1"/>
  <c r="AG136" i="98" l="1" a="1"/>
  <c r="AG136" i="98" s="1"/>
  <c r="AF136" i="98" s="1"/>
  <c r="AG137" i="98" l="1" a="1"/>
  <c r="AG137" i="98" s="1"/>
  <c r="AF137" i="98" s="1"/>
  <c r="AG138" i="98" l="1" a="1"/>
  <c r="AG138" i="98" s="1"/>
  <c r="AF138" i="98" s="1"/>
  <c r="AG139" i="98" l="1" a="1"/>
  <c r="AG139" i="98" s="1"/>
  <c r="AF139" i="98" s="1"/>
  <c r="AG140" i="98" l="1" a="1"/>
  <c r="AG140" i="98" s="1"/>
  <c r="AF140" i="98" s="1"/>
  <c r="AG141" i="98" l="1" a="1"/>
  <c r="AG141" i="98" s="1"/>
  <c r="AF141" i="98" s="1"/>
  <c r="AG142" i="98" l="1" a="1"/>
  <c r="AG142" i="98" s="1"/>
  <c r="AF142" i="98" s="1"/>
  <c r="AG143" i="98" l="1" a="1"/>
  <c r="AG143" i="98" s="1"/>
  <c r="AF143" i="98" s="1"/>
  <c r="AG144" i="98" l="1" a="1"/>
  <c r="AG144" i="98" s="1"/>
  <c r="AF144" i="98" s="1"/>
  <c r="AG145" i="98" l="1" a="1"/>
  <c r="AG145" i="98" s="1"/>
  <c r="AF145" i="98" s="1"/>
  <c r="AG146" i="98" l="1" a="1"/>
  <c r="AG146" i="98" s="1"/>
  <c r="AF146" i="98" s="1"/>
  <c r="AG147" i="98" l="1" a="1"/>
  <c r="AG147" i="98" s="1"/>
  <c r="AF147" i="98" s="1"/>
  <c r="AG148" i="98" l="1" a="1"/>
  <c r="AG148" i="98" s="1"/>
  <c r="AF148" i="98" s="1"/>
  <c r="AG149" i="98" l="1" a="1"/>
  <c r="AG149" i="98" s="1"/>
  <c r="AF149" i="98" s="1"/>
  <c r="AG150" i="98" l="1" a="1"/>
  <c r="AG150" i="98" s="1"/>
  <c r="AF150" i="98" s="1"/>
  <c r="AG151" i="98" l="1" a="1"/>
  <c r="AG151" i="98" s="1"/>
  <c r="AF151" i="98" s="1"/>
  <c r="AG152" i="98" l="1" a="1"/>
  <c r="AG152" i="98" s="1"/>
  <c r="AF152" i="98" s="1"/>
  <c r="AG153" i="98" l="1" a="1"/>
  <c r="AG153" i="98" s="1"/>
  <c r="AF153" i="98" s="1"/>
  <c r="AG154" i="98" l="1" a="1"/>
  <c r="AG154" i="98" s="1"/>
  <c r="AF154" i="98" s="1"/>
  <c r="AG155" i="98" l="1" a="1"/>
  <c r="AG155" i="98" s="1"/>
  <c r="AF155" i="98" s="1"/>
  <c r="AG156" i="98" l="1" a="1"/>
  <c r="AG156" i="98" s="1"/>
  <c r="AF156" i="98" s="1"/>
  <c r="AG157" i="98" l="1" a="1"/>
  <c r="AG157" i="98" s="1"/>
  <c r="AF157" i="98" s="1"/>
  <c r="AG158" i="98" l="1" a="1"/>
  <c r="AG158" i="98" s="1"/>
  <c r="AF158" i="98" s="1"/>
  <c r="AG159" i="98" l="1" a="1"/>
  <c r="AG159" i="98" s="1"/>
  <c r="AF159" i="98" s="1"/>
  <c r="AG160" i="98" l="1" a="1"/>
  <c r="AG160" i="98" s="1"/>
  <c r="AF160" i="98" s="1"/>
  <c r="AG161" i="98" l="1" a="1"/>
  <c r="AG161" i="98" s="1"/>
  <c r="AF161" i="98" s="1"/>
  <c r="AG162" i="98" l="1" a="1"/>
  <c r="AG162" i="98" s="1"/>
  <c r="AF162" i="98" s="1"/>
  <c r="AG163" i="98" l="1" a="1"/>
  <c r="AG163" i="98" s="1"/>
  <c r="AF163" i="98" s="1"/>
  <c r="AG164" i="98" l="1" a="1"/>
  <c r="AG164" i="98" s="1"/>
  <c r="AF164" i="98" s="1"/>
  <c r="AG165" i="98" l="1" a="1"/>
  <c r="AG165" i="98" s="1"/>
  <c r="AF165" i="98" s="1"/>
  <c r="AG166" i="98" l="1" a="1"/>
  <c r="AG166" i="98" s="1"/>
  <c r="AF166" i="98" s="1"/>
  <c r="AG167" i="98" l="1" a="1"/>
  <c r="AG167" i="98" s="1"/>
  <c r="AF167" i="98" s="1"/>
  <c r="AG168" i="98" l="1" a="1"/>
  <c r="AG168" i="98" s="1"/>
  <c r="AF168" i="98" s="1"/>
  <c r="AG169" i="98" l="1" a="1"/>
  <c r="AG169" i="98" s="1"/>
  <c r="AF169" i="98" s="1"/>
  <c r="AG170" i="98" l="1" a="1"/>
  <c r="AG170" i="98" s="1"/>
  <c r="AF170" i="98" s="1"/>
  <c r="AG171" i="98" l="1" a="1"/>
  <c r="AG171" i="98" s="1"/>
  <c r="AF171" i="98" s="1"/>
  <c r="AG172" i="98" l="1" a="1"/>
  <c r="AG172" i="98" s="1"/>
  <c r="AF172" i="98" s="1"/>
  <c r="AG173" i="98" l="1" a="1"/>
  <c r="AG173" i="98" s="1"/>
  <c r="AF173" i="98" s="1"/>
  <c r="AG174" i="98" l="1" a="1"/>
  <c r="AG174" i="98" s="1"/>
  <c r="AF174" i="98" s="1"/>
  <c r="AG175" i="98" l="1" a="1"/>
  <c r="AG175" i="98" s="1"/>
  <c r="AF175" i="98" s="1"/>
  <c r="AG176" i="98" l="1" a="1"/>
  <c r="AG176" i="98" s="1"/>
  <c r="AF176" i="98" s="1"/>
  <c r="AG177" i="98" l="1" a="1"/>
  <c r="AG177" i="98" s="1"/>
  <c r="AF177" i="98" s="1"/>
  <c r="AG178" i="98" l="1" a="1"/>
  <c r="AG178" i="98" s="1"/>
  <c r="AF178" i="98" s="1"/>
  <c r="AG179" i="98" l="1" a="1"/>
  <c r="AG179" i="98" s="1"/>
  <c r="AF179" i="98" s="1"/>
  <c r="AG180" i="98" l="1" a="1"/>
  <c r="AG180" i="98" s="1"/>
  <c r="AF180" i="98" s="1"/>
  <c r="AG181" i="98" l="1" a="1"/>
  <c r="AG181" i="98" s="1"/>
  <c r="AF181" i="98" s="1"/>
  <c r="AG182" i="98" l="1" a="1"/>
  <c r="AG182" i="98" s="1"/>
  <c r="AF182" i="98" s="1"/>
  <c r="AG183" i="98" l="1" a="1"/>
  <c r="AG183" i="98" s="1"/>
  <c r="AF183" i="98" s="1"/>
  <c r="AG184" i="98" l="1" a="1"/>
  <c r="AG184" i="98" s="1"/>
  <c r="AF184" i="98" s="1"/>
  <c r="AG185" i="98" l="1" a="1"/>
  <c r="AG185" i="98" s="1"/>
  <c r="AF185" i="98" s="1"/>
  <c r="AG186" i="98" l="1" a="1"/>
  <c r="AG186" i="98" s="1"/>
  <c r="AF186" i="98" s="1"/>
  <c r="AG187" i="98" l="1" a="1"/>
  <c r="AG187" i="98" s="1"/>
  <c r="AF187" i="98" s="1"/>
  <c r="AG188" i="98" l="1" a="1"/>
  <c r="AG188" i="98" s="1"/>
  <c r="AF188" i="98" s="1"/>
  <c r="AG189" i="98" l="1" a="1"/>
  <c r="AG189" i="98" s="1"/>
  <c r="AF189" i="98" s="1"/>
  <c r="AG190" i="98" l="1" a="1"/>
  <c r="AG190" i="98" s="1"/>
  <c r="AF190" i="98" s="1"/>
  <c r="AG191" i="98" l="1" a="1"/>
  <c r="AG191" i="98" s="1"/>
  <c r="AF191" i="98" s="1"/>
  <c r="AG192" i="98" l="1" a="1"/>
  <c r="AG192" i="98" s="1"/>
  <c r="AF192" i="98" s="1"/>
  <c r="AG193" i="98" l="1" a="1"/>
  <c r="AG193" i="98" s="1"/>
  <c r="AF193" i="98" s="1"/>
  <c r="AG194" i="98" l="1" a="1"/>
  <c r="AG194" i="98" s="1"/>
  <c r="AF194" i="98" s="1"/>
  <c r="AG195" i="98" l="1" a="1"/>
  <c r="AG195" i="98" s="1"/>
  <c r="AF195" i="98" s="1"/>
  <c r="AG196" i="98" l="1" a="1"/>
  <c r="AG196" i="98" s="1"/>
  <c r="AF196" i="98" s="1"/>
  <c r="AG197" i="98" l="1" a="1"/>
  <c r="AG197" i="98" s="1"/>
  <c r="AF197" i="98" s="1"/>
  <c r="AG198" i="98" l="1" a="1"/>
  <c r="AG198" i="98" s="1"/>
  <c r="AF198" i="98" s="1"/>
  <c r="AG199" i="98" l="1" a="1"/>
  <c r="AG199" i="98" s="1"/>
  <c r="AF199" i="98" s="1"/>
  <c r="AG200" i="98" l="1" a="1"/>
  <c r="AG200" i="98" s="1"/>
  <c r="AF200" i="98" s="1"/>
  <c r="AG201" i="98" l="1" a="1"/>
  <c r="AG201" i="98" s="1"/>
  <c r="AF201" i="98" s="1"/>
  <c r="AG202" i="98" l="1" a="1"/>
  <c r="AG202" i="98" s="1"/>
  <c r="AF202" i="98" s="1"/>
  <c r="AG203" i="98" l="1" a="1"/>
  <c r="AG203" i="98" s="1"/>
  <c r="AF203" i="98" s="1"/>
  <c r="AG204" i="98" l="1" a="1"/>
  <c r="AG204" i="98" s="1"/>
  <c r="AF204" i="98" s="1"/>
  <c r="AG205" i="98" l="1" a="1"/>
  <c r="AG205" i="98" s="1"/>
  <c r="AF205" i="98" s="1"/>
  <c r="AG206" i="98" l="1" a="1"/>
  <c r="AG206" i="98" s="1"/>
  <c r="AF206" i="98" s="1"/>
  <c r="AG207" i="98" l="1" a="1"/>
  <c r="AG207" i="98" s="1"/>
  <c r="AF207" i="98" s="1"/>
  <c r="AG208" i="98" l="1" a="1"/>
  <c r="AG208" i="98" s="1"/>
  <c r="AF208" i="98" s="1"/>
  <c r="AG209" i="98" l="1" a="1"/>
  <c r="AG209" i="98" s="1"/>
  <c r="AF209" i="98" s="1"/>
  <c r="AG210" i="98" l="1" a="1"/>
  <c r="AG210" i="98" s="1"/>
  <c r="AF210" i="98" s="1"/>
  <c r="AG211" i="98" l="1" a="1"/>
  <c r="AG211" i="98" s="1"/>
  <c r="AF211" i="98" s="1"/>
  <c r="AG212" i="98" l="1" a="1"/>
  <c r="AG212" i="98" s="1"/>
  <c r="AF212" i="98" s="1"/>
  <c r="AG213" i="98" l="1" a="1"/>
  <c r="AG213" i="98" s="1"/>
  <c r="AF213" i="98" s="1"/>
  <c r="AG214" i="98" l="1" a="1"/>
  <c r="AG214" i="98" s="1"/>
  <c r="AF214" i="98" s="1"/>
  <c r="AG215" i="98" l="1" a="1"/>
  <c r="AG215" i="98" s="1"/>
  <c r="AF215" i="98" s="1"/>
  <c r="AG216" i="98" l="1" a="1"/>
  <c r="AG216" i="98" s="1"/>
  <c r="AF216" i="98" s="1"/>
  <c r="AG217" i="98" l="1" a="1"/>
  <c r="AG217" i="98" s="1"/>
  <c r="AF217" i="98" s="1"/>
  <c r="AG218" i="98" l="1" a="1"/>
  <c r="AG218" i="98" s="1"/>
  <c r="AF218" i="98" s="1"/>
  <c r="AG219" i="98" l="1" a="1"/>
  <c r="AG219" i="98" s="1"/>
  <c r="AF219" i="98" s="1"/>
  <c r="AG220" i="98" l="1" a="1"/>
  <c r="AG220" i="98" s="1"/>
  <c r="AF220" i="98" s="1"/>
  <c r="AG221" i="98" l="1" a="1"/>
  <c r="AG221" i="98" s="1"/>
  <c r="AF221" i="98" s="1"/>
  <c r="AG222" i="98" l="1" a="1"/>
  <c r="AG222" i="98" s="1"/>
  <c r="AF222" i="98" s="1"/>
  <c r="AG223" i="98" l="1" a="1"/>
  <c r="AG223" i="98" s="1"/>
  <c r="AF223" i="98" s="1"/>
  <c r="AG224" i="98" l="1" a="1"/>
  <c r="AG224" i="98" s="1"/>
  <c r="AF224" i="98" s="1"/>
  <c r="AG225" i="98" l="1" a="1"/>
  <c r="AG225" i="98" s="1"/>
  <c r="AF225" i="98" s="1"/>
  <c r="AG226" i="98" l="1" a="1"/>
  <c r="AG226" i="98" s="1"/>
  <c r="AF226" i="98" s="1"/>
  <c r="AG227" i="98" l="1" a="1"/>
  <c r="AG227" i="98" s="1"/>
  <c r="AF227" i="98" s="1"/>
  <c r="AG228" i="98" l="1" a="1"/>
  <c r="AG228" i="98" s="1"/>
  <c r="AF228" i="98" s="1"/>
  <c r="AG229" i="98" l="1" a="1"/>
  <c r="AG229" i="98" s="1"/>
  <c r="AF229" i="98" s="1"/>
  <c r="AG230" i="98" l="1" a="1"/>
  <c r="AG230" i="98" s="1"/>
  <c r="AF230" i="98" s="1"/>
  <c r="AG231" i="98" l="1" a="1"/>
  <c r="AG231" i="98" s="1"/>
  <c r="AF231" i="98" s="1"/>
  <c r="AG232" i="98" l="1" a="1"/>
  <c r="AG232" i="98" s="1"/>
  <c r="AF232" i="98" s="1"/>
  <c r="AG233" i="98" l="1" a="1"/>
  <c r="AG233" i="98" s="1"/>
  <c r="AF233" i="98" s="1"/>
  <c r="AG234" i="98" l="1" a="1"/>
  <c r="AG234" i="98" s="1"/>
  <c r="AF234" i="98" s="1"/>
  <c r="AG235" i="98" l="1" a="1"/>
  <c r="AG235" i="98" s="1"/>
  <c r="AF235" i="98" s="1"/>
  <c r="AG236" i="98" l="1" a="1"/>
  <c r="AG236" i="98" s="1"/>
  <c r="AF236" i="98" s="1"/>
  <c r="AG237" i="98" l="1" a="1"/>
  <c r="AG237" i="98" s="1"/>
  <c r="AF237" i="98" s="1"/>
  <c r="AG238" i="98" l="1" a="1"/>
  <c r="AG238" i="98" s="1"/>
  <c r="AF238" i="98" s="1"/>
  <c r="AG239" i="98" l="1" a="1"/>
  <c r="AG239" i="98" s="1"/>
  <c r="AF239" i="98" s="1"/>
  <c r="V2" i="98" l="1"/>
  <c r="X2" i="98"/>
  <c r="U2" i="98" l="1"/>
  <c r="X3" i="116" l="1"/>
  <c r="A2" i="1" l="1"/>
  <c r="K17" i="1"/>
  <c r="L17" i="1"/>
  <c r="U3" i="83" a="1"/>
  <c r="U3" i="83" s="1"/>
  <c r="U10" i="98"/>
  <c r="Q12" i="98"/>
  <c r="Q11" i="98"/>
  <c r="Q10" i="98"/>
  <c r="Q9" i="98"/>
  <c r="Q8" i="98"/>
  <c r="Q7" i="98"/>
  <c r="U6" i="98"/>
  <c r="Q6" i="98"/>
  <c r="Q4" i="98"/>
  <c r="Q2" i="98"/>
  <c r="K2" i="98"/>
  <c r="K1" i="98"/>
  <c r="AE3" i="83"/>
  <c r="AF3" i="83" s="1"/>
  <c r="AC3" i="83"/>
  <c r="F12" i="1"/>
  <c r="O1" i="142" l="1"/>
  <c r="D8" i="142" s="1"/>
  <c r="C68" i="1"/>
  <c r="F19" i="1"/>
  <c r="J22" i="1"/>
  <c r="J23" i="1"/>
  <c r="J20" i="1"/>
  <c r="J21" i="1"/>
  <c r="J18" i="1"/>
  <c r="O1" i="136"/>
  <c r="Q2" i="133"/>
  <c r="M12" i="130"/>
  <c r="L1" i="130"/>
  <c r="L1" i="131"/>
  <c r="B1" i="131" s="1"/>
  <c r="N12" i="131"/>
  <c r="M12" i="131"/>
  <c r="N12" i="130"/>
  <c r="D8" i="1"/>
  <c r="D1" i="1"/>
  <c r="D12" i="1"/>
  <c r="U4" i="83" a="1"/>
  <c r="U4" i="83" s="1"/>
  <c r="U5" i="83" s="1" a="1"/>
  <c r="U5" i="83" s="1"/>
  <c r="I13" i="1"/>
  <c r="I14" i="1"/>
  <c r="K76" i="1"/>
  <c r="I6" i="1"/>
  <c r="I8" i="1"/>
  <c r="I7" i="1"/>
  <c r="C69" i="1"/>
  <c r="C19" i="1"/>
  <c r="C17" i="1"/>
  <c r="I4" i="1"/>
  <c r="J17" i="1"/>
  <c r="N16" i="1"/>
  <c r="M16" i="1"/>
  <c r="J16" i="1"/>
  <c r="J19" i="1"/>
  <c r="M1" i="1"/>
  <c r="D10" i="1"/>
  <c r="L16" i="1"/>
  <c r="I9" i="1"/>
  <c r="K16" i="1"/>
  <c r="D6" i="1"/>
  <c r="D4" i="1"/>
  <c r="D7" i="1"/>
  <c r="N32" i="1"/>
  <c r="K23" i="1"/>
  <c r="M32" i="1"/>
  <c r="L32" i="1"/>
  <c r="K32" i="1"/>
  <c r="J32" i="1"/>
  <c r="M23" i="1"/>
  <c r="L23" i="1"/>
  <c r="D3" i="1"/>
  <c r="E19" i="1"/>
  <c r="U18" i="1"/>
  <c r="M4" i="1"/>
  <c r="J9" i="1"/>
  <c r="G19" i="1"/>
  <c r="N23" i="1"/>
  <c r="J10" i="1"/>
  <c r="H19" i="1"/>
  <c r="D5" i="1"/>
  <c r="A3" i="1"/>
  <c r="C76" i="1"/>
  <c r="I5" i="1"/>
  <c r="S3" i="83"/>
  <c r="K4" i="98"/>
  <c r="L4" i="98" s="1"/>
  <c r="D9" i="1"/>
  <c r="J11" i="1"/>
  <c r="I3" i="1"/>
  <c r="E2" i="98"/>
  <c r="F2" i="98"/>
  <c r="D2" i="98"/>
  <c r="R3" i="83"/>
  <c r="T3" i="83"/>
  <c r="D19" i="1"/>
  <c r="L18" i="1"/>
  <c r="D7" i="142" l="1"/>
  <c r="BJ641" i="131" a="1"/>
  <c r="BJ641" i="131" s="1"/>
  <c r="BJ577" i="131" a="1"/>
  <c r="BJ577" i="131" s="1"/>
  <c r="BJ533" i="131" a="1"/>
  <c r="BJ533" i="131" s="1"/>
  <c r="BJ477" i="131" a="1"/>
  <c r="BJ477" i="131" s="1"/>
  <c r="BJ461" i="131" a="1"/>
  <c r="BJ461" i="131" s="1"/>
  <c r="BJ430" i="131" a="1"/>
  <c r="BJ430" i="131" s="1"/>
  <c r="BJ422" i="131" a="1"/>
  <c r="BJ422" i="131" s="1"/>
  <c r="BJ406" i="131" a="1"/>
  <c r="BJ406" i="131" s="1"/>
  <c r="BJ374" i="131" a="1"/>
  <c r="BJ374" i="131" s="1"/>
  <c r="BJ366" i="131" a="1"/>
  <c r="BJ366" i="131" s="1"/>
  <c r="BJ246" i="131" a="1"/>
  <c r="BJ246" i="131" s="1"/>
  <c r="BJ192" i="131" a="1"/>
  <c r="BJ192" i="131" s="1"/>
  <c r="BJ184" i="131" a="1"/>
  <c r="BJ184" i="131" s="1"/>
  <c r="BJ176" i="131" a="1"/>
  <c r="BJ176" i="131" s="1"/>
  <c r="BJ168" i="131" a="1"/>
  <c r="BJ168" i="131" s="1"/>
  <c r="BJ159" i="131" a="1"/>
  <c r="BJ159" i="131" s="1"/>
  <c r="BJ151" i="131" a="1"/>
  <c r="BJ151" i="131" s="1"/>
  <c r="BJ143" i="131" a="1"/>
  <c r="BJ143" i="131" s="1"/>
  <c r="BJ157" i="131" a="1"/>
  <c r="BJ157" i="131" s="1"/>
  <c r="BJ155" i="131" a="1"/>
  <c r="BJ155" i="131" s="1"/>
  <c r="BJ179" i="131" a="1"/>
  <c r="BJ179" i="131" s="1"/>
  <c r="BJ162" i="131" a="1"/>
  <c r="BJ162" i="131" s="1"/>
  <c r="BJ532" i="131" a="1"/>
  <c r="BJ532" i="131" s="1"/>
  <c r="BJ476" i="131" a="1"/>
  <c r="BJ476" i="131" s="1"/>
  <c r="BJ460" i="131" a="1"/>
  <c r="BJ460" i="131" s="1"/>
  <c r="BJ429" i="131" a="1"/>
  <c r="BJ429" i="131" s="1"/>
  <c r="BJ421" i="131" a="1"/>
  <c r="BJ421" i="131" s="1"/>
  <c r="BJ405" i="131" a="1"/>
  <c r="BJ405" i="131" s="1"/>
  <c r="BJ373" i="131" a="1"/>
  <c r="BJ373" i="131" s="1"/>
  <c r="BJ365" i="131" a="1"/>
  <c r="BJ365" i="131" s="1"/>
  <c r="BJ245" i="131" a="1"/>
  <c r="BJ245" i="131" s="1"/>
  <c r="BJ191" i="131" a="1"/>
  <c r="BJ191" i="131" s="1"/>
  <c r="BJ183" i="131" a="1"/>
  <c r="BJ183" i="131" s="1"/>
  <c r="BJ175" i="131" a="1"/>
  <c r="BJ175" i="131" s="1"/>
  <c r="BJ167" i="131" a="1"/>
  <c r="BJ167" i="131" s="1"/>
  <c r="BJ158" i="131" a="1"/>
  <c r="BJ158" i="131" s="1"/>
  <c r="BJ150" i="131" a="1"/>
  <c r="BJ150" i="131" s="1"/>
  <c r="BJ142" i="131" a="1"/>
  <c r="BJ142" i="131" s="1"/>
  <c r="BJ149" i="131" a="1"/>
  <c r="BJ149" i="131" s="1"/>
  <c r="BJ139" i="131" a="1"/>
  <c r="BJ139" i="131" s="1"/>
  <c r="BJ154" i="131" a="1"/>
  <c r="BJ154" i="131" s="1"/>
  <c r="BJ145" i="131" a="1"/>
  <c r="BJ145" i="131" s="1"/>
  <c r="BJ459" i="131" a="1"/>
  <c r="BJ459" i="131" s="1"/>
  <c r="BJ428" i="131" a="1"/>
  <c r="BJ428" i="131" s="1"/>
  <c r="BJ420" i="131" a="1"/>
  <c r="BJ420" i="131" s="1"/>
  <c r="BJ412" i="131" a="1"/>
  <c r="BJ412" i="131" s="1"/>
  <c r="BJ404" i="131" a="1"/>
  <c r="BJ404" i="131" s="1"/>
  <c r="BJ372" i="131" a="1"/>
  <c r="BJ372" i="131" s="1"/>
  <c r="BJ364" i="131" a="1"/>
  <c r="BJ364" i="131" s="1"/>
  <c r="BJ190" i="131" a="1"/>
  <c r="BJ190" i="131" s="1"/>
  <c r="BJ182" i="131" a="1"/>
  <c r="BJ182" i="131" s="1"/>
  <c r="BJ174" i="131" a="1"/>
  <c r="BJ174" i="131" s="1"/>
  <c r="BJ166" i="131" a="1"/>
  <c r="BJ166" i="131" s="1"/>
  <c r="BJ141" i="131" a="1"/>
  <c r="BJ141" i="131" s="1"/>
  <c r="BJ187" i="131" a="1"/>
  <c r="BJ187" i="131" s="1"/>
  <c r="BJ138" i="131" a="1"/>
  <c r="BJ138" i="131" s="1"/>
  <c r="BJ170" i="131" a="1"/>
  <c r="BJ170" i="131" s="1"/>
  <c r="BJ458" i="131" a="1"/>
  <c r="BJ458" i="131" s="1"/>
  <c r="BJ427" i="131" a="1"/>
  <c r="BJ427" i="131" s="1"/>
  <c r="BJ419" i="131" a="1"/>
  <c r="BJ419" i="131" s="1"/>
  <c r="BJ411" i="131" a="1"/>
  <c r="BJ411" i="131" s="1"/>
  <c r="BJ403" i="131" a="1"/>
  <c r="BJ403" i="131" s="1"/>
  <c r="BJ371" i="131" a="1"/>
  <c r="BJ371" i="131" s="1"/>
  <c r="BJ363" i="131" a="1"/>
  <c r="BJ363" i="131" s="1"/>
  <c r="BJ189" i="131" a="1"/>
  <c r="BJ189" i="131" s="1"/>
  <c r="BJ181" i="131" a="1"/>
  <c r="BJ181" i="131" s="1"/>
  <c r="BJ173" i="131" a="1"/>
  <c r="BJ173" i="131" s="1"/>
  <c r="BJ165" i="131" a="1"/>
  <c r="BJ165" i="131" s="1"/>
  <c r="BJ156" i="131" a="1"/>
  <c r="BJ156" i="131" s="1"/>
  <c r="BJ148" i="131" a="1"/>
  <c r="BJ148" i="131" s="1"/>
  <c r="BJ140" i="131" a="1"/>
  <c r="BJ140" i="131" s="1"/>
  <c r="BJ146" i="131" a="1"/>
  <c r="BJ146" i="131" s="1"/>
  <c r="BJ178" i="131" a="1"/>
  <c r="BJ178" i="131" s="1"/>
  <c r="BJ645" i="131" a="1"/>
  <c r="BJ645" i="131" s="1"/>
  <c r="BJ581" i="131" a="1"/>
  <c r="BJ581" i="131" s="1"/>
  <c r="BJ537" i="131" a="1"/>
  <c r="BJ537" i="131" s="1"/>
  <c r="BJ481" i="131" a="1"/>
  <c r="BJ481" i="131" s="1"/>
  <c r="BJ457" i="131" a="1"/>
  <c r="BJ457" i="131" s="1"/>
  <c r="BJ426" i="131" a="1"/>
  <c r="BJ426" i="131" s="1"/>
  <c r="BJ418" i="131" a="1"/>
  <c r="BJ418" i="131" s="1"/>
  <c r="BJ410" i="131" a="1"/>
  <c r="BJ410" i="131" s="1"/>
  <c r="BJ402" i="131" a="1"/>
  <c r="BJ402" i="131" s="1"/>
  <c r="BJ370" i="131" a="1"/>
  <c r="BJ370" i="131" s="1"/>
  <c r="BJ362" i="131" a="1"/>
  <c r="BJ362" i="131" s="1"/>
  <c r="BJ188" i="131" a="1"/>
  <c r="BJ188" i="131" s="1"/>
  <c r="BJ180" i="131" a="1"/>
  <c r="BJ180" i="131" s="1"/>
  <c r="BJ172" i="131" a="1"/>
  <c r="BJ172" i="131" s="1"/>
  <c r="BJ164" i="131" a="1"/>
  <c r="BJ164" i="131" s="1"/>
  <c r="BJ147" i="131" a="1"/>
  <c r="BJ147" i="131" s="1"/>
  <c r="BJ163" i="131" a="1"/>
  <c r="BJ163" i="131" s="1"/>
  <c r="BJ153" i="131" a="1"/>
  <c r="BJ153" i="131" s="1"/>
  <c r="BJ644" i="131" a="1"/>
  <c r="BJ644" i="131" s="1"/>
  <c r="BJ580" i="131" a="1"/>
  <c r="BJ580" i="131" s="1"/>
  <c r="BJ536" i="131" a="1"/>
  <c r="BJ536" i="131" s="1"/>
  <c r="BJ480" i="131" a="1"/>
  <c r="BJ480" i="131" s="1"/>
  <c r="BJ456" i="131" a="1"/>
  <c r="BJ456" i="131" s="1"/>
  <c r="BJ425" i="131" a="1"/>
  <c r="BJ425" i="131" s="1"/>
  <c r="BJ417" i="131" a="1"/>
  <c r="BJ417" i="131" s="1"/>
  <c r="BJ409" i="131" a="1"/>
  <c r="BJ409" i="131" s="1"/>
  <c r="BJ401" i="131" a="1"/>
  <c r="BJ401" i="131" s="1"/>
  <c r="BJ369" i="131" a="1"/>
  <c r="BJ369" i="131" s="1"/>
  <c r="BJ361" i="131" a="1"/>
  <c r="BJ361" i="131" s="1"/>
  <c r="BJ321" i="131" a="1"/>
  <c r="BJ321" i="131" s="1"/>
  <c r="BJ171" i="131" a="1"/>
  <c r="BJ171" i="131" s="1"/>
  <c r="BJ137" i="131" a="1"/>
  <c r="BJ137" i="131" s="1"/>
  <c r="BJ643" i="131" a="1"/>
  <c r="BJ643" i="131" s="1"/>
  <c r="BJ579" i="131" a="1"/>
  <c r="BJ579" i="131" s="1"/>
  <c r="BJ535" i="131" a="1"/>
  <c r="BJ535" i="131" s="1"/>
  <c r="BJ479" i="131" a="1"/>
  <c r="BJ479" i="131" s="1"/>
  <c r="BJ424" i="131" a="1"/>
  <c r="BJ424" i="131" s="1"/>
  <c r="BJ408" i="131" a="1"/>
  <c r="BJ408" i="131" s="1"/>
  <c r="BJ400" i="131" a="1"/>
  <c r="BJ400" i="131" s="1"/>
  <c r="BJ368" i="131" a="1"/>
  <c r="BJ368" i="131" s="1"/>
  <c r="BJ320" i="131" a="1"/>
  <c r="BJ320" i="131" s="1"/>
  <c r="BJ186" i="131" a="1"/>
  <c r="BJ186" i="131" s="1"/>
  <c r="BJ642" i="131" a="1"/>
  <c r="BJ642" i="131" s="1"/>
  <c r="BJ578" i="131" a="1"/>
  <c r="BJ578" i="131" s="1"/>
  <c r="BJ534" i="131" a="1"/>
  <c r="BJ534" i="131" s="1"/>
  <c r="BJ478" i="131" a="1"/>
  <c r="BJ478" i="131" s="1"/>
  <c r="BJ423" i="131" a="1"/>
  <c r="BJ423" i="131" s="1"/>
  <c r="BJ407" i="131" a="1"/>
  <c r="BJ407" i="131" s="1"/>
  <c r="BJ399" i="131" a="1"/>
  <c r="BJ399" i="131" s="1"/>
  <c r="BJ367" i="131" a="1"/>
  <c r="BJ367" i="131" s="1"/>
  <c r="BJ319" i="131" a="1"/>
  <c r="BJ319" i="131" s="1"/>
  <c r="BJ247" i="131" a="1"/>
  <c r="BJ247" i="131" s="1"/>
  <c r="BJ185" i="131" a="1"/>
  <c r="BJ185" i="131" s="1"/>
  <c r="BJ177" i="131" a="1"/>
  <c r="BJ177" i="131" s="1"/>
  <c r="BJ169" i="131" a="1"/>
  <c r="BJ169" i="131" s="1"/>
  <c r="BJ160" i="131" a="1"/>
  <c r="BJ160" i="131" s="1"/>
  <c r="BJ152" i="131" a="1"/>
  <c r="BJ152" i="131" s="1"/>
  <c r="BJ144" i="131" a="1"/>
  <c r="BJ144" i="131" s="1"/>
  <c r="BJ87" i="131"/>
  <c r="BJ63" i="131"/>
  <c r="BJ39" i="131"/>
  <c r="BJ86" i="131"/>
  <c r="BJ38" i="131"/>
  <c r="BJ85" i="131"/>
  <c r="BJ69" i="131"/>
  <c r="BJ20" i="131"/>
  <c r="BJ84" i="131"/>
  <c r="BJ68" i="131"/>
  <c r="BJ83" i="131"/>
  <c r="BJ67" i="131"/>
  <c r="BJ43" i="131"/>
  <c r="BJ41" i="131"/>
  <c r="BJ66" i="131"/>
  <c r="BJ42" i="131"/>
  <c r="BJ89" i="131"/>
  <c r="BJ65" i="131"/>
  <c r="BJ88" i="131"/>
  <c r="BJ64" i="131"/>
  <c r="BJ40" i="131"/>
  <c r="BK477" i="131" a="1"/>
  <c r="BK477" i="131" s="1"/>
  <c r="BK461" i="131" a="1"/>
  <c r="BK461" i="131" s="1"/>
  <c r="BK373" i="131" a="1"/>
  <c r="BK373" i="131" s="1"/>
  <c r="BK365" i="131" a="1"/>
  <c r="BK365" i="131" s="1"/>
  <c r="BK349" i="131" a="1"/>
  <c r="BK349" i="131" s="1"/>
  <c r="BK348" i="131" a="1"/>
  <c r="BK348" i="131" s="1"/>
  <c r="BK347" i="131" a="1"/>
  <c r="BK347" i="131" s="1"/>
  <c r="BK346" i="131" a="1"/>
  <c r="BK346" i="131" s="1"/>
  <c r="BK345" i="131" a="1"/>
  <c r="BK345" i="131" s="1"/>
  <c r="BK344" i="131" a="1"/>
  <c r="BK344" i="131" s="1"/>
  <c r="BK187" i="131" a="1"/>
  <c r="BK187" i="131" s="1"/>
  <c r="BK182" i="131" a="1"/>
  <c r="BK182" i="131" s="1"/>
  <c r="BK180" i="131" a="1"/>
  <c r="BK180" i="131" s="1"/>
  <c r="BK175" i="131" a="1"/>
  <c r="BK175" i="131" s="1"/>
  <c r="BK170" i="131" a="1"/>
  <c r="BK170" i="131" s="1"/>
  <c r="BK165" i="131" a="1"/>
  <c r="BK165" i="131" s="1"/>
  <c r="BK137" i="131" a="1"/>
  <c r="BK137" i="131" s="1"/>
  <c r="BJ136" i="131" a="1"/>
  <c r="BJ136" i="131" s="1"/>
  <c r="BJ135" i="131" a="1"/>
  <c r="BJ135" i="131" s="1"/>
  <c r="BJ134" i="131" a="1"/>
  <c r="BJ134" i="131" s="1"/>
  <c r="BJ133" i="131" a="1"/>
  <c r="BJ133" i="131" s="1"/>
  <c r="BJ132" i="131" a="1"/>
  <c r="BJ132" i="131" s="1"/>
  <c r="BJ131" i="131" a="1"/>
  <c r="BJ131" i="131" s="1"/>
  <c r="BJ130" i="131" a="1"/>
  <c r="BJ130" i="131" s="1"/>
  <c r="BJ129" i="131" a="1"/>
  <c r="BJ129" i="131" s="1"/>
  <c r="BK554" i="131" a="1"/>
  <c r="BK554" i="131" s="1"/>
  <c r="BK478" i="131" a="1"/>
  <c r="BK478" i="131" s="1"/>
  <c r="BK374" i="131" a="1"/>
  <c r="BK374" i="131" s="1"/>
  <c r="BK366" i="131" a="1"/>
  <c r="BK366" i="131" s="1"/>
  <c r="BJ349" i="131" a="1"/>
  <c r="BJ349" i="131" s="1"/>
  <c r="BJ348" i="131" a="1"/>
  <c r="BJ348" i="131" s="1"/>
  <c r="BJ347" i="131" a="1"/>
  <c r="BJ347" i="131" s="1"/>
  <c r="BJ346" i="131" a="1"/>
  <c r="BJ346" i="131" s="1"/>
  <c r="BJ345" i="131" a="1"/>
  <c r="BJ345" i="131" s="1"/>
  <c r="BJ344" i="131" a="1"/>
  <c r="BJ344" i="131" s="1"/>
  <c r="BK245" i="131" a="1"/>
  <c r="BK245" i="131" s="1"/>
  <c r="BK189" i="131" a="1"/>
  <c r="BK189" i="131" s="1"/>
  <c r="BK138" i="131" a="1"/>
  <c r="BK138" i="131" s="1"/>
  <c r="BK83" i="131"/>
  <c r="BK641" i="131" a="1"/>
  <c r="BK641" i="131" s="1"/>
  <c r="BK577" i="131" a="1"/>
  <c r="BK577" i="131" s="1"/>
  <c r="BJ554" i="131" a="1"/>
  <c r="BJ554" i="131" s="1"/>
  <c r="BK479" i="131" a="1"/>
  <c r="BK479" i="131" s="1"/>
  <c r="BK367" i="131" a="1"/>
  <c r="BK367" i="131" s="1"/>
  <c r="BK246" i="131" a="1"/>
  <c r="BK246" i="131" s="1"/>
  <c r="BK184" i="131" a="1"/>
  <c r="BK184" i="131" s="1"/>
  <c r="BK177" i="131" a="1"/>
  <c r="BK177" i="131" s="1"/>
  <c r="BK172" i="131" a="1"/>
  <c r="BK172" i="131" s="1"/>
  <c r="BK167" i="131" a="1"/>
  <c r="BK167" i="131" s="1"/>
  <c r="BK139" i="131" a="1"/>
  <c r="BK139" i="131" s="1"/>
  <c r="BK84" i="131"/>
  <c r="BK642" i="131" a="1"/>
  <c r="BK642" i="131" s="1"/>
  <c r="BK578" i="131" a="1"/>
  <c r="BK578" i="131" s="1"/>
  <c r="BK480" i="131" a="1"/>
  <c r="BK480" i="131" s="1"/>
  <c r="BK456" i="131" a="1"/>
  <c r="BK456" i="131" s="1"/>
  <c r="BK448" i="131" a="1"/>
  <c r="BK448" i="131" s="1"/>
  <c r="BK447" i="131" a="1"/>
  <c r="BK447" i="131" s="1"/>
  <c r="BK446" i="131" a="1"/>
  <c r="BK446" i="131" s="1"/>
  <c r="BK368" i="131" a="1"/>
  <c r="BK368" i="131" s="1"/>
  <c r="BK247" i="131" a="1"/>
  <c r="BK247" i="131" s="1"/>
  <c r="BK191" i="131" a="1"/>
  <c r="BK191" i="131" s="1"/>
  <c r="BK179" i="131" a="1"/>
  <c r="BK179" i="131" s="1"/>
  <c r="BK174" i="131" a="1"/>
  <c r="BK174" i="131" s="1"/>
  <c r="BK85" i="131"/>
  <c r="BK643" i="131" a="1"/>
  <c r="BK643" i="131" s="1"/>
  <c r="BK579" i="131" a="1"/>
  <c r="BK579" i="131" s="1"/>
  <c r="BK481" i="131" a="1"/>
  <c r="BK481" i="131" s="1"/>
  <c r="BK457" i="131" a="1"/>
  <c r="BK457" i="131" s="1"/>
  <c r="BJ448" i="131" a="1"/>
  <c r="BJ448" i="131" s="1"/>
  <c r="BJ447" i="131" a="1"/>
  <c r="BJ447" i="131" s="1"/>
  <c r="BJ446" i="131" a="1"/>
  <c r="BJ446" i="131" s="1"/>
  <c r="BK369" i="131" a="1"/>
  <c r="BK369" i="131" s="1"/>
  <c r="BK361" i="131" a="1"/>
  <c r="BK361" i="131" s="1"/>
  <c r="BK186" i="131" a="1"/>
  <c r="BK186" i="131" s="1"/>
  <c r="BK181" i="131" a="1"/>
  <c r="BK181" i="131" s="1"/>
  <c r="BK169" i="131" a="1"/>
  <c r="BK169" i="131" s="1"/>
  <c r="BK86" i="131"/>
  <c r="BK109" i="130"/>
  <c r="BK108" i="130"/>
  <c r="BK107" i="130"/>
  <c r="BK106" i="130"/>
  <c r="BK105" i="130"/>
  <c r="BK104" i="130"/>
  <c r="BK103" i="130"/>
  <c r="BK102" i="130"/>
  <c r="BK101" i="130"/>
  <c r="BJ105" i="130"/>
  <c r="BJ103" i="130"/>
  <c r="BJ101" i="130"/>
  <c r="BK644" i="131" a="1"/>
  <c r="BK644" i="131" s="1"/>
  <c r="BK580" i="131" a="1"/>
  <c r="BK580" i="131" s="1"/>
  <c r="BK458" i="131" a="1"/>
  <c r="BK458" i="131" s="1"/>
  <c r="BK370" i="131" a="1"/>
  <c r="BK370" i="131" s="1"/>
  <c r="BK362" i="131" a="1"/>
  <c r="BK362" i="131" s="1"/>
  <c r="BK188" i="131" a="1"/>
  <c r="BK188" i="131" s="1"/>
  <c r="BK183" i="131" a="1"/>
  <c r="BK183" i="131" s="1"/>
  <c r="BK176" i="131" a="1"/>
  <c r="BK176" i="131" s="1"/>
  <c r="BK171" i="131" a="1"/>
  <c r="BK171" i="131" s="1"/>
  <c r="BK166" i="131" a="1"/>
  <c r="BK166" i="131" s="1"/>
  <c r="BK127" i="131" a="1"/>
  <c r="BK127" i="131" s="1"/>
  <c r="BK126" i="131" a="1"/>
  <c r="BK126" i="131" s="1"/>
  <c r="BK125" i="131" a="1"/>
  <c r="BK125" i="131" s="1"/>
  <c r="BK87" i="131"/>
  <c r="BJ109" i="130"/>
  <c r="BJ108" i="130"/>
  <c r="BJ107" i="130"/>
  <c r="BJ106" i="130"/>
  <c r="BJ104" i="130"/>
  <c r="BJ102" i="130"/>
  <c r="BK645" i="131" a="1"/>
  <c r="BK645" i="131" s="1"/>
  <c r="BK581" i="131" a="1"/>
  <c r="BK581" i="131" s="1"/>
  <c r="BK459" i="131" a="1"/>
  <c r="BK459" i="131" s="1"/>
  <c r="BK371" i="131" a="1"/>
  <c r="BK371" i="131" s="1"/>
  <c r="BK363" i="131" a="1"/>
  <c r="BK363" i="131" s="1"/>
  <c r="BK342" i="131" a="1"/>
  <c r="BK342" i="131" s="1"/>
  <c r="BK341" i="131" a="1"/>
  <c r="BK341" i="131" s="1"/>
  <c r="BK340" i="131" a="1"/>
  <c r="BK340" i="131" s="1"/>
  <c r="BK339" i="131" a="1"/>
  <c r="BK339" i="131" s="1"/>
  <c r="BK190" i="131" a="1"/>
  <c r="BK190" i="131" s="1"/>
  <c r="BJ127" i="131" a="1"/>
  <c r="BJ127" i="131" s="1"/>
  <c r="BJ126" i="131" a="1"/>
  <c r="BJ126" i="131" s="1"/>
  <c r="BJ125" i="131" a="1"/>
  <c r="BJ125" i="131" s="1"/>
  <c r="BK88" i="131"/>
  <c r="BK20" i="131"/>
  <c r="BK476" i="131" a="1"/>
  <c r="BK476" i="131" s="1"/>
  <c r="BK460" i="131" a="1"/>
  <c r="BK460" i="131" s="1"/>
  <c r="BK372" i="131" a="1"/>
  <c r="BK372" i="131" s="1"/>
  <c r="BK364" i="131" a="1"/>
  <c r="BK364" i="131" s="1"/>
  <c r="BJ342" i="131" a="1"/>
  <c r="BJ342" i="131" s="1"/>
  <c r="BJ341" i="131" a="1"/>
  <c r="BJ341" i="131" s="1"/>
  <c r="BJ340" i="131" a="1"/>
  <c r="BJ340" i="131" s="1"/>
  <c r="BJ339" i="131" a="1"/>
  <c r="BJ339" i="131" s="1"/>
  <c r="BK192" i="131" a="1"/>
  <c r="BK192" i="131" s="1"/>
  <c r="BK185" i="131" a="1"/>
  <c r="BK185" i="131" s="1"/>
  <c r="BK178" i="131" a="1"/>
  <c r="BK178" i="131" s="1"/>
  <c r="BK173" i="131" a="1"/>
  <c r="BK173" i="131" s="1"/>
  <c r="BK168" i="131" a="1"/>
  <c r="BK168" i="131" s="1"/>
  <c r="BK136" i="131" a="1"/>
  <c r="BK136" i="131" s="1"/>
  <c r="BK135" i="131" a="1"/>
  <c r="BK135" i="131" s="1"/>
  <c r="BK134" i="131" a="1"/>
  <c r="BK134" i="131" s="1"/>
  <c r="BK133" i="131" a="1"/>
  <c r="BK133" i="131" s="1"/>
  <c r="BK132" i="131" a="1"/>
  <c r="BK132" i="131" s="1"/>
  <c r="BK131" i="131" a="1"/>
  <c r="BK131" i="131" s="1"/>
  <c r="BK130" i="131" a="1"/>
  <c r="BK130" i="131" s="1"/>
  <c r="BK129" i="131" a="1"/>
  <c r="BK129" i="131" s="1"/>
  <c r="BK89" i="131"/>
  <c r="BJ18" i="130"/>
  <c r="BJ19" i="130"/>
  <c r="BJ22" i="130"/>
  <c r="BJ20" i="130"/>
  <c r="BK553" i="131" a="1"/>
  <c r="BK553" i="131" s="1"/>
  <c r="BK552" i="131" a="1"/>
  <c r="BK552" i="131" s="1"/>
  <c r="BJ553" i="131" a="1"/>
  <c r="BJ553" i="131" s="1"/>
  <c r="BJ552" i="131" a="1"/>
  <c r="BJ552" i="131" s="1"/>
  <c r="AL6" i="141" a="1"/>
  <c r="AL6" i="141" s="1"/>
  <c r="A546" i="131"/>
  <c r="A439" i="131"/>
  <c r="A10" i="131"/>
  <c r="A332" i="131"/>
  <c r="A224" i="131"/>
  <c r="A117" i="131"/>
  <c r="R10" i="141" a="1"/>
  <c r="R10" i="141" s="1"/>
  <c r="S8" i="141" a="1"/>
  <c r="S8" i="141" s="1"/>
  <c r="B4" i="136"/>
  <c r="Z4" i="136"/>
  <c r="M4" i="136"/>
  <c r="K4" i="136"/>
  <c r="Y4" i="136"/>
  <c r="C4" i="136"/>
  <c r="G4" i="136"/>
  <c r="E4" i="136"/>
  <c r="AD4" i="136"/>
  <c r="AK4" i="136"/>
  <c r="P4" i="136"/>
  <c r="AN4" i="136"/>
  <c r="AL4" i="136"/>
  <c r="I4" i="136"/>
  <c r="N4" i="136"/>
  <c r="AE4" i="136"/>
  <c r="H4" i="136"/>
  <c r="AB4" i="136"/>
  <c r="AO4" i="136"/>
  <c r="AF4" i="136"/>
  <c r="AC4" i="136"/>
  <c r="T4" i="136"/>
  <c r="AM4" i="136"/>
  <c r="F4" i="136"/>
  <c r="U4" i="136"/>
  <c r="R4" i="136"/>
  <c r="AH4" i="136"/>
  <c r="V4" i="136"/>
  <c r="S4" i="136"/>
  <c r="J4" i="136"/>
  <c r="D4" i="136"/>
  <c r="C1" i="136"/>
  <c r="AG4" i="136"/>
  <c r="W4" i="136"/>
  <c r="AJ4" i="136"/>
  <c r="X4" i="136"/>
  <c r="L4" i="136"/>
  <c r="B2" i="136"/>
  <c r="AA4" i="136"/>
  <c r="Q4" i="136"/>
  <c r="AI4" i="136"/>
  <c r="O4" i="136"/>
  <c r="F34" i="142"/>
  <c r="AO16" i="142"/>
  <c r="AF16" i="142"/>
  <c r="AN16" i="142"/>
  <c r="AE16" i="142"/>
  <c r="AM16" i="142"/>
  <c r="AL16" i="142"/>
  <c r="AK16" i="142"/>
  <c r="AI16" i="142"/>
  <c r="AG16" i="142"/>
  <c r="AH16" i="142"/>
  <c r="O16" i="142"/>
  <c r="E5" i="142"/>
  <c r="F81" i="142"/>
  <c r="G16" i="142"/>
  <c r="N16" i="142"/>
  <c r="R14" i="142"/>
  <c r="AP16" i="142"/>
  <c r="U16" i="142"/>
  <c r="AP14" i="142"/>
  <c r="AA16" i="142"/>
  <c r="D14" i="142"/>
  <c r="AB16" i="142"/>
  <c r="AR14" i="142"/>
  <c r="T16" i="142"/>
  <c r="AC16" i="142"/>
  <c r="L14" i="142"/>
  <c r="F320" i="142"/>
  <c r="Q16" i="142"/>
  <c r="E3" i="142"/>
  <c r="W16" i="142"/>
  <c r="I16" i="142"/>
  <c r="Y16" i="142"/>
  <c r="F273" i="142"/>
  <c r="H16" i="142"/>
  <c r="H5" i="142"/>
  <c r="AJ14" i="142"/>
  <c r="AQ16" i="142"/>
  <c r="F225" i="142"/>
  <c r="AD14" i="142"/>
  <c r="M16" i="142"/>
  <c r="N3" i="142"/>
  <c r="X14" i="142"/>
  <c r="P16" i="142"/>
  <c r="D225" i="142"/>
  <c r="F14" i="142"/>
  <c r="AQ14" i="142"/>
  <c r="J16" i="142"/>
  <c r="F129" i="142"/>
  <c r="K16" i="142"/>
  <c r="F178" i="142"/>
  <c r="Z16" i="142"/>
  <c r="S16" i="142"/>
  <c r="V16" i="142"/>
  <c r="H3" i="142"/>
  <c r="BC13" i="131"/>
  <c r="AU13" i="131"/>
  <c r="BB13" i="131"/>
  <c r="AT13" i="131"/>
  <c r="BA13" i="131"/>
  <c r="AS13" i="131"/>
  <c r="AZ13" i="131"/>
  <c r="BE13" i="131"/>
  <c r="AY13" i="131"/>
  <c r="AR13" i="131"/>
  <c r="AX13" i="131"/>
  <c r="AW13" i="131"/>
  <c r="BD13" i="131"/>
  <c r="AV13" i="131"/>
  <c r="BA13" i="130"/>
  <c r="BA120" i="130" s="1"/>
  <c r="AS13" i="130"/>
  <c r="AS120" i="130" s="1"/>
  <c r="BD13" i="130"/>
  <c r="BD120" i="130" s="1"/>
  <c r="AZ13" i="130"/>
  <c r="AZ120" i="130" s="1"/>
  <c r="AR13" i="130"/>
  <c r="AR120" i="130" s="1"/>
  <c r="AT13" i="130"/>
  <c r="AT120" i="130" s="1"/>
  <c r="AY13" i="130"/>
  <c r="AY120" i="130" s="1"/>
  <c r="AX13" i="130"/>
  <c r="AX120" i="130" s="1"/>
  <c r="BB13" i="130"/>
  <c r="BB120" i="130" s="1"/>
  <c r="BG13" i="130"/>
  <c r="AW13" i="130"/>
  <c r="AW120" i="130" s="1"/>
  <c r="AV13" i="130"/>
  <c r="AV120" i="130" s="1"/>
  <c r="BE13" i="130"/>
  <c r="BE120" i="130" s="1"/>
  <c r="BC13" i="130"/>
  <c r="BC120" i="130" s="1"/>
  <c r="AU13" i="130"/>
  <c r="AU120" i="130" s="1"/>
  <c r="R39" i="141" a="1"/>
  <c r="R39" i="141" s="1"/>
  <c r="R37" i="141" a="1"/>
  <c r="R37" i="141" s="1"/>
  <c r="R35" i="141" a="1"/>
  <c r="R35" i="141" s="1"/>
  <c r="AL33" i="141" a="1"/>
  <c r="AL33" i="141" s="1"/>
  <c r="AL31" i="141" a="1"/>
  <c r="AL31" i="141" s="1"/>
  <c r="AL27" i="141" a="1"/>
  <c r="AL27" i="141" s="1"/>
  <c r="AL25" i="141" a="1"/>
  <c r="AL25" i="141" s="1"/>
  <c r="AL23" i="141" a="1"/>
  <c r="AL23" i="141" s="1"/>
  <c r="AL21" i="141" a="1"/>
  <c r="AL21" i="141" s="1"/>
  <c r="AL19" i="141" a="1"/>
  <c r="AL19" i="141" s="1"/>
  <c r="AL17" i="141" a="1"/>
  <c r="AL17" i="141" s="1"/>
  <c r="AL15" i="141" a="1"/>
  <c r="AL15" i="141" s="1"/>
  <c r="AL13" i="141" a="1"/>
  <c r="AL13" i="141" s="1"/>
  <c r="AL11" i="141" a="1"/>
  <c r="AL11" i="141" s="1"/>
  <c r="AL9" i="141" a="1"/>
  <c r="AL9" i="141" s="1"/>
  <c r="AO14" i="141" a="1"/>
  <c r="AO14" i="141" s="1"/>
  <c r="AN12" i="141" a="1"/>
  <c r="AN12" i="141" s="1"/>
  <c r="AO11" i="141" a="1"/>
  <c r="AO11" i="141" s="1"/>
  <c r="AO38" i="141" a="1"/>
  <c r="AO38" i="141" s="1"/>
  <c r="AO36" i="141" a="1"/>
  <c r="AO36" i="141" s="1"/>
  <c r="AO34" i="141" a="1"/>
  <c r="AO34" i="141" s="1"/>
  <c r="AO32" i="141" a="1"/>
  <c r="AO32" i="141" s="1"/>
  <c r="AO30" i="141" a="1"/>
  <c r="AO30" i="141" s="1"/>
  <c r="AO26" i="141" a="1"/>
  <c r="AO26" i="141" s="1"/>
  <c r="AO24" i="141" a="1"/>
  <c r="AO24" i="141" s="1"/>
  <c r="AO22" i="141" a="1"/>
  <c r="AO22" i="141" s="1"/>
  <c r="AO20" i="141" a="1"/>
  <c r="AO20" i="141" s="1"/>
  <c r="AO18" i="141" a="1"/>
  <c r="AO18" i="141" s="1"/>
  <c r="AO16" i="141" a="1"/>
  <c r="AO16" i="141" s="1"/>
  <c r="AO10" i="141" a="1"/>
  <c r="AO10" i="141" s="1"/>
  <c r="AN8" i="141" a="1"/>
  <c r="AN8" i="141" s="1"/>
  <c r="AN38" i="141" a="1"/>
  <c r="AN38" i="141" s="1"/>
  <c r="AN36" i="141" a="1"/>
  <c r="AN36" i="141" s="1"/>
  <c r="AN34" i="141" a="1"/>
  <c r="AN34" i="141" s="1"/>
  <c r="AN32" i="141" a="1"/>
  <c r="AN32" i="141" s="1"/>
  <c r="AN30" i="141" a="1"/>
  <c r="AN30" i="141" s="1"/>
  <c r="AN26" i="141" a="1"/>
  <c r="AN26" i="141" s="1"/>
  <c r="AN24" i="141" a="1"/>
  <c r="AN24" i="141" s="1"/>
  <c r="AN22" i="141" a="1"/>
  <c r="AN22" i="141" s="1"/>
  <c r="AN20" i="141" a="1"/>
  <c r="AN20" i="141" s="1"/>
  <c r="AN18" i="141" a="1"/>
  <c r="AN18" i="141" s="1"/>
  <c r="AN16" i="141" a="1"/>
  <c r="AN16" i="141" s="1"/>
  <c r="AN14" i="141" a="1"/>
  <c r="AN14" i="141" s="1"/>
  <c r="AN10" i="141" a="1"/>
  <c r="AN10" i="141" s="1"/>
  <c r="AN11" i="141" a="1"/>
  <c r="AN11" i="141" s="1"/>
  <c r="S38" i="141" a="1"/>
  <c r="S38" i="141" s="1"/>
  <c r="S36" i="141" a="1"/>
  <c r="S36" i="141" s="1"/>
  <c r="S34" i="141" a="1"/>
  <c r="S34" i="141" s="1"/>
  <c r="AM32" i="141" a="1"/>
  <c r="AM32" i="141" s="1"/>
  <c r="AM30" i="141" a="1"/>
  <c r="AM30" i="141" s="1"/>
  <c r="AM26" i="141" a="1"/>
  <c r="AM26" i="141" s="1"/>
  <c r="AM24" i="141" a="1"/>
  <c r="AM24" i="141" s="1"/>
  <c r="AM22" i="141" a="1"/>
  <c r="AM22" i="141" s="1"/>
  <c r="AM20" i="141" a="1"/>
  <c r="AM20" i="141" s="1"/>
  <c r="AM18" i="141" a="1"/>
  <c r="AM18" i="141" s="1"/>
  <c r="AM16" i="141" a="1"/>
  <c r="AM16" i="141" s="1"/>
  <c r="AM14" i="141" a="1"/>
  <c r="AM14" i="141" s="1"/>
  <c r="AM12" i="141" a="1"/>
  <c r="AM12" i="141" s="1"/>
  <c r="AM10" i="141" a="1"/>
  <c r="AM10" i="141" s="1"/>
  <c r="AN9" i="141" a="1"/>
  <c r="AN9" i="141" s="1"/>
  <c r="R38" i="141" a="1"/>
  <c r="R38" i="141" s="1"/>
  <c r="R36" i="141" a="1"/>
  <c r="R36" i="141" s="1"/>
  <c r="R34" i="141" a="1"/>
  <c r="R34" i="141" s="1"/>
  <c r="AL32" i="141" a="1"/>
  <c r="AL32" i="141" s="1"/>
  <c r="AL30" i="141" a="1"/>
  <c r="AL30" i="141" s="1"/>
  <c r="AL26" i="141" a="1"/>
  <c r="AL26" i="141" s="1"/>
  <c r="AL24" i="141" a="1"/>
  <c r="AL24" i="141" s="1"/>
  <c r="AL22" i="141" a="1"/>
  <c r="AL22" i="141" s="1"/>
  <c r="AL20" i="141" a="1"/>
  <c r="AL20" i="141" s="1"/>
  <c r="AL18" i="141" a="1"/>
  <c r="AL18" i="141" s="1"/>
  <c r="AL16" i="141" a="1"/>
  <c r="AL16" i="141" s="1"/>
  <c r="AL14" i="141" a="1"/>
  <c r="AL14" i="141" s="1"/>
  <c r="AL12" i="141" a="1"/>
  <c r="AL12" i="141" s="1"/>
  <c r="AL10" i="141" a="1"/>
  <c r="AL10" i="141" s="1"/>
  <c r="AO39" i="141" a="1"/>
  <c r="AO39" i="141" s="1"/>
  <c r="AO37" i="141" a="1"/>
  <c r="AO37" i="141" s="1"/>
  <c r="AO35" i="141" a="1"/>
  <c r="AO35" i="141" s="1"/>
  <c r="AO33" i="141" a="1"/>
  <c r="AO33" i="141" s="1"/>
  <c r="AO31" i="141" a="1"/>
  <c r="AO31" i="141" s="1"/>
  <c r="AO27" i="141" a="1"/>
  <c r="AO27" i="141" s="1"/>
  <c r="AO25" i="141" a="1"/>
  <c r="AO25" i="141" s="1"/>
  <c r="AO23" i="141" a="1"/>
  <c r="AO23" i="141" s="1"/>
  <c r="AO21" i="141" a="1"/>
  <c r="AO21" i="141" s="1"/>
  <c r="AO19" i="141" a="1"/>
  <c r="AO19" i="141" s="1"/>
  <c r="AO17" i="141" a="1"/>
  <c r="AO17" i="141" s="1"/>
  <c r="AO15" i="141" a="1"/>
  <c r="AO15" i="141" s="1"/>
  <c r="AO13" i="141" a="1"/>
  <c r="AO13" i="141" s="1"/>
  <c r="AO9" i="141" a="1"/>
  <c r="AO9" i="141" s="1"/>
  <c r="AN39" i="141" a="1"/>
  <c r="AN39" i="141" s="1"/>
  <c r="AN37" i="141" a="1"/>
  <c r="AN37" i="141" s="1"/>
  <c r="AN35" i="141" a="1"/>
  <c r="AN35" i="141" s="1"/>
  <c r="AN33" i="141" a="1"/>
  <c r="AN33" i="141" s="1"/>
  <c r="AN31" i="141" a="1"/>
  <c r="AN31" i="141" s="1"/>
  <c r="AN27" i="141" a="1"/>
  <c r="AN27" i="141" s="1"/>
  <c r="AN25" i="141" a="1"/>
  <c r="AN25" i="141" s="1"/>
  <c r="AN23" i="141" a="1"/>
  <c r="AN23" i="141" s="1"/>
  <c r="AN21" i="141" a="1"/>
  <c r="AN21" i="141" s="1"/>
  <c r="AN19" i="141" a="1"/>
  <c r="AN19" i="141" s="1"/>
  <c r="AN17" i="141" a="1"/>
  <c r="AN17" i="141" s="1"/>
  <c r="AN15" i="141" a="1"/>
  <c r="AN15" i="141" s="1"/>
  <c r="AN13" i="141" a="1"/>
  <c r="AN13" i="141" s="1"/>
  <c r="S39" i="141" a="1"/>
  <c r="S39" i="141" s="1"/>
  <c r="S37" i="141" a="1"/>
  <c r="S37" i="141" s="1"/>
  <c r="S35" i="141" a="1"/>
  <c r="S35" i="141" s="1"/>
  <c r="AM33" i="141" a="1"/>
  <c r="AM33" i="141" s="1"/>
  <c r="AM31" i="141" a="1"/>
  <c r="AM31" i="141" s="1"/>
  <c r="AM27" i="141" a="1"/>
  <c r="AM27" i="141" s="1"/>
  <c r="AM25" i="141" a="1"/>
  <c r="AM25" i="141" s="1"/>
  <c r="AM23" i="141" a="1"/>
  <c r="AM23" i="141" s="1"/>
  <c r="AM21" i="141" a="1"/>
  <c r="AM21" i="141" s="1"/>
  <c r="AM19" i="141" a="1"/>
  <c r="AM19" i="141" s="1"/>
  <c r="AM17" i="141" a="1"/>
  <c r="AM17" i="141" s="1"/>
  <c r="AM15" i="141" a="1"/>
  <c r="AM15" i="141" s="1"/>
  <c r="AM13" i="141" a="1"/>
  <c r="AM13" i="141" s="1"/>
  <c r="AM11" i="141" a="1"/>
  <c r="AM11" i="141" s="1"/>
  <c r="AM9" i="141" a="1"/>
  <c r="AM9" i="141" s="1"/>
  <c r="AO12" i="141" a="1"/>
  <c r="AO12" i="141" s="1"/>
  <c r="AO8" i="141" a="1"/>
  <c r="AO8" i="141" s="1"/>
  <c r="AM8" i="141" a="1"/>
  <c r="AM8" i="141" s="1"/>
  <c r="Q32" i="141" a="1"/>
  <c r="Q32" i="141" s="1"/>
  <c r="Q22" i="141" a="1"/>
  <c r="Q22" i="141" s="1"/>
  <c r="P15" i="141" a="1"/>
  <c r="P15" i="141" s="1"/>
  <c r="P23" i="141" a="1"/>
  <c r="P23" i="141" s="1"/>
  <c r="P31" i="141" a="1"/>
  <c r="P31" i="141" s="1"/>
  <c r="P39" i="141" a="1"/>
  <c r="P39" i="141" s="1"/>
  <c r="O43" i="141" a="1"/>
  <c r="O43" i="141" s="1"/>
  <c r="O21" i="141" a="1"/>
  <c r="O21" i="141" s="1"/>
  <c r="O29" i="141" a="1"/>
  <c r="O29" i="141" s="1"/>
  <c r="O37" i="141" a="1"/>
  <c r="O37" i="141" s="1"/>
  <c r="O30" i="141" a="1"/>
  <c r="O30" i="141" s="1"/>
  <c r="O39" i="141" a="1"/>
  <c r="O39" i="141" s="1"/>
  <c r="Q31" i="141" a="1"/>
  <c r="Q31" i="141" s="1"/>
  <c r="Q21" i="141" a="1"/>
  <c r="Q21" i="141" s="1"/>
  <c r="P16" i="141" a="1"/>
  <c r="P16" i="141" s="1"/>
  <c r="P24" i="141" a="1"/>
  <c r="P24" i="141" s="1"/>
  <c r="P32" i="141" a="1"/>
  <c r="P32" i="141" s="1"/>
  <c r="P40" i="141" a="1"/>
  <c r="P40" i="141" s="1"/>
  <c r="O44" i="141" a="1"/>
  <c r="O44" i="141" s="1"/>
  <c r="O38" i="141" a="1"/>
  <c r="O38" i="141" s="1"/>
  <c r="Q30" i="141" a="1"/>
  <c r="Q30" i="141" s="1"/>
  <c r="Q20" i="141" a="1"/>
  <c r="Q20" i="141" s="1"/>
  <c r="P17" i="141" a="1"/>
  <c r="P17" i="141" s="1"/>
  <c r="P25" i="141" a="1"/>
  <c r="P25" i="141" s="1"/>
  <c r="P33" i="141" a="1"/>
  <c r="P33" i="141" s="1"/>
  <c r="P41" i="141" a="1"/>
  <c r="P41" i="141" s="1"/>
  <c r="O15" i="141" a="1"/>
  <c r="O15" i="141" s="1"/>
  <c r="O23" i="141" a="1"/>
  <c r="O23" i="141" s="1"/>
  <c r="Q27" i="141" a="1"/>
  <c r="Q27" i="141" s="1"/>
  <c r="Q19" i="141" a="1"/>
  <c r="Q19" i="141" s="1"/>
  <c r="P18" i="141" a="1"/>
  <c r="P18" i="141" s="1"/>
  <c r="P26" i="141" a="1"/>
  <c r="P26" i="141" s="1"/>
  <c r="P34" i="141" a="1"/>
  <c r="P34" i="141" s="1"/>
  <c r="P42" i="141" a="1"/>
  <c r="P42" i="141" s="1"/>
  <c r="O16" i="141" a="1"/>
  <c r="O16" i="141" s="1"/>
  <c r="O24" i="141" a="1"/>
  <c r="O24" i="141" s="1"/>
  <c r="O40" i="141" a="1"/>
  <c r="O40" i="141" s="1"/>
  <c r="Q26" i="141" a="1"/>
  <c r="Q26" i="141" s="1"/>
  <c r="Q18" i="141" a="1"/>
  <c r="Q18" i="141" s="1"/>
  <c r="P19" i="141" a="1"/>
  <c r="P19" i="141" s="1"/>
  <c r="P27" i="141" a="1"/>
  <c r="P27" i="141" s="1"/>
  <c r="P35" i="141" a="1"/>
  <c r="P35" i="141" s="1"/>
  <c r="P43" i="141" a="1"/>
  <c r="P43" i="141" s="1"/>
  <c r="O17" i="141" a="1"/>
  <c r="O17" i="141" s="1"/>
  <c r="O25" i="141" a="1"/>
  <c r="O25" i="141" s="1"/>
  <c r="O33" i="141" a="1"/>
  <c r="O33" i="141" s="1"/>
  <c r="Q25" i="141" a="1"/>
  <c r="Q25" i="141" s="1"/>
  <c r="Q17" i="141" a="1"/>
  <c r="Q17" i="141" s="1"/>
  <c r="P20" i="141" a="1"/>
  <c r="P20" i="141" s="1"/>
  <c r="P28" i="141" a="1"/>
  <c r="P28" i="141" s="1"/>
  <c r="P36" i="141" a="1"/>
  <c r="P36" i="141" s="1"/>
  <c r="P44" i="141" a="1"/>
  <c r="P44" i="141" s="1"/>
  <c r="O18" i="141" a="1"/>
  <c r="O18" i="141" s="1"/>
  <c r="O26" i="141" a="1"/>
  <c r="O26" i="141" s="1"/>
  <c r="O34" i="141" a="1"/>
  <c r="O34" i="141" s="1"/>
  <c r="Q24" i="141" a="1"/>
  <c r="Q24" i="141" s="1"/>
  <c r="Q16" i="141" a="1"/>
  <c r="Q16" i="141" s="1"/>
  <c r="P21" i="141" a="1"/>
  <c r="P21" i="141" s="1"/>
  <c r="P29" i="141" a="1"/>
  <c r="P29" i="141" s="1"/>
  <c r="P37" i="141" a="1"/>
  <c r="P37" i="141" s="1"/>
  <c r="O41" i="141" a="1"/>
  <c r="O41" i="141" s="1"/>
  <c r="O19" i="141" a="1"/>
  <c r="O19" i="141" s="1"/>
  <c r="O27" i="141" a="1"/>
  <c r="O27" i="141" s="1"/>
  <c r="O35" i="141" a="1"/>
  <c r="O35" i="141" s="1"/>
  <c r="Q23" i="141" a="1"/>
  <c r="Q23" i="141" s="1"/>
  <c r="Q15" i="141" a="1"/>
  <c r="Q15" i="141" s="1"/>
  <c r="P22" i="141" a="1"/>
  <c r="P22" i="141" s="1"/>
  <c r="P30" i="141" a="1"/>
  <c r="P30" i="141" s="1"/>
  <c r="P38" i="141" a="1"/>
  <c r="P38" i="141" s="1"/>
  <c r="O42" i="141" a="1"/>
  <c r="O42" i="141" s="1"/>
  <c r="O20" i="141" a="1"/>
  <c r="O20" i="141" s="1"/>
  <c r="O28" i="141" a="1"/>
  <c r="O28" i="141" s="1"/>
  <c r="O36" i="141" a="1"/>
  <c r="O36" i="141" s="1"/>
  <c r="O22" i="141" a="1"/>
  <c r="O22" i="141" s="1"/>
  <c r="O31" i="141" a="1"/>
  <c r="O31" i="141" s="1"/>
  <c r="O32" i="141" a="1"/>
  <c r="O32" i="141" s="1"/>
  <c r="O12" i="141" a="1"/>
  <c r="O12" i="141" s="1"/>
  <c r="O8" i="141" a="1"/>
  <c r="O8" i="141" s="1"/>
  <c r="AO6" i="141" a="1"/>
  <c r="AO6" i="141" s="1"/>
  <c r="AN5" i="141" a="1"/>
  <c r="AN5" i="141" s="1"/>
  <c r="Q5" i="141" a="1"/>
  <c r="Q5" i="141" s="1"/>
  <c r="P11" i="141" a="1"/>
  <c r="P11" i="141" s="1"/>
  <c r="AO7" i="141" a="1"/>
  <c r="AO7" i="141" s="1"/>
  <c r="AN6" i="141" a="1"/>
  <c r="AN6" i="141" s="1"/>
  <c r="AM5" i="141" a="1"/>
  <c r="AM5" i="141" s="1"/>
  <c r="O11" i="141" a="1"/>
  <c r="O11" i="141" s="1"/>
  <c r="AN7" i="141" a="1"/>
  <c r="AN7" i="141" s="1"/>
  <c r="AM6" i="141" a="1"/>
  <c r="AM6" i="141" s="1"/>
  <c r="O7" i="141" a="1"/>
  <c r="O7" i="141" s="1"/>
  <c r="P14" i="141" a="1"/>
  <c r="P14" i="141" s="1"/>
  <c r="P10" i="141" a="1"/>
  <c r="P10" i="141" s="1"/>
  <c r="AM7" i="141" a="1"/>
  <c r="AM7" i="141" s="1"/>
  <c r="O5" i="141" a="1"/>
  <c r="O5" i="141" s="1"/>
  <c r="O14" i="141" a="1"/>
  <c r="O14" i="141" s="1"/>
  <c r="O10" i="141" a="1"/>
  <c r="O10" i="141" s="1"/>
  <c r="Q6" i="141" a="1"/>
  <c r="Q6" i="141" s="1"/>
  <c r="P5" i="141" a="1"/>
  <c r="P5" i="141" s="1"/>
  <c r="P13" i="141" a="1"/>
  <c r="P13" i="141" s="1"/>
  <c r="P9" i="141" a="1"/>
  <c r="P9" i="141" s="1"/>
  <c r="Q7" i="141" a="1"/>
  <c r="Q7" i="141" s="1"/>
  <c r="P6" i="141" a="1"/>
  <c r="P6" i="141" s="1"/>
  <c r="O13" i="141" a="1"/>
  <c r="O13" i="141" s="1"/>
  <c r="O9" i="141" a="1"/>
  <c r="O9" i="141" s="1"/>
  <c r="P7" i="141" a="1"/>
  <c r="P7" i="141" s="1"/>
  <c r="O6" i="141" a="1"/>
  <c r="O6" i="141" s="1"/>
  <c r="P12" i="141" a="1"/>
  <c r="P12" i="141" s="1"/>
  <c r="P8" i="141" a="1"/>
  <c r="P8" i="141" s="1"/>
  <c r="AO5" i="141" a="1"/>
  <c r="AO5" i="141" s="1"/>
  <c r="BJ16" i="130"/>
  <c r="BJ15" i="130"/>
  <c r="AL8" i="141" a="1"/>
  <c r="AL8" i="141" s="1"/>
  <c r="AK27" i="141" a="1"/>
  <c r="AK27" i="141" s="1"/>
  <c r="T20" i="141" a="1"/>
  <c r="T20" i="141" s="1"/>
  <c r="T22" i="141" a="1"/>
  <c r="T22" i="141" s="1"/>
  <c r="U24" i="141" a="1"/>
  <c r="U24" i="141" s="1"/>
  <c r="V34" i="141" a="1"/>
  <c r="V34" i="141" s="1"/>
  <c r="U33" i="141" a="1"/>
  <c r="U33" i="141" s="1"/>
  <c r="V38" i="141" a="1"/>
  <c r="V38" i="141" s="1"/>
  <c r="U35" i="141" a="1"/>
  <c r="U35" i="141" s="1"/>
  <c r="R30" i="141" a="1"/>
  <c r="R30" i="141" s="1"/>
  <c r="R43" i="141" a="1"/>
  <c r="R43" i="141" s="1"/>
  <c r="AK9" i="141" a="1"/>
  <c r="AK9" i="141" s="1"/>
  <c r="AI15" i="141" a="1"/>
  <c r="AI15" i="141" s="1"/>
  <c r="AJ12" i="141" a="1"/>
  <c r="AJ12" i="141" s="1"/>
  <c r="AI12" i="141" a="1"/>
  <c r="AI12" i="141" s="1"/>
  <c r="AH12" i="141" a="1"/>
  <c r="AH12" i="141" s="1"/>
  <c r="AK19" i="141" a="1"/>
  <c r="AK19" i="141" s="1"/>
  <c r="U7" i="141" a="1"/>
  <c r="U7" i="141" s="1"/>
  <c r="T11" i="141" a="1"/>
  <c r="T11" i="141" s="1"/>
  <c r="R12" i="141" a="1"/>
  <c r="R12" i="141" s="1"/>
  <c r="R13" i="141" a="1"/>
  <c r="R13" i="141" s="1"/>
  <c r="T8" i="141" a="1"/>
  <c r="T8" i="141" s="1"/>
  <c r="S15" i="141" a="1"/>
  <c r="S15" i="141" s="1"/>
  <c r="U17" i="141" a="1"/>
  <c r="U17" i="141" s="1"/>
  <c r="AH32" i="141" a="1"/>
  <c r="AH32" i="141" s="1"/>
  <c r="AI30" i="141" a="1"/>
  <c r="AI30" i="141" s="1"/>
  <c r="AI23" i="141" a="1"/>
  <c r="AI23" i="141" s="1"/>
  <c r="AH23" i="141" a="1"/>
  <c r="AH23" i="141" s="1"/>
  <c r="AI26" i="141" a="1"/>
  <c r="AI26" i="141" s="1"/>
  <c r="AM38" i="141" a="1"/>
  <c r="AM38" i="141" s="1"/>
  <c r="AL35" i="141" a="1"/>
  <c r="AL35" i="141" s="1"/>
  <c r="U23" i="141" a="1"/>
  <c r="U23" i="141" s="1"/>
  <c r="T34" i="141" a="1"/>
  <c r="T34" i="141" s="1"/>
  <c r="AK8" i="141" a="1"/>
  <c r="AK8" i="141" s="1"/>
  <c r="S9" i="141" a="1"/>
  <c r="S9" i="141" s="1"/>
  <c r="AK33" i="141" a="1"/>
  <c r="AK33" i="141" s="1"/>
  <c r="R29" i="141" a="1"/>
  <c r="R29" i="141" s="1"/>
  <c r="AJ27" i="141" a="1"/>
  <c r="AJ27" i="141" s="1"/>
  <c r="R21" i="141" a="1"/>
  <c r="R21" i="141" s="1"/>
  <c r="T23" i="141" a="1"/>
  <c r="T23" i="141" s="1"/>
  <c r="R22" i="141" a="1"/>
  <c r="R22" i="141" s="1"/>
  <c r="T33" i="141" a="1"/>
  <c r="T33" i="141" s="1"/>
  <c r="W39" i="141" a="1"/>
  <c r="W39" i="141" s="1"/>
  <c r="U36" i="141" a="1"/>
  <c r="U36" i="141" s="1"/>
  <c r="T36" i="141" a="1"/>
  <c r="T36" i="141" s="1"/>
  <c r="T31" i="141" a="1"/>
  <c r="T31" i="141" s="1"/>
  <c r="R42" i="141" a="1"/>
  <c r="R42" i="141" s="1"/>
  <c r="AI11" i="141" a="1"/>
  <c r="AI11" i="141" s="1"/>
  <c r="AH14" i="141" a="1"/>
  <c r="AH14" i="141" s="1"/>
  <c r="AH11" i="141" a="1"/>
  <c r="AH11" i="141" s="1"/>
  <c r="AH9" i="141" a="1"/>
  <c r="AH9" i="141" s="1"/>
  <c r="AI8" i="141" a="1"/>
  <c r="AI8" i="141" s="1"/>
  <c r="AJ14" i="141" a="1"/>
  <c r="AJ14" i="141" s="1"/>
  <c r="S5" i="141" a="1"/>
  <c r="S5" i="141" s="1"/>
  <c r="U10" i="141" a="1"/>
  <c r="U10" i="141" s="1"/>
  <c r="T10" i="141" a="1"/>
  <c r="T10" i="141" s="1"/>
  <c r="U12" i="141" a="1"/>
  <c r="U12" i="141" s="1"/>
  <c r="R14" i="141" a="1"/>
  <c r="R14" i="141" s="1"/>
  <c r="T16" i="141" a="1"/>
  <c r="T16" i="141" s="1"/>
  <c r="AK31" i="141" a="1"/>
  <c r="AK31" i="141" s="1"/>
  <c r="AI32" i="141" a="1"/>
  <c r="AI32" i="141" s="1"/>
  <c r="AH26" i="141" a="1"/>
  <c r="AH26" i="141" s="1"/>
  <c r="AJ23" i="141" a="1"/>
  <c r="AJ23" i="141" s="1"/>
  <c r="AK24" i="141" a="1"/>
  <c r="AK24" i="141" s="1"/>
  <c r="AK34" i="141" a="1"/>
  <c r="AK34" i="141" s="1"/>
  <c r="AI33" i="141" a="1"/>
  <c r="AI33" i="141" s="1"/>
  <c r="R26" i="141" a="1"/>
  <c r="R26" i="141" s="1"/>
  <c r="R40" i="141" a="1"/>
  <c r="R40" i="141" s="1"/>
  <c r="S7" i="141" a="1"/>
  <c r="S7" i="141" s="1"/>
  <c r="AK32" i="141" a="1"/>
  <c r="AK32" i="141" s="1"/>
  <c r="AL37" i="141" a="1"/>
  <c r="AL37" i="141" s="1"/>
  <c r="R28" i="141" a="1"/>
  <c r="R28" i="141" s="1"/>
  <c r="R27" i="141" a="1"/>
  <c r="R27" i="141" s="1"/>
  <c r="S20" i="141" a="1"/>
  <c r="S20" i="141" s="1"/>
  <c r="S23" i="141" a="1"/>
  <c r="S23" i="141" s="1"/>
  <c r="R23" i="141" a="1"/>
  <c r="R23" i="141" s="1"/>
  <c r="U25" i="141" a="1"/>
  <c r="U25" i="141" s="1"/>
  <c r="V35" i="141" a="1"/>
  <c r="V35" i="141" s="1"/>
  <c r="U34" i="141" a="1"/>
  <c r="U34" i="141" s="1"/>
  <c r="W35" i="141" a="1"/>
  <c r="W35" i="141" s="1"/>
  <c r="S32" i="141" a="1"/>
  <c r="S32" i="141" s="1"/>
  <c r="R31" i="141" a="1"/>
  <c r="R31" i="141" s="1"/>
  <c r="R44" i="141" a="1"/>
  <c r="R44" i="141" s="1"/>
  <c r="AI9" i="141" a="1"/>
  <c r="AI9" i="141" s="1"/>
  <c r="AI10" i="141" a="1"/>
  <c r="AI10" i="141" s="1"/>
  <c r="AH18" i="141" a="1"/>
  <c r="AH18" i="141" s="1"/>
  <c r="AJ19" i="141" a="1"/>
  <c r="AJ19" i="141" s="1"/>
  <c r="AI14" i="141" a="1"/>
  <c r="AI14" i="141" s="1"/>
  <c r="R7" i="141" a="1"/>
  <c r="R7" i="141" s="1"/>
  <c r="T5" i="141" a="1"/>
  <c r="T5" i="141" s="1"/>
  <c r="R18" i="141" a="1"/>
  <c r="R18" i="141" s="1"/>
  <c r="T14" i="141" a="1"/>
  <c r="T14" i="141" s="1"/>
  <c r="U8" i="141" a="1"/>
  <c r="U8" i="141" s="1"/>
  <c r="S12" i="141" a="1"/>
  <c r="S12" i="141" s="1"/>
  <c r="R9" i="141" a="1"/>
  <c r="R9" i="141" s="1"/>
  <c r="AH30" i="141" a="1"/>
  <c r="AH30" i="141" s="1"/>
  <c r="AI20" i="141" a="1"/>
  <c r="AI20" i="141" s="1"/>
  <c r="AI25" i="141" a="1"/>
  <c r="AI25" i="141" s="1"/>
  <c r="AK25" i="141" a="1"/>
  <c r="AK25" i="141" s="1"/>
  <c r="AJ21" i="141" a="1"/>
  <c r="AJ21" i="141" s="1"/>
  <c r="AM36" i="141" a="1"/>
  <c r="AM36" i="141" s="1"/>
  <c r="AJ34" i="141" a="1"/>
  <c r="AJ34" i="141" s="1"/>
  <c r="AL34" i="141" a="1"/>
  <c r="AL34" i="141" s="1"/>
  <c r="S22" i="141" a="1"/>
  <c r="S22" i="141" s="1"/>
  <c r="AK12" i="141" a="1"/>
  <c r="AK12" i="141" s="1"/>
  <c r="R17" i="141" a="1"/>
  <c r="R17" i="141" s="1"/>
  <c r="AH25" i="141" a="1"/>
  <c r="AH25" i="141" s="1"/>
  <c r="T27" i="141" a="1"/>
  <c r="T27" i="141" s="1"/>
  <c r="U22" i="141" a="1"/>
  <c r="U22" i="141" s="1"/>
  <c r="R25" i="141" a="1"/>
  <c r="R25" i="141" s="1"/>
  <c r="S21" i="141" a="1"/>
  <c r="S21" i="141" s="1"/>
  <c r="U21" i="141" a="1"/>
  <c r="U21" i="141" s="1"/>
  <c r="W34" i="141" a="1"/>
  <c r="W34" i="141" s="1"/>
  <c r="T35" i="141" a="1"/>
  <c r="T35" i="141" s="1"/>
  <c r="S33" i="141" a="1"/>
  <c r="S33" i="141" s="1"/>
  <c r="T32" i="141" a="1"/>
  <c r="T32" i="141" s="1"/>
  <c r="U30" i="141" a="1"/>
  <c r="U30" i="141" s="1"/>
  <c r="AK17" i="141" a="1"/>
  <c r="AK17" i="141" s="1"/>
  <c r="AI19" i="141" a="1"/>
  <c r="AI19" i="141" s="1"/>
  <c r="AH19" i="141" a="1"/>
  <c r="AH19" i="141" s="1"/>
  <c r="AH17" i="141" a="1"/>
  <c r="AH17" i="141" s="1"/>
  <c r="AK15" i="141" a="1"/>
  <c r="AK15" i="141" s="1"/>
  <c r="AH13" i="141" a="1"/>
  <c r="AH13" i="141" s="1"/>
  <c r="U6" i="141" a="1"/>
  <c r="U6" i="141" s="1"/>
  <c r="R6" i="141" a="1"/>
  <c r="R6" i="141" s="1"/>
  <c r="S17" i="141" a="1"/>
  <c r="S17" i="141" s="1"/>
  <c r="R11" i="141" a="1"/>
  <c r="R11" i="141" s="1"/>
  <c r="T17" i="141" a="1"/>
  <c r="T17" i="141" s="1"/>
  <c r="U11" i="141" a="1"/>
  <c r="U11" i="141" s="1"/>
  <c r="R19" i="141" a="1"/>
  <c r="R19" i="141" s="1"/>
  <c r="R8" i="141" a="1"/>
  <c r="R8" i="141" s="1"/>
  <c r="AJ31" i="141" a="1"/>
  <c r="AJ31" i="141" s="1"/>
  <c r="AH21" i="141" a="1"/>
  <c r="AH21" i="141" s="1"/>
  <c r="AJ25" i="141" a="1"/>
  <c r="AJ25" i="141" s="1"/>
  <c r="AH20" i="141" a="1"/>
  <c r="AH20" i="141" s="1"/>
  <c r="AK26" i="141" a="1"/>
  <c r="AK26" i="141" s="1"/>
  <c r="AK39" i="141" a="1"/>
  <c r="AK39" i="141" s="1"/>
  <c r="AH33" i="141" a="1"/>
  <c r="AH33" i="141" s="1"/>
  <c r="AJ33" i="141" a="1"/>
  <c r="AJ33" i="141" s="1"/>
  <c r="T37" i="141" a="1"/>
  <c r="T37" i="141" s="1"/>
  <c r="AK18" i="141" a="1"/>
  <c r="AK18" i="141" s="1"/>
  <c r="T12" i="141" a="1"/>
  <c r="T12" i="141" s="1"/>
  <c r="AJ35" i="141" a="1"/>
  <c r="AJ35" i="141" s="1"/>
  <c r="U27" i="141" a="1"/>
  <c r="U27" i="141" s="1"/>
  <c r="S25" i="141" a="1"/>
  <c r="S25" i="141" s="1"/>
  <c r="S26" i="141" a="1"/>
  <c r="S26" i="141" s="1"/>
  <c r="R20" i="141" a="1"/>
  <c r="R20" i="141" s="1"/>
  <c r="T21" i="141" a="1"/>
  <c r="T21" i="141" s="1"/>
  <c r="V39" i="141" a="1"/>
  <c r="V39" i="141" s="1"/>
  <c r="R33" i="141" a="1"/>
  <c r="R33" i="141" s="1"/>
  <c r="U38" i="141" a="1"/>
  <c r="U38" i="141" s="1"/>
  <c r="R32" i="141" a="1"/>
  <c r="R32" i="141" s="1"/>
  <c r="T30" i="141" a="1"/>
  <c r="T30" i="141" s="1"/>
  <c r="AJ15" i="141" a="1"/>
  <c r="AJ15" i="141" s="1"/>
  <c r="AJ18" i="141" a="1"/>
  <c r="AJ18" i="141" s="1"/>
  <c r="AI18" i="141" a="1"/>
  <c r="AI18" i="141" s="1"/>
  <c r="AI16" i="141" a="1"/>
  <c r="AI16" i="141" s="1"/>
  <c r="AK11" i="141" a="1"/>
  <c r="AK11" i="141" s="1"/>
  <c r="AH16" i="141" a="1"/>
  <c r="AH16" i="141" s="1"/>
  <c r="S6" i="141" a="1"/>
  <c r="S6" i="141" s="1"/>
  <c r="U5" i="141" a="1"/>
  <c r="U5" i="141" s="1"/>
  <c r="R16" i="141" a="1"/>
  <c r="R16" i="141" s="1"/>
  <c r="S10" i="141" a="1"/>
  <c r="S10" i="141" s="1"/>
  <c r="U19" i="141" a="1"/>
  <c r="U19" i="141" s="1"/>
  <c r="T19" i="141" a="1"/>
  <c r="T19" i="141" s="1"/>
  <c r="R15" i="141" a="1"/>
  <c r="R15" i="141" s="1"/>
  <c r="S18" i="141" a="1"/>
  <c r="S18" i="141" s="1"/>
  <c r="AH31" i="141" a="1"/>
  <c r="AH31" i="141" s="1"/>
  <c r="AI22" i="141" a="1"/>
  <c r="AI22" i="141" s="1"/>
  <c r="AH22" i="141" a="1"/>
  <c r="AH22" i="141" s="1"/>
  <c r="AJ26" i="141" a="1"/>
  <c r="AJ26" i="141" s="1"/>
  <c r="AK23" i="141" a="1"/>
  <c r="AK23" i="141" s="1"/>
  <c r="AL38" i="141" a="1"/>
  <c r="AL38" i="141" s="1"/>
  <c r="AK35" i="141" a="1"/>
  <c r="AK35" i="141" s="1"/>
  <c r="AJ36" i="141" a="1"/>
  <c r="AJ36" i="141" s="1"/>
  <c r="S30" i="141" a="1"/>
  <c r="S30" i="141" s="1"/>
  <c r="AK10" i="141" a="1"/>
  <c r="AK10" i="141" s="1"/>
  <c r="AI31" i="141" a="1"/>
  <c r="AI31" i="141" s="1"/>
  <c r="AM37" i="141" a="1"/>
  <c r="AM37" i="141" s="1"/>
  <c r="S27" i="141" a="1"/>
  <c r="S27" i="141" s="1"/>
  <c r="T25" i="141" a="1"/>
  <c r="T25" i="141" s="1"/>
  <c r="T26" i="141" a="1"/>
  <c r="T26" i="141" s="1"/>
  <c r="S24" i="141" a="1"/>
  <c r="S24" i="141" s="1"/>
  <c r="R24" i="141" a="1"/>
  <c r="R24" i="141" s="1"/>
  <c r="U37" i="141" a="1"/>
  <c r="U37" i="141" s="1"/>
  <c r="W36" i="141" a="1"/>
  <c r="W36" i="141" s="1"/>
  <c r="T39" i="141" a="1"/>
  <c r="T39" i="141" s="1"/>
  <c r="U31" i="141" a="1"/>
  <c r="U31" i="141" s="1"/>
  <c r="U32" i="141" a="1"/>
  <c r="U32" i="141" s="1"/>
  <c r="AJ11" i="141" a="1"/>
  <c r="AJ11" i="141" s="1"/>
  <c r="AJ17" i="141" a="1"/>
  <c r="AJ17" i="141" s="1"/>
  <c r="AI17" i="141" a="1"/>
  <c r="AI17" i="141" s="1"/>
  <c r="AH15" i="141" a="1"/>
  <c r="AH15" i="141" s="1"/>
  <c r="AJ13" i="141" a="1"/>
  <c r="AJ13" i="141" s="1"/>
  <c r="AK14" i="141" a="1"/>
  <c r="AK14" i="141" s="1"/>
  <c r="R5" i="141" a="1"/>
  <c r="R5" i="141" s="1"/>
  <c r="T7" i="141" a="1"/>
  <c r="T7" i="141" s="1"/>
  <c r="U14" i="141" a="1"/>
  <c r="U14" i="141" s="1"/>
  <c r="U15" i="141" a="1"/>
  <c r="U15" i="141" s="1"/>
  <c r="T15" i="141" a="1"/>
  <c r="T15" i="141" s="1"/>
  <c r="U18" i="141" a="1"/>
  <c r="U18" i="141" s="1"/>
  <c r="S19" i="141" a="1"/>
  <c r="S19" i="141" s="1"/>
  <c r="U13" i="141" a="1"/>
  <c r="U13" i="141" s="1"/>
  <c r="AK30" i="141" a="1"/>
  <c r="AK30" i="141" s="1"/>
  <c r="AJ24" i="141" a="1"/>
  <c r="AJ24" i="141" s="1"/>
  <c r="AK22" i="141" a="1"/>
  <c r="AK22" i="141" s="1"/>
  <c r="AJ20" i="141" a="1"/>
  <c r="AJ20" i="141" s="1"/>
  <c r="AH24" i="141" a="1"/>
  <c r="AH24" i="141" s="1"/>
  <c r="AK36" i="141" a="1"/>
  <c r="AK36" i="141" s="1"/>
  <c r="AM35" i="141" a="1"/>
  <c r="AM35" i="141" s="1"/>
  <c r="AM34" i="141" a="1"/>
  <c r="AM34" i="141" s="1"/>
  <c r="AJ37" i="141" a="1"/>
  <c r="AJ37" i="141" s="1"/>
  <c r="AK38" i="141" a="1"/>
  <c r="AK38" i="141" s="1"/>
  <c r="AL36" i="141" a="1"/>
  <c r="AL36" i="141" s="1"/>
  <c r="AK37" i="141" a="1"/>
  <c r="AK37" i="141" s="1"/>
  <c r="AH27" i="141" a="1"/>
  <c r="AH27" i="141" s="1"/>
  <c r="V36" i="141" a="1"/>
  <c r="V36" i="141" s="1"/>
  <c r="AJ9" i="141" a="1"/>
  <c r="AJ9" i="141" s="1"/>
  <c r="S11" i="141" a="1"/>
  <c r="S11" i="141" s="1"/>
  <c r="S16" i="141" a="1"/>
  <c r="S16" i="141" s="1"/>
  <c r="AI24" i="141" a="1"/>
  <c r="AI24" i="141" s="1"/>
  <c r="AI27" i="141" a="1"/>
  <c r="AI27" i="141" s="1"/>
  <c r="U26" i="141" a="1"/>
  <c r="U26" i="141" s="1"/>
  <c r="U20" i="141" a="1"/>
  <c r="U20" i="141" s="1"/>
  <c r="T24" i="141" a="1"/>
  <c r="T24" i="141" s="1"/>
  <c r="W37" i="141" a="1"/>
  <c r="W37" i="141" s="1"/>
  <c r="T38" i="141" a="1"/>
  <c r="T38" i="141" s="1"/>
  <c r="U39" i="141" a="1"/>
  <c r="U39" i="141" s="1"/>
  <c r="V37" i="141" a="1"/>
  <c r="V37" i="141" s="1"/>
  <c r="S31" i="141" a="1"/>
  <c r="S31" i="141" s="1"/>
  <c r="R41" i="141" a="1"/>
  <c r="R41" i="141" s="1"/>
  <c r="AJ10" i="141" a="1"/>
  <c r="AJ10" i="141" s="1"/>
  <c r="AK16" i="141" a="1"/>
  <c r="AK16" i="141" s="1"/>
  <c r="AJ16" i="141" a="1"/>
  <c r="AJ16" i="141" s="1"/>
  <c r="AK13" i="141" a="1"/>
  <c r="AK13" i="141" s="1"/>
  <c r="AJ8" i="141" a="1"/>
  <c r="AJ8" i="141" s="1"/>
  <c r="AI13" i="141" a="1"/>
  <c r="AI13" i="141" s="1"/>
  <c r="T6" i="141" a="1"/>
  <c r="T6" i="141" s="1"/>
  <c r="T13" i="141" a="1"/>
  <c r="T13" i="141" s="1"/>
  <c r="S13" i="141" a="1"/>
  <c r="S13" i="141" s="1"/>
  <c r="S14" i="141" a="1"/>
  <c r="S14" i="141" s="1"/>
  <c r="T9" i="141" a="1"/>
  <c r="T9" i="141" s="1"/>
  <c r="U16" i="141" a="1"/>
  <c r="U16" i="141" s="1"/>
  <c r="T18" i="141" a="1"/>
  <c r="T18" i="141" s="1"/>
  <c r="AJ32" i="141" a="1"/>
  <c r="AJ32" i="141" s="1"/>
  <c r="AJ30" i="141" a="1"/>
  <c r="AJ30" i="141" s="1"/>
  <c r="AJ22" i="141" a="1"/>
  <c r="AJ22" i="141" s="1"/>
  <c r="AK20" i="141" a="1"/>
  <c r="AK20" i="141" s="1"/>
  <c r="AI21" i="141" a="1"/>
  <c r="AI21" i="141" s="1"/>
  <c r="AM39" i="141" a="1"/>
  <c r="AM39" i="141" s="1"/>
  <c r="AL39" i="141" a="1"/>
  <c r="AL39" i="141" s="1"/>
  <c r="AJ39" i="141" a="1"/>
  <c r="AJ39" i="141" s="1"/>
  <c r="AJ38" i="141" a="1"/>
  <c r="AJ38" i="141" s="1"/>
  <c r="W38" i="141" a="1"/>
  <c r="W38" i="141" s="1"/>
  <c r="AH10" i="141" a="1"/>
  <c r="AH10" i="141" s="1"/>
  <c r="U9" i="141" a="1"/>
  <c r="U9" i="141" s="1"/>
  <c r="AK21" i="141" a="1"/>
  <c r="AK21" i="141" s="1"/>
  <c r="AL29" i="141" a="1"/>
  <c r="AL29" i="141" s="1"/>
  <c r="Q29" i="141" a="1"/>
  <c r="Q29" i="141" s="1"/>
  <c r="T28" i="141" a="1"/>
  <c r="T28" i="141" s="1"/>
  <c r="AL44" i="141" a="1"/>
  <c r="AL44" i="141" s="1"/>
  <c r="AM43" i="141" a="1"/>
  <c r="AM43" i="141" s="1"/>
  <c r="AM44" i="141" a="1"/>
  <c r="AM44" i="141" s="1"/>
  <c r="Q40" i="141" a="1"/>
  <c r="Q40" i="141" s="1"/>
  <c r="AJ42" i="141" a="1"/>
  <c r="AJ42" i="141" s="1"/>
  <c r="U40" i="141" a="1"/>
  <c r="U40" i="141" s="1"/>
  <c r="U42" i="141" a="1"/>
  <c r="U42" i="141" s="1"/>
  <c r="Q35" i="141" a="1"/>
  <c r="Q35" i="141" s="1"/>
  <c r="AM40" i="141" a="1"/>
  <c r="AM40" i="141" s="1"/>
  <c r="Q14" i="141" a="1"/>
  <c r="Q14" i="141" s="1"/>
  <c r="AO28" i="141" a="1"/>
  <c r="AO28" i="141" s="1"/>
  <c r="Q28" i="141" a="1"/>
  <c r="Q28" i="141" s="1"/>
  <c r="AI28" i="141" a="1"/>
  <c r="AI28" i="141" s="1"/>
  <c r="AL42" i="141" a="1"/>
  <c r="AL42" i="141" s="1"/>
  <c r="AM41" i="141" a="1"/>
  <c r="AM41" i="141" s="1"/>
  <c r="AM42" i="141" a="1"/>
  <c r="AM42" i="141" s="1"/>
  <c r="U41" i="141" a="1"/>
  <c r="U41" i="141" s="1"/>
  <c r="AK40" i="141" a="1"/>
  <c r="AK40" i="141" s="1"/>
  <c r="AI44" i="141" a="1"/>
  <c r="AI44" i="141" s="1"/>
  <c r="T40" i="141" a="1"/>
  <c r="T40" i="141" s="1"/>
  <c r="Q34" i="141" a="1"/>
  <c r="Q34" i="141" s="1"/>
  <c r="T44" i="141" a="1"/>
  <c r="T44" i="141" s="1"/>
  <c r="AM29" i="141" a="1"/>
  <c r="AM29" i="141" s="1"/>
  <c r="S28" i="141" a="1"/>
  <c r="S28" i="141" s="1"/>
  <c r="AN28" i="141" a="1"/>
  <c r="AN28" i="141" s="1"/>
  <c r="U28" i="141" a="1"/>
  <c r="U28" i="141" s="1"/>
  <c r="U29" i="141" a="1"/>
  <c r="U29" i="141" s="1"/>
  <c r="AO43" i="141" a="1"/>
  <c r="AO43" i="141" s="1"/>
  <c r="AL41" i="141" a="1"/>
  <c r="AL41" i="141" s="1"/>
  <c r="AN42" i="141" a="1"/>
  <c r="AN42" i="141" s="1"/>
  <c r="AJ44" i="141" a="1"/>
  <c r="AJ44" i="141" s="1"/>
  <c r="AK44" i="141" a="1"/>
  <c r="AK44" i="141" s="1"/>
  <c r="S41" i="141" a="1"/>
  <c r="S41" i="141" s="1"/>
  <c r="U43" i="141" a="1"/>
  <c r="U43" i="141" s="1"/>
  <c r="Q36" i="141" a="1"/>
  <c r="Q36" i="141" s="1"/>
  <c r="BK338" i="131" a="1"/>
  <c r="BK338" i="131" s="1"/>
  <c r="Q13" i="141" a="1"/>
  <c r="Q13" i="141" s="1"/>
  <c r="S40" i="141" a="1"/>
  <c r="S40" i="141" s="1"/>
  <c r="AN29" i="141" a="1"/>
  <c r="AN29" i="141" s="1"/>
  <c r="AH29" i="141" a="1"/>
  <c r="AH29" i="141" s="1"/>
  <c r="AJ28" i="141" a="1"/>
  <c r="AJ28" i="141" s="1"/>
  <c r="AO41" i="141" a="1"/>
  <c r="AO41" i="141" s="1"/>
  <c r="AO44" i="141" a="1"/>
  <c r="AO44" i="141" s="1"/>
  <c r="Q44" i="141" a="1"/>
  <c r="Q44" i="141" s="1"/>
  <c r="AJ43" i="141" a="1"/>
  <c r="AJ43" i="141" s="1"/>
  <c r="AI41" i="141" a="1"/>
  <c r="AI41" i="141" s="1"/>
  <c r="S44" i="141" a="1"/>
  <c r="S44" i="141" s="1"/>
  <c r="AK41" i="141" a="1"/>
  <c r="AK41" i="141" s="1"/>
  <c r="Q39" i="141" a="1"/>
  <c r="Q39" i="141" s="1"/>
  <c r="BJ338" i="131" a="1"/>
  <c r="BJ338" i="131" s="1"/>
  <c r="Q9" i="141" a="1"/>
  <c r="Q9" i="141" s="1"/>
  <c r="Q8" i="141" a="1"/>
  <c r="Q8" i="141" s="1"/>
  <c r="AM28" i="141" a="1"/>
  <c r="AM28" i="141" s="1"/>
  <c r="AK28" i="141" a="1"/>
  <c r="AK28" i="141" s="1"/>
  <c r="S29" i="141" a="1"/>
  <c r="S29" i="141" s="1"/>
  <c r="AN43" i="141" a="1"/>
  <c r="AN43" i="141" s="1"/>
  <c r="AO40" i="141" a="1"/>
  <c r="AO40" i="141" s="1"/>
  <c r="Q43" i="141" a="1"/>
  <c r="Q43" i="141" s="1"/>
  <c r="T43" i="141" a="1"/>
  <c r="T43" i="141" s="1"/>
  <c r="S43" i="141" a="1"/>
  <c r="S43" i="141" s="1"/>
  <c r="AJ41" i="141" a="1"/>
  <c r="AJ41" i="141" s="1"/>
  <c r="AK43" i="141" a="1"/>
  <c r="AK43" i="141" s="1"/>
  <c r="Q38" i="141" a="1"/>
  <c r="Q38" i="141" s="1"/>
  <c r="BK337" i="131" a="1"/>
  <c r="BK337" i="131" s="1"/>
  <c r="AI42" i="141" a="1"/>
  <c r="AI42" i="141" s="1"/>
  <c r="AL28" i="141" a="1"/>
  <c r="AL28" i="141" s="1"/>
  <c r="T29" i="141" a="1"/>
  <c r="T29" i="141" s="1"/>
  <c r="AI29" i="141" a="1"/>
  <c r="AI29" i="141" s="1"/>
  <c r="AN41" i="141" a="1"/>
  <c r="AN41" i="141" s="1"/>
  <c r="AN44" i="141" a="1"/>
  <c r="AN44" i="141" s="1"/>
  <c r="Q42" i="141" a="1"/>
  <c r="Q42" i="141" s="1"/>
  <c r="AI43" i="141" a="1"/>
  <c r="AI43" i="141" s="1"/>
  <c r="U44" i="141" a="1"/>
  <c r="U44" i="141" s="1"/>
  <c r="S42" i="141" a="1"/>
  <c r="S42" i="141" s="1"/>
  <c r="AK42" i="141" a="1"/>
  <c r="AK42" i="141" s="1"/>
  <c r="Q37" i="141" a="1"/>
  <c r="Q37" i="141" s="1"/>
  <c r="Q12" i="141" a="1"/>
  <c r="Q12" i="141" s="1"/>
  <c r="Q33" i="141" a="1"/>
  <c r="Q33" i="141" s="1"/>
  <c r="AK29" i="141" a="1"/>
  <c r="AK29" i="141" s="1"/>
  <c r="AL43" i="141" a="1"/>
  <c r="AL43" i="141" s="1"/>
  <c r="T41" i="141" a="1"/>
  <c r="T41" i="141" s="1"/>
  <c r="AO29" i="141" a="1"/>
  <c r="AO29" i="141" s="1"/>
  <c r="AJ29" i="141" a="1"/>
  <c r="AJ29" i="141" s="1"/>
  <c r="AH28" i="141" a="1"/>
  <c r="AH28" i="141" s="1"/>
  <c r="AN40" i="141" a="1"/>
  <c r="AN40" i="141" s="1"/>
  <c r="AO42" i="141" a="1"/>
  <c r="AO42" i="141" s="1"/>
  <c r="Q41" i="141" a="1"/>
  <c r="Q41" i="141" s="1"/>
  <c r="AJ40" i="141" a="1"/>
  <c r="AJ40" i="141" s="1"/>
  <c r="T42" i="141" a="1"/>
  <c r="T42" i="141" s="1"/>
  <c r="AI40" i="141" a="1"/>
  <c r="AI40" i="141" s="1"/>
  <c r="Q11" i="141" a="1"/>
  <c r="Q11" i="141" s="1"/>
  <c r="Q10" i="141" a="1"/>
  <c r="Q10" i="141" s="1"/>
  <c r="AL40" i="141" a="1"/>
  <c r="AL40" i="141" s="1"/>
  <c r="BJ337" i="131" a="1"/>
  <c r="BJ337" i="131" s="1"/>
  <c r="BJ203" i="131" a="1"/>
  <c r="BJ203" i="131" s="1"/>
  <c r="BJ161" i="131" a="1"/>
  <c r="BJ161" i="131" s="1"/>
  <c r="BJ327" i="131" a="1"/>
  <c r="BJ327" i="131" s="1"/>
  <c r="BJ233" i="131" a="1"/>
  <c r="BJ233" i="131" s="1"/>
  <c r="BJ24" i="131"/>
  <c r="BJ37" i="131"/>
  <c r="BJ26" i="130"/>
  <c r="BJ17" i="130"/>
  <c r="BJ21" i="130"/>
  <c r="BJ25" i="130"/>
  <c r="BJ27" i="130"/>
  <c r="BK450" i="131" a="1"/>
  <c r="BK450" i="131" s="1"/>
  <c r="BK128" i="131" a="1"/>
  <c r="BK128" i="131" s="1"/>
  <c r="BJ450" i="131" a="1"/>
  <c r="BJ450" i="131" s="1"/>
  <c r="BJ128" i="131" a="1"/>
  <c r="BJ128" i="131" s="1"/>
  <c r="BK562" i="131" a="1"/>
  <c r="BK562" i="131" s="1"/>
  <c r="BK112" i="130"/>
  <c r="BK343" i="131" a="1"/>
  <c r="BK343" i="131" s="1"/>
  <c r="BJ112" i="130"/>
  <c r="BK111" i="130"/>
  <c r="BJ343" i="131" a="1"/>
  <c r="BJ343" i="131" s="1"/>
  <c r="BJ111" i="130"/>
  <c r="BK233" i="131" a="1"/>
  <c r="BK233" i="131" s="1"/>
  <c r="BK24" i="131"/>
  <c r="BJ562" i="131" a="1"/>
  <c r="BJ562" i="131" s="1"/>
  <c r="B1" i="130"/>
  <c r="A10" i="130"/>
  <c r="BJ14" i="130"/>
  <c r="BJ62" i="130"/>
  <c r="BK123" i="131" a="1"/>
  <c r="BK123" i="131" s="1"/>
  <c r="BJ100" i="130"/>
  <c r="BJ123" i="131" a="1"/>
  <c r="BJ123" i="131" s="1"/>
  <c r="BK122" i="131" a="1"/>
  <c r="BK122" i="131" s="1"/>
  <c r="BJ122" i="131" a="1"/>
  <c r="BJ122" i="131" s="1"/>
  <c r="BK100" i="130"/>
  <c r="BJ113" i="130"/>
  <c r="BK113" i="130" a="1"/>
  <c r="BK113" i="130" s="1"/>
  <c r="BJ551" i="131" a="1"/>
  <c r="BJ551" i="131" s="1"/>
  <c r="BJ443" i="131" a="1"/>
  <c r="BJ443" i="131" s="1"/>
  <c r="BK18" i="131"/>
  <c r="BK124" i="131" a="1"/>
  <c r="BK124" i="131" s="1"/>
  <c r="BK550" i="131" a="1"/>
  <c r="BK550" i="131" s="1"/>
  <c r="BJ336" i="131" a="1"/>
  <c r="BJ336" i="131" s="1"/>
  <c r="BJ19" i="131"/>
  <c r="BJ550" i="131" a="1"/>
  <c r="BJ550" i="131" s="1"/>
  <c r="BK336" i="131" a="1"/>
  <c r="BK336" i="131" s="1"/>
  <c r="BK230" i="131" a="1"/>
  <c r="BK230" i="131" s="1"/>
  <c r="BK17" i="131"/>
  <c r="BK445" i="131" a="1"/>
  <c r="BK445" i="131" s="1"/>
  <c r="BJ230" i="131" a="1"/>
  <c r="BJ230" i="131" s="1"/>
  <c r="BJ124" i="131" a="1"/>
  <c r="BJ124" i="131" s="1"/>
  <c r="BJ445" i="131" a="1"/>
  <c r="BJ445" i="131" s="1"/>
  <c r="BK229" i="131" a="1"/>
  <c r="BK229" i="131" s="1"/>
  <c r="BK19" i="131"/>
  <c r="BK444" i="131" a="1"/>
  <c r="BK444" i="131" s="1"/>
  <c r="BJ229" i="131" a="1"/>
  <c r="BJ229" i="131" s="1"/>
  <c r="BJ16" i="131"/>
  <c r="BJ444" i="131" a="1"/>
  <c r="BJ444" i="131" s="1"/>
  <c r="BJ17" i="131"/>
  <c r="BJ18" i="131"/>
  <c r="BK551" i="131" a="1"/>
  <c r="BK551" i="131" s="1"/>
  <c r="BK443" i="131" a="1"/>
  <c r="BK443" i="131" s="1"/>
  <c r="BK16" i="131"/>
  <c r="Q3" i="133"/>
  <c r="R2" i="133" s="1"/>
  <c r="BK327" i="131" a="1"/>
  <c r="BK327" i="131" s="1"/>
  <c r="BK15" i="131"/>
  <c r="BJ15" i="131"/>
  <c r="BK14" i="131"/>
  <c r="BJ14" i="131"/>
  <c r="BJ65" i="130"/>
  <c r="BK64" i="130"/>
  <c r="BK65" i="130"/>
  <c r="BJ64" i="130"/>
  <c r="O2" i="98"/>
  <c r="W2" i="98" s="1"/>
  <c r="O18" i="98"/>
  <c r="O19" i="98"/>
  <c r="N19" i="98" s="1"/>
  <c r="O20" i="98"/>
  <c r="N20" i="98" s="1"/>
  <c r="O21" i="98"/>
  <c r="O22" i="98"/>
  <c r="O23" i="98"/>
  <c r="O24" i="98"/>
  <c r="O25" i="98"/>
  <c r="W154" i="130"/>
  <c r="BP154" i="130" s="1"/>
  <c r="W148" i="130"/>
  <c r="BP148" i="130" s="1"/>
  <c r="W163" i="130"/>
  <c r="BP163" i="130" s="1"/>
  <c r="W166" i="130"/>
  <c r="BP166" i="130" s="1"/>
  <c r="W155" i="130"/>
  <c r="BP155" i="130" s="1"/>
  <c r="W142" i="130"/>
  <c r="BP142" i="130" s="1"/>
  <c r="W157" i="130"/>
  <c r="BP157" i="130" s="1"/>
  <c r="W159" i="130"/>
  <c r="BP159" i="130" s="1"/>
  <c r="W125" i="130"/>
  <c r="BP125" i="130" s="1"/>
  <c r="W124" i="130"/>
  <c r="BP124" i="130" s="1"/>
  <c r="W160" i="130"/>
  <c r="BP160" i="130" s="1"/>
  <c r="W147" i="130"/>
  <c r="BP147" i="130" s="1"/>
  <c r="W158" i="130"/>
  <c r="BP158" i="130" s="1"/>
  <c r="W123" i="130"/>
  <c r="BP123" i="130" s="1"/>
  <c r="W170" i="130"/>
  <c r="BP170" i="130" s="1"/>
  <c r="W131" i="130"/>
  <c r="BP131" i="130" s="1"/>
  <c r="W165" i="130"/>
  <c r="BP165" i="130" s="1"/>
  <c r="W139" i="130"/>
  <c r="BP139" i="130" s="1"/>
  <c r="W129" i="130"/>
  <c r="BP129" i="130" s="1"/>
  <c r="W169" i="130"/>
  <c r="BP169" i="130" s="1"/>
  <c r="W146" i="130"/>
  <c r="BP146" i="130" s="1"/>
  <c r="W153" i="130"/>
  <c r="BP153" i="130" s="1"/>
  <c r="W135" i="130"/>
  <c r="BP135" i="130" s="1"/>
  <c r="W132" i="130"/>
  <c r="BP132" i="130" s="1"/>
  <c r="W141" i="130"/>
  <c r="BP141" i="130" s="1"/>
  <c r="W161" i="130"/>
  <c r="BP161" i="130" s="1"/>
  <c r="W126" i="130"/>
  <c r="BP126" i="130" s="1"/>
  <c r="W151" i="130"/>
  <c r="BP151" i="130" s="1"/>
  <c r="W122" i="130"/>
  <c r="BP122" i="130" s="1"/>
  <c r="W150" i="130"/>
  <c r="BP150" i="130" s="1"/>
  <c r="W128" i="130"/>
  <c r="BP128" i="130" s="1"/>
  <c r="W167" i="130"/>
  <c r="BP167" i="130" s="1"/>
  <c r="W145" i="130"/>
  <c r="BP145" i="130" s="1"/>
  <c r="W144" i="130"/>
  <c r="BP144" i="130" s="1"/>
  <c r="W156" i="130"/>
  <c r="BP156" i="130" s="1"/>
  <c r="W130" i="130"/>
  <c r="BP130" i="130" s="1"/>
  <c r="W134" i="130"/>
  <c r="BP134" i="130" s="1"/>
  <c r="W149" i="130"/>
  <c r="BP149" i="130" s="1"/>
  <c r="W136" i="130"/>
  <c r="BP136" i="130" s="1"/>
  <c r="W138" i="130"/>
  <c r="BP138" i="130" s="1"/>
  <c r="W164" i="130"/>
  <c r="BP164" i="130" s="1"/>
  <c r="W162" i="130"/>
  <c r="BP162" i="130" s="1"/>
  <c r="W121" i="130"/>
  <c r="BP121" i="130" s="1"/>
  <c r="W137" i="130"/>
  <c r="BP137" i="130" s="1"/>
  <c r="W133" i="130"/>
  <c r="BP133" i="130" s="1"/>
  <c r="W143" i="130"/>
  <c r="BP143" i="130" s="1"/>
  <c r="W140" i="130"/>
  <c r="BP140" i="130" s="1"/>
  <c r="W168" i="130"/>
  <c r="BP168" i="130" s="1"/>
  <c r="W152" i="130"/>
  <c r="BP152" i="130" s="1"/>
  <c r="W127" i="130"/>
  <c r="BP127" i="130" s="1"/>
  <c r="AK163" i="130"/>
  <c r="BR163" i="130" s="1"/>
  <c r="AK166" i="130"/>
  <c r="BR166" i="130" s="1"/>
  <c r="AK157" i="130"/>
  <c r="BR157" i="130" s="1"/>
  <c r="AK154" i="130"/>
  <c r="BR154" i="130" s="1"/>
  <c r="AK131" i="130"/>
  <c r="BR131" i="130" s="1"/>
  <c r="AK155" i="130"/>
  <c r="BR155" i="130" s="1"/>
  <c r="AK123" i="130"/>
  <c r="BR123" i="130" s="1"/>
  <c r="AK165" i="130"/>
  <c r="BR165" i="130" s="1"/>
  <c r="AK147" i="130"/>
  <c r="BR147" i="130" s="1"/>
  <c r="AK142" i="130"/>
  <c r="BR142" i="130" s="1"/>
  <c r="AK159" i="130"/>
  <c r="BR159" i="130" s="1"/>
  <c r="AK160" i="130"/>
  <c r="BR160" i="130" s="1"/>
  <c r="AK158" i="130"/>
  <c r="BR158" i="130" s="1"/>
  <c r="AK124" i="130"/>
  <c r="BR124" i="130" s="1"/>
  <c r="AK169" i="130"/>
  <c r="BR169" i="130" s="1"/>
  <c r="AK170" i="130"/>
  <c r="BR170" i="130" s="1"/>
  <c r="AK125" i="130"/>
  <c r="BR125" i="130" s="1"/>
  <c r="AK148" i="130"/>
  <c r="BR148" i="130" s="1"/>
  <c r="AK139" i="130"/>
  <c r="BR139" i="130" s="1"/>
  <c r="AK146" i="130"/>
  <c r="BR146" i="130" s="1"/>
  <c r="AK129" i="130"/>
  <c r="BR129" i="130" s="1"/>
  <c r="AK161" i="130"/>
  <c r="BR161" i="130" s="1"/>
  <c r="AK135" i="130"/>
  <c r="BR135" i="130" s="1"/>
  <c r="AK128" i="130"/>
  <c r="BR128" i="130" s="1"/>
  <c r="AK130" i="130"/>
  <c r="BR130" i="130" s="1"/>
  <c r="AK167" i="130"/>
  <c r="BR167" i="130" s="1"/>
  <c r="AK134" i="130"/>
  <c r="BR134" i="130" s="1"/>
  <c r="AK144" i="130"/>
  <c r="BR144" i="130" s="1"/>
  <c r="AK137" i="130"/>
  <c r="BR137" i="130" s="1"/>
  <c r="AK138" i="130"/>
  <c r="BR138" i="130" s="1"/>
  <c r="AK126" i="130"/>
  <c r="BR126" i="130" s="1"/>
  <c r="AK151" i="130"/>
  <c r="BR151" i="130" s="1"/>
  <c r="AK162" i="130"/>
  <c r="BR162" i="130" s="1"/>
  <c r="AK150" i="130"/>
  <c r="BR150" i="130" s="1"/>
  <c r="AK168" i="130"/>
  <c r="BR168" i="130" s="1"/>
  <c r="AK122" i="130"/>
  <c r="BR122" i="130" s="1"/>
  <c r="AK156" i="130"/>
  <c r="BR156" i="130" s="1"/>
  <c r="AK141" i="130"/>
  <c r="BR141" i="130" s="1"/>
  <c r="AK164" i="130"/>
  <c r="BR164" i="130" s="1"/>
  <c r="AK140" i="130"/>
  <c r="BR140" i="130" s="1"/>
  <c r="AK127" i="130"/>
  <c r="BR127" i="130" s="1"/>
  <c r="AK149" i="130"/>
  <c r="BR149" i="130" s="1"/>
  <c r="AK133" i="130"/>
  <c r="BR133" i="130" s="1"/>
  <c r="AK132" i="130"/>
  <c r="BR132" i="130" s="1"/>
  <c r="AK145" i="130"/>
  <c r="BR145" i="130" s="1"/>
  <c r="AK121" i="130"/>
  <c r="BR121" i="130" s="1"/>
  <c r="AK152" i="130"/>
  <c r="BR152" i="130" s="1"/>
  <c r="AK153" i="130"/>
  <c r="BR153" i="130" s="1"/>
  <c r="AK136" i="130"/>
  <c r="BR136" i="130" s="1"/>
  <c r="AK143" i="130"/>
  <c r="BR143" i="130" s="1"/>
  <c r="AD125" i="130"/>
  <c r="BQ125" i="130" s="1"/>
  <c r="AD154" i="130"/>
  <c r="BQ154" i="130" s="1"/>
  <c r="AD124" i="130"/>
  <c r="BQ124" i="130" s="1"/>
  <c r="AD146" i="130"/>
  <c r="BQ146" i="130" s="1"/>
  <c r="AD147" i="130"/>
  <c r="BQ147" i="130" s="1"/>
  <c r="AD131" i="130"/>
  <c r="BQ131" i="130" s="1"/>
  <c r="AD123" i="130"/>
  <c r="BQ123" i="130" s="1"/>
  <c r="AD139" i="130"/>
  <c r="BQ139" i="130" s="1"/>
  <c r="AD157" i="130"/>
  <c r="BQ157" i="130" s="1"/>
  <c r="AD163" i="130"/>
  <c r="BQ163" i="130" s="1"/>
  <c r="AD160" i="130"/>
  <c r="BQ160" i="130" s="1"/>
  <c r="AD158" i="130"/>
  <c r="BQ158" i="130" s="1"/>
  <c r="AD142" i="130"/>
  <c r="BQ142" i="130" s="1"/>
  <c r="AD148" i="130"/>
  <c r="BQ148" i="130" s="1"/>
  <c r="AD166" i="130"/>
  <c r="BQ166" i="130" s="1"/>
  <c r="AD155" i="130"/>
  <c r="BQ155" i="130" s="1"/>
  <c r="AD169" i="130"/>
  <c r="BQ169" i="130" s="1"/>
  <c r="AD170" i="130"/>
  <c r="BQ170" i="130" s="1"/>
  <c r="AD159" i="130"/>
  <c r="BQ159" i="130" s="1"/>
  <c r="AD165" i="130"/>
  <c r="BQ165" i="130" s="1"/>
  <c r="AD129" i="130"/>
  <c r="BQ129" i="130" s="1"/>
  <c r="AD135" i="130"/>
  <c r="BQ135" i="130" s="1"/>
  <c r="AD132" i="130"/>
  <c r="BQ132" i="130" s="1"/>
  <c r="AD149" i="130"/>
  <c r="BQ149" i="130" s="1"/>
  <c r="AD126" i="130"/>
  <c r="BQ126" i="130" s="1"/>
  <c r="AD167" i="130"/>
  <c r="BQ167" i="130" s="1"/>
  <c r="AD161" i="130"/>
  <c r="BQ161" i="130" s="1"/>
  <c r="AD151" i="130"/>
  <c r="BQ151" i="130" s="1"/>
  <c r="AD145" i="130"/>
  <c r="BQ145" i="130" s="1"/>
  <c r="AD141" i="130"/>
  <c r="BQ141" i="130" s="1"/>
  <c r="AD122" i="130"/>
  <c r="BQ122" i="130" s="1"/>
  <c r="AD136" i="130"/>
  <c r="BQ136" i="130" s="1"/>
  <c r="AD134" i="130"/>
  <c r="BQ134" i="130" s="1"/>
  <c r="AD162" i="130"/>
  <c r="BQ162" i="130" s="1"/>
  <c r="AD164" i="130"/>
  <c r="BQ164" i="130" s="1"/>
  <c r="AD150" i="130"/>
  <c r="BQ150" i="130" s="1"/>
  <c r="AD143" i="130"/>
  <c r="BQ143" i="130" s="1"/>
  <c r="AD137" i="130"/>
  <c r="BQ137" i="130" s="1"/>
  <c r="AD128" i="130"/>
  <c r="BQ128" i="130" s="1"/>
  <c r="AD130" i="130"/>
  <c r="BQ130" i="130" s="1"/>
  <c r="AD153" i="130"/>
  <c r="BQ153" i="130" s="1"/>
  <c r="AD168" i="130"/>
  <c r="BQ168" i="130" s="1"/>
  <c r="AD144" i="130"/>
  <c r="BQ144" i="130" s="1"/>
  <c r="AD121" i="130"/>
  <c r="BQ121" i="130" s="1"/>
  <c r="AD152" i="130"/>
  <c r="BQ152" i="130" s="1"/>
  <c r="AD127" i="130"/>
  <c r="BQ127" i="130" s="1"/>
  <c r="AD140" i="130"/>
  <c r="BQ140" i="130" s="1"/>
  <c r="AD133" i="130"/>
  <c r="BQ133" i="130" s="1"/>
  <c r="AD156" i="130"/>
  <c r="BQ156" i="130" s="1"/>
  <c r="AD138" i="130"/>
  <c r="BQ138" i="130" s="1"/>
  <c r="N119" i="130"/>
  <c r="M119" i="131"/>
  <c r="M334" i="131" s="1"/>
  <c r="M226" i="131"/>
  <c r="N226" i="131"/>
  <c r="N119" i="131"/>
  <c r="N334" i="131" s="1"/>
  <c r="AL13" i="131"/>
  <c r="AK13" i="131"/>
  <c r="AA13" i="131"/>
  <c r="Q13" i="131"/>
  <c r="E12" i="131"/>
  <c r="AJ13" i="131"/>
  <c r="Z13" i="131"/>
  <c r="A12" i="131"/>
  <c r="G3" i="131"/>
  <c r="BG13" i="131"/>
  <c r="AI13" i="131"/>
  <c r="Y13" i="131"/>
  <c r="BJ12" i="131"/>
  <c r="BF13" i="131"/>
  <c r="AH13" i="131"/>
  <c r="W13" i="131"/>
  <c r="BH12" i="131"/>
  <c r="B3" i="131"/>
  <c r="AQ13" i="131"/>
  <c r="AG13" i="131"/>
  <c r="U13" i="131"/>
  <c r="O12" i="131"/>
  <c r="AP13" i="131"/>
  <c r="AE13" i="131"/>
  <c r="T13" i="131"/>
  <c r="G5" i="131"/>
  <c r="AO13" i="131"/>
  <c r="AC13" i="131"/>
  <c r="S13" i="131"/>
  <c r="AM13" i="131"/>
  <c r="AB13" i="131"/>
  <c r="R13" i="131"/>
  <c r="I12" i="131"/>
  <c r="B5" i="131"/>
  <c r="BI12" i="131"/>
  <c r="L12" i="131"/>
  <c r="P13" i="131"/>
  <c r="BF12" i="131"/>
  <c r="X13" i="131"/>
  <c r="V13" i="131"/>
  <c r="AF13" i="131"/>
  <c r="AD13" i="131"/>
  <c r="AN13" i="131"/>
  <c r="BJ228" i="131" a="1"/>
  <c r="BJ228" i="131" s="1"/>
  <c r="BJ63" i="130"/>
  <c r="BK121" i="131" a="1"/>
  <c r="BK121" i="131" s="1"/>
  <c r="BJ121" i="131" a="1"/>
  <c r="BJ121" i="131" s="1"/>
  <c r="BK228" i="131" a="1"/>
  <c r="BK228" i="131" s="1"/>
  <c r="BK63" i="130"/>
  <c r="AO13" i="130"/>
  <c r="AD13" i="130"/>
  <c r="AL13" i="130"/>
  <c r="BF13" i="130"/>
  <c r="AI13" i="130"/>
  <c r="BF12" i="130"/>
  <c r="A117" i="130"/>
  <c r="BL13" i="130"/>
  <c r="B3" i="130"/>
  <c r="T13" i="130"/>
  <c r="U13" i="130"/>
  <c r="L12" i="130"/>
  <c r="S13" i="130"/>
  <c r="BI12" i="130"/>
  <c r="AH13" i="130"/>
  <c r="O12" i="130"/>
  <c r="AE13" i="130"/>
  <c r="G3" i="130"/>
  <c r="B5" i="130"/>
  <c r="AA13" i="130"/>
  <c r="G5" i="130"/>
  <c r="AC13" i="130"/>
  <c r="P13" i="130"/>
  <c r="AG13" i="130"/>
  <c r="W13" i="130"/>
  <c r="AQ13" i="130"/>
  <c r="A12" i="130"/>
  <c r="I12" i="130"/>
  <c r="AK13" i="130"/>
  <c r="R13" i="130"/>
  <c r="AM13" i="130"/>
  <c r="Q13" i="130"/>
  <c r="X13" i="130"/>
  <c r="BH12" i="130"/>
  <c r="E12" i="130"/>
  <c r="Z13" i="130"/>
  <c r="AB13" i="130"/>
  <c r="Y13" i="130"/>
  <c r="AF13" i="130"/>
  <c r="V13" i="130"/>
  <c r="BJ12" i="130"/>
  <c r="AJ13" i="130"/>
  <c r="AN13" i="130"/>
  <c r="AP13" i="130"/>
  <c r="M119" i="130"/>
  <c r="U6" i="83" a="1"/>
  <c r="U6" i="83" s="1"/>
  <c r="T5" i="83"/>
  <c r="S5" i="83"/>
  <c r="R5" i="83"/>
  <c r="S4" i="83"/>
  <c r="T4" i="83"/>
  <c r="R4" i="83"/>
  <c r="V18" i="1"/>
  <c r="M17" i="1"/>
  <c r="O16" i="98"/>
  <c r="O8" i="98"/>
  <c r="N8" i="98" s="1"/>
  <c r="Z118" i="131" s="1"/>
  <c r="O7" i="98"/>
  <c r="N7" i="98" s="1"/>
  <c r="Y118" i="131" s="1"/>
  <c r="O3" i="98"/>
  <c r="N3" i="98" s="1"/>
  <c r="O5" i="98"/>
  <c r="N5" i="98" s="1"/>
  <c r="T118" i="131" s="1"/>
  <c r="T225" i="131" s="1"/>
  <c r="T333" i="131" s="1"/>
  <c r="T440" i="131" s="1"/>
  <c r="T547" i="131" s="1"/>
  <c r="O9" i="98"/>
  <c r="O6" i="98"/>
  <c r="O11" i="98"/>
  <c r="N11" i="98" s="1"/>
  <c r="AF118" i="131" s="1"/>
  <c r="O10" i="98"/>
  <c r="O15" i="98"/>
  <c r="O13" i="98"/>
  <c r="O14" i="98"/>
  <c r="N14" i="98" s="1"/>
  <c r="AL118" i="131" s="1"/>
  <c r="O17" i="98"/>
  <c r="V17" i="98" s="1"/>
  <c r="O12" i="98"/>
  <c r="N12" i="98" s="1"/>
  <c r="AG118" i="131" s="1"/>
  <c r="O4" i="98"/>
  <c r="N4" i="98" s="1"/>
  <c r="S118" i="131" s="1"/>
  <c r="S225" i="131" s="1"/>
  <c r="S333" i="131" s="1"/>
  <c r="S440" i="131" s="1"/>
  <c r="S547" i="131" s="1"/>
  <c r="AL7" i="141" l="1" a="1"/>
  <c r="AL7" i="141" s="1"/>
  <c r="AL5" i="141" a="1"/>
  <c r="AL5" i="141" s="1"/>
  <c r="Z322" i="142"/>
  <c r="Z180" i="142"/>
  <c r="Z83" i="142"/>
  <c r="Z275" i="142"/>
  <c r="Z131" i="142"/>
  <c r="Z227" i="142"/>
  <c r="Z36" i="142"/>
  <c r="P227" i="142"/>
  <c r="P180" i="142"/>
  <c r="P131" i="142"/>
  <c r="P83" i="142"/>
  <c r="P36" i="142"/>
  <c r="P322" i="142"/>
  <c r="P275" i="142"/>
  <c r="D178" i="142"/>
  <c r="D129" i="142"/>
  <c r="D81" i="142"/>
  <c r="D34" i="142"/>
  <c r="R81" i="142"/>
  <c r="AJ81" i="142" s="1"/>
  <c r="L81" i="142"/>
  <c r="AD81" i="142" s="1"/>
  <c r="X81" i="142"/>
  <c r="AM180" i="142"/>
  <c r="AM83" i="142"/>
  <c r="AM322" i="142"/>
  <c r="AM227" i="142"/>
  <c r="AM275" i="142"/>
  <c r="AM36" i="142"/>
  <c r="AM131" i="142"/>
  <c r="R178" i="142"/>
  <c r="AJ178" i="142" s="1"/>
  <c r="L178" i="142"/>
  <c r="AD178" i="142" s="1"/>
  <c r="X178" i="142"/>
  <c r="Q131" i="142"/>
  <c r="Q83" i="142"/>
  <c r="Q36" i="142"/>
  <c r="Q322" i="142"/>
  <c r="Q275" i="142"/>
  <c r="Q227" i="142"/>
  <c r="Q180" i="142"/>
  <c r="AA227" i="142"/>
  <c r="AA180" i="142"/>
  <c r="AA131" i="142"/>
  <c r="AA83" i="142"/>
  <c r="AA36" i="142"/>
  <c r="AA322" i="142"/>
  <c r="AA275" i="142"/>
  <c r="AE322" i="142"/>
  <c r="AE227" i="142"/>
  <c r="AE275" i="142"/>
  <c r="AE36" i="142"/>
  <c r="AE131" i="142"/>
  <c r="AE180" i="142"/>
  <c r="AE83" i="142"/>
  <c r="K180" i="142"/>
  <c r="K83" i="142"/>
  <c r="K131" i="142"/>
  <c r="K36" i="142"/>
  <c r="K322" i="142"/>
  <c r="K275" i="142"/>
  <c r="K227" i="142"/>
  <c r="H227" i="142"/>
  <c r="H180" i="142"/>
  <c r="H131" i="142"/>
  <c r="H83" i="142"/>
  <c r="H36" i="142"/>
  <c r="H322" i="142"/>
  <c r="H275" i="142"/>
  <c r="R320" i="142"/>
  <c r="AJ320" i="142" s="1"/>
  <c r="X320" i="142"/>
  <c r="L320" i="142"/>
  <c r="AD320" i="142" s="1"/>
  <c r="AP320" i="142"/>
  <c r="AP273" i="142"/>
  <c r="AP81" i="142"/>
  <c r="AP129" i="142"/>
  <c r="AP34" i="142"/>
  <c r="AP178" i="142"/>
  <c r="AP225" i="142"/>
  <c r="O36" i="142"/>
  <c r="O227" i="142"/>
  <c r="O180" i="142"/>
  <c r="O131" i="142"/>
  <c r="O83" i="142"/>
  <c r="O275" i="142"/>
  <c r="O322" i="142"/>
  <c r="AN322" i="142"/>
  <c r="AN227" i="142"/>
  <c r="AN275" i="142"/>
  <c r="AN36" i="142"/>
  <c r="AN131" i="142"/>
  <c r="AN180" i="142"/>
  <c r="AN83" i="142"/>
  <c r="L129" i="142"/>
  <c r="AD129" i="142" s="1"/>
  <c r="R129" i="142"/>
  <c r="AJ129" i="142" s="1"/>
  <c r="X129" i="142"/>
  <c r="M180" i="142"/>
  <c r="M131" i="142"/>
  <c r="M83" i="142"/>
  <c r="M36" i="142"/>
  <c r="M322" i="142"/>
  <c r="M275" i="142"/>
  <c r="M227" i="142"/>
  <c r="X273" i="142"/>
  <c r="R273" i="142"/>
  <c r="AJ273" i="142" s="1"/>
  <c r="L273" i="142"/>
  <c r="AD273" i="142" s="1"/>
  <c r="U36" i="142"/>
  <c r="U131" i="142"/>
  <c r="U83" i="142"/>
  <c r="U180" i="142"/>
  <c r="U322" i="142"/>
  <c r="U275" i="142"/>
  <c r="U227" i="142"/>
  <c r="AH131" i="142"/>
  <c r="AH180" i="142"/>
  <c r="AH83" i="142"/>
  <c r="AH322" i="142"/>
  <c r="AH227" i="142"/>
  <c r="AH275" i="142"/>
  <c r="AH36" i="142"/>
  <c r="AF227" i="142"/>
  <c r="AF275" i="142"/>
  <c r="AF36" i="142"/>
  <c r="AF131" i="142"/>
  <c r="AF180" i="142"/>
  <c r="AF83" i="142"/>
  <c r="AF322" i="142"/>
  <c r="J180" i="142"/>
  <c r="J131" i="142"/>
  <c r="J36" i="142"/>
  <c r="J83" i="142"/>
  <c r="J322" i="142"/>
  <c r="J275" i="142"/>
  <c r="J227" i="142"/>
  <c r="Y227" i="142"/>
  <c r="Y180" i="142"/>
  <c r="Y131" i="142"/>
  <c r="Y83" i="142"/>
  <c r="Y36" i="142"/>
  <c r="Y322" i="142"/>
  <c r="Y275" i="142"/>
  <c r="AC36" i="142"/>
  <c r="AC83" i="142"/>
  <c r="AC131" i="142"/>
  <c r="AC322" i="142"/>
  <c r="AC275" i="142"/>
  <c r="AC227" i="142"/>
  <c r="AC180" i="142"/>
  <c r="AP275" i="142"/>
  <c r="AP180" i="142"/>
  <c r="AP227" i="142"/>
  <c r="AP131" i="142"/>
  <c r="AP36" i="142"/>
  <c r="AP322" i="142"/>
  <c r="AP83" i="142"/>
  <c r="AG275" i="142"/>
  <c r="AG36" i="142"/>
  <c r="AG131" i="142"/>
  <c r="AG180" i="142"/>
  <c r="AG83" i="142"/>
  <c r="AG322" i="142"/>
  <c r="AG227" i="142"/>
  <c r="AO227" i="142"/>
  <c r="AO275" i="142"/>
  <c r="AO36" i="142"/>
  <c r="AO131" i="142"/>
  <c r="AO180" i="142"/>
  <c r="AO83" i="142"/>
  <c r="AO322" i="142"/>
  <c r="AQ178" i="142"/>
  <c r="AQ129" i="142"/>
  <c r="AQ34" i="142"/>
  <c r="AQ81" i="142"/>
  <c r="AQ320" i="142"/>
  <c r="AQ225" i="142"/>
  <c r="AQ273" i="142"/>
  <c r="I36" i="142"/>
  <c r="I275" i="142"/>
  <c r="I131" i="142"/>
  <c r="I227" i="142"/>
  <c r="I322" i="142"/>
  <c r="I83" i="142"/>
  <c r="I180" i="142"/>
  <c r="T36" i="142"/>
  <c r="T83" i="142"/>
  <c r="T180" i="142"/>
  <c r="T322" i="142"/>
  <c r="T275" i="142"/>
  <c r="T227" i="142"/>
  <c r="T131" i="142"/>
  <c r="AI131" i="142"/>
  <c r="AI180" i="142"/>
  <c r="AI83" i="142"/>
  <c r="AI322" i="142"/>
  <c r="AI227" i="142"/>
  <c r="AI275" i="142"/>
  <c r="AI36" i="142"/>
  <c r="L34" i="142"/>
  <c r="AD34" i="142" s="1"/>
  <c r="X34" i="142"/>
  <c r="R34" i="142"/>
  <c r="AJ34" i="142" s="1"/>
  <c r="V275" i="142"/>
  <c r="V227" i="142"/>
  <c r="V180" i="142"/>
  <c r="V131" i="142"/>
  <c r="V83" i="142"/>
  <c r="V36" i="142"/>
  <c r="V322" i="142"/>
  <c r="X225" i="142"/>
  <c r="R225" i="142"/>
  <c r="AJ225" i="142" s="1"/>
  <c r="L225" i="142"/>
  <c r="AD225" i="142" s="1"/>
  <c r="W131" i="142"/>
  <c r="W36" i="142"/>
  <c r="W83" i="142"/>
  <c r="W322" i="142"/>
  <c r="W275" i="142"/>
  <c r="W227" i="142"/>
  <c r="W180" i="142"/>
  <c r="AR320" i="142"/>
  <c r="AR273" i="142"/>
  <c r="AR225" i="142"/>
  <c r="AR178" i="142"/>
  <c r="AR129" i="142"/>
  <c r="AR34" i="142"/>
  <c r="AR81" i="142"/>
  <c r="N83" i="142"/>
  <c r="N131" i="142"/>
  <c r="N322" i="142"/>
  <c r="N275" i="142"/>
  <c r="N180" i="142"/>
  <c r="N227" i="142"/>
  <c r="N36" i="142"/>
  <c r="AK131" i="142"/>
  <c r="AK180" i="142"/>
  <c r="AK83" i="142"/>
  <c r="AK322" i="142"/>
  <c r="AK227" i="142"/>
  <c r="AK275" i="142"/>
  <c r="AK36" i="142"/>
  <c r="S227" i="142"/>
  <c r="S322" i="142"/>
  <c r="S180" i="142"/>
  <c r="S131" i="142"/>
  <c r="S275" i="142"/>
  <c r="S36" i="142"/>
  <c r="S83" i="142"/>
  <c r="D273" i="142"/>
  <c r="D320" i="142"/>
  <c r="AQ83" i="142"/>
  <c r="AQ36" i="142"/>
  <c r="AQ322" i="142"/>
  <c r="AQ275" i="142"/>
  <c r="AQ227" i="142"/>
  <c r="AQ180" i="142"/>
  <c r="AQ131" i="142"/>
  <c r="AB83" i="142"/>
  <c r="AB322" i="142"/>
  <c r="AB275" i="142"/>
  <c r="AB227" i="142"/>
  <c r="AB180" i="142"/>
  <c r="AB131" i="142"/>
  <c r="AB36" i="142"/>
  <c r="G322" i="142"/>
  <c r="G275" i="142"/>
  <c r="G227" i="142"/>
  <c r="G83" i="142"/>
  <c r="G36" i="142"/>
  <c r="G180" i="142"/>
  <c r="G131" i="142"/>
  <c r="AL131" i="142"/>
  <c r="AL180" i="142"/>
  <c r="AL83" i="142"/>
  <c r="AL322" i="142"/>
  <c r="AL227" i="142"/>
  <c r="AL275" i="142"/>
  <c r="AL36" i="142"/>
  <c r="AZ120" i="131"/>
  <c r="AZ227" i="131"/>
  <c r="AZ442" i="131" s="1"/>
  <c r="AZ335" i="131"/>
  <c r="AZ549" i="131"/>
  <c r="AV120" i="131"/>
  <c r="AV227" i="131"/>
  <c r="AV442" i="131" s="1"/>
  <c r="AV549" i="131"/>
  <c r="AV335" i="131"/>
  <c r="AS120" i="131"/>
  <c r="AS227" i="131"/>
  <c r="AS442" i="131" s="1"/>
  <c r="AS549" i="131"/>
  <c r="AS335" i="131"/>
  <c r="BD335" i="131"/>
  <c r="BD549" i="131"/>
  <c r="BD120" i="131"/>
  <c r="BD227" i="131"/>
  <c r="BD442" i="131" s="1"/>
  <c r="BA120" i="131"/>
  <c r="BA227" i="131"/>
  <c r="BA442" i="131" s="1"/>
  <c r="BA335" i="131"/>
  <c r="BA549" i="131"/>
  <c r="AW227" i="131"/>
  <c r="AW442" i="131" s="1"/>
  <c r="AW549" i="131"/>
  <c r="AW335" i="131"/>
  <c r="AW120" i="131"/>
  <c r="AT120" i="131"/>
  <c r="AT227" i="131"/>
  <c r="AT442" i="131" s="1"/>
  <c r="AT549" i="131"/>
  <c r="AT335" i="131"/>
  <c r="AX549" i="131"/>
  <c r="AX335" i="131"/>
  <c r="AX227" i="131"/>
  <c r="AX442" i="131" s="1"/>
  <c r="AX120" i="131"/>
  <c r="BB120" i="131"/>
  <c r="BB227" i="131"/>
  <c r="BB442" i="131" s="1"/>
  <c r="BB335" i="131"/>
  <c r="BB549" i="131"/>
  <c r="AR120" i="131"/>
  <c r="AR227" i="131"/>
  <c r="AR442" i="131" s="1"/>
  <c r="AR549" i="131"/>
  <c r="AR335" i="131"/>
  <c r="AU120" i="131"/>
  <c r="AU227" i="131"/>
  <c r="AU442" i="131" s="1"/>
  <c r="AU549" i="131"/>
  <c r="AU335" i="131"/>
  <c r="AY120" i="131"/>
  <c r="AY227" i="131"/>
  <c r="AY442" i="131" s="1"/>
  <c r="AY335" i="131"/>
  <c r="AY549" i="131"/>
  <c r="BC227" i="131"/>
  <c r="BC442" i="131" s="1"/>
  <c r="BC335" i="131"/>
  <c r="BC549" i="131"/>
  <c r="BC120" i="131"/>
  <c r="BE549" i="131"/>
  <c r="BE120" i="131"/>
  <c r="BE227" i="131"/>
  <c r="BE442" i="131" s="1"/>
  <c r="BE335" i="131"/>
  <c r="Q19" i="133" a="1"/>
  <c r="Q19" i="133" s="1"/>
  <c r="Q67" i="133" a="1"/>
  <c r="Q67" i="133" s="1"/>
  <c r="Q34" i="133" a="1"/>
  <c r="Q34" i="133" s="1"/>
  <c r="Q7" i="133" a="1"/>
  <c r="Q7" i="133" s="1"/>
  <c r="G86" i="142" a="1"/>
  <c r="G86" i="142" s="1"/>
  <c r="G165" i="142" a="1"/>
  <c r="G165" i="142" s="1"/>
  <c r="G37" i="142" a="1"/>
  <c r="G37" i="142" s="1"/>
  <c r="G241" i="142" a="1"/>
  <c r="G241" i="142" s="1"/>
  <c r="N163" i="142" a="1"/>
  <c r="N163" i="142" s="1"/>
  <c r="G45" i="142" a="1"/>
  <c r="G45" i="142" s="1"/>
  <c r="G284" i="142" a="1"/>
  <c r="G284" i="142" s="1"/>
  <c r="G91" i="142" a="1"/>
  <c r="G91" i="142" s="1"/>
  <c r="G323" i="142" a="1"/>
  <c r="G323" i="142" s="1"/>
  <c r="G94" i="142" a="1"/>
  <c r="G94" i="142" s="1"/>
  <c r="G230" i="142" a="1"/>
  <c r="G230" i="142" s="1"/>
  <c r="G144" i="142" a="1"/>
  <c r="G144" i="142" s="1"/>
  <c r="N122" i="142" a="1"/>
  <c r="N122" i="142" s="1"/>
  <c r="G139" i="142" a="1"/>
  <c r="G139" i="142" s="1"/>
  <c r="G327" i="142" a="1"/>
  <c r="G327" i="142" s="1"/>
  <c r="N172" i="142" a="1"/>
  <c r="N172" i="142" s="1"/>
  <c r="N165" i="142" a="1"/>
  <c r="N165" i="142" s="1"/>
  <c r="N171" i="142" a="1"/>
  <c r="N171" i="142" s="1"/>
  <c r="G88" i="142" a="1"/>
  <c r="G88" i="142" s="1"/>
  <c r="G236" i="142" a="1"/>
  <c r="G236" i="142" s="1"/>
  <c r="G169" i="142" a="1"/>
  <c r="G169" i="142" s="1"/>
  <c r="G28" i="142" a="1"/>
  <c r="G28" i="142" s="1"/>
  <c r="G115" i="142" a="1"/>
  <c r="G115" i="142" s="1"/>
  <c r="G90" i="142" a="1"/>
  <c r="G90" i="142" s="1"/>
  <c r="G135" i="142" a="1"/>
  <c r="G135" i="142" s="1"/>
  <c r="Q18" i="133" a="1"/>
  <c r="Q18" i="133" s="1"/>
  <c r="Q63" i="133" a="1"/>
  <c r="Q63" i="133" s="1"/>
  <c r="Q31" i="133" a="1"/>
  <c r="Q31" i="133" s="1"/>
  <c r="G51" i="142" a="1"/>
  <c r="G51" i="142" s="1"/>
  <c r="G237" i="142" a="1"/>
  <c r="G237" i="142" s="1"/>
  <c r="G152" i="142" a="1"/>
  <c r="G152" i="142" s="1"/>
  <c r="G46" i="142" a="1"/>
  <c r="G46" i="142" s="1"/>
  <c r="G191" i="142" a="1"/>
  <c r="G191" i="142" s="1"/>
  <c r="Q47" i="133" s="1" a="1"/>
  <c r="Q47" i="133" s="1"/>
  <c r="G138" i="142" a="1"/>
  <c r="G138" i="142" s="1"/>
  <c r="G84" i="142" a="1"/>
  <c r="G84" i="142" s="1"/>
  <c r="G231" i="142" a="1"/>
  <c r="G231" i="142" s="1"/>
  <c r="G87" i="142" a="1"/>
  <c r="G87" i="142" s="1"/>
  <c r="G328" i="142" a="1"/>
  <c r="G328" i="142" s="1"/>
  <c r="G96" i="142" a="1"/>
  <c r="G96" i="142" s="1"/>
  <c r="G170" i="142" a="1"/>
  <c r="G170" i="142" s="1"/>
  <c r="G146" i="142" a="1"/>
  <c r="G146" i="142" s="1"/>
  <c r="Q73" i="133" s="1" a="1"/>
  <c r="Q73" i="133" s="1"/>
  <c r="N116" i="142" a="1"/>
  <c r="N116" i="142" s="1"/>
  <c r="G148" i="142" a="1"/>
  <c r="G148" i="142" s="1"/>
  <c r="G229" i="142" a="1"/>
  <c r="G229" i="142" s="1"/>
  <c r="G163" i="142" a="1"/>
  <c r="G163" i="142" s="1"/>
  <c r="N161" i="142" a="1"/>
  <c r="N161" i="142" s="1"/>
  <c r="G114" i="142" a="1"/>
  <c r="G114" i="142" s="1"/>
  <c r="G330" i="142" a="1"/>
  <c r="G330" i="142" s="1"/>
  <c r="G235" i="142" a="1"/>
  <c r="G235" i="142" s="1"/>
  <c r="G30" i="142" a="1"/>
  <c r="G30" i="142" s="1"/>
  <c r="N173" i="142" a="1"/>
  <c r="N173" i="142" s="1"/>
  <c r="G93" i="142" a="1"/>
  <c r="G93" i="142" s="1"/>
  <c r="N124" i="142" a="1"/>
  <c r="N124" i="142" s="1"/>
  <c r="Q17" i="133" a="1"/>
  <c r="Q17" i="133" s="1"/>
  <c r="Q54" i="133" a="1"/>
  <c r="Q54" i="133" s="1"/>
  <c r="Q43" i="133" a="1"/>
  <c r="Q43" i="133" s="1"/>
  <c r="Q6" i="133" a="1"/>
  <c r="Q6" i="133" s="1"/>
  <c r="G194" i="142" a="1"/>
  <c r="G194" i="142" s="1"/>
  <c r="N118" i="142" a="1"/>
  <c r="N118" i="142" s="1"/>
  <c r="G19" i="142" a="1"/>
  <c r="G19" i="142" s="1"/>
  <c r="G195" i="142" a="1"/>
  <c r="G195" i="142" s="1"/>
  <c r="Q70" i="133" s="1" a="1"/>
  <c r="Q70" i="133" s="1"/>
  <c r="G117" i="142" a="1"/>
  <c r="G117" i="142" s="1"/>
  <c r="Q16" i="133" a="1"/>
  <c r="Q16" i="133" s="1"/>
  <c r="Q65" i="133" a="1"/>
  <c r="Q65" i="133" s="1"/>
  <c r="Q21" i="133" a="1"/>
  <c r="Q21" i="133" s="1"/>
  <c r="Q8" i="133" a="1"/>
  <c r="Q8" i="133" s="1"/>
  <c r="G153" i="142" a="1"/>
  <c r="G153" i="142" s="1"/>
  <c r="G136" i="142" a="1"/>
  <c r="G136" i="142" s="1"/>
  <c r="G17" i="142" a="1"/>
  <c r="G17" i="142" s="1"/>
  <c r="G150" i="142" a="1"/>
  <c r="G150" i="142" s="1"/>
  <c r="G124" i="142" a="1"/>
  <c r="G124" i="142" s="1"/>
  <c r="G40" i="142" a="1"/>
  <c r="G40" i="142" s="1"/>
  <c r="G192" i="142" a="1"/>
  <c r="G192" i="142" s="1"/>
  <c r="G48" i="142" a="1"/>
  <c r="G48" i="142" s="1"/>
  <c r="G277" i="142" a="1"/>
  <c r="G277" i="142" s="1"/>
  <c r="G89" i="142" a="1"/>
  <c r="G89" i="142" s="1"/>
  <c r="N162" i="142" a="1"/>
  <c r="N162" i="142" s="1"/>
  <c r="N120" i="142" a="1"/>
  <c r="N120" i="142" s="1"/>
  <c r="G159" i="142" a="1"/>
  <c r="G159" i="142" s="1"/>
  <c r="G98" i="142" a="1"/>
  <c r="G98" i="142" s="1"/>
  <c r="G238" i="142" a="1"/>
  <c r="G238" i="142" s="1"/>
  <c r="Q48" i="133" s="1" a="1"/>
  <c r="Q48" i="133" s="1"/>
  <c r="G122" i="142" a="1"/>
  <c r="G122" i="142" s="1"/>
  <c r="G137" i="142" a="1"/>
  <c r="G137" i="142" s="1"/>
  <c r="G133" i="142" a="1"/>
  <c r="G133" i="142" s="1"/>
  <c r="G332" i="142" a="1"/>
  <c r="G332" i="142" s="1"/>
  <c r="G182" i="142" a="1"/>
  <c r="G182" i="142" s="1"/>
  <c r="G120" i="142" a="1"/>
  <c r="G120" i="142" s="1"/>
  <c r="G164" i="142" a="1"/>
  <c r="G164" i="142" s="1"/>
  <c r="G29" i="142" a="1"/>
  <c r="G29" i="142" s="1"/>
  <c r="N123" i="142" a="1"/>
  <c r="N123" i="142" s="1"/>
  <c r="G47" i="142" a="1"/>
  <c r="G47" i="142" s="1"/>
  <c r="Q46" i="133" s="1" a="1"/>
  <c r="Q46" i="133" s="1"/>
  <c r="G158" i="142" a="1"/>
  <c r="G158" i="142" s="1"/>
  <c r="Q66" i="133" a="1"/>
  <c r="Q66" i="133" s="1"/>
  <c r="Q42" i="133" a="1"/>
  <c r="Q42" i="133" s="1"/>
  <c r="Q33" i="133" a="1"/>
  <c r="Q33" i="133" s="1"/>
  <c r="N115" i="142" a="1"/>
  <c r="N115" i="142" s="1"/>
  <c r="G183" i="142" a="1"/>
  <c r="G183" i="142" s="1"/>
  <c r="G142" i="142" a="1"/>
  <c r="G142" i="142" s="1"/>
  <c r="Q50" i="133" s="1" a="1"/>
  <c r="Q50" i="133" s="1"/>
  <c r="G95" i="142" a="1"/>
  <c r="G95" i="142" s="1"/>
  <c r="G172" i="142" a="1"/>
  <c r="G172" i="142" s="1"/>
  <c r="N125" i="142" a="1"/>
  <c r="N125" i="142" s="1"/>
  <c r="G333" i="142" a="1"/>
  <c r="G333" i="142" s="1"/>
  <c r="Q51" i="133" s="1" a="1"/>
  <c r="Q51" i="133" s="1"/>
  <c r="N159" i="142" a="1"/>
  <c r="N159" i="142" s="1"/>
  <c r="G43" i="142" a="1"/>
  <c r="G43" i="142" s="1"/>
  <c r="G279" i="142" a="1"/>
  <c r="G279" i="142" s="1"/>
  <c r="N121" i="142" a="1"/>
  <c r="N121" i="142" s="1"/>
  <c r="G181" i="142" a="1"/>
  <c r="G181" i="142" s="1"/>
  <c r="G44" i="142" a="1"/>
  <c r="G44" i="142" s="1"/>
  <c r="G149" i="142" a="1"/>
  <c r="G149" i="142" s="1"/>
  <c r="G42" i="142" a="1"/>
  <c r="G42" i="142" s="1"/>
  <c r="G189" i="142" a="1"/>
  <c r="G189" i="142" s="1"/>
  <c r="G132" i="142" a="1"/>
  <c r="G132" i="142" s="1"/>
  <c r="G92" i="142" a="1"/>
  <c r="G92" i="142" s="1"/>
  <c r="G151" i="142" a="1"/>
  <c r="G151" i="142" s="1"/>
  <c r="G289" i="142" a="1"/>
  <c r="G289" i="142" s="1"/>
  <c r="G140" i="142" a="1"/>
  <c r="G140" i="142" s="1"/>
  <c r="G190" i="142" a="1"/>
  <c r="G190" i="142" s="1"/>
  <c r="G21" i="142" a="1"/>
  <c r="G21" i="142" s="1"/>
  <c r="G147" i="142" a="1"/>
  <c r="G147" i="142" s="1"/>
  <c r="G331" i="142" a="1"/>
  <c r="G331" i="142" s="1"/>
  <c r="Q64" i="133" a="1"/>
  <c r="Q64" i="133" s="1"/>
  <c r="Q20" i="133" a="1"/>
  <c r="Q20" i="133" s="1"/>
  <c r="Q30" i="133" a="1"/>
  <c r="Q30" i="133" s="1"/>
  <c r="G38" i="142" a="1"/>
  <c r="G38" i="142" s="1"/>
  <c r="N167" i="142" a="1"/>
  <c r="N167" i="142" s="1"/>
  <c r="N112" i="142" a="1"/>
  <c r="N112" i="142" s="1"/>
  <c r="G290" i="142" a="1"/>
  <c r="G290" i="142" s="1"/>
  <c r="G161" i="142" a="1"/>
  <c r="G161" i="142" s="1"/>
  <c r="N170" i="142" a="1"/>
  <c r="N170" i="142" s="1"/>
  <c r="G337" i="142" a="1"/>
  <c r="G337" i="142" s="1"/>
  <c r="Q74" i="133" s="1" a="1"/>
  <c r="Q74" i="133" s="1"/>
  <c r="N114" i="142" a="1"/>
  <c r="N114" i="142" s="1"/>
  <c r="G329" i="142" a="1"/>
  <c r="G329" i="142" s="1"/>
  <c r="G233" i="142" a="1"/>
  <c r="G233" i="142" s="1"/>
  <c r="G285" i="142" a="1"/>
  <c r="G285" i="142" s="1"/>
  <c r="N169" i="142" a="1"/>
  <c r="N169" i="142" s="1"/>
  <c r="G162" i="142" a="1"/>
  <c r="G162" i="142" s="1"/>
  <c r="G121" i="142" a="1"/>
  <c r="G121" i="142" s="1"/>
  <c r="G85" i="142" a="1"/>
  <c r="G85" i="142" s="1"/>
  <c r="N168" i="142" a="1"/>
  <c r="N168" i="142" s="1"/>
  <c r="G145" i="142" a="1"/>
  <c r="G145" i="142" s="1"/>
  <c r="G334" i="142" a="1"/>
  <c r="G334" i="142" s="1"/>
  <c r="G134" i="142" a="1"/>
  <c r="G134" i="142" s="1"/>
  <c r="G286" i="142" a="1"/>
  <c r="G286" i="142" s="1"/>
  <c r="G282" i="142" a="1"/>
  <c r="G282" i="142" s="1"/>
  <c r="N117" i="142" a="1"/>
  <c r="N117" i="142" s="1"/>
  <c r="G31" i="142" a="1"/>
  <c r="G31" i="142" s="1"/>
  <c r="Q68" i="133" s="1" a="1"/>
  <c r="Q68" i="133" s="1"/>
  <c r="G24" i="142" a="1"/>
  <c r="G24" i="142" s="1"/>
  <c r="G125" i="142" a="1"/>
  <c r="G125" i="142" s="1"/>
  <c r="G280" i="142" a="1"/>
  <c r="G280" i="142" s="1"/>
  <c r="G118" i="142" a="1"/>
  <c r="G118" i="142" s="1"/>
  <c r="G193" i="142" a="1"/>
  <c r="G193" i="142" s="1"/>
  <c r="Q55" i="133" a="1"/>
  <c r="Q55" i="133" s="1"/>
  <c r="Q32" i="133" a="1"/>
  <c r="Q32" i="133" s="1"/>
  <c r="Q53" i="133" a="1"/>
  <c r="Q53" i="133" s="1"/>
  <c r="G112" i="142" a="1"/>
  <c r="G112" i="142" s="1"/>
  <c r="G157" i="142" a="1"/>
  <c r="G157" i="142" s="1"/>
  <c r="G186" i="142" a="1"/>
  <c r="G186" i="142" s="1"/>
  <c r="G281" i="142" a="1"/>
  <c r="G281" i="142" s="1"/>
  <c r="G154" i="142" a="1"/>
  <c r="G154" i="142" s="1"/>
  <c r="G155" i="142" a="1"/>
  <c r="G155" i="142" s="1"/>
  <c r="G326" i="142" a="1"/>
  <c r="G326" i="142" s="1"/>
  <c r="N166" i="142" a="1"/>
  <c r="N166" i="142" s="1"/>
  <c r="G325" i="142" a="1"/>
  <c r="G325" i="142" s="1"/>
  <c r="G171" i="142" a="1"/>
  <c r="G171" i="142" s="1"/>
  <c r="G276" i="142" a="1"/>
  <c r="G276" i="142" s="1"/>
  <c r="G160" i="142" a="1"/>
  <c r="G160" i="142" s="1"/>
  <c r="G166" i="142" a="1"/>
  <c r="G166" i="142" s="1"/>
  <c r="N113" i="142" a="1"/>
  <c r="N113" i="142" s="1"/>
  <c r="G335" i="142" a="1"/>
  <c r="G335" i="142" s="1"/>
  <c r="G167" i="142" a="1"/>
  <c r="G167" i="142" s="1"/>
  <c r="G141" i="142" a="1"/>
  <c r="G141" i="142" s="1"/>
  <c r="G287" i="142" a="1"/>
  <c r="G287" i="142" s="1"/>
  <c r="G41" i="142" a="1"/>
  <c r="G41" i="142" s="1"/>
  <c r="G288" i="142" a="1"/>
  <c r="G288" i="142" s="1"/>
  <c r="G232" i="142" a="1"/>
  <c r="G232" i="142" s="1"/>
  <c r="N119" i="142" a="1"/>
  <c r="N119" i="142" s="1"/>
  <c r="G26" i="142" a="1"/>
  <c r="G26" i="142" s="1"/>
  <c r="G25" i="142" a="1"/>
  <c r="G25" i="142" s="1"/>
  <c r="G97" i="142" a="1"/>
  <c r="G97" i="142" s="1"/>
  <c r="G240" i="142" a="1"/>
  <c r="G240" i="142" s="1"/>
  <c r="G239" i="142" a="1"/>
  <c r="G239" i="142" s="1"/>
  <c r="G168" i="142" a="1"/>
  <c r="G168" i="142" s="1"/>
  <c r="Q44" i="133" a="1"/>
  <c r="Q44" i="133" s="1"/>
  <c r="Q29" i="133" a="1"/>
  <c r="Q29" i="133" s="1"/>
  <c r="Q52" i="133" a="1"/>
  <c r="Q52" i="133" s="1"/>
  <c r="G18" i="142" a="1"/>
  <c r="G18" i="142" s="1"/>
  <c r="G188" i="142" a="1"/>
  <c r="G188" i="142" s="1"/>
  <c r="G113" i="142" a="1"/>
  <c r="G113" i="142" s="1"/>
  <c r="G234" i="142" a="1"/>
  <c r="G234" i="142" s="1"/>
  <c r="G185" i="142" a="1"/>
  <c r="G185" i="142" s="1"/>
  <c r="G184" i="142" a="1"/>
  <c r="G184" i="142" s="1"/>
  <c r="G283" i="142" a="1"/>
  <c r="G283" i="142" s="1"/>
  <c r="G116" i="142" a="1"/>
  <c r="G116" i="142" s="1"/>
  <c r="G324" i="142" a="1"/>
  <c r="G324" i="142" s="1"/>
  <c r="G123" i="142" a="1"/>
  <c r="G123" i="142" s="1"/>
  <c r="G242" i="142" a="1"/>
  <c r="G242" i="142" s="1"/>
  <c r="Q71" i="133" s="1" a="1"/>
  <c r="Q71" i="133" s="1"/>
  <c r="G143" i="142" a="1"/>
  <c r="G143" i="142" s="1"/>
  <c r="G173" i="142" a="1"/>
  <c r="G173" i="142" s="1"/>
  <c r="G187" i="142" a="1"/>
  <c r="G187" i="142" s="1"/>
  <c r="G336" i="142" a="1"/>
  <c r="G336" i="142" s="1"/>
  <c r="G156" i="142" a="1"/>
  <c r="G156" i="142" s="1"/>
  <c r="G119" i="142" a="1"/>
  <c r="G119" i="142" s="1"/>
  <c r="N164" i="142" a="1"/>
  <c r="N164" i="142" s="1"/>
  <c r="G50" i="142" a="1"/>
  <c r="G50" i="142" s="1"/>
  <c r="G228" i="142" a="1"/>
  <c r="G228" i="142" s="1"/>
  <c r="N160" i="142" a="1"/>
  <c r="N160" i="142" s="1"/>
  <c r="G49" i="142" a="1"/>
  <c r="G49" i="142" s="1"/>
  <c r="G20" i="142" a="1"/>
  <c r="G20" i="142" s="1"/>
  <c r="G27" i="142" a="1"/>
  <c r="G27" i="142" s="1"/>
  <c r="Q45" i="133" s="1" a="1"/>
  <c r="Q45" i="133" s="1"/>
  <c r="G23" i="142" a="1"/>
  <c r="G23" i="142" s="1"/>
  <c r="G39" i="142" a="1"/>
  <c r="G39" i="142" s="1"/>
  <c r="G278" i="142" a="1"/>
  <c r="G278" i="142" s="1"/>
  <c r="G22" i="142" a="1"/>
  <c r="G22" i="142" s="1"/>
  <c r="R30" i="133" a="1"/>
  <c r="R30" i="133" s="1"/>
  <c r="R42" i="133" a="1"/>
  <c r="R42" i="133" s="1"/>
  <c r="R33" i="133" a="1"/>
  <c r="R33" i="133" s="1"/>
  <c r="H236" i="142" a="1"/>
  <c r="H236" i="142" s="1"/>
  <c r="H140" i="142" a="1"/>
  <c r="H140" i="142" s="1"/>
  <c r="H151" i="142" a="1"/>
  <c r="H151" i="142" s="1"/>
  <c r="H290" i="142" a="1"/>
  <c r="H290" i="142" s="1"/>
  <c r="O166" i="142" a="1"/>
  <c r="O166" i="142" s="1"/>
  <c r="R21" i="133" a="1"/>
  <c r="R21" i="133" s="1"/>
  <c r="R31" i="133" a="1"/>
  <c r="R31" i="133" s="1"/>
  <c r="R32" i="133" a="1"/>
  <c r="R32" i="133" s="1"/>
  <c r="H324" i="142" a="1"/>
  <c r="H324" i="142" s="1"/>
  <c r="H164" i="142" a="1"/>
  <c r="H164" i="142" s="1"/>
  <c r="H138" i="142" a="1"/>
  <c r="H138" i="142" s="1"/>
  <c r="H160" i="142" a="1"/>
  <c r="H160" i="142" s="1"/>
  <c r="H233" i="142" a="1"/>
  <c r="H233" i="142" s="1"/>
  <c r="H170" i="142" a="1"/>
  <c r="H170" i="142" s="1"/>
  <c r="H284" i="142" a="1"/>
  <c r="H284" i="142" s="1"/>
  <c r="O165" i="142" a="1"/>
  <c r="O165" i="142" s="1"/>
  <c r="H159" i="142" a="1"/>
  <c r="H159" i="142" s="1"/>
  <c r="H150" i="142" a="1"/>
  <c r="H150" i="142" s="1"/>
  <c r="H234" i="142" a="1"/>
  <c r="H234" i="142" s="1"/>
  <c r="R18" i="133" a="1"/>
  <c r="R18" i="133" s="1"/>
  <c r="R55" i="133" a="1"/>
  <c r="R55" i="133" s="1"/>
  <c r="R65" i="133" a="1"/>
  <c r="R65" i="133" s="1"/>
  <c r="H282" i="142" a="1"/>
  <c r="H282" i="142" s="1"/>
  <c r="H161" i="142" a="1"/>
  <c r="H161" i="142" s="1"/>
  <c r="H329" i="142" a="1"/>
  <c r="H329" i="142" s="1"/>
  <c r="O173" i="142" a="1"/>
  <c r="O173" i="142" s="1"/>
  <c r="H194" i="142" a="1"/>
  <c r="H194" i="142" s="1"/>
  <c r="H145" i="142" a="1"/>
  <c r="H145" i="142" s="1"/>
  <c r="H193" i="142" a="1"/>
  <c r="H193" i="142" s="1"/>
  <c r="H137" i="142" a="1"/>
  <c r="H137" i="142" s="1"/>
  <c r="H182" i="142" a="1"/>
  <c r="H182" i="142" s="1"/>
  <c r="R54" i="133" a="1"/>
  <c r="R54" i="133" s="1"/>
  <c r="R34" i="133" a="1"/>
  <c r="R34" i="133" s="1"/>
  <c r="R52" i="133" a="1"/>
  <c r="R52" i="133" s="1"/>
  <c r="R7" i="133" a="1"/>
  <c r="R7" i="133" s="1"/>
  <c r="H288" i="142" a="1"/>
  <c r="H288" i="142" s="1"/>
  <c r="H187" i="142" a="1"/>
  <c r="H187" i="142" s="1"/>
  <c r="H287" i="142" a="1"/>
  <c r="H287" i="142" s="1"/>
  <c r="H136" i="142" a="1"/>
  <c r="H136" i="142" s="1"/>
  <c r="H195" i="142" a="1"/>
  <c r="H195" i="142" s="1"/>
  <c r="R70" i="133" s="1" a="1"/>
  <c r="R70" i="133" s="1"/>
  <c r="R29" i="133" a="1"/>
  <c r="R29" i="133" s="1"/>
  <c r="R17" i="133" a="1"/>
  <c r="R17" i="133" s="1"/>
  <c r="R53" i="133" a="1"/>
  <c r="R53" i="133" s="1"/>
  <c r="R6" i="133" a="1"/>
  <c r="R6" i="133" s="1"/>
  <c r="H237" i="142" a="1"/>
  <c r="H237" i="142" s="1"/>
  <c r="O163" i="142" a="1"/>
  <c r="O163" i="142" s="1"/>
  <c r="H240" i="142" a="1"/>
  <c r="H240" i="142" s="1"/>
  <c r="H134" i="142" a="1"/>
  <c r="H134" i="142" s="1"/>
  <c r="H167" i="142" a="1"/>
  <c r="H167" i="142" s="1"/>
  <c r="O125" i="142" a="1"/>
  <c r="O125" i="142" s="1"/>
  <c r="O162" i="142" a="1"/>
  <c r="O162" i="142" s="1"/>
  <c r="H153" i="142" a="1"/>
  <c r="H153" i="142" s="1"/>
  <c r="H188" i="142" a="1"/>
  <c r="H188" i="142" s="1"/>
  <c r="H327" i="142" a="1"/>
  <c r="H327" i="142" s="1"/>
  <c r="R19" i="133" a="1"/>
  <c r="R19" i="133" s="1"/>
  <c r="R43" i="133" a="1"/>
  <c r="R43" i="133" s="1"/>
  <c r="R67" i="133" a="1"/>
  <c r="R67" i="133" s="1"/>
  <c r="R8" i="133" a="1"/>
  <c r="R8" i="133" s="1"/>
  <c r="H241" i="142" a="1"/>
  <c r="H241" i="142" s="1"/>
  <c r="H152" i="142" a="1"/>
  <c r="H152" i="142" s="1"/>
  <c r="O170" i="142" a="1"/>
  <c r="O170" i="142" s="1"/>
  <c r="H133" i="142" a="1"/>
  <c r="H133" i="142" s="1"/>
  <c r="H156" i="142" a="1"/>
  <c r="H156" i="142" s="1"/>
  <c r="O123" i="142" a="1"/>
  <c r="O123" i="142" s="1"/>
  <c r="H190" i="142" a="1"/>
  <c r="H190" i="142" s="1"/>
  <c r="H122" i="142" a="1"/>
  <c r="H122" i="142" s="1"/>
  <c r="O168" i="142" a="1"/>
  <c r="O168" i="142" s="1"/>
  <c r="H283" i="142" a="1"/>
  <c r="H283" i="142" s="1"/>
  <c r="O172" i="142" a="1"/>
  <c r="O172" i="142" s="1"/>
  <c r="H323" i="142" a="1"/>
  <c r="H323" i="142" s="1"/>
  <c r="H168" i="142" a="1"/>
  <c r="H168" i="142" s="1"/>
  <c r="O160" i="142" a="1"/>
  <c r="O160" i="142" s="1"/>
  <c r="H191" i="142" a="1"/>
  <c r="H191" i="142" s="1"/>
  <c r="R47" i="133" s="1" a="1"/>
  <c r="R47" i="133" s="1"/>
  <c r="H125" i="142" a="1"/>
  <c r="H125" i="142" s="1"/>
  <c r="H37" i="142" a="1"/>
  <c r="H37" i="142" s="1"/>
  <c r="R63" i="133" a="1"/>
  <c r="R63" i="133" s="1"/>
  <c r="R64" i="133" a="1"/>
  <c r="R64" i="133" s="1"/>
  <c r="R44" i="133" a="1"/>
  <c r="R44" i="133" s="1"/>
  <c r="H51" i="142" a="1"/>
  <c r="H51" i="142" s="1"/>
  <c r="R69" i="133" s="1" a="1"/>
  <c r="R69" i="133" s="1"/>
  <c r="H228" i="142" a="1"/>
  <c r="H228" i="142" s="1"/>
  <c r="O114" i="142" a="1"/>
  <c r="O114" i="142" s="1"/>
  <c r="O159" i="142" a="1"/>
  <c r="O159" i="142" s="1"/>
  <c r="H337" i="142" a="1"/>
  <c r="H337" i="142" s="1"/>
  <c r="R74" i="133" s="1" a="1"/>
  <c r="R74" i="133" s="1"/>
  <c r="H181" i="142" a="1"/>
  <c r="H181" i="142" s="1"/>
  <c r="H331" i="142" a="1"/>
  <c r="H331" i="142" s="1"/>
  <c r="O169" i="142" a="1"/>
  <c r="O169" i="142" s="1"/>
  <c r="H281" i="142" a="1"/>
  <c r="H281" i="142" s="1"/>
  <c r="H162" i="142" a="1"/>
  <c r="H162" i="142" s="1"/>
  <c r="H142" i="142" a="1"/>
  <c r="H142" i="142" s="1"/>
  <c r="R50" i="133" s="1" a="1"/>
  <c r="R50" i="133" s="1"/>
  <c r="H163" i="142" a="1"/>
  <c r="H163" i="142" s="1"/>
  <c r="H330" i="142" a="1"/>
  <c r="H330" i="142" s="1"/>
  <c r="O161" i="142" a="1"/>
  <c r="O161" i="142" s="1"/>
  <c r="H189" i="142" a="1"/>
  <c r="H189" i="142" s="1"/>
  <c r="H85" i="142" a="1"/>
  <c r="H85" i="142" s="1"/>
  <c r="O167" i="142" a="1"/>
  <c r="O167" i="142" s="1"/>
  <c r="O118" i="142" a="1"/>
  <c r="O118" i="142" s="1"/>
  <c r="H229" i="142" a="1"/>
  <c r="H229" i="142" s="1"/>
  <c r="H112" i="142" a="1"/>
  <c r="H112" i="142" s="1"/>
  <c r="H115" i="142" a="1"/>
  <c r="H115" i="142" s="1"/>
  <c r="H116" i="142" a="1"/>
  <c r="H116" i="142" s="1"/>
  <c r="H86" i="142" a="1"/>
  <c r="H86" i="142" s="1"/>
  <c r="H123" i="142" a="1"/>
  <c r="H123" i="142" s="1"/>
  <c r="H25" i="142" a="1"/>
  <c r="H25" i="142" s="1"/>
  <c r="H29" i="142" a="1"/>
  <c r="H29" i="142" s="1"/>
  <c r="H171" i="142" a="1"/>
  <c r="H171" i="142" s="1"/>
  <c r="H155" i="142" a="1"/>
  <c r="H155" i="142" s="1"/>
  <c r="H26" i="142" a="1"/>
  <c r="H26" i="142" s="1"/>
  <c r="H279" i="142" a="1"/>
  <c r="H279" i="142" s="1"/>
  <c r="H149" i="142" a="1"/>
  <c r="H149" i="142" s="1"/>
  <c r="H276" i="142" a="1"/>
  <c r="H276" i="142" s="1"/>
  <c r="H165" i="142" a="1"/>
  <c r="H165" i="142" s="1"/>
  <c r="O120" i="142" a="1"/>
  <c r="O120" i="142" s="1"/>
  <c r="H332" i="142" a="1"/>
  <c r="H332" i="142" s="1"/>
  <c r="H143" i="142" a="1"/>
  <c r="H143" i="142" s="1"/>
  <c r="H334" i="142" a="1"/>
  <c r="H334" i="142" s="1"/>
  <c r="H45" i="142" a="1"/>
  <c r="H45" i="142" s="1"/>
  <c r="H84" i="142" a="1"/>
  <c r="H84" i="142" s="1"/>
  <c r="H39" i="142" a="1"/>
  <c r="H39" i="142" s="1"/>
  <c r="H50" i="142" a="1"/>
  <c r="H50" i="142" s="1"/>
  <c r="H92" i="142" a="1"/>
  <c r="H92" i="142" s="1"/>
  <c r="H40" i="142" a="1"/>
  <c r="H40" i="142" s="1"/>
  <c r="H24" i="142" a="1"/>
  <c r="H24" i="142" s="1"/>
  <c r="H46" i="142" a="1"/>
  <c r="H46" i="142" s="1"/>
  <c r="H20" i="142" a="1"/>
  <c r="H20" i="142" s="1"/>
  <c r="H114" i="142" a="1"/>
  <c r="H114" i="142" s="1"/>
  <c r="H154" i="142" a="1"/>
  <c r="H154" i="142" s="1"/>
  <c r="R66" i="133" a="1"/>
  <c r="R66" i="133" s="1"/>
  <c r="H158" i="142" a="1"/>
  <c r="H158" i="142" s="1"/>
  <c r="H277" i="142" a="1"/>
  <c r="H277" i="142" s="1"/>
  <c r="H285" i="142" a="1"/>
  <c r="H285" i="142" s="1"/>
  <c r="H144" i="142" a="1"/>
  <c r="H144" i="142" s="1"/>
  <c r="H335" i="142" a="1"/>
  <c r="H335" i="142" s="1"/>
  <c r="H232" i="142" a="1"/>
  <c r="H232" i="142" s="1"/>
  <c r="H328" i="142" a="1"/>
  <c r="H328" i="142" s="1"/>
  <c r="H91" i="142" a="1"/>
  <c r="H91" i="142" s="1"/>
  <c r="H94" i="142" a="1"/>
  <c r="H94" i="142" s="1"/>
  <c r="H121" i="142" a="1"/>
  <c r="H121" i="142" s="1"/>
  <c r="H47" i="142" a="1"/>
  <c r="H47" i="142" s="1"/>
  <c r="R46" i="133" s="1" a="1"/>
  <c r="R46" i="133" s="1"/>
  <c r="O115" i="142" a="1"/>
  <c r="O115" i="142" s="1"/>
  <c r="H18" i="142" a="1"/>
  <c r="H18" i="142" s="1"/>
  <c r="O112" i="142" a="1"/>
  <c r="O112" i="142" s="1"/>
  <c r="H22" i="142" a="1"/>
  <c r="H22" i="142" s="1"/>
  <c r="H286" i="142" a="1"/>
  <c r="H286" i="142" s="1"/>
  <c r="O117" i="142" a="1"/>
  <c r="O117" i="142" s="1"/>
  <c r="H95" i="142" a="1"/>
  <c r="H95" i="142" s="1"/>
  <c r="H28" i="142" a="1"/>
  <c r="H28" i="142" s="1"/>
  <c r="H185" i="142" a="1"/>
  <c r="H185" i="142" s="1"/>
  <c r="H88" i="142" a="1"/>
  <c r="H88" i="142" s="1"/>
  <c r="R20" i="133" a="1"/>
  <c r="R20" i="133" s="1"/>
  <c r="H124" i="142" a="1"/>
  <c r="H124" i="142" s="1"/>
  <c r="H238" i="142" a="1"/>
  <c r="H238" i="142" s="1"/>
  <c r="R48" i="133" s="1" a="1"/>
  <c r="R48" i="133" s="1"/>
  <c r="H235" i="142" a="1"/>
  <c r="H235" i="142" s="1"/>
  <c r="H146" i="142" a="1"/>
  <c r="H146" i="142" s="1"/>
  <c r="R73" i="133" s="1" a="1"/>
  <c r="R73" i="133" s="1"/>
  <c r="H325" i="142" a="1"/>
  <c r="H325" i="142" s="1"/>
  <c r="H172" i="142" a="1"/>
  <c r="H172" i="142" s="1"/>
  <c r="H169" i="142" a="1"/>
  <c r="H169" i="142" s="1"/>
  <c r="H141" i="142" a="1"/>
  <c r="H141" i="142" s="1"/>
  <c r="H87" i="142" a="1"/>
  <c r="H87" i="142" s="1"/>
  <c r="H97" i="142" a="1"/>
  <c r="H97" i="142" s="1"/>
  <c r="H93" i="142" a="1"/>
  <c r="H93" i="142" s="1"/>
  <c r="H41" i="142" a="1"/>
  <c r="H41" i="142" s="1"/>
  <c r="O121" i="142" a="1"/>
  <c r="O121" i="142" s="1"/>
  <c r="H43" i="142" a="1"/>
  <c r="H43" i="142" s="1"/>
  <c r="H31" i="142" a="1"/>
  <c r="H31" i="142" s="1"/>
  <c r="R68" i="133" s="1" a="1"/>
  <c r="R68" i="133" s="1"/>
  <c r="H132" i="142" a="1"/>
  <c r="H132" i="142" s="1"/>
  <c r="H139" i="142" a="1"/>
  <c r="H139" i="142" s="1"/>
  <c r="H326" i="142" a="1"/>
  <c r="H326" i="142" s="1"/>
  <c r="H19" i="142" a="1"/>
  <c r="H19" i="142" s="1"/>
  <c r="H173" i="142" a="1"/>
  <c r="H173" i="142" s="1"/>
  <c r="H119" i="142" a="1"/>
  <c r="H119" i="142" s="1"/>
  <c r="H38" i="142" a="1"/>
  <c r="H38" i="142" s="1"/>
  <c r="H21" i="142" a="1"/>
  <c r="H21" i="142" s="1"/>
  <c r="R16" i="133" a="1"/>
  <c r="R16" i="133" s="1"/>
  <c r="H336" i="142" a="1"/>
  <c r="H336" i="142" s="1"/>
  <c r="H166" i="142" a="1"/>
  <c r="H166" i="142" s="1"/>
  <c r="H239" i="142" a="1"/>
  <c r="H239" i="142" s="1"/>
  <c r="H135" i="142" a="1"/>
  <c r="H135" i="142" s="1"/>
  <c r="H186" i="142" a="1"/>
  <c r="H186" i="142" s="1"/>
  <c r="H148" i="142" a="1"/>
  <c r="H148" i="142" s="1"/>
  <c r="O122" i="142" a="1"/>
  <c r="O122" i="142" s="1"/>
  <c r="H120" i="142" a="1"/>
  <c r="H120" i="142" s="1"/>
  <c r="H96" i="142" a="1"/>
  <c r="H96" i="142" s="1"/>
  <c r="O124" i="142" a="1"/>
  <c r="O124" i="142" s="1"/>
  <c r="O119" i="142" a="1"/>
  <c r="O119" i="142" s="1"/>
  <c r="H49" i="142" a="1"/>
  <c r="H49" i="142" s="1"/>
  <c r="H17" i="142" a="1"/>
  <c r="H17" i="142" s="1"/>
  <c r="H118" i="142" a="1"/>
  <c r="H118" i="142" s="1"/>
  <c r="H30" i="142" a="1"/>
  <c r="H30" i="142" s="1"/>
  <c r="H289" i="142" a="1"/>
  <c r="H289" i="142" s="1"/>
  <c r="H192" i="142" a="1"/>
  <c r="H192" i="142" s="1"/>
  <c r="O116" i="142" a="1"/>
  <c r="O116" i="142" s="1"/>
  <c r="H242" i="142" a="1"/>
  <c r="H242" i="142" s="1"/>
  <c r="R71" i="133" s="1" a="1"/>
  <c r="R71" i="133" s="1"/>
  <c r="H98" i="142" a="1"/>
  <c r="H98" i="142" s="1"/>
  <c r="H333" i="142" a="1"/>
  <c r="H333" i="142" s="1"/>
  <c r="R51" i="133" s="1" a="1"/>
  <c r="R51" i="133" s="1"/>
  <c r="H42" i="142" a="1"/>
  <c r="H42" i="142" s="1"/>
  <c r="H184" i="142" a="1"/>
  <c r="H184" i="142" s="1"/>
  <c r="H230" i="142" a="1"/>
  <c r="H230" i="142" s="1"/>
  <c r="H147" i="142" a="1"/>
  <c r="H147" i="142" s="1"/>
  <c r="H183" i="142" a="1"/>
  <c r="H183" i="142" s="1"/>
  <c r="H280" i="142" a="1"/>
  <c r="H280" i="142" s="1"/>
  <c r="H44" i="142" a="1"/>
  <c r="H44" i="142" s="1"/>
  <c r="H278" i="142" a="1"/>
  <c r="H278" i="142" s="1"/>
  <c r="O164" i="142" a="1"/>
  <c r="O164" i="142" s="1"/>
  <c r="H231" i="142" a="1"/>
  <c r="H231" i="142" s="1"/>
  <c r="H157" i="142" a="1"/>
  <c r="H157" i="142" s="1"/>
  <c r="H90" i="142" a="1"/>
  <c r="H90" i="142" s="1"/>
  <c r="H89" i="142" a="1"/>
  <c r="H89" i="142" s="1"/>
  <c r="H48" i="142" a="1"/>
  <c r="H48" i="142" s="1"/>
  <c r="H113" i="142" a="1"/>
  <c r="H113" i="142" s="1"/>
  <c r="H23" i="142" a="1"/>
  <c r="H23" i="142" s="1"/>
  <c r="H27" i="142" a="1"/>
  <c r="H27" i="142" s="1"/>
  <c r="R45" i="133" s="1" a="1"/>
  <c r="R45" i="133" s="1"/>
  <c r="O171" i="142" a="1"/>
  <c r="O171" i="142" s="1"/>
  <c r="O113" i="142" a="1"/>
  <c r="O113" i="142" s="1"/>
  <c r="H117" i="142" a="1"/>
  <c r="H117" i="142" s="1"/>
  <c r="BH66" i="133" a="1"/>
  <c r="BH66" i="133" s="1"/>
  <c r="BH31" i="133" a="1"/>
  <c r="BH31" i="133" s="1"/>
  <c r="BH34" i="133" a="1"/>
  <c r="BH34" i="133" s="1"/>
  <c r="BH64" i="133" a="1"/>
  <c r="BH64" i="133" s="1"/>
  <c r="BH30" i="133" a="1"/>
  <c r="BH30" i="133" s="1"/>
  <c r="BH42" i="133" a="1"/>
  <c r="BH42" i="133" s="1"/>
  <c r="BH7" i="133" a="1"/>
  <c r="BH7" i="133" s="1"/>
  <c r="BH54" i="133" a="1"/>
  <c r="BH54" i="133" s="1"/>
  <c r="BH21" i="133" a="1"/>
  <c r="BH21" i="133" s="1"/>
  <c r="BH43" i="133" a="1"/>
  <c r="BH43" i="133" s="1"/>
  <c r="BH8" i="133" a="1"/>
  <c r="BH8" i="133" s="1"/>
  <c r="BH67" i="133" a="1"/>
  <c r="BH67" i="133" s="1"/>
  <c r="BH19" i="133" a="1"/>
  <c r="BH19" i="133" s="1"/>
  <c r="BH52" i="133" a="1"/>
  <c r="BH52" i="133" s="1"/>
  <c r="BH33" i="133" a="1"/>
  <c r="BH33" i="133" s="1"/>
  <c r="BH65" i="133" a="1"/>
  <c r="BH65" i="133" s="1"/>
  <c r="BH63" i="133" a="1"/>
  <c r="BH63" i="133" s="1"/>
  <c r="BH18" i="133" a="1"/>
  <c r="BH18" i="133" s="1"/>
  <c r="BH32" i="133" a="1"/>
  <c r="BH32" i="133" s="1"/>
  <c r="BH53" i="133" a="1"/>
  <c r="BH53" i="133" s="1"/>
  <c r="BH55" i="133" a="1"/>
  <c r="BH55" i="133" s="1"/>
  <c r="BH17" i="133" a="1"/>
  <c r="BH17" i="133" s="1"/>
  <c r="BH20" i="133" a="1"/>
  <c r="BH20" i="133" s="1"/>
  <c r="BH44" i="133" a="1"/>
  <c r="BH44" i="133" s="1"/>
  <c r="BH6" i="133" a="1"/>
  <c r="BH6" i="133" s="1"/>
  <c r="BH29" i="133" a="1"/>
  <c r="BH29" i="133" s="1"/>
  <c r="BH16" i="133" a="1"/>
  <c r="BH16" i="133" s="1"/>
  <c r="BF55" i="133" a="1"/>
  <c r="BF55" i="133" s="1"/>
  <c r="BF29" i="133" a="1"/>
  <c r="BF29" i="133" s="1"/>
  <c r="BF42" i="133" a="1"/>
  <c r="BF42" i="133" s="1"/>
  <c r="BF66" i="133" a="1"/>
  <c r="BF66" i="133" s="1"/>
  <c r="BF64" i="133" a="1"/>
  <c r="BF64" i="133" s="1"/>
  <c r="BF20" i="133" a="1"/>
  <c r="BF20" i="133" s="1"/>
  <c r="BF44" i="133" a="1"/>
  <c r="BF44" i="133" s="1"/>
  <c r="BF16" i="133" a="1"/>
  <c r="BF16" i="133" s="1"/>
  <c r="BF63" i="133" a="1"/>
  <c r="BF63" i="133" s="1"/>
  <c r="BF7" i="133" a="1"/>
  <c r="BF7" i="133" s="1"/>
  <c r="BF67" i="133" a="1"/>
  <c r="BF67" i="133" s="1"/>
  <c r="BF21" i="133" a="1"/>
  <c r="BF21" i="133" s="1"/>
  <c r="BF53" i="133" a="1"/>
  <c r="BF53" i="133" s="1"/>
  <c r="BF8" i="133" a="1"/>
  <c r="BF8" i="133" s="1"/>
  <c r="BF31" i="133" a="1"/>
  <c r="BF31" i="133" s="1"/>
  <c r="BF65" i="133" a="1"/>
  <c r="BF65" i="133" s="1"/>
  <c r="BF43" i="133" a="1"/>
  <c r="BF43" i="133" s="1"/>
  <c r="BF6" i="133" a="1"/>
  <c r="BF6" i="133" s="1"/>
  <c r="BF54" i="133" a="1"/>
  <c r="BF54" i="133" s="1"/>
  <c r="BF30" i="133" a="1"/>
  <c r="BF30" i="133" s="1"/>
  <c r="BF17" i="133" a="1"/>
  <c r="BF17" i="133" s="1"/>
  <c r="BF18" i="133" a="1"/>
  <c r="BF18" i="133" s="1"/>
  <c r="BF52" i="133" a="1"/>
  <c r="BF52" i="133" s="1"/>
  <c r="BF34" i="133" a="1"/>
  <c r="BF34" i="133" s="1"/>
  <c r="BF33" i="133" a="1"/>
  <c r="BF33" i="133" s="1"/>
  <c r="BF32" i="133" a="1"/>
  <c r="BF32" i="133" s="1"/>
  <c r="BF19" i="133" a="1"/>
  <c r="BF19" i="133" s="1"/>
  <c r="T67" i="133" a="1"/>
  <c r="T67" i="133" s="1"/>
  <c r="T54" i="133" a="1"/>
  <c r="T54" i="133" s="1"/>
  <c r="T44" i="133" a="1"/>
  <c r="T44" i="133" s="1"/>
  <c r="J329" i="142" a="1"/>
  <c r="J329" i="142" s="1"/>
  <c r="J160" i="142" a="1"/>
  <c r="J160" i="142" s="1"/>
  <c r="J146" i="142" a="1"/>
  <c r="J146" i="142" s="1"/>
  <c r="T73" i="133" s="1" a="1"/>
  <c r="T73" i="133" s="1"/>
  <c r="J234" i="142" a="1"/>
  <c r="J234" i="142" s="1"/>
  <c r="J147" i="142" a="1"/>
  <c r="J147" i="142" s="1"/>
  <c r="J276" i="142" a="1"/>
  <c r="J276" i="142" s="1"/>
  <c r="J159" i="142" a="1"/>
  <c r="J159" i="142" s="1"/>
  <c r="J280" i="142" a="1"/>
  <c r="J280" i="142" s="1"/>
  <c r="J153" i="142" a="1"/>
  <c r="J153" i="142" s="1"/>
  <c r="J231" i="142" a="1"/>
  <c r="J231" i="142" s="1"/>
  <c r="S116" i="142" a="1"/>
  <c r="S116" i="142" s="1"/>
  <c r="J149" i="142" a="1"/>
  <c r="J149" i="142" s="1"/>
  <c r="J122" i="142" a="1"/>
  <c r="J122" i="142" s="1"/>
  <c r="J236" i="142" a="1"/>
  <c r="J236" i="142" s="1"/>
  <c r="J333" i="142" a="1"/>
  <c r="J333" i="142" s="1"/>
  <c r="T51" i="133" s="1" a="1"/>
  <c r="T51" i="133" s="1"/>
  <c r="J239" i="142" a="1"/>
  <c r="J239" i="142" s="1"/>
  <c r="S166" i="142" a="1"/>
  <c r="S166" i="142" s="1"/>
  <c r="S163" i="142" a="1"/>
  <c r="S163" i="142" s="1"/>
  <c r="J38" i="142" a="1"/>
  <c r="J38" i="142" s="1"/>
  <c r="J84" i="142" a="1"/>
  <c r="J84" i="142" s="1"/>
  <c r="J41" i="142" a="1"/>
  <c r="J41" i="142" s="1"/>
  <c r="J93" i="142" a="1"/>
  <c r="J93" i="142" s="1"/>
  <c r="T32" i="133" a="1"/>
  <c r="T32" i="133" s="1"/>
  <c r="T29" i="133" a="1"/>
  <c r="T29" i="133" s="1"/>
  <c r="T64" i="133" a="1"/>
  <c r="T64" i="133" s="1"/>
  <c r="T18" i="133" a="1"/>
  <c r="T18" i="133" s="1"/>
  <c r="T33" i="133" a="1"/>
  <c r="T33" i="133" s="1"/>
  <c r="T42" i="133" a="1"/>
  <c r="T42" i="133" s="1"/>
  <c r="J50" i="142" a="1"/>
  <c r="J50" i="142" s="1"/>
  <c r="J283" i="142" a="1"/>
  <c r="J283" i="142" s="1"/>
  <c r="J167" i="142" a="1"/>
  <c r="J167" i="142" s="1"/>
  <c r="J328" i="142" a="1"/>
  <c r="J328" i="142" s="1"/>
  <c r="S172" i="142" a="1"/>
  <c r="S172" i="142" s="1"/>
  <c r="S124" i="142" a="1"/>
  <c r="S124" i="142" s="1"/>
  <c r="J192" i="142" a="1"/>
  <c r="J192" i="142" s="1"/>
  <c r="J141" i="142" a="1"/>
  <c r="J141" i="142" s="1"/>
  <c r="J237" i="142" a="1"/>
  <c r="J237" i="142" s="1"/>
  <c r="J125" i="142" a="1"/>
  <c r="J125" i="142" s="1"/>
  <c r="J154" i="142" a="1"/>
  <c r="J154" i="142" s="1"/>
  <c r="J137" i="142" a="1"/>
  <c r="J137" i="142" s="1"/>
  <c r="S171" i="142" a="1"/>
  <c r="S171" i="142" s="1"/>
  <c r="J326" i="142" a="1"/>
  <c r="J326" i="142" s="1"/>
  <c r="J194" i="142" a="1"/>
  <c r="J194" i="142" s="1"/>
  <c r="J171" i="142" a="1"/>
  <c r="J171" i="142" s="1"/>
  <c r="J161" i="142" a="1"/>
  <c r="J161" i="142" s="1"/>
  <c r="S114" i="142" a="1"/>
  <c r="S114" i="142" s="1"/>
  <c r="J332" i="142" a="1"/>
  <c r="J332" i="142" s="1"/>
  <c r="J323" i="142" a="1"/>
  <c r="J323" i="142" s="1"/>
  <c r="J113" i="142" a="1"/>
  <c r="J113" i="142" s="1"/>
  <c r="J47" i="142" a="1"/>
  <c r="J47" i="142" s="1"/>
  <c r="T46" i="133" s="1" a="1"/>
  <c r="T46" i="133" s="1"/>
  <c r="T63" i="133" a="1"/>
  <c r="T63" i="133" s="1"/>
  <c r="T66" i="133" a="1"/>
  <c r="T66" i="133" s="1"/>
  <c r="T20" i="133" a="1"/>
  <c r="T20" i="133" s="1"/>
  <c r="J119" i="142" a="1"/>
  <c r="J119" i="142" s="1"/>
  <c r="J235" i="142" a="1"/>
  <c r="J235" i="142" s="1"/>
  <c r="S170" i="142" a="1"/>
  <c r="S170" i="142" s="1"/>
  <c r="J327" i="142" a="1"/>
  <c r="J327" i="142" s="1"/>
  <c r="J163" i="142" a="1"/>
  <c r="J163" i="142" s="1"/>
  <c r="J138" i="142" a="1"/>
  <c r="J138" i="142" s="1"/>
  <c r="J285" i="142" a="1"/>
  <c r="J285" i="142" s="1"/>
  <c r="J135" i="142" a="1"/>
  <c r="J135" i="142" s="1"/>
  <c r="J241" i="142" a="1"/>
  <c r="J241" i="142" s="1"/>
  <c r="S120" i="142" a="1"/>
  <c r="S120" i="142" s="1"/>
  <c r="J173" i="142" a="1"/>
  <c r="J173" i="142" s="1"/>
  <c r="J334" i="142" a="1"/>
  <c r="J334" i="142" s="1"/>
  <c r="J152" i="142" a="1"/>
  <c r="J152" i="142" s="1"/>
  <c r="J240" i="142" a="1"/>
  <c r="J240" i="142" s="1"/>
  <c r="S173" i="142" a="1"/>
  <c r="S173" i="142" s="1"/>
  <c r="J172" i="142" a="1"/>
  <c r="J172" i="142" s="1"/>
  <c r="S118" i="142" a="1"/>
  <c r="S118" i="142" s="1"/>
  <c r="J85" i="142" a="1"/>
  <c r="J85" i="142" s="1"/>
  <c r="J116" i="142" a="1"/>
  <c r="J116" i="142" s="1"/>
  <c r="J94" i="142" a="1"/>
  <c r="J94" i="142" s="1"/>
  <c r="J98" i="142" a="1"/>
  <c r="J98" i="142" s="1"/>
  <c r="J17" i="142" a="1"/>
  <c r="J17" i="142" s="1"/>
  <c r="T65" i="133" a="1"/>
  <c r="T65" i="133" s="1"/>
  <c r="T43" i="133" a="1"/>
  <c r="T43" i="133" s="1"/>
  <c r="T34" i="133" a="1"/>
  <c r="T34" i="133" s="1"/>
  <c r="T8" i="133" a="1"/>
  <c r="T8" i="133" s="1"/>
  <c r="J95" i="142" a="1"/>
  <c r="J95" i="142" s="1"/>
  <c r="J229" i="142" a="1"/>
  <c r="J229" i="142" s="1"/>
  <c r="J156" i="142" a="1"/>
  <c r="J156" i="142" s="1"/>
  <c r="J288" i="142" a="1"/>
  <c r="J288" i="142" s="1"/>
  <c r="J158" i="142" a="1"/>
  <c r="J158" i="142" s="1"/>
  <c r="J136" i="142" a="1"/>
  <c r="J136" i="142" s="1"/>
  <c r="J166" i="142" a="1"/>
  <c r="J166" i="142" s="1"/>
  <c r="J123" i="142" a="1"/>
  <c r="J123" i="142" s="1"/>
  <c r="S164" i="142" a="1"/>
  <c r="S164" i="142" s="1"/>
  <c r="J143" i="142" a="1"/>
  <c r="J143" i="142" s="1"/>
  <c r="J155" i="142" a="1"/>
  <c r="J155" i="142" s="1"/>
  <c r="J324" i="142" a="1"/>
  <c r="J324" i="142" s="1"/>
  <c r="J191" i="142" a="1"/>
  <c r="J191" i="142" s="1"/>
  <c r="T47" i="133" s="1" a="1"/>
  <c r="T47" i="133" s="1"/>
  <c r="J195" i="142" a="1"/>
  <c r="J195" i="142" s="1"/>
  <c r="T70" i="133" s="1" a="1"/>
  <c r="T70" i="133" s="1"/>
  <c r="J134" i="142" a="1"/>
  <c r="J134" i="142" s="1"/>
  <c r="J148" i="142" a="1"/>
  <c r="J148" i="142" s="1"/>
  <c r="S113" i="142" a="1"/>
  <c r="S113" i="142" s="1"/>
  <c r="J114" i="142" a="1"/>
  <c r="J114" i="142" s="1"/>
  <c r="J331" i="142" a="1"/>
  <c r="J331" i="142" s="1"/>
  <c r="J91" i="142" a="1"/>
  <c r="J91" i="142" s="1"/>
  <c r="S121" i="142" a="1"/>
  <c r="S121" i="142" s="1"/>
  <c r="J48" i="142" a="1"/>
  <c r="J48" i="142" s="1"/>
  <c r="T31" i="133" a="1"/>
  <c r="T31" i="133" s="1"/>
  <c r="T21" i="133" a="1"/>
  <c r="T21" i="133" s="1"/>
  <c r="T19" i="133" a="1"/>
  <c r="T19" i="133" s="1"/>
  <c r="T6" i="133" a="1"/>
  <c r="T6" i="133" s="1"/>
  <c r="S123" i="142" a="1"/>
  <c r="S123" i="142" s="1"/>
  <c r="J228" i="142" a="1"/>
  <c r="J228" i="142" s="1"/>
  <c r="J142" i="142" a="1"/>
  <c r="J142" i="142" s="1"/>
  <c r="T50" i="133" s="1" a="1"/>
  <c r="T50" i="133" s="1"/>
  <c r="J281" i="142" a="1"/>
  <c r="J281" i="142" s="1"/>
  <c r="S168" i="142" a="1"/>
  <c r="S168" i="142" s="1"/>
  <c r="J336" i="142" a="1"/>
  <c r="J336" i="142" s="1"/>
  <c r="S161" i="142" a="1"/>
  <c r="S161" i="142" s="1"/>
  <c r="J132" i="142" a="1"/>
  <c r="J132" i="142" s="1"/>
  <c r="J157" i="142" a="1"/>
  <c r="J157" i="142" s="1"/>
  <c r="J145" i="142" a="1"/>
  <c r="J145" i="142" s="1"/>
  <c r="J150" i="142" a="1"/>
  <c r="J150" i="142" s="1"/>
  <c r="J325" i="142" a="1"/>
  <c r="J325" i="142" s="1"/>
  <c r="S167" i="142" a="1"/>
  <c r="S167" i="142" s="1"/>
  <c r="J186" i="142" a="1"/>
  <c r="J186" i="142" s="1"/>
  <c r="J181" i="142" a="1"/>
  <c r="J181" i="142" s="1"/>
  <c r="J44" i="142" a="1"/>
  <c r="J44" i="142" s="1"/>
  <c r="J330" i="142" a="1"/>
  <c r="J330" i="142" s="1"/>
  <c r="J165" i="142" a="1"/>
  <c r="J165" i="142" s="1"/>
  <c r="J112" i="142" a="1"/>
  <c r="J112" i="142" s="1"/>
  <c r="S119" i="142" a="1"/>
  <c r="S119" i="142" s="1"/>
  <c r="J117" i="142" a="1"/>
  <c r="J117" i="142" s="1"/>
  <c r="J86" i="142" a="1"/>
  <c r="J86" i="142" s="1"/>
  <c r="T17" i="133" a="1"/>
  <c r="T17" i="133" s="1"/>
  <c r="T55" i="133" a="1"/>
  <c r="T55" i="133" s="1"/>
  <c r="T52" i="133" a="1"/>
  <c r="T52" i="133" s="1"/>
  <c r="T7" i="133" a="1"/>
  <c r="T7" i="133" s="1"/>
  <c r="S115" i="142" a="1"/>
  <c r="S115" i="142" s="1"/>
  <c r="J182" i="142" a="1"/>
  <c r="J182" i="142" s="1"/>
  <c r="S125" i="142" a="1"/>
  <c r="S125" i="142" s="1"/>
  <c r="J232" i="142" a="1"/>
  <c r="J232" i="142" s="1"/>
  <c r="S165" i="142" a="1"/>
  <c r="S165" i="142" s="1"/>
  <c r="J287" i="142" a="1"/>
  <c r="J287" i="142" s="1"/>
  <c r="J188" i="142" a="1"/>
  <c r="J188" i="142" s="1"/>
  <c r="J19" i="142" a="1"/>
  <c r="J19" i="142" s="1"/>
  <c r="J185" i="142" a="1"/>
  <c r="J185" i="142" s="1"/>
  <c r="J335" i="142" a="1"/>
  <c r="J335" i="142" s="1"/>
  <c r="J169" i="142" a="1"/>
  <c r="J169" i="142" s="1"/>
  <c r="J279" i="142" a="1"/>
  <c r="J279" i="142" s="1"/>
  <c r="J120" i="142" a="1"/>
  <c r="J120" i="142" s="1"/>
  <c r="J139" i="142" a="1"/>
  <c r="J139" i="142" s="1"/>
  <c r="J184" i="142" a="1"/>
  <c r="J184" i="142" s="1"/>
  <c r="J88" i="142" a="1"/>
  <c r="J88" i="142" s="1"/>
  <c r="J284" i="142" a="1"/>
  <c r="J284" i="142" s="1"/>
  <c r="J37" i="142" a="1"/>
  <c r="J37" i="142" s="1"/>
  <c r="J193" i="142" a="1"/>
  <c r="J193" i="142" s="1"/>
  <c r="J96" i="142" a="1"/>
  <c r="J96" i="142" s="1"/>
  <c r="J87" i="142" a="1"/>
  <c r="J87" i="142" s="1"/>
  <c r="J49" i="142" a="1"/>
  <c r="J49" i="142" s="1"/>
  <c r="T30" i="133" a="1"/>
  <c r="T30" i="133" s="1"/>
  <c r="T16" i="133" a="1"/>
  <c r="T16" i="133" s="1"/>
  <c r="T53" i="133" a="1"/>
  <c r="T53" i="133" s="1"/>
  <c r="J51" i="142" a="1"/>
  <c r="J51" i="142" s="1"/>
  <c r="T69" i="133" s="1" a="1"/>
  <c r="T69" i="133" s="1"/>
  <c r="J43" i="142" a="1"/>
  <c r="J43" i="142" s="1"/>
  <c r="S169" i="142" a="1"/>
  <c r="S169" i="142" s="1"/>
  <c r="J144" i="142" a="1"/>
  <c r="J144" i="142" s="1"/>
  <c r="J242" i="142" a="1"/>
  <c r="J242" i="142" s="1"/>
  <c r="T71" i="133" s="1" a="1"/>
  <c r="T71" i="133" s="1"/>
  <c r="J164" i="142" a="1"/>
  <c r="J164" i="142" s="1"/>
  <c r="J277" i="142" a="1"/>
  <c r="J277" i="142" s="1"/>
  <c r="J162" i="142" a="1"/>
  <c r="J162" i="142" s="1"/>
  <c r="J92" i="142" a="1"/>
  <c r="J92" i="142" s="1"/>
  <c r="S160" i="142" a="1"/>
  <c r="S160" i="142" s="1"/>
  <c r="J290" i="142" a="1"/>
  <c r="J290" i="142" s="1"/>
  <c r="J124" i="142" a="1"/>
  <c r="J124" i="142" s="1"/>
  <c r="J286" i="142" a="1"/>
  <c r="J286" i="142" s="1"/>
  <c r="S112" i="142" a="1"/>
  <c r="S112" i="142" s="1"/>
  <c r="S117" i="142" a="1"/>
  <c r="S117" i="142" s="1"/>
  <c r="J118" i="142" a="1"/>
  <c r="J118" i="142" s="1"/>
  <c r="J97" i="142" a="1"/>
  <c r="J97" i="142" s="1"/>
  <c r="J238" i="142" a="1"/>
  <c r="J238" i="142" s="1"/>
  <c r="T48" i="133" s="1" a="1"/>
  <c r="T48" i="133" s="1"/>
  <c r="J45" i="142" a="1"/>
  <c r="J45" i="142" s="1"/>
  <c r="J233" i="142" a="1"/>
  <c r="J233" i="142" s="1"/>
  <c r="J115" i="142" a="1"/>
  <c r="J115" i="142" s="1"/>
  <c r="J40" i="142" a="1"/>
  <c r="J40" i="142" s="1"/>
  <c r="J39" i="142" a="1"/>
  <c r="J39" i="142" s="1"/>
  <c r="J42" i="142" a="1"/>
  <c r="J42" i="142" s="1"/>
  <c r="J282" i="142" a="1"/>
  <c r="J282" i="142" s="1"/>
  <c r="J168" i="142" a="1"/>
  <c r="J168" i="142" s="1"/>
  <c r="J22" i="142" a="1"/>
  <c r="J22" i="142" s="1"/>
  <c r="J278" i="142" a="1"/>
  <c r="J278" i="142" s="1"/>
  <c r="S159" i="142" a="1"/>
  <c r="S159" i="142" s="1"/>
  <c r="J170" i="142" a="1"/>
  <c r="J170" i="142" s="1"/>
  <c r="J151" i="142" a="1"/>
  <c r="J151" i="142" s="1"/>
  <c r="J121" i="142" a="1"/>
  <c r="J121" i="142" s="1"/>
  <c r="J28" i="142" a="1"/>
  <c r="J28" i="142" s="1"/>
  <c r="J23" i="142" a="1"/>
  <c r="J23" i="142" s="1"/>
  <c r="J337" i="142" a="1"/>
  <c r="J337" i="142" s="1"/>
  <c r="T74" i="133" s="1" a="1"/>
  <c r="T74" i="133" s="1"/>
  <c r="J133" i="142" a="1"/>
  <c r="J133" i="142" s="1"/>
  <c r="J46" i="142" a="1"/>
  <c r="J46" i="142" s="1"/>
  <c r="J29" i="142" a="1"/>
  <c r="J29" i="142" s="1"/>
  <c r="J27" i="142" a="1"/>
  <c r="J27" i="142" s="1"/>
  <c r="T45" i="133" s="1" a="1"/>
  <c r="T45" i="133" s="1"/>
  <c r="J189" i="142" a="1"/>
  <c r="J189" i="142" s="1"/>
  <c r="J187" i="142" a="1"/>
  <c r="J187" i="142" s="1"/>
  <c r="J90" i="142" a="1"/>
  <c r="J90" i="142" s="1"/>
  <c r="J31" i="142" a="1"/>
  <c r="J31" i="142" s="1"/>
  <c r="T68" i="133" s="1" a="1"/>
  <c r="T68" i="133" s="1"/>
  <c r="J21" i="142" a="1"/>
  <c r="J21" i="142" s="1"/>
  <c r="J140" i="142" a="1"/>
  <c r="J140" i="142" s="1"/>
  <c r="S122" i="142" a="1"/>
  <c r="S122" i="142" s="1"/>
  <c r="J89" i="142" a="1"/>
  <c r="J89" i="142" s="1"/>
  <c r="J25" i="142" a="1"/>
  <c r="J25" i="142" s="1"/>
  <c r="J20" i="142" a="1"/>
  <c r="J20" i="142" s="1"/>
  <c r="J24" i="142" a="1"/>
  <c r="J24" i="142" s="1"/>
  <c r="J230" i="142" a="1"/>
  <c r="J230" i="142" s="1"/>
  <c r="J190" i="142" a="1"/>
  <c r="J190" i="142" s="1"/>
  <c r="J18" i="142" a="1"/>
  <c r="J18" i="142" s="1"/>
  <c r="S162" i="142" a="1"/>
  <c r="S162" i="142" s="1"/>
  <c r="J289" i="142" a="1"/>
  <c r="J289" i="142" s="1"/>
  <c r="J30" i="142" a="1"/>
  <c r="J30" i="142" s="1"/>
  <c r="J183" i="142" a="1"/>
  <c r="J183" i="142" s="1"/>
  <c r="J26" i="142" a="1"/>
  <c r="J26" i="142" s="1"/>
  <c r="S31" i="133" a="1"/>
  <c r="S31" i="133" s="1"/>
  <c r="S66" i="133" a="1"/>
  <c r="S66" i="133" s="1"/>
  <c r="S55" i="133" a="1"/>
  <c r="S55" i="133" s="1"/>
  <c r="S7" i="133" a="1"/>
  <c r="S7" i="133" s="1"/>
  <c r="I118" i="142" a="1"/>
  <c r="I118" i="142" s="1"/>
  <c r="I284" i="142" a="1"/>
  <c r="I284" i="142" s="1"/>
  <c r="I152" i="142" a="1"/>
  <c r="I152" i="142" s="1"/>
  <c r="I283" i="142" a="1"/>
  <c r="I283" i="142" s="1"/>
  <c r="P163" i="142" a="1"/>
  <c r="P163" i="142" s="1"/>
  <c r="I280" i="142" a="1"/>
  <c r="I280" i="142" s="1"/>
  <c r="I172" i="142" a="1"/>
  <c r="I172" i="142" s="1"/>
  <c r="I285" i="142" a="1"/>
  <c r="I285" i="142" s="1"/>
  <c r="I170" i="142" a="1"/>
  <c r="I170" i="142" s="1"/>
  <c r="I282" i="142" a="1"/>
  <c r="I282" i="142" s="1"/>
  <c r="P168" i="142" a="1"/>
  <c r="P168" i="142" s="1"/>
  <c r="I334" i="142" a="1"/>
  <c r="I334" i="142" s="1"/>
  <c r="I185" i="142" a="1"/>
  <c r="I185" i="142" s="1"/>
  <c r="I330" i="142" a="1"/>
  <c r="I330" i="142" s="1"/>
  <c r="I290" i="142" a="1"/>
  <c r="I290" i="142" s="1"/>
  <c r="P167" i="142" a="1"/>
  <c r="P167" i="142" s="1"/>
  <c r="I148" i="142" a="1"/>
  <c r="I148" i="142" s="1"/>
  <c r="P116" i="142" a="1"/>
  <c r="P116" i="142" s="1"/>
  <c r="I37" i="142" a="1"/>
  <c r="I37" i="142" s="1"/>
  <c r="P122" i="142" a="1"/>
  <c r="P122" i="142" s="1"/>
  <c r="I40" i="142" a="1"/>
  <c r="I40" i="142" s="1"/>
  <c r="I98" i="142" a="1"/>
  <c r="I98" i="142" s="1"/>
  <c r="P114" i="142" a="1"/>
  <c r="P114" i="142" s="1"/>
  <c r="S63" i="133" a="1"/>
  <c r="S63" i="133" s="1"/>
  <c r="S21" i="133" a="1"/>
  <c r="S21" i="133" s="1"/>
  <c r="S53" i="133" a="1"/>
  <c r="S53" i="133" s="1"/>
  <c r="S8" i="133" a="1"/>
  <c r="S8" i="133" s="1"/>
  <c r="I92" i="142" a="1"/>
  <c r="I92" i="142" s="1"/>
  <c r="I193" i="142" a="1"/>
  <c r="I193" i="142" s="1"/>
  <c r="I117" i="142" a="1"/>
  <c r="I117" i="142" s="1"/>
  <c r="I192" i="142" a="1"/>
  <c r="I192" i="142" s="1"/>
  <c r="I184" i="142" a="1"/>
  <c r="I184" i="142" s="1"/>
  <c r="I240" i="142" a="1"/>
  <c r="I240" i="142" s="1"/>
  <c r="P117" i="142" a="1"/>
  <c r="P117" i="142" s="1"/>
  <c r="I242" i="142" a="1"/>
  <c r="I242" i="142" s="1"/>
  <c r="S71" i="133" s="1" a="1"/>
  <c r="S71" i="133" s="1"/>
  <c r="P170" i="142" a="1"/>
  <c r="P170" i="142" s="1"/>
  <c r="I230" i="142" a="1"/>
  <c r="I230" i="142" s="1"/>
  <c r="I164" i="142" a="1"/>
  <c r="I164" i="142" s="1"/>
  <c r="I235" i="142" a="1"/>
  <c r="I235" i="142" s="1"/>
  <c r="I159" i="142" a="1"/>
  <c r="I159" i="142" s="1"/>
  <c r="I173" i="142" a="1"/>
  <c r="I173" i="142" s="1"/>
  <c r="I169" i="142" a="1"/>
  <c r="I169" i="142" s="1"/>
  <c r="P125" i="142" a="1"/>
  <c r="P125" i="142" s="1"/>
  <c r="I97" i="142" a="1"/>
  <c r="I97" i="142" s="1"/>
  <c r="I149" i="142" a="1"/>
  <c r="I149" i="142" s="1"/>
  <c r="I112" i="142" a="1"/>
  <c r="I112" i="142" s="1"/>
  <c r="P118" i="142" a="1"/>
  <c r="P118" i="142" s="1"/>
  <c r="I89" i="142" a="1"/>
  <c r="I89" i="142" s="1"/>
  <c r="P120" i="142" a="1"/>
  <c r="P120" i="142" s="1"/>
  <c r="S18" i="133" a="1"/>
  <c r="S18" i="133" s="1"/>
  <c r="S16" i="133" a="1"/>
  <c r="S16" i="133" s="1"/>
  <c r="S52" i="133" a="1"/>
  <c r="S52" i="133" s="1"/>
  <c r="I51" i="142" a="1"/>
  <c r="I51" i="142" s="1"/>
  <c r="S69" i="133" s="1" a="1"/>
  <c r="S69" i="133" s="1"/>
  <c r="I327" i="142" a="1"/>
  <c r="I327" i="142" s="1"/>
  <c r="I241" i="142" a="1"/>
  <c r="I241" i="142" s="1"/>
  <c r="I140" i="142" a="1"/>
  <c r="I140" i="142" s="1"/>
  <c r="I195" i="142" a="1"/>
  <c r="I195" i="142" s="1"/>
  <c r="S70" i="133" s="1" a="1"/>
  <c r="S70" i="133" s="1"/>
  <c r="I113" i="142" a="1"/>
  <c r="I113" i="142" s="1"/>
  <c r="I156" i="142" a="1"/>
  <c r="I156" i="142" s="1"/>
  <c r="I119" i="142" a="1"/>
  <c r="I119" i="142" s="1"/>
  <c r="I233" i="142" a="1"/>
  <c r="I233" i="142" s="1"/>
  <c r="I136" i="142" a="1"/>
  <c r="I136" i="142" s="1"/>
  <c r="I194" i="142" a="1"/>
  <c r="I194" i="142" s="1"/>
  <c r="I125" i="142" a="1"/>
  <c r="I125" i="142" s="1"/>
  <c r="I237" i="142" a="1"/>
  <c r="I237" i="142" s="1"/>
  <c r="P162" i="142" a="1"/>
  <c r="P162" i="142" s="1"/>
  <c r="I147" i="142" a="1"/>
  <c r="I147" i="142" s="1"/>
  <c r="P160" i="142" a="1"/>
  <c r="P160" i="142" s="1"/>
  <c r="I336" i="142" a="1"/>
  <c r="I336" i="142" s="1"/>
  <c r="I114" i="142" a="1"/>
  <c r="I114" i="142" s="1"/>
  <c r="I120" i="142" a="1"/>
  <c r="I120" i="142" s="1"/>
  <c r="I38" i="142" a="1"/>
  <c r="I38" i="142" s="1"/>
  <c r="I115" i="142" a="1"/>
  <c r="I115" i="142" s="1"/>
  <c r="I18" i="142" a="1"/>
  <c r="I18" i="142" s="1"/>
  <c r="I116" i="142" a="1"/>
  <c r="I116" i="142" s="1"/>
  <c r="S67" i="133" a="1"/>
  <c r="S67" i="133" s="1"/>
  <c r="S54" i="133" a="1"/>
  <c r="S54" i="133" s="1"/>
  <c r="S44" i="133" a="1"/>
  <c r="S44" i="133" s="1"/>
  <c r="I333" i="142" a="1"/>
  <c r="I333" i="142" s="1"/>
  <c r="S51" i="133" s="1" a="1"/>
  <c r="S51" i="133" s="1"/>
  <c r="I161" i="142" a="1"/>
  <c r="I161" i="142" s="1"/>
  <c r="P124" i="142" a="1"/>
  <c r="P124" i="142" s="1"/>
  <c r="I231" i="142" a="1"/>
  <c r="I231" i="142" s="1"/>
  <c r="P121" i="142" a="1"/>
  <c r="P121" i="142" s="1"/>
  <c r="P169" i="142" a="1"/>
  <c r="P169" i="142" s="1"/>
  <c r="P119" i="142" a="1"/>
  <c r="P119" i="142" s="1"/>
  <c r="I229" i="142" a="1"/>
  <c r="I229" i="142" s="1"/>
  <c r="P113" i="142" a="1"/>
  <c r="P113" i="142" s="1"/>
  <c r="I190" i="142" a="1"/>
  <c r="I190" i="142" s="1"/>
  <c r="I142" i="142" a="1"/>
  <c r="I142" i="142" s="1"/>
  <c r="S50" i="133" s="1" a="1"/>
  <c r="S50" i="133" s="1"/>
  <c r="I236" i="142" a="1"/>
  <c r="I236" i="142" s="1"/>
  <c r="I124" i="142" a="1"/>
  <c r="I124" i="142" s="1"/>
  <c r="I325" i="142" a="1"/>
  <c r="I325" i="142" s="1"/>
  <c r="I134" i="142" a="1"/>
  <c r="I134" i="142" s="1"/>
  <c r="I281" i="142" a="1"/>
  <c r="I281" i="142" s="1"/>
  <c r="I228" i="142" a="1"/>
  <c r="I228" i="142" s="1"/>
  <c r="I145" i="142" a="1"/>
  <c r="I145" i="142" s="1"/>
  <c r="I46" i="142" a="1"/>
  <c r="I46" i="142" s="1"/>
  <c r="I39" i="142" a="1"/>
  <c r="I39" i="142" s="1"/>
  <c r="I93" i="142" a="1"/>
  <c r="I93" i="142" s="1"/>
  <c r="I50" i="142" a="1"/>
  <c r="I50" i="142" s="1"/>
  <c r="S32" i="133" a="1"/>
  <c r="S32" i="133" s="1"/>
  <c r="S29" i="133" a="1"/>
  <c r="S29" i="133" s="1"/>
  <c r="S64" i="133" a="1"/>
  <c r="S64" i="133" s="1"/>
  <c r="I324" i="142" a="1"/>
  <c r="I324" i="142" s="1"/>
  <c r="I181" i="142" a="1"/>
  <c r="I181" i="142" s="1"/>
  <c r="I138" i="142" a="1"/>
  <c r="I138" i="142" s="1"/>
  <c r="P159" i="142" a="1"/>
  <c r="P159" i="142" s="1"/>
  <c r="I123" i="142" a="1"/>
  <c r="I123" i="142" s="1"/>
  <c r="P166" i="142" a="1"/>
  <c r="P166" i="142" s="1"/>
  <c r="I19" i="142" a="1"/>
  <c r="I19" i="142" s="1"/>
  <c r="I182" i="142" a="1"/>
  <c r="I182" i="142" s="1"/>
  <c r="I143" i="142" a="1"/>
  <c r="I143" i="142" s="1"/>
  <c r="P172" i="142" a="1"/>
  <c r="P172" i="142" s="1"/>
  <c r="I139" i="142" a="1"/>
  <c r="I139" i="142" s="1"/>
  <c r="I183" i="142" a="1"/>
  <c r="I183" i="142" s="1"/>
  <c r="I135" i="142" a="1"/>
  <c r="I135" i="142" s="1"/>
  <c r="I288" i="142" a="1"/>
  <c r="I288" i="142" s="1"/>
  <c r="I44" i="142" a="1"/>
  <c r="I44" i="142" s="1"/>
  <c r="I234" i="142" a="1"/>
  <c r="I234" i="142" s="1"/>
  <c r="I151" i="142" a="1"/>
  <c r="I151" i="142" s="1"/>
  <c r="I121" i="142" a="1"/>
  <c r="I121" i="142" s="1"/>
  <c r="I122" i="142" a="1"/>
  <c r="I122" i="142" s="1"/>
  <c r="I47" i="142" a="1"/>
  <c r="I47" i="142" s="1"/>
  <c r="S46" i="133" s="1" a="1"/>
  <c r="S46" i="133" s="1"/>
  <c r="I86" i="142" a="1"/>
  <c r="I86" i="142" s="1"/>
  <c r="P112" i="142" a="1"/>
  <c r="P112" i="142" s="1"/>
  <c r="S30" i="133" a="1"/>
  <c r="S30" i="133" s="1"/>
  <c r="S34" i="133" a="1"/>
  <c r="S34" i="133" s="1"/>
  <c r="S42" i="133" a="1"/>
  <c r="S42" i="133" s="1"/>
  <c r="I323" i="142" a="1"/>
  <c r="I323" i="142" s="1"/>
  <c r="I187" i="142" a="1"/>
  <c r="I187" i="142" s="1"/>
  <c r="I329" i="142" a="1"/>
  <c r="I329" i="142" s="1"/>
  <c r="I171" i="142" a="1"/>
  <c r="I171" i="142" s="1"/>
  <c r="P123" i="142" a="1"/>
  <c r="P123" i="142" s="1"/>
  <c r="I158" i="142" a="1"/>
  <c r="I158" i="142" s="1"/>
  <c r="I332" i="142" a="1"/>
  <c r="I332" i="142" s="1"/>
  <c r="I163" i="142" a="1"/>
  <c r="I163" i="142" s="1"/>
  <c r="P115" i="142" a="1"/>
  <c r="P115" i="142" s="1"/>
  <c r="P161" i="142" a="1"/>
  <c r="P161" i="142" s="1"/>
  <c r="I335" i="142" a="1"/>
  <c r="I335" i="142" s="1"/>
  <c r="I166" i="142" a="1"/>
  <c r="I166" i="142" s="1"/>
  <c r="I133" i="142" a="1"/>
  <c r="I133" i="142" s="1"/>
  <c r="P171" i="142" a="1"/>
  <c r="P171" i="142" s="1"/>
  <c r="I88" i="142" a="1"/>
  <c r="I88" i="142" s="1"/>
  <c r="P164" i="142" a="1"/>
  <c r="P164" i="142" s="1"/>
  <c r="I150" i="142" a="1"/>
  <c r="I150" i="142" s="1"/>
  <c r="I94" i="142" a="1"/>
  <c r="I94" i="142" s="1"/>
  <c r="I87" i="142" a="1"/>
  <c r="I87" i="142" s="1"/>
  <c r="I41" i="142" a="1"/>
  <c r="I41" i="142" s="1"/>
  <c r="I95" i="142" a="1"/>
  <c r="I95" i="142" s="1"/>
  <c r="I42" i="142" a="1"/>
  <c r="I42" i="142" s="1"/>
  <c r="S65" i="133" a="1"/>
  <c r="S65" i="133" s="1"/>
  <c r="S33" i="133" a="1"/>
  <c r="S33" i="133" s="1"/>
  <c r="S20" i="133" a="1"/>
  <c r="S20" i="133" s="1"/>
  <c r="I287" i="142" a="1"/>
  <c r="I287" i="142" s="1"/>
  <c r="I165" i="142" a="1"/>
  <c r="I165" i="142" s="1"/>
  <c r="I289" i="142" a="1"/>
  <c r="I289" i="142" s="1"/>
  <c r="I168" i="142" a="1"/>
  <c r="I168" i="142" s="1"/>
  <c r="I328" i="142" a="1"/>
  <c r="I328" i="142" s="1"/>
  <c r="P173" i="142" a="1"/>
  <c r="P173" i="142" s="1"/>
  <c r="I276" i="142" a="1"/>
  <c r="I276" i="142" s="1"/>
  <c r="I160" i="142" a="1"/>
  <c r="I160" i="142" s="1"/>
  <c r="I331" i="142" a="1"/>
  <c r="I331" i="142" s="1"/>
  <c r="I188" i="142" a="1"/>
  <c r="I188" i="142" s="1"/>
  <c r="I337" i="142" a="1"/>
  <c r="I337" i="142" s="1"/>
  <c r="S74" i="133" s="1" a="1"/>
  <c r="S74" i="133" s="1"/>
  <c r="I157" i="142" a="1"/>
  <c r="I157" i="142" s="1"/>
  <c r="I137" i="142" a="1"/>
  <c r="I137" i="142" s="1"/>
  <c r="I141" i="142" a="1"/>
  <c r="I141" i="142" s="1"/>
  <c r="I326" i="142" a="1"/>
  <c r="I326" i="142" s="1"/>
  <c r="I153" i="142" a="1"/>
  <c r="I153" i="142" s="1"/>
  <c r="I144" i="142" a="1"/>
  <c r="I144" i="142" s="1"/>
  <c r="I132" i="142" a="1"/>
  <c r="I132" i="142" s="1"/>
  <c r="I91" i="142" a="1"/>
  <c r="I91" i="142" s="1"/>
  <c r="I49" i="142" a="1"/>
  <c r="I49" i="142" s="1"/>
  <c r="I17" i="142" a="1"/>
  <c r="I17" i="142" s="1"/>
  <c r="I84" i="142" a="1"/>
  <c r="I84" i="142" s="1"/>
  <c r="I146" i="142" a="1"/>
  <c r="I146" i="142" s="1"/>
  <c r="S73" i="133" s="1" a="1"/>
  <c r="S73" i="133" s="1"/>
  <c r="I232" i="142" a="1"/>
  <c r="I232" i="142" s="1"/>
  <c r="I28" i="142" a="1"/>
  <c r="I28" i="142" s="1"/>
  <c r="I31" i="142" a="1"/>
  <c r="I31" i="142" s="1"/>
  <c r="S68" i="133" s="1" a="1"/>
  <c r="S68" i="133" s="1"/>
  <c r="S6" i="133" a="1"/>
  <c r="S6" i="133" s="1"/>
  <c r="I239" i="142" a="1"/>
  <c r="I239" i="142" s="1"/>
  <c r="I24" i="142" a="1"/>
  <c r="I24" i="142" s="1"/>
  <c r="I43" i="142" a="1"/>
  <c r="I43" i="142" s="1"/>
  <c r="I167" i="142" a="1"/>
  <c r="I167" i="142" s="1"/>
  <c r="I85" i="142" a="1"/>
  <c r="I85" i="142" s="1"/>
  <c r="I23" i="142" a="1"/>
  <c r="I23" i="142" s="1"/>
  <c r="I29" i="142" a="1"/>
  <c r="I29" i="142" s="1"/>
  <c r="I27" i="142" a="1"/>
  <c r="I27" i="142" s="1"/>
  <c r="S45" i="133" s="1" a="1"/>
  <c r="S45" i="133" s="1"/>
  <c r="I277" i="142" a="1"/>
  <c r="I277" i="142" s="1"/>
  <c r="I238" i="142" a="1"/>
  <c r="I238" i="142" s="1"/>
  <c r="S48" i="133" s="1" a="1"/>
  <c r="S48" i="133" s="1"/>
  <c r="I154" i="142" a="1"/>
  <c r="I154" i="142" s="1"/>
  <c r="I20" i="142" a="1"/>
  <c r="I20" i="142" s="1"/>
  <c r="S19" i="133" a="1"/>
  <c r="S19" i="133" s="1"/>
  <c r="I186" i="142" a="1"/>
  <c r="I186" i="142" s="1"/>
  <c r="P165" i="142" a="1"/>
  <c r="P165" i="142" s="1"/>
  <c r="I45" i="142" a="1"/>
  <c r="I45" i="142" s="1"/>
  <c r="I22" i="142" a="1"/>
  <c r="I22" i="142" s="1"/>
  <c r="I30" i="142" a="1"/>
  <c r="I30" i="142" s="1"/>
  <c r="S43" i="133" a="1"/>
  <c r="S43" i="133" s="1"/>
  <c r="I278" i="142" a="1"/>
  <c r="I278" i="142" s="1"/>
  <c r="I279" i="142" a="1"/>
  <c r="I279" i="142" s="1"/>
  <c r="I96" i="142" a="1"/>
  <c r="I96" i="142" s="1"/>
  <c r="I25" i="142" a="1"/>
  <c r="I25" i="142" s="1"/>
  <c r="S17" i="133" a="1"/>
  <c r="S17" i="133" s="1"/>
  <c r="I189" i="142" a="1"/>
  <c r="I189" i="142" s="1"/>
  <c r="I162" i="142" a="1"/>
  <c r="I162" i="142" s="1"/>
  <c r="I48" i="142" a="1"/>
  <c r="I48" i="142" s="1"/>
  <c r="I191" i="142" a="1"/>
  <c r="I191" i="142" s="1"/>
  <c r="S47" i="133" s="1" a="1"/>
  <c r="S47" i="133" s="1"/>
  <c r="I286" i="142" a="1"/>
  <c r="I286" i="142" s="1"/>
  <c r="I90" i="142" a="1"/>
  <c r="I90" i="142" s="1"/>
  <c r="I21" i="142" a="1"/>
  <c r="I21" i="142" s="1"/>
  <c r="I26" i="142" a="1"/>
  <c r="I26" i="142" s="1"/>
  <c r="I155" i="142" a="1"/>
  <c r="I155" i="142" s="1"/>
  <c r="BG16" i="133" a="1"/>
  <c r="BG16" i="133" s="1"/>
  <c r="BG55" i="133" a="1"/>
  <c r="BG55" i="133" s="1"/>
  <c r="BG64" i="133" a="1"/>
  <c r="BG64" i="133" s="1"/>
  <c r="BG8" i="133" a="1"/>
  <c r="BG8" i="133" s="1"/>
  <c r="BG29" i="133" a="1"/>
  <c r="BG29" i="133" s="1"/>
  <c r="BG53" i="133" a="1"/>
  <c r="BG53" i="133" s="1"/>
  <c r="BG54" i="133" a="1"/>
  <c r="BG54" i="133" s="1"/>
  <c r="BG6" i="133" a="1"/>
  <c r="BG6" i="133" s="1"/>
  <c r="BG52" i="133" a="1"/>
  <c r="BG52" i="133" s="1"/>
  <c r="BG20" i="133" a="1"/>
  <c r="BG20" i="133" s="1"/>
  <c r="BG42" i="133" a="1"/>
  <c r="BG42" i="133" s="1"/>
  <c r="BG34" i="133" a="1"/>
  <c r="BG34" i="133" s="1"/>
  <c r="BG43" i="133" a="1"/>
  <c r="BG43" i="133" s="1"/>
  <c r="BG21" i="133" a="1"/>
  <c r="BG21" i="133" s="1"/>
  <c r="BG65" i="133" a="1"/>
  <c r="BG65" i="133" s="1"/>
  <c r="BG63" i="133" a="1"/>
  <c r="BG63" i="133" s="1"/>
  <c r="BG19" i="133" a="1"/>
  <c r="BG19" i="133" s="1"/>
  <c r="BG67" i="133" a="1"/>
  <c r="BG67" i="133" s="1"/>
  <c r="BG32" i="133" a="1"/>
  <c r="BG32" i="133" s="1"/>
  <c r="BG31" i="133" a="1"/>
  <c r="BG31" i="133" s="1"/>
  <c r="BG33" i="133" a="1"/>
  <c r="BG33" i="133" s="1"/>
  <c r="BG17" i="133" a="1"/>
  <c r="BG17" i="133" s="1"/>
  <c r="BG18" i="133" a="1"/>
  <c r="BG18" i="133" s="1"/>
  <c r="BG30" i="133" a="1"/>
  <c r="BG30" i="133" s="1"/>
  <c r="BG66" i="133" a="1"/>
  <c r="BG66" i="133" s="1"/>
  <c r="BG44" i="133" a="1"/>
  <c r="BG44" i="133" s="1"/>
  <c r="BG7" i="133" a="1"/>
  <c r="BG7" i="133" s="1"/>
  <c r="M23" i="140" a="1"/>
  <c r="M23" i="140" s="1"/>
  <c r="L26" i="140" a="1"/>
  <c r="L26" i="140" s="1"/>
  <c r="L23" i="140" a="1"/>
  <c r="L23" i="140" s="1"/>
  <c r="N26" i="140" a="1"/>
  <c r="N26" i="140" s="1"/>
  <c r="O27" i="140" a="1"/>
  <c r="O27" i="140" s="1"/>
  <c r="N25" i="140" a="1"/>
  <c r="N25" i="140" s="1"/>
  <c r="O24" i="140" a="1"/>
  <c r="O24" i="140" s="1"/>
  <c r="M24" i="140" a="1"/>
  <c r="M24" i="140" s="1"/>
  <c r="M26" i="140" a="1"/>
  <c r="M26" i="140" s="1"/>
  <c r="O25" i="140" a="1"/>
  <c r="O25" i="140" s="1"/>
  <c r="L25" i="140" a="1"/>
  <c r="L25" i="140" s="1"/>
  <c r="O23" i="140" a="1"/>
  <c r="O23" i="140" s="1"/>
  <c r="N23" i="140" a="1"/>
  <c r="N23" i="140" s="1"/>
  <c r="L24" i="140" a="1"/>
  <c r="L24" i="140" s="1"/>
  <c r="O26" i="140" a="1"/>
  <c r="O26" i="140" s="1"/>
  <c r="L27" i="140" a="1"/>
  <c r="L27" i="140" s="1"/>
  <c r="N27" i="140" a="1"/>
  <c r="N27" i="140" s="1"/>
  <c r="N24" i="140" a="1"/>
  <c r="N24" i="140" s="1"/>
  <c r="M27" i="140" a="1"/>
  <c r="M27" i="140" s="1"/>
  <c r="M25" i="140" a="1"/>
  <c r="M25" i="140" s="1"/>
  <c r="H26" i="140" a="1"/>
  <c r="H26" i="140" s="1"/>
  <c r="H23" i="140" a="1"/>
  <c r="H23" i="140" s="1"/>
  <c r="K25" i="140" a="1"/>
  <c r="K25" i="140" s="1"/>
  <c r="J27" i="140" a="1"/>
  <c r="J27" i="140" s="1"/>
  <c r="K27" i="140" a="1"/>
  <c r="K27" i="140" s="1"/>
  <c r="I27" i="140" a="1"/>
  <c r="I27" i="140" s="1"/>
  <c r="J26" i="140" a="1"/>
  <c r="J26" i="140" s="1"/>
  <c r="H25" i="140" a="1"/>
  <c r="H25" i="140" s="1"/>
  <c r="H27" i="140" a="1"/>
  <c r="H27" i="140" s="1"/>
  <c r="I24" i="140" a="1"/>
  <c r="I24" i="140" s="1"/>
  <c r="J25" i="140" a="1"/>
  <c r="J25" i="140" s="1"/>
  <c r="I23" i="140" a="1"/>
  <c r="I23" i="140" s="1"/>
  <c r="K24" i="140" a="1"/>
  <c r="K24" i="140" s="1"/>
  <c r="J24" i="140" a="1"/>
  <c r="J24" i="140" s="1"/>
  <c r="I26" i="140" a="1"/>
  <c r="I26" i="140" s="1"/>
  <c r="K23" i="140" a="1"/>
  <c r="K23" i="140" s="1"/>
  <c r="J23" i="140" a="1"/>
  <c r="J23" i="140" s="1"/>
  <c r="H24" i="140" a="1"/>
  <c r="H24" i="140" s="1"/>
  <c r="I25" i="140" a="1"/>
  <c r="I25" i="140" s="1"/>
  <c r="K26" i="140" a="1"/>
  <c r="K26" i="140" s="1"/>
  <c r="M14" i="140" a="1"/>
  <c r="M14" i="140" s="1"/>
  <c r="O15" i="140" a="1"/>
  <c r="O15" i="140" s="1"/>
  <c r="N14" i="140" a="1"/>
  <c r="N14" i="140" s="1"/>
  <c r="N15" i="140" a="1"/>
  <c r="N15" i="140" s="1"/>
  <c r="M15" i="140" a="1"/>
  <c r="M15" i="140" s="1"/>
  <c r="L15" i="140" a="1"/>
  <c r="L15" i="140" s="1"/>
  <c r="L14" i="140" a="1"/>
  <c r="L14" i="140" s="1"/>
  <c r="O14" i="140" a="1"/>
  <c r="O14" i="140" s="1"/>
  <c r="K14" i="140" a="1"/>
  <c r="K14" i="140" s="1"/>
  <c r="I15" i="140" a="1"/>
  <c r="I15" i="140" s="1"/>
  <c r="K15" i="140" a="1"/>
  <c r="K15" i="140" s="1"/>
  <c r="I14" i="140" a="1"/>
  <c r="I14" i="140" s="1"/>
  <c r="J15" i="140" a="1"/>
  <c r="J15" i="140" s="1"/>
  <c r="H15" i="140" a="1"/>
  <c r="H15" i="140" s="1"/>
  <c r="J14" i="140" a="1"/>
  <c r="J14" i="140" s="1"/>
  <c r="H14" i="140" a="1"/>
  <c r="H14" i="140" s="1"/>
  <c r="I12" i="140" a="1"/>
  <c r="I12" i="140" s="1"/>
  <c r="H13" i="140" a="1"/>
  <c r="H13" i="140" s="1"/>
  <c r="K12" i="140" a="1"/>
  <c r="K12" i="140" s="1"/>
  <c r="I13" i="140" a="1"/>
  <c r="I13" i="140" s="1"/>
  <c r="J12" i="140" a="1"/>
  <c r="J12" i="140" s="1"/>
  <c r="J11" i="140" a="1"/>
  <c r="J11" i="140" s="1"/>
  <c r="I11" i="140" a="1"/>
  <c r="I11" i="140" s="1"/>
  <c r="H12" i="140" a="1"/>
  <c r="H12" i="140" s="1"/>
  <c r="J10" i="140" a="1"/>
  <c r="J10" i="140" s="1"/>
  <c r="K13" i="140" a="1"/>
  <c r="K13" i="140" s="1"/>
  <c r="K10" i="140" a="1"/>
  <c r="K10" i="140" s="1"/>
  <c r="H10" i="140" a="1"/>
  <c r="H10" i="140" s="1"/>
  <c r="H11" i="140" a="1"/>
  <c r="H11" i="140" s="1"/>
  <c r="J13" i="140" a="1"/>
  <c r="J13" i="140" s="1"/>
  <c r="K11" i="140" a="1"/>
  <c r="K11" i="140" s="1"/>
  <c r="I10" i="140" a="1"/>
  <c r="I10" i="140" s="1"/>
  <c r="O12" i="140" a="1"/>
  <c r="O12" i="140" s="1"/>
  <c r="N10" i="140" a="1"/>
  <c r="N10" i="140" s="1"/>
  <c r="M13" i="140" a="1"/>
  <c r="M13" i="140" s="1"/>
  <c r="N12" i="140" a="1"/>
  <c r="N12" i="140" s="1"/>
  <c r="N11" i="140" a="1"/>
  <c r="N11" i="140" s="1"/>
  <c r="L12" i="140" a="1"/>
  <c r="L12" i="140" s="1"/>
  <c r="M11" i="140" a="1"/>
  <c r="M11" i="140" s="1"/>
  <c r="M10" i="140" a="1"/>
  <c r="M10" i="140" s="1"/>
  <c r="L10" i="140" a="1"/>
  <c r="L10" i="140" s="1"/>
  <c r="O11" i="140" a="1"/>
  <c r="O11" i="140" s="1"/>
  <c r="L13" i="140" a="1"/>
  <c r="L13" i="140" s="1"/>
  <c r="O10" i="140" a="1"/>
  <c r="O10" i="140" s="1"/>
  <c r="O13" i="140" a="1"/>
  <c r="O13" i="140" s="1"/>
  <c r="N13" i="140" a="1"/>
  <c r="N13" i="140" s="1"/>
  <c r="L11" i="140" a="1"/>
  <c r="L11" i="140" s="1"/>
  <c r="M12" i="140" a="1"/>
  <c r="M12" i="140" s="1"/>
  <c r="N22" i="140" a="1"/>
  <c r="N22" i="140" s="1"/>
  <c r="O19" i="140" a="1"/>
  <c r="O19" i="140" s="1"/>
  <c r="N21" i="140" a="1"/>
  <c r="N21" i="140" s="1"/>
  <c r="N19" i="140" a="1"/>
  <c r="N19" i="140" s="1"/>
  <c r="O22" i="140" a="1"/>
  <c r="O22" i="140" s="1"/>
  <c r="O21" i="140" a="1"/>
  <c r="O21" i="140" s="1"/>
  <c r="M19" i="140" a="1"/>
  <c r="M19" i="140" s="1"/>
  <c r="L19" i="140" a="1"/>
  <c r="L19" i="140" s="1"/>
  <c r="L22" i="140" a="1"/>
  <c r="L22" i="140" s="1"/>
  <c r="M22" i="140" a="1"/>
  <c r="M22" i="140" s="1"/>
  <c r="L20" i="140" a="1"/>
  <c r="L20" i="140" s="1"/>
  <c r="M21" i="140" a="1"/>
  <c r="M21" i="140" s="1"/>
  <c r="M20" i="140" a="1"/>
  <c r="M20" i="140" s="1"/>
  <c r="O20" i="140" a="1"/>
  <c r="O20" i="140" s="1"/>
  <c r="L21" i="140" a="1"/>
  <c r="L21" i="140" s="1"/>
  <c r="N20" i="140" a="1"/>
  <c r="N20" i="140" s="1"/>
  <c r="H19" i="140" a="1"/>
  <c r="H19" i="140" s="1"/>
  <c r="K21" i="140" a="1"/>
  <c r="K21" i="140" s="1"/>
  <c r="I19" i="140" a="1"/>
  <c r="I19" i="140" s="1"/>
  <c r="I22" i="140" a="1"/>
  <c r="I22" i="140" s="1"/>
  <c r="J19" i="140" a="1"/>
  <c r="J19" i="140" s="1"/>
  <c r="H20" i="140" a="1"/>
  <c r="H20" i="140" s="1"/>
  <c r="J20" i="140" a="1"/>
  <c r="J20" i="140" s="1"/>
  <c r="K19" i="140" a="1"/>
  <c r="K19" i="140" s="1"/>
  <c r="H22" i="140" a="1"/>
  <c r="H22" i="140" s="1"/>
  <c r="H21" i="140" a="1"/>
  <c r="H21" i="140" s="1"/>
  <c r="J21" i="140" a="1"/>
  <c r="J21" i="140" s="1"/>
  <c r="K20" i="140" a="1"/>
  <c r="K20" i="140" s="1"/>
  <c r="K22" i="140" a="1"/>
  <c r="K22" i="140" s="1"/>
  <c r="J22" i="140" a="1"/>
  <c r="J22" i="140" s="1"/>
  <c r="I21" i="140" a="1"/>
  <c r="I21" i="140" s="1"/>
  <c r="I20" i="140" a="1"/>
  <c r="I20" i="140" s="1"/>
  <c r="AH7" i="141" a="1"/>
  <c r="AH7" i="141" s="1"/>
  <c r="AI5" i="141" a="1"/>
  <c r="AI5" i="141" s="1"/>
  <c r="AK7" i="141" a="1"/>
  <c r="AK7" i="141" s="1"/>
  <c r="AK5" i="141" a="1"/>
  <c r="AK5" i="141" s="1"/>
  <c r="AJ6" i="141" a="1"/>
  <c r="AJ6" i="141" s="1"/>
  <c r="AK6" i="141" a="1"/>
  <c r="AK6" i="141" s="1"/>
  <c r="AJ5" i="141" a="1"/>
  <c r="AJ5" i="141" s="1"/>
  <c r="AI7" i="141" a="1"/>
  <c r="AI7" i="141" s="1"/>
  <c r="AJ7" i="141" a="1"/>
  <c r="AJ7" i="141" s="1"/>
  <c r="AI6" i="141" a="1"/>
  <c r="AI6" i="141" s="1"/>
  <c r="AH5" i="141" a="1"/>
  <c r="AH5" i="141" s="1"/>
  <c r="AH6" i="141" a="1"/>
  <c r="AH6" i="141" s="1"/>
  <c r="J17" i="140" a="1"/>
  <c r="J17" i="140" s="1"/>
  <c r="I16" i="140" a="1"/>
  <c r="I16" i="140" s="1"/>
  <c r="I18" i="140" a="1"/>
  <c r="I18" i="140" s="1"/>
  <c r="J16" i="140" a="1"/>
  <c r="J16" i="140" s="1"/>
  <c r="J18" i="140" a="1"/>
  <c r="J18" i="140" s="1"/>
  <c r="H18" i="140" a="1"/>
  <c r="H18" i="140" s="1"/>
  <c r="H16" i="140" a="1"/>
  <c r="H16" i="140" s="1"/>
  <c r="K16" i="140" a="1"/>
  <c r="K16" i="140" s="1"/>
  <c r="K18" i="140" a="1"/>
  <c r="K18" i="140" s="1"/>
  <c r="K17" i="140" a="1"/>
  <c r="K17" i="140" s="1"/>
  <c r="I17" i="140" a="1"/>
  <c r="I17" i="140" s="1"/>
  <c r="H17" i="140" a="1"/>
  <c r="H17" i="140" s="1"/>
  <c r="N16" i="140" a="1"/>
  <c r="N16" i="140" s="1"/>
  <c r="N17" i="140" a="1"/>
  <c r="N17" i="140" s="1"/>
  <c r="L16" i="140" a="1"/>
  <c r="L16" i="140" s="1"/>
  <c r="L17" i="140" a="1"/>
  <c r="L17" i="140" s="1"/>
  <c r="M18" i="140" a="1"/>
  <c r="M18" i="140" s="1"/>
  <c r="O17" i="140" a="1"/>
  <c r="O17" i="140" s="1"/>
  <c r="O16" i="140" a="1"/>
  <c r="O16" i="140" s="1"/>
  <c r="M16" i="140" a="1"/>
  <c r="M16" i="140" s="1"/>
  <c r="O18" i="140" a="1"/>
  <c r="O18" i="140" s="1"/>
  <c r="M17" i="140" a="1"/>
  <c r="M17" i="140" s="1"/>
  <c r="N18" i="140" a="1"/>
  <c r="N18" i="140" s="1"/>
  <c r="L18" i="140" a="1"/>
  <c r="L18" i="140" s="1"/>
  <c r="I9" i="140" a="1"/>
  <c r="I9" i="140" s="1"/>
  <c r="H9" i="140" a="1"/>
  <c r="H9" i="140" s="1"/>
  <c r="J8" i="140" a="1"/>
  <c r="J8" i="140" s="1"/>
  <c r="K6" i="140" a="1"/>
  <c r="K6" i="140" s="1"/>
  <c r="H7" i="140" a="1"/>
  <c r="H7" i="140" s="1"/>
  <c r="H4" i="140" a="1"/>
  <c r="H4" i="140" s="1"/>
  <c r="K8" i="140" a="1"/>
  <c r="K8" i="140" s="1"/>
  <c r="J6" i="140" a="1"/>
  <c r="J6" i="140" s="1"/>
  <c r="I4" i="140" a="1"/>
  <c r="I4" i="140" s="1"/>
  <c r="K4" i="140" a="1"/>
  <c r="K4" i="140" s="1"/>
  <c r="I6" i="140" a="1"/>
  <c r="I6" i="140" s="1"/>
  <c r="K7" i="140" a="1"/>
  <c r="K7" i="140" s="1"/>
  <c r="I8" i="140" a="1"/>
  <c r="I8" i="140" s="1"/>
  <c r="J4" i="140" a="1"/>
  <c r="J4" i="140" s="1"/>
  <c r="H6" i="140" a="1"/>
  <c r="H6" i="140" s="1"/>
  <c r="K9" i="140" a="1"/>
  <c r="K9" i="140" s="1"/>
  <c r="J7" i="140" a="1"/>
  <c r="J7" i="140" s="1"/>
  <c r="K5" i="140" a="1"/>
  <c r="K5" i="140" s="1"/>
  <c r="H8" i="140" a="1"/>
  <c r="H8" i="140" s="1"/>
  <c r="I7" i="140" a="1"/>
  <c r="I7" i="140" s="1"/>
  <c r="J9" i="140" a="1"/>
  <c r="J9" i="140" s="1"/>
  <c r="H5" i="140" a="1"/>
  <c r="H5" i="140" s="1"/>
  <c r="J5" i="140" a="1"/>
  <c r="J5" i="140" s="1"/>
  <c r="I5" i="140" a="1"/>
  <c r="I5" i="140" s="1"/>
  <c r="M8" i="140" a="1"/>
  <c r="M8" i="140" s="1"/>
  <c r="O6" i="140" a="1"/>
  <c r="O6" i="140" s="1"/>
  <c r="O5" i="140" a="1"/>
  <c r="O5" i="140" s="1"/>
  <c r="O4" i="140" a="1"/>
  <c r="O4" i="140" s="1"/>
  <c r="N6" i="140" a="1"/>
  <c r="N6" i="140" s="1"/>
  <c r="M6" i="140" a="1"/>
  <c r="M6" i="140" s="1"/>
  <c r="N5" i="140" a="1"/>
  <c r="N5" i="140" s="1"/>
  <c r="N4" i="140" a="1"/>
  <c r="N4" i="140" s="1"/>
  <c r="L6" i="140" a="1"/>
  <c r="L6" i="140" s="1"/>
  <c r="M4" i="140" a="1"/>
  <c r="M4" i="140" s="1"/>
  <c r="M7" i="140" a="1"/>
  <c r="M7" i="140" s="1"/>
  <c r="L8" i="140" a="1"/>
  <c r="L8" i="140" s="1"/>
  <c r="M5" i="140" a="1"/>
  <c r="M5" i="140" s="1"/>
  <c r="L5" i="140" a="1"/>
  <c r="L5" i="140" s="1"/>
  <c r="N8" i="140" a="1"/>
  <c r="N8" i="140" s="1"/>
  <c r="O8" i="140" a="1"/>
  <c r="O8" i="140" s="1"/>
  <c r="N7" i="140" a="1"/>
  <c r="N7" i="140" s="1"/>
  <c r="L9" i="140" a="1"/>
  <c r="L9" i="140" s="1"/>
  <c r="L7" i="140" a="1"/>
  <c r="L7" i="140" s="1"/>
  <c r="O9" i="140" a="1"/>
  <c r="O9" i="140" s="1"/>
  <c r="N9" i="140" a="1"/>
  <c r="N9" i="140" s="1"/>
  <c r="O7" i="140" a="1"/>
  <c r="O7" i="140" s="1"/>
  <c r="M9" i="140" a="1"/>
  <c r="M9" i="140" s="1"/>
  <c r="L4" i="140" a="1"/>
  <c r="L4" i="140" s="1"/>
  <c r="G320" i="142"/>
  <c r="G273" i="142"/>
  <c r="G178" i="142"/>
  <c r="G225" i="142"/>
  <c r="G129" i="142"/>
  <c r="G81" i="142"/>
  <c r="G34" i="142"/>
  <c r="BG517" i="131"/>
  <c r="BG403" i="131"/>
  <c r="BG63" i="130"/>
  <c r="BG219" i="131"/>
  <c r="U9" i="130"/>
  <c r="Z225" i="131"/>
  <c r="AF225" i="131"/>
  <c r="AG225" i="131"/>
  <c r="AL225" i="131"/>
  <c r="Y225" i="131"/>
  <c r="R3" i="133"/>
  <c r="S2" i="133" s="1"/>
  <c r="S3" i="133" s="1"/>
  <c r="T2" i="133" s="1"/>
  <c r="P226" i="131"/>
  <c r="AU118" i="131"/>
  <c r="AU225" i="131" s="1"/>
  <c r="AU333" i="131" s="1"/>
  <c r="AU440" i="131" s="1"/>
  <c r="AU547" i="131" s="1"/>
  <c r="AT118" i="131"/>
  <c r="AT225" i="131" s="1"/>
  <c r="AT333" i="131" s="1"/>
  <c r="AT440" i="131" s="1"/>
  <c r="AT547" i="131" s="1"/>
  <c r="M18" i="1"/>
  <c r="W18" i="1" s="1"/>
  <c r="N18" i="98"/>
  <c r="N25" i="98"/>
  <c r="V25" i="98"/>
  <c r="V24" i="98"/>
  <c r="N24" i="98"/>
  <c r="N13" i="98"/>
  <c r="AH118" i="130" s="1"/>
  <c r="V13" i="98"/>
  <c r="X10" i="98" s="1"/>
  <c r="W10" i="98" s="1"/>
  <c r="V23" i="98"/>
  <c r="N23" i="98"/>
  <c r="V22" i="98"/>
  <c r="N22" i="98"/>
  <c r="V21" i="98"/>
  <c r="X18" i="98" s="1"/>
  <c r="W18" i="98" s="1"/>
  <c r="N21" i="98"/>
  <c r="AJ127" i="130"/>
  <c r="AJ121" i="130"/>
  <c r="AJ164" i="130"/>
  <c r="AJ122" i="130"/>
  <c r="AJ165" i="130"/>
  <c r="AJ160" i="130"/>
  <c r="AJ146" i="130"/>
  <c r="AQ143" i="130"/>
  <c r="AQ136" i="130"/>
  <c r="AQ140" i="130"/>
  <c r="AQ164" i="130"/>
  <c r="AQ144" i="130"/>
  <c r="AQ160" i="130"/>
  <c r="AQ142" i="130"/>
  <c r="AQ165" i="130"/>
  <c r="AQ155" i="130"/>
  <c r="AC152" i="130"/>
  <c r="AC143" i="130"/>
  <c r="AC130" i="130"/>
  <c r="AC169" i="130"/>
  <c r="AC139" i="130"/>
  <c r="AJ133" i="130"/>
  <c r="AJ130" i="130"/>
  <c r="AJ167" i="130"/>
  <c r="AJ158" i="130"/>
  <c r="AJ157" i="130"/>
  <c r="AJ124" i="130"/>
  <c r="AQ152" i="130"/>
  <c r="AQ132" i="130"/>
  <c r="AQ151" i="130"/>
  <c r="AQ139" i="130"/>
  <c r="AQ124" i="130"/>
  <c r="AQ154" i="130"/>
  <c r="AC156" i="130"/>
  <c r="AC144" i="130"/>
  <c r="AC128" i="130"/>
  <c r="AC132" i="130"/>
  <c r="AC129" i="130"/>
  <c r="AC170" i="130"/>
  <c r="AC148" i="130"/>
  <c r="AJ143" i="130"/>
  <c r="AJ162" i="130"/>
  <c r="AJ141" i="130"/>
  <c r="AJ129" i="130"/>
  <c r="AJ166" i="130"/>
  <c r="AJ139" i="130"/>
  <c r="AJ131" i="130"/>
  <c r="AQ153" i="130"/>
  <c r="AQ134" i="130"/>
  <c r="AQ128" i="130"/>
  <c r="AQ148" i="130"/>
  <c r="AQ147" i="130"/>
  <c r="AQ131" i="130"/>
  <c r="AQ157" i="130"/>
  <c r="AC133" i="130"/>
  <c r="AC167" i="130"/>
  <c r="AC150" i="130"/>
  <c r="AC126" i="130"/>
  <c r="AC135" i="130"/>
  <c r="AC146" i="130"/>
  <c r="AC131" i="130"/>
  <c r="AC123" i="130"/>
  <c r="AC160" i="130"/>
  <c r="AJ138" i="130"/>
  <c r="AJ128" i="130"/>
  <c r="AJ150" i="130"/>
  <c r="AJ134" i="130"/>
  <c r="AJ126" i="130"/>
  <c r="AJ148" i="130"/>
  <c r="AQ133" i="130"/>
  <c r="AQ141" i="130"/>
  <c r="AQ126" i="130"/>
  <c r="AQ125" i="130"/>
  <c r="AQ163" i="130"/>
  <c r="AC168" i="130"/>
  <c r="AC162" i="130"/>
  <c r="AC165" i="130"/>
  <c r="AC158" i="130"/>
  <c r="AC124" i="130"/>
  <c r="AC157" i="130"/>
  <c r="AC154" i="130"/>
  <c r="AJ156" i="130"/>
  <c r="AJ144" i="130"/>
  <c r="AJ161" i="130"/>
  <c r="AJ149" i="130"/>
  <c r="AJ170" i="130"/>
  <c r="AJ142" i="130"/>
  <c r="AJ147" i="130"/>
  <c r="AJ154" i="130"/>
  <c r="AQ121" i="130"/>
  <c r="AQ138" i="130"/>
  <c r="AQ135" i="130"/>
  <c r="AQ159" i="130"/>
  <c r="AC138" i="130"/>
  <c r="AC149" i="130"/>
  <c r="AC122" i="130"/>
  <c r="AC141" i="130"/>
  <c r="AC147" i="130"/>
  <c r="AC125" i="130"/>
  <c r="AC142" i="130"/>
  <c r="AJ168" i="130"/>
  <c r="AJ169" i="130"/>
  <c r="AJ125" i="130"/>
  <c r="AQ137" i="130"/>
  <c r="AQ167" i="130"/>
  <c r="AQ130" i="130"/>
  <c r="AQ166" i="130"/>
  <c r="AC137" i="130"/>
  <c r="AC134" i="130"/>
  <c r="AC161" i="130"/>
  <c r="AC159" i="130"/>
  <c r="AC166" i="130"/>
  <c r="AC163" i="130"/>
  <c r="AJ153" i="130"/>
  <c r="AJ136" i="130"/>
  <c r="AJ145" i="130"/>
  <c r="AJ132" i="130"/>
  <c r="AJ159" i="130"/>
  <c r="AJ155" i="130"/>
  <c r="AQ149" i="130"/>
  <c r="AQ156" i="130"/>
  <c r="AQ122" i="130"/>
  <c r="AQ150" i="130"/>
  <c r="AQ162" i="130"/>
  <c r="AQ170" i="130"/>
  <c r="AQ169" i="130"/>
  <c r="AC140" i="130"/>
  <c r="AC136" i="130"/>
  <c r="AC151" i="130"/>
  <c r="AC155" i="130"/>
  <c r="AJ140" i="130"/>
  <c r="AJ152" i="130"/>
  <c r="AJ137" i="130"/>
  <c r="AJ151" i="130"/>
  <c r="AJ135" i="130"/>
  <c r="AJ163" i="130"/>
  <c r="AJ123" i="130"/>
  <c r="AQ145" i="130"/>
  <c r="AQ127" i="130"/>
  <c r="AQ168" i="130"/>
  <c r="AQ161" i="130"/>
  <c r="AQ129" i="130"/>
  <c r="AQ146" i="130"/>
  <c r="AQ158" i="130"/>
  <c r="AQ123" i="130"/>
  <c r="AC127" i="130"/>
  <c r="AC121" i="130"/>
  <c r="AC164" i="130"/>
  <c r="AC145" i="130"/>
  <c r="AC153" i="130"/>
  <c r="V120" i="130"/>
  <c r="X120" i="130"/>
  <c r="AQ120" i="130"/>
  <c r="U120" i="130"/>
  <c r="BF120" i="130"/>
  <c r="AB549" i="131"/>
  <c r="AB227" i="131"/>
  <c r="AB442" i="131" s="1"/>
  <c r="AB335" i="131"/>
  <c r="AB120" i="131"/>
  <c r="AE335" i="131"/>
  <c r="AE227" i="131"/>
  <c r="AE442" i="131" s="1"/>
  <c r="AE120" i="131"/>
  <c r="AE549" i="131"/>
  <c r="W120" i="131"/>
  <c r="W549" i="131"/>
  <c r="W335" i="131"/>
  <c r="W227" i="131"/>
  <c r="W442" i="131" s="1"/>
  <c r="AL120" i="131"/>
  <c r="AL335" i="131"/>
  <c r="AL227" i="131"/>
  <c r="AL442" i="131" s="1"/>
  <c r="AL549" i="131"/>
  <c r="AF120" i="130"/>
  <c r="W120" i="130"/>
  <c r="AE120" i="130"/>
  <c r="T120" i="130"/>
  <c r="AN335" i="131"/>
  <c r="AN227" i="131"/>
  <c r="AN442" i="131" s="1"/>
  <c r="AN120" i="131"/>
  <c r="AN549" i="131"/>
  <c r="BF119" i="131"/>
  <c r="BF334" i="131" s="1"/>
  <c r="BF226" i="131"/>
  <c r="AM120" i="131"/>
  <c r="AM549" i="131"/>
  <c r="AM335" i="131"/>
  <c r="AM227" i="131"/>
  <c r="AM442" i="131" s="1"/>
  <c r="AP549" i="131"/>
  <c r="AP335" i="131"/>
  <c r="AP227" i="131"/>
  <c r="AP442" i="131" s="1"/>
  <c r="AP120" i="131"/>
  <c r="AH335" i="131"/>
  <c r="AH549" i="131"/>
  <c r="AH120" i="131"/>
  <c r="AH227" i="131"/>
  <c r="AH442" i="131" s="1"/>
  <c r="A226" i="131"/>
  <c r="A119" i="131"/>
  <c r="Q120" i="130"/>
  <c r="AG120" i="130"/>
  <c r="O119" i="130"/>
  <c r="AL120" i="130"/>
  <c r="P549" i="131"/>
  <c r="P335" i="131"/>
  <c r="P227" i="131"/>
  <c r="P442" i="131" s="1"/>
  <c r="P120" i="131"/>
  <c r="S120" i="131"/>
  <c r="S335" i="131"/>
  <c r="S227" i="131"/>
  <c r="S442" i="131" s="1"/>
  <c r="S549" i="131"/>
  <c r="O119" i="131"/>
  <c r="O334" i="131" s="1"/>
  <c r="O226" i="131"/>
  <c r="BF549" i="131"/>
  <c r="BF227" i="131"/>
  <c r="BF442" i="131" s="1"/>
  <c r="BF335" i="131"/>
  <c r="BF120" i="131"/>
  <c r="Z549" i="131"/>
  <c r="Z335" i="131"/>
  <c r="Z227" i="131"/>
  <c r="Z442" i="131" s="1"/>
  <c r="Z120" i="131"/>
  <c r="N548" i="131"/>
  <c r="N441" i="131"/>
  <c r="Y120" i="130"/>
  <c r="AM120" i="130"/>
  <c r="P120" i="130"/>
  <c r="AH120" i="130"/>
  <c r="BL120" i="130"/>
  <c r="AD120" i="130"/>
  <c r="AD120" i="131"/>
  <c r="AD227" i="131"/>
  <c r="AD442" i="131" s="1"/>
  <c r="AD549" i="131"/>
  <c r="AD335" i="131"/>
  <c r="L226" i="131"/>
  <c r="L119" i="131"/>
  <c r="L334" i="131" s="1"/>
  <c r="AC335" i="131"/>
  <c r="AC227" i="131"/>
  <c r="AC442" i="131" s="1"/>
  <c r="AC120" i="131"/>
  <c r="AC549" i="131"/>
  <c r="U549" i="131"/>
  <c r="U335" i="131"/>
  <c r="U120" i="131"/>
  <c r="U227" i="131"/>
  <c r="U442" i="131" s="1"/>
  <c r="AJ335" i="131"/>
  <c r="AJ549" i="131"/>
  <c r="AJ120" i="131"/>
  <c r="AJ227" i="131"/>
  <c r="AJ442" i="131" s="1"/>
  <c r="M548" i="131"/>
  <c r="M441" i="131"/>
  <c r="AP120" i="130"/>
  <c r="AB120" i="130"/>
  <c r="R120" i="130"/>
  <c r="AC120" i="130"/>
  <c r="BI119" i="130"/>
  <c r="AO120" i="130"/>
  <c r="AF549" i="131"/>
  <c r="AF335" i="131"/>
  <c r="AF227" i="131"/>
  <c r="AF442" i="131" s="1"/>
  <c r="AF120" i="131"/>
  <c r="BI226" i="131"/>
  <c r="BI119" i="131"/>
  <c r="BI334" i="131" s="1"/>
  <c r="AO120" i="131"/>
  <c r="AO227" i="131"/>
  <c r="AO442" i="131" s="1"/>
  <c r="AO549" i="131"/>
  <c r="AO335" i="131"/>
  <c r="AG549" i="131"/>
  <c r="AG120" i="131"/>
  <c r="AG335" i="131"/>
  <c r="AG227" i="131"/>
  <c r="AG442" i="131" s="1"/>
  <c r="BJ226" i="131"/>
  <c r="BJ119" i="131"/>
  <c r="BJ334" i="131" s="1"/>
  <c r="E226" i="131"/>
  <c r="E119" i="131"/>
  <c r="E334" i="131" s="1"/>
  <c r="AN120" i="130"/>
  <c r="Z120" i="130"/>
  <c r="AK120" i="130"/>
  <c r="S120" i="130"/>
  <c r="BG120" i="130"/>
  <c r="AQ549" i="131"/>
  <c r="AQ227" i="131"/>
  <c r="AQ442" i="131" s="1"/>
  <c r="AQ335" i="131"/>
  <c r="AQ120" i="131"/>
  <c r="Y549" i="131"/>
  <c r="Y227" i="131"/>
  <c r="Y442" i="131" s="1"/>
  <c r="Y335" i="131"/>
  <c r="Y120" i="131"/>
  <c r="Q335" i="131"/>
  <c r="Q227" i="131"/>
  <c r="Q442" i="131" s="1"/>
  <c r="Q549" i="131"/>
  <c r="Q120" i="131"/>
  <c r="AJ120" i="130"/>
  <c r="E119" i="130"/>
  <c r="I119" i="130"/>
  <c r="AA120" i="130"/>
  <c r="BF119" i="130"/>
  <c r="V549" i="131"/>
  <c r="V227" i="131"/>
  <c r="V442" i="131" s="1"/>
  <c r="V335" i="131"/>
  <c r="V120" i="131"/>
  <c r="I226" i="131"/>
  <c r="I119" i="131"/>
  <c r="I334" i="131" s="1"/>
  <c r="AI120" i="131"/>
  <c r="AI335" i="131"/>
  <c r="AI549" i="131"/>
  <c r="AI227" i="131"/>
  <c r="AI442" i="131" s="1"/>
  <c r="AA549" i="131"/>
  <c r="AA335" i="131"/>
  <c r="AA227" i="131"/>
  <c r="AA442" i="131" s="1"/>
  <c r="AA120" i="131"/>
  <c r="BJ119" i="130"/>
  <c r="BH119" i="130"/>
  <c r="A119" i="130"/>
  <c r="L119" i="130"/>
  <c r="AI120" i="130"/>
  <c r="X227" i="131"/>
  <c r="X442" i="131" s="1"/>
  <c r="X120" i="131"/>
  <c r="X549" i="131"/>
  <c r="X335" i="131"/>
  <c r="R227" i="131"/>
  <c r="R442" i="131" s="1"/>
  <c r="R120" i="131"/>
  <c r="R549" i="131"/>
  <c r="R335" i="131"/>
  <c r="T227" i="131"/>
  <c r="T442" i="131" s="1"/>
  <c r="T120" i="131"/>
  <c r="T549" i="131"/>
  <c r="T335" i="131"/>
  <c r="BL13" i="131"/>
  <c r="BL549" i="131" s="1"/>
  <c r="BH334" i="131"/>
  <c r="BL335" i="131" s="1"/>
  <c r="BH119" i="131"/>
  <c r="BL120" i="131" s="1"/>
  <c r="BH548" i="131"/>
  <c r="BH226" i="131"/>
  <c r="BL12" i="131"/>
  <c r="BG335" i="131"/>
  <c r="BG227" i="131"/>
  <c r="BG442" i="131" s="1"/>
  <c r="BG120" i="131"/>
  <c r="BG549" i="131"/>
  <c r="AK120" i="131"/>
  <c r="AK549" i="131"/>
  <c r="AK335" i="131"/>
  <c r="AK227" i="131"/>
  <c r="AK442" i="131" s="1"/>
  <c r="BO12" i="131"/>
  <c r="R118" i="130"/>
  <c r="R118" i="131"/>
  <c r="R225" i="131" s="1"/>
  <c r="R333" i="131" s="1"/>
  <c r="R440" i="131" s="1"/>
  <c r="R547" i="131" s="1"/>
  <c r="AF118" i="130"/>
  <c r="S118" i="130"/>
  <c r="AG118" i="130"/>
  <c r="T118" i="130"/>
  <c r="AL118" i="130"/>
  <c r="Y118" i="130"/>
  <c r="Z118" i="130"/>
  <c r="U20" i="1"/>
  <c r="U7" i="83" a="1"/>
  <c r="U7" i="83" s="1"/>
  <c r="T6" i="83"/>
  <c r="S6" i="83"/>
  <c r="R6" i="83"/>
  <c r="N6" i="98"/>
  <c r="X118" i="131" s="1"/>
  <c r="N10" i="98"/>
  <c r="AE118" i="131" s="1"/>
  <c r="N16" i="98"/>
  <c r="AN118" i="131" s="1"/>
  <c r="N2" i="98"/>
  <c r="Q118" i="131" s="1"/>
  <c r="Q225" i="131" s="1"/>
  <c r="Q333" i="131" s="1"/>
  <c r="Q440" i="131" s="1"/>
  <c r="Q547" i="131" s="1"/>
  <c r="N15" i="98"/>
  <c r="N17" i="98"/>
  <c r="N9" i="98"/>
  <c r="V9" i="98"/>
  <c r="X6" i="98" s="1"/>
  <c r="W6" i="98" s="1"/>
  <c r="Q39" i="133" l="1" a="1"/>
  <c r="Q39" i="133" s="1"/>
  <c r="H11" i="142"/>
  <c r="G11" i="142"/>
  <c r="S2" i="141"/>
  <c r="R2" i="141"/>
  <c r="BE66" i="133" a="1"/>
  <c r="BE66" i="133" s="1"/>
  <c r="BI66" i="133" s="1"/>
  <c r="BE54" i="133" a="1"/>
  <c r="BE54" i="133" s="1"/>
  <c r="BI54" i="133" s="1"/>
  <c r="BE8" i="133" a="1"/>
  <c r="BE8" i="133" s="1"/>
  <c r="BI8" i="133" s="1"/>
  <c r="BE33" i="133" a="1"/>
  <c r="BE33" i="133" s="1"/>
  <c r="BI33" i="133" s="1"/>
  <c r="BE18" i="133" a="1"/>
  <c r="BE18" i="133" s="1"/>
  <c r="BI18" i="133" s="1"/>
  <c r="BE53" i="133" a="1"/>
  <c r="BE53" i="133" s="1"/>
  <c r="BI53" i="133" s="1"/>
  <c r="BE67" i="133" a="1"/>
  <c r="BE67" i="133" s="1"/>
  <c r="BI67" i="133" s="1"/>
  <c r="BE64" i="133" a="1"/>
  <c r="BE64" i="133" s="1"/>
  <c r="BI64" i="133" s="1"/>
  <c r="BE43" i="133" a="1"/>
  <c r="BE43" i="133" s="1"/>
  <c r="BI43" i="133" s="1"/>
  <c r="BE29" i="133" a="1"/>
  <c r="BE29" i="133" s="1"/>
  <c r="BI29" i="133" s="1"/>
  <c r="BE16" i="133" a="1"/>
  <c r="BE16" i="133" s="1"/>
  <c r="BI16" i="133" s="1"/>
  <c r="BE42" i="133" a="1"/>
  <c r="BE42" i="133" s="1"/>
  <c r="BI42" i="133" s="1"/>
  <c r="BE21" i="133" a="1"/>
  <c r="BE21" i="133" s="1"/>
  <c r="BI21" i="133" s="1"/>
  <c r="BE65" i="133" a="1"/>
  <c r="BE65" i="133" s="1"/>
  <c r="BI65" i="133" s="1"/>
  <c r="BE30" i="133" a="1"/>
  <c r="BE30" i="133" s="1"/>
  <c r="BI30" i="133" s="1"/>
  <c r="BE6" i="133" a="1"/>
  <c r="BE6" i="133" s="1"/>
  <c r="BE7" i="133" a="1"/>
  <c r="BE7" i="133" s="1"/>
  <c r="BI7" i="133" s="1"/>
  <c r="BE20" i="133" a="1"/>
  <c r="BE20" i="133" s="1"/>
  <c r="BI20" i="133" s="1"/>
  <c r="BE32" i="133" a="1"/>
  <c r="BE32" i="133" s="1"/>
  <c r="BI32" i="133" s="1"/>
  <c r="BE17" i="133" a="1"/>
  <c r="BE17" i="133" s="1"/>
  <c r="BI17" i="133" s="1"/>
  <c r="BE44" i="133" a="1"/>
  <c r="BE44" i="133" s="1"/>
  <c r="BI44" i="133" s="1"/>
  <c r="BE31" i="133" a="1"/>
  <c r="BE31" i="133" s="1"/>
  <c r="BI31" i="133" s="1"/>
  <c r="BE52" i="133" a="1"/>
  <c r="BE52" i="133" s="1"/>
  <c r="BI52" i="133" s="1"/>
  <c r="BE63" i="133" a="1"/>
  <c r="BE63" i="133" s="1"/>
  <c r="BI63" i="133" s="1"/>
  <c r="BE34" i="133" a="1"/>
  <c r="BE34" i="133" s="1"/>
  <c r="BI34" i="133" s="1"/>
  <c r="BE19" i="133" a="1"/>
  <c r="BE19" i="133" s="1"/>
  <c r="BI19" i="133" s="1"/>
  <c r="BE55" i="133" a="1"/>
  <c r="BE55" i="133" s="1"/>
  <c r="BI55" i="133" s="1"/>
  <c r="Q41" i="133" a="1"/>
  <c r="Q41" i="133" s="1"/>
  <c r="S35" i="133" a="1"/>
  <c r="S35" i="133" s="1"/>
  <c r="T41" i="133" a="1"/>
  <c r="T41" i="133" s="1"/>
  <c r="T40" i="133" a="1"/>
  <c r="T40" i="133" s="1"/>
  <c r="R58" i="133" a="1"/>
  <c r="R58" i="133" s="1"/>
  <c r="T39" i="133" a="1"/>
  <c r="T39" i="133" s="1"/>
  <c r="S40" i="133" a="1"/>
  <c r="S40" i="133" s="1"/>
  <c r="S36" i="133" a="1"/>
  <c r="S36" i="133" s="1"/>
  <c r="T10" i="133" a="1"/>
  <c r="T10" i="133" s="1"/>
  <c r="T57" i="133" a="1"/>
  <c r="T57" i="133" s="1"/>
  <c r="S38" i="133" a="1"/>
  <c r="S38" i="133" s="1"/>
  <c r="T35" i="133" a="1"/>
  <c r="T35" i="133" s="1"/>
  <c r="S72" i="133" a="1"/>
  <c r="S72" i="133" s="1"/>
  <c r="S59" i="133" a="1"/>
  <c r="S59" i="133" s="1"/>
  <c r="R14" i="133" a="1"/>
  <c r="R14" i="133" s="1"/>
  <c r="R36" i="133" a="1"/>
  <c r="R36" i="133" s="1"/>
  <c r="Q38" i="133" a="1"/>
  <c r="Q38" i="133" s="1"/>
  <c r="S41" i="133" a="1"/>
  <c r="S41" i="133" s="1"/>
  <c r="R59" i="133" a="1"/>
  <c r="R59" i="133" s="1"/>
  <c r="S37" i="133" a="1"/>
  <c r="S37" i="133" s="1"/>
  <c r="S25" i="133" a="1"/>
  <c r="S25" i="133" s="1"/>
  <c r="T25" i="133" a="1"/>
  <c r="T25" i="133" s="1"/>
  <c r="T36" i="133" a="1"/>
  <c r="T36" i="133" s="1"/>
  <c r="R37" i="133" a="1"/>
  <c r="R37" i="133" s="1"/>
  <c r="Q12" i="133" a="1"/>
  <c r="Q12" i="133" s="1"/>
  <c r="S14" i="133" a="1"/>
  <c r="S14" i="133" s="1"/>
  <c r="S24" i="133" a="1"/>
  <c r="S24" i="133" s="1"/>
  <c r="S10" i="133" a="1"/>
  <c r="S10" i="133" s="1"/>
  <c r="T24" i="133" a="1"/>
  <c r="T24" i="133" s="1"/>
  <c r="T56" i="133" a="1"/>
  <c r="T56" i="133" s="1"/>
  <c r="T28" i="133" a="1"/>
  <c r="T28" i="133" s="1"/>
  <c r="R11" i="133" a="1"/>
  <c r="R11" i="133" s="1"/>
  <c r="Q40" i="133" a="1"/>
  <c r="Q40" i="133" s="1"/>
  <c r="Q22" i="133" a="1"/>
  <c r="Q22" i="133" s="1"/>
  <c r="U31" i="133"/>
  <c r="T37" i="133" a="1"/>
  <c r="T37" i="133" s="1"/>
  <c r="Q35" i="133" a="1"/>
  <c r="Q35" i="133" s="1"/>
  <c r="S61" i="133" a="1"/>
  <c r="S61" i="133" s="1"/>
  <c r="T72" i="133" a="1"/>
  <c r="T72" i="133" s="1"/>
  <c r="R72" i="133" a="1"/>
  <c r="R72" i="133" s="1"/>
  <c r="R60" i="133" a="1"/>
  <c r="R60" i="133" s="1"/>
  <c r="R38" i="133" a="1"/>
  <c r="R38" i="133" s="1"/>
  <c r="U45" i="133"/>
  <c r="U52" i="133"/>
  <c r="U32" i="133"/>
  <c r="U64" i="133"/>
  <c r="Q24" i="133" a="1"/>
  <c r="Q24" i="133" s="1"/>
  <c r="U48" i="133"/>
  <c r="Q58" i="133" a="1"/>
  <c r="Q58" i="133" s="1"/>
  <c r="U21" i="133"/>
  <c r="U73" i="133"/>
  <c r="U47" i="133"/>
  <c r="Q15" i="133" a="1"/>
  <c r="Q15" i="133" s="1"/>
  <c r="Q26" i="133" a="1"/>
  <c r="Q26" i="133" s="1"/>
  <c r="U71" i="133"/>
  <c r="S57" i="133" a="1"/>
  <c r="S57" i="133" s="1"/>
  <c r="S13" i="133" a="1"/>
  <c r="S13" i="133" s="1"/>
  <c r="S12" i="133" a="1"/>
  <c r="S12" i="133" s="1"/>
  <c r="S58" i="133" a="1"/>
  <c r="S58" i="133" s="1"/>
  <c r="T14" i="133" a="1"/>
  <c r="T14" i="133" s="1"/>
  <c r="T61" i="133" a="1"/>
  <c r="T61" i="133" s="1"/>
  <c r="T49" i="133" a="1"/>
  <c r="T49" i="133" s="1"/>
  <c r="T62" i="133" a="1"/>
  <c r="T62" i="133" s="1"/>
  <c r="R57" i="133" a="1"/>
  <c r="R57" i="133" s="1"/>
  <c r="R22" i="133" a="1"/>
  <c r="R22" i="133" s="1"/>
  <c r="R49" i="133" a="1"/>
  <c r="R49" i="133" s="1"/>
  <c r="R39" i="133" a="1"/>
  <c r="R39" i="133" s="1"/>
  <c r="R12" i="133" a="1"/>
  <c r="R12" i="133" s="1"/>
  <c r="R27" i="133" a="1"/>
  <c r="R27" i="133" s="1"/>
  <c r="U29" i="133"/>
  <c r="U55" i="133"/>
  <c r="Q14" i="133" a="1"/>
  <c r="Q14" i="133" s="1"/>
  <c r="Q72" i="133" a="1"/>
  <c r="Q72" i="133" s="1"/>
  <c r="U65" i="133"/>
  <c r="U43" i="133"/>
  <c r="U7" i="133"/>
  <c r="S9" i="133" a="1"/>
  <c r="S9" i="133" s="1"/>
  <c r="S22" i="133" a="1"/>
  <c r="S22" i="133" s="1"/>
  <c r="T11" i="133" a="1"/>
  <c r="T11" i="133" s="1"/>
  <c r="T60" i="133" a="1"/>
  <c r="T60" i="133" s="1"/>
  <c r="T15" i="133" a="1"/>
  <c r="T15" i="133" s="1"/>
  <c r="T59" i="133" a="1"/>
  <c r="T59" i="133" s="1"/>
  <c r="BH1" i="133"/>
  <c r="R24" i="133" a="1"/>
  <c r="R24" i="133" s="1"/>
  <c r="R35" i="133" a="1"/>
  <c r="R35" i="133" s="1"/>
  <c r="U44" i="133"/>
  <c r="Q37" i="133" a="1"/>
  <c r="Q37" i="133" s="1"/>
  <c r="U33" i="133"/>
  <c r="U16" i="133"/>
  <c r="U54" i="133"/>
  <c r="U34" i="133"/>
  <c r="BG1" i="133"/>
  <c r="S60" i="133" a="1"/>
  <c r="S60" i="133" s="1"/>
  <c r="S27" i="133" a="1"/>
  <c r="S27" i="133" s="1"/>
  <c r="T26" i="133" a="1"/>
  <c r="T26" i="133" s="1"/>
  <c r="R23" i="133" a="1"/>
  <c r="R23" i="133" s="1"/>
  <c r="R15" i="133" a="1"/>
  <c r="R15" i="133" s="1"/>
  <c r="Q27" i="133" a="1"/>
  <c r="Q27" i="133" s="1"/>
  <c r="U51" i="133"/>
  <c r="U42" i="133"/>
  <c r="U17" i="133"/>
  <c r="Q56" i="133" a="1"/>
  <c r="Q56" i="133" s="1"/>
  <c r="Q36" i="133" a="1"/>
  <c r="Q36" i="133" s="1"/>
  <c r="U67" i="133"/>
  <c r="S26" i="133" a="1"/>
  <c r="S26" i="133" s="1"/>
  <c r="S28" i="133" a="1"/>
  <c r="S28" i="133" s="1"/>
  <c r="S39" i="133" a="1"/>
  <c r="S39" i="133" s="1"/>
  <c r="S62" i="133" a="1"/>
  <c r="S62" i="133" s="1"/>
  <c r="T27" i="133" a="1"/>
  <c r="T27" i="133" s="1"/>
  <c r="T38" i="133" a="1"/>
  <c r="T38" i="133" s="1"/>
  <c r="R25" i="133" a="1"/>
  <c r="R25" i="133" s="1"/>
  <c r="R13" i="133" a="1"/>
  <c r="R13" i="133" s="1"/>
  <c r="R26" i="133" a="1"/>
  <c r="R26" i="133" s="1"/>
  <c r="R41" i="133" a="1"/>
  <c r="R41" i="133" s="1"/>
  <c r="Q61" i="133" a="1"/>
  <c r="Q61" i="133" s="1"/>
  <c r="Q59" i="133" a="1"/>
  <c r="Q59" i="133" s="1"/>
  <c r="Q62" i="133" a="1"/>
  <c r="Q62" i="133" s="1"/>
  <c r="U66" i="133"/>
  <c r="Q9" i="133" a="1"/>
  <c r="Q9" i="133" s="1"/>
  <c r="U70" i="133"/>
  <c r="Q69" i="133" a="1"/>
  <c r="Q69" i="133" s="1"/>
  <c r="U69" i="133" s="1"/>
  <c r="K51" i="142"/>
  <c r="U19" i="133"/>
  <c r="S56" i="133" a="1"/>
  <c r="S56" i="133" s="1"/>
  <c r="S49" i="133" a="1"/>
  <c r="S49" i="133" s="1"/>
  <c r="S23" i="133" a="1"/>
  <c r="S23" i="133" s="1"/>
  <c r="T13" i="133" a="1"/>
  <c r="T13" i="133" s="1"/>
  <c r="BF1" i="133"/>
  <c r="R62" i="133" a="1"/>
  <c r="R62" i="133" s="1"/>
  <c r="R10" i="133" a="1"/>
  <c r="R10" i="133" s="1"/>
  <c r="Q23" i="133" a="1"/>
  <c r="Q23" i="133" s="1"/>
  <c r="Q28" i="133" a="1"/>
  <c r="Q28" i="133" s="1"/>
  <c r="U30" i="133"/>
  <c r="Q11" i="133" a="1"/>
  <c r="Q11" i="133" s="1"/>
  <c r="Q60" i="133" a="1"/>
  <c r="Q60" i="133" s="1"/>
  <c r="U46" i="133"/>
  <c r="Q13" i="133" a="1"/>
  <c r="Q13" i="133" s="1"/>
  <c r="U63" i="133"/>
  <c r="Q25" i="133" a="1"/>
  <c r="Q25" i="133" s="1"/>
  <c r="Q10" i="133" a="1"/>
  <c r="Q10" i="133" s="1"/>
  <c r="S15" i="133" a="1"/>
  <c r="S15" i="133" s="1"/>
  <c r="S11" i="133" a="1"/>
  <c r="S11" i="133" s="1"/>
  <c r="T23" i="133" a="1"/>
  <c r="T23" i="133" s="1"/>
  <c r="T22" i="133" a="1"/>
  <c r="T22" i="133" s="1"/>
  <c r="T12" i="133" a="1"/>
  <c r="T12" i="133" s="1"/>
  <c r="T9" i="133" a="1"/>
  <c r="T9" i="133" s="1"/>
  <c r="T58" i="133" a="1"/>
  <c r="T58" i="133" s="1"/>
  <c r="R9" i="133" a="1"/>
  <c r="R9" i="133" s="1"/>
  <c r="R28" i="133" a="1"/>
  <c r="R28" i="133" s="1"/>
  <c r="R56" i="133" a="1"/>
  <c r="R56" i="133" s="1"/>
  <c r="R61" i="133" a="1"/>
  <c r="R61" i="133" s="1"/>
  <c r="R40" i="133" a="1"/>
  <c r="R40" i="133" s="1"/>
  <c r="K18" i="142"/>
  <c r="U53" i="133"/>
  <c r="U68" i="133"/>
  <c r="U74" i="133"/>
  <c r="U20" i="133"/>
  <c r="U50" i="133"/>
  <c r="Q57" i="133" a="1"/>
  <c r="Q57" i="133" s="1"/>
  <c r="U8" i="133"/>
  <c r="U18" i="133"/>
  <c r="Q49" i="133" a="1"/>
  <c r="Q49" i="133" s="1"/>
  <c r="AH8" i="141" a="1"/>
  <c r="AH8" i="141" s="1"/>
  <c r="AH41" i="141" a="1"/>
  <c r="AH41" i="141" s="1"/>
  <c r="AH44" i="141" a="1"/>
  <c r="AH44" i="141" s="1"/>
  <c r="AH43" i="141" a="1"/>
  <c r="AH43" i="141" s="1"/>
  <c r="AH42" i="141" a="1"/>
  <c r="AH42" i="141" s="1"/>
  <c r="AH40" i="141" a="1"/>
  <c r="AH40" i="141" s="1"/>
  <c r="BG492" i="131"/>
  <c r="AF24" i="141" a="1"/>
  <c r="AF24" i="141" s="1"/>
  <c r="AB26" i="141" a="1"/>
  <c r="AB26" i="141" s="1"/>
  <c r="X25" i="141" a="1"/>
  <c r="X25" i="141" s="1"/>
  <c r="AB27" i="141" a="1"/>
  <c r="AB27" i="141" s="1"/>
  <c r="X28" i="141" a="1"/>
  <c r="X28" i="141" s="1"/>
  <c r="AE29" i="141" a="1"/>
  <c r="AE29" i="141" s="1"/>
  <c r="AD19" i="141" a="1"/>
  <c r="AD19" i="141" s="1"/>
  <c r="A334" i="131"/>
  <c r="AE34" i="141" a="1"/>
  <c r="AE34" i="141" s="1"/>
  <c r="AD39" i="141" a="1"/>
  <c r="AD39" i="141" s="1"/>
  <c r="AC37" i="141" a="1"/>
  <c r="AC37" i="141" s="1"/>
  <c r="AB38" i="141" a="1"/>
  <c r="AB38" i="141" s="1"/>
  <c r="AE39" i="141" a="1"/>
  <c r="AE39" i="141" s="1"/>
  <c r="AD36" i="141" a="1"/>
  <c r="AD36" i="141" s="1"/>
  <c r="AC34" i="141" a="1"/>
  <c r="AC34" i="141" s="1"/>
  <c r="AA33" i="141" a="1"/>
  <c r="AA33" i="141" s="1"/>
  <c r="AB35" i="141" a="1"/>
  <c r="AB35" i="141" s="1"/>
  <c r="AE35" i="141" a="1"/>
  <c r="AE35" i="141" s="1"/>
  <c r="AE36" i="141" a="1"/>
  <c r="AE36" i="141" s="1"/>
  <c r="AC39" i="141" a="1"/>
  <c r="AC39" i="141" s="1"/>
  <c r="AC38" i="141" a="1"/>
  <c r="AC38" i="141" s="1"/>
  <c r="AD38" i="141" a="1"/>
  <c r="AD38" i="141" s="1"/>
  <c r="AC36" i="141" a="1"/>
  <c r="AC36" i="141" s="1"/>
  <c r="AB37" i="141" a="1"/>
  <c r="AB37" i="141" s="1"/>
  <c r="AE38" i="141" a="1"/>
  <c r="AE38" i="141" s="1"/>
  <c r="AD35" i="141" a="1"/>
  <c r="AD35" i="141" s="1"/>
  <c r="AC33" i="141" a="1"/>
  <c r="AC33" i="141" s="1"/>
  <c r="AB34" i="141" a="1"/>
  <c r="AB34" i="141" s="1"/>
  <c r="Z33" i="141" a="1"/>
  <c r="Z33" i="141" s="1"/>
  <c r="AB39" i="141" a="1"/>
  <c r="AB39" i="141" s="1"/>
  <c r="AD37" i="141" a="1"/>
  <c r="AD37" i="141" s="1"/>
  <c r="AC35" i="141" a="1"/>
  <c r="AC35" i="141" s="1"/>
  <c r="AB36" i="141" a="1"/>
  <c r="AB36" i="141" s="1"/>
  <c r="AE37" i="141" a="1"/>
  <c r="AE37" i="141" s="1"/>
  <c r="AD34" i="141" a="1"/>
  <c r="AD34" i="141" s="1"/>
  <c r="AB33" i="141" a="1"/>
  <c r="AB33" i="141" s="1"/>
  <c r="AA24" i="141" a="1"/>
  <c r="AA24" i="141" s="1"/>
  <c r="Z21" i="141" a="1"/>
  <c r="Z21" i="141" s="1"/>
  <c r="AC24" i="141" a="1"/>
  <c r="AC24" i="141" s="1"/>
  <c r="Z25" i="141" a="1"/>
  <c r="Z25" i="141" s="1"/>
  <c r="AB29" i="141" a="1"/>
  <c r="AB29" i="141" s="1"/>
  <c r="AG27" i="141" a="1"/>
  <c r="AG27" i="141" s="1"/>
  <c r="AD27" i="141" a="1"/>
  <c r="AD27" i="141" s="1"/>
  <c r="Y27" i="141" a="1"/>
  <c r="Y27" i="141" s="1"/>
  <c r="W26" i="141" a="1"/>
  <c r="W26" i="141" s="1"/>
  <c r="V21" i="141" a="1"/>
  <c r="V21" i="141" s="1"/>
  <c r="W20" i="141" a="1"/>
  <c r="W20" i="141" s="1"/>
  <c r="W25" i="141" a="1"/>
  <c r="W25" i="141" s="1"/>
  <c r="AD23" i="141" a="1"/>
  <c r="AD23" i="141" s="1"/>
  <c r="AG21" i="141" a="1"/>
  <c r="AG21" i="141" s="1"/>
  <c r="AE25" i="141" a="1"/>
  <c r="AE25" i="141" s="1"/>
  <c r="AE18" i="141" a="1"/>
  <c r="AE18" i="141" s="1"/>
  <c r="AF17" i="141" a="1"/>
  <c r="AF17" i="141" s="1"/>
  <c r="AF9" i="141" a="1"/>
  <c r="AF9" i="141" s="1"/>
  <c r="AG18" i="141" a="1"/>
  <c r="AG18" i="141" s="1"/>
  <c r="AE13" i="141" a="1"/>
  <c r="AE13" i="141" s="1"/>
  <c r="AF8" i="141" a="1"/>
  <c r="AF8" i="141" s="1"/>
  <c r="AB32" i="141" a="1"/>
  <c r="AB32" i="141" s="1"/>
  <c r="Z32" i="141" a="1"/>
  <c r="Z32" i="141" s="1"/>
  <c r="AC31" i="141" a="1"/>
  <c r="AC31" i="141" s="1"/>
  <c r="AA31" i="141" a="1"/>
  <c r="AA31" i="141" s="1"/>
  <c r="AB30" i="141" a="1"/>
  <c r="AB30" i="141" s="1"/>
  <c r="AB31" i="141" a="1"/>
  <c r="AB31" i="141" s="1"/>
  <c r="Z31" i="141" a="1"/>
  <c r="Z31" i="141" s="1"/>
  <c r="AC30" i="141" a="1"/>
  <c r="AC30" i="141" s="1"/>
  <c r="AA30" i="141" a="1"/>
  <c r="AA30" i="141" s="1"/>
  <c r="Z30" i="141" a="1"/>
  <c r="Z30" i="141" s="1"/>
  <c r="AC32" i="141" a="1"/>
  <c r="AC32" i="141" s="1"/>
  <c r="AA32" i="141" a="1"/>
  <c r="AA32" i="141" s="1"/>
  <c r="AY18" i="133" a="1"/>
  <c r="AY18" i="133" s="1"/>
  <c r="AY66" i="133" a="1"/>
  <c r="AY66" i="133" s="1"/>
  <c r="AY64" i="133" a="1"/>
  <c r="AY64" i="133" s="1"/>
  <c r="AY55" i="133" a="1"/>
  <c r="AY55" i="133" s="1"/>
  <c r="AY53" i="133" a="1"/>
  <c r="AY53" i="133" s="1"/>
  <c r="AY44" i="133" a="1"/>
  <c r="AY44" i="133" s="1"/>
  <c r="AY67" i="133" a="1"/>
  <c r="AY67" i="133" s="1"/>
  <c r="AY65" i="133" a="1"/>
  <c r="AY65" i="133" s="1"/>
  <c r="AY63" i="133" a="1"/>
  <c r="AY63" i="133" s="1"/>
  <c r="AY54" i="133" a="1"/>
  <c r="AY54" i="133" s="1"/>
  <c r="AY52" i="133" a="1"/>
  <c r="AY52" i="133" s="1"/>
  <c r="AY43" i="133" a="1"/>
  <c r="AY43" i="133" s="1"/>
  <c r="AY42" i="133" a="1"/>
  <c r="AY42" i="133" s="1"/>
  <c r="AY34" i="133" a="1"/>
  <c r="AY34" i="133" s="1"/>
  <c r="AY33" i="133" a="1"/>
  <c r="AY33" i="133" s="1"/>
  <c r="AY32" i="133" a="1"/>
  <c r="AY32" i="133" s="1"/>
  <c r="AY31" i="133" a="1"/>
  <c r="AY31" i="133" s="1"/>
  <c r="AY30" i="133" a="1"/>
  <c r="AY30" i="133" s="1"/>
  <c r="AY29" i="133" a="1"/>
  <c r="AY29" i="133" s="1"/>
  <c r="AY21" i="133" a="1"/>
  <c r="AY21" i="133" s="1"/>
  <c r="AY20" i="133" a="1"/>
  <c r="AY20" i="133" s="1"/>
  <c r="AY19" i="133" a="1"/>
  <c r="AY19" i="133" s="1"/>
  <c r="AY16" i="133" a="1"/>
  <c r="AY16" i="133" s="1"/>
  <c r="AY17" i="133" a="1"/>
  <c r="AY17" i="133" s="1"/>
  <c r="AA20" i="141" a="1"/>
  <c r="AA20" i="141" s="1"/>
  <c r="AC26" i="141" a="1"/>
  <c r="AC26" i="141" s="1"/>
  <c r="Z26" i="141" a="1"/>
  <c r="Z26" i="141" s="1"/>
  <c r="AA25" i="141" a="1"/>
  <c r="AA25" i="141" s="1"/>
  <c r="AA28" i="141" a="1"/>
  <c r="AA28" i="141" s="1"/>
  <c r="AE28" i="141" a="1"/>
  <c r="AE28" i="141" s="1"/>
  <c r="AD28" i="141" a="1"/>
  <c r="AD28" i="141" s="1"/>
  <c r="Y29" i="141" a="1"/>
  <c r="Y29" i="141" s="1"/>
  <c r="W21" i="141" a="1"/>
  <c r="W21" i="141" s="1"/>
  <c r="Y24" i="141" a="1"/>
  <c r="Y24" i="141" s="1"/>
  <c r="X23" i="141" a="1"/>
  <c r="X23" i="141" s="1"/>
  <c r="Y22" i="141" a="1"/>
  <c r="Y22" i="141" s="1"/>
  <c r="AG25" i="141" a="1"/>
  <c r="AG25" i="141" s="1"/>
  <c r="AE26" i="141" a="1"/>
  <c r="AE26" i="141" s="1"/>
  <c r="AF26" i="141" a="1"/>
  <c r="AF26" i="141" s="1"/>
  <c r="AE9" i="141" a="1"/>
  <c r="AE9" i="141" s="1"/>
  <c r="AE19" i="141" a="1"/>
  <c r="AE19" i="141" s="1"/>
  <c r="AG9" i="141" a="1"/>
  <c r="AG9" i="141" s="1"/>
  <c r="AG8" i="141" a="1"/>
  <c r="AG8" i="141" s="1"/>
  <c r="AG14" i="141" a="1"/>
  <c r="AG14" i="141" s="1"/>
  <c r="AD9" i="141" a="1"/>
  <c r="AD9" i="141" s="1"/>
  <c r="AB14" i="141" a="1"/>
  <c r="AB14" i="141" s="1"/>
  <c r="AB11" i="141" a="1"/>
  <c r="AB11" i="141" s="1"/>
  <c r="AB10" i="141" a="1"/>
  <c r="AB10" i="141" s="1"/>
  <c r="AA10" i="141" a="1"/>
  <c r="AA10" i="141" s="1"/>
  <c r="AC19" i="141" a="1"/>
  <c r="AC19" i="141" s="1"/>
  <c r="AC15" i="141" a="1"/>
  <c r="AC15" i="141" s="1"/>
  <c r="AA14" i="141" a="1"/>
  <c r="AA14" i="141" s="1"/>
  <c r="Z13" i="141" a="1"/>
  <c r="Z13" i="141" s="1"/>
  <c r="AA11" i="141" a="1"/>
  <c r="AA11" i="141" s="1"/>
  <c r="AC9" i="141" a="1"/>
  <c r="AC9" i="141" s="1"/>
  <c r="AB9" i="141" a="1"/>
  <c r="AB9" i="141" s="1"/>
  <c r="AB19" i="141" a="1"/>
  <c r="AB19" i="141" s="1"/>
  <c r="AC18" i="141" a="1"/>
  <c r="AC18" i="141" s="1"/>
  <c r="AB15" i="141" a="1"/>
  <c r="AB15" i="141" s="1"/>
  <c r="Z11" i="141" a="1"/>
  <c r="Z11" i="141" s="1"/>
  <c r="Z10" i="141" a="1"/>
  <c r="Z10" i="141" s="1"/>
  <c r="AA19" i="141" a="1"/>
  <c r="AA19" i="141" s="1"/>
  <c r="AB18" i="141" a="1"/>
  <c r="AB18" i="141" s="1"/>
  <c r="AC17" i="141" a="1"/>
  <c r="AC17" i="141" s="1"/>
  <c r="AC16" i="141" a="1"/>
  <c r="AC16" i="141" s="1"/>
  <c r="AA15" i="141" a="1"/>
  <c r="AA15" i="141" s="1"/>
  <c r="Z14" i="141" a="1"/>
  <c r="Z14" i="141" s="1"/>
  <c r="AC12" i="141" a="1"/>
  <c r="AC12" i="141" s="1"/>
  <c r="AA9" i="141" a="1"/>
  <c r="AA9" i="141" s="1"/>
  <c r="AC8" i="141" a="1"/>
  <c r="AC8" i="141" s="1"/>
  <c r="Z9" i="141" a="1"/>
  <c r="Z9" i="141" s="1"/>
  <c r="AA8" i="141" a="1"/>
  <c r="AA8" i="141" s="1"/>
  <c r="AC14" i="141" a="1"/>
  <c r="AC14" i="141" s="1"/>
  <c r="AC10" i="141" a="1"/>
  <c r="AC10" i="141" s="1"/>
  <c r="AB16" i="141" a="1"/>
  <c r="AB16" i="141" s="1"/>
  <c r="AB12" i="141" a="1"/>
  <c r="AB12" i="141" s="1"/>
  <c r="AB8" i="141" a="1"/>
  <c r="AB8" i="141" s="1"/>
  <c r="AC13" i="141" a="1"/>
  <c r="AC13" i="141" s="1"/>
  <c r="Z17" i="141" a="1"/>
  <c r="Z17" i="141" s="1"/>
  <c r="Z19" i="141" a="1"/>
  <c r="Z19" i="141" s="1"/>
  <c r="AA18" i="141" a="1"/>
  <c r="AA18" i="141" s="1"/>
  <c r="AB17" i="141" a="1"/>
  <c r="AB17" i="141" s="1"/>
  <c r="AA16" i="141" a="1"/>
  <c r="AA16" i="141" s="1"/>
  <c r="Z15" i="141" a="1"/>
  <c r="Z15" i="141" s="1"/>
  <c r="AA12" i="141" a="1"/>
  <c r="AA12" i="141" s="1"/>
  <c r="AA13" i="141" a="1"/>
  <c r="AA13" i="141" s="1"/>
  <c r="AC11" i="141" a="1"/>
  <c r="AC11" i="141" s="1"/>
  <c r="Z18" i="141" a="1"/>
  <c r="Z18" i="141" s="1"/>
  <c r="AA17" i="141" a="1"/>
  <c r="AA17" i="141" s="1"/>
  <c r="AB13" i="141" a="1"/>
  <c r="AB13" i="141" s="1"/>
  <c r="Z8" i="141" a="1"/>
  <c r="Z8" i="141" s="1"/>
  <c r="Z16" i="141" a="1"/>
  <c r="Z16" i="141" s="1"/>
  <c r="Z12" i="141" a="1"/>
  <c r="Z12" i="141" s="1"/>
  <c r="AA21" i="141" a="1"/>
  <c r="AA21" i="141" s="1"/>
  <c r="Z22" i="141" a="1"/>
  <c r="Z22" i="141" s="1"/>
  <c r="AC25" i="141" a="1"/>
  <c r="AC25" i="141" s="1"/>
  <c r="AB20" i="141" a="1"/>
  <c r="AB20" i="141" s="1"/>
  <c r="AC29" i="141" a="1"/>
  <c r="AC29" i="141" s="1"/>
  <c r="AF28" i="141" a="1"/>
  <c r="AF28" i="141" s="1"/>
  <c r="AF29" i="141" a="1"/>
  <c r="AF29" i="141" s="1"/>
  <c r="X27" i="141" a="1"/>
  <c r="X27" i="141" s="1"/>
  <c r="X24" i="141" a="1"/>
  <c r="X24" i="141" s="1"/>
  <c r="Y23" i="141" a="1"/>
  <c r="Y23" i="141" s="1"/>
  <c r="V24" i="141" a="1"/>
  <c r="V24" i="141" s="1"/>
  <c r="Y21" i="141" a="1"/>
  <c r="Y21" i="141" s="1"/>
  <c r="AD24" i="141" a="1"/>
  <c r="AD24" i="141" s="1"/>
  <c r="AD25" i="141" a="1"/>
  <c r="AD25" i="141" s="1"/>
  <c r="AE22" i="141" a="1"/>
  <c r="AE22" i="141" s="1"/>
  <c r="AD10" i="141" a="1"/>
  <c r="AD10" i="141" s="1"/>
  <c r="AF16" i="141" a="1"/>
  <c r="AF16" i="141" s="1"/>
  <c r="AF10" i="141" a="1"/>
  <c r="AF10" i="141" s="1"/>
  <c r="AF12" i="141" a="1"/>
  <c r="AF12" i="141" s="1"/>
  <c r="AD16" i="141" a="1"/>
  <c r="AD16" i="141" s="1"/>
  <c r="AE12" i="141" a="1"/>
  <c r="AE12" i="141" s="1"/>
  <c r="AG41" i="141" a="1"/>
  <c r="AG41" i="141" s="1"/>
  <c r="AD41" i="141" a="1"/>
  <c r="AD41" i="141" s="1"/>
  <c r="AF44" i="141" a="1"/>
  <c r="AF44" i="141" s="1"/>
  <c r="AE41" i="141" a="1"/>
  <c r="AE41" i="141" s="1"/>
  <c r="AD43" i="141" a="1"/>
  <c r="AD43" i="141" s="1"/>
  <c r="AF40" i="141" a="1"/>
  <c r="AF40" i="141" s="1"/>
  <c r="AG44" i="141" a="1"/>
  <c r="AG44" i="141" s="1"/>
  <c r="AG40" i="141" a="1"/>
  <c r="AG40" i="141" s="1"/>
  <c r="AE43" i="141" a="1"/>
  <c r="AE43" i="141" s="1"/>
  <c r="AF43" i="141" a="1"/>
  <c r="AF43" i="141" s="1"/>
  <c r="AE44" i="141" a="1"/>
  <c r="AE44" i="141" s="1"/>
  <c r="AE40" i="141" a="1"/>
  <c r="AE40" i="141" s="1"/>
  <c r="AD42" i="141" a="1"/>
  <c r="AD42" i="141" s="1"/>
  <c r="AG43" i="141" a="1"/>
  <c r="AG43" i="141" s="1"/>
  <c r="AF41" i="141" a="1"/>
  <c r="AF41" i="141" s="1"/>
  <c r="AF42" i="141" a="1"/>
  <c r="AF42" i="141" s="1"/>
  <c r="AG42" i="141" a="1"/>
  <c r="AG42" i="141" s="1"/>
  <c r="AE42" i="141" a="1"/>
  <c r="AE42" i="141" s="1"/>
  <c r="AD44" i="141" a="1"/>
  <c r="AD44" i="141" s="1"/>
  <c r="AD40" i="141" a="1"/>
  <c r="AD40" i="141" s="1"/>
  <c r="X19" i="141" a="1"/>
  <c r="X19" i="141" s="1"/>
  <c r="Y17" i="141" a="1"/>
  <c r="Y17" i="141" s="1"/>
  <c r="Y16" i="141" a="1"/>
  <c r="Y16" i="141" s="1"/>
  <c r="W15" i="141" a="1"/>
  <c r="W15" i="141" s="1"/>
  <c r="V14" i="141" a="1"/>
  <c r="V14" i="141" s="1"/>
  <c r="Y12" i="141" a="1"/>
  <c r="Y12" i="141" s="1"/>
  <c r="W9" i="141" a="1"/>
  <c r="W9" i="141" s="1"/>
  <c r="X8" i="141" a="1"/>
  <c r="X8" i="141" s="1"/>
  <c r="X12" i="141" a="1"/>
  <c r="X12" i="141" s="1"/>
  <c r="V8" i="141" a="1"/>
  <c r="V8" i="141" s="1"/>
  <c r="X18" i="141" a="1"/>
  <c r="X18" i="141" s="1"/>
  <c r="X17" i="141" a="1"/>
  <c r="X17" i="141" s="1"/>
  <c r="X16" i="141" a="1"/>
  <c r="X16" i="141" s="1"/>
  <c r="W8" i="141" a="1"/>
  <c r="W8" i="141" s="1"/>
  <c r="Y8" i="141" a="1"/>
  <c r="Y8" i="141" s="1"/>
  <c r="W19" i="141" a="1"/>
  <c r="W19" i="141" s="1"/>
  <c r="W18" i="141" a="1"/>
  <c r="W18" i="141" s="1"/>
  <c r="W16" i="141" a="1"/>
  <c r="W16" i="141" s="1"/>
  <c r="V15" i="141" a="1"/>
  <c r="V15" i="141" s="1"/>
  <c r="Y13" i="141" a="1"/>
  <c r="Y13" i="141" s="1"/>
  <c r="W12" i="141" a="1"/>
  <c r="W12" i="141" s="1"/>
  <c r="V9" i="141" a="1"/>
  <c r="V9" i="141" s="1"/>
  <c r="V19" i="141" a="1"/>
  <c r="V19" i="141" s="1"/>
  <c r="W17" i="141" a="1"/>
  <c r="W17" i="141" s="1"/>
  <c r="X13" i="141" a="1"/>
  <c r="X13" i="141" s="1"/>
  <c r="Y11" i="141" a="1"/>
  <c r="Y11" i="141" s="1"/>
  <c r="Y10" i="141" a="1"/>
  <c r="Y10" i="141" s="1"/>
  <c r="W11" i="141" a="1"/>
  <c r="W11" i="141" s="1"/>
  <c r="W10" i="141" a="1"/>
  <c r="W10" i="141" s="1"/>
  <c r="Y18" i="141" a="1"/>
  <c r="Y18" i="141" s="1"/>
  <c r="V18" i="141" a="1"/>
  <c r="V18" i="141" s="1"/>
  <c r="V16" i="141" a="1"/>
  <c r="V16" i="141" s="1"/>
  <c r="Y14" i="141" a="1"/>
  <c r="Y14" i="141" s="1"/>
  <c r="W13" i="141" a="1"/>
  <c r="W13" i="141" s="1"/>
  <c r="V12" i="141" a="1"/>
  <c r="V12" i="141" s="1"/>
  <c r="X11" i="141" a="1"/>
  <c r="X11" i="141" s="1"/>
  <c r="X10" i="141" a="1"/>
  <c r="X10" i="141" s="1"/>
  <c r="X9" i="141" a="1"/>
  <c r="X9" i="141" s="1"/>
  <c r="V17" i="141" a="1"/>
  <c r="V17" i="141" s="1"/>
  <c r="X14" i="141" a="1"/>
  <c r="X14" i="141" s="1"/>
  <c r="V10" i="141" a="1"/>
  <c r="V10" i="141" s="1"/>
  <c r="Y19" i="141" a="1"/>
  <c r="Y19" i="141" s="1"/>
  <c r="Y15" i="141" a="1"/>
  <c r="Y15" i="141" s="1"/>
  <c r="W14" i="141" a="1"/>
  <c r="W14" i="141" s="1"/>
  <c r="V13" i="141" a="1"/>
  <c r="V13" i="141" s="1"/>
  <c r="V11" i="141" a="1"/>
  <c r="V11" i="141" s="1"/>
  <c r="Y9" i="141" a="1"/>
  <c r="Y9" i="141" s="1"/>
  <c r="X15" i="141" a="1"/>
  <c r="X15" i="141" s="1"/>
  <c r="AG32" i="141" a="1"/>
  <c r="AG32" i="141" s="1"/>
  <c r="AF32" i="141" a="1"/>
  <c r="AF32" i="141" s="1"/>
  <c r="AE31" i="141" a="1"/>
  <c r="AE31" i="141" s="1"/>
  <c r="AG30" i="141" a="1"/>
  <c r="AG30" i="141" s="1"/>
  <c r="AG31" i="141" a="1"/>
  <c r="AG31" i="141" s="1"/>
  <c r="AF31" i="141" a="1"/>
  <c r="AF31" i="141" s="1"/>
  <c r="AD30" i="141" a="1"/>
  <c r="AD30" i="141" s="1"/>
  <c r="AF30" i="141" a="1"/>
  <c r="AF30" i="141" s="1"/>
  <c r="AE32" i="141" a="1"/>
  <c r="AE32" i="141" s="1"/>
  <c r="AD31" i="141" a="1"/>
  <c r="AD31" i="141" s="1"/>
  <c r="AE30" i="141" a="1"/>
  <c r="AE30" i="141" s="1"/>
  <c r="AD32" i="141" a="1"/>
  <c r="AD32" i="141" s="1"/>
  <c r="AB25" i="141" a="1"/>
  <c r="AB25" i="141" s="1"/>
  <c r="Z20" i="141" a="1"/>
  <c r="Z20" i="141" s="1"/>
  <c r="AA26" i="141" a="1"/>
  <c r="AA26" i="141" s="1"/>
  <c r="AC20" i="141" a="1"/>
  <c r="AC20" i="141" s="1"/>
  <c r="AB28" i="141" a="1"/>
  <c r="AB28" i="141" s="1"/>
  <c r="AF27" i="141" a="1"/>
  <c r="AF27" i="141" s="1"/>
  <c r="AG29" i="141" a="1"/>
  <c r="AG29" i="141" s="1"/>
  <c r="W29" i="141" a="1"/>
  <c r="W29" i="141" s="1"/>
  <c r="Y20" i="141" a="1"/>
  <c r="Y20" i="141" s="1"/>
  <c r="X20" i="141" a="1"/>
  <c r="X20" i="141" s="1"/>
  <c r="W24" i="141" a="1"/>
  <c r="W24" i="141" s="1"/>
  <c r="V26" i="141" a="1"/>
  <c r="V26" i="141" s="1"/>
  <c r="AG24" i="141" a="1"/>
  <c r="AG24" i="141" s="1"/>
  <c r="AG22" i="141" a="1"/>
  <c r="AG22" i="141" s="1"/>
  <c r="AD21" i="141" a="1"/>
  <c r="AD21" i="141" s="1"/>
  <c r="AD11" i="141" a="1"/>
  <c r="AD11" i="141" s="1"/>
  <c r="AE10" i="141" a="1"/>
  <c r="AE10" i="141" s="1"/>
  <c r="AF11" i="141" a="1"/>
  <c r="AF11" i="141" s="1"/>
  <c r="AG10" i="141" a="1"/>
  <c r="AG10" i="141" s="1"/>
  <c r="AD17" i="141" a="1"/>
  <c r="AD17" i="141" s="1"/>
  <c r="AG13" i="141" a="1"/>
  <c r="AG13" i="141" s="1"/>
  <c r="X40" i="141" a="1"/>
  <c r="X40" i="141" s="1"/>
  <c r="W42" i="141" a="1"/>
  <c r="W42" i="141" s="1"/>
  <c r="V44" i="141" a="1"/>
  <c r="V44" i="141" s="1"/>
  <c r="Y43" i="141" a="1"/>
  <c r="Y43" i="141" s="1"/>
  <c r="Y41" i="141" a="1"/>
  <c r="Y41" i="141" s="1"/>
  <c r="X44" i="141" a="1"/>
  <c r="X44" i="141" s="1"/>
  <c r="W41" i="141" a="1"/>
  <c r="W41" i="141" s="1"/>
  <c r="V43" i="141" a="1"/>
  <c r="V43" i="141" s="1"/>
  <c r="Y44" i="141" a="1"/>
  <c r="Y44" i="141" s="1"/>
  <c r="Y40" i="141" a="1"/>
  <c r="Y40" i="141" s="1"/>
  <c r="X43" i="141" a="1"/>
  <c r="X43" i="141" s="1"/>
  <c r="W44" i="141" a="1"/>
  <c r="W44" i="141" s="1"/>
  <c r="W40" i="141" a="1"/>
  <c r="W40" i="141" s="1"/>
  <c r="V42" i="141" a="1"/>
  <c r="V42" i="141" s="1"/>
  <c r="V40" i="141" a="1"/>
  <c r="V40" i="141" s="1"/>
  <c r="X42" i="141" a="1"/>
  <c r="X42" i="141" s="1"/>
  <c r="W43" i="141" a="1"/>
  <c r="W43" i="141" s="1"/>
  <c r="V41" i="141" a="1"/>
  <c r="V41" i="141" s="1"/>
  <c r="Y42" i="141" a="1"/>
  <c r="Y42" i="141" s="1"/>
  <c r="X41" i="141" a="1"/>
  <c r="X41" i="141" s="1"/>
  <c r="AZ66" i="133" a="1"/>
  <c r="AZ66" i="133" s="1"/>
  <c r="AZ64" i="133" a="1"/>
  <c r="AZ64" i="133" s="1"/>
  <c r="AZ55" i="133" a="1"/>
  <c r="AZ55" i="133" s="1"/>
  <c r="AZ53" i="133" a="1"/>
  <c r="AZ53" i="133" s="1"/>
  <c r="AZ44" i="133" a="1"/>
  <c r="AZ44" i="133" s="1"/>
  <c r="AZ67" i="133" a="1"/>
  <c r="AZ67" i="133" s="1"/>
  <c r="AZ65" i="133" a="1"/>
  <c r="AZ65" i="133" s="1"/>
  <c r="AZ63" i="133" a="1"/>
  <c r="AZ63" i="133" s="1"/>
  <c r="AZ54" i="133" a="1"/>
  <c r="AZ54" i="133" s="1"/>
  <c r="AZ52" i="133" a="1"/>
  <c r="AZ52" i="133" s="1"/>
  <c r="AZ43" i="133" a="1"/>
  <c r="AZ43" i="133" s="1"/>
  <c r="AZ42" i="133" a="1"/>
  <c r="AZ42" i="133" s="1"/>
  <c r="AZ34" i="133" a="1"/>
  <c r="AZ34" i="133" s="1"/>
  <c r="AZ33" i="133" a="1"/>
  <c r="AZ33" i="133" s="1"/>
  <c r="AZ32" i="133" a="1"/>
  <c r="AZ32" i="133" s="1"/>
  <c r="AZ31" i="133" a="1"/>
  <c r="AZ31" i="133" s="1"/>
  <c r="AZ30" i="133" a="1"/>
  <c r="AZ30" i="133" s="1"/>
  <c r="AZ29" i="133" a="1"/>
  <c r="AZ29" i="133" s="1"/>
  <c r="AZ21" i="133" a="1"/>
  <c r="AZ21" i="133" s="1"/>
  <c r="AZ20" i="133" a="1"/>
  <c r="AZ20" i="133" s="1"/>
  <c r="AZ19" i="133" a="1"/>
  <c r="AZ19" i="133" s="1"/>
  <c r="AZ18" i="133" a="1"/>
  <c r="AZ18" i="133" s="1"/>
  <c r="AZ17" i="133" a="1"/>
  <c r="AZ17" i="133" s="1"/>
  <c r="AZ16" i="133" a="1"/>
  <c r="AZ16" i="133" s="1"/>
  <c r="Z24" i="141" a="1"/>
  <c r="Z24" i="141" s="1"/>
  <c r="AA23" i="141" a="1"/>
  <c r="AA23" i="141" s="1"/>
  <c r="AB22" i="141" a="1"/>
  <c r="AB22" i="141" s="1"/>
  <c r="Z28" i="141" a="1"/>
  <c r="Z28" i="141" s="1"/>
  <c r="AC27" i="141" a="1"/>
  <c r="AC27" i="141" s="1"/>
  <c r="AG28" i="141" a="1"/>
  <c r="AG28" i="141" s="1"/>
  <c r="V29" i="141" a="1"/>
  <c r="V29" i="141" s="1"/>
  <c r="V27" i="141" a="1"/>
  <c r="V27" i="141" s="1"/>
  <c r="V20" i="141" a="1"/>
  <c r="V20" i="141" s="1"/>
  <c r="V22" i="141" a="1"/>
  <c r="V22" i="141" s="1"/>
  <c r="X21" i="141" a="1"/>
  <c r="X21" i="141" s="1"/>
  <c r="AF23" i="141" a="1"/>
  <c r="AF23" i="141" s="1"/>
  <c r="AE20" i="141" a="1"/>
  <c r="AE20" i="141" s="1"/>
  <c r="AF22" i="141" a="1"/>
  <c r="AF22" i="141" s="1"/>
  <c r="AD20" i="141" a="1"/>
  <c r="AD20" i="141" s="1"/>
  <c r="AG12" i="141" a="1"/>
  <c r="AG12" i="141" s="1"/>
  <c r="AE11" i="141" a="1"/>
  <c r="AE11" i="141" s="1"/>
  <c r="AD13" i="141" a="1"/>
  <c r="AD13" i="141" s="1"/>
  <c r="AG11" i="141" a="1"/>
  <c r="AG11" i="141" s="1"/>
  <c r="AD8" i="141" a="1"/>
  <c r="AD8" i="141" s="1"/>
  <c r="AD15" i="141" a="1"/>
  <c r="AD15" i="141" s="1"/>
  <c r="AF37" i="141" a="1"/>
  <c r="AF37" i="141" s="1"/>
  <c r="AF33" i="141" a="1"/>
  <c r="AF33" i="141" s="1"/>
  <c r="AG33" i="141" a="1"/>
  <c r="AG33" i="141" s="1"/>
  <c r="AH36" i="141" a="1"/>
  <c r="AH36" i="141" s="1"/>
  <c r="AD33" i="141" a="1"/>
  <c r="AD33" i="141" s="1"/>
  <c r="AI39" i="141" a="1"/>
  <c r="AI39" i="141" s="1"/>
  <c r="AH38" i="141" a="1"/>
  <c r="AH38" i="141" s="1"/>
  <c r="AH34" i="141" a="1"/>
  <c r="AH34" i="141" s="1"/>
  <c r="AF36" i="141" a="1"/>
  <c r="AF36" i="141" s="1"/>
  <c r="AI38" i="141" a="1"/>
  <c r="AI38" i="141" s="1"/>
  <c r="AE33" i="141" a="1"/>
  <c r="AE33" i="141" s="1"/>
  <c r="AI36" i="141" a="1"/>
  <c r="AI36" i="141" s="1"/>
  <c r="AI37" i="141" a="1"/>
  <c r="AI37" i="141" s="1"/>
  <c r="AH37" i="141" a="1"/>
  <c r="AH37" i="141" s="1"/>
  <c r="AG37" i="141" a="1"/>
  <c r="AG37" i="141" s="1"/>
  <c r="AF39" i="141" a="1"/>
  <c r="AF39" i="141" s="1"/>
  <c r="AF35" i="141" a="1"/>
  <c r="AF35" i="141" s="1"/>
  <c r="AI34" i="141" a="1"/>
  <c r="AI34" i="141" s="1"/>
  <c r="AG38" i="141" a="1"/>
  <c r="AG38" i="141" s="1"/>
  <c r="AI35" i="141" a="1"/>
  <c r="AI35" i="141" s="1"/>
  <c r="AF38" i="141" a="1"/>
  <c r="AF38" i="141" s="1"/>
  <c r="AF34" i="141" a="1"/>
  <c r="AF34" i="141" s="1"/>
  <c r="AG35" i="141" a="1"/>
  <c r="AG35" i="141" s="1"/>
  <c r="AG34" i="141" a="1"/>
  <c r="AG34" i="141" s="1"/>
  <c r="AG39" i="141" a="1"/>
  <c r="AG39" i="141" s="1"/>
  <c r="AG36" i="141" a="1"/>
  <c r="AG36" i="141" s="1"/>
  <c r="AH39" i="141" a="1"/>
  <c r="AH39" i="141" s="1"/>
  <c r="AH35" i="141" a="1"/>
  <c r="AH35" i="141" s="1"/>
  <c r="AB21" i="141" a="1"/>
  <c r="AB21" i="141" s="1"/>
  <c r="AB24" i="141" a="1"/>
  <c r="AB24" i="141" s="1"/>
  <c r="AA22" i="141" a="1"/>
  <c r="AA22" i="141" s="1"/>
  <c r="AC28" i="141" a="1"/>
  <c r="AC28" i="141" s="1"/>
  <c r="Z27" i="141" a="1"/>
  <c r="Z27" i="141" s="1"/>
  <c r="AD29" i="141" a="1"/>
  <c r="AD29" i="141" s="1"/>
  <c r="Y28" i="141" a="1"/>
  <c r="Y28" i="141" s="1"/>
  <c r="W27" i="141" a="1"/>
  <c r="W27" i="141" s="1"/>
  <c r="X22" i="141" a="1"/>
  <c r="X22" i="141" s="1"/>
  <c r="Y25" i="141" a="1"/>
  <c r="Y25" i="141" s="1"/>
  <c r="V23" i="141" a="1"/>
  <c r="V23" i="141" s="1"/>
  <c r="AF20" i="141" a="1"/>
  <c r="AF20" i="141" s="1"/>
  <c r="AG26" i="141" a="1"/>
  <c r="AG26" i="141" s="1"/>
  <c r="AG20" i="141" a="1"/>
  <c r="AG20" i="141" s="1"/>
  <c r="AD22" i="141" a="1"/>
  <c r="AD22" i="141" s="1"/>
  <c r="AD14" i="141" a="1"/>
  <c r="AD14" i="141" s="1"/>
  <c r="AF15" i="141" a="1"/>
  <c r="AF15" i="141" s="1"/>
  <c r="AE14" i="141" a="1"/>
  <c r="AE14" i="141" s="1"/>
  <c r="AF14" i="141" a="1"/>
  <c r="AF14" i="141" s="1"/>
  <c r="AF13" i="141" a="1"/>
  <c r="AF13" i="141" s="1"/>
  <c r="AE16" i="141" a="1"/>
  <c r="AE16" i="141" s="1"/>
  <c r="AC22" i="141" a="1"/>
  <c r="AC22" i="141" s="1"/>
  <c r="AC23" i="141" a="1"/>
  <c r="AC23" i="141" s="1"/>
  <c r="Z23" i="141" a="1"/>
  <c r="Z23" i="141" s="1"/>
  <c r="Z29" i="141" a="1"/>
  <c r="Z29" i="141" s="1"/>
  <c r="AA27" i="141" a="1"/>
  <c r="AA27" i="141" s="1"/>
  <c r="AE27" i="141" a="1"/>
  <c r="AE27" i="141" s="1"/>
  <c r="V28" i="141" a="1"/>
  <c r="V28" i="141" s="1"/>
  <c r="W28" i="141" a="1"/>
  <c r="W28" i="141" s="1"/>
  <c r="V25" i="141" a="1"/>
  <c r="V25" i="141" s="1"/>
  <c r="X26" i="141" a="1"/>
  <c r="X26" i="141" s="1"/>
  <c r="W23" i="141" a="1"/>
  <c r="W23" i="141" s="1"/>
  <c r="AG23" i="141" a="1"/>
  <c r="AG23" i="141" s="1"/>
  <c r="AE23" i="141" a="1"/>
  <c r="AE23" i="141" s="1"/>
  <c r="AF25" i="141" a="1"/>
  <c r="AF25" i="141" s="1"/>
  <c r="AE24" i="141" a="1"/>
  <c r="AE24" i="141" s="1"/>
  <c r="AE15" i="141" a="1"/>
  <c r="AE15" i="141" s="1"/>
  <c r="AF18" i="141" a="1"/>
  <c r="AF18" i="141" s="1"/>
  <c r="AG15" i="141" a="1"/>
  <c r="AG15" i="141" s="1"/>
  <c r="AG19" i="141" a="1"/>
  <c r="AG19" i="141" s="1"/>
  <c r="AD18" i="141" a="1"/>
  <c r="AD18" i="141" s="1"/>
  <c r="AE17" i="141" a="1"/>
  <c r="AE17" i="141" s="1"/>
  <c r="AB44" i="141" a="1"/>
  <c r="AB44" i="141" s="1"/>
  <c r="AA43" i="141" a="1"/>
  <c r="AA43" i="141" s="1"/>
  <c r="Z43" i="141" a="1"/>
  <c r="Z43" i="141" s="1"/>
  <c r="AC41" i="141" a="1"/>
  <c r="AC41" i="141" s="1"/>
  <c r="AB40" i="141" a="1"/>
  <c r="AB40" i="141" s="1"/>
  <c r="AC42" i="141" a="1"/>
  <c r="AC42" i="141" s="1"/>
  <c r="AB41" i="141" a="1"/>
  <c r="AB41" i="141" s="1"/>
  <c r="AA40" i="141" a="1"/>
  <c r="AA40" i="141" s="1"/>
  <c r="AC44" i="141" a="1"/>
  <c r="AC44" i="141" s="1"/>
  <c r="AB43" i="141" a="1"/>
  <c r="AB43" i="141" s="1"/>
  <c r="AA42" i="141" a="1"/>
  <c r="AA42" i="141" s="1"/>
  <c r="Z40" i="141" a="1"/>
  <c r="Z40" i="141" s="1"/>
  <c r="Z42" i="141" a="1"/>
  <c r="Z42" i="141" s="1"/>
  <c r="AA44" i="141" a="1"/>
  <c r="AA44" i="141" s="1"/>
  <c r="Z44" i="141" a="1"/>
  <c r="Z44" i="141" s="1"/>
  <c r="AC43" i="141" a="1"/>
  <c r="AC43" i="141" s="1"/>
  <c r="AB42" i="141" a="1"/>
  <c r="AB42" i="141" s="1"/>
  <c r="AA41" i="141" a="1"/>
  <c r="AA41" i="141" s="1"/>
  <c r="Z41" i="141" a="1"/>
  <c r="Z41" i="141" s="1"/>
  <c r="AC40" i="141" a="1"/>
  <c r="AC40" i="141" s="1"/>
  <c r="AA35" i="141" a="1"/>
  <c r="AA35" i="141" s="1"/>
  <c r="Z39" i="141" a="1"/>
  <c r="Z39" i="141" s="1"/>
  <c r="Z35" i="141" a="1"/>
  <c r="Z35" i="141" s="1"/>
  <c r="X37" i="141" a="1"/>
  <c r="X37" i="141" s="1"/>
  <c r="X33" i="141" a="1"/>
  <c r="X33" i="141" s="1"/>
  <c r="Y37" i="141" a="1"/>
  <c r="Y37" i="141" s="1"/>
  <c r="V33" i="141" a="1"/>
  <c r="V33" i="141" s="1"/>
  <c r="Y36" i="141" a="1"/>
  <c r="Y36" i="141" s="1"/>
  <c r="AA38" i="141" a="1"/>
  <c r="AA38" i="141" s="1"/>
  <c r="Z38" i="141" a="1"/>
  <c r="Z38" i="141" s="1"/>
  <c r="Z34" i="141" a="1"/>
  <c r="Z34" i="141" s="1"/>
  <c r="X35" i="141" a="1"/>
  <c r="X35" i="141" s="1"/>
  <c r="X36" i="141" a="1"/>
  <c r="X36" i="141" s="1"/>
  <c r="W33" i="141" a="1"/>
  <c r="W33" i="141" s="1"/>
  <c r="Y34" i="141" a="1"/>
  <c r="Y34" i="141" s="1"/>
  <c r="AA36" i="141" a="1"/>
  <c r="AA36" i="141" s="1"/>
  <c r="AA34" i="141" a="1"/>
  <c r="AA34" i="141" s="1"/>
  <c r="Z37" i="141" a="1"/>
  <c r="Z37" i="141" s="1"/>
  <c r="X39" i="141" a="1"/>
  <c r="X39" i="141" s="1"/>
  <c r="AA39" i="141" a="1"/>
  <c r="AA39" i="141" s="1"/>
  <c r="Y35" i="141" a="1"/>
  <c r="Y35" i="141" s="1"/>
  <c r="Z36" i="141" a="1"/>
  <c r="Z36" i="141" s="1"/>
  <c r="X38" i="141" a="1"/>
  <c r="X38" i="141" s="1"/>
  <c r="X34" i="141" a="1"/>
  <c r="X34" i="141" s="1"/>
  <c r="Y33" i="141" a="1"/>
  <c r="Y33" i="141" s="1"/>
  <c r="Y38" i="141" a="1"/>
  <c r="Y38" i="141" s="1"/>
  <c r="AA37" i="141" a="1"/>
  <c r="AA37" i="141" s="1"/>
  <c r="Y39" i="141" a="1"/>
  <c r="Y39" i="141" s="1"/>
  <c r="V31" i="141" a="1"/>
  <c r="V31" i="141" s="1"/>
  <c r="Y32" i="141" a="1"/>
  <c r="Y32" i="141" s="1"/>
  <c r="X32" i="141" a="1"/>
  <c r="X32" i="141" s="1"/>
  <c r="W31" i="141" a="1"/>
  <c r="W31" i="141" s="1"/>
  <c r="W30" i="141" a="1"/>
  <c r="W30" i="141" s="1"/>
  <c r="Y31" i="141" a="1"/>
  <c r="Y31" i="141" s="1"/>
  <c r="X31" i="141" a="1"/>
  <c r="X31" i="141" s="1"/>
  <c r="Y30" i="141" a="1"/>
  <c r="Y30" i="141" s="1"/>
  <c r="X30" i="141" a="1"/>
  <c r="X30" i="141" s="1"/>
  <c r="V32" i="141" a="1"/>
  <c r="V32" i="141" s="1"/>
  <c r="V30" i="141" a="1"/>
  <c r="V30" i="141" s="1"/>
  <c r="W32" i="141" a="1"/>
  <c r="W32" i="141" s="1"/>
  <c r="AC21" i="141" a="1"/>
  <c r="AC21" i="141" s="1"/>
  <c r="AB23" i="141" a="1"/>
  <c r="AB23" i="141" s="1"/>
  <c r="AA29" i="141" a="1"/>
  <c r="AA29" i="141" s="1"/>
  <c r="X29" i="141" a="1"/>
  <c r="X29" i="141" s="1"/>
  <c r="W22" i="141" a="1"/>
  <c r="W22" i="141" s="1"/>
  <c r="Y26" i="141" a="1"/>
  <c r="Y26" i="141" s="1"/>
  <c r="AD26" i="141" a="1"/>
  <c r="AD26" i="141" s="1"/>
  <c r="AF21" i="141" a="1"/>
  <c r="AF21" i="141" s="1"/>
  <c r="AE21" i="141" a="1"/>
  <c r="AE21" i="141" s="1"/>
  <c r="AG16" i="141" a="1"/>
  <c r="AG16" i="141" s="1"/>
  <c r="AF19" i="141" a="1"/>
  <c r="AF19" i="141" s="1"/>
  <c r="AG17" i="141" a="1"/>
  <c r="AG17" i="141" s="1"/>
  <c r="AD12" i="141" a="1"/>
  <c r="AD12" i="141" s="1"/>
  <c r="AE8" i="141" a="1"/>
  <c r="AE8" i="141" s="1"/>
  <c r="V7" i="141" a="1"/>
  <c r="V7" i="141" s="1"/>
  <c r="Y6" i="141" a="1"/>
  <c r="Y6" i="141" s="1"/>
  <c r="X6" i="141" a="1"/>
  <c r="X6" i="141" s="1"/>
  <c r="W5" i="141" a="1"/>
  <c r="W5" i="141" s="1"/>
  <c r="W6" i="141" a="1"/>
  <c r="W6" i="141" s="1"/>
  <c r="V6" i="141" a="1"/>
  <c r="V6" i="141" s="1"/>
  <c r="Y5" i="141" a="1"/>
  <c r="Y5" i="141" s="1"/>
  <c r="X5" i="141" a="1"/>
  <c r="X5" i="141" s="1"/>
  <c r="X7" i="141" a="1"/>
  <c r="X7" i="141" s="1"/>
  <c r="V5" i="141" a="1"/>
  <c r="V5" i="141" s="1"/>
  <c r="W7" i="141" a="1"/>
  <c r="W7" i="141" s="1"/>
  <c r="Y7" i="141" a="1"/>
  <c r="Y7" i="141" s="1"/>
  <c r="Z7" i="141" a="1"/>
  <c r="Z7" i="141" s="1"/>
  <c r="AA7" i="141" a="1"/>
  <c r="AA7" i="141" s="1"/>
  <c r="AB6" i="141" a="1"/>
  <c r="AB6" i="141" s="1"/>
  <c r="AA5" i="141" a="1"/>
  <c r="AA5" i="141" s="1"/>
  <c r="AB5" i="141" a="1"/>
  <c r="AB5" i="141" s="1"/>
  <c r="Z5" i="141" a="1"/>
  <c r="Z5" i="141" s="1"/>
  <c r="AC5" i="141" a="1"/>
  <c r="AC5" i="141" s="1"/>
  <c r="Z6" i="141" a="1"/>
  <c r="Z6" i="141" s="1"/>
  <c r="AC6" i="141" a="1"/>
  <c r="AC6" i="141" s="1"/>
  <c r="AC7" i="141" a="1"/>
  <c r="AC7" i="141" s="1"/>
  <c r="AB7" i="141" a="1"/>
  <c r="AB7" i="141" s="1"/>
  <c r="AA6" i="141" a="1"/>
  <c r="AA6" i="141" s="1"/>
  <c r="AD7" i="141" a="1"/>
  <c r="AD7" i="141" s="1"/>
  <c r="AG6" i="141" a="1"/>
  <c r="AG6" i="141" s="1"/>
  <c r="AF6" i="141" a="1"/>
  <c r="AF6" i="141" s="1"/>
  <c r="AE6" i="141" a="1"/>
  <c r="AE6" i="141" s="1"/>
  <c r="AD5" i="141" a="1"/>
  <c r="AD5" i="141" s="1"/>
  <c r="AD6" i="141" a="1"/>
  <c r="AD6" i="141" s="1"/>
  <c r="AG5" i="141" a="1"/>
  <c r="AG5" i="141" s="1"/>
  <c r="AF5" i="141" a="1"/>
  <c r="AF5" i="141" s="1"/>
  <c r="AE7" i="141" a="1"/>
  <c r="AE7" i="141" s="1"/>
  <c r="AG7" i="141" a="1"/>
  <c r="AG7" i="141" s="1"/>
  <c r="AE5" i="141" a="1"/>
  <c r="AE5" i="141" s="1"/>
  <c r="AF7" i="141" a="1"/>
  <c r="AF7" i="141" s="1"/>
  <c r="AY8" i="133" a="1"/>
  <c r="AY8" i="133" s="1"/>
  <c r="AY6" i="133" a="1"/>
  <c r="AY6" i="133" s="1"/>
  <c r="AG51" i="142" a="1"/>
  <c r="AG51" i="142" s="1"/>
  <c r="AY69" i="133" s="1" a="1"/>
  <c r="AY69" i="133" s="1"/>
  <c r="AY7" i="133" a="1"/>
  <c r="AY7" i="133" s="1"/>
  <c r="AG188" i="142" a="1"/>
  <c r="AG188" i="142" s="1"/>
  <c r="AG290" i="142" a="1"/>
  <c r="AG290" i="142" s="1"/>
  <c r="AG325" i="142" a="1"/>
  <c r="AG325" i="142" s="1"/>
  <c r="AG93" i="142" a="1"/>
  <c r="AG93" i="142" s="1"/>
  <c r="AG193" i="142" a="1"/>
  <c r="AG193" i="142" s="1"/>
  <c r="AG228" i="142" a="1"/>
  <c r="AG228" i="142" s="1"/>
  <c r="AG330" i="142" a="1"/>
  <c r="AG330" i="142" s="1"/>
  <c r="AG94" i="142" a="1"/>
  <c r="AG94" i="142" s="1"/>
  <c r="AG134" i="142" a="1"/>
  <c r="AG134" i="142" s="1"/>
  <c r="AG233" i="142" a="1"/>
  <c r="AG233" i="142" s="1"/>
  <c r="AG231" i="142" a="1"/>
  <c r="AG231" i="142" s="1"/>
  <c r="AG278" i="142" a="1"/>
  <c r="AG278" i="142" s="1"/>
  <c r="AG283" i="142" a="1"/>
  <c r="AG283" i="142" s="1"/>
  <c r="AG97" i="142" a="1"/>
  <c r="AG97" i="142" s="1"/>
  <c r="AG234" i="142" a="1"/>
  <c r="AG234" i="142" s="1"/>
  <c r="AG336" i="142" a="1"/>
  <c r="AG336" i="142" s="1"/>
  <c r="AG38" i="142" a="1"/>
  <c r="AG38" i="142" s="1"/>
  <c r="AG140" i="142" a="1"/>
  <c r="AG140" i="142" s="1"/>
  <c r="AG239" i="142" a="1"/>
  <c r="AG239" i="142" s="1"/>
  <c r="AG337" i="142" a="1"/>
  <c r="AG337" i="142" s="1"/>
  <c r="AY74" i="133" s="1" a="1"/>
  <c r="AY74" i="133" s="1"/>
  <c r="AG43" i="142" a="1"/>
  <c r="AG43" i="142" s="1"/>
  <c r="AG141" i="142" a="1"/>
  <c r="AG141" i="142" s="1"/>
  <c r="AG240" i="142" a="1"/>
  <c r="AG240" i="142" s="1"/>
  <c r="AG280" i="142" a="1"/>
  <c r="AG280" i="142" s="1"/>
  <c r="AG146" i="142" a="1"/>
  <c r="AG146" i="142" s="1"/>
  <c r="AY73" i="133" s="1" a="1"/>
  <c r="AY73" i="133" s="1"/>
  <c r="AG194" i="142" a="1"/>
  <c r="AG194" i="142" s="1"/>
  <c r="AG135" i="142" a="1"/>
  <c r="AG135" i="142" s="1"/>
  <c r="AG28" i="142" a="1"/>
  <c r="AG28" i="142" s="1"/>
  <c r="AG21" i="142" a="1"/>
  <c r="AG21" i="142" s="1"/>
  <c r="AG281" i="142" a="1"/>
  <c r="AG281" i="142" s="1"/>
  <c r="AG49" i="142" a="1"/>
  <c r="AG49" i="142" s="1"/>
  <c r="AG84" i="142" a="1"/>
  <c r="AG84" i="142" s="1"/>
  <c r="AG184" i="142" a="1"/>
  <c r="AG184" i="142" s="1"/>
  <c r="AG286" i="142" a="1"/>
  <c r="AG286" i="142" s="1"/>
  <c r="AG50" i="142" a="1"/>
  <c r="AG50" i="142" s="1"/>
  <c r="AG89" i="142" a="1"/>
  <c r="AG89" i="142" s="1"/>
  <c r="AG189" i="142" a="1"/>
  <c r="AG189" i="142" s="1"/>
  <c r="AG287" i="142" a="1"/>
  <c r="AG287" i="142" s="1"/>
  <c r="AG326" i="142" a="1"/>
  <c r="AG326" i="142" s="1"/>
  <c r="AG190" i="142" a="1"/>
  <c r="AG190" i="142" s="1"/>
  <c r="AG236" i="142" a="1"/>
  <c r="AG236" i="142" s="1"/>
  <c r="AG30" i="142" a="1"/>
  <c r="AG30" i="142" s="1"/>
  <c r="AG27" i="142" a="1"/>
  <c r="AG27" i="142" s="1"/>
  <c r="AY45" i="133" s="1" a="1"/>
  <c r="AY45" i="133" s="1"/>
  <c r="AG20" i="142" a="1"/>
  <c r="AG20" i="142" s="1"/>
  <c r="AG145" i="142" a="1"/>
  <c r="AG145" i="142" s="1"/>
  <c r="AG187" i="142" a="1"/>
  <c r="AG187" i="142" s="1"/>
  <c r="AG18" i="142" a="1"/>
  <c r="AG18" i="142" s="1"/>
  <c r="AG327" i="142" a="1"/>
  <c r="AG327" i="142" s="1"/>
  <c r="AG95" i="142" a="1"/>
  <c r="AG95" i="142" s="1"/>
  <c r="AG195" i="142" a="1"/>
  <c r="AG195" i="142" s="1"/>
  <c r="AY70" i="133" s="1" a="1"/>
  <c r="AY70" i="133" s="1"/>
  <c r="AG230" i="142" a="1"/>
  <c r="AG230" i="142" s="1"/>
  <c r="AG332" i="142" a="1"/>
  <c r="AG332" i="142" s="1"/>
  <c r="AG96" i="142" a="1"/>
  <c r="AG96" i="142" s="1"/>
  <c r="AG136" i="142" a="1"/>
  <c r="AG136" i="142" s="1"/>
  <c r="AG235" i="142" a="1"/>
  <c r="AG235" i="142" s="1"/>
  <c r="AG333" i="142" a="1"/>
  <c r="AG333" i="142" s="1"/>
  <c r="AY51" i="133" s="1" a="1"/>
  <c r="AY51" i="133" s="1"/>
  <c r="AG39" i="142" a="1"/>
  <c r="AG39" i="142" s="1"/>
  <c r="AG42" i="142" a="1"/>
  <c r="AG42" i="142" s="1"/>
  <c r="AG88" i="142" a="1"/>
  <c r="AG88" i="142" s="1"/>
  <c r="AG331" i="142" a="1"/>
  <c r="AG331" i="142" s="1"/>
  <c r="AG22" i="142" a="1"/>
  <c r="AG22" i="142" s="1"/>
  <c r="AG19" i="142" a="1"/>
  <c r="AG19" i="142" s="1"/>
  <c r="AG182" i="142" a="1"/>
  <c r="AG182" i="142" s="1"/>
  <c r="AG44" i="142" a="1"/>
  <c r="AG44" i="142" s="1"/>
  <c r="AG40" i="142" a="1"/>
  <c r="AG40" i="142" s="1"/>
  <c r="AG142" i="142" a="1"/>
  <c r="AG142" i="142" s="1"/>
  <c r="AY50" i="133" s="1" a="1"/>
  <c r="AY50" i="133" s="1"/>
  <c r="AG241" i="142" a="1"/>
  <c r="AG241" i="142" s="1"/>
  <c r="AG277" i="142" a="1"/>
  <c r="AG277" i="142" s="1"/>
  <c r="AG45" i="142" a="1"/>
  <c r="AG45" i="142" s="1"/>
  <c r="AG143" i="142" a="1"/>
  <c r="AG143" i="142" s="1"/>
  <c r="AG242" i="142" a="1"/>
  <c r="AG242" i="142" s="1"/>
  <c r="AY71" i="133" s="1" a="1"/>
  <c r="AY71" i="133" s="1"/>
  <c r="AG282" i="142" a="1"/>
  <c r="AG282" i="142" s="1"/>
  <c r="AG46" i="142" a="1"/>
  <c r="AG46" i="142" s="1"/>
  <c r="AG85" i="142" a="1"/>
  <c r="AG85" i="142" s="1"/>
  <c r="AG229" i="142" a="1"/>
  <c r="AG229" i="142" s="1"/>
  <c r="AG276" i="142" a="1"/>
  <c r="AG276" i="142" s="1"/>
  <c r="AG329" i="142" a="1"/>
  <c r="AG329" i="142" s="1"/>
  <c r="AG31" i="142" a="1"/>
  <c r="AG31" i="142" s="1"/>
  <c r="AY68" i="133" s="1" a="1"/>
  <c r="AY68" i="133" s="1"/>
  <c r="AG26" i="142" a="1"/>
  <c r="AG26" i="142" s="1"/>
  <c r="AG181" i="142" a="1"/>
  <c r="AG181" i="142" s="1"/>
  <c r="AG284" i="142" a="1"/>
  <c r="AG284" i="142" s="1"/>
  <c r="AG90" i="142" a="1"/>
  <c r="AG90" i="142" s="1"/>
  <c r="AG86" i="142" a="1"/>
  <c r="AG86" i="142" s="1"/>
  <c r="AG186" i="142" a="1"/>
  <c r="AG186" i="142" s="1"/>
  <c r="AG288" i="142" a="1"/>
  <c r="AG288" i="142" s="1"/>
  <c r="AG323" i="142" a="1"/>
  <c r="AG323" i="142" s="1"/>
  <c r="AG91" i="142" a="1"/>
  <c r="AG91" i="142" s="1"/>
  <c r="AG191" i="142" a="1"/>
  <c r="AG191" i="142" s="1"/>
  <c r="AY47" i="133" s="1" a="1"/>
  <c r="AY47" i="133" s="1"/>
  <c r="AG289" i="142" a="1"/>
  <c r="AG289" i="142" s="1"/>
  <c r="AG328" i="142" a="1"/>
  <c r="AG328" i="142" s="1"/>
  <c r="AG92" i="142" a="1"/>
  <c r="AG92" i="142" s="1"/>
  <c r="AG132" i="142" a="1"/>
  <c r="AG132" i="142" s="1"/>
  <c r="AG144" i="142" a="1"/>
  <c r="AG144" i="142" s="1"/>
  <c r="AG285" i="142" a="1"/>
  <c r="AG285" i="142" s="1"/>
  <c r="AG185" i="142" a="1"/>
  <c r="AG185" i="142" s="1"/>
  <c r="AG25" i="142" a="1"/>
  <c r="AG25" i="142" s="1"/>
  <c r="AG47" i="142" a="1"/>
  <c r="AG47" i="142" s="1"/>
  <c r="AY46" i="133" s="1" a="1"/>
  <c r="AY46" i="133" s="1"/>
  <c r="AG48" i="142" a="1"/>
  <c r="AG48" i="142" s="1"/>
  <c r="AG324" i="142" a="1"/>
  <c r="AG324" i="142" s="1"/>
  <c r="AG17" i="142" a="1"/>
  <c r="AG17" i="142" s="1"/>
  <c r="AG133" i="142" a="1"/>
  <c r="AG133" i="142" s="1"/>
  <c r="AG232" i="142" a="1"/>
  <c r="AG232" i="142" s="1"/>
  <c r="AG334" i="142" a="1"/>
  <c r="AG334" i="142" s="1"/>
  <c r="AG98" i="142" a="1"/>
  <c r="AG98" i="142" s="1"/>
  <c r="AG138" i="142" a="1"/>
  <c r="AG138" i="142" s="1"/>
  <c r="AG237" i="142" a="1"/>
  <c r="AG237" i="142" s="1"/>
  <c r="AG335" i="142" a="1"/>
  <c r="AG335" i="142" s="1"/>
  <c r="AG41" i="142" a="1"/>
  <c r="AG41" i="142" s="1"/>
  <c r="AG139" i="142" a="1"/>
  <c r="AG139" i="142" s="1"/>
  <c r="AG192" i="142" a="1"/>
  <c r="AG192" i="142" s="1"/>
  <c r="AG238" i="142" a="1"/>
  <c r="AG238" i="142" s="1"/>
  <c r="AY48" i="133" s="1" a="1"/>
  <c r="AY48" i="133" s="1"/>
  <c r="AG137" i="142" a="1"/>
  <c r="AG137" i="142" s="1"/>
  <c r="AG183" i="142" a="1"/>
  <c r="AG183" i="142" s="1"/>
  <c r="AG23" i="142" a="1"/>
  <c r="AG23" i="142" s="1"/>
  <c r="AG24" i="142" a="1"/>
  <c r="AG24" i="142" s="1"/>
  <c r="AG279" i="142" a="1"/>
  <c r="AG279" i="142" s="1"/>
  <c r="AG87" i="142" a="1"/>
  <c r="AG87" i="142" s="1"/>
  <c r="AG37" i="142" a="1"/>
  <c r="AG37" i="142" s="1"/>
  <c r="AG29" i="142" a="1"/>
  <c r="AG29" i="142" s="1"/>
  <c r="AH51" i="142" a="1"/>
  <c r="AH51" i="142" s="1"/>
  <c r="AZ69" i="133" s="1" a="1"/>
  <c r="AZ69" i="133" s="1"/>
  <c r="AZ8" i="133" a="1"/>
  <c r="AZ8" i="133" s="1"/>
  <c r="AZ6" i="133" a="1"/>
  <c r="AZ6" i="133" s="1"/>
  <c r="AZ7" i="133" a="1"/>
  <c r="AZ7" i="133" s="1"/>
  <c r="AH234" i="142" a="1"/>
  <c r="AH234" i="142" s="1"/>
  <c r="AH96" i="142" a="1"/>
  <c r="AH96" i="142" s="1"/>
  <c r="AH242" i="142" a="1"/>
  <c r="AH242" i="142" s="1"/>
  <c r="AZ71" i="133" s="1" a="1"/>
  <c r="AZ71" i="133" s="1"/>
  <c r="AH278" i="142" a="1"/>
  <c r="AH278" i="142" s="1"/>
  <c r="AH135" i="142" a="1"/>
  <c r="AH135" i="142" s="1"/>
  <c r="AH240" i="142" a="1"/>
  <c r="AH240" i="142" s="1"/>
  <c r="AH93" i="142" a="1"/>
  <c r="AH93" i="142" s="1"/>
  <c r="AH288" i="142" a="1"/>
  <c r="AH288" i="142" s="1"/>
  <c r="AH193" i="142" a="1"/>
  <c r="AH193" i="142" s="1"/>
  <c r="AH38" i="142" a="1"/>
  <c r="AH38" i="142" s="1"/>
  <c r="AH134" i="142" a="1"/>
  <c r="AH134" i="142" s="1"/>
  <c r="AH280" i="142" a="1"/>
  <c r="AH280" i="142" s="1"/>
  <c r="AH333" i="142" a="1"/>
  <c r="AH333" i="142" s="1"/>
  <c r="AZ51" i="133" s="1" a="1"/>
  <c r="AZ51" i="133" s="1"/>
  <c r="AH281" i="142" a="1"/>
  <c r="AH281" i="142" s="1"/>
  <c r="AH184" i="142" a="1"/>
  <c r="AH184" i="142" s="1"/>
  <c r="AH289" i="142" a="1"/>
  <c r="AH289" i="142" s="1"/>
  <c r="AH183" i="142" a="1"/>
  <c r="AH183" i="142" s="1"/>
  <c r="AH44" i="142" a="1"/>
  <c r="AH44" i="142" s="1"/>
  <c r="AH140" i="142" a="1"/>
  <c r="AH140" i="142" s="1"/>
  <c r="AH334" i="142" a="1"/>
  <c r="AH334" i="142" s="1"/>
  <c r="AH239" i="142" a="1"/>
  <c r="AH239" i="142" s="1"/>
  <c r="AH143" i="142" a="1"/>
  <c r="AH143" i="142" s="1"/>
  <c r="AH331" i="142" a="1"/>
  <c r="AH331" i="142" s="1"/>
  <c r="AH194" i="142" a="1"/>
  <c r="AH194" i="142" s="1"/>
  <c r="AH187" i="142" a="1"/>
  <c r="AH187" i="142" s="1"/>
  <c r="AH23" i="142" a="1"/>
  <c r="AH23" i="142" s="1"/>
  <c r="AH21" i="142" a="1"/>
  <c r="AH21" i="142" s="1"/>
  <c r="AH29" i="142" a="1"/>
  <c r="AH29" i="142" s="1"/>
  <c r="AH327" i="142" a="1"/>
  <c r="AH327" i="142" s="1"/>
  <c r="AH230" i="142" a="1"/>
  <c r="AH230" i="142" s="1"/>
  <c r="AH335" i="142" a="1"/>
  <c r="AH335" i="142" s="1"/>
  <c r="AH97" i="142" a="1"/>
  <c r="AH97" i="142" s="1"/>
  <c r="AH229" i="142" a="1"/>
  <c r="AH229" i="142" s="1"/>
  <c r="AH86" i="142" a="1"/>
  <c r="AH86" i="142" s="1"/>
  <c r="AH323" i="142" a="1"/>
  <c r="AH323" i="142" s="1"/>
  <c r="AH45" i="142" a="1"/>
  <c r="AH45" i="142" s="1"/>
  <c r="AH286" i="142" a="1"/>
  <c r="AH286" i="142" s="1"/>
  <c r="AH191" i="142" a="1"/>
  <c r="AH191" i="142" s="1"/>
  <c r="AZ47" i="133" s="1" a="1"/>
  <c r="AZ47" i="133" s="1"/>
  <c r="AH233" i="142" a="1"/>
  <c r="AH233" i="142" s="1"/>
  <c r="AH141" i="142" a="1"/>
  <c r="AH141" i="142" s="1"/>
  <c r="AH235" i="142" a="1"/>
  <c r="AH235" i="142" s="1"/>
  <c r="AH30" i="142" a="1"/>
  <c r="AH30" i="142" s="1"/>
  <c r="AH22" i="142" a="1"/>
  <c r="AH22" i="142" s="1"/>
  <c r="AH19" i="142" a="1"/>
  <c r="AH19" i="142" s="1"/>
  <c r="AH25" i="142" a="1"/>
  <c r="AH25" i="142" s="1"/>
  <c r="AH231" i="142" a="1"/>
  <c r="AH231" i="142" s="1"/>
  <c r="AH285" i="142" a="1"/>
  <c r="AH285" i="142" s="1"/>
  <c r="AH98" i="142" a="1"/>
  <c r="AH98" i="142" s="1"/>
  <c r="AH277" i="142" a="1"/>
  <c r="AH277" i="142" s="1"/>
  <c r="AH329" i="142" a="1"/>
  <c r="AH329" i="142" s="1"/>
  <c r="AH144" i="142" a="1"/>
  <c r="AH144" i="142" s="1"/>
  <c r="AH276" i="142" a="1"/>
  <c r="AH276" i="142" s="1"/>
  <c r="AH133" i="142" a="1"/>
  <c r="AH133" i="142" s="1"/>
  <c r="AH238" i="142" a="1"/>
  <c r="AH238" i="142" s="1"/>
  <c r="AZ48" i="133" s="1" a="1"/>
  <c r="AZ48" i="133" s="1"/>
  <c r="AH91" i="142" a="1"/>
  <c r="AH91" i="142" s="1"/>
  <c r="AH332" i="142" a="1"/>
  <c r="AH332" i="142" s="1"/>
  <c r="AH237" i="142" a="1"/>
  <c r="AH237" i="142" s="1"/>
  <c r="AH146" i="142" a="1"/>
  <c r="AH146" i="142" s="1"/>
  <c r="AZ73" i="133" s="1" a="1"/>
  <c r="AZ73" i="133" s="1"/>
  <c r="AH328" i="142" a="1"/>
  <c r="AH328" i="142" s="1"/>
  <c r="AH37" i="142" a="1"/>
  <c r="AH37" i="142" s="1"/>
  <c r="AH18" i="142" a="1"/>
  <c r="AH18" i="142" s="1"/>
  <c r="AH24" i="142" a="1"/>
  <c r="AH24" i="142" s="1"/>
  <c r="AH50" i="142" a="1"/>
  <c r="AH50" i="142" s="1"/>
  <c r="AH47" i="142" a="1"/>
  <c r="AH47" i="142" s="1"/>
  <c r="AZ46" i="133" s="1" a="1"/>
  <c r="AZ46" i="133" s="1"/>
  <c r="AH92" i="142" a="1"/>
  <c r="AH92" i="142" s="1"/>
  <c r="AH27" i="142" a="1"/>
  <c r="AH27" i="142" s="1"/>
  <c r="AZ45" i="133" s="1" a="1"/>
  <c r="AZ45" i="133" s="1"/>
  <c r="AH28" i="142" a="1"/>
  <c r="AH28" i="142" s="1"/>
  <c r="AH190" i="142" a="1"/>
  <c r="AH190" i="142" s="1"/>
  <c r="AH186" i="142" a="1"/>
  <c r="AH186" i="142" s="1"/>
  <c r="AH182" i="142" a="1"/>
  <c r="AH182" i="142" s="1"/>
  <c r="AH90" i="142" a="1"/>
  <c r="AH90" i="142" s="1"/>
  <c r="AH325" i="142" a="1"/>
  <c r="AH325" i="142" s="1"/>
  <c r="AH49" i="142" a="1"/>
  <c r="AH49" i="142" s="1"/>
  <c r="AH181" i="142" a="1"/>
  <c r="AH181" i="142" s="1"/>
  <c r="AH42" i="142" a="1"/>
  <c r="AH42" i="142" s="1"/>
  <c r="AH138" i="142" a="1"/>
  <c r="AH138" i="142" s="1"/>
  <c r="AH43" i="142" a="1"/>
  <c r="AH43" i="142" s="1"/>
  <c r="AH284" i="142" a="1"/>
  <c r="AH284" i="142" s="1"/>
  <c r="AH94" i="142" a="1"/>
  <c r="AH94" i="142" s="1"/>
  <c r="AH139" i="142" a="1"/>
  <c r="AH139" i="142" s="1"/>
  <c r="AH85" i="142" a="1"/>
  <c r="AH85" i="142" s="1"/>
  <c r="AH26" i="142" a="1"/>
  <c r="AH26" i="142" s="1"/>
  <c r="AH20" i="142" a="1"/>
  <c r="AH20" i="142" s="1"/>
  <c r="AH88" i="142" a="1"/>
  <c r="AH88" i="142" s="1"/>
  <c r="AH241" i="142" a="1"/>
  <c r="AH241" i="142" s="1"/>
  <c r="AH39" i="142" a="1"/>
  <c r="AH39" i="142" s="1"/>
  <c r="AH17" i="142" a="1"/>
  <c r="AH17" i="142" s="1"/>
  <c r="AH236" i="142" a="1"/>
  <c r="AH236" i="142" s="1"/>
  <c r="AH232" i="142" a="1"/>
  <c r="AH232" i="142" s="1"/>
  <c r="AH228" i="142" a="1"/>
  <c r="AH228" i="142" s="1"/>
  <c r="AH137" i="142" a="1"/>
  <c r="AH137" i="142" s="1"/>
  <c r="AH192" i="142" a="1"/>
  <c r="AH192" i="142" s="1"/>
  <c r="AH95" i="142" a="1"/>
  <c r="AH95" i="142" s="1"/>
  <c r="AH290" i="142" a="1"/>
  <c r="AH290" i="142" s="1"/>
  <c r="AH84" i="142" a="1"/>
  <c r="AH84" i="142" s="1"/>
  <c r="AH287" i="142" a="1"/>
  <c r="AH287" i="142" s="1"/>
  <c r="AH89" i="142" a="1"/>
  <c r="AH89" i="142" s="1"/>
  <c r="AH330" i="142" a="1"/>
  <c r="AH330" i="142" s="1"/>
  <c r="AH282" i="142" a="1"/>
  <c r="AH282" i="142" s="1"/>
  <c r="AH326" i="142" a="1"/>
  <c r="AH326" i="142" s="1"/>
  <c r="AH46" i="142" a="1"/>
  <c r="AH46" i="142" s="1"/>
  <c r="AH145" i="142" a="1"/>
  <c r="AH145" i="142" s="1"/>
  <c r="AH283" i="142" a="1"/>
  <c r="AH283" i="142" s="1"/>
  <c r="AH279" i="142" a="1"/>
  <c r="AH279" i="142" s="1"/>
  <c r="AH337" i="142" a="1"/>
  <c r="AH337" i="142" s="1"/>
  <c r="AZ74" i="133" s="1" a="1"/>
  <c r="AZ74" i="133" s="1"/>
  <c r="AH185" i="142" a="1"/>
  <c r="AH185" i="142" s="1"/>
  <c r="AH48" i="142" a="1"/>
  <c r="AH48" i="142" s="1"/>
  <c r="AH142" i="142" a="1"/>
  <c r="AH142" i="142" s="1"/>
  <c r="AZ50" i="133" s="1" a="1"/>
  <c r="AZ50" i="133" s="1"/>
  <c r="AH336" i="142" a="1"/>
  <c r="AH336" i="142" s="1"/>
  <c r="AH195" i="142" a="1"/>
  <c r="AH195" i="142" s="1"/>
  <c r="AZ70" i="133" s="1" a="1"/>
  <c r="AZ70" i="133" s="1"/>
  <c r="AH40" i="142" a="1"/>
  <c r="AH40" i="142" s="1"/>
  <c r="AH136" i="142" a="1"/>
  <c r="AH136" i="142" s="1"/>
  <c r="AH41" i="142" a="1"/>
  <c r="AH41" i="142" s="1"/>
  <c r="AH132" i="142" a="1"/>
  <c r="AH132" i="142" s="1"/>
  <c r="AH189" i="142" a="1"/>
  <c r="AH189" i="142" s="1"/>
  <c r="AH31" i="142" a="1"/>
  <c r="AH31" i="142" s="1"/>
  <c r="AZ68" i="133" s="1" a="1"/>
  <c r="AZ68" i="133" s="1"/>
  <c r="AH188" i="142" a="1"/>
  <c r="AH188" i="142" s="1"/>
  <c r="AH324" i="142" a="1"/>
  <c r="AH324" i="142" s="1"/>
  <c r="AH87" i="142" a="1"/>
  <c r="AH87" i="142" s="1"/>
  <c r="K286" i="142"/>
  <c r="K135" i="142"/>
  <c r="K184" i="142"/>
  <c r="K141" i="142"/>
  <c r="K44" i="142"/>
  <c r="K84" i="142"/>
  <c r="K146" i="142"/>
  <c r="K155" i="142"/>
  <c r="K91" i="142"/>
  <c r="K323" i="142"/>
  <c r="K27" i="142"/>
  <c r="K29" i="142"/>
  <c r="K28" i="142"/>
  <c r="K50" i="142"/>
  <c r="K95" i="142"/>
  <c r="K112" i="142"/>
  <c r="K157" i="142"/>
  <c r="K151" i="142"/>
  <c r="K159" i="142"/>
  <c r="K125" i="142"/>
  <c r="K183" i="142"/>
  <c r="K229" i="142"/>
  <c r="K280" i="142"/>
  <c r="K49" i="142"/>
  <c r="K39" i="142"/>
  <c r="K37" i="142"/>
  <c r="K85" i="142"/>
  <c r="K119" i="142"/>
  <c r="K115" i="142"/>
  <c r="K158" i="142"/>
  <c r="K156" i="142"/>
  <c r="K164" i="142"/>
  <c r="K185" i="142"/>
  <c r="K182" i="142"/>
  <c r="K170" i="142"/>
  <c r="K237" i="142"/>
  <c r="K276" i="142"/>
  <c r="K326" i="142"/>
  <c r="K336" i="142"/>
  <c r="K194" i="142"/>
  <c r="K26" i="142"/>
  <c r="K20" i="142"/>
  <c r="K38" i="142"/>
  <c r="K46" i="142"/>
  <c r="K96" i="142"/>
  <c r="K114" i="142"/>
  <c r="K149" i="142"/>
  <c r="K124" i="142"/>
  <c r="K120" i="142"/>
  <c r="K165" i="142"/>
  <c r="K138" i="142"/>
  <c r="K132" i="142"/>
  <c r="K189" i="142"/>
  <c r="K188" i="142"/>
  <c r="K191" i="142"/>
  <c r="K181" i="142"/>
  <c r="K163" i="142"/>
  <c r="K193" i="142"/>
  <c r="K240" i="142"/>
  <c r="K232" i="142"/>
  <c r="K284" i="142"/>
  <c r="K281" i="142"/>
  <c r="K277" i="142"/>
  <c r="K330" i="142"/>
  <c r="K325" i="142"/>
  <c r="K329" i="142"/>
  <c r="K31" i="142"/>
  <c r="K41" i="142"/>
  <c r="K43" i="142"/>
  <c r="K93" i="142"/>
  <c r="K121" i="142"/>
  <c r="K152" i="142"/>
  <c r="K134" i="142"/>
  <c r="K187" i="142"/>
  <c r="K145" i="142"/>
  <c r="K192" i="142"/>
  <c r="K234" i="142"/>
  <c r="K186" i="142"/>
  <c r="K242" i="142"/>
  <c r="K235" i="142"/>
  <c r="K228" i="142"/>
  <c r="K279" i="142"/>
  <c r="K332" i="142"/>
  <c r="K324" i="142"/>
  <c r="K331" i="142"/>
  <c r="K48" i="142"/>
  <c r="K42" i="142"/>
  <c r="K21" i="142"/>
  <c r="K47" i="142"/>
  <c r="K122" i="142"/>
  <c r="K133" i="142"/>
  <c r="K123" i="142"/>
  <c r="K140" i="142"/>
  <c r="K143" i="142"/>
  <c r="K161" i="142"/>
  <c r="K195" i="142"/>
  <c r="K173" i="142"/>
  <c r="K236" i="142"/>
  <c r="K282" i="142"/>
  <c r="K283" i="142"/>
  <c r="K334" i="142"/>
  <c r="K328" i="142"/>
  <c r="K24" i="142"/>
  <c r="K150" i="142"/>
  <c r="K230" i="142"/>
  <c r="K22" i="142"/>
  <c r="K30" i="142"/>
  <c r="K92" i="142"/>
  <c r="K94" i="142"/>
  <c r="K87" i="142"/>
  <c r="K136" i="142"/>
  <c r="K88" i="142"/>
  <c r="K98" i="142"/>
  <c r="K142" i="142"/>
  <c r="K139" i="142"/>
  <c r="K160" i="142"/>
  <c r="K231" i="142"/>
  <c r="K285" i="142"/>
  <c r="K290" i="142"/>
  <c r="K287" i="142"/>
  <c r="K333" i="142"/>
  <c r="K45" i="142"/>
  <c r="K97" i="142"/>
  <c r="K116" i="142"/>
  <c r="K118" i="142"/>
  <c r="K89" i="142"/>
  <c r="K144" i="142"/>
  <c r="K162" i="142"/>
  <c r="K168" i="142"/>
  <c r="K167" i="142"/>
  <c r="K166" i="142"/>
  <c r="K238" i="142"/>
  <c r="K190" i="142"/>
  <c r="K289" i="142"/>
  <c r="K337" i="142"/>
  <c r="K327" i="142"/>
  <c r="K23" i="142"/>
  <c r="K239" i="142"/>
  <c r="K19" i="142"/>
  <c r="K40" i="142"/>
  <c r="K137" i="142"/>
  <c r="K147" i="142"/>
  <c r="K17" i="142"/>
  <c r="K25" i="142"/>
  <c r="K86" i="142"/>
  <c r="K90" i="142"/>
  <c r="K148" i="142"/>
  <c r="K117" i="142"/>
  <c r="K113" i="142"/>
  <c r="K154" i="142"/>
  <c r="K172" i="142"/>
  <c r="K153" i="142"/>
  <c r="K169" i="142"/>
  <c r="K171" i="142"/>
  <c r="K241" i="142"/>
  <c r="K233" i="142"/>
  <c r="K288" i="142"/>
  <c r="K278" i="142"/>
  <c r="K335" i="142"/>
  <c r="S320" i="142"/>
  <c r="S273" i="142"/>
  <c r="S225" i="142"/>
  <c r="S178" i="142"/>
  <c r="S129" i="142"/>
  <c r="S34" i="142"/>
  <c r="S81" i="142"/>
  <c r="AE320" i="142"/>
  <c r="AE273" i="142"/>
  <c r="AE225" i="142"/>
  <c r="AE178" i="142"/>
  <c r="AE129" i="142"/>
  <c r="AE81" i="142"/>
  <c r="AE34" i="142"/>
  <c r="M320" i="142"/>
  <c r="M273" i="142"/>
  <c r="M225" i="142"/>
  <c r="M178" i="142"/>
  <c r="M129" i="142"/>
  <c r="M81" i="142"/>
  <c r="M34" i="142"/>
  <c r="T2" i="141"/>
  <c r="I11" i="142"/>
  <c r="U6" i="133"/>
  <c r="BG501" i="131"/>
  <c r="BG429" i="131"/>
  <c r="BG521" i="131"/>
  <c r="BG528" i="131"/>
  <c r="BG400" i="131"/>
  <c r="BG386" i="131"/>
  <c r="BG399" i="131"/>
  <c r="BG531" i="131"/>
  <c r="BG388" i="131"/>
  <c r="BG504" i="131"/>
  <c r="BG45" i="131"/>
  <c r="BG420" i="131"/>
  <c r="BG409" i="131"/>
  <c r="BG523" i="131"/>
  <c r="BG513" i="131"/>
  <c r="BG431" i="131"/>
  <c r="BG589" i="131"/>
  <c r="BG565" i="131"/>
  <c r="BG518" i="131"/>
  <c r="BG426" i="131"/>
  <c r="BG514" i="131"/>
  <c r="BG534" i="131"/>
  <c r="BG532" i="131"/>
  <c r="BG512" i="131"/>
  <c r="BG494" i="131"/>
  <c r="BG497" i="131"/>
  <c r="BG430" i="131"/>
  <c r="BG410" i="131"/>
  <c r="BG500" i="131"/>
  <c r="BG505" i="131"/>
  <c r="BG499" i="131"/>
  <c r="BG507" i="131"/>
  <c r="BG524" i="131"/>
  <c r="BG425" i="131"/>
  <c r="BG515" i="131"/>
  <c r="BG414" i="131"/>
  <c r="BG519" i="131"/>
  <c r="BG530" i="131"/>
  <c r="BG404" i="131"/>
  <c r="BG506" i="131"/>
  <c r="BG511" i="131"/>
  <c r="BG422" i="131"/>
  <c r="BG508" i="131"/>
  <c r="BG407" i="131"/>
  <c r="BG529" i="131"/>
  <c r="BG419" i="131"/>
  <c r="BG392" i="131"/>
  <c r="BG502" i="131"/>
  <c r="BG397" i="131"/>
  <c r="BG396" i="131"/>
  <c r="BG509" i="131"/>
  <c r="BG516" i="131"/>
  <c r="BG495" i="131"/>
  <c r="BG411" i="131"/>
  <c r="BG432" i="131"/>
  <c r="BG540" i="131"/>
  <c r="BG498" i="131"/>
  <c r="BG537" i="131"/>
  <c r="BG417" i="131"/>
  <c r="BG423" i="131"/>
  <c r="BG491" i="131"/>
  <c r="BG416" i="131"/>
  <c r="BG391" i="131"/>
  <c r="BG405" i="131"/>
  <c r="BG393" i="131"/>
  <c r="BG428" i="131"/>
  <c r="BG522" i="131"/>
  <c r="BG427" i="131"/>
  <c r="BG394" i="131"/>
  <c r="BG527" i="131"/>
  <c r="BG395" i="131"/>
  <c r="BG418" i="131"/>
  <c r="BG526" i="131"/>
  <c r="BG408" i="131"/>
  <c r="BG533" i="131"/>
  <c r="BG433" i="131"/>
  <c r="BG385" i="131"/>
  <c r="BG496" i="131"/>
  <c r="BG389" i="131"/>
  <c r="BG493" i="131"/>
  <c r="BG503" i="131"/>
  <c r="BG525" i="131"/>
  <c r="BG510" i="131"/>
  <c r="BG520" i="131"/>
  <c r="BG413" i="131"/>
  <c r="BG412" i="131"/>
  <c r="BG424" i="131"/>
  <c r="BG384" i="131"/>
  <c r="BG421" i="131"/>
  <c r="BG402" i="131"/>
  <c r="BG390" i="131"/>
  <c r="BG406" i="131"/>
  <c r="BG539" i="131"/>
  <c r="BG538" i="131"/>
  <c r="BG415" i="131"/>
  <c r="BG535" i="131"/>
  <c r="BG398" i="131"/>
  <c r="BG387" i="131"/>
  <c r="BG536" i="131"/>
  <c r="BG401" i="131"/>
  <c r="BG482" i="131"/>
  <c r="BG622" i="131"/>
  <c r="BG106" i="131"/>
  <c r="BG37" i="131"/>
  <c r="BG360" i="131"/>
  <c r="BG366" i="131"/>
  <c r="BG628" i="131"/>
  <c r="BG345" i="131"/>
  <c r="BG583" i="131"/>
  <c r="BG73" i="131"/>
  <c r="BG481" i="131"/>
  <c r="BG577" i="131"/>
  <c r="BG626" i="131"/>
  <c r="BG646" i="131"/>
  <c r="BG563" i="131"/>
  <c r="BG456" i="131"/>
  <c r="BG31" i="131"/>
  <c r="P119" i="131"/>
  <c r="P334" i="131" s="1"/>
  <c r="BG101" i="131"/>
  <c r="BG559" i="131"/>
  <c r="BG489" i="131"/>
  <c r="BG578" i="131"/>
  <c r="BG105" i="131"/>
  <c r="BG64" i="131"/>
  <c r="BG613" i="131"/>
  <c r="BG134" i="130"/>
  <c r="BG165" i="130"/>
  <c r="BG91" i="131"/>
  <c r="BG327" i="131"/>
  <c r="BG644" i="131"/>
  <c r="BG383" i="131"/>
  <c r="BG574" i="131"/>
  <c r="BG558" i="131"/>
  <c r="BG467" i="131"/>
  <c r="BG49" i="131"/>
  <c r="BG373" i="131"/>
  <c r="BG60" i="131"/>
  <c r="BG53" i="131"/>
  <c r="BG594" i="131"/>
  <c r="BG453" i="131"/>
  <c r="BG76" i="131"/>
  <c r="BG377" i="131"/>
  <c r="BG448" i="131"/>
  <c r="BG556" i="131"/>
  <c r="BG51" i="131"/>
  <c r="BG21" i="131"/>
  <c r="BG108" i="131"/>
  <c r="BG603" i="131"/>
  <c r="BG153" i="130"/>
  <c r="BG16" i="131"/>
  <c r="BG107" i="131"/>
  <c r="BG363" i="131"/>
  <c r="BG62" i="131"/>
  <c r="BG35" i="131"/>
  <c r="BG553" i="131"/>
  <c r="BG97" i="131"/>
  <c r="BG615" i="131"/>
  <c r="BG486" i="131"/>
  <c r="BG445" i="131"/>
  <c r="BG100" i="131"/>
  <c r="BG602" i="131"/>
  <c r="BG95" i="131"/>
  <c r="BG27" i="131"/>
  <c r="BG381" i="131"/>
  <c r="BG566" i="131"/>
  <c r="BG570" i="131"/>
  <c r="BG89" i="131"/>
  <c r="BG614" i="131"/>
  <c r="BG616" i="131"/>
  <c r="BG474" i="131"/>
  <c r="BG606" i="131"/>
  <c r="BG551" i="131"/>
  <c r="BG352" i="131"/>
  <c r="BG42" i="131"/>
  <c r="BG640" i="131"/>
  <c r="BG612" i="131"/>
  <c r="BG24" i="131"/>
  <c r="BG478" i="131"/>
  <c r="BG59" i="131"/>
  <c r="BG364" i="131"/>
  <c r="BG447" i="131"/>
  <c r="BG93" i="131"/>
  <c r="BG596" i="131"/>
  <c r="BG564" i="131"/>
  <c r="BG15" i="131"/>
  <c r="BG19" i="131"/>
  <c r="BG625" i="131"/>
  <c r="BG462" i="131"/>
  <c r="BG609" i="131"/>
  <c r="BG29" i="131"/>
  <c r="BG636" i="131"/>
  <c r="BG472" i="131"/>
  <c r="BG369" i="131"/>
  <c r="BG58" i="130"/>
  <c r="BG28" i="130"/>
  <c r="BG48" i="130"/>
  <c r="BG36" i="131"/>
  <c r="BG61" i="131"/>
  <c r="BG60" i="130"/>
  <c r="BG75" i="131"/>
  <c r="BG46" i="131"/>
  <c r="BG618" i="131"/>
  <c r="BG552" i="131"/>
  <c r="BG632" i="131"/>
  <c r="BG567" i="131"/>
  <c r="BG113" i="131"/>
  <c r="BG25" i="131"/>
  <c r="BG43" i="130"/>
  <c r="BG40" i="130"/>
  <c r="BG77" i="131"/>
  <c r="BG30" i="130"/>
  <c r="BG57" i="130"/>
  <c r="BG55" i="130"/>
  <c r="BG20" i="130"/>
  <c r="BG32" i="130"/>
  <c r="BG41" i="131"/>
  <c r="BG38" i="131"/>
  <c r="BG71" i="131"/>
  <c r="BG72" i="131"/>
  <c r="BG56" i="130"/>
  <c r="BG66" i="131"/>
  <c r="BG67" i="131"/>
  <c r="BG39" i="131"/>
  <c r="BG99" i="131"/>
  <c r="BG109" i="131"/>
  <c r="BG561" i="131"/>
  <c r="BG605" i="131"/>
  <c r="BG370" i="131"/>
  <c r="BG633" i="131"/>
  <c r="BG27" i="130"/>
  <c r="BG43" i="131"/>
  <c r="BG45" i="130"/>
  <c r="BG21" i="130"/>
  <c r="BG51" i="130"/>
  <c r="BG65" i="131"/>
  <c r="BG53" i="130"/>
  <c r="BG41" i="130"/>
  <c r="BG62" i="130"/>
  <c r="BG18" i="130"/>
  <c r="BG16" i="130"/>
  <c r="BG81" i="131"/>
  <c r="BG326" i="131"/>
  <c r="BG14" i="130"/>
  <c r="BG38" i="130"/>
  <c r="BG40" i="131"/>
  <c r="BG34" i="131"/>
  <c r="BG68" i="131"/>
  <c r="BG52" i="130"/>
  <c r="BG33" i="130"/>
  <c r="BG61" i="130"/>
  <c r="BG56" i="131"/>
  <c r="BG47" i="131"/>
  <c r="BG46" i="130"/>
  <c r="BG54" i="130"/>
  <c r="BG23" i="131"/>
  <c r="BG35" i="130"/>
  <c r="BG52" i="131"/>
  <c r="BG47" i="130"/>
  <c r="BG57" i="131"/>
  <c r="BG26" i="130"/>
  <c r="BG44" i="130"/>
  <c r="BG44" i="131"/>
  <c r="BG80" i="131"/>
  <c r="BG34" i="130"/>
  <c r="BG70" i="131"/>
  <c r="BG31" i="130"/>
  <c r="BG54" i="131"/>
  <c r="BG78" i="131"/>
  <c r="BG48" i="131"/>
  <c r="BG17" i="130"/>
  <c r="BG19" i="130"/>
  <c r="BG25" i="130"/>
  <c r="BG74" i="131"/>
  <c r="BG24" i="130"/>
  <c r="BG568" i="131"/>
  <c r="BG50" i="130"/>
  <c r="BG59" i="130"/>
  <c r="BG29" i="130"/>
  <c r="BG58" i="131"/>
  <c r="BG42" i="130"/>
  <c r="BG79" i="131"/>
  <c r="BG23" i="130"/>
  <c r="BG69" i="131"/>
  <c r="BG39" i="130"/>
  <c r="BG37" i="130"/>
  <c r="BG22" i="130"/>
  <c r="BG82" i="131"/>
  <c r="BG36" i="130"/>
  <c r="BG63" i="131"/>
  <c r="BG49" i="130"/>
  <c r="BG15" i="130"/>
  <c r="BG55" i="131"/>
  <c r="BG50" i="131"/>
  <c r="BG92" i="131"/>
  <c r="BG341" i="131"/>
  <c r="BG451" i="131"/>
  <c r="BG465" i="131"/>
  <c r="BG354" i="131"/>
  <c r="BG611" i="131"/>
  <c r="BG347" i="131"/>
  <c r="BG382" i="131"/>
  <c r="BG90" i="131"/>
  <c r="BG485" i="131"/>
  <c r="BG627" i="131"/>
  <c r="BG338" i="131"/>
  <c r="BG595" i="131"/>
  <c r="BG339" i="131"/>
  <c r="BG629" i="131"/>
  <c r="BG452" i="131"/>
  <c r="BG450" i="131"/>
  <c r="BG349" i="131"/>
  <c r="BG541" i="131"/>
  <c r="BG599" i="131"/>
  <c r="BG604" i="131"/>
  <c r="BG624" i="131"/>
  <c r="BG350" i="131"/>
  <c r="BG30" i="131"/>
  <c r="BG454" i="131"/>
  <c r="BG473" i="131"/>
  <c r="BG103" i="131"/>
  <c r="BG601" i="131"/>
  <c r="BG466" i="131"/>
  <c r="BG372" i="131"/>
  <c r="BG460" i="131"/>
  <c r="BG587" i="131"/>
  <c r="BG337" i="131"/>
  <c r="BG457" i="131"/>
  <c r="BG591" i="131"/>
  <c r="BG477" i="131"/>
  <c r="BG361" i="131"/>
  <c r="BG357" i="131"/>
  <c r="BG471" i="131"/>
  <c r="BG610" i="131"/>
  <c r="BG104" i="131"/>
  <c r="BG380" i="131"/>
  <c r="BG378" i="131"/>
  <c r="BG562" i="131"/>
  <c r="BG458" i="131"/>
  <c r="BG631" i="131"/>
  <c r="BG588" i="131"/>
  <c r="BG444" i="131"/>
  <c r="BG20" i="131"/>
  <c r="BG111" i="131"/>
  <c r="BG340" i="131"/>
  <c r="BG355" i="131"/>
  <c r="BG98" i="131"/>
  <c r="BG359" i="131"/>
  <c r="BG375" i="131"/>
  <c r="BG17" i="131"/>
  <c r="BG592" i="131"/>
  <c r="BG84" i="131"/>
  <c r="BG598" i="131"/>
  <c r="BG220" i="131"/>
  <c r="BG579" i="131"/>
  <c r="BG581" i="131"/>
  <c r="BG26" i="131"/>
  <c r="BG443" i="131"/>
  <c r="BG585" i="131"/>
  <c r="BG110" i="131"/>
  <c r="BG623" i="131"/>
  <c r="BG582" i="131"/>
  <c r="BG608" i="131"/>
  <c r="BG600" i="131"/>
  <c r="BG14" i="131"/>
  <c r="BG94" i="131"/>
  <c r="BG446" i="131"/>
  <c r="BG607" i="131"/>
  <c r="BG434" i="131"/>
  <c r="BG455" i="131"/>
  <c r="BG449" i="131"/>
  <c r="BG641" i="131"/>
  <c r="BG368" i="131"/>
  <c r="BG620" i="131"/>
  <c r="BG479" i="131"/>
  <c r="BG617" i="131"/>
  <c r="BG645" i="131"/>
  <c r="BG576" i="131"/>
  <c r="BG621" i="131"/>
  <c r="BG343" i="131"/>
  <c r="BG619" i="131"/>
  <c r="BG362" i="131"/>
  <c r="BG470" i="131"/>
  <c r="BG634" i="131"/>
  <c r="BG550" i="131"/>
  <c r="BG351" i="131"/>
  <c r="BG469" i="131"/>
  <c r="BG597" i="131"/>
  <c r="BG475" i="131"/>
  <c r="BG374" i="131"/>
  <c r="BG643" i="131"/>
  <c r="BG367" i="131"/>
  <c r="BG642" i="131"/>
  <c r="BG580" i="131"/>
  <c r="BG85" i="131"/>
  <c r="BG33" i="131"/>
  <c r="BG102" i="131"/>
  <c r="BG569" i="131"/>
  <c r="BG371" i="131"/>
  <c r="BG480" i="131"/>
  <c r="BG342" i="131"/>
  <c r="BG87" i="131"/>
  <c r="BG590" i="131"/>
  <c r="BG488" i="131"/>
  <c r="BG572" i="131"/>
  <c r="BG464" i="131"/>
  <c r="BG346" i="131"/>
  <c r="BG483" i="131"/>
  <c r="BG88" i="131"/>
  <c r="BG336" i="131"/>
  <c r="BG22" i="131"/>
  <c r="BG476" i="131"/>
  <c r="BG356" i="131"/>
  <c r="BG638" i="131"/>
  <c r="BG647" i="131"/>
  <c r="BG584" i="131"/>
  <c r="BG32" i="131"/>
  <c r="BG28" i="131"/>
  <c r="BG459" i="131"/>
  <c r="BG461" i="131"/>
  <c r="BG586" i="131"/>
  <c r="BG348" i="131"/>
  <c r="BG490" i="131"/>
  <c r="BG435" i="131"/>
  <c r="BG557" i="131"/>
  <c r="BG649" i="131"/>
  <c r="BG560" i="131"/>
  <c r="BG573" i="131"/>
  <c r="BG554" i="131"/>
  <c r="BG376" i="131"/>
  <c r="BG365" i="131"/>
  <c r="BG86" i="131"/>
  <c r="BG542" i="131"/>
  <c r="BG358" i="131"/>
  <c r="BG593" i="131"/>
  <c r="BG630" i="131"/>
  <c r="BG487" i="131"/>
  <c r="BG112" i="131"/>
  <c r="BG353" i="131"/>
  <c r="BG635" i="131"/>
  <c r="BG637" i="131"/>
  <c r="BG468" i="131"/>
  <c r="BG484" i="131"/>
  <c r="BG344" i="131"/>
  <c r="BG379" i="131"/>
  <c r="BG571" i="131"/>
  <c r="BG575" i="131"/>
  <c r="BG18" i="131"/>
  <c r="BG463" i="131"/>
  <c r="BG639" i="131"/>
  <c r="BG555" i="131"/>
  <c r="BG96" i="131"/>
  <c r="BG83" i="131"/>
  <c r="BG648" i="131"/>
  <c r="X225" i="131"/>
  <c r="AF333" i="131"/>
  <c r="AN225" i="131"/>
  <c r="Y333" i="131"/>
  <c r="AE225" i="131"/>
  <c r="AG333" i="131"/>
  <c r="AL333" i="131"/>
  <c r="Z333" i="131"/>
  <c r="T3" i="133"/>
  <c r="Y2" i="133" s="1"/>
  <c r="Y3" i="133" s="1"/>
  <c r="Z2" i="133" s="1"/>
  <c r="Z3" i="133" s="1"/>
  <c r="AA2" i="133" s="1"/>
  <c r="AA3" i="133" s="1"/>
  <c r="AB2" i="133" s="1"/>
  <c r="AB3" i="133" s="1"/>
  <c r="AG2" i="133" s="1"/>
  <c r="AG3" i="133" s="1"/>
  <c r="AH2" i="133" s="1"/>
  <c r="AH3" i="133" s="1"/>
  <c r="AI2" i="133" s="1"/>
  <c r="AI3" i="133" s="1"/>
  <c r="AJ2" i="133" s="1"/>
  <c r="AJ3" i="133" s="1"/>
  <c r="AO2" i="133" s="1"/>
  <c r="AO3" i="133" s="1"/>
  <c r="AP2" i="133" s="1"/>
  <c r="AP3" i="133" s="1"/>
  <c r="AQ2" i="133" s="1"/>
  <c r="AQ3" i="133" s="1"/>
  <c r="AR2" i="133" s="1"/>
  <c r="AR3" i="133" s="1"/>
  <c r="AW2" i="133" s="1"/>
  <c r="AW3" i="133" s="1"/>
  <c r="AX2" i="133" s="1"/>
  <c r="AX3" i="133" s="1"/>
  <c r="AY2" i="133" s="1"/>
  <c r="AY3" i="133" s="1"/>
  <c r="AZ2" i="133" s="1"/>
  <c r="AZ3" i="133" s="1"/>
  <c r="BE2" i="133" s="1"/>
  <c r="BE3" i="133" s="1"/>
  <c r="BF2" i="133" s="1"/>
  <c r="BF3" i="133" s="1"/>
  <c r="BG2" i="133" s="1"/>
  <c r="BG3" i="133" s="1"/>
  <c r="BH2" i="133" s="1"/>
  <c r="BH3" i="133" s="1"/>
  <c r="BA118" i="131"/>
  <c r="BA225" i="131" s="1"/>
  <c r="BA333" i="131" s="1"/>
  <c r="BA440" i="131" s="1"/>
  <c r="BA547" i="131" s="1"/>
  <c r="BB118" i="131"/>
  <c r="BB225" i="131" s="1"/>
  <c r="BB333" i="131" s="1"/>
  <c r="BB440" i="131" s="1"/>
  <c r="BB547" i="131" s="1"/>
  <c r="BC118" i="131"/>
  <c r="BC225" i="131" s="1"/>
  <c r="BC333" i="131" s="1"/>
  <c r="BC440" i="131" s="1"/>
  <c r="BC547" i="131" s="1"/>
  <c r="AZ118" i="131"/>
  <c r="AZ225" i="131" s="1"/>
  <c r="AZ333" i="131" s="1"/>
  <c r="AZ440" i="131" s="1"/>
  <c r="AZ547" i="131" s="1"/>
  <c r="S9" i="131"/>
  <c r="R9" i="131"/>
  <c r="S545" i="131"/>
  <c r="Q545" i="131"/>
  <c r="Q9" i="131"/>
  <c r="R545" i="131"/>
  <c r="AH118" i="131"/>
  <c r="AV118" i="131"/>
  <c r="AV225" i="131" s="1"/>
  <c r="AV333" i="131" s="1"/>
  <c r="AV440" i="131" s="1"/>
  <c r="AV547" i="131" s="1"/>
  <c r="X22" i="98"/>
  <c r="W22" i="98" s="1"/>
  <c r="AO118" i="130"/>
  <c r="AO118" i="131"/>
  <c r="AS118" i="131"/>
  <c r="BG109" i="130"/>
  <c r="BG106" i="130"/>
  <c r="BG75" i="130"/>
  <c r="BG102" i="130"/>
  <c r="BG90" i="130"/>
  <c r="BG88" i="130"/>
  <c r="BG108" i="130"/>
  <c r="BG105" i="130"/>
  <c r="BG112" i="130"/>
  <c r="BG67" i="130"/>
  <c r="BG111" i="130"/>
  <c r="BG92" i="130"/>
  <c r="BG107" i="130"/>
  <c r="BG113" i="130"/>
  <c r="BG73" i="130"/>
  <c r="BG83" i="130"/>
  <c r="BG99" i="130"/>
  <c r="BG98" i="130"/>
  <c r="BG65" i="130"/>
  <c r="BG94" i="130"/>
  <c r="BG96" i="130"/>
  <c r="BG78" i="130"/>
  <c r="BG68" i="130"/>
  <c r="BG72" i="130"/>
  <c r="BG101" i="130"/>
  <c r="BG85" i="130"/>
  <c r="BG104" i="130"/>
  <c r="BG82" i="130"/>
  <c r="BG71" i="130"/>
  <c r="BG110" i="130"/>
  <c r="BG100" i="130"/>
  <c r="BG79" i="130"/>
  <c r="BG87" i="130"/>
  <c r="BG103" i="130"/>
  <c r="BG95" i="130"/>
  <c r="BG70" i="130"/>
  <c r="BG64" i="130"/>
  <c r="BG69" i="130"/>
  <c r="BG86" i="130"/>
  <c r="BG74" i="130"/>
  <c r="BG66" i="130"/>
  <c r="BG93" i="130"/>
  <c r="N17" i="1"/>
  <c r="BG77" i="130"/>
  <c r="BG84" i="130"/>
  <c r="BG89" i="130"/>
  <c r="BG81" i="130"/>
  <c r="BG80" i="130"/>
  <c r="BG97" i="130"/>
  <c r="BG91" i="130"/>
  <c r="BG76" i="130"/>
  <c r="BG145" i="130"/>
  <c r="BG157" i="130"/>
  <c r="BG164" i="130"/>
  <c r="BG160" i="130"/>
  <c r="BG127" i="130"/>
  <c r="BG141" i="130"/>
  <c r="BG124" i="130"/>
  <c r="BG136" i="130"/>
  <c r="BG138" i="130"/>
  <c r="BG147" i="130"/>
  <c r="BG142" i="130"/>
  <c r="BG140" i="130"/>
  <c r="BG122" i="130"/>
  <c r="S116" i="130"/>
  <c r="Q331" i="131"/>
  <c r="BG123" i="130"/>
  <c r="BG126" i="130"/>
  <c r="S331" i="131"/>
  <c r="BG166" i="130"/>
  <c r="BG148" i="130"/>
  <c r="BG129" i="130"/>
  <c r="BG132" i="130"/>
  <c r="BG128" i="130"/>
  <c r="BG156" i="130"/>
  <c r="R223" i="131"/>
  <c r="R116" i="130"/>
  <c r="Q116" i="131"/>
  <c r="BG155" i="130"/>
  <c r="S116" i="131"/>
  <c r="BG161" i="130"/>
  <c r="Q223" i="131"/>
  <c r="BG125" i="130"/>
  <c r="BG154" i="130"/>
  <c r="R438" i="131"/>
  <c r="BG146" i="130"/>
  <c r="BG133" i="130"/>
  <c r="R116" i="131"/>
  <c r="BG163" i="130"/>
  <c r="BG137" i="130"/>
  <c r="S438" i="131"/>
  <c r="Q438" i="131"/>
  <c r="BG131" i="130"/>
  <c r="BG135" i="130"/>
  <c r="BG150" i="130"/>
  <c r="BG170" i="130"/>
  <c r="BG139" i="130"/>
  <c r="BG143" i="130"/>
  <c r="S223" i="131"/>
  <c r="Q116" i="130"/>
  <c r="BG121" i="130"/>
  <c r="BG151" i="130"/>
  <c r="BG159" i="130"/>
  <c r="BG149" i="130"/>
  <c r="BG158" i="130"/>
  <c r="BG162" i="130"/>
  <c r="BG168" i="130"/>
  <c r="BG167" i="130"/>
  <c r="BG144" i="130"/>
  <c r="BG169" i="130"/>
  <c r="BG130" i="130"/>
  <c r="BG152" i="130"/>
  <c r="R331" i="131"/>
  <c r="BH441" i="131"/>
  <c r="BL227" i="131"/>
  <c r="BL442" i="131" s="1"/>
  <c r="I441" i="131"/>
  <c r="I548" i="131"/>
  <c r="E548" i="131"/>
  <c r="E441" i="131"/>
  <c r="BJ548" i="131"/>
  <c r="BJ441" i="131"/>
  <c r="BI548" i="131"/>
  <c r="BI441" i="131"/>
  <c r="L548" i="131"/>
  <c r="L441" i="131"/>
  <c r="O441" i="131"/>
  <c r="O548" i="131"/>
  <c r="A548" i="131"/>
  <c r="A441" i="131"/>
  <c r="BF548" i="131"/>
  <c r="BF441" i="131"/>
  <c r="AM118" i="130"/>
  <c r="AM118" i="131"/>
  <c r="AA118" i="130"/>
  <c r="AA118" i="131"/>
  <c r="P548" i="131"/>
  <c r="P441" i="131"/>
  <c r="AE118" i="130"/>
  <c r="Q118" i="130"/>
  <c r="X118" i="130"/>
  <c r="AN118" i="130"/>
  <c r="P119" i="130"/>
  <c r="BO12" i="130"/>
  <c r="U21" i="1"/>
  <c r="U8" i="83" a="1"/>
  <c r="U8" i="83" s="1"/>
  <c r="T7" i="83"/>
  <c r="S7" i="83"/>
  <c r="R7" i="83"/>
  <c r="C1" i="98"/>
  <c r="X14" i="98"/>
  <c r="W14" i="98" s="1"/>
  <c r="N11" i="142" l="1"/>
  <c r="M11" i="142"/>
  <c r="J11" i="142" s="1"/>
  <c r="W2" i="141"/>
  <c r="V2" i="141"/>
  <c r="U2" i="141" s="1"/>
  <c r="BE1" i="133"/>
  <c r="U35" i="133"/>
  <c r="U40" i="133"/>
  <c r="U41" i="133"/>
  <c r="U59" i="133"/>
  <c r="U38" i="133"/>
  <c r="U57" i="133"/>
  <c r="U25" i="133"/>
  <c r="U49" i="133"/>
  <c r="U12" i="133"/>
  <c r="U62" i="133"/>
  <c r="U10" i="133"/>
  <c r="U36" i="133"/>
  <c r="BD28" i="141" a="1"/>
  <c r="BD28" i="141" s="1"/>
  <c r="U37" i="133"/>
  <c r="U72" i="133"/>
  <c r="U22" i="133"/>
  <c r="U60" i="133"/>
  <c r="Q1" i="133"/>
  <c r="U27" i="133"/>
  <c r="U14" i="133"/>
  <c r="BD37" i="141" a="1"/>
  <c r="BD37" i="141" s="1"/>
  <c r="U11" i="133"/>
  <c r="U13" i="133"/>
  <c r="U56" i="133"/>
  <c r="U58" i="133"/>
  <c r="U9" i="133"/>
  <c r="U26" i="133"/>
  <c r="U24" i="133"/>
  <c r="U15" i="133"/>
  <c r="U39" i="133"/>
  <c r="U28" i="133"/>
  <c r="U23" i="133"/>
  <c r="U61" i="133"/>
  <c r="AY41" i="133" a="1"/>
  <c r="AY41" i="133" s="1"/>
  <c r="AF332" i="142" a="1"/>
  <c r="AF332" i="142" s="1"/>
  <c r="AF182" i="142" a="1"/>
  <c r="AF182" i="142" s="1"/>
  <c r="AF193" i="142" a="1"/>
  <c r="AF193" i="142" s="1"/>
  <c r="AF93" i="142" a="1"/>
  <c r="AF93" i="142" s="1"/>
  <c r="AF21" i="142" a="1"/>
  <c r="AF21" i="142" s="1"/>
  <c r="AX8" i="133" a="1"/>
  <c r="AX8" i="133" s="1"/>
  <c r="AF278" i="142" a="1"/>
  <c r="AF278" i="142" s="1"/>
  <c r="AF46" i="142" a="1"/>
  <c r="AF46" i="142" s="1"/>
  <c r="AF133" i="142" a="1"/>
  <c r="AF133" i="142" s="1"/>
  <c r="AF91" i="142" a="1"/>
  <c r="AF91" i="142" s="1"/>
  <c r="AF280" i="142" a="1"/>
  <c r="AF280" i="142" s="1"/>
  <c r="AF43" i="142" a="1"/>
  <c r="AF43" i="142" s="1"/>
  <c r="AF234" i="142" a="1"/>
  <c r="AF234" i="142" s="1"/>
  <c r="AF231" i="142" a="1"/>
  <c r="AF231" i="142" s="1"/>
  <c r="AF230" i="142" a="1"/>
  <c r="AF230" i="142" s="1"/>
  <c r="AF289" i="142" a="1"/>
  <c r="AF289" i="142" s="1"/>
  <c r="AW19" i="133" a="1"/>
  <c r="AW19" i="133" s="1"/>
  <c r="AX18" i="133" a="1"/>
  <c r="AX18" i="133" s="1"/>
  <c r="AX31" i="133" a="1"/>
  <c r="AX31" i="133" s="1"/>
  <c r="AX65" i="133" a="1"/>
  <c r="AX65" i="133" s="1"/>
  <c r="AF241" i="142" a="1"/>
  <c r="AF241" i="142" s="1"/>
  <c r="AF95" i="142" a="1"/>
  <c r="AF95" i="142" s="1"/>
  <c r="AF240" i="142" a="1"/>
  <c r="AF240" i="142" s="1"/>
  <c r="AF232" i="142" a="1"/>
  <c r="AF232" i="142" s="1"/>
  <c r="AF228" i="142" a="1"/>
  <c r="AF228" i="142" s="1"/>
  <c r="AF328" i="142" a="1"/>
  <c r="AF328" i="142" s="1"/>
  <c r="AF238" i="142" a="1"/>
  <c r="AF238" i="142" s="1"/>
  <c r="AX48" i="133" s="1" a="1"/>
  <c r="AX48" i="133" s="1"/>
  <c r="AF284" i="142" a="1"/>
  <c r="AF284" i="142" s="1"/>
  <c r="AF323" i="142" a="1"/>
  <c r="AF323" i="142" s="1"/>
  <c r="AF192" i="142" a="1"/>
  <c r="AF192" i="142" s="1"/>
  <c r="AF279" i="142" a="1"/>
  <c r="AF279" i="142" s="1"/>
  <c r="AF45" i="142" a="1"/>
  <c r="AF45" i="142" s="1"/>
  <c r="AF25" i="142" a="1"/>
  <c r="AF25" i="142" s="1"/>
  <c r="AF242" i="142" a="1"/>
  <c r="AF242" i="142" s="1"/>
  <c r="AX71" i="133" s="1" a="1"/>
  <c r="AX71" i="133" s="1"/>
  <c r="AF188" i="142" a="1"/>
  <c r="AF188" i="142" s="1"/>
  <c r="AX32" i="133" a="1"/>
  <c r="AX32" i="133" s="1"/>
  <c r="AX67" i="133" a="1"/>
  <c r="AX67" i="133" s="1"/>
  <c r="AF183" i="142" a="1"/>
  <c r="AF183" i="142" s="1"/>
  <c r="AF191" i="142" a="1"/>
  <c r="AF191" i="142" s="1"/>
  <c r="AX47" i="133" s="1" a="1"/>
  <c r="AX47" i="133" s="1"/>
  <c r="AF38" i="142" a="1"/>
  <c r="AF38" i="142" s="1"/>
  <c r="AF88" i="142" a="1"/>
  <c r="AF88" i="142" s="1"/>
  <c r="AF44" i="142" a="1"/>
  <c r="AF44" i="142" s="1"/>
  <c r="AF181" i="142" a="1"/>
  <c r="AF181" i="142" s="1"/>
  <c r="AF187" i="142" a="1"/>
  <c r="AF187" i="142" s="1"/>
  <c r="AF235" i="142" a="1"/>
  <c r="AF235" i="142" s="1"/>
  <c r="AF288" i="142" a="1"/>
  <c r="AF288" i="142" s="1"/>
  <c r="AF139" i="142" a="1"/>
  <c r="AF139" i="142" s="1"/>
  <c r="AF17" i="142" a="1"/>
  <c r="AF17" i="142" s="1"/>
  <c r="AF325" i="142" a="1"/>
  <c r="AF325" i="142" s="1"/>
  <c r="AF98" i="142" a="1"/>
  <c r="AF98" i="142" s="1"/>
  <c r="AF136" i="142" a="1"/>
  <c r="AF136" i="142" s="1"/>
  <c r="AF90" i="142" a="1"/>
  <c r="AF90" i="142" s="1"/>
  <c r="AX17" i="133" a="1"/>
  <c r="AX17" i="133" s="1"/>
  <c r="AX33" i="133" a="1"/>
  <c r="AX33" i="133" s="1"/>
  <c r="AX44" i="133" a="1"/>
  <c r="AX44" i="133" s="1"/>
  <c r="AF28" i="142" a="1"/>
  <c r="AF28" i="142" s="1"/>
  <c r="AF96" i="142" a="1"/>
  <c r="AF96" i="142" s="1"/>
  <c r="AF190" i="142" a="1"/>
  <c r="AF190" i="142" s="1"/>
  <c r="AF324" i="142" a="1"/>
  <c r="AF324" i="142" s="1"/>
  <c r="AF189" i="142" a="1"/>
  <c r="AF189" i="142" s="1"/>
  <c r="AF327" i="142" a="1"/>
  <c r="AF327" i="142" s="1"/>
  <c r="AF89" i="142" a="1"/>
  <c r="AF89" i="142" s="1"/>
  <c r="AF18" i="142" a="1"/>
  <c r="AF18" i="142" s="1"/>
  <c r="AF141" i="142" a="1"/>
  <c r="AF141" i="142" s="1"/>
  <c r="AF87" i="142" a="1"/>
  <c r="AF87" i="142" s="1"/>
  <c r="AF29" i="142" a="1"/>
  <c r="AF29" i="142" s="1"/>
  <c r="AF334" i="142" a="1"/>
  <c r="AF334" i="142" s="1"/>
  <c r="AF24" i="142" a="1"/>
  <c r="AF24" i="142" s="1"/>
  <c r="AF237" i="142" a="1"/>
  <c r="AF237" i="142" s="1"/>
  <c r="AF39" i="142" a="1"/>
  <c r="AF39" i="142" s="1"/>
  <c r="AX16" i="133" a="1"/>
  <c r="AX16" i="133" s="1"/>
  <c r="AX34" i="133" a="1"/>
  <c r="AX34" i="133" s="1"/>
  <c r="AX53" i="133" a="1"/>
  <c r="AX53" i="133" s="1"/>
  <c r="AF27" i="142" a="1"/>
  <c r="AF27" i="142" s="1"/>
  <c r="AX45" i="133" s="1" a="1"/>
  <c r="AX45" i="133" s="1"/>
  <c r="AF335" i="142" a="1"/>
  <c r="AF335" i="142" s="1"/>
  <c r="AF336" i="142" a="1"/>
  <c r="AF336" i="142" s="1"/>
  <c r="AF285" i="142" a="1"/>
  <c r="AF285" i="142" s="1"/>
  <c r="AF40" i="142" a="1"/>
  <c r="AF40" i="142" s="1"/>
  <c r="AF134" i="142" a="1"/>
  <c r="AF134" i="142" s="1"/>
  <c r="AF229" i="142" a="1"/>
  <c r="AF229" i="142" s="1"/>
  <c r="AF26" i="142" a="1"/>
  <c r="AF26" i="142" s="1"/>
  <c r="AF290" i="142" a="1"/>
  <c r="AF290" i="142" s="1"/>
  <c r="AF30" i="142" a="1"/>
  <c r="AF30" i="142" s="1"/>
  <c r="AF143" i="142" a="1"/>
  <c r="AF143" i="142" s="1"/>
  <c r="AF283" i="142" a="1"/>
  <c r="AF283" i="142" s="1"/>
  <c r="AF145" i="142" a="1"/>
  <c r="AF145" i="142" s="1"/>
  <c r="AF276" i="142" a="1"/>
  <c r="AF276" i="142" s="1"/>
  <c r="AF333" i="142" a="1"/>
  <c r="AF333" i="142" s="1"/>
  <c r="AX51" i="133" s="1" a="1"/>
  <c r="AX51" i="133" s="1"/>
  <c r="AX20" i="133" a="1"/>
  <c r="AX20" i="133" s="1"/>
  <c r="AX42" i="133" a="1"/>
  <c r="AX42" i="133" s="1"/>
  <c r="AX55" i="133" a="1"/>
  <c r="AX55" i="133" s="1"/>
  <c r="AF286" i="142" a="1"/>
  <c r="AF286" i="142" s="1"/>
  <c r="AF135" i="142" a="1"/>
  <c r="AF135" i="142" s="1"/>
  <c r="AF146" i="142" a="1"/>
  <c r="AF146" i="142" s="1"/>
  <c r="AX73" i="133" s="1" a="1"/>
  <c r="AX73" i="133" s="1"/>
  <c r="AF233" i="142" a="1"/>
  <c r="AF233" i="142" s="1"/>
  <c r="AF31" i="142" a="1"/>
  <c r="AF31" i="142" s="1"/>
  <c r="AX68" i="133" s="1" a="1"/>
  <c r="AX68" i="133" s="1"/>
  <c r="AF138" i="142" a="1"/>
  <c r="AF138" i="142" s="1"/>
  <c r="AF49" i="142" a="1"/>
  <c r="AF49" i="142" s="1"/>
  <c r="AF22" i="142" a="1"/>
  <c r="AF22" i="142" s="1"/>
  <c r="AF41" i="142" a="1"/>
  <c r="AF41" i="142" s="1"/>
  <c r="AF282" i="142" a="1"/>
  <c r="AF282" i="142" s="1"/>
  <c r="AF281" i="142" a="1"/>
  <c r="AF281" i="142" s="1"/>
  <c r="AF185" i="142" a="1"/>
  <c r="AF185" i="142" s="1"/>
  <c r="AF184" i="142" a="1"/>
  <c r="AF184" i="142" s="1"/>
  <c r="AF236" i="142" a="1"/>
  <c r="AF236" i="142" s="1"/>
  <c r="AF51" i="142" a="1"/>
  <c r="AF51" i="142" s="1"/>
  <c r="AX69" i="133" s="1" a="1"/>
  <c r="AX69" i="133" s="1"/>
  <c r="AX21" i="133" a="1"/>
  <c r="AX21" i="133" s="1"/>
  <c r="AX43" i="133" a="1"/>
  <c r="AX43" i="133" s="1"/>
  <c r="AX64" i="133" a="1"/>
  <c r="AX64" i="133" s="1"/>
  <c r="AW29" i="133" a="1"/>
  <c r="AW29" i="133" s="1"/>
  <c r="AF19" i="142" a="1"/>
  <c r="AF19" i="142" s="1"/>
  <c r="AF277" i="142" a="1"/>
  <c r="AF277" i="142" s="1"/>
  <c r="AF37" i="142" a="1"/>
  <c r="AF37" i="142" s="1"/>
  <c r="AF20" i="142" a="1"/>
  <c r="AF20" i="142" s="1"/>
  <c r="AF194" i="142" a="1"/>
  <c r="AF194" i="142" s="1"/>
  <c r="AF337" i="142" a="1"/>
  <c r="AF337" i="142" s="1"/>
  <c r="AX74" i="133" s="1" a="1"/>
  <c r="AX74" i="133" s="1"/>
  <c r="AF144" i="142" a="1"/>
  <c r="AF144" i="142" s="1"/>
  <c r="AF48" i="142" a="1"/>
  <c r="AF48" i="142" s="1"/>
  <c r="AF142" i="142" a="1"/>
  <c r="AF142" i="142" s="1"/>
  <c r="AX50" i="133" s="1" a="1"/>
  <c r="AX50" i="133" s="1"/>
  <c r="AF97" i="142" a="1"/>
  <c r="AF97" i="142" s="1"/>
  <c r="AF195" i="142" a="1"/>
  <c r="AF195" i="142" s="1"/>
  <c r="AX70" i="133" s="1" a="1"/>
  <c r="AX70" i="133" s="1"/>
  <c r="AF86" i="142" a="1"/>
  <c r="AF86" i="142" s="1"/>
  <c r="AF132" i="142" a="1"/>
  <c r="AF132" i="142" s="1"/>
  <c r="AF140" i="142" a="1"/>
  <c r="AF140" i="142" s="1"/>
  <c r="AF137" i="142" a="1"/>
  <c r="AF137" i="142" s="1"/>
  <c r="AX7" i="133" a="1"/>
  <c r="AX7" i="133" s="1"/>
  <c r="AX29" i="133" a="1"/>
  <c r="AX29" i="133" s="1"/>
  <c r="AX52" i="133" a="1"/>
  <c r="AX52" i="133" s="1"/>
  <c r="AX66" i="133" a="1"/>
  <c r="AX66" i="133" s="1"/>
  <c r="AW34" i="133" a="1"/>
  <c r="AW34" i="133" s="1"/>
  <c r="AF239" i="142" a="1"/>
  <c r="AF239" i="142" s="1"/>
  <c r="AF47" i="142" a="1"/>
  <c r="AF47" i="142" s="1"/>
  <c r="AX46" i="133" s="1" a="1"/>
  <c r="AX46" i="133" s="1"/>
  <c r="AF331" i="142" a="1"/>
  <c r="AF331" i="142" s="1"/>
  <c r="AF186" i="142" a="1"/>
  <c r="AF186" i="142" s="1"/>
  <c r="AF23" i="142" a="1"/>
  <c r="AF23" i="142" s="1"/>
  <c r="AF84" i="142" a="1"/>
  <c r="AF84" i="142" s="1"/>
  <c r="AF42" i="142" a="1"/>
  <c r="AF42" i="142" s="1"/>
  <c r="AF326" i="142" a="1"/>
  <c r="AF326" i="142" s="1"/>
  <c r="AF50" i="142" a="1"/>
  <c r="AF50" i="142" s="1"/>
  <c r="AF329" i="142" a="1"/>
  <c r="AF329" i="142" s="1"/>
  <c r="AF287" i="142" a="1"/>
  <c r="AF287" i="142" s="1"/>
  <c r="AF330" i="142" a="1"/>
  <c r="AF330" i="142" s="1"/>
  <c r="AF92" i="142" a="1"/>
  <c r="AF92" i="142" s="1"/>
  <c r="AF94" i="142" a="1"/>
  <c r="AF94" i="142" s="1"/>
  <c r="AF85" i="142" a="1"/>
  <c r="AF85" i="142" s="1"/>
  <c r="AX6" i="133" a="1"/>
  <c r="AX6" i="133" s="1"/>
  <c r="AX30" i="133" a="1"/>
  <c r="AX30" i="133" s="1"/>
  <c r="AX54" i="133" a="1"/>
  <c r="AX54" i="133" s="1"/>
  <c r="AX19" i="133" a="1"/>
  <c r="AX19" i="133" s="1"/>
  <c r="AW53" i="133" a="1"/>
  <c r="AW53" i="133" s="1"/>
  <c r="BD8" i="141" a="1"/>
  <c r="BD8" i="141" s="1"/>
  <c r="BD22" i="141" a="1"/>
  <c r="BD22" i="141" s="1"/>
  <c r="BD18" i="141" a="1"/>
  <c r="BD18" i="141" s="1"/>
  <c r="BD23" i="141" a="1"/>
  <c r="BD23" i="141" s="1"/>
  <c r="BD13" i="141" a="1"/>
  <c r="BD13" i="141" s="1"/>
  <c r="BD30" i="141" a="1"/>
  <c r="BD30" i="141" s="1"/>
  <c r="BF40" i="141" a="1"/>
  <c r="BF40" i="141" s="1"/>
  <c r="BF16" i="141" a="1"/>
  <c r="BF16" i="141" s="1"/>
  <c r="BD21" i="141" a="1"/>
  <c r="BD21" i="141" s="1"/>
  <c r="BD9" i="141" a="1"/>
  <c r="BD9" i="141" s="1"/>
  <c r="BD16" i="141" a="1"/>
  <c r="BD16" i="141" s="1"/>
  <c r="BD35" i="141" a="1"/>
  <c r="BD35" i="141" s="1"/>
  <c r="BF42" i="141" a="1"/>
  <c r="BF42" i="141" s="1"/>
  <c r="BD42" i="141" a="1"/>
  <c r="BD42" i="141" s="1"/>
  <c r="BD44" i="141" a="1"/>
  <c r="BD44" i="141" s="1"/>
  <c r="BD27" i="141" a="1"/>
  <c r="BD27" i="141" s="1"/>
  <c r="BD38" i="141" a="1"/>
  <c r="BD38" i="141" s="1"/>
  <c r="BF13" i="141" a="1"/>
  <c r="BF13" i="141" s="1"/>
  <c r="BF30" i="141" a="1"/>
  <c r="BF30" i="141" s="1"/>
  <c r="BF29" i="141" a="1"/>
  <c r="BF29" i="141" s="1"/>
  <c r="BF32" i="141" a="1"/>
  <c r="BF32" i="141" s="1"/>
  <c r="BD36" i="141" a="1"/>
  <c r="BD36" i="141" s="1"/>
  <c r="BF26" i="141" a="1"/>
  <c r="BF26" i="141" s="1"/>
  <c r="BF36" i="141" a="1"/>
  <c r="BF36" i="141" s="1"/>
  <c r="BF38" i="141" a="1"/>
  <c r="BF38" i="141" s="1"/>
  <c r="BF8" i="141" a="1"/>
  <c r="BF8" i="141" s="1"/>
  <c r="BD25" i="141" a="1"/>
  <c r="BD25" i="141" s="1"/>
  <c r="BD41" i="141" a="1"/>
  <c r="BD41" i="141" s="1"/>
  <c r="BD11" i="141" a="1"/>
  <c r="BD11" i="141" s="1"/>
  <c r="BF12" i="141" a="1"/>
  <c r="BF12" i="141" s="1"/>
  <c r="BF17" i="141" a="1"/>
  <c r="BF17" i="141" s="1"/>
  <c r="BF27" i="141" a="1"/>
  <c r="BF27" i="141" s="1"/>
  <c r="BD20" i="141" a="1"/>
  <c r="BD20" i="141" s="1"/>
  <c r="BF19" i="141" a="1"/>
  <c r="BF19" i="141" s="1"/>
  <c r="BF39" i="141" a="1"/>
  <c r="BF39" i="141" s="1"/>
  <c r="BF14" i="141" a="1"/>
  <c r="BF14" i="141" s="1"/>
  <c r="BF35" i="141" a="1"/>
  <c r="BF35" i="141" s="1"/>
  <c r="BD29" i="141" a="1"/>
  <c r="BD29" i="141" s="1"/>
  <c r="BD19" i="141" a="1"/>
  <c r="BD19" i="141" s="1"/>
  <c r="BF25" i="141" a="1"/>
  <c r="BF25" i="141" s="1"/>
  <c r="BF33" i="141" a="1"/>
  <c r="BF33" i="141" s="1"/>
  <c r="BF43" i="141" a="1"/>
  <c r="BF43" i="141" s="1"/>
  <c r="BF10" i="141" a="1"/>
  <c r="BF10" i="141" s="1"/>
  <c r="BD17" i="141" a="1"/>
  <c r="BD17" i="141" s="1"/>
  <c r="BF37" i="141" a="1"/>
  <c r="BF37" i="141" s="1"/>
  <c r="BF22" i="141" a="1"/>
  <c r="BF22" i="141" s="1"/>
  <c r="BF24" i="141" a="1"/>
  <c r="BF24" i="141" s="1"/>
  <c r="BF21" i="141" a="1"/>
  <c r="BF21" i="141" s="1"/>
  <c r="BD31" i="141" a="1"/>
  <c r="BD31" i="141" s="1"/>
  <c r="BD43" i="141" a="1"/>
  <c r="BD43" i="141" s="1"/>
  <c r="BD40" i="141" a="1"/>
  <c r="BD40" i="141" s="1"/>
  <c r="BF28" i="141" a="1"/>
  <c r="BF28" i="141" s="1"/>
  <c r="BF34" i="141" a="1"/>
  <c r="BF34" i="141" s="1"/>
  <c r="BF18" i="141" a="1"/>
  <c r="BF18" i="141" s="1"/>
  <c r="BD12" i="141" a="1"/>
  <c r="BD12" i="141" s="1"/>
  <c r="BF44" i="141" a="1"/>
  <c r="BF44" i="141" s="1"/>
  <c r="BF15" i="141" a="1"/>
  <c r="BF15" i="141" s="1"/>
  <c r="BF9" i="141" a="1"/>
  <c r="BF9" i="141" s="1"/>
  <c r="BF20" i="141" a="1"/>
  <c r="BF20" i="141" s="1"/>
  <c r="BD33" i="141" a="1"/>
  <c r="BD33" i="141" s="1"/>
  <c r="BD26" i="141" a="1"/>
  <c r="BD26" i="141" s="1"/>
  <c r="BF31" i="141" a="1"/>
  <c r="BF31" i="141" s="1"/>
  <c r="BF41" i="141" a="1"/>
  <c r="BF41" i="141" s="1"/>
  <c r="BD34" i="141" a="1"/>
  <c r="BD34" i="141" s="1"/>
  <c r="BD39" i="141" a="1"/>
  <c r="BD39" i="141" s="1"/>
  <c r="BD15" i="141" a="1"/>
  <c r="BD15" i="141" s="1"/>
  <c r="BD24" i="141" a="1"/>
  <c r="BD24" i="141" s="1"/>
  <c r="BD32" i="141" a="1"/>
  <c r="BD32" i="141" s="1"/>
  <c r="BF11" i="141" a="1"/>
  <c r="BF11" i="141" s="1"/>
  <c r="BF23" i="141" a="1"/>
  <c r="BF23" i="141" s="1"/>
  <c r="BD14" i="141" a="1"/>
  <c r="BD14" i="141" s="1"/>
  <c r="BD10" i="141" a="1"/>
  <c r="BD10" i="141" s="1"/>
  <c r="AP67" i="133" a="1"/>
  <c r="AP67" i="133" s="1"/>
  <c r="AP65" i="133" a="1"/>
  <c r="AP65" i="133" s="1"/>
  <c r="AP63" i="133" a="1"/>
  <c r="AP63" i="133" s="1"/>
  <c r="AP55" i="133" a="1"/>
  <c r="AP55" i="133" s="1"/>
  <c r="AP53" i="133" a="1"/>
  <c r="AP53" i="133" s="1"/>
  <c r="AP44" i="133" a="1"/>
  <c r="AP44" i="133" s="1"/>
  <c r="AP42" i="133" a="1"/>
  <c r="AP42" i="133" s="1"/>
  <c r="AP34" i="133" a="1"/>
  <c r="AP34" i="133" s="1"/>
  <c r="AP33" i="133" a="1"/>
  <c r="AP33" i="133" s="1"/>
  <c r="AP32" i="133" a="1"/>
  <c r="AP32" i="133" s="1"/>
  <c r="AP31" i="133" a="1"/>
  <c r="AP31" i="133" s="1"/>
  <c r="AP30" i="133" a="1"/>
  <c r="AP30" i="133" s="1"/>
  <c r="AP29" i="133" a="1"/>
  <c r="AP29" i="133" s="1"/>
  <c r="AP21" i="133" a="1"/>
  <c r="AP21" i="133" s="1"/>
  <c r="AP20" i="133" a="1"/>
  <c r="AP20" i="133" s="1"/>
  <c r="AP19" i="133" a="1"/>
  <c r="AP19" i="133" s="1"/>
  <c r="AP18" i="133" a="1"/>
  <c r="AP18" i="133" s="1"/>
  <c r="AP17" i="133" a="1"/>
  <c r="AP17" i="133" s="1"/>
  <c r="AP66" i="133" a="1"/>
  <c r="AP66" i="133" s="1"/>
  <c r="AP64" i="133" a="1"/>
  <c r="AP64" i="133" s="1"/>
  <c r="AP54" i="133" a="1"/>
  <c r="AP54" i="133" s="1"/>
  <c r="AP52" i="133" a="1"/>
  <c r="AP52" i="133" s="1"/>
  <c r="AP43" i="133" a="1"/>
  <c r="AP43" i="133" s="1"/>
  <c r="AP16" i="133" a="1"/>
  <c r="AP16" i="133" s="1"/>
  <c r="AJ66" i="133" a="1"/>
  <c r="AJ66" i="133" s="1"/>
  <c r="AJ64" i="133" a="1"/>
  <c r="AJ64" i="133" s="1"/>
  <c r="AJ55" i="133" a="1"/>
  <c r="AJ55" i="133" s="1"/>
  <c r="AJ53" i="133" a="1"/>
  <c r="AJ53" i="133" s="1"/>
  <c r="AJ44" i="133" a="1"/>
  <c r="AJ44" i="133" s="1"/>
  <c r="AJ67" i="133" a="1"/>
  <c r="AJ67" i="133" s="1"/>
  <c r="AJ65" i="133" a="1"/>
  <c r="AJ65" i="133" s="1"/>
  <c r="AJ63" i="133" a="1"/>
  <c r="AJ63" i="133" s="1"/>
  <c r="AJ54" i="133" a="1"/>
  <c r="AJ54" i="133" s="1"/>
  <c r="AJ52" i="133" a="1"/>
  <c r="AJ52" i="133" s="1"/>
  <c r="AJ43" i="133" a="1"/>
  <c r="AJ43" i="133" s="1"/>
  <c r="AJ42" i="133" a="1"/>
  <c r="AJ42" i="133" s="1"/>
  <c r="AJ34" i="133" a="1"/>
  <c r="AJ34" i="133" s="1"/>
  <c r="AJ33" i="133" a="1"/>
  <c r="AJ33" i="133" s="1"/>
  <c r="AJ32" i="133" a="1"/>
  <c r="AJ32" i="133" s="1"/>
  <c r="AJ31" i="133" a="1"/>
  <c r="AJ31" i="133" s="1"/>
  <c r="AJ30" i="133" a="1"/>
  <c r="AJ30" i="133" s="1"/>
  <c r="AJ29" i="133" a="1"/>
  <c r="AJ29" i="133" s="1"/>
  <c r="AJ21" i="133" a="1"/>
  <c r="AJ21" i="133" s="1"/>
  <c r="AJ20" i="133" a="1"/>
  <c r="AJ20" i="133" s="1"/>
  <c r="AJ19" i="133" a="1"/>
  <c r="AJ19" i="133" s="1"/>
  <c r="AJ17" i="133" a="1"/>
  <c r="AJ17" i="133" s="1"/>
  <c r="AJ16" i="133" a="1"/>
  <c r="AJ16" i="133" s="1"/>
  <c r="AJ18" i="133" a="1"/>
  <c r="AJ18" i="133" s="1"/>
  <c r="AX63" i="133" a="1"/>
  <c r="AX63" i="133" s="1"/>
  <c r="AW32" i="133" a="1"/>
  <c r="AW32" i="133" s="1"/>
  <c r="AW43" i="133" a="1"/>
  <c r="AW43" i="133" s="1"/>
  <c r="AW55" i="133" a="1"/>
  <c r="AW55" i="133" s="1"/>
  <c r="AG19" i="133" a="1"/>
  <c r="AG19" i="133" s="1"/>
  <c r="AG18" i="133" a="1"/>
  <c r="AG18" i="133" s="1"/>
  <c r="AG17" i="133" a="1"/>
  <c r="AG17" i="133" s="1"/>
  <c r="AG16" i="133" a="1"/>
  <c r="AG16" i="133" s="1"/>
  <c r="AG66" i="133" a="1"/>
  <c r="AG66" i="133" s="1"/>
  <c r="AG64" i="133" a="1"/>
  <c r="AG64" i="133" s="1"/>
  <c r="AG55" i="133" a="1"/>
  <c r="AG55" i="133" s="1"/>
  <c r="AG53" i="133" a="1"/>
  <c r="AG53" i="133" s="1"/>
  <c r="AG44" i="133" a="1"/>
  <c r="AG44" i="133" s="1"/>
  <c r="AG67" i="133" a="1"/>
  <c r="AG67" i="133" s="1"/>
  <c r="AG63" i="133" a="1"/>
  <c r="AG63" i="133" s="1"/>
  <c r="AG54" i="133" a="1"/>
  <c r="AG54" i="133" s="1"/>
  <c r="AG65" i="133" a="1"/>
  <c r="AG65" i="133" s="1"/>
  <c r="AG52" i="133" a="1"/>
  <c r="AG52" i="133" s="1"/>
  <c r="AG32" i="133" a="1"/>
  <c r="AG32" i="133" s="1"/>
  <c r="AG29" i="133" a="1"/>
  <c r="AG29" i="133" s="1"/>
  <c r="AG34" i="133" a="1"/>
  <c r="AG34" i="133" s="1"/>
  <c r="AG43" i="133" a="1"/>
  <c r="AG43" i="133" s="1"/>
  <c r="AG31" i="133" a="1"/>
  <c r="AG31" i="133" s="1"/>
  <c r="AG21" i="133" a="1"/>
  <c r="AG21" i="133" s="1"/>
  <c r="AG33" i="133" a="1"/>
  <c r="AG33" i="133" s="1"/>
  <c r="AG30" i="133" a="1"/>
  <c r="AG30" i="133" s="1"/>
  <c r="AG42" i="133" a="1"/>
  <c r="AG42" i="133" s="1"/>
  <c r="AG20" i="133" a="1"/>
  <c r="AG20" i="133" s="1"/>
  <c r="Y21" i="133" a="1"/>
  <c r="Y21" i="133" s="1"/>
  <c r="Y67" i="133" a="1"/>
  <c r="Y67" i="133" s="1"/>
  <c r="Y65" i="133" a="1"/>
  <c r="Y65" i="133" s="1"/>
  <c r="Y63" i="133" a="1"/>
  <c r="Y63" i="133" s="1"/>
  <c r="Y55" i="133" a="1"/>
  <c r="Y55" i="133" s="1"/>
  <c r="Y53" i="133" a="1"/>
  <c r="Y53" i="133" s="1"/>
  <c r="Y44" i="133" a="1"/>
  <c r="Y44" i="133" s="1"/>
  <c r="Y42" i="133" a="1"/>
  <c r="Y42" i="133" s="1"/>
  <c r="Y34" i="133" a="1"/>
  <c r="Y34" i="133" s="1"/>
  <c r="Y33" i="133" a="1"/>
  <c r="Y33" i="133" s="1"/>
  <c r="Y32" i="133" a="1"/>
  <c r="Y32" i="133" s="1"/>
  <c r="Y31" i="133" a="1"/>
  <c r="Y31" i="133" s="1"/>
  <c r="Y30" i="133" a="1"/>
  <c r="Y30" i="133" s="1"/>
  <c r="Y29" i="133" a="1"/>
  <c r="Y29" i="133" s="1"/>
  <c r="Y20" i="133" a="1"/>
  <c r="Y20" i="133" s="1"/>
  <c r="Y19" i="133" a="1"/>
  <c r="Y19" i="133" s="1"/>
  <c r="Y18" i="133" a="1"/>
  <c r="Y18" i="133" s="1"/>
  <c r="Y17" i="133" a="1"/>
  <c r="Y17" i="133" s="1"/>
  <c r="Y16" i="133" a="1"/>
  <c r="Y16" i="133" s="1"/>
  <c r="Y64" i="133" a="1"/>
  <c r="Y64" i="133" s="1"/>
  <c r="Y54" i="133" a="1"/>
  <c r="Y54" i="133" s="1"/>
  <c r="Y66" i="133" a="1"/>
  <c r="Y66" i="133" s="1"/>
  <c r="Y52" i="133" a="1"/>
  <c r="Y52" i="133" s="1"/>
  <c r="Y43" i="133" a="1"/>
  <c r="Y43" i="133" s="1"/>
  <c r="AW20" i="133" a="1"/>
  <c r="AW20" i="133" s="1"/>
  <c r="AW54" i="133" a="1"/>
  <c r="AW54" i="133" s="1"/>
  <c r="AW64" i="133" a="1"/>
  <c r="AW64" i="133" s="1"/>
  <c r="AI19" i="133" a="1"/>
  <c r="AI19" i="133" s="1"/>
  <c r="AI18" i="133" a="1"/>
  <c r="AI18" i="133" s="1"/>
  <c r="AI66" i="133" a="1"/>
  <c r="AI66" i="133" s="1"/>
  <c r="AI64" i="133" a="1"/>
  <c r="AI64" i="133" s="1"/>
  <c r="AI55" i="133" a="1"/>
  <c r="AI55" i="133" s="1"/>
  <c r="AI53" i="133" a="1"/>
  <c r="AI53" i="133" s="1"/>
  <c r="AI44" i="133" a="1"/>
  <c r="AI44" i="133" s="1"/>
  <c r="AI67" i="133" a="1"/>
  <c r="AI67" i="133" s="1"/>
  <c r="AI65" i="133" a="1"/>
  <c r="AI65" i="133" s="1"/>
  <c r="AI63" i="133" a="1"/>
  <c r="AI63" i="133" s="1"/>
  <c r="AI54" i="133" a="1"/>
  <c r="AI54" i="133" s="1"/>
  <c r="AI52" i="133" a="1"/>
  <c r="AI52" i="133" s="1"/>
  <c r="AI43" i="133" a="1"/>
  <c r="AI43" i="133" s="1"/>
  <c r="AI42" i="133" a="1"/>
  <c r="AI42" i="133" s="1"/>
  <c r="AI34" i="133" a="1"/>
  <c r="AI34" i="133" s="1"/>
  <c r="AI33" i="133" a="1"/>
  <c r="AI33" i="133" s="1"/>
  <c r="AI32" i="133" a="1"/>
  <c r="AI32" i="133" s="1"/>
  <c r="AI31" i="133" a="1"/>
  <c r="AI31" i="133" s="1"/>
  <c r="AI30" i="133" a="1"/>
  <c r="AI30" i="133" s="1"/>
  <c r="AI29" i="133" a="1"/>
  <c r="AI29" i="133" s="1"/>
  <c r="AI21" i="133" a="1"/>
  <c r="AI21" i="133" s="1"/>
  <c r="AI20" i="133" a="1"/>
  <c r="AI20" i="133" s="1"/>
  <c r="AI17" i="133" a="1"/>
  <c r="AI17" i="133" s="1"/>
  <c r="AI16" i="133" a="1"/>
  <c r="AI16" i="133" s="1"/>
  <c r="AW42" i="133" a="1"/>
  <c r="AW42" i="133" s="1"/>
  <c r="AW63" i="133" a="1"/>
  <c r="AW63" i="133" s="1"/>
  <c r="AW66" i="133" a="1"/>
  <c r="AW66" i="133" s="1"/>
  <c r="AQ67" i="133" a="1"/>
  <c r="AQ67" i="133" s="1"/>
  <c r="AQ65" i="133" a="1"/>
  <c r="AQ65" i="133" s="1"/>
  <c r="AQ63" i="133" a="1"/>
  <c r="AQ63" i="133" s="1"/>
  <c r="AQ55" i="133" a="1"/>
  <c r="AQ55" i="133" s="1"/>
  <c r="AQ53" i="133" a="1"/>
  <c r="AQ53" i="133" s="1"/>
  <c r="AQ44" i="133" a="1"/>
  <c r="AQ44" i="133" s="1"/>
  <c r="AQ42" i="133" a="1"/>
  <c r="AQ42" i="133" s="1"/>
  <c r="AQ34" i="133" a="1"/>
  <c r="AQ34" i="133" s="1"/>
  <c r="AQ33" i="133" a="1"/>
  <c r="AQ33" i="133" s="1"/>
  <c r="AQ32" i="133" a="1"/>
  <c r="AQ32" i="133" s="1"/>
  <c r="AQ31" i="133" a="1"/>
  <c r="AQ31" i="133" s="1"/>
  <c r="AQ30" i="133" a="1"/>
  <c r="AQ30" i="133" s="1"/>
  <c r="AQ29" i="133" a="1"/>
  <c r="AQ29" i="133" s="1"/>
  <c r="AQ21" i="133" a="1"/>
  <c r="AQ21" i="133" s="1"/>
  <c r="AQ20" i="133" a="1"/>
  <c r="AQ20" i="133" s="1"/>
  <c r="AQ18" i="133" a="1"/>
  <c r="AQ18" i="133" s="1"/>
  <c r="AQ17" i="133" a="1"/>
  <c r="AQ17" i="133" s="1"/>
  <c r="AQ16" i="133" a="1"/>
  <c r="AQ16" i="133" s="1"/>
  <c r="AQ19" i="133" a="1"/>
  <c r="AQ19" i="133" s="1"/>
  <c r="AQ66" i="133" a="1"/>
  <c r="AQ66" i="133" s="1"/>
  <c r="AQ64" i="133" a="1"/>
  <c r="AQ64" i="133" s="1"/>
  <c r="AQ54" i="133" a="1"/>
  <c r="AQ54" i="133" s="1"/>
  <c r="AQ52" i="133" a="1"/>
  <c r="AQ52" i="133" s="1"/>
  <c r="AQ43" i="133" a="1"/>
  <c r="AQ43" i="133" s="1"/>
  <c r="AH19" i="133" a="1"/>
  <c r="AH19" i="133" s="1"/>
  <c r="AH18" i="133" a="1"/>
  <c r="AH18" i="133" s="1"/>
  <c r="AH66" i="133" a="1"/>
  <c r="AH66" i="133" s="1"/>
  <c r="AH64" i="133" a="1"/>
  <c r="AH64" i="133" s="1"/>
  <c r="AH55" i="133" a="1"/>
  <c r="AH55" i="133" s="1"/>
  <c r="AH53" i="133" a="1"/>
  <c r="AH53" i="133" s="1"/>
  <c r="AH44" i="133" a="1"/>
  <c r="AH44" i="133" s="1"/>
  <c r="AH67" i="133" a="1"/>
  <c r="AH67" i="133" s="1"/>
  <c r="AH65" i="133" a="1"/>
  <c r="AH65" i="133" s="1"/>
  <c r="AH63" i="133" a="1"/>
  <c r="AH63" i="133" s="1"/>
  <c r="AH54" i="133" a="1"/>
  <c r="AH54" i="133" s="1"/>
  <c r="AH52" i="133" a="1"/>
  <c r="AH52" i="133" s="1"/>
  <c r="AH43" i="133" a="1"/>
  <c r="AH43" i="133" s="1"/>
  <c r="AH42" i="133" a="1"/>
  <c r="AH42" i="133" s="1"/>
  <c r="AH34" i="133" a="1"/>
  <c r="AH34" i="133" s="1"/>
  <c r="AH33" i="133" a="1"/>
  <c r="AH33" i="133" s="1"/>
  <c r="AH32" i="133" a="1"/>
  <c r="AH32" i="133" s="1"/>
  <c r="AH31" i="133" a="1"/>
  <c r="AH31" i="133" s="1"/>
  <c r="AH30" i="133" a="1"/>
  <c r="AH30" i="133" s="1"/>
  <c r="AH29" i="133" a="1"/>
  <c r="AH29" i="133" s="1"/>
  <c r="AH21" i="133" a="1"/>
  <c r="AH21" i="133" s="1"/>
  <c r="AH20" i="133" a="1"/>
  <c r="AH20" i="133" s="1"/>
  <c r="AH17" i="133" a="1"/>
  <c r="AH17" i="133" s="1"/>
  <c r="AH16" i="133" a="1"/>
  <c r="AH16" i="133" s="1"/>
  <c r="AA67" i="133" a="1"/>
  <c r="AA67" i="133" s="1"/>
  <c r="AA65" i="133" a="1"/>
  <c r="AA65" i="133" s="1"/>
  <c r="AA63" i="133" a="1"/>
  <c r="AA63" i="133" s="1"/>
  <c r="AA55" i="133" a="1"/>
  <c r="AA55" i="133" s="1"/>
  <c r="AA53" i="133" a="1"/>
  <c r="AA53" i="133" s="1"/>
  <c r="AA44" i="133" a="1"/>
  <c r="AA44" i="133" s="1"/>
  <c r="AA42" i="133" a="1"/>
  <c r="AA42" i="133" s="1"/>
  <c r="AA34" i="133" a="1"/>
  <c r="AA34" i="133" s="1"/>
  <c r="AA33" i="133" a="1"/>
  <c r="AA33" i="133" s="1"/>
  <c r="AA32" i="133" a="1"/>
  <c r="AA32" i="133" s="1"/>
  <c r="AA31" i="133" a="1"/>
  <c r="AA31" i="133" s="1"/>
  <c r="AA30" i="133" a="1"/>
  <c r="AA30" i="133" s="1"/>
  <c r="AA29" i="133" a="1"/>
  <c r="AA29" i="133" s="1"/>
  <c r="AA21" i="133" a="1"/>
  <c r="AA21" i="133" s="1"/>
  <c r="AA20" i="133" a="1"/>
  <c r="AA20" i="133" s="1"/>
  <c r="AA19" i="133" a="1"/>
  <c r="AA19" i="133" s="1"/>
  <c r="AA18" i="133" a="1"/>
  <c r="AA18" i="133" s="1"/>
  <c r="AA17" i="133" a="1"/>
  <c r="AA17" i="133" s="1"/>
  <c r="AA16" i="133" a="1"/>
  <c r="AA16" i="133" s="1"/>
  <c r="AA66" i="133" a="1"/>
  <c r="AA66" i="133" s="1"/>
  <c r="AA64" i="133" a="1"/>
  <c r="AA64" i="133" s="1"/>
  <c r="AA54" i="133" a="1"/>
  <c r="AA54" i="133" s="1"/>
  <c r="AA52" i="133" a="1"/>
  <c r="AA52" i="133" s="1"/>
  <c r="AA43" i="133" a="1"/>
  <c r="AA43" i="133" s="1"/>
  <c r="AW30" i="133" a="1"/>
  <c r="AW30" i="133" s="1"/>
  <c r="AW67" i="133" a="1"/>
  <c r="AW67" i="133" s="1"/>
  <c r="AW16" i="133" a="1"/>
  <c r="AW16" i="133" s="1"/>
  <c r="AR67" i="133" a="1"/>
  <c r="AR67" i="133" s="1"/>
  <c r="AR65" i="133" a="1"/>
  <c r="AR65" i="133" s="1"/>
  <c r="AR63" i="133" a="1"/>
  <c r="AR63" i="133" s="1"/>
  <c r="AR55" i="133" a="1"/>
  <c r="AR55" i="133" s="1"/>
  <c r="AR53" i="133" a="1"/>
  <c r="AR53" i="133" s="1"/>
  <c r="AR44" i="133" a="1"/>
  <c r="AR44" i="133" s="1"/>
  <c r="AR42" i="133" a="1"/>
  <c r="AR42" i="133" s="1"/>
  <c r="AR34" i="133" a="1"/>
  <c r="AR34" i="133" s="1"/>
  <c r="AR33" i="133" a="1"/>
  <c r="AR33" i="133" s="1"/>
  <c r="AR32" i="133" a="1"/>
  <c r="AR32" i="133" s="1"/>
  <c r="AR31" i="133" a="1"/>
  <c r="AR31" i="133" s="1"/>
  <c r="AR30" i="133" a="1"/>
  <c r="AR30" i="133" s="1"/>
  <c r="AR29" i="133" a="1"/>
  <c r="AR29" i="133" s="1"/>
  <c r="AR21" i="133" a="1"/>
  <c r="AR21" i="133" s="1"/>
  <c r="AR20" i="133" a="1"/>
  <c r="AR20" i="133" s="1"/>
  <c r="AR19" i="133" a="1"/>
  <c r="AR19" i="133" s="1"/>
  <c r="AR17" i="133" a="1"/>
  <c r="AR17" i="133" s="1"/>
  <c r="AR16" i="133" a="1"/>
  <c r="AR16" i="133" s="1"/>
  <c r="AR18" i="133" a="1"/>
  <c r="AR18" i="133" s="1"/>
  <c r="AR66" i="133" a="1"/>
  <c r="AR66" i="133" s="1"/>
  <c r="AR64" i="133" a="1"/>
  <c r="AR64" i="133" s="1"/>
  <c r="AR54" i="133" a="1"/>
  <c r="AR54" i="133" s="1"/>
  <c r="AR52" i="133" a="1"/>
  <c r="AR52" i="133" s="1"/>
  <c r="AR43" i="133" a="1"/>
  <c r="AR43" i="133" s="1"/>
  <c r="AB67" i="133" a="1"/>
  <c r="AB67" i="133" s="1"/>
  <c r="AB65" i="133" a="1"/>
  <c r="AB65" i="133" s="1"/>
  <c r="AB63" i="133" a="1"/>
  <c r="AB63" i="133" s="1"/>
  <c r="AB55" i="133" a="1"/>
  <c r="AB55" i="133" s="1"/>
  <c r="AB53" i="133" a="1"/>
  <c r="AB53" i="133" s="1"/>
  <c r="AB44" i="133" a="1"/>
  <c r="AB44" i="133" s="1"/>
  <c r="AB42" i="133" a="1"/>
  <c r="AB42" i="133" s="1"/>
  <c r="AB34" i="133" a="1"/>
  <c r="AB34" i="133" s="1"/>
  <c r="AB33" i="133" a="1"/>
  <c r="AB33" i="133" s="1"/>
  <c r="AB32" i="133" a="1"/>
  <c r="AB32" i="133" s="1"/>
  <c r="AB31" i="133" a="1"/>
  <c r="AB31" i="133" s="1"/>
  <c r="AB30" i="133" a="1"/>
  <c r="AB30" i="133" s="1"/>
  <c r="AB29" i="133" a="1"/>
  <c r="AB29" i="133" s="1"/>
  <c r="AB21" i="133" a="1"/>
  <c r="AB21" i="133" s="1"/>
  <c r="AB20" i="133" a="1"/>
  <c r="AB20" i="133" s="1"/>
  <c r="AB18" i="133" a="1"/>
  <c r="AB18" i="133" s="1"/>
  <c r="AB17" i="133" a="1"/>
  <c r="AB17" i="133" s="1"/>
  <c r="AB19" i="133" a="1"/>
  <c r="AB19" i="133" s="1"/>
  <c r="AB16" i="133" a="1"/>
  <c r="AB16" i="133" s="1"/>
  <c r="AB66" i="133" a="1"/>
  <c r="AB66" i="133" s="1"/>
  <c r="AB64" i="133" a="1"/>
  <c r="AB64" i="133" s="1"/>
  <c r="AB54" i="133" a="1"/>
  <c r="AB54" i="133" s="1"/>
  <c r="AB52" i="133" a="1"/>
  <c r="AB52" i="133" s="1"/>
  <c r="AB43" i="133" a="1"/>
  <c r="AB43" i="133" s="1"/>
  <c r="AW33" i="133" a="1"/>
  <c r="AW33" i="133" s="1"/>
  <c r="AW52" i="133" a="1"/>
  <c r="AW52" i="133" s="1"/>
  <c r="AW17" i="133" a="1"/>
  <c r="AW17" i="133" s="1"/>
  <c r="AW21" i="133" a="1"/>
  <c r="AW21" i="133" s="1"/>
  <c r="AW65" i="133" a="1"/>
  <c r="AW65" i="133" s="1"/>
  <c r="AW18" i="133" a="1"/>
  <c r="AW18" i="133" s="1"/>
  <c r="AO20" i="133" a="1"/>
  <c r="AO20" i="133" s="1"/>
  <c r="AO67" i="133" a="1"/>
  <c r="AO67" i="133" s="1"/>
  <c r="AO65" i="133" a="1"/>
  <c r="AO65" i="133" s="1"/>
  <c r="AO63" i="133" a="1"/>
  <c r="AO63" i="133" s="1"/>
  <c r="AO55" i="133" a="1"/>
  <c r="AO55" i="133" s="1"/>
  <c r="AO53" i="133" a="1"/>
  <c r="AO53" i="133" s="1"/>
  <c r="AO44" i="133" a="1"/>
  <c r="AO44" i="133" s="1"/>
  <c r="AO42" i="133" a="1"/>
  <c r="AO42" i="133" s="1"/>
  <c r="AO34" i="133" a="1"/>
  <c r="AO34" i="133" s="1"/>
  <c r="AO33" i="133" a="1"/>
  <c r="AO33" i="133" s="1"/>
  <c r="AO32" i="133" a="1"/>
  <c r="AO32" i="133" s="1"/>
  <c r="AO31" i="133" a="1"/>
  <c r="AO31" i="133" s="1"/>
  <c r="AO30" i="133" a="1"/>
  <c r="AO30" i="133" s="1"/>
  <c r="AO29" i="133" a="1"/>
  <c r="AO29" i="133" s="1"/>
  <c r="AO21" i="133" a="1"/>
  <c r="AO21" i="133" s="1"/>
  <c r="AO19" i="133" a="1"/>
  <c r="AO19" i="133" s="1"/>
  <c r="AO18" i="133" a="1"/>
  <c r="AO18" i="133" s="1"/>
  <c r="AO17" i="133" a="1"/>
  <c r="AO17" i="133" s="1"/>
  <c r="AO16" i="133" a="1"/>
  <c r="AO16" i="133" s="1"/>
  <c r="AO66" i="133" a="1"/>
  <c r="AO66" i="133" s="1"/>
  <c r="AO54" i="133" a="1"/>
  <c r="AO54" i="133" s="1"/>
  <c r="AO64" i="133" a="1"/>
  <c r="AO64" i="133" s="1"/>
  <c r="AO52" i="133" a="1"/>
  <c r="AO52" i="133" s="1"/>
  <c r="AO43" i="133" a="1"/>
  <c r="AO43" i="133" s="1"/>
  <c r="AW31" i="133" a="1"/>
  <c r="AW31" i="133" s="1"/>
  <c r="AW44" i="133" a="1"/>
  <c r="AW44" i="133" s="1"/>
  <c r="Z67" i="133" a="1"/>
  <c r="Z67" i="133" s="1"/>
  <c r="Z65" i="133" a="1"/>
  <c r="Z65" i="133" s="1"/>
  <c r="Z63" i="133" a="1"/>
  <c r="Z63" i="133" s="1"/>
  <c r="Z55" i="133" a="1"/>
  <c r="Z55" i="133" s="1"/>
  <c r="Z53" i="133" a="1"/>
  <c r="Z53" i="133" s="1"/>
  <c r="Z44" i="133" a="1"/>
  <c r="Z44" i="133" s="1"/>
  <c r="Z42" i="133" a="1"/>
  <c r="Z42" i="133" s="1"/>
  <c r="Z34" i="133" a="1"/>
  <c r="Z34" i="133" s="1"/>
  <c r="Z33" i="133" a="1"/>
  <c r="Z33" i="133" s="1"/>
  <c r="Z32" i="133" a="1"/>
  <c r="Z32" i="133" s="1"/>
  <c r="Z31" i="133" a="1"/>
  <c r="Z31" i="133" s="1"/>
  <c r="Z30" i="133" a="1"/>
  <c r="Z30" i="133" s="1"/>
  <c r="Z29" i="133" a="1"/>
  <c r="Z29" i="133" s="1"/>
  <c r="Z21" i="133" a="1"/>
  <c r="Z21" i="133" s="1"/>
  <c r="Z20" i="133" a="1"/>
  <c r="Z20" i="133" s="1"/>
  <c r="Z19" i="133" a="1"/>
  <c r="Z19" i="133" s="1"/>
  <c r="Z18" i="133" a="1"/>
  <c r="Z18" i="133" s="1"/>
  <c r="Z66" i="133" a="1"/>
  <c r="Z66" i="133" s="1"/>
  <c r="Z64" i="133" a="1"/>
  <c r="Z64" i="133" s="1"/>
  <c r="Z54" i="133" a="1"/>
  <c r="Z54" i="133" s="1"/>
  <c r="Z52" i="133" a="1"/>
  <c r="Z52" i="133" s="1"/>
  <c r="Z43" i="133" a="1"/>
  <c r="Z43" i="133" s="1"/>
  <c r="Z16" i="133" a="1"/>
  <c r="Z16" i="133" s="1"/>
  <c r="Z17" i="133" a="1"/>
  <c r="Z17" i="133" s="1"/>
  <c r="AY58" i="133" a="1"/>
  <c r="AY58" i="133" s="1"/>
  <c r="AZ58" i="133" a="1"/>
  <c r="AZ58" i="133" s="1"/>
  <c r="AE185" i="142" a="1"/>
  <c r="AE185" i="142" s="1"/>
  <c r="AE184" i="142" a="1"/>
  <c r="AE184" i="142" s="1"/>
  <c r="AW8" i="133" a="1"/>
  <c r="AW8" i="133" s="1"/>
  <c r="AE44" i="142" a="1"/>
  <c r="AE44" i="142" s="1"/>
  <c r="AE40" i="142" a="1"/>
  <c r="AE40" i="142" s="1"/>
  <c r="AE323" i="142" a="1"/>
  <c r="AE323" i="142" s="1"/>
  <c r="AE337" i="142" a="1"/>
  <c r="AE337" i="142" s="1"/>
  <c r="AW74" i="133" s="1" a="1"/>
  <c r="AW74" i="133" s="1"/>
  <c r="AZ38" i="133" a="1"/>
  <c r="AZ38" i="133" s="1"/>
  <c r="AE238" i="142" a="1"/>
  <c r="AE238" i="142" s="1"/>
  <c r="AW48" i="133" s="1" a="1"/>
  <c r="AW48" i="133" s="1"/>
  <c r="AE241" i="142" a="1"/>
  <c r="AE241" i="142" s="1"/>
  <c r="AE89" i="142" a="1"/>
  <c r="AE89" i="142" s="1"/>
  <c r="AE95" i="142" a="1"/>
  <c r="AE95" i="142" s="1"/>
  <c r="AE187" i="142" a="1"/>
  <c r="AE187" i="142" s="1"/>
  <c r="AE195" i="142" a="1"/>
  <c r="AE195" i="142" s="1"/>
  <c r="AW70" i="133" s="1" a="1"/>
  <c r="AW70" i="133" s="1"/>
  <c r="AE47" i="142" a="1"/>
  <c r="AE47" i="142" s="1"/>
  <c r="AW46" i="133" s="1" a="1"/>
  <c r="AW46" i="133" s="1"/>
  <c r="AW6" i="133" a="1"/>
  <c r="AW6" i="133" s="1"/>
  <c r="AE327" i="142" a="1"/>
  <c r="AE327" i="142" s="1"/>
  <c r="AE288" i="142" a="1"/>
  <c r="AE288" i="142" s="1"/>
  <c r="AE188" i="142" a="1"/>
  <c r="AE188" i="142" s="1"/>
  <c r="AE138" i="142" a="1"/>
  <c r="AE138" i="142" s="1"/>
  <c r="AE97" i="142" a="1"/>
  <c r="AE97" i="142" s="1"/>
  <c r="AE91" i="142" a="1"/>
  <c r="AE91" i="142" s="1"/>
  <c r="AE190" i="142" a="1"/>
  <c r="AE190" i="142" s="1"/>
  <c r="AE84" i="142" a="1"/>
  <c r="AE84" i="142" s="1"/>
  <c r="AE281" i="142" a="1"/>
  <c r="AE281" i="142" s="1"/>
  <c r="AE239" i="142" a="1"/>
  <c r="AE239" i="142" s="1"/>
  <c r="AE234" i="142" a="1"/>
  <c r="AE234" i="142" s="1"/>
  <c r="AE325" i="142" a="1"/>
  <c r="AE325" i="142" s="1"/>
  <c r="AE146" i="142" a="1"/>
  <c r="AE146" i="142" s="1"/>
  <c r="AW73" i="133" s="1" a="1"/>
  <c r="AW73" i="133" s="1"/>
  <c r="AE329" i="142" a="1"/>
  <c r="AE329" i="142" s="1"/>
  <c r="AE186" i="142" a="1"/>
  <c r="AE186" i="142" s="1"/>
  <c r="AE46" i="142" a="1"/>
  <c r="AE46" i="142" s="1"/>
  <c r="AE333" i="142" a="1"/>
  <c r="AE333" i="142" s="1"/>
  <c r="AW51" i="133" s="1" a="1"/>
  <c r="AW51" i="133" s="1"/>
  <c r="AE326" i="142" a="1"/>
  <c r="AE326" i="142" s="1"/>
  <c r="AE45" i="142" a="1"/>
  <c r="AE45" i="142" s="1"/>
  <c r="AE49" i="142" a="1"/>
  <c r="AE49" i="142" s="1"/>
  <c r="AE136" i="142" a="1"/>
  <c r="AE136" i="142" s="1"/>
  <c r="AE233" i="142" a="1"/>
  <c r="AE233" i="142" s="1"/>
  <c r="AE48" i="142" a="1"/>
  <c r="AE48" i="142" s="1"/>
  <c r="AY24" i="133" a="1"/>
  <c r="AY24" i="133" s="1"/>
  <c r="AE133" i="142" a="1"/>
  <c r="AE133" i="142" s="1"/>
  <c r="AE92" i="142" a="1"/>
  <c r="AE92" i="142" s="1"/>
  <c r="AE331" i="142" a="1"/>
  <c r="AE331" i="142" s="1"/>
  <c r="AE282" i="142" a="1"/>
  <c r="AE282" i="142" s="1"/>
  <c r="AE135" i="142" a="1"/>
  <c r="AE135" i="142" s="1"/>
  <c r="AE235" i="142" a="1"/>
  <c r="AE235" i="142" s="1"/>
  <c r="AE137" i="142" a="1"/>
  <c r="AE137" i="142" s="1"/>
  <c r="AE287" i="142" a="1"/>
  <c r="AE287" i="142" s="1"/>
  <c r="AE283" i="142" a="1"/>
  <c r="AE283" i="142" s="1"/>
  <c r="AE231" i="142" a="1"/>
  <c r="AE231" i="142" s="1"/>
  <c r="AE38" i="142" a="1"/>
  <c r="AE38" i="142" s="1"/>
  <c r="AE194" i="142" a="1"/>
  <c r="AE194" i="142" s="1"/>
  <c r="AE90" i="142" a="1"/>
  <c r="AE90" i="142" s="1"/>
  <c r="AE284" i="142" a="1"/>
  <c r="AE284" i="142" s="1"/>
  <c r="AE51" i="142" a="1"/>
  <c r="AE51" i="142" s="1"/>
  <c r="AW69" i="133" s="1" a="1"/>
  <c r="AW69" i="133" s="1"/>
  <c r="AE335" i="142" a="1"/>
  <c r="AE335" i="142" s="1"/>
  <c r="AE328" i="142" a="1"/>
  <c r="AE328" i="142" s="1"/>
  <c r="AE37" i="142" a="1"/>
  <c r="AE37" i="142" s="1"/>
  <c r="AE242" i="142" a="1"/>
  <c r="AE242" i="142" s="1"/>
  <c r="AW71" i="133" s="1" a="1"/>
  <c r="AW71" i="133" s="1"/>
  <c r="AE237" i="142" a="1"/>
  <c r="AE237" i="142" s="1"/>
  <c r="AE132" i="142" a="1"/>
  <c r="AE132" i="142" s="1"/>
  <c r="AE134" i="142" a="1"/>
  <c r="AE134" i="142" s="1"/>
  <c r="AE189" i="142" a="1"/>
  <c r="AE189" i="142" s="1"/>
  <c r="AE139" i="142" a="1"/>
  <c r="AE139" i="142" s="1"/>
  <c r="AE280" i="142" a="1"/>
  <c r="AE280" i="142" s="1"/>
  <c r="AE94" i="142" a="1"/>
  <c r="AE94" i="142" s="1"/>
  <c r="AE142" i="142" a="1"/>
  <c r="AE142" i="142" s="1"/>
  <c r="AW50" i="133" s="1" a="1"/>
  <c r="AW50" i="133" s="1"/>
  <c r="AE182" i="142" a="1"/>
  <c r="AE182" i="142" s="1"/>
  <c r="AE232" i="142" a="1"/>
  <c r="AE232" i="142" s="1"/>
  <c r="AE289" i="142" a="1"/>
  <c r="AE289" i="142" s="1"/>
  <c r="AE334" i="142" a="1"/>
  <c r="AE334" i="142" s="1"/>
  <c r="AE143" i="142" a="1"/>
  <c r="AE143" i="142" s="1"/>
  <c r="AE324" i="142" a="1"/>
  <c r="AE324" i="142" s="1"/>
  <c r="AE96" i="142" a="1"/>
  <c r="AE96" i="142" s="1"/>
  <c r="AE86" i="142" a="1"/>
  <c r="AE86" i="142" s="1"/>
  <c r="AE85" i="142" a="1"/>
  <c r="AE85" i="142" s="1"/>
  <c r="AE98" i="142" a="1"/>
  <c r="AE98" i="142" s="1"/>
  <c r="AE240" i="142" a="1"/>
  <c r="AE240" i="142" s="1"/>
  <c r="AE181" i="142" a="1"/>
  <c r="AE181" i="142" s="1"/>
  <c r="AE330" i="142" a="1"/>
  <c r="AE330" i="142" s="1"/>
  <c r="AE276" i="142" a="1"/>
  <c r="AE276" i="142" s="1"/>
  <c r="AE145" i="142" a="1"/>
  <c r="AE145" i="142" s="1"/>
  <c r="AE140" i="142" a="1"/>
  <c r="AE140" i="142" s="1"/>
  <c r="AE191" i="142" a="1"/>
  <c r="AE191" i="142" s="1"/>
  <c r="AW47" i="133" s="1" a="1"/>
  <c r="AW47" i="133" s="1"/>
  <c r="AE336" i="142" a="1"/>
  <c r="AE336" i="142" s="1"/>
  <c r="AE41" i="142" a="1"/>
  <c r="AE41" i="142" s="1"/>
  <c r="AE144" i="142" a="1"/>
  <c r="AE144" i="142" s="1"/>
  <c r="AE332" i="142" a="1"/>
  <c r="AE332" i="142" s="1"/>
  <c r="AE183" i="142" a="1"/>
  <c r="AE183" i="142" s="1"/>
  <c r="AE50" i="142" a="1"/>
  <c r="AE50" i="142" s="1"/>
  <c r="AE141" i="142" a="1"/>
  <c r="AE141" i="142" s="1"/>
  <c r="AE285" i="142" a="1"/>
  <c r="AE285" i="142" s="1"/>
  <c r="AE228" i="142" a="1"/>
  <c r="AE228" i="142" s="1"/>
  <c r="AE278" i="142" a="1"/>
  <c r="AE278" i="142" s="1"/>
  <c r="AE43" i="142" a="1"/>
  <c r="AE43" i="142" s="1"/>
  <c r="AW7" i="133" a="1"/>
  <c r="AW7" i="133" s="1"/>
  <c r="AE88" i="142" a="1"/>
  <c r="AE88" i="142" s="1"/>
  <c r="AE87" i="142" a="1"/>
  <c r="AE87" i="142" s="1"/>
  <c r="AE236" i="142" a="1"/>
  <c r="AE236" i="142" s="1"/>
  <c r="AE277" i="142" a="1"/>
  <c r="AE277" i="142" s="1"/>
  <c r="AE93" i="142" a="1"/>
  <c r="AE93" i="142" s="1"/>
  <c r="AE230" i="142" a="1"/>
  <c r="AE230" i="142" s="1"/>
  <c r="AE229" i="142" a="1"/>
  <c r="AE229" i="142" s="1"/>
  <c r="AE286" i="142" a="1"/>
  <c r="AE286" i="142" s="1"/>
  <c r="AE192" i="142" a="1"/>
  <c r="AE192" i="142" s="1"/>
  <c r="AE39" i="142" a="1"/>
  <c r="AE39" i="142" s="1"/>
  <c r="AE42" i="142" a="1"/>
  <c r="AE42" i="142" s="1"/>
  <c r="AE193" i="142" a="1"/>
  <c r="AE193" i="142" s="1"/>
  <c r="AE290" i="142" a="1"/>
  <c r="AE290" i="142" s="1"/>
  <c r="AE279" i="142" a="1"/>
  <c r="AE279" i="142" s="1"/>
  <c r="AY57" i="133" a="1"/>
  <c r="AY57" i="133" s="1"/>
  <c r="AZ49" i="133" a="1"/>
  <c r="AZ49" i="133" s="1"/>
  <c r="AY35" i="133" a="1"/>
  <c r="AY35" i="133" s="1"/>
  <c r="AZ57" i="133" a="1"/>
  <c r="AZ57" i="133" s="1"/>
  <c r="AZ14" i="133" a="1"/>
  <c r="AZ14" i="133" s="1"/>
  <c r="AY72" i="133" a="1"/>
  <c r="AY72" i="133" s="1"/>
  <c r="AY22" i="133" a="1"/>
  <c r="AY22" i="133" s="1"/>
  <c r="AZ56" i="133" a="1"/>
  <c r="AZ56" i="133" s="1"/>
  <c r="AZ12" i="133" a="1"/>
  <c r="AZ12" i="133" s="1"/>
  <c r="AY36" i="133" a="1"/>
  <c r="AY36" i="133" s="1"/>
  <c r="AY25" i="133" a="1"/>
  <c r="AY25" i="133" s="1"/>
  <c r="AY49" i="133" a="1"/>
  <c r="AY49" i="133" s="1"/>
  <c r="AY37" i="133" a="1"/>
  <c r="AY37" i="133" s="1"/>
  <c r="AY15" i="133" a="1"/>
  <c r="AY15" i="133" s="1"/>
  <c r="AZ40" i="133" a="1"/>
  <c r="AZ40" i="133" s="1"/>
  <c r="AZ10" i="133" a="1"/>
  <c r="AZ10" i="133" s="1"/>
  <c r="AZ27" i="133" a="1"/>
  <c r="AZ27" i="133" s="1"/>
  <c r="AY9" i="133" a="1"/>
  <c r="AY9" i="133" s="1"/>
  <c r="AY14" i="133" a="1"/>
  <c r="AY14" i="133" s="1"/>
  <c r="AY61" i="133" a="1"/>
  <c r="AY61" i="133" s="1"/>
  <c r="AZ11" i="133" a="1"/>
  <c r="AZ11" i="133" s="1"/>
  <c r="AZ35" i="133" a="1"/>
  <c r="AZ35" i="133" s="1"/>
  <c r="AZ25" i="133" a="1"/>
  <c r="AZ25" i="133" s="1"/>
  <c r="AZ24" i="133" a="1"/>
  <c r="AZ24" i="133" s="1"/>
  <c r="AY39" i="133" a="1"/>
  <c r="AY39" i="133" s="1"/>
  <c r="AY26" i="133" a="1"/>
  <c r="AY26" i="133" s="1"/>
  <c r="AY23" i="133" a="1"/>
  <c r="AY23" i="133" s="1"/>
  <c r="AY60" i="133" a="1"/>
  <c r="AY60" i="133" s="1"/>
  <c r="AY12" i="133" a="1"/>
  <c r="AY12" i="133" s="1"/>
  <c r="AZ39" i="133" a="1"/>
  <c r="AZ39" i="133" s="1"/>
  <c r="AZ22" i="133" a="1"/>
  <c r="AZ22" i="133" s="1"/>
  <c r="AY56" i="133" a="1"/>
  <c r="AY56" i="133" s="1"/>
  <c r="AZ13" i="133" a="1"/>
  <c r="AZ13" i="133" s="1"/>
  <c r="AZ28" i="133" a="1"/>
  <c r="AZ28" i="133" s="1"/>
  <c r="AZ36" i="133" a="1"/>
  <c r="AZ36" i="133" s="1"/>
  <c r="AZ41" i="133" a="1"/>
  <c r="AZ41" i="133" s="1"/>
  <c r="AZ9" i="133" a="1"/>
  <c r="AZ9" i="133" s="1"/>
  <c r="AZ72" i="133" a="1"/>
  <c r="AZ72" i="133" s="1"/>
  <c r="AZ15" i="133" a="1"/>
  <c r="AZ15" i="133" s="1"/>
  <c r="AZ61" i="133" a="1"/>
  <c r="AZ61" i="133" s="1"/>
  <c r="AY62" i="133" a="1"/>
  <c r="AY62" i="133" s="1"/>
  <c r="AY38" i="133" a="1"/>
  <c r="AY38" i="133" s="1"/>
  <c r="AY59" i="133" a="1"/>
  <c r="AY59" i="133" s="1"/>
  <c r="AY28" i="133" a="1"/>
  <c r="AY28" i="133" s="1"/>
  <c r="AZ60" i="133" a="1"/>
  <c r="AZ60" i="133" s="1"/>
  <c r="AZ23" i="133" a="1"/>
  <c r="AZ23" i="133" s="1"/>
  <c r="AZ26" i="133" a="1"/>
  <c r="AZ26" i="133" s="1"/>
  <c r="AZ59" i="133" a="1"/>
  <c r="AZ59" i="133" s="1"/>
  <c r="AY10" i="133" a="1"/>
  <c r="AY10" i="133" s="1"/>
  <c r="AY11" i="133" a="1"/>
  <c r="AY11" i="133" s="1"/>
  <c r="AY13" i="133" a="1"/>
  <c r="AY13" i="133" s="1"/>
  <c r="AY40" i="133" a="1"/>
  <c r="AY40" i="133" s="1"/>
  <c r="AZ37" i="133" a="1"/>
  <c r="AZ37" i="133" s="1"/>
  <c r="AZ62" i="133" a="1"/>
  <c r="AZ62" i="133" s="1"/>
  <c r="AY27" i="133" a="1"/>
  <c r="AY27" i="133" s="1"/>
  <c r="AR7" i="133" a="1"/>
  <c r="AR7" i="133" s="1"/>
  <c r="AR6" i="133" a="1"/>
  <c r="AR6" i="133" s="1"/>
  <c r="AR8" i="133" a="1"/>
  <c r="AR8" i="133" s="1"/>
  <c r="AB51" i="142" a="1"/>
  <c r="AB51" i="142" s="1"/>
  <c r="AR69" i="133" s="1" a="1"/>
  <c r="AR69" i="133" s="1"/>
  <c r="AJ7" i="133" a="1"/>
  <c r="AJ7" i="133" s="1"/>
  <c r="AJ8" i="133" a="1"/>
  <c r="AJ8" i="133" s="1"/>
  <c r="AJ6" i="133" a="1"/>
  <c r="AJ6" i="133" s="1"/>
  <c r="V51" i="142" a="1"/>
  <c r="V51" i="142" s="1"/>
  <c r="AJ69" i="133" s="1" a="1"/>
  <c r="AJ69" i="133" s="1"/>
  <c r="AA7" i="133" a="1"/>
  <c r="AA7" i="133" s="1"/>
  <c r="AA8" i="133" a="1"/>
  <c r="AA8" i="133" s="1"/>
  <c r="AA6" i="133" a="1"/>
  <c r="AA6" i="133" s="1"/>
  <c r="O51" i="142" a="1"/>
  <c r="O51" i="142" s="1"/>
  <c r="AA69" i="133" s="1" a="1"/>
  <c r="AA69" i="133" s="1"/>
  <c r="Z7" i="133" a="1"/>
  <c r="Z7" i="133" s="1"/>
  <c r="Z8" i="133" a="1"/>
  <c r="Z8" i="133" s="1"/>
  <c r="Z6" i="133" a="1"/>
  <c r="Z6" i="133" s="1"/>
  <c r="N51" i="142" a="1"/>
  <c r="N51" i="142" s="1"/>
  <c r="Z69" i="133" s="1" a="1"/>
  <c r="Z69" i="133" s="1"/>
  <c r="AP6" i="133" a="1"/>
  <c r="AP6" i="133" s="1"/>
  <c r="AP7" i="133" a="1"/>
  <c r="AP7" i="133" s="1"/>
  <c r="AP8" i="133" a="1"/>
  <c r="AP8" i="133" s="1"/>
  <c r="Z51" i="142" a="1"/>
  <c r="Z51" i="142" s="1"/>
  <c r="AP69" i="133" s="1" a="1"/>
  <c r="AP69" i="133" s="1"/>
  <c r="AQ7" i="133" a="1"/>
  <c r="AQ7" i="133" s="1"/>
  <c r="AQ8" i="133" a="1"/>
  <c r="AQ8" i="133" s="1"/>
  <c r="AQ6" i="133" a="1"/>
  <c r="AQ6" i="133" s="1"/>
  <c r="AA51" i="142" a="1"/>
  <c r="AA51" i="142" s="1"/>
  <c r="AQ69" i="133" s="1" a="1"/>
  <c r="AQ69" i="133" s="1"/>
  <c r="AB7" i="133" a="1"/>
  <c r="AB7" i="133" s="1"/>
  <c r="AB6" i="133" a="1"/>
  <c r="AB6" i="133" s="1"/>
  <c r="AB8" i="133" a="1"/>
  <c r="AB8" i="133" s="1"/>
  <c r="P51" i="142" a="1"/>
  <c r="P51" i="142" s="1"/>
  <c r="AB69" i="133" s="1" a="1"/>
  <c r="AB69" i="133" s="1"/>
  <c r="Y8" i="133" a="1"/>
  <c r="Y8" i="133" s="1"/>
  <c r="Y6" i="133" a="1"/>
  <c r="Y6" i="133" s="1"/>
  <c r="Y7" i="133" a="1"/>
  <c r="Y7" i="133" s="1"/>
  <c r="M51" i="142" a="1"/>
  <c r="M51" i="142" s="1"/>
  <c r="AH7" i="133" a="1"/>
  <c r="AH7" i="133" s="1"/>
  <c r="AH8" i="133" a="1"/>
  <c r="AH8" i="133" s="1"/>
  <c r="AH6" i="133" a="1"/>
  <c r="AH6" i="133" s="1"/>
  <c r="T51" i="142" a="1"/>
  <c r="T51" i="142" s="1"/>
  <c r="AH69" i="133" s="1" a="1"/>
  <c r="AH69" i="133" s="1"/>
  <c r="AO8" i="133" a="1"/>
  <c r="AO8" i="133" s="1"/>
  <c r="AO6" i="133" a="1"/>
  <c r="AO6" i="133" s="1"/>
  <c r="AO7" i="133" a="1"/>
  <c r="AO7" i="133" s="1"/>
  <c r="Y51" i="142" a="1"/>
  <c r="Y51" i="142" s="1"/>
  <c r="AI8" i="133" a="1"/>
  <c r="AI8" i="133" s="1"/>
  <c r="AI6" i="133" a="1"/>
  <c r="AI6" i="133" s="1"/>
  <c r="AI7" i="133" a="1"/>
  <c r="AI7" i="133" s="1"/>
  <c r="U51" i="142" a="1"/>
  <c r="U51" i="142" s="1"/>
  <c r="AI69" i="133" s="1" a="1"/>
  <c r="AI69" i="133" s="1"/>
  <c r="AG7" i="133" a="1"/>
  <c r="AG7" i="133" s="1"/>
  <c r="AG8" i="133" a="1"/>
  <c r="AG8" i="133" s="1"/>
  <c r="AG6" i="133" a="1"/>
  <c r="AG6" i="133" s="1"/>
  <c r="S51" i="142" a="1"/>
  <c r="S51" i="142" s="1"/>
  <c r="V98" i="142" a="1"/>
  <c r="V98" i="142" s="1"/>
  <c r="V192" i="142" a="1"/>
  <c r="V192" i="142" s="1"/>
  <c r="V231" i="142" a="1"/>
  <c r="V231" i="142" s="1"/>
  <c r="V337" i="142" a="1"/>
  <c r="V337" i="142" s="1"/>
  <c r="AJ74" i="133" s="1" a="1"/>
  <c r="AJ74" i="133" s="1"/>
  <c r="V237" i="142" a="1"/>
  <c r="V237" i="142" s="1"/>
  <c r="V140" i="142" a="1"/>
  <c r="V140" i="142" s="1"/>
  <c r="V276" i="142" a="1"/>
  <c r="V276" i="142" s="1"/>
  <c r="V137" i="142" a="1"/>
  <c r="V137" i="142" s="1"/>
  <c r="V90" i="142" a="1"/>
  <c r="V90" i="142" s="1"/>
  <c r="V193" i="142" a="1"/>
  <c r="V193" i="142" s="1"/>
  <c r="V333" i="142" a="1"/>
  <c r="V333" i="142" s="1"/>
  <c r="AJ51" i="133" s="1" a="1"/>
  <c r="AJ51" i="133" s="1"/>
  <c r="V242" i="142" a="1"/>
  <c r="V242" i="142" s="1"/>
  <c r="AJ71" i="133" s="1" a="1"/>
  <c r="AJ71" i="133" s="1"/>
  <c r="V336" i="142" a="1"/>
  <c r="V336" i="142" s="1"/>
  <c r="V234" i="142" a="1"/>
  <c r="V234" i="142" s="1"/>
  <c r="V141" i="142" a="1"/>
  <c r="V141" i="142" s="1"/>
  <c r="V240" i="142" a="1"/>
  <c r="V240" i="142" s="1"/>
  <c r="V144" i="142" a="1"/>
  <c r="V144" i="142" s="1"/>
  <c r="V153" i="142" a="1"/>
  <c r="V153" i="142" s="1"/>
  <c r="V142" i="142" a="1"/>
  <c r="V142" i="142" s="1"/>
  <c r="AJ50" i="133" s="1" a="1"/>
  <c r="AJ50" i="133" s="1"/>
  <c r="V136" i="142" a="1"/>
  <c r="V136" i="142" s="1"/>
  <c r="V88" i="142" a="1"/>
  <c r="V88" i="142" s="1"/>
  <c r="V42" i="142" a="1"/>
  <c r="V42" i="142" s="1"/>
  <c r="V288" i="142" a="1"/>
  <c r="V288" i="142" s="1"/>
  <c r="V181" i="142" a="1"/>
  <c r="V181" i="142" s="1"/>
  <c r="V290" i="142" a="1"/>
  <c r="V290" i="142" s="1"/>
  <c r="V191" i="142" a="1"/>
  <c r="V191" i="142" s="1"/>
  <c r="AJ47" i="133" s="1" a="1"/>
  <c r="AJ47" i="133" s="1"/>
  <c r="V238" i="142" a="1"/>
  <c r="V238" i="142" s="1"/>
  <c r="AJ48" i="133" s="1" a="1"/>
  <c r="AJ48" i="133" s="1"/>
  <c r="V329" i="142" a="1"/>
  <c r="V329" i="142" s="1"/>
  <c r="V139" i="142" a="1"/>
  <c r="V139" i="142" s="1"/>
  <c r="V335" i="142" a="1"/>
  <c r="V335" i="142" s="1"/>
  <c r="V241" i="142" a="1"/>
  <c r="V241" i="142" s="1"/>
  <c r="V50" i="142" a="1"/>
  <c r="V50" i="142" s="1"/>
  <c r="V148" i="142" a="1"/>
  <c r="V148" i="142" s="1"/>
  <c r="V280" i="142" a="1"/>
  <c r="V280" i="142" s="1"/>
  <c r="V155" i="142" a="1"/>
  <c r="V155" i="142" s="1"/>
  <c r="V326" i="142" a="1"/>
  <c r="V326" i="142" s="1"/>
  <c r="V327" i="142" a="1"/>
  <c r="V327" i="142" s="1"/>
  <c r="V332" i="142" a="1"/>
  <c r="V332" i="142" s="1"/>
  <c r="V189" i="142" a="1"/>
  <c r="V189" i="142" s="1"/>
  <c r="V330" i="142" a="1"/>
  <c r="V330" i="142" s="1"/>
  <c r="V235" i="142" a="1"/>
  <c r="V235" i="142" s="1"/>
  <c r="V328" i="142" a="1"/>
  <c r="V328" i="142" s="1"/>
  <c r="V230" i="142" a="1"/>
  <c r="V230" i="142" s="1"/>
  <c r="V278" i="142" a="1"/>
  <c r="V278" i="142" s="1"/>
  <c r="V97" i="142" a="1"/>
  <c r="V97" i="142" s="1"/>
  <c r="V284" i="142" a="1"/>
  <c r="V284" i="142" s="1"/>
  <c r="V138" i="142" a="1"/>
  <c r="V138" i="142" s="1"/>
  <c r="V277" i="142" a="1"/>
  <c r="V277" i="142" s="1"/>
  <c r="V157" i="142" a="1"/>
  <c r="V157" i="142" s="1"/>
  <c r="V152" i="142" a="1"/>
  <c r="V152" i="142" s="1"/>
  <c r="V325" i="142" a="1"/>
  <c r="V325" i="142" s="1"/>
  <c r="V194" i="142" a="1"/>
  <c r="V194" i="142" s="1"/>
  <c r="V331" i="142" a="1"/>
  <c r="V331" i="142" s="1"/>
  <c r="V187" i="142" a="1"/>
  <c r="V187" i="142" s="1"/>
  <c r="V185" i="142" a="1"/>
  <c r="V185" i="142" s="1"/>
  <c r="V92" i="142" a="1"/>
  <c r="V92" i="142" s="1"/>
  <c r="V281" i="142" a="1"/>
  <c r="V281" i="142" s="1"/>
  <c r="V154" i="142" a="1"/>
  <c r="V154" i="142" s="1"/>
  <c r="V323" i="142" a="1"/>
  <c r="V323" i="142" s="1"/>
  <c r="V188" i="142" a="1"/>
  <c r="V188" i="142" s="1"/>
  <c r="V145" i="142" a="1"/>
  <c r="V145" i="142" s="1"/>
  <c r="V91" i="142" a="1"/>
  <c r="V91" i="142" s="1"/>
  <c r="V334" i="142" a="1"/>
  <c r="V334" i="142" s="1"/>
  <c r="V228" i="142" a="1"/>
  <c r="V228" i="142" s="1"/>
  <c r="V184" i="142" a="1"/>
  <c r="V184" i="142" s="1"/>
  <c r="V143" i="142" a="1"/>
  <c r="V143" i="142" s="1"/>
  <c r="V149" i="142" a="1"/>
  <c r="V149" i="142" s="1"/>
  <c r="V324" i="142" a="1"/>
  <c r="V324" i="142" s="1"/>
  <c r="V85" i="142" a="1"/>
  <c r="V85" i="142" s="1"/>
  <c r="V233" i="142" a="1"/>
  <c r="V233" i="142" s="1"/>
  <c r="V232" i="142" a="1"/>
  <c r="V232" i="142" s="1"/>
  <c r="V151" i="142" a="1"/>
  <c r="V151" i="142" s="1"/>
  <c r="V285" i="142" a="1"/>
  <c r="V285" i="142" s="1"/>
  <c r="V134" i="142" a="1"/>
  <c r="V134" i="142" s="1"/>
  <c r="V38" i="142" a="1"/>
  <c r="V38" i="142" s="1"/>
  <c r="V87" i="142" a="1"/>
  <c r="V87" i="142" s="1"/>
  <c r="V41" i="142" a="1"/>
  <c r="V41" i="142" s="1"/>
  <c r="V239" i="142" a="1"/>
  <c r="V239" i="142" s="1"/>
  <c r="V132" i="142" a="1"/>
  <c r="V132" i="142" s="1"/>
  <c r="V146" i="142" a="1"/>
  <c r="V146" i="142" s="1"/>
  <c r="AJ73" i="133" s="1" a="1"/>
  <c r="AJ73" i="133" s="1"/>
  <c r="V283" i="142" a="1"/>
  <c r="V283" i="142" s="1"/>
  <c r="V44" i="142" a="1"/>
  <c r="V44" i="142" s="1"/>
  <c r="V46" i="142" a="1"/>
  <c r="V46" i="142" s="1"/>
  <c r="V93" i="142" a="1"/>
  <c r="V93" i="142" s="1"/>
  <c r="V195" i="142" a="1"/>
  <c r="V195" i="142" s="1"/>
  <c r="AJ70" i="133" s="1" a="1"/>
  <c r="AJ70" i="133" s="1"/>
  <c r="V147" i="142" a="1"/>
  <c r="V147" i="142" s="1"/>
  <c r="V279" i="142" a="1"/>
  <c r="V279" i="142" s="1"/>
  <c r="V287" i="142" a="1"/>
  <c r="V287" i="142" s="1"/>
  <c r="V43" i="142" a="1"/>
  <c r="V43" i="142" s="1"/>
  <c r="V133" i="142" a="1"/>
  <c r="V133" i="142" s="1"/>
  <c r="V86" i="142" a="1"/>
  <c r="V86" i="142" s="1"/>
  <c r="V94" i="142" a="1"/>
  <c r="V94" i="142" s="1"/>
  <c r="V96" i="142" a="1"/>
  <c r="V96" i="142" s="1"/>
  <c r="V135" i="142" a="1"/>
  <c r="V135" i="142" s="1"/>
  <c r="V190" i="142" a="1"/>
  <c r="V190" i="142" s="1"/>
  <c r="V182" i="142" a="1"/>
  <c r="V182" i="142" s="1"/>
  <c r="V89" i="142" a="1"/>
  <c r="V89" i="142" s="1"/>
  <c r="V37" i="142" a="1"/>
  <c r="V37" i="142" s="1"/>
  <c r="V39" i="142" a="1"/>
  <c r="V39" i="142" s="1"/>
  <c r="V48" i="142" a="1"/>
  <c r="V48" i="142" s="1"/>
  <c r="V49" i="142" a="1"/>
  <c r="V49" i="142" s="1"/>
  <c r="V289" i="142" a="1"/>
  <c r="V289" i="142" s="1"/>
  <c r="V286" i="142" a="1"/>
  <c r="V286" i="142" s="1"/>
  <c r="V186" i="142" a="1"/>
  <c r="V186" i="142" s="1"/>
  <c r="V156" i="142" a="1"/>
  <c r="V156" i="142" s="1"/>
  <c r="V282" i="142" a="1"/>
  <c r="V282" i="142" s="1"/>
  <c r="V45" i="142" a="1"/>
  <c r="V45" i="142" s="1"/>
  <c r="V47" i="142" a="1"/>
  <c r="V47" i="142" s="1"/>
  <c r="AJ46" i="133" s="1" a="1"/>
  <c r="AJ46" i="133" s="1"/>
  <c r="V84" i="142" a="1"/>
  <c r="V84" i="142" s="1"/>
  <c r="V150" i="142" a="1"/>
  <c r="V150" i="142" s="1"/>
  <c r="V183" i="142" a="1"/>
  <c r="V183" i="142" s="1"/>
  <c r="V158" i="142" a="1"/>
  <c r="V158" i="142" s="1"/>
  <c r="V229" i="142" a="1"/>
  <c r="V229" i="142" s="1"/>
  <c r="V236" i="142" a="1"/>
  <c r="V236" i="142" s="1"/>
  <c r="V95" i="142" a="1"/>
  <c r="V95" i="142" s="1"/>
  <c r="V40" i="142" a="1"/>
  <c r="V40" i="142" s="1"/>
  <c r="P94" i="142" a="1"/>
  <c r="P94" i="142" s="1"/>
  <c r="P87" i="142" a="1"/>
  <c r="P87" i="142" s="1"/>
  <c r="P93" i="142" a="1"/>
  <c r="P93" i="142" s="1"/>
  <c r="P98" i="142" a="1"/>
  <c r="P98" i="142" s="1"/>
  <c r="P232" i="142" a="1"/>
  <c r="P232" i="142" s="1"/>
  <c r="Y169" i="142" a="1"/>
  <c r="Y169" i="142" s="1"/>
  <c r="P231" i="142" a="1"/>
  <c r="P231" i="142" s="1"/>
  <c r="Y121" i="142" a="1"/>
  <c r="Y121" i="142" s="1"/>
  <c r="P242" i="142" a="1"/>
  <c r="P242" i="142" s="1"/>
  <c r="AB71" i="133" s="1" a="1"/>
  <c r="AB71" i="133" s="1"/>
  <c r="P158" i="142" a="1"/>
  <c r="P158" i="142" s="1"/>
  <c r="P150" i="142" a="1"/>
  <c r="P150" i="142" s="1"/>
  <c r="P39" i="142" a="1"/>
  <c r="P39" i="142" s="1"/>
  <c r="P40" i="142" a="1"/>
  <c r="P40" i="142" s="1"/>
  <c r="P323" i="142" a="1"/>
  <c r="P323" i="142" s="1"/>
  <c r="P137" i="142" a="1"/>
  <c r="P137" i="142" s="1"/>
  <c r="P333" i="142" a="1"/>
  <c r="P333" i="142" s="1"/>
  <c r="AB51" i="133" s="1" a="1"/>
  <c r="AB51" i="133" s="1"/>
  <c r="P285" i="142" a="1"/>
  <c r="P285" i="142" s="1"/>
  <c r="Y173" i="142" a="1"/>
  <c r="Y173" i="142" s="1"/>
  <c r="P191" i="142" a="1"/>
  <c r="P191" i="142" s="1"/>
  <c r="AB47" i="133" s="1" a="1"/>
  <c r="AB47" i="133" s="1"/>
  <c r="Y119" i="142" a="1"/>
  <c r="Y119" i="142" s="1"/>
  <c r="P326" i="142" a="1"/>
  <c r="P326" i="142" s="1"/>
  <c r="Y170" i="142" a="1"/>
  <c r="Y170" i="142" s="1"/>
  <c r="P47" i="142" a="1"/>
  <c r="P47" i="142" s="1"/>
  <c r="AB46" i="133" s="1" a="1"/>
  <c r="AB46" i="133" s="1"/>
  <c r="P48" i="142" a="1"/>
  <c r="P48" i="142" s="1"/>
  <c r="P89" i="142" a="1"/>
  <c r="P89" i="142" s="1"/>
  <c r="P148" i="142" a="1"/>
  <c r="P148" i="142" s="1"/>
  <c r="P234" i="142" a="1"/>
  <c r="P234" i="142" s="1"/>
  <c r="Y159" i="142" a="1"/>
  <c r="Y159" i="142" s="1"/>
  <c r="P334" i="142" a="1"/>
  <c r="P334" i="142" s="1"/>
  <c r="P287" i="142" a="1"/>
  <c r="P287" i="142" s="1"/>
  <c r="Y122" i="142" a="1"/>
  <c r="Y122" i="142" s="1"/>
  <c r="Y172" i="142" a="1"/>
  <c r="Y172" i="142" s="1"/>
  <c r="P84" i="142" a="1"/>
  <c r="P84" i="142" s="1"/>
  <c r="P42" i="142" a="1"/>
  <c r="P42" i="142" s="1"/>
  <c r="P331" i="142" a="1"/>
  <c r="P331" i="142" s="1"/>
  <c r="P195" i="142" a="1"/>
  <c r="P195" i="142" s="1"/>
  <c r="AB70" i="133" s="1" a="1"/>
  <c r="AB70" i="133" s="1"/>
  <c r="P141" i="142" a="1"/>
  <c r="P141" i="142" s="1"/>
  <c r="Y161" i="142" a="1"/>
  <c r="Y161" i="142" s="1"/>
  <c r="Y117" i="142" a="1"/>
  <c r="Y117" i="142" s="1"/>
  <c r="P241" i="142" a="1"/>
  <c r="P241" i="142" s="1"/>
  <c r="P154" i="142" a="1"/>
  <c r="P154" i="142" s="1"/>
  <c r="Y114" i="142" a="1"/>
  <c r="Y114" i="142" s="1"/>
  <c r="P50" i="142" a="1"/>
  <c r="P50" i="142" s="1"/>
  <c r="Y125" i="142" a="1"/>
  <c r="Y125" i="142" s="1"/>
  <c r="Y171" i="142" a="1"/>
  <c r="Y171" i="142" s="1"/>
  <c r="P337" i="142" a="1"/>
  <c r="P337" i="142" s="1"/>
  <c r="AB74" i="133" s="1" a="1"/>
  <c r="AB74" i="133" s="1"/>
  <c r="P190" i="142" a="1"/>
  <c r="P190" i="142" s="1"/>
  <c r="Y116" i="142" a="1"/>
  <c r="Y116" i="142" s="1"/>
  <c r="P324" i="142" a="1"/>
  <c r="P324" i="142" s="1"/>
  <c r="Y167" i="142" a="1"/>
  <c r="Y167" i="142" s="1"/>
  <c r="P330" i="142" a="1"/>
  <c r="P330" i="142" s="1"/>
  <c r="P152" i="142" a="1"/>
  <c r="P152" i="142" s="1"/>
  <c r="P143" i="142" a="1"/>
  <c r="P143" i="142" s="1"/>
  <c r="P233" i="142" a="1"/>
  <c r="P233" i="142" s="1"/>
  <c r="P181" i="142" a="1"/>
  <c r="P181" i="142" s="1"/>
  <c r="P238" i="142" a="1"/>
  <c r="P238" i="142" s="1"/>
  <c r="AB48" i="133" s="1" a="1"/>
  <c r="AB48" i="133" s="1"/>
  <c r="P151" i="142" a="1"/>
  <c r="P151" i="142" s="1"/>
  <c r="P279" i="142" a="1"/>
  <c r="P279" i="142" s="1"/>
  <c r="P138" i="142" a="1"/>
  <c r="P138" i="142" s="1"/>
  <c r="P182" i="142" a="1"/>
  <c r="P182" i="142" s="1"/>
  <c r="P88" i="142" a="1"/>
  <c r="P88" i="142" s="1"/>
  <c r="P144" i="142" a="1"/>
  <c r="P144" i="142" s="1"/>
  <c r="P193" i="142" a="1"/>
  <c r="P193" i="142" s="1"/>
  <c r="P185" i="142" a="1"/>
  <c r="P185" i="142" s="1"/>
  <c r="P278" i="142" a="1"/>
  <c r="P278" i="142" s="1"/>
  <c r="Y115" i="142" a="1"/>
  <c r="Y115" i="142" s="1"/>
  <c r="P239" i="142" a="1"/>
  <c r="P239" i="142" s="1"/>
  <c r="Y160" i="142" a="1"/>
  <c r="Y160" i="142" s="1"/>
  <c r="P289" i="142" a="1"/>
  <c r="P289" i="142" s="1"/>
  <c r="Y166" i="142" a="1"/>
  <c r="Y166" i="142" s="1"/>
  <c r="P188" i="142" a="1"/>
  <c r="P188" i="142" s="1"/>
  <c r="P85" i="142" a="1"/>
  <c r="P85" i="142" s="1"/>
  <c r="Y124" i="142" a="1"/>
  <c r="Y124" i="142" s="1"/>
  <c r="P135" i="142" a="1"/>
  <c r="P135" i="142" s="1"/>
  <c r="P44" i="142" a="1"/>
  <c r="P44" i="142" s="1"/>
  <c r="P139" i="142" a="1"/>
  <c r="P139" i="142" s="1"/>
  <c r="P96" i="142" a="1"/>
  <c r="P96" i="142" s="1"/>
  <c r="Y118" i="142" a="1"/>
  <c r="Y118" i="142" s="1"/>
  <c r="Y162" i="142" a="1"/>
  <c r="Y162" i="142" s="1"/>
  <c r="P147" i="142" a="1"/>
  <c r="P147" i="142" s="1"/>
  <c r="P240" i="142" a="1"/>
  <c r="P240" i="142" s="1"/>
  <c r="Y113" i="142" a="1"/>
  <c r="Y113" i="142" s="1"/>
  <c r="P290" i="142" a="1"/>
  <c r="P290" i="142" s="1"/>
  <c r="P155" i="142" a="1"/>
  <c r="P155" i="142" s="1"/>
  <c r="P133" i="142" a="1"/>
  <c r="P133" i="142" s="1"/>
  <c r="P97" i="142" a="1"/>
  <c r="P97" i="142" s="1"/>
  <c r="P92" i="142" a="1"/>
  <c r="P92" i="142" s="1"/>
  <c r="P45" i="142" a="1"/>
  <c r="P45" i="142" s="1"/>
  <c r="P41" i="142" a="1"/>
  <c r="P41" i="142" s="1"/>
  <c r="Y123" i="142" a="1"/>
  <c r="Y123" i="142" s="1"/>
  <c r="P283" i="142" a="1"/>
  <c r="P283" i="142" s="1"/>
  <c r="Y112" i="142" a="1"/>
  <c r="Y112" i="142" s="1"/>
  <c r="Y164" i="142" a="1"/>
  <c r="Y164" i="142" s="1"/>
  <c r="P281" i="142" a="1"/>
  <c r="P281" i="142" s="1"/>
  <c r="P286" i="142" a="1"/>
  <c r="P286" i="142" s="1"/>
  <c r="P229" i="142" a="1"/>
  <c r="P229" i="142" s="1"/>
  <c r="P145" i="142" a="1"/>
  <c r="P145" i="142" s="1"/>
  <c r="P37" i="142" a="1"/>
  <c r="P37" i="142" s="1"/>
  <c r="P43" i="142" a="1"/>
  <c r="P43" i="142" s="1"/>
  <c r="P95" i="142" a="1"/>
  <c r="P95" i="142" s="1"/>
  <c r="P49" i="142" a="1"/>
  <c r="P49" i="142" s="1"/>
  <c r="P146" i="142" a="1"/>
  <c r="P146" i="142" s="1"/>
  <c r="AB73" i="133" s="1" a="1"/>
  <c r="AB73" i="133" s="1"/>
  <c r="Y165" i="142" a="1"/>
  <c r="Y165" i="142" s="1"/>
  <c r="P282" i="142" a="1"/>
  <c r="P282" i="142" s="1"/>
  <c r="P149" i="142" a="1"/>
  <c r="P149" i="142" s="1"/>
  <c r="P335" i="142" a="1"/>
  <c r="P335" i="142" s="1"/>
  <c r="P194" i="142" a="1"/>
  <c r="P194" i="142" s="1"/>
  <c r="P140" i="142" a="1"/>
  <c r="P140" i="142" s="1"/>
  <c r="P38" i="142" a="1"/>
  <c r="P38" i="142" s="1"/>
  <c r="P90" i="142" a="1"/>
  <c r="P90" i="142" s="1"/>
  <c r="P237" i="142" a="1"/>
  <c r="P237" i="142" s="1"/>
  <c r="Y120" i="142" a="1"/>
  <c r="Y120" i="142" s="1"/>
  <c r="P183" i="142" a="1"/>
  <c r="P183" i="142" s="1"/>
  <c r="Y168" i="142" a="1"/>
  <c r="Y168" i="142" s="1"/>
  <c r="P336" i="142" a="1"/>
  <c r="P336" i="142" s="1"/>
  <c r="P332" i="142" a="1"/>
  <c r="P332" i="142" s="1"/>
  <c r="P134" i="142" a="1"/>
  <c r="P134" i="142" s="1"/>
  <c r="P328" i="142" a="1"/>
  <c r="P328" i="142" s="1"/>
  <c r="P327" i="142" a="1"/>
  <c r="P327" i="142" s="1"/>
  <c r="P276" i="142" a="1"/>
  <c r="P276" i="142" s="1"/>
  <c r="P46" i="142" a="1"/>
  <c r="P46" i="142" s="1"/>
  <c r="P86" i="142" a="1"/>
  <c r="P86" i="142" s="1"/>
  <c r="P228" i="142" a="1"/>
  <c r="P228" i="142" s="1"/>
  <c r="P288" i="142" a="1"/>
  <c r="P288" i="142" s="1"/>
  <c r="P329" i="142" a="1"/>
  <c r="P329" i="142" s="1"/>
  <c r="Y163" i="142" a="1"/>
  <c r="Y163" i="142" s="1"/>
  <c r="P236" i="142" a="1"/>
  <c r="P236" i="142" s="1"/>
  <c r="P277" i="142" a="1"/>
  <c r="P277" i="142" s="1"/>
  <c r="P156" i="142" a="1"/>
  <c r="P156" i="142" s="1"/>
  <c r="P284" i="142" a="1"/>
  <c r="P284" i="142" s="1"/>
  <c r="P189" i="142" a="1"/>
  <c r="P189" i="142" s="1"/>
  <c r="P132" i="142" a="1"/>
  <c r="P132" i="142" s="1"/>
  <c r="P325" i="142" a="1"/>
  <c r="P325" i="142" s="1"/>
  <c r="P91" i="142" a="1"/>
  <c r="P91" i="142" s="1"/>
  <c r="P186" i="142" a="1"/>
  <c r="P186" i="142" s="1"/>
  <c r="P192" i="142" a="1"/>
  <c r="P192" i="142" s="1"/>
  <c r="P142" i="142" a="1"/>
  <c r="P142" i="142" s="1"/>
  <c r="AB50" i="133" s="1" a="1"/>
  <c r="AB50" i="133" s="1"/>
  <c r="P230" i="142" a="1"/>
  <c r="P230" i="142" s="1"/>
  <c r="P157" i="142" a="1"/>
  <c r="P157" i="142" s="1"/>
  <c r="P280" i="142" a="1"/>
  <c r="P280" i="142" s="1"/>
  <c r="P153" i="142" a="1"/>
  <c r="P153" i="142" s="1"/>
  <c r="P184" i="142" a="1"/>
  <c r="P184" i="142" s="1"/>
  <c r="P235" i="142" a="1"/>
  <c r="P235" i="142" s="1"/>
  <c r="P187" i="142" a="1"/>
  <c r="P187" i="142" s="1"/>
  <c r="P136" i="142" a="1"/>
  <c r="P136" i="142" s="1"/>
  <c r="N41" i="142" a="1"/>
  <c r="N41" i="142" s="1"/>
  <c r="N98" i="142" a="1"/>
  <c r="N98" i="142" s="1"/>
  <c r="N190" i="142" a="1"/>
  <c r="N190" i="142" s="1"/>
  <c r="N142" i="142" a="1"/>
  <c r="N142" i="142" s="1"/>
  <c r="Z50" i="133" s="1" a="1"/>
  <c r="Z50" i="133" s="1"/>
  <c r="U166" i="142" a="1"/>
  <c r="U166" i="142" s="1"/>
  <c r="N329" i="142" a="1"/>
  <c r="N329" i="142" s="1"/>
  <c r="N283" i="142" a="1"/>
  <c r="N283" i="142" s="1"/>
  <c r="N145" i="142" a="1"/>
  <c r="N145" i="142" s="1"/>
  <c r="N140" i="142" a="1"/>
  <c r="N140" i="142" s="1"/>
  <c r="N240" i="142" a="1"/>
  <c r="N240" i="142" s="1"/>
  <c r="U161" i="142" a="1"/>
  <c r="U161" i="142" s="1"/>
  <c r="N228" i="142" a="1"/>
  <c r="N228" i="142" s="1"/>
  <c r="N194" i="142" a="1"/>
  <c r="N194" i="142" s="1"/>
  <c r="N149" i="142" a="1"/>
  <c r="N149" i="142" s="1"/>
  <c r="U163" i="142" a="1"/>
  <c r="U163" i="142" s="1"/>
  <c r="U168" i="142" a="1"/>
  <c r="U168" i="142" s="1"/>
  <c r="N44" i="142" a="1"/>
  <c r="N44" i="142" s="1"/>
  <c r="N88" i="142" a="1"/>
  <c r="N88" i="142" s="1"/>
  <c r="N47" i="142" a="1"/>
  <c r="N47" i="142" s="1"/>
  <c r="Z46" i="133" s="1" a="1"/>
  <c r="Z46" i="133" s="1"/>
  <c r="N49" i="142" a="1"/>
  <c r="N49" i="142" s="1"/>
  <c r="U116" i="142" a="1"/>
  <c r="U116" i="142" s="1"/>
  <c r="N284" i="142" a="1"/>
  <c r="N284" i="142" s="1"/>
  <c r="N152" i="142" a="1"/>
  <c r="N152" i="142" s="1"/>
  <c r="N278" i="142" a="1"/>
  <c r="N278" i="142" s="1"/>
  <c r="N143" i="142" a="1"/>
  <c r="N143" i="142" s="1"/>
  <c r="N141" i="142" a="1"/>
  <c r="N141" i="142" s="1"/>
  <c r="N185" i="142" a="1"/>
  <c r="N185" i="142" s="1"/>
  <c r="N289" i="142" a="1"/>
  <c r="N289" i="142" s="1"/>
  <c r="N139" i="142" a="1"/>
  <c r="N139" i="142" s="1"/>
  <c r="N192" i="142" a="1"/>
  <c r="N192" i="142" s="1"/>
  <c r="U172" i="142" a="1"/>
  <c r="U172" i="142" s="1"/>
  <c r="N157" i="142" a="1"/>
  <c r="N157" i="142" s="1"/>
  <c r="U117" i="142" a="1"/>
  <c r="U117" i="142" s="1"/>
  <c r="U125" i="142" a="1"/>
  <c r="U125" i="142" s="1"/>
  <c r="U120" i="142" a="1"/>
  <c r="U120" i="142" s="1"/>
  <c r="N85" i="142" a="1"/>
  <c r="N85" i="142" s="1"/>
  <c r="N45" i="142" a="1"/>
  <c r="N45" i="142" s="1"/>
  <c r="U114" i="142" a="1"/>
  <c r="U114" i="142" s="1"/>
  <c r="N93" i="142" a="1"/>
  <c r="N93" i="142" s="1"/>
  <c r="N187" i="142" a="1"/>
  <c r="N187" i="142" s="1"/>
  <c r="U119" i="142" a="1"/>
  <c r="U119" i="142" s="1"/>
  <c r="N325" i="142" a="1"/>
  <c r="N325" i="142" s="1"/>
  <c r="N153" i="142" a="1"/>
  <c r="N153" i="142" s="1"/>
  <c r="N333" i="142" a="1"/>
  <c r="N333" i="142" s="1"/>
  <c r="Z51" i="133" s="1" a="1"/>
  <c r="Z51" i="133" s="1"/>
  <c r="N287" i="142" a="1"/>
  <c r="N287" i="142" s="1"/>
  <c r="N331" i="142" a="1"/>
  <c r="N331" i="142" s="1"/>
  <c r="N193" i="142" a="1"/>
  <c r="N193" i="142" s="1"/>
  <c r="N50" i="142" a="1"/>
  <c r="N50" i="142" s="1"/>
  <c r="N242" i="142" a="1"/>
  <c r="N242" i="142" s="1"/>
  <c r="Z71" i="133" s="1" a="1"/>
  <c r="Z71" i="133" s="1"/>
  <c r="N155" i="142" a="1"/>
  <c r="N155" i="142" s="1"/>
  <c r="N282" i="142" a="1"/>
  <c r="N282" i="142" s="1"/>
  <c r="U124" i="142" a="1"/>
  <c r="U124" i="142" s="1"/>
  <c r="N183" i="142" a="1"/>
  <c r="N183" i="142" s="1"/>
  <c r="U118" i="142" a="1"/>
  <c r="U118" i="142" s="1"/>
  <c r="U121" i="142" a="1"/>
  <c r="U121" i="142" s="1"/>
  <c r="N86" i="142" a="1"/>
  <c r="N86" i="142" s="1"/>
  <c r="N97" i="142" a="1"/>
  <c r="N97" i="142" s="1"/>
  <c r="N229" i="142" a="1"/>
  <c r="N229" i="142" s="1"/>
  <c r="N92" i="142" a="1"/>
  <c r="N92" i="142" s="1"/>
  <c r="N90" i="142" a="1"/>
  <c r="N90" i="142" s="1"/>
  <c r="N40" i="142" a="1"/>
  <c r="N40" i="142" s="1"/>
  <c r="N147" i="142" a="1"/>
  <c r="N147" i="142" s="1"/>
  <c r="N151" i="142" a="1"/>
  <c r="N151" i="142" s="1"/>
  <c r="N136" i="142" a="1"/>
  <c r="N136" i="142" s="1"/>
  <c r="N324" i="142" a="1"/>
  <c r="N324" i="142" s="1"/>
  <c r="U165" i="142" a="1"/>
  <c r="U165" i="142" s="1"/>
  <c r="N43" i="142" a="1"/>
  <c r="N43" i="142" s="1"/>
  <c r="N234" i="142" a="1"/>
  <c r="N234" i="142" s="1"/>
  <c r="U159" i="142" a="1"/>
  <c r="U159" i="142" s="1"/>
  <c r="N132" i="142" a="1"/>
  <c r="N132" i="142" s="1"/>
  <c r="U122" i="142" a="1"/>
  <c r="U122" i="142" s="1"/>
  <c r="N42" i="142" a="1"/>
  <c r="N42" i="142" s="1"/>
  <c r="N335" i="142" a="1"/>
  <c r="N335" i="142" s="1"/>
  <c r="U170" i="142" a="1"/>
  <c r="U170" i="142" s="1"/>
  <c r="N38" i="142" a="1"/>
  <c r="N38" i="142" s="1"/>
  <c r="N39" i="142" a="1"/>
  <c r="N39" i="142" s="1"/>
  <c r="N334" i="142" a="1"/>
  <c r="N334" i="142" s="1"/>
  <c r="N232" i="142" a="1"/>
  <c r="N232" i="142" s="1"/>
  <c r="U113" i="142" a="1"/>
  <c r="U113" i="142" s="1"/>
  <c r="N181" i="142" a="1"/>
  <c r="N181" i="142" s="1"/>
  <c r="N195" i="142" a="1"/>
  <c r="N195" i="142" s="1"/>
  <c r="Z70" i="133" s="1" a="1"/>
  <c r="Z70" i="133" s="1"/>
  <c r="N134" i="142" a="1"/>
  <c r="N134" i="142" s="1"/>
  <c r="N237" i="142" a="1"/>
  <c r="N237" i="142" s="1"/>
  <c r="U167" i="142" a="1"/>
  <c r="U167" i="142" s="1"/>
  <c r="N230" i="142" a="1"/>
  <c r="N230" i="142" s="1"/>
  <c r="U169" i="142" a="1"/>
  <c r="U169" i="142" s="1"/>
  <c r="N330" i="142" a="1"/>
  <c r="N330" i="142" s="1"/>
  <c r="N135" i="142" a="1"/>
  <c r="N135" i="142" s="1"/>
  <c r="N336" i="142" a="1"/>
  <c r="N336" i="142" s="1"/>
  <c r="N276" i="142" a="1"/>
  <c r="N276" i="142" s="1"/>
  <c r="N46" i="142" a="1"/>
  <c r="N46" i="142" s="1"/>
  <c r="N37" i="142" a="1"/>
  <c r="N37" i="142" s="1"/>
  <c r="N189" i="142" a="1"/>
  <c r="N189" i="142" s="1"/>
  <c r="N94" i="142" a="1"/>
  <c r="N94" i="142" s="1"/>
  <c r="N332" i="142" a="1"/>
  <c r="N332" i="142" s="1"/>
  <c r="U160" i="142" a="1"/>
  <c r="U160" i="142" s="1"/>
  <c r="U112" i="142" a="1"/>
  <c r="U112" i="142" s="1"/>
  <c r="N279" i="142" a="1"/>
  <c r="N279" i="142" s="1"/>
  <c r="U173" i="142" a="1"/>
  <c r="U173" i="142" s="1"/>
  <c r="N95" i="142" a="1"/>
  <c r="N95" i="142" s="1"/>
  <c r="N235" i="142" a="1"/>
  <c r="N235" i="142" s="1"/>
  <c r="N182" i="142" a="1"/>
  <c r="N182" i="142" s="1"/>
  <c r="N154" i="142" a="1"/>
  <c r="N154" i="142" s="1"/>
  <c r="N280" i="142" a="1"/>
  <c r="N280" i="142" s="1"/>
  <c r="U171" i="142" a="1"/>
  <c r="U171" i="142" s="1"/>
  <c r="N326" i="142" a="1"/>
  <c r="N326" i="142" s="1"/>
  <c r="N144" i="142" a="1"/>
  <c r="N144" i="142" s="1"/>
  <c r="N87" i="142" a="1"/>
  <c r="N87" i="142" s="1"/>
  <c r="N91" i="142" a="1"/>
  <c r="N91" i="142" s="1"/>
  <c r="N48" i="142" a="1"/>
  <c r="N48" i="142" s="1"/>
  <c r="U162" i="142" a="1"/>
  <c r="U162" i="142" s="1"/>
  <c r="N337" i="142" a="1"/>
  <c r="N337" i="142" s="1"/>
  <c r="Z74" i="133" s="1" a="1"/>
  <c r="Z74" i="133" s="1"/>
  <c r="N288" i="142" a="1"/>
  <c r="N288" i="142" s="1"/>
  <c r="U115" i="142" a="1"/>
  <c r="U115" i="142" s="1"/>
  <c r="N241" i="142" a="1"/>
  <c r="N241" i="142" s="1"/>
  <c r="N184" i="142" a="1"/>
  <c r="N184" i="142" s="1"/>
  <c r="N158" i="142" a="1"/>
  <c r="N158" i="142" s="1"/>
  <c r="N327" i="142" a="1"/>
  <c r="N327" i="142" s="1"/>
  <c r="N277" i="142" a="1"/>
  <c r="N277" i="142" s="1"/>
  <c r="N133" i="142" a="1"/>
  <c r="N133" i="142" s="1"/>
  <c r="N231" i="142" a="1"/>
  <c r="N231" i="142" s="1"/>
  <c r="N150" i="142" a="1"/>
  <c r="N150" i="142" s="1"/>
  <c r="N290" i="142" a="1"/>
  <c r="N290" i="142" s="1"/>
  <c r="N238" i="142" a="1"/>
  <c r="N238" i="142" s="1"/>
  <c r="Z48" i="133" s="1" a="1"/>
  <c r="Z48" i="133" s="1"/>
  <c r="N286" i="142" a="1"/>
  <c r="N286" i="142" s="1"/>
  <c r="N84" i="142" a="1"/>
  <c r="N84" i="142" s="1"/>
  <c r="N186" i="142" a="1"/>
  <c r="N186" i="142" s="1"/>
  <c r="N96" i="142" a="1"/>
  <c r="N96" i="142" s="1"/>
  <c r="N89" i="142" a="1"/>
  <c r="N89" i="142" s="1"/>
  <c r="N323" i="142" a="1"/>
  <c r="N323" i="142" s="1"/>
  <c r="U164" i="142" a="1"/>
  <c r="U164" i="142" s="1"/>
  <c r="N146" i="142" a="1"/>
  <c r="N146" i="142" s="1"/>
  <c r="Z73" i="133" s="1" a="1"/>
  <c r="Z73" i="133" s="1"/>
  <c r="N148" i="142" a="1"/>
  <c r="N148" i="142" s="1"/>
  <c r="N285" i="142" a="1"/>
  <c r="N285" i="142" s="1"/>
  <c r="N137" i="142" a="1"/>
  <c r="N137" i="142" s="1"/>
  <c r="N233" i="142" a="1"/>
  <c r="N233" i="142" s="1"/>
  <c r="U123" i="142" a="1"/>
  <c r="U123" i="142" s="1"/>
  <c r="N156" i="142" a="1"/>
  <c r="N156" i="142" s="1"/>
  <c r="N236" i="142" a="1"/>
  <c r="N236" i="142" s="1"/>
  <c r="N138" i="142" a="1"/>
  <c r="N138" i="142" s="1"/>
  <c r="N328" i="142" a="1"/>
  <c r="N328" i="142" s="1"/>
  <c r="N281" i="142" a="1"/>
  <c r="N281" i="142" s="1"/>
  <c r="N239" i="142" a="1"/>
  <c r="N239" i="142" s="1"/>
  <c r="N188" i="142" a="1"/>
  <c r="N188" i="142" s="1"/>
  <c r="N191" i="142" a="1"/>
  <c r="N191" i="142" s="1"/>
  <c r="Z47" i="133" s="1" a="1"/>
  <c r="Z47" i="133" s="1"/>
  <c r="V121" i="142" a="1"/>
  <c r="V121" i="142" s="1"/>
  <c r="O96" i="142" a="1"/>
  <c r="O96" i="142" s="1"/>
  <c r="O89" i="142" a="1"/>
  <c r="O89" i="142" s="1"/>
  <c r="O276" i="142" a="1"/>
  <c r="O276" i="142" s="1"/>
  <c r="O148" i="142" a="1"/>
  <c r="O148" i="142" s="1"/>
  <c r="O332" i="142" a="1"/>
  <c r="O332" i="142" s="1"/>
  <c r="O234" i="142" a="1"/>
  <c r="O234" i="142" s="1"/>
  <c r="O155" i="142" a="1"/>
  <c r="O155" i="142" s="1"/>
  <c r="O324" i="142" a="1"/>
  <c r="O324" i="142" s="1"/>
  <c r="O188" i="142" a="1"/>
  <c r="O188" i="142" s="1"/>
  <c r="V124" i="142" a="1"/>
  <c r="V124" i="142" s="1"/>
  <c r="O323" i="142" a="1"/>
  <c r="O323" i="142" s="1"/>
  <c r="V167" i="142" a="1"/>
  <c r="V167" i="142" s="1"/>
  <c r="O289" i="142" a="1"/>
  <c r="O289" i="142" s="1"/>
  <c r="O229" i="142" a="1"/>
  <c r="O229" i="142" s="1"/>
  <c r="O185" i="142" a="1"/>
  <c r="O185" i="142" s="1"/>
  <c r="O186" i="142" a="1"/>
  <c r="O186" i="142" s="1"/>
  <c r="O334" i="142" a="1"/>
  <c r="O334" i="142" s="1"/>
  <c r="O91" i="142" a="1"/>
  <c r="O91" i="142" s="1"/>
  <c r="V112" i="142" a="1"/>
  <c r="V112" i="142" s="1"/>
  <c r="O98" i="142" a="1"/>
  <c r="O98" i="142" s="1"/>
  <c r="O280" i="142" a="1"/>
  <c r="O280" i="142" s="1"/>
  <c r="O142" i="142" a="1"/>
  <c r="O142" i="142" s="1"/>
  <c r="AA50" i="133" s="1" a="1"/>
  <c r="AA50" i="133" s="1"/>
  <c r="O290" i="142" a="1"/>
  <c r="O290" i="142" s="1"/>
  <c r="O189" i="142" a="1"/>
  <c r="O189" i="142" s="1"/>
  <c r="O286" i="142" a="1"/>
  <c r="O286" i="142" s="1"/>
  <c r="O136" i="142" a="1"/>
  <c r="O136" i="142" s="1"/>
  <c r="O182" i="142" a="1"/>
  <c r="O182" i="142" s="1"/>
  <c r="O137" i="142" a="1"/>
  <c r="O137" i="142" s="1"/>
  <c r="O156" i="142" a="1"/>
  <c r="O156" i="142" s="1"/>
  <c r="O240" i="142" a="1"/>
  <c r="O240" i="142" s="1"/>
  <c r="O85" i="142" a="1"/>
  <c r="O85" i="142" s="1"/>
  <c r="O331" i="142" a="1"/>
  <c r="O331" i="142" s="1"/>
  <c r="O282" i="142" a="1"/>
  <c r="O282" i="142" s="1"/>
  <c r="O277" i="142" a="1"/>
  <c r="O277" i="142" s="1"/>
  <c r="O46" i="142" a="1"/>
  <c r="O46" i="142" s="1"/>
  <c r="O183" i="142" a="1"/>
  <c r="O183" i="142" s="1"/>
  <c r="O90" i="142" a="1"/>
  <c r="O90" i="142" s="1"/>
  <c r="O231" i="142" a="1"/>
  <c r="O231" i="142" s="1"/>
  <c r="O157" i="142" a="1"/>
  <c r="O157" i="142" s="1"/>
  <c r="O139" i="142" a="1"/>
  <c r="O139" i="142" s="1"/>
  <c r="O242" i="142" a="1"/>
  <c r="O242" i="142" s="1"/>
  <c r="AA71" i="133" s="1" a="1"/>
  <c r="AA71" i="133" s="1"/>
  <c r="O187" i="142" a="1"/>
  <c r="O187" i="142" s="1"/>
  <c r="O288" i="142" a="1"/>
  <c r="O288" i="142" s="1"/>
  <c r="O147" i="142" a="1"/>
  <c r="O147" i="142" s="1"/>
  <c r="V161" i="142" a="1"/>
  <c r="V161" i="142" s="1"/>
  <c r="O278" i="142" a="1"/>
  <c r="O278" i="142" s="1"/>
  <c r="O330" i="142" a="1"/>
  <c r="O330" i="142" s="1"/>
  <c r="O283" i="142" a="1"/>
  <c r="O283" i="142" s="1"/>
  <c r="O141" i="142" a="1"/>
  <c r="O141" i="142" s="1"/>
  <c r="V117" i="142" a="1"/>
  <c r="V117" i="142" s="1"/>
  <c r="V114" i="142" a="1"/>
  <c r="V114" i="142" s="1"/>
  <c r="O93" i="142" a="1"/>
  <c r="O93" i="142" s="1"/>
  <c r="O42" i="142" a="1"/>
  <c r="O42" i="142" s="1"/>
  <c r="O336" i="142" a="1"/>
  <c r="O336" i="142" s="1"/>
  <c r="O237" i="142" a="1"/>
  <c r="O237" i="142" s="1"/>
  <c r="V160" i="142" a="1"/>
  <c r="V160" i="142" s="1"/>
  <c r="V113" i="142" a="1"/>
  <c r="V113" i="142" s="1"/>
  <c r="O158" i="142" a="1"/>
  <c r="O158" i="142" s="1"/>
  <c r="O144" i="142" a="1"/>
  <c r="O144" i="142" s="1"/>
  <c r="O279" i="142" a="1"/>
  <c r="O279" i="142" s="1"/>
  <c r="O193" i="142" a="1"/>
  <c r="O193" i="142" s="1"/>
  <c r="V125" i="142" a="1"/>
  <c r="V125" i="142" s="1"/>
  <c r="O327" i="142" a="1"/>
  <c r="O327" i="142" s="1"/>
  <c r="V171" i="142" a="1"/>
  <c r="V171" i="142" s="1"/>
  <c r="V172" i="142" a="1"/>
  <c r="V172" i="142" s="1"/>
  <c r="O233" i="142" a="1"/>
  <c r="O233" i="142" s="1"/>
  <c r="O191" i="142" a="1"/>
  <c r="O191" i="142" s="1"/>
  <c r="AA47" i="133" s="1" a="1"/>
  <c r="AA47" i="133" s="1"/>
  <c r="O94" i="142" a="1"/>
  <c r="O94" i="142" s="1"/>
  <c r="O38" i="142" a="1"/>
  <c r="O38" i="142" s="1"/>
  <c r="O87" i="142" a="1"/>
  <c r="O87" i="142" s="1"/>
  <c r="O41" i="142" a="1"/>
  <c r="O41" i="142" s="1"/>
  <c r="O50" i="142" a="1"/>
  <c r="O50" i="142" s="1"/>
  <c r="O153" i="142" a="1"/>
  <c r="O153" i="142" s="1"/>
  <c r="O138" i="142" a="1"/>
  <c r="O138" i="142" s="1"/>
  <c r="O228" i="142" a="1"/>
  <c r="O228" i="142" s="1"/>
  <c r="V173" i="142" a="1"/>
  <c r="V173" i="142" s="1"/>
  <c r="V122" i="142" a="1"/>
  <c r="V122" i="142" s="1"/>
  <c r="O241" i="142" a="1"/>
  <c r="O241" i="142" s="1"/>
  <c r="O285" i="142" a="1"/>
  <c r="O285" i="142" s="1"/>
  <c r="O192" i="142" a="1"/>
  <c r="O192" i="142" s="1"/>
  <c r="O132" i="142" a="1"/>
  <c r="O132" i="142" s="1"/>
  <c r="O135" i="142" a="1"/>
  <c r="O135" i="142" s="1"/>
  <c r="O235" i="142" a="1"/>
  <c r="O235" i="142" s="1"/>
  <c r="V170" i="142" a="1"/>
  <c r="V170" i="142" s="1"/>
  <c r="V162" i="142" a="1"/>
  <c r="V162" i="142" s="1"/>
  <c r="O95" i="142" a="1"/>
  <c r="O95" i="142" s="1"/>
  <c r="O333" i="142" a="1"/>
  <c r="O333" i="142" s="1"/>
  <c r="AA51" i="133" s="1" a="1"/>
  <c r="AA51" i="133" s="1"/>
  <c r="O40" i="142" a="1"/>
  <c r="O40" i="142" s="1"/>
  <c r="O49" i="142" a="1"/>
  <c r="O49" i="142" s="1"/>
  <c r="O86" i="142" a="1"/>
  <c r="O86" i="142" s="1"/>
  <c r="O239" i="142" a="1"/>
  <c r="O239" i="142" s="1"/>
  <c r="V164" i="142" a="1"/>
  <c r="V164" i="142" s="1"/>
  <c r="O230" i="142" a="1"/>
  <c r="O230" i="142" s="1"/>
  <c r="O146" i="142" a="1"/>
  <c r="O146" i="142" s="1"/>
  <c r="AA73" i="133" s="1" a="1"/>
  <c r="AA73" i="133" s="1"/>
  <c r="O325" i="142" a="1"/>
  <c r="O325" i="142" s="1"/>
  <c r="O281" i="142" a="1"/>
  <c r="O281" i="142" s="1"/>
  <c r="O184" i="142" a="1"/>
  <c r="O184" i="142" s="1"/>
  <c r="O284" i="142" a="1"/>
  <c r="O284" i="142" s="1"/>
  <c r="O195" i="142" a="1"/>
  <c r="O195" i="142" s="1"/>
  <c r="AA70" i="133" s="1" a="1"/>
  <c r="AA70" i="133" s="1"/>
  <c r="O133" i="142" a="1"/>
  <c r="O133" i="142" s="1"/>
  <c r="O150" i="142" a="1"/>
  <c r="O150" i="142" s="1"/>
  <c r="O337" i="142" a="1"/>
  <c r="O337" i="142" s="1"/>
  <c r="AA74" i="133" s="1" a="1"/>
  <c r="AA74" i="133" s="1"/>
  <c r="O287" i="142" a="1"/>
  <c r="O287" i="142" s="1"/>
  <c r="O140" i="142" a="1"/>
  <c r="O140" i="142" s="1"/>
  <c r="O37" i="142" a="1"/>
  <c r="O37" i="142" s="1"/>
  <c r="O149" i="142" a="1"/>
  <c r="O149" i="142" s="1"/>
  <c r="O190" i="142" a="1"/>
  <c r="O190" i="142" s="1"/>
  <c r="V168" i="142" a="1"/>
  <c r="V168" i="142" s="1"/>
  <c r="V123" i="142" a="1"/>
  <c r="V123" i="142" s="1"/>
  <c r="O145" i="142" a="1"/>
  <c r="O145" i="142" s="1"/>
  <c r="O97" i="142" a="1"/>
  <c r="O97" i="142" s="1"/>
  <c r="O39" i="142" a="1"/>
  <c r="O39" i="142" s="1"/>
  <c r="O48" i="142" a="1"/>
  <c r="O48" i="142" s="1"/>
  <c r="V116" i="142" a="1"/>
  <c r="V116" i="142" s="1"/>
  <c r="V166" i="142" a="1"/>
  <c r="V166" i="142" s="1"/>
  <c r="O194" i="142" a="1"/>
  <c r="O194" i="142" s="1"/>
  <c r="O134" i="142" a="1"/>
  <c r="O134" i="142" s="1"/>
  <c r="O151" i="142" a="1"/>
  <c r="O151" i="142" s="1"/>
  <c r="O43" i="142" a="1"/>
  <c r="O43" i="142" s="1"/>
  <c r="V159" i="142" a="1"/>
  <c r="V159" i="142" s="1"/>
  <c r="O329" i="142" a="1"/>
  <c r="O329" i="142" s="1"/>
  <c r="O45" i="142" a="1"/>
  <c r="O45" i="142" s="1"/>
  <c r="O44" i="142" a="1"/>
  <c r="O44" i="142" s="1"/>
  <c r="O232" i="142" a="1"/>
  <c r="O232" i="142" s="1"/>
  <c r="V163" i="142" a="1"/>
  <c r="V163" i="142" s="1"/>
  <c r="O152" i="142" a="1"/>
  <c r="O152" i="142" s="1"/>
  <c r="O328" i="142" a="1"/>
  <c r="O328" i="142" s="1"/>
  <c r="O47" i="142" a="1"/>
  <c r="O47" i="142" s="1"/>
  <c r="AA46" i="133" s="1" a="1"/>
  <c r="AA46" i="133" s="1"/>
  <c r="O84" i="142" a="1"/>
  <c r="O84" i="142" s="1"/>
  <c r="O143" i="142" a="1"/>
  <c r="O143" i="142" s="1"/>
  <c r="O335" i="142" a="1"/>
  <c r="O335" i="142" s="1"/>
  <c r="O238" i="142" a="1"/>
  <c r="O238" i="142" s="1"/>
  <c r="AA48" i="133" s="1" a="1"/>
  <c r="AA48" i="133" s="1"/>
  <c r="V115" i="142" a="1"/>
  <c r="V115" i="142" s="1"/>
  <c r="O154" i="142" a="1"/>
  <c r="O154" i="142" s="1"/>
  <c r="V165" i="142" a="1"/>
  <c r="V165" i="142" s="1"/>
  <c r="V169" i="142" a="1"/>
  <c r="V169" i="142" s="1"/>
  <c r="O236" i="142" a="1"/>
  <c r="O236" i="142" s="1"/>
  <c r="O326" i="142" a="1"/>
  <c r="O326" i="142" s="1"/>
  <c r="O92" i="142" a="1"/>
  <c r="O92" i="142" s="1"/>
  <c r="O181" i="142" a="1"/>
  <c r="O181" i="142" s="1"/>
  <c r="V118" i="142" a="1"/>
  <c r="V118" i="142" s="1"/>
  <c r="O88" i="142" a="1"/>
  <c r="O88" i="142" s="1"/>
  <c r="V119" i="142" a="1"/>
  <c r="V119" i="142" s="1"/>
  <c r="V120" i="142" a="1"/>
  <c r="V120" i="142" s="1"/>
  <c r="AA88" i="142" a="1"/>
  <c r="AA88" i="142" s="1"/>
  <c r="AA325" i="142" a="1"/>
  <c r="AA325" i="142" s="1"/>
  <c r="AA49" i="142" a="1"/>
  <c r="AA49" i="142" s="1"/>
  <c r="AA334" i="142" a="1"/>
  <c r="AA334" i="142" s="1"/>
  <c r="AA193" i="142" a="1"/>
  <c r="AA193" i="142" s="1"/>
  <c r="AA184" i="142" a="1"/>
  <c r="AA184" i="142" s="1"/>
  <c r="AA281" i="142" a="1"/>
  <c r="AA281" i="142" s="1"/>
  <c r="AA84" i="142" a="1"/>
  <c r="AA84" i="142" s="1"/>
  <c r="AA236" i="142" a="1"/>
  <c r="AA236" i="142" s="1"/>
  <c r="AA39" i="142" a="1"/>
  <c r="AA39" i="142" s="1"/>
  <c r="AA94" i="142" a="1"/>
  <c r="AA94" i="142" s="1"/>
  <c r="AA276" i="142" a="1"/>
  <c r="AA276" i="142" s="1"/>
  <c r="AA283" i="142" a="1"/>
  <c r="AA283" i="142" s="1"/>
  <c r="AA42" i="142" a="1"/>
  <c r="AA42" i="142" s="1"/>
  <c r="AA326" i="142" a="1"/>
  <c r="AA326" i="142" s="1"/>
  <c r="AA287" i="142" a="1"/>
  <c r="AA287" i="142" s="1"/>
  <c r="AA185" i="142" a="1"/>
  <c r="AA185" i="142" s="1"/>
  <c r="AA241" i="142" a="1"/>
  <c r="AA241" i="142" s="1"/>
  <c r="AA324" i="142" a="1"/>
  <c r="AA324" i="142" s="1"/>
  <c r="AA154" i="142" a="1"/>
  <c r="AA154" i="142" s="1"/>
  <c r="AA231" i="142" a="1"/>
  <c r="AA231" i="142" s="1"/>
  <c r="AA85" i="142" a="1"/>
  <c r="AA85" i="142" s="1"/>
  <c r="AA87" i="142" a="1"/>
  <c r="AA87" i="142" s="1"/>
  <c r="AA290" i="142" a="1"/>
  <c r="AA290" i="142" s="1"/>
  <c r="AA150" i="142" a="1"/>
  <c r="AA150" i="142" s="1"/>
  <c r="AA135" i="142" a="1"/>
  <c r="AA135" i="142" s="1"/>
  <c r="AA151" i="142" a="1"/>
  <c r="AA151" i="142" s="1"/>
  <c r="AA284" i="142" a="1"/>
  <c r="AA284" i="142" s="1"/>
  <c r="AA134" i="142" a="1"/>
  <c r="AA134" i="142" s="1"/>
  <c r="AA43" i="142" a="1"/>
  <c r="AA43" i="142" s="1"/>
  <c r="AA188" i="142" a="1"/>
  <c r="AA188" i="142" s="1"/>
  <c r="AA133" i="142" a="1"/>
  <c r="AA133" i="142" s="1"/>
  <c r="AA86" i="142" a="1"/>
  <c r="AA86" i="142" s="1"/>
  <c r="AA38" i="142" a="1"/>
  <c r="AA38" i="142" s="1"/>
  <c r="AA47" i="142" a="1"/>
  <c r="AA47" i="142" s="1"/>
  <c r="AQ46" i="133" s="1" a="1"/>
  <c r="AQ46" i="133" s="1"/>
  <c r="AA96" i="142" a="1"/>
  <c r="AA96" i="142" s="1"/>
  <c r="AA41" i="142" a="1"/>
  <c r="AA41" i="142" s="1"/>
  <c r="AA138" i="142" a="1"/>
  <c r="AA138" i="142" s="1"/>
  <c r="AA182" i="142" a="1"/>
  <c r="AA182" i="142" s="1"/>
  <c r="AA132" i="142" a="1"/>
  <c r="AA132" i="142" s="1"/>
  <c r="AA141" i="142" a="1"/>
  <c r="AA141" i="142" s="1"/>
  <c r="AA44" i="142" a="1"/>
  <c r="AA44" i="142" s="1"/>
  <c r="AA186" i="142" a="1"/>
  <c r="AA186" i="142" s="1"/>
  <c r="AA242" i="142" a="1"/>
  <c r="AA242" i="142" s="1"/>
  <c r="AQ71" i="133" s="1" a="1"/>
  <c r="AQ71" i="133" s="1"/>
  <c r="AA331" i="142" a="1"/>
  <c r="AA331" i="142" s="1"/>
  <c r="AA329" i="142" a="1"/>
  <c r="AA329" i="142" s="1"/>
  <c r="AA50" i="142" a="1"/>
  <c r="AA50" i="142" s="1"/>
  <c r="AA240" i="142" a="1"/>
  <c r="AA240" i="142" s="1"/>
  <c r="AA282" i="142" a="1"/>
  <c r="AA282" i="142" s="1"/>
  <c r="AA288" i="142" a="1"/>
  <c r="AA288" i="142" s="1"/>
  <c r="AA147" i="142" a="1"/>
  <c r="AA147" i="142" s="1"/>
  <c r="AA155" i="142" a="1"/>
  <c r="AA155" i="142" s="1"/>
  <c r="AA194" i="142" a="1"/>
  <c r="AA194" i="142" s="1"/>
  <c r="AA90" i="142" a="1"/>
  <c r="AA90" i="142" s="1"/>
  <c r="AA98" i="142" a="1"/>
  <c r="AA98" i="142" s="1"/>
  <c r="AA332" i="142" a="1"/>
  <c r="AA332" i="142" s="1"/>
  <c r="AA136" i="142" a="1"/>
  <c r="AA136" i="142" s="1"/>
  <c r="AA40" i="142" a="1"/>
  <c r="AA40" i="142" s="1"/>
  <c r="AA237" i="142" a="1"/>
  <c r="AA237" i="142" s="1"/>
  <c r="AA239" i="142" a="1"/>
  <c r="AA239" i="142" s="1"/>
  <c r="AA286" i="142" a="1"/>
  <c r="AA286" i="142" s="1"/>
  <c r="AA143" i="142" a="1"/>
  <c r="AA143" i="142" s="1"/>
  <c r="AA139" i="142" a="1"/>
  <c r="AA139" i="142" s="1"/>
  <c r="AA190" i="142" a="1"/>
  <c r="AA190" i="142" s="1"/>
  <c r="AA285" i="142" a="1"/>
  <c r="AA285" i="142" s="1"/>
  <c r="AA230" i="142" a="1"/>
  <c r="AA230" i="142" s="1"/>
  <c r="AA95" i="142" a="1"/>
  <c r="AA95" i="142" s="1"/>
  <c r="AA195" i="142" a="1"/>
  <c r="AA195" i="142" s="1"/>
  <c r="AQ70" i="133" s="1" a="1"/>
  <c r="AQ70" i="133" s="1"/>
  <c r="AA145" i="142" a="1"/>
  <c r="AA145" i="142" s="1"/>
  <c r="AA48" i="142" a="1"/>
  <c r="AA48" i="142" s="1"/>
  <c r="AA337" i="142" a="1"/>
  <c r="AA337" i="142" s="1"/>
  <c r="AQ74" i="133" s="1" a="1"/>
  <c r="AQ74" i="133" s="1"/>
  <c r="AA336" i="142" a="1"/>
  <c r="AA336" i="142" s="1"/>
  <c r="AA327" i="142" a="1"/>
  <c r="AA327" i="142" s="1"/>
  <c r="AA234" i="142" a="1"/>
  <c r="AA234" i="142" s="1"/>
  <c r="AA278" i="142" a="1"/>
  <c r="AA278" i="142" s="1"/>
  <c r="AA277" i="142" a="1"/>
  <c r="AA277" i="142" s="1"/>
  <c r="AA137" i="142" a="1"/>
  <c r="AA137" i="142" s="1"/>
  <c r="AA191" i="142" a="1"/>
  <c r="AA191" i="142" s="1"/>
  <c r="AQ47" i="133" s="1" a="1"/>
  <c r="AQ47" i="133" s="1"/>
  <c r="AA323" i="142" a="1"/>
  <c r="AA323" i="142" s="1"/>
  <c r="AA158" i="142" a="1"/>
  <c r="AA158" i="142" s="1"/>
  <c r="AA37" i="142" a="1"/>
  <c r="AA37" i="142" s="1"/>
  <c r="AA153" i="142" a="1"/>
  <c r="AA153" i="142" s="1"/>
  <c r="AA149" i="142" a="1"/>
  <c r="AA149" i="142" s="1"/>
  <c r="AA97" i="142" a="1"/>
  <c r="AA97" i="142" s="1"/>
  <c r="AA333" i="142" a="1"/>
  <c r="AA333" i="142" s="1"/>
  <c r="AQ51" i="133" s="1" a="1"/>
  <c r="AQ51" i="133" s="1"/>
  <c r="AA157" i="142" a="1"/>
  <c r="AA157" i="142" s="1"/>
  <c r="AA192" i="142" a="1"/>
  <c r="AA192" i="142" s="1"/>
  <c r="AA238" i="142" a="1"/>
  <c r="AA238" i="142" s="1"/>
  <c r="AQ48" i="133" s="1" a="1"/>
  <c r="AQ48" i="133" s="1"/>
  <c r="AA228" i="142" a="1"/>
  <c r="AA228" i="142" s="1"/>
  <c r="AA156" i="142" a="1"/>
  <c r="AA156" i="142" s="1"/>
  <c r="AA146" i="142" a="1"/>
  <c r="AA146" i="142" s="1"/>
  <c r="AQ73" i="133" s="1" a="1"/>
  <c r="AQ73" i="133" s="1"/>
  <c r="AA45" i="142" a="1"/>
  <c r="AA45" i="142" s="1"/>
  <c r="AA144" i="142" a="1"/>
  <c r="AA144" i="142" s="1"/>
  <c r="AA46" i="142" a="1"/>
  <c r="AA46" i="142" s="1"/>
  <c r="AA91" i="142" a="1"/>
  <c r="AA91" i="142" s="1"/>
  <c r="AA279" i="142" a="1"/>
  <c r="AA279" i="142" s="1"/>
  <c r="AA330" i="142" a="1"/>
  <c r="AA330" i="142" s="1"/>
  <c r="AA280" i="142" a="1"/>
  <c r="AA280" i="142" s="1"/>
  <c r="AA189" i="142" a="1"/>
  <c r="AA189" i="142" s="1"/>
  <c r="AA229" i="142" a="1"/>
  <c r="AA229" i="142" s="1"/>
  <c r="AA335" i="142" a="1"/>
  <c r="AA335" i="142" s="1"/>
  <c r="AA183" i="142" a="1"/>
  <c r="AA183" i="142" s="1"/>
  <c r="AA142" i="142" a="1"/>
  <c r="AA142" i="142" s="1"/>
  <c r="AQ50" i="133" s="1" a="1"/>
  <c r="AQ50" i="133" s="1"/>
  <c r="AA232" i="142" a="1"/>
  <c r="AA232" i="142" s="1"/>
  <c r="AA89" i="142" a="1"/>
  <c r="AA89" i="142" s="1"/>
  <c r="AA92" i="142" a="1"/>
  <c r="AA92" i="142" s="1"/>
  <c r="AA140" i="142" a="1"/>
  <c r="AA140" i="142" s="1"/>
  <c r="AA187" i="142" a="1"/>
  <c r="AA187" i="142" s="1"/>
  <c r="AA93" i="142" a="1"/>
  <c r="AA93" i="142" s="1"/>
  <c r="AA328" i="142" a="1"/>
  <c r="AA328" i="142" s="1"/>
  <c r="AA152" i="142" a="1"/>
  <c r="AA152" i="142" s="1"/>
  <c r="AA235" i="142" a="1"/>
  <c r="AA235" i="142" s="1"/>
  <c r="AA289" i="142" a="1"/>
  <c r="AA289" i="142" s="1"/>
  <c r="AA181" i="142" a="1"/>
  <c r="AA181" i="142" s="1"/>
  <c r="AA233" i="142" a="1"/>
  <c r="AA233" i="142" s="1"/>
  <c r="AA148" i="142" a="1"/>
  <c r="AA148" i="142" s="1"/>
  <c r="T88" i="142" a="1"/>
  <c r="T88" i="142" s="1"/>
  <c r="T133" i="142" a="1"/>
  <c r="T133" i="142" s="1"/>
  <c r="T335" i="142" a="1"/>
  <c r="T335" i="142" s="1"/>
  <c r="T134" i="142" a="1"/>
  <c r="T134" i="142" s="1"/>
  <c r="AA119" i="142" a="1"/>
  <c r="AA119" i="142" s="1"/>
  <c r="T189" i="142" a="1"/>
  <c r="T189" i="142" s="1"/>
  <c r="T181" i="142" a="1"/>
  <c r="T181" i="142" s="1"/>
  <c r="T154" i="142" a="1"/>
  <c r="T154" i="142" s="1"/>
  <c r="T328" i="142" a="1"/>
  <c r="T328" i="142" s="1"/>
  <c r="T136" i="142" a="1"/>
  <c r="T136" i="142" s="1"/>
  <c r="T281" i="142" a="1"/>
  <c r="T281" i="142" s="1"/>
  <c r="T324" i="142" a="1"/>
  <c r="T324" i="142" s="1"/>
  <c r="T195" i="142" a="1"/>
  <c r="T195" i="142" s="1"/>
  <c r="AH70" i="133" s="1" a="1"/>
  <c r="AH70" i="133" s="1"/>
  <c r="T37" i="142" a="1"/>
  <c r="T37" i="142" s="1"/>
  <c r="T284" i="142" a="1"/>
  <c r="T284" i="142" s="1"/>
  <c r="T188" i="142" a="1"/>
  <c r="T188" i="142" s="1"/>
  <c r="T144" i="142" a="1"/>
  <c r="T144" i="142" s="1"/>
  <c r="T337" i="142" a="1"/>
  <c r="T337" i="142" s="1"/>
  <c r="AH74" i="133" s="1" a="1"/>
  <c r="AH74" i="133" s="1"/>
  <c r="AA125" i="142" a="1"/>
  <c r="AA125" i="142" s="1"/>
  <c r="T288" i="142" a="1"/>
  <c r="T288" i="142" s="1"/>
  <c r="T157" i="142" a="1"/>
  <c r="T157" i="142" s="1"/>
  <c r="T95" i="142" a="1"/>
  <c r="T95" i="142" s="1"/>
  <c r="T323" i="142" a="1"/>
  <c r="T323" i="142" s="1"/>
  <c r="T137" i="142" a="1"/>
  <c r="T137" i="142" s="1"/>
  <c r="T289" i="142" a="1"/>
  <c r="T289" i="142" s="1"/>
  <c r="T183" i="142" a="1"/>
  <c r="T183" i="142" s="1"/>
  <c r="T231" i="142" a="1"/>
  <c r="T231" i="142" s="1"/>
  <c r="T237" i="142" a="1"/>
  <c r="T237" i="142" s="1"/>
  <c r="T142" i="142" a="1"/>
  <c r="T142" i="142" s="1"/>
  <c r="AH50" i="133" s="1" a="1"/>
  <c r="AH50" i="133" s="1"/>
  <c r="T132" i="142" a="1"/>
  <c r="T132" i="142" s="1"/>
  <c r="T151" i="142" a="1"/>
  <c r="T151" i="142" s="1"/>
  <c r="T278" i="142" a="1"/>
  <c r="T278" i="142" s="1"/>
  <c r="T325" i="142" a="1"/>
  <c r="T325" i="142" s="1"/>
  <c r="T45" i="142" a="1"/>
  <c r="T45" i="142" s="1"/>
  <c r="T85" i="142" a="1"/>
  <c r="T85" i="142" s="1"/>
  <c r="T87" i="142" a="1"/>
  <c r="T87" i="142" s="1"/>
  <c r="T334" i="142" a="1"/>
  <c r="T334" i="142" s="1"/>
  <c r="T286" i="142" a="1"/>
  <c r="T286" i="142" s="1"/>
  <c r="AA167" i="142" a="1"/>
  <c r="AA167" i="142" s="1"/>
  <c r="T43" i="142" a="1"/>
  <c r="T43" i="142" s="1"/>
  <c r="T280" i="142" a="1"/>
  <c r="T280" i="142" s="1"/>
  <c r="AA123" i="142" a="1"/>
  <c r="AA123" i="142" s="1"/>
  <c r="T232" i="142" a="1"/>
  <c r="T232" i="142" s="1"/>
  <c r="AA161" i="142" a="1"/>
  <c r="AA161" i="142" s="1"/>
  <c r="T48" i="142" a="1"/>
  <c r="T48" i="142" s="1"/>
  <c r="T283" i="142" a="1"/>
  <c r="T283" i="142" s="1"/>
  <c r="T149" i="142" a="1"/>
  <c r="T149" i="142" s="1"/>
  <c r="T141" i="142" a="1"/>
  <c r="T141" i="142" s="1"/>
  <c r="T279" i="142" a="1"/>
  <c r="T279" i="142" s="1"/>
  <c r="AA118" i="142" a="1"/>
  <c r="AA118" i="142" s="1"/>
  <c r="T287" i="142" a="1"/>
  <c r="T287" i="142" s="1"/>
  <c r="T153" i="142" a="1"/>
  <c r="T153" i="142" s="1"/>
  <c r="T158" i="142" a="1"/>
  <c r="T158" i="142" s="1"/>
  <c r="T97" i="142" a="1"/>
  <c r="T97" i="142" s="1"/>
  <c r="T39" i="142" a="1"/>
  <c r="T39" i="142" s="1"/>
  <c r="T40" i="142" a="1"/>
  <c r="T40" i="142" s="1"/>
  <c r="T238" i="142" a="1"/>
  <c r="T238" i="142" s="1"/>
  <c r="AH48" i="133" s="1" a="1"/>
  <c r="AH48" i="133" s="1"/>
  <c r="T182" i="142" a="1"/>
  <c r="T182" i="142" s="1"/>
  <c r="T276" i="142" a="1"/>
  <c r="T276" i="142" s="1"/>
  <c r="AA159" i="142" a="1"/>
  <c r="AA159" i="142" s="1"/>
  <c r="T41" i="142" a="1"/>
  <c r="T41" i="142" s="1"/>
  <c r="T233" i="142" a="1"/>
  <c r="T233" i="142" s="1"/>
  <c r="T92" i="142" a="1"/>
  <c r="T92" i="142" s="1"/>
  <c r="T38" i="142" a="1"/>
  <c r="T38" i="142" s="1"/>
  <c r="T47" i="142" a="1"/>
  <c r="T47" i="142" s="1"/>
  <c r="AH46" i="133" s="1" a="1"/>
  <c r="AH46" i="133" s="1"/>
  <c r="T84" i="142" a="1"/>
  <c r="T84" i="142" s="1"/>
  <c r="T241" i="142" a="1"/>
  <c r="T241" i="142" s="1"/>
  <c r="T152" i="142" a="1"/>
  <c r="T152" i="142" s="1"/>
  <c r="T93" i="142" a="1"/>
  <c r="T93" i="142" s="1"/>
  <c r="T235" i="142" a="1"/>
  <c r="T235" i="142" s="1"/>
  <c r="AA169" i="142" a="1"/>
  <c r="AA169" i="142" s="1"/>
  <c r="T49" i="142" a="1"/>
  <c r="T49" i="142" s="1"/>
  <c r="T326" i="142" a="1"/>
  <c r="T326" i="142" s="1"/>
  <c r="AA173" i="142" a="1"/>
  <c r="AA173" i="142" s="1"/>
  <c r="T98" i="142" a="1"/>
  <c r="T98" i="142" s="1"/>
  <c r="T277" i="142" a="1"/>
  <c r="T277" i="142" s="1"/>
  <c r="AA114" i="142" a="1"/>
  <c r="AA114" i="142" s="1"/>
  <c r="AA122" i="142" a="1"/>
  <c r="AA122" i="142" s="1"/>
  <c r="T228" i="142" a="1"/>
  <c r="T228" i="142" s="1"/>
  <c r="T187" i="142" a="1"/>
  <c r="T187" i="142" s="1"/>
  <c r="AA163" i="142" a="1"/>
  <c r="AA163" i="142" s="1"/>
  <c r="T332" i="142" a="1"/>
  <c r="T332" i="142" s="1"/>
  <c r="T44" i="142" a="1"/>
  <c r="T44" i="142" s="1"/>
  <c r="T46" i="142" a="1"/>
  <c r="T46" i="142" s="1"/>
  <c r="T91" i="142" a="1"/>
  <c r="T91" i="142" s="1"/>
  <c r="AA160" i="142" a="1"/>
  <c r="AA160" i="142" s="1"/>
  <c r="T42" i="142" a="1"/>
  <c r="T42" i="142" s="1"/>
  <c r="T240" i="142" a="1"/>
  <c r="T240" i="142" s="1"/>
  <c r="T190" i="142" a="1"/>
  <c r="T190" i="142" s="1"/>
  <c r="T193" i="142" a="1"/>
  <c r="T193" i="142" s="1"/>
  <c r="T135" i="142" a="1"/>
  <c r="T135" i="142" s="1"/>
  <c r="T236" i="142" a="1"/>
  <c r="T236" i="142" s="1"/>
  <c r="AA116" i="142" a="1"/>
  <c r="AA116" i="142" s="1"/>
  <c r="T184" i="142" a="1"/>
  <c r="T184" i="142" s="1"/>
  <c r="AA166" i="142" a="1"/>
  <c r="AA166" i="142" s="1"/>
  <c r="T242" i="142" a="1"/>
  <c r="T242" i="142" s="1"/>
  <c r="AH71" i="133" s="1" a="1"/>
  <c r="AH71" i="133" s="1"/>
  <c r="T239" i="142" a="1"/>
  <c r="T239" i="142" s="1"/>
  <c r="T330" i="142" a="1"/>
  <c r="T330" i="142" s="1"/>
  <c r="AA113" i="142" a="1"/>
  <c r="AA113" i="142" s="1"/>
  <c r="T191" i="142" a="1"/>
  <c r="T191" i="142" s="1"/>
  <c r="AH47" i="133" s="1" a="1"/>
  <c r="AH47" i="133" s="1"/>
  <c r="T234" i="142" a="1"/>
  <c r="T234" i="142" s="1"/>
  <c r="T148" i="142" a="1"/>
  <c r="T148" i="142" s="1"/>
  <c r="T94" i="142" a="1"/>
  <c r="T94" i="142" s="1"/>
  <c r="T96" i="142" a="1"/>
  <c r="T96" i="142" s="1"/>
  <c r="AA162" i="142" a="1"/>
  <c r="AA162" i="142" s="1"/>
  <c r="T50" i="142" a="1"/>
  <c r="T50" i="142" s="1"/>
  <c r="T290" i="142" a="1"/>
  <c r="T290" i="142" s="1"/>
  <c r="T186" i="142" a="1"/>
  <c r="T186" i="142" s="1"/>
  <c r="T139" i="142" a="1"/>
  <c r="T139" i="142" s="1"/>
  <c r="T329" i="142" a="1"/>
  <c r="T329" i="142" s="1"/>
  <c r="T145" i="142" a="1"/>
  <c r="T145" i="142" s="1"/>
  <c r="T185" i="142" a="1"/>
  <c r="T185" i="142" s="1"/>
  <c r="AA165" i="142" a="1"/>
  <c r="AA165" i="142" s="1"/>
  <c r="AA172" i="142" a="1"/>
  <c r="AA172" i="142" s="1"/>
  <c r="T150" i="142" a="1"/>
  <c r="T150" i="142" s="1"/>
  <c r="T327" i="142" a="1"/>
  <c r="T327" i="142" s="1"/>
  <c r="T192" i="142" a="1"/>
  <c r="T192" i="142" s="1"/>
  <c r="AA170" i="142" a="1"/>
  <c r="AA170" i="142" s="1"/>
  <c r="AA117" i="142" a="1"/>
  <c r="AA117" i="142" s="1"/>
  <c r="T146" i="142" a="1"/>
  <c r="T146" i="142" s="1"/>
  <c r="AH73" i="133" s="1" a="1"/>
  <c r="AH73" i="133" s="1"/>
  <c r="AA124" i="142" a="1"/>
  <c r="AA124" i="142" s="1"/>
  <c r="T336" i="142" a="1"/>
  <c r="T336" i="142" s="1"/>
  <c r="T138" i="142" a="1"/>
  <c r="T138" i="142" s="1"/>
  <c r="T333" i="142" a="1"/>
  <c r="T333" i="142" s="1"/>
  <c r="AH51" i="133" s="1" a="1"/>
  <c r="AH51" i="133" s="1"/>
  <c r="T86" i="142" a="1"/>
  <c r="T86" i="142" s="1"/>
  <c r="AA168" i="142" a="1"/>
  <c r="AA168" i="142" s="1"/>
  <c r="T285" i="142" a="1"/>
  <c r="T285" i="142" s="1"/>
  <c r="AA115" i="142" a="1"/>
  <c r="AA115" i="142" s="1"/>
  <c r="T147" i="142" a="1"/>
  <c r="T147" i="142" s="1"/>
  <c r="T156" i="142" a="1"/>
  <c r="T156" i="142" s="1"/>
  <c r="T331" i="142" a="1"/>
  <c r="T331" i="142" s="1"/>
  <c r="T140" i="142" a="1"/>
  <c r="T140" i="142" s="1"/>
  <c r="AA171" i="142" a="1"/>
  <c r="AA171" i="142" s="1"/>
  <c r="AA120" i="142" a="1"/>
  <c r="AA120" i="142" s="1"/>
  <c r="T143" i="142" a="1"/>
  <c r="T143" i="142" s="1"/>
  <c r="AA121" i="142" a="1"/>
  <c r="AA121" i="142" s="1"/>
  <c r="T229" i="142" a="1"/>
  <c r="T229" i="142" s="1"/>
  <c r="T89" i="142" a="1"/>
  <c r="T89" i="142" s="1"/>
  <c r="T90" i="142" a="1"/>
  <c r="T90" i="142" s="1"/>
  <c r="T155" i="142" a="1"/>
  <c r="T155" i="142" s="1"/>
  <c r="T282" i="142" a="1"/>
  <c r="T282" i="142" s="1"/>
  <c r="T230" i="142" a="1"/>
  <c r="T230" i="142" s="1"/>
  <c r="AA112" i="142" a="1"/>
  <c r="AA112" i="142" s="1"/>
  <c r="T194" i="142" a="1"/>
  <c r="T194" i="142" s="1"/>
  <c r="AA164" i="142" a="1"/>
  <c r="AA164" i="142" s="1"/>
  <c r="U139" i="142" a="1"/>
  <c r="U139" i="142" s="1"/>
  <c r="U186" i="142" a="1"/>
  <c r="U186" i="142" s="1"/>
  <c r="U289" i="142" a="1"/>
  <c r="U289" i="142" s="1"/>
  <c r="U193" i="142" a="1"/>
  <c r="U193" i="142" s="1"/>
  <c r="U138" i="142" a="1"/>
  <c r="U138" i="142" s="1"/>
  <c r="U238" i="142" a="1"/>
  <c r="U238" i="142" s="1"/>
  <c r="AI48" i="133" s="1" a="1"/>
  <c r="AI48" i="133" s="1"/>
  <c r="U158" i="142" a="1"/>
  <c r="U158" i="142" s="1"/>
  <c r="U148" i="142" a="1"/>
  <c r="U148" i="142" s="1"/>
  <c r="U331" i="142" a="1"/>
  <c r="U331" i="142" s="1"/>
  <c r="U185" i="142" a="1"/>
  <c r="U185" i="142" s="1"/>
  <c r="U97" i="142" a="1"/>
  <c r="U97" i="142" s="1"/>
  <c r="U38" i="142" a="1"/>
  <c r="U38" i="142" s="1"/>
  <c r="U93" i="142" a="1"/>
  <c r="U93" i="142" s="1"/>
  <c r="U50" i="142" a="1"/>
  <c r="U50" i="142" s="1"/>
  <c r="U285" i="142" a="1"/>
  <c r="U285" i="142" s="1"/>
  <c r="U136" i="142" a="1"/>
  <c r="U136" i="142" s="1"/>
  <c r="U184" i="142" a="1"/>
  <c r="U184" i="142" s="1"/>
  <c r="AB169" i="142" a="1"/>
  <c r="AB169" i="142" s="1"/>
  <c r="U140" i="142" a="1"/>
  <c r="U140" i="142" s="1"/>
  <c r="U325" i="142" a="1"/>
  <c r="U325" i="142" s="1"/>
  <c r="U233" i="142" a="1"/>
  <c r="U233" i="142" s="1"/>
  <c r="AB163" i="142" a="1"/>
  <c r="AB163" i="142" s="1"/>
  <c r="U188" i="142" a="1"/>
  <c r="U188" i="142" s="1"/>
  <c r="U287" i="142" a="1"/>
  <c r="U287" i="142" s="1"/>
  <c r="U190" i="142" a="1"/>
  <c r="U190" i="142" s="1"/>
  <c r="U89" i="142" a="1"/>
  <c r="U89" i="142" s="1"/>
  <c r="U46" i="142" a="1"/>
  <c r="U46" i="142" s="1"/>
  <c r="U96" i="142" a="1"/>
  <c r="U96" i="142" s="1"/>
  <c r="U90" i="142" a="1"/>
  <c r="U90" i="142" s="1"/>
  <c r="U84" i="142" a="1"/>
  <c r="U84" i="142" s="1"/>
  <c r="U154" i="142" a="1"/>
  <c r="U154" i="142" s="1"/>
  <c r="U284" i="142" a="1"/>
  <c r="U284" i="142" s="1"/>
  <c r="U133" i="142" a="1"/>
  <c r="U133" i="142" s="1"/>
  <c r="U241" i="142" a="1"/>
  <c r="U241" i="142" s="1"/>
  <c r="U187" i="142" a="1"/>
  <c r="U187" i="142" s="1"/>
  <c r="U280" i="142" a="1"/>
  <c r="U280" i="142" s="1"/>
  <c r="U191" i="142" a="1"/>
  <c r="U191" i="142" s="1"/>
  <c r="AI47" i="133" s="1" a="1"/>
  <c r="AI47" i="133" s="1"/>
  <c r="U95" i="142" a="1"/>
  <c r="U95" i="142" s="1"/>
  <c r="U326" i="142" a="1"/>
  <c r="U326" i="142" s="1"/>
  <c r="U228" i="142" a="1"/>
  <c r="U228" i="142" s="1"/>
  <c r="U156" i="142" a="1"/>
  <c r="U156" i="142" s="1"/>
  <c r="AB168" i="142" a="1"/>
  <c r="AB168" i="142" s="1"/>
  <c r="U288" i="142" a="1"/>
  <c r="U288" i="142" s="1"/>
  <c r="U132" i="142" a="1"/>
  <c r="U132" i="142" s="1"/>
  <c r="U98" i="142" a="1"/>
  <c r="U98" i="142" s="1"/>
  <c r="U242" i="142" a="1"/>
  <c r="U242" i="142" s="1"/>
  <c r="AI71" i="133" s="1" a="1"/>
  <c r="AI71" i="133" s="1"/>
  <c r="AB166" i="142" a="1"/>
  <c r="AB166" i="142" s="1"/>
  <c r="U334" i="142" a="1"/>
  <c r="U334" i="142" s="1"/>
  <c r="U278" i="142" a="1"/>
  <c r="U278" i="142" s="1"/>
  <c r="U194" i="142" a="1"/>
  <c r="U194" i="142" s="1"/>
  <c r="U145" i="142" a="1"/>
  <c r="U145" i="142" s="1"/>
  <c r="U282" i="142" a="1"/>
  <c r="U282" i="142" s="1"/>
  <c r="AB173" i="142" a="1"/>
  <c r="AB173" i="142" s="1"/>
  <c r="U286" i="142" a="1"/>
  <c r="U286" i="142" s="1"/>
  <c r="U189" i="142" a="1"/>
  <c r="U189" i="142" s="1"/>
  <c r="U147" i="142" a="1"/>
  <c r="U147" i="142" s="1"/>
  <c r="U150" i="142" a="1"/>
  <c r="U150" i="142" s="1"/>
  <c r="AB164" i="142" a="1"/>
  <c r="AB164" i="142" s="1"/>
  <c r="U327" i="142" a="1"/>
  <c r="U327" i="142" s="1"/>
  <c r="U45" i="142" a="1"/>
  <c r="U45" i="142" s="1"/>
  <c r="U41" i="142" a="1"/>
  <c r="U41" i="142" s="1"/>
  <c r="U91" i="142" a="1"/>
  <c r="U91" i="142" s="1"/>
  <c r="AB160" i="142" a="1"/>
  <c r="AB160" i="142" s="1"/>
  <c r="U328" i="142" a="1"/>
  <c r="U328" i="142" s="1"/>
  <c r="U151" i="142" a="1"/>
  <c r="U151" i="142" s="1"/>
  <c r="U86" i="142" a="1"/>
  <c r="U86" i="142" s="1"/>
  <c r="AB167" i="142" a="1"/>
  <c r="AB167" i="142" s="1"/>
  <c r="U324" i="142" a="1"/>
  <c r="U324" i="142" s="1"/>
  <c r="AB161" i="142" a="1"/>
  <c r="AB161" i="142" s="1"/>
  <c r="U332" i="142" a="1"/>
  <c r="U332" i="142" s="1"/>
  <c r="U195" i="142" a="1"/>
  <c r="U195" i="142" s="1"/>
  <c r="AI70" i="133" s="1" a="1"/>
  <c r="AI70" i="133" s="1"/>
  <c r="U137" i="142" a="1"/>
  <c r="U137" i="142" s="1"/>
  <c r="U43" i="142" a="1"/>
  <c r="U43" i="142" s="1"/>
  <c r="AB172" i="142" a="1"/>
  <c r="AB172" i="142" s="1"/>
  <c r="U134" i="142" a="1"/>
  <c r="U134" i="142" s="1"/>
  <c r="U237" i="142" a="1"/>
  <c r="U237" i="142" s="1"/>
  <c r="U144" i="142" a="1"/>
  <c r="U144" i="142" s="1"/>
  <c r="U49" i="142" a="1"/>
  <c r="U49" i="142" s="1"/>
  <c r="U239" i="142" a="1"/>
  <c r="U239" i="142" s="1"/>
  <c r="AB162" i="142" a="1"/>
  <c r="AB162" i="142" s="1"/>
  <c r="U236" i="142" a="1"/>
  <c r="U236" i="142" s="1"/>
  <c r="U155" i="142" a="1"/>
  <c r="U155" i="142" s="1"/>
  <c r="U330" i="142" a="1"/>
  <c r="U330" i="142" s="1"/>
  <c r="U281" i="142" a="1"/>
  <c r="U281" i="142" s="1"/>
  <c r="U142" i="142" a="1"/>
  <c r="U142" i="142" s="1"/>
  <c r="AI50" i="133" s="1" a="1"/>
  <c r="AI50" i="133" s="1"/>
  <c r="U240" i="142" a="1"/>
  <c r="U240" i="142" s="1"/>
  <c r="AB171" i="142" a="1"/>
  <c r="AB171" i="142" s="1"/>
  <c r="U337" i="142" a="1"/>
  <c r="U337" i="142" s="1"/>
  <c r="AI74" i="133" s="1" a="1"/>
  <c r="AI74" i="133" s="1"/>
  <c r="U230" i="142" a="1"/>
  <c r="U230" i="142" s="1"/>
  <c r="U135" i="142" a="1"/>
  <c r="U135" i="142" s="1"/>
  <c r="U329" i="142" a="1"/>
  <c r="U329" i="142" s="1"/>
  <c r="U279" i="142" a="1"/>
  <c r="U279" i="142" s="1"/>
  <c r="U141" i="142" a="1"/>
  <c r="U141" i="142" s="1"/>
  <c r="U181" i="142" a="1"/>
  <c r="U181" i="142" s="1"/>
  <c r="U85" i="142" a="1"/>
  <c r="U85" i="142" s="1"/>
  <c r="U88" i="142" a="1"/>
  <c r="U88" i="142" s="1"/>
  <c r="U40" i="142" a="1"/>
  <c r="U40" i="142" s="1"/>
  <c r="U42" i="142" a="1"/>
  <c r="U42" i="142" s="1"/>
  <c r="U149" i="142" a="1"/>
  <c r="U149" i="142" s="1"/>
  <c r="U153" i="142" a="1"/>
  <c r="U153" i="142" s="1"/>
  <c r="U283" i="142" a="1"/>
  <c r="U283" i="142" s="1"/>
  <c r="U182" i="142" a="1"/>
  <c r="U182" i="142" s="1"/>
  <c r="U192" i="142" a="1"/>
  <c r="U192" i="142" s="1"/>
  <c r="U146" i="142" a="1"/>
  <c r="U146" i="142" s="1"/>
  <c r="AI73" i="133" s="1" a="1"/>
  <c r="AI73" i="133" s="1"/>
  <c r="U290" i="142" a="1"/>
  <c r="U290" i="142" s="1"/>
  <c r="U234" i="142" a="1"/>
  <c r="U234" i="142" s="1"/>
  <c r="AB165" i="142" a="1"/>
  <c r="AB165" i="142" s="1"/>
  <c r="U333" i="142" a="1"/>
  <c r="U333" i="142" s="1"/>
  <c r="AI51" i="133" s="1" a="1"/>
  <c r="AI51" i="133" s="1"/>
  <c r="U336" i="142" a="1"/>
  <c r="U336" i="142" s="1"/>
  <c r="U277" i="142" a="1"/>
  <c r="U277" i="142" s="1"/>
  <c r="AB170" i="142" a="1"/>
  <c r="AB170" i="142" s="1"/>
  <c r="U235" i="142" a="1"/>
  <c r="U235" i="142" s="1"/>
  <c r="U44" i="142" a="1"/>
  <c r="U44" i="142" s="1"/>
  <c r="U92" i="142" a="1"/>
  <c r="U92" i="142" s="1"/>
  <c r="U94" i="142" a="1"/>
  <c r="U94" i="142" s="1"/>
  <c r="U39" i="142" a="1"/>
  <c r="U39" i="142" s="1"/>
  <c r="U48" i="142" a="1"/>
  <c r="U48" i="142" s="1"/>
  <c r="U87" i="142" a="1"/>
  <c r="U87" i="142" s="1"/>
  <c r="U143" i="142" a="1"/>
  <c r="U143" i="142" s="1"/>
  <c r="U231" i="142" a="1"/>
  <c r="U231" i="142" s="1"/>
  <c r="U157" i="142" a="1"/>
  <c r="U157" i="142" s="1"/>
  <c r="U229" i="142" a="1"/>
  <c r="U229" i="142" s="1"/>
  <c r="U152" i="142" a="1"/>
  <c r="U152" i="142" s="1"/>
  <c r="AB159" i="142" a="1"/>
  <c r="AB159" i="142" s="1"/>
  <c r="U335" i="142" a="1"/>
  <c r="U335" i="142" s="1"/>
  <c r="U276" i="142" a="1"/>
  <c r="U276" i="142" s="1"/>
  <c r="U183" i="142" a="1"/>
  <c r="U183" i="142" s="1"/>
  <c r="U323" i="142" a="1"/>
  <c r="U323" i="142" s="1"/>
  <c r="U232" i="142" a="1"/>
  <c r="U232" i="142" s="1"/>
  <c r="U37" i="142" a="1"/>
  <c r="U37" i="142" s="1"/>
  <c r="U47" i="142" a="1"/>
  <c r="U47" i="142" s="1"/>
  <c r="AI46" i="133" s="1" a="1"/>
  <c r="AI46" i="133" s="1"/>
  <c r="Y87" i="142" a="1"/>
  <c r="Y87" i="142" s="1"/>
  <c r="Y84" i="142" a="1"/>
  <c r="Y84" i="142" s="1"/>
  <c r="Y290" i="142" a="1"/>
  <c r="Y290" i="142" s="1"/>
  <c r="Y49" i="142" a="1"/>
  <c r="Y49" i="142" s="1"/>
  <c r="Y280" i="142" a="1"/>
  <c r="Y280" i="142" s="1"/>
  <c r="Y144" i="142" a="1"/>
  <c r="Y144" i="142" s="1"/>
  <c r="Y234" i="142" a="1"/>
  <c r="Y234" i="142" s="1"/>
  <c r="Y134" i="142" a="1"/>
  <c r="Y134" i="142" s="1"/>
  <c r="Y228" i="142" a="1"/>
  <c r="Y228" i="142" s="1"/>
  <c r="Y43" i="142" a="1"/>
  <c r="Y43" i="142" s="1"/>
  <c r="Y231" i="142" a="1"/>
  <c r="Y231" i="142" s="1"/>
  <c r="Y324" i="142" a="1"/>
  <c r="Y324" i="142" s="1"/>
  <c r="Y189" i="142" a="1"/>
  <c r="Y189" i="142" s="1"/>
  <c r="Y284" i="142" a="1"/>
  <c r="Y284" i="142" s="1"/>
  <c r="Y132" i="142" a="1"/>
  <c r="Y132" i="142" s="1"/>
  <c r="Y137" i="142" a="1"/>
  <c r="Y137" i="142" s="1"/>
  <c r="Y94" i="142" a="1"/>
  <c r="Y94" i="142" s="1"/>
  <c r="Y44" i="142" a="1"/>
  <c r="Y44" i="142" s="1"/>
  <c r="Y93" i="142" a="1"/>
  <c r="Y93" i="142" s="1"/>
  <c r="Y237" i="142" a="1"/>
  <c r="Y237" i="142" s="1"/>
  <c r="Y139" i="142" a="1"/>
  <c r="Y139" i="142" s="1"/>
  <c r="Y236" i="142" a="1"/>
  <c r="Y236" i="142" s="1"/>
  <c r="Y50" i="142" a="1"/>
  <c r="Y50" i="142" s="1"/>
  <c r="Y188" i="142" a="1"/>
  <c r="Y188" i="142" s="1"/>
  <c r="Y336" i="142" a="1"/>
  <c r="Y336" i="142" s="1"/>
  <c r="Y190" i="142" a="1"/>
  <c r="Y190" i="142" s="1"/>
  <c r="Y278" i="142" a="1"/>
  <c r="Y278" i="142" s="1"/>
  <c r="Y157" i="142" a="1"/>
  <c r="Y157" i="142" s="1"/>
  <c r="Y140" i="142" a="1"/>
  <c r="Y140" i="142" s="1"/>
  <c r="Y289" i="142" a="1"/>
  <c r="Y289" i="142" s="1"/>
  <c r="Y143" i="142" a="1"/>
  <c r="Y143" i="142" s="1"/>
  <c r="Y141" i="142" a="1"/>
  <c r="Y141" i="142" s="1"/>
  <c r="Y46" i="142" a="1"/>
  <c r="Y46" i="142" s="1"/>
  <c r="Y327" i="142" a="1"/>
  <c r="Y327" i="142" s="1"/>
  <c r="Y288" i="142" a="1"/>
  <c r="Y288" i="142" s="1"/>
  <c r="Y229" i="142" a="1"/>
  <c r="Y229" i="142" s="1"/>
  <c r="Y332" i="142" a="1"/>
  <c r="Y332" i="142" s="1"/>
  <c r="Y193" i="142" a="1"/>
  <c r="Y193" i="142" s="1"/>
  <c r="Y182" i="142" a="1"/>
  <c r="Y182" i="142" s="1"/>
  <c r="Y242" i="142" a="1"/>
  <c r="Y242" i="142" s="1"/>
  <c r="AO71" i="133" s="1" a="1"/>
  <c r="AO71" i="133" s="1"/>
  <c r="Y133" i="142" a="1"/>
  <c r="Y133" i="142" s="1"/>
  <c r="Y238" i="142" a="1"/>
  <c r="Y238" i="142" s="1"/>
  <c r="AO48" i="133" s="1" a="1"/>
  <c r="AO48" i="133" s="1"/>
  <c r="Y95" i="142" a="1"/>
  <c r="Y95" i="142" s="1"/>
  <c r="Y326" i="142" a="1"/>
  <c r="Y326" i="142" s="1"/>
  <c r="Y97" i="142" a="1"/>
  <c r="Y97" i="142" s="1"/>
  <c r="Y85" i="142" a="1"/>
  <c r="Y85" i="142" s="1"/>
  <c r="Y39" i="142" a="1"/>
  <c r="Y39" i="142" s="1"/>
  <c r="Y337" i="142" a="1"/>
  <c r="Y337" i="142" s="1"/>
  <c r="AO74" i="133" s="1" a="1"/>
  <c r="AO74" i="133" s="1"/>
  <c r="Y90" i="142" a="1"/>
  <c r="Y90" i="142" s="1"/>
  <c r="Y191" i="142" a="1"/>
  <c r="Y191" i="142" s="1"/>
  <c r="AO47" i="133" s="1" a="1"/>
  <c r="AO47" i="133" s="1"/>
  <c r="Y239" i="142" a="1"/>
  <c r="Y239" i="142" s="1"/>
  <c r="Y282" i="142" a="1"/>
  <c r="Y282" i="142" s="1"/>
  <c r="Y153" i="142" a="1"/>
  <c r="Y153" i="142" s="1"/>
  <c r="Y233" i="142" a="1"/>
  <c r="Y233" i="142" s="1"/>
  <c r="Y146" i="142" a="1"/>
  <c r="Y146" i="142" s="1"/>
  <c r="AO73" i="133" s="1" a="1"/>
  <c r="AO73" i="133" s="1"/>
  <c r="Y89" i="142" a="1"/>
  <c r="Y89" i="142" s="1"/>
  <c r="Y152" i="142" a="1"/>
  <c r="Y152" i="142" s="1"/>
  <c r="Y183" i="142" a="1"/>
  <c r="Y183" i="142" s="1"/>
  <c r="Y92" i="142" a="1"/>
  <c r="Y92" i="142" s="1"/>
  <c r="Y38" i="142" a="1"/>
  <c r="Y38" i="142" s="1"/>
  <c r="Y96" i="142" a="1"/>
  <c r="Y96" i="142" s="1"/>
  <c r="Y334" i="142" a="1"/>
  <c r="Y334" i="142" s="1"/>
  <c r="Y232" i="142" a="1"/>
  <c r="Y232" i="142" s="1"/>
  <c r="Y192" i="142" a="1"/>
  <c r="Y192" i="142" s="1"/>
  <c r="Y156" i="142" a="1"/>
  <c r="Y156" i="142" s="1"/>
  <c r="Y283" i="142" a="1"/>
  <c r="Y283" i="142" s="1"/>
  <c r="Y185" i="142" a="1"/>
  <c r="Y185" i="142" s="1"/>
  <c r="Y138" i="142" a="1"/>
  <c r="Y138" i="142" s="1"/>
  <c r="Y194" i="142" a="1"/>
  <c r="Y194" i="142" s="1"/>
  <c r="Y98" i="142" a="1"/>
  <c r="Y98" i="142" s="1"/>
  <c r="Y91" i="142" a="1"/>
  <c r="Y91" i="142" s="1"/>
  <c r="Y330" i="142" a="1"/>
  <c r="Y330" i="142" s="1"/>
  <c r="Y195" i="142" a="1"/>
  <c r="Y195" i="142" s="1"/>
  <c r="AO70" i="133" s="1" a="1"/>
  <c r="AO70" i="133" s="1"/>
  <c r="Y279" i="142" a="1"/>
  <c r="Y279" i="142" s="1"/>
  <c r="Y187" i="142" a="1"/>
  <c r="Y187" i="142" s="1"/>
  <c r="Y276" i="142" a="1"/>
  <c r="Y276" i="142" s="1"/>
  <c r="Y149" i="142" a="1"/>
  <c r="Y149" i="142" s="1"/>
  <c r="Y241" i="142" a="1"/>
  <c r="Y241" i="142" s="1"/>
  <c r="Y135" i="142" a="1"/>
  <c r="Y135" i="142" s="1"/>
  <c r="Y325" i="142" a="1"/>
  <c r="Y325" i="142" s="1"/>
  <c r="Y277" i="142" a="1"/>
  <c r="Y277" i="142" s="1"/>
  <c r="Y86" i="142" a="1"/>
  <c r="Y86" i="142" s="1"/>
  <c r="Y37" i="142" a="1"/>
  <c r="Y37" i="142" s="1"/>
  <c r="Y147" i="142" a="1"/>
  <c r="Y147" i="142" s="1"/>
  <c r="Y40" i="142" a="1"/>
  <c r="Y40" i="142" s="1"/>
  <c r="Y331" i="142" a="1"/>
  <c r="Y331" i="142" s="1"/>
  <c r="Y333" i="142" a="1"/>
  <c r="Y333" i="142" s="1"/>
  <c r="AO51" i="133" s="1" a="1"/>
  <c r="AO51" i="133" s="1"/>
  <c r="Y285" i="142" a="1"/>
  <c r="Y285" i="142" s="1"/>
  <c r="Y150" i="142" a="1"/>
  <c r="Y150" i="142" s="1"/>
  <c r="Y286" i="142" a="1"/>
  <c r="Y286" i="142" s="1"/>
  <c r="Y151" i="142" a="1"/>
  <c r="Y151" i="142" s="1"/>
  <c r="Y145" i="142" a="1"/>
  <c r="Y145" i="142" s="1"/>
  <c r="Y230" i="142" a="1"/>
  <c r="Y230" i="142" s="1"/>
  <c r="Y148" i="142" a="1"/>
  <c r="Y148" i="142" s="1"/>
  <c r="Y181" i="142" a="1"/>
  <c r="Y181" i="142" s="1"/>
  <c r="Y240" i="142" a="1"/>
  <c r="Y240" i="142" s="1"/>
  <c r="Y329" i="142" a="1"/>
  <c r="Y329" i="142" s="1"/>
  <c r="Y45" i="142" a="1"/>
  <c r="Y45" i="142" s="1"/>
  <c r="Y88" i="142" a="1"/>
  <c r="Y88" i="142" s="1"/>
  <c r="Y48" i="142" a="1"/>
  <c r="Y48" i="142" s="1"/>
  <c r="Y41" i="142" a="1"/>
  <c r="Y41" i="142" s="1"/>
  <c r="Y323" i="142" a="1"/>
  <c r="Y323" i="142" s="1"/>
  <c r="Y335" i="142" a="1"/>
  <c r="Y335" i="142" s="1"/>
  <c r="Y287" i="142" a="1"/>
  <c r="Y287" i="142" s="1"/>
  <c r="Y158" i="142" a="1"/>
  <c r="Y158" i="142" s="1"/>
  <c r="Y136" i="142" a="1"/>
  <c r="Y136" i="142" s="1"/>
  <c r="Y142" i="142" a="1"/>
  <c r="Y142" i="142" s="1"/>
  <c r="AO50" i="133" s="1" a="1"/>
  <c r="AO50" i="133" s="1"/>
  <c r="Y328" i="142" a="1"/>
  <c r="Y328" i="142" s="1"/>
  <c r="Y186" i="142" a="1"/>
  <c r="Y186" i="142" s="1"/>
  <c r="Y184" i="142" a="1"/>
  <c r="Y184" i="142" s="1"/>
  <c r="Y155" i="142" a="1"/>
  <c r="Y155" i="142" s="1"/>
  <c r="Y154" i="142" a="1"/>
  <c r="Y154" i="142" s="1"/>
  <c r="Y281" i="142" a="1"/>
  <c r="Y281" i="142" s="1"/>
  <c r="Y235" i="142" a="1"/>
  <c r="Y235" i="142" s="1"/>
  <c r="Y42" i="142" a="1"/>
  <c r="Y42" i="142" s="1"/>
  <c r="Y47" i="142" a="1"/>
  <c r="Y47" i="142" s="1"/>
  <c r="AO46" i="133" s="1" a="1"/>
  <c r="AO46" i="133" s="1"/>
  <c r="S37" i="142" a="1"/>
  <c r="S37" i="142" s="1"/>
  <c r="Z121" i="142" a="1"/>
  <c r="Z121" i="142" s="1"/>
  <c r="S38" i="142" a="1"/>
  <c r="S38" i="142" s="1"/>
  <c r="S41" i="142" a="1"/>
  <c r="S41" i="142" s="1"/>
  <c r="S139" i="142" a="1"/>
  <c r="S139" i="142" s="1"/>
  <c r="S183" i="142" a="1"/>
  <c r="S183" i="142" s="1"/>
  <c r="S283" i="142" a="1"/>
  <c r="S283" i="142" s="1"/>
  <c r="S194" i="142" a="1"/>
  <c r="S194" i="142" s="1"/>
  <c r="S142" i="142" a="1"/>
  <c r="S142" i="142" s="1"/>
  <c r="AG50" i="133" s="1" a="1"/>
  <c r="AG50" i="133" s="1"/>
  <c r="S192" i="142" a="1"/>
  <c r="S192" i="142" s="1"/>
  <c r="S86" i="142" a="1"/>
  <c r="S86" i="142" s="1"/>
  <c r="S334" i="142" a="1"/>
  <c r="S334" i="142" s="1"/>
  <c r="S45" i="142" a="1"/>
  <c r="S45" i="142" s="1"/>
  <c r="Z114" i="142" a="1"/>
  <c r="Z114" i="142" s="1"/>
  <c r="S49" i="142" a="1"/>
  <c r="S49" i="142" s="1"/>
  <c r="S132" i="142" a="1"/>
  <c r="S132" i="142" s="1"/>
  <c r="S154" i="142" a="1"/>
  <c r="S154" i="142" s="1"/>
  <c r="S144" i="142" a="1"/>
  <c r="S144" i="142" s="1"/>
  <c r="S278" i="142" a="1"/>
  <c r="S278" i="142" s="1"/>
  <c r="S156" i="142" a="1"/>
  <c r="S156" i="142" s="1"/>
  <c r="S95" i="142" a="1"/>
  <c r="S95" i="142" s="1"/>
  <c r="S238" i="142" a="1"/>
  <c r="S238" i="142" s="1"/>
  <c r="AG48" i="133" s="1" a="1"/>
  <c r="AG48" i="133" s="1"/>
  <c r="S151" i="142" a="1"/>
  <c r="S151" i="142" s="1"/>
  <c r="S140" i="142" a="1"/>
  <c r="S140" i="142" s="1"/>
  <c r="S141" i="142" a="1"/>
  <c r="S141" i="142" s="1"/>
  <c r="S133" i="142" a="1"/>
  <c r="S133" i="142" s="1"/>
  <c r="Z173" i="142" a="1"/>
  <c r="Z173" i="142" s="1"/>
  <c r="Z117" i="142" a="1"/>
  <c r="Z117" i="142" s="1"/>
  <c r="S46" i="142" a="1"/>
  <c r="S46" i="142" s="1"/>
  <c r="Z115" i="142" a="1"/>
  <c r="Z115" i="142" s="1"/>
  <c r="S84" i="142" a="1"/>
  <c r="S84" i="142" s="1"/>
  <c r="S187" i="142" a="1"/>
  <c r="S187" i="142" s="1"/>
  <c r="Z118" i="142" a="1"/>
  <c r="Z118" i="142" s="1"/>
  <c r="S325" i="142" a="1"/>
  <c r="S325" i="142" s="1"/>
  <c r="S152" i="142" a="1"/>
  <c r="S152" i="142" s="1"/>
  <c r="S329" i="142" a="1"/>
  <c r="S329" i="142" s="1"/>
  <c r="S279" i="142" a="1"/>
  <c r="S279" i="142" s="1"/>
  <c r="Z164" i="142" a="1"/>
  <c r="Z164" i="142" s="1"/>
  <c r="Z113" i="142" a="1"/>
  <c r="Z113" i="142" s="1"/>
  <c r="S327" i="142" a="1"/>
  <c r="S327" i="142" s="1"/>
  <c r="S237" i="142" a="1"/>
  <c r="S237" i="142" s="1"/>
  <c r="S181" i="142" a="1"/>
  <c r="S181" i="142" s="1"/>
  <c r="S277" i="142" a="1"/>
  <c r="S277" i="142" s="1"/>
  <c r="S85" i="142" a="1"/>
  <c r="S85" i="142" s="1"/>
  <c r="S94" i="142" a="1"/>
  <c r="S94" i="142" s="1"/>
  <c r="S93" i="142" a="1"/>
  <c r="S93" i="142" s="1"/>
  <c r="S333" i="142" a="1"/>
  <c r="S333" i="142" s="1"/>
  <c r="AG51" i="133" s="1" a="1"/>
  <c r="AG51" i="133" s="1"/>
  <c r="S280" i="142" a="1"/>
  <c r="S280" i="142" s="1"/>
  <c r="S191" i="142" a="1"/>
  <c r="S191" i="142" s="1"/>
  <c r="AG47" i="133" s="1" a="1"/>
  <c r="AG47" i="133" s="1"/>
  <c r="S240" i="142" a="1"/>
  <c r="S240" i="142" s="1"/>
  <c r="S145" i="142" a="1"/>
  <c r="S145" i="142" s="1"/>
  <c r="S285" i="142" a="1"/>
  <c r="S285" i="142" s="1"/>
  <c r="Z162" i="142" a="1"/>
  <c r="Z162" i="142" s="1"/>
  <c r="S289" i="142" a="1"/>
  <c r="S289" i="142" s="1"/>
  <c r="S185" i="142" a="1"/>
  <c r="S185" i="142" s="1"/>
  <c r="S98" i="142" a="1"/>
  <c r="S98" i="142" s="1"/>
  <c r="Z160" i="142" a="1"/>
  <c r="Z160" i="142" s="1"/>
  <c r="S42" i="142" a="1"/>
  <c r="S42" i="142" s="1"/>
  <c r="S288" i="142" a="1"/>
  <c r="S288" i="142" s="1"/>
  <c r="S190" i="142" a="1"/>
  <c r="S190" i="142" s="1"/>
  <c r="S184" i="142" a="1"/>
  <c r="S184" i="142" s="1"/>
  <c r="S92" i="142" a="1"/>
  <c r="S92" i="142" s="1"/>
  <c r="S228" i="142" a="1"/>
  <c r="S228" i="142" s="1"/>
  <c r="S88" i="142" a="1"/>
  <c r="S88" i="142" s="1"/>
  <c r="S39" i="142" a="1"/>
  <c r="S39" i="142" s="1"/>
  <c r="S87" i="142" a="1"/>
  <c r="S87" i="142" s="1"/>
  <c r="S90" i="142" a="1"/>
  <c r="S90" i="142" s="1"/>
  <c r="S276" i="142" a="1"/>
  <c r="S276" i="142" s="1"/>
  <c r="S157" i="142" a="1"/>
  <c r="S157" i="142" s="1"/>
  <c r="S330" i="142" a="1"/>
  <c r="S330" i="142" s="1"/>
  <c r="S287" i="142" a="1"/>
  <c r="S287" i="142" s="1"/>
  <c r="S134" i="142" a="1"/>
  <c r="S134" i="142" s="1"/>
  <c r="S230" i="142" a="1"/>
  <c r="S230" i="142" s="1"/>
  <c r="Z172" i="142" a="1"/>
  <c r="Z172" i="142" s="1"/>
  <c r="Z168" i="142" a="1"/>
  <c r="Z168" i="142" s="1"/>
  <c r="S135" i="142" a="1"/>
  <c r="S135" i="142" s="1"/>
  <c r="S50" i="142" a="1"/>
  <c r="S50" i="142" s="1"/>
  <c r="S43" i="142" a="1"/>
  <c r="S43" i="142" s="1"/>
  <c r="S284" i="142" a="1"/>
  <c r="S284" i="142" s="1"/>
  <c r="Z125" i="142" a="1"/>
  <c r="Z125" i="142" s="1"/>
  <c r="S281" i="142" a="1"/>
  <c r="S281" i="142" s="1"/>
  <c r="S241" i="142" a="1"/>
  <c r="S241" i="142" s="1"/>
  <c r="S286" i="142" a="1"/>
  <c r="S286" i="142" s="1"/>
  <c r="S97" i="142" a="1"/>
  <c r="S97" i="142" s="1"/>
  <c r="S47" i="142" a="1"/>
  <c r="S47" i="142" s="1"/>
  <c r="AG46" i="133" s="1" a="1"/>
  <c r="AG46" i="133" s="1"/>
  <c r="S96" i="142" a="1"/>
  <c r="S96" i="142" s="1"/>
  <c r="Z116" i="142" a="1"/>
  <c r="Z116" i="142" s="1"/>
  <c r="S231" i="142" a="1"/>
  <c r="S231" i="142" s="1"/>
  <c r="S158" i="142" a="1"/>
  <c r="S158" i="142" s="1"/>
  <c r="Z124" i="142" a="1"/>
  <c r="Z124" i="142" s="1"/>
  <c r="S149" i="142" a="1"/>
  <c r="S149" i="142" s="1"/>
  <c r="S146" i="142" a="1"/>
  <c r="S146" i="142" s="1"/>
  <c r="AG73" i="133" s="1" a="1"/>
  <c r="AG73" i="133" s="1"/>
  <c r="S335" i="142" a="1"/>
  <c r="S335" i="142" s="1"/>
  <c r="S138" i="142" a="1"/>
  <c r="S138" i="142" s="1"/>
  <c r="S239" i="142" a="1"/>
  <c r="S239" i="142" s="1"/>
  <c r="S234" i="142" a="1"/>
  <c r="S234" i="142" s="1"/>
  <c r="S331" i="142" a="1"/>
  <c r="S331" i="142" s="1"/>
  <c r="S282" i="142" a="1"/>
  <c r="S282" i="142" s="1"/>
  <c r="S147" i="142" a="1"/>
  <c r="S147" i="142" s="1"/>
  <c r="Z167" i="142" a="1"/>
  <c r="Z167" i="142" s="1"/>
  <c r="S91" i="142" a="1"/>
  <c r="S91" i="142" s="1"/>
  <c r="S40" i="142" a="1"/>
  <c r="S40" i="142" s="1"/>
  <c r="S233" i="142" a="1"/>
  <c r="S233" i="142" s="1"/>
  <c r="S155" i="142" a="1"/>
  <c r="S155" i="142" s="1"/>
  <c r="S337" i="142" a="1"/>
  <c r="S337" i="142" s="1"/>
  <c r="AG74" i="133" s="1" a="1"/>
  <c r="AG74" i="133" s="1"/>
  <c r="S89" i="142" a="1"/>
  <c r="S89" i="142" s="1"/>
  <c r="S324" i="142" a="1"/>
  <c r="S324" i="142" s="1"/>
  <c r="S150" i="142" a="1"/>
  <c r="S150" i="142" s="1"/>
  <c r="S153" i="142" a="1"/>
  <c r="S153" i="142" s="1"/>
  <c r="S336" i="142" a="1"/>
  <c r="S336" i="142" s="1"/>
  <c r="Z123" i="142" a="1"/>
  <c r="Z123" i="142" s="1"/>
  <c r="S182" i="142" a="1"/>
  <c r="S182" i="142" s="1"/>
  <c r="S326" i="142" a="1"/>
  <c r="S326" i="142" s="1"/>
  <c r="S195" i="142" a="1"/>
  <c r="S195" i="142" s="1"/>
  <c r="AG70" i="133" s="1" a="1"/>
  <c r="AG70" i="133" s="1"/>
  <c r="S236" i="142" a="1"/>
  <c r="S236" i="142" s="1"/>
  <c r="S188" i="142" a="1"/>
  <c r="S188" i="142" s="1"/>
  <c r="Z161" i="142" a="1"/>
  <c r="Z161" i="142" s="1"/>
  <c r="Z171" i="142" a="1"/>
  <c r="Z171" i="142" s="1"/>
  <c r="S323" i="142" a="1"/>
  <c r="S323" i="142" s="1"/>
  <c r="S229" i="142" a="1"/>
  <c r="S229" i="142" s="1"/>
  <c r="S242" i="142" a="1"/>
  <c r="S242" i="142" s="1"/>
  <c r="AG71" i="133" s="1" a="1"/>
  <c r="AG71" i="133" s="1"/>
  <c r="S332" i="142" a="1"/>
  <c r="S332" i="142" s="1"/>
  <c r="Z119" i="142" a="1"/>
  <c r="Z119" i="142" s="1"/>
  <c r="S290" i="142" a="1"/>
  <c r="S290" i="142" s="1"/>
  <c r="S193" i="142" a="1"/>
  <c r="S193" i="142" s="1"/>
  <c r="S136" i="142" a="1"/>
  <c r="S136" i="142" s="1"/>
  <c r="S148" i="142" a="1"/>
  <c r="S148" i="142" s="1"/>
  <c r="Z169" i="142" a="1"/>
  <c r="Z169" i="142" s="1"/>
  <c r="S232" i="142" a="1"/>
  <c r="S232" i="142" s="1"/>
  <c r="Z159" i="142" a="1"/>
  <c r="Z159" i="142" s="1"/>
  <c r="Z165" i="142" a="1"/>
  <c r="Z165" i="142" s="1"/>
  <c r="Z122" i="142" a="1"/>
  <c r="Z122" i="142" s="1"/>
  <c r="Z163" i="142" a="1"/>
  <c r="Z163" i="142" s="1"/>
  <c r="S186" i="142" a="1"/>
  <c r="S186" i="142" s="1"/>
  <c r="S44" i="142" a="1"/>
  <c r="S44" i="142" s="1"/>
  <c r="Z166" i="142" a="1"/>
  <c r="Z166" i="142" s="1"/>
  <c r="S235" i="142" a="1"/>
  <c r="S235" i="142" s="1"/>
  <c r="S189" i="142" a="1"/>
  <c r="S189" i="142" s="1"/>
  <c r="Z120" i="142" a="1"/>
  <c r="Z120" i="142" s="1"/>
  <c r="S328" i="142" a="1"/>
  <c r="S328" i="142" s="1"/>
  <c r="Z112" i="142" a="1"/>
  <c r="Z112" i="142" s="1"/>
  <c r="Z170" i="142" a="1"/>
  <c r="Z170" i="142" s="1"/>
  <c r="S137" i="142" a="1"/>
  <c r="S137" i="142" s="1"/>
  <c r="S48" i="142" a="1"/>
  <c r="S48" i="142" s="1"/>
  <c r="S143" i="142" a="1"/>
  <c r="S143" i="142" s="1"/>
  <c r="Z93" i="142" a="1"/>
  <c r="Z93" i="142" s="1"/>
  <c r="Z283" i="142" a="1"/>
  <c r="Z283" i="142" s="1"/>
  <c r="Z183" i="142" a="1"/>
  <c r="Z183" i="142" s="1"/>
  <c r="Z158" i="142" a="1"/>
  <c r="Z158" i="142" s="1"/>
  <c r="Z149" i="142" a="1"/>
  <c r="Z149" i="142" s="1"/>
  <c r="Z278" i="142" a="1"/>
  <c r="Z278" i="142" s="1"/>
  <c r="Z157" i="142" a="1"/>
  <c r="Z157" i="142" s="1"/>
  <c r="Z337" i="142" a="1"/>
  <c r="Z337" i="142" s="1"/>
  <c r="AP74" i="133" s="1" a="1"/>
  <c r="AP74" i="133" s="1"/>
  <c r="Z193" i="142" a="1"/>
  <c r="Z193" i="142" s="1"/>
  <c r="Z327" i="142" a="1"/>
  <c r="Z327" i="142" s="1"/>
  <c r="Z89" i="142" a="1"/>
  <c r="Z89" i="142" s="1"/>
  <c r="Z192" i="142" a="1"/>
  <c r="Z192" i="142" s="1"/>
  <c r="Z47" i="142" a="1"/>
  <c r="Z47" i="142" s="1"/>
  <c r="AP46" i="133" s="1" a="1"/>
  <c r="AP46" i="133" s="1"/>
  <c r="Z45" i="142" a="1"/>
  <c r="Z45" i="142" s="1"/>
  <c r="Z84" i="142" a="1"/>
  <c r="Z84" i="142" s="1"/>
  <c r="Z333" i="142" a="1"/>
  <c r="Z333" i="142" s="1"/>
  <c r="AP51" i="133" s="1" a="1"/>
  <c r="AP51" i="133" s="1"/>
  <c r="Z144" i="142" a="1"/>
  <c r="Z144" i="142" s="1"/>
  <c r="Z285" i="142" a="1"/>
  <c r="Z285" i="142" s="1"/>
  <c r="Z145" i="142" a="1"/>
  <c r="Z145" i="142" s="1"/>
  <c r="Z279" i="142" a="1"/>
  <c r="Z279" i="142" s="1"/>
  <c r="Z136" i="142" a="1"/>
  <c r="Z136" i="142" s="1"/>
  <c r="Z290" i="142" a="1"/>
  <c r="Z290" i="142" s="1"/>
  <c r="Z185" i="142" a="1"/>
  <c r="Z185" i="142" s="1"/>
  <c r="Z277" i="142" a="1"/>
  <c r="Z277" i="142" s="1"/>
  <c r="Z148" i="142" a="1"/>
  <c r="Z148" i="142" s="1"/>
  <c r="Z239" i="142" a="1"/>
  <c r="Z239" i="142" s="1"/>
  <c r="Z181" i="142" a="1"/>
  <c r="Z181" i="142" s="1"/>
  <c r="Z134" i="142" a="1"/>
  <c r="Z134" i="142" s="1"/>
  <c r="Z94" i="142" a="1"/>
  <c r="Z94" i="142" s="1"/>
  <c r="Z230" i="142" a="1"/>
  <c r="Z230" i="142" s="1"/>
  <c r="Z96" i="142" a="1"/>
  <c r="Z96" i="142" s="1"/>
  <c r="Z90" i="142" a="1"/>
  <c r="Z90" i="142" s="1"/>
  <c r="Z141" i="142" a="1"/>
  <c r="Z141" i="142" s="1"/>
  <c r="Z231" i="142" a="1"/>
  <c r="Z231" i="142" s="1"/>
  <c r="Z139" i="142" a="1"/>
  <c r="Z139" i="142" s="1"/>
  <c r="Z142" i="142" a="1"/>
  <c r="Z142" i="142" s="1"/>
  <c r="AP50" i="133" s="1" a="1"/>
  <c r="AP50" i="133" s="1"/>
  <c r="Z140" i="142" a="1"/>
  <c r="Z140" i="142" s="1"/>
  <c r="Z284" i="142" a="1"/>
  <c r="Z284" i="142" s="1"/>
  <c r="Z182" i="142" a="1"/>
  <c r="Z182" i="142" s="1"/>
  <c r="Z188" i="142" a="1"/>
  <c r="Z188" i="142" s="1"/>
  <c r="Z150" i="142" a="1"/>
  <c r="Z150" i="142" s="1"/>
  <c r="Z86" i="142" a="1"/>
  <c r="Z86" i="142" s="1"/>
  <c r="Z95" i="142" a="1"/>
  <c r="Z95" i="142" s="1"/>
  <c r="Z37" i="142" a="1"/>
  <c r="Z37" i="142" s="1"/>
  <c r="Z40" i="142" a="1"/>
  <c r="Z40" i="142" s="1"/>
  <c r="Z41" i="142" a="1"/>
  <c r="Z41" i="142" s="1"/>
  <c r="Z335" i="142" a="1"/>
  <c r="Z335" i="142" s="1"/>
  <c r="Z241" i="142" a="1"/>
  <c r="Z241" i="142" s="1"/>
  <c r="Z233" i="142" a="1"/>
  <c r="Z233" i="142" s="1"/>
  <c r="Z331" i="142" a="1"/>
  <c r="Z331" i="142" s="1"/>
  <c r="Z240" i="142" a="1"/>
  <c r="Z240" i="142" s="1"/>
  <c r="Z98" i="142" a="1"/>
  <c r="Z98" i="142" s="1"/>
  <c r="Z232" i="142" a="1"/>
  <c r="Z232" i="142" s="1"/>
  <c r="Z138" i="142" a="1"/>
  <c r="Z138" i="142" s="1"/>
  <c r="Z135" i="142" a="1"/>
  <c r="Z135" i="142" s="1"/>
  <c r="Z287" i="142" a="1"/>
  <c r="Z287" i="142" s="1"/>
  <c r="Z184" i="142" a="1"/>
  <c r="Z184" i="142" s="1"/>
  <c r="Z156" i="142" a="1"/>
  <c r="Z156" i="142" s="1"/>
  <c r="Z132" i="142" a="1"/>
  <c r="Z132" i="142" s="1"/>
  <c r="Z276" i="142" a="1"/>
  <c r="Z276" i="142" s="1"/>
  <c r="Z88" i="142" a="1"/>
  <c r="Z88" i="142" s="1"/>
  <c r="Z44" i="142" a="1"/>
  <c r="Z44" i="142" s="1"/>
  <c r="Z48" i="142" a="1"/>
  <c r="Z48" i="142" s="1"/>
  <c r="Z42" i="142" a="1"/>
  <c r="Z42" i="142" s="1"/>
  <c r="Z242" i="142" a="1"/>
  <c r="Z242" i="142" s="1"/>
  <c r="AP71" i="133" s="1" a="1"/>
  <c r="AP71" i="133" s="1"/>
  <c r="Z326" i="142" a="1"/>
  <c r="Z326" i="142" s="1"/>
  <c r="Z332" i="142" a="1"/>
  <c r="Z332" i="142" s="1"/>
  <c r="Z229" i="142" a="1"/>
  <c r="Z229" i="142" s="1"/>
  <c r="Z237" i="142" a="1"/>
  <c r="Z237" i="142" s="1"/>
  <c r="Z146" i="142" a="1"/>
  <c r="Z146" i="142" s="1"/>
  <c r="AP73" i="133" s="1" a="1"/>
  <c r="AP73" i="133" s="1"/>
  <c r="Z286" i="142" a="1"/>
  <c r="Z286" i="142" s="1"/>
  <c r="Z151" i="142" a="1"/>
  <c r="Z151" i="142" s="1"/>
  <c r="Z190" i="142" a="1"/>
  <c r="Z190" i="142" s="1"/>
  <c r="Z147" i="142" a="1"/>
  <c r="Z147" i="142" s="1"/>
  <c r="Z46" i="142" a="1"/>
  <c r="Z46" i="142" s="1"/>
  <c r="Z85" i="142" a="1"/>
  <c r="Z85" i="142" s="1"/>
  <c r="Z91" i="142" a="1"/>
  <c r="Z91" i="142" s="1"/>
  <c r="Z50" i="142" a="1"/>
  <c r="Z50" i="142" s="1"/>
  <c r="Z324" i="142" a="1"/>
  <c r="Z324" i="142" s="1"/>
  <c r="Z289" i="142" a="1"/>
  <c r="Z289" i="142" s="1"/>
  <c r="Z191" i="142" a="1"/>
  <c r="Z191" i="142" s="1"/>
  <c r="AP47" i="133" s="1" a="1"/>
  <c r="AP47" i="133" s="1"/>
  <c r="Z189" i="142" a="1"/>
  <c r="Z189" i="142" s="1"/>
  <c r="Z195" i="142" a="1"/>
  <c r="Z195" i="142" s="1"/>
  <c r="AP70" i="133" s="1" a="1"/>
  <c r="AP70" i="133" s="1"/>
  <c r="Z330" i="142" a="1"/>
  <c r="Z330" i="142" s="1"/>
  <c r="Z228" i="142" a="1"/>
  <c r="Z228" i="142" s="1"/>
  <c r="Z143" i="142" a="1"/>
  <c r="Z143" i="142" s="1"/>
  <c r="Z194" i="142" a="1"/>
  <c r="Z194" i="142" s="1"/>
  <c r="Z329" i="142" a="1"/>
  <c r="Z329" i="142" s="1"/>
  <c r="Z155" i="142" a="1"/>
  <c r="Z155" i="142" s="1"/>
  <c r="Z288" i="142" a="1"/>
  <c r="Z288" i="142" s="1"/>
  <c r="Z234" i="142" a="1"/>
  <c r="Z234" i="142" s="1"/>
  <c r="Z92" i="142" a="1"/>
  <c r="Z92" i="142" s="1"/>
  <c r="Z334" i="142" a="1"/>
  <c r="Z334" i="142" s="1"/>
  <c r="Z323" i="142" a="1"/>
  <c r="Z323" i="142" s="1"/>
  <c r="Z328" i="142" a="1"/>
  <c r="Z328" i="142" s="1"/>
  <c r="Z87" i="142" a="1"/>
  <c r="Z87" i="142" s="1"/>
  <c r="Z238" i="142" a="1"/>
  <c r="Z238" i="142" s="1"/>
  <c r="AP48" i="133" s="1" a="1"/>
  <c r="AP48" i="133" s="1"/>
  <c r="Z281" i="142" a="1"/>
  <c r="Z281" i="142" s="1"/>
  <c r="Z49" i="142" a="1"/>
  <c r="Z49" i="142" s="1"/>
  <c r="Z153" i="142" a="1"/>
  <c r="Z153" i="142" s="1"/>
  <c r="Z336" i="142" a="1"/>
  <c r="Z336" i="142" s="1"/>
  <c r="Z154" i="142" a="1"/>
  <c r="Z154" i="142" s="1"/>
  <c r="Z152" i="142" a="1"/>
  <c r="Z152" i="142" s="1"/>
  <c r="Z280" i="142" a="1"/>
  <c r="Z280" i="142" s="1"/>
  <c r="Z325" i="142" a="1"/>
  <c r="Z325" i="142" s="1"/>
  <c r="Z282" i="142" a="1"/>
  <c r="Z282" i="142" s="1"/>
  <c r="Z43" i="142" a="1"/>
  <c r="Z43" i="142" s="1"/>
  <c r="Z38" i="142" a="1"/>
  <c r="Z38" i="142" s="1"/>
  <c r="Z235" i="142" a="1"/>
  <c r="Z235" i="142" s="1"/>
  <c r="Z236" i="142" a="1"/>
  <c r="Z236" i="142" s="1"/>
  <c r="Z137" i="142" a="1"/>
  <c r="Z137" i="142" s="1"/>
  <c r="Z97" i="142" a="1"/>
  <c r="Z97" i="142" s="1"/>
  <c r="Z133" i="142" a="1"/>
  <c r="Z133" i="142" s="1"/>
  <c r="Z187" i="142" a="1"/>
  <c r="Z187" i="142" s="1"/>
  <c r="Z186" i="142" a="1"/>
  <c r="Z186" i="142" s="1"/>
  <c r="Z39" i="142" a="1"/>
  <c r="Z39" i="142" s="1"/>
  <c r="AB39" i="142" a="1"/>
  <c r="AB39" i="142" s="1"/>
  <c r="AB97" i="142" a="1"/>
  <c r="AB97" i="142" s="1"/>
  <c r="AB94" i="142" a="1"/>
  <c r="AB94" i="142" s="1"/>
  <c r="AB189" i="142" a="1"/>
  <c r="AB189" i="142" s="1"/>
  <c r="AB284" i="142" a="1"/>
  <c r="AB284" i="142" s="1"/>
  <c r="AB152" i="142" a="1"/>
  <c r="AB152" i="142" s="1"/>
  <c r="AB323" i="142" a="1"/>
  <c r="AB323" i="142" s="1"/>
  <c r="AB229" i="142" a="1"/>
  <c r="AB229" i="142" s="1"/>
  <c r="AB324" i="142" a="1"/>
  <c r="AB324" i="142" s="1"/>
  <c r="AB239" i="142" a="1"/>
  <c r="AB239" i="142" s="1"/>
  <c r="AB283" i="142" a="1"/>
  <c r="AB283" i="142" s="1"/>
  <c r="AB280" i="142" a="1"/>
  <c r="AB280" i="142" s="1"/>
  <c r="AB288" i="142" a="1"/>
  <c r="AB288" i="142" s="1"/>
  <c r="AB143" i="142" a="1"/>
  <c r="AB143" i="142" s="1"/>
  <c r="AB117" i="142" a="1"/>
  <c r="AB117" i="142" s="1"/>
  <c r="AB95" i="142" a="1"/>
  <c r="AB95" i="142" s="1"/>
  <c r="AB47" i="142" a="1"/>
  <c r="AB47" i="142" s="1"/>
  <c r="AR46" i="133" s="1" a="1"/>
  <c r="AR46" i="133" s="1"/>
  <c r="AB40" i="142" a="1"/>
  <c r="AB40" i="142" s="1"/>
  <c r="AB290" i="142" a="1"/>
  <c r="AB290" i="142" s="1"/>
  <c r="AB325" i="142" a="1"/>
  <c r="AB325" i="142" s="1"/>
  <c r="AB157" i="142" a="1"/>
  <c r="AB157" i="142" s="1"/>
  <c r="AB187" i="142" a="1"/>
  <c r="AB187" i="142" s="1"/>
  <c r="AB188" i="142" a="1"/>
  <c r="AB188" i="142" s="1"/>
  <c r="AB237" i="142" a="1"/>
  <c r="AB237" i="142" s="1"/>
  <c r="AB277" i="142" a="1"/>
  <c r="AB277" i="142" s="1"/>
  <c r="AB240" i="142" a="1"/>
  <c r="AB240" i="142" s="1"/>
  <c r="AB233" i="142" a="1"/>
  <c r="AB233" i="142" s="1"/>
  <c r="AB234" i="142" a="1"/>
  <c r="AB234" i="142" s="1"/>
  <c r="AB149" i="142" a="1"/>
  <c r="AB149" i="142" s="1"/>
  <c r="AB90" i="142" a="1"/>
  <c r="AB90" i="142" s="1"/>
  <c r="AB45" i="142" a="1"/>
  <c r="AB45" i="142" s="1"/>
  <c r="AB37" i="142" a="1"/>
  <c r="AB37" i="142" s="1"/>
  <c r="AB119" i="142" a="1"/>
  <c r="AB119" i="142" s="1"/>
  <c r="AB48" i="142" a="1"/>
  <c r="AB48" i="142" s="1"/>
  <c r="AB114" i="142" a="1"/>
  <c r="AB114" i="142" s="1"/>
  <c r="AB183" i="142" a="1"/>
  <c r="AB183" i="142" s="1"/>
  <c r="AB158" i="142" a="1"/>
  <c r="AB158" i="142" s="1"/>
  <c r="AB238" i="142" a="1"/>
  <c r="AB238" i="142" s="1"/>
  <c r="AR48" i="133" s="1" a="1"/>
  <c r="AR48" i="133" s="1"/>
  <c r="AB142" i="142" a="1"/>
  <c r="AB142" i="142" s="1"/>
  <c r="AR50" i="133" s="1" a="1"/>
  <c r="AR50" i="133" s="1"/>
  <c r="AB185" i="142" a="1"/>
  <c r="AB185" i="142" s="1"/>
  <c r="AB184" i="142" a="1"/>
  <c r="AB184" i="142" s="1"/>
  <c r="AB329" i="142" a="1"/>
  <c r="AB329" i="142" s="1"/>
  <c r="AB192" i="142" a="1"/>
  <c r="AB192" i="142" s="1"/>
  <c r="AB236" i="142" a="1"/>
  <c r="AB236" i="142" s="1"/>
  <c r="AB141" i="142" a="1"/>
  <c r="AB141" i="142" s="1"/>
  <c r="AB151" i="142" a="1"/>
  <c r="AB151" i="142" s="1"/>
  <c r="AB132" i="142" a="1"/>
  <c r="AB132" i="142" s="1"/>
  <c r="AB181" i="142" a="1"/>
  <c r="AB181" i="142" s="1"/>
  <c r="AB44" i="142" a="1"/>
  <c r="AB44" i="142" s="1"/>
  <c r="AB115" i="142" a="1"/>
  <c r="AB115" i="142" s="1"/>
  <c r="AB120" i="142" a="1"/>
  <c r="AB120" i="142" s="1"/>
  <c r="AB84" i="142" a="1"/>
  <c r="AB84" i="142" s="1"/>
  <c r="AB282" i="142" a="1"/>
  <c r="AB282" i="142" s="1"/>
  <c r="AB156" i="142" a="1"/>
  <c r="AB156" i="142" s="1"/>
  <c r="AB279" i="142" a="1"/>
  <c r="AB279" i="142" s="1"/>
  <c r="AB228" i="142" a="1"/>
  <c r="AB228" i="142" s="1"/>
  <c r="AB42" i="142" a="1"/>
  <c r="AB42" i="142" s="1"/>
  <c r="AB287" i="142" a="1"/>
  <c r="AB287" i="142" s="1"/>
  <c r="AB186" i="142" a="1"/>
  <c r="AB186" i="142" s="1"/>
  <c r="AB281" i="142" a="1"/>
  <c r="AB281" i="142" s="1"/>
  <c r="AB182" i="142" a="1"/>
  <c r="AB182" i="142" s="1"/>
  <c r="AB139" i="142" a="1"/>
  <c r="AB139" i="142" s="1"/>
  <c r="AB146" i="142" a="1"/>
  <c r="AB146" i="142" s="1"/>
  <c r="AR73" i="133" s="1" a="1"/>
  <c r="AR73" i="133" s="1"/>
  <c r="AB134" i="142" a="1"/>
  <c r="AB134" i="142" s="1"/>
  <c r="AB122" i="142" a="1"/>
  <c r="AB122" i="142" s="1"/>
  <c r="AB125" i="142" a="1"/>
  <c r="AB125" i="142" s="1"/>
  <c r="AB191" i="142" a="1"/>
  <c r="AB191" i="142" s="1"/>
  <c r="AR47" i="133" s="1" a="1"/>
  <c r="AR47" i="133" s="1"/>
  <c r="AB150" i="142" a="1"/>
  <c r="AB150" i="142" s="1"/>
  <c r="AB38" i="142" a="1"/>
  <c r="AB38" i="142" s="1"/>
  <c r="AB88" i="142" a="1"/>
  <c r="AB88" i="142" s="1"/>
  <c r="AB121" i="142" a="1"/>
  <c r="AB121" i="142" s="1"/>
  <c r="AB112" i="142" a="1"/>
  <c r="AB112" i="142" s="1"/>
  <c r="AB96" i="142" a="1"/>
  <c r="AB96" i="142" s="1"/>
  <c r="AB50" i="142" a="1"/>
  <c r="AB50" i="142" s="1"/>
  <c r="AB235" i="142" a="1"/>
  <c r="AB235" i="142" s="1"/>
  <c r="AB133" i="142" a="1"/>
  <c r="AB133" i="142" s="1"/>
  <c r="AB278" i="142" a="1"/>
  <c r="AB278" i="142" s="1"/>
  <c r="AB153" i="142" a="1"/>
  <c r="AB153" i="142" s="1"/>
  <c r="AB124" i="142" a="1"/>
  <c r="AB124" i="142" s="1"/>
  <c r="AB136" i="142" a="1"/>
  <c r="AB136" i="142" s="1"/>
  <c r="AB116" i="142" a="1"/>
  <c r="AB116" i="142" s="1"/>
  <c r="AB135" i="142" a="1"/>
  <c r="AB135" i="142" s="1"/>
  <c r="AB93" i="142" a="1"/>
  <c r="AB93" i="142" s="1"/>
  <c r="AB89" i="142" a="1"/>
  <c r="AB89" i="142" s="1"/>
  <c r="AB286" i="142" a="1"/>
  <c r="AB286" i="142" s="1"/>
  <c r="AB46" i="142" a="1"/>
  <c r="AB46" i="142" s="1"/>
  <c r="AB123" i="142" a="1"/>
  <c r="AB123" i="142" s="1"/>
  <c r="AB331" i="142" a="1"/>
  <c r="AB331" i="142" s="1"/>
  <c r="AB242" i="142" a="1"/>
  <c r="AB242" i="142" s="1"/>
  <c r="AR71" i="133" s="1" a="1"/>
  <c r="AR71" i="133" s="1"/>
  <c r="AB327" i="142" a="1"/>
  <c r="AB327" i="142" s="1"/>
  <c r="AB241" i="142" a="1"/>
  <c r="AB241" i="142" s="1"/>
  <c r="AB334" i="142" a="1"/>
  <c r="AB334" i="142" s="1"/>
  <c r="AB336" i="142" a="1"/>
  <c r="AB336" i="142" s="1"/>
  <c r="AB145" i="142" a="1"/>
  <c r="AB145" i="142" s="1"/>
  <c r="AB232" i="142" a="1"/>
  <c r="AB232" i="142" s="1"/>
  <c r="AB138" i="142" a="1"/>
  <c r="AB138" i="142" s="1"/>
  <c r="AB326" i="142" a="1"/>
  <c r="AB326" i="142" s="1"/>
  <c r="AB154" i="142" a="1"/>
  <c r="AB154" i="142" s="1"/>
  <c r="AB43" i="142" a="1"/>
  <c r="AB43" i="142" s="1"/>
  <c r="AB87" i="142" a="1"/>
  <c r="AB87" i="142" s="1"/>
  <c r="AB98" i="142" a="1"/>
  <c r="AB98" i="142" s="1"/>
  <c r="AB285" i="142" a="1"/>
  <c r="AB285" i="142" s="1"/>
  <c r="AB113" i="142" a="1"/>
  <c r="AB113" i="142" s="1"/>
  <c r="AB137" i="142" a="1"/>
  <c r="AB137" i="142" s="1"/>
  <c r="AB92" i="142" a="1"/>
  <c r="AB92" i="142" s="1"/>
  <c r="AB85" i="142" a="1"/>
  <c r="AB85" i="142" s="1"/>
  <c r="AB41" i="142" a="1"/>
  <c r="AB41" i="142" s="1"/>
  <c r="AB231" i="142" a="1"/>
  <c r="AB231" i="142" s="1"/>
  <c r="AB230" i="142" a="1"/>
  <c r="AB230" i="142" s="1"/>
  <c r="AB289" i="142" a="1"/>
  <c r="AB289" i="142" s="1"/>
  <c r="AB337" i="142" a="1"/>
  <c r="AB337" i="142" s="1"/>
  <c r="AR74" i="133" s="1" a="1"/>
  <c r="AR74" i="133" s="1"/>
  <c r="AB194" i="142" a="1"/>
  <c r="AB194" i="142" s="1"/>
  <c r="AB144" i="142" a="1"/>
  <c r="AB144" i="142" s="1"/>
  <c r="AB155" i="142" a="1"/>
  <c r="AB155" i="142" s="1"/>
  <c r="AB91" i="142" a="1"/>
  <c r="AB91" i="142" s="1"/>
  <c r="AB335" i="142" a="1"/>
  <c r="AB335" i="142" s="1"/>
  <c r="AB328" i="142" a="1"/>
  <c r="AB328" i="142" s="1"/>
  <c r="AB86" i="142" a="1"/>
  <c r="AB86" i="142" s="1"/>
  <c r="AB49" i="142" a="1"/>
  <c r="AB49" i="142" s="1"/>
  <c r="AB195" i="142" a="1"/>
  <c r="AB195" i="142" s="1"/>
  <c r="AR70" i="133" s="1" a="1"/>
  <c r="AR70" i="133" s="1"/>
  <c r="AB190" i="142" a="1"/>
  <c r="AB190" i="142" s="1"/>
  <c r="AB148" i="142" a="1"/>
  <c r="AB148" i="142" s="1"/>
  <c r="AB330" i="142" a="1"/>
  <c r="AB330" i="142" s="1"/>
  <c r="AB333" i="142" a="1"/>
  <c r="AB333" i="142" s="1"/>
  <c r="AR51" i="133" s="1" a="1"/>
  <c r="AR51" i="133" s="1"/>
  <c r="AB193" i="142" a="1"/>
  <c r="AB193" i="142" s="1"/>
  <c r="AB140" i="142" a="1"/>
  <c r="AB140" i="142" s="1"/>
  <c r="AB332" i="142" a="1"/>
  <c r="AB332" i="142" s="1"/>
  <c r="AB276" i="142" a="1"/>
  <c r="AB276" i="142" s="1"/>
  <c r="AB147" i="142" a="1"/>
  <c r="AB147" i="142" s="1"/>
  <c r="AB118" i="142" a="1"/>
  <c r="AB118" i="142" s="1"/>
  <c r="M49" i="142" a="1"/>
  <c r="M49" i="142" s="1"/>
  <c r="M118" i="142" a="1"/>
  <c r="M118" i="142" s="1"/>
  <c r="Q118" i="142" s="1"/>
  <c r="M282" i="142" a="1"/>
  <c r="M282" i="142" s="1"/>
  <c r="M234" i="142" a="1"/>
  <c r="M234" i="142" s="1"/>
  <c r="T171" i="142" a="1"/>
  <c r="T171" i="142" s="1"/>
  <c r="M141" i="142" a="1"/>
  <c r="M141" i="142" s="1"/>
  <c r="M329" i="142" a="1"/>
  <c r="M329" i="142" s="1"/>
  <c r="M279" i="142" a="1"/>
  <c r="M279" i="142" s="1"/>
  <c r="M236" i="142" a="1"/>
  <c r="M236" i="142" s="1"/>
  <c r="M185" i="142" a="1"/>
  <c r="M185" i="142" s="1"/>
  <c r="M146" i="142" a="1"/>
  <c r="M146" i="142" s="1"/>
  <c r="Y73" i="133" s="1" a="1"/>
  <c r="Y73" i="133" s="1"/>
  <c r="T173" i="142" a="1"/>
  <c r="T173" i="142" s="1"/>
  <c r="M86" i="142" a="1"/>
  <c r="M86" i="142" s="1"/>
  <c r="M281" i="142" a="1"/>
  <c r="M281" i="142" s="1"/>
  <c r="M98" i="142" a="1"/>
  <c r="M98" i="142" s="1"/>
  <c r="M195" i="142" a="1"/>
  <c r="M195" i="142" s="1"/>
  <c r="Y70" i="133" s="1" a="1"/>
  <c r="Y70" i="133" s="1"/>
  <c r="M152" i="142" a="1"/>
  <c r="M152" i="142" s="1"/>
  <c r="M50" i="142" a="1"/>
  <c r="M50" i="142" s="1"/>
  <c r="M187" i="142" a="1"/>
  <c r="M187" i="142" s="1"/>
  <c r="M228" i="142" a="1"/>
  <c r="M228" i="142" s="1"/>
  <c r="T163" i="142" a="1"/>
  <c r="T163" i="142" s="1"/>
  <c r="M135" i="142" a="1"/>
  <c r="M135" i="142" s="1"/>
  <c r="M283" i="142" a="1"/>
  <c r="M283" i="142" s="1"/>
  <c r="M164" i="142" a="1"/>
  <c r="M164" i="142" s="1"/>
  <c r="Q164" i="142" s="1"/>
  <c r="T112" i="142" a="1"/>
  <c r="T112" i="142" s="1"/>
  <c r="M184" i="142" a="1"/>
  <c r="M184" i="142" s="1"/>
  <c r="M43" i="142" a="1"/>
  <c r="M43" i="142" s="1"/>
  <c r="M276" i="142" a="1"/>
  <c r="M276" i="142" s="1"/>
  <c r="M233" i="142" a="1"/>
  <c r="M233" i="142" s="1"/>
  <c r="M165" i="142" a="1"/>
  <c r="M165" i="142" s="1"/>
  <c r="Q165" i="142" s="1"/>
  <c r="M186" i="142" a="1"/>
  <c r="M186" i="142" s="1"/>
  <c r="M324" i="142" a="1"/>
  <c r="M324" i="142" s="1"/>
  <c r="M189" i="142" a="1"/>
  <c r="M189" i="142" s="1"/>
  <c r="M182" i="142" a="1"/>
  <c r="M182" i="142" s="1"/>
  <c r="M323" i="142" a="1"/>
  <c r="M323" i="142" s="1"/>
  <c r="M139" i="142" a="1"/>
  <c r="M139" i="142" s="1"/>
  <c r="M289" i="142" a="1"/>
  <c r="M289" i="142" s="1"/>
  <c r="M134" i="142" a="1"/>
  <c r="M134" i="142" s="1"/>
  <c r="M120" i="142" a="1"/>
  <c r="M120" i="142" s="1"/>
  <c r="Q120" i="142" s="1"/>
  <c r="T161" i="142" a="1"/>
  <c r="T161" i="142" s="1"/>
  <c r="T159" i="142" a="1"/>
  <c r="T159" i="142" s="1"/>
  <c r="T116" i="142" a="1"/>
  <c r="T116" i="142" s="1"/>
  <c r="M161" i="142" a="1"/>
  <c r="M161" i="142" s="1"/>
  <c r="Q161" i="142" s="1"/>
  <c r="M190" i="142" a="1"/>
  <c r="M190" i="142" s="1"/>
  <c r="M150" i="142" a="1"/>
  <c r="M150" i="142" s="1"/>
  <c r="M288" i="142" a="1"/>
  <c r="M288" i="142" s="1"/>
  <c r="T170" i="142" a="1"/>
  <c r="T170" i="142" s="1"/>
  <c r="M325" i="142" a="1"/>
  <c r="M325" i="142" s="1"/>
  <c r="T113" i="142" a="1"/>
  <c r="T113" i="142" s="1"/>
  <c r="M336" i="142" a="1"/>
  <c r="M336" i="142" s="1"/>
  <c r="M235" i="142" a="1"/>
  <c r="M235" i="142" s="1"/>
  <c r="M194" i="142" a="1"/>
  <c r="M194" i="142" s="1"/>
  <c r="M327" i="142" a="1"/>
  <c r="M327" i="142" s="1"/>
  <c r="M230" i="142" a="1"/>
  <c r="M230" i="142" s="1"/>
  <c r="M192" i="142" a="1"/>
  <c r="M192" i="142" s="1"/>
  <c r="M151" i="142" a="1"/>
  <c r="M151" i="142" s="1"/>
  <c r="M169" i="142" a="1"/>
  <c r="M169" i="142" s="1"/>
  <c r="Q169" i="142" s="1"/>
  <c r="M241" i="142" a="1"/>
  <c r="M241" i="142" s="1"/>
  <c r="M93" i="142" a="1"/>
  <c r="M93" i="142" s="1"/>
  <c r="M142" i="142" a="1"/>
  <c r="M142" i="142" s="1"/>
  <c r="Y50" i="133" s="1" a="1"/>
  <c r="Y50" i="133" s="1"/>
  <c r="M328" i="142" a="1"/>
  <c r="M328" i="142" s="1"/>
  <c r="M156" i="142" a="1"/>
  <c r="M156" i="142" s="1"/>
  <c r="M238" i="142" a="1"/>
  <c r="M238" i="142" s="1"/>
  <c r="Y48" i="133" s="1" a="1"/>
  <c r="Y48" i="133" s="1"/>
  <c r="M115" i="142" a="1"/>
  <c r="M115" i="142" s="1"/>
  <c r="Q115" i="142" s="1"/>
  <c r="M171" i="142" a="1"/>
  <c r="M171" i="142" s="1"/>
  <c r="Q171" i="142" s="1"/>
  <c r="M145" i="142" a="1"/>
  <c r="M145" i="142" s="1"/>
  <c r="M286" i="142" a="1"/>
  <c r="M286" i="142" s="1"/>
  <c r="T169" i="142" a="1"/>
  <c r="T169" i="142" s="1"/>
  <c r="M132" i="142" a="1"/>
  <c r="M132" i="142" s="1"/>
  <c r="M163" i="142" a="1"/>
  <c r="M163" i="142" s="1"/>
  <c r="Q163" i="142" s="1"/>
  <c r="M123" i="142" a="1"/>
  <c r="M123" i="142" s="1"/>
  <c r="Q123" i="142" s="1"/>
  <c r="M140" i="142" a="1"/>
  <c r="M140" i="142" s="1"/>
  <c r="T160" i="142" a="1"/>
  <c r="T160" i="142" s="1"/>
  <c r="M92" i="142" a="1"/>
  <c r="M92" i="142" s="1"/>
  <c r="M96" i="142" a="1"/>
  <c r="M96" i="142" s="1"/>
  <c r="M87" i="142" a="1"/>
  <c r="M87" i="142" s="1"/>
  <c r="T124" i="142" a="1"/>
  <c r="T124" i="142" s="1"/>
  <c r="M326" i="142" a="1"/>
  <c r="M326" i="142" s="1"/>
  <c r="M188" i="142" a="1"/>
  <c r="M188" i="142" s="1"/>
  <c r="T117" i="142" a="1"/>
  <c r="T117" i="142" s="1"/>
  <c r="M333" i="142" a="1"/>
  <c r="M333" i="142" s="1"/>
  <c r="Y51" i="133" s="1" a="1"/>
  <c r="Y51" i="133" s="1"/>
  <c r="M181" i="142" a="1"/>
  <c r="M181" i="142" s="1"/>
  <c r="M148" i="142" a="1"/>
  <c r="M148" i="142" s="1"/>
  <c r="M278" i="142" a="1"/>
  <c r="M278" i="142" s="1"/>
  <c r="M229" i="142" a="1"/>
  <c r="M229" i="142" s="1"/>
  <c r="T166" i="142" a="1"/>
  <c r="T166" i="142" s="1"/>
  <c r="M121" i="142" a="1"/>
  <c r="M121" i="142" s="1"/>
  <c r="Q121" i="142" s="1"/>
  <c r="M160" i="142" a="1"/>
  <c r="M160" i="142" s="1"/>
  <c r="Q160" i="142" s="1"/>
  <c r="M172" i="142" a="1"/>
  <c r="M172" i="142" s="1"/>
  <c r="Q172" i="142" s="1"/>
  <c r="M113" i="142" a="1"/>
  <c r="M113" i="142" s="1"/>
  <c r="Q113" i="142" s="1"/>
  <c r="M158" i="142" a="1"/>
  <c r="M158" i="142" s="1"/>
  <c r="M285" i="142" a="1"/>
  <c r="M285" i="142" s="1"/>
  <c r="M332" i="142" a="1"/>
  <c r="M332" i="142" s="1"/>
  <c r="T164" i="142" a="1"/>
  <c r="T164" i="142" s="1"/>
  <c r="M37" i="142" a="1"/>
  <c r="M37" i="142" s="1"/>
  <c r="M153" i="142" a="1"/>
  <c r="M153" i="142" s="1"/>
  <c r="M149" i="142" a="1"/>
  <c r="M149" i="142" s="1"/>
  <c r="M40" i="142" a="1"/>
  <c r="M40" i="142" s="1"/>
  <c r="M44" i="142" a="1"/>
  <c r="M44" i="142" s="1"/>
  <c r="M90" i="142" a="1"/>
  <c r="M90" i="142" s="1"/>
  <c r="M89" i="142" a="1"/>
  <c r="M89" i="142" s="1"/>
  <c r="M138" i="142" a="1"/>
  <c r="M138" i="142" s="1"/>
  <c r="M290" i="142" a="1"/>
  <c r="M290" i="142" s="1"/>
  <c r="M239" i="142" a="1"/>
  <c r="M239" i="142" s="1"/>
  <c r="M119" i="142" a="1"/>
  <c r="M119" i="142" s="1"/>
  <c r="Q119" i="142" s="1"/>
  <c r="M284" i="142" a="1"/>
  <c r="M284" i="142" s="1"/>
  <c r="M231" i="142" a="1"/>
  <c r="M231" i="142" s="1"/>
  <c r="M168" i="142" a="1"/>
  <c r="M168" i="142" s="1"/>
  <c r="Q168" i="142" s="1"/>
  <c r="M136" i="142" a="1"/>
  <c r="M136" i="142" s="1"/>
  <c r="T168" i="142" a="1"/>
  <c r="T168" i="142" s="1"/>
  <c r="M124" i="142" a="1"/>
  <c r="M124" i="142" s="1"/>
  <c r="Q124" i="142" s="1"/>
  <c r="M193" i="142" a="1"/>
  <c r="M193" i="142" s="1"/>
  <c r="M162" i="142" a="1"/>
  <c r="M162" i="142" s="1"/>
  <c r="Q162" i="142" s="1"/>
  <c r="T125" i="142" a="1"/>
  <c r="T125" i="142" s="1"/>
  <c r="T167" i="142" a="1"/>
  <c r="T167" i="142" s="1"/>
  <c r="M335" i="142" a="1"/>
  <c r="M335" i="142" s="1"/>
  <c r="M133" i="142" a="1"/>
  <c r="M133" i="142" s="1"/>
  <c r="M155" i="142" a="1"/>
  <c r="M155" i="142" s="1"/>
  <c r="M45" i="142" a="1"/>
  <c r="M45" i="142" s="1"/>
  <c r="M41" i="142" a="1"/>
  <c r="M41" i="142" s="1"/>
  <c r="M95" i="142" a="1"/>
  <c r="M95" i="142" s="1"/>
  <c r="M240" i="142" a="1"/>
  <c r="M240" i="142" s="1"/>
  <c r="M154" i="142" a="1"/>
  <c r="M154" i="142" s="1"/>
  <c r="T115" i="142" a="1"/>
  <c r="T115" i="142" s="1"/>
  <c r="M337" i="142" a="1"/>
  <c r="M337" i="142" s="1"/>
  <c r="Y74" i="133" s="1" a="1"/>
  <c r="Y74" i="133" s="1"/>
  <c r="M122" i="142" a="1"/>
  <c r="M122" i="142" s="1"/>
  <c r="Q122" i="142" s="1"/>
  <c r="M232" i="142" a="1"/>
  <c r="M232" i="142" s="1"/>
  <c r="M170" i="142" a="1"/>
  <c r="M170" i="142" s="1"/>
  <c r="Q170" i="142" s="1"/>
  <c r="M125" i="142" a="1"/>
  <c r="M125" i="142" s="1"/>
  <c r="Q125" i="142" s="1"/>
  <c r="M167" i="142" a="1"/>
  <c r="M167" i="142" s="1"/>
  <c r="Q167" i="142" s="1"/>
  <c r="M42" i="142" a="1"/>
  <c r="M42" i="142" s="1"/>
  <c r="M166" i="142" a="1"/>
  <c r="M166" i="142" s="1"/>
  <c r="Q166" i="142" s="1"/>
  <c r="M242" i="142" a="1"/>
  <c r="M242" i="142" s="1"/>
  <c r="Y71" i="133" s="1" a="1"/>
  <c r="Y71" i="133" s="1"/>
  <c r="M330" i="142" a="1"/>
  <c r="M330" i="142" s="1"/>
  <c r="M191" i="142" a="1"/>
  <c r="M191" i="142" s="1"/>
  <c r="Y47" i="133" s="1" a="1"/>
  <c r="Y47" i="133" s="1"/>
  <c r="T121" i="142" a="1"/>
  <c r="T121" i="142" s="1"/>
  <c r="M112" i="142" a="1"/>
  <c r="M112" i="142" s="1"/>
  <c r="Q112" i="142" s="1"/>
  <c r="M46" i="142" a="1"/>
  <c r="M46" i="142" s="1"/>
  <c r="T162" i="142" a="1"/>
  <c r="T162" i="142" s="1"/>
  <c r="M237" i="142" a="1"/>
  <c r="M237" i="142" s="1"/>
  <c r="M331" i="142" a="1"/>
  <c r="M331" i="142" s="1"/>
  <c r="M88" i="142" a="1"/>
  <c r="M88" i="142" s="1"/>
  <c r="T120" i="142" a="1"/>
  <c r="T120" i="142" s="1"/>
  <c r="M94" i="142" a="1"/>
  <c r="M94" i="142" s="1"/>
  <c r="T172" i="142" a="1"/>
  <c r="T172" i="142" s="1"/>
  <c r="M334" i="142" a="1"/>
  <c r="M334" i="142" s="1"/>
  <c r="T118" i="142" a="1"/>
  <c r="T118" i="142" s="1"/>
  <c r="M48" i="142" a="1"/>
  <c r="M48" i="142" s="1"/>
  <c r="M91" i="142" a="1"/>
  <c r="M91" i="142" s="1"/>
  <c r="M173" i="142" a="1"/>
  <c r="M173" i="142" s="1"/>
  <c r="Q173" i="142" s="1"/>
  <c r="M84" i="142" a="1"/>
  <c r="M84" i="142" s="1"/>
  <c r="M117" i="142" a="1"/>
  <c r="M117" i="142" s="1"/>
  <c r="Q117" i="142" s="1"/>
  <c r="M277" i="142" a="1"/>
  <c r="M277" i="142" s="1"/>
  <c r="M143" i="142" a="1"/>
  <c r="M143" i="142" s="1"/>
  <c r="M280" i="142" a="1"/>
  <c r="M280" i="142" s="1"/>
  <c r="M159" i="142" a="1"/>
  <c r="M159" i="142" s="1"/>
  <c r="Q159" i="142" s="1"/>
  <c r="T119" i="142" a="1"/>
  <c r="T119" i="142" s="1"/>
  <c r="M39" i="142" a="1"/>
  <c r="M39" i="142" s="1"/>
  <c r="M38" i="142" a="1"/>
  <c r="M38" i="142" s="1"/>
  <c r="M85" i="142" a="1"/>
  <c r="M85" i="142" s="1"/>
  <c r="M144" i="142" a="1"/>
  <c r="M144" i="142" s="1"/>
  <c r="M157" i="142" a="1"/>
  <c r="M157" i="142" s="1"/>
  <c r="M97" i="142" a="1"/>
  <c r="M97" i="142" s="1"/>
  <c r="M47" i="142" a="1"/>
  <c r="M47" i="142" s="1"/>
  <c r="Y46" i="133" s="1" a="1"/>
  <c r="Y46" i="133" s="1"/>
  <c r="T122" i="142" a="1"/>
  <c r="T122" i="142" s="1"/>
  <c r="T165" i="142" a="1"/>
  <c r="T165" i="142" s="1"/>
  <c r="M147" i="142" a="1"/>
  <c r="M147" i="142" s="1"/>
  <c r="T123" i="142" a="1"/>
  <c r="T123" i="142" s="1"/>
  <c r="M137" i="142" a="1"/>
  <c r="M137" i="142" s="1"/>
  <c r="T114" i="142" a="1"/>
  <c r="T114" i="142" s="1"/>
  <c r="M116" i="142" a="1"/>
  <c r="M116" i="142" s="1"/>
  <c r="Q116" i="142" s="1"/>
  <c r="M17" i="142" a="1"/>
  <c r="M17" i="142" s="1"/>
  <c r="M183" i="142" a="1"/>
  <c r="M183" i="142" s="1"/>
  <c r="M114" i="142" a="1"/>
  <c r="M114" i="142" s="1"/>
  <c r="Q114" i="142" s="1"/>
  <c r="M287" i="142" a="1"/>
  <c r="M287" i="142" s="1"/>
  <c r="U18" i="142" a="1"/>
  <c r="U18" i="142" s="1"/>
  <c r="U21" i="142" a="1"/>
  <c r="U21" i="142" s="1"/>
  <c r="U17" i="142" a="1"/>
  <c r="U17" i="142" s="1"/>
  <c r="U27" i="142" a="1"/>
  <c r="U27" i="142" s="1"/>
  <c r="AI45" i="133" s="1" a="1"/>
  <c r="AI45" i="133" s="1"/>
  <c r="U19" i="142" a="1"/>
  <c r="U19" i="142" s="1"/>
  <c r="U30" i="142" a="1"/>
  <c r="U30" i="142" s="1"/>
  <c r="U24" i="142" a="1"/>
  <c r="U24" i="142" s="1"/>
  <c r="U26" i="142" a="1"/>
  <c r="U26" i="142" s="1"/>
  <c r="U29" i="142" a="1"/>
  <c r="U29" i="142" s="1"/>
  <c r="U25" i="142" a="1"/>
  <c r="U25" i="142" s="1"/>
  <c r="U31" i="142" a="1"/>
  <c r="U31" i="142" s="1"/>
  <c r="AI68" i="133" s="1" a="1"/>
  <c r="AI68" i="133" s="1"/>
  <c r="U20" i="142" a="1"/>
  <c r="U20" i="142" s="1"/>
  <c r="U22" i="142" a="1"/>
  <c r="U22" i="142" s="1"/>
  <c r="U23" i="142" a="1"/>
  <c r="U23" i="142" s="1"/>
  <c r="U28" i="142" a="1"/>
  <c r="U28" i="142" s="1"/>
  <c r="AE18" i="142" a="1"/>
  <c r="AE18" i="142" s="1"/>
  <c r="AE31" i="142" a="1"/>
  <c r="AE31" i="142" s="1"/>
  <c r="AE24" i="142" a="1"/>
  <c r="AE24" i="142" s="1"/>
  <c r="AE25" i="142" a="1"/>
  <c r="AE25" i="142" s="1"/>
  <c r="AE17" i="142" a="1"/>
  <c r="AE17" i="142" s="1"/>
  <c r="AE28" i="142" a="1"/>
  <c r="AE28" i="142" s="1"/>
  <c r="AE23" i="142" a="1"/>
  <c r="AE23" i="142" s="1"/>
  <c r="AE30" i="142" a="1"/>
  <c r="AE30" i="142" s="1"/>
  <c r="AE21" i="142" a="1"/>
  <c r="AE21" i="142" s="1"/>
  <c r="AE26" i="142" a="1"/>
  <c r="AE26" i="142" s="1"/>
  <c r="AE29" i="142" a="1"/>
  <c r="AE29" i="142" s="1"/>
  <c r="AE27" i="142" a="1"/>
  <c r="AE27" i="142" s="1"/>
  <c r="AW45" i="133" s="1" a="1"/>
  <c r="AW45" i="133" s="1"/>
  <c r="AE19" i="142" a="1"/>
  <c r="AE19" i="142" s="1"/>
  <c r="AE22" i="142" a="1"/>
  <c r="AE22" i="142" s="1"/>
  <c r="AE20" i="142" a="1"/>
  <c r="AE20" i="142" s="1"/>
  <c r="S28" i="142" a="1"/>
  <c r="S28" i="142" s="1"/>
  <c r="S19" i="142" a="1"/>
  <c r="S19" i="142" s="1"/>
  <c r="S23" i="142" a="1"/>
  <c r="S23" i="142" s="1"/>
  <c r="S20" i="142" a="1"/>
  <c r="S20" i="142" s="1"/>
  <c r="S17" i="142" a="1"/>
  <c r="S17" i="142" s="1"/>
  <c r="S31" i="142" a="1"/>
  <c r="S31" i="142" s="1"/>
  <c r="AG68" i="133" s="1" a="1"/>
  <c r="AG68" i="133" s="1"/>
  <c r="S21" i="142" a="1"/>
  <c r="S21" i="142" s="1"/>
  <c r="S30" i="142" a="1"/>
  <c r="S30" i="142" s="1"/>
  <c r="S25" i="142" a="1"/>
  <c r="S25" i="142" s="1"/>
  <c r="S18" i="142" a="1"/>
  <c r="S18" i="142" s="1"/>
  <c r="S24" i="142" a="1"/>
  <c r="S24" i="142" s="1"/>
  <c r="S29" i="142" a="1"/>
  <c r="S29" i="142" s="1"/>
  <c r="S26" i="142" a="1"/>
  <c r="S26" i="142" s="1"/>
  <c r="S22" i="142" a="1"/>
  <c r="S22" i="142" s="1"/>
  <c r="S27" i="142" a="1"/>
  <c r="S27" i="142" s="1"/>
  <c r="AG45" i="133" s="1" a="1"/>
  <c r="AG45" i="133" s="1"/>
  <c r="V26" i="142" a="1"/>
  <c r="V26" i="142" s="1"/>
  <c r="V19" i="142" a="1"/>
  <c r="V19" i="142" s="1"/>
  <c r="V20" i="142" a="1"/>
  <c r="V20" i="142" s="1"/>
  <c r="V24" i="142" a="1"/>
  <c r="V24" i="142" s="1"/>
  <c r="V25" i="142" a="1"/>
  <c r="V25" i="142" s="1"/>
  <c r="V31" i="142" a="1"/>
  <c r="V31" i="142" s="1"/>
  <c r="AJ68" i="133" s="1" a="1"/>
  <c r="AJ68" i="133" s="1"/>
  <c r="V23" i="142" a="1"/>
  <c r="V23" i="142" s="1"/>
  <c r="V29" i="142" a="1"/>
  <c r="V29" i="142" s="1"/>
  <c r="V30" i="142" a="1"/>
  <c r="V30" i="142" s="1"/>
  <c r="V22" i="142" a="1"/>
  <c r="V22" i="142" s="1"/>
  <c r="V21" i="142" a="1"/>
  <c r="V21" i="142" s="1"/>
  <c r="V18" i="142" a="1"/>
  <c r="V18" i="142" s="1"/>
  <c r="V17" i="142" a="1"/>
  <c r="V17" i="142" s="1"/>
  <c r="V27" i="142" a="1"/>
  <c r="V27" i="142" s="1"/>
  <c r="AJ45" i="133" s="1" a="1"/>
  <c r="AJ45" i="133" s="1"/>
  <c r="V28" i="142" a="1"/>
  <c r="V28" i="142" s="1"/>
  <c r="AB22" i="142" a="1"/>
  <c r="AB22" i="142" s="1"/>
  <c r="AB17" i="142" a="1"/>
  <c r="AB17" i="142" s="1"/>
  <c r="AB29" i="142" a="1"/>
  <c r="AB29" i="142" s="1"/>
  <c r="AB24" i="142" a="1"/>
  <c r="AB24" i="142" s="1"/>
  <c r="AB21" i="142" a="1"/>
  <c r="AB21" i="142" s="1"/>
  <c r="AB23" i="142" a="1"/>
  <c r="AB23" i="142" s="1"/>
  <c r="AB18" i="142" a="1"/>
  <c r="AB18" i="142" s="1"/>
  <c r="AB26" i="142" a="1"/>
  <c r="AB26" i="142" s="1"/>
  <c r="AB31" i="142" a="1"/>
  <c r="AB31" i="142" s="1"/>
  <c r="AR68" i="133" s="1" a="1"/>
  <c r="AR68" i="133" s="1"/>
  <c r="AB28" i="142" a="1"/>
  <c r="AB28" i="142" s="1"/>
  <c r="AB20" i="142" a="1"/>
  <c r="AB20" i="142" s="1"/>
  <c r="AB25" i="142" a="1"/>
  <c r="AB25" i="142" s="1"/>
  <c r="AB27" i="142" a="1"/>
  <c r="AB27" i="142" s="1"/>
  <c r="AR45" i="133" s="1" a="1"/>
  <c r="AR45" i="133" s="1"/>
  <c r="AB30" i="142" a="1"/>
  <c r="AB30" i="142" s="1"/>
  <c r="AB19" i="142" a="1"/>
  <c r="AB19" i="142" s="1"/>
  <c r="O27" i="142" a="1"/>
  <c r="O27" i="142" s="1"/>
  <c r="AA45" i="133" s="1" a="1"/>
  <c r="AA45" i="133" s="1"/>
  <c r="O21" i="142" a="1"/>
  <c r="O21" i="142" s="1"/>
  <c r="O23" i="142" a="1"/>
  <c r="O23" i="142" s="1"/>
  <c r="O22" i="142" a="1"/>
  <c r="O22" i="142" s="1"/>
  <c r="O26" i="142" a="1"/>
  <c r="O26" i="142" s="1"/>
  <c r="O18" i="142" a="1"/>
  <c r="O18" i="142" s="1"/>
  <c r="O24" i="142" a="1"/>
  <c r="O24" i="142" s="1"/>
  <c r="O28" i="142" a="1"/>
  <c r="O28" i="142" s="1"/>
  <c r="O29" i="142" a="1"/>
  <c r="O29" i="142" s="1"/>
  <c r="O30" i="142" a="1"/>
  <c r="O30" i="142" s="1"/>
  <c r="O25" i="142" a="1"/>
  <c r="O25" i="142" s="1"/>
  <c r="O17" i="142" a="1"/>
  <c r="O17" i="142" s="1"/>
  <c r="O19" i="142" a="1"/>
  <c r="O19" i="142" s="1"/>
  <c r="O20" i="142" a="1"/>
  <c r="O20" i="142" s="1"/>
  <c r="O31" i="142" a="1"/>
  <c r="O31" i="142" s="1"/>
  <c r="AA68" i="133" s="1" a="1"/>
  <c r="AA68" i="133" s="1"/>
  <c r="N25" i="142" a="1"/>
  <c r="N25" i="142" s="1"/>
  <c r="N17" i="142" a="1"/>
  <c r="N17" i="142" s="1"/>
  <c r="N20" i="142" a="1"/>
  <c r="N20" i="142" s="1"/>
  <c r="N22" i="142" a="1"/>
  <c r="N22" i="142" s="1"/>
  <c r="N26" i="142" a="1"/>
  <c r="N26" i="142" s="1"/>
  <c r="N21" i="142" a="1"/>
  <c r="N21" i="142" s="1"/>
  <c r="N18" i="142" a="1"/>
  <c r="N18" i="142" s="1"/>
  <c r="N28" i="142" a="1"/>
  <c r="N28" i="142" s="1"/>
  <c r="N31" i="142" a="1"/>
  <c r="N31" i="142" s="1"/>
  <c r="Z68" i="133" s="1" a="1"/>
  <c r="Z68" i="133" s="1"/>
  <c r="N24" i="142" a="1"/>
  <c r="N24" i="142" s="1"/>
  <c r="N27" i="142" a="1"/>
  <c r="N27" i="142" s="1"/>
  <c r="Z45" i="133" s="1" a="1"/>
  <c r="Z45" i="133" s="1"/>
  <c r="N23" i="142" a="1"/>
  <c r="N23" i="142" s="1"/>
  <c r="N19" i="142" a="1"/>
  <c r="N19" i="142" s="1"/>
  <c r="N29" i="142" a="1"/>
  <c r="N29" i="142" s="1"/>
  <c r="N30" i="142" a="1"/>
  <c r="N30" i="142" s="1"/>
  <c r="P21" i="142" a="1"/>
  <c r="P21" i="142" s="1"/>
  <c r="P27" i="142" a="1"/>
  <c r="P27" i="142" s="1"/>
  <c r="AB45" i="133" s="1" a="1"/>
  <c r="AB45" i="133" s="1"/>
  <c r="P18" i="142" a="1"/>
  <c r="P18" i="142" s="1"/>
  <c r="P28" i="142" a="1"/>
  <c r="P28" i="142" s="1"/>
  <c r="P25" i="142" a="1"/>
  <c r="P25" i="142" s="1"/>
  <c r="P20" i="142" a="1"/>
  <c r="P20" i="142" s="1"/>
  <c r="P29" i="142" a="1"/>
  <c r="P29" i="142" s="1"/>
  <c r="P30" i="142" a="1"/>
  <c r="P30" i="142" s="1"/>
  <c r="P19" i="142" a="1"/>
  <c r="P19" i="142" s="1"/>
  <c r="P31" i="142" a="1"/>
  <c r="P31" i="142" s="1"/>
  <c r="AB68" i="133" s="1" a="1"/>
  <c r="AB68" i="133" s="1"/>
  <c r="P17" i="142" a="1"/>
  <c r="P17" i="142" s="1"/>
  <c r="P23" i="142" a="1"/>
  <c r="P23" i="142" s="1"/>
  <c r="P24" i="142" a="1"/>
  <c r="P24" i="142" s="1"/>
  <c r="P26" i="142" a="1"/>
  <c r="P26" i="142" s="1"/>
  <c r="P22" i="142" a="1"/>
  <c r="P22" i="142" s="1"/>
  <c r="Z23" i="142" a="1"/>
  <c r="Z23" i="142" s="1"/>
  <c r="Z31" i="142" a="1"/>
  <c r="Z31" i="142" s="1"/>
  <c r="AP68" i="133" s="1" a="1"/>
  <c r="AP68" i="133" s="1"/>
  <c r="Z27" i="142" a="1"/>
  <c r="Z27" i="142" s="1"/>
  <c r="AP45" i="133" s="1" a="1"/>
  <c r="AP45" i="133" s="1"/>
  <c r="Z17" i="142" a="1"/>
  <c r="Z17" i="142" s="1"/>
  <c r="Z20" i="142" a="1"/>
  <c r="Z20" i="142" s="1"/>
  <c r="Z25" i="142" a="1"/>
  <c r="Z25" i="142" s="1"/>
  <c r="Z21" i="142" a="1"/>
  <c r="Z21" i="142" s="1"/>
  <c r="Z28" i="142" a="1"/>
  <c r="Z28" i="142" s="1"/>
  <c r="Z22" i="142" a="1"/>
  <c r="Z22" i="142" s="1"/>
  <c r="Z18" i="142" a="1"/>
  <c r="Z18" i="142" s="1"/>
  <c r="Z29" i="142" a="1"/>
  <c r="Z29" i="142" s="1"/>
  <c r="Z19" i="142" a="1"/>
  <c r="Z19" i="142" s="1"/>
  <c r="Z30" i="142" a="1"/>
  <c r="Z30" i="142" s="1"/>
  <c r="Z24" i="142" a="1"/>
  <c r="Z24" i="142" s="1"/>
  <c r="Z26" i="142" a="1"/>
  <c r="Z26" i="142" s="1"/>
  <c r="AA29" i="142" a="1"/>
  <c r="AA29" i="142" s="1"/>
  <c r="AA17" i="142" a="1"/>
  <c r="AA17" i="142" s="1"/>
  <c r="AA27" i="142" a="1"/>
  <c r="AA27" i="142" s="1"/>
  <c r="AQ45" i="133" s="1" a="1"/>
  <c r="AQ45" i="133" s="1"/>
  <c r="AA20" i="142" a="1"/>
  <c r="AA20" i="142" s="1"/>
  <c r="AA21" i="142" a="1"/>
  <c r="AA21" i="142" s="1"/>
  <c r="AA28" i="142" a="1"/>
  <c r="AA28" i="142" s="1"/>
  <c r="AA22" i="142" a="1"/>
  <c r="AA22" i="142" s="1"/>
  <c r="AA18" i="142" a="1"/>
  <c r="AA18" i="142" s="1"/>
  <c r="AA31" i="142" a="1"/>
  <c r="AA31" i="142" s="1"/>
  <c r="AQ68" i="133" s="1" a="1"/>
  <c r="AQ68" i="133" s="1"/>
  <c r="AA30" i="142" a="1"/>
  <c r="AA30" i="142" s="1"/>
  <c r="AA23" i="142" a="1"/>
  <c r="AA23" i="142" s="1"/>
  <c r="AA24" i="142" a="1"/>
  <c r="AA24" i="142" s="1"/>
  <c r="AA25" i="142" a="1"/>
  <c r="AA25" i="142" s="1"/>
  <c r="AA19" i="142" a="1"/>
  <c r="AA19" i="142" s="1"/>
  <c r="AA26" i="142" a="1"/>
  <c r="AA26" i="142" s="1"/>
  <c r="M27" i="142" a="1"/>
  <c r="M27" i="142" s="1"/>
  <c r="Y45" i="133" s="1" a="1"/>
  <c r="Y45" i="133" s="1"/>
  <c r="M29" i="142" a="1"/>
  <c r="M29" i="142" s="1"/>
  <c r="M22" i="142" a="1"/>
  <c r="M22" i="142" s="1"/>
  <c r="M25" i="142" a="1"/>
  <c r="M25" i="142" s="1"/>
  <c r="M19" i="142" a="1"/>
  <c r="M19" i="142" s="1"/>
  <c r="M31" i="142" a="1"/>
  <c r="M31" i="142" s="1"/>
  <c r="Y68" i="133" s="1" a="1"/>
  <c r="Y68" i="133" s="1"/>
  <c r="M28" i="142" a="1"/>
  <c r="M28" i="142" s="1"/>
  <c r="M24" i="142" a="1"/>
  <c r="M24" i="142" s="1"/>
  <c r="M26" i="142" a="1"/>
  <c r="M26" i="142" s="1"/>
  <c r="M20" i="142" a="1"/>
  <c r="M20" i="142" s="1"/>
  <c r="M23" i="142" a="1"/>
  <c r="M23" i="142" s="1"/>
  <c r="M30" i="142" a="1"/>
  <c r="M30" i="142" s="1"/>
  <c r="M21" i="142" a="1"/>
  <c r="M21" i="142" s="1"/>
  <c r="M18" i="142" a="1"/>
  <c r="M18" i="142" s="1"/>
  <c r="T28" i="142" a="1"/>
  <c r="T28" i="142" s="1"/>
  <c r="T24" i="142" a="1"/>
  <c r="T24" i="142" s="1"/>
  <c r="T23" i="142" a="1"/>
  <c r="T23" i="142" s="1"/>
  <c r="T20" i="142" a="1"/>
  <c r="T20" i="142" s="1"/>
  <c r="T29" i="142" a="1"/>
  <c r="T29" i="142" s="1"/>
  <c r="T19" i="142" a="1"/>
  <c r="T19" i="142" s="1"/>
  <c r="T31" i="142" a="1"/>
  <c r="T31" i="142" s="1"/>
  <c r="AH68" i="133" s="1" a="1"/>
  <c r="AH68" i="133" s="1"/>
  <c r="T25" i="142" a="1"/>
  <c r="T25" i="142" s="1"/>
  <c r="T17" i="142" a="1"/>
  <c r="T17" i="142" s="1"/>
  <c r="T27" i="142" a="1"/>
  <c r="T27" i="142" s="1"/>
  <c r="AH45" i="133" s="1" a="1"/>
  <c r="AH45" i="133" s="1"/>
  <c r="T30" i="142" a="1"/>
  <c r="T30" i="142" s="1"/>
  <c r="T26" i="142" a="1"/>
  <c r="T26" i="142" s="1"/>
  <c r="T21" i="142" a="1"/>
  <c r="T21" i="142" s="1"/>
  <c r="T18" i="142" a="1"/>
  <c r="T18" i="142" s="1"/>
  <c r="T22" i="142" a="1"/>
  <c r="T22" i="142" s="1"/>
  <c r="Y25" i="142" a="1"/>
  <c r="Y25" i="142" s="1"/>
  <c r="Y19" i="142" a="1"/>
  <c r="Y19" i="142" s="1"/>
  <c r="Y31" i="142" a="1"/>
  <c r="Y31" i="142" s="1"/>
  <c r="AO68" i="133" s="1" a="1"/>
  <c r="AO68" i="133" s="1"/>
  <c r="Y30" i="142" a="1"/>
  <c r="Y30" i="142" s="1"/>
  <c r="Y22" i="142" a="1"/>
  <c r="Y22" i="142" s="1"/>
  <c r="Y24" i="142" a="1"/>
  <c r="Y24" i="142" s="1"/>
  <c r="Y26" i="142" a="1"/>
  <c r="Y26" i="142" s="1"/>
  <c r="Y20" i="142" a="1"/>
  <c r="Y20" i="142" s="1"/>
  <c r="Y21" i="142" a="1"/>
  <c r="Y21" i="142" s="1"/>
  <c r="Y29" i="142" a="1"/>
  <c r="Y29" i="142" s="1"/>
  <c r="Y28" i="142" a="1"/>
  <c r="Y28" i="142" s="1"/>
  <c r="Y23" i="142" a="1"/>
  <c r="Y23" i="142" s="1"/>
  <c r="Y18" i="142" a="1"/>
  <c r="Y18" i="142" s="1"/>
  <c r="Y17" i="142" a="1"/>
  <c r="Y17" i="142" s="1"/>
  <c r="Y27" i="142" a="1"/>
  <c r="Y27" i="142" s="1"/>
  <c r="AO45" i="133" s="1" a="1"/>
  <c r="AO45" i="133" s="1"/>
  <c r="Y320" i="142"/>
  <c r="Y273" i="142"/>
  <c r="Y225" i="142"/>
  <c r="Y178" i="142"/>
  <c r="Y129" i="142"/>
  <c r="Y81" i="142"/>
  <c r="Y34" i="142"/>
  <c r="X2" i="141"/>
  <c r="O11" i="142"/>
  <c r="BI6" i="133"/>
  <c r="R1" i="133"/>
  <c r="T1" i="133"/>
  <c r="S1" i="133"/>
  <c r="G1" i="98"/>
  <c r="AN333" i="131"/>
  <c r="AE333" i="131"/>
  <c r="AO225" i="131"/>
  <c r="Y440" i="131"/>
  <c r="Y547" i="131" s="1"/>
  <c r="AF440" i="131"/>
  <c r="AF547" i="131" s="1"/>
  <c r="AG440" i="131"/>
  <c r="AG547" i="131" s="1"/>
  <c r="AH225" i="131"/>
  <c r="AM225" i="131"/>
  <c r="Z440" i="131"/>
  <c r="Z547" i="131" s="1"/>
  <c r="AL440" i="131"/>
  <c r="AL547" i="131" s="1"/>
  <c r="AA225" i="131"/>
  <c r="X333" i="131"/>
  <c r="U438" i="131"/>
  <c r="U9" i="131"/>
  <c r="AJ3" i="136"/>
  <c r="BT12" i="131"/>
  <c r="U545" i="131"/>
  <c r="U331" i="131"/>
  <c r="BS12" i="130"/>
  <c r="AR119" i="130"/>
  <c r="AK119" i="131"/>
  <c r="AK334" i="131" s="1"/>
  <c r="AR226" i="131"/>
  <c r="AR119" i="131"/>
  <c r="AR334" i="131" s="1"/>
  <c r="BS12" i="131"/>
  <c r="AS225" i="131"/>
  <c r="BG166" i="131"/>
  <c r="BG135" i="131"/>
  <c r="BG199" i="131"/>
  <c r="BG176" i="131"/>
  <c r="BG153" i="131"/>
  <c r="BG217" i="131"/>
  <c r="BG138" i="131"/>
  <c r="BG202" i="131"/>
  <c r="BG179" i="131"/>
  <c r="BG164" i="131"/>
  <c r="BG133" i="131"/>
  <c r="BG197" i="131"/>
  <c r="BG174" i="131"/>
  <c r="BG143" i="131"/>
  <c r="BG207" i="131"/>
  <c r="BG184" i="131"/>
  <c r="BG161" i="131"/>
  <c r="BG146" i="131"/>
  <c r="BG210" i="131"/>
  <c r="BG123" i="131"/>
  <c r="BG187" i="131"/>
  <c r="BG172" i="131"/>
  <c r="BG141" i="131"/>
  <c r="BG205" i="131"/>
  <c r="BG182" i="131"/>
  <c r="BG151" i="131"/>
  <c r="BG215" i="131"/>
  <c r="BG128" i="131"/>
  <c r="BG192" i="131"/>
  <c r="BG169" i="131"/>
  <c r="BG154" i="131"/>
  <c r="BG218" i="131"/>
  <c r="BG131" i="131"/>
  <c r="BG195" i="131"/>
  <c r="BG180" i="131"/>
  <c r="BG149" i="131"/>
  <c r="BG213" i="131"/>
  <c r="BG126" i="131"/>
  <c r="BG190" i="131"/>
  <c r="BG159" i="131"/>
  <c r="BG136" i="131"/>
  <c r="BG200" i="131"/>
  <c r="BG177" i="131"/>
  <c r="BG162" i="131"/>
  <c r="BG139" i="131"/>
  <c r="BG203" i="131"/>
  <c r="BG124" i="131"/>
  <c r="BG188" i="131"/>
  <c r="BG157" i="131"/>
  <c r="BG134" i="131"/>
  <c r="BG198" i="131"/>
  <c r="BG167" i="131"/>
  <c r="BG144" i="131"/>
  <c r="BG208" i="131"/>
  <c r="BG121" i="131"/>
  <c r="BG185" i="131"/>
  <c r="BG170" i="131"/>
  <c r="BG147" i="131"/>
  <c r="BG211" i="131"/>
  <c r="BG132" i="131"/>
  <c r="BG196" i="131"/>
  <c r="BG165" i="131"/>
  <c r="BG142" i="131"/>
  <c r="BG206" i="131"/>
  <c r="BG175" i="131"/>
  <c r="BG152" i="131"/>
  <c r="BG216" i="131"/>
  <c r="BG129" i="131"/>
  <c r="BG193" i="131"/>
  <c r="BG178" i="131"/>
  <c r="BG155" i="131"/>
  <c r="BG140" i="131"/>
  <c r="BG204" i="131"/>
  <c r="BG173" i="131"/>
  <c r="BG150" i="131"/>
  <c r="BG214" i="131"/>
  <c r="BG183" i="131"/>
  <c r="BG160" i="131"/>
  <c r="BG137" i="131"/>
  <c r="BG201" i="131"/>
  <c r="BG122" i="131"/>
  <c r="BG186" i="131"/>
  <c r="BG163" i="131"/>
  <c r="BG148" i="131"/>
  <c r="BG212" i="131"/>
  <c r="BG181" i="131"/>
  <c r="BG158" i="131"/>
  <c r="BG127" i="131"/>
  <c r="BG191" i="131"/>
  <c r="BG168" i="131"/>
  <c r="BG145" i="131"/>
  <c r="BG209" i="131"/>
  <c r="BG130" i="131"/>
  <c r="BG194" i="131"/>
  <c r="BG171" i="131"/>
  <c r="BG156" i="131"/>
  <c r="BG125" i="131"/>
  <c r="BG189" i="131"/>
  <c r="N18" i="1"/>
  <c r="X18" i="1" s="1"/>
  <c r="T116" i="130"/>
  <c r="BQ12" i="130"/>
  <c r="AD119" i="130"/>
  <c r="BP12" i="130"/>
  <c r="W119" i="130"/>
  <c r="W226" i="131"/>
  <c r="W119" i="131"/>
  <c r="W334" i="131" s="1"/>
  <c r="BP12" i="131"/>
  <c r="AD226" i="131"/>
  <c r="AD119" i="131"/>
  <c r="AD334" i="131" s="1"/>
  <c r="BQ12" i="131"/>
  <c r="T8" i="83"/>
  <c r="S8" i="83"/>
  <c r="R8" i="83"/>
  <c r="U9" i="83" a="1"/>
  <c r="U9" i="83" s="1"/>
  <c r="E1" i="98"/>
  <c r="D1" i="98"/>
  <c r="AG60" i="133" l="1" a="1"/>
  <c r="AG60" i="133" s="1"/>
  <c r="AX36" i="133" a="1"/>
  <c r="AX36" i="133" s="1"/>
  <c r="AB38" i="133" a="1"/>
  <c r="AB38" i="133" s="1"/>
  <c r="BA18" i="133"/>
  <c r="BA63" i="133"/>
  <c r="AX41" i="133" a="1"/>
  <c r="AX41" i="133" s="1"/>
  <c r="BA17" i="133"/>
  <c r="BA31" i="133"/>
  <c r="BA7" i="133"/>
  <c r="BA67" i="133"/>
  <c r="AI234" i="142"/>
  <c r="AI183" i="142"/>
  <c r="AX58" i="133" a="1"/>
  <c r="AX58" i="133" s="1"/>
  <c r="BA8" i="133"/>
  <c r="AI288" i="142"/>
  <c r="AX24" i="133" a="1"/>
  <c r="AX24" i="133" s="1"/>
  <c r="BA65" i="133"/>
  <c r="AX25" i="133" a="1"/>
  <c r="AX25" i="133" s="1"/>
  <c r="AI139" i="142"/>
  <c r="AI233" i="142"/>
  <c r="AX59" i="133" a="1"/>
  <c r="AX59" i="133" s="1"/>
  <c r="BA19" i="133"/>
  <c r="BA29" i="133"/>
  <c r="BA44" i="133"/>
  <c r="BA16" i="133"/>
  <c r="BA47" i="133"/>
  <c r="BA73" i="133"/>
  <c r="BA50" i="133"/>
  <c r="AI289" i="142"/>
  <c r="AI91" i="142"/>
  <c r="BA20" i="133"/>
  <c r="AX23" i="133" a="1"/>
  <c r="AX23" i="133" s="1"/>
  <c r="BA34" i="133"/>
  <c r="BA51" i="133"/>
  <c r="BA52" i="133"/>
  <c r="AX40" i="133" a="1"/>
  <c r="AX40" i="133" s="1"/>
  <c r="BA74" i="133"/>
  <c r="AX27" i="133" a="1"/>
  <c r="AX27" i="133" s="1"/>
  <c r="AX38" i="133" a="1"/>
  <c r="AX38" i="133" s="1"/>
  <c r="BA64" i="133"/>
  <c r="AI282" i="142"/>
  <c r="AI331" i="142"/>
  <c r="AI283" i="142"/>
  <c r="BA32" i="133"/>
  <c r="AX39" i="133" a="1"/>
  <c r="AX39" i="133" s="1"/>
  <c r="BA21" i="133"/>
  <c r="AI324" i="142"/>
  <c r="AX22" i="133" a="1"/>
  <c r="AX22" i="133" s="1"/>
  <c r="BA55" i="133"/>
  <c r="AX14" i="133" a="1"/>
  <c r="AX14" i="133" s="1"/>
  <c r="AX60" i="133" a="1"/>
  <c r="AX60" i="133" s="1"/>
  <c r="AX35" i="133" a="1"/>
  <c r="AX35" i="133" s="1"/>
  <c r="AX12" i="133" a="1"/>
  <c r="AX12" i="133" s="1"/>
  <c r="BA30" i="133"/>
  <c r="AX28" i="133" a="1"/>
  <c r="AX28" i="133" s="1"/>
  <c r="AI239" i="142"/>
  <c r="BA48" i="133"/>
  <c r="BA54" i="133"/>
  <c r="BA70" i="133"/>
  <c r="BA53" i="133"/>
  <c r="AX26" i="133" a="1"/>
  <c r="AX26" i="133" s="1"/>
  <c r="AX57" i="133" a="1"/>
  <c r="AX57" i="133" s="1"/>
  <c r="AX56" i="133" a="1"/>
  <c r="AX56" i="133" s="1"/>
  <c r="AX49" i="133" a="1"/>
  <c r="AX49" i="133" s="1"/>
  <c r="AX61" i="133" a="1"/>
  <c r="AX61" i="133" s="1"/>
  <c r="AX62" i="133" a="1"/>
  <c r="AX62" i="133" s="1"/>
  <c r="AX9" i="133" a="1"/>
  <c r="AX9" i="133" s="1"/>
  <c r="AX13" i="133" a="1"/>
  <c r="AX13" i="133" s="1"/>
  <c r="AX11" i="133" a="1"/>
  <c r="AX11" i="133" s="1"/>
  <c r="AX37" i="133" a="1"/>
  <c r="AX37" i="133" s="1"/>
  <c r="BA43" i="133"/>
  <c r="BA46" i="133"/>
  <c r="AX10" i="133" a="1"/>
  <c r="AX10" i="133" s="1"/>
  <c r="AX15" i="133" a="1"/>
  <c r="AX15" i="133" s="1"/>
  <c r="BA42" i="133"/>
  <c r="AX72" i="133" a="1"/>
  <c r="AX72" i="133" s="1"/>
  <c r="AI44" i="142"/>
  <c r="BA66" i="133"/>
  <c r="BA45" i="133"/>
  <c r="AI40" i="142"/>
  <c r="BA33" i="133"/>
  <c r="BA71" i="133"/>
  <c r="AI330" i="142"/>
  <c r="AI20" i="142"/>
  <c r="AI29" i="142"/>
  <c r="BA69" i="133"/>
  <c r="AW37" i="133" a="1"/>
  <c r="AW37" i="133" s="1"/>
  <c r="AI37" i="133" a="1"/>
  <c r="AI37" i="133" s="1"/>
  <c r="S62" i="1" a="1"/>
  <c r="S62" i="1" s="1"/>
  <c r="S44" i="1" a="1"/>
  <c r="S44" i="1" s="1"/>
  <c r="S23" i="1" a="1"/>
  <c r="S23" i="1" s="1"/>
  <c r="S52" i="1" a="1"/>
  <c r="S52" i="1" s="1"/>
  <c r="S35" i="1" a="1"/>
  <c r="S35" i="1" s="1"/>
  <c r="S38" i="1" a="1"/>
  <c r="S38" i="1" s="1"/>
  <c r="S58" i="1" a="1"/>
  <c r="S58" i="1" s="1"/>
  <c r="S32" i="1" a="1"/>
  <c r="S32" i="1" s="1"/>
  <c r="S60" i="1" a="1"/>
  <c r="S60" i="1" s="1"/>
  <c r="S48" i="1" a="1"/>
  <c r="S48" i="1" s="1"/>
  <c r="S43" i="1" a="1"/>
  <c r="S43" i="1" s="1"/>
  <c r="S25" i="1" a="1"/>
  <c r="S25" i="1" s="1"/>
  <c r="S28" i="1" a="1"/>
  <c r="S28" i="1" s="1"/>
  <c r="S65" i="1" a="1"/>
  <c r="S65" i="1" s="1"/>
  <c r="S39" i="1" a="1"/>
  <c r="S39" i="1" s="1"/>
  <c r="S51" i="1" a="1"/>
  <c r="S51" i="1" s="1"/>
  <c r="S42" i="1" a="1"/>
  <c r="S42" i="1" s="1"/>
  <c r="S26" i="1" a="1"/>
  <c r="S26" i="1" s="1"/>
  <c r="S64" i="1" a="1"/>
  <c r="S64" i="1" s="1"/>
  <c r="S66" i="1" a="1"/>
  <c r="S66" i="1" s="1"/>
  <c r="S40" i="1" a="1"/>
  <c r="S40" i="1" s="1"/>
  <c r="S45" i="1" a="1"/>
  <c r="S45" i="1" s="1"/>
  <c r="S34" i="1" a="1"/>
  <c r="S34" i="1" s="1"/>
  <c r="S31" i="1" a="1"/>
  <c r="S31" i="1" s="1"/>
  <c r="S33" i="1" a="1"/>
  <c r="S33" i="1" s="1"/>
  <c r="S29" i="1" a="1"/>
  <c r="S29" i="1" s="1"/>
  <c r="S21" i="1" a="1"/>
  <c r="S21" i="1" s="1"/>
  <c r="S47" i="1" a="1"/>
  <c r="S47" i="1" s="1"/>
  <c r="S59" i="1" a="1"/>
  <c r="S59" i="1" s="1"/>
  <c r="S41" i="1" a="1"/>
  <c r="S41" i="1" s="1"/>
  <c r="S22" i="1" a="1"/>
  <c r="S22" i="1" s="1"/>
  <c r="S61" i="1" a="1"/>
  <c r="S61" i="1" s="1"/>
  <c r="S56" i="1" a="1"/>
  <c r="S56" i="1" s="1"/>
  <c r="S57" i="1" a="1"/>
  <c r="S57" i="1" s="1"/>
  <c r="S63" i="1" a="1"/>
  <c r="S63" i="1" s="1"/>
  <c r="S46" i="1" a="1"/>
  <c r="S46" i="1" s="1"/>
  <c r="S55" i="1" a="1"/>
  <c r="S55" i="1" s="1"/>
  <c r="S67" i="1" a="1"/>
  <c r="S67" i="1" s="1"/>
  <c r="S49" i="1" a="1"/>
  <c r="S49" i="1" s="1"/>
  <c r="S37" i="1" a="1"/>
  <c r="S37" i="1" s="1"/>
  <c r="S20" i="1" a="1"/>
  <c r="S20" i="1" s="1"/>
  <c r="S54" i="1" a="1"/>
  <c r="S54" i="1" s="1"/>
  <c r="S36" i="1" a="1"/>
  <c r="S36" i="1" s="1"/>
  <c r="S30" i="1" a="1"/>
  <c r="S30" i="1" s="1"/>
  <c r="S50" i="1" a="1"/>
  <c r="S50" i="1" s="1"/>
  <c r="S24" i="1" a="1"/>
  <c r="S24" i="1" s="1"/>
  <c r="S53" i="1" a="1"/>
  <c r="S53" i="1" s="1"/>
  <c r="S27" i="1" a="1"/>
  <c r="S27" i="1" s="1"/>
  <c r="BK334" i="142" a="1"/>
  <c r="BK334" i="142" s="1"/>
  <c r="BK186" i="142" a="1"/>
  <c r="BK186" i="142" s="1"/>
  <c r="BK98" i="142" a="1"/>
  <c r="BK98" i="142" s="1"/>
  <c r="BK192" i="142" a="1"/>
  <c r="BK192" i="142" s="1"/>
  <c r="BK93" i="142" a="1"/>
  <c r="BK93" i="142" s="1"/>
  <c r="BK183" i="142" a="1"/>
  <c r="BK183" i="142" s="1"/>
  <c r="BK138" i="142" a="1"/>
  <c r="BK138" i="142" s="1"/>
  <c r="BK143" i="142" a="1"/>
  <c r="BK143" i="142" s="1"/>
  <c r="BK329" i="142" a="1"/>
  <c r="BK329" i="142" s="1"/>
  <c r="BK230" i="142" a="1"/>
  <c r="BK230" i="142" s="1"/>
  <c r="BK187" i="142" a="1"/>
  <c r="BK187" i="142" s="1"/>
  <c r="BK25" i="142" a="1"/>
  <c r="BK25" i="142" s="1"/>
  <c r="BK86" i="142" a="1"/>
  <c r="BK86" i="142" s="1"/>
  <c r="BK142" i="142" a="1"/>
  <c r="BK142" i="142" s="1"/>
  <c r="BK194" i="142" a="1"/>
  <c r="BK194" i="142" s="1"/>
  <c r="BK139" i="142" a="1"/>
  <c r="BK139" i="142" s="1"/>
  <c r="BK337" i="142" a="1"/>
  <c r="BK337" i="142" s="1"/>
  <c r="BK240" i="142" a="1"/>
  <c r="BK240" i="142" s="1"/>
  <c r="BK191" i="142" a="1"/>
  <c r="BK191" i="142" s="1"/>
  <c r="BK146" i="142" a="1"/>
  <c r="BK146" i="142" s="1"/>
  <c r="BK290" i="142" a="1"/>
  <c r="BK290" i="142" s="1"/>
  <c r="BK135" i="142" a="1"/>
  <c r="BK135" i="142" s="1"/>
  <c r="BK238" i="142" a="1"/>
  <c r="BK238" i="142" s="1"/>
  <c r="BK195" i="142" a="1"/>
  <c r="BK195" i="142" s="1"/>
  <c r="BK31" i="142" a="1"/>
  <c r="BK31" i="142" s="1"/>
  <c r="BK193" i="142" a="1"/>
  <c r="BK193" i="142" s="1"/>
  <c r="BK289" i="142" a="1"/>
  <c r="BK289" i="142" s="1"/>
  <c r="BK234" i="142" a="1"/>
  <c r="BK234" i="142" s="1"/>
  <c r="BK181" i="142" a="1"/>
  <c r="BK181" i="142" s="1"/>
  <c r="BK38" i="142" a="1"/>
  <c r="BK38" i="142" s="1"/>
  <c r="BK46" i="142" a="1"/>
  <c r="BK46" i="142" s="1"/>
  <c r="BK231" i="142" a="1"/>
  <c r="BK231" i="142" s="1"/>
  <c r="BK188" i="142" a="1"/>
  <c r="BK188" i="142" s="1"/>
  <c r="BK18" i="142" a="1"/>
  <c r="BK18" i="142" s="1"/>
  <c r="BK282" i="142" a="1"/>
  <c r="BK282" i="142" s="1"/>
  <c r="BK279" i="142" a="1"/>
  <c r="BK279" i="142" s="1"/>
  <c r="BK235" i="142" a="1"/>
  <c r="BK235" i="142" s="1"/>
  <c r="BK43" i="142" a="1"/>
  <c r="BK43" i="142" s="1"/>
  <c r="BK22" i="142" a="1"/>
  <c r="BK22" i="142" s="1"/>
  <c r="BK94" i="142" a="1"/>
  <c r="BK94" i="142" s="1"/>
  <c r="BK242" i="142" a="1"/>
  <c r="BK242" i="142" s="1"/>
  <c r="BK189" i="142" a="1"/>
  <c r="BK189" i="142" s="1"/>
  <c r="BK233" i="142" a="1"/>
  <c r="BK233" i="142" s="1"/>
  <c r="BK185" i="142" a="1"/>
  <c r="BK185" i="142" s="1"/>
  <c r="BK239" i="142" a="1"/>
  <c r="BK239" i="142" s="1"/>
  <c r="BK228" i="142" a="1"/>
  <c r="BK228" i="142" s="1"/>
  <c r="BK26" i="142" a="1"/>
  <c r="BK26" i="142" s="1"/>
  <c r="BK23" i="142" a="1"/>
  <c r="BK23" i="142" s="1"/>
  <c r="BK287" i="142" a="1"/>
  <c r="BK287" i="142" s="1"/>
  <c r="BK276" i="142" a="1"/>
  <c r="BK276" i="142" s="1"/>
  <c r="BK51" i="142" a="1"/>
  <c r="BK51" i="142" s="1"/>
  <c r="BK40" i="142" a="1"/>
  <c r="BK40" i="142" s="1"/>
  <c r="BK241" i="142" a="1"/>
  <c r="BK241" i="142" s="1"/>
  <c r="BK283" i="142" a="1"/>
  <c r="BK283" i="142" s="1"/>
  <c r="BK229" i="142" a="1"/>
  <c r="BK229" i="142" s="1"/>
  <c r="BK21" i="142" a="1"/>
  <c r="BK21" i="142" s="1"/>
  <c r="BK24" i="142" a="1"/>
  <c r="BK24" i="142" s="1"/>
  <c r="BK280" i="142" a="1"/>
  <c r="BK280" i="142" s="1"/>
  <c r="BK236" i="142" a="1"/>
  <c r="BK236" i="142" s="1"/>
  <c r="BK44" i="142" a="1"/>
  <c r="BK44" i="142" s="1"/>
  <c r="BK29" i="142" a="1"/>
  <c r="BK29" i="142" s="1"/>
  <c r="BK327" i="142" a="1"/>
  <c r="BK327" i="142" s="1"/>
  <c r="BK284" i="142" a="1"/>
  <c r="BK284" i="142" s="1"/>
  <c r="BK91" i="142" a="1"/>
  <c r="BK91" i="142" s="1"/>
  <c r="BK48" i="142" a="1"/>
  <c r="BK48" i="142" s="1"/>
  <c r="BK330" i="142" a="1"/>
  <c r="BK330" i="142" s="1"/>
  <c r="BK323" i="142" a="1"/>
  <c r="BK323" i="142" s="1"/>
  <c r="BK237" i="142" a="1"/>
  <c r="BK237" i="142" s="1"/>
  <c r="BK47" i="142" a="1"/>
  <c r="BK47" i="142" s="1"/>
  <c r="BK30" i="142" a="1"/>
  <c r="BK30" i="142" s="1"/>
  <c r="BK288" i="142" a="1"/>
  <c r="BK288" i="142" s="1"/>
  <c r="BK277" i="142" a="1"/>
  <c r="BK277" i="142" s="1"/>
  <c r="BK84" i="142" a="1"/>
  <c r="BK84" i="142" s="1"/>
  <c r="BK41" i="142" a="1"/>
  <c r="BK41" i="142" s="1"/>
  <c r="BK335" i="142" a="1"/>
  <c r="BK335" i="142" s="1"/>
  <c r="BK324" i="142" a="1"/>
  <c r="BK324" i="142" s="1"/>
  <c r="BK132" i="142" a="1"/>
  <c r="BK132" i="142" s="1"/>
  <c r="BK88" i="142" a="1"/>
  <c r="BK88" i="142" s="1"/>
  <c r="BK28" i="142" a="1"/>
  <c r="BK28" i="142" s="1"/>
  <c r="BK331" i="142" a="1"/>
  <c r="BK331" i="142" s="1"/>
  <c r="BK278" i="142" a="1"/>
  <c r="BK278" i="142" s="1"/>
  <c r="BK95" i="142" a="1"/>
  <c r="BK95" i="142" s="1"/>
  <c r="BK42" i="142" a="1"/>
  <c r="BK42" i="142" s="1"/>
  <c r="BK328" i="142" a="1"/>
  <c r="BK328" i="142" s="1"/>
  <c r="BK285" i="142" a="1"/>
  <c r="BK285" i="142" s="1"/>
  <c r="BK92" i="142" a="1"/>
  <c r="BK92" i="142" s="1"/>
  <c r="BK49" i="142" a="1"/>
  <c r="BK49" i="142" s="1"/>
  <c r="BK85" i="142" a="1"/>
  <c r="BK85" i="142" s="1"/>
  <c r="BK332" i="142" a="1"/>
  <c r="BK332" i="142" s="1"/>
  <c r="BK140" i="142" a="1"/>
  <c r="BK140" i="142" s="1"/>
  <c r="BK96" i="142" a="1"/>
  <c r="BK96" i="142" s="1"/>
  <c r="BK39" i="142" a="1"/>
  <c r="BK39" i="142" s="1"/>
  <c r="BK19" i="142" a="1"/>
  <c r="BK19" i="142" s="1"/>
  <c r="BK286" i="142" a="1"/>
  <c r="BK286" i="142" s="1"/>
  <c r="BK136" i="142" a="1"/>
  <c r="BK136" i="142" s="1"/>
  <c r="BK50" i="142" a="1"/>
  <c r="BK50" i="142" s="1"/>
  <c r="BK336" i="142" a="1"/>
  <c r="BK336" i="142" s="1"/>
  <c r="BK325" i="142" a="1"/>
  <c r="BK325" i="142" s="1"/>
  <c r="BK133" i="142" a="1"/>
  <c r="BK133" i="142" s="1"/>
  <c r="BK89" i="142" a="1"/>
  <c r="BK89" i="142" s="1"/>
  <c r="BK232" i="142" a="1"/>
  <c r="BK232" i="142" s="1"/>
  <c r="BK37" i="142" a="1"/>
  <c r="BK37" i="142" s="1"/>
  <c r="BK182" i="142" a="1"/>
  <c r="BK182" i="142" s="1"/>
  <c r="BK137" i="142" a="1"/>
  <c r="BK137" i="142" s="1"/>
  <c r="BK87" i="142" a="1"/>
  <c r="BK87" i="142" s="1"/>
  <c r="BK134" i="142" a="1"/>
  <c r="BK134" i="142" s="1"/>
  <c r="BK326" i="142" a="1"/>
  <c r="BK326" i="142" s="1"/>
  <c r="BK144" i="142" a="1"/>
  <c r="BK144" i="142" s="1"/>
  <c r="BK90" i="142" a="1"/>
  <c r="BK90" i="142" s="1"/>
  <c r="BK45" i="142" a="1"/>
  <c r="BK45" i="142" s="1"/>
  <c r="BK333" i="142" a="1"/>
  <c r="BK333" i="142" s="1"/>
  <c r="BK141" i="142" a="1"/>
  <c r="BK141" i="142" s="1"/>
  <c r="BK97" i="142" a="1"/>
  <c r="BK97" i="142" s="1"/>
  <c r="BK20" i="142" a="1"/>
  <c r="BK20" i="142" s="1"/>
  <c r="BK184" i="142" a="1"/>
  <c r="BK184" i="142" s="1"/>
  <c r="BK190" i="142" a="1"/>
  <c r="BK190" i="142" s="1"/>
  <c r="BK145" i="142" a="1"/>
  <c r="BK145" i="142" s="1"/>
  <c r="BK17" i="142" a="1"/>
  <c r="BK17" i="142" s="1"/>
  <c r="BK281" i="142" a="1"/>
  <c r="BK281" i="142" s="1"/>
  <c r="BK27" i="142" a="1"/>
  <c r="BK27" i="142" s="1"/>
  <c r="W51" i="142"/>
  <c r="AJ38" i="133" a="1"/>
  <c r="AJ38" i="133" s="1"/>
  <c r="AC33" i="133"/>
  <c r="AK50" i="133"/>
  <c r="AI51" i="142"/>
  <c r="AC53" i="133"/>
  <c r="AS52" i="133"/>
  <c r="AS7" i="133"/>
  <c r="AS42" i="133"/>
  <c r="AK29" i="133"/>
  <c r="AS67" i="133"/>
  <c r="AK33" i="133"/>
  <c r="AK32" i="133"/>
  <c r="AC7" i="133"/>
  <c r="AC54" i="133"/>
  <c r="AC65" i="133"/>
  <c r="AK55" i="133"/>
  <c r="AC30" i="133"/>
  <c r="AC18" i="133"/>
  <c r="AC67" i="133"/>
  <c r="AC63" i="133"/>
  <c r="AK70" i="133"/>
  <c r="AW36" i="133" a="1"/>
  <c r="AW36" i="133" s="1"/>
  <c r="AC47" i="133"/>
  <c r="AC70" i="133"/>
  <c r="AC46" i="133"/>
  <c r="AK47" i="133"/>
  <c r="AC50" i="133"/>
  <c r="AK43" i="133"/>
  <c r="AK65" i="133"/>
  <c r="AK54" i="133"/>
  <c r="AK31" i="133"/>
  <c r="AK7" i="133"/>
  <c r="AS43" i="133"/>
  <c r="AW23" i="133" a="1"/>
  <c r="AW23" i="133" s="1"/>
  <c r="AW59" i="133" a="1"/>
  <c r="AW59" i="133" s="1"/>
  <c r="AW41" i="133" a="1"/>
  <c r="AW41" i="133" s="1"/>
  <c r="AW72" i="133" a="1"/>
  <c r="AW72" i="133" s="1"/>
  <c r="AC52" i="133"/>
  <c r="AC51" i="133"/>
  <c r="AC55" i="133"/>
  <c r="AC71" i="133"/>
  <c r="AK64" i="133"/>
  <c r="AC19" i="133"/>
  <c r="AC43" i="133"/>
  <c r="AC44" i="133"/>
  <c r="AC31" i="133"/>
  <c r="AC64" i="133"/>
  <c r="AC73" i="133"/>
  <c r="AC8" i="133"/>
  <c r="AC74" i="133"/>
  <c r="AC42" i="133"/>
  <c r="AC66" i="133"/>
  <c r="AS68" i="133"/>
  <c r="AS17" i="133"/>
  <c r="AS64" i="133"/>
  <c r="AS55" i="133"/>
  <c r="AS66" i="133"/>
  <c r="AS53" i="133"/>
  <c r="AC45" i="133"/>
  <c r="AC29" i="133"/>
  <c r="AC34" i="133"/>
  <c r="AK34" i="133"/>
  <c r="AC17" i="133"/>
  <c r="AK46" i="133"/>
  <c r="AK71" i="133"/>
  <c r="AC32" i="133"/>
  <c r="AC48" i="133"/>
  <c r="AK30" i="133"/>
  <c r="AK18" i="133"/>
  <c r="AK63" i="133"/>
  <c r="AK45" i="133"/>
  <c r="AK21" i="133"/>
  <c r="AK51" i="133"/>
  <c r="AK44" i="133"/>
  <c r="AK16" i="133"/>
  <c r="AK68" i="133"/>
  <c r="AK19" i="133"/>
  <c r="AK73" i="133"/>
  <c r="AK48" i="133"/>
  <c r="AK42" i="133"/>
  <c r="AK66" i="133"/>
  <c r="AK67" i="133"/>
  <c r="AS45" i="133"/>
  <c r="AK17" i="133"/>
  <c r="AK74" i="133"/>
  <c r="AK52" i="133"/>
  <c r="AK8" i="133"/>
  <c r="AK20" i="133"/>
  <c r="AS8" i="133"/>
  <c r="AS18" i="133"/>
  <c r="AK53" i="133"/>
  <c r="AS20" i="133"/>
  <c r="AS51" i="133"/>
  <c r="AS74" i="133"/>
  <c r="AS71" i="133"/>
  <c r="AS63" i="133"/>
  <c r="AS73" i="133"/>
  <c r="AS32" i="133"/>
  <c r="AS54" i="133"/>
  <c r="AS21" i="133"/>
  <c r="AS29" i="133"/>
  <c r="AS19" i="133"/>
  <c r="AS46" i="133"/>
  <c r="AS33" i="133"/>
  <c r="AS65" i="133"/>
  <c r="AS16" i="133"/>
  <c r="AS50" i="133"/>
  <c r="AS34" i="133"/>
  <c r="AS44" i="133"/>
  <c r="AS47" i="133"/>
  <c r="AS48" i="133"/>
  <c r="AS30" i="133"/>
  <c r="AS70" i="133"/>
  <c r="AS31" i="133"/>
  <c r="AC20" i="133"/>
  <c r="AC68" i="133"/>
  <c r="AC21" i="133"/>
  <c r="AC16" i="133"/>
  <c r="Q51" i="142"/>
  <c r="AW28" i="133" a="1"/>
  <c r="AW28" i="133" s="1"/>
  <c r="AW38" i="133" a="1"/>
  <c r="AW38" i="133" s="1"/>
  <c r="AI49" i="133" a="1"/>
  <c r="AI49" i="133" s="1"/>
  <c r="AB40" i="133" a="1"/>
  <c r="AB40" i="133" s="1"/>
  <c r="Y24" i="133" a="1"/>
  <c r="Y24" i="133" s="1"/>
  <c r="AA36" i="133" a="1"/>
  <c r="AA36" i="133" s="1"/>
  <c r="AW49" i="133" a="1"/>
  <c r="AW49" i="133" s="1"/>
  <c r="AW11" i="133" a="1"/>
  <c r="AW11" i="133" s="1"/>
  <c r="AW60" i="133" a="1"/>
  <c r="AW60" i="133" s="1"/>
  <c r="AC51" i="142"/>
  <c r="AW61" i="133" a="1"/>
  <c r="AW61" i="133" s="1"/>
  <c r="Y69" i="133" a="1"/>
  <c r="Y69" i="133" s="1"/>
  <c r="AC69" i="133" s="1"/>
  <c r="AW58" i="133" a="1"/>
  <c r="AW58" i="133" s="1"/>
  <c r="BA58" i="133" s="1"/>
  <c r="AW62" i="133" a="1"/>
  <c r="AW62" i="133" s="1"/>
  <c r="AW27" i="133" a="1"/>
  <c r="AW27" i="133" s="1"/>
  <c r="AW57" i="133" a="1"/>
  <c r="AW57" i="133" s="1"/>
  <c r="AW15" i="133" a="1"/>
  <c r="AW15" i="133" s="1"/>
  <c r="AW13" i="133" a="1"/>
  <c r="AW13" i="133" s="1"/>
  <c r="AW25" i="133" a="1"/>
  <c r="AW25" i="133" s="1"/>
  <c r="AJ59" i="133" a="1"/>
  <c r="AJ59" i="133" s="1"/>
  <c r="AW26" i="133" a="1"/>
  <c r="AW26" i="133" s="1"/>
  <c r="AW10" i="133" a="1"/>
  <c r="AW10" i="133" s="1"/>
  <c r="AW24" i="133" a="1"/>
  <c r="AW24" i="133" s="1"/>
  <c r="AW14" i="133" a="1"/>
  <c r="AW14" i="133" s="1"/>
  <c r="AW39" i="133" a="1"/>
  <c r="AW39" i="133" s="1"/>
  <c r="AW12" i="133" a="1"/>
  <c r="AW12" i="133" s="1"/>
  <c r="AI58" i="133" a="1"/>
  <c r="AI58" i="133" s="1"/>
  <c r="AG69" i="133" a="1"/>
  <c r="AG69" i="133" s="1"/>
  <c r="AK69" i="133" s="1"/>
  <c r="AO69" i="133" a="1"/>
  <c r="AO69" i="133" s="1"/>
  <c r="AS69" i="133" s="1"/>
  <c r="AW40" i="133" a="1"/>
  <c r="AW40" i="133" s="1"/>
  <c r="AR38" i="133" a="1"/>
  <c r="AR38" i="133" s="1"/>
  <c r="AG37" i="133" a="1"/>
  <c r="AG37" i="133" s="1"/>
  <c r="Q284" i="142"/>
  <c r="AP23" i="133" a="1"/>
  <c r="AP23" i="133" s="1"/>
  <c r="AO36" i="133" a="1"/>
  <c r="AO36" i="133" s="1"/>
  <c r="AJ24" i="133" a="1"/>
  <c r="AJ24" i="133" s="1"/>
  <c r="Y40" i="133" a="1"/>
  <c r="Y40" i="133" s="1"/>
  <c r="AA59" i="133" a="1"/>
  <c r="AA59" i="133" s="1"/>
  <c r="AH49" i="133" a="1"/>
  <c r="AH49" i="133" s="1"/>
  <c r="AH56" i="133" a="1"/>
  <c r="AH56" i="133" s="1"/>
  <c r="AQ56" i="133" a="1"/>
  <c r="AQ56" i="133" s="1"/>
  <c r="AI22" i="133" a="1"/>
  <c r="AI22" i="133" s="1"/>
  <c r="AP38" i="133" a="1"/>
  <c r="AP38" i="133" s="1"/>
  <c r="AH41" i="133" a="1"/>
  <c r="AH41" i="133" s="1"/>
  <c r="AI39" i="133" a="1"/>
  <c r="AI39" i="133" s="1"/>
  <c r="AH38" i="133" a="1"/>
  <c r="AH38" i="133" s="1"/>
  <c r="AQ24" i="133" a="1"/>
  <c r="AQ24" i="133" s="1"/>
  <c r="AP61" i="133" a="1"/>
  <c r="AP61" i="133" s="1"/>
  <c r="AB25" i="133" a="1"/>
  <c r="AB25" i="133" s="1"/>
  <c r="AR72" i="133" a="1"/>
  <c r="AR72" i="133" s="1"/>
  <c r="AH40" i="133" a="1"/>
  <c r="AH40" i="133" s="1"/>
  <c r="AJ61" i="133" a="1"/>
  <c r="AJ61" i="133" s="1"/>
  <c r="AA40" i="133" a="1"/>
  <c r="AA40" i="133" s="1"/>
  <c r="Z23" i="133" a="1"/>
  <c r="Z23" i="133" s="1"/>
  <c r="Y56" i="133" a="1"/>
  <c r="Y56" i="133" s="1"/>
  <c r="AB56" i="133" a="1"/>
  <c r="AB56" i="133" s="1"/>
  <c r="AB28" i="133" a="1"/>
  <c r="AB28" i="133" s="1"/>
  <c r="Z38" i="133" a="1"/>
  <c r="Z38" i="133" s="1"/>
  <c r="AJ62" i="133" a="1"/>
  <c r="AJ62" i="133" s="1"/>
  <c r="AA22" i="133" a="1"/>
  <c r="AA22" i="133" s="1"/>
  <c r="Y41" i="133" a="1"/>
  <c r="Y41" i="133" s="1"/>
  <c r="AI11" i="133" a="1"/>
  <c r="AI11" i="133" s="1"/>
  <c r="AH9" i="133" a="1"/>
  <c r="AH9" i="133" s="1"/>
  <c r="AI10" i="133" a="1"/>
  <c r="AI10" i="133" s="1"/>
  <c r="AG38" i="133" a="1"/>
  <c r="AG38" i="133" s="1"/>
  <c r="AH25" i="133" a="1"/>
  <c r="AH25" i="133" s="1"/>
  <c r="AG57" i="133" a="1"/>
  <c r="AG57" i="133" s="1"/>
  <c r="AI23" i="133" a="1"/>
  <c r="AI23" i="133" s="1"/>
  <c r="AO35" i="133" a="1"/>
  <c r="AO35" i="133" s="1"/>
  <c r="AP28" i="133" a="1"/>
  <c r="AP28" i="133" s="1"/>
  <c r="AO22" i="133" a="1"/>
  <c r="AO22" i="133" s="1"/>
  <c r="AP41" i="133" a="1"/>
  <c r="AP41" i="133" s="1"/>
  <c r="AQ22" i="133" a="1"/>
  <c r="AQ22" i="133" s="1"/>
  <c r="AQ37" i="133" a="1"/>
  <c r="AQ37" i="133" s="1"/>
  <c r="AQ36" i="133" a="1"/>
  <c r="AQ36" i="133" s="1"/>
  <c r="AW56" i="133" a="1"/>
  <c r="AW56" i="133" s="1"/>
  <c r="AW35" i="133" a="1"/>
  <c r="AW35" i="133" s="1"/>
  <c r="AR62" i="133" a="1"/>
  <c r="AR62" i="133" s="1"/>
  <c r="AG59" i="133" a="1"/>
  <c r="AG59" i="133" s="1"/>
  <c r="AG27" i="133" a="1"/>
  <c r="AG27" i="133" s="1"/>
  <c r="AQ58" i="133" a="1"/>
  <c r="AQ58" i="133" s="1"/>
  <c r="Z57" i="133" a="1"/>
  <c r="Z57" i="133" s="1"/>
  <c r="AO28" i="133" a="1"/>
  <c r="AO28" i="133" s="1"/>
  <c r="AI36" i="133" a="1"/>
  <c r="AI36" i="133" s="1"/>
  <c r="AR39" i="133" a="1"/>
  <c r="AR39" i="133" s="1"/>
  <c r="AG40" i="133" a="1"/>
  <c r="AG40" i="133" s="1"/>
  <c r="AO41" i="133" a="1"/>
  <c r="AO41" i="133" s="1"/>
  <c r="AI15" i="133" a="1"/>
  <c r="AI15" i="133" s="1"/>
  <c r="AA49" i="133" a="1"/>
  <c r="AA49" i="133" s="1"/>
  <c r="Z10" i="133" a="1"/>
  <c r="Z10" i="133" s="1"/>
  <c r="Z62" i="133" a="1"/>
  <c r="Z62" i="133" s="1"/>
  <c r="Z58" i="133" a="1"/>
  <c r="Z58" i="133" s="1"/>
  <c r="AC167" i="142"/>
  <c r="AO25" i="133" a="1"/>
  <c r="AO25" i="133" s="1"/>
  <c r="AI24" i="133" a="1"/>
  <c r="AI24" i="133" s="1"/>
  <c r="AI61" i="133" a="1"/>
  <c r="AI61" i="133" s="1"/>
  <c r="AH61" i="133" a="1"/>
  <c r="AH61" i="133" s="1"/>
  <c r="AA38" i="133" a="1"/>
  <c r="AA38" i="133" s="1"/>
  <c r="AB10" i="133" a="1"/>
  <c r="AB10" i="133" s="1"/>
  <c r="AJ22" i="133" a="1"/>
  <c r="AJ22" i="133" s="1"/>
  <c r="AP37" i="133" a="1"/>
  <c r="AP37" i="133" s="1"/>
  <c r="AI57" i="133" a="1"/>
  <c r="AI57" i="133" s="1"/>
  <c r="AA57" i="133" a="1"/>
  <c r="AA57" i="133" s="1"/>
  <c r="AJ60" i="133" a="1"/>
  <c r="AJ60" i="133" s="1"/>
  <c r="AA35" i="133" a="1"/>
  <c r="AA35" i="133" s="1"/>
  <c r="AR25" i="133" a="1"/>
  <c r="AR25" i="133" s="1"/>
  <c r="Z59" i="133" a="1"/>
  <c r="Z59" i="133" s="1"/>
  <c r="AJ26" i="133" a="1"/>
  <c r="AJ26" i="133" s="1"/>
  <c r="AQ72" i="133" a="1"/>
  <c r="AQ72" i="133" s="1"/>
  <c r="AR35" i="133" a="1"/>
  <c r="AR35" i="133" s="1"/>
  <c r="AG36" i="133" a="1"/>
  <c r="AG36" i="133" s="1"/>
  <c r="AG35" i="133" a="1"/>
  <c r="AG35" i="133" s="1"/>
  <c r="AG56" i="133" a="1"/>
  <c r="AG56" i="133" s="1"/>
  <c r="AI56" i="133" a="1"/>
  <c r="AI56" i="133" s="1"/>
  <c r="Y28" i="133" a="1"/>
  <c r="Y28" i="133" s="1"/>
  <c r="AP57" i="133" a="1"/>
  <c r="AP57" i="133" s="1"/>
  <c r="AP10" i="133" a="1"/>
  <c r="AP10" i="133" s="1"/>
  <c r="AP27" i="133" a="1"/>
  <c r="AP27" i="133" s="1"/>
  <c r="AO26" i="133" a="1"/>
  <c r="AO26" i="133" s="1"/>
  <c r="AO39" i="133" a="1"/>
  <c r="AO39" i="133" s="1"/>
  <c r="AI38" i="133" a="1"/>
  <c r="AI38" i="133" s="1"/>
  <c r="AH58" i="133" a="1"/>
  <c r="AH58" i="133" s="1"/>
  <c r="AP11" i="133" a="1"/>
  <c r="AP11" i="133" s="1"/>
  <c r="AG62" i="133" a="1"/>
  <c r="AG62" i="133" s="1"/>
  <c r="AH23" i="133" a="1"/>
  <c r="AH23" i="133" s="1"/>
  <c r="AQ15" i="133" a="1"/>
  <c r="AQ15" i="133" s="1"/>
  <c r="AQ38" i="133" a="1"/>
  <c r="AQ38" i="133" s="1"/>
  <c r="AA58" i="133" a="1"/>
  <c r="AA58" i="133" s="1"/>
  <c r="Y60" i="133" a="1"/>
  <c r="Y60" i="133" s="1"/>
  <c r="AR15" i="133" a="1"/>
  <c r="AR15" i="133" s="1"/>
  <c r="AP62" i="133" a="1"/>
  <c r="AP62" i="133" s="1"/>
  <c r="AG23" i="133" a="1"/>
  <c r="AG23" i="133" s="1"/>
  <c r="AG13" i="133" a="1"/>
  <c r="AG13" i="133" s="1"/>
  <c r="AG26" i="133" a="1"/>
  <c r="AG26" i="133" s="1"/>
  <c r="AG24" i="133" a="1"/>
  <c r="AG24" i="133" s="1"/>
  <c r="AO24" i="133" a="1"/>
  <c r="AO24" i="133" s="1"/>
  <c r="AO59" i="133" a="1"/>
  <c r="AO59" i="133" s="1"/>
  <c r="AO23" i="133" a="1"/>
  <c r="AO23" i="133" s="1"/>
  <c r="AO27" i="133" a="1"/>
  <c r="AO27" i="133" s="1"/>
  <c r="AI25" i="133" a="1"/>
  <c r="AI25" i="133" s="1"/>
  <c r="AI12" i="133" a="1"/>
  <c r="AI12" i="133" s="1"/>
  <c r="AH13" i="133" a="1"/>
  <c r="AH13" i="133" s="1"/>
  <c r="AQ59" i="133" a="1"/>
  <c r="AQ59" i="133" s="1"/>
  <c r="AQ41" i="133" a="1"/>
  <c r="AQ41" i="133" s="1"/>
  <c r="AQ13" i="133" a="1"/>
  <c r="AQ13" i="133" s="1"/>
  <c r="AA27" i="133" a="1"/>
  <c r="AA27" i="133" s="1"/>
  <c r="AA41" i="133" a="1"/>
  <c r="AA41" i="133" s="1"/>
  <c r="AB11" i="133" a="1"/>
  <c r="AB11" i="133" s="1"/>
  <c r="AB41" i="133" a="1"/>
  <c r="AB41" i="133" s="1"/>
  <c r="Y26" i="133" a="1"/>
  <c r="Y26" i="133" s="1"/>
  <c r="AP13" i="133" a="1"/>
  <c r="AP13" i="133" s="1"/>
  <c r="Z14" i="133" a="1"/>
  <c r="Z14" i="133" s="1"/>
  <c r="AQ35" i="133" a="1"/>
  <c r="AQ35" i="133" s="1"/>
  <c r="AP22" i="133" a="1"/>
  <c r="AP22" i="133" s="1"/>
  <c r="AP9" i="133" a="1"/>
  <c r="AP9" i="133" s="1"/>
  <c r="AB9" i="133" a="1"/>
  <c r="AB9" i="133" s="1"/>
  <c r="Z9" i="133" a="1"/>
  <c r="Z9" i="133" s="1"/>
  <c r="AJ56" i="133" a="1"/>
  <c r="AJ56" i="133" s="1"/>
  <c r="AW22" i="133" a="1"/>
  <c r="AW22" i="133" s="1"/>
  <c r="AW9" i="133" a="1"/>
  <c r="AW9" i="133" s="1"/>
  <c r="Y57" i="133" a="1"/>
  <c r="Y57" i="133" s="1"/>
  <c r="Y27" i="133" a="1"/>
  <c r="Y27" i="133" s="1"/>
  <c r="Y15" i="133" a="1"/>
  <c r="Y15" i="133" s="1"/>
  <c r="AR58" i="133" a="1"/>
  <c r="AR58" i="133" s="1"/>
  <c r="AR10" i="133" a="1"/>
  <c r="AR10" i="133" s="1"/>
  <c r="AR23" i="133" a="1"/>
  <c r="AR23" i="133" s="1"/>
  <c r="AP39" i="133" a="1"/>
  <c r="AP39" i="133" s="1"/>
  <c r="AP12" i="133" a="1"/>
  <c r="AP12" i="133" s="1"/>
  <c r="AP26" i="133" a="1"/>
  <c r="AP26" i="133" s="1"/>
  <c r="AP40" i="133" a="1"/>
  <c r="AP40" i="133" s="1"/>
  <c r="AG72" i="133" a="1"/>
  <c r="AG72" i="133" s="1"/>
  <c r="AG58" i="133" a="1"/>
  <c r="AG58" i="133" s="1"/>
  <c r="AO15" i="133" a="1"/>
  <c r="AO15" i="133" s="1"/>
  <c r="AO61" i="133" a="1"/>
  <c r="AO61" i="133" s="1"/>
  <c r="AO14" i="133" a="1"/>
  <c r="AO14" i="133" s="1"/>
  <c r="AI59" i="133" a="1"/>
  <c r="AI59" i="133" s="1"/>
  <c r="AI26" i="133" a="1"/>
  <c r="AI26" i="133" s="1"/>
  <c r="AH26" i="133" a="1"/>
  <c r="AH26" i="133" s="1"/>
  <c r="AH12" i="133" a="1"/>
  <c r="AH12" i="133" s="1"/>
  <c r="AH14" i="133" a="1"/>
  <c r="AH14" i="133" s="1"/>
  <c r="AH11" i="133" a="1"/>
  <c r="AH11" i="133" s="1"/>
  <c r="AH27" i="133" a="1"/>
  <c r="AH27" i="133" s="1"/>
  <c r="AQ40" i="133" a="1"/>
  <c r="AQ40" i="133" s="1"/>
  <c r="AQ14" i="133" a="1"/>
  <c r="AQ14" i="133" s="1"/>
  <c r="AQ28" i="133" a="1"/>
  <c r="AQ28" i="133" s="1"/>
  <c r="AA28" i="133" a="1"/>
  <c r="AA28" i="133" s="1"/>
  <c r="AA26" i="133" a="1"/>
  <c r="AA26" i="133" s="1"/>
  <c r="AA72" i="133" a="1"/>
  <c r="AA72" i="133" s="1"/>
  <c r="Z27" i="133" a="1"/>
  <c r="Z27" i="133" s="1"/>
  <c r="Z39" i="133" a="1"/>
  <c r="Z39" i="133" s="1"/>
  <c r="Z24" i="133" a="1"/>
  <c r="Z24" i="133" s="1"/>
  <c r="Z40" i="133" a="1"/>
  <c r="Z40" i="133" s="1"/>
  <c r="AB12" i="133" a="1"/>
  <c r="AB12" i="133" s="1"/>
  <c r="AB27" i="133" a="1"/>
  <c r="AB27" i="133" s="1"/>
  <c r="AJ57" i="133" a="1"/>
  <c r="AJ57" i="133" s="1"/>
  <c r="AJ41" i="133" a="1"/>
  <c r="AJ41" i="133" s="1"/>
  <c r="AJ11" i="133" a="1"/>
  <c r="AJ11" i="133" s="1"/>
  <c r="Z35" i="133" a="1"/>
  <c r="Z35" i="133" s="1"/>
  <c r="AA56" i="133" a="1"/>
  <c r="AA56" i="133" s="1"/>
  <c r="AR22" i="133" a="1"/>
  <c r="AR22" i="133" s="1"/>
  <c r="AG9" i="133" a="1"/>
  <c r="AG9" i="133" s="1"/>
  <c r="AI9" i="133" a="1"/>
  <c r="AI9" i="133" s="1"/>
  <c r="Y36" i="133" a="1"/>
  <c r="Y36" i="133" s="1"/>
  <c r="Y58" i="133" a="1"/>
  <c r="Y58" i="133" s="1"/>
  <c r="AR36" i="133" a="1"/>
  <c r="AR36" i="133" s="1"/>
  <c r="AR60" i="133" a="1"/>
  <c r="AR60" i="133" s="1"/>
  <c r="AG49" i="133" a="1"/>
  <c r="AG49" i="133" s="1"/>
  <c r="AG10" i="133" a="1"/>
  <c r="AG10" i="133" s="1"/>
  <c r="AI27" i="133" a="1"/>
  <c r="AI27" i="133" s="1"/>
  <c r="AI60" i="133" a="1"/>
  <c r="AI60" i="133" s="1"/>
  <c r="AI28" i="133" a="1"/>
  <c r="AI28" i="133" s="1"/>
  <c r="AI41" i="133" a="1"/>
  <c r="AI41" i="133" s="1"/>
  <c r="AH59" i="133" a="1"/>
  <c r="AH59" i="133" s="1"/>
  <c r="AH36" i="133" a="1"/>
  <c r="AH36" i="133" s="1"/>
  <c r="AQ39" i="133" a="1"/>
  <c r="AQ39" i="133" s="1"/>
  <c r="AQ57" i="133" a="1"/>
  <c r="AQ57" i="133" s="1"/>
  <c r="AA61" i="133" a="1"/>
  <c r="AA61" i="133" s="1"/>
  <c r="AA23" i="133" a="1"/>
  <c r="AA23" i="133" s="1"/>
  <c r="AA12" i="133" a="1"/>
  <c r="AA12" i="133" s="1"/>
  <c r="AA37" i="133" a="1"/>
  <c r="AA37" i="133" s="1"/>
  <c r="AA62" i="133" a="1"/>
  <c r="AA62" i="133" s="1"/>
  <c r="Z13" i="133" a="1"/>
  <c r="Z13" i="133" s="1"/>
  <c r="AB26" i="133" a="1"/>
  <c r="AB26" i="133" s="1"/>
  <c r="AB13" i="133" a="1"/>
  <c r="AB13" i="133" s="1"/>
  <c r="AJ23" i="133" a="1"/>
  <c r="AJ23" i="133" s="1"/>
  <c r="AJ39" i="133" a="1"/>
  <c r="AJ39" i="133" s="1"/>
  <c r="AJ40" i="133" a="1"/>
  <c r="AJ40" i="133" s="1"/>
  <c r="AO62" i="133" a="1"/>
  <c r="AO62" i="133" s="1"/>
  <c r="AH22" i="133" a="1"/>
  <c r="AH22" i="133" s="1"/>
  <c r="Y35" i="133" a="1"/>
  <c r="Y35" i="133" s="1"/>
  <c r="AB22" i="133" a="1"/>
  <c r="AB22" i="133" s="1"/>
  <c r="Z56" i="133" a="1"/>
  <c r="Z56" i="133" s="1"/>
  <c r="AJ9" i="133" a="1"/>
  <c r="AJ9" i="133" s="1"/>
  <c r="AJ35" i="133" a="1"/>
  <c r="AJ35" i="133" s="1"/>
  <c r="AI35" i="133" a="1"/>
  <c r="AI35" i="133" s="1"/>
  <c r="Y23" i="133" a="1"/>
  <c r="Y23" i="133" s="1"/>
  <c r="Y49" i="133" a="1"/>
  <c r="Y49" i="133" s="1"/>
  <c r="Y11" i="133" a="1"/>
  <c r="Y11" i="133" s="1"/>
  <c r="Y25" i="133" a="1"/>
  <c r="Y25" i="133" s="1"/>
  <c r="AR26" i="133" a="1"/>
  <c r="AR26" i="133" s="1"/>
  <c r="AR11" i="133" a="1"/>
  <c r="AR11" i="133" s="1"/>
  <c r="AR24" i="133" a="1"/>
  <c r="AR24" i="133" s="1"/>
  <c r="AR28" i="133" a="1"/>
  <c r="AR28" i="133" s="1"/>
  <c r="AR37" i="133" a="1"/>
  <c r="AR37" i="133" s="1"/>
  <c r="AP59" i="133" a="1"/>
  <c r="AP59" i="133" s="1"/>
  <c r="AP36" i="133" a="1"/>
  <c r="AP36" i="133" s="1"/>
  <c r="AG41" i="133" a="1"/>
  <c r="AG41" i="133" s="1"/>
  <c r="AG28" i="133" a="1"/>
  <c r="AG28" i="133" s="1"/>
  <c r="AO11" i="133" a="1"/>
  <c r="AO11" i="133" s="1"/>
  <c r="AO49" i="133" a="1"/>
  <c r="AO49" i="133" s="1"/>
  <c r="AO37" i="133" a="1"/>
  <c r="AO37" i="133" s="1"/>
  <c r="AI40" i="133" a="1"/>
  <c r="AI40" i="133" s="1"/>
  <c r="AH39" i="133" a="1"/>
  <c r="AH39" i="133" s="1"/>
  <c r="AH15" i="133" a="1"/>
  <c r="AH15" i="133" s="1"/>
  <c r="AH37" i="133" a="1"/>
  <c r="AH37" i="133" s="1"/>
  <c r="AQ11" i="133" a="1"/>
  <c r="AQ11" i="133" s="1"/>
  <c r="AA10" i="133" a="1"/>
  <c r="AA10" i="133" s="1"/>
  <c r="AA25" i="133" a="1"/>
  <c r="AA25" i="133" s="1"/>
  <c r="AA24" i="133" a="1"/>
  <c r="AA24" i="133" s="1"/>
  <c r="Z25" i="133" a="1"/>
  <c r="Z25" i="133" s="1"/>
  <c r="Z28" i="133" a="1"/>
  <c r="Z28" i="133" s="1"/>
  <c r="Z72" i="133" a="1"/>
  <c r="Z72" i="133" s="1"/>
  <c r="AB14" i="133" a="1"/>
  <c r="AB14" i="133" s="1"/>
  <c r="AB59" i="133" a="1"/>
  <c r="AB59" i="133" s="1"/>
  <c r="AB61" i="133" a="1"/>
  <c r="AB61" i="133" s="1"/>
  <c r="AB23" i="133" a="1"/>
  <c r="AB23" i="133" s="1"/>
  <c r="AB72" i="133" a="1"/>
  <c r="AB72" i="133" s="1"/>
  <c r="AJ10" i="133" a="1"/>
  <c r="AJ10" i="133" s="1"/>
  <c r="AJ28" i="133" a="1"/>
  <c r="AJ28" i="133" s="1"/>
  <c r="AJ25" i="133" a="1"/>
  <c r="AJ25" i="133" s="1"/>
  <c r="AJ72" i="133" a="1"/>
  <c r="AJ72" i="133" s="1"/>
  <c r="AH35" i="133" a="1"/>
  <c r="AH35" i="133" s="1"/>
  <c r="Y22" i="133" a="1"/>
  <c r="Y22" i="133" s="1"/>
  <c r="AO9" i="133" a="1"/>
  <c r="AO9" i="133" s="1"/>
  <c r="AQ9" i="133" a="1"/>
  <c r="AQ9" i="133" s="1"/>
  <c r="AI31" i="142"/>
  <c r="AW68" i="133" a="1"/>
  <c r="AW68" i="133" s="1"/>
  <c r="BA68" i="133" s="1"/>
  <c r="Y9" i="133" a="1"/>
  <c r="Y9" i="133" s="1"/>
  <c r="Y13" i="133" a="1"/>
  <c r="Y13" i="133" s="1"/>
  <c r="Y62" i="133" a="1"/>
  <c r="Y62" i="133" s="1"/>
  <c r="Y59" i="133" a="1"/>
  <c r="Y59" i="133" s="1"/>
  <c r="Y37" i="133" a="1"/>
  <c r="Y37" i="133" s="1"/>
  <c r="Y72" i="133" a="1"/>
  <c r="Y72" i="133" s="1"/>
  <c r="AR41" i="133" a="1"/>
  <c r="AR41" i="133" s="1"/>
  <c r="AR27" i="133" a="1"/>
  <c r="AR27" i="133" s="1"/>
  <c r="AR13" i="133" a="1"/>
  <c r="AR13" i="133" s="1"/>
  <c r="AR14" i="133" a="1"/>
  <c r="AR14" i="133" s="1"/>
  <c r="AR61" i="133" a="1"/>
  <c r="AR61" i="133" s="1"/>
  <c r="AP25" i="133" a="1"/>
  <c r="AP25" i="133" s="1"/>
  <c r="AP24" i="133" a="1"/>
  <c r="AP24" i="133" s="1"/>
  <c r="AG61" i="133" a="1"/>
  <c r="AG61" i="133" s="1"/>
  <c r="AG12" i="133" a="1"/>
  <c r="AG12" i="133" s="1"/>
  <c r="AO57" i="133" a="1"/>
  <c r="AO57" i="133" s="1"/>
  <c r="AO10" i="133" a="1"/>
  <c r="AO10" i="133" s="1"/>
  <c r="AO60" i="133" a="1"/>
  <c r="AO60" i="133" s="1"/>
  <c r="AO40" i="133" a="1"/>
  <c r="AO40" i="133" s="1"/>
  <c r="AO38" i="133" a="1"/>
  <c r="AO38" i="133" s="1"/>
  <c r="AI72" i="133" a="1"/>
  <c r="AI72" i="133" s="1"/>
  <c r="AI13" i="133" a="1"/>
  <c r="AI13" i="133" s="1"/>
  <c r="AH72" i="133" a="1"/>
  <c r="AH72" i="133" s="1"/>
  <c r="AH57" i="133" a="1"/>
  <c r="AH57" i="133" s="1"/>
  <c r="AH10" i="133" a="1"/>
  <c r="AH10" i="133" s="1"/>
  <c r="AQ12" i="133" a="1"/>
  <c r="AQ12" i="133" s="1"/>
  <c r="AQ10" i="133" a="1"/>
  <c r="AQ10" i="133" s="1"/>
  <c r="AQ27" i="133" a="1"/>
  <c r="AQ27" i="133" s="1"/>
  <c r="AQ49" i="133" a="1"/>
  <c r="AQ49" i="133" s="1"/>
  <c r="Z49" i="133" a="1"/>
  <c r="Z49" i="133" s="1"/>
  <c r="Z41" i="133" a="1"/>
  <c r="Z41" i="133" s="1"/>
  <c r="Z36" i="133" a="1"/>
  <c r="Z36" i="133" s="1"/>
  <c r="AB37" i="133" a="1"/>
  <c r="AB37" i="133" s="1"/>
  <c r="AB24" i="133" a="1"/>
  <c r="AB24" i="133" s="1"/>
  <c r="AP56" i="133" a="1"/>
  <c r="AP56" i="133" s="1"/>
  <c r="AG22" i="133" a="1"/>
  <c r="AG22" i="133" s="1"/>
  <c r="Y39" i="133" a="1"/>
  <c r="Y39" i="133" s="1"/>
  <c r="AP14" i="133" a="1"/>
  <c r="AP14" i="133" s="1"/>
  <c r="AP72" i="133" a="1"/>
  <c r="AP72" i="133" s="1"/>
  <c r="AP49" i="133" a="1"/>
  <c r="AP49" i="133" s="1"/>
  <c r="AG25" i="133" a="1"/>
  <c r="AG25" i="133" s="1"/>
  <c r="AO72" i="133" a="1"/>
  <c r="AO72" i="133" s="1"/>
  <c r="AO58" i="133" a="1"/>
  <c r="AO58" i="133" s="1"/>
  <c r="AO13" i="133" a="1"/>
  <c r="AO13" i="133" s="1"/>
  <c r="AH28" i="133" a="1"/>
  <c r="AH28" i="133" s="1"/>
  <c r="AQ23" i="133" a="1"/>
  <c r="AQ23" i="133" s="1"/>
  <c r="AA11" i="133" a="1"/>
  <c r="AA11" i="133" s="1"/>
  <c r="AA15" i="133" a="1"/>
  <c r="AA15" i="133" s="1"/>
  <c r="Z15" i="133" a="1"/>
  <c r="Z15" i="133" s="1"/>
  <c r="Z37" i="133" a="1"/>
  <c r="Z37" i="133" s="1"/>
  <c r="Z11" i="133" a="1"/>
  <c r="Z11" i="133" s="1"/>
  <c r="Z12" i="133" a="1"/>
  <c r="Z12" i="133" s="1"/>
  <c r="AB58" i="133" a="1"/>
  <c r="AB58" i="133" s="1"/>
  <c r="AB36" i="133" a="1"/>
  <c r="AB36" i="133" s="1"/>
  <c r="AJ13" i="133" a="1"/>
  <c r="AJ13" i="133" s="1"/>
  <c r="AJ49" i="133" a="1"/>
  <c r="AJ49" i="133" s="1"/>
  <c r="AJ12" i="133" a="1"/>
  <c r="AJ12" i="133" s="1"/>
  <c r="AJ15" i="133" a="1"/>
  <c r="AJ15" i="133" s="1"/>
  <c r="AP60" i="133" a="1"/>
  <c r="AP60" i="133" s="1"/>
  <c r="Y14" i="133" a="1"/>
  <c r="Y14" i="133" s="1"/>
  <c r="AR57" i="133" a="1"/>
  <c r="AR57" i="133" s="1"/>
  <c r="AP15" i="133" a="1"/>
  <c r="AP15" i="133" s="1"/>
  <c r="AP58" i="133" a="1"/>
  <c r="AP58" i="133" s="1"/>
  <c r="AG15" i="133" a="1"/>
  <c r="AG15" i="133" s="1"/>
  <c r="AG11" i="133" a="1"/>
  <c r="AG11" i="133" s="1"/>
  <c r="AG14" i="133" a="1"/>
  <c r="AG14" i="133" s="1"/>
  <c r="AH60" i="133" a="1"/>
  <c r="AH60" i="133" s="1"/>
  <c r="AQ60" i="133" a="1"/>
  <c r="AQ60" i="133" s="1"/>
  <c r="AQ61" i="133" a="1"/>
  <c r="AQ61" i="133" s="1"/>
  <c r="AQ26" i="133" a="1"/>
  <c r="AQ26" i="133" s="1"/>
  <c r="AQ62" i="133" a="1"/>
  <c r="AQ62" i="133" s="1"/>
  <c r="AA39" i="133" a="1"/>
  <c r="AA39" i="133" s="1"/>
  <c r="AA60" i="133" a="1"/>
  <c r="AA60" i="133" s="1"/>
  <c r="AA14" i="133" a="1"/>
  <c r="AA14" i="133" s="1"/>
  <c r="Z26" i="133" a="1"/>
  <c r="Z26" i="133" s="1"/>
  <c r="AB39" i="133" a="1"/>
  <c r="AB39" i="133" s="1"/>
  <c r="AB62" i="133" a="1"/>
  <c r="AB62" i="133" s="1"/>
  <c r="AB49" i="133" a="1"/>
  <c r="AB49" i="133" s="1"/>
  <c r="AJ27" i="133" a="1"/>
  <c r="AJ27" i="133" s="1"/>
  <c r="AR59" i="133" a="1"/>
  <c r="AR59" i="133" s="1"/>
  <c r="Z22" i="133" a="1"/>
  <c r="Z22" i="133" s="1"/>
  <c r="AA9" i="133" a="1"/>
  <c r="AA9" i="133" s="1"/>
  <c r="AO56" i="133" a="1"/>
  <c r="AO56" i="133" s="1"/>
  <c r="AP35" i="133" a="1"/>
  <c r="AP35" i="133" s="1"/>
  <c r="AB35" i="133" a="1"/>
  <c r="AB35" i="133" s="1"/>
  <c r="AR56" i="133" a="1"/>
  <c r="AR56" i="133" s="1"/>
  <c r="AR9" i="133" a="1"/>
  <c r="AR9" i="133" s="1"/>
  <c r="Y61" i="133" a="1"/>
  <c r="Y61" i="133" s="1"/>
  <c r="Y10" i="133" a="1"/>
  <c r="Y10" i="133" s="1"/>
  <c r="Y12" i="133" a="1"/>
  <c r="Y12" i="133" s="1"/>
  <c r="Y38" i="133" a="1"/>
  <c r="Y38" i="133" s="1"/>
  <c r="AR40" i="133" a="1"/>
  <c r="AR40" i="133" s="1"/>
  <c r="AR12" i="133" a="1"/>
  <c r="AR12" i="133" s="1"/>
  <c r="AR49" i="133" a="1"/>
  <c r="AR49" i="133" s="1"/>
  <c r="AG39" i="133" a="1"/>
  <c r="AG39" i="133" s="1"/>
  <c r="AO12" i="133" a="1"/>
  <c r="AO12" i="133" s="1"/>
  <c r="AI62" i="133" a="1"/>
  <c r="AI62" i="133" s="1"/>
  <c r="AI14" i="133" a="1"/>
  <c r="AI14" i="133" s="1"/>
  <c r="AH62" i="133" a="1"/>
  <c r="AH62" i="133" s="1"/>
  <c r="AH24" i="133" a="1"/>
  <c r="AH24" i="133" s="1"/>
  <c r="AQ25" i="133" a="1"/>
  <c r="AQ25" i="133" s="1"/>
  <c r="AA13" i="133" a="1"/>
  <c r="AA13" i="133" s="1"/>
  <c r="Z60" i="133" a="1"/>
  <c r="Z60" i="133" s="1"/>
  <c r="Z61" i="133" a="1"/>
  <c r="Z61" i="133" s="1"/>
  <c r="AB60" i="133" a="1"/>
  <c r="AB60" i="133" s="1"/>
  <c r="AB57" i="133" a="1"/>
  <c r="AB57" i="133" s="1"/>
  <c r="AB15" i="133" a="1"/>
  <c r="AB15" i="133" s="1"/>
  <c r="AJ36" i="133" a="1"/>
  <c r="AJ36" i="133" s="1"/>
  <c r="AJ14" i="133" a="1"/>
  <c r="AJ14" i="133" s="1"/>
  <c r="AJ37" i="133" a="1"/>
  <c r="AJ37" i="133" s="1"/>
  <c r="AJ58" i="133" a="1"/>
  <c r="AJ58" i="133" s="1"/>
  <c r="BI1" i="133"/>
  <c r="AC153" i="142"/>
  <c r="AC160" i="142"/>
  <c r="AC172" i="142"/>
  <c r="AC118" i="142"/>
  <c r="AC30" i="142"/>
  <c r="AC18" i="142"/>
  <c r="AC29" i="142"/>
  <c r="AC25" i="142"/>
  <c r="AI142" i="142"/>
  <c r="AI284" i="142"/>
  <c r="AI327" i="142"/>
  <c r="AI94" i="142"/>
  <c r="AC163" i="142"/>
  <c r="AI237" i="142"/>
  <c r="AC161" i="142"/>
  <c r="AI228" i="142"/>
  <c r="AC39" i="142"/>
  <c r="AI194" i="142"/>
  <c r="AI140" i="142"/>
  <c r="AC117" i="142"/>
  <c r="AC23" i="142"/>
  <c r="AC27" i="142"/>
  <c r="AC114" i="142"/>
  <c r="AC234" i="142"/>
  <c r="AI92" i="142"/>
  <c r="AC42" i="142"/>
  <c r="AC164" i="142"/>
  <c r="AC135" i="142"/>
  <c r="AC150" i="142"/>
  <c r="AC124" i="142"/>
  <c r="AC98" i="142"/>
  <c r="AC283" i="142"/>
  <c r="AC49" i="142"/>
  <c r="AI98" i="142"/>
  <c r="AC170" i="142"/>
  <c r="AC144" i="142"/>
  <c r="Q42" i="142"/>
  <c r="AC43" i="142"/>
  <c r="AC46" i="142"/>
  <c r="AI43" i="142"/>
  <c r="AC231" i="142"/>
  <c r="AC332" i="142"/>
  <c r="AI278" i="142"/>
  <c r="AC120" i="142"/>
  <c r="AC86" i="142"/>
  <c r="AC184" i="142"/>
  <c r="AC162" i="142"/>
  <c r="AC165" i="142"/>
  <c r="AC166" i="142"/>
  <c r="AI191" i="142"/>
  <c r="AI190" i="142"/>
  <c r="AI93" i="142"/>
  <c r="AC89" i="142"/>
  <c r="AI134" i="142"/>
  <c r="AC331" i="142"/>
  <c r="AC50" i="142"/>
  <c r="AC285" i="142"/>
  <c r="AI241" i="142"/>
  <c r="AI143" i="142"/>
  <c r="AC123" i="142"/>
  <c r="AI49" i="142"/>
  <c r="AI186" i="142"/>
  <c r="AI42" i="142"/>
  <c r="AI39" i="142"/>
  <c r="AI89" i="142"/>
  <c r="AI323" i="142"/>
  <c r="AI326" i="142"/>
  <c r="AI328" i="142"/>
  <c r="AC237" i="142"/>
  <c r="AC142" i="142"/>
  <c r="AC279" i="142"/>
  <c r="AI232" i="142"/>
  <c r="AI276" i="142"/>
  <c r="AC125" i="142"/>
  <c r="AC233" i="142"/>
  <c r="AC191" i="142"/>
  <c r="AC159" i="142"/>
  <c r="AC288" i="142"/>
  <c r="AC187" i="142"/>
  <c r="AC91" i="142"/>
  <c r="AC140" i="142"/>
  <c r="AC158" i="142"/>
  <c r="AC40" i="142"/>
  <c r="AC93" i="142"/>
  <c r="W95" i="142"/>
  <c r="AC236" i="142"/>
  <c r="AC88" i="142"/>
  <c r="AC183" i="142"/>
  <c r="AC47" i="142"/>
  <c r="AI236" i="142"/>
  <c r="AI136" i="142"/>
  <c r="AC94" i="142"/>
  <c r="AC84" i="142"/>
  <c r="AC95" i="142"/>
  <c r="AC169" i="142"/>
  <c r="AC333" i="142"/>
  <c r="AC132" i="142"/>
  <c r="AC122" i="142"/>
  <c r="AC240" i="142"/>
  <c r="AI332" i="142"/>
  <c r="AI133" i="142"/>
  <c r="AC278" i="142"/>
  <c r="AC116" i="142"/>
  <c r="AC232" i="142"/>
  <c r="AC141" i="142"/>
  <c r="AC41" i="142"/>
  <c r="AC92" i="142"/>
  <c r="AC195" i="142"/>
  <c r="AC286" i="142"/>
  <c r="AC189" i="142"/>
  <c r="AC87" i="142"/>
  <c r="AC147" i="142"/>
  <c r="AI280" i="142"/>
  <c r="W136" i="142"/>
  <c r="AC137" i="142"/>
  <c r="AI46" i="142"/>
  <c r="AC182" i="142"/>
  <c r="AC284" i="142"/>
  <c r="AC282" i="142"/>
  <c r="AC192" i="142"/>
  <c r="AC289" i="142"/>
  <c r="AC327" i="142"/>
  <c r="AI187" i="142"/>
  <c r="AI334" i="142"/>
  <c r="AI231" i="142"/>
  <c r="Q155" i="142"/>
  <c r="AI132" i="142"/>
  <c r="AI96" i="142"/>
  <c r="AI135" i="142"/>
  <c r="AC143" i="142"/>
  <c r="AC281" i="142"/>
  <c r="AI333" i="142"/>
  <c r="AI95" i="142"/>
  <c r="AI184" i="142"/>
  <c r="W155" i="142"/>
  <c r="AC121" i="142"/>
  <c r="AC326" i="142"/>
  <c r="AC230" i="142"/>
  <c r="AC277" i="142"/>
  <c r="AC329" i="142"/>
  <c r="AI185" i="142"/>
  <c r="AC171" i="142"/>
  <c r="AC228" i="142"/>
  <c r="AC193" i="142"/>
  <c r="AC235" i="142"/>
  <c r="AC138" i="142"/>
  <c r="AC194" i="142"/>
  <c r="AC336" i="142"/>
  <c r="AI21" i="142"/>
  <c r="AC168" i="142"/>
  <c r="AC337" i="142"/>
  <c r="AC328" i="142"/>
  <c r="AC181" i="142"/>
  <c r="AC17" i="142"/>
  <c r="AC45" i="142"/>
  <c r="AC154" i="142"/>
  <c r="AI87" i="142"/>
  <c r="AI230" i="142"/>
  <c r="AC112" i="142"/>
  <c r="AC185" i="142"/>
  <c r="AC145" i="142"/>
  <c r="AC186" i="142"/>
  <c r="AC238" i="142"/>
  <c r="AC323" i="142"/>
  <c r="AI85" i="142"/>
  <c r="AC334" i="142"/>
  <c r="AC188" i="142"/>
  <c r="AC287" i="142"/>
  <c r="AI47" i="142"/>
  <c r="AI90" i="142"/>
  <c r="W230" i="142"/>
  <c r="AC173" i="142"/>
  <c r="AC113" i="142"/>
  <c r="AC239" i="142"/>
  <c r="AC241" i="142"/>
  <c r="AC276" i="142"/>
  <c r="AC157" i="142"/>
  <c r="AI182" i="142"/>
  <c r="AC48" i="142"/>
  <c r="AC119" i="142"/>
  <c r="AC26" i="142"/>
  <c r="AC325" i="142"/>
  <c r="AI240" i="142"/>
  <c r="AC115" i="142"/>
  <c r="AC229" i="142"/>
  <c r="AI229" i="142"/>
  <c r="AC242" i="142"/>
  <c r="AC324" i="142"/>
  <c r="AC37" i="142"/>
  <c r="AC330" i="142"/>
  <c r="AI290" i="142"/>
  <c r="AI25" i="142"/>
  <c r="AI335" i="142"/>
  <c r="AC152" i="142"/>
  <c r="W331" i="142"/>
  <c r="W22" i="142"/>
  <c r="W98" i="142"/>
  <c r="W240" i="142"/>
  <c r="AC136" i="142"/>
  <c r="Q325" i="142"/>
  <c r="Q86" i="142"/>
  <c r="W148" i="142"/>
  <c r="AI325" i="142"/>
  <c r="W172" i="142"/>
  <c r="Q44" i="142"/>
  <c r="Q46" i="142"/>
  <c r="Q26" i="142"/>
  <c r="Q31" i="142"/>
  <c r="Q93" i="142"/>
  <c r="Q98" i="142"/>
  <c r="Q143" i="142"/>
  <c r="Q238" i="142"/>
  <c r="Q330" i="142"/>
  <c r="W324" i="142"/>
  <c r="W281" i="142"/>
  <c r="W276" i="142"/>
  <c r="W195" i="142"/>
  <c r="W238" i="142"/>
  <c r="W185" i="142"/>
  <c r="W142" i="142"/>
  <c r="W140" i="142"/>
  <c r="W141" i="142"/>
  <c r="W26" i="142"/>
  <c r="W88" i="142"/>
  <c r="W18" i="142"/>
  <c r="W45" i="142"/>
  <c r="W42" i="142"/>
  <c r="W86" i="142"/>
  <c r="W135" i="142"/>
  <c r="W186" i="142"/>
  <c r="W279" i="142"/>
  <c r="AI141" i="142"/>
  <c r="AI145" i="142"/>
  <c r="AI195" i="142"/>
  <c r="AI285" i="142"/>
  <c r="AI144" i="142"/>
  <c r="AI97" i="142"/>
  <c r="AI22" i="142"/>
  <c r="AI188" i="142"/>
  <c r="AC139" i="142"/>
  <c r="Q195" i="142"/>
  <c r="Q38" i="142"/>
  <c r="AI287" i="142"/>
  <c r="Q327" i="142"/>
  <c r="Q286" i="142"/>
  <c r="Q326" i="142"/>
  <c r="W162" i="142"/>
  <c r="W160" i="142"/>
  <c r="Q134" i="142"/>
  <c r="W165" i="142"/>
  <c r="Q186" i="142"/>
  <c r="Q24" i="142"/>
  <c r="Q95" i="142"/>
  <c r="W123" i="142"/>
  <c r="Q43" i="142"/>
  <c r="Q133" i="142"/>
  <c r="Q146" i="142"/>
  <c r="Q184" i="142"/>
  <c r="Q230" i="142"/>
  <c r="Q228" i="142"/>
  <c r="Q281" i="142"/>
  <c r="Q337" i="142"/>
  <c r="Q334" i="142"/>
  <c r="W337" i="142"/>
  <c r="W325" i="142"/>
  <c r="W278" i="142"/>
  <c r="W237" i="142"/>
  <c r="W239" i="142"/>
  <c r="W189" i="142"/>
  <c r="W234" i="142"/>
  <c r="W93" i="142"/>
  <c r="W87" i="142"/>
  <c r="W17" i="142"/>
  <c r="W50" i="142"/>
  <c r="W90" i="142"/>
  <c r="W139" i="142"/>
  <c r="W287" i="142"/>
  <c r="W323" i="142"/>
  <c r="W330" i="142"/>
  <c r="AI281" i="142"/>
  <c r="AI181" i="142"/>
  <c r="AI337" i="142"/>
  <c r="AI48" i="142"/>
  <c r="AI23" i="142"/>
  <c r="Q237" i="142"/>
  <c r="AI138" i="142"/>
  <c r="W48" i="142"/>
  <c r="W21" i="142"/>
  <c r="W192" i="142"/>
  <c r="AC290" i="142"/>
  <c r="AC149" i="142"/>
  <c r="AC133" i="142"/>
  <c r="AC156" i="142"/>
  <c r="Q190" i="142"/>
  <c r="Q329" i="142"/>
  <c r="Q282" i="142"/>
  <c r="Q323" i="142"/>
  <c r="Q140" i="142"/>
  <c r="W163" i="142"/>
  <c r="Q151" i="142"/>
  <c r="Q191" i="142"/>
  <c r="W116" i="142"/>
  <c r="Q29" i="142"/>
  <c r="W118" i="142"/>
  <c r="Q18" i="142"/>
  <c r="Q84" i="142"/>
  <c r="Q135" i="142"/>
  <c r="Q157" i="142"/>
  <c r="W326" i="142"/>
  <c r="W335" i="142"/>
  <c r="W235" i="142"/>
  <c r="W23" i="142"/>
  <c r="W289" i="142"/>
  <c r="W191" i="142"/>
  <c r="W29" i="142"/>
  <c r="W27" i="142"/>
  <c r="W46" i="142"/>
  <c r="W89" i="142"/>
  <c r="W47" i="142"/>
  <c r="W96" i="142"/>
  <c r="W157" i="142"/>
  <c r="W150" i="142"/>
  <c r="W182" i="142"/>
  <c r="W232" i="142"/>
  <c r="W327" i="142"/>
  <c r="AI238" i="142"/>
  <c r="AI192" i="142"/>
  <c r="AI242" i="142"/>
  <c r="AI24" i="142"/>
  <c r="AI26" i="142"/>
  <c r="AI37" i="142"/>
  <c r="AI235" i="142"/>
  <c r="Q336" i="142"/>
  <c r="Q283" i="142"/>
  <c r="Q49" i="142"/>
  <c r="AC335" i="142"/>
  <c r="AC90" i="142"/>
  <c r="AC21" i="142"/>
  <c r="AC31" i="142"/>
  <c r="AC146" i="142"/>
  <c r="AC151" i="142"/>
  <c r="AC96" i="142"/>
  <c r="AC134" i="142"/>
  <c r="Q333" i="142"/>
  <c r="Q182" i="142"/>
  <c r="W137" i="142"/>
  <c r="W156" i="142"/>
  <c r="Q324" i="142"/>
  <c r="Q276" i="142"/>
  <c r="Q287" i="142"/>
  <c r="W167" i="142"/>
  <c r="Q240" i="142"/>
  <c r="W159" i="142"/>
  <c r="W161" i="142"/>
  <c r="Q235" i="142"/>
  <c r="Q183" i="142"/>
  <c r="W117" i="142"/>
  <c r="Q45" i="142"/>
  <c r="W114" i="142"/>
  <c r="Q47" i="142"/>
  <c r="Q17" i="142"/>
  <c r="W122" i="142"/>
  <c r="Q30" i="142"/>
  <c r="Q22" i="142"/>
  <c r="Q192" i="142"/>
  <c r="Q141" i="142"/>
  <c r="Q242" i="142"/>
  <c r="W233" i="142"/>
  <c r="W329" i="142"/>
  <c r="W183" i="142"/>
  <c r="W193" i="142"/>
  <c r="W277" i="142"/>
  <c r="W134" i="142"/>
  <c r="W187" i="142"/>
  <c r="W28" i="142"/>
  <c r="W38" i="142"/>
  <c r="W44" i="142"/>
  <c r="W132" i="142"/>
  <c r="W153" i="142"/>
  <c r="W133" i="142"/>
  <c r="W194" i="142"/>
  <c r="W328" i="142"/>
  <c r="AI137" i="142"/>
  <c r="AI17" i="142"/>
  <c r="AI30" i="142"/>
  <c r="Q19" i="142"/>
  <c r="AC155" i="142"/>
  <c r="AC44" i="142"/>
  <c r="AC85" i="142"/>
  <c r="AC280" i="142"/>
  <c r="Q87" i="142"/>
  <c r="AI146" i="142"/>
  <c r="AI84" i="142"/>
  <c r="Q278" i="142"/>
  <c r="Q279" i="142"/>
  <c r="Q136" i="142"/>
  <c r="Q156" i="142"/>
  <c r="Q231" i="142"/>
  <c r="W166" i="142"/>
  <c r="Q28" i="142"/>
  <c r="W121" i="142"/>
  <c r="Q20" i="142"/>
  <c r="W115" i="142"/>
  <c r="Q41" i="142"/>
  <c r="W124" i="142"/>
  <c r="Q138" i="142"/>
  <c r="W113" i="142"/>
  <c r="Q39" i="142"/>
  <c r="Q137" i="142"/>
  <c r="Q145" i="142"/>
  <c r="Q241" i="142"/>
  <c r="Q234" i="142"/>
  <c r="W284" i="142"/>
  <c r="W280" i="142"/>
  <c r="W158" i="142"/>
  <c r="W285" i="142"/>
  <c r="W40" i="142"/>
  <c r="W39" i="142"/>
  <c r="W143" i="142"/>
  <c r="W31" i="142"/>
  <c r="W138" i="142"/>
  <c r="W145" i="142"/>
  <c r="W236" i="142"/>
  <c r="W288" i="142"/>
  <c r="W336" i="142"/>
  <c r="AI27" i="142"/>
  <c r="AI336" i="142"/>
  <c r="AI189" i="142"/>
  <c r="AI38" i="142"/>
  <c r="AI277" i="142"/>
  <c r="W24" i="142"/>
  <c r="AC190" i="142"/>
  <c r="AC22" i="142"/>
  <c r="AC24" i="142"/>
  <c r="Q149" i="142"/>
  <c r="W229" i="142"/>
  <c r="W84" i="142"/>
  <c r="Q193" i="142"/>
  <c r="Q335" i="142"/>
  <c r="Q185" i="142"/>
  <c r="Q233" i="142"/>
  <c r="Q27" i="142"/>
  <c r="W164" i="142"/>
  <c r="Q147" i="142"/>
  <c r="Q25" i="142"/>
  <c r="Q90" i="142"/>
  <c r="Q50" i="142"/>
  <c r="W120" i="142"/>
  <c r="Q153" i="142"/>
  <c r="Q148" i="142"/>
  <c r="Q331" i="142"/>
  <c r="W188" i="142"/>
  <c r="W97" i="142"/>
  <c r="W43" i="142"/>
  <c r="W147" i="142"/>
  <c r="W190" i="142"/>
  <c r="W283" i="142"/>
  <c r="AI286" i="142"/>
  <c r="AI279" i="142"/>
  <c r="AI86" i="142"/>
  <c r="AI28" i="142"/>
  <c r="AI18" i="142"/>
  <c r="Q132" i="142"/>
  <c r="Q288" i="142"/>
  <c r="W49" i="142"/>
  <c r="AC28" i="142"/>
  <c r="Q144" i="142"/>
  <c r="Q85" i="142"/>
  <c r="W151" i="142"/>
  <c r="AI45" i="142"/>
  <c r="AI19" i="142"/>
  <c r="Q332" i="142"/>
  <c r="Q189" i="142"/>
  <c r="Q280" i="142"/>
  <c r="Q232" i="142"/>
  <c r="W171" i="142"/>
  <c r="Q194" i="142"/>
  <c r="Q96" i="142"/>
  <c r="Q142" i="142"/>
  <c r="Q92" i="142"/>
  <c r="Q139" i="142"/>
  <c r="Q37" i="142"/>
  <c r="Q40" i="142"/>
  <c r="Q89" i="142"/>
  <c r="Q97" i="142"/>
  <c r="Q150" i="142"/>
  <c r="Q188" i="142"/>
  <c r="Q154" i="142"/>
  <c r="Q158" i="142"/>
  <c r="Q277" i="142"/>
  <c r="W332" i="142"/>
  <c r="W181" i="142"/>
  <c r="W231" i="142"/>
  <c r="W242" i="142"/>
  <c r="W333" i="142"/>
  <c r="W144" i="142"/>
  <c r="W94" i="142"/>
  <c r="W19" i="142"/>
  <c r="W92" i="142"/>
  <c r="W85" i="142"/>
  <c r="W149" i="142"/>
  <c r="W184" i="142"/>
  <c r="AI41" i="142"/>
  <c r="AI50" i="142"/>
  <c r="AI193" i="142"/>
  <c r="AI88" i="142"/>
  <c r="Q236" i="142"/>
  <c r="Q328" i="142"/>
  <c r="Q88" i="142"/>
  <c r="AC97" i="142"/>
  <c r="W41" i="142"/>
  <c r="AC20" i="142"/>
  <c r="AC38" i="142"/>
  <c r="AC19" i="142"/>
  <c r="AC148" i="142"/>
  <c r="Q187" i="142"/>
  <c r="Q21" i="142"/>
  <c r="W152" i="142"/>
  <c r="W290" i="142"/>
  <c r="AI329" i="142"/>
  <c r="W168" i="142"/>
  <c r="Q290" i="142"/>
  <c r="W169" i="142"/>
  <c r="Q239" i="142"/>
  <c r="Q23" i="142"/>
  <c r="Q229" i="142"/>
  <c r="Q181" i="142"/>
  <c r="Q289" i="142"/>
  <c r="W170" i="142"/>
  <c r="W173" i="142"/>
  <c r="W125" i="142"/>
  <c r="W119" i="142"/>
  <c r="Q94" i="142"/>
  <c r="W112" i="142"/>
  <c r="Q48" i="142"/>
  <c r="Q91" i="142"/>
  <c r="Q152" i="142"/>
  <c r="Q285" i="142"/>
  <c r="W241" i="142"/>
  <c r="W20" i="142"/>
  <c r="W228" i="142"/>
  <c r="W282" i="142"/>
  <c r="W146" i="142"/>
  <c r="W30" i="142"/>
  <c r="W25" i="142"/>
  <c r="W37" i="142"/>
  <c r="W91" i="142"/>
  <c r="W154" i="142"/>
  <c r="W286" i="142"/>
  <c r="W334" i="142"/>
  <c r="AK320" i="142"/>
  <c r="AK273" i="142"/>
  <c r="AK225" i="142"/>
  <c r="AK178" i="142"/>
  <c r="AK129" i="142"/>
  <c r="AK81" i="142"/>
  <c r="AK34" i="142"/>
  <c r="BA6" i="133"/>
  <c r="AC6" i="133"/>
  <c r="AK6" i="133"/>
  <c r="AS6" i="133"/>
  <c r="H1" i="98"/>
  <c r="BT12" i="130"/>
  <c r="AK226" i="131"/>
  <c r="AK441" i="131" s="1"/>
  <c r="BR12" i="131"/>
  <c r="F1" i="98"/>
  <c r="U22" i="1"/>
  <c r="X440" i="131"/>
  <c r="X547" i="131" s="1"/>
  <c r="AM333" i="131"/>
  <c r="AO333" i="131"/>
  <c r="AA333" i="131"/>
  <c r="AH333" i="131"/>
  <c r="AE440" i="131"/>
  <c r="AE547" i="131" s="1"/>
  <c r="AN440" i="131"/>
  <c r="AN547" i="131" s="1"/>
  <c r="H1" i="139"/>
  <c r="AY119" i="130"/>
  <c r="AY226" i="131"/>
  <c r="AY119" i="131"/>
  <c r="AY334" i="131" s="1"/>
  <c r="BG322" i="131"/>
  <c r="BG283" i="131"/>
  <c r="BG252" i="131"/>
  <c r="BG316" i="131"/>
  <c r="BG285" i="131"/>
  <c r="BG278" i="131"/>
  <c r="BG255" i="131"/>
  <c r="BG319" i="131"/>
  <c r="BG240" i="131"/>
  <c r="BG304" i="131"/>
  <c r="BG281" i="131"/>
  <c r="BG250" i="131"/>
  <c r="BG314" i="131"/>
  <c r="AS333" i="131"/>
  <c r="AS440" i="131" s="1"/>
  <c r="AS547" i="131" s="1"/>
  <c r="BG291" i="131"/>
  <c r="BG260" i="131"/>
  <c r="BG324" i="131"/>
  <c r="BG229" i="131"/>
  <c r="BG293" i="131"/>
  <c r="BG286" i="131"/>
  <c r="BG263" i="131"/>
  <c r="BG248" i="131"/>
  <c r="BG312" i="131"/>
  <c r="BG289" i="131"/>
  <c r="BG258" i="131"/>
  <c r="BG235" i="131"/>
  <c r="BG299" i="131"/>
  <c r="BG268" i="131"/>
  <c r="BG237" i="131"/>
  <c r="BG301" i="131"/>
  <c r="BG230" i="131"/>
  <c r="BG294" i="131"/>
  <c r="BG271" i="131"/>
  <c r="BG256" i="131"/>
  <c r="BG320" i="131"/>
  <c r="BG233" i="131"/>
  <c r="BG297" i="131"/>
  <c r="BG266" i="131"/>
  <c r="BG243" i="131"/>
  <c r="BG307" i="131"/>
  <c r="BG276" i="131"/>
  <c r="BG245" i="131"/>
  <c r="BG309" i="131"/>
  <c r="BG238" i="131"/>
  <c r="BG302" i="131"/>
  <c r="BG279" i="131"/>
  <c r="BG264" i="131"/>
  <c r="BG241" i="131"/>
  <c r="BG305" i="131"/>
  <c r="BG274" i="131"/>
  <c r="BG251" i="131"/>
  <c r="BG315" i="131"/>
  <c r="BG284" i="131"/>
  <c r="BG253" i="131"/>
  <c r="BG317" i="131"/>
  <c r="BG246" i="131"/>
  <c r="BG310" i="131"/>
  <c r="BG287" i="131"/>
  <c r="BG272" i="131"/>
  <c r="BG249" i="131"/>
  <c r="BG313" i="131"/>
  <c r="BG282" i="131"/>
  <c r="BG259" i="131"/>
  <c r="BG323" i="131"/>
  <c r="BG228" i="131"/>
  <c r="BG292" i="131"/>
  <c r="BG261" i="131"/>
  <c r="BG325" i="131"/>
  <c r="BG254" i="131"/>
  <c r="BG318" i="131"/>
  <c r="BG231" i="131"/>
  <c r="BG295" i="131"/>
  <c r="BG280" i="131"/>
  <c r="BG257" i="131"/>
  <c r="BG321" i="131"/>
  <c r="BG290" i="131"/>
  <c r="BG267" i="131"/>
  <c r="BG236" i="131"/>
  <c r="BG300" i="131"/>
  <c r="BG269" i="131"/>
  <c r="BG262" i="131"/>
  <c r="BG239" i="131"/>
  <c r="BG303" i="131"/>
  <c r="BG288" i="131"/>
  <c r="BG265" i="131"/>
  <c r="BG234" i="131"/>
  <c r="BG298" i="131"/>
  <c r="BG275" i="131"/>
  <c r="BG244" i="131"/>
  <c r="BG308" i="131"/>
  <c r="BG277" i="131"/>
  <c r="BG270" i="131"/>
  <c r="BG247" i="131"/>
  <c r="BG311" i="131"/>
  <c r="BG232" i="131"/>
  <c r="BG296" i="131"/>
  <c r="BG273" i="131"/>
  <c r="BG242" i="131"/>
  <c r="BG306" i="131"/>
  <c r="T116" i="131"/>
  <c r="U116" i="131" s="1"/>
  <c r="AR548" i="131"/>
  <c r="AR441" i="131"/>
  <c r="O17" i="1"/>
  <c r="AD548" i="131"/>
  <c r="AD441" i="131"/>
  <c r="W548" i="131"/>
  <c r="W441" i="131"/>
  <c r="AK119" i="130"/>
  <c r="BR12" i="130"/>
  <c r="T9" i="83"/>
  <c r="S9" i="83"/>
  <c r="R9" i="83"/>
  <c r="U10" i="83" a="1"/>
  <c r="U10" i="83" s="1"/>
  <c r="BA36" i="133" l="1"/>
  <c r="BA26" i="133"/>
  <c r="O18" i="1"/>
  <c r="P17" i="1" s="1"/>
  <c r="P18" i="1" s="1"/>
  <c r="T11" i="142"/>
  <c r="AA2" i="141"/>
  <c r="Z2" i="141"/>
  <c r="Y2" i="141" s="1"/>
  <c r="S11" i="142"/>
  <c r="P11" i="142" s="1"/>
  <c r="BA41" i="133"/>
  <c r="AK548" i="131"/>
  <c r="BA59" i="133"/>
  <c r="BA25" i="133"/>
  <c r="BA24" i="133"/>
  <c r="BA22" i="133"/>
  <c r="BA23" i="133"/>
  <c r="BA27" i="133"/>
  <c r="BA39" i="133"/>
  <c r="BA40" i="133"/>
  <c r="BA38" i="133"/>
  <c r="BA14" i="133"/>
  <c r="BA35" i="133"/>
  <c r="BA60" i="133"/>
  <c r="BA9" i="133"/>
  <c r="BA57" i="133"/>
  <c r="BA37" i="133"/>
  <c r="BA49" i="133"/>
  <c r="BA12" i="133"/>
  <c r="BA28" i="133"/>
  <c r="BA56" i="133"/>
  <c r="BA61" i="133"/>
  <c r="BA13" i="133"/>
  <c r="BA10" i="133"/>
  <c r="BA15" i="133"/>
  <c r="BA62" i="133"/>
  <c r="BA11" i="133"/>
  <c r="BA72" i="133"/>
  <c r="AC12" i="133"/>
  <c r="AC38" i="133"/>
  <c r="AC10" i="133"/>
  <c r="AS37" i="133"/>
  <c r="AS56" i="133"/>
  <c r="AS9" i="133"/>
  <c r="AS38" i="133"/>
  <c r="AK25" i="133"/>
  <c r="AS58" i="133"/>
  <c r="AC23" i="133"/>
  <c r="AS10" i="133"/>
  <c r="AP51" i="142"/>
  <c r="AK12" i="133"/>
  <c r="AK23" i="133"/>
  <c r="AK39" i="133"/>
  <c r="AK22" i="133"/>
  <c r="AK11" i="133"/>
  <c r="AC9" i="133"/>
  <c r="AC11" i="133"/>
  <c r="AC35" i="133"/>
  <c r="AC58" i="133"/>
  <c r="AC72" i="133"/>
  <c r="AC36" i="133"/>
  <c r="AC28" i="133"/>
  <c r="AC39" i="133"/>
  <c r="AC14" i="133"/>
  <c r="AC57" i="133"/>
  <c r="AK28" i="133"/>
  <c r="AK10" i="133"/>
  <c r="AK27" i="133"/>
  <c r="AK37" i="133"/>
  <c r="AK14" i="133"/>
  <c r="AS72" i="133"/>
  <c r="AK41" i="133"/>
  <c r="AK49" i="133"/>
  <c r="AK24" i="133"/>
  <c r="AK36" i="133"/>
  <c r="AK59" i="133"/>
  <c r="AS61" i="133"/>
  <c r="AK26" i="133"/>
  <c r="AK40" i="133"/>
  <c r="AK15" i="133"/>
  <c r="AK13" i="133"/>
  <c r="AK58" i="133"/>
  <c r="AK62" i="133"/>
  <c r="AK61" i="133"/>
  <c r="AK72" i="133"/>
  <c r="AK57" i="133"/>
  <c r="AK35" i="133"/>
  <c r="AK9" i="133"/>
  <c r="AK56" i="133"/>
  <c r="AK38" i="133"/>
  <c r="AS25" i="133"/>
  <c r="AS57" i="133"/>
  <c r="AS15" i="133"/>
  <c r="AS35" i="133"/>
  <c r="AP170" i="142"/>
  <c r="AS12" i="133"/>
  <c r="AS62" i="133"/>
  <c r="AS27" i="133"/>
  <c r="AS28" i="133"/>
  <c r="AS36" i="133"/>
  <c r="AS49" i="133"/>
  <c r="AS23" i="133"/>
  <c r="AS13" i="133"/>
  <c r="AS11" i="133"/>
  <c r="AS59" i="133"/>
  <c r="AS40" i="133"/>
  <c r="AS24" i="133"/>
  <c r="AS39" i="133"/>
  <c r="AS60" i="133"/>
  <c r="AS14" i="133"/>
  <c r="AS26" i="133"/>
  <c r="AS41" i="133"/>
  <c r="AS22" i="133"/>
  <c r="AC37" i="133"/>
  <c r="AC27" i="133"/>
  <c r="AC59" i="133"/>
  <c r="AC22" i="133"/>
  <c r="AC60" i="133"/>
  <c r="AC62" i="133"/>
  <c r="AC15" i="133"/>
  <c r="AC13" i="133"/>
  <c r="AC25" i="133"/>
  <c r="AC56" i="133"/>
  <c r="AC26" i="133"/>
  <c r="AC61" i="133"/>
  <c r="AC49" i="133"/>
  <c r="AC41" i="133"/>
  <c r="AC40" i="133"/>
  <c r="AC24" i="133"/>
  <c r="BK55" i="133"/>
  <c r="BP55" i="133" s="1"/>
  <c r="BK52" i="133"/>
  <c r="BP52" i="133" s="1"/>
  <c r="BK33" i="133"/>
  <c r="BP33" i="133" s="1"/>
  <c r="BK53" i="133"/>
  <c r="BP53" i="133" s="1"/>
  <c r="BK64" i="133"/>
  <c r="BP64" i="133" s="1"/>
  <c r="BK66" i="133"/>
  <c r="BP66" i="133" s="1"/>
  <c r="BK44" i="133"/>
  <c r="BP44" i="133" s="1"/>
  <c r="BK42" i="133"/>
  <c r="BP42" i="133" s="1"/>
  <c r="BK54" i="133"/>
  <c r="BP54" i="133" s="1"/>
  <c r="BK43" i="133"/>
  <c r="BP43" i="133" s="1"/>
  <c r="AP163" i="142"/>
  <c r="AP167" i="142"/>
  <c r="AP160" i="142"/>
  <c r="BK67" i="133"/>
  <c r="BP67" i="133" s="1"/>
  <c r="BK65" i="133"/>
  <c r="BP65" i="133" s="1"/>
  <c r="BK63" i="133"/>
  <c r="BP63" i="133" s="1"/>
  <c r="AP118" i="142"/>
  <c r="AK60" i="133"/>
  <c r="AP172" i="142"/>
  <c r="AP117" i="142"/>
  <c r="AP166" i="142"/>
  <c r="BK32" i="133"/>
  <c r="BP32" i="133" s="1"/>
  <c r="AP124" i="142"/>
  <c r="BK29" i="133"/>
  <c r="BP29" i="133" s="1"/>
  <c r="BK34" i="133"/>
  <c r="BP34" i="133" s="1"/>
  <c r="BK30" i="133"/>
  <c r="BP30" i="133" s="1"/>
  <c r="BK31" i="133"/>
  <c r="BP31" i="133" s="1"/>
  <c r="AP114" i="142"/>
  <c r="AP112" i="142"/>
  <c r="AP164" i="142"/>
  <c r="AP161" i="142"/>
  <c r="AP168" i="142"/>
  <c r="AP155" i="142"/>
  <c r="AP142" i="142"/>
  <c r="AP169" i="142"/>
  <c r="AP284" i="142"/>
  <c r="AP234" i="142"/>
  <c r="AP184" i="142"/>
  <c r="AP125" i="142"/>
  <c r="AP228" i="142"/>
  <c r="AP173" i="142"/>
  <c r="AP159" i="142"/>
  <c r="AP123" i="142"/>
  <c r="AP122" i="142"/>
  <c r="AP153" i="142"/>
  <c r="AP162" i="142"/>
  <c r="AP132" i="142"/>
  <c r="AP165" i="142"/>
  <c r="AP116" i="142"/>
  <c r="AP50" i="142"/>
  <c r="AP331" i="142"/>
  <c r="AP86" i="142"/>
  <c r="AP139" i="142"/>
  <c r="AP150" i="142"/>
  <c r="AP119" i="142"/>
  <c r="AP289" i="142"/>
  <c r="AP120" i="142"/>
  <c r="AP115" i="142"/>
  <c r="AP42" i="142"/>
  <c r="BK19" i="133"/>
  <c r="BP19" i="133" s="1"/>
  <c r="BK16" i="133"/>
  <c r="BP16" i="133" s="1"/>
  <c r="BK17" i="133"/>
  <c r="BP17" i="133" s="1"/>
  <c r="BK18" i="133"/>
  <c r="BP18" i="133" s="1"/>
  <c r="AP186" i="142"/>
  <c r="AP95" i="142"/>
  <c r="AP141" i="142"/>
  <c r="BK21" i="133"/>
  <c r="BP21" i="133" s="1"/>
  <c r="BK20" i="133"/>
  <c r="BP20" i="133" s="1"/>
  <c r="AP280" i="142"/>
  <c r="AP21" i="142"/>
  <c r="AP324" i="142"/>
  <c r="AP149" i="142"/>
  <c r="AP239" i="142"/>
  <c r="AP121" i="142"/>
  <c r="AP287" i="142"/>
  <c r="AP236" i="142"/>
  <c r="AP326" i="142"/>
  <c r="AP47" i="142"/>
  <c r="AP325" i="142"/>
  <c r="AP154" i="142"/>
  <c r="AP194" i="142"/>
  <c r="AP323" i="142"/>
  <c r="AP229" i="142"/>
  <c r="AP171" i="142"/>
  <c r="AP113" i="142"/>
  <c r="AP87" i="142"/>
  <c r="AP91" i="142"/>
  <c r="AP49" i="142"/>
  <c r="AP93" i="142"/>
  <c r="AP98" i="142"/>
  <c r="AP240" i="142"/>
  <c r="AP39" i="142"/>
  <c r="AP230" i="142"/>
  <c r="AP137" i="142"/>
  <c r="AP237" i="142"/>
  <c r="AP90" i="142"/>
  <c r="AP135" i="142"/>
  <c r="AP140" i="142"/>
  <c r="AP187" i="142"/>
  <c r="AP134" i="142"/>
  <c r="AP191" i="142"/>
  <c r="AP156" i="142"/>
  <c r="AP283" i="142"/>
  <c r="AP146" i="142"/>
  <c r="AP279" i="142"/>
  <c r="AP94" i="142"/>
  <c r="AP20" i="142"/>
  <c r="AP44" i="142"/>
  <c r="AP85" i="142"/>
  <c r="AP136" i="142"/>
  <c r="AP41" i="142"/>
  <c r="AP92" i="142"/>
  <c r="AP233" i="142"/>
  <c r="AP328" i="142"/>
  <c r="AP232" i="142"/>
  <c r="AP282" i="142"/>
  <c r="AP31" i="142"/>
  <c r="AP158" i="142"/>
  <c r="AP190" i="142"/>
  <c r="AP181" i="142"/>
  <c r="AP332" i="142"/>
  <c r="AP27" i="142"/>
  <c r="AP84" i="142"/>
  <c r="AP157" i="142"/>
  <c r="AP147" i="142"/>
  <c r="AP242" i="142"/>
  <c r="AP45" i="142"/>
  <c r="AP333" i="142"/>
  <c r="AP151" i="142"/>
  <c r="AP334" i="142"/>
  <c r="AP25" i="142"/>
  <c r="AP189" i="142"/>
  <c r="AP288" i="142"/>
  <c r="AP241" i="142"/>
  <c r="AP22" i="142"/>
  <c r="AP235" i="142"/>
  <c r="AP336" i="142"/>
  <c r="AP28" i="142"/>
  <c r="AP277" i="142"/>
  <c r="AP30" i="142"/>
  <c r="AP183" i="142"/>
  <c r="AP24" i="142"/>
  <c r="AP144" i="142"/>
  <c r="AP276" i="142"/>
  <c r="AP290" i="142"/>
  <c r="AP40" i="142"/>
  <c r="AP193" i="142"/>
  <c r="AP329" i="142"/>
  <c r="AP281" i="142"/>
  <c r="AP238" i="142"/>
  <c r="AP97" i="142"/>
  <c r="AP145" i="142"/>
  <c r="AP138" i="142"/>
  <c r="AP17" i="142"/>
  <c r="AP29" i="142"/>
  <c r="AP278" i="142"/>
  <c r="AP286" i="142"/>
  <c r="AP185" i="142"/>
  <c r="AP46" i="142"/>
  <c r="AP285" i="142"/>
  <c r="AP231" i="142"/>
  <c r="AP182" i="142"/>
  <c r="AP96" i="142"/>
  <c r="AP18" i="142"/>
  <c r="AP48" i="142"/>
  <c r="AP327" i="142"/>
  <c r="AP195" i="142"/>
  <c r="AP143" i="142"/>
  <c r="AP152" i="142"/>
  <c r="AP37" i="142"/>
  <c r="AP19" i="142"/>
  <c r="AP192" i="142"/>
  <c r="AP337" i="142"/>
  <c r="AP43" i="142"/>
  <c r="AP88" i="142"/>
  <c r="AP148" i="142"/>
  <c r="AP38" i="142"/>
  <c r="AP89" i="142"/>
  <c r="AP23" i="142"/>
  <c r="AP133" i="142"/>
  <c r="AP188" i="142"/>
  <c r="AP330" i="142"/>
  <c r="AP26" i="142"/>
  <c r="AP335" i="142"/>
  <c r="AB2" i="141"/>
  <c r="U11" i="142"/>
  <c r="BK7" i="133"/>
  <c r="BP7" i="133" s="1"/>
  <c r="BK8" i="133"/>
  <c r="BP8" i="133" s="1"/>
  <c r="BK6" i="133"/>
  <c r="BP6" i="133" s="1"/>
  <c r="BK50" i="133"/>
  <c r="BP50" i="133" s="1"/>
  <c r="BK69" i="133"/>
  <c r="BP69" i="133" s="1"/>
  <c r="BK47" i="133"/>
  <c r="BP47" i="133" s="1"/>
  <c r="BK46" i="133"/>
  <c r="BP46" i="133" s="1"/>
  <c r="BK73" i="133"/>
  <c r="BP73" i="133" s="1"/>
  <c r="BK45" i="133"/>
  <c r="BP45" i="133" s="1"/>
  <c r="BK74" i="133"/>
  <c r="BP74" i="133" s="1"/>
  <c r="BK68" i="133"/>
  <c r="BP68" i="133" s="1"/>
  <c r="BK71" i="133"/>
  <c r="BP71" i="133" s="1"/>
  <c r="BK70" i="133"/>
  <c r="BP70" i="133" s="1"/>
  <c r="BK48" i="133"/>
  <c r="BP48" i="133" s="1"/>
  <c r="BK51" i="133"/>
  <c r="BP51" i="133" s="1"/>
  <c r="AP1" i="133"/>
  <c r="AH1" i="133"/>
  <c r="AA1" i="133"/>
  <c r="AO1" i="133"/>
  <c r="AW1" i="133"/>
  <c r="AB1" i="133"/>
  <c r="Z1" i="133"/>
  <c r="AQ1" i="133"/>
  <c r="AJ1" i="133"/>
  <c r="AX1" i="133"/>
  <c r="Y1" i="133"/>
  <c r="AY1" i="133"/>
  <c r="AR1" i="133"/>
  <c r="AI1" i="133"/>
  <c r="AZ1" i="133"/>
  <c r="AA440" i="131"/>
  <c r="AA547" i="131" s="1"/>
  <c r="AO440" i="131"/>
  <c r="AO547" i="131" s="1"/>
  <c r="AM440" i="131"/>
  <c r="AM547" i="131" s="1"/>
  <c r="AH440" i="131"/>
  <c r="AH547" i="131" s="1"/>
  <c r="AY441" i="131"/>
  <c r="AY548" i="131"/>
  <c r="T223" i="131"/>
  <c r="U223" i="131" s="1"/>
  <c r="U11" i="83" a="1"/>
  <c r="U11" i="83" s="1"/>
  <c r="R10" i="83"/>
  <c r="T10" i="83"/>
  <c r="S10" i="83"/>
  <c r="Y18" i="1" l="1"/>
  <c r="BK15" i="133"/>
  <c r="BP15" i="133" s="1"/>
  <c r="BK22" i="133"/>
  <c r="BP22" i="133" s="1"/>
  <c r="BK10" i="133"/>
  <c r="BP10" i="133" s="1"/>
  <c r="BK60" i="133"/>
  <c r="BP60" i="133" s="1"/>
  <c r="BK72" i="133"/>
  <c r="BP72" i="133" s="1"/>
  <c r="BK40" i="133"/>
  <c r="BP40" i="133" s="1"/>
  <c r="BK12" i="133"/>
  <c r="BP12" i="133" s="1"/>
  <c r="BK36" i="133"/>
  <c r="BP36" i="133" s="1"/>
  <c r="BK14" i="133"/>
  <c r="BP14" i="133" s="1"/>
  <c r="BK9" i="133"/>
  <c r="BP9" i="133" s="1"/>
  <c r="BK57" i="133"/>
  <c r="BP57" i="133" s="1"/>
  <c r="BK23" i="133"/>
  <c r="BP23" i="133" s="1"/>
  <c r="BK59" i="133"/>
  <c r="BP59" i="133" s="1"/>
  <c r="BK62" i="133"/>
  <c r="BP62" i="133" s="1"/>
  <c r="BK38" i="133"/>
  <c r="BP38" i="133" s="1"/>
  <c r="BK37" i="133"/>
  <c r="BP37" i="133" s="1"/>
  <c r="BK27" i="133"/>
  <c r="BP27" i="133" s="1"/>
  <c r="BK24" i="133"/>
  <c r="BP24" i="133" s="1"/>
  <c r="BK61" i="133"/>
  <c r="BP61" i="133" s="1"/>
  <c r="BK41" i="133"/>
  <c r="BP41" i="133" s="1"/>
  <c r="BK25" i="133"/>
  <c r="BP25" i="133" s="1"/>
  <c r="BK28" i="133"/>
  <c r="BP28" i="133" s="1"/>
  <c r="BK26" i="133"/>
  <c r="BP26" i="133" s="1"/>
  <c r="BK49" i="133"/>
  <c r="BP49" i="133" s="1"/>
  <c r="BK11" i="133"/>
  <c r="BP11" i="133" s="1"/>
  <c r="BK39" i="133"/>
  <c r="BP39" i="133" s="1"/>
  <c r="BK35" i="133"/>
  <c r="BP35" i="133" s="1"/>
  <c r="BK58" i="133"/>
  <c r="BP58" i="133" s="1"/>
  <c r="BK56" i="133"/>
  <c r="BP56" i="133" s="1"/>
  <c r="BK13" i="133"/>
  <c r="BP13" i="133" s="1"/>
  <c r="AG1" i="133"/>
  <c r="BA1" i="133"/>
  <c r="U12" i="83" a="1"/>
  <c r="U12" i="83" s="1"/>
  <c r="S12" i="83" s="1"/>
  <c r="T11" i="83"/>
  <c r="S11" i="83"/>
  <c r="R11" i="83"/>
  <c r="U23" i="1" l="1"/>
  <c r="Z11" i="142" s="1"/>
  <c r="AE11" i="142"/>
  <c r="U26" i="1"/>
  <c r="AF11" i="142"/>
  <c r="Z18" i="1"/>
  <c r="AI2" i="141"/>
  <c r="AH2" i="141"/>
  <c r="AA11" i="142"/>
  <c r="E4" i="135"/>
  <c r="E5" i="135" a="1"/>
  <c r="E5" i="135" s="1"/>
  <c r="BK1" i="133"/>
  <c r="U13" i="83" a="1"/>
  <c r="U13" i="83" s="1"/>
  <c r="T13" i="83" s="1"/>
  <c r="T12" i="83"/>
  <c r="R12" i="83"/>
  <c r="AH3" i="83" s="1"/>
  <c r="AD2" i="141" l="1"/>
  <c r="AC2" i="141" s="1"/>
  <c r="U25" i="1"/>
  <c r="AE2" i="141"/>
  <c r="U24" i="1"/>
  <c r="AH11" i="142" s="1"/>
  <c r="Y11" i="142"/>
  <c r="V11" i="142" s="1"/>
  <c r="AG11" i="142"/>
  <c r="AF2" i="141"/>
  <c r="AG2" i="141"/>
  <c r="AB11" i="142"/>
  <c r="U14" i="83" a="1"/>
  <c r="U14" i="83" s="1"/>
  <c r="S14" i="83" s="1"/>
  <c r="S13" i="83"/>
  <c r="R13" i="83"/>
  <c r="AJ2" i="141" l="1"/>
  <c r="AK2" i="141"/>
  <c r="AO2" i="141" s="1"/>
  <c r="T14" i="83"/>
  <c r="U15" i="83" a="1"/>
  <c r="U15" i="83" s="1"/>
  <c r="R15" i="83" s="1"/>
  <c r="R14" i="83"/>
  <c r="AN2" i="141" l="1"/>
  <c r="AM2" i="141"/>
  <c r="AL2" i="141"/>
  <c r="U16" i="83" a="1"/>
  <c r="U16" i="83" s="1"/>
  <c r="S16" i="83" s="1"/>
  <c r="S15" i="83"/>
  <c r="T15" i="83"/>
  <c r="U17" i="83" l="1" a="1"/>
  <c r="U17" i="83" s="1"/>
  <c r="S17" i="83" s="1"/>
  <c r="R16" i="83"/>
  <c r="T16" i="83"/>
  <c r="U18" i="83" l="1" a="1"/>
  <c r="U18" i="83" s="1"/>
  <c r="T18" i="83" s="1"/>
  <c r="T17" i="83"/>
  <c r="R17" i="83"/>
  <c r="S18" i="83" l="1"/>
  <c r="U19" i="83" a="1"/>
  <c r="U19" i="83" s="1"/>
  <c r="S19" i="83" s="1"/>
  <c r="R18" i="83"/>
  <c r="U20" i="83" l="1" a="1"/>
  <c r="U20" i="83" s="1"/>
  <c r="S20" i="83" s="1"/>
  <c r="T19" i="83"/>
  <c r="R19" i="83"/>
  <c r="R20" i="83" l="1"/>
  <c r="U21" i="83" a="1"/>
  <c r="U21" i="83" s="1"/>
  <c r="S21" i="83" s="1"/>
  <c r="T20" i="83"/>
  <c r="R21" i="83" l="1"/>
  <c r="U22" i="83" a="1"/>
  <c r="U22" i="83" s="1"/>
  <c r="U23" i="83" s="1" a="1"/>
  <c r="U23" i="83" s="1"/>
  <c r="T21" i="83"/>
  <c r="T22" i="83" l="1"/>
  <c r="R22" i="83"/>
  <c r="S22" i="83"/>
  <c r="R23" i="83"/>
  <c r="T23" i="83"/>
  <c r="S23" i="83"/>
  <c r="U24" i="83" a="1"/>
  <c r="U24" i="83" s="1"/>
  <c r="U25" i="83" s="1" a="1"/>
  <c r="U25" i="83" s="1"/>
  <c r="T25" i="83" l="1"/>
  <c r="S25" i="83"/>
  <c r="R25" i="83"/>
  <c r="U26" i="83" a="1"/>
  <c r="U26" i="83" s="1"/>
  <c r="S24" i="83"/>
  <c r="R24" i="83"/>
  <c r="T24" i="83"/>
  <c r="S26" i="83" l="1"/>
  <c r="R26" i="83"/>
  <c r="T26" i="83"/>
  <c r="U27" i="83" a="1"/>
  <c r="U27" i="83" s="1"/>
  <c r="R27" i="83" l="1"/>
  <c r="S27" i="83"/>
  <c r="T27" i="83"/>
  <c r="U28" i="83" a="1"/>
  <c r="U28" i="83" s="1"/>
  <c r="S28" i="83" l="1"/>
  <c r="T28" i="83"/>
  <c r="R28" i="83"/>
  <c r="U29" i="83" a="1"/>
  <c r="U29" i="83" s="1"/>
  <c r="T29" i="83" l="1"/>
  <c r="R29" i="83"/>
  <c r="S29" i="83"/>
  <c r="U30" i="83" a="1"/>
  <c r="U30" i="83" s="1"/>
  <c r="R30" i="83" l="1"/>
  <c r="S30" i="83"/>
  <c r="T30" i="83"/>
  <c r="U31" i="83" a="1"/>
  <c r="U31" i="83" s="1"/>
  <c r="T31" i="83" l="1"/>
  <c r="S31" i="83"/>
  <c r="R31" i="83"/>
  <c r="U32" i="83" a="1"/>
  <c r="U32" i="83" s="1"/>
  <c r="U33" i="83" l="1" a="1"/>
  <c r="U33" i="83" s="1"/>
  <c r="R32" i="83"/>
  <c r="S32" i="83"/>
  <c r="T32" i="83"/>
  <c r="R33" i="83" l="1"/>
  <c r="S33" i="83"/>
  <c r="T33" i="83"/>
  <c r="U34" i="83" a="1"/>
  <c r="U34" i="83" s="1"/>
  <c r="S34" i="83" l="1"/>
  <c r="R34" i="83"/>
  <c r="T34" i="83"/>
  <c r="U35" i="83" a="1"/>
  <c r="U35" i="83" s="1"/>
  <c r="R35" i="83" l="1"/>
  <c r="S35" i="83"/>
  <c r="T35" i="83"/>
  <c r="U36" i="83" a="1"/>
  <c r="U36" i="83" s="1"/>
  <c r="S36" i="83" l="1"/>
  <c r="T36" i="83"/>
  <c r="R36" i="83"/>
  <c r="U37" i="83" a="1"/>
  <c r="U37" i="83" s="1"/>
  <c r="R37" i="83" l="1"/>
  <c r="T37" i="83"/>
  <c r="S37" i="83"/>
  <c r="U38" i="83" a="1"/>
  <c r="U38" i="83" s="1"/>
  <c r="R38" i="83" l="1"/>
  <c r="S38" i="83"/>
  <c r="T38" i="83"/>
  <c r="U39" i="83" a="1"/>
  <c r="U39" i="83" s="1"/>
  <c r="T39" i="83" l="1"/>
  <c r="S39" i="83"/>
  <c r="R39" i="83"/>
  <c r="U40" i="83" a="1"/>
  <c r="U40" i="83" s="1"/>
  <c r="S40" i="83" l="1"/>
  <c r="T40" i="83"/>
  <c r="R40" i="83"/>
  <c r="U41" i="83" a="1"/>
  <c r="U41" i="83" s="1"/>
  <c r="S41" i="83" l="1"/>
  <c r="T41" i="83"/>
  <c r="R41" i="83"/>
  <c r="U42" i="83" a="1"/>
  <c r="U42" i="83" s="1"/>
  <c r="T42" i="83" l="1"/>
  <c r="R42" i="83"/>
  <c r="S42" i="83"/>
  <c r="U43" i="83" a="1"/>
  <c r="U43" i="83" s="1"/>
  <c r="S43" i="83" l="1"/>
  <c r="R43" i="83"/>
  <c r="T43" i="83"/>
  <c r="U44" i="83" a="1"/>
  <c r="U44" i="83" s="1"/>
  <c r="T44" i="83" l="1"/>
  <c r="S44" i="83"/>
  <c r="R44" i="83"/>
  <c r="U45" i="83" a="1"/>
  <c r="U45" i="83" s="1"/>
  <c r="R45" i="83" l="1"/>
  <c r="S45" i="83"/>
  <c r="T45" i="83"/>
  <c r="U46" i="83" a="1"/>
  <c r="U46" i="83" s="1"/>
  <c r="S46" i="83" l="1"/>
  <c r="T46" i="83"/>
  <c r="R46" i="83"/>
  <c r="U47" i="83" a="1"/>
  <c r="U47" i="83" s="1"/>
  <c r="R47" i="83" l="1"/>
  <c r="S47" i="83"/>
  <c r="T47" i="83"/>
  <c r="U48" i="83" a="1"/>
  <c r="U48" i="83" s="1"/>
  <c r="T48" i="83" l="1"/>
  <c r="R48" i="83"/>
  <c r="S48" i="83"/>
  <c r="U49" i="83" a="1"/>
  <c r="U49" i="83" s="1"/>
  <c r="R49" i="83" l="1"/>
  <c r="S49" i="83"/>
  <c r="T49" i="83"/>
  <c r="U50" i="83" a="1"/>
  <c r="U50" i="83" s="1"/>
  <c r="S50" i="83" l="1"/>
  <c r="R50" i="83"/>
  <c r="T50" i="83"/>
  <c r="U51" i="83" a="1"/>
  <c r="U51" i="83" s="1"/>
  <c r="R51" i="83" l="1"/>
  <c r="S51" i="83"/>
  <c r="T51" i="83"/>
  <c r="U52" i="83" a="1"/>
  <c r="U52" i="83" s="1"/>
  <c r="S52" i="83" l="1"/>
  <c r="T52" i="83"/>
  <c r="R52" i="83"/>
  <c r="U53" i="83" a="1"/>
  <c r="U53" i="83" s="1"/>
  <c r="S53" i="83" l="1"/>
  <c r="R53" i="83"/>
  <c r="T53" i="83"/>
  <c r="U54" i="83" a="1"/>
  <c r="U54" i="83" s="1"/>
  <c r="R54" i="83" l="1"/>
  <c r="S54" i="83"/>
  <c r="T54" i="83"/>
  <c r="U55" i="83" a="1"/>
  <c r="U55" i="83" s="1"/>
  <c r="R55" i="83" l="1"/>
  <c r="S55" i="83"/>
  <c r="T55" i="83"/>
  <c r="U56" i="83" a="1"/>
  <c r="U56" i="83" s="1"/>
  <c r="T56" i="83" l="1"/>
  <c r="R56" i="83"/>
  <c r="S56" i="83"/>
  <c r="U57" i="83" a="1"/>
  <c r="U57" i="83" s="1"/>
  <c r="R57" i="83" l="1"/>
  <c r="S57" i="83"/>
  <c r="T57" i="83"/>
  <c r="U58" i="83" a="1"/>
  <c r="U58" i="83" s="1"/>
  <c r="T58" i="83" l="1"/>
  <c r="R58" i="83"/>
  <c r="S58" i="83"/>
  <c r="U59" i="83" a="1"/>
  <c r="U59" i="83" s="1"/>
  <c r="S59" i="83" l="1"/>
  <c r="T59" i="83"/>
  <c r="R59" i="83"/>
  <c r="U60" i="83" a="1"/>
  <c r="U60" i="83" s="1"/>
  <c r="S60" i="83" l="1"/>
  <c r="T60" i="83"/>
  <c r="R60" i="83"/>
  <c r="U61" i="83" a="1"/>
  <c r="U61" i="83" s="1"/>
  <c r="R61" i="83" l="1"/>
  <c r="S61" i="83"/>
  <c r="T61" i="83"/>
  <c r="U62" i="83" a="1"/>
  <c r="U62" i="83" s="1"/>
  <c r="R62" i="83" l="1"/>
  <c r="S62" i="83"/>
  <c r="T62" i="83"/>
  <c r="U63" i="83" a="1"/>
  <c r="U63" i="83" s="1"/>
  <c r="T63" i="83" l="1"/>
  <c r="R63" i="83"/>
  <c r="S63" i="83"/>
  <c r="U64" i="83" a="1"/>
  <c r="U64" i="83" s="1"/>
  <c r="R64" i="83" l="1"/>
  <c r="S64" i="83"/>
  <c r="T64" i="83"/>
  <c r="U65" i="83" a="1"/>
  <c r="U65" i="83" s="1"/>
  <c r="R65" i="83" l="1"/>
  <c r="S65" i="83"/>
  <c r="T65" i="83"/>
  <c r="U66" i="83" a="1"/>
  <c r="U66" i="83" s="1"/>
  <c r="S66" i="83" l="1"/>
  <c r="R66" i="83"/>
  <c r="T66" i="83"/>
  <c r="U67" i="83" a="1"/>
  <c r="U67" i="83" s="1"/>
  <c r="R67" i="83" l="1"/>
  <c r="S67" i="83"/>
  <c r="T67" i="83"/>
  <c r="U68" i="83" a="1"/>
  <c r="U68" i="83" s="1"/>
  <c r="S68" i="83" l="1"/>
  <c r="T68" i="83"/>
  <c r="R68" i="83"/>
  <c r="U69" i="83" a="1"/>
  <c r="U69" i="83" s="1"/>
  <c r="T69" i="83" l="1"/>
  <c r="R69" i="83"/>
  <c r="S69" i="83"/>
  <c r="U70" i="83" a="1"/>
  <c r="U70" i="83" s="1"/>
  <c r="R70" i="83" l="1"/>
  <c r="S70" i="83"/>
  <c r="T70" i="83"/>
  <c r="U71" i="83" a="1"/>
  <c r="U71" i="83" s="1"/>
  <c r="T71" i="83" l="1"/>
  <c r="R71" i="83"/>
  <c r="S71" i="83"/>
  <c r="U72" i="83" a="1"/>
  <c r="U72" i="83" s="1"/>
  <c r="R72" i="83" l="1"/>
  <c r="S72" i="83"/>
  <c r="T72" i="83"/>
  <c r="U73" i="83" a="1"/>
  <c r="U73" i="83" s="1"/>
  <c r="T73" i="83" l="1"/>
  <c r="R73" i="83"/>
  <c r="S73" i="83"/>
  <c r="U74" i="83" a="1"/>
  <c r="U74" i="83" s="1"/>
  <c r="T74" i="83" l="1"/>
  <c r="S74" i="83"/>
  <c r="R74" i="83"/>
  <c r="U75" i="83" a="1"/>
  <c r="U75" i="83" s="1"/>
  <c r="R75" i="83" l="1"/>
  <c r="S75" i="83"/>
  <c r="T75" i="83"/>
  <c r="U76" i="83" a="1"/>
  <c r="U76" i="83" s="1"/>
  <c r="T76" i="83" l="1"/>
  <c r="R76" i="83"/>
  <c r="S76" i="83"/>
  <c r="U77" i="83" a="1"/>
  <c r="U77" i="83" s="1"/>
  <c r="T77" i="83" l="1"/>
  <c r="R77" i="83"/>
  <c r="S77" i="83"/>
  <c r="U78" i="83" a="1"/>
  <c r="U78" i="83" s="1"/>
  <c r="T78" i="83" l="1"/>
  <c r="R78" i="83"/>
  <c r="S78" i="83"/>
  <c r="U79" i="83" a="1"/>
  <c r="U79" i="83" s="1"/>
  <c r="T79" i="83" l="1"/>
  <c r="R79" i="83"/>
  <c r="S79" i="83"/>
  <c r="U80" i="83" a="1"/>
  <c r="U80" i="83" s="1"/>
  <c r="R80" i="83" l="1"/>
  <c r="S80" i="83"/>
  <c r="T80" i="83"/>
  <c r="U81" i="83" a="1"/>
  <c r="U81" i="83" s="1"/>
  <c r="R81" i="83" l="1"/>
  <c r="T81" i="83"/>
  <c r="S81" i="83"/>
  <c r="U82" i="83" a="1"/>
  <c r="U82" i="83" s="1"/>
  <c r="S82" i="83" l="1"/>
  <c r="R82" i="83"/>
  <c r="T82" i="83"/>
  <c r="U83" i="83" a="1"/>
  <c r="U83" i="83" s="1"/>
  <c r="R83" i="83" l="1"/>
  <c r="S83" i="83"/>
  <c r="T83" i="83"/>
  <c r="U84" i="83" a="1"/>
  <c r="U84" i="83" s="1"/>
  <c r="S84" i="83" l="1"/>
  <c r="T84" i="83"/>
  <c r="R84" i="83"/>
  <c r="U85" i="83" a="1"/>
  <c r="U85" i="83" s="1"/>
  <c r="S85" i="83" l="1"/>
  <c r="T85" i="83"/>
  <c r="R85" i="83"/>
  <c r="U86" i="83" a="1"/>
  <c r="U86" i="83" s="1"/>
  <c r="R86" i="83" l="1"/>
  <c r="S86" i="83"/>
  <c r="T86" i="83"/>
  <c r="U87" i="83" a="1"/>
  <c r="U87" i="83" s="1"/>
  <c r="R87" i="83" l="1"/>
  <c r="S87" i="83"/>
  <c r="T87" i="83"/>
  <c r="U88" i="83" a="1"/>
  <c r="U88" i="83" s="1"/>
  <c r="R88" i="83" l="1"/>
  <c r="S88" i="83"/>
  <c r="T88" i="83"/>
  <c r="U89" i="83" a="1"/>
  <c r="U89" i="83" s="1"/>
  <c r="S89" i="83" l="1"/>
  <c r="T89" i="83"/>
  <c r="R89" i="83"/>
  <c r="U90" i="83" a="1"/>
  <c r="U90" i="83" s="1"/>
  <c r="R90" i="83" l="1"/>
  <c r="S90" i="83"/>
  <c r="T90" i="83"/>
  <c r="U91" i="83" a="1"/>
  <c r="U91" i="83" s="1"/>
  <c r="R91" i="83" l="1"/>
  <c r="T91" i="83"/>
  <c r="S91" i="83"/>
  <c r="U92" i="83" a="1"/>
  <c r="U92" i="83" s="1"/>
  <c r="T92" i="83" l="1"/>
  <c r="R92" i="83"/>
  <c r="S92" i="83"/>
  <c r="U93" i="83" a="1"/>
  <c r="U93" i="83" s="1"/>
  <c r="R93" i="83" l="1"/>
  <c r="S93" i="83"/>
  <c r="T93" i="83"/>
  <c r="U94" i="83" a="1"/>
  <c r="U94" i="83" s="1"/>
  <c r="R94" i="83" l="1"/>
  <c r="S94" i="83"/>
  <c r="T94" i="83"/>
  <c r="U95" i="83" a="1"/>
  <c r="U95" i="83" s="1"/>
  <c r="R95" i="83" l="1"/>
  <c r="S95" i="83"/>
  <c r="T95" i="83"/>
  <c r="U96" i="83" a="1"/>
  <c r="U96" i="83" s="1"/>
  <c r="S96" i="83" l="1"/>
  <c r="R96" i="83"/>
  <c r="T96" i="83"/>
  <c r="U97" i="83" a="1"/>
  <c r="U97" i="83" s="1"/>
  <c r="S97" i="83" l="1"/>
  <c r="T97" i="83"/>
  <c r="R97" i="83"/>
  <c r="U98" i="83" a="1"/>
  <c r="U98" i="83" s="1"/>
  <c r="R98" i="83" l="1"/>
  <c r="S98" i="83"/>
  <c r="T98" i="83"/>
  <c r="U99" i="83" a="1"/>
  <c r="U99" i="83" s="1"/>
  <c r="T99" i="83" l="1"/>
  <c r="R99" i="83"/>
  <c r="S99" i="83"/>
  <c r="U100" i="83" a="1"/>
  <c r="U100" i="83" s="1"/>
  <c r="T100" i="83" l="1"/>
  <c r="R100" i="83"/>
  <c r="S100" i="83"/>
  <c r="U101" i="83" a="1"/>
  <c r="U101" i="83" s="1"/>
  <c r="R101" i="83" l="1"/>
  <c r="S101" i="83"/>
  <c r="T101" i="83"/>
  <c r="U102" i="83" a="1"/>
  <c r="U102" i="83" s="1"/>
  <c r="U103" i="83" l="1" a="1"/>
  <c r="U103" i="83" s="1"/>
  <c r="R102" i="83"/>
  <c r="S102" i="83"/>
  <c r="T102" i="83"/>
  <c r="S103" i="83" l="1"/>
  <c r="T103" i="83"/>
  <c r="R103" i="83"/>
  <c r="U104" i="83" a="1"/>
  <c r="U104" i="83" s="1"/>
  <c r="U105" i="83" l="1" a="1"/>
  <c r="U105" i="83" s="1"/>
  <c r="S104" i="83"/>
  <c r="T104" i="83"/>
  <c r="R104" i="83"/>
  <c r="S105" i="83" l="1"/>
  <c r="T105" i="83"/>
  <c r="R105" i="83"/>
  <c r="U106" i="83" a="1"/>
  <c r="U106" i="83" s="1"/>
  <c r="R106" i="83" l="1"/>
  <c r="S106" i="83"/>
  <c r="T106" i="83"/>
  <c r="U107" i="83" a="1"/>
  <c r="U107" i="83" s="1"/>
  <c r="R107" i="83" l="1"/>
  <c r="S107" i="83"/>
  <c r="T107" i="83"/>
  <c r="U108" i="83" a="1"/>
  <c r="U108" i="83" s="1"/>
  <c r="T108" i="83" l="1"/>
  <c r="S108" i="83"/>
  <c r="R108" i="83"/>
  <c r="U109" i="83" a="1"/>
  <c r="U109" i="83" s="1"/>
  <c r="R109" i="83" l="1"/>
  <c r="T109" i="83"/>
  <c r="S109" i="83"/>
  <c r="U110" i="83" a="1"/>
  <c r="U110" i="83" s="1"/>
  <c r="R110" i="83" l="1"/>
  <c r="S110" i="83"/>
  <c r="T110" i="83"/>
  <c r="U111" i="83" a="1"/>
  <c r="U111" i="83" s="1"/>
  <c r="R111" i="83" l="1"/>
  <c r="T111" i="83"/>
  <c r="S111" i="83"/>
  <c r="U112" i="83" a="1"/>
  <c r="U112" i="83" s="1"/>
  <c r="R112" i="83" l="1"/>
  <c r="S112" i="83"/>
  <c r="T112" i="83"/>
  <c r="U113" i="83" a="1"/>
  <c r="U113" i="83" s="1"/>
  <c r="T113" i="83" l="1"/>
  <c r="R113" i="83"/>
  <c r="S113" i="83"/>
  <c r="U114" i="83" a="1"/>
  <c r="U114" i="83" s="1"/>
  <c r="R114" i="83" l="1"/>
  <c r="T114" i="83"/>
  <c r="S114" i="83"/>
  <c r="U115" i="83" a="1"/>
  <c r="U115" i="83" s="1"/>
  <c r="S115" i="83" l="1"/>
  <c r="T115" i="83"/>
  <c r="R115" i="83"/>
  <c r="U116" i="83" a="1"/>
  <c r="U116" i="83" s="1"/>
  <c r="S116" i="83" l="1"/>
  <c r="R116" i="83"/>
  <c r="T116" i="83"/>
  <c r="U117" i="83" a="1"/>
  <c r="U117" i="83" s="1"/>
  <c r="T117" i="83" l="1"/>
  <c r="R117" i="83"/>
  <c r="S117" i="83"/>
  <c r="U118" i="83" a="1"/>
  <c r="U118" i="83" s="1"/>
  <c r="S118" i="83" l="1"/>
  <c r="T118" i="83"/>
  <c r="R118" i="83"/>
  <c r="U119" i="83" a="1"/>
  <c r="U119" i="83" s="1"/>
  <c r="T119" i="83" l="1"/>
  <c r="S119" i="83"/>
  <c r="R119" i="83"/>
  <c r="U120" i="83" a="1"/>
  <c r="U120" i="83" s="1"/>
  <c r="S120" i="83" l="1"/>
  <c r="T120" i="83"/>
  <c r="R120" i="83"/>
  <c r="U121" i="83" a="1"/>
  <c r="U121" i="83" s="1"/>
  <c r="R121" i="83" l="1"/>
  <c r="T121" i="83"/>
  <c r="S121" i="83"/>
  <c r="U122" i="83" a="1"/>
  <c r="U122" i="83" s="1"/>
  <c r="R122" i="83" l="1"/>
  <c r="S122" i="83"/>
  <c r="T122" i="83"/>
  <c r="U123" i="83" a="1"/>
  <c r="U123" i="83" s="1"/>
  <c r="R123" i="83" l="1"/>
  <c r="T123" i="83"/>
  <c r="S123" i="83"/>
  <c r="U124" i="83" a="1"/>
  <c r="U124" i="83" s="1"/>
  <c r="S124" i="83" l="1"/>
  <c r="T124" i="83"/>
  <c r="R124" i="83"/>
  <c r="U125" i="83" a="1"/>
  <c r="U125" i="83" s="1"/>
  <c r="S125" i="83" l="1"/>
  <c r="T125" i="83"/>
  <c r="R125" i="83"/>
  <c r="U126" i="83" a="1"/>
  <c r="U126" i="83" s="1"/>
  <c r="R126" i="83" l="1"/>
  <c r="S126" i="83"/>
  <c r="T126" i="83"/>
  <c r="U127" i="83" a="1"/>
  <c r="U127" i="83" s="1"/>
  <c r="R127" i="83" l="1"/>
  <c r="S127" i="83"/>
  <c r="T127" i="83"/>
  <c r="U128" i="83" a="1"/>
  <c r="U128" i="83" s="1"/>
  <c r="T128" i="83" l="1"/>
  <c r="R128" i="83"/>
  <c r="S128" i="83"/>
  <c r="U129" i="83" a="1"/>
  <c r="U129" i="83" s="1"/>
  <c r="R129" i="83" l="1"/>
  <c r="S129" i="83"/>
  <c r="T129" i="83"/>
  <c r="U130" i="83" a="1"/>
  <c r="U130" i="83" s="1"/>
  <c r="R130" i="83" l="1"/>
  <c r="S130" i="83"/>
  <c r="T130" i="83"/>
  <c r="U131" i="83" a="1"/>
  <c r="U131" i="83" s="1"/>
  <c r="T131" i="83" l="1"/>
  <c r="S131" i="83"/>
  <c r="R131" i="83"/>
  <c r="U132" i="83" a="1"/>
  <c r="U132" i="83" s="1"/>
  <c r="R132" i="83" l="1"/>
  <c r="S132" i="83"/>
  <c r="T132" i="83"/>
  <c r="U133" i="83" a="1"/>
  <c r="U133" i="83" s="1"/>
  <c r="S133" i="83" l="1"/>
  <c r="T133" i="83"/>
  <c r="R133" i="83"/>
  <c r="U134" i="83" a="1"/>
  <c r="U134" i="83" s="1"/>
  <c r="T134" i="83" l="1"/>
  <c r="S134" i="83"/>
  <c r="R134" i="83"/>
  <c r="U135" i="83" a="1"/>
  <c r="U135" i="83" s="1"/>
  <c r="S135" i="83" l="1"/>
  <c r="T135" i="83"/>
  <c r="R135" i="83"/>
  <c r="U136" i="83" a="1"/>
  <c r="U136" i="83" s="1"/>
  <c r="S136" i="83" l="1"/>
  <c r="T136" i="83"/>
  <c r="R136" i="83"/>
  <c r="U137" i="83" a="1"/>
  <c r="U137" i="83" s="1"/>
  <c r="R137" i="83" l="1"/>
  <c r="S137" i="83"/>
  <c r="T137" i="83"/>
  <c r="U138" i="83" a="1"/>
  <c r="U138" i="83" s="1"/>
  <c r="T138" i="83" l="1"/>
  <c r="R138" i="83"/>
  <c r="S138" i="83"/>
  <c r="U139" i="83" a="1"/>
  <c r="U139" i="83" s="1"/>
  <c r="T139" i="83" l="1"/>
  <c r="S139" i="83"/>
  <c r="R139" i="83"/>
  <c r="U140" i="83" a="1"/>
  <c r="U140" i="83" s="1"/>
  <c r="R140" i="83" l="1"/>
  <c r="S140" i="83"/>
  <c r="T140" i="83"/>
  <c r="U141" i="83" a="1"/>
  <c r="U141" i="83" s="1"/>
  <c r="R141" i="83" l="1"/>
  <c r="T141" i="83"/>
  <c r="S141" i="83"/>
  <c r="U142" i="83" a="1"/>
  <c r="U142" i="83" s="1"/>
  <c r="T142" i="83" l="1"/>
  <c r="S142" i="83"/>
  <c r="R142" i="83"/>
  <c r="U143" i="83" a="1"/>
  <c r="U143" i="83" s="1"/>
  <c r="R143" i="83" l="1"/>
  <c r="S143" i="83"/>
  <c r="T143" i="83"/>
  <c r="U144" i="83" a="1"/>
  <c r="U144" i="83" s="1"/>
  <c r="S144" i="83" l="1"/>
  <c r="R144" i="83"/>
  <c r="T144" i="83"/>
  <c r="U145" i="83" a="1"/>
  <c r="U145" i="83" s="1"/>
  <c r="T145" i="83" l="1"/>
  <c r="R145" i="83"/>
  <c r="S145" i="83"/>
  <c r="U146" i="83" a="1"/>
  <c r="U146" i="83" s="1"/>
  <c r="R146" i="83" l="1"/>
  <c r="S146" i="83"/>
  <c r="T146" i="83"/>
  <c r="U147" i="83" a="1"/>
  <c r="U147" i="83" s="1"/>
  <c r="T147" i="83" l="1"/>
  <c r="R147" i="83"/>
  <c r="S147" i="83"/>
  <c r="U148" i="83" a="1"/>
  <c r="U148" i="83" s="1"/>
  <c r="R148" i="83" l="1"/>
  <c r="S148" i="83"/>
  <c r="T148" i="83"/>
  <c r="U149" i="83" a="1"/>
  <c r="U149" i="83" s="1"/>
  <c r="S149" i="83" l="1"/>
  <c r="T149" i="83"/>
  <c r="R149" i="83"/>
  <c r="U150" i="83" a="1"/>
  <c r="U150" i="83" s="1"/>
  <c r="R150" i="83" l="1"/>
  <c r="S150" i="83"/>
  <c r="T150" i="83"/>
  <c r="U151" i="83" a="1"/>
  <c r="U151" i="83" s="1"/>
  <c r="R151" i="83" l="1"/>
  <c r="S151" i="83"/>
  <c r="T151" i="83"/>
  <c r="U152" i="83" a="1"/>
  <c r="U152" i="83" s="1"/>
  <c r="R152" i="83" l="1"/>
  <c r="S152" i="83"/>
  <c r="T152" i="83"/>
  <c r="U153" i="83" a="1"/>
  <c r="U153" i="83" s="1"/>
  <c r="S153" i="83" l="1"/>
  <c r="T153" i="83"/>
  <c r="R153" i="83"/>
  <c r="U154" i="83" a="1"/>
  <c r="U154" i="83" s="1"/>
  <c r="R154" i="83" l="1"/>
  <c r="S154" i="83"/>
  <c r="T154" i="83"/>
  <c r="U155" i="83" a="1"/>
  <c r="U155" i="83" s="1"/>
  <c r="R155" i="83" l="1"/>
  <c r="S155" i="83"/>
  <c r="T155" i="83"/>
  <c r="U156" i="83" a="1"/>
  <c r="U156" i="83" s="1"/>
  <c r="T156" i="83" l="1"/>
  <c r="R156" i="83"/>
  <c r="S156" i="83"/>
  <c r="U157" i="83" a="1"/>
  <c r="U157" i="83" s="1"/>
  <c r="R157" i="83" l="1"/>
  <c r="S157" i="83"/>
  <c r="T157" i="83"/>
  <c r="U158" i="83" a="1"/>
  <c r="U158" i="83" s="1"/>
  <c r="R158" i="83" l="1"/>
  <c r="S158" i="83"/>
  <c r="T158" i="83"/>
  <c r="U159" i="83" a="1"/>
  <c r="U159" i="83" s="1"/>
  <c r="R159" i="83" l="1"/>
  <c r="S159" i="83"/>
  <c r="T159" i="83"/>
  <c r="U160" i="83" a="1"/>
  <c r="U160" i="83" s="1"/>
  <c r="S160" i="83" l="1"/>
  <c r="T160" i="83"/>
  <c r="R160" i="83"/>
  <c r="U161" i="83" a="1"/>
  <c r="U161" i="83" s="1"/>
  <c r="S161" i="83" l="1"/>
  <c r="T161" i="83"/>
  <c r="R161" i="83"/>
  <c r="U162" i="83" a="1"/>
  <c r="U162" i="83" s="1"/>
  <c r="R162" i="83" l="1"/>
  <c r="S162" i="83"/>
  <c r="T162" i="83"/>
  <c r="U163" i="83" a="1"/>
  <c r="U163" i="83" s="1"/>
  <c r="R163" i="83" l="1"/>
  <c r="S163" i="83"/>
  <c r="T163" i="83"/>
  <c r="U164" i="83" a="1"/>
  <c r="U164" i="83" s="1"/>
  <c r="T164" i="83" l="1"/>
  <c r="R164" i="83"/>
  <c r="S164" i="83"/>
  <c r="U165" i="83" a="1"/>
  <c r="U165" i="83" s="1"/>
  <c r="R165" i="83" l="1"/>
  <c r="S165" i="83"/>
  <c r="T165" i="83"/>
  <c r="U166" i="83" a="1"/>
  <c r="U166" i="83" s="1"/>
  <c r="R166" i="83" l="1"/>
  <c r="S166" i="83"/>
  <c r="T166" i="83"/>
  <c r="U167" i="83" a="1"/>
  <c r="U167" i="83" s="1"/>
  <c r="R167" i="83" l="1"/>
  <c r="S167" i="83"/>
  <c r="T167" i="83"/>
  <c r="U168" i="83" a="1"/>
  <c r="U168" i="83" s="1"/>
  <c r="S168" i="83" l="1"/>
  <c r="T168" i="83"/>
  <c r="R168" i="83"/>
  <c r="U169" i="83" a="1"/>
  <c r="U169" i="83" s="1"/>
  <c r="T169" i="83" l="1"/>
  <c r="R169" i="83"/>
  <c r="S169" i="83"/>
  <c r="U170" i="83" a="1"/>
  <c r="U170" i="83" s="1"/>
  <c r="S170" i="83" l="1"/>
  <c r="T170" i="83"/>
  <c r="R170" i="83"/>
  <c r="U171" i="83" a="1"/>
  <c r="U171" i="83" s="1"/>
  <c r="R171" i="83" l="1"/>
  <c r="S171" i="83"/>
  <c r="T171" i="83"/>
  <c r="U172" i="83" a="1"/>
  <c r="U172" i="83" s="1"/>
  <c r="R172" i="83" l="1"/>
  <c r="T172" i="83"/>
  <c r="S172" i="83"/>
  <c r="U173" i="83" a="1"/>
  <c r="U173" i="83" s="1"/>
  <c r="S173" i="83" l="1"/>
  <c r="T173" i="83"/>
  <c r="R173" i="83"/>
  <c r="U174" i="83" a="1"/>
  <c r="U174" i="83" s="1"/>
  <c r="S174" i="83" l="1"/>
  <c r="T174" i="83"/>
  <c r="R174" i="83"/>
  <c r="U175" i="83" a="1"/>
  <c r="U175" i="83" s="1"/>
  <c r="S175" i="83" l="1"/>
  <c r="T175" i="83"/>
  <c r="R175" i="83"/>
  <c r="U176" i="83" a="1"/>
  <c r="U176" i="83" s="1"/>
  <c r="S176" i="83" l="1"/>
  <c r="T176" i="83"/>
  <c r="R176" i="83"/>
  <c r="U177" i="83" a="1"/>
  <c r="U177" i="83" s="1"/>
  <c r="S177" i="83" l="1"/>
  <c r="T177" i="83"/>
  <c r="R177" i="83"/>
  <c r="U178" i="83" a="1"/>
  <c r="U178" i="83" s="1"/>
  <c r="R178" i="83" l="1"/>
  <c r="S178" i="83"/>
  <c r="T178" i="83"/>
  <c r="U179" i="83" a="1"/>
  <c r="U179" i="83" s="1"/>
  <c r="R179" i="83" l="1"/>
  <c r="T179" i="83"/>
  <c r="S179" i="83"/>
  <c r="U180" i="83" a="1"/>
  <c r="U180" i="83" s="1"/>
  <c r="T180" i="83" l="1"/>
  <c r="R180" i="83"/>
  <c r="S180" i="83"/>
  <c r="U181" i="83" a="1"/>
  <c r="U181" i="83" s="1"/>
  <c r="R181" i="83" l="1"/>
  <c r="S181" i="83"/>
  <c r="T181" i="83"/>
  <c r="U182" i="83" a="1"/>
  <c r="U182" i="83" s="1"/>
  <c r="R182" i="83" l="1"/>
  <c r="S182" i="83"/>
  <c r="T182" i="83"/>
  <c r="U183" i="83" a="1"/>
  <c r="U183" i="83" s="1"/>
  <c r="R183" i="83" l="1"/>
  <c r="S183" i="83"/>
  <c r="T183" i="83"/>
  <c r="U184" i="83" a="1"/>
  <c r="U184" i="83" s="1"/>
  <c r="R184" i="83" l="1"/>
  <c r="S184" i="83"/>
  <c r="T184" i="83"/>
  <c r="U185" i="83" a="1"/>
  <c r="U185" i="83" s="1"/>
  <c r="T185" i="83" l="1"/>
  <c r="R185" i="83"/>
  <c r="S185" i="83"/>
  <c r="U186" i="83" a="1"/>
  <c r="U186" i="83" s="1"/>
  <c r="S186" i="83" l="1"/>
  <c r="T186" i="83"/>
  <c r="R186" i="83"/>
  <c r="U187" i="83" a="1"/>
  <c r="U187" i="83" s="1"/>
  <c r="S187" i="83" l="1"/>
  <c r="T187" i="83"/>
  <c r="R187" i="83"/>
  <c r="U188" i="83" a="1"/>
  <c r="U188" i="83" s="1"/>
  <c r="T188" i="83" l="1"/>
  <c r="R188" i="83"/>
  <c r="S188" i="83"/>
  <c r="U189" i="83" a="1"/>
  <c r="U189" i="83" s="1"/>
  <c r="S189" i="83" l="1"/>
  <c r="T189" i="83"/>
  <c r="R189" i="83"/>
  <c r="U190" i="83" a="1"/>
  <c r="U190" i="83" s="1"/>
  <c r="S190" i="83" l="1"/>
  <c r="T190" i="83"/>
  <c r="R190" i="83"/>
  <c r="U191" i="83" a="1"/>
  <c r="U191" i="83" s="1"/>
  <c r="S191" i="83" l="1"/>
  <c r="T191" i="83"/>
  <c r="R191" i="83"/>
  <c r="U192" i="83" a="1"/>
  <c r="U192" i="83" s="1"/>
  <c r="S192" i="83" l="1"/>
  <c r="T192" i="83"/>
  <c r="R192" i="83"/>
  <c r="U193" i="83" a="1"/>
  <c r="U193" i="83" s="1"/>
  <c r="T193" i="83" l="1"/>
  <c r="R193" i="83"/>
  <c r="S193" i="83"/>
  <c r="U194" i="83" a="1"/>
  <c r="U194" i="83" s="1"/>
  <c r="S194" i="83" l="1"/>
  <c r="T194" i="83"/>
  <c r="R194" i="83"/>
  <c r="U195" i="83" a="1"/>
  <c r="U195" i="83" s="1"/>
  <c r="S195" i="83" l="1"/>
  <c r="T195" i="83"/>
  <c r="R195" i="83"/>
  <c r="U196" i="83" a="1"/>
  <c r="U196" i="83" s="1"/>
  <c r="R196" i="83" l="1"/>
  <c r="S196" i="83"/>
  <c r="T196" i="83"/>
  <c r="U197" i="83" a="1"/>
  <c r="U197" i="83" s="1"/>
  <c r="S197" i="83" l="1"/>
  <c r="T197" i="83"/>
  <c r="R197" i="83"/>
  <c r="U198" i="83" a="1"/>
  <c r="U198" i="83" s="1"/>
  <c r="S198" i="83" l="1"/>
  <c r="T198" i="83"/>
  <c r="R198" i="83"/>
  <c r="U199" i="83" a="1"/>
  <c r="U199" i="83" s="1"/>
  <c r="S199" i="83" l="1"/>
  <c r="T199" i="83"/>
  <c r="R199" i="83"/>
  <c r="U200" i="83" a="1"/>
  <c r="U200" i="83" s="1"/>
  <c r="S200" i="83" l="1"/>
  <c r="T200" i="83"/>
  <c r="R200" i="83"/>
  <c r="U201" i="83" a="1"/>
  <c r="U201" i="83" s="1"/>
  <c r="T201" i="83" l="1"/>
  <c r="R201" i="83"/>
  <c r="S201" i="83"/>
  <c r="U202" i="83" a="1"/>
  <c r="U202" i="83" s="1"/>
  <c r="S202" i="83" l="1"/>
  <c r="T202" i="83"/>
  <c r="R202" i="83"/>
  <c r="U203" i="83" a="1"/>
  <c r="U203" i="83" s="1"/>
  <c r="S203" i="83" l="1"/>
  <c r="T203" i="83"/>
  <c r="R203" i="83"/>
  <c r="U204" i="83" a="1"/>
  <c r="U204" i="83" s="1"/>
  <c r="R204" i="83" l="1"/>
  <c r="S204" i="83"/>
  <c r="T204" i="83"/>
  <c r="U205" i="83" a="1"/>
  <c r="U205" i="83" s="1"/>
  <c r="S205" i="83" l="1"/>
  <c r="T205" i="83"/>
  <c r="R205" i="83"/>
  <c r="U206" i="83" a="1"/>
  <c r="U206" i="83" s="1"/>
  <c r="S206" i="83" l="1"/>
  <c r="T206" i="83"/>
  <c r="R206" i="83"/>
  <c r="U207" i="83" a="1"/>
  <c r="U207" i="83" s="1"/>
  <c r="S207" i="83" l="1"/>
  <c r="T207" i="83"/>
  <c r="R207" i="83"/>
  <c r="U208" i="83" a="1"/>
  <c r="U208" i="83" s="1"/>
  <c r="S208" i="83" l="1"/>
  <c r="T208" i="83"/>
  <c r="R208" i="83"/>
  <c r="U209" i="83" a="1"/>
  <c r="U209" i="83" s="1"/>
  <c r="T209" i="83" l="1"/>
  <c r="R209" i="83"/>
  <c r="S209" i="83"/>
  <c r="U210" i="83" a="1"/>
  <c r="U210" i="83" s="1"/>
  <c r="S210" i="83" l="1"/>
  <c r="T210" i="83"/>
  <c r="R210" i="83"/>
  <c r="U211" i="83" a="1"/>
  <c r="U211" i="83" s="1"/>
  <c r="S211" i="83" l="1"/>
  <c r="T211" i="83"/>
  <c r="R211" i="83"/>
  <c r="U212" i="83" a="1"/>
  <c r="U212" i="83" s="1"/>
  <c r="R212" i="83" l="1"/>
  <c r="S212" i="83"/>
  <c r="T212" i="83"/>
  <c r="U213" i="83" a="1"/>
  <c r="U213" i="83" s="1"/>
  <c r="S213" i="83" l="1"/>
  <c r="T213" i="83"/>
  <c r="R213" i="83"/>
  <c r="U214" i="83" a="1"/>
  <c r="U214" i="83" s="1"/>
  <c r="S214" i="83" l="1"/>
  <c r="T214" i="83"/>
  <c r="R214" i="83"/>
  <c r="U215" i="83" a="1"/>
  <c r="U215" i="83" s="1"/>
  <c r="S215" i="83" l="1"/>
  <c r="T215" i="83"/>
  <c r="R215" i="83"/>
  <c r="U216" i="83" a="1"/>
  <c r="U216" i="83" s="1"/>
  <c r="S216" i="83" l="1"/>
  <c r="T216" i="83"/>
  <c r="R216" i="83"/>
  <c r="U217" i="83" a="1"/>
  <c r="U217" i="83" s="1"/>
  <c r="T217" i="83" l="1"/>
  <c r="R217" i="83"/>
  <c r="S217" i="83"/>
  <c r="U218" i="83" a="1"/>
  <c r="U218" i="83" s="1"/>
  <c r="S218" i="83" l="1"/>
  <c r="T218" i="83"/>
  <c r="R218" i="83"/>
  <c r="U219" i="83" a="1"/>
  <c r="U219" i="83" s="1"/>
  <c r="R219" i="83" l="1"/>
  <c r="S219" i="83"/>
  <c r="T219" i="83"/>
  <c r="U220" i="83" a="1"/>
  <c r="U220" i="83" s="1"/>
  <c r="T220" i="83" l="1"/>
  <c r="R220" i="83"/>
  <c r="S220" i="83"/>
  <c r="U221" i="83" a="1"/>
  <c r="U221" i="83" s="1"/>
  <c r="R221" i="83" l="1"/>
  <c r="S221" i="83"/>
  <c r="T221" i="83"/>
  <c r="U222" i="83" a="1"/>
  <c r="U222" i="83" s="1"/>
  <c r="R222" i="83" l="1"/>
  <c r="S222" i="83"/>
  <c r="T222" i="83"/>
  <c r="U223" i="83" a="1"/>
  <c r="U223" i="83" s="1"/>
  <c r="R223" i="83" l="1"/>
  <c r="S223" i="83"/>
  <c r="T223" i="83"/>
  <c r="U224" i="83" a="1"/>
  <c r="U224" i="83" s="1"/>
  <c r="R224" i="83" l="1"/>
  <c r="S224" i="83"/>
  <c r="T224" i="83"/>
  <c r="U225" i="83" a="1"/>
  <c r="U225" i="83" s="1"/>
  <c r="S225" i="83" l="1"/>
  <c r="T225" i="83"/>
  <c r="R225" i="83"/>
  <c r="U226" i="83" a="1"/>
  <c r="U226" i="83" s="1"/>
  <c r="R226" i="83" l="1"/>
  <c r="S226" i="83"/>
  <c r="T226" i="83"/>
  <c r="U227" i="83" a="1"/>
  <c r="U227" i="83" s="1"/>
  <c r="R227" i="83" l="1"/>
  <c r="S227" i="83"/>
  <c r="T227" i="83"/>
  <c r="U228" i="83" a="1"/>
  <c r="U228" i="83" s="1"/>
  <c r="T228" i="83" l="1"/>
  <c r="R228" i="83"/>
  <c r="S228" i="83"/>
  <c r="U229" i="83" a="1"/>
  <c r="U229" i="83" s="1"/>
  <c r="R229" i="83" l="1"/>
  <c r="S229" i="83"/>
  <c r="T229" i="83"/>
  <c r="U230" i="83" a="1"/>
  <c r="U230" i="83" s="1"/>
  <c r="R230" i="83" l="1"/>
  <c r="S230" i="83"/>
  <c r="T230" i="83"/>
  <c r="U231" i="83" a="1"/>
  <c r="U231" i="83" s="1"/>
  <c r="R231" i="83" l="1"/>
  <c r="S231" i="83"/>
  <c r="T231" i="83"/>
  <c r="U232" i="83" a="1"/>
  <c r="U232" i="83" s="1"/>
  <c r="R232" i="83" l="1"/>
  <c r="S232" i="83"/>
  <c r="T232" i="83"/>
  <c r="U233" i="83" a="1"/>
  <c r="U233" i="83" s="1"/>
  <c r="S233" i="83" l="1"/>
  <c r="T233" i="83"/>
  <c r="R233" i="83"/>
  <c r="U234" i="83" a="1"/>
  <c r="U234" i="83" s="1"/>
  <c r="R234" i="83" l="1"/>
  <c r="S234" i="83"/>
  <c r="T234" i="83"/>
  <c r="U235" i="83" a="1"/>
  <c r="U235" i="83" s="1"/>
  <c r="R235" i="83" l="1"/>
  <c r="S235" i="83"/>
  <c r="T235" i="83"/>
  <c r="U236" i="83" a="1"/>
  <c r="U236" i="83" s="1"/>
  <c r="T236" i="83" l="1"/>
  <c r="R236" i="83"/>
  <c r="S236" i="83"/>
  <c r="U237" i="83" a="1"/>
  <c r="U237" i="83" s="1"/>
  <c r="R237" i="83" l="1"/>
  <c r="S237" i="83"/>
  <c r="T237" i="83"/>
  <c r="U238" i="83" a="1"/>
  <c r="U238" i="83" s="1"/>
  <c r="S238" i="83" l="1"/>
  <c r="T238" i="83"/>
  <c r="R238" i="83"/>
  <c r="U239" i="83" a="1"/>
  <c r="U239" i="83" s="1"/>
  <c r="S239" i="83" l="1"/>
  <c r="T239" i="83"/>
  <c r="R239" i="83"/>
  <c r="U240" i="83" a="1"/>
  <c r="U240" i="83" s="1"/>
  <c r="S240" i="83" l="1"/>
  <c r="T240" i="83"/>
  <c r="R240" i="83"/>
  <c r="U241" i="83" a="1"/>
  <c r="U241" i="83" s="1"/>
  <c r="T241" i="83" l="1"/>
  <c r="R241" i="83"/>
  <c r="S241" i="83"/>
  <c r="U242" i="83" a="1"/>
  <c r="U242" i="83" s="1"/>
  <c r="S242" i="83" l="1"/>
  <c r="T242" i="83"/>
  <c r="R242" i="83"/>
  <c r="U243" i="83" a="1"/>
  <c r="U243" i="83" s="1"/>
  <c r="S243" i="83" l="1"/>
  <c r="T243" i="83"/>
  <c r="R243" i="83"/>
  <c r="U244" i="83" a="1"/>
  <c r="U244" i="83" s="1"/>
  <c r="R244" i="83" l="1"/>
  <c r="S244" i="83"/>
  <c r="T244" i="83"/>
  <c r="U245" i="83" a="1"/>
  <c r="U245" i="83" s="1"/>
  <c r="S245" i="83" l="1"/>
  <c r="T245" i="83"/>
  <c r="R245" i="83"/>
  <c r="U246" i="83" a="1"/>
  <c r="U246" i="83" s="1"/>
  <c r="S246" i="83" l="1"/>
  <c r="T246" i="83"/>
  <c r="R246" i="83"/>
  <c r="U247" i="83" a="1"/>
  <c r="U247" i="83" s="1"/>
  <c r="S247" i="83" l="1"/>
  <c r="T247" i="83"/>
  <c r="R247" i="83"/>
  <c r="U248" i="83" a="1"/>
  <c r="U248" i="83" s="1"/>
  <c r="T248" i="83" l="1"/>
  <c r="S248" i="83"/>
  <c r="R248" i="83"/>
  <c r="U249" i="83" a="1"/>
  <c r="U249" i="83" s="1"/>
  <c r="T249" i="83" l="1"/>
  <c r="R249" i="83"/>
  <c r="S249" i="83"/>
  <c r="U250" i="83" a="1"/>
  <c r="U250" i="83" s="1"/>
  <c r="S250" i="83" l="1"/>
  <c r="T250" i="83"/>
  <c r="R250" i="83"/>
  <c r="U251" i="83" a="1"/>
  <c r="U251" i="83" s="1"/>
  <c r="S251" i="83" l="1"/>
  <c r="T251" i="83"/>
  <c r="R251" i="83"/>
  <c r="U252" i="83" a="1"/>
  <c r="U252" i="83" s="1"/>
  <c r="T252" i="83" l="1"/>
  <c r="R252" i="83"/>
  <c r="S252" i="83"/>
  <c r="U253" i="83" a="1"/>
  <c r="U253" i="83" s="1"/>
  <c r="T253" i="83" l="1"/>
  <c r="R253" i="83"/>
  <c r="S253" i="83"/>
  <c r="U254" i="83" a="1"/>
  <c r="U254" i="83" s="1"/>
  <c r="T254" i="83" l="1"/>
  <c r="S254" i="83"/>
  <c r="R254" i="83"/>
  <c r="U255" i="83" a="1"/>
  <c r="U255" i="83" s="1"/>
  <c r="S255" i="83" l="1"/>
  <c r="T255" i="83"/>
  <c r="R255" i="83"/>
  <c r="U256" i="83" a="1"/>
  <c r="U256" i="83" s="1"/>
  <c r="T256" i="83" l="1"/>
  <c r="S256" i="83"/>
  <c r="R256" i="83"/>
  <c r="U257" i="83" a="1"/>
  <c r="U257" i="83" s="1"/>
  <c r="R257" i="83" l="1"/>
  <c r="T257" i="83"/>
  <c r="S257" i="83"/>
  <c r="U258" i="83" a="1"/>
  <c r="U258" i="83" s="1"/>
  <c r="S258" i="83" l="1"/>
  <c r="T258" i="83"/>
  <c r="R258" i="83"/>
  <c r="U259" i="83" a="1"/>
  <c r="U259" i="83" s="1"/>
  <c r="T259" i="83" l="1"/>
  <c r="R259" i="83"/>
  <c r="S259" i="83"/>
  <c r="U260" i="83" a="1"/>
  <c r="U260" i="83" s="1"/>
  <c r="R260" i="83" l="1"/>
  <c r="S260" i="83"/>
  <c r="T260" i="83"/>
  <c r="U261" i="83" a="1"/>
  <c r="U261" i="83" s="1"/>
  <c r="R261" i="83" l="1"/>
  <c r="T261" i="83"/>
  <c r="S261" i="83"/>
  <c r="U262" i="83" a="1"/>
  <c r="U262" i="83" s="1"/>
  <c r="T262" i="83" l="1"/>
  <c r="S262" i="83"/>
  <c r="R262" i="83"/>
  <c r="U263" i="83" a="1"/>
  <c r="U263" i="83" s="1"/>
  <c r="R263" i="83" l="1"/>
  <c r="T263" i="83"/>
  <c r="S263" i="83"/>
  <c r="U264" i="83" a="1"/>
  <c r="U264" i="83" s="1"/>
  <c r="T264" i="83" l="1"/>
  <c r="S264" i="83"/>
  <c r="R264" i="83"/>
  <c r="U265" i="83" a="1"/>
  <c r="U265" i="83" s="1"/>
  <c r="T265" i="83" l="1"/>
  <c r="S265" i="83"/>
  <c r="R265" i="83"/>
  <c r="U266" i="83" a="1"/>
  <c r="U266" i="83" s="1"/>
  <c r="S266" i="83" l="1"/>
  <c r="T266" i="83"/>
  <c r="R266" i="83"/>
  <c r="U267" i="83" a="1"/>
  <c r="U267" i="83" s="1"/>
  <c r="R267" i="83" l="1"/>
  <c r="T267" i="83"/>
  <c r="S267" i="83"/>
  <c r="U268" i="83" a="1"/>
  <c r="U268" i="83" s="1"/>
  <c r="S268" i="83" l="1"/>
  <c r="T268" i="83"/>
  <c r="R268" i="83"/>
  <c r="U269" i="83" a="1"/>
  <c r="U269" i="83" s="1"/>
  <c r="R269" i="83" l="1"/>
  <c r="T269" i="83"/>
  <c r="S269" i="83"/>
  <c r="U270" i="83" a="1"/>
  <c r="U270" i="83" s="1"/>
  <c r="R270" i="83" l="1"/>
  <c r="S270" i="83"/>
  <c r="T270" i="83"/>
  <c r="U271" i="83" a="1"/>
  <c r="U271" i="83" s="1"/>
  <c r="S271" i="83" l="1"/>
  <c r="T271" i="83"/>
  <c r="R271" i="83"/>
  <c r="U272" i="83" a="1"/>
  <c r="U272" i="83" s="1"/>
  <c r="T272" i="83" l="1"/>
  <c r="S272" i="83"/>
  <c r="R272" i="83"/>
  <c r="U273" i="83" a="1"/>
  <c r="U273" i="83" s="1"/>
  <c r="R273" i="83" l="1"/>
  <c r="S273" i="83"/>
  <c r="T273" i="83"/>
  <c r="U274" i="83" a="1"/>
  <c r="U274" i="83" s="1"/>
  <c r="R274" i="83" l="1"/>
  <c r="S274" i="83"/>
  <c r="T274" i="83"/>
  <c r="U275" i="83" a="1"/>
  <c r="U275" i="83" s="1"/>
  <c r="R275" i="83" l="1"/>
  <c r="S275" i="83"/>
  <c r="T275" i="83"/>
  <c r="U276" i="83" a="1"/>
  <c r="U276" i="83" s="1"/>
  <c r="R276" i="83" l="1"/>
  <c r="S276" i="83"/>
  <c r="T276" i="83"/>
  <c r="U277" i="83" a="1"/>
  <c r="U277" i="83" s="1"/>
  <c r="S277" i="83" l="1"/>
  <c r="R277" i="83"/>
  <c r="T277" i="83"/>
  <c r="U278" i="83" a="1"/>
  <c r="U278" i="83" s="1"/>
  <c r="R278" i="83" l="1"/>
  <c r="S278" i="83"/>
  <c r="T278" i="83"/>
  <c r="U279" i="83" a="1"/>
  <c r="U279" i="83" s="1"/>
  <c r="R279" i="83" l="1"/>
  <c r="S279" i="83"/>
  <c r="T279" i="83"/>
  <c r="U280" i="83" a="1"/>
  <c r="U280" i="83" s="1"/>
  <c r="T280" i="83" l="1"/>
  <c r="R280" i="83"/>
  <c r="S280" i="83"/>
  <c r="U281" i="83" a="1"/>
  <c r="U281" i="83" s="1"/>
  <c r="R281" i="83" l="1"/>
  <c r="S281" i="83"/>
  <c r="T281" i="83"/>
  <c r="U282" i="83" a="1"/>
  <c r="U282" i="83" s="1"/>
  <c r="R282" i="83" l="1"/>
  <c r="S282" i="83"/>
  <c r="T282" i="83"/>
  <c r="U283" i="83" a="1"/>
  <c r="U283" i="83" s="1"/>
  <c r="R283" i="83" l="1"/>
  <c r="S283" i="83"/>
  <c r="T283" i="83"/>
  <c r="U284" i="83" a="1"/>
  <c r="U284" i="83" s="1"/>
  <c r="T284" i="83" l="1"/>
  <c r="R284" i="83"/>
  <c r="S284" i="83"/>
  <c r="U285" i="83" a="1"/>
  <c r="U285" i="83" s="1"/>
  <c r="S285" i="83" l="1"/>
  <c r="R285" i="83"/>
  <c r="T285" i="83"/>
  <c r="U286" i="83" a="1"/>
  <c r="U286" i="83" s="1"/>
  <c r="S286" i="83" l="1"/>
  <c r="T286" i="83"/>
  <c r="R286" i="83"/>
  <c r="U287" i="83" a="1"/>
  <c r="U287" i="83" s="1"/>
  <c r="R287" i="83" l="1"/>
  <c r="S287" i="83"/>
  <c r="T287" i="83"/>
  <c r="U288" i="83" a="1"/>
  <c r="U288" i="83" s="1"/>
  <c r="R288" i="83" l="1"/>
  <c r="S288" i="83"/>
  <c r="T288" i="83"/>
  <c r="U289" i="83" a="1"/>
  <c r="U289" i="83" s="1"/>
  <c r="T289" i="83" l="1"/>
  <c r="S289" i="83"/>
  <c r="R289" i="83"/>
  <c r="U290" i="83" a="1"/>
  <c r="U290" i="83" s="1"/>
  <c r="R290" i="83" l="1"/>
  <c r="S290" i="83"/>
  <c r="T290" i="83"/>
  <c r="U291" i="83" a="1"/>
  <c r="U291" i="83" s="1"/>
  <c r="R291" i="83" l="1"/>
  <c r="T291" i="83"/>
  <c r="S291" i="83"/>
  <c r="U292" i="83" a="1"/>
  <c r="U292" i="83" s="1"/>
  <c r="T292" i="83" l="1"/>
  <c r="R292" i="83"/>
  <c r="S292" i="83"/>
  <c r="U293" i="83" a="1"/>
  <c r="U293" i="83" s="1"/>
  <c r="R293" i="83" l="1"/>
  <c r="T293" i="83"/>
  <c r="S293" i="83"/>
  <c r="AK1" i="133" l="1"/>
  <c r="R21" i="1" l="1"/>
  <c r="R47" i="1"/>
  <c r="R25" i="1"/>
  <c r="R65" i="1"/>
  <c r="R34" i="1"/>
  <c r="R52" i="1"/>
  <c r="R29" i="1"/>
  <c r="R64" i="1"/>
  <c r="R59" i="1"/>
  <c r="R66" i="1"/>
  <c r="R56" i="1"/>
  <c r="R37" i="1"/>
  <c r="R40" i="1"/>
  <c r="R60" i="1"/>
  <c r="R50" i="1"/>
  <c r="R49" i="1"/>
  <c r="R46" i="1"/>
  <c r="R39" i="1"/>
  <c r="R53" i="1"/>
  <c r="R26" i="1"/>
  <c r="R43" i="1"/>
  <c r="R24" i="1"/>
  <c r="R28" i="1"/>
  <c r="R32" i="1"/>
  <c r="R27" i="1"/>
  <c r="R62" i="1"/>
  <c r="R41" i="1"/>
  <c r="R22" i="1"/>
  <c r="R38" i="1"/>
  <c r="R45" i="1"/>
  <c r="R48" i="1"/>
  <c r="R35" i="1"/>
  <c r="R36" i="1"/>
  <c r="R55" i="1"/>
  <c r="R63" i="1"/>
  <c r="R33" i="1"/>
  <c r="R30" i="1"/>
  <c r="R42" i="1"/>
  <c r="R23" i="1"/>
  <c r="R54" i="1"/>
  <c r="R31" i="1"/>
  <c r="R51" i="1"/>
  <c r="R67" i="1"/>
  <c r="R57" i="1"/>
  <c r="R58" i="1"/>
  <c r="R44" i="1"/>
  <c r="R61" i="1"/>
  <c r="R20" i="1"/>
  <c r="BE26" i="141" l="1" a="1"/>
  <c r="BE26" i="141" s="1"/>
  <c r="BG26" i="141" s="1"/>
  <c r="AY26" i="141" s="1"/>
  <c r="BE6" i="141" a="1"/>
  <c r="BE6" i="141" s="1"/>
  <c r="BG6" i="141" s="1"/>
  <c r="AY6" i="141" s="1"/>
  <c r="BE41" i="141" a="1"/>
  <c r="BE41" i="141" s="1"/>
  <c r="BG41" i="141" s="1"/>
  <c r="AY41" i="141" s="1"/>
  <c r="BE20" i="141" a="1"/>
  <c r="BE20" i="141" s="1"/>
  <c r="BG20" i="141" s="1"/>
  <c r="AY20" i="141" s="1"/>
  <c r="BE13" i="141" a="1"/>
  <c r="BE13" i="141" s="1"/>
  <c r="BG13" i="141" s="1"/>
  <c r="AY13" i="141" s="1"/>
  <c r="BE12" i="141" a="1"/>
  <c r="BE12" i="141" s="1"/>
  <c r="BG12" i="141" s="1"/>
  <c r="AY12" i="141" s="1"/>
  <c r="BE32" i="141" a="1"/>
  <c r="BE32" i="141" s="1"/>
  <c r="BG32" i="141" s="1"/>
  <c r="AY32" i="141" s="1"/>
  <c r="BE9" i="141" a="1"/>
  <c r="BE9" i="141" s="1"/>
  <c r="BG9" i="141" s="1"/>
  <c r="AY9" i="141" s="1"/>
  <c r="BE36" i="141" a="1"/>
  <c r="BE36" i="141" s="1"/>
  <c r="BG36" i="141" s="1"/>
  <c r="AY36" i="141" s="1"/>
  <c r="BE37" i="141" a="1"/>
  <c r="BE37" i="141" s="1"/>
  <c r="BG37" i="141" s="1"/>
  <c r="AY37" i="141" s="1"/>
  <c r="BE42" i="141" a="1"/>
  <c r="BE42" i="141" s="1"/>
  <c r="BG42" i="141" s="1"/>
  <c r="AY42" i="141" s="1"/>
  <c r="BE18" i="141" a="1"/>
  <c r="BE18" i="141" s="1"/>
  <c r="BG18" i="141" s="1"/>
  <c r="AY18" i="141" s="1"/>
  <c r="BE24" i="141" a="1"/>
  <c r="BE24" i="141" s="1"/>
  <c r="BG24" i="141" s="1"/>
  <c r="AY24" i="141" s="1"/>
  <c r="BE28" i="141" a="1"/>
  <c r="BE28" i="141" s="1"/>
  <c r="BG28" i="141" s="1"/>
  <c r="AY28" i="141" s="1"/>
  <c r="BE11" i="141" a="1"/>
  <c r="BE11" i="141" s="1"/>
  <c r="BG11" i="141" s="1"/>
  <c r="AY11" i="141" s="1"/>
  <c r="BE17" i="141" a="1"/>
  <c r="BE17" i="141" s="1"/>
  <c r="BG17" i="141" s="1"/>
  <c r="AY17" i="141" s="1"/>
  <c r="BE34" i="141" a="1"/>
  <c r="BE34" i="141" s="1"/>
  <c r="BG34" i="141" s="1"/>
  <c r="AY34" i="141" s="1"/>
  <c r="BE15" i="141" a="1"/>
  <c r="BE15" i="141" s="1"/>
  <c r="BG15" i="141" s="1"/>
  <c r="AY15" i="141" s="1"/>
  <c r="BE35" i="141" a="1"/>
  <c r="BE35" i="141" s="1"/>
  <c r="BG35" i="141" s="1"/>
  <c r="AY35" i="141" s="1"/>
  <c r="BE19" i="141" a="1"/>
  <c r="BE19" i="141" s="1"/>
  <c r="BG19" i="141" s="1"/>
  <c r="AY19" i="141" s="1"/>
  <c r="BE40" i="141" a="1"/>
  <c r="BE40" i="141" s="1"/>
  <c r="BG40" i="141" s="1"/>
  <c r="AY40" i="141" s="1"/>
  <c r="BE30" i="141" a="1"/>
  <c r="BE30" i="141" s="1"/>
  <c r="BG30" i="141" s="1"/>
  <c r="AY30" i="141" s="1"/>
  <c r="BE7" i="141" a="1"/>
  <c r="BE7" i="141" s="1"/>
  <c r="BG7" i="141" s="1"/>
  <c r="AY7" i="141" s="1"/>
  <c r="BE44" i="141" a="1"/>
  <c r="BE44" i="141" s="1"/>
  <c r="BG44" i="141" s="1"/>
  <c r="AY44" i="141" s="1"/>
  <c r="BE21" i="141" a="1"/>
  <c r="BE21" i="141" s="1"/>
  <c r="BG21" i="141" s="1"/>
  <c r="AY21" i="141" s="1"/>
  <c r="BE27" i="141" a="1"/>
  <c r="BE27" i="141" s="1"/>
  <c r="BG27" i="141" s="1"/>
  <c r="AY27" i="141" s="1"/>
  <c r="BE39" i="141" a="1"/>
  <c r="BE39" i="141" s="1"/>
  <c r="BG39" i="141" s="1"/>
  <c r="AY39" i="141" s="1"/>
  <c r="BE33" i="141" a="1"/>
  <c r="BE33" i="141" s="1"/>
  <c r="BG33" i="141" s="1"/>
  <c r="AY33" i="141" s="1"/>
  <c r="BE38" i="141" a="1"/>
  <c r="BE38" i="141" s="1"/>
  <c r="BG38" i="141" s="1"/>
  <c r="AY38" i="141" s="1"/>
  <c r="BE31" i="141" a="1"/>
  <c r="BE31" i="141" s="1"/>
  <c r="BG31" i="141" s="1"/>
  <c r="AY31" i="141" s="1"/>
  <c r="BE23" i="141" a="1"/>
  <c r="BE23" i="141" s="1"/>
  <c r="BG23" i="141" s="1"/>
  <c r="AY23" i="141" s="1"/>
  <c r="BE43" i="141" a="1"/>
  <c r="BE43" i="141" s="1"/>
  <c r="BG43" i="141" s="1"/>
  <c r="AY43" i="141" s="1"/>
  <c r="BE25" i="141" a="1"/>
  <c r="BE25" i="141" s="1"/>
  <c r="BG25" i="141" s="1"/>
  <c r="AY25" i="141" s="1"/>
  <c r="BE8" i="141" a="1"/>
  <c r="BE8" i="141" s="1"/>
  <c r="BG8" i="141" s="1"/>
  <c r="AY8" i="141" s="1"/>
  <c r="BE22" i="141" a="1"/>
  <c r="BE22" i="141" s="1"/>
  <c r="BG22" i="141" s="1"/>
  <c r="AY22" i="141" s="1"/>
  <c r="BE10" i="141" a="1"/>
  <c r="BE10" i="141" s="1"/>
  <c r="BG10" i="141" s="1"/>
  <c r="AY10" i="141" s="1"/>
  <c r="BE16" i="141" a="1"/>
  <c r="BE16" i="141" s="1"/>
  <c r="BG16" i="141" s="1"/>
  <c r="AY16" i="141" s="1"/>
  <c r="BE29" i="141" a="1"/>
  <c r="BE29" i="141" s="1"/>
  <c r="BG29" i="141" s="1"/>
  <c r="AY29" i="141" s="1"/>
  <c r="BL23" i="142" a="1"/>
  <c r="BL23" i="142" s="1"/>
  <c r="BL285" i="142" a="1"/>
  <c r="BL285" i="142" s="1"/>
  <c r="BL48" i="142" a="1"/>
  <c r="BL48" i="142" s="1"/>
  <c r="BL31" i="142" a="1"/>
  <c r="BL31" i="142" s="1"/>
  <c r="BL228" i="142" a="1"/>
  <c r="BL228" i="142" s="1"/>
  <c r="BL231" i="142" a="1"/>
  <c r="BL231" i="142" s="1"/>
  <c r="BL287" i="142" a="1"/>
  <c r="BL287" i="142" s="1"/>
  <c r="BL276" i="142" a="1"/>
  <c r="BL276" i="142" s="1"/>
  <c r="BL43" i="142" a="1"/>
  <c r="BL43" i="142" s="1"/>
  <c r="BL41" i="142" a="1"/>
  <c r="BL41" i="142" s="1"/>
  <c r="BL86" i="142" a="1"/>
  <c r="BL86" i="142" s="1"/>
  <c r="BL89" i="142" a="1"/>
  <c r="BL89" i="142" s="1"/>
  <c r="BL46" i="142" a="1"/>
  <c r="BL46" i="142" s="1"/>
  <c r="BL91" i="142" a="1"/>
  <c r="BL91" i="142" s="1"/>
  <c r="BL183" i="142" a="1"/>
  <c r="BL183" i="142" s="1"/>
  <c r="BL19" i="142" a="1"/>
  <c r="BL19" i="142" s="1"/>
  <c r="BL138" i="142" a="1"/>
  <c r="BL138" i="142" s="1"/>
  <c r="BL136" i="142" a="1"/>
  <c r="BL136" i="142" s="1"/>
  <c r="BL242" i="142" a="1"/>
  <c r="BL242" i="142" s="1"/>
  <c r="BL133" i="142" a="1"/>
  <c r="BL133" i="142" s="1"/>
  <c r="BL186" i="142" a="1"/>
  <c r="BL186" i="142" s="1"/>
  <c r="BL135" i="142" a="1"/>
  <c r="BL135" i="142" s="1"/>
  <c r="BL286" i="142" a="1"/>
  <c r="BL286" i="142" s="1"/>
  <c r="BL192" i="142" a="1"/>
  <c r="BL192" i="142" s="1"/>
  <c r="BL329" i="142" a="1"/>
  <c r="BL329" i="142" s="1"/>
  <c r="BL92" i="142" a="1"/>
  <c r="BL92" i="142" s="1"/>
  <c r="BL191" i="142" a="1"/>
  <c r="BL191" i="142" s="1"/>
  <c r="BL38" i="142" a="1"/>
  <c r="BL38" i="142" s="1"/>
  <c r="BL288" i="142" a="1"/>
  <c r="BL288" i="142" s="1"/>
  <c r="BL141" i="142" a="1"/>
  <c r="BL141" i="142" s="1"/>
  <c r="BL96" i="142" a="1"/>
  <c r="BL96" i="142" s="1"/>
  <c r="BL97" i="142" a="1"/>
  <c r="BL97" i="142" s="1"/>
  <c r="BL331" i="142" a="1"/>
  <c r="BL331" i="142" s="1"/>
  <c r="BL24" i="142" a="1"/>
  <c r="BL24" i="142" s="1"/>
  <c r="BL325" i="142" a="1"/>
  <c r="BL325" i="142" s="1"/>
  <c r="BL17" i="142" a="1"/>
  <c r="BL17" i="142" s="1"/>
  <c r="BL132" i="142" a="1"/>
  <c r="BL132" i="142" s="1"/>
  <c r="BL144" i="142" a="1"/>
  <c r="BL144" i="142" s="1"/>
  <c r="BL335" i="142" a="1"/>
  <c r="BL335" i="142" s="1"/>
  <c r="BL134" i="142" a="1"/>
  <c r="BL134" i="142" s="1"/>
  <c r="BL39" i="142" a="1"/>
  <c r="BL39" i="142" s="1"/>
  <c r="BL26" i="142" a="1"/>
  <c r="BL26" i="142" s="1"/>
  <c r="BL239" i="142" a="1"/>
  <c r="BL239" i="142" s="1"/>
  <c r="BL88" i="142" a="1"/>
  <c r="BL88" i="142" s="1"/>
  <c r="BL333" i="142" a="1"/>
  <c r="BL333" i="142" s="1"/>
  <c r="BL237" i="142" a="1"/>
  <c r="BL237" i="142" s="1"/>
  <c r="BL140" i="142" a="1"/>
  <c r="BL140" i="142" s="1"/>
  <c r="BL187" i="142" a="1"/>
  <c r="BL187" i="142" s="1"/>
  <c r="BL238" i="142" a="1"/>
  <c r="BL238" i="142" s="1"/>
  <c r="BL281" i="142" a="1"/>
  <c r="BL281" i="142" s="1"/>
  <c r="BL18" i="142" a="1"/>
  <c r="BL18" i="142" s="1"/>
  <c r="BL289" i="142" a="1"/>
  <c r="BL289" i="142" s="1"/>
  <c r="BL328" i="142" a="1"/>
  <c r="BL328" i="142" s="1"/>
  <c r="BL146" i="142" a="1"/>
  <c r="BL146" i="142" s="1"/>
  <c r="BL95" i="142" a="1"/>
  <c r="BL95" i="142" s="1"/>
  <c r="BL283" i="142" a="1"/>
  <c r="BL283" i="142" s="1"/>
  <c r="BL337" i="142" a="1"/>
  <c r="BL337" i="142" s="1"/>
  <c r="BL90" i="142" a="1"/>
  <c r="BL90" i="142" s="1"/>
  <c r="BL334" i="142" a="1"/>
  <c r="BL334" i="142" s="1"/>
  <c r="BL182" i="142" a="1"/>
  <c r="BL182" i="142" s="1"/>
  <c r="BL233" i="142" a="1"/>
  <c r="BL233" i="142" s="1"/>
  <c r="BL230" i="142" a="1"/>
  <c r="BL230" i="142" s="1"/>
  <c r="BL37" i="142" a="1"/>
  <c r="BL37" i="142" s="1"/>
  <c r="BL193" i="142" a="1"/>
  <c r="BL193" i="142" s="1"/>
  <c r="BL137" i="142" a="1"/>
  <c r="BL137" i="142" s="1"/>
  <c r="BL323" i="142" a="1"/>
  <c r="BL323" i="142" s="1"/>
  <c r="BL142" i="142" a="1"/>
  <c r="BL142" i="142" s="1"/>
  <c r="BL194" i="142" a="1"/>
  <c r="BL194" i="142" s="1"/>
  <c r="BL278" i="142" a="1"/>
  <c r="BL278" i="142" s="1"/>
  <c r="BL330" i="142" a="1"/>
  <c r="BL330" i="142" s="1"/>
  <c r="BL139" i="142" a="1"/>
  <c r="BL139" i="142" s="1"/>
  <c r="BL195" i="142" a="1"/>
  <c r="BL195" i="142" s="1"/>
  <c r="BL336" i="142" a="1"/>
  <c r="BL336" i="142" s="1"/>
  <c r="BL145" i="142" a="1"/>
  <c r="BL145" i="142" s="1"/>
  <c r="BL28" i="142" a="1"/>
  <c r="BL28" i="142" s="1"/>
  <c r="BL280" i="142" a="1"/>
  <c r="BL280" i="142" s="1"/>
  <c r="BL27" i="142" a="1"/>
  <c r="BL27" i="142" s="1"/>
  <c r="BL229" i="142" a="1"/>
  <c r="BL229" i="142" s="1"/>
  <c r="BL85" i="142" a="1"/>
  <c r="BL85" i="142" s="1"/>
  <c r="BL324" i="142" a="1"/>
  <c r="BL324" i="142" s="1"/>
  <c r="BL21" i="142" a="1"/>
  <c r="BL21" i="142" s="1"/>
  <c r="BL47" i="142" a="1"/>
  <c r="BL47" i="142" s="1"/>
  <c r="BL84" i="142" a="1"/>
  <c r="BL84" i="142" s="1"/>
  <c r="BL45" i="142" a="1"/>
  <c r="BL45" i="142" s="1"/>
  <c r="BL50" i="142" a="1"/>
  <c r="BL50" i="142" s="1"/>
  <c r="BL29" i="142" a="1"/>
  <c r="BL29" i="142" s="1"/>
  <c r="BL185" i="142" a="1"/>
  <c r="BL185" i="142" s="1"/>
  <c r="R2" i="1"/>
  <c r="E2" i="1" s="1"/>
  <c r="BL40" i="142" a="1"/>
  <c r="BL40" i="142" s="1"/>
  <c r="BL235" i="142" a="1"/>
  <c r="BL235" i="142" s="1"/>
  <c r="BL332" i="142" a="1"/>
  <c r="BL332" i="142" s="1"/>
  <c r="BL181" i="142" a="1"/>
  <c r="BL181" i="142" s="1"/>
  <c r="BL282" i="142" a="1"/>
  <c r="BL282" i="142" s="1"/>
  <c r="BL93" i="142" a="1"/>
  <c r="BL93" i="142" s="1"/>
  <c r="BL190" i="142" a="1"/>
  <c r="BL190" i="142" s="1"/>
  <c r="BL241" i="142" a="1"/>
  <c r="BL241" i="142" s="1"/>
  <c r="BL284" i="142" a="1"/>
  <c r="BL284" i="142" s="1"/>
  <c r="BL22" i="142" a="1"/>
  <c r="BL22" i="142" s="1"/>
  <c r="BL277" i="142" a="1"/>
  <c r="BL277" i="142" s="1"/>
  <c r="BL94" i="142" a="1"/>
  <c r="BL94" i="142" s="1"/>
  <c r="BL25" i="142" a="1"/>
  <c r="BL25" i="142" s="1"/>
  <c r="BL326" i="142" a="1"/>
  <c r="BL326" i="142" s="1"/>
  <c r="BL279" i="142" a="1"/>
  <c r="BL279" i="142" s="1"/>
  <c r="BL30" i="142" a="1"/>
  <c r="BL30" i="142" s="1"/>
  <c r="BL143" i="142" a="1"/>
  <c r="BL143" i="142" s="1"/>
  <c r="BL42" i="142" a="1"/>
  <c r="BL42" i="142" s="1"/>
  <c r="BL189" i="142" a="1"/>
  <c r="BL189" i="142" s="1"/>
  <c r="BL87" i="142" a="1"/>
  <c r="BL87" i="142" s="1"/>
  <c r="BL44" i="142" a="1"/>
  <c r="BL44" i="142" s="1"/>
  <c r="BL188" i="142" a="1"/>
  <c r="BL188" i="142" s="1"/>
  <c r="BL234" i="142" a="1"/>
  <c r="BL234" i="142" s="1"/>
  <c r="BL290" i="142" a="1"/>
  <c r="BL290" i="142" s="1"/>
  <c r="BL327" i="142" a="1"/>
  <c r="BL327" i="142" s="1"/>
  <c r="BL98" i="142" a="1"/>
  <c r="BL98" i="142" s="1"/>
  <c r="BL232" i="142" a="1"/>
  <c r="BL232" i="142" s="1"/>
  <c r="BL240" i="142" a="1"/>
  <c r="BL240" i="142" s="1"/>
  <c r="BL236" i="142" a="1"/>
  <c r="BL236" i="142" s="1"/>
  <c r="BL51" i="142" a="1"/>
  <c r="BL51" i="142" s="1"/>
  <c r="BL184" i="142" a="1"/>
  <c r="BL184" i="142" s="1"/>
  <c r="BL20" i="142" a="1"/>
  <c r="BL20" i="142" s="1"/>
  <c r="BL49" i="142" a="1"/>
  <c r="BL49" i="142" s="1"/>
  <c r="BE14" i="141" a="1"/>
  <c r="BE14" i="141" s="1"/>
  <c r="BG14" i="141" s="1"/>
  <c r="AY14" i="141" s="1"/>
  <c r="BE5" i="141" a="1"/>
  <c r="BE5" i="141" s="1"/>
  <c r="BG5" i="141" s="1"/>
  <c r="AY5" i="141" s="1"/>
  <c r="CH6" i="133" l="1"/>
  <c r="CI6" i="133" s="1"/>
  <c r="CG4" i="133" s="1"/>
  <c r="AX5" i="141" a="1"/>
  <c r="AX5" i="141" s="1"/>
  <c r="AV5" i="141" a="1"/>
  <c r="AV5" i="141" s="1"/>
  <c r="AU5" i="141" a="1"/>
  <c r="AU5" i="141" s="1"/>
  <c r="AT5" i="141" a="1"/>
  <c r="AT5" i="141" s="1"/>
  <c r="AW5" i="141" a="1"/>
  <c r="AW5" i="141" s="1"/>
  <c r="AT16" i="141" a="1"/>
  <c r="AT16" i="141" s="1"/>
  <c r="AV16" i="141" a="1"/>
  <c r="AV16" i="141" s="1"/>
  <c r="AU16" i="141" a="1"/>
  <c r="AU16" i="141" s="1"/>
  <c r="AW16" i="141" a="1"/>
  <c r="AW16" i="141" s="1"/>
  <c r="AX16" i="141" a="1"/>
  <c r="AX16" i="141" s="1"/>
  <c r="AW44" i="141" a="1"/>
  <c r="AW44" i="141" s="1"/>
  <c r="AU44" i="141" a="1"/>
  <c r="AU44" i="141" s="1"/>
  <c r="AV44" i="141" a="1"/>
  <c r="AV44" i="141" s="1"/>
  <c r="AT44" i="141" a="1"/>
  <c r="AT44" i="141" s="1"/>
  <c r="AX44" i="141" a="1"/>
  <c r="AX44" i="141" s="1"/>
  <c r="AW23" i="141" a="1"/>
  <c r="AW23" i="141" s="1"/>
  <c r="AX23" i="141" a="1"/>
  <c r="AX23" i="141" s="1"/>
  <c r="AU23" i="141" a="1"/>
  <c r="AU23" i="141" s="1"/>
  <c r="AT23" i="141" a="1"/>
  <c r="AT23" i="141" s="1"/>
  <c r="AV23" i="141" a="1"/>
  <c r="AV23" i="141" s="1"/>
  <c r="AT35" i="141" a="1"/>
  <c r="AT35" i="141" s="1"/>
  <c r="AW35" i="141" a="1"/>
  <c r="AW35" i="141" s="1"/>
  <c r="AX35" i="141" a="1"/>
  <c r="AX35" i="141" s="1"/>
  <c r="AV35" i="141" a="1"/>
  <c r="AV35" i="141" s="1"/>
  <c r="AU35" i="141" a="1"/>
  <c r="AU35" i="141" s="1"/>
  <c r="AU42" i="141" a="1"/>
  <c r="AU42" i="141" s="1"/>
  <c r="AW42" i="141" a="1"/>
  <c r="AW42" i="141" s="1"/>
  <c r="AT42" i="141" a="1"/>
  <c r="AT42" i="141" s="1"/>
  <c r="AX42" i="141" a="1"/>
  <c r="AX42" i="141" s="1"/>
  <c r="AV42" i="141" a="1"/>
  <c r="AV42" i="141" s="1"/>
  <c r="AT13" i="141" a="1"/>
  <c r="AT13" i="141" s="1"/>
  <c r="AV13" i="141" a="1"/>
  <c r="AV13" i="141" s="1"/>
  <c r="AW13" i="141" a="1"/>
  <c r="AW13" i="141" s="1"/>
  <c r="AX13" i="141" a="1"/>
  <c r="AX13" i="141" s="1"/>
  <c r="AU13" i="141" a="1"/>
  <c r="AU13" i="141" s="1"/>
  <c r="AW18" i="141" a="1"/>
  <c r="AW18" i="141" s="1"/>
  <c r="AV18" i="141" a="1"/>
  <c r="AV18" i="141" s="1"/>
  <c r="AT18" i="141" a="1"/>
  <c r="AT18" i="141" s="1"/>
  <c r="AX18" i="141" a="1"/>
  <c r="AX18" i="141" s="1"/>
  <c r="AU18" i="141" a="1"/>
  <c r="AU18" i="141" s="1"/>
  <c r="AT43" i="141" a="1"/>
  <c r="AT43" i="141" s="1"/>
  <c r="AU43" i="141" a="1"/>
  <c r="AU43" i="141" s="1"/>
  <c r="AW43" i="141" a="1"/>
  <c r="AW43" i="141" s="1"/>
  <c r="AX43" i="141" a="1"/>
  <c r="AX43" i="141" s="1"/>
  <c r="AV43" i="141" a="1"/>
  <c r="AV43" i="141" s="1"/>
  <c r="AX15" i="141" a="1"/>
  <c r="AX15" i="141" s="1"/>
  <c r="AV15" i="141" a="1"/>
  <c r="AV15" i="141" s="1"/>
  <c r="AW15" i="141" a="1"/>
  <c r="AW15" i="141" s="1"/>
  <c r="AT15" i="141" a="1"/>
  <c r="AT15" i="141" s="1"/>
  <c r="AU15" i="141" a="1"/>
  <c r="AU15" i="141" s="1"/>
  <c r="AX37" i="141" a="1"/>
  <c r="AX37" i="141" s="1"/>
  <c r="AT37" i="141" a="1"/>
  <c r="AT37" i="141" s="1"/>
  <c r="AW37" i="141" a="1"/>
  <c r="AW37" i="141" s="1"/>
  <c r="AV37" i="141" a="1"/>
  <c r="AV37" i="141" s="1"/>
  <c r="AU37" i="141" a="1"/>
  <c r="AU37" i="141" s="1"/>
  <c r="AW20" i="141" a="1"/>
  <c r="AW20" i="141" s="1"/>
  <c r="AX20" i="141" a="1"/>
  <c r="AX20" i="141" s="1"/>
  <c r="AV20" i="141" a="1"/>
  <c r="AV20" i="141" s="1"/>
  <c r="AT20" i="141" a="1"/>
  <c r="AT20" i="141" s="1"/>
  <c r="AU20" i="141" a="1"/>
  <c r="AU20" i="141" s="1"/>
  <c r="AU12" i="141" a="1"/>
  <c r="AU12" i="141" s="1"/>
  <c r="AT12" i="141" a="1"/>
  <c r="AT12" i="141" s="1"/>
  <c r="AV12" i="141" a="1"/>
  <c r="AV12" i="141" s="1"/>
  <c r="AX12" i="141" a="1"/>
  <c r="AX12" i="141" s="1"/>
  <c r="AW12" i="141" a="1"/>
  <c r="AW12" i="141" s="1"/>
  <c r="AT10" i="141" a="1"/>
  <c r="AT10" i="141" s="1"/>
  <c r="AU10" i="141" a="1"/>
  <c r="AU10" i="141" s="1"/>
  <c r="AW10" i="141" a="1"/>
  <c r="AW10" i="141" s="1"/>
  <c r="AV10" i="141" a="1"/>
  <c r="AV10" i="141" s="1"/>
  <c r="AX10" i="141" a="1"/>
  <c r="AX10" i="141" s="1"/>
  <c r="AW34" i="141" a="1"/>
  <c r="AW34" i="141" s="1"/>
  <c r="AT34" i="141" a="1"/>
  <c r="AT34" i="141" s="1"/>
  <c r="AV34" i="141" a="1"/>
  <c r="AV34" i="141" s="1"/>
  <c r="AX34" i="141" a="1"/>
  <c r="AX34" i="141" s="1"/>
  <c r="AU34" i="141" a="1"/>
  <c r="AU34" i="141" s="1"/>
  <c r="AW41" i="141" a="1"/>
  <c r="AW41" i="141" s="1"/>
  <c r="AX41" i="141" a="1"/>
  <c r="AX41" i="141" s="1"/>
  <c r="AT41" i="141" a="1"/>
  <c r="AT41" i="141" s="1"/>
  <c r="AU41" i="141" a="1"/>
  <c r="AU41" i="141" s="1"/>
  <c r="AV41" i="141" a="1"/>
  <c r="AV41" i="141" s="1"/>
  <c r="AW19" i="141" a="1"/>
  <c r="AW19" i="141" s="1"/>
  <c r="AV19" i="141" a="1"/>
  <c r="AV19" i="141" s="1"/>
  <c r="AU19" i="141" a="1"/>
  <c r="AU19" i="141" s="1"/>
  <c r="AX19" i="141" a="1"/>
  <c r="AX19" i="141" s="1"/>
  <c r="AT19" i="141" a="1"/>
  <c r="AT19" i="141" s="1"/>
  <c r="AT22" i="141" a="1"/>
  <c r="AT22" i="141" s="1"/>
  <c r="AV22" i="141" a="1"/>
  <c r="AV22" i="141" s="1"/>
  <c r="AU22" i="141" a="1"/>
  <c r="AU22" i="141" s="1"/>
  <c r="AW22" i="141" a="1"/>
  <c r="AW22" i="141" s="1"/>
  <c r="AX22" i="141" a="1"/>
  <c r="AX22" i="141" s="1"/>
  <c r="AW31" i="141" a="1"/>
  <c r="AW31" i="141" s="1"/>
  <c r="AU31" i="141" a="1"/>
  <c r="AU31" i="141" s="1"/>
  <c r="AX31" i="141" a="1"/>
  <c r="AX31" i="141" s="1"/>
  <c r="AT31" i="141" a="1"/>
  <c r="AT31" i="141" s="1"/>
  <c r="AV31" i="141" a="1"/>
  <c r="AV31" i="141" s="1"/>
  <c r="AW39" i="141" a="1"/>
  <c r="AW39" i="141" s="1"/>
  <c r="AV39" i="141" a="1"/>
  <c r="AV39" i="141" s="1"/>
  <c r="AX39" i="141" a="1"/>
  <c r="AX39" i="141" s="1"/>
  <c r="AT39" i="141" a="1"/>
  <c r="AT39" i="141" s="1"/>
  <c r="AU39" i="141" a="1"/>
  <c r="AU39" i="141" s="1"/>
  <c r="AT7" i="141" a="1"/>
  <c r="AT7" i="141" s="1"/>
  <c r="AU7" i="141" a="1"/>
  <c r="AU7" i="141" s="1"/>
  <c r="AV7" i="141" a="1"/>
  <c r="AV7" i="141" s="1"/>
  <c r="AX7" i="141" a="1"/>
  <c r="AX7" i="141" s="1"/>
  <c r="AW7" i="141" a="1"/>
  <c r="AW7" i="141" s="1"/>
  <c r="AT17" i="141" a="1"/>
  <c r="AT17" i="141" s="1"/>
  <c r="AW17" i="141" a="1"/>
  <c r="AW17" i="141" s="1"/>
  <c r="AU17" i="141" a="1"/>
  <c r="AU17" i="141" s="1"/>
  <c r="AX17" i="141" a="1"/>
  <c r="AX17" i="141" s="1"/>
  <c r="AV17" i="141" a="1"/>
  <c r="AV17" i="141" s="1"/>
  <c r="AW36" i="141" a="1"/>
  <c r="AW36" i="141" s="1"/>
  <c r="AV36" i="141" a="1"/>
  <c r="AV36" i="141" s="1"/>
  <c r="AT36" i="141" a="1"/>
  <c r="AT36" i="141" s="1"/>
  <c r="AX36" i="141" a="1"/>
  <c r="AX36" i="141" s="1"/>
  <c r="AU36" i="141" a="1"/>
  <c r="AU36" i="141" s="1"/>
  <c r="AV6" i="141" a="1"/>
  <c r="AV6" i="141" s="1"/>
  <c r="AX6" i="141" a="1"/>
  <c r="AX6" i="141" s="1"/>
  <c r="AU6" i="141" a="1"/>
  <c r="AU6" i="141" s="1"/>
  <c r="AT6" i="141" a="1"/>
  <c r="AT6" i="141" s="1"/>
  <c r="AW6" i="141" a="1"/>
  <c r="AW6" i="141" s="1"/>
  <c r="AW27" i="141" a="1"/>
  <c r="AW27" i="141" s="1"/>
  <c r="AX27" i="141" a="1"/>
  <c r="AX27" i="141" s="1"/>
  <c r="AU27" i="141" a="1"/>
  <c r="AU27" i="141" s="1"/>
  <c r="AT27" i="141" a="1"/>
  <c r="AT27" i="141" s="1"/>
  <c r="AV27" i="141" a="1"/>
  <c r="AV27" i="141" s="1"/>
  <c r="AW11" i="141" a="1"/>
  <c r="AW11" i="141" s="1"/>
  <c r="AV11" i="141" a="1"/>
  <c r="AV11" i="141" s="1"/>
  <c r="AX11" i="141" a="1"/>
  <c r="AX11" i="141" s="1"/>
  <c r="AU11" i="141" a="1"/>
  <c r="AU11" i="141" s="1"/>
  <c r="AT11" i="141" a="1"/>
  <c r="AT11" i="141" s="1"/>
  <c r="AU26" i="141" a="1"/>
  <c r="AU26" i="141" s="1"/>
  <c r="AW26" i="141" a="1"/>
  <c r="AW26" i="141" s="1"/>
  <c r="AV26" i="141" a="1"/>
  <c r="AV26" i="141" s="1"/>
  <c r="AT26" i="141" a="1"/>
  <c r="AT26" i="141" s="1"/>
  <c r="AX26" i="141" a="1"/>
  <c r="AX26" i="141" s="1"/>
  <c r="AT33" i="141" a="1"/>
  <c r="AT33" i="141" s="1"/>
  <c r="AW33" i="141" a="1"/>
  <c r="AW33" i="141" s="1"/>
  <c r="AU33" i="141" a="1"/>
  <c r="AU33" i="141" s="1"/>
  <c r="AV33" i="141" a="1"/>
  <c r="AV33" i="141" s="1"/>
  <c r="AX33" i="141" a="1"/>
  <c r="AX33" i="141" s="1"/>
  <c r="AT25" i="141" a="1"/>
  <c r="AT25" i="141" s="1"/>
  <c r="AU25" i="141" a="1"/>
  <c r="AU25" i="141" s="1"/>
  <c r="AW25" i="141" a="1"/>
  <c r="AW25" i="141" s="1"/>
  <c r="AX25" i="141" a="1"/>
  <c r="AX25" i="141" s="1"/>
  <c r="AV25" i="141" a="1"/>
  <c r="AV25" i="141" s="1"/>
  <c r="AU30" i="141" a="1"/>
  <c r="AU30" i="141" s="1"/>
  <c r="AV30" i="141" a="1"/>
  <c r="AV30" i="141" s="1"/>
  <c r="AX30" i="141" a="1"/>
  <c r="AX30" i="141" s="1"/>
  <c r="AT30" i="141" a="1"/>
  <c r="AT30" i="141" s="1"/>
  <c r="AW30" i="141" a="1"/>
  <c r="AW30" i="141" s="1"/>
  <c r="AW28" i="141" a="1"/>
  <c r="AW28" i="141" s="1"/>
  <c r="AV28" i="141" a="1"/>
  <c r="AV28" i="141" s="1"/>
  <c r="AT28" i="141" a="1"/>
  <c r="AT28" i="141" s="1"/>
  <c r="AU28" i="141" a="1"/>
  <c r="AU28" i="141" s="1"/>
  <c r="AW9" i="141" a="1"/>
  <c r="AW9" i="141" s="1"/>
  <c r="AX9" i="141" a="1"/>
  <c r="AX9" i="141" s="1"/>
  <c r="AT9" i="141" a="1"/>
  <c r="AT9" i="141" s="1"/>
  <c r="AU9" i="141" a="1"/>
  <c r="AU9" i="141" s="1"/>
  <c r="AV9" i="141" a="1"/>
  <c r="AV9" i="141" s="1"/>
  <c r="AV14" i="141" a="1"/>
  <c r="AV14" i="141" s="1"/>
  <c r="AU14" i="141" a="1"/>
  <c r="AU14" i="141" s="1"/>
  <c r="AW14" i="141" a="1"/>
  <c r="AW14" i="141" s="1"/>
  <c r="AX14" i="141" a="1"/>
  <c r="AX14" i="141" s="1"/>
  <c r="AT14" i="141" a="1"/>
  <c r="AT14" i="141" s="1"/>
  <c r="AX8" i="141" a="1"/>
  <c r="AX8" i="141" s="1"/>
  <c r="AU8" i="141" a="1"/>
  <c r="AU8" i="141" s="1"/>
  <c r="AV8" i="141" a="1"/>
  <c r="AV8" i="141" s="1"/>
  <c r="AT8" i="141" a="1"/>
  <c r="AT8" i="141" s="1"/>
  <c r="AW8" i="141" a="1"/>
  <c r="AW8" i="141" s="1"/>
  <c r="AV38" i="141" a="1"/>
  <c r="AV38" i="141" s="1"/>
  <c r="AU38" i="141" a="1"/>
  <c r="AU38" i="141" s="1"/>
  <c r="AX38" i="141" a="1"/>
  <c r="AX38" i="141" s="1"/>
  <c r="AT38" i="141" a="1"/>
  <c r="AT38" i="141" s="1"/>
  <c r="AW38" i="141" a="1"/>
  <c r="AW38" i="141" s="1"/>
  <c r="AX21" i="141" a="1"/>
  <c r="AX21" i="141" s="1"/>
  <c r="AU21" i="141" a="1"/>
  <c r="AU21" i="141" s="1"/>
  <c r="AV21" i="141" a="1"/>
  <c r="AV21" i="141" s="1"/>
  <c r="AW21" i="141" a="1"/>
  <c r="AW21" i="141" s="1"/>
  <c r="AT21" i="141" a="1"/>
  <c r="AT21" i="141" s="1"/>
  <c r="AT40" i="141" a="1"/>
  <c r="AT40" i="141" s="1"/>
  <c r="AW40" i="141" a="1"/>
  <c r="AW40" i="141" s="1"/>
  <c r="AX40" i="141" a="1"/>
  <c r="AX40" i="141" s="1"/>
  <c r="AU40" i="141" a="1"/>
  <c r="AU40" i="141" s="1"/>
  <c r="AV40" i="141" a="1"/>
  <c r="AV40" i="141" s="1"/>
  <c r="AT24" i="141" a="1"/>
  <c r="AT24" i="141" s="1"/>
  <c r="AU24" i="141" a="1"/>
  <c r="AU24" i="141" s="1"/>
  <c r="AX24" i="141" a="1"/>
  <c r="AX24" i="141" s="1"/>
  <c r="AV24" i="141" a="1"/>
  <c r="AV24" i="141" s="1"/>
  <c r="AW24" i="141" a="1"/>
  <c r="AW24" i="141" s="1"/>
  <c r="AT32" i="141" a="1"/>
  <c r="AT32" i="141" s="1"/>
  <c r="AU32" i="141" a="1"/>
  <c r="AU32" i="141" s="1"/>
  <c r="AW32" i="141" a="1"/>
  <c r="AW32" i="141" s="1"/>
  <c r="AX32" i="141" a="1"/>
  <c r="AX32" i="141" s="1"/>
  <c r="AV32" i="141" a="1"/>
  <c r="AV32" i="141" s="1"/>
  <c r="AW29" i="141" l="1" a="1"/>
  <c r="AW29" i="141" s="1"/>
  <c r="AU29" i="141" a="1"/>
  <c r="AU29" i="141" s="1"/>
  <c r="AX29" i="141" a="1"/>
  <c r="AX29" i="141" s="1"/>
  <c r="AT29" i="141" a="1"/>
  <c r="AT29" i="141" s="1"/>
  <c r="AV29" i="141" a="1"/>
  <c r="AV29" i="141" s="1"/>
  <c r="U1" i="133"/>
  <c r="AS1" i="133"/>
  <c r="AC1" i="133"/>
  <c r="BN1" i="133"/>
  <c r="AX28" i="141" a="1"/>
  <c r="AX28" i="141" s="1"/>
  <c r="BA17" i="141"/>
  <c r="BA31" i="141"/>
  <c r="BA18" i="141"/>
  <c r="BA15" i="141"/>
  <c r="BA7" i="141"/>
  <c r="BM51" i="142"/>
  <c r="BM188" i="142"/>
  <c r="BM280" i="142"/>
  <c r="BM184" i="142"/>
  <c r="BM192" i="142"/>
  <c r="BM327" i="142"/>
  <c r="BM236" i="142"/>
  <c r="BM37" i="142"/>
  <c r="BM186" i="142"/>
  <c r="BM94" i="142"/>
  <c r="BM234" i="142"/>
  <c r="BM281" i="142"/>
  <c r="BM238" i="142"/>
  <c r="BM230" i="142"/>
  <c r="BM38" i="142"/>
  <c r="BM95" i="142"/>
  <c r="BM323" i="142"/>
  <c r="BM290" i="142"/>
  <c r="BM139" i="142"/>
  <c r="BM136" i="142"/>
  <c r="BM241" i="142"/>
  <c r="BM40" i="142"/>
  <c r="BM277" i="142"/>
  <c r="BM97" i="142"/>
  <c r="BM143" i="142"/>
  <c r="BM276" i="142"/>
  <c r="BM329" i="142"/>
  <c r="BM233" i="142"/>
  <c r="BM285" i="142"/>
  <c r="BM142" i="142"/>
  <c r="BM181" i="142"/>
  <c r="BM278" i="142"/>
  <c r="BM46" i="142"/>
  <c r="BM96" i="142"/>
  <c r="BM98" i="142"/>
  <c r="BM44" i="142"/>
  <c r="BM84" i="142"/>
  <c r="BM240" i="142"/>
  <c r="BM324" i="142"/>
  <c r="BM132" i="142"/>
  <c r="BM42" i="142"/>
  <c r="BM279" i="142"/>
  <c r="BM140" i="142"/>
  <c r="BM49" i="142"/>
  <c r="BM141" i="142"/>
  <c r="BM185" i="142"/>
  <c r="BM232" i="142"/>
  <c r="BM331" i="142"/>
  <c r="BM39" i="142"/>
  <c r="BM326" i="142"/>
  <c r="BM92" i="142"/>
  <c r="BM45" i="142"/>
  <c r="BM86" i="142"/>
  <c r="BM334" i="142"/>
  <c r="BM193" i="142"/>
  <c r="BM289" i="142"/>
  <c r="BM87" i="142"/>
  <c r="BM182" i="142"/>
  <c r="BM282" i="142"/>
  <c r="BM41" i="142"/>
  <c r="BM283" i="142"/>
  <c r="BM93" i="142"/>
  <c r="BM286" i="142"/>
  <c r="BM332" i="142"/>
  <c r="BM89" i="142"/>
  <c r="BM335" i="142"/>
  <c r="BM85" i="142"/>
  <c r="BM138" i="142"/>
  <c r="BM90" i="142"/>
  <c r="BM50" i="142"/>
  <c r="BM144" i="142"/>
  <c r="BM187" i="142"/>
  <c r="BM228" i="142"/>
  <c r="BM189" i="142"/>
  <c r="BM47" i="142"/>
  <c r="BM231" i="142"/>
  <c r="BM145" i="142"/>
  <c r="BM91" i="142"/>
  <c r="BM239" i="142"/>
  <c r="BM146" i="142"/>
  <c r="BM242" i="142"/>
  <c r="BM336" i="142"/>
  <c r="BM134" i="142"/>
  <c r="BM235" i="142"/>
  <c r="BM133" i="142"/>
  <c r="BM191" i="142"/>
  <c r="BM287" i="142"/>
  <c r="BM88" i="142"/>
  <c r="BM288" i="142"/>
  <c r="BM183" i="142"/>
  <c r="BM43" i="142"/>
  <c r="BM190" i="142"/>
  <c r="BM337" i="142"/>
  <c r="BM284" i="142"/>
  <c r="BM328" i="142"/>
  <c r="BM135" i="142"/>
  <c r="BA14" i="141"/>
  <c r="BM237" i="142"/>
  <c r="BM333" i="142"/>
  <c r="BM195" i="142"/>
  <c r="BM48" i="142"/>
  <c r="BM325" i="142"/>
  <c r="BM194" i="142"/>
  <c r="BM229" i="142"/>
  <c r="BM330" i="142"/>
  <c r="BM137" i="142"/>
  <c r="BA30" i="141"/>
  <c r="BA39" i="141"/>
  <c r="BA42" i="141"/>
  <c r="BA40" i="141"/>
  <c r="BA38" i="141"/>
  <c r="BA19" i="141"/>
  <c r="BA34" i="141"/>
  <c r="BA35" i="141"/>
  <c r="BA21" i="141"/>
  <c r="BA24" i="141"/>
  <c r="BA8" i="141"/>
  <c r="BA25" i="141"/>
  <c r="BA10" i="141"/>
  <c r="BA12" i="141"/>
  <c r="BA43" i="141"/>
  <c r="BA9" i="141"/>
  <c r="BA27" i="141"/>
  <c r="BA41" i="141"/>
  <c r="BA44" i="141"/>
  <c r="BM19" i="142"/>
  <c r="BM28" i="142"/>
  <c r="BM18" i="142"/>
  <c r="BM23" i="142"/>
  <c r="BM27" i="142"/>
  <c r="BM22" i="142"/>
  <c r="BM30" i="142"/>
  <c r="BM24" i="142"/>
  <c r="BA5" i="141"/>
  <c r="BM29" i="142"/>
  <c r="BM31" i="142"/>
  <c r="BM20" i="142"/>
  <c r="BM21" i="142"/>
  <c r="BM26" i="142"/>
  <c r="BM25" i="142"/>
  <c r="BM17" i="142"/>
  <c r="BA33" i="141"/>
  <c r="BA26" i="141"/>
  <c r="BA22" i="141"/>
  <c r="BA13" i="141"/>
  <c r="BA23" i="141"/>
  <c r="BA32" i="141"/>
  <c r="BA6" i="141"/>
  <c r="BA20" i="141"/>
  <c r="BA16" i="141"/>
  <c r="BA11" i="141"/>
  <c r="BA36" i="141"/>
  <c r="BA37" i="141"/>
  <c r="BA29" i="141" l="1"/>
  <c r="BA28" i="141"/>
  <c r="BC19" i="142" a="1"/>
  <c r="BC19" i="142" s="1"/>
  <c r="BF19" i="142" a="1"/>
  <c r="BF19" i="142" s="1"/>
  <c r="BG19" i="142" a="1"/>
  <c r="BG19" i="142" s="1"/>
  <c r="BE19" i="142" a="1"/>
  <c r="BE19" i="142" s="1"/>
  <c r="BD19" i="142" a="1"/>
  <c r="BD19" i="142" s="1"/>
  <c r="BF137" i="142" a="1"/>
  <c r="BF137" i="142" s="1"/>
  <c r="BD137" i="142" a="1"/>
  <c r="BD137" i="142" s="1"/>
  <c r="BG137" i="142" a="1"/>
  <c r="BG137" i="142" s="1"/>
  <c r="BC137" i="142" a="1"/>
  <c r="BC137" i="142" s="1"/>
  <c r="BE137" i="142" a="1"/>
  <c r="BE137" i="142" s="1"/>
  <c r="BD237" i="142" a="1"/>
  <c r="BD237" i="142" s="1"/>
  <c r="BG237" i="142" a="1"/>
  <c r="BG237" i="142" s="1"/>
  <c r="BE237" i="142" a="1"/>
  <c r="BE237" i="142" s="1"/>
  <c r="BF237" i="142" a="1"/>
  <c r="BF237" i="142" s="1"/>
  <c r="BC237" i="142" a="1"/>
  <c r="BC237" i="142" s="1"/>
  <c r="BE183" i="142" a="1"/>
  <c r="BE183" i="142" s="1"/>
  <c r="BG183" i="142" a="1"/>
  <c r="BG183" i="142" s="1"/>
  <c r="BC183" i="142" a="1"/>
  <c r="BC183" i="142" s="1"/>
  <c r="BD183" i="142" a="1"/>
  <c r="BD183" i="142" s="1"/>
  <c r="BF183" i="142" a="1"/>
  <c r="BF183" i="142" s="1"/>
  <c r="BC336" i="142" a="1"/>
  <c r="BC336" i="142" s="1"/>
  <c r="BD336" i="142" a="1"/>
  <c r="BD336" i="142" s="1"/>
  <c r="BF336" i="142" a="1"/>
  <c r="BF336" i="142" s="1"/>
  <c r="BG336" i="142" a="1"/>
  <c r="BG336" i="142" s="1"/>
  <c r="BE336" i="142" a="1"/>
  <c r="BE336" i="142" s="1"/>
  <c r="BC189" i="142" a="1"/>
  <c r="BC189" i="142" s="1"/>
  <c r="BG189" i="142" a="1"/>
  <c r="BG189" i="142" s="1"/>
  <c r="BF189" i="142" a="1"/>
  <c r="BF189" i="142" s="1"/>
  <c r="BD189" i="142" a="1"/>
  <c r="BD189" i="142" s="1"/>
  <c r="BE189" i="142" a="1"/>
  <c r="BE189" i="142" s="1"/>
  <c r="BF335" i="142" a="1"/>
  <c r="BF335" i="142" s="1"/>
  <c r="BD335" i="142" a="1"/>
  <c r="BD335" i="142" s="1"/>
  <c r="BE335" i="142" a="1"/>
  <c r="BE335" i="142" s="1"/>
  <c r="BC335" i="142" a="1"/>
  <c r="BC335" i="142" s="1"/>
  <c r="BG335" i="142" a="1"/>
  <c r="BG335" i="142" s="1"/>
  <c r="BE182" i="142" a="1"/>
  <c r="BE182" i="142" s="1"/>
  <c r="BC182" i="142" a="1"/>
  <c r="BC182" i="142" s="1"/>
  <c r="BG182" i="142" a="1"/>
  <c r="BG182" i="142" s="1"/>
  <c r="BD182" i="142" a="1"/>
  <c r="BD182" i="142" s="1"/>
  <c r="BF182" i="142" a="1"/>
  <c r="BF182" i="142" s="1"/>
  <c r="BC326" i="142" a="1"/>
  <c r="BC326" i="142" s="1"/>
  <c r="BF326" i="142" a="1"/>
  <c r="BF326" i="142" s="1"/>
  <c r="BD326" i="142" a="1"/>
  <c r="BD326" i="142" s="1"/>
  <c r="BE326" i="142" a="1"/>
  <c r="BE326" i="142" s="1"/>
  <c r="BG326" i="142" a="1"/>
  <c r="BG326" i="142" s="1"/>
  <c r="BC279" i="142" a="1"/>
  <c r="BC279" i="142" s="1"/>
  <c r="BG279" i="142" a="1"/>
  <c r="BG279" i="142" s="1"/>
  <c r="BF279" i="142" a="1"/>
  <c r="BF279" i="142" s="1"/>
  <c r="BE279" i="142" a="1"/>
  <c r="BE279" i="142" s="1"/>
  <c r="BD279" i="142" a="1"/>
  <c r="BD279" i="142" s="1"/>
  <c r="BG96" i="142" a="1"/>
  <c r="BG96" i="142" s="1"/>
  <c r="BD96" i="142" a="1"/>
  <c r="BD96" i="142" s="1"/>
  <c r="BC96" i="142" a="1"/>
  <c r="BC96" i="142" s="1"/>
  <c r="BE96" i="142" a="1"/>
  <c r="BE96" i="142" s="1"/>
  <c r="BF96" i="142" a="1"/>
  <c r="BF96" i="142" s="1"/>
  <c r="BE276" i="142" a="1"/>
  <c r="BE276" i="142" s="1"/>
  <c r="BF276" i="142" a="1"/>
  <c r="BF276" i="142" s="1"/>
  <c r="BD276" i="142" a="1"/>
  <c r="BD276" i="142" s="1"/>
  <c r="BC276" i="142" a="1"/>
  <c r="BC276" i="142" s="1"/>
  <c r="BG276" i="142" a="1"/>
  <c r="BG276" i="142" s="1"/>
  <c r="BF290" i="142" a="1"/>
  <c r="BF290" i="142" s="1"/>
  <c r="BD290" i="142" a="1"/>
  <c r="BD290" i="142" s="1"/>
  <c r="BG290" i="142" a="1"/>
  <c r="BG290" i="142" s="1"/>
  <c r="BC290" i="142" a="1"/>
  <c r="BC290" i="142" s="1"/>
  <c r="BE290" i="142" a="1"/>
  <c r="BE290" i="142" s="1"/>
  <c r="BG94" i="142" a="1"/>
  <c r="BG94" i="142" s="1"/>
  <c r="BC94" i="142" a="1"/>
  <c r="BC94" i="142" s="1"/>
  <c r="BD94" i="142" a="1"/>
  <c r="BD94" i="142" s="1"/>
  <c r="BF94" i="142" a="1"/>
  <c r="BF94" i="142" s="1"/>
  <c r="BE94" i="142" a="1"/>
  <c r="BE94" i="142" s="1"/>
  <c r="BD188" i="142" a="1"/>
  <c r="BD188" i="142" s="1"/>
  <c r="BF188" i="142" a="1"/>
  <c r="BF188" i="142" s="1"/>
  <c r="BG188" i="142" a="1"/>
  <c r="BG188" i="142" s="1"/>
  <c r="BE188" i="142" a="1"/>
  <c r="BE188" i="142" s="1"/>
  <c r="BC188" i="142" a="1"/>
  <c r="BC188" i="142" s="1"/>
  <c r="BC17" i="142" a="1"/>
  <c r="BC17" i="142" s="1"/>
  <c r="BE17" i="142" a="1"/>
  <c r="BE17" i="142" s="1"/>
  <c r="BD17" i="142" a="1"/>
  <c r="BD17" i="142" s="1"/>
  <c r="BF17" i="142" a="1"/>
  <c r="BF17" i="142" s="1"/>
  <c r="BG17" i="142" a="1"/>
  <c r="BG17" i="142" s="1"/>
  <c r="BC24" i="142" a="1"/>
  <c r="BC24" i="142" s="1"/>
  <c r="BE24" i="142" a="1"/>
  <c r="BE24" i="142" s="1"/>
  <c r="BF24" i="142" a="1"/>
  <c r="BF24" i="142" s="1"/>
  <c r="BG24" i="142" a="1"/>
  <c r="BG24" i="142" s="1"/>
  <c r="BD24" i="142" a="1"/>
  <c r="BD24" i="142" s="1"/>
  <c r="BE330" i="142" a="1"/>
  <c r="BE330" i="142" s="1"/>
  <c r="BF330" i="142" a="1"/>
  <c r="BF330" i="142" s="1"/>
  <c r="BC330" i="142" a="1"/>
  <c r="BC330" i="142" s="1"/>
  <c r="BG330" i="142" a="1"/>
  <c r="BG330" i="142" s="1"/>
  <c r="BD330" i="142" a="1"/>
  <c r="BD330" i="142" s="1"/>
  <c r="BG288" i="142" a="1"/>
  <c r="BG288" i="142" s="1"/>
  <c r="BF288" i="142" a="1"/>
  <c r="BF288" i="142" s="1"/>
  <c r="BD288" i="142" a="1"/>
  <c r="BD288" i="142" s="1"/>
  <c r="BC288" i="142" a="1"/>
  <c r="BC288" i="142" s="1"/>
  <c r="BE288" i="142" a="1"/>
  <c r="BE288" i="142" s="1"/>
  <c r="BC242" i="142" a="1"/>
  <c r="BC242" i="142" s="1"/>
  <c r="BD242" i="142" a="1"/>
  <c r="BD242" i="142" s="1"/>
  <c r="BG242" i="142" a="1"/>
  <c r="BG242" i="142" s="1"/>
  <c r="BE242" i="142" a="1"/>
  <c r="BE242" i="142" s="1"/>
  <c r="BF242" i="142" a="1"/>
  <c r="BF242" i="142" s="1"/>
  <c r="BF228" i="142" a="1"/>
  <c r="BF228" i="142" s="1"/>
  <c r="BD228" i="142" a="1"/>
  <c r="BD228" i="142" s="1"/>
  <c r="BG228" i="142" a="1"/>
  <c r="BG228" i="142" s="1"/>
  <c r="BE228" i="142" a="1"/>
  <c r="BE228" i="142" s="1"/>
  <c r="BC228" i="142" a="1"/>
  <c r="BC228" i="142" s="1"/>
  <c r="BF89" i="142" a="1"/>
  <c r="BF89" i="142" s="1"/>
  <c r="BC89" i="142" a="1"/>
  <c r="BC89" i="142" s="1"/>
  <c r="BG89" i="142" a="1"/>
  <c r="BG89" i="142" s="1"/>
  <c r="BE89" i="142" a="1"/>
  <c r="BE89" i="142" s="1"/>
  <c r="BD89" i="142" a="1"/>
  <c r="BD89" i="142" s="1"/>
  <c r="BD87" i="142" a="1"/>
  <c r="BD87" i="142" s="1"/>
  <c r="BF87" i="142" a="1"/>
  <c r="BF87" i="142" s="1"/>
  <c r="BG87" i="142" a="1"/>
  <c r="BG87" i="142" s="1"/>
  <c r="BC87" i="142" a="1"/>
  <c r="BC87" i="142" s="1"/>
  <c r="BE87" i="142" a="1"/>
  <c r="BE87" i="142" s="1"/>
  <c r="BE39" i="142" a="1"/>
  <c r="BE39" i="142" s="1"/>
  <c r="BG39" i="142" a="1"/>
  <c r="BG39" i="142" s="1"/>
  <c r="BC39" i="142" a="1"/>
  <c r="BC39" i="142" s="1"/>
  <c r="BF39" i="142" a="1"/>
  <c r="BF39" i="142" s="1"/>
  <c r="BD39" i="142" a="1"/>
  <c r="BD39" i="142" s="1"/>
  <c r="BG42" i="142" a="1"/>
  <c r="BG42" i="142" s="1"/>
  <c r="BC42" i="142" a="1"/>
  <c r="BC42" i="142" s="1"/>
  <c r="BD42" i="142" a="1"/>
  <c r="BD42" i="142" s="1"/>
  <c r="BE42" i="142" a="1"/>
  <c r="BE42" i="142" s="1"/>
  <c r="BF42" i="142" a="1"/>
  <c r="BF42" i="142" s="1"/>
  <c r="BF46" i="142" a="1"/>
  <c r="BF46" i="142" s="1"/>
  <c r="BD46" i="142" a="1"/>
  <c r="BD46" i="142" s="1"/>
  <c r="BC46" i="142" a="1"/>
  <c r="BC46" i="142" s="1"/>
  <c r="BE46" i="142" a="1"/>
  <c r="BE46" i="142" s="1"/>
  <c r="BG46" i="142" a="1"/>
  <c r="BG46" i="142" s="1"/>
  <c r="BC143" i="142" a="1"/>
  <c r="BC143" i="142" s="1"/>
  <c r="BG143" i="142" a="1"/>
  <c r="BG143" i="142" s="1"/>
  <c r="BE143" i="142" a="1"/>
  <c r="BE143" i="142" s="1"/>
  <c r="BF143" i="142" a="1"/>
  <c r="BF143" i="142" s="1"/>
  <c r="BD143" i="142" a="1"/>
  <c r="BD143" i="142" s="1"/>
  <c r="BE323" i="142" a="1"/>
  <c r="BE323" i="142" s="1"/>
  <c r="BC323" i="142" a="1"/>
  <c r="BC323" i="142" s="1"/>
  <c r="BF323" i="142" a="1"/>
  <c r="BF323" i="142" s="1"/>
  <c r="BG323" i="142" a="1"/>
  <c r="BG323" i="142" s="1"/>
  <c r="BD323" i="142" a="1"/>
  <c r="BD323" i="142" s="1"/>
  <c r="BC186" i="142" a="1"/>
  <c r="BC186" i="142" s="1"/>
  <c r="BG186" i="142" a="1"/>
  <c r="BG186" i="142" s="1"/>
  <c r="BF186" i="142" a="1"/>
  <c r="BF186" i="142" s="1"/>
  <c r="BD186" i="142" a="1"/>
  <c r="BD186" i="142" s="1"/>
  <c r="BE186" i="142" a="1"/>
  <c r="BE186" i="142" s="1"/>
  <c r="BF51" i="142" a="1"/>
  <c r="BF51" i="142" s="1"/>
  <c r="BE51" i="142" a="1"/>
  <c r="BE51" i="142" s="1"/>
  <c r="BD51" i="142" a="1"/>
  <c r="BD51" i="142" s="1"/>
  <c r="BC51" i="142" a="1"/>
  <c r="BC51" i="142" s="1"/>
  <c r="BG51" i="142" a="1"/>
  <c r="BG51" i="142" s="1"/>
  <c r="BD25" i="142" a="1"/>
  <c r="BD25" i="142" s="1"/>
  <c r="BG25" i="142" a="1"/>
  <c r="BG25" i="142" s="1"/>
  <c r="BF25" i="142" a="1"/>
  <c r="BF25" i="142" s="1"/>
  <c r="BE25" i="142" a="1"/>
  <c r="BE25" i="142" s="1"/>
  <c r="BC25" i="142" a="1"/>
  <c r="BC25" i="142" s="1"/>
  <c r="BE30" i="142" a="1"/>
  <c r="BE30" i="142" s="1"/>
  <c r="BG30" i="142" a="1"/>
  <c r="BG30" i="142" s="1"/>
  <c r="BF30" i="142" a="1"/>
  <c r="BF30" i="142" s="1"/>
  <c r="BC30" i="142" a="1"/>
  <c r="BC30" i="142" s="1"/>
  <c r="BD30" i="142" a="1"/>
  <c r="BD30" i="142" s="1"/>
  <c r="BF229" i="142" a="1"/>
  <c r="BF229" i="142" s="1"/>
  <c r="BD229" i="142" a="1"/>
  <c r="BD229" i="142" s="1"/>
  <c r="BC229" i="142" a="1"/>
  <c r="BC229" i="142" s="1"/>
  <c r="BG229" i="142" a="1"/>
  <c r="BG229" i="142" s="1"/>
  <c r="BE229" i="142" a="1"/>
  <c r="BE229" i="142" s="1"/>
  <c r="BF135" i="142" a="1"/>
  <c r="BF135" i="142" s="1"/>
  <c r="BC135" i="142" a="1"/>
  <c r="BC135" i="142" s="1"/>
  <c r="BG135" i="142" a="1"/>
  <c r="BG135" i="142" s="1"/>
  <c r="BD135" i="142" a="1"/>
  <c r="BD135" i="142" s="1"/>
  <c r="BE135" i="142" a="1"/>
  <c r="BE135" i="142" s="1"/>
  <c r="BG88" i="142" a="1"/>
  <c r="BG88" i="142" s="1"/>
  <c r="BF88" i="142" a="1"/>
  <c r="BF88" i="142" s="1"/>
  <c r="BE88" i="142" a="1"/>
  <c r="BE88" i="142" s="1"/>
  <c r="BC88" i="142" a="1"/>
  <c r="BC88" i="142" s="1"/>
  <c r="BD88" i="142" a="1"/>
  <c r="BD88" i="142" s="1"/>
  <c r="BG146" i="142" a="1"/>
  <c r="BG146" i="142" s="1"/>
  <c r="BD146" i="142" a="1"/>
  <c r="BD146" i="142" s="1"/>
  <c r="BE146" i="142" a="1"/>
  <c r="BE146" i="142" s="1"/>
  <c r="BC146" i="142" a="1"/>
  <c r="BC146" i="142" s="1"/>
  <c r="BF146" i="142" a="1"/>
  <c r="BF146" i="142" s="1"/>
  <c r="BE187" i="142" a="1"/>
  <c r="BE187" i="142" s="1"/>
  <c r="BF187" i="142" a="1"/>
  <c r="BF187" i="142" s="1"/>
  <c r="BG187" i="142" a="1"/>
  <c r="BG187" i="142" s="1"/>
  <c r="BD187" i="142" a="1"/>
  <c r="BD187" i="142" s="1"/>
  <c r="BC187" i="142" a="1"/>
  <c r="BC187" i="142" s="1"/>
  <c r="BC332" i="142" a="1"/>
  <c r="BC332" i="142" s="1"/>
  <c r="BE332" i="142" a="1"/>
  <c r="BE332" i="142" s="1"/>
  <c r="BF332" i="142" a="1"/>
  <c r="BF332" i="142" s="1"/>
  <c r="BG332" i="142" a="1"/>
  <c r="BG332" i="142" s="1"/>
  <c r="BD332" i="142" a="1"/>
  <c r="BD332" i="142" s="1"/>
  <c r="BG289" i="142" a="1"/>
  <c r="BG289" i="142" s="1"/>
  <c r="BF289" i="142" a="1"/>
  <c r="BF289" i="142" s="1"/>
  <c r="BE289" i="142" a="1"/>
  <c r="BE289" i="142" s="1"/>
  <c r="BC289" i="142" a="1"/>
  <c r="BC289" i="142" s="1"/>
  <c r="BD289" i="142" a="1"/>
  <c r="BD289" i="142" s="1"/>
  <c r="BC331" i="142" a="1"/>
  <c r="BC331" i="142" s="1"/>
  <c r="BG331" i="142" a="1"/>
  <c r="BG331" i="142" s="1"/>
  <c r="BF331" i="142" a="1"/>
  <c r="BF331" i="142" s="1"/>
  <c r="BE331" i="142" a="1"/>
  <c r="BE331" i="142" s="1"/>
  <c r="BD331" i="142" a="1"/>
  <c r="BD331" i="142" s="1"/>
  <c r="BE132" i="142" a="1"/>
  <c r="BE132" i="142" s="1"/>
  <c r="BD132" i="142" a="1"/>
  <c r="BD132" i="142" s="1"/>
  <c r="BF132" i="142" a="1"/>
  <c r="BF132" i="142" s="1"/>
  <c r="BC132" i="142" a="1"/>
  <c r="BC132" i="142" s="1"/>
  <c r="BG132" i="142" a="1"/>
  <c r="BG132" i="142" s="1"/>
  <c r="BC278" i="142" a="1"/>
  <c r="BC278" i="142" s="1"/>
  <c r="BE278" i="142" a="1"/>
  <c r="BE278" i="142" s="1"/>
  <c r="BG278" i="142" a="1"/>
  <c r="BG278" i="142" s="1"/>
  <c r="BD278" i="142" a="1"/>
  <c r="BD278" i="142" s="1"/>
  <c r="BF278" i="142" a="1"/>
  <c r="BF278" i="142" s="1"/>
  <c r="BD97" i="142" a="1"/>
  <c r="BD97" i="142" s="1"/>
  <c r="BF97" i="142" a="1"/>
  <c r="BF97" i="142" s="1"/>
  <c r="BC97" i="142" a="1"/>
  <c r="BC97" i="142" s="1"/>
  <c r="BE97" i="142" a="1"/>
  <c r="BE97" i="142" s="1"/>
  <c r="BG97" i="142" a="1"/>
  <c r="BG97" i="142" s="1"/>
  <c r="BF95" i="142" a="1"/>
  <c r="BF95" i="142" s="1"/>
  <c r="BD95" i="142" a="1"/>
  <c r="BD95" i="142" s="1"/>
  <c r="BE95" i="142" a="1"/>
  <c r="BE95" i="142" s="1"/>
  <c r="BC95" i="142" a="1"/>
  <c r="BC95" i="142" s="1"/>
  <c r="BG95" i="142" a="1"/>
  <c r="BG95" i="142" s="1"/>
  <c r="BC37" i="142" a="1"/>
  <c r="BC37" i="142" s="1"/>
  <c r="BF37" i="142" a="1"/>
  <c r="BF37" i="142" s="1"/>
  <c r="BE37" i="142" a="1"/>
  <c r="BE37" i="142" s="1"/>
  <c r="BD37" i="142" a="1"/>
  <c r="BD37" i="142" s="1"/>
  <c r="BG37" i="142" a="1"/>
  <c r="BG37" i="142" s="1"/>
  <c r="BG26" i="142" a="1"/>
  <c r="BG26" i="142" s="1"/>
  <c r="BD26" i="142" a="1"/>
  <c r="BD26" i="142" s="1"/>
  <c r="BF26" i="142" a="1"/>
  <c r="BF26" i="142" s="1"/>
  <c r="BC26" i="142" a="1"/>
  <c r="BC26" i="142" s="1"/>
  <c r="BE26" i="142" a="1"/>
  <c r="BE26" i="142" s="1"/>
  <c r="BC22" i="142" a="1"/>
  <c r="BC22" i="142" s="1"/>
  <c r="BF22" i="142" a="1"/>
  <c r="BF22" i="142" s="1"/>
  <c r="BG22" i="142" a="1"/>
  <c r="BG22" i="142" s="1"/>
  <c r="BE22" i="142" a="1"/>
  <c r="BE22" i="142" s="1"/>
  <c r="BD22" i="142" a="1"/>
  <c r="BD22" i="142" s="1"/>
  <c r="BE194" i="142" a="1"/>
  <c r="BE194" i="142" s="1"/>
  <c r="BD194" i="142" a="1"/>
  <c r="BD194" i="142" s="1"/>
  <c r="BG194" i="142" a="1"/>
  <c r="BG194" i="142" s="1"/>
  <c r="BF194" i="142" a="1"/>
  <c r="BF194" i="142" s="1"/>
  <c r="BC194" i="142" a="1"/>
  <c r="BC194" i="142" s="1"/>
  <c r="BG328" i="142" a="1"/>
  <c r="BG328" i="142" s="1"/>
  <c r="BF328" i="142" a="1"/>
  <c r="BF328" i="142" s="1"/>
  <c r="BC328" i="142" a="1"/>
  <c r="BC328" i="142" s="1"/>
  <c r="BE328" i="142" a="1"/>
  <c r="BE328" i="142" s="1"/>
  <c r="BD328" i="142" a="1"/>
  <c r="BD328" i="142" s="1"/>
  <c r="BF287" i="142" a="1"/>
  <c r="BF287" i="142" s="1"/>
  <c r="BC287" i="142" a="1"/>
  <c r="BC287" i="142" s="1"/>
  <c r="BG287" i="142" a="1"/>
  <c r="BG287" i="142" s="1"/>
  <c r="BD287" i="142" a="1"/>
  <c r="BD287" i="142" s="1"/>
  <c r="BE287" i="142" a="1"/>
  <c r="BE287" i="142" s="1"/>
  <c r="BE239" i="142" a="1"/>
  <c r="BE239" i="142" s="1"/>
  <c r="BC239" i="142" a="1"/>
  <c r="BC239" i="142" s="1"/>
  <c r="BD239" i="142" a="1"/>
  <c r="BD239" i="142" s="1"/>
  <c r="BF239" i="142" a="1"/>
  <c r="BF239" i="142" s="1"/>
  <c r="BG239" i="142" a="1"/>
  <c r="BG239" i="142" s="1"/>
  <c r="BC144" i="142" a="1"/>
  <c r="BC144" i="142" s="1"/>
  <c r="BD144" i="142" a="1"/>
  <c r="BD144" i="142" s="1"/>
  <c r="BF144" i="142" a="1"/>
  <c r="BF144" i="142" s="1"/>
  <c r="BE144" i="142" a="1"/>
  <c r="BE144" i="142" s="1"/>
  <c r="BG144" i="142" a="1"/>
  <c r="BG144" i="142" s="1"/>
  <c r="BG286" i="142" a="1"/>
  <c r="BG286" i="142" s="1"/>
  <c r="BC286" i="142" a="1"/>
  <c r="BC286" i="142" s="1"/>
  <c r="BD286" i="142" a="1"/>
  <c r="BD286" i="142" s="1"/>
  <c r="BF286" i="142" a="1"/>
  <c r="BF286" i="142" s="1"/>
  <c r="BE286" i="142" a="1"/>
  <c r="BE286" i="142" s="1"/>
  <c r="BG193" i="142" a="1"/>
  <c r="BG193" i="142" s="1"/>
  <c r="BC193" i="142" a="1"/>
  <c r="BC193" i="142" s="1"/>
  <c r="BF193" i="142" a="1"/>
  <c r="BF193" i="142" s="1"/>
  <c r="BD193" i="142" a="1"/>
  <c r="BD193" i="142" s="1"/>
  <c r="BE193" i="142" a="1"/>
  <c r="BE193" i="142" s="1"/>
  <c r="BC232" i="142" a="1"/>
  <c r="BC232" i="142" s="1"/>
  <c r="BF232" i="142" a="1"/>
  <c r="BF232" i="142" s="1"/>
  <c r="BE232" i="142" a="1"/>
  <c r="BE232" i="142" s="1"/>
  <c r="BG232" i="142" a="1"/>
  <c r="BG232" i="142" s="1"/>
  <c r="BD232" i="142" a="1"/>
  <c r="BD232" i="142" s="1"/>
  <c r="BE324" i="142" a="1"/>
  <c r="BE324" i="142" s="1"/>
  <c r="BF324" i="142" a="1"/>
  <c r="BF324" i="142" s="1"/>
  <c r="BG324" i="142" a="1"/>
  <c r="BG324" i="142" s="1"/>
  <c r="BD324" i="142" a="1"/>
  <c r="BD324" i="142" s="1"/>
  <c r="BC324" i="142" a="1"/>
  <c r="BC324" i="142" s="1"/>
  <c r="BF181" i="142" a="1"/>
  <c r="BF181" i="142" s="1"/>
  <c r="BE181" i="142" a="1"/>
  <c r="BE181" i="142" s="1"/>
  <c r="BG181" i="142" a="1"/>
  <c r="BG181" i="142" s="1"/>
  <c r="BD181" i="142" a="1"/>
  <c r="BD181" i="142" s="1"/>
  <c r="BC181" i="142" a="1"/>
  <c r="BC181" i="142" s="1"/>
  <c r="BC277" i="142" a="1"/>
  <c r="BC277" i="142" s="1"/>
  <c r="BF277" i="142" a="1"/>
  <c r="BF277" i="142" s="1"/>
  <c r="BG277" i="142" a="1"/>
  <c r="BG277" i="142" s="1"/>
  <c r="BD277" i="142" a="1"/>
  <c r="BD277" i="142" s="1"/>
  <c r="BE277" i="142" a="1"/>
  <c r="BE277" i="142" s="1"/>
  <c r="BD38" i="142" a="1"/>
  <c r="BD38" i="142" s="1"/>
  <c r="BG38" i="142" a="1"/>
  <c r="BG38" i="142" s="1"/>
  <c r="BC38" i="142" a="1"/>
  <c r="BC38" i="142" s="1"/>
  <c r="BE38" i="142" a="1"/>
  <c r="BE38" i="142" s="1"/>
  <c r="BF38" i="142" a="1"/>
  <c r="BF38" i="142" s="1"/>
  <c r="BF236" i="142" a="1"/>
  <c r="BF236" i="142" s="1"/>
  <c r="BC236" i="142" a="1"/>
  <c r="BC236" i="142" s="1"/>
  <c r="BE236" i="142" a="1"/>
  <c r="BE236" i="142" s="1"/>
  <c r="BD236" i="142" a="1"/>
  <c r="BD236" i="142" s="1"/>
  <c r="BG236" i="142" a="1"/>
  <c r="BG236" i="142" s="1"/>
  <c r="BC21" i="142" a="1"/>
  <c r="BC21" i="142" s="1"/>
  <c r="BE21" i="142" a="1"/>
  <c r="BE21" i="142" s="1"/>
  <c r="BG21" i="142" a="1"/>
  <c r="BG21" i="142" s="1"/>
  <c r="BF21" i="142" a="1"/>
  <c r="BF21" i="142" s="1"/>
  <c r="BD21" i="142" a="1"/>
  <c r="BD21" i="142" s="1"/>
  <c r="BE27" i="142" a="1"/>
  <c r="BE27" i="142" s="1"/>
  <c r="BG27" i="142" a="1"/>
  <c r="BG27" i="142" s="1"/>
  <c r="BC27" i="142" a="1"/>
  <c r="BC27" i="142" s="1"/>
  <c r="BF27" i="142" a="1"/>
  <c r="BF27" i="142" s="1"/>
  <c r="BD27" i="142" a="1"/>
  <c r="BD27" i="142" s="1"/>
  <c r="BD325" i="142" a="1"/>
  <c r="BD325" i="142" s="1"/>
  <c r="BC325" i="142" a="1"/>
  <c r="BC325" i="142" s="1"/>
  <c r="BF325" i="142" a="1"/>
  <c r="BF325" i="142" s="1"/>
  <c r="BE325" i="142" a="1"/>
  <c r="BE325" i="142" s="1"/>
  <c r="BG325" i="142" a="1"/>
  <c r="BG325" i="142" s="1"/>
  <c r="BC284" i="142" a="1"/>
  <c r="BC284" i="142" s="1"/>
  <c r="BE284" i="142" a="1"/>
  <c r="BE284" i="142" s="1"/>
  <c r="BD284" i="142" a="1"/>
  <c r="BD284" i="142" s="1"/>
  <c r="BF284" i="142" a="1"/>
  <c r="BF284" i="142" s="1"/>
  <c r="BG284" i="142" a="1"/>
  <c r="BG284" i="142" s="1"/>
  <c r="BC191" i="142" a="1"/>
  <c r="BC191" i="142" s="1"/>
  <c r="BG191" i="142" a="1"/>
  <c r="BG191" i="142" s="1"/>
  <c r="BE191" i="142" a="1"/>
  <c r="BE191" i="142" s="1"/>
  <c r="BF191" i="142" a="1"/>
  <c r="BF191" i="142" s="1"/>
  <c r="BD191" i="142" a="1"/>
  <c r="BD191" i="142" s="1"/>
  <c r="BC91" i="142" a="1"/>
  <c r="BC91" i="142" s="1"/>
  <c r="BE91" i="142" a="1"/>
  <c r="BE91" i="142" s="1"/>
  <c r="BD91" i="142" a="1"/>
  <c r="BD91" i="142" s="1"/>
  <c r="BF91" i="142" a="1"/>
  <c r="BF91" i="142" s="1"/>
  <c r="BG91" i="142" a="1"/>
  <c r="BG91" i="142" s="1"/>
  <c r="BF50" i="142" a="1"/>
  <c r="BF50" i="142" s="1"/>
  <c r="BD50" i="142" a="1"/>
  <c r="BD50" i="142" s="1"/>
  <c r="BC50" i="142" a="1"/>
  <c r="BC50" i="142" s="1"/>
  <c r="BG50" i="142" a="1"/>
  <c r="BG50" i="142" s="1"/>
  <c r="BE50" i="142" a="1"/>
  <c r="BE50" i="142" s="1"/>
  <c r="BC93" i="142" a="1"/>
  <c r="BC93" i="142" s="1"/>
  <c r="BD93" i="142" a="1"/>
  <c r="BD93" i="142" s="1"/>
  <c r="BG93" i="142" a="1"/>
  <c r="BG93" i="142" s="1"/>
  <c r="BE93" i="142" a="1"/>
  <c r="BE93" i="142" s="1"/>
  <c r="BF93" i="142" a="1"/>
  <c r="BF93" i="142" s="1"/>
  <c r="BD334" i="142" a="1"/>
  <c r="BD334" i="142" s="1"/>
  <c r="BE334" i="142" a="1"/>
  <c r="BE334" i="142" s="1"/>
  <c r="BF334" i="142" a="1"/>
  <c r="BF334" i="142" s="1"/>
  <c r="BG334" i="142" a="1"/>
  <c r="BG334" i="142" s="1"/>
  <c r="BC334" i="142" a="1"/>
  <c r="BC334" i="142" s="1"/>
  <c r="BC185" i="142" a="1"/>
  <c r="BC185" i="142" s="1"/>
  <c r="BG185" i="142" a="1"/>
  <c r="BG185" i="142" s="1"/>
  <c r="BE185" i="142" a="1"/>
  <c r="BE185" i="142" s="1"/>
  <c r="BF185" i="142" a="1"/>
  <c r="BF185" i="142" s="1"/>
  <c r="BD185" i="142" a="1"/>
  <c r="BD185" i="142" s="1"/>
  <c r="BC240" i="142" a="1"/>
  <c r="BC240" i="142" s="1"/>
  <c r="BD240" i="142" a="1"/>
  <c r="BD240" i="142" s="1"/>
  <c r="BF240" i="142" a="1"/>
  <c r="BF240" i="142" s="1"/>
  <c r="BG240" i="142" a="1"/>
  <c r="BG240" i="142" s="1"/>
  <c r="BE240" i="142" a="1"/>
  <c r="BE240" i="142" s="1"/>
  <c r="BD142" i="142" a="1"/>
  <c r="BD142" i="142" s="1"/>
  <c r="BE142" i="142" a="1"/>
  <c r="BE142" i="142" s="1"/>
  <c r="BG142" i="142" a="1"/>
  <c r="BG142" i="142" s="1"/>
  <c r="BF142" i="142" a="1"/>
  <c r="BF142" i="142" s="1"/>
  <c r="BC142" i="142" a="1"/>
  <c r="BC142" i="142" s="1"/>
  <c r="BG40" i="142" a="1"/>
  <c r="BG40" i="142" s="1"/>
  <c r="BC40" i="142" a="1"/>
  <c r="BC40" i="142" s="1"/>
  <c r="BF40" i="142" a="1"/>
  <c r="BF40" i="142" s="1"/>
  <c r="BE40" i="142" a="1"/>
  <c r="BE40" i="142" s="1"/>
  <c r="BD40" i="142" a="1"/>
  <c r="BD40" i="142" s="1"/>
  <c r="BD230" i="142" a="1"/>
  <c r="BD230" i="142" s="1"/>
  <c r="BG230" i="142" a="1"/>
  <c r="BG230" i="142" s="1"/>
  <c r="BC230" i="142" a="1"/>
  <c r="BC230" i="142" s="1"/>
  <c r="BF230" i="142" a="1"/>
  <c r="BF230" i="142" s="1"/>
  <c r="BE230" i="142" a="1"/>
  <c r="BE230" i="142" s="1"/>
  <c r="BF327" i="142" a="1"/>
  <c r="BF327" i="142" s="1"/>
  <c r="BD327" i="142" a="1"/>
  <c r="BD327" i="142" s="1"/>
  <c r="BE327" i="142" a="1"/>
  <c r="BE327" i="142" s="1"/>
  <c r="BG327" i="142" a="1"/>
  <c r="BG327" i="142" s="1"/>
  <c r="BC327" i="142" a="1"/>
  <c r="BC327" i="142" s="1"/>
  <c r="BF20" i="142" a="1"/>
  <c r="BF20" i="142" s="1"/>
  <c r="BG20" i="142" a="1"/>
  <c r="BG20" i="142" s="1"/>
  <c r="BD20" i="142" a="1"/>
  <c r="BD20" i="142" s="1"/>
  <c r="BE20" i="142" a="1"/>
  <c r="BE20" i="142" s="1"/>
  <c r="BC20" i="142" a="1"/>
  <c r="BC20" i="142" s="1"/>
  <c r="BC23" i="142" a="1"/>
  <c r="BC23" i="142" s="1"/>
  <c r="BF23" i="142" a="1"/>
  <c r="BF23" i="142" s="1"/>
  <c r="BD23" i="142" a="1"/>
  <c r="BD23" i="142" s="1"/>
  <c r="BE23" i="142" a="1"/>
  <c r="BE23" i="142" s="1"/>
  <c r="BG23" i="142" a="1"/>
  <c r="BG23" i="142" s="1"/>
  <c r="BC48" i="142" a="1"/>
  <c r="BC48" i="142" s="1"/>
  <c r="BF48" i="142" a="1"/>
  <c r="BF48" i="142" s="1"/>
  <c r="BE48" i="142" a="1"/>
  <c r="BE48" i="142" s="1"/>
  <c r="BD48" i="142" a="1"/>
  <c r="BD48" i="142" s="1"/>
  <c r="BG48" i="142" a="1"/>
  <c r="BG48" i="142" s="1"/>
  <c r="BF337" i="142" a="1"/>
  <c r="BF337" i="142" s="1"/>
  <c r="BD337" i="142" a="1"/>
  <c r="BD337" i="142" s="1"/>
  <c r="BE337" i="142" a="1"/>
  <c r="BE337" i="142" s="1"/>
  <c r="BC337" i="142" a="1"/>
  <c r="BC337" i="142" s="1"/>
  <c r="BG337" i="142" a="1"/>
  <c r="BG337" i="142" s="1"/>
  <c r="BG133" i="142" a="1"/>
  <c r="BG133" i="142" s="1"/>
  <c r="BC133" i="142" a="1"/>
  <c r="BC133" i="142" s="1"/>
  <c r="BD133" i="142" a="1"/>
  <c r="BD133" i="142" s="1"/>
  <c r="BF133" i="142" a="1"/>
  <c r="BF133" i="142" s="1"/>
  <c r="BE133" i="142" a="1"/>
  <c r="BE133" i="142" s="1"/>
  <c r="BD145" i="142" a="1"/>
  <c r="BD145" i="142" s="1"/>
  <c r="BG145" i="142" a="1"/>
  <c r="BG145" i="142" s="1"/>
  <c r="BF145" i="142" a="1"/>
  <c r="BF145" i="142" s="1"/>
  <c r="BC145" i="142" a="1"/>
  <c r="BC145" i="142" s="1"/>
  <c r="BE145" i="142" a="1"/>
  <c r="BE145" i="142" s="1"/>
  <c r="BD90" i="142" a="1"/>
  <c r="BD90" i="142" s="1"/>
  <c r="BC90" i="142" a="1"/>
  <c r="BC90" i="142" s="1"/>
  <c r="BE90" i="142" a="1"/>
  <c r="BE90" i="142" s="1"/>
  <c r="BF90" i="142" a="1"/>
  <c r="BF90" i="142" s="1"/>
  <c r="BG90" i="142" a="1"/>
  <c r="BG90" i="142" s="1"/>
  <c r="BG283" i="142" a="1"/>
  <c r="BG283" i="142" s="1"/>
  <c r="BF283" i="142" a="1"/>
  <c r="BF283" i="142" s="1"/>
  <c r="BE283" i="142" a="1"/>
  <c r="BE283" i="142" s="1"/>
  <c r="BD283" i="142" a="1"/>
  <c r="BD283" i="142" s="1"/>
  <c r="BC283" i="142" a="1"/>
  <c r="BC283" i="142" s="1"/>
  <c r="BC86" i="142" a="1"/>
  <c r="BC86" i="142" s="1"/>
  <c r="BE86" i="142" a="1"/>
  <c r="BE86" i="142" s="1"/>
  <c r="BD86" i="142" a="1"/>
  <c r="BD86" i="142" s="1"/>
  <c r="BG86" i="142" a="1"/>
  <c r="BG86" i="142" s="1"/>
  <c r="BF86" i="142" a="1"/>
  <c r="BF86" i="142" s="1"/>
  <c r="BC141" i="142" a="1"/>
  <c r="BC141" i="142" s="1"/>
  <c r="BD141" i="142" a="1"/>
  <c r="BD141" i="142" s="1"/>
  <c r="BE141" i="142" a="1"/>
  <c r="BE141" i="142" s="1"/>
  <c r="BG141" i="142" a="1"/>
  <c r="BG141" i="142" s="1"/>
  <c r="BF141" i="142" a="1"/>
  <c r="BF141" i="142" s="1"/>
  <c r="BD84" i="142" a="1"/>
  <c r="BD84" i="142" s="1"/>
  <c r="BF84" i="142" a="1"/>
  <c r="BF84" i="142" s="1"/>
  <c r="BE84" i="142" a="1"/>
  <c r="BE84" i="142" s="1"/>
  <c r="BG84" i="142" a="1"/>
  <c r="BG84" i="142" s="1"/>
  <c r="BC84" i="142" a="1"/>
  <c r="BC84" i="142" s="1"/>
  <c r="BE285" i="142" a="1"/>
  <c r="BE285" i="142" s="1"/>
  <c r="BF285" i="142" a="1"/>
  <c r="BF285" i="142" s="1"/>
  <c r="BD285" i="142" a="1"/>
  <c r="BD285" i="142" s="1"/>
  <c r="BG285" i="142" a="1"/>
  <c r="BG285" i="142" s="1"/>
  <c r="BC285" i="142" a="1"/>
  <c r="BC285" i="142" s="1"/>
  <c r="BG241" i="142" a="1"/>
  <c r="BG241" i="142" s="1"/>
  <c r="BC241" i="142" a="1"/>
  <c r="BC241" i="142" s="1"/>
  <c r="BE241" i="142" a="1"/>
  <c r="BE241" i="142" s="1"/>
  <c r="BF241" i="142" a="1"/>
  <c r="BF241" i="142" s="1"/>
  <c r="BD241" i="142" a="1"/>
  <c r="BD241" i="142" s="1"/>
  <c r="BD238" i="142" a="1"/>
  <c r="BD238" i="142" s="1"/>
  <c r="BF238" i="142" a="1"/>
  <c r="BF238" i="142" s="1"/>
  <c r="BG238" i="142" a="1"/>
  <c r="BG238" i="142" s="1"/>
  <c r="BC238" i="142" a="1"/>
  <c r="BC238" i="142" s="1"/>
  <c r="BE238" i="142" a="1"/>
  <c r="BE238" i="142" s="1"/>
  <c r="BC192" i="142" a="1"/>
  <c r="BC192" i="142" s="1"/>
  <c r="BF192" i="142" a="1"/>
  <c r="BF192" i="142" s="1"/>
  <c r="BG192" i="142" a="1"/>
  <c r="BG192" i="142" s="1"/>
  <c r="BE192" i="142" a="1"/>
  <c r="BE192" i="142" s="1"/>
  <c r="BD192" i="142" a="1"/>
  <c r="BD192" i="142" s="1"/>
  <c r="BD31" i="142" a="1"/>
  <c r="BD31" i="142" s="1"/>
  <c r="BE31" i="142" a="1"/>
  <c r="BE31" i="142" s="1"/>
  <c r="BG31" i="142" a="1"/>
  <c r="BG31" i="142" s="1"/>
  <c r="BC31" i="142" a="1"/>
  <c r="BC31" i="142" s="1"/>
  <c r="BF31" i="142" a="1"/>
  <c r="BF31" i="142" s="1"/>
  <c r="BE18" i="142" a="1"/>
  <c r="BE18" i="142" s="1"/>
  <c r="BC18" i="142" a="1"/>
  <c r="BC18" i="142" s="1"/>
  <c r="BD18" i="142" a="1"/>
  <c r="BD18" i="142" s="1"/>
  <c r="BF18" i="142" a="1"/>
  <c r="BF18" i="142" s="1"/>
  <c r="BG18" i="142" a="1"/>
  <c r="BG18" i="142" s="1"/>
  <c r="BC195" i="142" a="1"/>
  <c r="BC195" i="142" s="1"/>
  <c r="BF195" i="142" a="1"/>
  <c r="BF195" i="142" s="1"/>
  <c r="BD195" i="142" a="1"/>
  <c r="BD195" i="142" s="1"/>
  <c r="BG195" i="142" a="1"/>
  <c r="BG195" i="142" s="1"/>
  <c r="BE195" i="142" a="1"/>
  <c r="BE195" i="142" s="1"/>
  <c r="BE190" i="142" a="1"/>
  <c r="BE190" i="142" s="1"/>
  <c r="BD190" i="142" a="1"/>
  <c r="BD190" i="142" s="1"/>
  <c r="BF190" i="142" a="1"/>
  <c r="BF190" i="142" s="1"/>
  <c r="BC190" i="142" a="1"/>
  <c r="BC190" i="142" s="1"/>
  <c r="BG190" i="142" a="1"/>
  <c r="BG190" i="142" s="1"/>
  <c r="BE235" i="142" a="1"/>
  <c r="BE235" i="142" s="1"/>
  <c r="BC235" i="142" a="1"/>
  <c r="BC235" i="142" s="1"/>
  <c r="BF235" i="142" a="1"/>
  <c r="BF235" i="142" s="1"/>
  <c r="BG235" i="142" a="1"/>
  <c r="BG235" i="142" s="1"/>
  <c r="BD235" i="142" a="1"/>
  <c r="BD235" i="142" s="1"/>
  <c r="BF231" i="142" a="1"/>
  <c r="BF231" i="142" s="1"/>
  <c r="BE231" i="142" a="1"/>
  <c r="BE231" i="142" s="1"/>
  <c r="BG231" i="142" a="1"/>
  <c r="BG231" i="142" s="1"/>
  <c r="BD231" i="142" a="1"/>
  <c r="BD231" i="142" s="1"/>
  <c r="BC231" i="142" a="1"/>
  <c r="BC231" i="142" s="1"/>
  <c r="BD138" i="142" a="1"/>
  <c r="BD138" i="142" s="1"/>
  <c r="BC138" i="142" a="1"/>
  <c r="BC138" i="142" s="1"/>
  <c r="BG138" i="142" a="1"/>
  <c r="BG138" i="142" s="1"/>
  <c r="BF138" i="142" a="1"/>
  <c r="BF138" i="142" s="1"/>
  <c r="BE138" i="142" a="1"/>
  <c r="BE138" i="142" s="1"/>
  <c r="BF41" i="142" a="1"/>
  <c r="BF41" i="142" s="1"/>
  <c r="BC41" i="142" a="1"/>
  <c r="BC41" i="142" s="1"/>
  <c r="BE41" i="142" a="1"/>
  <c r="BE41" i="142" s="1"/>
  <c r="BD41" i="142" a="1"/>
  <c r="BD41" i="142" s="1"/>
  <c r="BG41" i="142" a="1"/>
  <c r="BG41" i="142" s="1"/>
  <c r="BD45" i="142" a="1"/>
  <c r="BD45" i="142" s="1"/>
  <c r="BC45" i="142" a="1"/>
  <c r="BC45" i="142" s="1"/>
  <c r="BE45" i="142" a="1"/>
  <c r="BE45" i="142" s="1"/>
  <c r="BG45" i="142" a="1"/>
  <c r="BG45" i="142" s="1"/>
  <c r="BF45" i="142" a="1"/>
  <c r="BF45" i="142" s="1"/>
  <c r="BD49" i="142" a="1"/>
  <c r="BD49" i="142" s="1"/>
  <c r="BE49" i="142" a="1"/>
  <c r="BE49" i="142" s="1"/>
  <c r="BG49" i="142" a="1"/>
  <c r="BG49" i="142" s="1"/>
  <c r="BF49" i="142" a="1"/>
  <c r="BF49" i="142" s="1"/>
  <c r="BC49" i="142" a="1"/>
  <c r="BC49" i="142" s="1"/>
  <c r="BC44" i="142" a="1"/>
  <c r="BC44" i="142" s="1"/>
  <c r="BD44" i="142" a="1"/>
  <c r="BD44" i="142" s="1"/>
  <c r="BE44" i="142" a="1"/>
  <c r="BE44" i="142" s="1"/>
  <c r="BF44" i="142" a="1"/>
  <c r="BF44" i="142" s="1"/>
  <c r="BG44" i="142" a="1"/>
  <c r="BG44" i="142" s="1"/>
  <c r="BF233" i="142" a="1"/>
  <c r="BF233" i="142" s="1"/>
  <c r="BG233" i="142" a="1"/>
  <c r="BG233" i="142" s="1"/>
  <c r="BE233" i="142" a="1"/>
  <c r="BE233" i="142" s="1"/>
  <c r="BC233" i="142" a="1"/>
  <c r="BC233" i="142" s="1"/>
  <c r="BD233" i="142" a="1"/>
  <c r="BD233" i="142" s="1"/>
  <c r="BE136" i="142" a="1"/>
  <c r="BE136" i="142" s="1"/>
  <c r="BD136" i="142" a="1"/>
  <c r="BD136" i="142" s="1"/>
  <c r="BG136" i="142" a="1"/>
  <c r="BG136" i="142" s="1"/>
  <c r="BC136" i="142" a="1"/>
  <c r="BC136" i="142" s="1"/>
  <c r="BF136" i="142" a="1"/>
  <c r="BF136" i="142" s="1"/>
  <c r="BF281" i="142" a="1"/>
  <c r="BF281" i="142" s="1"/>
  <c r="BD281" i="142" a="1"/>
  <c r="BD281" i="142" s="1"/>
  <c r="BC281" i="142" a="1"/>
  <c r="BC281" i="142" s="1"/>
  <c r="BG281" i="142" a="1"/>
  <c r="BG281" i="142" s="1"/>
  <c r="BE281" i="142" a="1"/>
  <c r="BE281" i="142" s="1"/>
  <c r="BC184" i="142" a="1"/>
  <c r="BC184" i="142" s="1"/>
  <c r="BD184" i="142" a="1"/>
  <c r="BD184" i="142" s="1"/>
  <c r="BE184" i="142" a="1"/>
  <c r="BE184" i="142" s="1"/>
  <c r="BG184" i="142" a="1"/>
  <c r="BG184" i="142" s="1"/>
  <c r="BF184" i="142" a="1"/>
  <c r="BF184" i="142" s="1"/>
  <c r="BG29" i="142" a="1"/>
  <c r="BG29" i="142" s="1"/>
  <c r="BC29" i="142" a="1"/>
  <c r="BC29" i="142" s="1"/>
  <c r="BD29" i="142" a="1"/>
  <c r="BD29" i="142" s="1"/>
  <c r="BF29" i="142" a="1"/>
  <c r="BF29" i="142" s="1"/>
  <c r="BE29" i="142" a="1"/>
  <c r="BE29" i="142" s="1"/>
  <c r="BC28" i="142" a="1"/>
  <c r="BC28" i="142" s="1"/>
  <c r="BF28" i="142" a="1"/>
  <c r="BF28" i="142" s="1"/>
  <c r="BE28" i="142" a="1"/>
  <c r="BE28" i="142" s="1"/>
  <c r="BG28" i="142" a="1"/>
  <c r="BG28" i="142" s="1"/>
  <c r="BD28" i="142" a="1"/>
  <c r="BD28" i="142" s="1"/>
  <c r="BD333" i="142" a="1"/>
  <c r="BD333" i="142" s="1"/>
  <c r="BF333" i="142" a="1"/>
  <c r="BF333" i="142" s="1"/>
  <c r="BE333" i="142" a="1"/>
  <c r="BE333" i="142" s="1"/>
  <c r="BC333" i="142" a="1"/>
  <c r="BC333" i="142" s="1"/>
  <c r="BG333" i="142" a="1"/>
  <c r="BG333" i="142" s="1"/>
  <c r="BG43" i="142" a="1"/>
  <c r="BG43" i="142" s="1"/>
  <c r="BD43" i="142" a="1"/>
  <c r="BD43" i="142" s="1"/>
  <c r="BF43" i="142" a="1"/>
  <c r="BF43" i="142" s="1"/>
  <c r="BE43" i="142" a="1"/>
  <c r="BE43" i="142" s="1"/>
  <c r="BC43" i="142" a="1"/>
  <c r="BC43" i="142" s="1"/>
  <c r="BC134" i="142" a="1"/>
  <c r="BC134" i="142" s="1"/>
  <c r="BD134" i="142" a="1"/>
  <c r="BD134" i="142" s="1"/>
  <c r="BF134" i="142" a="1"/>
  <c r="BF134" i="142" s="1"/>
  <c r="BG134" i="142" a="1"/>
  <c r="BG134" i="142" s="1"/>
  <c r="BE134" i="142" a="1"/>
  <c r="BE134" i="142" s="1"/>
  <c r="BF47" i="142" a="1"/>
  <c r="BF47" i="142" s="1"/>
  <c r="BC47" i="142" a="1"/>
  <c r="BC47" i="142" s="1"/>
  <c r="BG47" i="142" a="1"/>
  <c r="BG47" i="142" s="1"/>
  <c r="BD47" i="142" a="1"/>
  <c r="BD47" i="142" s="1"/>
  <c r="BE47" i="142" a="1"/>
  <c r="BE47" i="142" s="1"/>
  <c r="BD85" i="142" a="1"/>
  <c r="BD85" i="142" s="1"/>
  <c r="BF85" i="142" a="1"/>
  <c r="BF85" i="142" s="1"/>
  <c r="BC85" i="142" a="1"/>
  <c r="BC85" i="142" s="1"/>
  <c r="BG85" i="142" a="1"/>
  <c r="BG85" i="142" s="1"/>
  <c r="BE85" i="142" a="1"/>
  <c r="BE85" i="142" s="1"/>
  <c r="BD282" i="142" a="1"/>
  <c r="BD282" i="142" s="1"/>
  <c r="BE282" i="142" a="1"/>
  <c r="BE282" i="142" s="1"/>
  <c r="BF282" i="142" a="1"/>
  <c r="BF282" i="142" s="1"/>
  <c r="BG282" i="142" a="1"/>
  <c r="BG282" i="142" s="1"/>
  <c r="BC282" i="142" a="1"/>
  <c r="BC282" i="142" s="1"/>
  <c r="BD92" i="142" a="1"/>
  <c r="BD92" i="142" s="1"/>
  <c r="BE92" i="142" a="1"/>
  <c r="BE92" i="142" s="1"/>
  <c r="BC92" i="142" a="1"/>
  <c r="BC92" i="142" s="1"/>
  <c r="BG92" i="142" a="1"/>
  <c r="BG92" i="142" s="1"/>
  <c r="BF92" i="142" a="1"/>
  <c r="BF92" i="142" s="1"/>
  <c r="BD140" i="142" a="1"/>
  <c r="BD140" i="142" s="1"/>
  <c r="BG140" i="142" a="1"/>
  <c r="BG140" i="142" s="1"/>
  <c r="BE140" i="142" a="1"/>
  <c r="BE140" i="142" s="1"/>
  <c r="BF140" i="142" a="1"/>
  <c r="BF140" i="142" s="1"/>
  <c r="BC140" i="142" a="1"/>
  <c r="BC140" i="142" s="1"/>
  <c r="BD98" i="142" a="1"/>
  <c r="BD98" i="142" s="1"/>
  <c r="BC98" i="142" a="1"/>
  <c r="BC98" i="142" s="1"/>
  <c r="BE98" i="142" a="1"/>
  <c r="BE98" i="142" s="1"/>
  <c r="BG98" i="142" a="1"/>
  <c r="BG98" i="142" s="1"/>
  <c r="BF98" i="142" a="1"/>
  <c r="BF98" i="142" s="1"/>
  <c r="BD329" i="142" a="1"/>
  <c r="BD329" i="142" s="1"/>
  <c r="BF329" i="142" a="1"/>
  <c r="BF329" i="142" s="1"/>
  <c r="BC329" i="142" a="1"/>
  <c r="BC329" i="142" s="1"/>
  <c r="BE329" i="142" a="1"/>
  <c r="BE329" i="142" s="1"/>
  <c r="BG329" i="142" a="1"/>
  <c r="BG329" i="142" s="1"/>
  <c r="BE139" i="142" a="1"/>
  <c r="BE139" i="142" s="1"/>
  <c r="BG139" i="142" a="1"/>
  <c r="BG139" i="142" s="1"/>
  <c r="BD139" i="142" a="1"/>
  <c r="BD139" i="142" s="1"/>
  <c r="BC139" i="142" a="1"/>
  <c r="BC139" i="142" s="1"/>
  <c r="BF139" i="142" a="1"/>
  <c r="BF139" i="142" s="1"/>
  <c r="BG234" i="142" a="1"/>
  <c r="BG234" i="142" s="1"/>
  <c r="BC234" i="142" a="1"/>
  <c r="BC234" i="142" s="1"/>
  <c r="BD234" i="142" a="1"/>
  <c r="BD234" i="142" s="1"/>
  <c r="BE234" i="142" a="1"/>
  <c r="BE234" i="142" s="1"/>
  <c r="BF234" i="142" a="1"/>
  <c r="BF234" i="142" s="1"/>
  <c r="BC280" i="142" a="1"/>
  <c r="BC280" i="142" s="1"/>
  <c r="BG280" i="142" a="1"/>
  <c r="BG280" i="142" s="1"/>
  <c r="BF280" i="142" a="1"/>
  <c r="BF280" i="142" s="1"/>
  <c r="BE280" i="142" a="1"/>
  <c r="BE280" i="142" s="1"/>
  <c r="BD280" i="142" a="1"/>
  <c r="BD280" i="142" s="1"/>
  <c r="B4" i="135" l="1"/>
  <c r="B5" i="135" a="1"/>
  <c r="B5" i="135" s="1"/>
  <c r="BI276" i="142"/>
  <c r="BI181" i="142"/>
  <c r="BI288" i="142"/>
  <c r="BI142" i="142"/>
  <c r="BI188" i="142"/>
  <c r="BI230" i="142"/>
  <c r="BI29" i="142"/>
  <c r="BI37" i="142"/>
  <c r="BI39" i="142"/>
  <c r="BI325" i="142"/>
  <c r="BI51" i="142"/>
  <c r="BI184" i="142"/>
  <c r="BI86" i="142"/>
  <c r="BI327" i="142"/>
  <c r="BI236" i="142"/>
  <c r="BI95" i="142"/>
  <c r="BI231" i="142"/>
  <c r="BI283" i="142"/>
  <c r="BI84" i="142"/>
  <c r="BI187" i="142"/>
  <c r="BI290" i="142"/>
  <c r="BI233" i="142"/>
  <c r="BI135" i="142"/>
  <c r="BI242" i="142"/>
  <c r="BI333" i="142"/>
  <c r="BI285" i="142"/>
  <c r="BI88" i="142"/>
  <c r="BI96" i="142"/>
  <c r="BI337" i="142"/>
  <c r="BI334" i="142"/>
  <c r="BI97" i="142"/>
  <c r="BI331" i="142"/>
  <c r="BI146" i="142"/>
  <c r="BI329" i="142"/>
  <c r="BI140" i="142"/>
  <c r="BI144" i="142"/>
  <c r="BI332" i="142"/>
  <c r="BI89" i="142"/>
  <c r="BI232" i="142"/>
  <c r="BI287" i="142"/>
  <c r="BI87" i="142"/>
  <c r="BI241" i="142"/>
  <c r="BI133" i="142"/>
  <c r="BI284" i="142"/>
  <c r="BI323" i="142"/>
  <c r="BI228" i="142"/>
  <c r="BI45" i="142"/>
  <c r="BI48" i="142"/>
  <c r="BI22" i="142"/>
  <c r="BI20" i="142"/>
  <c r="BI31" i="142"/>
  <c r="BI18" i="142"/>
  <c r="BI93" i="142"/>
  <c r="BI239" i="142"/>
  <c r="BI289" i="142"/>
  <c r="BI85" i="142"/>
  <c r="BI235" i="142"/>
  <c r="BI90" i="142"/>
  <c r="BI240" i="142"/>
  <c r="BI193" i="142"/>
  <c r="BI328" i="142"/>
  <c r="BI237" i="142"/>
  <c r="BI139" i="142"/>
  <c r="BI282" i="142"/>
  <c r="BI41" i="142"/>
  <c r="BI192" i="142"/>
  <c r="BI23" i="142"/>
  <c r="BI91" i="142"/>
  <c r="BI186" i="142"/>
  <c r="BI24" i="142"/>
  <c r="BI279" i="142"/>
  <c r="BI281" i="142"/>
  <c r="BI141" i="142"/>
  <c r="BI50" i="142"/>
  <c r="BI25" i="142"/>
  <c r="BI182" i="142"/>
  <c r="BI336" i="142"/>
  <c r="BI280" i="142"/>
  <c r="BI28" i="142"/>
  <c r="BI44" i="142"/>
  <c r="BI190" i="142"/>
  <c r="BI195" i="142"/>
  <c r="BI238" i="142"/>
  <c r="BI145" i="142"/>
  <c r="BI324" i="142"/>
  <c r="BI194" i="142"/>
  <c r="BI278" i="142"/>
  <c r="BI143" i="142"/>
  <c r="BI19" i="142"/>
  <c r="BI49" i="142"/>
  <c r="BI42" i="142"/>
  <c r="BI94" i="142"/>
  <c r="BI134" i="142"/>
  <c r="BI98" i="142"/>
  <c r="BI43" i="142"/>
  <c r="BI40" i="142"/>
  <c r="BI185" i="142"/>
  <c r="BI21" i="142"/>
  <c r="BI277" i="142"/>
  <c r="BI286" i="142"/>
  <c r="BI26" i="142"/>
  <c r="BI132" i="142"/>
  <c r="BI335" i="142"/>
  <c r="BI189" i="142"/>
  <c r="BI183" i="142"/>
  <c r="BI234" i="142"/>
  <c r="BI92" i="142"/>
  <c r="BI47" i="142"/>
  <c r="BI136" i="142"/>
  <c r="BI138" i="142"/>
  <c r="BI191" i="142"/>
  <c r="BI27" i="142"/>
  <c r="BI38" i="142"/>
  <c r="BI229" i="142"/>
  <c r="BI30" i="142"/>
  <c r="BI46" i="142"/>
  <c r="BI330" i="142"/>
  <c r="BI17" i="142"/>
  <c r="BI326" i="142"/>
  <c r="BI137" i="142"/>
  <c r="C4" i="135" l="1"/>
  <c r="C5" i="135" a="1"/>
  <c r="C5" i="135" s="1"/>
  <c r="G5" i="135" s="1"/>
  <c r="G4" i="13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<sst xmlns="http://schemas.openxmlformats.org/spreadsheetml/2006/main" count="26428" uniqueCount="3794">
  <si>
    <t>COUNTRY:</t>
  </si>
  <si>
    <t>GRANT NUMBER:</t>
  </si>
  <si>
    <t>COMPONENT:</t>
  </si>
  <si>
    <t xml:space="preserve">PR: </t>
  </si>
  <si>
    <t>Component</t>
  </si>
  <si>
    <t>WKst</t>
  </si>
  <si>
    <t>Sec</t>
  </si>
  <si>
    <t>Category</t>
  </si>
  <si>
    <t>Specification</t>
  </si>
  <si>
    <t>Cost Input*</t>
  </si>
  <si>
    <t>Unit of measure*</t>
  </si>
  <si>
    <t>COVID Ag RDTs</t>
  </si>
  <si>
    <t>Each</t>
  </si>
  <si>
    <t>COVID Molecular Test (PCR) Equipment</t>
  </si>
  <si>
    <t>Pack</t>
  </si>
  <si>
    <t>COVID PCR Diagnostics reagents &amp; consumables</t>
  </si>
  <si>
    <t>COVID Diagnostics reagents &amp; consumables</t>
  </si>
  <si>
    <t>COVID Medical Oxygen Consumables</t>
  </si>
  <si>
    <t>Other</t>
  </si>
  <si>
    <t>COVID Medical Oxygen Equipment</t>
  </si>
  <si>
    <t>COVID Equipment</t>
  </si>
  <si>
    <t>COVID Supportive Hospital Equipment</t>
  </si>
  <si>
    <t>COVID Disinfectants</t>
  </si>
  <si>
    <t>COVID PPE</t>
  </si>
  <si>
    <t>Respirator</t>
  </si>
  <si>
    <t>COVID General Laboratory Equipment</t>
  </si>
  <si>
    <t>Laboratory Equipment</t>
  </si>
  <si>
    <t>Laboratory refrigerator</t>
  </si>
  <si>
    <t>Cold Chain Consumables</t>
  </si>
  <si>
    <t>Cold Chain Equipment</t>
  </si>
  <si>
    <t>Waste management</t>
  </si>
  <si>
    <t>COVID Ab RDTs &amp; Sequencing</t>
  </si>
  <si>
    <t>COVID Pharma</t>
  </si>
  <si>
    <t>COVID Pharmaceuticals</t>
  </si>
  <si>
    <t>Other medicines</t>
  </si>
  <si>
    <t>COVID PPE &amp; consumables</t>
  </si>
  <si>
    <t>HIV</t>
  </si>
  <si>
    <t>Malaria</t>
  </si>
  <si>
    <t>Consumables</t>
  </si>
  <si>
    <t>TB</t>
  </si>
  <si>
    <t>Syringes and needles</t>
  </si>
  <si>
    <t>Yes</t>
  </si>
  <si>
    <t xml:space="preserve">Bacilloscopy - LED microscopy </t>
  </si>
  <si>
    <t xml:space="preserve">Bacilloscopy - Light microscopy </t>
  </si>
  <si>
    <t>GeneXpert</t>
  </si>
  <si>
    <t>Culture - Solid Culture</t>
  </si>
  <si>
    <t>Culture - Liquid/BACTEC™ MGIT™</t>
  </si>
  <si>
    <t>DST 1st line - Liquid Media</t>
  </si>
  <si>
    <t>DST 1st line - Solid Media</t>
  </si>
  <si>
    <t>DST 1st line - LPA/Hain</t>
  </si>
  <si>
    <t>DST 2nd line - Solid Media</t>
  </si>
  <si>
    <t>DST 2nd line - LPA/Hain</t>
  </si>
  <si>
    <t>Xray - Conventional</t>
  </si>
  <si>
    <t>Xray - Digital</t>
  </si>
  <si>
    <t>Xray - Mobile</t>
  </si>
  <si>
    <t>No</t>
  </si>
  <si>
    <t>SN</t>
  </si>
  <si>
    <t>Details</t>
  </si>
  <si>
    <t>EUR Conversation rate</t>
  </si>
  <si>
    <t>Year 3</t>
  </si>
  <si>
    <t>Year 4</t>
  </si>
  <si>
    <t>Country</t>
  </si>
  <si>
    <t>MALARIA - PHARMA</t>
  </si>
  <si>
    <t>Procurement Entity</t>
  </si>
  <si>
    <t>Payment Currency</t>
  </si>
  <si>
    <t>Packaging</t>
  </si>
  <si>
    <t>MALARIA-NON-PHARMA</t>
  </si>
  <si>
    <t>MALARIA-PHARMA</t>
  </si>
  <si>
    <t>Original</t>
  </si>
  <si>
    <t>English</t>
  </si>
  <si>
    <t>Spanish</t>
  </si>
  <si>
    <t>French</t>
  </si>
  <si>
    <t>HPM Category</t>
  </si>
  <si>
    <t>HIV - PHARMA</t>
  </si>
  <si>
    <t>Procurement Channel</t>
  </si>
  <si>
    <t>Item Category</t>
  </si>
  <si>
    <t>INN + Strength</t>
  </si>
  <si>
    <t>TB-NON-PHARMA</t>
  </si>
  <si>
    <t>In Country HPM Cost Modality</t>
  </si>
  <si>
    <t>Timing of disbursements from TGF</t>
  </si>
  <si>
    <t>Cost Input Finance</t>
  </si>
  <si>
    <t>Azerbaijan</t>
  </si>
  <si>
    <t>USD</t>
  </si>
  <si>
    <t>C19RM</t>
  </si>
  <si>
    <t>Ministry of Health of the Republic of Azerbaijan</t>
  </si>
  <si>
    <t>AZE-C-MOH</t>
  </si>
  <si>
    <t>Q1 Start Date</t>
  </si>
  <si>
    <t>GDF: UNOPS</t>
  </si>
  <si>
    <t>Upfront</t>
  </si>
  <si>
    <t>% Based</t>
  </si>
  <si>
    <t>M</t>
  </si>
  <si>
    <t>WHO</t>
  </si>
  <si>
    <t>H, C, T</t>
  </si>
  <si>
    <t>GDF: IDA</t>
  </si>
  <si>
    <t>H, C</t>
  </si>
  <si>
    <t>Wambo (PPM)</t>
  </si>
  <si>
    <t>UNICEF (non-PPM)</t>
  </si>
  <si>
    <t>PR/SR</t>
  </si>
  <si>
    <t>PFSCM (non-PPM)</t>
  </si>
  <si>
    <t>Other consumables</t>
  </si>
  <si>
    <t>iPlus (i+) (non-PPM)</t>
  </si>
  <si>
    <t>UNDP</t>
  </si>
  <si>
    <t>UNOPS (non-PPM)</t>
  </si>
  <si>
    <t>Other health equipment</t>
  </si>
  <si>
    <t>TB-PHARMA</t>
  </si>
  <si>
    <t>Microscopy - Equipment</t>
  </si>
  <si>
    <t>T, C</t>
  </si>
  <si>
    <t>Microscopy - Reagents &amp; consumables</t>
  </si>
  <si>
    <t>Other laboratory reagents</t>
  </si>
  <si>
    <t>H, C, T, M</t>
  </si>
  <si>
    <t>Essential medicines</t>
  </si>
  <si>
    <t>MALARIA - NON-PHARMA</t>
  </si>
  <si>
    <t>Malaria RDTs</t>
  </si>
  <si>
    <t>IDA (non-PPM)</t>
  </si>
  <si>
    <t>ITN (Continuous Distribution)</t>
  </si>
  <si>
    <t>ITNs (Mass Campaign)</t>
  </si>
  <si>
    <t>Pesticides</t>
  </si>
  <si>
    <t>Reagents</t>
  </si>
  <si>
    <t>`</t>
  </si>
  <si>
    <t>C19RM 2020</t>
  </si>
  <si>
    <t>PPM</t>
  </si>
  <si>
    <t>At delivery</t>
  </si>
  <si>
    <t>COVID Medical Oxygen Liquid &amp; Gas</t>
  </si>
  <si>
    <t>non-PPM</t>
  </si>
  <si>
    <t>GDF</t>
  </si>
  <si>
    <t>Y1</t>
  </si>
  <si>
    <t>Y2</t>
  </si>
  <si>
    <t>Y3</t>
  </si>
  <si>
    <t>Y4</t>
  </si>
  <si>
    <t>Grant Total</t>
  </si>
  <si>
    <t>Months</t>
  </si>
  <si>
    <t>Antiretroviral Medicines for HIV Treatment</t>
  </si>
  <si>
    <t>Total Amount in</t>
  </si>
  <si>
    <t xml:space="preserve">HIV - PHARMA - Section 2 </t>
  </si>
  <si>
    <t>Treatment, care &amp; support</t>
  </si>
  <si>
    <t>Other Health Products</t>
  </si>
  <si>
    <t xml:space="preserve">Antimalaria medicines </t>
  </si>
  <si>
    <t>TOTAL</t>
  </si>
  <si>
    <t xml:space="preserve">Section </t>
  </si>
  <si>
    <t>Section Heading</t>
  </si>
  <si>
    <t>Product Category</t>
  </si>
  <si>
    <t>GRANT NUMBER</t>
  </si>
  <si>
    <t>CURRENCY</t>
  </si>
  <si>
    <t>VERSION  of HPM template</t>
  </si>
  <si>
    <t>Timing of disbursements</t>
  </si>
  <si>
    <t>Delivery Lead Time</t>
  </si>
  <si>
    <t>Y1 Total cost</t>
  </si>
  <si>
    <t>Y2 Total cost</t>
  </si>
  <si>
    <t>Y3 Total cost</t>
  </si>
  <si>
    <t>Y4 Total cost</t>
  </si>
  <si>
    <t>Malaria Microscopy: Maintenance &amp; Services</t>
  </si>
  <si>
    <t>Pesticide application: Maintenance &amp; Services</t>
  </si>
  <si>
    <t>Malaria Surveillance: Maintenance &amp; Services</t>
  </si>
  <si>
    <t>Malaria RDTs (Co-pay)</t>
  </si>
  <si>
    <t>Malaria: Other Maintenance &amp; Services</t>
  </si>
  <si>
    <t>Malaria IPC: Maintenance &amp; Services</t>
  </si>
  <si>
    <t>Molecular testing: Surcharge</t>
  </si>
  <si>
    <t>Flow Cytometry: Surcharge</t>
  </si>
  <si>
    <t>VL/EID Molecular testing: Surcharge</t>
  </si>
  <si>
    <t>Molecular Testing: Maintenance &amp; Services</t>
  </si>
  <si>
    <t>Flow Cytometry: Maintenance &amp; Services</t>
  </si>
  <si>
    <t>Sequencing: Maintenance &amp; Services</t>
  </si>
  <si>
    <t>HIV IPC: Maintenance &amp; Services</t>
  </si>
  <si>
    <t>HIV: Other Maintenance &amp; Services</t>
  </si>
  <si>
    <t>X-ray: Maintenance &amp; service costs</t>
  </si>
  <si>
    <t>TB Microscopy: Maintenance &amp; Services</t>
  </si>
  <si>
    <t>X-ray: Maintenance &amp; Services</t>
  </si>
  <si>
    <t>TB: Other Maintenance &amp; Services</t>
  </si>
  <si>
    <t>(Item Category)</t>
  </si>
  <si>
    <t>Worksheet</t>
  </si>
  <si>
    <t>Sections</t>
  </si>
  <si>
    <t>PDH Item UID</t>
  </si>
  <si>
    <t>Currency</t>
  </si>
  <si>
    <t>UID</t>
  </si>
  <si>
    <t>Ref Price</t>
  </si>
  <si>
    <t>Lead Time( In Quarters)</t>
  </si>
  <si>
    <t>Remark</t>
  </si>
  <si>
    <t>4.7 Other medicines</t>
  </si>
  <si>
    <t>Antimalaria medicines (Co-pay)</t>
  </si>
  <si>
    <t>5.4 Rapid Diagnostic Tests</t>
  </si>
  <si>
    <t>5.6 Other laboratory reagents, test kits and consumables</t>
  </si>
  <si>
    <t>5.8 Other consumables</t>
  </si>
  <si>
    <t>6.5 Maintenance and service costs</t>
  </si>
  <si>
    <t>6.6 Other health equipment</t>
  </si>
  <si>
    <t>5.11 PPE</t>
  </si>
  <si>
    <t>(blank)</t>
  </si>
  <si>
    <t>Health Product Management Template - Health product management costs and investments</t>
  </si>
  <si>
    <t>Multi</t>
  </si>
  <si>
    <t>Procurement agent and handling fees (7.1)</t>
  </si>
  <si>
    <t>Type of health product</t>
  </si>
  <si>
    <t>Estimated % for PSA fee (7.1)</t>
  </si>
  <si>
    <t>Total grant period</t>
  </si>
  <si>
    <t>Finance</t>
  </si>
  <si>
    <t>Comments</t>
  </si>
  <si>
    <t>Y1 Q1 cost</t>
  </si>
  <si>
    <t>Y1 Q2 cost</t>
  </si>
  <si>
    <t>Y1 Q3 cost</t>
  </si>
  <si>
    <t>Y1 Q4 cost</t>
  </si>
  <si>
    <t>Y2 Q1 cost</t>
  </si>
  <si>
    <t>Y2 Q2 cost</t>
  </si>
  <si>
    <t>Y2 Q3 cost</t>
  </si>
  <si>
    <t>Y2 Q4 cost</t>
  </si>
  <si>
    <t>Y3 Q1 cost</t>
  </si>
  <si>
    <t>Y3 Q2 cost</t>
  </si>
  <si>
    <t>Y3 Q3 cost</t>
  </si>
  <si>
    <t>Y3 Q4 cost</t>
  </si>
  <si>
    <t>Y4 Q1 cost</t>
  </si>
  <si>
    <t>Y4 Q2 cost</t>
  </si>
  <si>
    <t>Y4 Q3 cost</t>
  </si>
  <si>
    <t>Y4 Q4 cost</t>
  </si>
  <si>
    <t xml:space="preserve">Total cost </t>
  </si>
  <si>
    <t>Cost input</t>
  </si>
  <si>
    <t>Column1</t>
  </si>
  <si>
    <t>Sum all antimalarials per quarter in Section 1 of Malaria-Pharmaceuticals. The total US$ value must be multiplied by the % in column E on this page to provide the relevant PSM costs per product category. The % are defaulted by the Secretariat but the PR should be able to adjust it. All other information and automatic calculations should be locked. The "quantity"/estimate column for this worksheet is not required; only US$ values.</t>
  </si>
  <si>
    <t>COVID - PHARMA</t>
  </si>
  <si>
    <t>COVID - NON-PHARMA</t>
  </si>
  <si>
    <t>Freight and insurance costs for health products (7.2)</t>
  </si>
  <si>
    <t>Estimated % for Freight and insurance (7.2)</t>
  </si>
  <si>
    <t>Estimated % for QA/QC (7.5)</t>
  </si>
  <si>
    <t>Estimated % for PSM Customs Clearance (7.6)</t>
  </si>
  <si>
    <t>Cost description (e.g: service provider,…)</t>
  </si>
  <si>
    <t>Estimated % for warehousing (7.3)</t>
  </si>
  <si>
    <t>In-country distribution costs (7.4)</t>
  </si>
  <si>
    <t>Estimated % for distribution (7.4)</t>
  </si>
  <si>
    <t>Estimated % for other costs (7.7)</t>
  </si>
  <si>
    <t>Unit of measure</t>
  </si>
  <si>
    <t>Y1 Unit cost</t>
  </si>
  <si>
    <t>Y1 Q1 quantity</t>
  </si>
  <si>
    <t>Y1 Q2 quantity</t>
  </si>
  <si>
    <t>Y1 Q3 quantity</t>
  </si>
  <si>
    <t>Y1 Q4 quantity</t>
  </si>
  <si>
    <t>Y1 Total quantity</t>
  </si>
  <si>
    <t>Y2 Unit cost</t>
  </si>
  <si>
    <t>Y2 Q1 quantity</t>
  </si>
  <si>
    <t>Y2 Q2 quantity</t>
  </si>
  <si>
    <t>Y2 Q3 quantity</t>
  </si>
  <si>
    <t>Y2 Q4 quantity</t>
  </si>
  <si>
    <t>Y2 Total quantity</t>
  </si>
  <si>
    <t>Y3 Unit cost</t>
  </si>
  <si>
    <t>Y3 Q1 quantity</t>
  </si>
  <si>
    <t>Y3 Q2 quantity</t>
  </si>
  <si>
    <t>Y3 Q3 quantity</t>
  </si>
  <si>
    <t>Y3 Q4 quantity</t>
  </si>
  <si>
    <t>Y3 Total quantity</t>
  </si>
  <si>
    <t>Total quantity</t>
  </si>
  <si>
    <t>Section</t>
  </si>
  <si>
    <t>Setup Heading</t>
  </si>
  <si>
    <t>Setup</t>
  </si>
  <si>
    <t>-</t>
  </si>
  <si>
    <t>Health Product Management Template - Set up</t>
  </si>
  <si>
    <t>Health Product Management Template - Malaria - Set up</t>
  </si>
  <si>
    <t xml:space="preserve">Plantilla para la gestión de productos sanitarios: Malaria - Configuración </t>
  </si>
  <si>
    <t xml:space="preserve">Document type de gestion des produits de santé - Paludisme Paramètres </t>
  </si>
  <si>
    <t>Health Product Management Template - HIV - Set up</t>
  </si>
  <si>
    <t xml:space="preserve">Plantilla para la gestión de productos sanitarios: HIV - Configuración </t>
  </si>
  <si>
    <t xml:space="preserve">Document type de gestion des produits de santé - VIH Paramètres </t>
  </si>
  <si>
    <t>Health Product Management Template - TB - Set up</t>
  </si>
  <si>
    <t xml:space="preserve">Plantilla para la gestión de productos sanitarios: TB - Configuración </t>
  </si>
  <si>
    <t xml:space="preserve">Document type de gestion des produits de santé - TB Paramètres </t>
  </si>
  <si>
    <t>Health Product Management Template - C19RM - Set up</t>
  </si>
  <si>
    <t xml:space="preserve">Plantilla para la gestión de productos sanitarios: C19RM - Configuración </t>
  </si>
  <si>
    <t xml:space="preserve">Document type de gestion des produits de santé - C19RM Paramètres </t>
  </si>
  <si>
    <t>Health Product Management Template - C19RM 2021-Pharma</t>
  </si>
  <si>
    <t>Plantilla para la gestión de productos sanitarios: C19RM 2021-Pharma</t>
  </si>
  <si>
    <t>Document type de gestion des produits de santé - C19RM 2021-Pharma</t>
  </si>
  <si>
    <t>Health Product Management Template - C19RM 2021-Other Health Products</t>
  </si>
  <si>
    <t>Plantilla para la gestión de productos sanitarios: C19RM 2021-Other Health Products</t>
  </si>
  <si>
    <t>Document type de gestion des produits de santé - Other Health Products</t>
  </si>
  <si>
    <t>PAÍS:</t>
  </si>
  <si>
    <t>PAYS :</t>
  </si>
  <si>
    <t>LANGUAGE:</t>
  </si>
  <si>
    <t>IDIOMA:</t>
  </si>
  <si>
    <t>LANGUE :</t>
  </si>
  <si>
    <t>CURRENCY:</t>
  </si>
  <si>
    <t xml:space="preserve">CURRENCY: </t>
  </si>
  <si>
    <t xml:space="preserve">MONEDA: </t>
  </si>
  <si>
    <t xml:space="preserve">DEVISE : </t>
  </si>
  <si>
    <t>COMPONENTE:</t>
  </si>
  <si>
    <t>COMPOSANTE :</t>
  </si>
  <si>
    <t>Please Fill PR Name in Box below, if NA in List</t>
  </si>
  <si>
    <t>Escribir el nombre del RP en el cuadro de abajo, si no se incluye en la lista</t>
  </si>
  <si>
    <t>Veuillez saisir le nom du RP dans l’encadré ci-dessous, s’il n’est pas disponible dans la liste</t>
  </si>
  <si>
    <t>PR:</t>
  </si>
  <si>
    <t xml:space="preserve">RP: </t>
  </si>
  <si>
    <t xml:space="preserve">RP : </t>
  </si>
  <si>
    <t>PR CONTACT:</t>
  </si>
  <si>
    <t>CONTACTO DEL RP:</t>
  </si>
  <si>
    <t>CONTACT DU RP :</t>
  </si>
  <si>
    <t>Full name:</t>
  </si>
  <si>
    <t xml:space="preserve">Full name: </t>
  </si>
  <si>
    <t xml:space="preserve">Nombre completo: </t>
  </si>
  <si>
    <t xml:space="preserve">Nom et prénom : </t>
  </si>
  <si>
    <t>Position:</t>
  </si>
  <si>
    <t xml:space="preserve">Position: </t>
  </si>
  <si>
    <t xml:space="preserve">Cargo: </t>
  </si>
  <si>
    <t xml:space="preserve">Fonction : </t>
  </si>
  <si>
    <t>Email:</t>
  </si>
  <si>
    <t xml:space="preserve">Email: </t>
  </si>
  <si>
    <t xml:space="preserve">Correo electrónico: </t>
  </si>
  <si>
    <t xml:space="preserve">E-mail : </t>
  </si>
  <si>
    <t>Please Fill Grant Number in box below, if NA in List</t>
  </si>
  <si>
    <t>Escribir el número de la subvención en el cuadro de abajo, si no se incluye en la lista</t>
  </si>
  <si>
    <t>Veuillez saisir le numéro de la subvention dans l’encadré ci-dessous, s’il n’est pas disponible dans la liste</t>
  </si>
  <si>
    <t>VERSION of HPM template</t>
  </si>
  <si>
    <t>VERSIÓN de la plantilla GPS</t>
  </si>
  <si>
    <t>VERSION du DGPS</t>
  </si>
  <si>
    <t>LAST UPDATE (MM/DD/YYYY)</t>
  </si>
  <si>
    <t>Please indicate PR Version in table below</t>
  </si>
  <si>
    <t>Indique la versión de RP en la tabla siguiente</t>
  </si>
  <si>
    <t>Veuillez saisir la version RP dans le tableau ci-dessous</t>
  </si>
  <si>
    <t>Version</t>
  </si>
  <si>
    <t>Versión</t>
  </si>
  <si>
    <t>HPM Approval Date- Filled by HPM</t>
  </si>
  <si>
    <t xml:space="preserve">Fecha de aprobación de GPS: introducida por el especialista de productos de salud del FM: </t>
  </si>
  <si>
    <t>Date d’approbation de DGPS - Remplie par le HPM Specialist</t>
  </si>
  <si>
    <t>NÚMERO DE LA SUBVENCIÓN:</t>
  </si>
  <si>
    <t>NUMÉRO DE LA SUBVENTION :</t>
  </si>
  <si>
    <t>Implementation Period Start Date (MM/DD/YYYY):</t>
  </si>
  <si>
    <t>Implementation Period End Date (MM/DD/YYYY):</t>
  </si>
  <si>
    <t>PROCUREMENT ENTITY:</t>
  </si>
  <si>
    <t>HPMT Worksheet</t>
  </si>
  <si>
    <t>Categorías de costos de la plantilla GPS</t>
  </si>
  <si>
    <t>Catégories de coûts de l’outil de gestion des produits de santé</t>
  </si>
  <si>
    <t>Categoría HPM</t>
  </si>
  <si>
    <t>Catégorie HPM</t>
  </si>
  <si>
    <t>HPM Costs</t>
  </si>
  <si>
    <t>Canal de Compras</t>
  </si>
  <si>
    <t>Canal d'approvisionnement</t>
  </si>
  <si>
    <t>Delivery Lead Time (in quarters) (Min=1 &amp; Max=4)</t>
  </si>
  <si>
    <t>Plazo de entrega (en trimestres) (Mín. = 1 y Máx. = 4)</t>
  </si>
  <si>
    <t>Délai de livraison (en trimestres) (Min=1 &amp; Max=4)</t>
  </si>
  <si>
    <t>Modalidad de costo de HPM en el país</t>
  </si>
  <si>
    <t>Modalité de coût HPM dans le pays</t>
  </si>
  <si>
    <t>HIV-Key Info</t>
  </si>
  <si>
    <t>Header</t>
  </si>
  <si>
    <t>Unidad de medida</t>
  </si>
  <si>
    <t>Unité de mesure</t>
  </si>
  <si>
    <t>Y4 Unit cost</t>
  </si>
  <si>
    <t>Y4 Q1 quantity</t>
  </si>
  <si>
    <t>Y4 Q2 quantity</t>
  </si>
  <si>
    <t>Y4 Q3 quantity</t>
  </si>
  <si>
    <t>Y4 Q4 quantity</t>
  </si>
  <si>
    <t>Y4 Total quantity</t>
  </si>
  <si>
    <t>Total del período de subvención</t>
  </si>
  <si>
    <t>Cantidad total</t>
  </si>
  <si>
    <t>Quantité totale</t>
  </si>
  <si>
    <t xml:space="preserve">Costo total </t>
  </si>
  <si>
    <t xml:space="preserve">Coût total </t>
  </si>
  <si>
    <t>Finanzas</t>
  </si>
  <si>
    <t>Entrée de coûts</t>
  </si>
  <si>
    <t>Comentarios</t>
  </si>
  <si>
    <t>Plazo de entrega</t>
  </si>
  <si>
    <t>Délai de livraison</t>
  </si>
  <si>
    <t>TB-Key Info</t>
  </si>
  <si>
    <t>Health Product Management Template - TB - List of pharmaceuticals</t>
  </si>
  <si>
    <t>Health Product Management Template - TB - Non Pharma</t>
  </si>
  <si>
    <t>Malaria-Key Info</t>
  </si>
  <si>
    <t>Health Product Management Template - Malaria - List of pharmaceuticals</t>
  </si>
  <si>
    <t>Health Product Management Template - Malaria - Non Pharma</t>
  </si>
  <si>
    <t>Tipo de producto sanitario</t>
  </si>
  <si>
    <t>Coût total Année 1</t>
  </si>
  <si>
    <t>Coût total Année 2</t>
  </si>
  <si>
    <t>Coût total Année 3</t>
  </si>
  <si>
    <t>Total cost</t>
  </si>
  <si>
    <t>All</t>
  </si>
  <si>
    <t>please fill setup</t>
  </si>
  <si>
    <t>Afghanistan</t>
  </si>
  <si>
    <t>EUR</t>
  </si>
  <si>
    <t>Albania</t>
  </si>
  <si>
    <t>Russian</t>
  </si>
  <si>
    <t>Algeria</t>
  </si>
  <si>
    <t>Angola</t>
  </si>
  <si>
    <t>Argentina</t>
  </si>
  <si>
    <t>Armenia</t>
  </si>
  <si>
    <t>Bangladesh</t>
  </si>
  <si>
    <t>Belarus</t>
  </si>
  <si>
    <t>Belize</t>
  </si>
  <si>
    <t>Benin</t>
  </si>
  <si>
    <t>Bhutan</t>
  </si>
  <si>
    <t>Bolivia (Plurinational State)</t>
  </si>
  <si>
    <t>Bosnia and Herzegovina</t>
  </si>
  <si>
    <t>Botswana</t>
  </si>
  <si>
    <t>Brazil</t>
  </si>
  <si>
    <t>Bulgaria</t>
  </si>
  <si>
    <t>Burkina Faso</t>
  </si>
  <si>
    <t>Burundi</t>
  </si>
  <si>
    <t>Cambodia</t>
  </si>
  <si>
    <t>Cameroon</t>
  </si>
  <si>
    <t>Central African Republic</t>
  </si>
  <si>
    <t>Chad</t>
  </si>
  <si>
    <t>Chile</t>
  </si>
  <si>
    <t>China</t>
  </si>
  <si>
    <t>Colombia</t>
  </si>
  <si>
    <t>Comoros</t>
  </si>
  <si>
    <t>Congo</t>
  </si>
  <si>
    <t>Congo (Democratic Republic)</t>
  </si>
  <si>
    <t>Costa Rica</t>
  </si>
  <si>
    <t>Côte d'Ivoire</t>
  </si>
  <si>
    <t>Croatia</t>
  </si>
  <si>
    <t>Cuba</t>
  </si>
  <si>
    <t>Djibouti</t>
  </si>
  <si>
    <t>Dominican Republic</t>
  </si>
  <si>
    <t>Ecuador</t>
  </si>
  <si>
    <t>Egypt</t>
  </si>
  <si>
    <t>El Salvador</t>
  </si>
  <si>
    <t>Equatorial Guinea</t>
  </si>
  <si>
    <t>Eritrea</t>
  </si>
  <si>
    <t>Estonia</t>
  </si>
  <si>
    <t>Ethiopia</t>
  </si>
  <si>
    <t>Fiji</t>
  </si>
  <si>
    <t>Gabon</t>
  </si>
  <si>
    <t>Gambia</t>
  </si>
  <si>
    <t>Georgia</t>
  </si>
  <si>
    <t>Ghana</t>
  </si>
  <si>
    <t>Guatemala</t>
  </si>
  <si>
    <t>Guinea</t>
  </si>
  <si>
    <t>Guinea-Bissau</t>
  </si>
  <si>
    <t>Guyana</t>
  </si>
  <si>
    <t>Haiti</t>
  </si>
  <si>
    <t>Honduras</t>
  </si>
  <si>
    <t>India</t>
  </si>
  <si>
    <t>Indonesia</t>
  </si>
  <si>
    <t>Iran (Islamic Republic)</t>
  </si>
  <si>
    <t>Iraq</t>
  </si>
  <si>
    <t>Jamaica</t>
  </si>
  <si>
    <t>Jordan</t>
  </si>
  <si>
    <t>Kazakhstan</t>
  </si>
  <si>
    <t>Kenya</t>
  </si>
  <si>
    <t>Korea (Democratic Peoples Republic)</t>
  </si>
  <si>
    <t>Kosovo</t>
  </si>
  <si>
    <t>Kyrgyzstan</t>
  </si>
  <si>
    <t>Lao (Peoples Democratic Republic)</t>
  </si>
  <si>
    <t>Lesotho</t>
  </si>
  <si>
    <t>Liberia</t>
  </si>
  <si>
    <t>Madagascar</t>
  </si>
  <si>
    <t>Malawi</t>
  </si>
  <si>
    <t>Malaysia</t>
  </si>
  <si>
    <t>Maldives</t>
  </si>
  <si>
    <t>Mali</t>
  </si>
  <si>
    <t>Mauritania</t>
  </si>
  <si>
    <t>Mauritius</t>
  </si>
  <si>
    <t>Mexico</t>
  </si>
  <si>
    <t>Moldova</t>
  </si>
  <si>
    <t>Mongolia</t>
  </si>
  <si>
    <t>Montenegro</t>
  </si>
  <si>
    <t>Morocco</t>
  </si>
  <si>
    <t>Mozambique</t>
  </si>
  <si>
    <t>Myanmar</t>
  </si>
  <si>
    <t>Namibia</t>
  </si>
  <si>
    <t>Nepal</t>
  </si>
  <si>
    <t>Nicaragua</t>
  </si>
  <si>
    <t>Niger</t>
  </si>
  <si>
    <t>Nigeria</t>
  </si>
  <si>
    <t>Pakistan</t>
  </si>
  <si>
    <t>Palestine</t>
  </si>
  <si>
    <t>Panama</t>
  </si>
  <si>
    <t>Papua New Guinea</t>
  </si>
  <si>
    <t>Paraguay</t>
  </si>
  <si>
    <t>Peru</t>
  </si>
  <si>
    <t>Philippines</t>
  </si>
  <si>
    <t>Romania</t>
  </si>
  <si>
    <t>Russian Federation</t>
  </si>
  <si>
    <t>Rwanda</t>
  </si>
  <si>
    <t>Sao Tome and Principe</t>
  </si>
  <si>
    <t>Senegal</t>
  </si>
  <si>
    <t>Serbia</t>
  </si>
  <si>
    <t>Sierra Leone</t>
  </si>
  <si>
    <t>Solomon Islands</t>
  </si>
  <si>
    <t>Somalia</t>
  </si>
  <si>
    <t>South Africa</t>
  </si>
  <si>
    <t>South Sudan</t>
  </si>
  <si>
    <t>Sri Lanka</t>
  </si>
  <si>
    <t>Sudan</t>
  </si>
  <si>
    <t>Suriname</t>
  </si>
  <si>
    <t>Switzerland</t>
  </si>
  <si>
    <t>Syrian Arab Republic</t>
  </si>
  <si>
    <t>Tajikistan</t>
  </si>
  <si>
    <t>Tanzania (United Republic)</t>
  </si>
  <si>
    <t>Thailand</t>
  </si>
  <si>
    <t>Timor-Leste</t>
  </si>
  <si>
    <t>Togo</t>
  </si>
  <si>
    <t>Tunisia</t>
  </si>
  <si>
    <t>Turkey</t>
  </si>
  <si>
    <t>Turkmenistan</t>
  </si>
  <si>
    <t>Uganda</t>
  </si>
  <si>
    <t>Ukraine</t>
  </si>
  <si>
    <t>Uruguay</t>
  </si>
  <si>
    <t>Uzbekistan</t>
  </si>
  <si>
    <t>Viet Nam</t>
  </si>
  <si>
    <t>Yemen</t>
  </si>
  <si>
    <t>Zambia</t>
  </si>
  <si>
    <t>Zanzibar</t>
  </si>
  <si>
    <t>Zimbabwe</t>
  </si>
  <si>
    <t>VERSION:</t>
  </si>
  <si>
    <t>Type of health product:</t>
  </si>
  <si>
    <t xml:space="preserve">VL/EID brand </t>
  </si>
  <si>
    <t>VL/EID systems</t>
  </si>
  <si>
    <t>Sample Type VL/EID</t>
  </si>
  <si>
    <t xml:space="preserve">TB techologies/equipments </t>
  </si>
  <si>
    <t>Yes/No</t>
  </si>
  <si>
    <t>Lump sum pharma</t>
  </si>
  <si>
    <t>UnitMeasure</t>
  </si>
  <si>
    <t>UnitMeasure2</t>
  </si>
  <si>
    <t>UnitMeasure3</t>
  </si>
  <si>
    <t>Antiretroviral medicines</t>
  </si>
  <si>
    <t>HIV or HIV/TB</t>
  </si>
  <si>
    <t xml:space="preserve">Abbott </t>
  </si>
  <si>
    <t>Abbott m2000rt</t>
  </si>
  <si>
    <t>DBS</t>
  </si>
  <si>
    <t>Opportunistic infections and STI medicines (lumpsum budget)</t>
  </si>
  <si>
    <t>Bundle</t>
  </si>
  <si>
    <t>Unit</t>
  </si>
  <si>
    <t>Anti-tuberculosis medicines</t>
  </si>
  <si>
    <t>TB or HIV/TB</t>
  </si>
  <si>
    <t>bioMerieux</t>
  </si>
  <si>
    <t>Abbott m2000sp</t>
  </si>
  <si>
    <t>Plasma</t>
  </si>
  <si>
    <t>Other medicines (lumpsum budget)</t>
  </si>
  <si>
    <t>HIV/TB</t>
  </si>
  <si>
    <t>Cepheid</t>
  </si>
  <si>
    <t>Abbott m24sp</t>
  </si>
  <si>
    <t>Whole blood</t>
  </si>
  <si>
    <t>Kit</t>
  </si>
  <si>
    <t>Opioid substitutes medicines</t>
  </si>
  <si>
    <t>DRW</t>
  </si>
  <si>
    <t xml:space="preserve">NucliSENS® easyMAG® </t>
  </si>
  <si>
    <t>Opportunistic infections and STI medicines</t>
  </si>
  <si>
    <t>Hologic</t>
  </si>
  <si>
    <t>NucliSENS® EasyQ®</t>
  </si>
  <si>
    <t>HIV or TB or Malaria or HIV/TB</t>
  </si>
  <si>
    <t>Qiagen</t>
  </si>
  <si>
    <t xml:space="preserve">NucliSENS® miniMAG® </t>
  </si>
  <si>
    <t>LLINs</t>
  </si>
  <si>
    <t xml:space="preserve">Roche </t>
  </si>
  <si>
    <t xml:space="preserve">Xpert </t>
  </si>
  <si>
    <t>Condoms and lubricants</t>
  </si>
  <si>
    <t>Samba I system</t>
  </si>
  <si>
    <t>HIV Rapid Diagnostic Test</t>
  </si>
  <si>
    <t>Samba II system</t>
  </si>
  <si>
    <t>Malaria Rapid Diagnostic Test</t>
  </si>
  <si>
    <t>Aptima® HIV-1 Quant Dx Assay on the Panther® System</t>
  </si>
  <si>
    <t>Insecticides</t>
  </si>
  <si>
    <t>artus™</t>
  </si>
  <si>
    <t xml:space="preserve">CD4 reagents </t>
  </si>
  <si>
    <t>Cobas® 4800 System</t>
  </si>
  <si>
    <t>HIV Viral load and EID reagents</t>
  </si>
  <si>
    <t>Cobas® 6800/8800 System</t>
  </si>
  <si>
    <t xml:space="preserve">TB culture and DST reagents </t>
  </si>
  <si>
    <t>Cobas® AmpliPrep Instrument</t>
  </si>
  <si>
    <t>TYPE OF PAYMENT</t>
  </si>
  <si>
    <t>GeneXpert cartridges</t>
  </si>
  <si>
    <t>Cobas® Liat® System</t>
  </si>
  <si>
    <t>Cobas® TaqMan® 48 Analyzer</t>
  </si>
  <si>
    <t>Cobas® TaqMan® 96 Analyzer</t>
  </si>
  <si>
    <t>CD4 analyser/accessories</t>
  </si>
  <si>
    <t>HIV Viral Load analyser/accessories</t>
  </si>
  <si>
    <t>Microscopes</t>
  </si>
  <si>
    <t>TB or Malaria or HIV/TB</t>
  </si>
  <si>
    <t>Cape Verde</t>
  </si>
  <si>
    <t>GeneXpert machines</t>
  </si>
  <si>
    <t>HPM Cost Modality</t>
  </si>
  <si>
    <t>Other TB Test equipment</t>
  </si>
  <si>
    <t>Fixed Cost</t>
  </si>
  <si>
    <t>Mixed</t>
  </si>
  <si>
    <t>Lutheran World Federation</t>
  </si>
  <si>
    <t>Macedonia (Former Yugoslav Republic)</t>
  </si>
  <si>
    <t>Multicountry Africa (HIVOS)</t>
  </si>
  <si>
    <t>Multicountry Africa (ARASA-ENDA)</t>
  </si>
  <si>
    <t>Multicountry Africa (KANCO)</t>
  </si>
  <si>
    <t>Multicountry Africa (African Network for the Care of Children Affected by HIV/AIDS (ANECCA))</t>
  </si>
  <si>
    <t>Multicountry Africa (Abidjan-Lagos Corridor Organization  (OCAL))</t>
  </si>
  <si>
    <t>Multicountry Africa (Intergovernmental Authority on Development (IGAD))</t>
  </si>
  <si>
    <t>Multicountry Africa (E8 Secretariat - SADC)</t>
  </si>
  <si>
    <t>Multicountry Africa ( SARCM)</t>
  </si>
  <si>
    <t>Multicountry Africa (East, Central and Southern Africa Health Community (ECSA-HC))</t>
  </si>
  <si>
    <t>Multicountry East Asia and Pacific (Asia Pacific Network of People Living with HIV (APN+))</t>
  </si>
  <si>
    <t>Multicountry Eastern Europe - Central Asia (The East Europe &amp; Central Asia Union of PLHIV (ECUO))</t>
  </si>
  <si>
    <t>Multicountry Eastern Europe - Central Asia (PAS - The Center for Health Policies and Studies )</t>
  </si>
  <si>
    <t>Multicountry Americas (PANCAP)</t>
  </si>
  <si>
    <t>Multicountry Americas (Comunidad Internacional de Mujeres Viviendo con VIH sida (ICW))</t>
  </si>
  <si>
    <t>Multicountry Americas (REDLACTRANS)</t>
  </si>
  <si>
    <t>Multicountry Middle East - North Africa  (Regional/Arab Network against AIDS (Ranaa))</t>
  </si>
  <si>
    <t>Multicountry Africa (RMCC)</t>
  </si>
  <si>
    <t>Multicountry Africa (SADC)</t>
  </si>
  <si>
    <t>Multicountry Africa (West Africa Corridor Program)</t>
  </si>
  <si>
    <t>Multicountry Americas (Andean)</t>
  </si>
  <si>
    <t>Multicountry Americas (CARICOM / PANCAP)</t>
  </si>
  <si>
    <t>Multicountry Americas (COPRECOS)</t>
  </si>
  <si>
    <t>Multicountry Americas (CRN+)</t>
  </si>
  <si>
    <t>Multicountry Americas (Meso)</t>
  </si>
  <si>
    <t>Multicountry Americas (OECS)</t>
  </si>
  <si>
    <t>Multicountry Americas (REDCA+)</t>
  </si>
  <si>
    <t>Multicountry Americas (REDTRASEX)</t>
  </si>
  <si>
    <t>Multicountry East Asia and Pacific (APN+)</t>
  </si>
  <si>
    <t>Multicountry East Asia and Pacific (ISEAN-HIVOS)</t>
  </si>
  <si>
    <t>&gt;110</t>
  </si>
  <si>
    <t>Multicountry East Asia and Pacific (RAI)</t>
  </si>
  <si>
    <t>Multicountry Eastern Europe - Central Asia (EHRN)</t>
  </si>
  <si>
    <t>Multicountry Middle East - North Africa (MENAHRA)</t>
  </si>
  <si>
    <t>Multicountry South Asia</t>
  </si>
  <si>
    <t>Multicountry Western Pacific</t>
  </si>
  <si>
    <t>Swaziland</t>
  </si>
  <si>
    <t>(INN+ Strength)</t>
  </si>
  <si>
    <t xml:space="preserve"> PR</t>
  </si>
  <si>
    <t xml:space="preserve"> Component</t>
  </si>
  <si>
    <t xml:space="preserve"> IP Start Date</t>
  </si>
  <si>
    <t xml:space="preserve">IP End Date </t>
  </si>
  <si>
    <t>PPE - items</t>
  </si>
  <si>
    <t>Other - laboratory equipment</t>
  </si>
  <si>
    <t>Other - health equipment</t>
  </si>
  <si>
    <t>Molecular testing, Surcharge</t>
  </si>
  <si>
    <t>Molecular Testing, Maintenance &amp; Services</t>
  </si>
  <si>
    <t>Optional</t>
  </si>
  <si>
    <t>INSTRUCTIONS</t>
  </si>
  <si>
    <t>Module</t>
  </si>
  <si>
    <t>Intervention</t>
  </si>
  <si>
    <t>Cost Input</t>
  </si>
  <si>
    <t>Prevention package for men who have sex with men (MSM) and their sexual partners</t>
  </si>
  <si>
    <t>Condom and lubricant programing for MSM</t>
  </si>
  <si>
    <t>7.1 Procurement agent and handling fees</t>
  </si>
  <si>
    <t>7.3 Warehouse and Storage Costs</t>
  </si>
  <si>
    <t>7.4 in-country distribution costs</t>
  </si>
  <si>
    <t>7.6 PSM Customs Clearance</t>
  </si>
  <si>
    <t>Pre-exposure prophylaxis (PrEP) programing for MSM</t>
  </si>
  <si>
    <t>Sexual and reproductive health services, including STIs, hepatitis, post-violence care for MSM</t>
  </si>
  <si>
    <t>Prevention package for sex workers, their clients and other sexual partners</t>
  </si>
  <si>
    <t>Condom and lubricant programing for sex workers</t>
  </si>
  <si>
    <t>Pre-exposure prophylaxis (PrEP) programing for sex workers</t>
  </si>
  <si>
    <t>Sexual and reproductive health services, including STIs, hepatitis, post-violence care for sex workers</t>
  </si>
  <si>
    <t>Condom and lubricant programing for PUD</t>
  </si>
  <si>
    <t>Pre-exposure prophylaxis (PrEP) programing for PUD</t>
  </si>
  <si>
    <t>Needle and syringe programs for PWID</t>
  </si>
  <si>
    <t>Opioid substitution therapy and other medically assisted drug dependence treatment for PWID</t>
  </si>
  <si>
    <t>Prevention package for people in prisons and other closed settings</t>
  </si>
  <si>
    <t>Condom and lubricant programing for prisoners</t>
  </si>
  <si>
    <t>Pre-exposure prophylaxis (PrEP) programing for prisoners</t>
  </si>
  <si>
    <t>Sexual and reproductive health services, including STIs, hepatitis, post-violence care for prisoners</t>
  </si>
  <si>
    <t>Prevention package for other vulnerable populations (OVP)</t>
  </si>
  <si>
    <t>Condom and lubricant programing for OVP</t>
  </si>
  <si>
    <t>Pre-exposure prophylaxis (PrEP) programing for OVP</t>
  </si>
  <si>
    <t>Sexual and reproductive health services, including STIs, hepatitis, post-violence care for OVP</t>
  </si>
  <si>
    <t>Condom and lubricant programing for male sexual partners of AGYW in high HIV incidence settings</t>
  </si>
  <si>
    <t>Pre-exposure prophylaxis (PrEP) programing for AGYW in high HIV incidence settings</t>
  </si>
  <si>
    <t>Pre-exposure prophylaxis (PrEP) programing for male sexual partners of AGYW in high HIV incidence settings</t>
  </si>
  <si>
    <t>Sexual and reproductive health services, including STIs, hepatitis, post-violence care for AGYW and male sexual partners in high HIV incidence settings</t>
  </si>
  <si>
    <t>Elimination of vertical transmission of HIV, syphilis and hepatitis B</t>
  </si>
  <si>
    <t>Integrated testing of pregnant women for HIV, syphilis and hepatitis B</t>
  </si>
  <si>
    <t>Post-natal infant prophylaxis</t>
  </si>
  <si>
    <t>Early infant diagnosis and follow-up HIV testing for exposed infants</t>
  </si>
  <si>
    <t>Differentiated HIV Testing Services</t>
  </si>
  <si>
    <t>Community-based testing for KP programs</t>
  </si>
  <si>
    <t>Self-testing for KP programs</t>
  </si>
  <si>
    <t>Community-based testing outside of KP and AGYW programs</t>
  </si>
  <si>
    <t>Self-testing outside of KP and AGYW programs</t>
  </si>
  <si>
    <t>Treatment, care and support</t>
  </si>
  <si>
    <t>Treatment monitoring - Drug resistance</t>
  </si>
  <si>
    <t>Integrated management of common co-infections and co-morbidities (adults and children)</t>
  </si>
  <si>
    <t>Diagnosis and management of advanced disease (adults and children)</t>
  </si>
  <si>
    <t>TB/HIV</t>
  </si>
  <si>
    <t>TB/HIV - Prevention</t>
  </si>
  <si>
    <t>Payment Modality</t>
  </si>
  <si>
    <t>Y5</t>
  </si>
  <si>
    <t>EUR Conversion rate</t>
  </si>
  <si>
    <t>USD to EUR Conversion</t>
  </si>
  <si>
    <t>Only For internal calculation purpose, don't refer this sheet</t>
  </si>
  <si>
    <t>Grant Period</t>
  </si>
  <si>
    <t>End Date</t>
  </si>
  <si>
    <t xml:space="preserve">Q1 </t>
  </si>
  <si>
    <t>Q2</t>
  </si>
  <si>
    <t>Q3</t>
  </si>
  <si>
    <t>Q4</t>
  </si>
  <si>
    <t>Q5</t>
  </si>
  <si>
    <t>Q6</t>
  </si>
  <si>
    <t>Q7</t>
  </si>
  <si>
    <t>Q8</t>
  </si>
  <si>
    <t>Q9</t>
  </si>
  <si>
    <t>Q10</t>
  </si>
  <si>
    <t>Q11</t>
  </si>
  <si>
    <t>Q12</t>
  </si>
  <si>
    <t>Q13</t>
  </si>
  <si>
    <t>Q14</t>
  </si>
  <si>
    <t>Q15</t>
  </si>
  <si>
    <t>Q16</t>
  </si>
  <si>
    <t>Q17</t>
  </si>
  <si>
    <t>Q18</t>
  </si>
  <si>
    <t>Q19</t>
  </si>
  <si>
    <t>Q20</t>
  </si>
  <si>
    <t>(Detailed Budget)</t>
  </si>
  <si>
    <r>
      <t>UNICEF (</t>
    </r>
    <r>
      <rPr>
        <sz val="11"/>
        <color rgb="FF242424"/>
        <rFont val="Segoe UI"/>
        <family val="2"/>
      </rPr>
      <t>non-PPM)</t>
    </r>
  </si>
  <si>
    <t>UNICEF</t>
  </si>
  <si>
    <t>Wambo</t>
  </si>
  <si>
    <t>IDA</t>
  </si>
  <si>
    <t>UNOPS</t>
  </si>
  <si>
    <t>PFSCM</t>
  </si>
  <si>
    <t>iPlus Solutions (i+)</t>
  </si>
  <si>
    <t>1.7.1</t>
  </si>
  <si>
    <t>1.7.2</t>
  </si>
  <si>
    <t>2.7.4</t>
  </si>
  <si>
    <t>Description of Activities</t>
  </si>
  <si>
    <t>Geography</t>
  </si>
  <si>
    <t>Source of Funds</t>
  </si>
  <si>
    <t>Y1 Total Cash Outflow</t>
  </si>
  <si>
    <t>Y2 Total Cash Outflow</t>
  </si>
  <si>
    <t>Y3 Total Cash Outflow</t>
  </si>
  <si>
    <t>Y4 Total Cash Outflow</t>
  </si>
  <si>
    <t>Y1-4 Total Cash Outflow</t>
  </si>
  <si>
    <t>Implementer</t>
  </si>
  <si>
    <t>Approved funding</t>
  </si>
  <si>
    <t>Subtotals</t>
  </si>
  <si>
    <t>Error Messages (if relevant)</t>
  </si>
  <si>
    <t>Budget Line No.</t>
  </si>
  <si>
    <t>Status</t>
  </si>
  <si>
    <t>HPMT Category</t>
  </si>
  <si>
    <t>Y1 Cost</t>
  </si>
  <si>
    <t>Y2 Cost</t>
  </si>
  <si>
    <t>Y3 Cost</t>
  </si>
  <si>
    <t>Y4 Cost</t>
  </si>
  <si>
    <t>Define Implementor</t>
  </si>
  <si>
    <t>Name of Implementor</t>
  </si>
  <si>
    <t>Acronym</t>
  </si>
  <si>
    <t>Type(MM)</t>
  </si>
  <si>
    <t>PSM Focal Point</t>
  </si>
  <si>
    <t>PSM Tele</t>
  </si>
  <si>
    <t>PSM Email</t>
  </si>
  <si>
    <t>Implementor Cost</t>
  </si>
  <si>
    <t>Implementer Acronym</t>
  </si>
  <si>
    <t>Y1 Total</t>
  </si>
  <si>
    <t>Y2 Total</t>
  </si>
  <si>
    <t>Y3 Total</t>
  </si>
  <si>
    <t>Y4 Total</t>
  </si>
  <si>
    <t>6.5 Maintenance and service costs for health equipment</t>
  </si>
  <si>
    <t>Prevention package for people who use drugs (PUD) and their sexual partners</t>
  </si>
  <si>
    <t>Sexual and reproductive health services, including STIs, hepatitis, post-violence care for PUD</t>
  </si>
  <si>
    <t>Condom and lubricant programing for AGYW in high HIV incidence settings</t>
  </si>
  <si>
    <t>Prevention of incident HIV among pregnant and breastfeeding women</t>
  </si>
  <si>
    <t>TB/HIV - Screening, testing and diagnosis</t>
  </si>
  <si>
    <t>Logic</t>
  </si>
  <si>
    <t>GRANT CURRENCY:</t>
  </si>
  <si>
    <t>Plantilla de gestión de productos sanitarios - Múltiple - Configurar</t>
  </si>
  <si>
    <t>Modèle de gestion des produits de santé - Multi - Configuration</t>
  </si>
  <si>
    <t>Pre-shipment quality assurance and quality control costs (QA/QC) (7.5)</t>
  </si>
  <si>
    <t>PSM Customs Clearance (7.6)</t>
  </si>
  <si>
    <t>Warehouse and Storage Costs (7.3)</t>
  </si>
  <si>
    <t>In country QA and QC costs (7.5)</t>
  </si>
  <si>
    <t>Other procurement and supply management costs (7.7)</t>
  </si>
  <si>
    <t>1.7.5</t>
  </si>
  <si>
    <t>1.7.6</t>
  </si>
  <si>
    <t>2.7.3</t>
  </si>
  <si>
    <t>2.7.5</t>
  </si>
  <si>
    <t>2.7.7</t>
  </si>
  <si>
    <t>7.5 Quality assurance and quality control costs (QA/QC)</t>
  </si>
  <si>
    <t>7.7 Other PSM costs</t>
  </si>
  <si>
    <t>Vector control</t>
  </si>
  <si>
    <t>Indoor residual spraying (IRS)</t>
  </si>
  <si>
    <t>Specific prevention interventions (SPI)</t>
  </si>
  <si>
    <t>Intermittent preventive treatment (IPT) - In pregnancy</t>
  </si>
  <si>
    <t>Case management</t>
  </si>
  <si>
    <t>Facility-based treatment</t>
  </si>
  <si>
    <t>Private sector case management</t>
  </si>
  <si>
    <t>Intensified activities for elimination</t>
  </si>
  <si>
    <t>Epidemic preparedness</t>
  </si>
  <si>
    <t>Geography ID</t>
  </si>
  <si>
    <t>Currency ID</t>
  </si>
  <si>
    <t>Component ID</t>
  </si>
  <si>
    <t>Organization ID</t>
  </si>
  <si>
    <t>PR Organization</t>
  </si>
  <si>
    <t>GOSGrantID</t>
  </si>
  <si>
    <t>GrantName</t>
  </si>
  <si>
    <t>Data Validation Country</t>
  </si>
  <si>
    <t>0013600000xoEGkAAM</t>
  </si>
  <si>
    <t>Ministry of Public Health of the Islamic Republic of Afghanistan</t>
  </si>
  <si>
    <t>0013600000xoEKGAA2</t>
  </si>
  <si>
    <t>United Nations Development Programme</t>
  </si>
  <si>
    <t>a1E360000012HAZEA2</t>
  </si>
  <si>
    <t>AFG-H-UNDP</t>
  </si>
  <si>
    <t>AFG-T-MOPH</t>
  </si>
  <si>
    <t>a1E360000012HAaEAM</t>
  </si>
  <si>
    <t>AFG-M-UNDP</t>
  </si>
  <si>
    <t>a1E360000012HAcEAM</t>
  </si>
  <si>
    <t>Ministry of Health, Population and Hospital Reform of the People's Democratic Republic of Algeria</t>
  </si>
  <si>
    <t>a1E360000012HAdEAM</t>
  </si>
  <si>
    <t>AFG-T-UNDP</t>
  </si>
  <si>
    <t>0013600000xoEDnAAM</t>
  </si>
  <si>
    <t>a1E36000001jMi3EAE</t>
  </si>
  <si>
    <t>ALB-C-MOH</t>
  </si>
  <si>
    <t>Ministry of Health of the Republic of Angola</t>
  </si>
  <si>
    <t>00136000011OffxAAC</t>
  </si>
  <si>
    <t>a1E36000001jMi5EAE</t>
  </si>
  <si>
    <t>DZA-H-MOH</t>
  </si>
  <si>
    <t>World Vision International</t>
  </si>
  <si>
    <t>0013600000xoEItAAM</t>
  </si>
  <si>
    <t>a1E36000001hEfeEAE</t>
  </si>
  <si>
    <t>AGO-H-UNDP</t>
  </si>
  <si>
    <t>AGO-911-G05-T</t>
  </si>
  <si>
    <t>0013600000xoEFmAAM</t>
  </si>
  <si>
    <t>a1E360000012HdZEAU</t>
  </si>
  <si>
    <t>AGO-M-MOH</t>
  </si>
  <si>
    <t>0013600000xoEKFAA2</t>
  </si>
  <si>
    <t>a1E36000001jMiFEAU</t>
  </si>
  <si>
    <t>AGO-M-WVI</t>
  </si>
  <si>
    <t>Ministry of Health of the Republic of Armenia</t>
  </si>
  <si>
    <t>AGO-T-MOH</t>
  </si>
  <si>
    <t>a1E3p000004rFZuEAM</t>
  </si>
  <si>
    <t>AGO-Z-UNDP</t>
  </si>
  <si>
    <t>a1E360000012HdaEAE</t>
  </si>
  <si>
    <t>a1E36000001jMiGEAU</t>
  </si>
  <si>
    <t>0013600000xoEHJAA2</t>
  </si>
  <si>
    <t>a1E360000012HhzEAE</t>
  </si>
  <si>
    <t>ARM-H-MOH</t>
  </si>
  <si>
    <t>ARM-C-MOH</t>
  </si>
  <si>
    <t>a1E360000064ikPEAQ</t>
  </si>
  <si>
    <t>BRAC</t>
  </si>
  <si>
    <t>Economic Relations Division, Ministry of Finance of the People's Republic of Bangladesh</t>
  </si>
  <si>
    <t>International Centre for Diarrhoeal Disease Research, Bangladesh</t>
  </si>
  <si>
    <t>Save the Children Federation, Inc.</t>
  </si>
  <si>
    <t>0013600000xoEHXAA2</t>
  </si>
  <si>
    <t>a1E3p00000B9bHUEAZ</t>
  </si>
  <si>
    <t>Republican Scientific and Practical Center for Medical Technologies, Informatization, Administration and Management of Health</t>
  </si>
  <si>
    <t>Conseil National de Lutte contre le VIH/SIDA, la Tuberculose, le Paludisme, les Hépatites, les Infections sexuellement transmissibles et les Epidémies</t>
  </si>
  <si>
    <t>0013600000xoEGSAA2</t>
  </si>
  <si>
    <t>a1E360000012HAmEAM</t>
  </si>
  <si>
    <t>BGD-H-NASP</t>
  </si>
  <si>
    <t>Health System Performance Program</t>
  </si>
  <si>
    <t>BGD-M-BRAC</t>
  </si>
  <si>
    <t>0013600000xoEHvAAM</t>
  </si>
  <si>
    <t>a1E360000012HAlEAM</t>
  </si>
  <si>
    <t>BGD-H-ICDDRB</t>
  </si>
  <si>
    <t>Plan International, Inc.</t>
  </si>
  <si>
    <t>BGD-T-BRAC</t>
  </si>
  <si>
    <t>0013600000xoEKAAA2</t>
  </si>
  <si>
    <t>a1E360000012HAnEAM</t>
  </si>
  <si>
    <t>BGD-H-SC</t>
  </si>
  <si>
    <t>0013600000xoEFdAAM</t>
  </si>
  <si>
    <t>a1E360000012HAhEAM</t>
  </si>
  <si>
    <t>Programme National de Lutte contre le Paludisme de la République du Bénin</t>
  </si>
  <si>
    <t>BGD-M-NMCP</t>
  </si>
  <si>
    <t>a1E360000012HAiEAM</t>
  </si>
  <si>
    <t>Programme santé de lutte contre le Sida</t>
  </si>
  <si>
    <t>BGD-T-NTP</t>
  </si>
  <si>
    <t>a1E360000012HAkEAM</t>
  </si>
  <si>
    <t>Ministry of Health of the Royal Government of Bhutan</t>
  </si>
  <si>
    <t>a1E360000012HAjEAM</t>
  </si>
  <si>
    <t>0013600000xoEKjAAM</t>
  </si>
  <si>
    <t>a1E360000064os5EAA</t>
  </si>
  <si>
    <t>BLR-C-RSPCMT</t>
  </si>
  <si>
    <t>a1E360000012HiJEAU</t>
  </si>
  <si>
    <t>BLR-T-RSPCMT</t>
  </si>
  <si>
    <t>African Comprehensive HIV/AIDS Partnerships</t>
  </si>
  <si>
    <t>0013600000xoEJ5AAM</t>
  </si>
  <si>
    <t>a1E360000012HfyEAE</t>
  </si>
  <si>
    <t>BLZ-C-UNDP</t>
  </si>
  <si>
    <t>0013600000xoEHAAA2</t>
  </si>
  <si>
    <t>a1E360000012HepEAE</t>
  </si>
  <si>
    <t>BEN-H-PlanBen</t>
  </si>
  <si>
    <t>BEN-S-CNLS-TP</t>
  </si>
  <si>
    <t>0013600000xoEGoAAM</t>
  </si>
  <si>
    <t>a1E360000012HelEAE</t>
  </si>
  <si>
    <t>BEN-H-PSLS</t>
  </si>
  <si>
    <t>BEN-S-PRPSS</t>
  </si>
  <si>
    <t>0013600000xoEKkAAM</t>
  </si>
  <si>
    <t>a1E360000012HesEAE</t>
  </si>
  <si>
    <t>BEN-M-PNLP</t>
  </si>
  <si>
    <t>0013600001xf7DgAAI</t>
  </si>
  <si>
    <t>a1E1R00000JjSfjUAF</t>
  </si>
  <si>
    <t>BEN-T-PNT</t>
  </si>
  <si>
    <t>0013600000xoEJNAA2</t>
  </si>
  <si>
    <t>a1E360000012HerEAE</t>
  </si>
  <si>
    <t>0013600000xoEF9AAM</t>
  </si>
  <si>
    <t>a1E360000012HeoEAE</t>
  </si>
  <si>
    <t>Ministry of Public Health and Fight against AIDS of the Republic of Burundi</t>
  </si>
  <si>
    <t>0013600000xoEHnAAM</t>
  </si>
  <si>
    <t>a1E360000012HhREAU</t>
  </si>
  <si>
    <t>BTN-H-MOH</t>
  </si>
  <si>
    <t>National Integrated Programme Against Leprosy and Tuberculosis</t>
  </si>
  <si>
    <t>a1E360000012HhSEAU</t>
  </si>
  <si>
    <t>BTN-M-MOH</t>
  </si>
  <si>
    <t>Secrétariat Exécutif Permanent du Conseil National de Lutte contre le SIDA</t>
  </si>
  <si>
    <t>a1E360000012HhTEAU</t>
  </si>
  <si>
    <t>BTN-T-MOH</t>
  </si>
  <si>
    <t>0013600000xoEGvAAM</t>
  </si>
  <si>
    <t>a1E36000001jMj5EAE</t>
  </si>
  <si>
    <t>BOL-H-HIVOS</t>
  </si>
  <si>
    <t>Cabo Verde</t>
  </si>
  <si>
    <t>Coordination Committee of the Fight against AIDS of Cabo Verde</t>
  </si>
  <si>
    <t>0013600000xoEImAAM</t>
  </si>
  <si>
    <t>a1E360000012HgGEAU</t>
  </si>
  <si>
    <t>BOL-M-UNDP</t>
  </si>
  <si>
    <t>Cambodia Ministry of Economy and Finance</t>
  </si>
  <si>
    <t>a1E36000001jMj6EAE</t>
  </si>
  <si>
    <t>BOL-T-UNDP</t>
  </si>
  <si>
    <t>Cameroon National Association for Family Welfare</t>
  </si>
  <si>
    <t>Ministry of Public Health of the Republic of Cameroon</t>
  </si>
  <si>
    <t>0013600000xoEFnAAM</t>
  </si>
  <si>
    <t>a1E360000012HeMEAU</t>
  </si>
  <si>
    <t>BWA-M-BMOH</t>
  </si>
  <si>
    <t>BWA-C-ACHAP</t>
  </si>
  <si>
    <t>0013600000xoEKgAAM</t>
  </si>
  <si>
    <t>a1E360000012HeLEAU</t>
  </si>
  <si>
    <t>La Croix-Rouge française</t>
  </si>
  <si>
    <t>BWA-C-BMoH</t>
  </si>
  <si>
    <t>a1E360000012HeKEAU</t>
  </si>
  <si>
    <t>The Ministry of Public Heath, Population and the Fight Against HIV/AIDS of the Central African Republic</t>
  </si>
  <si>
    <t>0013600000xoEGhAAM</t>
  </si>
  <si>
    <t>a1E360000012HexEAE</t>
  </si>
  <si>
    <t>BFA-H-SPCNLS</t>
  </si>
  <si>
    <t>Fonds de soutien aux activités en matière de population et de lutte contre le Sida de la République du Tchad</t>
  </si>
  <si>
    <t>BFA-C-IPC</t>
  </si>
  <si>
    <t>0013600000xoEFFAA2</t>
  </si>
  <si>
    <t>a1E360000012HezEAE</t>
  </si>
  <si>
    <t>BFA-M-PADS</t>
  </si>
  <si>
    <t>BFA-T-PADS</t>
  </si>
  <si>
    <t>0013600000xoEGcAAM</t>
  </si>
  <si>
    <t>a1E360000012HevEAE</t>
  </si>
  <si>
    <t>a1E360000012HeuEAE</t>
  </si>
  <si>
    <t>0013600000xoEIWAA2</t>
  </si>
  <si>
    <t>a1E360000012HcfEAE</t>
  </si>
  <si>
    <t>BRN-809-G07-H</t>
  </si>
  <si>
    <t>Empresa Nacional Promotora del Desarrollo Territorial</t>
  </si>
  <si>
    <t>a1E360000012HciEAE</t>
  </si>
  <si>
    <t>BRN-813-G11-H</t>
  </si>
  <si>
    <t>BDI-T-PNILT</t>
  </si>
  <si>
    <t>BRN-708-G06-T</t>
  </si>
  <si>
    <t>a1E360000012HcjEAE</t>
  </si>
  <si>
    <t>BDI-M-SEPCNLS</t>
  </si>
  <si>
    <t>Programme National de Lutte contre la Tuberculose et la Lepre</t>
  </si>
  <si>
    <t>0013600001JFguUAAT</t>
  </si>
  <si>
    <t>a1E36000004IHDgEAO</t>
  </si>
  <si>
    <t>BDI-M-UNDP</t>
  </si>
  <si>
    <t>a1E36000004IHFDEA4</t>
  </si>
  <si>
    <t>BDI-C-UNDP</t>
  </si>
  <si>
    <t>0013600000xoEKnAAM</t>
  </si>
  <si>
    <t>a1E360000012HcoEAE</t>
  </si>
  <si>
    <t>0013600000xoEHzAAM</t>
  </si>
  <si>
    <t>a1E360000012HceEAE</t>
  </si>
  <si>
    <t>0013600000xoEEgAAM</t>
  </si>
  <si>
    <t>a1E36000002vm73EAA</t>
  </si>
  <si>
    <t>CPV-Z-CCSSIDA</t>
  </si>
  <si>
    <t>Population Services International</t>
  </si>
  <si>
    <t>0013600001ElqOHAAZ</t>
  </si>
  <si>
    <t>a1E36000002wGNSEA2</t>
  </si>
  <si>
    <t>KHM-C-MEF</t>
  </si>
  <si>
    <t>SANRU Asbl</t>
  </si>
  <si>
    <t>a1E3p00000B9hgqEAB</t>
  </si>
  <si>
    <t>KHM-S-MEF</t>
  </si>
  <si>
    <t>Stichting Cordaid</t>
  </si>
  <si>
    <t>0013600000xoEGbAAM</t>
  </si>
  <si>
    <t>a1E360000012HdfEAE</t>
  </si>
  <si>
    <t>CMR-H-CMF</t>
  </si>
  <si>
    <t>CMR-C-CMF</t>
  </si>
  <si>
    <t>0013600000xoEGyAAM</t>
  </si>
  <si>
    <t>a1E360000012HdgEAE</t>
  </si>
  <si>
    <t>CMR-H-MOH</t>
  </si>
  <si>
    <t>CMR-011-G11-H</t>
  </si>
  <si>
    <t>a1E36000001jMjmEAE</t>
  </si>
  <si>
    <t>Alliance Nationale pour la Santé et le Développement en Côte D'Ivoire</t>
  </si>
  <si>
    <t>0013600000xoEGzAAM</t>
  </si>
  <si>
    <t>a1E360000012HdeEAE</t>
  </si>
  <si>
    <t>CMR-M-MOH</t>
  </si>
  <si>
    <t>a1E3p00000B9ndcEAB</t>
  </si>
  <si>
    <t>0013600000xoEH0AAM</t>
  </si>
  <si>
    <t>a1E360000012HdhEAE</t>
  </si>
  <si>
    <t>CMR-T-MOH</t>
  </si>
  <si>
    <t>CAF-C-CRF</t>
  </si>
  <si>
    <t>0013600001NZNvvAAH</t>
  </si>
  <si>
    <t>a1E36000004ITGkEAO</t>
  </si>
  <si>
    <t>CAF-M-WVI</t>
  </si>
  <si>
    <t>0013600000xoEHDAA2</t>
  </si>
  <si>
    <t>a1E36000002wRptEAE</t>
  </si>
  <si>
    <t>CAF-911-G09-T</t>
  </si>
  <si>
    <t>0013600000xoEFPAA2</t>
  </si>
  <si>
    <t>a1E360000012HdlEAE</t>
  </si>
  <si>
    <t>0013600000xoEHgAAM</t>
  </si>
  <si>
    <t>a1E360000012HdoEAE</t>
  </si>
  <si>
    <t>TCD-810-G05-H</t>
  </si>
  <si>
    <t>a1E360000012HdqEAE</t>
  </si>
  <si>
    <t>TCD-H-FOSAP</t>
  </si>
  <si>
    <t>TCD-810-G07-T</t>
  </si>
  <si>
    <t>0011R000022Xlq0QAC</t>
  </si>
  <si>
    <t>a1E1R00000Jh4iHUAR</t>
  </si>
  <si>
    <t>TCD-H-MOH</t>
  </si>
  <si>
    <t>Consejo Nacional para el VIH y el SIDA</t>
  </si>
  <si>
    <t>TCD-T13-G09-M</t>
  </si>
  <si>
    <t>a1E36000001jMk6EAE</t>
  </si>
  <si>
    <t>Instituto Dermatológico y Cirugía de Piel ‘Dr. Huberto Bogaert Díaz’</t>
  </si>
  <si>
    <t>TCD-T-FOSAP</t>
  </si>
  <si>
    <t>0013600000xoEJ9AAM</t>
  </si>
  <si>
    <t>a1E360000012HdnEAE</t>
  </si>
  <si>
    <t>TCD-M-UNDP</t>
  </si>
  <si>
    <t>Ministry of Public Health and Social Assistance of the Dominican Republic</t>
  </si>
  <si>
    <t>a1E360000012HdpEAE</t>
  </si>
  <si>
    <t>TCD-T-MOH</t>
  </si>
  <si>
    <t>a1E360000012HdrEAE</t>
  </si>
  <si>
    <t>Ministry of Public Health of the Republic of Ecuador</t>
  </si>
  <si>
    <t>a1E1R00000Jh4TvUAJ</t>
  </si>
  <si>
    <t>Ministry of Health of the Republic of El Salvador</t>
  </si>
  <si>
    <t>0013600000xoEFHAA2</t>
  </si>
  <si>
    <t>a1E360000012HgNEAU</t>
  </si>
  <si>
    <t>COL-H-ENTerritorio</t>
  </si>
  <si>
    <t>Ministry of Health of the State of Eritrea</t>
  </si>
  <si>
    <t>0013600000xoEGZAA2</t>
  </si>
  <si>
    <t>a1E360000012HcqEAE</t>
  </si>
  <si>
    <t>COM-H-DNLS</t>
  </si>
  <si>
    <t>COM-910-G04-H</t>
  </si>
  <si>
    <t>COM-810-G03-M</t>
  </si>
  <si>
    <t>a1E360000012HctEAE</t>
  </si>
  <si>
    <t>Eswatini</t>
  </si>
  <si>
    <t>Coordinating Assembly of Non Governmental Organisation</t>
  </si>
  <si>
    <t>COM-T-ASCOBEF</t>
  </si>
  <si>
    <t>0013600000xoEFWAA2</t>
  </si>
  <si>
    <t>a1E360000012HcsEAE</t>
  </si>
  <si>
    <t>National Emergency Response Council on HIV and AIDS</t>
  </si>
  <si>
    <t>0013600000xoEKrAAM</t>
  </si>
  <si>
    <t>a1E360000012HcpEAE</t>
  </si>
  <si>
    <t>COM-M-PNLP</t>
  </si>
  <si>
    <t>Federal Ministry of Health of the Federal Democratic Republic of Ethiopia</t>
  </si>
  <si>
    <t>a1E360000012HcrEAE</t>
  </si>
  <si>
    <t>HIV/AIDS Prevention and Control Office</t>
  </si>
  <si>
    <t>0013600001u3a7BAAQ</t>
  </si>
  <si>
    <t>a1E3600000GB1fDEAT</t>
  </si>
  <si>
    <t>COM-T-PNLT</t>
  </si>
  <si>
    <t>COG-M-CRS</t>
  </si>
  <si>
    <t>0013600001WCJorAAH</t>
  </si>
  <si>
    <t>a1E36000004J5PuEAK</t>
  </si>
  <si>
    <t>Ministry of Health and Medical Services of the Republic of Fiji</t>
  </si>
  <si>
    <t>COG-C-CRF</t>
  </si>
  <si>
    <t>a1E36000002wRs9EAE</t>
  </si>
  <si>
    <t>0013600000xoEKRAA2</t>
  </si>
  <si>
    <t>a1E360000012He6EAE</t>
  </si>
  <si>
    <t>COD-H-MOH</t>
  </si>
  <si>
    <t>Centre de Recherches Médicales de Lambaréné</t>
  </si>
  <si>
    <t>0013600000xoEHNAA2</t>
  </si>
  <si>
    <t>Ministry of Health, Social Welfare and National Solidarity of the Gabonese Republic</t>
  </si>
  <si>
    <t>COD-M-MOH</t>
  </si>
  <si>
    <t>0013600000xoEGRAA2</t>
  </si>
  <si>
    <t>a1E360000012He0EAE</t>
  </si>
  <si>
    <t>COD-H-CORDAID</t>
  </si>
  <si>
    <t>ActionAid International The Gambia</t>
  </si>
  <si>
    <t>COD-T-MOH</t>
  </si>
  <si>
    <t>a1E360000012He3EAE</t>
  </si>
  <si>
    <t>Catholic Relief Services - United States Conference of Catholic Bishops</t>
  </si>
  <si>
    <t>ZAR-911-G13-T</t>
  </si>
  <si>
    <t>a1E36000001jMkgEAE</t>
  </si>
  <si>
    <t>ZAR-M-MOH</t>
  </si>
  <si>
    <t>0013600000xoEIOAA2</t>
  </si>
  <si>
    <t>The National AIDS Secretariat of the Republic of The Gambia</t>
  </si>
  <si>
    <t>a1E360000012HdzEAE</t>
  </si>
  <si>
    <t>COD-M-SANRU</t>
  </si>
  <si>
    <t>National Center For Disease Control and Public Health</t>
  </si>
  <si>
    <t>a1E360000012HdyEAE</t>
  </si>
  <si>
    <t>a1E36000002w2RgEAI</t>
  </si>
  <si>
    <t>COD-C-CORDAID</t>
  </si>
  <si>
    <t>AngloGold Ashanti (Ghana) Malaria Control Limited</t>
  </si>
  <si>
    <t>a1E360000012He5EAE</t>
  </si>
  <si>
    <t>a1E36000001jMkiEAE</t>
  </si>
  <si>
    <t>Ministry of Health of the Republic of Ghana</t>
  </si>
  <si>
    <t>West African Program to Combat AIDS and STI</t>
  </si>
  <si>
    <t>0013600000xoEDMAA2</t>
  </si>
  <si>
    <t>a1E360000012HfzEAE</t>
  </si>
  <si>
    <t>CRI-H-HIVOS</t>
  </si>
  <si>
    <t>0013600000xoEFVAA2</t>
  </si>
  <si>
    <t>a1E36000004IzYPEA0</t>
  </si>
  <si>
    <t>CIV-H-ACI</t>
  </si>
  <si>
    <t>CIV-C-ACI</t>
  </si>
  <si>
    <t>0013600000xoEDKAA2</t>
  </si>
  <si>
    <t>a1E36000002wTIhEAM</t>
  </si>
  <si>
    <t>CIV-H-MOH</t>
  </si>
  <si>
    <t>0013600000xoEKZAA2</t>
  </si>
  <si>
    <t>a1E360000012Hf4EAE</t>
  </si>
  <si>
    <t>CIV-M-MOH</t>
  </si>
  <si>
    <t>Ministry of Health and Social Assistance of the Republic of Guatemala</t>
  </si>
  <si>
    <t>CIV-T-ACI</t>
  </si>
  <si>
    <t>a1E360000012Hf2EAE</t>
  </si>
  <si>
    <t>CIV-M-SCI</t>
  </si>
  <si>
    <t>a1E3p00000B9kGpEAJ</t>
  </si>
  <si>
    <t>a1E360000012Hf3EAE</t>
  </si>
  <si>
    <t>Secrétariat Exécutif du Comité National de Lutte contre le Sida de la République de Guinée</t>
  </si>
  <si>
    <t>CIV-T-MOH</t>
  </si>
  <si>
    <t>0013600000xoEKpAAM</t>
  </si>
  <si>
    <t>a1E360000012Hf7EAE</t>
  </si>
  <si>
    <t>Ministry of Health of the Republic of Guinea-Bissau</t>
  </si>
  <si>
    <t>0013600000xoEInAAM</t>
  </si>
  <si>
    <t>a1E360000012HghEAE</t>
  </si>
  <si>
    <t>CUB-H-UNDP</t>
  </si>
  <si>
    <t>National Secretariat to Fight AIDS of Guinea-Bissau</t>
  </si>
  <si>
    <t>Ministère de la Santé Publique et de la Population (Unité de Gestion des Projets)</t>
  </si>
  <si>
    <t>0013600000xoEJAAA2</t>
  </si>
  <si>
    <t>a1E360000012HcwEAE</t>
  </si>
  <si>
    <t>DJI-M-UNDP</t>
  </si>
  <si>
    <t>DJI-C-UNDP</t>
  </si>
  <si>
    <t>a1E360000012HcxEAE</t>
  </si>
  <si>
    <t>0013600000xoEGNAA2</t>
  </si>
  <si>
    <t>a1E360000012HgiEAE</t>
  </si>
  <si>
    <t>DOM-H-CONAVIH</t>
  </si>
  <si>
    <t>Cooperative Housing Foundation</t>
  </si>
  <si>
    <t>0013600000xoEH5AAM</t>
  </si>
  <si>
    <t>a1E360000012HgjEAE</t>
  </si>
  <si>
    <t>DOM-H-IDCP</t>
  </si>
  <si>
    <t>0013600000xoEGKAA2</t>
  </si>
  <si>
    <t>a1E360000012HgkEAE</t>
  </si>
  <si>
    <t>DOM-T-MSPAS</t>
  </si>
  <si>
    <t>0013600000xoEJFAA2</t>
  </si>
  <si>
    <t>a1E36000002vj5cEAA</t>
  </si>
  <si>
    <t>ECU-H-MOH</t>
  </si>
  <si>
    <t>0011R000021Gk69QAC</t>
  </si>
  <si>
    <t>a1E1R00000FpYIFUA3</t>
  </si>
  <si>
    <t>EGY-C-UNDP</t>
  </si>
  <si>
    <t>Department of Economic Affairs, Ministry of Finance of India</t>
  </si>
  <si>
    <t>0013600000xoEFgAAM</t>
  </si>
  <si>
    <t>a1E360000012Hg2EAE</t>
  </si>
  <si>
    <t>SLV-H-MOH</t>
  </si>
  <si>
    <t>Foundation for Innovative New Diagnostics India</t>
  </si>
  <si>
    <t>India HIV/AIDS Alliance</t>
  </si>
  <si>
    <t>a1E360000012Hg0EAE</t>
  </si>
  <si>
    <t>SLV-T-MOH</t>
  </si>
  <si>
    <t>International Bank for Reconstruction and Development</t>
  </si>
  <si>
    <t>International Union Against Tuberculosis and Lung Disease</t>
  </si>
  <si>
    <t>0013600000xoEHdAAM</t>
  </si>
  <si>
    <t>a1E360000012H8vEAE</t>
  </si>
  <si>
    <t>ERI-H-MOH</t>
  </si>
  <si>
    <t>Plan International (India Chapter)</t>
  </si>
  <si>
    <t>a1E360000012H8uEAE</t>
  </si>
  <si>
    <t>ERI-M-MOH</t>
  </si>
  <si>
    <t>Solidarity and Action Against The HIV Infection in India</t>
  </si>
  <si>
    <t>a1E360000012H8wEAE</t>
  </si>
  <si>
    <t>ERI-T-MOH</t>
  </si>
  <si>
    <t>Central Board of ‘Aisyiyah</t>
  </si>
  <si>
    <t>0013600000xoEKPAA2</t>
  </si>
  <si>
    <t>Directorate General of Disease Prevention and Control, Ministry of Health of The Republic of Indonesia</t>
  </si>
  <si>
    <t>SWZ-C-CANGO</t>
  </si>
  <si>
    <t>0013600000xoEISAA2</t>
  </si>
  <si>
    <t>a1E360000012H9kEAE</t>
  </si>
  <si>
    <t>SWZ-H-NERCHA</t>
  </si>
  <si>
    <t>a1E360000012H9eEAE</t>
  </si>
  <si>
    <t>SWZ-M-NERCHA</t>
  </si>
  <si>
    <t>Persatuan Karya Dharma Kesehatan Indonesia (also known as “PERDHAKI”, Association of Voluntary Health Services of Indonesia)</t>
  </si>
  <si>
    <t>SWZ-C-NERCHA</t>
  </si>
  <si>
    <t>a1E36000004InOaEAK</t>
  </si>
  <si>
    <t>Yayasan Spiritia</t>
  </si>
  <si>
    <t>a1E36000004InNwEAK</t>
  </si>
  <si>
    <t>a1E360000012H9lEAE</t>
  </si>
  <si>
    <t>SWZ-T-NERCHA</t>
  </si>
  <si>
    <t>0013600000xoEHsAAM</t>
  </si>
  <si>
    <t>a1E360000012Hd3EAE</t>
  </si>
  <si>
    <t>ETH-H-HAPCO</t>
  </si>
  <si>
    <t>ETH-M-FMOH</t>
  </si>
  <si>
    <t>0013600000xoEHiAAM</t>
  </si>
  <si>
    <t>a1E360000012Hd1EAE</t>
  </si>
  <si>
    <t>ETH-S-FMOH</t>
  </si>
  <si>
    <t>0011R00002FW6goQAD</t>
  </si>
  <si>
    <t>a1E1R00000Dm7W4UAJ</t>
  </si>
  <si>
    <t>ETH-M-UNICEF</t>
  </si>
  <si>
    <t>ETH-T-FMOH</t>
  </si>
  <si>
    <t>a1E360000012Hd2EAE</t>
  </si>
  <si>
    <t>a1E360000012HcyEAE</t>
  </si>
  <si>
    <t>0013600000xoEFiAAM</t>
  </si>
  <si>
    <t>a1E360000012HibEAE</t>
  </si>
  <si>
    <t>FJI-T-MHMS</t>
  </si>
  <si>
    <t>Kazakh scientific center of dermatology and infectious diseases of the Ministry of Health of the Republic of Kazakhstan</t>
  </si>
  <si>
    <t>0013600001ahvPjAAI</t>
  </si>
  <si>
    <t>a1E360000061xBdEAI</t>
  </si>
  <si>
    <t>GAB-T-CERMEL</t>
  </si>
  <si>
    <t>Kenya Red Cross Society</t>
  </si>
  <si>
    <t>0013600000xoEGUAA2</t>
  </si>
  <si>
    <t>a1E360000012He8EAE</t>
  </si>
  <si>
    <t>GAB-T-MSPS</t>
  </si>
  <si>
    <t>National Treasury of the Republic of Kenya</t>
  </si>
  <si>
    <t>0013600000xoEFEAA2</t>
  </si>
  <si>
    <t>a1E360000012HfDEAU</t>
  </si>
  <si>
    <t>GMB-H-ActionAid</t>
  </si>
  <si>
    <t>GMB-C-AAITG</t>
  </si>
  <si>
    <t>0013600000xoEGsAAM</t>
  </si>
  <si>
    <t>a1E360000012HfEEAU</t>
  </si>
  <si>
    <t>GMB-H-NAS</t>
  </si>
  <si>
    <t>United Nations Children's Fund</t>
  </si>
  <si>
    <t>0013600000xoEFlAAM</t>
  </si>
  <si>
    <t>a1E360000012HfBEAU</t>
  </si>
  <si>
    <t>GMB-M-MOH</t>
  </si>
  <si>
    <t>Community Development Fund</t>
  </si>
  <si>
    <t>a1E36000002w6WCEAY</t>
  </si>
  <si>
    <t>GMB-C-NAS</t>
  </si>
  <si>
    <t>a1E36000002vvY5EAI</t>
  </si>
  <si>
    <t>0013600000xoEJJAA2</t>
  </si>
  <si>
    <t>a1E360000012Hi7EAE</t>
  </si>
  <si>
    <t>GEO-H-NCDC</t>
  </si>
  <si>
    <t>Ministry of Health of the Lao People's Democratic Republic</t>
  </si>
  <si>
    <t>a1E360000012Hi5EAE</t>
  </si>
  <si>
    <t>GEO-T-NCDC</t>
  </si>
  <si>
    <t>Ministry of Finance of the Kingdom of Lesotho</t>
  </si>
  <si>
    <t>GHA-M-AGAMal</t>
  </si>
  <si>
    <t>0013600000xoEHmAAM</t>
  </si>
  <si>
    <t>0013600001GqA8CAAV</t>
  </si>
  <si>
    <t>a1E36000002wQJsEAM</t>
  </si>
  <si>
    <t>GHA-H-WAPCAS</t>
  </si>
  <si>
    <t>GHA-C-MOH</t>
  </si>
  <si>
    <t>0013600000xoEFQAA2</t>
  </si>
  <si>
    <t>a1E360000012H9sEAE</t>
  </si>
  <si>
    <t>a1E360000012H9tEAE</t>
  </si>
  <si>
    <t>GHA-M-MOH</t>
  </si>
  <si>
    <t>a1E36000002wQO2EAM</t>
  </si>
  <si>
    <t>0013600001iYePSAA0</t>
  </si>
  <si>
    <t>a1E360000063VDLEA2</t>
  </si>
  <si>
    <t>GTM-H-INCAP</t>
  </si>
  <si>
    <t>Ministry of Public Health of the Republic of Madagascar</t>
  </si>
  <si>
    <t>0013600000xoEHIAA2</t>
  </si>
  <si>
    <t>a1E360000012Hg5EAE</t>
  </si>
  <si>
    <t>GTM-M-MSPAS</t>
  </si>
  <si>
    <t>Office National de Nutrition</t>
  </si>
  <si>
    <t>a1E360000012Hg7EAE</t>
  </si>
  <si>
    <t>GTM-T-MSPAS</t>
  </si>
  <si>
    <t>0013600000xoEHLAA2</t>
  </si>
  <si>
    <t>a1E360000012HfGEAU</t>
  </si>
  <si>
    <t>GIN-H-CNLS</t>
  </si>
  <si>
    <t>Sécrétariat Exécutif du Comité National de Lutte Contre le VIH/SIDA de la République de Madagascar</t>
  </si>
  <si>
    <t>GIN-M-CRS</t>
  </si>
  <si>
    <t>0013600000xoEHoAAM</t>
  </si>
  <si>
    <t>a1E36000002waeLEAQ</t>
  </si>
  <si>
    <t>GIN-H-MOH</t>
  </si>
  <si>
    <t>ActionAid International Malawi</t>
  </si>
  <si>
    <t>GIN-C-PLAN</t>
  </si>
  <si>
    <t>0013600000xoEG1AAM</t>
  </si>
  <si>
    <t>a1E360000012HfFEAU</t>
  </si>
  <si>
    <t>Ministry of Health of the Republic of Malawi</t>
  </si>
  <si>
    <t>0013600000xoEDmAAM</t>
  </si>
  <si>
    <t>a1E36000002wgmqEAA</t>
  </si>
  <si>
    <t>The Registered Trustees of the National AIDS Commission Trust of the Republic of Malawi</t>
  </si>
  <si>
    <t>0013600000xoEGtAAM</t>
  </si>
  <si>
    <t>a1E360000012HfLEAU</t>
  </si>
  <si>
    <t>GNB-708-G05-H</t>
  </si>
  <si>
    <t>World Vision Malawi</t>
  </si>
  <si>
    <t>GNB-C-MOH</t>
  </si>
  <si>
    <t>a1E36000001jMmZEAU</t>
  </si>
  <si>
    <t>GNB-H-SNLS</t>
  </si>
  <si>
    <t>Malaysian AIDS Council</t>
  </si>
  <si>
    <t>0013600000xoEIsAAM</t>
  </si>
  <si>
    <t>a1E360000012HfNEAU</t>
  </si>
  <si>
    <t>GNB-M-UNDP</t>
  </si>
  <si>
    <t>0013600000xoEFJAA2</t>
  </si>
  <si>
    <t>a1E36000002vvPHEAY</t>
  </si>
  <si>
    <t>National High Council for the Fight against AIDS</t>
  </si>
  <si>
    <t>0013600000xoEJCAA2</t>
  </si>
  <si>
    <t>a1E360000012HgUEAU</t>
  </si>
  <si>
    <t>GYA-304-G01-H</t>
  </si>
  <si>
    <t>GUY-H-MOH</t>
  </si>
  <si>
    <t>a1E36000002vdqMEAQ</t>
  </si>
  <si>
    <t>GUY-M-MOH</t>
  </si>
  <si>
    <t>a1E360000012HgWEAU</t>
  </si>
  <si>
    <t>GUY-T-MOH</t>
  </si>
  <si>
    <t>a1E360000012HgXEAU</t>
  </si>
  <si>
    <t>a1E360000012HgmEAE</t>
  </si>
  <si>
    <t>HTI-M-PSI</t>
  </si>
  <si>
    <t>HTI-S-UGP</t>
  </si>
  <si>
    <t>0013600000xoEJ3AAM</t>
  </si>
  <si>
    <t>a1E3p00000B9eUyEAJ</t>
  </si>
  <si>
    <t>HTI-M-UNDP</t>
  </si>
  <si>
    <t>HTI-C-PSI</t>
  </si>
  <si>
    <t>0013p00001rYAiOAAW</t>
  </si>
  <si>
    <t>a1E3p00000B9eEbEAJ</t>
  </si>
  <si>
    <t>a1E360000012HglEAE</t>
  </si>
  <si>
    <t>Prévention Information Lutte contre le Sida</t>
  </si>
  <si>
    <t>HTI-C-WV</t>
  </si>
  <si>
    <t>0013600000xoEGOAA2</t>
  </si>
  <si>
    <t>Center for Health Policies and Studies</t>
  </si>
  <si>
    <t>HND-C-CHF</t>
  </si>
  <si>
    <t>a1E360000012Hg8EAE</t>
  </si>
  <si>
    <t>HND-M-CHF</t>
  </si>
  <si>
    <t>a1E1R00000HyiUXUAZ</t>
  </si>
  <si>
    <t>Ministry of Health of Mongolia</t>
  </si>
  <si>
    <t>Ministry of Health of Montenegro</t>
  </si>
  <si>
    <t>Ministry of Health of the Kingdom of Morocco</t>
  </si>
  <si>
    <t>0013600000xoEHcAAM</t>
  </si>
  <si>
    <t>a1E360000012HhWEAU</t>
  </si>
  <si>
    <t>IND-H-NACO</t>
  </si>
  <si>
    <t>Centro de Colaboração em Saúde</t>
  </si>
  <si>
    <t>0013600000xoEH2AAM</t>
  </si>
  <si>
    <t>a1E360000012HhdEAE</t>
  </si>
  <si>
    <t>IND-H-IHAA</t>
  </si>
  <si>
    <t>Fundação para o Desenvolvimento da Comunidade</t>
  </si>
  <si>
    <t>0013600000xoEKTAA2</t>
  </si>
  <si>
    <t>a1E360000012HhUEAU</t>
  </si>
  <si>
    <t>IND-H-PLAN</t>
  </si>
  <si>
    <t>Ministry of Health of Mozambique</t>
  </si>
  <si>
    <t>IND-M-NVBDCP</t>
  </si>
  <si>
    <t>0013600000xoEKYAA2</t>
  </si>
  <si>
    <t>a1E360000012HhVEAU</t>
  </si>
  <si>
    <t>IND-H-SAATHII</t>
  </si>
  <si>
    <t>IND-T-CTD</t>
  </si>
  <si>
    <t>0013600000xoEHeAAM</t>
  </si>
  <si>
    <t>a1E360000012HhXEAU</t>
  </si>
  <si>
    <t>IND-T-FIND</t>
  </si>
  <si>
    <t>0013600001ElqLxAAJ</t>
  </si>
  <si>
    <t>a1E36000002wG2qEAE</t>
  </si>
  <si>
    <t>IND-C-WJCF</t>
  </si>
  <si>
    <t>Ministry of Health and Social Services of Namibia</t>
  </si>
  <si>
    <t>IND-T-IBRD</t>
  </si>
  <si>
    <t>0013600000xoEHbAAM</t>
  </si>
  <si>
    <t>a1E360000012HhcEAE</t>
  </si>
  <si>
    <t>Namibia Network of AIDS Service Organizations</t>
  </si>
  <si>
    <t>IND-T-IUATLD</t>
  </si>
  <si>
    <t>0013600001Nab8fAAB</t>
  </si>
  <si>
    <t>a1E36000004IToSEAW</t>
  </si>
  <si>
    <t>0011R000027ljyOQAQ</t>
  </si>
  <si>
    <t>a1E1R00000HyQDrUAN</t>
  </si>
  <si>
    <t>0013600000xoEFUAA2</t>
  </si>
  <si>
    <t>a1E360000012HhaEAE</t>
  </si>
  <si>
    <t>The Ministry of Health and Population of Nepal</t>
  </si>
  <si>
    <t>0013600000xoEF4AAM</t>
  </si>
  <si>
    <t>a1E360000012HAEEA2</t>
  </si>
  <si>
    <t>IDN-H-MOH</t>
  </si>
  <si>
    <t>IDN-T-AISYIYA</t>
  </si>
  <si>
    <t>0013600000xoEKhAAM</t>
  </si>
  <si>
    <t>a1E360000012HACEA2</t>
  </si>
  <si>
    <t>IDN-H-SPIRITI</t>
  </si>
  <si>
    <t>Federación Red NICASALUD</t>
  </si>
  <si>
    <t>IDN-M-MOH</t>
  </si>
  <si>
    <t>a1E360000012HAGEA2</t>
  </si>
  <si>
    <t>IDN-T-MOH</t>
  </si>
  <si>
    <t>0013600000xoEGCAA2</t>
  </si>
  <si>
    <t>a1E360000012HABEA2</t>
  </si>
  <si>
    <t>IDN-M-PERDHAK</t>
  </si>
  <si>
    <t>0013600000xoEEfAAM</t>
  </si>
  <si>
    <t>a1E360000012HAHEA2</t>
  </si>
  <si>
    <t>Cellule Nationale de Coordination Technique de la Riposte Nationale au Sida et aux Hépatites</t>
  </si>
  <si>
    <t>a1E360000012HAIEA2</t>
  </si>
  <si>
    <t>0013600000xoEJ4AAM</t>
  </si>
  <si>
    <t>a1E360000012HhhEAE</t>
  </si>
  <si>
    <t>IRN-H-UNDP</t>
  </si>
  <si>
    <t>Family Health International (FHI360)</t>
  </si>
  <si>
    <t>0013600000xoEIEAA2</t>
  </si>
  <si>
    <t>a1E360000012HgrEAE</t>
  </si>
  <si>
    <t>JAM-H-MOH</t>
  </si>
  <si>
    <t>Institute of Human Virology Nigeria</t>
  </si>
  <si>
    <t>Lagos State Ministry of Health</t>
  </si>
  <si>
    <t>Management Sciences for Health</t>
  </si>
  <si>
    <t>0013600000xoEIZAA2</t>
  </si>
  <si>
    <t>a1E360000012HguEAE</t>
  </si>
  <si>
    <t>KAZ-H-RAC</t>
  </si>
  <si>
    <t>National Agency for the Control of AIDS</t>
  </si>
  <si>
    <t>0013600000xoEFqAAM</t>
  </si>
  <si>
    <t>a1E36000001jMnlEAE</t>
  </si>
  <si>
    <t>KAZ-T-NCTP</t>
  </si>
  <si>
    <t>National Malaria Elimination Programme of the Federal Ministry of Health of the Federal Republic of Nigeria</t>
  </si>
  <si>
    <t>0013600000xoEGgAAM</t>
  </si>
  <si>
    <t>a1E360000012Hd6EAE</t>
  </si>
  <si>
    <t>KEN-H-KRCS</t>
  </si>
  <si>
    <t>National Tuberculosis &amp; Leprosy Control Programme</t>
  </si>
  <si>
    <t>KEN-M-AMREF</t>
  </si>
  <si>
    <t>0013600000xoEHxAAM</t>
  </si>
  <si>
    <t>a1E360000012Hd7EAE</t>
  </si>
  <si>
    <t>KEN-H-TNT</t>
  </si>
  <si>
    <t>Society For Family Health</t>
  </si>
  <si>
    <t>KEN-T-AMREF</t>
  </si>
  <si>
    <t>0013600000xoEFLAA2</t>
  </si>
  <si>
    <t>a1E360000012Hd4EAE</t>
  </si>
  <si>
    <t>a1E360000012Hd5EAE</t>
  </si>
  <si>
    <t>KEN-M-TNT</t>
  </si>
  <si>
    <t>a1E360000012Hd8EAE</t>
  </si>
  <si>
    <t>a1E360000012Hd9EAE</t>
  </si>
  <si>
    <t>KEN-T-TNT</t>
  </si>
  <si>
    <t>Directorate of Malaria Control, Ministry of National Health Services, Regulations and Coordination of Pakistan</t>
  </si>
  <si>
    <t>0013600000xoEHWAA2</t>
  </si>
  <si>
    <t>a1E1R00000DlmwGUAR</t>
  </si>
  <si>
    <t>PRK-Z-UNICEF</t>
  </si>
  <si>
    <t>Mercy Corps</t>
  </si>
  <si>
    <t>Ministry of National Health Services, Regulations and Coordination of Pakistan</t>
  </si>
  <si>
    <t>0013600000xoEGaAAM</t>
  </si>
  <si>
    <t>a1E36000001hEftEAE</t>
  </si>
  <si>
    <t>QNA-H-CDF</t>
  </si>
  <si>
    <t>Nai Zindagi</t>
  </si>
  <si>
    <t>a1E360000012HifEAE</t>
  </si>
  <si>
    <t>QNA-T-CDF</t>
  </si>
  <si>
    <t>National TB Control Programme Pakistan</t>
  </si>
  <si>
    <t>0013600000xoEIwAAM</t>
  </si>
  <si>
    <t>a1E360000012HgzEAE</t>
  </si>
  <si>
    <t>KGZ-C-UNDP</t>
  </si>
  <si>
    <t>0013600000xoEHUAA2</t>
  </si>
  <si>
    <t>a1E360000012HhHEAU</t>
  </si>
  <si>
    <t>LAO-H-GFMOH</t>
  </si>
  <si>
    <t>LAO-C-MOH</t>
  </si>
  <si>
    <t>a1E360000012HhJEAU</t>
  </si>
  <si>
    <t>LAO-M-GFMOH</t>
  </si>
  <si>
    <t>a1E3p00000B9ZrSEAV</t>
  </si>
  <si>
    <t>The Rotary Club of Port Moresby Inc.</t>
  </si>
  <si>
    <t>a1E360000012HhGEAU</t>
  </si>
  <si>
    <t>LAO-T-GFMOH</t>
  </si>
  <si>
    <t>World Vision (PNG) Trust</t>
  </si>
  <si>
    <t>Alter Vida - Centro de Estudios y Formación para el Ecodesarrollo</t>
  </si>
  <si>
    <t>Centro de Información y Recursos para el Desarrollo</t>
  </si>
  <si>
    <t>0013600000xoEHqAAM</t>
  </si>
  <si>
    <t>a1E360000012HeOEAU</t>
  </si>
  <si>
    <t>LSO-C-MOF</t>
  </si>
  <si>
    <t>CARE Peru</t>
  </si>
  <si>
    <t>0013600000xoEKLAA2</t>
  </si>
  <si>
    <t>a1E360000012HePEAU</t>
  </si>
  <si>
    <t>LSO-C-PACT</t>
  </si>
  <si>
    <t>0013600000xoEI2AAM</t>
  </si>
  <si>
    <t>a1E360000012H9yEAE</t>
  </si>
  <si>
    <t>LBR-810-G07-H</t>
  </si>
  <si>
    <t>Socios en Salud sucursal Peru</t>
  </si>
  <si>
    <t>Philippine Business for Social Progress, Inc.</t>
  </si>
  <si>
    <t>LBR-C-MOH</t>
  </si>
  <si>
    <t>a1E360000012H9wEAE</t>
  </si>
  <si>
    <t>LBR-M-MOH</t>
  </si>
  <si>
    <t>Pilipinas Shell Foundation, Inc.</t>
  </si>
  <si>
    <t>0013600000xoEH8AAM</t>
  </si>
  <si>
    <t>a1E360000012H9vEAE</t>
  </si>
  <si>
    <t>LBR-M-PII</t>
  </si>
  <si>
    <t>LBR-T-MOH</t>
  </si>
  <si>
    <t>a1E360000012H9zEAE</t>
  </si>
  <si>
    <t>LBR-C-PLAN</t>
  </si>
  <si>
    <t>a1E3p00000B9hgvEAB</t>
  </si>
  <si>
    <t>a1E360000012H9xEAE</t>
  </si>
  <si>
    <t>Ministry of Health of Romania</t>
  </si>
  <si>
    <t>Ministry of Health of the Republic of Rwanda</t>
  </si>
  <si>
    <t>a1E36000001jMobEAE</t>
  </si>
  <si>
    <t>MDG-H-PSI</t>
  </si>
  <si>
    <t>MDG-T-CRS</t>
  </si>
  <si>
    <t>0013600000xoEHPAA2</t>
  </si>
  <si>
    <t>a1E36000001jMocEAE</t>
  </si>
  <si>
    <t>MDG-H-SECNLS</t>
  </si>
  <si>
    <t>MDG-M-MOH</t>
  </si>
  <si>
    <t>0013600000xoEKyAAM</t>
  </si>
  <si>
    <t>a1E36000001jModEAE</t>
  </si>
  <si>
    <t>MDG-T-ONN</t>
  </si>
  <si>
    <t>a1E360000012HdIEAU</t>
  </si>
  <si>
    <t>MDG-M-PSI</t>
  </si>
  <si>
    <t>a1E3p00000B9o0YEAR</t>
  </si>
  <si>
    <t>0013600000xoEFwAAM</t>
  </si>
  <si>
    <t>a1E360000012HdJEAU</t>
  </si>
  <si>
    <t>0013600000xoEIYAA2</t>
  </si>
  <si>
    <t>a1E360000012H95EAE</t>
  </si>
  <si>
    <t>MLW-H-NAC</t>
  </si>
  <si>
    <t>Alliance Nationale des Communautés pour la Santé - Sénégal</t>
  </si>
  <si>
    <t>MWI-C-AA</t>
  </si>
  <si>
    <t>0013600000xoEHpAAM</t>
  </si>
  <si>
    <t>a1E360000012H90EAE</t>
  </si>
  <si>
    <t>MWI-M-MOH</t>
  </si>
  <si>
    <t>Conseil National de Lutte contre le SIDA de la République du Sénégal</t>
  </si>
  <si>
    <t>MWI-C-MOH</t>
  </si>
  <si>
    <t>0013600000xoEKdAAM</t>
  </si>
  <si>
    <t>a1E360000012H8zEAE</t>
  </si>
  <si>
    <t>MWI-M-WVM</t>
  </si>
  <si>
    <t>Ministry of Health and Social Action of the Republic of Senegal</t>
  </si>
  <si>
    <t>0013600000xoEKfAAM</t>
  </si>
  <si>
    <t>a1E360000012H91EAE</t>
  </si>
  <si>
    <t>Ministry of Health, Prevention and Public Hygiene of the Republic of Senegal - AIDS Division</t>
  </si>
  <si>
    <t>a1E360000012H92EAE</t>
  </si>
  <si>
    <t>Ministry of Health of Republic of Serbia</t>
  </si>
  <si>
    <t>MWI-C-WVM</t>
  </si>
  <si>
    <t>a1E3p00000B9fEWEAZ</t>
  </si>
  <si>
    <t>0013600000xoEFcAAM</t>
  </si>
  <si>
    <t>a1E360000012HhKEAU</t>
  </si>
  <si>
    <t>MYS-H-MAC</t>
  </si>
  <si>
    <t>Ministry of Health and Sanitation of Sierra Leone</t>
  </si>
  <si>
    <t>0013600000xoEGuAAM</t>
  </si>
  <si>
    <t>National HIV/AIDS Secretariat</t>
  </si>
  <si>
    <t>a1E36000002w2yVEAQ</t>
  </si>
  <si>
    <t>MLI-H-HCNLS</t>
  </si>
  <si>
    <t>0013600000xoEJHAA2</t>
  </si>
  <si>
    <t>a1E36000001jMowEAE</t>
  </si>
  <si>
    <t>MLI-H-PLAN</t>
  </si>
  <si>
    <t>a1E360000012HfTEAU</t>
  </si>
  <si>
    <t>MLI-M-PSI</t>
  </si>
  <si>
    <t>0013600000xoEHuAAM</t>
  </si>
  <si>
    <t>a1E3p00000BgjvHEAR</t>
  </si>
  <si>
    <t>MLI-C-MOH</t>
  </si>
  <si>
    <t>Solomon Islands Ministry of Health and Medical Services</t>
  </si>
  <si>
    <t>a1E3p00000BgjvREAR</t>
  </si>
  <si>
    <t>MLI-S-MOH</t>
  </si>
  <si>
    <t>0013600000xoEG5AAM</t>
  </si>
  <si>
    <t>AIDS Foundation South Africa</t>
  </si>
  <si>
    <t>Beyond Zero NPC</t>
  </si>
  <si>
    <t>0013600000xoEHQAA2</t>
  </si>
  <si>
    <t>a1E36000001hEfyEAE</t>
  </si>
  <si>
    <t>MRT-H-SENLS</t>
  </si>
  <si>
    <t>a1E36000001hEg3EAE</t>
  </si>
  <si>
    <t>MRT-M-SENLS</t>
  </si>
  <si>
    <t>a1E1R0000060d30UAA</t>
  </si>
  <si>
    <t>MRT-Z-SENLS</t>
  </si>
  <si>
    <t>National Department of Health of the Republic of South Africa</t>
  </si>
  <si>
    <t>MRT-T-SENLS</t>
  </si>
  <si>
    <t>a1E36000001jMp9EAE</t>
  </si>
  <si>
    <t>0013600000xoEGfAAM</t>
  </si>
  <si>
    <t>a1E360000012HdKEAU</t>
  </si>
  <si>
    <t>MUS-H-NAS</t>
  </si>
  <si>
    <t>0013600000xoEGdAAM</t>
  </si>
  <si>
    <t>a1E360000012HdLEAU</t>
  </si>
  <si>
    <t>MUS-H-PILS</t>
  </si>
  <si>
    <t>0013600000xoEHCAA2</t>
  </si>
  <si>
    <t>a1E36000002wfkdEAA</t>
  </si>
  <si>
    <t>MDA-C-PCIMU</t>
  </si>
  <si>
    <t>0013600000xoEGDAA2</t>
  </si>
  <si>
    <t>The Family Planning Association of Sri Lanka</t>
  </si>
  <si>
    <t>Federal Ministry of Health of the Republic of Sudan</t>
  </si>
  <si>
    <t>0013600000xoEIFAA2</t>
  </si>
  <si>
    <t>MNG-C-MOH</t>
  </si>
  <si>
    <t>a1E3p00000B9Z3vEAF</t>
  </si>
  <si>
    <t>Ministry of Health of the Republic of Suriname</t>
  </si>
  <si>
    <t>0013600001j0U7mAAE</t>
  </si>
  <si>
    <t>a1E360000063PWnEAM</t>
  </si>
  <si>
    <t>MNE-H-MoH</t>
  </si>
  <si>
    <t>0013600000xoEHSAA2</t>
  </si>
  <si>
    <t>a1E36000004ImtrEAC</t>
  </si>
  <si>
    <t>MAR-H-MOH</t>
  </si>
  <si>
    <t>MAR-C-MOH</t>
  </si>
  <si>
    <t>a1E3p00000B9oNAEAZ</t>
  </si>
  <si>
    <t>Republican Center of Tuberculosis Control - Tajikistan</t>
  </si>
  <si>
    <t>a1E36000004ImuQEAS</t>
  </si>
  <si>
    <t>MAR-T-MOH</t>
  </si>
  <si>
    <t>0013600000xoEGmAAM</t>
  </si>
  <si>
    <t>a1E36000004Id4QEAS</t>
  </si>
  <si>
    <t>MOZ-H-FDC</t>
  </si>
  <si>
    <t>MOZ-C-CCS</t>
  </si>
  <si>
    <t>0013600000xoEHtAAM</t>
  </si>
  <si>
    <t>a1E360000012H97EAE</t>
  </si>
  <si>
    <t>MOZ-H-MOH</t>
  </si>
  <si>
    <t>Ministry of Finance and Planning of the United Republic of Tanzania</t>
  </si>
  <si>
    <t>MOZ-C-FDC</t>
  </si>
  <si>
    <t>a1E360000012H99EAE</t>
  </si>
  <si>
    <t>MOZ-M-MOH</t>
  </si>
  <si>
    <t>0013600000xoEFaAAM</t>
  </si>
  <si>
    <t>a1E360000012H9AEAU</t>
  </si>
  <si>
    <t>MOZ-M-WV</t>
  </si>
  <si>
    <t>MOZ-708-G07-T</t>
  </si>
  <si>
    <t>0013600001HymulAAB</t>
  </si>
  <si>
    <t>a1E36000002weX1EAI</t>
  </si>
  <si>
    <t>Department of Disease Control, Ministry of Public Health of the Royal Government of Thailand</t>
  </si>
  <si>
    <t>MOZ-809-G08-S</t>
  </si>
  <si>
    <t>a1E360000012H96EAE</t>
  </si>
  <si>
    <t>Raks Thai Foundation</t>
  </si>
  <si>
    <t>a1E360000012H9BEAU</t>
  </si>
  <si>
    <t>Ministry of Health of the Democratic Republic of Timor-Leste</t>
  </si>
  <si>
    <t>a1E360000012H98EAE</t>
  </si>
  <si>
    <t>MOZ-T-MOH</t>
  </si>
  <si>
    <t>Primature de la République Togolaise</t>
  </si>
  <si>
    <t>a1E36000001jMphEAE</t>
  </si>
  <si>
    <t>a1E360000012HAPEA2</t>
  </si>
  <si>
    <t>MMR-H-SCF</t>
  </si>
  <si>
    <t>0013600000xoEIfAAM</t>
  </si>
  <si>
    <t>a1E360000012HAOEA2</t>
  </si>
  <si>
    <t>MMR-H-UNOPS</t>
  </si>
  <si>
    <t>MMR-T-SCF</t>
  </si>
  <si>
    <t>a1E360000012HALEA2</t>
  </si>
  <si>
    <t>Basic Health Care Directorate</t>
  </si>
  <si>
    <t>a1E360000012HAKEA2</t>
  </si>
  <si>
    <t>MMR-T-UNOPS</t>
  </si>
  <si>
    <t>Office National de la Famille et de la Population de la République de Tunisie</t>
  </si>
  <si>
    <t>0013600000xoEFuAAM</t>
  </si>
  <si>
    <t>a1E360000012HeUEAU</t>
  </si>
  <si>
    <t>NMB-202-G07-H</t>
  </si>
  <si>
    <t>NAM-C-MOH</t>
  </si>
  <si>
    <t>0013600000xoEI9AAM</t>
  </si>
  <si>
    <t>a1E36000004J2cuEAC</t>
  </si>
  <si>
    <t>NAM-M-MOH</t>
  </si>
  <si>
    <t>a1E36000002weWwEAI</t>
  </si>
  <si>
    <t>NAM-Z-MOH</t>
  </si>
  <si>
    <t>a1E3p00000B9cMMEAZ</t>
  </si>
  <si>
    <t>Ministry of Finance, Planning and Economic Development of the Republic of Uganda</t>
  </si>
  <si>
    <t>NAM-C-NANASO</t>
  </si>
  <si>
    <t>a1E36000004ImoEEAS</t>
  </si>
  <si>
    <t>The AIDS Support Organisation (Uganda) Limited</t>
  </si>
  <si>
    <t>Charitable Organization "All-Ukrainian Network of People Living with HIV/AIDS"</t>
  </si>
  <si>
    <t>a1E360000012HhlEAE</t>
  </si>
  <si>
    <t>NPL-H-SCF</t>
  </si>
  <si>
    <t>International Charitable Foundation “Alliance for Public Health”</t>
  </si>
  <si>
    <t>0013600000xoEI5AAM</t>
  </si>
  <si>
    <t>a1E360000012HhmEAE</t>
  </si>
  <si>
    <t>NEP-H-NCASC</t>
  </si>
  <si>
    <t>State Institution "Public Health Center of the Ministry of Health of Ukraine"</t>
  </si>
  <si>
    <t>NPL-M-SCF</t>
  </si>
  <si>
    <t>a1E360000012HhjEAE</t>
  </si>
  <si>
    <t>NPL-T-SCF</t>
  </si>
  <si>
    <t>a1E360000012HhiEAE</t>
  </si>
  <si>
    <t>Republican Center of State Sanitary-Epidemiological Surveillance of the Republic of Uzbekistan</t>
  </si>
  <si>
    <t>Republican Center to Fight AIDS</t>
  </si>
  <si>
    <t>0011R00002BH5sUQAT</t>
  </si>
  <si>
    <t>a1E1R00000616MgUAI</t>
  </si>
  <si>
    <t>NIC-H-WVI</t>
  </si>
  <si>
    <t>NIC-M-REDNICA</t>
  </si>
  <si>
    <t>0013600000xoEGjAAM</t>
  </si>
  <si>
    <t>a1E360000012HgBEAU</t>
  </si>
  <si>
    <t>a1E1R00000616MvUAI</t>
  </si>
  <si>
    <t>NIC-T-WVI</t>
  </si>
  <si>
    <t>Venezuela</t>
  </si>
  <si>
    <t>0013600000xoEGXAA2</t>
  </si>
  <si>
    <t>a1E360000012HfaEAE</t>
  </si>
  <si>
    <t>NER-H-CNCTRN</t>
  </si>
  <si>
    <t>Viet Nam Authority of HIV/AIDS Control</t>
  </si>
  <si>
    <t>NER-M-CRS</t>
  </si>
  <si>
    <t>0013600001ps9TGAAY</t>
  </si>
  <si>
    <t>a1E3p00000B9jprEAB</t>
  </si>
  <si>
    <t>NER-H-MSP</t>
  </si>
  <si>
    <t>Viet Nam National Lung Hospital</t>
  </si>
  <si>
    <t>0013600000xoEG0AAM</t>
  </si>
  <si>
    <t>a1E360000012HfYEAU</t>
  </si>
  <si>
    <t>Viet Nam Union of Science and Technology Associations</t>
  </si>
  <si>
    <t>NER-T-MSP</t>
  </si>
  <si>
    <t>a1E360000064vkFEAQ</t>
  </si>
  <si>
    <t>The National Tuberculosis Control Program</t>
  </si>
  <si>
    <t>Churches Health Association of Zambia</t>
  </si>
  <si>
    <t>Ministry of Health of the Republic of Zambia</t>
  </si>
  <si>
    <t>00136000011Ofg0AAC</t>
  </si>
  <si>
    <t>a1E36000001jrzmEAA</t>
  </si>
  <si>
    <t>NGA-H-FHI360</t>
  </si>
  <si>
    <t>0013600000xoEFxAAM</t>
  </si>
  <si>
    <t>a1E360000012HfeEAE</t>
  </si>
  <si>
    <t>NGA-H-NACA</t>
  </si>
  <si>
    <t>Ministry of Health of the Revolutionary Government of Zanzibar</t>
  </si>
  <si>
    <t>NGA-M-CRS</t>
  </si>
  <si>
    <t>0013600000xoEIcAAM</t>
  </si>
  <si>
    <t>a1E360000012HffEAE</t>
  </si>
  <si>
    <t>NGA-H-SFHNG</t>
  </si>
  <si>
    <t>The Ministry of Health and Child Care of the Republic of Zimbabwe</t>
  </si>
  <si>
    <t>0013600001K9jAFAAZ</t>
  </si>
  <si>
    <t>a1E36000002w6s5EAA</t>
  </si>
  <si>
    <t>NGA-T-IHVN</t>
  </si>
  <si>
    <t>0013600000xoEG7AAM</t>
  </si>
  <si>
    <t>a1E360000012HfbEAE</t>
  </si>
  <si>
    <t>NGA-M-NMEP</t>
  </si>
  <si>
    <t>Grand Total</t>
  </si>
  <si>
    <t>NGA-C-LSMOH</t>
  </si>
  <si>
    <t>00136000011OffyAAC</t>
  </si>
  <si>
    <t>a1E3600000657xFEAQ</t>
  </si>
  <si>
    <t>NGA-T-LSMOH</t>
  </si>
  <si>
    <t>0013600001xdJKHAA2</t>
  </si>
  <si>
    <t>a1E1R00000FoYyYUAV</t>
  </si>
  <si>
    <t>NGA-S-MSH</t>
  </si>
  <si>
    <t>0013600000xoEI7AAM</t>
  </si>
  <si>
    <t>a1E360000012HfiEAE</t>
  </si>
  <si>
    <t>a1E3p00000B9eVwEAJ</t>
  </si>
  <si>
    <t>NGA-T-NTBLCP</t>
  </si>
  <si>
    <t>0013600001tPZubAAG</t>
  </si>
  <si>
    <t>a1E360000065aJFEAY</t>
  </si>
  <si>
    <t>0013600000xoEDOAA2</t>
  </si>
  <si>
    <t>a1E360000012HAqEAM</t>
  </si>
  <si>
    <t>PAK-H-NACP</t>
  </si>
  <si>
    <t>PAK-M-DOMC</t>
  </si>
  <si>
    <t>0013600000xoEFsAAM</t>
  </si>
  <si>
    <t>a1E360000012HArEAM</t>
  </si>
  <si>
    <t>PAK-H-NZT</t>
  </si>
  <si>
    <t>PAK-T-MC</t>
  </si>
  <si>
    <t>0013600000xoEGTAA2</t>
  </si>
  <si>
    <t>a1E360000012HAoEAM</t>
  </si>
  <si>
    <t>0013600000xoEKuAAM</t>
  </si>
  <si>
    <t>a1E360000012HAuEAM</t>
  </si>
  <si>
    <t>PAK-M-TIH</t>
  </si>
  <si>
    <t>0013600000xoEFbAAM</t>
  </si>
  <si>
    <t>a1E360000012HAsEAM</t>
  </si>
  <si>
    <t>PAK-T-NTP</t>
  </si>
  <si>
    <t>0013600000xoEFtAAM</t>
  </si>
  <si>
    <t>a1E360000012HAtEAM</t>
  </si>
  <si>
    <t>a1E360000012HAvEAM</t>
  </si>
  <si>
    <t>PAK-T-TIH</t>
  </si>
  <si>
    <t>0013600000xoEIiAAM</t>
  </si>
  <si>
    <t>a1E360000012HgFEAU</t>
  </si>
  <si>
    <t>PAN-C-UNDP</t>
  </si>
  <si>
    <t>0013600000xoEIbAAM</t>
  </si>
  <si>
    <t>a1E360000012HB6EAM</t>
  </si>
  <si>
    <t>PNG-M-RAM</t>
  </si>
  <si>
    <t>0013600000xoEKJAA2</t>
  </si>
  <si>
    <t>a1E36000002wbwNEAQ</t>
  </si>
  <si>
    <t>PNG-C-WV</t>
  </si>
  <si>
    <t>0013600000xoEGnAAM</t>
  </si>
  <si>
    <t>a1E360000012HgZEAU</t>
  </si>
  <si>
    <t>PRY-H-CIRD</t>
  </si>
  <si>
    <t>PRY-T-AV</t>
  </si>
  <si>
    <t>0013600000xoEEjAAM</t>
  </si>
  <si>
    <t>a1E360000012HgbEAE</t>
  </si>
  <si>
    <t>0013600001x4RneAAE</t>
  </si>
  <si>
    <t>a1E3600000FnlsZEAR</t>
  </si>
  <si>
    <t>PER-H-CARE</t>
  </si>
  <si>
    <t>0013600000xoEL0AAM</t>
  </si>
  <si>
    <t>a1E36000001hEgDEAU</t>
  </si>
  <si>
    <t>PER-T-SES</t>
  </si>
  <si>
    <t>0013600000xoEGEAA2</t>
  </si>
  <si>
    <t>a1E3p000004raELEAY</t>
  </si>
  <si>
    <t>PHL-H-PSFI</t>
  </si>
  <si>
    <t>PHL-T-PBSP</t>
  </si>
  <si>
    <t>a1E360000012HASEA2</t>
  </si>
  <si>
    <t>PHL-H-SC</t>
  </si>
  <si>
    <t>a1E360000012HATEA2</t>
  </si>
  <si>
    <t>PHL-M-PSFI</t>
  </si>
  <si>
    <t>0013600000xoEFCAA2</t>
  </si>
  <si>
    <t>a1E360000012HAREA2</t>
  </si>
  <si>
    <t>0013600001pqloFAAQ</t>
  </si>
  <si>
    <t>a1E360000064yt9EAA</t>
  </si>
  <si>
    <t>ROU-T-MOH</t>
  </si>
  <si>
    <t>0013600000xoEIHAA2</t>
  </si>
  <si>
    <t>a1E360000012HdNEAU</t>
  </si>
  <si>
    <t>RWA-H-MOH</t>
  </si>
  <si>
    <t>RWA-C-MOH</t>
  </si>
  <si>
    <t>a1E360000012HdOEAU</t>
  </si>
  <si>
    <t>RWA-M-MOH</t>
  </si>
  <si>
    <t>a1E3p00000B9o0JEAR</t>
  </si>
  <si>
    <t>a1E360000012HdMEAU</t>
  </si>
  <si>
    <t>RWA-T-MOH</t>
  </si>
  <si>
    <t>0013600000xoEIjAAM</t>
  </si>
  <si>
    <t>a1E36000002wbtQEAQ</t>
  </si>
  <si>
    <t>STP-Z-UNDP</t>
  </si>
  <si>
    <t>0013600000xoEFNAA2</t>
  </si>
  <si>
    <t>a1E360000012HfmEAE</t>
  </si>
  <si>
    <t>SEN-H-ANCS</t>
  </si>
  <si>
    <t>0013600000xoEGqAAM</t>
  </si>
  <si>
    <t>a1E360000012HflEAE</t>
  </si>
  <si>
    <t>SEN-H-CNLS</t>
  </si>
  <si>
    <t>0013600000xoEGWAA2</t>
  </si>
  <si>
    <t>a1E360000012HfnEAE</t>
  </si>
  <si>
    <t>SNG-H-DLSI</t>
  </si>
  <si>
    <t>SEN-M-PNLP</t>
  </si>
  <si>
    <t>0013600000xoEHHAA2</t>
  </si>
  <si>
    <t>a1E360000012HfpEAE</t>
  </si>
  <si>
    <t>SEN-S-MOH</t>
  </si>
  <si>
    <t>a1E360000012HfqEAE</t>
  </si>
  <si>
    <t>SEN-Z-MOH</t>
  </si>
  <si>
    <t>a1E36000004IxWSEA0</t>
  </si>
  <si>
    <t>0013600001omovqAAA</t>
  </si>
  <si>
    <t>a1E360000064hzhEAA</t>
  </si>
  <si>
    <t>SRB-H-MOH</t>
  </si>
  <si>
    <t>0013600000xoEHMAA2</t>
  </si>
  <si>
    <t>a1E360000012HA2EAM</t>
  </si>
  <si>
    <t>SLE-H-NAS</t>
  </si>
  <si>
    <t>SLE-M-CRS</t>
  </si>
  <si>
    <t>0013600000xoEG2AAM</t>
  </si>
  <si>
    <t>a1E360000012HA4EAM</t>
  </si>
  <si>
    <t>SLE-M-MOHS</t>
  </si>
  <si>
    <t>0013600000xoEFeAAM</t>
  </si>
  <si>
    <t>a1E360000012HA5EAM</t>
  </si>
  <si>
    <t>SLE-Z-MOHS</t>
  </si>
  <si>
    <t>a1E360000012HA1EAM</t>
  </si>
  <si>
    <t>0013600000xoEKKAA2</t>
  </si>
  <si>
    <t>a1E360000012HicEAE</t>
  </si>
  <si>
    <t>SLB-M-MHMS</t>
  </si>
  <si>
    <t>SLB-C-MOH</t>
  </si>
  <si>
    <t>a1E36000002w6WvEAI</t>
  </si>
  <si>
    <t>a1E3p00000BgjvMEAR</t>
  </si>
  <si>
    <t>SLB-T-MOH</t>
  </si>
  <si>
    <t>a1E360000012H9CEAU</t>
  </si>
  <si>
    <t>SOM-H-UNICEF</t>
  </si>
  <si>
    <t>a1E360000012H9DEAU</t>
  </si>
  <si>
    <t>SOM-M-UNICEF</t>
  </si>
  <si>
    <t>0013600000xoEIgAAM</t>
  </si>
  <si>
    <t>a1E360000012H9EEAU</t>
  </si>
  <si>
    <t>SOM-T-WV</t>
  </si>
  <si>
    <t>0013600000xoEKsAAM</t>
  </si>
  <si>
    <t>a1E360000012HegEAE</t>
  </si>
  <si>
    <t>ZAF-C-AFSA</t>
  </si>
  <si>
    <t>0011R00001zlHnFQAU</t>
  </si>
  <si>
    <t>a1E1R00000FoiwDUAR</t>
  </si>
  <si>
    <t>ZAF-C-BZ</t>
  </si>
  <si>
    <t>0013600000xoEIRAA2</t>
  </si>
  <si>
    <t>a1E360000012HejEAE</t>
  </si>
  <si>
    <t>ZAF-C-NDOH</t>
  </si>
  <si>
    <t>0013600000xoEGBAA2</t>
  </si>
  <si>
    <t>a1E360000012HefEAE</t>
  </si>
  <si>
    <t>ZAF-C-NACOSA</t>
  </si>
  <si>
    <t>0013600000xoEIuAAM</t>
  </si>
  <si>
    <t>SSD-M-PSI</t>
  </si>
  <si>
    <t>a1E360000012HBAEA2</t>
  </si>
  <si>
    <t>SSD-C-UNDP</t>
  </si>
  <si>
    <t>a1E3p00000B9lVoEAJ</t>
  </si>
  <si>
    <t>0013600000xoEFkAAM</t>
  </si>
  <si>
    <t>a1E360000012HhpEAE</t>
  </si>
  <si>
    <t>LKA-H-MOH</t>
  </si>
  <si>
    <t>0013600000xoEFfAAM</t>
  </si>
  <si>
    <t>a1E360000012HhoEAE</t>
  </si>
  <si>
    <t>LKA-H-FPA</t>
  </si>
  <si>
    <t>LKA-M-MOH</t>
  </si>
  <si>
    <t>a1E360000012HhrEAE</t>
  </si>
  <si>
    <t>LKA-T-MOH</t>
  </si>
  <si>
    <t>a1E360000012HhqEAE</t>
  </si>
  <si>
    <t>0013600000xoEIyAAM</t>
  </si>
  <si>
    <t>a1E360000012H9aEAE</t>
  </si>
  <si>
    <t>SDN-H-UNDP</t>
  </si>
  <si>
    <t>SDN-M-MOH</t>
  </si>
  <si>
    <t>a1E36000001jMsYEAU</t>
  </si>
  <si>
    <t>SUD-011-G15-H</t>
  </si>
  <si>
    <t>SDN-S-FMOH</t>
  </si>
  <si>
    <t>0013600000xoEKVAA2</t>
  </si>
  <si>
    <t>a1E36000004IPGHEA4</t>
  </si>
  <si>
    <t>a1E36000001jMsZEAU</t>
  </si>
  <si>
    <t>SUD-011-G16-M</t>
  </si>
  <si>
    <t>SDN-T-UNDP</t>
  </si>
  <si>
    <t>a1E36000001jMsdEAE</t>
  </si>
  <si>
    <t>SUD-708-G10-M</t>
  </si>
  <si>
    <t>a1E360000012H9dEAE</t>
  </si>
  <si>
    <t>a1E360000012H9ZEAU</t>
  </si>
  <si>
    <t>SUD-T-UNDP</t>
  </si>
  <si>
    <t>a1E360000012H9cEAE</t>
  </si>
  <si>
    <t>0013600000xoEHaAAM</t>
  </si>
  <si>
    <t>a1E360000012HgfEAE</t>
  </si>
  <si>
    <t>SUR-M-MoH</t>
  </si>
  <si>
    <t>SUR-C-MOH</t>
  </si>
  <si>
    <t>a1E360000012HggEAE</t>
  </si>
  <si>
    <t>0013600000xoEJ2AAM</t>
  </si>
  <si>
    <t>TJK-T-RCTC</t>
  </si>
  <si>
    <t>a1E3p00000B9icqEAB</t>
  </si>
  <si>
    <t>TJK-C-UNDP</t>
  </si>
  <si>
    <t>0013600000xoEKeAAM</t>
  </si>
  <si>
    <t>a1E360000012Hh1EAE</t>
  </si>
  <si>
    <t>0013600000xoEHrAAM</t>
  </si>
  <si>
    <t>a1E360000012HdREAU</t>
  </si>
  <si>
    <t>TZA-C-Amref</t>
  </si>
  <si>
    <t>a1E360000012HdVEAU</t>
  </si>
  <si>
    <t>TNZ-405-G06-H</t>
  </si>
  <si>
    <t>a1E360000012HdXEAU</t>
  </si>
  <si>
    <t>TZA-M-MOFP</t>
  </si>
  <si>
    <t>0013600001IbBhRAAV</t>
  </si>
  <si>
    <t>a1E36000004ITnPEAW</t>
  </si>
  <si>
    <t>a1E360000012HdPEAU</t>
  </si>
  <si>
    <t>TZA-C-STC</t>
  </si>
  <si>
    <t>a1E360000012HdSEAU</t>
  </si>
  <si>
    <t>0013600000xoEGLAA2</t>
  </si>
  <si>
    <t>a1E360000012HhLEAU</t>
  </si>
  <si>
    <t>THA-C-DDC</t>
  </si>
  <si>
    <t>0013600000xoEGIAA2</t>
  </si>
  <si>
    <t>a1E360000012HhMEAU</t>
  </si>
  <si>
    <t>THA-C-RTF</t>
  </si>
  <si>
    <t>0013600000xoEIeAAM</t>
  </si>
  <si>
    <t>a1E360000012HhOEAU</t>
  </si>
  <si>
    <t>TLS-H-MOH</t>
  </si>
  <si>
    <t>a1E360000012HhPEAU</t>
  </si>
  <si>
    <t>TLS-M-MOH</t>
  </si>
  <si>
    <t>a1E360000012HhQEAU</t>
  </si>
  <si>
    <t>TLS-T-MOH</t>
  </si>
  <si>
    <t>0013600000xoEKXAA2</t>
  </si>
  <si>
    <t>a1E360000012HfwEAE</t>
  </si>
  <si>
    <t>TGO-H-PMT</t>
  </si>
  <si>
    <t>a1E360000012HfvEAE</t>
  </si>
  <si>
    <t>TGO-M-PMT</t>
  </si>
  <si>
    <t>a1E360000012HfxEAE</t>
  </si>
  <si>
    <t>TGO-T-PMT</t>
  </si>
  <si>
    <t>0013600000xoEG8AAM</t>
  </si>
  <si>
    <t>a1E360000012HeGEAU</t>
  </si>
  <si>
    <t>TUN-H-ONFP</t>
  </si>
  <si>
    <t>TUN-607-G01-H</t>
  </si>
  <si>
    <t>TUN-810-G02-T</t>
  </si>
  <si>
    <t>a1E360000012HeHEAU</t>
  </si>
  <si>
    <t>0013600000xoEIBAA2</t>
  </si>
  <si>
    <t>a1E360000012HeIEAU</t>
  </si>
  <si>
    <t>0013600000xoEIxAAM</t>
  </si>
  <si>
    <t>a1E360000012Hh5EAE</t>
  </si>
  <si>
    <t>TKM-T-UNDP</t>
  </si>
  <si>
    <t>0013600000xoEI0AAM</t>
  </si>
  <si>
    <t>a1E360000012H9JEAU</t>
  </si>
  <si>
    <t>UGA-H-MoFPED</t>
  </si>
  <si>
    <t>a1E360000012H9HEAU</t>
  </si>
  <si>
    <t>UGA-M-MoFPED</t>
  </si>
  <si>
    <t>0013600000xoEGeAAM</t>
  </si>
  <si>
    <t>a1E360000012H9IEAU</t>
  </si>
  <si>
    <t>UGA-M-TASO</t>
  </si>
  <si>
    <t>UGA-T-MoFPED</t>
  </si>
  <si>
    <t>a1E360000012H9KEAU</t>
  </si>
  <si>
    <t>UGA-C-TASO</t>
  </si>
  <si>
    <t>a1E360000012H9MEAU</t>
  </si>
  <si>
    <t>UGA-S-TASO</t>
  </si>
  <si>
    <t>a1E360000012H9FEAU</t>
  </si>
  <si>
    <t>0013600000xoEFOAA2</t>
  </si>
  <si>
    <t>a1E360000012HiVEAU</t>
  </si>
  <si>
    <t>UKR-C-AUN</t>
  </si>
  <si>
    <t>0013600000xoEHGAA2</t>
  </si>
  <si>
    <t>a1E360000012HiUEAU</t>
  </si>
  <si>
    <t>UKR-C-AUA</t>
  </si>
  <si>
    <t>0013600000xoEHhAAM</t>
  </si>
  <si>
    <t>a1E360000012HiWEAU</t>
  </si>
  <si>
    <t>UKR-C-PHC</t>
  </si>
  <si>
    <t>0013600000xoEKzAAM</t>
  </si>
  <si>
    <t>a1E36000001hEgNEAU</t>
  </si>
  <si>
    <t>UZB-H-RAC</t>
  </si>
  <si>
    <t>UZB-M-RCSSES</t>
  </si>
  <si>
    <t>0013600000xoEIaAAM</t>
  </si>
  <si>
    <t>a1E360000012Hh6EAE</t>
  </si>
  <si>
    <t>0013600000xoEI1AAM</t>
  </si>
  <si>
    <t>a1E360000012Hh7EAE</t>
  </si>
  <si>
    <t>UZB-T-RDC</t>
  </si>
  <si>
    <t>0013600000xoEF7AAM</t>
  </si>
  <si>
    <t>a1E360000012HAVEA2</t>
  </si>
  <si>
    <t>VNM-H-VAAC</t>
  </si>
  <si>
    <t>0013600000xoEKNAA2</t>
  </si>
  <si>
    <t>a1E360000012HAWEA2</t>
  </si>
  <si>
    <t>VNM-H-VUSTA</t>
  </si>
  <si>
    <t>VNM-T-NTP</t>
  </si>
  <si>
    <t>0013600000xoEKMAA2</t>
  </si>
  <si>
    <t>a1E360000012HAXEA2</t>
  </si>
  <si>
    <t>0013600000xoEHyAAM</t>
  </si>
  <si>
    <t>a1E360000012HiGEAU</t>
  </si>
  <si>
    <t>YEM-911-G07-T</t>
  </si>
  <si>
    <t>0013600000xoEIvAAM</t>
  </si>
  <si>
    <t>a1E360000012H9PEAU</t>
  </si>
  <si>
    <t>ZAM-H-UNDP</t>
  </si>
  <si>
    <t>ZMB-C-CHAZ</t>
  </si>
  <si>
    <t>0013600000xoEHZAA2</t>
  </si>
  <si>
    <t>a1E360000012H9TEAU</t>
  </si>
  <si>
    <t>ZMB-M-CHAZ</t>
  </si>
  <si>
    <t>0013600000xoEFpAAM</t>
  </si>
  <si>
    <t>a1E360000012H9REAU</t>
  </si>
  <si>
    <t>ZMB-M-MOH</t>
  </si>
  <si>
    <t>ZMB-C-MOH</t>
  </si>
  <si>
    <t>a1E360000012H9SEAU</t>
  </si>
  <si>
    <t>a1E360000012H9QEAU</t>
  </si>
  <si>
    <t>0013600000xoEIAAA2</t>
  </si>
  <si>
    <t>a1E360000012HiiEAE</t>
  </si>
  <si>
    <t>QNB-M-MoH</t>
  </si>
  <si>
    <t>QNB-C-MOH</t>
  </si>
  <si>
    <t>a1E360000012HijEAE</t>
  </si>
  <si>
    <t>0013600000xoEIlAAM</t>
  </si>
  <si>
    <t>a1E360000012H9WEAU</t>
  </si>
  <si>
    <t>ZWE-H-UNDP</t>
  </si>
  <si>
    <t>ZWE-M-MOHCC</t>
  </si>
  <si>
    <t>0013600000xoEI4AAM</t>
  </si>
  <si>
    <t>a1E360000012H9UEAU</t>
  </si>
  <si>
    <t>ZWE-T-MOHCC</t>
  </si>
  <si>
    <t>a1E360000012H9VEAU</t>
  </si>
  <si>
    <t>Infusion giving set</t>
  </si>
  <si>
    <t>Needles and Syringes</t>
  </si>
  <si>
    <t>Multi-use data logger</t>
  </si>
  <si>
    <t>Sequencing analyzers</t>
  </si>
  <si>
    <t>Centrifuges</t>
  </si>
  <si>
    <t>Incubator</t>
  </si>
  <si>
    <t>Laboratory freezer</t>
  </si>
  <si>
    <t>Microcentrifuge</t>
  </si>
  <si>
    <t>Refrigerated bench top centrifuge</t>
  </si>
  <si>
    <t>Magnetic Stand for Manual Extraction 96 well magnet stand</t>
  </si>
  <si>
    <t>Applied Biosystems 7500 Fast Real Time PCR Systems</t>
  </si>
  <si>
    <t>Tabletop PCR workstation with UV light</t>
  </si>
  <si>
    <t>Thermocycler, incl. RT-PCR analyser</t>
  </si>
  <si>
    <t>Truelab Uno Dx</t>
  </si>
  <si>
    <t>Scrubs</t>
  </si>
  <si>
    <t>Electrocardiogram (ECG) digital monitor and recorder</t>
  </si>
  <si>
    <t>Electronic drop counter, IV fluids</t>
  </si>
  <si>
    <t>Infusion pump</t>
  </si>
  <si>
    <t>Pulse oximeter</t>
  </si>
  <si>
    <t>Surge suppressor</t>
  </si>
  <si>
    <t>Thermometer</t>
  </si>
  <si>
    <t>Patient monitor</t>
  </si>
  <si>
    <t>Voltage stabilizer</t>
  </si>
  <si>
    <t>Mobile basic diagnostic x-ray system, analogue</t>
  </si>
  <si>
    <t>Mobile basic diagnostic x-ray system, digital</t>
  </si>
  <si>
    <t>Radiographic film view box, non-powered</t>
  </si>
  <si>
    <t>Year 1</t>
  </si>
  <si>
    <t>Year 2</t>
  </si>
  <si>
    <t>Collaboration with other providers and sectors</t>
  </si>
  <si>
    <t>TB/DR-TB Prevention</t>
  </si>
  <si>
    <t>KVP - Miners and mining communities</t>
  </si>
  <si>
    <t>KVP - Others</t>
  </si>
  <si>
    <t>KVP - People in prisons/jails/detention centers</t>
  </si>
  <si>
    <t>TB screening and diagnosis</t>
  </si>
  <si>
    <t>TB treatment, care and support</t>
  </si>
  <si>
    <t>TB/HIV - Treatment and care</t>
  </si>
  <si>
    <r>
      <t>Total sum of forecasted cash flow of all health products (PR input sheets)
1</t>
    </r>
    <r>
      <rPr>
        <sz val="11"/>
        <color rgb="FF0000FF"/>
        <rFont val="Calibri"/>
        <family val="2"/>
        <scheme val="minor"/>
      </rPr>
      <t>.</t>
    </r>
  </si>
  <si>
    <r>
      <t>Total sum of forecasted cash flow of all HPM Costs (HPM Costs worksheet)
2</t>
    </r>
    <r>
      <rPr>
        <sz val="11"/>
        <color rgb="FF0000FF"/>
        <rFont val="Calibri"/>
        <family val="2"/>
        <scheme val="minor"/>
      </rPr>
      <t>.</t>
    </r>
  </si>
  <si>
    <t>Total</t>
  </si>
  <si>
    <t>Prevention package for transgender people and their sexual partners</t>
  </si>
  <si>
    <t>Prevention package for adolescent girls and young women (AGYW) and male sexual partners in high HIV incidence settings</t>
  </si>
  <si>
    <t>Drug-resistant (DR)-TB diagnosis, treatment and care</t>
  </si>
  <si>
    <t>Key and vulnerable populations (KVP) – TB/DR-TB</t>
  </si>
  <si>
    <t>HIV treatment and differentiated service delivery - adults (15 and above)</t>
  </si>
  <si>
    <t>HIV treatment and differentiated service delivery - children (under 15)</t>
  </si>
  <si>
    <t>Treatment monitoring - Viral load and antiretroviral (ARV) toxicity</t>
  </si>
  <si>
    <t>DR-TB diagnosis/drug susceptibility testing (DST)</t>
  </si>
  <si>
    <t>DR-TB treatment, care and support</t>
  </si>
  <si>
    <t>Insecticide treated nets (ITNs) - Mass campaign: universal</t>
  </si>
  <si>
    <t>Insecticide treated nets (ITNs) - Continuous distribution: ANC</t>
  </si>
  <si>
    <t>Insecticide treated nets (ITNs) - Continuous distribution: EPI</t>
  </si>
  <si>
    <t>Insecticide treated nets (ITNs) - Continuous distribution: school based</t>
  </si>
  <si>
    <t>Insecticide treated nets (ITNs) - Continuous distribution: community-based</t>
  </si>
  <si>
    <t>Perennial malaria chemoprevention (PMC)</t>
  </si>
  <si>
    <t>Seasonal malaria chemoprevention</t>
  </si>
  <si>
    <t>Mass drug administration</t>
  </si>
  <si>
    <t>Intermittent preventive treatment for school children (IPTsc)</t>
  </si>
  <si>
    <t>Post discharge malaria chemoprevention (PDMC)</t>
  </si>
  <si>
    <t>hide</t>
  </si>
  <si>
    <t>Private provider engagement in TB/DR-TB care</t>
  </si>
  <si>
    <t>KVP - Children and adolescents</t>
  </si>
  <si>
    <t>KVP - Mobile population (migrants/refugees/IDPs)</t>
  </si>
  <si>
    <t>KVP - Urban poor/slum dwellers</t>
  </si>
  <si>
    <t>Preventive treatment</t>
  </si>
  <si>
    <t>Fixed EUR Rate</t>
  </si>
  <si>
    <t>For All Year</t>
  </si>
  <si>
    <t>WSheet TOTAL</t>
  </si>
  <si>
    <t>Facility-based testing for key population (KP) programs</t>
  </si>
  <si>
    <t>Facility-based testing outside of key population (KP) and adolescent girls and young women (AGYW) programs</t>
  </si>
  <si>
    <t>Facility-based testing for adolescent girls and young women (AGYW) and their male sexual partners programs</t>
  </si>
  <si>
    <t>Condom and lubricant programing for transgender people</t>
  </si>
  <si>
    <t>Pre-exposure prophylaxis (PrEP) programing for transgender people</t>
  </si>
  <si>
    <t>Sexual and reproductive health services, including STIs, hepatitis, post-violence care for transgender people</t>
  </si>
  <si>
    <t>Rate</t>
  </si>
  <si>
    <t>Glove box</t>
  </si>
  <si>
    <t>Maintenance and service contracts</t>
  </si>
  <si>
    <t>Equipment</t>
  </si>
  <si>
    <t>TB diagnosis, treatment and care</t>
  </si>
  <si>
    <t>Integrated community case management (iCCM)</t>
  </si>
  <si>
    <t>Community-based testing for AGYW and their male sexual partners programs</t>
  </si>
  <si>
    <t>Self-testing for AGYW and their male sexual partners programs</t>
  </si>
  <si>
    <t>Infection prevention and control (IPC)</t>
  </si>
  <si>
    <t>DM1</t>
  </si>
  <si>
    <t>DM2</t>
  </si>
  <si>
    <t>7.4 In-country distribution costs</t>
  </si>
  <si>
    <t>5.12 Medical Oxygen</t>
  </si>
  <si>
    <t>4.8 Existing COVID-19 medicines</t>
  </si>
  <si>
    <t>4.9 Novel COVID-19 medicines</t>
  </si>
  <si>
    <t>Total Cash Outflow</t>
  </si>
  <si>
    <t>Product Details</t>
  </si>
  <si>
    <t>Additional Details</t>
  </si>
  <si>
    <t>k</t>
  </si>
  <si>
    <t>RSSH Cost</t>
  </si>
  <si>
    <t>RSSH</t>
  </si>
  <si>
    <t>B8</t>
  </si>
  <si>
    <t>B9</t>
  </si>
  <si>
    <t>1. ROWS 22 - 24: Based on those supported under the grant, provide the number of adults (&gt; 15 years) who are on ART by type of regime (i.e.,  first-line, second-line, and third-line regimens). Provide the number of adults who are on treatment at the start of the grant (COLUMN C) and, thereafter, the planned number of adults who are on treatment at the end of each grant year (COLUMNS D - G, as applicable).
2. ROWS 26 - 27: Based on those supported under the grant, provide the number of children (&lt; 15 years) who are on ART by type of pharmaceutical formulation (i.e., children taking adult formulations ROW 26 and children taking pediatric formulations ROW 27). Provide the number of children who are on treatment at the start of the grant (COLUMN C) and, thereafter, the planned number of adults who are on treatment at the end of each grant year (COLUMNS D - G, as applicable).</t>
  </si>
  <si>
    <t>B34</t>
  </si>
  <si>
    <t>B35</t>
  </si>
  <si>
    <t>B36</t>
  </si>
  <si>
    <t>1. CELLS C40, C43, C46, C49, AND C52 : What percentage (%) of the total number of HIV tests being procured under the grant, will be used in each Population Group? Please include the % in the relevant column/row combination and reflect zero (0) for all otherS. The sum of these cells should be 100%. If cells are highlighted in red, it means that sum of all percentages exceeds 100%. If cells are highlighted in yellow, it means that the sum of all percentages is below 100%.
2. CELLS D40, D43, D46, D49, AND D52 : What percentage (%) of the total number of HIV SELF tests being procured under the grant, will be used in each Population Group? Please include the % in the relevant column/row combination and reflect zero (0) for all otherS. The sum of these cells should be 100%. If cells are highlighted in red, it means that sum of all percentages exceeds 100%. If cells are highlighted in yellow, it means that the sum of all percentages is below 100%.
3. CELLS C41, C42, C44, C45, C53 AND C54: for each of 3 population groups, consider where HIV tests will be administered to clients. Of the total number of HIV tests that will be procured for these 3 population groups, what percentage (%) of the HIV tests will be administered at the health facility, compared with thosed administered within the community. Please include the % in the relevant column/row combination and reflect zero (0) for all other. The sum of these cells should be 100%. If cells are highlighted in red, it means that sum of all percentages exceeds 100%. If cells are highlighted in yellow, it means that the sum of all percentages is below 100%.</t>
  </si>
  <si>
    <t>B57</t>
  </si>
  <si>
    <t>B58</t>
  </si>
  <si>
    <t>B59</t>
  </si>
  <si>
    <t>B74</t>
  </si>
  <si>
    <t>B75</t>
  </si>
  <si>
    <t>B76</t>
  </si>
  <si>
    <t>1. COLUMNS C - H: For each type of treatment, what percentage (%) of the total value of products that are being procured under the grant, will be distributed to each Population Group? Please include the % in the relevant column/row combination and reflect zero (0) for all other.</t>
  </si>
  <si>
    <t>Liste des produits de santé - VIH - Liste de produits pharmaceutiques</t>
  </si>
  <si>
    <t xml:space="preserve">RP : </t>
  </si>
  <si>
    <t>1. Column A: Select the Product Category from the drop-down menu
2. Column E: Select the Product name (INN) and Strength from the drop-down menu
3. Column I: Select the Specification from the drop-down menu; for Specifications which state "enter specifications manually", please use the "Comments" column AU to provide this information
4. Column N: Once the full product information has been entered (steps 1-3, above), if a reference price is available, it will automatically populate in Column N and in columns P, W, AD, AK.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avaialble in this column.
6. Columns P, W, AD, AK: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(setp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Insert the quantity per product that will be procured in the relevant quarter in which the order will be confirmed/placed with manufacturers
9. Column AU is optional and should be used if you have any relevant comments to communicate to the Country Team/LFA</t>
  </si>
  <si>
    <t>Categoría de producto</t>
  </si>
  <si>
    <t>Catégorie d’article</t>
  </si>
  <si>
    <t>DCI + Presentación</t>
  </si>
  <si>
    <t>DCI + dosage du mécament</t>
  </si>
  <si>
    <t>Especificaciones</t>
  </si>
  <si>
    <t xml:space="preserve">Présentation </t>
  </si>
  <si>
    <t>Canal de adquisiciones</t>
  </si>
  <si>
    <t>Canal d’approvisionnement</t>
  </si>
  <si>
    <t>Reference Price (In Payment Currency)</t>
  </si>
  <si>
    <t>Moneda en que se realiza el pago</t>
  </si>
  <si>
    <t>Devise/ Monnaie de paiement</t>
  </si>
  <si>
    <t>Cantidad del trimestre 1 del año 1</t>
  </si>
  <si>
    <t>Quantité au T1 Année 1</t>
  </si>
  <si>
    <t>Cantidad del trimestre 2 del año 1</t>
  </si>
  <si>
    <t>Quantité au T2 Année 1</t>
  </si>
  <si>
    <t>Cantidad del trimestre 3 del año 1</t>
  </si>
  <si>
    <t>Quantité au T3 Année 1</t>
  </si>
  <si>
    <t>Cantidad del trimestre 4 del año 1</t>
  </si>
  <si>
    <t>Quantité au T4 Année 1</t>
  </si>
  <si>
    <t>Cantidad total del año 1</t>
  </si>
  <si>
    <t>Quantité totale Année 1</t>
  </si>
  <si>
    <t>Y1 Total cost (In Grant Currency -</t>
  </si>
  <si>
    <t>Costo unitario del año 2</t>
  </si>
  <si>
    <t>Coût unitaire Année 2</t>
  </si>
  <si>
    <t>Cantidad del trimestre 1 del año 2</t>
  </si>
  <si>
    <t>Quantité au T1 Année 2</t>
  </si>
  <si>
    <t>Cantidad del trimestre 2 del año 2</t>
  </si>
  <si>
    <t>Quantité au T2 Année 2</t>
  </si>
  <si>
    <t>Cantidad del trimestre 3 del año 2</t>
  </si>
  <si>
    <t>Quantité au T3 Année 2</t>
  </si>
  <si>
    <t>Cantidad del trimestre 4 del año 2</t>
  </si>
  <si>
    <t>Quantité au T4 Année 2</t>
  </si>
  <si>
    <t>Cantidad total del año 2</t>
  </si>
  <si>
    <t>Quantité totale Année 2</t>
  </si>
  <si>
    <t>Y2 Total cost (In Grant Currency -</t>
  </si>
  <si>
    <t>Costo unitario del año 3</t>
  </si>
  <si>
    <t>Coût unitaire Année 3</t>
  </si>
  <si>
    <t>Cantidad del trimestre 1 del año 3</t>
  </si>
  <si>
    <t>Quantité au T1 Année 3</t>
  </si>
  <si>
    <t>Cantidad del trimestre 2 del año 3</t>
  </si>
  <si>
    <t>Quantité au T2 Année 3</t>
  </si>
  <si>
    <t>Cantidad del trimestre 3 del año 3</t>
  </si>
  <si>
    <t>Quantité au T3 Année 3</t>
  </si>
  <si>
    <t>Cantidad del trimestre 4 del año 3</t>
  </si>
  <si>
    <t>Quantité au T4 Année 3</t>
  </si>
  <si>
    <t>Cantidad total del año 3</t>
  </si>
  <si>
    <t>Quantité totale Année 3</t>
  </si>
  <si>
    <t>Y3 Total cost (In Grant Currency -</t>
  </si>
  <si>
    <t>Costo unitario del año 4</t>
  </si>
  <si>
    <t>Coût unitaire Année 4</t>
  </si>
  <si>
    <t>Cantidad del trimestre 1 del año 4</t>
  </si>
  <si>
    <t>Quantité au T1 Année 4</t>
  </si>
  <si>
    <t>Cantidad del trimestre 2 del año 4</t>
  </si>
  <si>
    <t>Quantité au T2 Année 4</t>
  </si>
  <si>
    <t>Cantidad del trimestre 3 del año 4</t>
  </si>
  <si>
    <t>Quantité au T3 Année 4</t>
  </si>
  <si>
    <t>Cantidad del trimestre 4 del año 4</t>
  </si>
  <si>
    <t>Quantité au T4 Année 4</t>
  </si>
  <si>
    <t>Cantidad total del año 4</t>
  </si>
  <si>
    <t>Quantité totale Année 4</t>
  </si>
  <si>
    <t>Y4 Total cost (In Grant Currency -</t>
  </si>
  <si>
    <t>Total période de subvention</t>
  </si>
  <si>
    <t>Total cost (In Grant Currency -</t>
  </si>
  <si>
    <t>Insumo de costos</t>
  </si>
  <si>
    <t>Commentaires</t>
  </si>
  <si>
    <t>Devise du paiement</t>
  </si>
  <si>
    <t>Costo unitario del año 1</t>
  </si>
  <si>
    <t>Coût unitaire Année 1</t>
  </si>
  <si>
    <t>Total sur la période de la subvention</t>
  </si>
  <si>
    <t>B94</t>
  </si>
  <si>
    <t>B150</t>
  </si>
  <si>
    <t>B245</t>
  </si>
  <si>
    <t>Plantilla para la gestión de productos sanitarios - Tuberculosis - Lista de productos farmacéuticos</t>
  </si>
  <si>
    <t>Description</t>
  </si>
  <si>
    <t>Plantilla para la gestión de productos sanitarios - Tuberculosis - Productos no farmacéuticos</t>
  </si>
  <si>
    <t>Liste des produits de santé - Tuberculose - Produits non pharmaceutiques</t>
  </si>
  <si>
    <t xml:space="preserve">Y1 Total cost (In Grant Currency - </t>
  </si>
  <si>
    <t xml:space="preserve">Y2 Total cost (In Grant Currency - </t>
  </si>
  <si>
    <t xml:space="preserve">Y3 Total cost (In Grant Currency - </t>
  </si>
  <si>
    <t xml:space="preserve">Y4 Total cost (In Grant Currency - </t>
  </si>
  <si>
    <t xml:space="preserve">Total cost (In Grant Currency - </t>
  </si>
  <si>
    <t>B7</t>
  </si>
  <si>
    <t>B30</t>
  </si>
  <si>
    <t>B41</t>
  </si>
  <si>
    <t>B51</t>
  </si>
  <si>
    <t>Plantilla para la gestión de productos sanitarios - Malaria - Lista de productos farmacéuticos</t>
  </si>
  <si>
    <t>Liste des produits de santé - Paludisme - Liste des produits pharmaceutiques</t>
  </si>
  <si>
    <t>Plantilla para la gestión de productos sanitarios - Malaria - Productos no farmacéuticos</t>
  </si>
  <si>
    <t>Liste des produits de santé - Paludisme - Produits non pharmaceutiques</t>
  </si>
  <si>
    <t>Type de produits de santé</t>
  </si>
  <si>
    <t>Costo del trimestre 1 del año 1</t>
  </si>
  <si>
    <t>Coût au T1 Année 1</t>
  </si>
  <si>
    <t>Costo del trimestre 2 del año 1</t>
  </si>
  <si>
    <t>Coût au T2 Année 1</t>
  </si>
  <si>
    <t>Costo del trimestre 3 del año 1</t>
  </si>
  <si>
    <t>Coût au T3 Année 1</t>
  </si>
  <si>
    <t>Costo del trimestre 4 del año 1</t>
  </si>
  <si>
    <t>Coût au T4 Année 1</t>
  </si>
  <si>
    <t>Costo total del año 1</t>
  </si>
  <si>
    <t>Costo del trimestre 1 del año 2</t>
  </si>
  <si>
    <t>Coût au T1 Année 2</t>
  </si>
  <si>
    <t>Costo del trimestre 2 del año 2</t>
  </si>
  <si>
    <t>Coût au T2 Année 2</t>
  </si>
  <si>
    <t>Costo del trimestre 3 del año 2</t>
  </si>
  <si>
    <t>Coût au T3 Année 2</t>
  </si>
  <si>
    <t>Costo del trimestre 4 del año 2</t>
  </si>
  <si>
    <t>Coût au T4 Année 2</t>
  </si>
  <si>
    <t>Costo total del año 2</t>
  </si>
  <si>
    <t>Costo del trimestre 1 del año 3</t>
  </si>
  <si>
    <t>Coût au T1 Année 3</t>
  </si>
  <si>
    <t>Costo del trimestre 2 del año 3</t>
  </si>
  <si>
    <t>Coût au T2 Année 3</t>
  </si>
  <si>
    <t>Costo del trimestre 3 del año 3</t>
  </si>
  <si>
    <t>Coût au T3 Année 3</t>
  </si>
  <si>
    <t>Costo del trimestre 4 del año 3</t>
  </si>
  <si>
    <t>Coût au T4 Année 3</t>
  </si>
  <si>
    <t>Costo total del año 3</t>
  </si>
  <si>
    <t>Rellene la configuración</t>
  </si>
  <si>
    <t>Veuillez remplir les paramètres</t>
  </si>
  <si>
    <t>B1</t>
  </si>
  <si>
    <t>Other Implementers</t>
  </si>
  <si>
    <t>I2</t>
  </si>
  <si>
    <t>I3</t>
  </si>
  <si>
    <t>TABLE 1:
1. Column B: Fill in the Implementer Organization's full name.
2. Column C: Fill in a short acronym for this Organization.
3. Column D: Select the Type of Implementer (PR, SR or LI "lead implementer") from the drop-down menu.
4. Column E-G: Provide the name and contact details for the PSM focal point.</t>
  </si>
  <si>
    <t>I10</t>
  </si>
  <si>
    <t>TABLE 2:
1. Column A: Select the Component from the drop-down menu.
2. Column B: Select the Module from the drop-down menu.
3. Column C: Select the Intervention from the drop-down menu.
4. Column D: Provide a short description of the activity.
5. Column E: Select the Cost Input from the drop-down menu. 
6. COLUMN F: Select the Implementer from the drop-down menu.
7. Columns G-J: Once all the fields are populated (steps 1, 2, 3 and 5, above), these columns will automatically populate.
8. Columns K-N: Insert the value per year that must be budgeted for these costs.</t>
  </si>
  <si>
    <t>D7</t>
  </si>
  <si>
    <t>Enter details in Comments</t>
  </si>
  <si>
    <t>Apron</t>
  </si>
  <si>
    <t>Bootcover</t>
  </si>
  <si>
    <t>Boots</t>
  </si>
  <si>
    <t>Coverall</t>
  </si>
  <si>
    <t>Faceshield</t>
  </si>
  <si>
    <t>Gloves</t>
  </si>
  <si>
    <t>4.7 Other Medicines</t>
  </si>
  <si>
    <t>Goggles</t>
  </si>
  <si>
    <t>HPMT Fill By :</t>
  </si>
  <si>
    <t>Submission Date(Filled By PR/SR)</t>
  </si>
  <si>
    <t>Approved by HPM Name</t>
  </si>
  <si>
    <t>Type the first few letters of your country name, click enter, then use the dropdown menu to select your country</t>
  </si>
  <si>
    <t>Choose your preferred language from the dropdown menu - English, French, Spanish</t>
  </si>
  <si>
    <t>This field is defaulted to the version of the template that you have chosen to use</t>
  </si>
  <si>
    <t>Choose the grant from the dropdown menu</t>
  </si>
  <si>
    <t>If your grant starts or ends within a quarter, or if the implementation period is different from the country's fiscal year, please enter the end date for year 1 of the grant. End Date of the year should be 31-Mar, 30-Jun, 30-Sep, 31-Dec only</t>
  </si>
  <si>
    <t>Select the approval version of the HPMT</t>
  </si>
  <si>
    <t>Provide the date that the final version of the HPMT is submitted to the CT</t>
  </si>
  <si>
    <t>Provide the name of the CT member approving the HPMT</t>
  </si>
  <si>
    <t>Provide the date of approval</t>
  </si>
  <si>
    <t>For budgeting of in-country supply chain costs for each group of product being procured under the grant, please indicate whether it is "% based", "fixed cost", or a "mix" of these two</t>
  </si>
  <si>
    <t>This field will automatically populate based on the Version selected</t>
  </si>
  <si>
    <t>Missing Info</t>
  </si>
  <si>
    <t>MOO1</t>
  </si>
  <si>
    <t>MOO2</t>
  </si>
  <si>
    <t>MOO3</t>
  </si>
  <si>
    <t>MOO4</t>
  </si>
  <si>
    <t>MOO5</t>
  </si>
  <si>
    <t>MOO6</t>
  </si>
  <si>
    <t>MOO7</t>
  </si>
  <si>
    <t>MOO8</t>
  </si>
  <si>
    <t>MOO9</t>
  </si>
  <si>
    <t>MOO10</t>
  </si>
  <si>
    <t>MOO11</t>
  </si>
  <si>
    <t>MOO12</t>
  </si>
  <si>
    <t>MOO13</t>
  </si>
  <si>
    <t>MOO14</t>
  </si>
  <si>
    <t>MOO15</t>
  </si>
  <si>
    <t>MOO16</t>
  </si>
  <si>
    <t>MOO17</t>
  </si>
  <si>
    <t>MOO18</t>
  </si>
  <si>
    <t>MOO19</t>
  </si>
  <si>
    <t>MOO20</t>
  </si>
  <si>
    <t>MOO21</t>
  </si>
  <si>
    <t>MOO22</t>
  </si>
  <si>
    <t>MOO23</t>
  </si>
  <si>
    <t>MOO24</t>
  </si>
  <si>
    <t>MOO25</t>
  </si>
  <si>
    <t>MOO26</t>
  </si>
  <si>
    <t>MOO27</t>
  </si>
  <si>
    <t>MOO28</t>
  </si>
  <si>
    <t>MOO29</t>
  </si>
  <si>
    <t>MOO30</t>
  </si>
  <si>
    <t>MOO31</t>
  </si>
  <si>
    <t>MOO32</t>
  </si>
  <si>
    <t>MOO33</t>
  </si>
  <si>
    <t>MOO34</t>
  </si>
  <si>
    <t>MOO35</t>
  </si>
  <si>
    <t>MOO36</t>
  </si>
  <si>
    <t>MOO37</t>
  </si>
  <si>
    <t>MOO38</t>
  </si>
  <si>
    <t>MOO39</t>
  </si>
  <si>
    <t>MOO40</t>
  </si>
  <si>
    <t>MOO41</t>
  </si>
  <si>
    <t>MOO42</t>
  </si>
  <si>
    <t>MOO43</t>
  </si>
  <si>
    <t>MOO44</t>
  </si>
  <si>
    <t>MOO45</t>
  </si>
  <si>
    <t>MOO46</t>
  </si>
  <si>
    <t>MOO47</t>
  </si>
  <si>
    <t>MOO48</t>
  </si>
  <si>
    <t>MOO49</t>
  </si>
  <si>
    <t>MOO50</t>
  </si>
  <si>
    <t>MOO51</t>
  </si>
  <si>
    <t>MOO52</t>
  </si>
  <si>
    <t>MOO53</t>
  </si>
  <si>
    <t>MOO54</t>
  </si>
  <si>
    <t>MOO55</t>
  </si>
  <si>
    <t>MOO56</t>
  </si>
  <si>
    <t>MOO57</t>
  </si>
  <si>
    <t>MOO58</t>
  </si>
  <si>
    <t>MOO59</t>
  </si>
  <si>
    <t>MOO60</t>
  </si>
  <si>
    <t>MOO61</t>
  </si>
  <si>
    <t>MOO62</t>
  </si>
  <si>
    <t>MOO63</t>
  </si>
  <si>
    <t>MOO64</t>
  </si>
  <si>
    <t>MOO65</t>
  </si>
  <si>
    <t>MOO66</t>
  </si>
  <si>
    <t>MOO67</t>
  </si>
  <si>
    <t>MOO68</t>
  </si>
  <si>
    <t>MOO69</t>
  </si>
  <si>
    <t>MOO70</t>
  </si>
  <si>
    <t>MOO71</t>
  </si>
  <si>
    <t>MOO72</t>
  </si>
  <si>
    <t>MOO73</t>
  </si>
  <si>
    <t>MOO74</t>
  </si>
  <si>
    <t>MOO75</t>
  </si>
  <si>
    <t>MOO76</t>
  </si>
  <si>
    <t>MOO77</t>
  </si>
  <si>
    <t>MOO78</t>
  </si>
  <si>
    <t>MOO79</t>
  </si>
  <si>
    <t>MOO80</t>
  </si>
  <si>
    <t>MOO81</t>
  </si>
  <si>
    <t>MOO82</t>
  </si>
  <si>
    <t>MOO83</t>
  </si>
  <si>
    <t>MOO84</t>
  </si>
  <si>
    <t>MOO85</t>
  </si>
  <si>
    <t>MOO86</t>
  </si>
  <si>
    <t>MOO87</t>
  </si>
  <si>
    <t>MOO88</t>
  </si>
  <si>
    <t>MOO89</t>
  </si>
  <si>
    <t>MOO90</t>
  </si>
  <si>
    <t>MOO91</t>
  </si>
  <si>
    <t>MOO92</t>
  </si>
  <si>
    <t>MOO93</t>
  </si>
  <si>
    <t>MOO94</t>
  </si>
  <si>
    <t>MOO95</t>
  </si>
  <si>
    <t>MOO96</t>
  </si>
  <si>
    <t>MOO97</t>
  </si>
  <si>
    <t>MOO98</t>
  </si>
  <si>
    <t>MOO99</t>
  </si>
  <si>
    <t>MOO100</t>
  </si>
  <si>
    <t>MOO101</t>
  </si>
  <si>
    <t>MOO102</t>
  </si>
  <si>
    <t>MOO103</t>
  </si>
  <si>
    <t>MOO104</t>
  </si>
  <si>
    <t>MOO105</t>
  </si>
  <si>
    <t>MOO106</t>
  </si>
  <si>
    <t>MOO107</t>
  </si>
  <si>
    <t>MOO108</t>
  </si>
  <si>
    <t>MOO109</t>
  </si>
  <si>
    <t>MOO110</t>
  </si>
  <si>
    <t>MOO111</t>
  </si>
  <si>
    <t>MOO112</t>
  </si>
  <si>
    <t>MOO113</t>
  </si>
  <si>
    <t>MOO114</t>
  </si>
  <si>
    <t>MOO115</t>
  </si>
  <si>
    <t>MOO116</t>
  </si>
  <si>
    <t>MOO117</t>
  </si>
  <si>
    <t>MOO118</t>
  </si>
  <si>
    <t>MOO119</t>
  </si>
  <si>
    <t>MOO120</t>
  </si>
  <si>
    <t>MOO121</t>
  </si>
  <si>
    <t>MOO122</t>
  </si>
  <si>
    <t>MOO123</t>
  </si>
  <si>
    <t>MOO124</t>
  </si>
  <si>
    <t>MOO125</t>
  </si>
  <si>
    <t>MOO126</t>
  </si>
  <si>
    <t>MOO127</t>
  </si>
  <si>
    <t>MOO128</t>
  </si>
  <si>
    <t>MOO129</t>
  </si>
  <si>
    <t>MOO130</t>
  </si>
  <si>
    <t>MOO131</t>
  </si>
  <si>
    <t>MOO132</t>
  </si>
  <si>
    <t>MOO133</t>
  </si>
  <si>
    <t>MOO134</t>
  </si>
  <si>
    <t>MOO135</t>
  </si>
  <si>
    <t>MOO136</t>
  </si>
  <si>
    <t>MOO137</t>
  </si>
  <si>
    <t>MOO138</t>
  </si>
  <si>
    <t>MOO139</t>
  </si>
  <si>
    <t>MOO140</t>
  </si>
  <si>
    <t>MOO141</t>
  </si>
  <si>
    <t>MOO142</t>
  </si>
  <si>
    <t>MOO143</t>
  </si>
  <si>
    <t>MOO144</t>
  </si>
  <si>
    <t>MOO145</t>
  </si>
  <si>
    <t>MOO146</t>
  </si>
  <si>
    <t>MOO147</t>
  </si>
  <si>
    <t>MOO148</t>
  </si>
  <si>
    <t>MOO149</t>
  </si>
  <si>
    <t>MOO150</t>
  </si>
  <si>
    <t>MOO151</t>
  </si>
  <si>
    <t>MOO152</t>
  </si>
  <si>
    <t>MOO153</t>
  </si>
  <si>
    <t>MOO154</t>
  </si>
  <si>
    <t>MOO155</t>
  </si>
  <si>
    <t>MOO156</t>
  </si>
  <si>
    <t>MOO157</t>
  </si>
  <si>
    <t>MOO158</t>
  </si>
  <si>
    <t>MOO159</t>
  </si>
  <si>
    <t>MOO160</t>
  </si>
  <si>
    <t>MOO161</t>
  </si>
  <si>
    <t>MOO162</t>
  </si>
  <si>
    <t>MOO163</t>
  </si>
  <si>
    <t>MOO164</t>
  </si>
  <si>
    <t>MOO165</t>
  </si>
  <si>
    <t>MOO166</t>
  </si>
  <si>
    <t>MOO167</t>
  </si>
  <si>
    <t>MOO168</t>
  </si>
  <si>
    <t>MOO169</t>
  </si>
  <si>
    <t>MOO170</t>
  </si>
  <si>
    <t>MOO171</t>
  </si>
  <si>
    <t>MOO172</t>
  </si>
  <si>
    <t>MOO173</t>
  </si>
  <si>
    <t>MOO174</t>
  </si>
  <si>
    <t>MOO175</t>
  </si>
  <si>
    <t>MOO176</t>
  </si>
  <si>
    <t>MOO177</t>
  </si>
  <si>
    <t>MOO178</t>
  </si>
  <si>
    <t>MOO179</t>
  </si>
  <si>
    <t>MOO180</t>
  </si>
  <si>
    <t>MOO181</t>
  </si>
  <si>
    <t>MOO182</t>
  </si>
  <si>
    <t>MOO183</t>
  </si>
  <si>
    <t>MOO184</t>
  </si>
  <si>
    <t>MOO185</t>
  </si>
  <si>
    <t>MOO186</t>
  </si>
  <si>
    <t>MOO187</t>
  </si>
  <si>
    <t>MOO188</t>
  </si>
  <si>
    <t>MOO189</t>
  </si>
  <si>
    <t>MOO190</t>
  </si>
  <si>
    <t>MOO191</t>
  </si>
  <si>
    <t>MOO192</t>
  </si>
  <si>
    <t>MOO193</t>
  </si>
  <si>
    <t>MOO194</t>
  </si>
  <si>
    <t>MOO195</t>
  </si>
  <si>
    <t>MOO196</t>
  </si>
  <si>
    <t>MOO197</t>
  </si>
  <si>
    <t>MOO198</t>
  </si>
  <si>
    <t>MOO199</t>
  </si>
  <si>
    <t>MOO200</t>
  </si>
  <si>
    <t>MOO201</t>
  </si>
  <si>
    <t>MOO202</t>
  </si>
  <si>
    <t>MOO203</t>
  </si>
  <si>
    <t>MOO204</t>
  </si>
  <si>
    <t>MOO205</t>
  </si>
  <si>
    <t>MOO206</t>
  </si>
  <si>
    <t>MOO207</t>
  </si>
  <si>
    <t>MOO208</t>
  </si>
  <si>
    <t>MOO209</t>
  </si>
  <si>
    <t>MOO210</t>
  </si>
  <si>
    <t>MOO211</t>
  </si>
  <si>
    <t>MOO212</t>
  </si>
  <si>
    <t>MOO213</t>
  </si>
  <si>
    <t>MOO214</t>
  </si>
  <si>
    <t>MOO215</t>
  </si>
  <si>
    <t>MOO216</t>
  </si>
  <si>
    <t>MOO217</t>
  </si>
  <si>
    <t>MOO218</t>
  </si>
  <si>
    <t>MOO219</t>
  </si>
  <si>
    <t>MOO220</t>
  </si>
  <si>
    <t>MOO221</t>
  </si>
  <si>
    <t>MOO222</t>
  </si>
  <si>
    <t>MOO223</t>
  </si>
  <si>
    <t>MOO224</t>
  </si>
  <si>
    <t>MOO225</t>
  </si>
  <si>
    <t>MOO226</t>
  </si>
  <si>
    <t>MOO227</t>
  </si>
  <si>
    <t>MOO228</t>
  </si>
  <si>
    <t>MOO229</t>
  </si>
  <si>
    <t>MOO230</t>
  </si>
  <si>
    <t>MOO231</t>
  </si>
  <si>
    <t>MOO232</t>
  </si>
  <si>
    <t>MOO233</t>
  </si>
  <si>
    <t>MOO234</t>
  </si>
  <si>
    <t>MOO235</t>
  </si>
  <si>
    <t>MOO236</t>
  </si>
  <si>
    <t>MOO237</t>
  </si>
  <si>
    <t>Forcasting issue</t>
  </si>
  <si>
    <t>Setup-Issue</t>
  </si>
  <si>
    <t>PR/SR Details</t>
  </si>
  <si>
    <t xml:space="preserve">GRANT CURRENCY: </t>
  </si>
  <si>
    <t>SR/Implementer:</t>
  </si>
  <si>
    <t>Submitted by PR/SR (Auto Filled By PR/SR)</t>
  </si>
  <si>
    <t>Version Table</t>
  </si>
  <si>
    <t>Start Date</t>
  </si>
  <si>
    <t>PROCUREMENT ENTITY</t>
  </si>
  <si>
    <t>ENTIDAD ENCARGADA DE LAS ADQUISICIONES</t>
  </si>
  <si>
    <t>ENTITÉ CHARGÉE DE L’APPROVISIONNEMENT</t>
  </si>
  <si>
    <t>For budgeting of in-country supply chain costs for each group of product being procured under the grant, please indicate whether it is % based, fixed cost, or a mix of these two</t>
  </si>
  <si>
    <t>B2</t>
  </si>
  <si>
    <t>A1</t>
  </si>
  <si>
    <t>A2</t>
  </si>
  <si>
    <t>PR</t>
  </si>
  <si>
    <t>X-ray: Equipment</t>
  </si>
  <si>
    <t>IPC: Maintenance &amp; Services</t>
  </si>
  <si>
    <t>Search For A Product in HPM Template</t>
  </si>
  <si>
    <t>Enter Product Name</t>
  </si>
  <si>
    <t>Choose Specification</t>
  </si>
  <si>
    <t>Grant NO</t>
  </si>
  <si>
    <t>PRNA</t>
  </si>
  <si>
    <t>Grant Number</t>
  </si>
  <si>
    <t>Date</t>
  </si>
  <si>
    <t>ABC-001-678</t>
  </si>
  <si>
    <t>B</t>
  </si>
  <si>
    <t>1/0/1900</t>
  </si>
  <si>
    <t>Logic Which we know</t>
  </si>
  <si>
    <t>All yellow cells must be filled by the PR / Implementer
COLUMN C represents test kits that should be administered by a person who has received training on HIV counselling and testing
COLUMN D: represents test kits that are provided to people to test for HIV themselves (i.e., they do not need to be administered by a person trained to administer the test)
ROWS 40, 43, 46, 49, AND 52: represents different population groups that will receive testing and these are aligned with the Modular Framework</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</si>
  <si>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8 TO 28: represents different service providers for the diagnosis and treatment of malaria, and these are aligned with the Modular Framework.
1. ROWS 11-14: What percentage (%) of the total number of malaria RDTs, that are being procured under the grant, will be distributed through each type of service provider? Please include the % in the relevant column/row combination and reflect zero (0) for all other.
2. ROWS 16-19: What percentage (%) of the total value of microscopy, of health products that are being procured under the grant, will be utilised by each type of service provider? Please include the % in the relevant column/row combination and reflect zero (0) for all other.
3. ROWS 25-28: What percentage (%) of the total number of malaria first-line treatments, that are being procured under the grant, will be distributed through each type of service provider? Please include the % in the relevant column/row combination and reflect zero (0) for all other.</t>
  </si>
  <si>
    <t>INSTRUCTIONS
All yellow cells must be filled by the PR / Implementer
The sum of these two cells should be 100%. If the column is highlighted in red, it means that sum of all percentages exceeds 100%. If the column is highlighted in yellow, it means that the sum of all percentages is below 100%.
ROWS 52 TO 56: represents malaria surveillance activities, and these are aligned with the Modular Framework.
1. CELLS C55 and C56: What percentage (%) of the total value of surveillance activities, for health products that are being procured under the grant, will be used for each type of activity? Please include the % in the relevant column/row combination and reflect zero (0) for all other.</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</si>
  <si>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31 TO 39: represents different approaches to malaria chemoprophylaxis, and these are aligned with the Modular Framework.
1. ROWS 34-39: What percentage (%) of the total number of antimalarial medicines for chemoprevention, that are being procured under the grant, will be used for each type of activity? Please include the % in the relevant column/row combination and reflect zero (0) for all other.</t>
  </si>
  <si>
    <t>INSTRUCTIONS
All yellow cells must be filled by the PR / Implementer
The sum of each individual column in each section should be 100%. If the column is highlighted in red, it means that sum of all percentages exceeds 100%. If the column is highlighted in yellow, it means that the sum of all percentages is below 100%.
ROWS 42 TO 48: represents the different routes for continuous distribution of bednets, and these are aligned with the Modular Framework.
1. ROWS 34-39: What percentage (%) of the total number of bednets, that are being procured under the grant for continuous distribution, will be used for route of distribution? Please include the % in the relevant column/row combination and reflect zero (0) for all other.</t>
  </si>
  <si>
    <t>All yellow cells must be filled by the PR / Implementer
The sum of each individual column should be 100%. If the column is highlighted in red, it means that sum of all percentages exceeds 100%. If the column is highlighted in yellow, it means that the sum of all percentages is below 100%.
ROWS 62 TO 71: represents different population groups that will receive different prevention services, and these are aligned with the Modular Framework.
Cells with N/A indicate that the specific health product is not relevant / applicable to the specific population group.</t>
  </si>
  <si>
    <t>All yellow cells must be filled by the PR / Implementer
The sum of each individual column should be 100%. If the column is highlighted in red, it means that sum of all percentages exceeds 100%. If the column is highlighted in yellow, it means that the sum of all percentages is below 100%.
ROWS 78 TO 87: represents different population groups that will receive different prevention services, and these are aligned with the Modular Framework.
Cells with N/A indicate that the specific health product is not relevant / applicable to the specific population group.</t>
  </si>
  <si>
    <t>INSTRUCTIONS
All yellow cells must be filled by the PR / Implementer
TABLE 1 reflects the basic diagnostic tests used in the screening and diagnosis of Tuberculosis
TABLE 2 reflects the diagnostic tests used to determine the resistance patterns in patients who have been diagnosed with Tuberculosis
TABLE 3 reflects the number of people diagnosed with TB whose TB treatment is being monitored by Microscopy and/or Culture
ROWS 36-43 AND 22 etc.: represents different population groups that will be screened and tested, and these are aligned with the Modular Framework.
1. TABLE 1: Based on the testing supported under the grant, provide the number of people, disaggregated by population group, that will be screened and tested each year of the grant.
2. TABLE 2: Based on the testing supported under the grant, provide the number of people, disaggregated by population group, that will be referred for additional resistance testing each year of the grant.
3. TABLE 3: Based on the testing supported under the grant, provide an indication of the split between microscopy and culture being used for treatment monitoring for DS-TB and/or DR-TB.</t>
  </si>
  <si>
    <t>INSTRUCTIONS
All yellow cells must be filled by the PR / Implementer
ROWS 126-133, 135-142, 144 AND 145: represents the adults (&gt; 15 years) and children (&lt; 15 years) disaggregated by different population groups that will be treated for DS-TB, and these are aligned with the Modular Framework.
Cells with N/A indicate that the specific health product is not relevant / applicable to the specific population group.
1. Based on the treatment supported under the grant, provide the number of people, disaggregated by adults (&gt; 15 years) and children (&lt; 15 years) and by population group, that will be treated in each year of the grant.</t>
  </si>
  <si>
    <t>INSTRUCTIONS
All yellow cells must be filled by the PR / Implementer
ROWS 202-209, 211-218, 220-227, 229-236 AND 238-241: represents the adults (&gt; 15 years) and children (&lt; 15 years) disaggregated by different population groups that will be treated for "RR and MDR-TB" and for "pre-XDR and XDR-TB", and these are aligned with the Modular Framework.
Cells with N/A indicate that the specific health product is not relevant / applicable to the specific population group.
1. Based on the treatment supported under the grant, provide the number of people, disaggregated by adults (&gt; 15 years) and children (&lt; 15 years) and by population group, that will be treated in each year of the grant.</t>
  </si>
  <si>
    <t>INSTRUCTIONS
All yellow cells must be filled by the PR / Implementer
ROWS 277-285. etc.: represents the number of people disaggregated by different population groups that will be prescribed TB chemoprophylaxis for either DS-TB or DR-TB, and these are aligned with the Modular Framework.
Cells with N/A indicate that the specific health product is not relevant / applicable to the specific population group.
1. Based on the chemoprevention supported under the grant, provide the number of people, disaggregated by population group, that will be treated in each year of the grant.</t>
  </si>
  <si>
    <t>1. Columna A: Seleccionar la categoría de productos en el menú desplegable.
2. Columna E: Seleccionar el nombre del producto (DCI) y su presentación en el menú desplegable.
3. Columna I: Seleccionar la especificación en el menú desplegable. Para especificaciones donde se indique "introducir especificaciones manualmente", utilizar la columna AU "Comentarios" para facilitar esta información.
4. Columna N: Una vez que se haya introducido toda la información del producto (pasos 1-3 previamente descritos), si se dispone de un precio de referencia, aparecerá automáticamente en la columna N y en las columnas P, W, AD y AK. El precio de referencia se mostrará en la moneda de la subvención seleccionada en la hoja de cálculo CONFIGURACIÓN.
5. Columna O: La moneda que se muestra en esta columna es por defecto la moneda de la subvención seleccionada en la hoja de cálculo CONFIGURACIÓN. Si el RP/entidad ejecutora necesita utilizar un costo unitario en otra moneda (USD/EUR), deberá seleccionar la moneda correspondiente para cada producto utilizando el menú desplegable disponible en esta columna.
6. Columnas P, W, AD y AK: Si el precio de referencia no aparece automáticamente (paso 4 previamente descrito) para el producto seleccionado, o si el precio de referencia no es correcto para este RP/entidad ejecutora, inserte el costo unitario por producto. El costo unitario debe estar en la moneda de la subvención (USD o EUR). Si el RP/entidad ejecutora necesita utilizar un costo unitario en otra moneda (USD/EUR), deberá seguir el paso 5.
7. Si se disponía de un precio de referencia (paso 4) y se decide cambiar el costo unitario a "más o menos del 30% del precio de referencia", la celda aparecerá en rojo. Es necesario comprobar que el costo unitario coincida con las especificaciones del producto seleccionado. Si todo es correcto, es posible continuar, puesto que el color rojo no provocará errores en el archivo.
8. Columnas Q, R, S, T, X, Y, Z, AA, AE, AF, AG, AH, AL, AM, AN y AO: Insertar la cantidad por producto que se adquirirá en el trimestre pertinente en el que se confirme o efectúe el pedido con los fabricantes.
9. La columna AU es opcional y se debe utilizar si se desean realizar comentarios pertinentes al Equipo de País o al ALF.</t>
  </si>
  <si>
    <t>1. Colonne A : Sélectionner la catégorie de produit depuis le menu déroulant.
2. Colonne E : Sélectionner le nom du produit (DCI) et la force depuis le menu déroulant
3. Colonne I : Sélectionner la description dans le menu déroulant ; pour les descriptions portant la mention « saisir les descriptions manuellement », utiliser la colonne AU « Commentaires » pour fournir cette information
4. Colonne N : Une fois que les informations complètes sur le produit ont été saisies (étapes 1-3 ci-dessus), si un prix de référence est disponible, il apparaîtra automatiquement dans la colonne N et dans les colonnes P, W, AD et AK. Le prix de référence affiché sera dans la devise de la subvention sélectionnée dans la feuille de calcul « SETUP ».
5. Colonne O : La devise affichée dans cette colonne est définie par défaut par rapport à la devise de la subvention sélectionnée dans la feuille de calcul « SETUP ». Si le récipiendaire principal / l’entité de mise en œuvre doit utiliser un coût unitaire dans une autre devise (USD / EUR), sélectionner la devise appropriée pour chaque produit à l’aide du menu déroulant disponible dans cette colonne.
6. Colonnes P, W, AD et AK : Si un prix de référence n’est pas renseigné automatiquement (étape 4 ci-dessus) pour le produit sélectionné, ou si le prix de référence est inexact pour ce récipiendaire principal /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modifié le coût unitaire pour « un coût supérieur ou inférieur à 30 % du prix de référence », la cellule s’affichera en rouge. Vérifier que le coût unitaire est conforme aux spécifications du produit sélectionné. Si tout est correct, vous pouvez continuer ; la couleur rouge n’entraînera pas d’erreurs dans le fichier.
8. Colonnes Q, R, S, T, X, Y, Z, AA, AE, AF, AG, AH, AL, AM, AN et AO : Indiquer la quantité par produit qui sera achetée dans le trimestre au cours duquel la commande sera confirmée/passée auprès des fabricants
9. La colonne AU est facultative et doit être utilisée si des commentaires doivent être adressés à l’équipe de pays / l’agent local du Fonds</t>
  </si>
  <si>
    <t>Detalles del producto</t>
  </si>
  <si>
    <t>1. FILAS 22-24: Basándose en quienes están cubiertos por la subvención, indicar el número de adultos (&gt;15 años) que reciben tratamiento antirretroviral por tipo de tratamiento (es decir, de primera, segunda o tercera línea). Proporcionar el número de adultos que están en tratamiento al inicio de la subvención (COLUMNA C) y, a continuación, el número previsto de adultos que estarán en tratamiento al final de cada año de la subvención (COLUMNAS D-G. según corresponda).
2. FILAS 26-27: Basándose en quienes están cubiertos por la subvención, indicar el número de niños (&lt;15 años) que reciben tratamiento antirretroviral por tipo de formulación farmacéutica (es decir, niños que reciben formulaciones adultas en la FILA 26 y niños que reciben formulaciones pediátricas en FILA 27). Proporcionar el número de niños que están en tratamiento al inicio de la subvención (COLUMNA C) y, a continuación, el número previsto de niños que estarán en tratamiento al final de cada año de la subvención (COLUMNAS D-G. según corresponda).</t>
  </si>
  <si>
    <t>1. LIGNES 22 à 24 : En fonction des personnes soutenues par la subvention, indiquer le nombre d’adultes (&gt; 15 ans) sous traitement antirétroviral, par type de schéma thérapeutique (c.-à-d. les schémas thérapeutiques de première, de deuxième et de troisième intentions). Indiquer le nombre d’adultes sous traitement au début de la subvention (COLONNE C) et, par la suite, le nombre prévu d’adultes qui seront sous traitement à la fin de chaque année de subvention (COLONNES D à G, selon le cas).
2. LIGNES 26 et 27 : En fonction des personnes soutenues par la subvention, indiquer le nombre d’enfants (&lt; 15 ans) sous traitement antirétroviral, par type de formulation pharmaceutique (c.-à-d. les enfants avec des formulations destinées aux adultes LIGNE 26 et les enfants avec des formulations pédiatriques LIGNE 27). Indiquer le nombre d’enfants sous traitement au début de la subvention (COLONNE C) et, par la suite, le nombre prévu d’enfants qui seront sous traitement à la fin de chaque année de subvention (COLONNES D à G, selon le cas).</t>
  </si>
  <si>
    <t>INSTRUCCIONES</t>
  </si>
  <si>
    <t>1. CELDAS C40, C43, C46, C49, y C52: ¿Qué porcentaje (%) del número total de pruebas del VIH que se adquieren mediante la subvención se utilizará en cada grupo de población?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
2. CELDAS D40, D43, D46, D49, y D52: ¿Qué porcentaje (%) del número total de pruebas autoadministradas del VIH que se adquieren mediante la subvención se utilizará en cada grupo de población?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
3. CELDAS C41, C42, C44, C45, C53 y C54: para cada uno de los tres grupos de población, considerar dónde se administrarán las pruebas del VIH a los pacientes. Del número total de pruebas del VIH que se adquirirán para los tres grupos de población, qué porcentaje (%) de estas se administrará en establecimientos de salud, en comparación con las que se administrarán en la comunidad. Incluir el porcentaje en la columna o la combinación de filas pertinente e indicar cero (0) en el resto. La suma de estas celdas debe ser 100%. Si las celdas aparecen resaltadas en rojo, significa que la suma de todos los porcentajes supera el 100%. Si las celdas aparecen resaltadas en amarillo, significa que la suma de todos los porcentajes está por debajo del 100%.</t>
  </si>
  <si>
    <t>1. CELLULES C40, C43, C46, C49 ET C52 : Quel pourcentage (%) du nombre total de tests de dépistage du VIH obtenus dans le cadre de la subvention sera utilisé dans chaque groupe de population ?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
2. CELLULES D40, D43, D46, D49 ET D52 : Quel pourcentage (%) du nombre total de tests d’autodépistage du VIH obtenus dans le cadre de la subvention sera utilisé dans chaque groupe de population ?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
3. CELLULES C41, C42, C44, C45, C53 ET C54 : Pour chacun des trois groupes de population, prendre en compte le cadre dans lequel les tests de dépistage du VIH seront administrés aux clients. Sur le nombre total de tests de dépistage du VIH obtenus pour ces trois groupes de population, quel pourcentage (%) des tests de dépistage du VIH sera administré dans des établissements de santé, par rapport à ceux administrés au sein des communautés. Inclure le pourcentage dans la combinaison colonne / ligne correspondante et indiquer zéro (0) pour toutes les autres. La somme de ces cellules doit être égale à 100 %. Les cellules surlignées en rouge signifient que la somme de tous les pourcentages est supérieure à 100 %. Les cellules surlignées en jaune signifient que la somme de tous les pourcentages est inférieure à 100 %.</t>
  </si>
  <si>
    <t>1. COLUMNAS C, D, E: ¿Qué porcentaje (%) del número total de preservativos masculinos, preservativos femeninos y lubricantes que se adquieren mediante la subvención se distribuirá a cada grupo de población? Incluir el porcentaje en la columna o la combinación de filas pertinente e indicar cero (0) en el resto.
2. COLUMNAS F-J: ¿Qué porcentaje (%) del número total de pruebas de sífilis, hepatitis B, hepatitis C, embarazo y otro tipo de pruebas de diagnóstico rápido que se adquieren mediante la subvención se utilizará para cada grupo de población? Incluir el porcentaje en la columna o la combinación de filas pertinente e indicar cero (0) en el resto.
3. COLUMNAS K, L, M: ¿Qué porcentaje (%) del valor total de los reactivos de laboratorio para las pruebas de ITS, hepatitis B y hepatitis C que se adquieren mediante la subvención se utilizará para cada grupo de población? Incluir el porcentaje en la columna o la combinación de filas pertinente e indicar cero (0) en el resto.</t>
  </si>
  <si>
    <t>1. COLONNES C, D et E : Quel pourcentage (%) du nombre total de préservatifs masculins, de préservatifs féminins et de lubrifiants obtenus dans le cadre de la subvention sera distribué à chaque groupe de population ? Inclure le pourcentage dans la combinaison colonne / ligne correspondante et indiquer zéro (0) pour toutes les autres.
2. COLONNES F à J : Quel pourcentage (%) du nombre total de tests de dépistage de la syphilis, de l’hépatite B, de l’hépatite C et autres tests de dépistage rapide ainsi que de tests de grossesse obtenus dans le cadre de la subvention sera utilisé dans chaque groupe de population ? Inclure le pourcentage dans la combinaison colonne / ligne correspondante et indiquer zéro (0) pour toutes les autres.
3. COLONNES K, L ET M : Quel pourcentage (%) de la valeur totale des réactifs de laboratoire pour le dépistage des IST, de l’hépatite B et de l’hépatite C obtenus dans le cadre de la subvention sera utilisé pour chaque groupe de population ? Inclure le pourcentage dans la combinaison colonne / ligne correspondante et indiquer zéro (0) pour toutes les autres.</t>
  </si>
  <si>
    <t>1. COLUMNAS C-H: Para cada tipo de tratamiento, ¿qué porcentaje (%) del valor total de los productos que se adquieren mediante la subvención se distribuirá a cada grupo de población? Incluir el porcentaje en la columna o la combinación de filas pertinente e indicar cero (0) en el resto.</t>
  </si>
  <si>
    <t>1. COLONNES C à H : Pour chaque type de traitement, quel pourcentage (%) de la valeur totale de produits obtenus dans le cadre de la subvention sera distribué à chaque groupe de population ? Inclure le pourcentage dans la combinaison colonne / ligne correspondante et indiquer zéro (0) pour toutes les autres.</t>
  </si>
  <si>
    <t>Prix de référence (dans la devise du paiement)</t>
  </si>
  <si>
    <t>TABLA 1:
1. Columna B: Introducir el nombre completo de la organización ejecutora.
2. Columna C: Introducir una sigla para esta organización.
3. Columna D: Seleccionar el tipo de entidad ejecutora (RP, SR o EP "entidad ejecutora principal") en el menú desplegable.
4. Columnas E-G: Proporcionar el nombre y la información de contacto del punto focal para la gestión de la cadena de adquisiciones y suministros.</t>
  </si>
  <si>
    <t>TABLEAU 1 :
1. Colonne B : Inscrire le nom complet de l’organisation qui s’occupe de la mise en œuvre.
2. Colonne C : Indiquer un acronyme pour cette organisation.
3. Colonne D : Sélectionner le type d’entité de mise en œuvre (récipiendaire principal, sous-récipiendaire ou maître d’œuvre principal) dans le menu déroulant.
4. Colonnes E à G : Indiquer le nom et les coordonnées du référent pour la gestion des achats et de la chaîne d’approvisionnement.</t>
  </si>
  <si>
    <t>TABLA 2:
1. Columna A: Seleccionar el componente en el menú desplegable.
2. Columna B: Seleccionar el módulo en el menú desplegable.
3. Columna C: Seleccionar la intervención en el menú desplegable.
4. Columna D: Proporcionar una breve descripción de la actividad.
5. Columna E: Seleccionar el insumo de costos en el menú desplegable. 
6. Columna F: Seleccionar la entidad ejecutora en el menú desplegable.
7. Columnas G-J: Una vez se hayan completado todos los campos (pasos 1, 2, 3 y 5 previamente descritos), estas columnas se rellenarán automáticamente.
8. Columnas K-N: Insertar el valor por año que debe presupuestarse para estos costos.</t>
  </si>
  <si>
    <t>TABLEAU 2 :
1. Colonne A : Sélectionner la composante depuis le menu déroulant.
2. Colonne B : Sélectionner le module dans le menu déroulant.
3. Colonne C : Sélectionner l’intervention dans le menu déroulant.
4. Colonne D : Décrire brièvement l’activité.
5. Colonne E : Sélectionner l’entrée de coûts dans le menu déroulant. 
6. Colonne F : Sélectionner l’entité de mise en œuvre dans le menu déroulant.
7. Colonnes G à J : Une fois que tous les champs sont remplis (étapes 1, 2, 3 et 5 ci-dessus), ces colonnes seront automatiquement remplies.
8. Colonnes K à N : Insérer la valeur fixe par année qui doit être budgétée pour ces coûts.</t>
  </si>
  <si>
    <t>Precio de referencia (en moneda de pago)</t>
  </si>
  <si>
    <t>Meses</t>
  </si>
  <si>
    <t xml:space="preserve">Costo unitario del año 1 </t>
  </si>
  <si>
    <t>Costo total del año 1 (en moneda de subvención)</t>
  </si>
  <si>
    <t>Costo total del año 2 (en moneda de subvención)</t>
  </si>
  <si>
    <t>Costo total del año 3 (en moneda de subvención)</t>
  </si>
  <si>
    <t>Costo total del año 4 (en moneda de subvención)</t>
  </si>
  <si>
    <t>Costo total (en moneda de subvención)</t>
  </si>
  <si>
    <t>Información adicional</t>
  </si>
  <si>
    <t>Moneda del pago</t>
  </si>
  <si>
    <t xml:space="preserve">Costo total del año 1 (en moneda de subvención) </t>
  </si>
  <si>
    <t xml:space="preserve">Costo total del año 2 (en moneda de subvención) </t>
  </si>
  <si>
    <t xml:space="preserve">Costo total del año 3 (en moneda de subvención) </t>
  </si>
  <si>
    <t xml:space="preserve">Costo total del año 4 (en moneda de subvención) </t>
  </si>
  <si>
    <t xml:space="preserve">Costo total (en moneda de subvención) </t>
  </si>
  <si>
    <t>Porcentaje estimado para honorarios del ASA (7.1)</t>
  </si>
  <si>
    <t>Costo del trimestre 1 del año 4</t>
  </si>
  <si>
    <t>Costo del trimestre 2 del año 4</t>
  </si>
  <si>
    <t>Costo del trimestre 3 del año 4</t>
  </si>
  <si>
    <t>Costo del trimestre 4 del año 4</t>
  </si>
  <si>
    <t>Costo total del año 4</t>
  </si>
  <si>
    <t>Porcentaje estimado para flete y seguro (7.2)</t>
  </si>
  <si>
    <t>Porcentaje estimado para aseguramiento de la calidad/control de calidad (7.5)</t>
  </si>
  <si>
    <t>Porcentaje estimado para despacho de aduana de la gestión de adquisiciones y suministros (7.6)</t>
  </si>
  <si>
    <t>Porcentaje estimado para almacenamiento (7.3)</t>
  </si>
  <si>
    <t>Descripción de los costos (p. ej., proveedor de servicios…)</t>
  </si>
  <si>
    <t>Porcentaje estimado para distribución (7.4)</t>
  </si>
  <si>
    <t>Porcentaje estimado para otros costos (7.7)</t>
  </si>
  <si>
    <t>Costo fijo</t>
  </si>
  <si>
    <t>Componente</t>
  </si>
  <si>
    <t>Módulo</t>
  </si>
  <si>
    <t>Intervención</t>
  </si>
  <si>
    <t>Descripción de actividades</t>
  </si>
  <si>
    <t>Entidad ejecutora</t>
  </si>
  <si>
    <t>Lugar</t>
  </si>
  <si>
    <t>Modalidad de pago</t>
  </si>
  <si>
    <t>Fuente de los fondos</t>
  </si>
  <si>
    <t>Costo año 1</t>
  </si>
  <si>
    <t>Costo año 2</t>
  </si>
  <si>
    <t>Costo año 3</t>
  </si>
  <si>
    <t>Costo año 4</t>
  </si>
  <si>
    <t>Definir entidad ejecutora</t>
  </si>
  <si>
    <t>Número de secuencia</t>
  </si>
  <si>
    <t>Nombre de la entidad ejecutora</t>
  </si>
  <si>
    <t>Sigla</t>
  </si>
  <si>
    <t>Tipo (MM)</t>
  </si>
  <si>
    <t>Punto focal de gestión de la cadena de adquisiciones y suministros</t>
  </si>
  <si>
    <t>Teléfono de gestión de la cadena de adquisiciones y suministros</t>
  </si>
  <si>
    <t>Correo electrónico de gestión de la cadena de adquisiciones y suministros</t>
  </si>
  <si>
    <t>Costo de la entidad ejecutora</t>
  </si>
  <si>
    <t>Sigla de la entidad ejecutora</t>
  </si>
  <si>
    <t>Total del año 1</t>
  </si>
  <si>
    <t>Total del año 2</t>
  </si>
  <si>
    <t>Total del año 3</t>
  </si>
  <si>
    <t>Total del año 4</t>
  </si>
  <si>
    <t>Salida total de efectivo de años 1-4</t>
  </si>
  <si>
    <t>Costo de SSRS</t>
  </si>
  <si>
    <t>Mois</t>
  </si>
  <si>
    <t xml:space="preserve">Coût unitaire année 1 </t>
  </si>
  <si>
    <t>Coût total année 1 (dans la devise de la subvention)</t>
  </si>
  <si>
    <t>Coût total année 2 (dans la devise de la subvention)</t>
  </si>
  <si>
    <t>Coût total année 3 (dans la devise de la subvention)</t>
  </si>
  <si>
    <t>Coût total année 4 (dans la devise de la subvention)</t>
  </si>
  <si>
    <t>Coût total (dans la devise de la subvention)</t>
  </si>
  <si>
    <t>Détails du produit</t>
  </si>
  <si>
    <t>Détails supplémentaires</t>
  </si>
  <si>
    <t xml:space="preserve">Coût total année 1 (dans la devise de la subvention) </t>
  </si>
  <si>
    <t xml:space="preserve">Coût total année 2 (dans la devise de la subvention) </t>
  </si>
  <si>
    <t xml:space="preserve">Coût total année 3 (dans la devise de la subvention) </t>
  </si>
  <si>
    <t xml:space="preserve">Coût total année 4 (dans la devise de la subvention) </t>
  </si>
  <si>
    <t xml:space="preserve">Coût total (dans la devise de la subvention) </t>
  </si>
  <si>
    <t>Estimation en pourcentages (%) des honoraires de l’agent chargé des achats (7.1)</t>
  </si>
  <si>
    <t>Coût au T1 année 4</t>
  </si>
  <si>
    <t>Coût au T2 année 4</t>
  </si>
  <si>
    <t>Coût au T3 année 4</t>
  </si>
  <si>
    <t>Coût au T4 année 4</t>
  </si>
  <si>
    <t>Coût total année 4</t>
  </si>
  <si>
    <t>Estimation en pourcentages (%) des coûts de fret et d’assurance (7.2)</t>
  </si>
  <si>
    <t>Estimation en pourcentages (%) de l’assurance qualité et du contrôle qualité (7.5)</t>
  </si>
  <si>
    <t>Estimation en pourcentages (%) du dédouanement lié à la gestion des achats et à la chaîne d’approvisionnement (7.6)</t>
  </si>
  <si>
    <t>Estimation en pourcentages (%) de l’entreposage (7.3)</t>
  </si>
  <si>
    <t>Description des coûts (p. ex. le prestataire de services)</t>
  </si>
  <si>
    <t>Estimation en pourcentages (%) de la distribution (7.4)</t>
  </si>
  <si>
    <t>Estimation en pourcentages (%) des autres coûts (7.7)</t>
  </si>
  <si>
    <t>Coûts fixes</t>
  </si>
  <si>
    <t>Composante</t>
  </si>
  <si>
    <t>Description des activités</t>
  </si>
  <si>
    <t>Entité de mise en œuvre</t>
  </si>
  <si>
    <t>Zone géographique</t>
  </si>
  <si>
    <t>Modalités de paiement</t>
  </si>
  <si>
    <t>Origine des fonds</t>
  </si>
  <si>
    <t>Coût année 1</t>
  </si>
  <si>
    <t>Coût année 2</t>
  </si>
  <si>
    <t>Coût année 3</t>
  </si>
  <si>
    <t>Coût année 4</t>
  </si>
  <si>
    <t>Définir l’entité de mise en œuvre</t>
  </si>
  <si>
    <t>Numéro de séquence</t>
  </si>
  <si>
    <t>Nom de l’entité de mis en en œuvre</t>
  </si>
  <si>
    <t>Acronyme</t>
  </si>
  <si>
    <t>Type (MM)</t>
  </si>
  <si>
    <t>Référent pour la gestion des achats et de la chaîne d’approvisionnement</t>
  </si>
  <si>
    <t>Téléphone pour la gestion des achats et de la chaîne d’approvisionnement</t>
  </si>
  <si>
    <t>Courriel pour la gestion des achats et de la chaîne d’approvisionnement</t>
  </si>
  <si>
    <t>Coût de l’entité de mise en œuvre</t>
  </si>
  <si>
    <t>Acronyme de l’entité de mise en œuvre</t>
  </si>
  <si>
    <t>Total année 1</t>
  </si>
  <si>
    <t>Total année 2</t>
  </si>
  <si>
    <t>Total année 3</t>
  </si>
  <si>
    <t>Total année 4</t>
  </si>
  <si>
    <t>Total des sorties de trésorerie années 1 à 4</t>
  </si>
  <si>
    <t>Coût des SRPS</t>
  </si>
  <si>
    <t>Health Product Management Template - RSSH - Set up</t>
  </si>
  <si>
    <t>D8</t>
  </si>
  <si>
    <t>Plantilla para la gestión de productos sanitarios - SSRS - Configuración</t>
  </si>
  <si>
    <t>Document type de gestion des produits de santé - SRPS - Configuration</t>
  </si>
  <si>
    <t>HPMT rellenada por:</t>
  </si>
  <si>
    <t>Document type de gestion des produits de santé rempli par :</t>
  </si>
  <si>
    <t>Escriba las primeras letras del nombre de su país, haga clic en "entrar" y utilice el menú desplegable para seleccionar el país.</t>
  </si>
  <si>
    <t>Tapez les premières lettres du nom de votre pays, cliquez sur Entrée, puis utilisez le menu déroulant pour sélectionner votre pays</t>
  </si>
  <si>
    <t>Elija su idioma preferido en el menú desplegable: inglés, francés o español</t>
  </si>
  <si>
    <t>Sélectionnez la langue de votre choix dans le menu déroulant (anglais, français, espagnol)</t>
  </si>
  <si>
    <t>Este campo se define por defecto en función de la versión de la plantilla que usted ha decidido utilizar</t>
  </si>
  <si>
    <t>Ce champ est défini par défaut par rapport à la version du document type que vous avez choisi d’utiliser</t>
  </si>
  <si>
    <t>Para todo el año</t>
  </si>
  <si>
    <t>Pour toute l’année</t>
  </si>
  <si>
    <t>Subreceptor/Entidad ejecutora:</t>
  </si>
  <si>
    <t>Sous-récipiendaire / entité de mise en œuvre :</t>
  </si>
  <si>
    <t>Período de la subvención</t>
  </si>
  <si>
    <t>Période de la subvention</t>
  </si>
  <si>
    <t>Año 1</t>
  </si>
  <si>
    <t>Année 1</t>
  </si>
  <si>
    <t>Año 2</t>
  </si>
  <si>
    <t>Année 2</t>
  </si>
  <si>
    <t>Año 3</t>
  </si>
  <si>
    <t>Année 3</t>
  </si>
  <si>
    <t>Año 4</t>
  </si>
  <si>
    <t>Année 4</t>
  </si>
  <si>
    <t>Fecha de inicio</t>
  </si>
  <si>
    <t>Date de début</t>
  </si>
  <si>
    <t>Fecha de finalización</t>
  </si>
  <si>
    <t>Date de fin</t>
  </si>
  <si>
    <t>Si su subvención comienza o finaliza en medio de un trimestre, o si el período de ejecución es diferente del año fiscal del país, introduzca la fecha de finalización del año 1 de la subvención. La fecha de finalización del año solo puede ser el 31 de marzo, el 30 de junio, el 30 de septiembre y el 31 de diciembre</t>
  </si>
  <si>
    <t>Si votre subvention commence ou se termine dans un trimestre, ou si la période de mise en œuvre est différente de l’exercice financier du pays, veuillez saisir la date de fin pour l’année 1 de la subvention. La date de fin de l’exercice doit être le 31 mars, le 30 juin, le 30 septembre ou le 31 décembre</t>
  </si>
  <si>
    <t>Tabla de versiones</t>
  </si>
  <si>
    <t>Tableau des versions</t>
  </si>
  <si>
    <t>Enviada por el RP/SR (autocompletada por el RP/SR)</t>
  </si>
  <si>
    <t>Fecha de presentación (rellenada por el RP/SR)</t>
  </si>
  <si>
    <t>Date de dépôt (rempli par le récipiendaire principal / sous-récipiendaire)</t>
  </si>
  <si>
    <t>Aprobada por nombre de gestión de productos sanitarios</t>
  </si>
  <si>
    <t>Approuvé par nom de gestion des produits de santé</t>
  </si>
  <si>
    <t>Seleccione la versión de aprobación de la HPMT</t>
  </si>
  <si>
    <t>Sélectionnez la version d’approbation du document type de gestion des produits de santé</t>
  </si>
  <si>
    <t>Este campo se rellenará automáticamente en función de la versión seleccionada</t>
  </si>
  <si>
    <t>Ce champ est automatiquement renseigné en fonction de la version sélectionnée</t>
  </si>
  <si>
    <t>Proporcione la fecha en que se envía al Equipo de País la versión final de la HPMT</t>
  </si>
  <si>
    <t>Indiquez la date à laquelle la version finale du document type de gestion des produits de santé est envoyée à l’équipe de pays</t>
  </si>
  <si>
    <t>Proporcione el nombre del miembro del Equipo de País que aprobó la HPMT</t>
  </si>
  <si>
    <t>Indiquez le nom du membre de l’équipe de pays approuvant le document type de gestion des produits de santé</t>
  </si>
  <si>
    <t>Proporcione la fecha de aprobación</t>
  </si>
  <si>
    <t>Indiquez la date d’approbation</t>
  </si>
  <si>
    <t>Elija la subvención del menú desplegable</t>
  </si>
  <si>
    <t>Choisissez la subvention dans le menu déroulant</t>
  </si>
  <si>
    <t>Para cada grupo de productos que se vaya a adquirir con la subvención, seleccione en el menú desplegable el canal de adquisiciones, cuándo desembolsará los fondos el Fondo Mundial y cuánto tiempo transcurre desde la conformación del orden de compra de los productos hasta su entrega en el país.</t>
  </si>
  <si>
    <t>Pour chaque groupe de produits achetés au titre de la subvention, sélectionnez – dans les menus déroulants – le canal d’approvisionnement, la date où les fonds seront décaissés par le Fonds mondial et le délai entre l’émission du bon de commande des produits et leur livraison dans le pays.</t>
  </si>
  <si>
    <t>Para presupuestar los costos de la cadena de suministros dentro del país para cada grupo de producto que se vaya a adquirir con la subvención, indique si se trata de un costo "basado en el porcentaje", un "costo fijo" o una combinación de ambos</t>
  </si>
  <si>
    <t>Indiquez si la budgétisation des coûts de la chaîne d’approvisionnement dans le pays, pour chaque groupe de produits achetés au titre de la subvention, est « basée sur des % », « à coût fixe » ou « mixte »</t>
  </si>
  <si>
    <t>El RP/entidad ejecutora deberán rellenar todas las celdas en amarillo
COLUMNA C: representa los kits de pruebas que debe administrar una persona que ha recibido formación sobre asesoramiento y pruebas del VIH
COLUMNA D: representa los kits de pruebas que se proporcionan a las personas para que se realicen a sí mismas las pruebas del VIH (no es necesario que las realice una persona formada para ello)
FILAS 40, 43, 46, 49 y 52: representan los diferentes grupos de población que recibirán las pruebas, y están alineados con el marco modular.</t>
  </si>
  <si>
    <t>Toutes les cellules jaunes doivent être remplies par le récipiendaire principal / l’entité de mise en œuvre
La COLONNE C représente les trousses de dépistage qui devraient être administrées par une personne ayant reçu une formation sur le dépistage du VIH et les services de conseil en lien
La COLONNE D représente les trousses de dépistage qui sont fournies aux personnes pour qu’elles réalisent un test d’autodépistage du VIH (c.-à-d. que les trousses n’ont pas besoin d’être administrées par une personne formée pour réaliser le test)
Les LIGNES 40, 43, 46, 49 et 52 représentent différents groupes de population qui se feront dépister ; ces groupes correspondent à ceux du cadre modulaire</t>
  </si>
  <si>
    <t>El RP/entidad ejecutora deberán rellenar todas las celdas en amarillo
La suma de cada columna individual debe ser 100%. Si la columna aparece resaltada en rojo, significa que la suma de todos los porcentajes supera el 100%. Si la columna aparece resaltada en amarillo, significa que la suma de todos los porcentajes está por debajo del 100%.
FILAS 62-71: representan los diferentes grupos de población que recibirán los diferentes servicios de prevención, y están alineados con el marco modular.
Las celdas con N/A indican que ese producto sanitario específico no es pertinente o no se utiliza para ese grupo de población concreto.</t>
  </si>
  <si>
    <t>Toutes les cellules jaunes doivent être remplies par le récipiendaire principal / l’entité de mise en œuvre
La somme de chaque colonne individuelle doit être égale à 100 %. La colonne surlignée en rouge signifie que la somme de tous les pourcentages est supérieure à 100 %. La colonne surlignée en jaune signifie que la somme de tous les pourcentages est inférieure à 100 %.
Les LIGNES 62 à 71 représentent différents groupes de population qui recevront des services de prévention ; ces groupes correspondent à ceux du cadre modulaire.
Les cellules avec S.O. indiquent que le produit de santé spécifique n’est pas pertinent / applicable au groupe de population spécifique.</t>
  </si>
  <si>
    <t>El RP/entidad ejecutora deberán rellenar todas las celdas en amarillo
La suma de cada columna individual debe ser 100%. Si la columna aparece resaltada en rojo, significa que la suma de todos los porcentajes supera el 100%. Si la columna aparece resaltada en amarillo, significa que la suma de todos los porcentajes está por debajo del 100%.
FILAS 78-87: representan los diferentes grupos de población que recibirán los diferentes servicios de prevención, y están alineados con el marco modular.
Las celdas con N/A indican que ese producto sanitario específico no es pertinente o no se utiliza para ese grupo de población concreto.</t>
  </si>
  <si>
    <t>Toutes les cellules jaunes doivent être remplies par le récipiendaire principal / l’entité de mise en œuvre
La somme de chaque colonne individuelle doit être égale à 100 %. La colonne surlignée en rouge signifie que la somme de tous les pourcentages est supérieure à 100 %. La colonne surlignée en jaune signifie que la somme de tous les pourcentages est inférieure à 100 %.
Les LIGNES 78 à 87 représentent différents groupes de population qui recevront des services de prévention ; ces groupes correspondent à ceux du cadre modulaire.
Les cellules avec S.O. indiquent que le produit de santé spécifique n’est pas pertinent / applicable au groupe de population spécifique.</t>
  </si>
  <si>
    <t>INSTRUCCIONES
El RP/entidad ejecutora deberán rellenar todas las celdas en amarillo
La TABLA 1 refleja las pruebas diagnósticas básicas utilizadas para el tamizaje y el diagnóstico de la tuberculosis
La TABLA 2 refleja las pruebas diagnósticas utilizadas para determinar los patrones de resistencia en pacientes que han sido diagnosticados con tuberculosis
La TABLA 3 refleja el número de personas diagnosticadas con tuberculosis cuyo tratamiento de la tuberculosis se monitorea con microscopia o cultivos
FILAS 36-43 y 22 etc.: representan los diferentes grupos de población que se someterán al tamizaje y pruebas, y están alineados con el marco modular.
1. TABLA 1: Basándose en las pruebas cubiertas por la subvención, proporcionar el número de personas, desglosado por grupo de población, que se someterán al tamizaje y pruebas cada año de la subvención.
2. TABLA 2: Basándose en las pruebas cubiertas por la subvención, proporcionar el número de personas, desglosado por grupo de población, que se derivarán a pruebas adicionales de resistencia cada año de la subvención.
3. TABLA 3: Basándose en las pruebas cubiertas por la subvención, proporcionar una indicación de la distribución entre la microscopia y los cultivos utilizados para monitorear el tratamiento con el fin de detectar la tuberculosis sensible a los fármacos y farmacorresistente.</t>
  </si>
  <si>
    <t>INSTRUCTIONS
Toutes les cellules jaunes doivent être remplies par le récipiendaire principal / l’entité de mise en œuvre
Le TABLEAU 1 indique les tests de diagnostic de base utilisés pour le dépistage et le diagnostic de la tuberculose
Le TABLEAU 2 indique les tests de diagnostic utilisés pour déterminer les schémas de résistance chez les patients ayant reçu un diagnostic de tuberculose.
Le TABLEAU 3 indique le nombre de personnes chez qui on a diagnostiqué une tuberculose et dont le traitement est surveillé par microscopie et/ou culture
Les LIGNES 36 à 43 et 22 etc. représentent différents groupes de population qui se feront dépister et tester ; ces groupes correspondent à ceux du cadre modulaire.
1. TABLEAU 1 : En fonction des tests achetés au moyen de la subvention, indiquez le nombre de personnes, ventilées par groupe de population, qui seront dépistées et testées chaque année de la subvention.
2. TABLEAU 2 : En fonction des tests achetés au moyen de la subvention, indiquez le nombre de personnes, ventilées par groupe de population, qui seront orientées vers des tests de résistance supplémentaires chaque année de la subvention.
3. TABLEAU 3 : En fonction des tests achetés au moyen de la subvention, fournir une indication de la répartition entre la microscopie et la culture utilisées pour le suivi du traitement de la tuberculose pharmacosensible et/ou de la tuberculose pharmacorésistante.</t>
  </si>
  <si>
    <t>INSTRUCCIONES
El RP/entidad ejecutora deberán rellenar todas las celdas en amarillo
FILAS 126-133, 135-142, 144 y 145: representan los adultos (&gt;15 años) y niños (&lt;15 años) desglosados por los diferentes grupos de población que recibirán tratamiento para la tuberculosis sensible a los fármacos, y están alineados con el marco modular.
Las celdas con N/A indican que ese producto sanitario específico no es pertinente o no se utiliza para ese grupo de población concreto.
1. Basándose en tratamiento cubierto por la subvención, proporcionar el número de personas, desglosado por adultos (&gt;15 años) y niños (&lt;15 años) y por grupo de población, que recibirán tratamiento cada año de la subvención.</t>
  </si>
  <si>
    <t>INSTRUCTIONS
Toutes les cellules jaunes doivent être remplies par le récipiendaire principal / l’entité de mise en œuvre
Les LIGNES 126 à 133, 135 à 142, 144 et 145 représentent les adultes (&gt; 15 ans) et les enfants (&lt; 15 ans) ventilés par différents groupes de population qui seront traités pour la tuberculose pharmacosensible ; ces groupes correspondent à ceux du cadre modulaire.
Les cellules avec S.O. indiquent que le produit de santé spécifique n’est pas pertinent / applicable au groupe de population spécifique.
1. En fonction du traitement acheté au moyen de la subvention, indiquez le nombre de personnes, ventilées par adultes (&gt; 15 ans) et enfants (&lt; 15 ans) et par groupe de population, qui seront traitées chaque année de la subvention.</t>
  </si>
  <si>
    <t>INSTRUCCIONES
El RP/entidad ejecutora deberán rellenar todas las celdas en amarillo
FILAS 202-209, 211-218, 220-227, 229-236 y 238-241: representan los adultos (&gt;15 años) y niños (&lt;15 años) desglosados por los diferentes grupos de población que recibirán tratamiento para la "tuberculosis resistente a la rifampicina y multirresistente" y para la "tuberculosis preultrarresistente y ultrarresistente", y están alineados con el marco modular.
Las celdas con N/A indican que ese producto sanitario específico no es pertinente o no se utiliza para ese grupo de población concreto.
1. Basándose en tratamiento cubierto por la subvención, proporcionar el número de personas, desglosado por adultos (&gt;15 años) y niños (&lt;15 años) y por grupo de población, que recibirán tratamiento cada año de la subvención.</t>
  </si>
  <si>
    <t>INSTRUCTIONS
Toutes les cellules jaunes doivent être remplies par le récipiendaire principal / l’entité de mise en œuvre
Les LIGNES 202 à 209, 211 à 218, 220 à 227, 229 à 236 et 238 à 241 représentent les adultes (&gt; 15 ans) et les enfants (&lt; 15 ans) ventilés par différents groupes de population qui seront traités pour « la tuberculose résistante à la rifampicine et la tuberculose multirésistante » et pour « la tuberculose préultrarésistante et ultrarésistante » ; ces groupes correspondent à ceux du cadre modulaire.
Les cellules avec S.O. indiquent que le produit de santé spécifique n’est pas pertinent / applicable au groupe de population spécifique.
1. En fonction du traitement acheté au moyen de la subvention, indiquez le nombre de personnes, ventilées par adultes (&gt; 15 ans) et enfants (&lt; 15 ans) et par groupe de population, qui seront traitées chaque année de la subvention.</t>
  </si>
  <si>
    <t>INSTRUCCIONES
El RP/entidad ejecutora deberán rellenar todas las celdas en amarillo
FILAS 277-285, etc.: representan el número de personas desglosadas por diferentes grupos de población a las que se prescribirá quimioprofilaxis para la tuberculosis sensible a los medicamentos o para la tuberculosis farmacorresistente, y están alineados con el marco modular.
Las celdas con N/A indican que ese producto sanitario específico no es pertinente o no se utiliza para ese grupo de población concreto.
1. Basándose en la quimioprevención cubierta por la subvención, proporcionar el número de personas, desglosado por grupo de población, que recibirá tratamiento cada año de la subvención.</t>
  </si>
  <si>
    <t>INSTRUCTIONS
Toutes les cellules jaunes doivent être remplies par le récipiendaire principal / l’entité de mise en œuvre
Les LIGNES 277 à 285 etc. représentent le nombre de personnes ventilées par différents groupes de population qui se feront prescrire de la chimioprophylaxie de la tuberculose, soit pour la tuberculose pharmacosensisble, soit pour la tuberculose pharmacorésistante ; ces groupes correspondent à ceux du cadre modulaire.
Les cellules avec S.O. indiquent que le produit de santé spécifique n’est pas pertinent / applicable au groupe de population spécifique.
1. En fonction de la chimioprévention fournie au moyen de la subvention, indiquez le nombre de personnes, ventilées par groupe de population, qui seront traitées chaque année de la subvention.</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</si>
  <si>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8-28: representan diferentes proveedores de servicios para el diagnóstico y el tratamiento de la malaria, y están alineados con el marco modular.
1. FILAS 11-14: ¿Qué porcentaje (%) del número total de pruebas de diagnóstico rápido de la malaria que se adquieren mediante la subvención distribuirá cada tipo de proveedor de servicios? Incluir el porcentaje en la columna o la combinación de filas pertinente e indicar cero (0) en el resto.
2. FILAS 16-19: ¿Qué porcentaje (%) del valor total de la microscopia, de los productos sanitarios que se adquieren mediante la subvención, utilizará cada tipo de proveedor de servicios? Incluir el porcentaje en la columna o la combinación de filas pertinente e indicar cero (0) en el resto.
3. FILAS 25-28: ¿Qué porcentaje (%) del número total de tratamientos de primera línea para la malaria que se adquieren mediante la subvención distribuirá cada tipo de proveedor de servicios?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</si>
  <si>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8 à 28 représentent différents prestataires de services pour le diagnostic et le traitement du paludisme ; ces groupes correspondent à ceux du cadre modulaire.
1. LIGNES 11 à 14 : Quel pourcentage (%) du nombre total de tests de dépistage rapide du paludisme achetés dans le cadre de la subvention sera distribué par le biais de chaque type de prestataire de services ? Veuillez inclure le pourcentage dans la combinaison colonne / ligne correspondante et indiquer zéro (0) pour toutes les autres.
2. LIGNES 16 à 19 : Quel pourcentage (%) de la valeur totale de la microscopie et des produits de santé achetés dans le cadre de la subvention sera utilisé par chaque type de prestataire de services ? Veuillez inclure le pourcentage dans la combinaison colonne / ligne correspondante et indiquer zéro (0) pour toutes les autres.
3. LIGNES 25 à 28 : Quel pourcentage (%) du nombre total de traitements de première intention du paludisme achetés dans le cadre de la subvention sera distribué par le biais de chaque type de prestataire de services ? Veuillez inclure le pourcentage dans la combinaison colonne / ligne correspondante et indiquer zéro (0) pour toutes les autres.</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</si>
  <si>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31-39: representan diferentes enfoques de la quimioprofilaxis de la malaria, y están alineados con el marco modular.
1. FILAS 34-39: ¿Qué porcentaje (%) del número total de medicamentos antimaláricos para la quimioprevención que se adquieren mediante la subvención se utilizará para cada tipo de actividad?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</si>
  <si>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31 à 39 représentent différentes approches de chimioprophylaxie du paludisme ; ces groupes correspondent à ceux du cadre modulaire.
1. LIGNES 34 à 39 : Quel pourcentage (%) du nombre total de médicaments de chimioprévention du paludisme achetés dans le cadre de la subvention sera utilisé pour chaque type d’activité ? Veuillez inclure le pourcentage dans la combinaison colonne / ligne correspondante et indiquer zéro (0) pour toutes les autres.</t>
  </si>
  <si>
    <t>INSTRUCCIONES
El RP/entidad ejecutora deberán rellenar todas las celdas en amarillo
La suma de cada columna individual de cada sección debe ser 100%. Si la columna aparece resaltada en rojo, significa que la suma de todos los porcentajes supera el 100%. Si la columna aparece resaltada en amarillo, significa que la suma de todos los porcentajes está por debajo del 100%.
FILAS 42-48: representan las diferentes rutas para la distribución continua de mosquiteros, y están alineadas con el marco modular.
1. FILAS 34-39: ¿Qué porcentaje (%) del número total de mosquiteros que se adquieren mediante la subvención para la distribución continua se utilizará por ruta de distribución? Incluir el porcentaje en la columna o la combinación de filas pertinente e indicar cero (0) en el resto.</t>
  </si>
  <si>
    <t>INSTRUCTIONS
Toutes les cellules jaunes doivent être remplies par le récipiendaire principal / l’entité de mise en œuvre
La somme de chaque colonne individuelle dans chaque section doit être égale à 100 %. La colonne surlignée en rouge signifie que la somme de tous les pourcentages est supérieure à 100 %. La colonne surlignée en jaune signifie que la somme de tous les pourcentages est inférieure à 100 %.
Les LIGNES 42 à 48 représentent différents itinéraires pour la distribution continue de moustiquaires ; ces groupes correspondent à ceux du cadre modulaire.
1. LIGNES 34 à 39 : Quel pourcentage (%) du nombre total de moustiquaires achetées dans le cadre de la subvention pour une distribution continue sera utilisé pour l’itinéraire de distribution ? Veuillez inclure le pourcentage dans la combinaison colonne / ligne correspondante et indiquer zéro (0) pour toutes les autres.</t>
  </si>
  <si>
    <t>INSTRUCCIONES
El RP/entidad ejecutora deberán rellenar todas las celdas en amarillo
La suma de estas dos celdas debe ser 100%. Si la columna aparece resaltada en rojo, significa que la suma de todos los porcentajes supera el 100%. Si la columna aparece resaltada en amarillo, significa que la suma de todos los porcentajes está por debajo del 100%.
FILAS 52-56: representan las actividades de vigilancia de la malaria, y están alineadas con el marco modular.
1. CELDAS C55 y C56: ¿Qué porcentaje (%) del valor total de las actividades de vigilancia, para los productos sanitarios que se adquieren mediante la subvención, se utilizará para cada tipo de actividad? Incluir el porcentaje en la columna o la combinación de filas pertinente e indicar cero (0) en el resto.</t>
  </si>
  <si>
    <t>INSTRUCTIONS
Toutes les cellules jaunes doivent être remplies par le récipiendaire principal / l’entité de mise en œuvre
La somme de ces deux cellules doit être égale à 100 %. La colonne surlignée en rouge signifie que la somme de tous les pourcentages est supérieure à 100 %. La colonne surlignée en jaune signifie que la somme de tous les pourcentages est inférieure à 100 %.
Les LIGNES 52 à 56 représentent les activités de surveillance du paludisme ; ces groupes correspondent à ceux du cadre modulaire.
1. CELLULES C55 et C56 : Quel pourcentage (%) de la valeur totale des activités de surveillance des produits de santé achetés dans le cadre de la subvention sera utilisé pour chaque type d’activité ? Veuillez inclure le pourcentage dans la combinaison colonne / ligne correspondante et indiquer zéro (0) pour toutes les autres.</t>
  </si>
  <si>
    <t>This worksheet is intended to capture the health products' costs (Finance Cost Groupings 4, 5, 6, and 7) associated with 3 RSSH Modules - "RSSH: Health products management systems", "RSSH/PP: Laboratory Systems (including national and peripheral", and "RSSH/PP: Medical Oxygen and respiratory care system". NOTE: all other costs must still be captured in the Finance Detailed Budget template.
1. Column B: Select the Module from the drop-down menu.
2. Column C: Select the Intervention from the drop-down menu.
3. Column D: Provide a short description of the activity.
4. Column E: Select the Cost Input from the drop-down menu. 
5. Columns F-I: Once all the fields are populated (steps 1, 2, and 4, above), these columns will automatically populate.
6. Columns J-M: Insert the value per year that must be budgeted for these costs. NOTE: supporting information that justifies these lump sum values must still be provided separately; discuss what is required with your Country Team.</t>
  </si>
  <si>
    <t>Esta hoja de cálculo pretende capturar los costos de los productos sanitarios (agrupaciones de costos financieros 4, 5, 6 y 7) asociados con tres módulos de SSRS - "SSRS: sistemas de gestión de productos sanitarios", "SSRS y preparación frente a pandemias: sistemas de laboratorios (incluidos los laboratorios nacionales y periféricos)", y "SSRS y preparación frente a pandemias: sistemas de oxígeno médico y atención respiratoria". NOTA: El resto de los costos deben seguir reflejándose en la plantilla del presupuesto financiero detallado.
1. Columna B: Seleccionar el módulo en el menú desplegable.
2. Columna C: Seleccionar la intervención en el menú desplegable.
3. Columna D: Proporcionar una breve descripción de la actividad.
4. Columna E: Seleccionar el insumo de costos en el menú desplegable. 
5. Columnas F-I: Una vez se hayan completado todos los campos (pasos 1, 2 y 4 previamente descritos), estas columnas se rellenarán automáticamente.
6. Columnas J-M: Insertar el valor por año que debe presupuestarse para estos costos. NOTA: Sigue siendo necesario proporcionar por separado información de apoyo para justificar estas sumas globales; se debe consultar al Equipo de País qué se necesita.</t>
  </si>
  <si>
    <t>Cette feuille de calcul vise à saisir les coûts des produits de santé (groupe de coûts financiers 4, 5, 6 et 7) associés aux 3 modules SRPS - « SRPS : systèmes de gestion des produits de santé », « SRPS / préparation aux pandémies : systèmes de laboratoire (y compris nationaux et périphériques) » et « SRPS / préparation aux pandémies : oxygène médical et système de soins respiratoires ». REMARQUE : Tous les autres coûts doivent toujours être saisis dans le document type du budget détaillé des Finances.
1. Colonne B : Sélectionner le module dans le menu déroulant.
2. Colonne C : Sélectionner l’intervention dans le menu déroulant.
3. Colonne D : Décrire brièvement l’activité.
4. Colonne E : Sélectionner l’entrée de coûts dans le menu déroulant. 
5. Colonnes F à I : Une fois que tous les champs sont remplis (étapes 1, 2 et 4 ci-dessus), ces colonnes seront automatiquement remplies.
6. Colonnes J à M : Insérer la valeur fixe par année qui doit être budgétée pour ces coûts REMARQUE : Les informations qui justifient ces valeurs forfaitaires doivent toujours être fournies séparément ; veuillez discuter de ce qui est requis avec votre équipe de pays.</t>
  </si>
  <si>
    <t>1. COLUMNS C, D, E: What percentage (%) of the total number of male condoms, female condoms, and lubricants, that are being procured under the grant, will be distributed to each Population Group? Please include the % in the relevant column/row combination and reflect zero (0) for all other.
2. COLUMNS F - J: What percentage (%) of the total number of syphilis, Hepatitis B, Hepatitis C, Pregnancy, and Other RDTs, that are being procured under the grant, will be used in each Population Group? Please include the % in the relevant column/row combination and reflect zero (0) for all other.
3. COLUMNS K, L, M: What percentage (%) of the total value of laboratory reagents for STI, Hepatitis B, and Hepatitis C testing, that are being procured under the grant, will be used for each Population Group? Please include the % in the relevant column/row combination and reflect zero (0) for all other.</t>
  </si>
  <si>
    <t>Fill the SR/Implementer name in cell J7</t>
  </si>
  <si>
    <t>Rellene el nombre del SR o entidad ejecutora en la celda J7</t>
  </si>
  <si>
    <t>Remplissez le nom du sous-récipiendaire / de l’entité de mise en œuvre dans la cellule J7</t>
  </si>
  <si>
    <t>AMP</t>
  </si>
  <si>
    <t>last Row of table</t>
  </si>
  <si>
    <t>4/5 digit</t>
  </si>
  <si>
    <t>Not Applicable</t>
  </si>
  <si>
    <t>If PR name in J5 is not populated automatically or if value is NA or if PR name is incorrect, please indicate the PR name manually in the field M5</t>
  </si>
  <si>
    <t>Implementation Period Start Date (DD-MMM-YYYY):</t>
  </si>
  <si>
    <t>Implementation Period End Date (DD-MMM-YYYY):</t>
  </si>
  <si>
    <t>LAST UPDATE (DD-MMM-YYYY)</t>
  </si>
  <si>
    <t>if blank-default value</t>
  </si>
  <si>
    <t>n1</t>
  </si>
  <si>
    <t>lst date of submission of PR</t>
  </si>
  <si>
    <t xml:space="preserve">Health Product Management Template - Search Products </t>
  </si>
  <si>
    <t>Lead Time</t>
  </si>
  <si>
    <t>* This search tool can be used to look for worksheet(s) and section where a particular product is available in Slicer.
* User can enter few characters to search product name in "Each"
* For a  particular item all available packaging will be displayed in "Packaging"
* On Selecting the desired packaging the Worksheet, Section and category is displayed where that particular item is available.
* There can be more than one worksheet, sections where an item is available.</t>
  </si>
  <si>
    <t>1. Click on filter icon shown by arrow.</t>
  </si>
  <si>
    <t>3. Select one of more items from shortlisted list</t>
  </si>
  <si>
    <t>2. A pop up window will open. Please type a few charcaters of item you are looking for in the "Search" section.</t>
  </si>
  <si>
    <t>4. All available packaging will appear in the Slicer below for "Packaging"</t>
  </si>
  <si>
    <t>5. Select the relevant packaging.</t>
  </si>
  <si>
    <t xml:space="preserve">           Click to Search Slicer</t>
  </si>
  <si>
    <t xml:space="preserve">
Date de début de la période d'implémentation (JJ-MMM-AAAA) :</t>
  </si>
  <si>
    <t xml:space="preserve">
Tasa de conversión de USD (para el Período de Implementación)</t>
  </si>
  <si>
    <t>ÚLTIMA ACTUALIZACIÓN (DD-MMM-AAAA)</t>
  </si>
  <si>
    <t>Fecha de inicio del período de implementación (DD-MMM-AAAA):</t>
  </si>
  <si>
    <t xml:space="preserve">
Fecha de finalización del período de implementación (DD-MMM-AAAA):</t>
  </si>
  <si>
    <t>Taux de conversion en USD (pour la Période d'Implémentation)</t>
  </si>
  <si>
    <t>Si el nombre del RP en J5 no se completa automáticamente o si el valor es NA o si el nombre del RP es incorrecto, indíquelo manualmente en el campo M5</t>
  </si>
  <si>
    <t>DERNIÈRE MISE À JOUR (JJ-MMM-AAAA)</t>
  </si>
  <si>
    <t xml:space="preserve">
Date de fin de la période d'implémentation (JJ-MMM-AAAA) :</t>
  </si>
  <si>
    <t>USD Conversion Rate (for the Implementation Period)</t>
  </si>
  <si>
    <t>=</t>
  </si>
  <si>
    <t>Group of Country name</t>
  </si>
  <si>
    <t>Group of country ID</t>
  </si>
  <si>
    <t>Multicountry Asia IHAA</t>
  </si>
  <si>
    <t>a49360000005CUi</t>
  </si>
  <si>
    <t>Multicountry HIV SEA AFAO</t>
  </si>
  <si>
    <t>a4936000000ws6L</t>
  </si>
  <si>
    <t>Multicountry Caribbean MCC</t>
  </si>
  <si>
    <t>a49360000005CUg</t>
  </si>
  <si>
    <t>Multicountry Eastern Africa IGAD</t>
  </si>
  <si>
    <t>a49360000005CUS</t>
  </si>
  <si>
    <t>a49360000005CUt</t>
  </si>
  <si>
    <t>Multicountry TB Asia TEAM</t>
  </si>
  <si>
    <t>a4936000000wr4O</t>
  </si>
  <si>
    <t>Multicountry East Asia and Pacific RAI</t>
  </si>
  <si>
    <t>a49360000005CUm</t>
  </si>
  <si>
    <t>Multicountry TB Asia UNDP</t>
  </si>
  <si>
    <t>a4936000000wr1t</t>
  </si>
  <si>
    <t>Multicountry Middle East MER</t>
  </si>
  <si>
    <t>a49360000005CUY</t>
  </si>
  <si>
    <t>Multicountry East Asia and Pacific APN</t>
  </si>
  <si>
    <t>a49360000005CUs</t>
  </si>
  <si>
    <t>Multicountry EECA PAS</t>
  </si>
  <si>
    <t>a49360000005CUk</t>
  </si>
  <si>
    <t>Multicountry MENA Key Populations</t>
  </si>
  <si>
    <t>a4936000000wr4E</t>
  </si>
  <si>
    <t>Multicountry EECA IHAU</t>
  </si>
  <si>
    <t>a49360000005CUZ</t>
  </si>
  <si>
    <t>Multicountry HIV EECA APH</t>
  </si>
  <si>
    <t>a4936000000wr1y</t>
  </si>
  <si>
    <t>This worksheet is intended to capture information on health products for ‘Other Implementers’ (other than one indicated on the Setup Worksheet) whose health products budget does not exceed US$ 500’000. This worksheet may capture information for more than 1 implementer. For further information, please refer to Health Product Management Template User Guidelines.</t>
  </si>
  <si>
    <t>This worksheet is intended to capture information on health products for ‘Other Implementers’ (other than one indicated on the Setup Worksheet) whose health products budget does not exceed US$ 500,000. This worksheet may capture information for more than 1 implementer. For further information, please refer to Health Product Management Template User Guidelines.</t>
  </si>
  <si>
    <t>Esta hoja de trabajo está destinada a capturar información sobre productos de salud para 'Otros implementadores' (distintos de los indicados en la Hoja de trabajo de configuración) cuyo presupuesto de productos de salud no exceda los US$ 500 000. Esta hoja de trabajo puede capturar información para más de 1 implementador. Para obtener más información, consulte las Directrices para el usuario de la plantilla de gestión de productos sanitarios.</t>
  </si>
  <si>
    <t>Cette feuille de calcul est destinée à saisir des informations sur les produits de santé pour les « autres responsables de la mise en œuvre » (autre que celui indiqué sur la feuille de travail de configuration) dont le budget des produits de santé ne dépasse pas 500 000 USD. Cette feuille de travail peut saisir des informations pour plus d'un exécutant. Pour plus d'informations, veuillez consulter les directives d'utilisation du modèle de gestion des produits de santé.</t>
  </si>
  <si>
    <t>(All)</t>
  </si>
  <si>
    <t>Plantilla de gestión de productos sanitarios: configuración</t>
  </si>
  <si>
    <t>Modèle de gestion des produits de santé - Configuration</t>
  </si>
  <si>
    <t>Please select the grant currency (automatically populated value can be changed)</t>
  </si>
  <si>
    <t>Seleccione la moneda de la subvención (el valor que se completa automáticamente se puede cambiar)</t>
  </si>
  <si>
    <t>Veuillez sélectionner la devise de la subvention (la valeur renseignée automatiquement peut être modifiée)</t>
  </si>
  <si>
    <t>Currency-Grant_specific</t>
  </si>
  <si>
    <t>Currency-Country</t>
  </si>
  <si>
    <t>Health Product Management Template - Multi - Set up</t>
  </si>
  <si>
    <t>Year 5</t>
  </si>
  <si>
    <t>Year 6</t>
  </si>
  <si>
    <t>Y5 Unit cost</t>
  </si>
  <si>
    <t>Y5 Q1 quantity</t>
  </si>
  <si>
    <t>Y5 Q2 quantity</t>
  </si>
  <si>
    <t>Y5 Q3 quantity</t>
  </si>
  <si>
    <t>Y5 Q4 quantity</t>
  </si>
  <si>
    <t>Y5 Total quantity</t>
  </si>
  <si>
    <t>Y6 Unit cost</t>
  </si>
  <si>
    <t>Y6 Q1 quantity</t>
  </si>
  <si>
    <t>Y6 Q2 quantity</t>
  </si>
  <si>
    <t>Y6 Q3 quantity</t>
  </si>
  <si>
    <t>Y6 Q4 quantity</t>
  </si>
  <si>
    <t>Y6 Total quantity</t>
  </si>
  <si>
    <t>C19RM 2021</t>
  </si>
  <si>
    <t>C19RM 2021-Lab &amp; Other HPS</t>
  </si>
  <si>
    <t>C19RM 2021-Pharma</t>
  </si>
  <si>
    <t>COVID Tests / Antigen Rapid Diagnostic Test Ag-RDT</t>
  </si>
  <si>
    <t>COVID Molecular Test Equipment</t>
  </si>
  <si>
    <t>GeneXpert - Equipment for C19RM</t>
  </si>
  <si>
    <t>OTHER NEAR POC for C19RM</t>
  </si>
  <si>
    <t>TrueNat for C19RM</t>
  </si>
  <si>
    <t>Medical Oxygen Liquid &amp; Gas</t>
  </si>
  <si>
    <t>Medical Oxygen - consumables</t>
  </si>
  <si>
    <t>Medical Oxygen - equipment</t>
  </si>
  <si>
    <t>Other Health Equipment</t>
  </si>
  <si>
    <t>Disinfectants</t>
  </si>
  <si>
    <t>COVID PPE core</t>
  </si>
  <si>
    <t>COVID PPE: other</t>
  </si>
  <si>
    <t>Waste management for C19RM</t>
  </si>
  <si>
    <t>COVID Tests / Antibody Rapid Diagnostic Test Ab-RDT</t>
  </si>
  <si>
    <t>Genomic surveillance / sequencing</t>
  </si>
  <si>
    <t>COVID Existing/Repurposed Medicines</t>
  </si>
  <si>
    <t>COVID Novel Medicines</t>
  </si>
  <si>
    <t>COVID Other Medicines</t>
  </si>
  <si>
    <t>SARS-CoV-2 Ag Rapid Test kit</t>
  </si>
  <si>
    <t>SARS-CoV-2 - Generic Rapid Antigen Diagnostic Test Kit - 1 test</t>
  </si>
  <si>
    <t>Automated extractors</t>
  </si>
  <si>
    <t>BioMerieux EMAG (easyMAG) Equipment</t>
  </si>
  <si>
    <t>KingFisher™ Flex Purification System, KingFisher with 96 Deep-well</t>
  </si>
  <si>
    <t>Qiagen QIAsymphony SP Equipment</t>
  </si>
  <si>
    <t>Roche MagNA pure Equipment</t>
  </si>
  <si>
    <t>Spare parts and accessories</t>
  </si>
  <si>
    <t>Warranty, maintenance and service</t>
  </si>
  <si>
    <t>COVID Equipment - Other</t>
  </si>
  <si>
    <t>Magnetic Stand: Manual Extraction</t>
  </si>
  <si>
    <t>Magnetic Stand: Manual Extraction - Other</t>
  </si>
  <si>
    <t>Applied Biosystems 7500 Fast Dx Real Time PCR Systems</t>
  </si>
  <si>
    <t>Applied Biosystems™ 7500 Real-Time PCR Instrument</t>
  </si>
  <si>
    <t>BioRad CFX96 PCR system</t>
  </si>
  <si>
    <t>Qiagen Rotor-Gene 5 Plex PCR system</t>
  </si>
  <si>
    <t>QuantStudio™ 5 Real-Time PCR System, 384-well</t>
  </si>
  <si>
    <t>QuantStudio™ 5 Real-Time PCR System, 96-well, 0.1 mL</t>
  </si>
  <si>
    <t>QuantStudio™ 5 Real-Time PCR System, 96-well, 0.2 mL</t>
  </si>
  <si>
    <t>Roche LightCycler 480 PCR system</t>
  </si>
  <si>
    <t>SLAN-96P PCR system</t>
  </si>
  <si>
    <t>Thermocycler, incl. RT-PCR analyser - Other</t>
  </si>
  <si>
    <t>UV crosslinker</t>
  </si>
  <si>
    <t>UV transilluminator 312nm</t>
  </si>
  <si>
    <t>UV transilluminator 365nm</t>
  </si>
  <si>
    <t>GeneXpert: Equipment</t>
  </si>
  <si>
    <t>GeneXpert 1-module Edge with tablet, barcode reader and auxiliary batteries</t>
  </si>
  <si>
    <t>GeneXpert IV-2 modules with desktop computer and barcode reader</t>
  </si>
  <si>
    <t>GeneXpert IV-2 modules with laptop computer and barcode reader</t>
  </si>
  <si>
    <t>GeneXpert IV-4 modules with desktop computer and barcode reader</t>
  </si>
  <si>
    <t>GeneXpert IV-4 modules with laptop computer and barcode reader</t>
  </si>
  <si>
    <t>GeneXpert XVI-16 modules with desktop computer and barcode reader</t>
  </si>
  <si>
    <t>GeneXpert XVI-16 modules with laptop computer and barcode reader</t>
  </si>
  <si>
    <t>OTHER NEAR POC</t>
  </si>
  <si>
    <t>Trueprep</t>
  </si>
  <si>
    <t>COVID Tests / Diagnostic Consumables</t>
  </si>
  <si>
    <t>Cepheid Xpert Nasopharyngeal swab collection kit 100</t>
  </si>
  <si>
    <t>Extraction consumables (e.g. deep-well plate, microplate)</t>
  </si>
  <si>
    <t>Filtered Pipette Tips Sterile, 0.1-10 µl, 30 mm, Racked, 960 pieces, box</t>
  </si>
  <si>
    <t>Filtered Pipette Tips Sterile, 100-1000 µl, 66 mm, Racked, 960 pieces, box</t>
  </si>
  <si>
    <t>Filtered Pipette Tips Sterile, 20-200 µl, 30 mm, Racked, 960 pieces, box</t>
  </si>
  <si>
    <t>Filtered Pipette Tips Sterile, 2-30 µl, 51 mm, Racked, 960 pieces, box</t>
  </si>
  <si>
    <t>Other consumables - Enter details in Comments</t>
  </si>
  <si>
    <t>Sample collection kit: swab</t>
  </si>
  <si>
    <t>Sample collection kit: swab and viral transport medium</t>
  </si>
  <si>
    <t>Sample collection kit: viral transport medium</t>
  </si>
  <si>
    <t>Sample collection: Triple packaging boxes for transport</t>
  </si>
  <si>
    <t>COVID Tests / Diagnostic Reagents &amp; Cartridges</t>
  </si>
  <si>
    <t>Abbott RealTime SARS-CoV-2 RT-PCR Kit 96 tests</t>
  </si>
  <si>
    <t>BGI Real-time fluorescent RT-PCR kit for detecting 2019- nCoV</t>
  </si>
  <si>
    <t>Cepheid Xpert® Xpress SARS-CoV-2 10 tests</t>
  </si>
  <si>
    <t>Hologic Aptima SARS-CoV-2 assay</t>
  </si>
  <si>
    <t>Other automated tests - please specify in the comments column</t>
  </si>
  <si>
    <t>Other manual tests - please specify in the comments column</t>
  </si>
  <si>
    <t>Qiagen QIAamp Viral RNA extraction kit</t>
  </si>
  <si>
    <t>Roche Cobas SARS-CoV-2 RT-PCR Kit 96 tests</t>
  </si>
  <si>
    <t>Thermo Fisher MagMAX Viral/Pathogen Nucleic Acid Isolation Kit</t>
  </si>
  <si>
    <t>Thermo Fisher TaqPath COVID-19 CE-IVD RT-PCR Kit</t>
  </si>
  <si>
    <t>Medical gas cylinder, portable</t>
  </si>
  <si>
    <t>Compressed oxygen or compressed medical air, with valves and regulators.</t>
  </si>
  <si>
    <t>Oxygen plant</t>
  </si>
  <si>
    <t>Pressure Swing Adsorption (PSA) Oxygen Generator Plants</t>
  </si>
  <si>
    <t>Airway</t>
  </si>
  <si>
    <t>Nasopharyngeal airway</t>
  </si>
  <si>
    <t>Oropharyngeal airway,Guedel, sterile,single-use</t>
  </si>
  <si>
    <t>CO2 detector</t>
  </si>
  <si>
    <t>Colorimetric end tidal CO2 detector</t>
  </si>
  <si>
    <t>Cricothyrotomy</t>
  </si>
  <si>
    <t>Set, emergency, 6 mm, sterile, single use</t>
  </si>
  <si>
    <t>Endotracheal tube</t>
  </si>
  <si>
    <t>Endotracheal tube (specify in comments with cuff, without cuff)</t>
  </si>
  <si>
    <t>Endotracheal tube introducer (specify in comments Bougie or Stylet)</t>
  </si>
  <si>
    <t>Flow spitter</t>
  </si>
  <si>
    <t>Flow splitter, for oxygen concentrator, 5 flowmeters, range 0.125 – 2 l/m</t>
  </si>
  <si>
    <t>Flowmeter, medical O2, Gas Cylinder</t>
  </si>
  <si>
    <t>Thorpe tube, pressure-compensated, with pressure regulator &amp; pressure-reducing valve, Barbed green “Christmas tree” connector to connect to tubing/patient delivery device</t>
  </si>
  <si>
    <t>Thorpe tube, pressure-compensated, with pressure regulator &amp; pressure-reducing valve, DISS female/male connector (or other) &amp; adapter to connect with humidifier</t>
  </si>
  <si>
    <t>Thorpe tube, pressure-compensated, with pressure regulator &amp; pressure-reducing valve, DISS female/male connector (or other) &amp; adapter to connect with regulator</t>
  </si>
  <si>
    <t>Flowmeter, medical O2, Terminal (wall) Unit</t>
  </si>
  <si>
    <t>Thorpe tube, pressure-compensated, with pressure regulator, Barbed green “Christmas tree” connector to connect to tubing/patient delivery device</t>
  </si>
  <si>
    <t>Thorpe tube, pressure-compensated, with pressure regulator, DISS female/male connector (or other) &amp; adapter to connect with humidifier</t>
  </si>
  <si>
    <t>Thorpe tube, pressure-compensated, with pressure regulator, DISS female/male connector (or other) &amp; adapter to connect with regulator</t>
  </si>
  <si>
    <t>Humidifier</t>
  </si>
  <si>
    <t>Humidifier, non-heated, reusable</t>
  </si>
  <si>
    <t>Infusion giving sets for adult and pediatric use with IV catheters and scalp vein sets (all size)</t>
  </si>
  <si>
    <t>Laryngoscope</t>
  </si>
  <si>
    <t>Laryngoscope – adult/child</t>
  </si>
  <si>
    <t>Laryngoscope – neonate</t>
  </si>
  <si>
    <t>Nasal Cannula</t>
  </si>
  <si>
    <t>High flow with tubing &amp; patient interfaces, with accessories</t>
  </si>
  <si>
    <t>Nasal Catheter</t>
  </si>
  <si>
    <t>High flow with tubing &amp; adapters, lubricated, non-sterile</t>
  </si>
  <si>
    <t>Nasal prong</t>
  </si>
  <si>
    <t>Prongs, nasal, Oxygen, adult, single use</t>
  </si>
  <si>
    <t>Prongs, nasal, Oxygen, child, single use</t>
  </si>
  <si>
    <t>Prongs, nasal, Oxygen, neonate, single use</t>
  </si>
  <si>
    <t>Other - Enter details in Comments</t>
  </si>
  <si>
    <t>Oxygen mask</t>
  </si>
  <si>
    <t>Oxygen mask with connection tube, reservoir bag and value, adult, single use</t>
  </si>
  <si>
    <t>Oxygen mask with connection tube, reservoir bag and value, child, single use</t>
  </si>
  <si>
    <t>Venturi mask with percent O2 Lock and tubing, adult</t>
  </si>
  <si>
    <t>Venturi mask with percent O2 Lock and tubing, child</t>
  </si>
  <si>
    <t>Pulse oximeter probes</t>
  </si>
  <si>
    <t>Handheld pulse oximeter probes, adult</t>
  </si>
  <si>
    <t>Handheld pulse oximeter probes, neonatal</t>
  </si>
  <si>
    <t>Handheld pulse oximeter probes, pediatric</t>
  </si>
  <si>
    <t>Tabletop pulse oximeter probes, adult</t>
  </si>
  <si>
    <t>Tabletop pulse oximeter probes, neonatal</t>
  </si>
  <si>
    <t>Tabletop pulse oximeter probes, pediatric</t>
  </si>
  <si>
    <t>Resuscitator</t>
  </si>
  <si>
    <t>Resuscitator, adult</t>
  </si>
  <si>
    <t>Resuscitator, child</t>
  </si>
  <si>
    <t>Suction device</t>
  </si>
  <si>
    <t>Suction devices (Electrical recommend)</t>
  </si>
  <si>
    <t>Tubing</t>
  </si>
  <si>
    <t>Oxygen administration tubing, non-sterile</t>
  </si>
  <si>
    <t>Suction tubing, silicone, non-sterile</t>
  </si>
  <si>
    <t>Mechanical ventilation</t>
  </si>
  <si>
    <t>Patient ventilator, for critical / intensive care, for adult &amp; paediatric, with breathing circuits &amp; patient interface</t>
  </si>
  <si>
    <t>Patient ventilator, for transport, for adult &amp; paediatric, with breathing circuits &amp; patient interface</t>
  </si>
  <si>
    <t>Non-invasive ventilation</t>
  </si>
  <si>
    <t>BiPAP, with tubing &amp; patient interfaces, with accessories</t>
  </si>
  <si>
    <t>CPAP, with tubing and patient interfaces, adult &amp; paediatric, with accessories</t>
  </si>
  <si>
    <t>High-Flow Nasal Cannula (HFNC) Oxygen Therapy Devices</t>
  </si>
  <si>
    <t>Oxygen analyser</t>
  </si>
  <si>
    <t>Electrochemical, battery-powered, handheld</t>
  </si>
  <si>
    <t>Ultrasonic, battery-powered, handheld</t>
  </si>
  <si>
    <t>Oxygen concentrator</t>
  </si>
  <si>
    <t>Oxygen concentrator, portable, with accessories</t>
  </si>
  <si>
    <t>Oxygen concentrator, stationary/bedside, with accessories</t>
  </si>
  <si>
    <t>Oxygen saturation monitor, portable fingertip, battery-powered</t>
  </si>
  <si>
    <t>Oxygen saturation monitor, portable handheld, battery-powered, with cables &amp; sensor</t>
  </si>
  <si>
    <t>Oxygen saturation monitor, tabletop, AC-powered, with cables &amp; sensor</t>
  </si>
  <si>
    <t>Surge protector device, with multiple protected output sockets, hospital grade</t>
  </si>
  <si>
    <t>Electronic, microprocessor controlled voltage stabilizer, with voltage monitor</t>
  </si>
  <si>
    <t>Blood Gas Analyser</t>
  </si>
  <si>
    <t>Portable, with cartridges and control solutions</t>
  </si>
  <si>
    <t>Electronic drop counter</t>
  </si>
  <si>
    <t>Infusion pump, with accessories</t>
  </si>
  <si>
    <t>Patient monitor, multiparametric with EKG/ECG</t>
  </si>
  <si>
    <t>Patient monitor, multiparametric without EKG/ECG</t>
  </si>
  <si>
    <t>Non-contact infrared thermometer</t>
  </si>
  <si>
    <t>Thermometer, clinical, non-cntct, incl bat</t>
  </si>
  <si>
    <t>Ultrasound</t>
  </si>
  <si>
    <t>Portable, w/linear and phased array cardiac transducer (5.0-7.5 MHz), w/trolley</t>
  </si>
  <si>
    <t>UPS units</t>
  </si>
  <si>
    <t>Darkroom Automatic X-ray Film processor</t>
  </si>
  <si>
    <t>Daylight Automatic X-ray Film Processor</t>
  </si>
  <si>
    <t>Mobile flouroscopic x-ray system, analogue</t>
  </si>
  <si>
    <t>Mobile flouroscopic x-ray system, digital</t>
  </si>
  <si>
    <t>Other type</t>
  </si>
  <si>
    <t>Alcohol-based hand rub</t>
  </si>
  <si>
    <t>Solution: 80% v/v ethanol; 75% v/v isopropyl alcohol</t>
  </si>
  <si>
    <t>Chlorhexidine</t>
  </si>
  <si>
    <t>Solution: 5% (digluconate) for dilution</t>
  </si>
  <si>
    <t>Chlorine</t>
  </si>
  <si>
    <t>NaDCC, granules, 1kg, 65 to 70% + measurement spoon</t>
  </si>
  <si>
    <t>Hand wash (liquid)</t>
  </si>
  <si>
    <t>Soap</t>
  </si>
  <si>
    <t>Apron Reusable, 100</t>
  </si>
  <si>
    <t>Faceshield Reusable</t>
  </si>
  <si>
    <t>Faceshield Single-use, disposable</t>
  </si>
  <si>
    <t>Gloves, Examination - Latex - non-sterile, single-use, disposable, powder-free 100</t>
  </si>
  <si>
    <t>Gloves, Examination - Nitrile - non-sterile, single-use, disposable, powder-free100</t>
  </si>
  <si>
    <t>Gloves, Surgical - sterile, single-use, disposable, powder-free pair</t>
  </si>
  <si>
    <t>Goggles, protective, indirect side-ventilation</t>
  </si>
  <si>
    <t>Gowns</t>
  </si>
  <si>
    <t>Gown, Isolation, non-woven, disposable, pack 10</t>
  </si>
  <si>
    <t>Gown, Surgical sterile, single-use, disposable, standard perfusion</t>
  </si>
  <si>
    <t>Masks</t>
  </si>
  <si>
    <t>Mask, Medical, Type I, single-use, disposable 50</t>
  </si>
  <si>
    <t>Mask, Surgical, Type II (non-fluid resistant), single-use, disposable 50</t>
  </si>
  <si>
    <t>Mask, Surgical, Type IIR (fluid resistant), single-use, disposable 50</t>
  </si>
  <si>
    <t>Airflow (fit-test) test set</t>
  </si>
  <si>
    <t>Refill for airflow test set</t>
  </si>
  <si>
    <t>Respirator, High-filt, FPP2/N95, non-sterile each</t>
  </si>
  <si>
    <t>Respirator, High-filt, FPP3, non-sterile each</t>
  </si>
  <si>
    <t>Surgical Respirator, High-filt, FPP2/N95, sterile each</t>
  </si>
  <si>
    <t>Pants</t>
  </si>
  <si>
    <t>Tops</t>
  </si>
  <si>
    <t>Apron Single-use, disposable 100</t>
  </si>
  <si>
    <t>Bootcover, anti-skid, elasticated, pair</t>
  </si>
  <si>
    <t>Boots, rubber/PVC, reusable, pair</t>
  </si>
  <si>
    <t>Coverall, Protection, CatIII, Type 6b</t>
  </si>
  <si>
    <t>Heavy-duty apron</t>
  </si>
  <si>
    <t>Apron, protection, plastic, reusable</t>
  </si>
  <si>
    <t>Heavy-duty gloves</t>
  </si>
  <si>
    <t>Gloves, Heavy-duty, rubber/nitrile, pair</t>
  </si>
  <si>
    <t>Other COVID consumables</t>
  </si>
  <si>
    <t>Surgical cap</t>
  </si>
  <si>
    <t>Cap, surgical, bouffant, non-woven, box 100</t>
  </si>
  <si>
    <t>Autoclave for laboratory</t>
  </si>
  <si>
    <t>Biological Safety Cabinet BSL II</t>
  </si>
  <si>
    <t>Equipment: other</t>
  </si>
  <si>
    <t>Laboratory freezer - ultra low</t>
  </si>
  <si>
    <t>Thermoblock</t>
  </si>
  <si>
    <t>Vortex</t>
  </si>
  <si>
    <t>Bi-directional testing</t>
  </si>
  <si>
    <t>GeneXpert MTB/RIF Cartridge 10</t>
  </si>
  <si>
    <t>GeneXpert MTB/RIF Cartridge 50</t>
  </si>
  <si>
    <t>GeneXpert MTB/RIF ULTRA Cartridge 10</t>
  </si>
  <si>
    <t>GeneXpert MTB/RIF ULTRA Cartridge 50</t>
  </si>
  <si>
    <t>GeneXpert MTB/XDR Cartridge 10</t>
  </si>
  <si>
    <t>Truenat MTB 20 tests</t>
  </si>
  <si>
    <t>Truenat MTB Plus 20 tests</t>
  </si>
  <si>
    <t>Truenat MTB-RIF Dx 20 tests</t>
  </si>
  <si>
    <t>Cold Box</t>
  </si>
  <si>
    <t>Cold box, Large, Long range, vaccine storage capacity</t>
  </si>
  <si>
    <t>Data logger</t>
  </si>
  <si>
    <t>Icepack</t>
  </si>
  <si>
    <t>Remote Temperature Monitoring System</t>
  </si>
  <si>
    <t>Configured for real-time monitoring of vaccine storage conditions</t>
  </si>
  <si>
    <t>Vaccine carrier</t>
  </si>
  <si>
    <t>Vaccine carrier,Large, Long range vaccine storage capacity</t>
  </si>
  <si>
    <t>Vaccine Combined Refrigerator &amp; Freezer</t>
  </si>
  <si>
    <t>Vaccine freezer</t>
  </si>
  <si>
    <t>Vaccine refrigerator</t>
  </si>
  <si>
    <t>Waste management:Service Contracts</t>
  </si>
  <si>
    <t>Service Contracts</t>
  </si>
  <si>
    <t>Waste management supplies: Consumables</t>
  </si>
  <si>
    <t>Bag, biohazard, refuse, autoclav., min. 30 liters</t>
  </si>
  <si>
    <t>Bag,biohazard, Other - Enter details in Comments</t>
  </si>
  <si>
    <t>Bag,biohazard,red,100L,box/100</t>
  </si>
  <si>
    <t>Container, sharps, leak-resistant, with lid</t>
  </si>
  <si>
    <t>Waste management supplies: Reagents</t>
  </si>
  <si>
    <t>Waste management: Autoclave</t>
  </si>
  <si>
    <t>Waste management: Incinerator, general waste</t>
  </si>
  <si>
    <t>Waste management: Incinerator, medical waste</t>
  </si>
  <si>
    <t>Waste management: Other equipment</t>
  </si>
  <si>
    <t>SARS-CoV-2 Ab Rapid Test kit</t>
  </si>
  <si>
    <t>SARS-CoV-2 - Generic Rapid Antibody Diagnostic Test Kit - 1 test</t>
  </si>
  <si>
    <t>Reagents for sequencing</t>
  </si>
  <si>
    <t>Sample Collection</t>
  </si>
  <si>
    <t>Triple packaging boxes for transport</t>
  </si>
  <si>
    <t>Dalteparin Sodium</t>
  </si>
  <si>
    <t>Single dose subcutaneous injection, each</t>
  </si>
  <si>
    <t>Dexamethasone</t>
  </si>
  <si>
    <t>0.5mg 1000</t>
  </si>
  <si>
    <t>4mg tablet 100</t>
  </si>
  <si>
    <t>4mg/ml vial 1ml ampoule 50</t>
  </si>
  <si>
    <t>5mg/ml 1ml ampoule 100</t>
  </si>
  <si>
    <t>Enoxaparin Sodium</t>
  </si>
  <si>
    <t>Heparin sodium solution for injection</t>
  </si>
  <si>
    <t>5000 IU/ml, 5ml vial, box of 10 vials</t>
  </si>
  <si>
    <t>Other Anticoagulants</t>
  </si>
  <si>
    <t>Other Steroids</t>
  </si>
  <si>
    <t>New Medicines</t>
  </si>
  <si>
    <t>Compound sodium lactate solution (Ringer's lactate)</t>
  </si>
  <si>
    <t>1000ml</t>
  </si>
  <si>
    <t>500ml</t>
  </si>
  <si>
    <t>Other essential medicines</t>
  </si>
  <si>
    <t>Paracetamol</t>
  </si>
  <si>
    <t>120mg/5ml oral solution 60ml - 140 bottles</t>
  </si>
  <si>
    <t>500mg tablet 1000</t>
  </si>
  <si>
    <t>Medicines for the prevention and/or treatment of COVID-19</t>
  </si>
  <si>
    <t>Y6</t>
  </si>
  <si>
    <t xml:space="preserve">Section 1 </t>
  </si>
  <si>
    <t>Rapid Diagnostic Tests (Ag RDTs)</t>
  </si>
  <si>
    <t xml:space="preserve">COVID Molecular (PCR) Diagnostics and Antigen </t>
  </si>
  <si>
    <t xml:space="preserve">Section 2 </t>
  </si>
  <si>
    <t xml:space="preserve">COVID Case Management: Oxygen Therapy and </t>
  </si>
  <si>
    <t>Supportive Hospital Equipment</t>
  </si>
  <si>
    <t>Section 3</t>
  </si>
  <si>
    <t>Section 4</t>
  </si>
  <si>
    <t>Section 5</t>
  </si>
  <si>
    <t>Health Products and Waste Management Systems</t>
  </si>
  <si>
    <t>COVID Surveillance - Antibody Rapid Diagnostic Tests</t>
  </si>
  <si>
    <t xml:space="preserve"> (Ab RDTs) and Genomic Sequencing</t>
  </si>
  <si>
    <t>Section 6</t>
  </si>
  <si>
    <t>Q21</t>
  </si>
  <si>
    <t>Q22</t>
  </si>
  <si>
    <t>Q23</t>
  </si>
  <si>
    <t>Q24</t>
  </si>
  <si>
    <t>Q25</t>
  </si>
  <si>
    <t>Q26</t>
  </si>
  <si>
    <t>Q27</t>
  </si>
  <si>
    <t>Q28</t>
  </si>
  <si>
    <t>Y7</t>
  </si>
  <si>
    <t>Y5 Total Cash Outflow</t>
  </si>
  <si>
    <t>Y6 Total Cash Outflow</t>
  </si>
  <si>
    <t>Sum cash flow included in the HPMT Detailed Budget worksheet
4.</t>
  </si>
  <si>
    <r>
      <t>Total sum of Fixed Costs</t>
    </r>
    <r>
      <rPr>
        <sz val="11"/>
        <color rgb="FF0000FF"/>
        <rFont val="Calibri"/>
        <family val="2"/>
        <scheme val="minor"/>
      </rPr>
      <t xml:space="preserve">
3.</t>
    </r>
  </si>
  <si>
    <t>Q1 Cost</t>
  </si>
  <si>
    <t>Q2 Cost</t>
  </si>
  <si>
    <t>Q3 Cost</t>
  </si>
  <si>
    <t>Q4 Cost</t>
  </si>
  <si>
    <t>Q5 Cost</t>
  </si>
  <si>
    <t>Q6 Cost</t>
  </si>
  <si>
    <t>Q7 Cost</t>
  </si>
  <si>
    <t>Q8 Cost</t>
  </si>
  <si>
    <t>Q9 Cost</t>
  </si>
  <si>
    <t>Q10 Cost</t>
  </si>
  <si>
    <t>Q11 Cost</t>
  </si>
  <si>
    <t>Q12 Cost</t>
  </si>
  <si>
    <t>Q13 Cost</t>
  </si>
  <si>
    <t>Q14 Cost</t>
  </si>
  <si>
    <t>Q15 Cost</t>
  </si>
  <si>
    <t>Q16 Cost</t>
  </si>
  <si>
    <t>Y5 Cost</t>
  </si>
  <si>
    <t>Q17 Cost</t>
  </si>
  <si>
    <t>Q18 Cost</t>
  </si>
  <si>
    <t>Q19 Cost</t>
  </si>
  <si>
    <t>Q20 Cost</t>
  </si>
  <si>
    <t>Y5 Q1 cost</t>
  </si>
  <si>
    <t>Y5 Q2 cost</t>
  </si>
  <si>
    <t>Y5 Q3 cost</t>
  </si>
  <si>
    <t>Y5 Q4 cost</t>
  </si>
  <si>
    <t>Y5 Total cost</t>
  </si>
  <si>
    <t>21-25 Ver 1</t>
  </si>
  <si>
    <t>21-25 Ver 2</t>
  </si>
  <si>
    <t>21-25 Ver 3</t>
  </si>
  <si>
    <t>21-25 Ver 4</t>
  </si>
  <si>
    <t>21-25 Ver 5</t>
  </si>
  <si>
    <t>21-25 Ver 6</t>
  </si>
  <si>
    <t>21-25 Ver 7</t>
  </si>
  <si>
    <t>21-25 Ver 8</t>
  </si>
  <si>
    <t>21-25 Ver 9</t>
  </si>
  <si>
    <t>Q1 Cash Outflow</t>
  </si>
  <si>
    <t>Q2 Cash Outflow</t>
  </si>
  <si>
    <t>Q3 Cash Outflow</t>
  </si>
  <si>
    <t>Q4 Cash Outflow</t>
  </si>
  <si>
    <t>Q5 Cash Outflow</t>
  </si>
  <si>
    <t>Q6 Cash Outflow</t>
  </si>
  <si>
    <t>Q7 Cash Outflow</t>
  </si>
  <si>
    <t>Q8 Cash Outflow</t>
  </si>
  <si>
    <t>Q9 Cash Outflow</t>
  </si>
  <si>
    <t>Q10 Cash Outflow</t>
  </si>
  <si>
    <t>Q11 Cash Outflow</t>
  </si>
  <si>
    <t>Q12 Cash Outflow</t>
  </si>
  <si>
    <t>Q13 Cash Outflow</t>
  </si>
  <si>
    <t>Q14 Cash Outflow</t>
  </si>
  <si>
    <t>Q15 Cash Outflow</t>
  </si>
  <si>
    <t>Q16 Cash Outflow</t>
  </si>
  <si>
    <t>Q17 Cash Outflow</t>
  </si>
  <si>
    <t>Q18 Cash Outflow</t>
  </si>
  <si>
    <t>Q19 Cash Outflow</t>
  </si>
  <si>
    <t>Q20 Cash Outflow</t>
  </si>
  <si>
    <t>Q21 Cash Outflow</t>
  </si>
  <si>
    <t>Q22 Cash Outflow</t>
  </si>
  <si>
    <t>Q23 Cash Outflow</t>
  </si>
  <si>
    <t>Q24 Cash Outflow</t>
  </si>
  <si>
    <t>Case management, clinical operations and therapeutics</t>
  </si>
  <si>
    <t>Procurement of new medicines for the prevention and/or treatment of COVID-19</t>
  </si>
  <si>
    <t>4.9 NOVEL COVID Medicines</t>
  </si>
  <si>
    <t>Procurement of existing/repurposed medicines for the prevention and/or treatment of COVID-19</t>
  </si>
  <si>
    <t>4.8 Existing COVID Medicines</t>
  </si>
  <si>
    <t>Procurement of medicines to support the management of COVID-19</t>
  </si>
  <si>
    <t>PSM Costs</t>
  </si>
  <si>
    <t>7.2 Freight and insurance costs (Health products)</t>
  </si>
  <si>
    <t>COVID Diagnostics and testing</t>
  </si>
  <si>
    <t>Procurement of Ag RDTs for diagnosis</t>
  </si>
  <si>
    <t>5.4 Rapid Diagnostic Test</t>
  </si>
  <si>
    <t>Procurement of laboratory reagents for diagnosis</t>
  </si>
  <si>
    <t>5.6 Laboratory reagents</t>
  </si>
  <si>
    <t>Procurement of other consumables for diagnosis</t>
  </si>
  <si>
    <t>Procurement of other health equipment for diagnosis</t>
  </si>
  <si>
    <t>Maintenance and service contracts for laboratory equipment</t>
  </si>
  <si>
    <t>Procurement of Molecular test equipment for diagnosis</t>
  </si>
  <si>
    <t>6.4 TB Molecular Test equipment</t>
  </si>
  <si>
    <t>Procurement of medical oxygen and consumables</t>
  </si>
  <si>
    <t>5.12 Medical oxygen</t>
  </si>
  <si>
    <t>Procurement of equipment to generate, transport, or provision of medical oxygen</t>
  </si>
  <si>
    <t>6.7 Equipment for Medical Oxygen</t>
  </si>
  <si>
    <t>Procurement of other health equipment for case management</t>
  </si>
  <si>
    <t>Infection prevention and control and protection of the health workforce (COVID-19)</t>
  </si>
  <si>
    <t>Procurement of PPE items</t>
  </si>
  <si>
    <t>Procurement of disinfectants, hand sanitisers, soap, etc.</t>
  </si>
  <si>
    <t>RSSH: Laboratory Systems</t>
  </si>
  <si>
    <t>Procurement of TB cartridges for bi-directional testing</t>
  </si>
  <si>
    <t>Procurement of other health equipment for laboratory strengthening</t>
  </si>
  <si>
    <t>Maintenance and service contracts for laboratory strengthening</t>
  </si>
  <si>
    <t>Health products and waste management systems</t>
  </si>
  <si>
    <t>Procurement of other consumables</t>
  </si>
  <si>
    <t>Procurement of other health equipment</t>
  </si>
  <si>
    <t>Procurement of laboratory reagents</t>
  </si>
  <si>
    <t>Surveillance- Epidemiological investigation and contact tracing</t>
  </si>
  <si>
    <t>Procurement of Ab RDTs for surveillance</t>
  </si>
  <si>
    <t>Procurement of laboratory reagents for surveillance</t>
  </si>
  <si>
    <t>Procurement of other consumables for surveillance</t>
  </si>
  <si>
    <t>Procurement of other health equipment for surveillance</t>
  </si>
  <si>
    <t>HPM costs - Section 1, Procurement agent and handling fees (7.1), COVID Pharma AND COVID Medical Oxygen AND COVID Medical Oxygen Equipment AND Covid Liquid Oxygen AND Other Health Equipment, take the total budget per quarter, and include in the DB</t>
  </si>
  <si>
    <t>HPM costs - Section 1, Freight and insurance costs for health products (7.2), COVID Pharma AND COVID Medical Oxygen AND COVID Medical Oxygen Equipment AND Covid Liquid Oxygen AND Other Health Equipment, take the total budget per quarter, and include in the DB</t>
  </si>
  <si>
    <t>HPM costs - Section 2, Warehouse and Storage Costs (7.3), COVID Pharma AND COVID Medical Oxygen AND COVID Medical Oxygen Equipment AND Covid Liquid Oxygen AND Other Health Equipment, take the total budget per quarter, and include in the DB</t>
  </si>
  <si>
    <t>HPM costs - Section 2, In-country distribution costs (7.4), COVID Pharma AND COVID Medical Oxygen AND COVID Medical Oxygen Equipment AND Covid Liquid Oxygen AND Other Health Equipment, take the total budget per quarter, and include in the DB</t>
  </si>
  <si>
    <t>HPM costs &amp; RSSH - Section 1, Quality assurance and quality control costs (QA/QC) (7.5) AND Section 2, In-country QA/QC costs (7.5), COVID Pharma AND COVID Medical Oxygen AND COVID Medical Oxygen Equipment AND Covid Liquid Oxygen AND Other Health Equipment, take the total budget per quarter, and include in the DB</t>
  </si>
  <si>
    <t>HPM costs - Section 1, PSM Customs Clearance (7.6), COVID Pharma AND COVID Medical Oxygen AND COVID Medical Oxygen Equipment AND Covid Liquid Oxygen AND Other Health Equipment, take the total budget per quarter, and include in the DB</t>
  </si>
  <si>
    <t>HPM costs - Section 2, Other procurement and supply management costs (7.7), COVID Pharma AND COVID Medical Oxygen AND COVID Medical Oxygen Equipment AND Covid Liquid Oxygen AND Other Health Equipment, take the total budget per quarter, and include in the DB</t>
  </si>
  <si>
    <t>Y6 Q1 cost</t>
  </si>
  <si>
    <t>Y6 Q2 cost</t>
  </si>
  <si>
    <t>Y6 Q3 cost</t>
  </si>
  <si>
    <t>Y6 Q4 cost</t>
  </si>
  <si>
    <t>Y6 Total cost</t>
  </si>
  <si>
    <t>Y6 Cost</t>
  </si>
  <si>
    <t>Q21 Cost</t>
  </si>
  <si>
    <t>Q22 Cost</t>
  </si>
  <si>
    <t>Q23 Cost</t>
  </si>
  <si>
    <t>Q24 Cost</t>
  </si>
  <si>
    <t>Activity Description</t>
  </si>
  <si>
    <t>Geography/Location</t>
  </si>
  <si>
    <t>Grant Name</t>
  </si>
  <si>
    <t>Unit of Measure</t>
  </si>
  <si>
    <t>Y1 Unit Cost (Payment Currency)</t>
  </si>
  <si>
    <t>Y1 Unit Cost (Grant Currency)</t>
  </si>
  <si>
    <t>Y2 Unit Cost (Payment Currency)</t>
  </si>
  <si>
    <t>Y2 Unit Cost (Grant Currency)</t>
  </si>
  <si>
    <t>Y3 Unit Cost (Payment Currency)</t>
  </si>
  <si>
    <t>Y3 Unit Cost (Grant Currency)</t>
  </si>
  <si>
    <t>Y4 Unit Cost (Payment Currency)</t>
  </si>
  <si>
    <t>Y4 Unit Cost (Grant Currency)</t>
  </si>
  <si>
    <t>Y5 Unit Cost (Payment Currency)</t>
  </si>
  <si>
    <t>Y5 Unit Cost (Grant Currency)</t>
  </si>
  <si>
    <t>Y6 Unit Cost (Payment Currency)</t>
  </si>
  <si>
    <t>Y6 Unit Cost (Grant Currency)</t>
  </si>
  <si>
    <t>Start Date of Quarter</t>
  </si>
  <si>
    <t>End Date of Quarter</t>
  </si>
  <si>
    <t>Y1-6 Total Cash Outflow</t>
  </si>
  <si>
    <t>b</t>
  </si>
  <si>
    <t>c</t>
  </si>
  <si>
    <t>d</t>
  </si>
  <si>
    <t>e</t>
  </si>
  <si>
    <t>f</t>
  </si>
  <si>
    <t>g</t>
  </si>
  <si>
    <t>COVID Molecular (PCR) Diagnostics and Antigen Rapid Diagnostic Tests (Ag RDTs)</t>
  </si>
  <si>
    <t>COVID Case Management: Oxygen Therapy and Supportive Hospital Equipment</t>
  </si>
  <si>
    <t>COVID Infection Prevention and Control: PPE and Disinfectants</t>
  </si>
  <si>
    <t>General Laboratory Equipment to support COVID Diagnosis</t>
  </si>
  <si>
    <t>COVID Surveillance - Antibody Rapid Diagnostic Tests (Ab RDTs) and Genomic Sequencing</t>
  </si>
  <si>
    <t>a1E360000012HAgEAM</t>
  </si>
  <si>
    <t>AFG-708-G04-H</t>
  </si>
  <si>
    <t>Ministry of Health of the Republic of Albania</t>
  </si>
  <si>
    <t>a1E360000012Hi0EAE</t>
  </si>
  <si>
    <t>AZE-H-MOH</t>
  </si>
  <si>
    <t>a1E360000012Hi1EAE</t>
  </si>
  <si>
    <t>AZE-T-MOH</t>
  </si>
  <si>
    <t>0013600000xoEKmAAM</t>
  </si>
  <si>
    <t>a1E360000012HcnEAE</t>
  </si>
  <si>
    <t>BDI-H-PNLS</t>
  </si>
  <si>
    <t>0013600001W9HLbAAN</t>
  </si>
  <si>
    <t>National Coordination of the National AIDS Control Committee of the Government of the Central African Republic (CN-CNLS)</t>
  </si>
  <si>
    <t>a1E36000001jMk0EAE</t>
  </si>
  <si>
    <t>CAF-708-G05-H</t>
  </si>
  <si>
    <t>GIS_625</t>
  </si>
  <si>
    <t>Association of Social Marketing in Chad (AMASOT)</t>
  </si>
  <si>
    <t>a1E36000001jMk7EAE</t>
  </si>
  <si>
    <t>TCD-810-G04-H</t>
  </si>
  <si>
    <t>GFS_Vendor_26364</t>
  </si>
  <si>
    <t>National Union of Diocesan Associations (UNAD)</t>
  </si>
  <si>
    <t>a1E36000001jMk8EAE</t>
  </si>
  <si>
    <t>TCD-810-G06-H</t>
  </si>
  <si>
    <t>a1E360000012HdtEAE</t>
  </si>
  <si>
    <t>COG-H-CRF</t>
  </si>
  <si>
    <t>a1E360000012He4EAE</t>
  </si>
  <si>
    <t>COD-M-PSI</t>
  </si>
  <si>
    <t>a1E360000012Hf5EAE</t>
  </si>
  <si>
    <t>CIV-910-G13-H</t>
  </si>
  <si>
    <t>0013600000xoEGQAA2</t>
  </si>
  <si>
    <t>Corporación Kimirina</t>
  </si>
  <si>
    <t>a1E36000001jMlGEAU</t>
  </si>
  <si>
    <t>ECU-H-KIMI</t>
  </si>
  <si>
    <t>GFS_Vendor_26308</t>
  </si>
  <si>
    <t>Medical Care Development International</t>
  </si>
  <si>
    <t>a1E36000001jMlVEAU</t>
  </si>
  <si>
    <t>GNQ-506-G02-M</t>
  </si>
  <si>
    <t>a1E360000012H9jEAE</t>
  </si>
  <si>
    <t>SWZ-H-CANGO</t>
  </si>
  <si>
    <t>a1E360000012HfKEAU</t>
  </si>
  <si>
    <t>GNB-T-MINSAP</t>
  </si>
  <si>
    <t>0013600001NTuggAAD</t>
  </si>
  <si>
    <t>Centre for Health Research and Innovation</t>
  </si>
  <si>
    <t>a1E36000004IT07EAG</t>
  </si>
  <si>
    <t>IND-T-CHRI</t>
  </si>
  <si>
    <t>a1E360000012HA0EAM</t>
  </si>
  <si>
    <t>LBR-H-PSI</t>
  </si>
  <si>
    <t>a1E360000012HfPEAU</t>
  </si>
  <si>
    <t>MLI-T-CRS</t>
  </si>
  <si>
    <t>Secrétariat Exécutif National de Lutte contre le SIDA de la République Islamique de Mauritanie</t>
  </si>
  <si>
    <t>Public Institution - Coordination, Implementation and Monitoring Unit of the Health System Projects</t>
  </si>
  <si>
    <t>a1E360000012HiOEAU</t>
  </si>
  <si>
    <t>MDA-T-PAS</t>
  </si>
  <si>
    <t>a1E360000012HhDEAU</t>
  </si>
  <si>
    <t>MNG-H-MOH</t>
  </si>
  <si>
    <t>a1E360000012HhFEAU</t>
  </si>
  <si>
    <t>MNG-T-MOH</t>
  </si>
  <si>
    <t>a1E36000001jMpYEAU</t>
  </si>
  <si>
    <t>MAR-S-MOH</t>
  </si>
  <si>
    <t>a1E360000012HfZEAU</t>
  </si>
  <si>
    <t>NER-T-SCF</t>
  </si>
  <si>
    <t>0013600000xoEFBAA2</t>
  </si>
  <si>
    <t>Pathfinder International</t>
  </si>
  <si>
    <t>a1E36000001hEg8EAE</t>
  </si>
  <si>
    <t>PER-H-PATH</t>
  </si>
  <si>
    <t>Networking HIV, AIDS Community of South Africa NPC</t>
  </si>
  <si>
    <t>a1E360000012HBBEA2</t>
  </si>
  <si>
    <t>SSD-H-UNDP</t>
  </si>
  <si>
    <t>a1E360000012HBCEA2</t>
  </si>
  <si>
    <t>SSD-T-UNDP</t>
  </si>
  <si>
    <t>a1E360000012H9bEAE</t>
  </si>
  <si>
    <t>SDN-M-UNDP</t>
  </si>
  <si>
    <t>a1E360000012Hh2EAE</t>
  </si>
  <si>
    <t>TJK-H-UNDP</t>
  </si>
  <si>
    <t>Health Product Management Template - C19RM - List of pharmaceuticals</t>
  </si>
  <si>
    <t>HPM costs - Section 1, Procurement agent and handling fees (7.1),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</si>
  <si>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1, Freight and insurance costs for health products (7.2),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</si>
  <si>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2, Warehouse and Storage Costs (7.3),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</si>
  <si>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2, In-country distribution costs (7.4),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</si>
  <si>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&amp; RSSH - Section 1, Quality assurance and quality control costs (QA/QC) (7.5) AND Section 2, In-country QA/QC costs (7.5),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</si>
  <si>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1, PSM Customs Clearance (7.6),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</si>
  <si>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2, Other procurement and supply management costs (7.7), Diagnostic RDTs AND COVID Diagnostics reagents &amp; consumables AND COVID Molecular Test Equipment, take the total budget per quarter, from SETUP F33 determine the payment modality and apply the figure in G33 to establish in which quarter in the DB the budget should be reflected</t>
  </si>
  <si>
    <t>HPM costs - Section 1, Procurement agent and handling fees (7.1), COVID PPE &amp; consumables AND Infection prevention and control, take the total budget per quarter, from SETUP F28 determine the payment modality and apply the figure in G28 to establish in which quarter in the DB the budget should be reflected</t>
  </si>
  <si>
    <t>HPM costs - Section 1, Freight and insurance costs for health products (7.2), COVID PPE &amp; consumables AND Infection prevention and control, take the total budget per quarter, from SETUP F28 determine the payment modality and apply the figure in G28 to establish in which quarter in the DB the budget should be reflected</t>
  </si>
  <si>
    <t>HPM costs - Section 2, Warehouse and Storage Costs (7.3), COVID PPE &amp; consumables AND Infection prevention and control, take the total budget per quarter, from SETUP F28 determine the payment modality and apply the figure in G28 to establish in which quarter in the DB the budget should be reflected</t>
  </si>
  <si>
    <t>HPM costs - Section 2, In-country distribution costs (7.4), COVID PPE &amp; consumables AND Infection prevention and control, take the total budget per quarter, from SETUP F28 determine the payment modality and apply the figure in G28 to establish in which quarter in the DB the budget should be reflected</t>
  </si>
  <si>
    <t>HPM costs &amp; RSSH - Section 1, Quality assurance and quality control costs (QA/QC) (7.5) AND Section 2, In-country QA/QC costs (7.5), COVID PPE &amp; consumables AND Infection prevention and control, take the total budget per quarter, from SETUP F28 determine the payment modality and apply the figure in G28 to establish in which quarter in the DB the budget should be reflected</t>
  </si>
  <si>
    <t>HPM costs - Section 1, PSM Customs Clearance (7.6), COVID PPE &amp; consumables AND Infection prevention and control, take the total budget per quarter, from SETUP F28 determine the payment modality and apply the figure in G28 to establish in which quarter in the DB the budget should be reflected</t>
  </si>
  <si>
    <t>HPM costs - Section 2, Other procurement and supply management costs (7.7), COVID PPE &amp; consumables AND Infection prevention and control, take the total budget per quarter, from SETUP F28 determine the payment modality and apply the figure in G28 to establish in which quarter in the DB the budget should be reflected</t>
  </si>
  <si>
    <t>HPM costs - Section 1, Procurement agent and handling fees (7.1), COVID Surveillance, take the total budget per quarter, from SETUP F34 determine the payment modality and apply the figure in G34 to establish in which quarter in the DB the budget should be reflected</t>
  </si>
  <si>
    <t>HPM costs - Section 1, Freight and insurance costs for health products (7.2), COVID Surveillance, take the total budget per quarter, from SETUP F34 determine the payment modality and apply the figure in G34 to establish in which quarter in the DB the budget should be reflected</t>
  </si>
  <si>
    <t>HPM costs - Section 2, Warehouse and Storage Costs (7.3), COVID Surveillance, take the total budget per quarter, from SETUP F34 determine the payment modality and apply the figure in G34 to establish in which quarter in the DB the budget should be reflected</t>
  </si>
  <si>
    <t>HPM costs - Section 2, In-country distribution costs (7.4), COVID Surveillance, take the total budget per quarter, from SETUP F34 determine the payment modality and apply the figure in G34 to establish in which quarter in the DB the budget should be reflected</t>
  </si>
  <si>
    <t>HPM costs &amp; RSSH - Section 1, Quality assurance and quality control costs (QA/QC) (7.5) AND Section 2, In-country QA/QC costs (7.5), COVID Surveillance, take the total budget per quarter, from SETUP F34 determine the payment modality and apply the figure in G34 to establish in which quarter in the DB the budget should be reflected</t>
  </si>
  <si>
    <t>HPM costs - Section 1, PSM Customs Clearance (7.6), COVID Surveillance, take the total budget per quarter, from SETUP F34 determine the payment modality and apply the figure in G34 to establish in which quarter in the DB the budget should be reflected</t>
  </si>
  <si>
    <t>HPM costs - Section 2, Other procurement and supply management costs (7.7), COVID Surveillance, take the total budget per quarter, from SETUP F34 determine the payment modality and apply the figure in G34 to establish in which quarter in the DB the budget should be reflected</t>
  </si>
  <si>
    <t>HPM costs - Section 1, Procurement agent and handling fees (7.1), Cold Chain Consumables AND Cold Chain Equipment AND Waste Management, take the total budget per quarter, from SETUP F33 determine the payment modality and apply the figure in G33 to establish in which quarter in the DB the budget should be reflected</t>
  </si>
  <si>
    <t>HPM costs - Section 1, Freight and insurance costs for health products (7.2), Cold Chain Consumables AND Cold Chain Equipment AND Waste Management, take the total budget per quarter, from SETUP F33 determine the payment modality and apply the figure in G33 to establish in which quarter in the DB the budget should be reflected</t>
  </si>
  <si>
    <t>HPM costs - Section 2, Warehouse and Storage Costs (7.3), Cold Chain Consumables AND Cold Chain Equipment AND Waste Management, take the total budget per quarter, from SETUP F33 determine the payment modality and apply the figure in G33 to establish in which quarter in the DB the budget should be reflected</t>
  </si>
  <si>
    <t>HPM costs - Section 2, In-country distribution costs (7.4), Cold Chain Consumables AND Cold Chain Equipment AND Waste Management, take the total budget per quarter, from SETUP F33 determine the payment modality and apply the figure in G33 to establish in which quarter in the DB the budget should be reflected</t>
  </si>
  <si>
    <t>HPM costs &amp; RSSH - Section 1, Quality assurance and quality control costs (QA/QC) (7.5) AND Section 2, In-country QA/QC costs (7.5), Cold Chain Consumables AND Cold Chain Equipment AND Waste Management, take the total budget per quarter, from SETUP F33 determine the payment modality and apply the figure in G33 to establish in which quarter in the DB the budget should be reflected</t>
  </si>
  <si>
    <t>HPM costs - Section 1, PSM Customs Clearance (7.6), Cold Chain Consumables AND Cold Chain Equipment AND Waste Management, take the total budget per quarter, from SETUP F33 determine the payment modality and apply the figure in G33 to establish in which quarter in the DB the budget should be reflected</t>
  </si>
  <si>
    <t>HPM costs - Section 2, Other procurement and supply management costs (7.7), Cold Chain Consumables AND Cold Chain Equipment AND Waste Management, take the total budget per quarter, from SETUP F33 determine the payment modality and apply the figure in G33 to establish in which quarter in the DB the budget should be reflected</t>
  </si>
  <si>
    <t>6.4 Dummy</t>
  </si>
  <si>
    <t>6.7 Medical Oxygen - Equipment</t>
  </si>
  <si>
    <t>Section 1 - Row 12 to 146 represent the PSM/HPM Costs for getting the products to the country.
Section 2 - Row 176 to 337 represent the PSM/HPM Costs for managing the products in the country.</t>
  </si>
  <si>
    <t>COVID- Lab &amp; Other HPS - Section 2, for COST INPUT = 6.5 Maintenance and service costs for health equipment, take the total budget per quarter, from SETUP F27 determine the payment modality and apply the figure in G27 to establish which quarter in the DB the budget should be reflected</t>
  </si>
  <si>
    <t>COVID- Lab &amp; Other HPS - Section 2, for COST INPUT = 6.6 Other health equipment, take the total budget per quarter, from SETUP F27 determine the payment modality and apply the figure in G27 to establish which quarter in the DB the budget should be reflected</t>
  </si>
  <si>
    <t>COVID- Lab &amp; Other HPS - Section 5, for COST INPUT = 5.8 Other consumables, take the total budget per quarter, from SETUP F33 determine the payment modality and apply the figure in G33 to establish which quarter in the DB the budget should be reflected</t>
  </si>
  <si>
    <t>COVID- Lab &amp; Other HPS - Section 5, for COST INPUT = 6.6 Other health equipment, take the total budget per quarter, from SETUP F33 determine the payment modality and apply the figure in G33 to establish which quarter in the DB the budget should be reflected</t>
  </si>
  <si>
    <t>COVID- Lab &amp; Other HPS - Section 5, for COST INPUT = 5.6 Laboratory reagents, take the total budget per quarter, from SETUP F33 determine the payment modality and apply the figure in G33 to establish which quarter in the DB the budget should be reflected</t>
  </si>
  <si>
    <t>COVID- Lab &amp; Other HPS - Section 5, for COST INPUT = 6.5 Maintenance and service costs for health equipment, take the total budget per quarter, from SETUP F33 determine the payment modality and apply the figure in G33 to establish which quarter in the DB the budget should be reflected</t>
  </si>
  <si>
    <t>COVID- Lab &amp; Other HPS - Section 6, for COST INPUT = 5.4 Rapid Diagnostic Test, take the total budget per quarter, from SETUP F34 determine the payment modality and apply the figure in G34 to establish which quarter in the DB the budget should be reflected</t>
  </si>
  <si>
    <t>COVID- Lab &amp; Other HPS - Section 6, for COST INPUT = 5.6 Laboratory reagents, take the total budget per quarter, from SETUP F34 determine the payment modality and apply the figure in G34 to establish which quarter in the DB the budget should be reflected</t>
  </si>
  <si>
    <t>COVID- Lab &amp; Other HPS - Section 6, for COST INPUT = 5.8 Other consumables, take the total budget per quarter, from SETUP F34 determine the payment modality and apply the figure in G34 to establish which quarter in the DB the budget should be reflected</t>
  </si>
  <si>
    <t>COVID- Lab &amp; Other HPS - Section 6, for COST INPUT = 6.5 Maintenance and service costs for health equipment, take the total budget per quarter, from SETUP F34 determine the payment modality and apply the figure in G34 to establish which quarter in the DB the budget should be reflected</t>
  </si>
  <si>
    <t>COVID- Lab &amp; Other HPS - Section 6, for COST INPUT = 6.6 Other health equipment, take the total budget per quarter, from SETUP F34 determine the payment modality and apply the figure in G34 to establish which quarter in the DB the budget should be reflected</t>
  </si>
  <si>
    <t>COVID-Pharma - Section 1, for COST INPUT = 4.9 NOVEL COVID Medicines, take the total budget per quarter, from SETUP F28 determine the payment modality and apply the figure in G28 to establish which quarter in the DB the budget should be reflected</t>
  </si>
  <si>
    <t>COVID-Pharma - Section 1, for COST INPUT = 4.8 Existing COVID Medicines, take the total budget per quarter, from SETUP F28 determine the payment modality and apply the figure in G28 to establish which quarter in the DB the budget should be reflected</t>
  </si>
  <si>
    <t>COVID-Pharma - Section 1, for COST INPUT = 4.7 Other Medicines, take the total budget per quarter, from SETUP F28 determine the payment modality and apply the figure in G28 to establish which quarter in the DB the budget should be reflected</t>
  </si>
  <si>
    <t>COVID- Lab &amp; Other HPS - Section 1, for COST INPUT = 5.6 Laboratory reagents, take the total budget per quarter, from SETUP F22 determine the payment modality and apply the figure in G22 to establish which quarter in the DB the budget should be reflected</t>
  </si>
  <si>
    <t>COVID- Lab &amp; Other HPS - Section 1, for COST INPUT = 5.8 Other consumables, take the total budget per quarter, from SETUP F22 determine the payment modality and apply the figure in G22 to establish which quarter in the DB the budget should be reflected</t>
  </si>
  <si>
    <t>COVID- Lab &amp; Other HPS - Section 1, for COST INPUT = 5.4 Rapid Diagnostic Test, take the total budget per quarter, from SETUP F21 determine the payment modality and apply the figure in G21 to establish which quarter in the DB the budget should be reflected</t>
  </si>
  <si>
    <t>COVID- Lab &amp; Other HPS - Section 1, for COST INPUT = 6.6 Other health equipment, take the total budget per quarter, from SETUP F23 determine the payment modality and apply the figure in G23 to establish which quarter in the DB the budget should be reflected</t>
  </si>
  <si>
    <t>COVID- Lab &amp; Other HPS - Section 1, for COST INPUT = 6.5 Maintenance and service costs for health equipment, take the total budget per quarter, from SETUP F23 determine the payment modality and apply the figure in G23 to establish which quarter in the DB the budget should be reflected</t>
  </si>
  <si>
    <t>COVID- Lab &amp; Other HPS - Section 1, for COST INPUT = 6.4 TB Molecular Test equipment, take the total budget per quarter, from SETUP F23 determine the payment modality and apply the figure in G23 to establish which quarter in the DB the budget should be reflected</t>
  </si>
  <si>
    <t>COVID- Lab &amp; Other HPS - Section 2, for COST INPUT = 5.12 Medical oxygen, take the total budget per quarter, from SETUP F24 determine the payment modality and apply the figure in G24 to establish which quarter in the DB the budget should be reflected</t>
  </si>
  <si>
    <t>COVID- Lab &amp; Other HPS - Section 2, for COST INPUT = 6.7 Equipment for Medical Oxygen, take the total budget per quarter, from SETUP F25 determine the payment modality and apply the figure in G25 to establish which quarter in the DB the budget should be reflected</t>
  </si>
  <si>
    <t>Y1Q1</t>
  </si>
  <si>
    <t>Y1Q2</t>
  </si>
  <si>
    <t>Y1Q3</t>
  </si>
  <si>
    <t>Y1Q4</t>
  </si>
  <si>
    <t>Y2Q1</t>
  </si>
  <si>
    <t>Y2Q2</t>
  </si>
  <si>
    <t>Y2Q3</t>
  </si>
  <si>
    <t>Y2Q4</t>
  </si>
  <si>
    <t>Y3Q1</t>
  </si>
  <si>
    <t>Y3Q2</t>
  </si>
  <si>
    <t>Y3Q3</t>
  </si>
  <si>
    <t>Y3Q4</t>
  </si>
  <si>
    <t>COVID- Lab &amp; Other HPS - Section 4, for COST INPUT = 5.4 Rapid Diagnostic Test, take the total budget per quarter, from SETUP F30 determine the payment modality and apply the figure in G30 to establish which quarter in the DB the budget should be reflected</t>
  </si>
  <si>
    <t>COVID- Lab &amp; Other HPS - Section 4, for COST INPUT = 6.6 Other health equipment, take the total budget per quarter, from SETUP F30 determine the payment modality and apply the figure in G30 to establish which quarter in the DB the budget should be reflected</t>
  </si>
  <si>
    <t>COVID- Lab &amp; Other HPS - Section 4, for COST INPUT = 6.5 Maintenance and service costs for health equipment, take the total budget per quarter, from SETUP F30 determine the payment modality and apply the figure in G30 to establish which quarter in the DB the budget should be reflected</t>
  </si>
  <si>
    <t>COVID- Lab &amp; Other HPS - Section 3, for COST INPUT = 5.11 PPE, take the total budget per quarter, from SETUP F28 determine the payment modality and apply the figure in G28 to establish which quarter in the DB the budget should be reflected</t>
  </si>
  <si>
    <t>COVID- Lab &amp; Other HPS - Section 3, for COST INPUT = 5.8 Other consumables, take the total budget per quarter, from SETUP F29 determine the payment modality and apply the figure in G29 to establish which quarter in the DB the budget should be reflected</t>
  </si>
  <si>
    <t>GeographyID</t>
  </si>
  <si>
    <t>MDSCurrencyID</t>
  </si>
  <si>
    <t>MDSComponentID</t>
  </si>
  <si>
    <t>ComponentName</t>
  </si>
  <si>
    <t>OrganizationID</t>
  </si>
  <si>
    <t>a1E3p00000CmBwUEAV</t>
  </si>
  <si>
    <t>AFG-Z-UNDP</t>
  </si>
  <si>
    <t>0013600000xoEDLAA2</t>
  </si>
  <si>
    <t>a1E3p00000Cck1uEAB</t>
  </si>
  <si>
    <t>BDI-S-UGADS</t>
  </si>
  <si>
    <t>National Tuberculosis Programme of the Republic of Benin</t>
  </si>
  <si>
    <t>Initiative Privée et Communautaire pour la Santé et la Riposte au VIH/SIDA  au Burkina Faso (IPC/BF)</t>
  </si>
  <si>
    <t>Secrétariat Permanent du Conseil National de Lutte contre le Sida et les Infections Sexuellement Transmissibles (SP/CNLS-IST)</t>
  </si>
  <si>
    <t>Programme d'Appui au Développement Sanitaire (PADS)</t>
  </si>
  <si>
    <t>0013p00002Aw3wxAAB</t>
  </si>
  <si>
    <t>Social Security Board</t>
  </si>
  <si>
    <t>a1E3p00000DsVQOEA3</t>
  </si>
  <si>
    <t>BLZ-H-SSB</t>
  </si>
  <si>
    <t>Humanist Institute for Co-operation with Developing Countries (Hivos)</t>
  </si>
  <si>
    <t>a1E3p00000BwT2kEAF</t>
  </si>
  <si>
    <t>BTN-C-MOH</t>
  </si>
  <si>
    <t>Botswana-Ministry of Health and Wellness</t>
  </si>
  <si>
    <t>Ministry of Health, Public Hygiene and Universal Health Coverage of the Republic of Côte d’Ivoire</t>
  </si>
  <si>
    <t>0013p00001xm0UaAAI</t>
  </si>
  <si>
    <t>a1E3p00000BgksjEAB</t>
  </si>
  <si>
    <t>CIV-S-MOH</t>
  </si>
  <si>
    <t>Ministry of Health of the Democratic Republic of Congo</t>
  </si>
  <si>
    <t>COD-S-MOH</t>
  </si>
  <si>
    <t>0013p00001xmaXgAAI</t>
  </si>
  <si>
    <t>a1E3p00000BgmoDEAR</t>
  </si>
  <si>
    <t>COG-C-UNDP</t>
  </si>
  <si>
    <t>Association Comorienne pour le Bien-E^tre de la Famille</t>
  </si>
  <si>
    <t>Ministry of Health, Solidarity, Social Protection and Gender Promotion of the Union of the Comoros</t>
  </si>
  <si>
    <t>a1E3p00000DttuuEAB</t>
  </si>
  <si>
    <t>COM-C-MOH</t>
  </si>
  <si>
    <t>a1E3p00000BglFbEAJ</t>
  </si>
  <si>
    <t>DJI-Z-UNDP</t>
  </si>
  <si>
    <t>0013p00001xm0UfAAI</t>
  </si>
  <si>
    <t>Christian Health Association of Ghana</t>
  </si>
  <si>
    <t>a1E3p00000BgksFEAR</t>
  </si>
  <si>
    <t>GHA-C-CHAG</t>
  </si>
  <si>
    <t>The Ministry of Health of the Republic of Guinea</t>
  </si>
  <si>
    <t>Ministry of Health of the Republic of The Gambia</t>
  </si>
  <si>
    <t>Institute of Nutrition of Central America and Panama (INCAP)</t>
  </si>
  <si>
    <t>0013600001aJHD7AAO</t>
  </si>
  <si>
    <t>Inter-American Development Bank</t>
  </si>
  <si>
    <t>a1E3p00000Bxf46EAB</t>
  </si>
  <si>
    <t>GTM-M-IDB</t>
  </si>
  <si>
    <t>Ministry of Health of the Co-operative Republic of Guyana</t>
  </si>
  <si>
    <t>a1E3p00000CwU7OEAV</t>
  </si>
  <si>
    <t>GUY-C-MOH</t>
  </si>
  <si>
    <t>0013p00002118kkAAA</t>
  </si>
  <si>
    <t>a1E3p00000BxfpaEAB</t>
  </si>
  <si>
    <t>0013600001GqOkCAAV</t>
  </si>
  <si>
    <t>Indonesia AIDS Coalition</t>
  </si>
  <si>
    <t>a1E3p00000DXtYAEA1</t>
  </si>
  <si>
    <t>IDN-H-IAC</t>
  </si>
  <si>
    <t>0013p00001xm4zfAAA</t>
  </si>
  <si>
    <t>Konsorsium Komunitas PENABULU-STPI</t>
  </si>
  <si>
    <t>a1E3p00000BgkseEAB</t>
  </si>
  <si>
    <t>IDN-T-PBSTPI</t>
  </si>
  <si>
    <t>a1E3p00000BvyWnEAJ</t>
  </si>
  <si>
    <t>IND-C-PLAN</t>
  </si>
  <si>
    <t>William J. Clinton Foundation</t>
  </si>
  <si>
    <t>0013p0000211WcwAAE</t>
  </si>
  <si>
    <t>T.C.I. Foundation</t>
  </si>
  <si>
    <t>a1E3p00000BxVcBEAV</t>
  </si>
  <si>
    <t>IND-M-TCIF</t>
  </si>
  <si>
    <t>a1E3p00000BvyWdEAJ</t>
  </si>
  <si>
    <t>IND-T-WJCF</t>
  </si>
  <si>
    <t>Ministry of Health and Wellness,  Jamaica</t>
  </si>
  <si>
    <t>RSE on REU “National Scientific Center of Phthisiopulmonology of the Republic of  Kazakhstan” of the Ministry of Health of the Republic of  Kazakhstan</t>
  </si>
  <si>
    <t>Amref Health Africa</t>
  </si>
  <si>
    <t>Ministry of Health and Social Welfare</t>
  </si>
  <si>
    <t>Ministry of Health of the Democratic Socialist  Republic of Sri Lanka</t>
  </si>
  <si>
    <t>a1E3p00000BwXBOEA3</t>
  </si>
  <si>
    <t>LKA-S-MOH</t>
  </si>
  <si>
    <t>Pact, Inc.</t>
  </si>
  <si>
    <t>a1E3p00000BwOc0EAF</t>
  </si>
  <si>
    <t>MDG-S-MOH</t>
  </si>
  <si>
    <t>0013p00001xm0UkAAI</t>
  </si>
  <si>
    <t>Association pour Résilience des Communautés vers l’Accès au Développement et à la Santé Plus</t>
  </si>
  <si>
    <t>a1E3p00000BgksKEAR</t>
  </si>
  <si>
    <t>MLI-C-ARC</t>
  </si>
  <si>
    <t>Ministère de la Santé et du Développement Social de la République du Mali</t>
  </si>
  <si>
    <t>a1E3p00000DZ645EAD</t>
  </si>
  <si>
    <t>MLI-M-CRS</t>
  </si>
  <si>
    <t>United Nations Office for Project Services</t>
  </si>
  <si>
    <t>Ministry of Health and Wellness</t>
  </si>
  <si>
    <t>Ministry of Public Health, Population and Social Affairs</t>
  </si>
  <si>
    <t>a1E3p00000Bx6LnEAJ</t>
  </si>
  <si>
    <t>NGA-S-NACA</t>
  </si>
  <si>
    <t>a1E3p00000CxZ7JEAV</t>
  </si>
  <si>
    <t>NIC-C-WVI</t>
  </si>
  <si>
    <t>0013p000026ynO5AAI</t>
  </si>
  <si>
    <t>a1E3p00000Cbw6zEAB</t>
  </si>
  <si>
    <t>PAK-H-UNDP</t>
  </si>
  <si>
    <t>Indus Hospital &amp; Health Network</t>
  </si>
  <si>
    <t>a1E3p00000EhpGXEAZ</t>
  </si>
  <si>
    <t>PER-C-SES</t>
  </si>
  <si>
    <t>a1E36000001jMuOEAU</t>
  </si>
  <si>
    <t>QMZ-C-APH</t>
  </si>
  <si>
    <t>0013600000xoEDpAAM</t>
  </si>
  <si>
    <t>Australian Federation Of AIDS Organisations Limited</t>
  </si>
  <si>
    <t>a1E3600000GBjV1EAL</t>
  </si>
  <si>
    <t>QMZ-H-AFAO</t>
  </si>
  <si>
    <t>a1E360000065RKxEAM</t>
  </si>
  <si>
    <t>QMZ-H-AUA</t>
  </si>
  <si>
    <t>0013600001ptLEBAA2</t>
  </si>
  <si>
    <t>Frontline AIDS</t>
  </si>
  <si>
    <t>a1E360000064xuPEAQ</t>
  </si>
  <si>
    <t>QMZ-H-FA</t>
  </si>
  <si>
    <t>a1E360000012Hj9EAE</t>
  </si>
  <si>
    <t>QMZ-T-PAS</t>
  </si>
  <si>
    <t>a1E3600000655wOEAQ</t>
  </si>
  <si>
    <t>QMZ-T-PNT</t>
  </si>
  <si>
    <t>0013600000xoEJDAA2</t>
  </si>
  <si>
    <t>a1E360000064zH2EAI</t>
  </si>
  <si>
    <t>QMZ-T-UNDP</t>
  </si>
  <si>
    <t>a1E360000064xvwEAA</t>
  </si>
  <si>
    <t>QMZ-T-UNOPS</t>
  </si>
  <si>
    <t>a1E3p00000CE7cjEAD</t>
  </si>
  <si>
    <t>QNA-C-CDF</t>
  </si>
  <si>
    <t>0013600000xoEKCAA2</t>
  </si>
  <si>
    <t>African Network for the Care of Children Affected by HIV/AIDS</t>
  </si>
  <si>
    <t>a1E360000012HiwEAE</t>
  </si>
  <si>
    <t>QPA-H-ANECCA</t>
  </si>
  <si>
    <t>a1E360000012Hj0EAE</t>
  </si>
  <si>
    <t>QPA-H-HIVOS</t>
  </si>
  <si>
    <t>0013600000xoEHTAA2</t>
  </si>
  <si>
    <t>Southern African Development Community Secretariat</t>
  </si>
  <si>
    <t>a1E360000012HiuEAE</t>
  </si>
  <si>
    <t>QPA-H-SADC</t>
  </si>
  <si>
    <t>0013600000xoEKUAA2</t>
  </si>
  <si>
    <t>SADC Malaria Elimination Eight Secretariat</t>
  </si>
  <si>
    <t>a1E360000012HivEAE</t>
  </si>
  <si>
    <t>QPA-M-E8S</t>
  </si>
  <si>
    <t>00136000011OffwAAC</t>
  </si>
  <si>
    <t>Lubombo Spatial Development Initiative 2 NPC</t>
  </si>
  <si>
    <t>a1E36000001jMydEAE</t>
  </si>
  <si>
    <t>QPA-M-LSDI</t>
  </si>
  <si>
    <t>0013600000xoEKbAAM</t>
  </si>
  <si>
    <t>East, Central and Southern Africa Health Community</t>
  </si>
  <si>
    <t>a1E360000012HizEAE</t>
  </si>
  <si>
    <t>QPA-T-ECSA</t>
  </si>
  <si>
    <t>0013600000xoEDgAAM</t>
  </si>
  <si>
    <t>Intergovernmental Authority on Development</t>
  </si>
  <si>
    <t>a1E36000006537BEAQ</t>
  </si>
  <si>
    <t>QPA-T-IGAD</t>
  </si>
  <si>
    <t>a1E3p00000CwBYHEA3</t>
  </si>
  <si>
    <t>QPA-T-TIMS</t>
  </si>
  <si>
    <t>0013600000xoEKSAA2</t>
  </si>
  <si>
    <t>Wits Health Consortium (Pty) Ltd</t>
  </si>
  <si>
    <t>a1E360000012HixEAE</t>
  </si>
  <si>
    <t>QPA-T-WHC</t>
  </si>
  <si>
    <t>0013600000xoEHYAA2</t>
  </si>
  <si>
    <t>Caribbean Community Secretariat</t>
  </si>
  <si>
    <t>a1E36000001jMiBEAU</t>
  </si>
  <si>
    <t>QRA-H-CARICOM</t>
  </si>
  <si>
    <t>a1E1R0000060ADYUA2</t>
  </si>
  <si>
    <t>QRA-H-HIVOS2</t>
  </si>
  <si>
    <t>a1E360000061vVMEAY</t>
  </si>
  <si>
    <t>QRA-M-IDB</t>
  </si>
  <si>
    <t>0013600000xoEDiAAM</t>
  </si>
  <si>
    <t>Organismo Andino de Salud - Convenio Hipólito Unanue</t>
  </si>
  <si>
    <t>a1E36000001jMyeEAE</t>
  </si>
  <si>
    <t>QRA-T-ORAS</t>
  </si>
  <si>
    <t>0011R0000251W7YQAU</t>
  </si>
  <si>
    <t>Partners In Health</t>
  </si>
  <si>
    <t>a1E1R00000JhthBUAR</t>
  </si>
  <si>
    <t>QRA-T-PIH</t>
  </si>
  <si>
    <t>0013600000xoEKxAAM</t>
  </si>
  <si>
    <t>Organisation of Eastern Caribbean States</t>
  </si>
  <si>
    <t>a1E360000012Hj7EAE</t>
  </si>
  <si>
    <t>QRB-C-OECS</t>
  </si>
  <si>
    <t>a1E3p00000EjbFfEAJ</t>
  </si>
  <si>
    <t>QSA-H-AFAO</t>
  </si>
  <si>
    <t>a1E36000001jMiPEAU</t>
  </si>
  <si>
    <t>QSA-H-IHAA</t>
  </si>
  <si>
    <t>a1E36000002w2wUEAQ</t>
  </si>
  <si>
    <t>QSA-H-SCF</t>
  </si>
  <si>
    <t>a1E3p00000DtKxsEAF</t>
  </si>
  <si>
    <t>QSD-T-UNDP</t>
  </si>
  <si>
    <t>a1E360000012HBDEA2</t>
  </si>
  <si>
    <t>QSE-M-UNOPS</t>
  </si>
  <si>
    <t>0013p00002AvwskAAB</t>
  </si>
  <si>
    <t>International Organization for Migration</t>
  </si>
  <si>
    <t>a1E3p00000Dt0q4EAB</t>
  </si>
  <si>
    <t>QSE-T-IOM</t>
  </si>
  <si>
    <t>0013600000xoEKHAA2</t>
  </si>
  <si>
    <t>a1E36000001jMuLEAU</t>
  </si>
  <si>
    <t>QSF-Z-IOM</t>
  </si>
  <si>
    <t>0013600000xoEKQAA2</t>
  </si>
  <si>
    <t>a1E360000012Hj3EAE</t>
  </si>
  <si>
    <t>QUA-C-UNDP</t>
  </si>
  <si>
    <t>a1E360000012HieEAE</t>
  </si>
  <si>
    <t>QUA-M-UNDP</t>
  </si>
  <si>
    <t>0013p000025wIK7AAM</t>
  </si>
  <si>
    <t>St. Petersburg charitable fund programs “Humanitarian action”</t>
  </si>
  <si>
    <t>a1E3p00000CEXnCEAX</t>
  </si>
  <si>
    <t>RUS-H-HAF</t>
  </si>
  <si>
    <t>0013600000xoEH9AAM</t>
  </si>
  <si>
    <t>a1E3p00000BgjvgEAB</t>
  </si>
  <si>
    <t>SEN-Z-PLAN</t>
  </si>
  <si>
    <t>a1E3p00000BwLgfEAF</t>
  </si>
  <si>
    <t>SLE-Z-CRS</t>
  </si>
  <si>
    <t>a1E3p00000CcOVOEA3</t>
  </si>
  <si>
    <t>SLV-C-MOH</t>
  </si>
  <si>
    <t>0013p00002BdLbvAAF</t>
  </si>
  <si>
    <t>Plan International El Salvador</t>
  </si>
  <si>
    <t>a1E360000012Hg3EAE</t>
  </si>
  <si>
    <t>SLV-H-PLAN</t>
  </si>
  <si>
    <t>a1E3p00000CbsnvEAB</t>
  </si>
  <si>
    <t>SSD-M-UNICEF</t>
  </si>
  <si>
    <t>0013p00001xm3STAAY</t>
  </si>
  <si>
    <t>Ministry of Health of Sao Tome and Principe</t>
  </si>
  <si>
    <t>a1E3p00000BgksZEAR</t>
  </si>
  <si>
    <t>STP-Z-MOH</t>
  </si>
  <si>
    <t>a1E3p00000CwU7TEAV</t>
  </si>
  <si>
    <t>SUR-H-MOH</t>
  </si>
  <si>
    <t>Ministry of Public Health and National Solidarity</t>
  </si>
  <si>
    <t>a1E3p00000DaJJLEA3</t>
  </si>
  <si>
    <t>TCD-C-MOH</t>
  </si>
  <si>
    <t>a1E3p00000CzDA1EAN</t>
  </si>
  <si>
    <t>TCD-M-MOH</t>
  </si>
  <si>
    <t>TZA-H-MOFP</t>
  </si>
  <si>
    <t>TZA-T-MOFP</t>
  </si>
  <si>
    <t>a1E360000012H9GEAU</t>
  </si>
  <si>
    <t>UGD-708-G07-H</t>
  </si>
  <si>
    <t>a1E3p00000CEoUmEAL</t>
  </si>
  <si>
    <t>UZB-C-RAC</t>
  </si>
  <si>
    <t>Republican DOTS Centre  Ministry of Health of the Republic of Uzbekistan</t>
  </si>
  <si>
    <t>0011R00002AIPnkQAH</t>
  </si>
  <si>
    <t>Republican Specialized Scientific-Practical Medical Center of Phthisiology and Pulmonology</t>
  </si>
  <si>
    <t>a1E3p00000BvyVQEAZ</t>
  </si>
  <si>
    <t>UZB-T-RSSPMCPhP</t>
  </si>
  <si>
    <t>0013p00001xlqRvAAI</t>
  </si>
  <si>
    <t>a1E3p00000BgkYKEAZ</t>
  </si>
  <si>
    <t>VEN-M-UNDP</t>
  </si>
  <si>
    <t>World</t>
  </si>
  <si>
    <t>Africa</t>
  </si>
  <si>
    <t>Southern Asia</t>
  </si>
  <si>
    <t>South-Eastern Asia</t>
  </si>
  <si>
    <t>Eastern Africa</t>
  </si>
  <si>
    <t>Americas</t>
  </si>
  <si>
    <t>Caribbean</t>
  </si>
  <si>
    <t>Asia</t>
  </si>
  <si>
    <t>Western Asia</t>
  </si>
  <si>
    <t>Oceania</t>
  </si>
  <si>
    <t>Y5 Total cost (In Grant Currency -</t>
  </si>
  <si>
    <t>Y6 Total cost (In Grant Currency -</t>
  </si>
  <si>
    <t>HP1101</t>
  </si>
  <si>
    <t>HP1102</t>
  </si>
  <si>
    <t>HP1103</t>
  </si>
  <si>
    <t>HP1104</t>
  </si>
  <si>
    <t>HP1105</t>
  </si>
  <si>
    <t>HP1106</t>
  </si>
  <si>
    <t>HP1107</t>
  </si>
  <si>
    <t>HP1108</t>
  </si>
  <si>
    <t>HP1109</t>
  </si>
  <si>
    <t>HP1110</t>
  </si>
  <si>
    <t>HP1111</t>
  </si>
  <si>
    <t>HP1112</t>
  </si>
  <si>
    <t>HP1113</t>
  </si>
  <si>
    <t>HP1114</t>
  </si>
  <si>
    <t>HP1115</t>
  </si>
  <si>
    <t>HP1116</t>
  </si>
  <si>
    <t>HP1117</t>
  </si>
  <si>
    <t>HP1118</t>
  </si>
  <si>
    <t>HP1119</t>
  </si>
  <si>
    <t>HP1120</t>
  </si>
  <si>
    <t>HP1121</t>
  </si>
  <si>
    <t>HP1122</t>
  </si>
  <si>
    <t>HP1123</t>
  </si>
  <si>
    <t>HP1124</t>
  </si>
  <si>
    <t>HP1125</t>
  </si>
  <si>
    <t>HP1126</t>
  </si>
  <si>
    <t>HP1127</t>
  </si>
  <si>
    <t>HP1128</t>
  </si>
  <si>
    <t>HP1129</t>
  </si>
  <si>
    <t>HP1130</t>
  </si>
  <si>
    <t>HP1131</t>
  </si>
  <si>
    <t>HP1132</t>
  </si>
  <si>
    <t>HP1133</t>
  </si>
  <si>
    <t>HP1134</t>
  </si>
  <si>
    <t>HP1135</t>
  </si>
  <si>
    <t>HP1136</t>
  </si>
  <si>
    <t>HP1137</t>
  </si>
  <si>
    <t>HP1138</t>
  </si>
  <si>
    <t>HP1139</t>
  </si>
  <si>
    <t>HP1140</t>
  </si>
  <si>
    <t>HP1141</t>
  </si>
  <si>
    <t>HP1142</t>
  </si>
  <si>
    <t>HP1143</t>
  </si>
  <si>
    <t>HP1144</t>
  </si>
  <si>
    <t>HP1145</t>
  </si>
  <si>
    <t>HP1146</t>
  </si>
  <si>
    <t>HP1147</t>
  </si>
  <si>
    <t>HP1148</t>
  </si>
  <si>
    <t>HP1149</t>
  </si>
  <si>
    <t>HP1150</t>
  </si>
  <si>
    <t>HP1151</t>
  </si>
  <si>
    <t>HP1152</t>
  </si>
  <si>
    <t>HP1153</t>
  </si>
  <si>
    <t>HP1154</t>
  </si>
  <si>
    <t>HP1155</t>
  </si>
  <si>
    <t>HP1156</t>
  </si>
  <si>
    <t>HP1157</t>
  </si>
  <si>
    <t>HP1158</t>
  </si>
  <si>
    <t>HP1159</t>
  </si>
  <si>
    <t>HP1160</t>
  </si>
  <si>
    <t>HP1161</t>
  </si>
  <si>
    <t>HP1162</t>
  </si>
  <si>
    <t>HP1163</t>
  </si>
  <si>
    <t>HP1164</t>
  </si>
  <si>
    <t>HP1165</t>
  </si>
  <si>
    <t>HP1166</t>
  </si>
  <si>
    <t>HP1167</t>
  </si>
  <si>
    <t>HP1168</t>
  </si>
  <si>
    <t>HP1169</t>
  </si>
  <si>
    <t>Funding</t>
  </si>
  <si>
    <t>This worksheet is intended to be used for in-country supply chain costs where a fixed-cost for services has been established, rather than a variable (percentage-based) fee. 
NOTE: Only in-country costs - storage, distribution and customs - can be budgeted in this manner.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t>
  </si>
  <si>
    <t>Column F, L, R, X, AD: Rreflects indicative percentages (%) per type of health product category for each of the seven (7) PSM/HPM Cost Inputs. Review the percentages and adjust them, if necessary. If the grant does not pay for these costs, indicate zero (0). If the grant doesn't use a percentage-based calculation, use the "Fixed Cost-C19RM" worksheet.</t>
  </si>
  <si>
    <t>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available in this column.
6. Columns P, W, AD, AK, AR: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AS, AT, AU, AV: Insert the quantity per product that will be procured in the relevant quarter in which the order will be confirmed/placed with manufacturers.
9. Column BI is optional and should be used if you have any relevant comments to communicate to the Country Team/LFA.</t>
  </si>
  <si>
    <t>SETUP</t>
  </si>
  <si>
    <t>Fixed Cost-C19RM</t>
  </si>
  <si>
    <t xml:space="preserve"> </t>
  </si>
  <si>
    <t>Variation
 5 = 4 - (1+2+3)</t>
  </si>
  <si>
    <t>Please select the funding details from dropdown menu</t>
  </si>
  <si>
    <t>Incremental C19RM HPMT</t>
  </si>
  <si>
    <t>Modelo de Gestión de Productos Sanitarios - Lista de productos farmacéuticos</t>
  </si>
  <si>
    <t>Modèle de gestion des produits de santé - C19RM - Liste de produits pharmaceutiques</t>
  </si>
  <si>
    <t xml:space="preserve">1. Columna A: Seleccionar la categoría de producto en el menú desplegable.
2. Columna E: Seleccionar el nombre del producto (DCI) y su presentación en el menú desplegable.
3. Columna I: Seleccionar la especificación en el menú desplegable. Para las especificaciones donde se indique "introducir detalles en Comentarios", utilizar la columna de "Comentarios" BI para facilitar esta información.
4. Columna N: Una vez que se haya introducido toda la información del producto (pasos 1-3 previamente descritos), si se dispone de un precio de referencia, aparecerá automáticamente en la columna N y en las columnas P, W, AD, AK y AR. El precio de referencia se mostrará en la moneda de la subvención seleccionada en la hoja de cálculo SETUP (Configuración).
5. Columna O: La moneda que se muestra en esta columna es por defecto la moneda de la subvención seleccionada en la hoja de cálculo SETUP (Configuración). Si el RP/entidad ejecutora necesita utilizar un coste unitario en otra moneda (USD/EUR), deberá seleccionar la moneda correspondiente para cada producto utilizando el menú desplegable disponible en esta columna.
6. Columnas N, P, W, AD, AK y AR: Si el precio de referencia no aparece automáticamente (paso 4 previamente descrito) para el producto seleccionado, o si no es correcto para este producto, el RP/entidad ejecutora, deberá insertar el costo unitario por producto. El coste unitario debe estar en la moneda de la subvención (USD o EUR). Si el RP/entidad ejecutora necesita utilizar un coste unitario en otra moneda (USD/EUR), deberá seguir el paso 5.
7. Si se dispone de un precio de referencia (paso 4) y se modifica el coste unitario por encima o por debajo  del 30% del precio de referencia, la celda aparecerá en rojo. Por favor compruebe  que el coste unitario coincida con las especificaciones del producto seleccionado. Si todo es correcto, puede continuar, ya que el color rojo no provocará errores en el archivo.
8. Columnas Q, R, S, T, X, Y, Z, AA, AE, AF, AG, AH, AL, AM, AN, AO, AS, AT, AU, AV: Insertar la cantidad por producto que se adquirirá en el trimestre correspondiente en el que se confirme o efectúe el pedido con los fabricantes.
9. La columna BI es opcional y se debe utilizar si se desean realizar comentarios relevantes al Equipo de País o al ALF.	</t>
  </si>
  <si>
    <t xml:space="preserve">1. Colonne A : Sélectionner la catégorie d’article dans le menu déroulant.
2. Colonne E : Sélectionner le nom du produit (DCI) et la force dans le menu déroulant.
3. Colonne I : Sélectionner la description dans le menu déroulant ; pour les descriptions portant la mention « indiquer les détails dans les commentaires », fournir les informations dans la colonne BI « Comments » (Commentaires).
4. Colonne N : Une fois que les informations complètes sur le produit ont été saisies (étapes 1 à 3 ci-dessus), un prix de référence, s’il est disponible, apparaîtra automatiquement dans la colonne N et dans les colonnes P, W, AD, AK et AR. Le prix de référence affiché sera dans la devise de la subvention sélectionnée dans la feuille de calcul « SETUP » (Configuration).
5. Colonne O : La devise affichée dans cette colonne est définie par défaut par rapport à la devise de la subvention sélectionnée dans la feuille de calcul « SETUP » (Configuration). Si le récipiendaire principal / l’entité de mise en œuvre doit utiliser un coût unitaire dans une autre devise (USD / EUR), sélectionner la devise appropriée pour chaque produit à l’aide du menu déroulant disponible dans cette colonne.
6. Colonnes N, P, W, AD, AK et AR : Si un prix de référence n’est pas renseigné automatiquement (étape 4 ci-dessus) pour le produit sélectionné, ou si le prix de référence est inexact pour ce récipiendaire principal / cette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augmenté ou réduit le coût unitaire de plus de 30 % du prix de référence, la cellule s’afficherait en rouge. Vérifier que le coût unitaire correspond à la description du produit sélectionné. Si tout est correct, vous pouvez continuer ; la couleur rouge n’entraînera pas d’erreurs dans le fichier.
8. Colonnes Q, R, S, T, X, Y, Z, AA, AE, AF, AG, AH, AL, AM, AN, AO, AS, AT, AU et AV : Indiquer la quantité par produit qui sera achetée dans le trimestre au cours duquel la commande sera confirmée / passée auprès des fabricants.
9. La colonne BI est facultative et peut être utilisée si des commentaires doivent être adressés à l’équipe de pays / l’agent local du Fonds.	</t>
  </si>
  <si>
    <t>Coste unitario Año 5</t>
  </si>
  <si>
    <t>Coût unitaire Année 5</t>
  </si>
  <si>
    <t>Cantidad T1 Año 5</t>
  </si>
  <si>
    <t>Quantité au T1 Année 5</t>
  </si>
  <si>
    <t>Cantidad T2 Año 5</t>
  </si>
  <si>
    <t>Quantité au T2 Année 5</t>
  </si>
  <si>
    <t>Cantidad T3 Año 5</t>
  </si>
  <si>
    <t>Quantité au T3 Année 5</t>
  </si>
  <si>
    <t>Cantidad T4 Año 5</t>
  </si>
  <si>
    <t>Quantité au T4 Année 5</t>
  </si>
  <si>
    <t>Cantidad total Año 5</t>
  </si>
  <si>
    <t>Quantité totale Année 5</t>
  </si>
  <si>
    <t>Coste total Año 5 (en la moneda de la subvención)</t>
  </si>
  <si>
    <t>Coût total Année 5 (dans la devise de la subvention</t>
  </si>
  <si>
    <t>Coste unitario Año 6</t>
  </si>
  <si>
    <t>Coût unitaire Année 6</t>
  </si>
  <si>
    <t>Cantidad T1 Año 6</t>
  </si>
  <si>
    <t>Quantité au T1 Année 6</t>
  </si>
  <si>
    <t>Cantidad T2 Año 6</t>
  </si>
  <si>
    <t>Quantité au T2 Année 6</t>
  </si>
  <si>
    <t>Cantidad T3 Año 6</t>
  </si>
  <si>
    <t>Quantité au T3 Année 6</t>
  </si>
  <si>
    <t>Cantidad T4 Año 6</t>
  </si>
  <si>
    <t>Quantité au T4 Année 6</t>
  </si>
  <si>
    <t>Cantidad total Año 6</t>
  </si>
  <si>
    <t>Quantité totale Année 6</t>
  </si>
  <si>
    <t>Coste total Año 6 (en la moneda de la subvención)</t>
  </si>
  <si>
    <t>Coût total Année 6 (dans la devise de la subvention -</t>
  </si>
  <si>
    <t>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t>
  </si>
  <si>
    <t>1. Columna A: Seleccionar la categoría de producto en el menú desplegable.
2. Columna E: Seleccionar los detalles del producto en el menú desplegable.
3. Columna I: Seleccionar los detalles adicionales en el menú desplegable. Para los detalles adicionales que requieran mencionar información adicional o específica en "Comentarios", utilizar la columna de "Comentarios" BI para facilitar esta información.
4. Columna N: Una vez que se haya introducido toda la información del producto (pasos 1-3 previamente descritos), si se dispone de un precio de referencia, aparecerá automáticamente en la columna N y en las columnas P, W, AD, AK y AR. El precio de referencia se mostrará en la moneda de la subvención seleccionada en la hoja de cálculo SETUP (Configuración).
5. Columna O: La moneda que se muestra en esta columna es por defecto la moneda de la subvención seleccionada en la hoja de cálculo SETUP (Configuración). Si el RP/entidad ejecutora necesita utilizar un coste unitario en otra moneda (USD/EUR), deberá seleccionar la moneda correspondiente para cada producto utilizando el menú desplegable disponible en esta columna.
6. Columnas N, P, W, AD, AK y AR: Si el precio de referencia no aparece automáticamente (paso 4 previamente descrito) para el producto seleccionado, o si no es correcto para este producto el BP/entidad ejecutora, deberá insertar el coste unitario por producto. El coste unitario debe estar en la moneda de la subvención (USD o EUR). Si el RP/entidad ejecutora necesita utilizar un costo unitario en otra moneda (USD/EUR), deberá seguir el paso 5.
7. Si se dispone de un precio de referencia (paso 4) y se modifica  el coste unitario por encima o por debajo  del 30% del precio de referencia, la celda aparecerá en rojo. Por favor compruebe que el coste unitario coincida con los detalles del producto seleccionado. Si todo es correcto, puede continuar ya que el color rojo no provocará errores en el archivo.
8. Columnas Q, R, S, T, X, Y, Z, AA, AE, AF, AG, AH, AL, AM, AN, AO, AS, AT, AU, AV: Insertar la cantidad por producto que se adquirirá en el trimestre correspondiente en el que se confirme o efectúe el pedido con los fabricantes.
9. La columna BI es opcional y se debe utilizar si se desean realizar comentarios relevantesal Equipo de País o al ALF.</t>
  </si>
  <si>
    <t>1. Colonne A : Sélectionner la catégorie d’article dans le menu déroulant.
2. Colonne E : Sélectionner les informations sur le produit dans le menu déroulant.
3. Colonne I : Sélectionner les informations additionnelles dans le menu déroulant ; les informations additionnelles qui doivent être détaillées dans la section réservée aux commentaires doivent être inscrites dans la colonne BI « Comments » (Commentaires).
4. Colonne N : Une fois que les informations complètes sur le produit ont été saisies (étapes 1 à 3 ci-dessus), un prix de référence, s’il est disponible, apparaîtra automatiquement dans la colonne N et dans les colonnes P, W, AD, AK et AR. Le prix de référence affiché sera dans la devise de la subvention sélectionnée dans la feuille de calcul « SETUP » (Configuration).
5. Colonne O : La devise affichée dans cette colonne est définie par défaut par rapport à la devise de la subvention sélectionnée dans la feuille de calcul « SETUP » (Configuration). Si le récipiendaire principal / l’entité de mise en œuvre doit utiliser un coût unitaire dans une autre devise (USD / EUR), sélectionner la devise appropriée pour chaque produit à l’aide du menu déroulant disponible dans cette colonne.
6. Colonnes N, P, W, AD, AK et AR : Si un prix de référence n’est pas renseigné automatiquement (étape 4 ci-dessus) pour le produit sélectionné, ou si le prix de référence est inexact pour ce récipiendaire principal / cette entité de mise en œuvre, insérer le coût unitaire par produit. Le coût unitaire doit être exprimé dans la devise de la subvention (USD ou EUR). Si le récipiendaire principal / l’entité de mise en œuvre doit utiliser un coût unitaire dans une autre devise (USD / EUR), suivre l’étape 5.
7. Si un prix de référence était disponible (étape 4) et que vous aviez augmenté ou réduit le coût unitaire de plus de 30 % du prix de référence, la cellule s’afficherait en rouge. Vérifier que le coût unitaire correspond à la description du produit sélectionné. Si tout est correct, vous pouvez continuer ; la couleur rouge n’entraînera pas d’erreurs dans le fichier.
8. Colonnes Q, R, S, T, X, Y, Z, AA, AE, AF, AG, AH, AL, AM, AN, AO, AS, AT, AU et AV : Indiquer la quantité par produit qui sera achetée dans le trimestre au cours duquel la commande sera confirmée / passée auprès des fabricants.
9. La colonne BI est facultative et peut être utilisée si des commentaires doivent être adressés à l’équipe de pays / l’agent local du Fonds.</t>
  </si>
  <si>
    <t xml:space="preserve">Columnas F, L, R, X y AD: Reflejan los porcentajes indicativos (%) por tipo de producto sanitario para cada uno de los siete (7) insumos de costes de gestión de la cadena de adquisiciones y suministros o de gestión de productos sanitarios. Revisar los porcentajes y ajustarlos, si es necesario. Si la subvención no cubre estos costes, indicar cero (0). Si la subvención no utiliza un cálculo porcentual, utilice la hoja de cálculo "Fixed Cost-C19RM" (Costes fijos).	</t>
  </si>
  <si>
    <t xml:space="preserve">Les colonnes F, L, R, X et AD représentent les pourcentages (%) indicatifs par type de produit de santé pour chacune des sept (7) entrées de coûts de gestion des achats et de l’approvisionnement / gestion des produits de santé. Vérifier les pourcentages et les ajuster, si nécessaire. Si la subvention ne couvre pas ces coûts, indiquer zéro (0). Si la subvention n’utilise pas un calcul en pourcentage, utiliser la feuille de calcul « Fixed Cost-C19RM » (Coûts C19RM fixes).	</t>
  </si>
  <si>
    <t xml:space="preserve">Sección 1 - Las filas 12-146 representan los costes de gestión de la cadena de adquisiciones y suministros o de gestión de productos sanitarios de transporte al país.
Sección 2 - Las filas 176-337 representan los costes de gestión de la cadena de adquisiciones y suministros o de gestión de productos sanitarios para distribuir los productos en el país.	</t>
  </si>
  <si>
    <t xml:space="preserve">Section 1 – Les lignes 12 à 146 représentent les coûts de gestion des achats et de la chaîne d’approvisionnement / gestion des produits de santé pour l’acheminement des produits dans le pays.
Section 2 – Les lignes 176 à 337 représentent les coûts de gestion des achats et de la chaîne d’approvisionnement / gestion des produits de santé pour la gestion des produits dans le pays.	</t>
  </si>
  <si>
    <t>Coste T1 Año 5</t>
  </si>
  <si>
    <t>Coste T2 Año 5</t>
  </si>
  <si>
    <t>Coste T3 Año 5</t>
  </si>
  <si>
    <t>Coste T4 Año 5</t>
  </si>
  <si>
    <t xml:space="preserve">Coste total Año 5 </t>
  </si>
  <si>
    <t>Coste T1 Año 6</t>
  </si>
  <si>
    <t>Coste T2 Año 6</t>
  </si>
  <si>
    <t>Coste T3 Año 6</t>
  </si>
  <si>
    <t>Coste T4 Año 6</t>
  </si>
  <si>
    <t xml:space="preserve">Coste total Año 6 </t>
  </si>
  <si>
    <t xml:space="preserve">Esta hoja de cálculo debe utilizarse para los costes de la cadena de suministros en el  país cuando se hayan establecido unos costes fijos para los servicios,  en lugar de una tarifa variable (basada en porcentajes). 
1. Columna B: Seleccionar el componente en el menú desplegable.
2. Columna C: Seleccionar el módulo en el menú desplegable.
3. Columna D: Seleccionar la intervención en el menú desplegable.
4. Columna E: Proporcionar una breve descripción de la actividad.
5. Columna F: Seleccionar el insumo de costos en el menú desplegable. 
6. Columnas G-J: Una vez se hayan completado todos los campos (pasos 1, 2, 3 y 5 previamente descritos), estas columnas se rellenarán automáticamente.
7. Columnas K-N, P-S, U-X, Z-AC, AE-AH: Introduzca el valor fijo anual que debe presupuestarse para estos costes.	</t>
  </si>
  <si>
    <t xml:space="preserve">Cette feuille de calcul est utilisée pour les coûts associés à l’achat, la manutention et la gestion de produits de santé dans le pays où des coûts fixes, plutôt que des coûts variables (en pourcentage), ont été établis pour les services. 
1. Colonne B : Sélectionner la composante dans le menu déroulant.
2. Colonne C : Sélectionner le module dans le menu déroulant.
3. Colonne D : Sélectionner l’intervention dans le menu déroulant.
4. Colonne E : Décrire brièvement l’activité.
5. Colonne F : Sélectionner l’entrée de coûts dans le menu déroulant. 
6. Colonnes G à J : Une fois que tous les champs sont remplis (étapes 1, 2, 3 et 5 ci-dessus), ces colonnes seront automatiquement remplies.
7. Colonnes K-N, P-S, U-X, Z-AC et AE-AH : Insérer la valeur fixe par année qui doit être budgétée pour ces coûts.	</t>
  </si>
  <si>
    <t xml:space="preserve">Coste T1 </t>
  </si>
  <si>
    <t>Coût au T1</t>
  </si>
  <si>
    <t>Coste T2</t>
  </si>
  <si>
    <t>Coût au T2</t>
  </si>
  <si>
    <t>Coste T3</t>
  </si>
  <si>
    <t>Coût au T3</t>
  </si>
  <si>
    <t>Coste T4</t>
  </si>
  <si>
    <t>Coût au T4</t>
  </si>
  <si>
    <t>Coste T5</t>
  </si>
  <si>
    <t>Coût au T5</t>
  </si>
  <si>
    <t>Coste T6</t>
  </si>
  <si>
    <t>Coût au T6</t>
  </si>
  <si>
    <t>Coste T7</t>
  </si>
  <si>
    <t>Coût au T7</t>
  </si>
  <si>
    <t>Coste T8</t>
  </si>
  <si>
    <t>Coût au T8</t>
  </si>
  <si>
    <t xml:space="preserve">Coste T9 </t>
  </si>
  <si>
    <t>Coût au T9</t>
  </si>
  <si>
    <t>Coste T10</t>
  </si>
  <si>
    <t>Coût au T10</t>
  </si>
  <si>
    <t>Coste T11</t>
  </si>
  <si>
    <t>Coût au T11</t>
  </si>
  <si>
    <t>Coste T12</t>
  </si>
  <si>
    <t>Coût au T12</t>
  </si>
  <si>
    <t>Coste T13</t>
  </si>
  <si>
    <t>Coût au T13</t>
  </si>
  <si>
    <t xml:space="preserve">Coste T14 </t>
  </si>
  <si>
    <t>Coût au T14</t>
  </si>
  <si>
    <t xml:space="preserve">Coste T15 </t>
  </si>
  <si>
    <t>Coût au T15</t>
  </si>
  <si>
    <t xml:space="preserve">Coste T16 </t>
  </si>
  <si>
    <t>Coût au T16</t>
  </si>
  <si>
    <t>Coste T17</t>
  </si>
  <si>
    <t>Coût au T17</t>
  </si>
  <si>
    <t>Coste T18</t>
  </si>
  <si>
    <t>Coût au T18</t>
  </si>
  <si>
    <t xml:space="preserve">Coste T19 </t>
  </si>
  <si>
    <t>Coût au T19</t>
  </si>
  <si>
    <t>Coste T20</t>
  </si>
  <si>
    <t>Coût au T20</t>
  </si>
  <si>
    <t>Coste Año 5</t>
  </si>
  <si>
    <t>Coût Année 5</t>
  </si>
  <si>
    <t>Coste T21</t>
  </si>
  <si>
    <t>Coût au T21</t>
  </si>
  <si>
    <t>Coste T22</t>
  </si>
  <si>
    <t>Coût au T22</t>
  </si>
  <si>
    <t>Coste T23</t>
  </si>
  <si>
    <t>Coût au T23</t>
  </si>
  <si>
    <t>Coste T24</t>
  </si>
  <si>
    <t>Coût au T24</t>
  </si>
  <si>
    <t>Coste  Año 6</t>
  </si>
  <si>
    <t>Coût Année 6</t>
  </si>
  <si>
    <t>Coste total (en la moneda de la  subvención)</t>
  </si>
  <si>
    <t>Coût total (dans la devise de la subvention -</t>
  </si>
  <si>
    <t>Fondos</t>
  </si>
  <si>
    <t>Financement</t>
  </si>
  <si>
    <t>Seleccione los detalles de financiación del menú desplegable</t>
  </si>
  <si>
    <t>Veuillez sélectionner les détails du financement dans le menu déroulant</t>
  </si>
  <si>
    <t>Déposé par le récipiendaire principal / sous-récipiendaire (rempli automatiquement par le RP/SR)</t>
  </si>
  <si>
    <t>C19RM Grant HPMT (Consolidated)</t>
  </si>
  <si>
    <t>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t>
  </si>
  <si>
    <t>Plantilla para la gestión de productos sanitarios: C19RM 2021- Otros Productos Sanitarios</t>
  </si>
  <si>
    <t>Document type de gestion des produits de santé - Autres produits de santé</t>
  </si>
  <si>
    <t>I6</t>
  </si>
  <si>
    <t xml:space="preserve">Si le nom du RP n'est pas rempli automatiquement ou si la valeur est NA ou si le nom du RP est incorrect, saisissez-le manuellement dans le champ M5. </t>
  </si>
  <si>
    <t>Column F, L, R, X, AD: Reflect indicative percentages (%) per type of health product for each of the seven (7) PSM/HPM Cost Inputs. Review the percentages and adjust them, if necessary. If the grant does not pay for these costs, indicate zero (0). If the grant doesn't use a percentage-based calculation, use the "Fixed Cost-C19RM" worksheet.</t>
  </si>
  <si>
    <t>This worksheet is intended to be used for PSM/HPM costs where a fixed-cost for services has been established, rather than a variable (percentage-based) fee.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t>
  </si>
  <si>
    <t>Reinvestment C19RM HPMT</t>
  </si>
  <si>
    <t>Timing of disbursements from the Global Fund</t>
  </si>
  <si>
    <t>For each group of products being procured under the grant, select - from the dropdown menus - the Procurement Channel, when the funds will be disbursed from the Global Fund and how long the products take from confirmed PO to delivery in-country.</t>
  </si>
  <si>
    <t>Calendario de desembolsos del Fondo Mundial</t>
  </si>
  <si>
    <t>Calendrier des décaissements du Fonds mondial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</si>
</sst>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 #,##0.00_ ;_ * \-#,##0.00_ ;_ * &quot;-&quot;??_ ;_ @_ "/>
    <numFmt numFmtId="164" formatCode="_(* #,##0.00_);_(* \(#,##0.00\);_(* &quot;-&quot;??_);_(@_)"/>
    <numFmt numFmtId="165" formatCode="_)@"/>
    <numFmt numFmtId="166" formatCode="_(* #,##0_);_(* \(#,##0\);_(* &quot;-&quot;??_);_(@_)"/>
    <numFmt numFmtId="167" formatCode=";;;"/>
    <numFmt numFmtId="168" formatCode="_(* #,##0.0_);_(* \(#,##0.0\);_(* &quot;-&quot;??_);_(@_)"/>
    <numFmt numFmtId="169" formatCode="_(* #,##0.000_);_(* \(#,##0.000\);_(* &quot;-&quot;??_);_(@_)"/>
    <numFmt numFmtId="170" formatCode="[$-409]mmmm\ d\,\ yyyy;@"/>
    <numFmt numFmtId="171" formatCode="_ * #,##0.000_ ;_ * \-#,##0.000_ ;_ * &quot;-&quot;???_ ;_ @_ "/>
    <numFmt numFmtId="172" formatCode="0.000"/>
    <numFmt numFmtId="173" formatCode="[$-F800]dddd\,\ mmmm\ dd\,\ yyyy"/>
    <numFmt numFmtId="174" formatCode="0000"/>
    <numFmt numFmtId="175" formatCode="[$-409]d/mmm/yyyy;@"/>
    <numFmt numFmtId="176" formatCode="mm/dd/yy;@"/>
    <numFmt numFmtId="177" formatCode="#,##0.0_ ;\-#,##0.0\ "/>
  </numFmts>
  <fonts count="121" x14ac:knownFonts="1">
    <font>
      <sz val="11"/>
      <color theme="1"/>
      <name val="Calibri"/>
      <family val="2"/>
      <scheme val="minor"/>
    </font>
    <font>
      <b/>
      <sz val="11"/>
      <color theme="3"/>
      <name val="Calibri"/>
      <family val="2"/>
      <scheme val="minor"/>
    </font>
    <font>
      <b/>
      <sz val="11"/>
      <color theme="4" tint="-0.249977111117893"/>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8"/>
      <color theme="9"/>
      <name val="Calibri"/>
      <family val="2"/>
      <scheme val="minor"/>
    </font>
    <font>
      <b/>
      <sz val="11"/>
      <color theme="9"/>
      <name val="Calibri"/>
      <family val="2"/>
      <scheme val="minor"/>
    </font>
    <font>
      <sz val="11"/>
      <color theme="9"/>
      <name val="Calibri"/>
      <family val="2"/>
      <scheme val="minor"/>
    </font>
    <font>
      <sz val="10"/>
      <name val="Calibri"/>
      <family val="2"/>
      <scheme val="minor"/>
    </font>
    <font>
      <b/>
      <sz val="10"/>
      <name val="Calibri"/>
      <family val="2"/>
      <scheme val="minor"/>
    </font>
    <font>
      <sz val="11"/>
      <color theme="5" tint="-0.249977111117893"/>
      <name val="Calibri"/>
      <family val="2"/>
      <scheme val="minor"/>
    </font>
    <font>
      <sz val="11"/>
      <color rgb="FFEAAD00"/>
      <name val="Calibri"/>
      <family val="2"/>
      <scheme val="minor"/>
    </font>
    <font>
      <b/>
      <sz val="11"/>
      <color rgb="FFEAAD00"/>
      <name val="Calibri"/>
      <family val="2"/>
      <scheme val="minor"/>
    </font>
    <font>
      <b/>
      <sz val="12"/>
      <color theme="0"/>
      <name val="Calibri"/>
      <family val="2"/>
      <scheme val="minor"/>
    </font>
    <font>
      <sz val="10"/>
      <color theme="9"/>
      <name val="Calibri"/>
      <family val="2"/>
      <scheme val="minor"/>
    </font>
    <font>
      <b/>
      <sz val="10"/>
      <color theme="9"/>
      <name val="Calibri"/>
      <family val="2"/>
      <scheme val="minor"/>
    </font>
    <font>
      <sz val="11"/>
      <name val="Calibri"/>
      <family val="2"/>
      <scheme val="minor"/>
    </font>
    <font>
      <b/>
      <sz val="10"/>
      <color rgb="FFEAAD00"/>
      <name val="Calibri"/>
      <family val="2"/>
      <scheme val="minor"/>
    </font>
    <font>
      <u/>
      <sz val="11"/>
      <color theme="10"/>
      <name val="Calibri"/>
      <family val="2"/>
      <scheme val="minor"/>
    </font>
    <font>
      <sz val="11"/>
      <color theme="0" tint="-0.34998626667073579"/>
      <name val="Calibri"/>
      <family val="2"/>
      <scheme val="minor"/>
    </font>
    <font>
      <b/>
      <sz val="10"/>
      <color theme="0" tint="-0.34998626667073579"/>
      <name val="Calibri"/>
      <family val="2"/>
      <scheme val="minor"/>
    </font>
    <font>
      <sz val="11"/>
      <color theme="1"/>
      <name val="Arial"/>
      <family val="2"/>
    </font>
    <font>
      <sz val="10"/>
      <name val="Arial"/>
      <family val="2"/>
    </font>
    <font>
      <sz val="11"/>
      <color rgb="FFFF0000"/>
      <name val="Calibri"/>
      <family val="2"/>
      <scheme val="minor"/>
    </font>
    <font>
      <sz val="11"/>
      <color indexed="8"/>
      <name val="Calibri"/>
      <family val="2"/>
      <scheme val="minor"/>
    </font>
    <font>
      <b/>
      <sz val="11"/>
      <name val="Calibri"/>
      <family val="2"/>
      <scheme val="minor"/>
    </font>
    <font>
      <b/>
      <sz val="10"/>
      <color theme="1"/>
      <name val="Calibri"/>
      <family val="2"/>
      <scheme val="minor"/>
    </font>
    <font>
      <b/>
      <sz val="11"/>
      <color rgb="FFFF0000"/>
      <name val="Calibri"/>
      <family val="2"/>
      <scheme val="minor"/>
    </font>
    <font>
      <b/>
      <sz val="10"/>
      <color rgb="FFFF0000"/>
      <name val="Calibri"/>
      <family val="2"/>
      <scheme val="minor"/>
    </font>
    <font>
      <sz val="11"/>
      <color rgb="FF0000FF"/>
      <name val="Calibri"/>
      <family val="2"/>
      <scheme val="minor"/>
    </font>
    <font>
      <b/>
      <sz val="10"/>
      <color theme="0"/>
      <name val="Calibri"/>
      <family val="2"/>
      <scheme val="minor"/>
    </font>
    <font>
      <sz val="10"/>
      <color rgb="FFFF0000"/>
      <name val="Calibri"/>
      <family val="2"/>
      <scheme val="minor"/>
    </font>
    <font>
      <sz val="10"/>
      <color theme="0"/>
      <name val="Calibri"/>
      <family val="2"/>
      <scheme val="minor"/>
    </font>
    <font>
      <b/>
      <sz val="10"/>
      <color rgb="FF000000"/>
      <name val="Calibri"/>
      <family val="2"/>
      <scheme val="minor"/>
    </font>
    <font>
      <b/>
      <i/>
      <sz val="11"/>
      <color theme="1"/>
      <name val="Calibri"/>
      <family val="2"/>
      <scheme val="minor"/>
    </font>
    <font>
      <sz val="8"/>
      <color theme="1"/>
      <name val="Calibri"/>
      <family val="2"/>
      <scheme val="minor"/>
    </font>
    <font>
      <sz val="9"/>
      <color theme="1"/>
      <name val="Calibri"/>
      <family val="2"/>
      <scheme val="minor"/>
    </font>
    <font>
      <b/>
      <sz val="9"/>
      <color theme="1"/>
      <name val="Calibri"/>
      <family val="2"/>
      <scheme val="minor"/>
    </font>
    <font>
      <b/>
      <sz val="8"/>
      <color theme="1"/>
      <name val="Calibri"/>
      <family val="2"/>
      <scheme val="minor"/>
    </font>
    <font>
      <sz val="11"/>
      <color theme="8" tint="-0.499984740745262"/>
      <name val="Calibri"/>
      <family val="2"/>
      <scheme val="minor"/>
    </font>
    <font>
      <sz val="16"/>
      <color theme="8" tint="-0.499984740745262"/>
      <name val="Calibri"/>
      <family val="2"/>
      <scheme val="minor"/>
    </font>
    <font>
      <sz val="8"/>
      <name val="Calibri"/>
      <family val="2"/>
      <scheme val="minor"/>
    </font>
    <font>
      <sz val="16"/>
      <color rgb="FF007D82"/>
      <name val="Calibri"/>
      <family val="2"/>
      <scheme val="minor"/>
    </font>
    <font>
      <b/>
      <sz val="10"/>
      <color rgb="FF007D82"/>
      <name val="Calibri"/>
      <family val="2"/>
      <scheme val="minor"/>
    </font>
    <font>
      <sz val="11"/>
      <color rgb="FF70AD47"/>
      <name val="Calibri"/>
      <family val="2"/>
      <scheme val="minor"/>
    </font>
    <font>
      <b/>
      <sz val="10"/>
      <color rgb="FF70AD47"/>
      <name val="Calibri"/>
      <family val="2"/>
      <scheme val="minor"/>
    </font>
    <font>
      <b/>
      <sz val="18"/>
      <color rgb="FF70AD47"/>
      <name val="Calibri"/>
      <family val="2"/>
      <scheme val="minor"/>
    </font>
    <font>
      <sz val="10"/>
      <color rgb="FF70AD47"/>
      <name val="Calibri"/>
      <family val="2"/>
      <scheme val="minor"/>
    </font>
    <font>
      <b/>
      <sz val="20"/>
      <name val="Calibri"/>
      <family val="2"/>
      <scheme val="minor"/>
    </font>
    <font>
      <b/>
      <sz val="18"/>
      <name val="Calibri"/>
      <family val="2"/>
      <scheme val="minor"/>
    </font>
    <font>
      <b/>
      <sz val="10"/>
      <name val="Arial"/>
      <family val="2"/>
      <charset val="238"/>
    </font>
    <font>
      <sz val="10"/>
      <color theme="1"/>
      <name val="Arial"/>
      <family val="2"/>
      <charset val="238"/>
    </font>
    <font>
      <sz val="10"/>
      <name val="Arial"/>
      <family val="2"/>
      <charset val="238"/>
    </font>
    <font>
      <b/>
      <i/>
      <u/>
      <sz val="18"/>
      <color theme="1"/>
      <name val="Calibri"/>
      <family val="2"/>
      <scheme val="minor"/>
    </font>
    <font>
      <sz val="8"/>
      <color rgb="FF242424"/>
      <name val="Segoe UI"/>
      <family val="2"/>
    </font>
    <font>
      <sz val="11"/>
      <color rgb="FF242424"/>
      <name val="Segoe UI"/>
      <family val="2"/>
    </font>
    <font>
      <b/>
      <sz val="10"/>
      <color rgb="FFFF0000"/>
      <name val="Arial"/>
      <family val="2"/>
      <charset val="238"/>
    </font>
    <font>
      <b/>
      <sz val="10"/>
      <color theme="1"/>
      <name val="Arial"/>
      <family val="2"/>
      <charset val="238"/>
    </font>
    <font>
      <b/>
      <sz val="10"/>
      <color theme="0"/>
      <name val="Arial"/>
      <family val="2"/>
      <charset val="238"/>
    </font>
    <font>
      <sz val="10"/>
      <color theme="1"/>
      <name val="Arial"/>
      <family val="2"/>
    </font>
    <font>
      <sz val="10"/>
      <color theme="6" tint="-0.249977111117893"/>
      <name val="Arial"/>
      <family val="2"/>
      <charset val="238"/>
    </font>
    <font>
      <sz val="11"/>
      <color theme="6" tint="-0.249977111117893"/>
      <name val="Calibri"/>
      <family val="2"/>
      <scheme val="minor"/>
    </font>
    <font>
      <b/>
      <sz val="9"/>
      <color theme="8" tint="-0.249977111117893"/>
      <name val="Calibri"/>
      <family val="2"/>
      <scheme val="minor"/>
    </font>
    <font>
      <b/>
      <sz val="14"/>
      <color theme="0"/>
      <name val="Calibri"/>
      <family val="2"/>
      <scheme val="minor"/>
    </font>
    <font>
      <b/>
      <sz val="16"/>
      <color theme="0"/>
      <name val="Calibri"/>
      <family val="2"/>
      <scheme val="minor"/>
    </font>
    <font>
      <u/>
      <sz val="11"/>
      <color theme="0"/>
      <name val="Calibri"/>
      <family val="2"/>
      <scheme val="minor"/>
    </font>
    <font>
      <sz val="10"/>
      <color theme="1"/>
      <name val="Calibri"/>
      <family val="2"/>
      <scheme val="minor"/>
    </font>
    <font>
      <sz val="11"/>
      <color theme="0" tint="-0.249977111117893"/>
      <name val="Calibri"/>
      <family val="2"/>
      <scheme val="minor"/>
    </font>
    <font>
      <b/>
      <sz val="18"/>
      <color theme="0"/>
      <name val="Calibri"/>
      <family val="2"/>
      <scheme val="minor"/>
    </font>
    <font>
      <sz val="20"/>
      <color theme="1"/>
      <name val="Calibri"/>
      <family val="2"/>
      <scheme val="minor"/>
    </font>
    <font>
      <b/>
      <u/>
      <sz val="12"/>
      <color theme="4" tint="-0.249977111117893"/>
      <name val="Calibri"/>
      <family val="2"/>
      <scheme val="minor"/>
    </font>
    <font>
      <b/>
      <sz val="18"/>
      <color theme="0"/>
      <name val="Arial Black"/>
      <family val="2"/>
    </font>
    <font>
      <b/>
      <sz val="14"/>
      <color theme="0"/>
      <name val="Arial"/>
      <family val="2"/>
    </font>
    <font>
      <b/>
      <sz val="11"/>
      <name val="Arial"/>
      <family val="2"/>
    </font>
    <font>
      <sz val="11"/>
      <name val="Arial"/>
      <family val="2"/>
    </font>
    <font>
      <sz val="11"/>
      <color theme="9"/>
      <name val="Arial"/>
      <family val="2"/>
    </font>
    <font>
      <b/>
      <sz val="11"/>
      <color theme="0"/>
      <name val="Arial Black"/>
      <family val="2"/>
    </font>
    <font>
      <b/>
      <sz val="11"/>
      <color theme="1"/>
      <name val="Arial"/>
      <family val="2"/>
    </font>
    <font>
      <b/>
      <sz val="11"/>
      <color theme="0"/>
      <name val="Arial"/>
      <family val="2"/>
    </font>
    <font>
      <i/>
      <sz val="11"/>
      <name val="Arial"/>
      <family val="2"/>
    </font>
    <font>
      <sz val="11"/>
      <color rgb="FFFF0000"/>
      <name val="Arial"/>
      <family val="2"/>
    </font>
    <font>
      <sz val="11"/>
      <color rgb="FF70AD47"/>
      <name val="Arial"/>
      <family val="2"/>
    </font>
    <font>
      <b/>
      <sz val="11"/>
      <color theme="9"/>
      <name val="Arial"/>
      <family val="2"/>
    </font>
    <font>
      <b/>
      <sz val="11"/>
      <color rgb="FFEAAD00"/>
      <name val="Arial"/>
      <family val="2"/>
    </font>
    <font>
      <b/>
      <sz val="26"/>
      <color theme="0"/>
      <name val="Arial Black"/>
      <family val="2"/>
    </font>
    <font>
      <sz val="11"/>
      <color theme="0"/>
      <name val="Arial"/>
      <family val="2"/>
    </font>
    <font>
      <sz val="11"/>
      <color rgb="FF77061F"/>
      <name val="Arial"/>
      <family val="2"/>
    </font>
    <font>
      <sz val="20"/>
      <color theme="0"/>
      <name val="Calibri"/>
      <family val="2"/>
      <scheme val="minor"/>
    </font>
    <font>
      <sz val="18"/>
      <color theme="0"/>
      <name val="Arial Black"/>
      <family val="2"/>
    </font>
    <font>
      <sz val="7"/>
      <color rgb="FF242424"/>
      <name val="Segoe UI"/>
      <family val="2"/>
    </font>
    <font>
      <sz val="11"/>
      <color rgb="FF242424"/>
      <name val="Arial"/>
      <family val="2"/>
    </font>
    <font>
      <u/>
      <sz val="16"/>
      <color theme="1"/>
      <name val="Arial Black"/>
      <family val="2"/>
    </font>
    <font>
      <b/>
      <sz val="11"/>
      <color rgb="FFFF0000"/>
      <name val="Arial"/>
      <family val="2"/>
    </font>
    <font>
      <sz val="12"/>
      <color theme="0"/>
      <name val="Arial Black"/>
      <family val="2"/>
    </font>
    <font>
      <b/>
      <sz val="11"/>
      <color theme="5" tint="-0.249977111117893"/>
      <name val="Arial"/>
      <family val="2"/>
    </font>
    <font>
      <b/>
      <sz val="14"/>
      <name val="Arial"/>
      <family val="2"/>
    </font>
    <font>
      <sz val="11"/>
      <color rgb="FF461469"/>
      <name val="Arial"/>
      <family val="2"/>
    </font>
    <font>
      <b/>
      <sz val="11"/>
      <color theme="0" tint="-0.34998626667073579"/>
      <name val="Arial"/>
      <family val="2"/>
    </font>
    <font>
      <b/>
      <i/>
      <u/>
      <sz val="11"/>
      <name val="Arial"/>
      <family val="2"/>
    </font>
    <font>
      <b/>
      <sz val="11"/>
      <color rgb="FF007D82"/>
      <name val="Arial"/>
      <family val="2"/>
    </font>
    <font>
      <b/>
      <i/>
      <sz val="11"/>
      <color theme="0" tint="-0.34998626667073579"/>
      <name val="Arial"/>
      <family val="2"/>
    </font>
    <font>
      <b/>
      <sz val="11"/>
      <color theme="2" tint="-0.249977111117893"/>
      <name val="Arial"/>
      <family val="2"/>
    </font>
    <font>
      <b/>
      <u/>
      <sz val="11"/>
      <name val="Arial"/>
      <family val="2"/>
    </font>
    <font>
      <b/>
      <sz val="11"/>
      <color rgb="FF816F03"/>
      <name val="Arial"/>
      <family val="2"/>
    </font>
    <font>
      <b/>
      <sz val="11"/>
      <color theme="0"/>
      <name val="Calibri Light"/>
      <family val="2"/>
    </font>
    <font>
      <sz val="9"/>
      <color rgb="FF77061F"/>
      <name val="Arial"/>
      <family val="2"/>
    </font>
    <font>
      <sz val="9"/>
      <color rgb="FF04198F"/>
      <name val="Arial"/>
      <family val="2"/>
    </font>
    <font>
      <sz val="9"/>
      <color rgb="FF816F03"/>
      <name val="Arial"/>
      <family val="2"/>
    </font>
    <font>
      <sz val="10"/>
      <color theme="1"/>
      <name val="Calibri"/>
      <family val="2"/>
      <scheme val="minor"/>
    </font>
    <font>
      <b/>
      <sz val="10"/>
      <color rgb="FF8DB4E2"/>
      <name val="Arial"/>
      <family val="2"/>
      <charset val="238"/>
    </font>
    <font>
      <sz val="9"/>
      <color rgb="FF007D82"/>
      <name val="Calibri"/>
      <family val="2"/>
      <scheme val="minor"/>
    </font>
    <font>
      <sz val="11"/>
      <color rgb="FF007D82"/>
      <name val="Calibri"/>
      <family val="2"/>
      <scheme val="minor"/>
    </font>
    <font>
      <b/>
      <sz val="10"/>
      <color rgb="FFCC0099"/>
      <name val="Calibri"/>
      <family val="2"/>
      <scheme val="minor"/>
    </font>
    <font>
      <b/>
      <sz val="10.5"/>
      <color theme="0"/>
      <name val="Arial"/>
      <family val="2"/>
    </font>
    <font>
      <sz val="10"/>
      <color rgb="FF77061F"/>
      <name val="Arial"/>
      <family val="2"/>
    </font>
    <font>
      <b/>
      <sz val="11"/>
      <color rgb="FF77061F"/>
      <name val="Arial"/>
      <family val="2"/>
    </font>
  </fonts>
  <fills count="49">
    <fill>
      <patternFill patternType="none"/>
    </fill>
    <fill>
      <patternFill patternType="gray125"/>
    </fill>
    <fill>
      <patternFill patternType="solid">
        <fgColor theme="0" tint="-4.9989318521683403E-2"/>
        <bgColor indexed="64"/>
      </patternFill>
    </fill>
    <fill>
      <patternFill patternType="solid">
        <fgColor theme="4"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FFCCFF"/>
        <bgColor indexed="64"/>
      </patternFill>
    </fill>
    <fill>
      <patternFill patternType="solid">
        <fgColor theme="3" tint="0.79998168889431442"/>
        <bgColor indexed="64"/>
      </patternFill>
    </fill>
    <fill>
      <patternFill patternType="solid">
        <fgColor rgb="FF00B0CA"/>
        <bgColor indexed="64"/>
      </patternFill>
    </fill>
    <fill>
      <patternFill patternType="solid">
        <fgColor theme="9" tint="0.79998168889431442"/>
        <bgColor theme="7" tint="0.79998168889431442"/>
      </patternFill>
    </fill>
    <fill>
      <patternFill patternType="solid">
        <fgColor rgb="FFFFFFCC"/>
        <bgColor indexed="64"/>
      </patternFill>
    </fill>
    <fill>
      <patternFill patternType="solid">
        <fgColor rgb="FF8DB4E2"/>
        <bgColor indexed="64"/>
      </patternFill>
    </fill>
    <fill>
      <patternFill patternType="solid">
        <fgColor rgb="FFFFFFFF"/>
        <bgColor indexed="64"/>
      </patternFill>
    </fill>
    <fill>
      <patternFill patternType="solid">
        <fgColor theme="0" tint="-0.249977111117893"/>
        <bgColor indexed="64"/>
      </patternFill>
    </fill>
    <fill>
      <patternFill patternType="solid">
        <fgColor rgb="FFC4D79B"/>
        <bgColor indexed="64"/>
      </patternFill>
    </fill>
    <fill>
      <patternFill patternType="solid">
        <fgColor theme="6" tint="0.79998168889431442"/>
        <bgColor theme="6" tint="0.79998168889431442"/>
      </patternFill>
    </fill>
    <fill>
      <patternFill patternType="solid">
        <fgColor rgb="FFE5F175"/>
        <bgColor indexed="64"/>
      </patternFill>
    </fill>
    <fill>
      <patternFill patternType="solid">
        <fgColor rgb="FFFBFCC0"/>
        <bgColor indexed="64"/>
      </patternFill>
    </fill>
    <fill>
      <patternFill patternType="solid">
        <fgColor rgb="FFF86A89"/>
        <bgColor indexed="64"/>
      </patternFill>
    </fill>
    <fill>
      <patternFill patternType="solid">
        <fgColor rgb="FF77061F"/>
        <bgColor indexed="64"/>
      </patternFill>
    </fill>
    <fill>
      <patternFill patternType="solid">
        <fgColor rgb="FFA6A6A6"/>
        <bgColor indexed="64"/>
      </patternFill>
    </fill>
    <fill>
      <patternFill patternType="solid">
        <fgColor rgb="FFFA9CB0"/>
        <bgColor indexed="64"/>
      </patternFill>
    </fill>
    <fill>
      <patternFill patternType="solid">
        <fgColor rgb="FFFDCED8"/>
        <bgColor indexed="64"/>
      </patternFill>
    </fill>
    <fill>
      <patternFill patternType="solid">
        <fgColor rgb="FFFDCED8"/>
        <bgColor theme="7" tint="0.79998168889431442"/>
      </patternFill>
    </fill>
    <fill>
      <patternFill patternType="solid">
        <fgColor rgb="FFD5DBFE"/>
        <bgColor indexed="64"/>
      </patternFill>
    </fill>
    <fill>
      <patternFill patternType="solid">
        <fgColor rgb="FFFDF09E"/>
        <bgColor indexed="64"/>
      </patternFill>
    </fill>
    <fill>
      <patternFill patternType="solid">
        <fgColor rgb="FFD1A9EE"/>
        <bgColor indexed="64"/>
      </patternFill>
    </fill>
    <fill>
      <patternFill patternType="solid">
        <fgColor rgb="FFBA7DE6"/>
        <bgColor indexed="64"/>
      </patternFill>
    </fill>
    <fill>
      <patternFill patternType="solid">
        <fgColor rgb="FF691F9E"/>
        <bgColor indexed="64"/>
      </patternFill>
    </fill>
    <fill>
      <patternFill patternType="solid">
        <fgColor rgb="FF8C29D3"/>
        <bgColor indexed="64"/>
      </patternFill>
    </fill>
    <fill>
      <patternFill patternType="solid">
        <fgColor rgb="FF8C29D3"/>
        <bgColor theme="4"/>
      </patternFill>
    </fill>
    <fill>
      <patternFill patternType="solid">
        <fgColor rgb="FFA6A6A6"/>
        <bgColor theme="4" tint="0.79998168889431442"/>
      </patternFill>
    </fill>
    <fill>
      <patternFill patternType="solid">
        <fgColor rgb="FFFFFFCC"/>
        <bgColor theme="4" tint="0.79998168889431442"/>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theme="0" tint="-0.14996795556505021"/>
        <bgColor indexed="64"/>
      </patternFill>
    </fill>
    <fill>
      <patternFill patternType="solid">
        <fgColor theme="0" tint="-0.14996795556505021"/>
        <bgColor theme="7" tint="0.79998168889431442"/>
      </patternFill>
    </fill>
    <fill>
      <patternFill patternType="solid">
        <fgColor theme="0" tint="-0.14999847407452621"/>
        <bgColor indexed="64"/>
      </patternFill>
    </fill>
    <fill>
      <patternFill patternType="solid">
        <fgColor rgb="FFD9D9D9"/>
        <bgColor theme="7" tint="0.79998168889431442"/>
      </patternFill>
    </fill>
    <fill>
      <patternFill patternType="solid">
        <fgColor rgb="FFD9D9D9"/>
        <bgColor indexed="64"/>
      </patternFill>
    </fill>
    <fill>
      <patternFill patternType="solid">
        <fgColor theme="5"/>
        <bgColor indexed="64"/>
      </patternFill>
    </fill>
    <fill>
      <patternFill patternType="solid">
        <fgColor theme="9" tint="0.59999389629810485"/>
        <bgColor indexed="64"/>
      </patternFill>
    </fill>
  </fills>
  <borders count="273">
    <border>
      <left/>
      <right/>
      <top/>
      <bottom/>
      <diagonal/>
    </border>
    <border>
      <left/>
      <right/>
      <top/>
      <bottom style="medium">
        <color theme="4" tint="0.3999755851924192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right/>
      <top/>
      <bottom style="medium">
        <color theme="0"/>
      </bottom>
      <diagonal/>
    </border>
    <border>
      <left style="thin">
        <color theme="0"/>
      </left>
      <right/>
      <top/>
      <bottom/>
      <diagonal/>
    </border>
    <border>
      <left style="medium">
        <color theme="0"/>
      </left>
      <right style="medium">
        <color theme="0"/>
      </right>
      <top/>
      <bottom/>
      <diagonal/>
    </border>
    <border>
      <left/>
      <right/>
      <top style="medium">
        <color theme="0"/>
      </top>
      <bottom style="medium">
        <color theme="0"/>
      </bottom>
      <diagonal/>
    </border>
    <border>
      <left style="medium">
        <color indexed="64"/>
      </left>
      <right/>
      <top style="medium">
        <color indexed="64"/>
      </top>
      <bottom style="medium">
        <color indexed="64"/>
      </bottom>
      <diagonal/>
    </border>
    <border>
      <left style="medium">
        <color theme="9"/>
      </left>
      <right style="medium">
        <color theme="9"/>
      </right>
      <top/>
      <bottom/>
      <diagonal/>
    </border>
    <border>
      <left/>
      <right style="medium">
        <color theme="9"/>
      </right>
      <top/>
      <bottom/>
      <diagonal/>
    </border>
    <border>
      <left/>
      <right style="medium">
        <color theme="9"/>
      </right>
      <top style="medium">
        <color theme="9"/>
      </top>
      <bottom/>
      <diagonal/>
    </border>
    <border>
      <left/>
      <right style="medium">
        <color theme="9"/>
      </right>
      <top/>
      <bottom style="medium">
        <color theme="9"/>
      </bottom>
      <diagonal/>
    </border>
    <border>
      <left style="medium">
        <color theme="9"/>
      </left>
      <right style="medium">
        <color theme="9"/>
      </right>
      <top style="medium">
        <color theme="9"/>
      </top>
      <bottom/>
      <diagonal/>
    </border>
    <border>
      <left style="medium">
        <color theme="9"/>
      </left>
      <right style="medium">
        <color theme="9"/>
      </right>
      <top/>
      <bottom style="medium">
        <color theme="9"/>
      </bottom>
      <diagonal/>
    </border>
    <border>
      <left/>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style="medium">
        <color theme="0"/>
      </bottom>
      <diagonal/>
    </border>
    <border>
      <left/>
      <right style="medium">
        <color theme="0"/>
      </right>
      <top/>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diagonal/>
    </border>
    <border>
      <left/>
      <right style="medium">
        <color theme="0" tint="-0.34998626667073579"/>
      </right>
      <top/>
      <bottom/>
      <diagonal/>
    </border>
    <border>
      <left/>
      <right/>
      <top/>
      <bottom style="medium">
        <color theme="0" tint="-0.34998626667073579"/>
      </bottom>
      <diagonal/>
    </border>
    <border>
      <left style="medium">
        <color theme="0" tint="-0.34998626667073579"/>
      </left>
      <right/>
      <top style="medium">
        <color theme="0" tint="-0.34998626667073579"/>
      </top>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bottom/>
      <diagonal/>
    </border>
    <border>
      <left style="medium">
        <color theme="0" tint="-0.34998626667073579"/>
      </left>
      <right style="medium">
        <color theme="0" tint="-0.34998626667073579"/>
      </right>
      <top/>
      <bottom style="medium">
        <color theme="0" tint="-0.34998626667073579"/>
      </bottom>
      <diagonal/>
    </border>
    <border>
      <left style="medium">
        <color theme="0"/>
      </left>
      <right style="medium">
        <color theme="0"/>
      </right>
      <top style="medium">
        <color theme="0" tint="-0.34998626667073579"/>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9"/>
      </left>
      <right style="medium">
        <color theme="9"/>
      </right>
      <top style="medium">
        <color theme="9"/>
      </top>
      <bottom style="medium">
        <color theme="9"/>
      </bottom>
      <diagonal/>
    </border>
    <border>
      <left/>
      <right style="medium">
        <color theme="9"/>
      </right>
      <top style="medium">
        <color theme="9"/>
      </top>
      <bottom style="medium">
        <color theme="9"/>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medium">
        <color theme="0" tint="-0.34998626667073579"/>
      </left>
      <right/>
      <top style="thin">
        <color theme="0" tint="-0.34998626667073579"/>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rgb="FFEAAD00"/>
      </left>
      <right style="medium">
        <color rgb="FFEAAD00"/>
      </right>
      <top style="medium">
        <color rgb="FFEAAD00"/>
      </top>
      <bottom/>
      <diagonal/>
    </border>
    <border>
      <left style="medium">
        <color rgb="FFEAAD00"/>
      </left>
      <right style="medium">
        <color rgb="FFEAAD00"/>
      </right>
      <top/>
      <bottom style="medium">
        <color rgb="FFE6AF00"/>
      </bottom>
      <diagonal/>
    </border>
    <border>
      <left style="medium">
        <color theme="0" tint="-0.34998626667073579"/>
      </left>
      <right/>
      <top/>
      <bottom style="medium">
        <color theme="2" tint="-0.249977111117893"/>
      </bottom>
      <diagonal/>
    </border>
    <border>
      <left/>
      <right style="medium">
        <color indexed="64"/>
      </right>
      <top/>
      <bottom/>
      <diagonal/>
    </border>
    <border>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rgb="FFFF0000"/>
      </right>
      <top style="medium">
        <color indexed="64"/>
      </top>
      <bottom style="medium">
        <color indexed="64"/>
      </bottom>
      <diagonal/>
    </border>
    <border>
      <left style="medium">
        <color rgb="FFFF0000"/>
      </left>
      <right style="medium">
        <color indexed="64"/>
      </right>
      <top style="medium">
        <color indexed="64"/>
      </top>
      <bottom style="medium">
        <color indexed="64"/>
      </bottom>
      <diagonal/>
    </border>
    <border>
      <left/>
      <right style="thin">
        <color theme="0"/>
      </right>
      <top style="medium">
        <color theme="0"/>
      </top>
      <bottom style="medium">
        <color theme="0"/>
      </bottom>
      <diagonal/>
    </border>
    <border>
      <left/>
      <right/>
      <top style="mediumDashed">
        <color theme="0" tint="-0.34998626667073579"/>
      </top>
      <bottom/>
      <diagonal/>
    </border>
    <border>
      <left/>
      <right/>
      <top style="thin">
        <color indexed="64"/>
      </top>
      <bottom style="thin">
        <color indexed="64"/>
      </bottom>
      <diagonal/>
    </border>
    <border>
      <left/>
      <right/>
      <top style="thin">
        <color indexed="64"/>
      </top>
      <bottom/>
      <diagonal/>
    </border>
    <border>
      <left/>
      <right style="medium">
        <color theme="6" tint="0.39997558519241921"/>
      </right>
      <top style="medium">
        <color theme="0" tint="-0.34998626667073579"/>
      </top>
      <bottom/>
      <diagonal/>
    </border>
    <border>
      <left/>
      <right style="medium">
        <color theme="6" tint="0.39997558519241921"/>
      </right>
      <top/>
      <bottom/>
      <diagonal/>
    </border>
    <border>
      <left/>
      <right style="medium">
        <color theme="6" tint="0.39997558519241921"/>
      </right>
      <top/>
      <bottom style="medium">
        <color theme="6" tint="0.39997558519241921"/>
      </bottom>
      <diagonal/>
    </border>
    <border>
      <left/>
      <right style="medium">
        <color theme="6" tint="0.39997558519241921"/>
      </right>
      <top style="medium">
        <color theme="6" tint="0.39997558519241921"/>
      </top>
      <bottom style="thin">
        <color theme="0" tint="-0.34998626667073579"/>
      </bottom>
      <diagonal/>
    </border>
    <border>
      <left/>
      <right style="medium">
        <color theme="6" tint="0.39997558519241921"/>
      </right>
      <top style="thin">
        <color theme="0" tint="-0.34998626667073579"/>
      </top>
      <bottom/>
      <diagonal/>
    </border>
    <border>
      <left/>
      <right style="medium">
        <color theme="6" tint="0.39997558519241921"/>
      </right>
      <top/>
      <bottom style="thin">
        <color theme="6"/>
      </bottom>
      <diagonal/>
    </border>
    <border>
      <left style="medium">
        <color theme="0" tint="-0.34998626667073579"/>
      </left>
      <right style="medium">
        <color theme="6"/>
      </right>
      <top/>
      <bottom/>
      <diagonal/>
    </border>
    <border>
      <left/>
      <right style="medium">
        <color theme="6" tint="0.39997558519241921"/>
      </right>
      <top style="medium">
        <color theme="6" tint="0.39997558519241921"/>
      </top>
      <bottom/>
      <diagonal/>
    </border>
    <border>
      <left style="medium">
        <color theme="6"/>
      </left>
      <right style="medium">
        <color theme="6"/>
      </right>
      <top/>
      <bottom style="medium">
        <color theme="6"/>
      </bottom>
      <diagonal/>
    </border>
    <border>
      <left style="medium">
        <color theme="6"/>
      </left>
      <right style="medium">
        <color theme="0" tint="-0.34998626667073579"/>
      </right>
      <top/>
      <bottom style="medium">
        <color theme="0" tint="-0.34998626667073579"/>
      </bottom>
      <diagonal/>
    </border>
    <border>
      <left style="medium">
        <color theme="6"/>
      </left>
      <right style="medium">
        <color theme="0" tint="-0.34998626667073579"/>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rgb="FF007D82"/>
      </left>
      <right/>
      <top style="medium">
        <color rgb="FF007D82"/>
      </top>
      <bottom/>
      <diagonal/>
    </border>
    <border>
      <left style="medium">
        <color indexed="64"/>
      </left>
      <right/>
      <top/>
      <bottom/>
      <diagonal/>
    </border>
    <border>
      <left style="medium">
        <color rgb="FF70AD47"/>
      </left>
      <right style="medium">
        <color rgb="FF70AD47"/>
      </right>
      <top style="medium">
        <color rgb="FF70AD47"/>
      </top>
      <bottom style="medium">
        <color rgb="FF70AD47"/>
      </bottom>
      <diagonal/>
    </border>
    <border>
      <left/>
      <right style="medium">
        <color rgb="FF70AD47"/>
      </right>
      <top style="medium">
        <color rgb="FF70AD47"/>
      </top>
      <bottom/>
      <diagonal/>
    </border>
    <border>
      <left/>
      <right style="medium">
        <color rgb="FF70AD47"/>
      </right>
      <top/>
      <bottom style="medium">
        <color rgb="FF70AD47"/>
      </bottom>
      <diagonal/>
    </border>
    <border>
      <left/>
      <right style="medium">
        <color rgb="FF70AD47"/>
      </right>
      <top style="medium">
        <color rgb="FF70AD47"/>
      </top>
      <bottom style="medium">
        <color rgb="FF70AD47"/>
      </bottom>
      <diagonal/>
    </border>
    <border>
      <left style="medium">
        <color rgb="FF70AD47"/>
      </left>
      <right style="medium">
        <color rgb="FF70AD47"/>
      </right>
      <top style="medium">
        <color rgb="FF70AD47"/>
      </top>
      <bottom/>
      <diagonal/>
    </border>
    <border>
      <left style="medium">
        <color rgb="FF70AD47"/>
      </left>
      <right style="medium">
        <color rgb="FF70AD47"/>
      </right>
      <top/>
      <bottom style="medium">
        <color rgb="FF70AD47"/>
      </bottom>
      <diagonal/>
    </border>
    <border>
      <left style="medium">
        <color rgb="FF70AD47"/>
      </left>
      <right style="medium">
        <color rgb="FF70AD47"/>
      </right>
      <top/>
      <bottom/>
      <diagonal/>
    </border>
    <border>
      <left/>
      <right style="medium">
        <color rgb="FF70AD47"/>
      </right>
      <top/>
      <bottom/>
      <diagonal/>
    </border>
    <border>
      <left style="medium">
        <color indexed="64"/>
      </left>
      <right/>
      <top style="thin">
        <color indexed="64"/>
      </top>
      <bottom/>
      <diagonal/>
    </border>
    <border>
      <left style="hair">
        <color auto="1"/>
      </left>
      <right style="hair">
        <color auto="1"/>
      </right>
      <top style="hair">
        <color auto="1"/>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indexed="64"/>
      </left>
      <right style="medium">
        <color indexed="64"/>
      </right>
      <top style="thin">
        <color indexed="64"/>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rgb="FFD1D1D1"/>
      </left>
      <right style="medium">
        <color rgb="FFD1D1D1"/>
      </right>
      <top style="medium">
        <color rgb="FFD1D1D1"/>
      </top>
      <bottom/>
      <diagonal/>
    </border>
    <border>
      <left style="medium">
        <color rgb="FFD1D1D1"/>
      </left>
      <right style="medium">
        <color rgb="FFD1D1D1"/>
      </right>
      <top/>
      <bottom style="medium">
        <color rgb="FFD1D1D1"/>
      </bottom>
      <diagonal/>
    </border>
    <border>
      <left style="thin">
        <color indexed="64"/>
      </left>
      <right/>
      <top/>
      <bottom/>
      <diagonal/>
    </border>
    <border>
      <left style="dotted">
        <color indexed="64"/>
      </left>
      <right style="dotted">
        <color indexed="64"/>
      </right>
      <top style="dotted">
        <color indexed="64"/>
      </top>
      <bottom/>
      <diagonal/>
    </border>
    <border>
      <left style="hair">
        <color auto="1"/>
      </left>
      <right style="hair">
        <color auto="1"/>
      </right>
      <top style="hair">
        <color auto="1"/>
      </top>
      <bottom style="hair">
        <color auto="1"/>
      </bottom>
      <diagonal/>
    </border>
    <border>
      <left/>
      <right style="dotted">
        <color indexed="64"/>
      </right>
      <top style="dotted">
        <color indexed="64"/>
      </top>
      <bottom/>
      <diagonal/>
    </border>
    <border>
      <left style="medium">
        <color theme="0" tint="-0.34998626667073579"/>
      </left>
      <right style="thin">
        <color theme="0" tint="-0.34998626667073579"/>
      </right>
      <top style="thin">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indexed="64"/>
      </left>
      <right/>
      <top style="thin">
        <color indexed="64"/>
      </top>
      <bottom/>
      <diagonal/>
    </border>
    <border>
      <left style="thin">
        <color indexed="64"/>
      </left>
      <right style="thin">
        <color indexed="64"/>
      </right>
      <top/>
      <bottom/>
      <diagonal/>
    </border>
    <border>
      <left style="thin">
        <color theme="0" tint="-0.34998626667073579"/>
      </left>
      <right style="thin">
        <color theme="0" tint="-0.34998626667073579"/>
      </right>
      <top/>
      <bottom style="thin">
        <color theme="0" tint="-0.34998626667073579"/>
      </bottom>
      <diagonal/>
    </border>
    <border>
      <left style="dotted">
        <color indexed="64"/>
      </left>
      <right style="dotted">
        <color indexed="64"/>
      </right>
      <top/>
      <bottom style="dotted">
        <color indexed="64"/>
      </bottom>
      <diagonal/>
    </border>
    <border>
      <left/>
      <right/>
      <top style="medium">
        <color indexed="64"/>
      </top>
      <bottom style="medium">
        <color indexed="64"/>
      </bottom>
      <diagonal/>
    </border>
    <border>
      <left style="thin">
        <color auto="1"/>
      </left>
      <right/>
      <top/>
      <bottom style="thin">
        <color auto="1"/>
      </bottom>
      <diagonal/>
    </border>
    <border>
      <left/>
      <right style="thin">
        <color theme="0"/>
      </right>
      <top style="medium">
        <color theme="0"/>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rgb="FF77061F"/>
      </left>
      <right/>
      <top style="medium">
        <color rgb="FF77061F"/>
      </top>
      <bottom/>
      <diagonal/>
    </border>
    <border>
      <left/>
      <right/>
      <top style="medium">
        <color rgb="FF77061F"/>
      </top>
      <bottom/>
      <diagonal/>
    </border>
    <border>
      <left/>
      <right style="medium">
        <color rgb="FF77061F"/>
      </right>
      <top style="medium">
        <color rgb="FF77061F"/>
      </top>
      <bottom/>
      <diagonal/>
    </border>
    <border>
      <left style="medium">
        <color rgb="FF77061F"/>
      </left>
      <right/>
      <top/>
      <bottom style="medium">
        <color rgb="FF77061F"/>
      </bottom>
      <diagonal/>
    </border>
    <border>
      <left/>
      <right/>
      <top/>
      <bottom style="medium">
        <color rgb="FF77061F"/>
      </bottom>
      <diagonal/>
    </border>
    <border>
      <left/>
      <right style="medium">
        <color rgb="FF77061F"/>
      </right>
      <top/>
      <bottom style="medium">
        <color rgb="FF77061F"/>
      </bottom>
      <diagonal/>
    </border>
    <border>
      <left style="medium">
        <color rgb="FF77061F"/>
      </left>
      <right/>
      <top style="medium">
        <color rgb="FF77061F"/>
      </top>
      <bottom style="medium">
        <color rgb="FF77061F"/>
      </bottom>
      <diagonal/>
    </border>
    <border>
      <left/>
      <right/>
      <top style="medium">
        <color rgb="FF77061F"/>
      </top>
      <bottom style="medium">
        <color rgb="FF77061F"/>
      </bottom>
      <diagonal/>
    </border>
    <border>
      <left/>
      <right style="medium">
        <color rgb="FF77061F"/>
      </right>
      <top style="medium">
        <color rgb="FF77061F"/>
      </top>
      <bottom style="medium">
        <color rgb="FF77061F"/>
      </bottom>
      <diagonal/>
    </border>
    <border>
      <left style="medium">
        <color rgb="FF77061F"/>
      </left>
      <right style="medium">
        <color rgb="FF77061F"/>
      </right>
      <top style="medium">
        <color rgb="FF77061F"/>
      </top>
      <bottom/>
      <diagonal/>
    </border>
    <border>
      <left style="medium">
        <color rgb="FF77061F"/>
      </left>
      <right style="medium">
        <color rgb="FF77061F"/>
      </right>
      <top/>
      <bottom style="medium">
        <color rgb="FF77061F"/>
      </bottom>
      <diagonal/>
    </border>
    <border>
      <left style="medium">
        <color rgb="FF77061F"/>
      </left>
      <right style="medium">
        <color rgb="FF77061F"/>
      </right>
      <top/>
      <bottom/>
      <diagonal/>
    </border>
    <border>
      <left style="medium">
        <color rgb="FF77061F"/>
      </left>
      <right/>
      <top/>
      <bottom/>
      <diagonal/>
    </border>
    <border>
      <left/>
      <right style="medium">
        <color rgb="FF77061F"/>
      </right>
      <top/>
      <bottom/>
      <diagonal/>
    </border>
    <border>
      <left style="medium">
        <color rgb="FF77061F"/>
      </left>
      <right style="medium">
        <color rgb="FF70AD47"/>
      </right>
      <top style="medium">
        <color rgb="FF77061F"/>
      </top>
      <bottom style="medium">
        <color rgb="FF77061F"/>
      </bottom>
      <diagonal/>
    </border>
    <border>
      <left style="medium">
        <color rgb="FF70AD47"/>
      </left>
      <right style="medium">
        <color rgb="FF77061F"/>
      </right>
      <top style="medium">
        <color rgb="FF77061F"/>
      </top>
      <bottom style="medium">
        <color rgb="FF77061F"/>
      </bottom>
      <diagonal/>
    </border>
    <border>
      <left style="medium">
        <color rgb="FF77061F"/>
      </left>
      <right style="medium">
        <color rgb="FF77061F"/>
      </right>
      <top style="medium">
        <color rgb="FF77061F"/>
      </top>
      <bottom style="medium">
        <color rgb="FF70AD47"/>
      </bottom>
      <diagonal/>
    </border>
    <border>
      <left style="medium">
        <color rgb="FF77061F"/>
      </left>
      <right style="medium">
        <color rgb="FF77061F"/>
      </right>
      <top style="medium">
        <color rgb="FF70AD47"/>
      </top>
      <bottom style="medium">
        <color rgb="FF77061F"/>
      </bottom>
      <diagonal/>
    </border>
    <border>
      <left/>
      <right/>
      <top style="medium">
        <color rgb="FF77061F"/>
      </top>
      <bottom style="medium">
        <color theme="0"/>
      </bottom>
      <diagonal/>
    </border>
    <border>
      <left/>
      <right style="medium">
        <color rgb="FF77061F"/>
      </right>
      <top style="medium">
        <color rgb="FF77061F"/>
      </top>
      <bottom style="medium">
        <color theme="0"/>
      </bottom>
      <diagonal/>
    </border>
    <border>
      <left/>
      <right/>
      <top style="medium">
        <color theme="0"/>
      </top>
      <bottom style="medium">
        <color rgb="FF77061F"/>
      </bottom>
      <diagonal/>
    </border>
    <border>
      <left/>
      <right style="medium">
        <color rgb="FF77061F"/>
      </right>
      <top style="medium">
        <color theme="0"/>
      </top>
      <bottom style="medium">
        <color rgb="FF77061F"/>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rgb="FF70AD47"/>
      </left>
      <right/>
      <top style="medium">
        <color rgb="FF77061F"/>
      </top>
      <bottom style="medium">
        <color rgb="FF77061F"/>
      </bottom>
      <diagonal/>
    </border>
    <border>
      <left style="medium">
        <color rgb="FF77061F"/>
      </left>
      <right style="medium">
        <color rgb="FF77061F"/>
      </right>
      <top style="medium">
        <color rgb="FF77061F"/>
      </top>
      <bottom style="medium">
        <color theme="9"/>
      </bottom>
      <diagonal/>
    </border>
    <border>
      <left style="medium">
        <color rgb="FF77061F"/>
      </left>
      <right style="medium">
        <color rgb="FF77061F"/>
      </right>
      <top style="medium">
        <color theme="9"/>
      </top>
      <bottom style="medium">
        <color theme="9"/>
      </bottom>
      <diagonal/>
    </border>
    <border>
      <left style="medium">
        <color rgb="FF77061F"/>
      </left>
      <right style="medium">
        <color rgb="FF77061F"/>
      </right>
      <top style="medium">
        <color theme="9"/>
      </top>
      <bottom/>
      <diagonal/>
    </border>
    <border>
      <left style="medium">
        <color rgb="FF77061F"/>
      </left>
      <right style="medium">
        <color rgb="FF77061F"/>
      </right>
      <top style="medium">
        <color theme="9"/>
      </top>
      <bottom style="medium">
        <color rgb="FF77061F"/>
      </bottom>
      <diagonal/>
    </border>
    <border>
      <left style="medium">
        <color rgb="FF77061F"/>
      </left>
      <right style="medium">
        <color theme="9"/>
      </right>
      <top style="medium">
        <color rgb="FF77061F"/>
      </top>
      <bottom style="medium">
        <color rgb="FF77061F"/>
      </bottom>
      <diagonal/>
    </border>
    <border>
      <left style="medium">
        <color theme="9"/>
      </left>
      <right style="medium">
        <color rgb="FF77061F"/>
      </right>
      <top style="medium">
        <color rgb="FF77061F"/>
      </top>
      <bottom style="medium">
        <color rgb="FF77061F"/>
      </bottom>
      <diagonal/>
    </border>
    <border>
      <left style="medium">
        <color indexed="64"/>
      </left>
      <right style="thin">
        <color indexed="64"/>
      </right>
      <top style="thin">
        <color indexed="64"/>
      </top>
      <bottom/>
      <diagonal/>
    </border>
    <border>
      <left style="hair">
        <color auto="1"/>
      </left>
      <right style="hair">
        <color auto="1"/>
      </right>
      <top/>
      <bottom style="hair">
        <color auto="1"/>
      </bottom>
      <diagonal/>
    </border>
    <border>
      <left style="medium">
        <color rgb="FF461469"/>
      </left>
      <right/>
      <top style="medium">
        <color rgb="FF461469"/>
      </top>
      <bottom style="medium">
        <color rgb="FF461469"/>
      </bottom>
      <diagonal/>
    </border>
    <border>
      <left/>
      <right/>
      <top style="medium">
        <color rgb="FF461469"/>
      </top>
      <bottom style="medium">
        <color rgb="FF461469"/>
      </bottom>
      <diagonal/>
    </border>
    <border>
      <left/>
      <right style="medium">
        <color rgb="FF461469"/>
      </right>
      <top style="medium">
        <color rgb="FF461469"/>
      </top>
      <bottom style="medium">
        <color rgb="FF461469"/>
      </bottom>
      <diagonal/>
    </border>
    <border>
      <left style="dotted">
        <color indexed="64"/>
      </left>
      <right style="medium">
        <color rgb="FF461469"/>
      </right>
      <top/>
      <bottom style="dotted">
        <color indexed="64"/>
      </bottom>
      <diagonal/>
    </border>
    <border>
      <left style="dotted">
        <color indexed="64"/>
      </left>
      <right style="medium">
        <color rgb="FF461469"/>
      </right>
      <top style="dotted">
        <color indexed="64"/>
      </top>
      <bottom style="dotted">
        <color indexed="64"/>
      </bottom>
      <diagonal/>
    </border>
    <border>
      <left style="dotted">
        <color indexed="64"/>
      </left>
      <right style="dotted">
        <color indexed="64"/>
      </right>
      <top style="dotted">
        <color indexed="64"/>
      </top>
      <bottom style="medium">
        <color rgb="FF461469"/>
      </bottom>
      <diagonal/>
    </border>
    <border>
      <left style="dotted">
        <color indexed="64"/>
      </left>
      <right style="medium">
        <color rgb="FF461469"/>
      </right>
      <top style="dotted">
        <color indexed="64"/>
      </top>
      <bottom style="medium">
        <color rgb="FF461469"/>
      </bottom>
      <diagonal/>
    </border>
    <border>
      <left style="dotted">
        <color auto="1"/>
      </left>
      <right style="dotted">
        <color auto="1"/>
      </right>
      <top style="medium">
        <color rgb="FF461469"/>
      </top>
      <bottom style="dotted">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auto="1"/>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top style="medium">
        <color auto="1"/>
      </top>
      <bottom style="thin">
        <color theme="0" tint="-0.34998626667073579"/>
      </bottom>
      <diagonal/>
    </border>
    <border>
      <left style="medium">
        <color theme="0" tint="-0.34998626667073579"/>
      </left>
      <right/>
      <top style="medium">
        <color auto="1"/>
      </top>
      <bottom/>
      <diagonal/>
    </border>
    <border>
      <left/>
      <right style="medium">
        <color theme="0" tint="-0.34998626667073579"/>
      </right>
      <top style="medium">
        <color auto="1"/>
      </top>
      <bottom/>
      <diagonal/>
    </border>
    <border>
      <left/>
      <right/>
      <top style="medium">
        <color auto="1"/>
      </top>
      <bottom style="thin">
        <color theme="0" tint="-0.34998626667073579"/>
      </bottom>
      <diagonal/>
    </border>
    <border>
      <left/>
      <right style="medium">
        <color theme="6"/>
      </right>
      <top style="medium">
        <color auto="1"/>
      </top>
      <bottom/>
      <diagonal/>
    </border>
    <border>
      <left style="medium">
        <color theme="6"/>
      </left>
      <right style="medium">
        <color theme="6"/>
      </right>
      <top style="medium">
        <color auto="1"/>
      </top>
      <bottom/>
      <diagonal/>
    </border>
    <border>
      <left style="medium">
        <color theme="6"/>
      </left>
      <right style="medium">
        <color auto="1"/>
      </right>
      <top style="medium">
        <color auto="1"/>
      </top>
      <bottom/>
      <diagonal/>
    </border>
    <border>
      <left style="medium">
        <color auto="1"/>
      </left>
      <right style="thin">
        <color theme="0" tint="-0.34998626667073579"/>
      </right>
      <top style="thin">
        <color theme="0" tint="-0.34998626667073579"/>
      </top>
      <bottom style="thin">
        <color theme="0" tint="-0.34998626667073579"/>
      </bottom>
      <diagonal/>
    </border>
    <border>
      <left style="medium">
        <color theme="6"/>
      </left>
      <right style="medium">
        <color auto="1"/>
      </right>
      <top/>
      <bottom/>
      <diagonal/>
    </border>
    <border>
      <left style="medium">
        <color auto="1"/>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auto="1"/>
      </bottom>
      <diagonal/>
    </border>
    <border>
      <left style="thin">
        <color theme="0" tint="-0.34998626667073579"/>
      </left>
      <right style="medium">
        <color theme="0" tint="-0.34998626667073579"/>
      </right>
      <top style="thin">
        <color theme="0" tint="-0.34998626667073579"/>
      </top>
      <bottom style="medium">
        <color auto="1"/>
      </bottom>
      <diagonal/>
    </border>
    <border>
      <left/>
      <right style="medium">
        <color theme="0" tint="-0.34998626667073579"/>
      </right>
      <top style="thin">
        <color theme="0" tint="-0.34998626667073579"/>
      </top>
      <bottom style="medium">
        <color auto="1"/>
      </bottom>
      <diagonal/>
    </border>
    <border>
      <left style="medium">
        <color theme="0" tint="-0.34998626667073579"/>
      </left>
      <right/>
      <top/>
      <bottom style="medium">
        <color auto="1"/>
      </bottom>
      <diagonal/>
    </border>
    <border>
      <left style="medium">
        <color theme="6"/>
      </left>
      <right style="medium">
        <color auto="1"/>
      </right>
      <top/>
      <bottom style="medium">
        <color auto="1"/>
      </bottom>
      <diagonal/>
    </border>
    <border>
      <left style="medium">
        <color theme="0" tint="-0.34998626667073579"/>
      </left>
      <right style="medium">
        <color theme="0" tint="-0.34998626667073579"/>
      </right>
      <top style="medium">
        <color auto="1"/>
      </top>
      <bottom/>
      <diagonal/>
    </border>
    <border>
      <left/>
      <right style="medium">
        <color theme="0" tint="-0.34998626667073579"/>
      </right>
      <top/>
      <bottom style="medium">
        <color auto="1"/>
      </bottom>
      <diagonal/>
    </border>
    <border>
      <left style="medium">
        <color theme="0" tint="-0.34998626667073579"/>
      </left>
      <right style="medium">
        <color theme="0" tint="-0.34998626667073579"/>
      </right>
      <top/>
      <bottom style="medium">
        <color auto="1"/>
      </bottom>
      <diagonal/>
    </border>
    <border>
      <left style="medium">
        <color rgb="FFA6A6A6"/>
      </left>
      <right/>
      <top style="medium">
        <color auto="1"/>
      </top>
      <bottom/>
      <diagonal/>
    </border>
    <border>
      <left/>
      <right style="medium">
        <color rgb="FFA6A6A6"/>
      </right>
      <top style="medium">
        <color auto="1"/>
      </top>
      <bottom/>
      <diagonal/>
    </border>
    <border>
      <left style="medium">
        <color rgb="FFA6A6A6"/>
      </left>
      <right/>
      <top/>
      <bottom style="thin">
        <color theme="0"/>
      </bottom>
      <diagonal/>
    </border>
    <border>
      <left/>
      <right style="medium">
        <color rgb="FFA6A6A6"/>
      </right>
      <top/>
      <bottom style="thin">
        <color theme="0"/>
      </bottom>
      <diagonal/>
    </border>
    <border>
      <left/>
      <right style="medium">
        <color theme="0" tint="-0.34998626667073579"/>
      </right>
      <top/>
      <bottom style="thin">
        <color theme="0"/>
      </bottom>
      <diagonal/>
    </border>
    <border>
      <left style="medium">
        <color theme="0" tint="-0.34998626667073579"/>
      </left>
      <right/>
      <top/>
      <bottom style="thin">
        <color theme="0"/>
      </bottom>
      <diagonal/>
    </border>
    <border>
      <left/>
      <right style="medium">
        <color theme="6"/>
      </right>
      <top/>
      <bottom style="thin">
        <color theme="0"/>
      </bottom>
      <diagonal/>
    </border>
    <border>
      <left style="thin">
        <color indexed="64"/>
      </left>
      <right style="thin">
        <color indexed="64"/>
      </right>
      <top style="thin">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medium">
        <color theme="0" tint="-0.34998626667073579"/>
      </left>
      <right/>
      <top/>
      <bottom style="thin">
        <color theme="0" tint="-0.34998626667073579"/>
      </bottom>
      <diagonal/>
    </border>
    <border>
      <left style="thin">
        <color indexed="64"/>
      </left>
      <right style="medium">
        <color rgb="FFA6A6A6"/>
      </right>
      <top/>
      <bottom/>
      <diagonal/>
    </border>
    <border>
      <left style="thin">
        <color indexed="64"/>
      </left>
      <right style="thin">
        <color indexed="64"/>
      </right>
      <top style="thin">
        <color theme="0" tint="-0.34998626667073579"/>
      </top>
      <bottom style="medium">
        <color auto="1"/>
      </bottom>
      <diagonal/>
    </border>
    <border>
      <left style="thin">
        <color theme="0" tint="-0.34998626667073579"/>
      </left>
      <right style="medium">
        <color theme="0" tint="-0.34998626667073579"/>
      </right>
      <top style="medium">
        <color auto="1"/>
      </top>
      <bottom style="thin">
        <color theme="0" tint="-0.34998626667073579"/>
      </bottom>
      <diagonal/>
    </border>
    <border>
      <left style="medium">
        <color theme="6"/>
      </left>
      <right style="medium">
        <color theme="1"/>
      </right>
      <top style="medium">
        <color auto="1"/>
      </top>
      <bottom/>
      <diagonal/>
    </border>
    <border>
      <left style="medium">
        <color theme="6"/>
      </left>
      <right style="medium">
        <color theme="1"/>
      </right>
      <top/>
      <bottom/>
      <diagonal/>
    </border>
    <border>
      <left style="medium">
        <color theme="6"/>
      </left>
      <right style="medium">
        <color theme="1"/>
      </right>
      <top/>
      <bottom style="medium">
        <color auto="1"/>
      </bottom>
      <diagonal/>
    </border>
    <border>
      <left style="thin">
        <color theme="0" tint="-0.34998626667073579"/>
      </left>
      <right style="medium">
        <color theme="0" tint="-0.34998626667073579"/>
      </right>
      <top style="medium">
        <color auto="1"/>
      </top>
      <bottom/>
      <diagonal/>
    </border>
    <border>
      <left style="thin">
        <color theme="0" tint="-0.34998626667073579"/>
      </left>
      <right style="thin">
        <color theme="0" tint="-0.34998626667073579"/>
      </right>
      <top style="thin">
        <color theme="0" tint="-0.34998626667073579"/>
      </top>
      <bottom/>
      <diagonal/>
    </border>
    <border>
      <left style="medium">
        <color auto="1"/>
      </left>
      <right style="thin">
        <color theme="0" tint="-0.34998626667073579"/>
      </right>
      <top style="thin">
        <color theme="0" tint="-0.34998626667073579"/>
      </top>
      <bottom/>
      <diagonal/>
    </border>
    <border>
      <left style="thin">
        <color rgb="FFA6A6A6"/>
      </left>
      <right/>
      <top style="medium">
        <color auto="1"/>
      </top>
      <bottom/>
      <diagonal/>
    </border>
    <border>
      <left style="thin">
        <color rgb="FFA6A6A6"/>
      </left>
      <right/>
      <top/>
      <bottom style="thin">
        <color theme="0"/>
      </bottom>
      <diagonal/>
    </border>
    <border>
      <left style="medium">
        <color indexed="64"/>
      </left>
      <right style="thin">
        <color indexed="64"/>
      </right>
      <top/>
      <bottom/>
      <diagonal/>
    </border>
    <border>
      <left style="medium">
        <color theme="0" tint="-0.34998626667073579"/>
      </left>
      <right style="medium">
        <color theme="0" tint="-0.34998626667073579"/>
      </right>
      <top style="thin">
        <color theme="0" tint="-0.34998626667073579"/>
      </top>
      <bottom style="medium">
        <color auto="1"/>
      </bottom>
      <diagonal/>
    </border>
    <border>
      <left style="medium">
        <color rgb="FF691F9E"/>
      </left>
      <right/>
      <top style="medium">
        <color rgb="FF691F9E"/>
      </top>
      <bottom style="medium">
        <color rgb="FF691F9E"/>
      </bottom>
      <diagonal/>
    </border>
    <border>
      <left/>
      <right/>
      <top style="medium">
        <color rgb="FF691F9E"/>
      </top>
      <bottom style="medium">
        <color rgb="FF691F9E"/>
      </bottom>
      <diagonal/>
    </border>
    <border>
      <left/>
      <right style="medium">
        <color rgb="FF691F9E"/>
      </right>
      <top style="medium">
        <color rgb="FF691F9E"/>
      </top>
      <bottom style="medium">
        <color rgb="FF691F9E"/>
      </bottom>
      <diagonal/>
    </border>
    <border>
      <left/>
      <right style="thin">
        <color indexed="64"/>
      </right>
      <top style="medium">
        <color indexed="64"/>
      </top>
      <bottom style="medium">
        <color indexed="64"/>
      </bottom>
      <diagonal/>
    </border>
    <border>
      <left style="thin">
        <color indexed="64"/>
      </left>
      <right style="thin">
        <color indexed="64"/>
      </right>
      <top/>
      <bottom style="thin">
        <color theme="0" tint="-0.34998626667073579"/>
      </bottom>
      <diagonal/>
    </border>
    <border>
      <left/>
      <right style="medium">
        <color rgb="FF77061F"/>
      </right>
      <top style="medium">
        <color rgb="FF77061F"/>
      </top>
      <bottom style="medium">
        <color rgb="FFFFFFFF"/>
      </bottom>
      <diagonal/>
    </border>
    <border>
      <left/>
      <right/>
      <top style="medium">
        <color rgb="FF77061F"/>
      </top>
      <bottom style="medium">
        <color rgb="FFFFFFFF"/>
      </bottom>
      <diagonal/>
    </border>
    <border>
      <left/>
      <right style="medium">
        <color theme="9"/>
      </right>
      <top style="medium">
        <color rgb="FF77061F"/>
      </top>
      <bottom style="medium">
        <color rgb="FF77061F"/>
      </bottom>
      <diagonal/>
    </border>
    <border>
      <left style="dotted">
        <color indexed="64"/>
      </left>
      <right/>
      <top/>
      <bottom style="dotted">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rgb="FF461469"/>
      </bottom>
      <diagonal/>
    </border>
    <border>
      <left style="medium">
        <color indexed="64"/>
      </left>
      <right style="thin">
        <color indexed="64"/>
      </right>
      <top/>
      <bottom style="medium">
        <color indexed="64"/>
      </bottom>
      <diagonal/>
    </border>
    <border>
      <left style="dotted">
        <color indexed="64"/>
      </left>
      <right style="hair">
        <color auto="1"/>
      </right>
      <top style="medium">
        <color rgb="FF461469"/>
      </top>
      <bottom style="dotted">
        <color indexed="64"/>
      </bottom>
      <diagonal/>
    </border>
    <border>
      <left style="hair">
        <color auto="1"/>
      </left>
      <right style="dotted">
        <color indexed="64"/>
      </right>
      <top style="medium">
        <color rgb="FF461469"/>
      </top>
      <bottom style="hair">
        <color auto="1"/>
      </bottom>
      <diagonal/>
    </border>
    <border>
      <left style="hair">
        <color auto="1"/>
      </left>
      <right style="hair">
        <color auto="1"/>
      </right>
      <top style="medium">
        <color rgb="FF461469"/>
      </top>
      <bottom style="hair">
        <color auto="1"/>
      </bottom>
      <diagonal/>
    </border>
    <border>
      <left style="medium">
        <color rgb="FF461469"/>
      </left>
      <right style="dotted">
        <color indexed="64"/>
      </right>
      <top style="hair">
        <color rgb="FF461469"/>
      </top>
      <bottom style="hair">
        <color rgb="FF461469"/>
      </bottom>
      <diagonal/>
    </border>
    <border>
      <left style="medium">
        <color rgb="FF461469"/>
      </left>
      <right style="dotted">
        <color indexed="64"/>
      </right>
      <top style="hair">
        <color rgb="FF461469"/>
      </top>
      <bottom style="medium">
        <color rgb="FF461469"/>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theme="0" tint="-0.34998626667073579"/>
      </bottom>
      <diagonal/>
    </border>
    <border>
      <left style="thin">
        <color indexed="64"/>
      </left>
      <right style="medium">
        <color rgb="FFA6A6A6"/>
      </right>
      <top style="medium">
        <color indexed="64"/>
      </top>
      <bottom/>
      <diagonal/>
    </border>
    <border>
      <left style="thin">
        <color indexed="64"/>
      </left>
      <right style="medium">
        <color rgb="FFA6A6A6"/>
      </right>
      <top/>
      <bottom style="medium">
        <color indexed="64"/>
      </bottom>
      <diagonal/>
    </border>
    <border>
      <left style="medium">
        <color indexed="64"/>
      </left>
      <right style="thin">
        <color indexed="64"/>
      </right>
      <top/>
      <bottom style="thin">
        <color indexed="64"/>
      </bottom>
      <diagonal/>
    </border>
    <border>
      <left style="medium">
        <color rgb="FFA6A6A6"/>
      </left>
      <right/>
      <top/>
      <bottom/>
      <diagonal/>
    </border>
    <border>
      <left/>
      <right style="medium">
        <color rgb="FFA6A6A6"/>
      </right>
      <top/>
      <bottom/>
      <diagonal/>
    </border>
    <border>
      <left style="medium">
        <color rgb="FFA6A6A6"/>
      </left>
      <right/>
      <top/>
      <bottom style="medium">
        <color indexed="64"/>
      </bottom>
      <diagonal/>
    </border>
    <border>
      <left/>
      <right style="medium">
        <color rgb="FFA6A6A6"/>
      </right>
      <top/>
      <bottom style="medium">
        <color indexed="64"/>
      </bottom>
      <diagonal/>
    </border>
  </borders>
  <cellStyleXfs count="23">
    <xf numFmtId="0" fontId="0" fillId="0" borderId="0"/>
    <xf numFmtId="0" fontId="1" fillId="0" borderId="1" applyNumberFormat="0" applyFill="0" applyAlignment="0" applyProtection="0"/>
    <xf numFmtId="9" fontId="3" fillId="0" borderId="0" applyFont="0" applyFill="0" applyBorder="0" applyAlignment="0" applyProtection="0"/>
    <xf numFmtId="0" fontId="7" fillId="0" borderId="0"/>
    <xf numFmtId="164" fontId="3" fillId="0" borderId="0" applyFont="0" applyFill="0" applyBorder="0" applyAlignment="0" applyProtection="0"/>
    <xf numFmtId="164" fontId="3" fillId="0" borderId="0" applyFont="0" applyFill="0" applyBorder="0" applyAlignment="0" applyProtection="0"/>
    <xf numFmtId="0" fontId="23" fillId="0" borderId="0" applyNumberFormat="0" applyFill="0" applyBorder="0" applyAlignment="0" applyProtection="0"/>
    <xf numFmtId="0" fontId="26" fillId="0" borderId="0"/>
    <xf numFmtId="0" fontId="27" fillId="0" borderId="0"/>
    <xf numFmtId="0" fontId="27" fillId="0" borderId="0"/>
    <xf numFmtId="0" fontId="29" fillId="0" borderId="0"/>
    <xf numFmtId="0" fontId="9" fillId="0" borderId="0"/>
    <xf numFmtId="0" fontId="3" fillId="0" borderId="0"/>
    <xf numFmtId="0" fontId="13" fillId="13" borderId="110" applyNumberFormat="0" applyBorder="0" applyAlignment="0" applyProtection="0">
      <alignment horizontal="left" vertical="center"/>
      <protection locked="0"/>
    </xf>
    <xf numFmtId="43" fontId="3" fillId="0" borderId="0" applyFont="0" applyFill="0" applyBorder="0" applyAlignment="0" applyProtection="0"/>
    <xf numFmtId="0" fontId="3" fillId="0" borderId="0"/>
    <xf numFmtId="9" fontId="3" fillId="0" borderId="0" applyFont="0" applyFill="0" applyBorder="0" applyAlignment="0" applyProtection="0"/>
    <xf numFmtId="164" fontId="7"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cellStyleXfs>
  <cellXfs count="1407">
    <xf numFmtId="0" fontId="0" fillId="0" borderId="0" xfId="0"/>
    <xf numFmtId="0" fontId="8" fillId="0" borderId="0" xfId="3" applyFont="1"/>
    <xf numFmtId="0" fontId="7" fillId="0" borderId="0" xfId="3"/>
    <xf numFmtId="0" fontId="5" fillId="0" borderId="0" xfId="0" applyFont="1"/>
    <xf numFmtId="0" fontId="0" fillId="0" borderId="0" xfId="0" applyAlignment="1">
      <alignment horizontal="right"/>
    </xf>
    <xf numFmtId="0" fontId="0" fillId="0" borderId="2" xfId="0" applyBorder="1"/>
    <xf numFmtId="0" fontId="4" fillId="4" borderId="2" xfId="0" applyFont="1" applyFill="1" applyBorder="1" applyAlignment="1">
      <alignment horizontal="center" vertical="center"/>
    </xf>
    <xf numFmtId="0" fontId="0" fillId="0" borderId="4" xfId="0" applyBorder="1"/>
    <xf numFmtId="0" fontId="0" fillId="0" borderId="36" xfId="0" applyBorder="1"/>
    <xf numFmtId="0" fontId="0" fillId="4" borderId="0" xfId="0" applyFill="1"/>
    <xf numFmtId="0" fontId="0" fillId="0" borderId="8" xfId="0" applyBorder="1" applyAlignment="1">
      <alignment vertical="center"/>
    </xf>
    <xf numFmtId="0" fontId="0" fillId="0" borderId="9" xfId="0" applyBorder="1" applyAlignment="1">
      <alignment vertical="center"/>
    </xf>
    <xf numFmtId="0" fontId="0" fillId="4" borderId="0" xfId="0" applyFill="1" applyAlignment="1">
      <alignment vertical="center"/>
    </xf>
    <xf numFmtId="0" fontId="0" fillId="0" borderId="32" xfId="0" applyBorder="1" applyAlignment="1">
      <alignment vertical="center"/>
    </xf>
    <xf numFmtId="0" fontId="0" fillId="0" borderId="7" xfId="0" applyBorder="1" applyAlignment="1">
      <alignment vertical="center"/>
    </xf>
    <xf numFmtId="0" fontId="0" fillId="0" borderId="18" xfId="0" applyBorder="1" applyAlignment="1">
      <alignment vertical="center"/>
    </xf>
    <xf numFmtId="0" fontId="0" fillId="0" borderId="15" xfId="0" applyBorder="1" applyAlignment="1">
      <alignment vertical="center"/>
    </xf>
    <xf numFmtId="0" fontId="0" fillId="0" borderId="2" xfId="0" applyBorder="1" applyAlignment="1">
      <alignment vertical="center"/>
    </xf>
    <xf numFmtId="0" fontId="0" fillId="0" borderId="12" xfId="0" applyBorder="1" applyAlignment="1">
      <alignment vertical="center"/>
    </xf>
    <xf numFmtId="0" fontId="0" fillId="0" borderId="3" xfId="0" applyBorder="1" applyAlignment="1">
      <alignment vertical="center"/>
    </xf>
    <xf numFmtId="0" fontId="0" fillId="4" borderId="2" xfId="0" applyFill="1" applyBorder="1" applyAlignment="1">
      <alignment vertical="center"/>
    </xf>
    <xf numFmtId="0" fontId="21" fillId="0" borderId="18" xfId="0" applyFont="1" applyBorder="1" applyAlignment="1">
      <alignment horizontal="left" vertical="center"/>
    </xf>
    <xf numFmtId="0" fontId="18" fillId="0" borderId="18" xfId="0" applyFont="1" applyBorder="1" applyAlignment="1">
      <alignment horizontal="center" vertical="center"/>
    </xf>
    <xf numFmtId="0" fontId="4" fillId="0" borderId="18" xfId="0" applyFont="1" applyBorder="1" applyAlignment="1">
      <alignment horizontal="left" vertical="center"/>
    </xf>
    <xf numFmtId="0" fontId="0" fillId="0" borderId="0" xfId="0" applyAlignment="1">
      <alignment vertical="center"/>
    </xf>
    <xf numFmtId="0" fontId="0" fillId="0" borderId="6" xfId="0" applyBorder="1" applyAlignment="1">
      <alignment vertical="center"/>
    </xf>
    <xf numFmtId="0" fontId="0" fillId="4" borderId="6" xfId="0" applyFill="1" applyBorder="1" applyAlignment="1">
      <alignment vertical="center"/>
    </xf>
    <xf numFmtId="0" fontId="15" fillId="0" borderId="4" xfId="0" applyFont="1" applyBorder="1"/>
    <xf numFmtId="0" fontId="0" fillId="0" borderId="6" xfId="0" applyBorder="1"/>
    <xf numFmtId="0" fontId="0" fillId="0" borderId="34" xfId="0" applyBorder="1"/>
    <xf numFmtId="0" fontId="0" fillId="0" borderId="5" xfId="0" applyBorder="1"/>
    <xf numFmtId="0" fontId="0" fillId="0" borderId="10" xfId="0" applyBorder="1" applyAlignment="1">
      <alignment horizontal="right" vertical="center"/>
    </xf>
    <xf numFmtId="0" fontId="0" fillId="0" borderId="11" xfId="0" applyBorder="1" applyAlignment="1">
      <alignment vertical="center"/>
    </xf>
    <xf numFmtId="0" fontId="0" fillId="0" borderId="4" xfId="0" applyBorder="1" applyAlignment="1">
      <alignment vertical="center"/>
    </xf>
    <xf numFmtId="0" fontId="15" fillId="0" borderId="4" xfId="0" applyFont="1" applyBorder="1" applyAlignment="1">
      <alignment vertical="center"/>
    </xf>
    <xf numFmtId="0" fontId="0" fillId="0" borderId="35" xfId="0" applyBorder="1" applyAlignment="1">
      <alignment vertical="center"/>
    </xf>
    <xf numFmtId="0" fontId="15" fillId="0" borderId="17" xfId="0" applyFont="1" applyBorder="1"/>
    <xf numFmtId="0" fontId="0" fillId="0" borderId="18" xfId="0" applyBorder="1"/>
    <xf numFmtId="0" fontId="0" fillId="0" borderId="19" xfId="0" applyBorder="1" applyAlignment="1">
      <alignment vertical="center"/>
    </xf>
    <xf numFmtId="0" fontId="0" fillId="4" borderId="9" xfId="0" applyFill="1" applyBorder="1" applyAlignment="1">
      <alignment vertical="center"/>
    </xf>
    <xf numFmtId="0" fontId="0" fillId="4" borderId="10" xfId="0" applyFill="1" applyBorder="1" applyAlignment="1">
      <alignment horizontal="right" vertical="center"/>
    </xf>
    <xf numFmtId="0" fontId="0" fillId="4" borderId="12" xfId="0" applyFill="1" applyBorder="1" applyAlignment="1">
      <alignment vertical="center"/>
    </xf>
    <xf numFmtId="0" fontId="0" fillId="4" borderId="13" xfId="0" applyFill="1" applyBorder="1" applyAlignment="1">
      <alignment horizontal="right" vertical="center"/>
    </xf>
    <xf numFmtId="0" fontId="0" fillId="4" borderId="34" xfId="0" applyFill="1" applyBorder="1" applyAlignment="1">
      <alignment vertical="center"/>
    </xf>
    <xf numFmtId="0" fontId="11" fillId="4" borderId="0" xfId="0" applyFont="1" applyFill="1" applyAlignment="1">
      <alignment vertical="center"/>
    </xf>
    <xf numFmtId="0" fontId="0" fillId="0" borderId="30" xfId="0" applyBorder="1"/>
    <xf numFmtId="0" fontId="6" fillId="4" borderId="34" xfId="0" applyFont="1" applyFill="1" applyBorder="1"/>
    <xf numFmtId="0" fontId="20" fillId="4" borderId="0" xfId="0" applyFont="1" applyFill="1" applyAlignment="1">
      <alignment horizontal="center" vertical="center" wrapText="1"/>
    </xf>
    <xf numFmtId="165" fontId="2" fillId="2" borderId="0" xfId="1" applyNumberFormat="1" applyFont="1" applyFill="1" applyBorder="1" applyAlignment="1" applyProtection="1">
      <alignment vertical="center"/>
    </xf>
    <xf numFmtId="0" fontId="0" fillId="4" borderId="0" xfId="0" applyFill="1" applyAlignment="1">
      <alignment horizontal="right" vertical="center"/>
    </xf>
    <xf numFmtId="0" fontId="0" fillId="4" borderId="4" xfId="0" applyFill="1" applyBorder="1" applyAlignment="1">
      <alignment horizontal="right" vertical="center"/>
    </xf>
    <xf numFmtId="0" fontId="0" fillId="4" borderId="29" xfId="0" applyFill="1" applyBorder="1" applyAlignment="1">
      <alignment vertical="center"/>
    </xf>
    <xf numFmtId="0" fontId="0" fillId="4" borderId="2" xfId="0" applyFill="1" applyBorder="1" applyAlignment="1">
      <alignment horizontal="right" vertical="center"/>
    </xf>
    <xf numFmtId="0" fontId="6" fillId="4" borderId="0" xfId="0" applyFont="1" applyFill="1" applyAlignment="1">
      <alignment vertical="center"/>
    </xf>
    <xf numFmtId="0" fontId="21" fillId="0" borderId="0" xfId="0" applyFont="1"/>
    <xf numFmtId="0" fontId="6" fillId="4" borderId="0" xfId="0" applyFont="1" applyFill="1"/>
    <xf numFmtId="0" fontId="0" fillId="0" borderId="2" xfId="0" applyBorder="1" applyProtection="1">
      <protection locked="0"/>
    </xf>
    <xf numFmtId="0" fontId="0" fillId="0" borderId="0" xfId="0" applyProtection="1">
      <protection locked="0"/>
    </xf>
    <xf numFmtId="0" fontId="0" fillId="0" borderId="48" xfId="0" applyBorder="1"/>
    <xf numFmtId="0" fontId="0" fillId="0" borderId="18" xfId="0" applyBorder="1" applyProtection="1">
      <protection locked="0"/>
    </xf>
    <xf numFmtId="0" fontId="31" fillId="0" borderId="2" xfId="0" applyFont="1" applyBorder="1"/>
    <xf numFmtId="0" fontId="0" fillId="0" borderId="0" xfId="0" applyAlignment="1">
      <alignment wrapText="1"/>
    </xf>
    <xf numFmtId="0" fontId="21" fillId="0" borderId="18" xfId="0" applyFont="1" applyBorder="1" applyAlignment="1">
      <alignment horizontal="center" vertical="center"/>
    </xf>
    <xf numFmtId="10" fontId="18" fillId="0" borderId="18" xfId="2" applyNumberFormat="1" applyFont="1" applyFill="1" applyBorder="1" applyAlignment="1" applyProtection="1">
      <alignment horizontal="left" vertical="center"/>
    </xf>
    <xf numFmtId="0" fontId="6" fillId="0" borderId="0" xfId="0" applyFont="1"/>
    <xf numFmtId="164" fontId="9" fillId="0" borderId="0" xfId="5" applyFont="1" applyFill="1" applyBorder="1" applyAlignment="1" applyProtection="1">
      <alignment horizontal="left" vertical="center"/>
    </xf>
    <xf numFmtId="164" fontId="9" fillId="0" borderId="40" xfId="5" applyFont="1" applyFill="1" applyBorder="1" applyAlignment="1" applyProtection="1">
      <alignment horizontal="left" vertical="center"/>
    </xf>
    <xf numFmtId="164" fontId="9" fillId="0" borderId="40" xfId="5" applyFont="1" applyFill="1" applyBorder="1" applyAlignment="1" applyProtection="1">
      <alignment horizontal="center" vertical="center"/>
    </xf>
    <xf numFmtId="164" fontId="9" fillId="0" borderId="40" xfId="5" applyFont="1" applyFill="1" applyBorder="1" applyProtection="1"/>
    <xf numFmtId="164" fontId="9" fillId="0" borderId="0" xfId="5" applyFont="1" applyFill="1" applyBorder="1" applyProtection="1"/>
    <xf numFmtId="164" fontId="9" fillId="0" borderId="0" xfId="5" applyFont="1" applyFill="1" applyBorder="1" applyAlignment="1" applyProtection="1">
      <alignment horizontal="center" vertical="center"/>
    </xf>
    <xf numFmtId="164" fontId="9" fillId="0" borderId="46" xfId="5" applyFont="1" applyFill="1" applyBorder="1" applyAlignment="1" applyProtection="1">
      <alignment horizontal="left" vertical="center"/>
    </xf>
    <xf numFmtId="164" fontId="9" fillId="0" borderId="43" xfId="5" applyFont="1" applyFill="1" applyBorder="1" applyAlignment="1" applyProtection="1">
      <alignment horizontal="left" vertical="center"/>
    </xf>
    <xf numFmtId="164" fontId="9" fillId="0" borderId="43" xfId="5" applyFont="1" applyFill="1" applyBorder="1" applyAlignment="1" applyProtection="1">
      <alignment horizontal="center" vertical="center"/>
    </xf>
    <xf numFmtId="164" fontId="9" fillId="0" borderId="41" xfId="5" applyFont="1" applyFill="1" applyBorder="1" applyAlignment="1" applyProtection="1">
      <alignment horizontal="left" vertical="center"/>
    </xf>
    <xf numFmtId="164" fontId="9" fillId="0" borderId="45" xfId="5" applyFont="1" applyFill="1" applyBorder="1" applyProtection="1"/>
    <xf numFmtId="164" fontId="9" fillId="0" borderId="45" xfId="5" applyFont="1" applyFill="1" applyBorder="1" applyAlignment="1" applyProtection="1">
      <alignment horizontal="center" vertical="center"/>
    </xf>
    <xf numFmtId="164" fontId="9" fillId="0" borderId="45" xfId="5" applyFont="1" applyFill="1" applyBorder="1" applyAlignment="1" applyProtection="1">
      <alignment horizontal="left" vertical="center"/>
    </xf>
    <xf numFmtId="164" fontId="9" fillId="0" borderId="47" xfId="5" applyFont="1" applyFill="1" applyBorder="1" applyAlignment="1" applyProtection="1">
      <alignment horizontal="left" vertical="center"/>
    </xf>
    <xf numFmtId="164" fontId="9" fillId="0" borderId="65" xfId="5" applyFont="1" applyFill="1" applyBorder="1" applyAlignment="1" applyProtection="1">
      <alignment horizontal="left" vertical="center"/>
    </xf>
    <xf numFmtId="0" fontId="4" fillId="4" borderId="35" xfId="0" applyFont="1" applyFill="1" applyBorder="1" applyAlignment="1">
      <alignment horizontal="center" vertical="center"/>
    </xf>
    <xf numFmtId="0" fontId="4" fillId="4" borderId="29" xfId="0" applyFont="1" applyFill="1" applyBorder="1" applyAlignment="1">
      <alignment horizontal="center"/>
    </xf>
    <xf numFmtId="0" fontId="6" fillId="0" borderId="7" xfId="0" applyFont="1" applyBorder="1"/>
    <xf numFmtId="0" fontId="6" fillId="0" borderId="9" xfId="0" applyFont="1" applyBorder="1"/>
    <xf numFmtId="0" fontId="6" fillId="0" borderId="12" xfId="0" applyFont="1" applyBorder="1"/>
    <xf numFmtId="0" fontId="6" fillId="0" borderId="2" xfId="0" applyFont="1" applyBorder="1"/>
    <xf numFmtId="0" fontId="0" fillId="0" borderId="0" xfId="0" applyAlignment="1">
      <alignment horizontal="center"/>
    </xf>
    <xf numFmtId="167" fontId="28" fillId="0" borderId="4" xfId="0" applyNumberFormat="1" applyFont="1" applyBorder="1"/>
    <xf numFmtId="0" fontId="30" fillId="0" borderId="18" xfId="0" applyFont="1" applyBorder="1" applyAlignment="1">
      <alignment horizontal="left" vertical="center"/>
    </xf>
    <xf numFmtId="0" fontId="31" fillId="0" borderId="0" xfId="0" applyFont="1"/>
    <xf numFmtId="0" fontId="40" fillId="0" borderId="0" xfId="0" applyFont="1"/>
    <xf numFmtId="0" fontId="6" fillId="0" borderId="18" xfId="0" applyFont="1" applyBorder="1" applyAlignment="1">
      <alignment vertical="center"/>
    </xf>
    <xf numFmtId="0" fontId="6" fillId="0" borderId="4" xfId="0" applyFont="1" applyBorder="1" applyAlignment="1">
      <alignment vertical="center"/>
    </xf>
    <xf numFmtId="0" fontId="0" fillId="0" borderId="66" xfId="0" applyBorder="1" applyAlignment="1" applyProtection="1">
      <alignment horizontal="center"/>
      <protection locked="0"/>
    </xf>
    <xf numFmtId="0" fontId="43" fillId="0" borderId="0" xfId="0" applyFont="1"/>
    <xf numFmtId="0" fontId="42" fillId="12" borderId="53" xfId="0" applyFont="1" applyFill="1" applyBorder="1" applyAlignment="1">
      <alignment vertical="center" wrapText="1"/>
    </xf>
    <xf numFmtId="0" fontId="42" fillId="10" borderId="53" xfId="0" applyFont="1" applyFill="1" applyBorder="1" applyAlignment="1">
      <alignment vertical="center" wrapText="1"/>
    </xf>
    <xf numFmtId="0" fontId="42" fillId="12" borderId="107" xfId="0" applyFont="1" applyFill="1" applyBorder="1" applyAlignment="1">
      <alignment vertical="center" wrapText="1"/>
    </xf>
    <xf numFmtId="0" fontId="42" fillId="10" borderId="107" xfId="0" applyFont="1" applyFill="1" applyBorder="1" applyAlignment="1">
      <alignment vertical="center" wrapText="1"/>
    </xf>
    <xf numFmtId="0" fontId="41" fillId="12" borderId="107" xfId="0" applyFont="1" applyFill="1" applyBorder="1" applyAlignment="1">
      <alignment vertical="center" wrapText="1"/>
    </xf>
    <xf numFmtId="0" fontId="41" fillId="10" borderId="107" xfId="0" applyFont="1" applyFill="1" applyBorder="1" applyAlignment="1">
      <alignment vertical="center" wrapText="1"/>
    </xf>
    <xf numFmtId="0" fontId="41" fillId="6" borderId="107" xfId="0" applyFont="1" applyFill="1" applyBorder="1" applyAlignment="1">
      <alignment vertical="center" wrapText="1"/>
    </xf>
    <xf numFmtId="0" fontId="41" fillId="10" borderId="0" xfId="0" applyFont="1" applyFill="1" applyAlignment="1">
      <alignment vertical="center" wrapText="1"/>
    </xf>
    <xf numFmtId="0" fontId="42" fillId="7" borderId="53" xfId="0" applyFont="1" applyFill="1" applyBorder="1" applyAlignment="1">
      <alignment vertical="center" wrapText="1"/>
    </xf>
    <xf numFmtId="0" fontId="42" fillId="7" borderId="107" xfId="0" applyFont="1" applyFill="1" applyBorder="1" applyAlignment="1">
      <alignment vertical="center" wrapText="1"/>
    </xf>
    <xf numFmtId="0" fontId="41" fillId="7" borderId="107" xfId="0" applyFont="1" applyFill="1" applyBorder="1" applyAlignment="1">
      <alignment vertical="center" wrapText="1"/>
    </xf>
    <xf numFmtId="0" fontId="41" fillId="7" borderId="107" xfId="0" applyFont="1" applyFill="1" applyBorder="1" applyAlignment="1">
      <alignment horizontal="left" vertical="center" wrapText="1"/>
    </xf>
    <xf numFmtId="0" fontId="41" fillId="7" borderId="0" xfId="0" applyFont="1" applyFill="1" applyAlignment="1">
      <alignment vertical="center" wrapText="1"/>
    </xf>
    <xf numFmtId="0" fontId="42" fillId="0" borderId="107" xfId="0" applyFont="1" applyBorder="1" applyAlignment="1">
      <alignment vertical="center" wrapText="1"/>
    </xf>
    <xf numFmtId="0" fontId="41" fillId="0" borderId="107" xfId="0" applyFont="1" applyBorder="1" applyAlignment="1">
      <alignment vertical="center" wrapText="1"/>
    </xf>
    <xf numFmtId="0" fontId="0" fillId="0" borderId="5" xfId="0" quotePrefix="1" applyBorder="1"/>
    <xf numFmtId="0" fontId="0" fillId="0" borderId="0" xfId="0" applyAlignment="1" applyProtection="1">
      <alignment horizontal="center"/>
      <protection locked="0"/>
    </xf>
    <xf numFmtId="0" fontId="4" fillId="4" borderId="3" xfId="0" applyFont="1" applyFill="1" applyBorder="1" applyAlignment="1">
      <alignment horizontal="center"/>
    </xf>
    <xf numFmtId="0" fontId="6" fillId="0" borderId="3" xfId="0" applyFont="1" applyBorder="1"/>
    <xf numFmtId="168" fontId="9" fillId="0" borderId="102" xfId="5" applyNumberFormat="1" applyFont="1" applyFill="1" applyBorder="1" applyProtection="1">
      <protection locked="0"/>
    </xf>
    <xf numFmtId="168" fontId="9" fillId="0" borderId="101" xfId="5" applyNumberFormat="1" applyFont="1" applyFill="1" applyBorder="1" applyProtection="1">
      <protection locked="0"/>
    </xf>
    <xf numFmtId="0" fontId="42" fillId="0" borderId="107" xfId="0" applyFont="1" applyBorder="1" applyAlignment="1">
      <alignment vertical="center"/>
    </xf>
    <xf numFmtId="0" fontId="40" fillId="0" borderId="107" xfId="0" applyFont="1" applyBorder="1" applyAlignment="1">
      <alignment vertical="center"/>
    </xf>
    <xf numFmtId="164" fontId="45" fillId="0" borderId="76" xfId="0" applyNumberFormat="1" applyFont="1" applyBorder="1" applyAlignment="1">
      <alignment horizontal="center"/>
    </xf>
    <xf numFmtId="0" fontId="44" fillId="0" borderId="76" xfId="0" applyFont="1" applyBorder="1" applyAlignment="1">
      <alignment horizontal="center" vertical="center" wrapText="1"/>
    </xf>
    <xf numFmtId="0" fontId="44" fillId="0" borderId="108" xfId="0" applyFont="1" applyBorder="1" applyAlignment="1">
      <alignment horizontal="center" vertical="center" wrapText="1"/>
    </xf>
    <xf numFmtId="0" fontId="0" fillId="0" borderId="50" xfId="0" applyBorder="1"/>
    <xf numFmtId="0" fontId="0" fillId="0" borderId="50" xfId="0" applyBorder="1" applyProtection="1">
      <protection locked="0"/>
    </xf>
    <xf numFmtId="0" fontId="0" fillId="0" borderId="50" xfId="0" applyBorder="1" applyAlignment="1" applyProtection="1">
      <alignment horizontal="center"/>
      <protection locked="0"/>
    </xf>
    <xf numFmtId="0" fontId="0" fillId="0" borderId="105" xfId="0" applyBorder="1" applyAlignment="1" applyProtection="1">
      <alignment horizontal="center"/>
      <protection locked="0"/>
    </xf>
    <xf numFmtId="0" fontId="0" fillId="0" borderId="91" xfId="0" applyBorder="1"/>
    <xf numFmtId="0" fontId="0" fillId="0" borderId="91" xfId="0" applyBorder="1" applyProtection="1">
      <protection locked="0"/>
    </xf>
    <xf numFmtId="0" fontId="0" fillId="0" borderId="91" xfId="0" applyBorder="1" applyAlignment="1" applyProtection="1">
      <alignment horizontal="center"/>
      <protection locked="0"/>
    </xf>
    <xf numFmtId="0" fontId="0" fillId="0" borderId="106" xfId="0" applyBorder="1" applyAlignment="1" applyProtection="1">
      <alignment horizontal="center"/>
      <protection locked="0"/>
    </xf>
    <xf numFmtId="0" fontId="0" fillId="0" borderId="72" xfId="0" applyBorder="1"/>
    <xf numFmtId="0" fontId="0" fillId="0" borderId="72" xfId="0" applyBorder="1" applyProtection="1">
      <protection locked="0"/>
    </xf>
    <xf numFmtId="0" fontId="0" fillId="0" borderId="72" xfId="0" applyBorder="1" applyAlignment="1" applyProtection="1">
      <alignment horizontal="center"/>
      <protection locked="0"/>
    </xf>
    <xf numFmtId="0" fontId="0" fillId="0" borderId="73" xfId="0" applyBorder="1" applyAlignment="1" applyProtection="1">
      <alignment horizontal="center"/>
      <protection locked="0"/>
    </xf>
    <xf numFmtId="0" fontId="0" fillId="11" borderId="0" xfId="0" applyFill="1"/>
    <xf numFmtId="0" fontId="0" fillId="11" borderId="0" xfId="0" applyFill="1" applyProtection="1">
      <protection locked="0"/>
    </xf>
    <xf numFmtId="0" fontId="0" fillId="11" borderId="0" xfId="0" applyFill="1" applyAlignment="1" applyProtection="1">
      <alignment horizontal="center"/>
      <protection locked="0"/>
    </xf>
    <xf numFmtId="0" fontId="0" fillId="11" borderId="66" xfId="0" applyFill="1" applyBorder="1" applyAlignment="1" applyProtection="1">
      <alignment horizontal="center"/>
      <protection locked="0"/>
    </xf>
    <xf numFmtId="0" fontId="0" fillId="11" borderId="67" xfId="0" applyFill="1" applyBorder="1"/>
    <xf numFmtId="0" fontId="0" fillId="11" borderId="67" xfId="0" applyFill="1" applyBorder="1" applyProtection="1">
      <protection locked="0"/>
    </xf>
    <xf numFmtId="0" fontId="0" fillId="11" borderId="67" xfId="0" applyFill="1" applyBorder="1" applyAlignment="1" applyProtection="1">
      <alignment horizontal="center"/>
      <protection locked="0"/>
    </xf>
    <xf numFmtId="0" fontId="0" fillId="11" borderId="75" xfId="0" applyFill="1" applyBorder="1" applyAlignment="1" applyProtection="1">
      <alignment horizontal="center"/>
      <protection locked="0"/>
    </xf>
    <xf numFmtId="0" fontId="40" fillId="0" borderId="0" xfId="0" applyFont="1" applyAlignment="1">
      <alignment wrapText="1"/>
    </xf>
    <xf numFmtId="166" fontId="0" fillId="0" borderId="0" xfId="0" applyNumberFormat="1"/>
    <xf numFmtId="0" fontId="0" fillId="13" borderId="0" xfId="0" applyFill="1"/>
    <xf numFmtId="0" fontId="0" fillId="13" borderId="0" xfId="0" applyFill="1" applyProtection="1">
      <protection locked="0"/>
    </xf>
    <xf numFmtId="0" fontId="0" fillId="13" borderId="0" xfId="0" applyFill="1" applyAlignment="1" applyProtection="1">
      <alignment horizontal="center"/>
      <protection locked="0"/>
    </xf>
    <xf numFmtId="0" fontId="0" fillId="13" borderId="66" xfId="0" applyFill="1" applyBorder="1" applyAlignment="1" applyProtection="1">
      <alignment horizontal="center"/>
      <protection locked="0"/>
    </xf>
    <xf numFmtId="0" fontId="0" fillId="0" borderId="16" xfId="0" applyBorder="1" applyAlignment="1">
      <alignment vertical="center"/>
    </xf>
    <xf numFmtId="170" fontId="2" fillId="2" borderId="85" xfId="1" applyNumberFormat="1" applyFont="1" applyFill="1" applyBorder="1" applyAlignment="1" applyProtection="1">
      <alignment horizontal="center" vertical="center"/>
      <protection locked="0"/>
    </xf>
    <xf numFmtId="0" fontId="0" fillId="0" borderId="0" xfId="0" applyAlignment="1">
      <alignment horizontal="left" vertical="center" indent="2"/>
    </xf>
    <xf numFmtId="0" fontId="0" fillId="4" borderId="30" xfId="0" applyFill="1" applyBorder="1" applyAlignment="1">
      <alignment horizontal="right" vertical="center"/>
    </xf>
    <xf numFmtId="0" fontId="17" fillId="0" borderId="0" xfId="0" applyFont="1" applyAlignment="1">
      <alignment horizontal="center" vertical="center"/>
    </xf>
    <xf numFmtId="0" fontId="17" fillId="0" borderId="0" xfId="0" applyFont="1" applyAlignment="1">
      <alignment vertical="center"/>
    </xf>
    <xf numFmtId="0" fontId="0" fillId="0" borderId="49" xfId="0" applyBorder="1" applyAlignment="1">
      <alignment wrapText="1"/>
    </xf>
    <xf numFmtId="0" fontId="6" fillId="0" borderId="19" xfId="0" applyFont="1" applyBorder="1" applyAlignment="1">
      <alignment vertical="center"/>
    </xf>
    <xf numFmtId="0" fontId="50" fillId="0" borderId="117" xfId="0" applyFont="1" applyBorder="1" applyAlignment="1">
      <alignment horizontal="center" vertical="center" wrapText="1"/>
    </xf>
    <xf numFmtId="0" fontId="50" fillId="0" borderId="112" xfId="0" applyFont="1" applyBorder="1" applyAlignment="1">
      <alignment horizontal="center" vertical="center"/>
    </xf>
    <xf numFmtId="0" fontId="12" fillId="0" borderId="118" xfId="0" applyFont="1" applyBorder="1" applyAlignment="1" applyProtection="1">
      <alignment horizontal="right" vertical="center"/>
      <protection locked="0"/>
    </xf>
    <xf numFmtId="0" fontId="12" fillId="5" borderId="118" xfId="0" applyFont="1" applyFill="1" applyBorder="1" applyAlignment="1" applyProtection="1">
      <alignment horizontal="right" vertical="center"/>
      <protection locked="0"/>
    </xf>
    <xf numFmtId="0" fontId="12" fillId="14" borderId="116" xfId="0" applyFont="1" applyFill="1" applyBorder="1" applyAlignment="1">
      <alignment horizontal="right" vertical="center"/>
    </xf>
    <xf numFmtId="0" fontId="41" fillId="0" borderId="107" xfId="0" applyFont="1" applyBorder="1" applyAlignment="1">
      <alignment vertical="center"/>
    </xf>
    <xf numFmtId="0" fontId="41" fillId="12" borderId="107" xfId="0" applyFont="1" applyFill="1" applyBorder="1" applyAlignment="1">
      <alignment vertical="center"/>
    </xf>
    <xf numFmtId="0" fontId="41" fillId="10" borderId="107" xfId="0" applyFont="1" applyFill="1" applyBorder="1" applyAlignment="1">
      <alignment vertical="center"/>
    </xf>
    <xf numFmtId="0" fontId="41" fillId="7" borderId="107" xfId="0" applyFont="1" applyFill="1" applyBorder="1" applyAlignment="1">
      <alignment vertical="center"/>
    </xf>
    <xf numFmtId="0" fontId="0" fillId="0" borderId="4" xfId="0" applyBorder="1" applyAlignment="1">
      <alignment vertical="center" wrapText="1"/>
    </xf>
    <xf numFmtId="0" fontId="21" fillId="0" borderId="18" xfId="0" applyFont="1" applyBorder="1" applyAlignment="1">
      <alignment vertical="center"/>
    </xf>
    <xf numFmtId="0" fontId="6" fillId="0" borderId="19" xfId="0" applyFont="1" applyBorder="1"/>
    <xf numFmtId="0" fontId="0" fillId="0" borderId="88" xfId="0" applyBorder="1"/>
    <xf numFmtId="10" fontId="15" fillId="0" borderId="4" xfId="2" applyNumberFormat="1" applyFont="1" applyFill="1" applyBorder="1" applyProtection="1"/>
    <xf numFmtId="0" fontId="39" fillId="0" borderId="33" xfId="0" applyFont="1" applyBorder="1" applyAlignment="1">
      <alignment horizontal="left" vertical="center" wrapText="1"/>
    </xf>
    <xf numFmtId="0" fontId="18" fillId="0" borderId="0" xfId="0" applyFont="1" applyAlignment="1">
      <alignment horizontal="center" vertical="center"/>
    </xf>
    <xf numFmtId="0" fontId="9" fillId="0" borderId="34" xfId="0" applyFont="1" applyBorder="1" applyAlignment="1">
      <alignment vertical="center"/>
    </xf>
    <xf numFmtId="0" fontId="18" fillId="0" borderId="18" xfId="0" applyFont="1" applyBorder="1" applyAlignment="1">
      <alignment horizontal="left" vertical="center"/>
    </xf>
    <xf numFmtId="0" fontId="21" fillId="0" borderId="0" xfId="0" applyFont="1" applyAlignment="1">
      <alignment vertical="center"/>
    </xf>
    <xf numFmtId="0" fontId="25" fillId="0" borderId="0" xfId="0" applyFont="1" applyAlignment="1">
      <alignment wrapText="1"/>
    </xf>
    <xf numFmtId="0" fontId="31" fillId="0" borderId="0" xfId="0" applyFont="1" applyAlignment="1">
      <alignment vertical="center"/>
    </xf>
    <xf numFmtId="168" fontId="13" fillId="0" borderId="98" xfId="5" applyNumberFormat="1" applyFont="1" applyFill="1" applyBorder="1" applyProtection="1"/>
    <xf numFmtId="0" fontId="31" fillId="0" borderId="34" xfId="0" applyFont="1" applyBorder="1"/>
    <xf numFmtId="0" fontId="38" fillId="0" borderId="0" xfId="0" applyFont="1" applyAlignment="1">
      <alignment horizontal="left" vertical="center"/>
    </xf>
    <xf numFmtId="168" fontId="13" fillId="0" borderId="43" xfId="5" applyNumberFormat="1" applyFont="1" applyFill="1" applyBorder="1" applyProtection="1"/>
    <xf numFmtId="168" fontId="13" fillId="0" borderId="44" xfId="5" applyNumberFormat="1" applyFont="1" applyFill="1" applyBorder="1" applyProtection="1"/>
    <xf numFmtId="0" fontId="14" fillId="0" borderId="0" xfId="0" applyFont="1" applyAlignment="1">
      <alignment horizontal="center" vertical="center"/>
    </xf>
    <xf numFmtId="0" fontId="35"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vertical="center"/>
    </xf>
    <xf numFmtId="0" fontId="33" fillId="0" borderId="0" xfId="0" applyFont="1" applyAlignment="1">
      <alignment vertical="center"/>
    </xf>
    <xf numFmtId="0" fontId="33" fillId="0" borderId="2" xfId="0" applyFont="1" applyBorder="1" applyAlignment="1">
      <alignment vertical="center"/>
    </xf>
    <xf numFmtId="10" fontId="0" fillId="0" borderId="0" xfId="2" applyNumberFormat="1" applyFont="1" applyFill="1" applyProtection="1"/>
    <xf numFmtId="0" fontId="0" fillId="4" borderId="0" xfId="0" applyFill="1" applyAlignment="1">
      <alignment vertical="top"/>
    </xf>
    <xf numFmtId="171" fontId="0" fillId="0" borderId="6" xfId="0" applyNumberFormat="1" applyBorder="1" applyAlignment="1">
      <alignment vertical="center"/>
    </xf>
    <xf numFmtId="0" fontId="32" fillId="4" borderId="29" xfId="0" applyFont="1" applyFill="1" applyBorder="1"/>
    <xf numFmtId="43" fontId="0" fillId="4" borderId="0" xfId="0" applyNumberFormat="1" applyFill="1" applyAlignment="1">
      <alignment vertical="center"/>
    </xf>
    <xf numFmtId="0" fontId="52" fillId="14" borderId="116" xfId="0" applyFont="1" applyFill="1" applyBorder="1" applyAlignment="1">
      <alignment horizontal="left" vertical="top"/>
    </xf>
    <xf numFmtId="0" fontId="52" fillId="0" borderId="118" xfId="0" applyFont="1" applyBorder="1" applyAlignment="1">
      <alignment horizontal="left" vertical="top"/>
    </xf>
    <xf numFmtId="0" fontId="52" fillId="14" borderId="118" xfId="0" applyFont="1" applyFill="1" applyBorder="1" applyAlignment="1">
      <alignment horizontal="left" vertical="top"/>
    </xf>
    <xf numFmtId="0" fontId="19" fillId="14" borderId="116" xfId="0" applyFont="1" applyFill="1" applyBorder="1" applyAlignment="1">
      <alignment horizontal="left" vertical="top"/>
    </xf>
    <xf numFmtId="0" fontId="19" fillId="0" borderId="118" xfId="0" applyFont="1" applyBorder="1" applyAlignment="1">
      <alignment horizontal="left" vertical="top"/>
    </xf>
    <xf numFmtId="0" fontId="19" fillId="5" borderId="118" xfId="0" applyFont="1" applyFill="1" applyBorder="1" applyAlignment="1">
      <alignment horizontal="left" vertical="top"/>
    </xf>
    <xf numFmtId="0" fontId="19" fillId="0" borderId="117" xfId="0" applyFont="1" applyBorder="1" applyAlignment="1">
      <alignment horizontal="left" vertical="top"/>
    </xf>
    <xf numFmtId="0" fontId="12" fillId="14" borderId="25" xfId="0" applyFont="1" applyFill="1" applyBorder="1" applyAlignment="1">
      <alignment horizontal="left" vertical="top"/>
    </xf>
    <xf numFmtId="0" fontId="12" fillId="0" borderId="21" xfId="0" applyFont="1" applyBorder="1" applyAlignment="1">
      <alignment horizontal="left" vertical="top"/>
    </xf>
    <xf numFmtId="0" fontId="12" fillId="5" borderId="21" xfId="0" applyFont="1" applyFill="1" applyBorder="1" applyAlignment="1">
      <alignment horizontal="left" vertical="top"/>
    </xf>
    <xf numFmtId="0" fontId="12" fillId="0" borderId="26" xfId="0" applyFont="1" applyBorder="1" applyAlignment="1">
      <alignment horizontal="left" vertical="top"/>
    </xf>
    <xf numFmtId="0" fontId="12" fillId="5" borderId="25" xfId="0" applyFont="1" applyFill="1" applyBorder="1" applyAlignment="1">
      <alignment horizontal="left" vertical="top"/>
    </xf>
    <xf numFmtId="0" fontId="0" fillId="8" borderId="61" xfId="0" applyFill="1" applyBorder="1" applyAlignment="1">
      <alignment vertical="center" wrapText="1"/>
    </xf>
    <xf numFmtId="0" fontId="0" fillId="5" borderId="103" xfId="0" applyFill="1" applyBorder="1" applyAlignment="1">
      <alignment vertical="center" wrapText="1"/>
    </xf>
    <xf numFmtId="0" fontId="0" fillId="7" borderId="103" xfId="0" applyFill="1" applyBorder="1" applyAlignment="1">
      <alignment vertical="center" wrapText="1"/>
    </xf>
    <xf numFmtId="0" fontId="0" fillId="8" borderId="77" xfId="0" applyFill="1" applyBorder="1" applyAlignment="1">
      <alignment vertical="center" wrapText="1"/>
    </xf>
    <xf numFmtId="0" fontId="0" fillId="8" borderId="62" xfId="0" applyFill="1" applyBorder="1" applyAlignment="1">
      <alignment vertical="center" wrapText="1"/>
    </xf>
    <xf numFmtId="0" fontId="31" fillId="0" borderId="0" xfId="0" applyFont="1" applyAlignment="1">
      <alignment wrapText="1"/>
    </xf>
    <xf numFmtId="0" fontId="43" fillId="0" borderId="55" xfId="0" applyFont="1" applyBorder="1" applyAlignment="1">
      <alignment vertical="center" wrapText="1"/>
    </xf>
    <xf numFmtId="0" fontId="43" fillId="0" borderId="59" xfId="0" applyFont="1" applyBorder="1" applyAlignment="1">
      <alignment vertical="center" wrapText="1"/>
    </xf>
    <xf numFmtId="0" fontId="43" fillId="0" borderId="124" xfId="0" applyFont="1" applyBorder="1" applyAlignment="1">
      <alignment horizontal="center" vertical="center" wrapText="1"/>
    </xf>
    <xf numFmtId="0" fontId="0" fillId="14" borderId="25" xfId="0" applyFill="1" applyBorder="1" applyAlignment="1">
      <alignment horizontal="left" vertical="top"/>
    </xf>
    <xf numFmtId="0" fontId="0" fillId="0" borderId="21" xfId="0" applyBorder="1" applyAlignment="1">
      <alignment horizontal="left" vertical="top"/>
    </xf>
    <xf numFmtId="0" fontId="0" fillId="5" borderId="21" xfId="0" applyFill="1" applyBorder="1" applyAlignment="1">
      <alignment horizontal="left" vertical="top"/>
    </xf>
    <xf numFmtId="0" fontId="0" fillId="0" borderId="26" xfId="0" applyBorder="1" applyAlignment="1">
      <alignment horizontal="left" vertical="top"/>
    </xf>
    <xf numFmtId="10" fontId="31" fillId="0" borderId="46" xfId="5" applyNumberFormat="1" applyFont="1" applyFill="1" applyBorder="1" applyAlignment="1" applyProtection="1">
      <alignment horizontal="right" vertical="center"/>
      <protection locked="0"/>
    </xf>
    <xf numFmtId="10" fontId="31" fillId="0" borderId="47" xfId="5" applyNumberFormat="1" applyFont="1" applyFill="1" applyBorder="1" applyAlignment="1" applyProtection="1">
      <alignment horizontal="right" vertical="center"/>
      <protection locked="0"/>
    </xf>
    <xf numFmtId="0" fontId="5" fillId="4" borderId="0" xfId="0" applyFont="1" applyFill="1" applyAlignment="1">
      <alignment vertical="center"/>
    </xf>
    <xf numFmtId="0" fontId="9" fillId="0" borderId="0" xfId="0" applyFont="1"/>
    <xf numFmtId="0" fontId="43" fillId="0" borderId="0" xfId="2" applyNumberFormat="1" applyFont="1" applyFill="1" applyBorder="1" applyAlignment="1" applyProtection="1">
      <alignment horizontal="center" vertical="center" wrapText="1"/>
    </xf>
    <xf numFmtId="10" fontId="40" fillId="0" borderId="0" xfId="2" applyNumberFormat="1" applyFont="1" applyFill="1" applyBorder="1" applyAlignment="1" applyProtection="1">
      <alignment horizontal="center" vertical="center" wrapText="1"/>
    </xf>
    <xf numFmtId="0" fontId="59" fillId="17" borderId="127" xfId="0" applyFont="1" applyFill="1" applyBorder="1" applyAlignment="1">
      <alignment vertical="center" wrapText="1"/>
    </xf>
    <xf numFmtId="0" fontId="59" fillId="17" borderId="128" xfId="0" applyFont="1" applyFill="1" applyBorder="1" applyAlignment="1">
      <alignment vertical="center" wrapText="1"/>
    </xf>
    <xf numFmtId="0" fontId="59" fillId="17" borderId="126" xfId="0" applyFont="1" applyFill="1" applyBorder="1" applyAlignment="1">
      <alignment vertical="center" wrapText="1"/>
    </xf>
    <xf numFmtId="0" fontId="5" fillId="0" borderId="0" xfId="0" applyFont="1" applyAlignment="1">
      <alignment horizontal="center"/>
    </xf>
    <xf numFmtId="0" fontId="5" fillId="4" borderId="0" xfId="0" applyFont="1" applyFill="1" applyAlignment="1">
      <alignment horizontal="center" vertical="center"/>
    </xf>
    <xf numFmtId="10" fontId="31" fillId="0" borderId="0" xfId="0" applyNumberFormat="1" applyFont="1"/>
    <xf numFmtId="0" fontId="43" fillId="0" borderId="55" xfId="0" applyFont="1" applyBorder="1" applyAlignment="1">
      <alignment vertical="center"/>
    </xf>
    <xf numFmtId="0" fontId="43" fillId="0" borderId="56" xfId="0" applyFont="1" applyBorder="1" applyAlignment="1">
      <alignment vertical="center"/>
    </xf>
    <xf numFmtId="0" fontId="13" fillId="0" borderId="0" xfId="0" applyFont="1" applyAlignment="1">
      <alignment vertical="center"/>
    </xf>
    <xf numFmtId="173" fontId="9" fillId="0" borderId="0" xfId="0" applyNumberFormat="1" applyFont="1"/>
    <xf numFmtId="172" fontId="0" fillId="0" borderId="0" xfId="0" applyNumberFormat="1" applyAlignment="1">
      <alignment horizontal="center" vertical="center"/>
    </xf>
    <xf numFmtId="0" fontId="13" fillId="0" borderId="0" xfId="0" applyFont="1"/>
    <xf numFmtId="0" fontId="13" fillId="0" borderId="0" xfId="15" applyFont="1" applyAlignment="1">
      <alignment vertical="center"/>
    </xf>
    <xf numFmtId="0" fontId="13" fillId="0" borderId="0" xfId="0" applyFont="1" applyAlignment="1">
      <alignment horizontal="right"/>
    </xf>
    <xf numFmtId="0" fontId="37" fillId="9" borderId="0" xfId="0" applyFont="1" applyFill="1"/>
    <xf numFmtId="0" fontId="37" fillId="9" borderId="0" xfId="0" applyFont="1" applyFill="1" applyAlignment="1">
      <alignment horizontal="right"/>
    </xf>
    <xf numFmtId="0" fontId="37" fillId="9" borderId="0" xfId="0" applyFont="1" applyFill="1" applyAlignment="1">
      <alignment horizontal="center" vertical="center"/>
    </xf>
    <xf numFmtId="0" fontId="37" fillId="9" borderId="0" xfId="0" applyFont="1" applyFill="1" applyAlignment="1">
      <alignment horizontal="left" vertical="top"/>
    </xf>
    <xf numFmtId="0" fontId="9" fillId="0" borderId="0" xfId="0" quotePrefix="1" applyFont="1"/>
    <xf numFmtId="0" fontId="37" fillId="0" borderId="0" xfId="0" applyFont="1"/>
    <xf numFmtId="0" fontId="36" fillId="0" borderId="0" xfId="0" applyFont="1"/>
    <xf numFmtId="1" fontId="56" fillId="0" borderId="0" xfId="3" applyNumberFormat="1" applyFont="1"/>
    <xf numFmtId="1" fontId="62" fillId="0" borderId="0" xfId="3" applyNumberFormat="1" applyFont="1"/>
    <xf numFmtId="164" fontId="62" fillId="0" borderId="0" xfId="17" applyFont="1" applyFill="1" applyBorder="1" applyProtection="1"/>
    <xf numFmtId="164" fontId="63" fillId="0" borderId="0" xfId="17" applyFont="1" applyBorder="1" applyProtection="1"/>
    <xf numFmtId="1" fontId="62" fillId="0" borderId="0" xfId="3" applyNumberFormat="1" applyFont="1" applyAlignment="1">
      <alignment horizontal="center"/>
    </xf>
    <xf numFmtId="164" fontId="62" fillId="0" borderId="0" xfId="17" applyFont="1" applyFill="1" applyBorder="1" applyAlignment="1" applyProtection="1">
      <alignment horizontal="center"/>
    </xf>
    <xf numFmtId="164" fontId="62" fillId="0" borderId="0" xfId="17" applyFont="1" applyBorder="1" applyAlignment="1" applyProtection="1">
      <alignment horizontal="center"/>
    </xf>
    <xf numFmtId="1" fontId="55" fillId="16" borderId="0" xfId="3" applyNumberFormat="1" applyFont="1" applyFill="1" applyAlignment="1">
      <alignment horizontal="center" vertical="center" wrapText="1"/>
    </xf>
    <xf numFmtId="164" fontId="55" fillId="16" borderId="0" xfId="17" applyFont="1" applyFill="1" applyBorder="1" applyAlignment="1" applyProtection="1">
      <alignment horizontal="center" vertical="center" wrapText="1"/>
    </xf>
    <xf numFmtId="1" fontId="56" fillId="0" borderId="0" xfId="3" applyNumberFormat="1" applyFont="1" applyAlignment="1">
      <alignment horizontal="center"/>
    </xf>
    <xf numFmtId="1" fontId="55" fillId="19" borderId="0" xfId="3" applyNumberFormat="1" applyFont="1" applyFill="1" applyAlignment="1">
      <alignment horizontal="center" vertical="top" wrapText="1"/>
    </xf>
    <xf numFmtId="1" fontId="56" fillId="0" borderId="0" xfId="3" applyNumberFormat="1" applyFont="1" applyAlignment="1" applyProtection="1">
      <alignment horizontal="left" vertical="top" wrapText="1"/>
      <protection locked="0"/>
    </xf>
    <xf numFmtId="1" fontId="56" fillId="0" borderId="0" xfId="3" applyNumberFormat="1" applyFont="1" applyAlignment="1" applyProtection="1">
      <alignment horizontal="center" vertical="center" wrapText="1"/>
      <protection hidden="1"/>
    </xf>
    <xf numFmtId="164" fontId="56" fillId="0" borderId="0" xfId="17" applyFont="1" applyFill="1" applyBorder="1" applyAlignment="1" applyProtection="1">
      <alignment horizontal="right" vertical="center" wrapText="1"/>
    </xf>
    <xf numFmtId="1" fontId="0" fillId="0" borderId="0" xfId="0" applyNumberFormat="1"/>
    <xf numFmtId="1" fontId="55" fillId="16" borderId="0" xfId="3" applyNumberFormat="1" applyFont="1" applyFill="1" applyAlignment="1" applyProtection="1">
      <alignment horizontal="center" vertical="center"/>
      <protection hidden="1"/>
    </xf>
    <xf numFmtId="1" fontId="57" fillId="4" borderId="0" xfId="3" applyNumberFormat="1" applyFont="1" applyFill="1" applyAlignment="1" applyProtection="1">
      <alignment horizontal="left" vertical="top" wrapText="1"/>
      <protection hidden="1"/>
    </xf>
    <xf numFmtId="1" fontId="56" fillId="0" borderId="0" xfId="3" applyNumberFormat="1" applyFont="1" applyAlignment="1" applyProtection="1">
      <alignment horizontal="left" vertical="top" wrapText="1"/>
      <protection hidden="1"/>
    </xf>
    <xf numFmtId="1" fontId="56" fillId="0" borderId="0" xfId="3" applyNumberFormat="1" applyFont="1" applyAlignment="1" applyProtection="1">
      <alignment wrapText="1"/>
      <protection hidden="1"/>
    </xf>
    <xf numFmtId="1" fontId="56" fillId="0" borderId="0" xfId="3" applyNumberFormat="1" applyFont="1" applyProtection="1">
      <protection hidden="1"/>
    </xf>
    <xf numFmtId="1" fontId="57" fillId="0" borderId="0" xfId="3" applyNumberFormat="1" applyFont="1" applyAlignment="1" applyProtection="1">
      <alignment wrapText="1"/>
      <protection hidden="1"/>
    </xf>
    <xf numFmtId="1" fontId="57" fillId="0" borderId="0" xfId="3" applyNumberFormat="1" applyFont="1" applyAlignment="1" applyProtection="1">
      <alignment horizontal="left" vertical="top" wrapText="1"/>
      <protection hidden="1"/>
    </xf>
    <xf numFmtId="1" fontId="62" fillId="0" borderId="0" xfId="3" applyNumberFormat="1" applyFont="1" applyAlignment="1" applyProtection="1">
      <alignment horizontal="left" vertical="top" wrapText="1"/>
      <protection hidden="1"/>
    </xf>
    <xf numFmtId="1" fontId="62" fillId="0" borderId="0" xfId="3" applyNumberFormat="1" applyFont="1" applyProtection="1">
      <protection hidden="1"/>
    </xf>
    <xf numFmtId="1" fontId="55" fillId="0" borderId="0" xfId="3" applyNumberFormat="1" applyFont="1" applyAlignment="1" applyProtection="1">
      <alignment wrapText="1"/>
      <protection hidden="1"/>
    </xf>
    <xf numFmtId="1" fontId="55" fillId="0" borderId="0" xfId="3" applyNumberFormat="1" applyFont="1" applyAlignment="1" applyProtection="1">
      <alignment horizontal="left" vertical="top" wrapText="1"/>
      <protection hidden="1"/>
    </xf>
    <xf numFmtId="1" fontId="62" fillId="0" borderId="0" xfId="3" applyNumberFormat="1" applyFont="1" applyAlignment="1" applyProtection="1">
      <alignment horizontal="center" vertical="top" wrapText="1"/>
      <protection hidden="1"/>
    </xf>
    <xf numFmtId="1" fontId="62" fillId="0" borderId="0" xfId="3" applyNumberFormat="1" applyFont="1" applyAlignment="1" applyProtection="1">
      <alignment horizontal="center" wrapText="1"/>
      <protection hidden="1"/>
    </xf>
    <xf numFmtId="1" fontId="62" fillId="0" borderId="0" xfId="3" applyNumberFormat="1" applyFont="1" applyAlignment="1" applyProtection="1">
      <alignment horizontal="center"/>
      <protection hidden="1"/>
    </xf>
    <xf numFmtId="1" fontId="55" fillId="16" borderId="0" xfId="3" applyNumberFormat="1" applyFont="1" applyFill="1" applyAlignment="1" applyProtection="1">
      <alignment horizontal="center" vertical="center" wrapText="1"/>
      <protection hidden="1"/>
    </xf>
    <xf numFmtId="1" fontId="56" fillId="0" borderId="0" xfId="3" applyNumberFormat="1" applyFont="1" applyAlignment="1">
      <alignment horizontal="center" vertical="center" wrapText="1"/>
    </xf>
    <xf numFmtId="1" fontId="56" fillId="0" borderId="0" xfId="3" applyNumberFormat="1" applyFont="1" applyAlignment="1">
      <alignment wrapText="1"/>
    </xf>
    <xf numFmtId="1" fontId="62" fillId="0" borderId="0" xfId="3" applyNumberFormat="1" applyFont="1" applyAlignment="1">
      <alignment wrapText="1"/>
    </xf>
    <xf numFmtId="0" fontId="40" fillId="0" borderId="0" xfId="0" pivotButton="1" applyFont="1"/>
    <xf numFmtId="0" fontId="0" fillId="0" borderId="0" xfId="0" applyAlignment="1">
      <alignment vertical="top"/>
    </xf>
    <xf numFmtId="0" fontId="0" fillId="0" borderId="2" xfId="0" applyBorder="1" applyAlignment="1">
      <alignment vertical="top"/>
    </xf>
    <xf numFmtId="0" fontId="0" fillId="0" borderId="2" xfId="0" applyBorder="1" applyAlignment="1" applyProtection="1">
      <alignment vertical="top"/>
      <protection locked="0"/>
    </xf>
    <xf numFmtId="0" fontId="41" fillId="12" borderId="107" xfId="0" applyFont="1" applyFill="1" applyBorder="1" applyAlignment="1">
      <alignment vertical="top" wrapText="1"/>
    </xf>
    <xf numFmtId="0" fontId="41" fillId="0" borderId="107" xfId="0" applyFont="1" applyBorder="1" applyAlignment="1">
      <alignment vertical="top" wrapText="1"/>
    </xf>
    <xf numFmtId="0" fontId="41" fillId="10" borderId="107" xfId="0" applyFont="1" applyFill="1" applyBorder="1" applyAlignment="1">
      <alignment vertical="top" wrapText="1"/>
    </xf>
    <xf numFmtId="0" fontId="41" fillId="7" borderId="107" xfId="0" applyFont="1" applyFill="1" applyBorder="1" applyAlignment="1">
      <alignment vertical="top" wrapText="1"/>
    </xf>
    <xf numFmtId="15" fontId="62" fillId="16" borderId="0" xfId="17" applyNumberFormat="1" applyFont="1" applyFill="1" applyBorder="1" applyAlignment="1" applyProtection="1">
      <protection hidden="1"/>
    </xf>
    <xf numFmtId="1" fontId="64" fillId="0" borderId="0" xfId="3" applyNumberFormat="1" applyFont="1" applyAlignment="1">
      <alignment horizontal="center" vertical="center"/>
    </xf>
    <xf numFmtId="0" fontId="53" fillId="0" borderId="0" xfId="0" applyFont="1" applyAlignment="1">
      <alignment horizontal="center" vertical="center"/>
    </xf>
    <xf numFmtId="0" fontId="43" fillId="0" borderId="0" xfId="0" applyFont="1" applyAlignment="1">
      <alignment vertical="center" wrapText="1"/>
    </xf>
    <xf numFmtId="0" fontId="31" fillId="0" borderId="36" xfId="0" applyFont="1" applyBorder="1"/>
    <xf numFmtId="0" fontId="43" fillId="0" borderId="134" xfId="0" applyFont="1" applyBorder="1" applyAlignment="1">
      <alignment vertical="center"/>
    </xf>
    <xf numFmtId="0" fontId="43" fillId="0" borderId="136" xfId="0" applyFont="1" applyBorder="1" applyAlignment="1">
      <alignment vertical="center" wrapText="1"/>
    </xf>
    <xf numFmtId="0" fontId="43" fillId="0" borderId="137" xfId="0" applyFont="1" applyBorder="1" applyAlignment="1">
      <alignment vertical="center" wrapText="1"/>
    </xf>
    <xf numFmtId="0" fontId="43" fillId="0" borderId="135" xfId="0" applyFont="1" applyBorder="1" applyAlignment="1">
      <alignment vertical="top" wrapText="1"/>
    </xf>
    <xf numFmtId="0" fontId="43" fillId="0" borderId="135" xfId="0" applyFont="1" applyBorder="1" applyAlignment="1">
      <alignment horizontal="left" vertical="top" wrapText="1"/>
    </xf>
    <xf numFmtId="0" fontId="43" fillId="0" borderId="137" xfId="0" applyFont="1" applyBorder="1" applyAlignment="1">
      <alignment horizontal="left" vertical="top" wrapText="1"/>
    </xf>
    <xf numFmtId="0" fontId="54" fillId="0" borderId="0" xfId="0" applyFont="1" applyAlignment="1">
      <alignment horizontal="left" vertical="center"/>
    </xf>
    <xf numFmtId="0" fontId="23" fillId="0" borderId="0" xfId="6" applyFill="1" applyBorder="1" applyAlignment="1" applyProtection="1">
      <alignment horizontal="center" vertical="center"/>
      <protection locked="0"/>
    </xf>
    <xf numFmtId="0" fontId="18" fillId="0" borderId="0" xfId="0" applyFont="1" applyAlignment="1">
      <alignment horizontal="center"/>
    </xf>
    <xf numFmtId="0" fontId="23" fillId="0" borderId="0" xfId="6" applyFill="1" applyBorder="1" applyAlignment="1" applyProtection="1">
      <alignment horizontal="center"/>
      <protection locked="0"/>
    </xf>
    <xf numFmtId="0" fontId="54" fillId="0" borderId="0" xfId="0" applyFont="1" applyAlignment="1">
      <alignment horizontal="center"/>
    </xf>
    <xf numFmtId="0" fontId="54" fillId="0" borderId="0" xfId="0" applyFont="1" applyAlignment="1">
      <alignment horizontal="center" vertical="center"/>
    </xf>
    <xf numFmtId="0" fontId="31" fillId="0" borderId="0" xfId="0" applyFont="1" applyAlignment="1">
      <alignment horizontal="center" vertical="center"/>
    </xf>
    <xf numFmtId="0" fontId="33" fillId="0" borderId="36" xfId="0" applyFont="1" applyBorder="1" applyAlignment="1">
      <alignment vertical="center"/>
    </xf>
    <xf numFmtId="0" fontId="33" fillId="0" borderId="34" xfId="0" applyFont="1" applyBorder="1" applyAlignment="1">
      <alignment vertical="center"/>
    </xf>
    <xf numFmtId="0" fontId="33" fillId="0" borderId="0" xfId="0" applyFont="1" applyAlignment="1">
      <alignment horizontal="left" vertical="center"/>
    </xf>
    <xf numFmtId="0" fontId="25" fillId="0" borderId="95" xfId="0" applyFont="1" applyBorder="1"/>
    <xf numFmtId="0" fontId="25" fillId="0" borderId="96" xfId="0" applyFont="1" applyBorder="1" applyAlignment="1">
      <alignment vertical="center"/>
    </xf>
    <xf numFmtId="0" fontId="25" fillId="0" borderId="92" xfId="0" applyFont="1" applyBorder="1" applyAlignment="1">
      <alignment horizontal="left" vertical="center" wrapText="1"/>
    </xf>
    <xf numFmtId="0" fontId="25" fillId="0" borderId="54" xfId="0" applyFont="1" applyBorder="1" applyAlignment="1">
      <alignment horizontal="left" vertical="center"/>
    </xf>
    <xf numFmtId="0" fontId="35" fillId="0" borderId="93" xfId="0" applyFont="1" applyBorder="1" applyAlignment="1">
      <alignment horizontal="left" vertical="center"/>
    </xf>
    <xf numFmtId="0" fontId="25" fillId="0" borderId="58" xfId="0" applyFont="1" applyBorder="1" applyAlignment="1">
      <alignment horizontal="left" vertical="center"/>
    </xf>
    <xf numFmtId="0" fontId="35" fillId="0" borderId="94" xfId="0" applyFont="1" applyBorder="1" applyAlignment="1">
      <alignment horizontal="left" vertical="center"/>
    </xf>
    <xf numFmtId="0" fontId="25" fillId="0" borderId="0" xfId="0" applyFont="1"/>
    <xf numFmtId="1" fontId="56" fillId="0" borderId="0" xfId="3" applyNumberFormat="1" applyFont="1" applyAlignment="1" applyProtection="1">
      <alignment vertical="top" wrapText="1"/>
      <protection hidden="1"/>
    </xf>
    <xf numFmtId="1" fontId="56" fillId="0" borderId="0" xfId="3" applyNumberFormat="1" applyFont="1" applyAlignment="1" applyProtection="1">
      <alignment horizontal="center" vertical="top" wrapText="1"/>
      <protection hidden="1"/>
    </xf>
    <xf numFmtId="0" fontId="28" fillId="0" borderId="0" xfId="0" applyFont="1"/>
    <xf numFmtId="0" fontId="36" fillId="0" borderId="0" xfId="0" applyFont="1" applyAlignment="1">
      <alignment horizontal="right"/>
    </xf>
    <xf numFmtId="0" fontId="66" fillId="0" borderId="0" xfId="0" applyFont="1"/>
    <xf numFmtId="0" fontId="66" fillId="20" borderId="0" xfId="0" applyFont="1" applyFill="1"/>
    <xf numFmtId="0" fontId="0" fillId="0" borderId="0" xfId="0" quotePrefix="1"/>
    <xf numFmtId="0" fontId="0" fillId="0" borderId="0" xfId="0" pivotButton="1"/>
    <xf numFmtId="1" fontId="65" fillId="4" borderId="141" xfId="3" applyNumberFormat="1" applyFont="1" applyFill="1" applyBorder="1" applyAlignment="1">
      <alignment horizontal="center" vertical="center"/>
    </xf>
    <xf numFmtId="1" fontId="65" fillId="20" borderId="91" xfId="3" applyNumberFormat="1" applyFont="1" applyFill="1" applyBorder="1" applyAlignment="1">
      <alignment horizontal="left" vertical="top"/>
    </xf>
    <xf numFmtId="1" fontId="65" fillId="20" borderId="91" xfId="3" applyNumberFormat="1" applyFont="1" applyFill="1" applyBorder="1" applyAlignment="1">
      <alignment vertical="center"/>
    </xf>
    <xf numFmtId="1" fontId="65" fillId="4" borderId="129" xfId="3" applyNumberFormat="1" applyFont="1" applyFill="1" applyBorder="1" applyAlignment="1">
      <alignment horizontal="center" vertical="center"/>
    </xf>
    <xf numFmtId="1" fontId="65" fillId="0" borderId="0" xfId="3" applyNumberFormat="1" applyFont="1" applyAlignment="1">
      <alignment horizontal="left" vertical="top"/>
    </xf>
    <xf numFmtId="1" fontId="65" fillId="0" borderId="0" xfId="3" applyNumberFormat="1" applyFont="1" applyAlignment="1">
      <alignment vertical="center"/>
    </xf>
    <xf numFmtId="1" fontId="65" fillId="20" borderId="0" xfId="3" applyNumberFormat="1" applyFont="1" applyFill="1" applyAlignment="1">
      <alignment horizontal="left" vertical="top"/>
    </xf>
    <xf numFmtId="1" fontId="65" fillId="20" borderId="0" xfId="3" applyNumberFormat="1" applyFont="1" applyFill="1" applyAlignment="1">
      <alignment vertical="center"/>
    </xf>
    <xf numFmtId="1" fontId="55" fillId="16" borderId="129" xfId="3" applyNumberFormat="1" applyFont="1" applyFill="1" applyBorder="1" applyAlignment="1">
      <alignment horizontal="center" vertical="center"/>
    </xf>
    <xf numFmtId="1" fontId="55" fillId="16" borderId="142" xfId="3" applyNumberFormat="1" applyFont="1" applyFill="1" applyBorder="1" applyAlignment="1">
      <alignment horizontal="center" vertical="center"/>
    </xf>
    <xf numFmtId="0" fontId="66" fillId="0" borderId="129" xfId="0" applyFont="1" applyBorder="1"/>
    <xf numFmtId="1" fontId="65" fillId="4" borderId="0" xfId="3" applyNumberFormat="1" applyFont="1" applyFill="1" applyAlignment="1">
      <alignment horizontal="center" vertical="center"/>
    </xf>
    <xf numFmtId="0" fontId="30" fillId="10" borderId="0" xfId="0" applyFont="1" applyFill="1"/>
    <xf numFmtId="0" fontId="34" fillId="0" borderId="0" xfId="0" applyFont="1"/>
    <xf numFmtId="2" fontId="0" fillId="0" borderId="2" xfId="0" applyNumberFormat="1" applyBorder="1"/>
    <xf numFmtId="2" fontId="0" fillId="0" borderId="2" xfId="0" applyNumberFormat="1" applyBorder="1" applyAlignment="1">
      <alignment horizontal="right"/>
    </xf>
    <xf numFmtId="2" fontId="0" fillId="0" borderId="2" xfId="0" applyNumberFormat="1" applyBorder="1" applyAlignment="1">
      <alignment vertical="top"/>
    </xf>
    <xf numFmtId="2" fontId="0" fillId="0" borderId="2" xfId="0" applyNumberFormat="1" applyBorder="1" applyAlignment="1">
      <alignment horizontal="right" vertical="top"/>
    </xf>
    <xf numFmtId="2" fontId="0" fillId="0" borderId="0" xfId="0" applyNumberFormat="1"/>
    <xf numFmtId="2" fontId="0" fillId="0" borderId="18" xfId="0" applyNumberFormat="1" applyBorder="1"/>
    <xf numFmtId="2" fontId="21" fillId="0" borderId="0" xfId="0" applyNumberFormat="1" applyFont="1" applyAlignment="1">
      <alignment vertical="center"/>
    </xf>
    <xf numFmtId="2" fontId="31" fillId="0" borderId="0" xfId="0" applyNumberFormat="1" applyFont="1"/>
    <xf numFmtId="2" fontId="31" fillId="0" borderId="0" xfId="0" applyNumberFormat="1" applyFont="1" applyAlignment="1">
      <alignment horizontal="center" vertical="center" wrapText="1"/>
    </xf>
    <xf numFmtId="2" fontId="31" fillId="0" borderId="0" xfId="0" applyNumberFormat="1" applyFont="1" applyAlignment="1">
      <alignment horizontal="center" vertical="center"/>
    </xf>
    <xf numFmtId="2" fontId="31" fillId="0" borderId="2" xfId="0" applyNumberFormat="1" applyFont="1" applyBorder="1" applyAlignment="1">
      <alignment horizontal="right"/>
    </xf>
    <xf numFmtId="2" fontId="31" fillId="0" borderId="2" xfId="0" applyNumberFormat="1" applyFont="1" applyBorder="1"/>
    <xf numFmtId="2" fontId="0" fillId="0" borderId="0" xfId="0" applyNumberFormat="1" applyAlignment="1">
      <alignment horizontal="right"/>
    </xf>
    <xf numFmtId="1" fontId="61" fillId="16" borderId="0" xfId="3" applyNumberFormat="1" applyFont="1" applyFill="1" applyAlignment="1">
      <alignment horizontal="center" vertical="center" wrapText="1"/>
    </xf>
    <xf numFmtId="1" fontId="56" fillId="0" borderId="0" xfId="3" applyNumberFormat="1" applyFont="1" applyAlignment="1" applyProtection="1">
      <alignment vertical="top" wrapText="1"/>
      <protection locked="0"/>
    </xf>
    <xf numFmtId="1" fontId="56" fillId="0" borderId="0" xfId="3" applyNumberFormat="1" applyFont="1" applyAlignment="1" applyProtection="1">
      <alignment horizontal="center" vertical="top" wrapText="1"/>
      <protection locked="0"/>
    </xf>
    <xf numFmtId="164" fontId="56" fillId="0" borderId="0" xfId="17" applyFont="1" applyFill="1" applyBorder="1" applyAlignment="1" applyProtection="1">
      <alignment horizontal="right" vertical="top"/>
    </xf>
    <xf numFmtId="164" fontId="56" fillId="0" borderId="0" xfId="17" applyFont="1" applyFill="1" applyBorder="1" applyAlignment="1" applyProtection="1">
      <alignment horizontal="right" vertical="top"/>
      <protection locked="0"/>
    </xf>
    <xf numFmtId="0" fontId="0" fillId="0" borderId="49" xfId="0" applyBorder="1"/>
    <xf numFmtId="2" fontId="56" fillId="0" borderId="0" xfId="3" applyNumberFormat="1" applyFont="1"/>
    <xf numFmtId="164" fontId="45" fillId="0" borderId="108" xfId="0" applyNumberFormat="1" applyFont="1" applyBorder="1" applyAlignment="1">
      <alignment horizontal="center"/>
    </xf>
    <xf numFmtId="164" fontId="47" fillId="0" borderId="108" xfId="0" applyNumberFormat="1" applyFont="1" applyBorder="1" applyAlignment="1">
      <alignment horizontal="center"/>
    </xf>
    <xf numFmtId="164" fontId="47" fillId="0" borderId="76" xfId="0" applyNumberFormat="1" applyFont="1" applyBorder="1" applyAlignment="1">
      <alignment horizontal="center"/>
    </xf>
    <xf numFmtId="2" fontId="0" fillId="0" borderId="0" xfId="0" applyNumberFormat="1" applyAlignment="1">
      <alignment horizontal="center" vertical="center"/>
    </xf>
    <xf numFmtId="0" fontId="31" fillId="4" borderId="0" xfId="0" applyFont="1" applyFill="1" applyAlignment="1">
      <alignment vertical="center" wrapText="1"/>
    </xf>
    <xf numFmtId="0" fontId="28" fillId="4" borderId="0" xfId="0" applyFont="1" applyFill="1"/>
    <xf numFmtId="170" fontId="0" fillId="0" borderId="0" xfId="0" applyNumberFormat="1"/>
    <xf numFmtId="9" fontId="56" fillId="0" borderId="0" xfId="2" applyFont="1" applyFill="1" applyAlignment="1" applyProtection="1">
      <alignment horizontal="center" vertical="center" wrapText="1"/>
      <protection hidden="1"/>
    </xf>
    <xf numFmtId="1" fontId="56" fillId="4" borderId="0" xfId="3" applyNumberFormat="1" applyFont="1" applyFill="1" applyAlignment="1" applyProtection="1">
      <alignment horizontal="center" vertical="center" wrapText="1"/>
      <protection hidden="1"/>
    </xf>
    <xf numFmtId="1" fontId="62" fillId="16" borderId="0" xfId="3" applyNumberFormat="1" applyFont="1" applyFill="1" applyAlignment="1" applyProtection="1">
      <alignment horizontal="center" vertical="top" wrapText="1"/>
      <protection hidden="1"/>
    </xf>
    <xf numFmtId="0" fontId="41" fillId="0" borderId="130" xfId="0" applyFont="1" applyBorder="1" applyAlignment="1">
      <alignment vertical="center" wrapText="1"/>
    </xf>
    <xf numFmtId="0" fontId="40" fillId="0" borderId="131" xfId="0" applyFont="1" applyBorder="1"/>
    <xf numFmtId="0" fontId="41" fillId="0" borderId="131" xfId="0" applyFont="1" applyBorder="1" applyAlignment="1">
      <alignment vertical="center" wrapText="1"/>
    </xf>
    <xf numFmtId="0" fontId="41" fillId="12" borderId="131" xfId="0" applyFont="1" applyFill="1" applyBorder="1" applyAlignment="1">
      <alignment vertical="center" wrapText="1"/>
    </xf>
    <xf numFmtId="0" fontId="41" fillId="10" borderId="131" xfId="0" applyFont="1" applyFill="1" applyBorder="1" applyAlignment="1">
      <alignment vertical="center" wrapText="1"/>
    </xf>
    <xf numFmtId="0" fontId="41" fillId="7" borderId="131" xfId="0" applyFont="1" applyFill="1" applyBorder="1" applyAlignment="1">
      <alignment vertical="center" wrapText="1"/>
    </xf>
    <xf numFmtId="0" fontId="40" fillId="6" borderId="131" xfId="0" applyFont="1" applyFill="1" applyBorder="1"/>
    <xf numFmtId="0" fontId="40" fillId="4" borderId="131" xfId="0" applyFont="1" applyFill="1" applyBorder="1"/>
    <xf numFmtId="0" fontId="41" fillId="6" borderId="131" xfId="0" applyFont="1" applyFill="1" applyBorder="1" applyAlignment="1">
      <alignment vertical="center" wrapText="1"/>
    </xf>
    <xf numFmtId="0" fontId="41" fillId="0" borderId="131" xfId="0" applyFont="1" applyBorder="1" applyAlignment="1">
      <alignment wrapText="1"/>
    </xf>
    <xf numFmtId="0" fontId="41" fillId="0" borderId="131" xfId="0" applyFont="1" applyBorder="1"/>
    <xf numFmtId="0" fontId="23" fillId="0" borderId="0" xfId="6" applyBorder="1" applyAlignment="1" applyProtection="1">
      <alignment vertical="center" wrapText="1"/>
    </xf>
    <xf numFmtId="0" fontId="71" fillId="0" borderId="0" xfId="0" applyFont="1"/>
    <xf numFmtId="15" fontId="28" fillId="4" borderId="34" xfId="0" applyNumberFormat="1" applyFont="1" applyFill="1" applyBorder="1" applyAlignment="1">
      <alignment horizontal="center"/>
    </xf>
    <xf numFmtId="0" fontId="28" fillId="4" borderId="34" xfId="0" applyFont="1" applyFill="1" applyBorder="1"/>
    <xf numFmtId="0" fontId="28" fillId="0" borderId="34" xfId="0" applyFont="1" applyBorder="1"/>
    <xf numFmtId="0" fontId="6" fillId="18" borderId="0" xfId="0" applyFont="1" applyFill="1"/>
    <xf numFmtId="0" fontId="0" fillId="18" borderId="0" xfId="0" applyFill="1"/>
    <xf numFmtId="0" fontId="28" fillId="18" borderId="0" xfId="0" applyFont="1" applyFill="1"/>
    <xf numFmtId="0" fontId="28" fillId="4" borderId="35" xfId="0" applyFont="1" applyFill="1" applyBorder="1"/>
    <xf numFmtId="0" fontId="6" fillId="4" borderId="29" xfId="0" applyFont="1" applyFill="1" applyBorder="1"/>
    <xf numFmtId="0" fontId="0" fillId="0" borderId="5" xfId="0" applyBorder="1" applyAlignment="1">
      <alignment vertical="top"/>
    </xf>
    <xf numFmtId="0" fontId="0" fillId="0" borderId="36" xfId="0" applyBorder="1" applyAlignment="1">
      <alignment vertical="top"/>
    </xf>
    <xf numFmtId="0" fontId="6" fillId="0" borderId="9" xfId="0" applyFont="1" applyBorder="1" applyAlignment="1">
      <alignment vertical="top"/>
    </xf>
    <xf numFmtId="0" fontId="6" fillId="0" borderId="0" xfId="0" applyFont="1" applyAlignment="1">
      <alignment vertical="top"/>
    </xf>
    <xf numFmtId="0" fontId="6" fillId="0" borderId="8" xfId="0" applyFont="1" applyBorder="1"/>
    <xf numFmtId="0" fontId="6" fillId="0" borderId="11" xfId="0" applyFont="1" applyBorder="1"/>
    <xf numFmtId="0" fontId="21" fillId="0" borderId="29" xfId="0" applyFont="1" applyBorder="1"/>
    <xf numFmtId="0" fontId="72" fillId="0" borderId="0" xfId="0" applyFont="1"/>
    <xf numFmtId="0" fontId="28" fillId="0" borderId="49" xfId="0" applyFont="1" applyBorder="1"/>
    <xf numFmtId="0" fontId="28" fillId="0" borderId="49" xfId="0" applyFont="1" applyBorder="1" applyAlignment="1">
      <alignment horizontal="center"/>
    </xf>
    <xf numFmtId="0" fontId="32" fillId="0" borderId="49" xfId="0" applyFont="1" applyBorder="1" applyAlignment="1">
      <alignment horizontal="center" vertical="center" wrapText="1"/>
    </xf>
    <xf numFmtId="0" fontId="32" fillId="0" borderId="49" xfId="0" applyFont="1" applyBorder="1" applyAlignment="1" applyProtection="1">
      <alignment horizontal="center" vertical="center" wrapText="1"/>
      <protection hidden="1"/>
    </xf>
    <xf numFmtId="0" fontId="32" fillId="0" borderId="49" xfId="1" applyNumberFormat="1" applyFont="1" applyFill="1" applyBorder="1" applyAlignment="1" applyProtection="1">
      <alignment horizontal="right" vertical="center" indent="1"/>
    </xf>
    <xf numFmtId="0" fontId="32" fillId="0" borderId="49" xfId="0" applyFont="1" applyBorder="1" applyAlignment="1">
      <alignment horizontal="center"/>
    </xf>
    <xf numFmtId="0" fontId="23" fillId="0" borderId="0" xfId="6" applyBorder="1" applyAlignment="1" applyProtection="1">
      <alignment vertical="center" wrapText="1"/>
      <protection locked="0"/>
    </xf>
    <xf numFmtId="1" fontId="55" fillId="16" borderId="0" xfId="3" applyNumberFormat="1" applyFont="1" applyFill="1" applyAlignment="1">
      <alignment horizontal="center" vertical="center"/>
    </xf>
    <xf numFmtId="0" fontId="0" fillId="0" borderId="9" xfId="0" applyBorder="1"/>
    <xf numFmtId="0" fontId="0" fillId="0" borderId="12" xfId="0" applyBorder="1"/>
    <xf numFmtId="43" fontId="0" fillId="0" borderId="0" xfId="0" applyNumberFormat="1"/>
    <xf numFmtId="0" fontId="41" fillId="0" borderId="144" xfId="0" applyFont="1" applyBorder="1" applyAlignment="1">
      <alignment vertical="center" wrapText="1"/>
    </xf>
    <xf numFmtId="0" fontId="4" fillId="3" borderId="53" xfId="0" applyFont="1" applyFill="1" applyBorder="1"/>
    <xf numFmtId="0" fontId="4" fillId="3" borderId="53" xfId="0" applyFont="1" applyFill="1" applyBorder="1" applyAlignment="1">
      <alignment horizontal="center"/>
    </xf>
    <xf numFmtId="0" fontId="0" fillId="21" borderId="0" xfId="0" applyFill="1"/>
    <xf numFmtId="0" fontId="59" fillId="17" borderId="126" xfId="0" applyFont="1" applyFill="1" applyBorder="1" applyAlignment="1">
      <alignment horizontal="right" vertical="center" wrapText="1"/>
    </xf>
    <xf numFmtId="174" fontId="3" fillId="0" borderId="0" xfId="0" applyNumberFormat="1" applyFont="1"/>
    <xf numFmtId="0" fontId="53" fillId="0" borderId="31" xfId="0" applyFont="1" applyBorder="1" applyAlignment="1">
      <alignment vertical="center"/>
    </xf>
    <xf numFmtId="0" fontId="41" fillId="0" borderId="121" xfId="0" applyFont="1" applyBorder="1" applyAlignment="1">
      <alignment vertical="center" wrapText="1"/>
    </xf>
    <xf numFmtId="0" fontId="41" fillId="6" borderId="132" xfId="0" applyFont="1" applyFill="1" applyBorder="1" applyAlignment="1">
      <alignment vertical="center" wrapText="1"/>
    </xf>
    <xf numFmtId="0" fontId="41" fillId="6" borderId="130" xfId="0" applyFont="1" applyFill="1" applyBorder="1" applyAlignment="1">
      <alignment vertical="center" wrapText="1"/>
    </xf>
    <xf numFmtId="0" fontId="54" fillId="0" borderId="27" xfId="0" applyFont="1" applyBorder="1" applyAlignment="1">
      <alignment vertical="center"/>
    </xf>
    <xf numFmtId="0" fontId="67" fillId="0" borderId="0" xfId="0" applyFont="1" applyAlignment="1">
      <alignment vertical="center" wrapText="1"/>
    </xf>
    <xf numFmtId="0" fontId="0" fillId="0" borderId="0" xfId="0" applyAlignment="1">
      <alignment horizontal="left" vertical="top" wrapText="1"/>
    </xf>
    <xf numFmtId="0" fontId="0" fillId="0" borderId="0" xfId="0" applyAlignment="1">
      <alignment vertical="top" wrapText="1"/>
    </xf>
    <xf numFmtId="0" fontId="74" fillId="0" borderId="0" xfId="0" applyFont="1"/>
    <xf numFmtId="0" fontId="75" fillId="0" borderId="0" xfId="0" applyFont="1" applyAlignment="1">
      <alignment vertical="top"/>
    </xf>
    <xf numFmtId="43" fontId="0" fillId="0" borderId="15" xfId="0" applyNumberFormat="1" applyBorder="1" applyAlignment="1">
      <alignment vertical="center"/>
    </xf>
    <xf numFmtId="0" fontId="23" fillId="0" borderId="0" xfId="6"/>
    <xf numFmtId="166" fontId="56" fillId="0" borderId="0" xfId="17" applyNumberFormat="1" applyFont="1" applyFill="1" applyBorder="1" applyAlignment="1" applyProtection="1">
      <alignment horizontal="right" vertical="center"/>
      <protection hidden="1"/>
    </xf>
    <xf numFmtId="166" fontId="56" fillId="0" borderId="0" xfId="17" applyNumberFormat="1" applyFont="1" applyFill="1" applyBorder="1" applyAlignment="1" applyProtection="1">
      <alignment horizontal="right" vertical="center" wrapText="1"/>
    </xf>
    <xf numFmtId="1" fontId="55" fillId="16" borderId="0" xfId="3" applyNumberFormat="1" applyFont="1" applyFill="1" applyAlignment="1" applyProtection="1">
      <alignment horizontal="right" vertical="center" wrapText="1"/>
      <protection hidden="1"/>
    </xf>
    <xf numFmtId="0" fontId="0" fillId="0" borderId="14" xfId="0" applyBorder="1"/>
    <xf numFmtId="0" fontId="0" fillId="0" borderId="147" xfId="0" applyBorder="1"/>
    <xf numFmtId="0" fontId="85" fillId="4" borderId="0" xfId="0" applyFont="1" applyFill="1"/>
    <xf numFmtId="0" fontId="10" fillId="0" borderId="0" xfId="0" applyFont="1" applyAlignment="1">
      <alignment vertical="center"/>
    </xf>
    <xf numFmtId="0" fontId="16" fillId="0" borderId="0" xfId="0" applyFont="1" applyAlignment="1">
      <alignment vertical="center"/>
    </xf>
    <xf numFmtId="0" fontId="86" fillId="0" borderId="61" xfId="0" applyFont="1" applyBorder="1" applyAlignment="1">
      <alignment vertical="center"/>
    </xf>
    <xf numFmtId="0" fontId="78" fillId="0" borderId="159" xfId="0" applyFont="1" applyBorder="1" applyAlignment="1">
      <alignment vertical="center"/>
    </xf>
    <xf numFmtId="0" fontId="78" fillId="0" borderId="153" xfId="0" applyFont="1" applyBorder="1" applyAlignment="1">
      <alignment vertical="center"/>
    </xf>
    <xf numFmtId="0" fontId="78" fillId="0" borderId="154" xfId="0" applyFont="1" applyBorder="1" applyAlignment="1">
      <alignment horizontal="center" vertical="center"/>
    </xf>
    <xf numFmtId="0" fontId="78" fillId="0" borderId="155" xfId="0" applyFont="1" applyBorder="1" applyAlignment="1">
      <alignment horizontal="center" vertical="center"/>
    </xf>
    <xf numFmtId="0" fontId="12" fillId="14" borderId="113" xfId="0" applyFont="1" applyFill="1" applyBorder="1" applyAlignment="1">
      <alignment horizontal="right" vertical="center"/>
    </xf>
    <xf numFmtId="0" fontId="12" fillId="0" borderId="119" xfId="0" applyFont="1" applyBorder="1" applyAlignment="1">
      <alignment horizontal="right" vertical="center"/>
    </xf>
    <xf numFmtId="0" fontId="12" fillId="5" borderId="119" xfId="0" applyFont="1" applyFill="1" applyBorder="1" applyAlignment="1">
      <alignment horizontal="right" vertical="center"/>
    </xf>
    <xf numFmtId="166" fontId="79" fillId="28" borderId="0" xfId="5" applyNumberFormat="1" applyFont="1" applyFill="1" applyBorder="1" applyAlignment="1" applyProtection="1">
      <alignment horizontal="right" vertical="center"/>
      <protection locked="0"/>
    </xf>
    <xf numFmtId="166" fontId="79" fillId="0" borderId="0" xfId="5" applyNumberFormat="1" applyFont="1" applyBorder="1" applyAlignment="1" applyProtection="1">
      <alignment horizontal="right" vertical="center"/>
      <protection locked="0"/>
    </xf>
    <xf numFmtId="169" fontId="79" fillId="28" borderId="153" xfId="5" applyNumberFormat="1" applyFont="1" applyFill="1" applyBorder="1" applyAlignment="1" applyProtection="1">
      <alignment horizontal="right" vertical="center"/>
      <protection locked="0"/>
    </xf>
    <xf numFmtId="166" fontId="79" fillId="28" borderId="154" xfId="5" applyNumberFormat="1" applyFont="1" applyFill="1" applyBorder="1" applyAlignment="1" applyProtection="1">
      <alignment horizontal="right" vertical="center"/>
      <protection locked="0"/>
    </xf>
    <xf numFmtId="169" fontId="79" fillId="0" borderId="165" xfId="5" applyNumberFormat="1" applyFont="1" applyBorder="1" applyAlignment="1" applyProtection="1">
      <alignment horizontal="right" vertical="center"/>
      <protection locked="0"/>
    </xf>
    <xf numFmtId="169" fontId="79" fillId="28" borderId="165" xfId="5" applyNumberFormat="1" applyFont="1" applyFill="1" applyBorder="1" applyAlignment="1" applyProtection="1">
      <alignment horizontal="right" vertical="center"/>
      <protection locked="0"/>
    </xf>
    <xf numFmtId="0" fontId="78" fillId="0" borderId="0" xfId="0" applyFont="1" applyAlignment="1">
      <alignment horizontal="center" vertical="center"/>
    </xf>
    <xf numFmtId="0" fontId="78" fillId="0" borderId="0" xfId="0" applyFont="1" applyAlignment="1">
      <alignment vertical="center"/>
    </xf>
    <xf numFmtId="0" fontId="26" fillId="4" borderId="0" xfId="0" applyFont="1" applyFill="1" applyAlignment="1">
      <alignment vertical="center"/>
    </xf>
    <xf numFmtId="0" fontId="78" fillId="25" borderId="159" xfId="0" applyFont="1" applyFill="1" applyBorder="1" applyAlignment="1">
      <alignment horizontal="center" vertical="center" wrapText="1"/>
    </xf>
    <xf numFmtId="0" fontId="78" fillId="25" borderId="160" xfId="0" applyFont="1" applyFill="1" applyBorder="1" applyAlignment="1">
      <alignment horizontal="center" vertical="center" wrapText="1"/>
    </xf>
    <xf numFmtId="0" fontId="78" fillId="25" borderId="161" xfId="0" applyFont="1" applyFill="1" applyBorder="1" applyAlignment="1">
      <alignment horizontal="center" vertical="center" wrapText="1"/>
    </xf>
    <xf numFmtId="0" fontId="21" fillId="4" borderId="0" xfId="0" applyFont="1" applyFill="1" applyAlignment="1">
      <alignment vertical="center"/>
    </xf>
    <xf numFmtId="0" fontId="12" fillId="0" borderId="119" xfId="0" applyFont="1" applyBorder="1" applyAlignment="1">
      <alignment horizontal="left" vertical="center"/>
    </xf>
    <xf numFmtId="0" fontId="12" fillId="0" borderId="114" xfId="0" applyFont="1" applyBorder="1" applyAlignment="1">
      <alignment horizontal="right" vertical="center"/>
    </xf>
    <xf numFmtId="0" fontId="79" fillId="4" borderId="0" xfId="0" applyFont="1" applyFill="1" applyAlignment="1">
      <alignment vertical="center"/>
    </xf>
    <xf numFmtId="169" fontId="79" fillId="0" borderId="165" xfId="5" applyNumberFormat="1" applyFont="1" applyFill="1" applyBorder="1" applyAlignment="1" applyProtection="1">
      <alignment horizontal="right" vertical="center"/>
      <protection locked="0"/>
    </xf>
    <xf numFmtId="169" fontId="79" fillId="27" borderId="165" xfId="5" applyNumberFormat="1" applyFont="1" applyFill="1" applyBorder="1" applyAlignment="1" applyProtection="1">
      <alignment horizontal="right" vertical="center"/>
      <protection locked="0"/>
    </xf>
    <xf numFmtId="169" fontId="79" fillId="0" borderId="156" xfId="5" applyNumberFormat="1" applyFont="1" applyFill="1" applyBorder="1" applyAlignment="1" applyProtection="1">
      <alignment horizontal="right" vertical="center"/>
      <protection locked="0"/>
    </xf>
    <xf numFmtId="166" fontId="79" fillId="0" borderId="157" xfId="5" applyNumberFormat="1" applyFont="1" applyBorder="1" applyAlignment="1" applyProtection="1">
      <alignment horizontal="right" vertical="center"/>
      <protection locked="0"/>
    </xf>
    <xf numFmtId="169" fontId="79" fillId="0" borderId="156" xfId="5" applyNumberFormat="1" applyFont="1" applyBorder="1" applyAlignment="1" applyProtection="1">
      <alignment horizontal="right" vertical="center"/>
      <protection locked="0"/>
    </xf>
    <xf numFmtId="0" fontId="78" fillId="25" borderId="159" xfId="0" applyFont="1" applyFill="1" applyBorder="1" applyAlignment="1">
      <alignment horizontal="center" vertical="center"/>
    </xf>
    <xf numFmtId="0" fontId="83" fillId="24" borderId="154" xfId="0" applyFont="1" applyFill="1" applyBorder="1" applyAlignment="1">
      <alignment vertical="center"/>
    </xf>
    <xf numFmtId="0" fontId="83" fillId="24" borderId="157" xfId="0" applyFont="1" applyFill="1" applyBorder="1" applyAlignment="1">
      <alignment vertical="center"/>
    </xf>
    <xf numFmtId="0" fontId="79" fillId="0" borderId="18" xfId="0" applyFont="1" applyBorder="1" applyAlignment="1">
      <alignment horizontal="left" vertical="center"/>
    </xf>
    <xf numFmtId="0" fontId="79" fillId="0" borderId="18" xfId="0" applyFont="1" applyBorder="1" applyAlignment="1">
      <alignment horizontal="center" vertical="center"/>
    </xf>
    <xf numFmtId="0" fontId="26" fillId="0" borderId="18" xfId="0" applyFont="1" applyBorder="1" applyAlignment="1">
      <alignment vertical="center"/>
    </xf>
    <xf numFmtId="0" fontId="26" fillId="0" borderId="0" xfId="0" applyFont="1" applyAlignment="1">
      <alignment vertical="center"/>
    </xf>
    <xf numFmtId="0" fontId="26" fillId="0" borderId="15" xfId="0" applyFont="1" applyBorder="1" applyAlignment="1">
      <alignment vertical="center"/>
    </xf>
    <xf numFmtId="0" fontId="90" fillId="4" borderId="0" xfId="0" applyFont="1" applyFill="1" applyAlignment="1">
      <alignment vertical="center"/>
    </xf>
    <xf numFmtId="0" fontId="26" fillId="0" borderId="0" xfId="0" applyFont="1"/>
    <xf numFmtId="0" fontId="83" fillId="0" borderId="18" xfId="0" applyFont="1" applyBorder="1" applyAlignment="1">
      <alignment horizontal="center" vertical="center"/>
    </xf>
    <xf numFmtId="0" fontId="78" fillId="0" borderId="18" xfId="0" applyFont="1" applyBorder="1" applyAlignment="1">
      <alignment horizontal="center" vertical="center"/>
    </xf>
    <xf numFmtId="0" fontId="78" fillId="0" borderId="18" xfId="0" applyFont="1" applyBorder="1" applyAlignment="1">
      <alignment horizontal="left" vertical="center"/>
    </xf>
    <xf numFmtId="0" fontId="79" fillId="0" borderId="18" xfId="0" applyFont="1" applyBorder="1" applyAlignment="1">
      <alignment vertical="center"/>
    </xf>
    <xf numFmtId="0" fontId="79" fillId="0" borderId="0" xfId="0" applyFont="1" applyAlignment="1">
      <alignment vertical="center"/>
    </xf>
    <xf numFmtId="0" fontId="79" fillId="0" borderId="15" xfId="0" applyFont="1" applyBorder="1" applyAlignment="1">
      <alignment vertical="center"/>
    </xf>
    <xf numFmtId="0" fontId="79" fillId="0" borderId="0" xfId="0" applyFont="1"/>
    <xf numFmtId="0" fontId="91" fillId="27" borderId="154" xfId="0" applyFont="1" applyFill="1" applyBorder="1" applyAlignment="1" applyProtection="1">
      <alignment horizontal="center" vertical="center"/>
      <protection locked="0"/>
    </xf>
    <xf numFmtId="0" fontId="91" fillId="0" borderId="0" xfId="0" applyFont="1" applyAlignment="1" applyProtection="1">
      <alignment horizontal="center" vertical="center"/>
      <protection locked="0"/>
    </xf>
    <xf numFmtId="0" fontId="91" fillId="27" borderId="0" xfId="0" applyFont="1" applyFill="1" applyAlignment="1" applyProtection="1">
      <alignment horizontal="center" vertical="center"/>
      <protection locked="0"/>
    </xf>
    <xf numFmtId="166" fontId="91" fillId="0" borderId="0" xfId="5" applyNumberFormat="1" applyFont="1" applyBorder="1" applyAlignment="1">
      <alignment horizontal="right" vertical="center"/>
    </xf>
    <xf numFmtId="166" fontId="91" fillId="28" borderId="0" xfId="5" applyNumberFormat="1" applyFont="1" applyFill="1" applyBorder="1" applyAlignment="1">
      <alignment horizontal="right" vertical="center"/>
    </xf>
    <xf numFmtId="166" fontId="91" fillId="0" borderId="166" xfId="5" applyNumberFormat="1" applyFont="1" applyBorder="1" applyAlignment="1">
      <alignment horizontal="right" vertical="center"/>
    </xf>
    <xf numFmtId="166" fontId="91" fillId="28" borderId="166" xfId="5" applyNumberFormat="1" applyFont="1" applyFill="1" applyBorder="1" applyAlignment="1">
      <alignment horizontal="right" vertical="center"/>
    </xf>
    <xf numFmtId="0" fontId="51" fillId="0" borderId="0" xfId="0" applyFont="1" applyAlignment="1">
      <alignment vertical="center"/>
    </xf>
    <xf numFmtId="0" fontId="49" fillId="0" borderId="0" xfId="0" applyFont="1" applyAlignment="1">
      <alignment vertical="center"/>
    </xf>
    <xf numFmtId="0" fontId="91" fillId="27" borderId="153" xfId="0" applyFont="1" applyFill="1" applyBorder="1" applyAlignment="1">
      <alignment horizontal="center" vertical="center"/>
    </xf>
    <xf numFmtId="169" fontId="91" fillId="27" borderId="154" xfId="0" applyNumberFormat="1" applyFont="1" applyFill="1" applyBorder="1" applyAlignment="1">
      <alignment horizontal="center" vertical="center"/>
    </xf>
    <xf numFmtId="0" fontId="91" fillId="27" borderId="155" xfId="0" applyFont="1" applyFill="1" applyBorder="1" applyAlignment="1" applyProtection="1">
      <alignment horizontal="center" vertical="center"/>
      <protection locked="0"/>
    </xf>
    <xf numFmtId="0" fontId="91" fillId="0" borderId="165" xfId="0" applyFont="1" applyBorder="1" applyAlignment="1">
      <alignment horizontal="center" vertical="center"/>
    </xf>
    <xf numFmtId="169" fontId="91" fillId="0" borderId="0" xfId="0" applyNumberFormat="1" applyFont="1" applyAlignment="1">
      <alignment horizontal="center" vertical="center"/>
    </xf>
    <xf numFmtId="0" fontId="91" fillId="4" borderId="166" xfId="0" applyFont="1" applyFill="1" applyBorder="1" applyAlignment="1" applyProtection="1">
      <alignment horizontal="center" vertical="center"/>
      <protection locked="0"/>
    </xf>
    <xf numFmtId="0" fontId="91" fillId="27" borderId="165" xfId="0" applyFont="1" applyFill="1" applyBorder="1" applyAlignment="1">
      <alignment horizontal="center" vertical="center"/>
    </xf>
    <xf numFmtId="169" fontId="91" fillId="27" borderId="0" xfId="0" applyNumberFormat="1" applyFont="1" applyFill="1" applyAlignment="1">
      <alignment horizontal="center" vertical="center"/>
    </xf>
    <xf numFmtId="0" fontId="91" fillId="27" borderId="166" xfId="0" applyFont="1" applyFill="1" applyBorder="1" applyAlignment="1" applyProtection="1">
      <alignment horizontal="center" vertical="center"/>
      <protection locked="0"/>
    </xf>
    <xf numFmtId="169" fontId="91" fillId="4" borderId="0" xfId="0" applyNumberFormat="1" applyFont="1" applyFill="1" applyAlignment="1">
      <alignment horizontal="center" vertical="center"/>
    </xf>
    <xf numFmtId="166" fontId="91" fillId="28" borderId="154" xfId="5" applyNumberFormat="1" applyFont="1" applyFill="1" applyBorder="1" applyAlignment="1">
      <alignment horizontal="right" vertical="center"/>
    </xf>
    <xf numFmtId="166" fontId="91" fillId="28" borderId="155" xfId="5" applyNumberFormat="1" applyFont="1" applyFill="1" applyBorder="1" applyAlignment="1">
      <alignment horizontal="right" vertical="center"/>
    </xf>
    <xf numFmtId="0" fontId="91" fillId="28" borderId="164" xfId="0" applyFont="1" applyFill="1" applyBorder="1" applyAlignment="1">
      <alignment horizontal="left" vertical="top"/>
    </xf>
    <xf numFmtId="0" fontId="91" fillId="0" borderId="164" xfId="0" applyFont="1" applyBorder="1" applyAlignment="1">
      <alignment horizontal="left" vertical="top"/>
    </xf>
    <xf numFmtId="0" fontId="91" fillId="28" borderId="164" xfId="0" applyFont="1" applyFill="1" applyBorder="1" applyAlignment="1">
      <alignment horizontal="right" vertical="center"/>
    </xf>
    <xf numFmtId="0" fontId="91" fillId="0" borderId="164" xfId="0" applyFont="1" applyBorder="1" applyAlignment="1">
      <alignment horizontal="right" vertical="center"/>
    </xf>
    <xf numFmtId="0" fontId="91" fillId="27" borderId="164" xfId="0" applyFont="1" applyFill="1" applyBorder="1" applyAlignment="1">
      <alignment horizontal="right" vertical="center"/>
    </xf>
    <xf numFmtId="166" fontId="91" fillId="28" borderId="165" xfId="5" applyNumberFormat="1" applyFont="1" applyFill="1" applyBorder="1" applyAlignment="1">
      <alignment horizontal="right" vertical="center"/>
    </xf>
    <xf numFmtId="166" fontId="91" fillId="0" borderId="165" xfId="5" applyNumberFormat="1" applyFont="1" applyBorder="1" applyAlignment="1">
      <alignment horizontal="right" vertical="center"/>
    </xf>
    <xf numFmtId="0" fontId="91" fillId="0" borderId="156" xfId="0" applyFont="1" applyBorder="1" applyAlignment="1">
      <alignment horizontal="center" vertical="center"/>
    </xf>
    <xf numFmtId="0" fontId="91" fillId="0" borderId="157" xfId="0" applyFont="1" applyBorder="1" applyAlignment="1" applyProtection="1">
      <alignment horizontal="center" vertical="center"/>
      <protection locked="0"/>
    </xf>
    <xf numFmtId="169" fontId="91" fillId="4" borderId="157" xfId="0" applyNumberFormat="1" applyFont="1" applyFill="1" applyBorder="1" applyAlignment="1">
      <alignment horizontal="center" vertical="center"/>
    </xf>
    <xf numFmtId="0" fontId="91" fillId="4" borderId="158" xfId="0" applyFont="1" applyFill="1" applyBorder="1" applyAlignment="1" applyProtection="1">
      <alignment horizontal="center" vertical="center"/>
      <protection locked="0"/>
    </xf>
    <xf numFmtId="166" fontId="91" fillId="0" borderId="157" xfId="5" applyNumberFormat="1" applyFont="1" applyBorder="1" applyAlignment="1">
      <alignment horizontal="right" vertical="center"/>
    </xf>
    <xf numFmtId="166" fontId="91" fillId="0" borderId="158" xfId="5" applyNumberFormat="1" applyFont="1" applyBorder="1" applyAlignment="1">
      <alignment horizontal="right" vertical="center"/>
    </xf>
    <xf numFmtId="166" fontId="91" fillId="0" borderId="0" xfId="5" applyNumberFormat="1" applyFont="1" applyFill="1" applyBorder="1" applyAlignment="1" applyProtection="1">
      <alignment horizontal="right" vertical="center"/>
    </xf>
    <xf numFmtId="166" fontId="91" fillId="0" borderId="166" xfId="5" applyNumberFormat="1" applyFont="1" applyFill="1" applyBorder="1" applyAlignment="1" applyProtection="1">
      <alignment horizontal="right" vertical="center"/>
    </xf>
    <xf numFmtId="166" fontId="91" fillId="27" borderId="0" xfId="5" applyNumberFormat="1" applyFont="1" applyFill="1" applyBorder="1" applyAlignment="1" applyProtection="1">
      <alignment horizontal="right" vertical="center"/>
    </xf>
    <xf numFmtId="166" fontId="91" fillId="27" borderId="166" xfId="5" applyNumberFormat="1" applyFont="1" applyFill="1" applyBorder="1" applyAlignment="1" applyProtection="1">
      <alignment horizontal="right" vertical="center"/>
    </xf>
    <xf numFmtId="166" fontId="91" fillId="0" borderId="157" xfId="5" applyNumberFormat="1" applyFont="1" applyFill="1" applyBorder="1" applyAlignment="1" applyProtection="1">
      <alignment horizontal="right" vertical="center"/>
    </xf>
    <xf numFmtId="166" fontId="91" fillId="0" borderId="158" xfId="5" applyNumberFormat="1" applyFont="1" applyFill="1" applyBorder="1" applyAlignment="1" applyProtection="1">
      <alignment horizontal="right" vertical="center"/>
    </xf>
    <xf numFmtId="166" fontId="91" fillId="28" borderId="153" xfId="5" applyNumberFormat="1" applyFont="1" applyFill="1" applyBorder="1" applyAlignment="1">
      <alignment horizontal="right" vertical="center"/>
    </xf>
    <xf numFmtId="0" fontId="91" fillId="28" borderId="162" xfId="0" applyFont="1" applyFill="1" applyBorder="1" applyAlignment="1">
      <alignment horizontal="left" vertical="top"/>
    </xf>
    <xf numFmtId="166" fontId="91" fillId="0" borderId="165" xfId="5" applyNumberFormat="1" applyFont="1" applyFill="1" applyBorder="1" applyAlignment="1" applyProtection="1">
      <alignment horizontal="right" vertical="center"/>
    </xf>
    <xf numFmtId="166" fontId="91" fillId="27" borderId="165" xfId="5" applyNumberFormat="1" applyFont="1" applyFill="1" applyBorder="1" applyAlignment="1" applyProtection="1">
      <alignment horizontal="right" vertical="center"/>
    </xf>
    <xf numFmtId="0" fontId="91" fillId="27" borderId="164" xfId="0" applyFont="1" applyFill="1" applyBorder="1" applyAlignment="1">
      <alignment horizontal="left" vertical="top"/>
    </xf>
    <xf numFmtId="166" fontId="91" fillId="0" borderId="156" xfId="5" applyNumberFormat="1" applyFont="1" applyFill="1" applyBorder="1" applyAlignment="1" applyProtection="1">
      <alignment horizontal="right" vertical="center"/>
    </xf>
    <xf numFmtId="0" fontId="91" fillId="0" borderId="163" xfId="0" applyFont="1" applyBorder="1" applyAlignment="1">
      <alignment horizontal="left" vertical="top"/>
    </xf>
    <xf numFmtId="0" fontId="91" fillId="28" borderId="162" xfId="0" applyFont="1" applyFill="1" applyBorder="1" applyAlignment="1">
      <alignment horizontal="right" vertical="center"/>
    </xf>
    <xf numFmtId="0" fontId="91" fillId="0" borderId="164" xfId="0" applyFont="1" applyBorder="1" applyAlignment="1">
      <alignment horizontal="left" vertical="center"/>
    </xf>
    <xf numFmtId="0" fontId="91" fillId="0" borderId="163" xfId="0" applyFont="1" applyBorder="1" applyAlignment="1">
      <alignment horizontal="right" vertical="center"/>
    </xf>
    <xf numFmtId="169" fontId="91" fillId="0" borderId="157" xfId="0" applyNumberFormat="1" applyFont="1" applyBorder="1" applyAlignment="1">
      <alignment horizontal="center" vertical="center"/>
    </xf>
    <xf numFmtId="166" fontId="91" fillId="27" borderId="154" xfId="5" applyNumberFormat="1" applyFont="1" applyFill="1" applyBorder="1" applyAlignment="1" applyProtection="1">
      <alignment horizontal="right" vertical="center"/>
    </xf>
    <xf numFmtId="166" fontId="91" fillId="27" borderId="155" xfId="5" applyNumberFormat="1" applyFont="1" applyFill="1" applyBorder="1" applyAlignment="1" applyProtection="1">
      <alignment horizontal="right" vertical="center"/>
    </xf>
    <xf numFmtId="166" fontId="91" fillId="27" borderId="153" xfId="5" applyNumberFormat="1" applyFont="1" applyFill="1" applyBorder="1" applyAlignment="1" applyProtection="1">
      <alignment horizontal="right" vertical="center"/>
    </xf>
    <xf numFmtId="0" fontId="78" fillId="26" borderId="175" xfId="0" applyFont="1" applyFill="1" applyBorder="1" applyAlignment="1">
      <alignment horizontal="center" vertical="center"/>
    </xf>
    <xf numFmtId="0" fontId="78" fillId="23" borderId="84" xfId="0" applyFont="1" applyFill="1" applyBorder="1" applyAlignment="1">
      <alignment horizontal="center" vertical="center"/>
    </xf>
    <xf numFmtId="3" fontId="78" fillId="4" borderId="176" xfId="0" applyNumberFormat="1" applyFont="1" applyFill="1" applyBorder="1" applyAlignment="1">
      <alignment horizontal="center" vertical="center"/>
    </xf>
    <xf numFmtId="3" fontId="78" fillId="4" borderId="82" xfId="0" applyNumberFormat="1" applyFont="1" applyFill="1" applyBorder="1" applyAlignment="1">
      <alignment horizontal="center" vertical="center"/>
    </xf>
    <xf numFmtId="0" fontId="12" fillId="0" borderId="164" xfId="0" applyFont="1" applyBorder="1" applyAlignment="1">
      <alignment horizontal="right" vertical="center"/>
    </xf>
    <xf numFmtId="0" fontId="12" fillId="5" borderId="164" xfId="0" applyFont="1" applyFill="1" applyBorder="1" applyAlignment="1">
      <alignment horizontal="right" vertical="center"/>
    </xf>
    <xf numFmtId="0" fontId="87" fillId="4" borderId="0" xfId="0" applyFont="1" applyFill="1" applyAlignment="1">
      <alignment vertical="center"/>
    </xf>
    <xf numFmtId="0" fontId="87" fillId="4" borderId="0" xfId="0" applyFont="1" applyFill="1" applyAlignment="1">
      <alignment horizontal="center" vertical="center" wrapText="1"/>
    </xf>
    <xf numFmtId="0" fontId="91" fillId="4" borderId="0" xfId="0" applyFont="1" applyFill="1" applyAlignment="1" applyProtection="1">
      <alignment horizontal="center" vertical="center"/>
      <protection locked="0"/>
    </xf>
    <xf numFmtId="0" fontId="12" fillId="14" borderId="23" xfId="0" applyFont="1" applyFill="1" applyBorder="1" applyAlignment="1">
      <alignment horizontal="right" vertical="center"/>
    </xf>
    <xf numFmtId="0" fontId="12" fillId="0" borderId="22" xfId="0" applyFont="1" applyBorder="1" applyAlignment="1">
      <alignment horizontal="right" vertical="center"/>
    </xf>
    <xf numFmtId="0" fontId="12" fillId="5" borderId="22" xfId="0" applyFont="1" applyFill="1" applyBorder="1" applyAlignment="1">
      <alignment horizontal="right" vertical="center"/>
    </xf>
    <xf numFmtId="0" fontId="12" fillId="0" borderId="22" xfId="0" applyFont="1" applyBorder="1" applyAlignment="1">
      <alignment horizontal="left" vertical="center"/>
    </xf>
    <xf numFmtId="0" fontId="12" fillId="0" borderId="24" xfId="0" applyFont="1" applyBorder="1" applyAlignment="1">
      <alignment horizontal="right" vertical="center"/>
    </xf>
    <xf numFmtId="0" fontId="14" fillId="0" borderId="51" xfId="0" applyFont="1" applyBorder="1" applyAlignment="1">
      <alignment horizontal="center" vertical="center"/>
    </xf>
    <xf numFmtId="0" fontId="30" fillId="4" borderId="0" xfId="0" applyFont="1" applyFill="1" applyAlignment="1">
      <alignment vertical="center"/>
    </xf>
    <xf numFmtId="0" fontId="14" fillId="4" borderId="0" xfId="0" applyFont="1" applyFill="1" applyAlignment="1">
      <alignment horizontal="center" vertical="center" wrapText="1"/>
    </xf>
    <xf numFmtId="0" fontId="26" fillId="0" borderId="18" xfId="0" applyFont="1" applyBorder="1" applyAlignment="1">
      <alignment horizontal="left" vertical="center"/>
    </xf>
    <xf numFmtId="0" fontId="82" fillId="0" borderId="18" xfId="0" applyFont="1" applyBorder="1" applyAlignment="1">
      <alignment horizontal="center" vertical="center"/>
    </xf>
    <xf numFmtId="0" fontId="26" fillId="0" borderId="18" xfId="0" applyFont="1" applyBorder="1" applyAlignment="1">
      <alignment horizontal="center" vertical="center"/>
    </xf>
    <xf numFmtId="0" fontId="82" fillId="0" borderId="18" xfId="0" applyFont="1" applyBorder="1" applyAlignment="1">
      <alignment horizontal="left" vertical="center"/>
    </xf>
    <xf numFmtId="0" fontId="82" fillId="0" borderId="0" xfId="0" applyFont="1" applyAlignment="1">
      <alignment horizontal="center" vertical="center"/>
    </xf>
    <xf numFmtId="0" fontId="82" fillId="0" borderId="0" xfId="0" applyFont="1" applyAlignment="1">
      <alignment vertical="center"/>
    </xf>
    <xf numFmtId="0" fontId="82" fillId="0" borderId="153" xfId="0" applyFont="1" applyBorder="1" applyAlignment="1">
      <alignment vertical="center"/>
    </xf>
    <xf numFmtId="0" fontId="82" fillId="0" borderId="154" xfId="0" applyFont="1" applyBorder="1" applyAlignment="1">
      <alignment horizontal="center" vertical="center"/>
    </xf>
    <xf numFmtId="0" fontId="82" fillId="0" borderId="155" xfId="0" applyFont="1" applyBorder="1" applyAlignment="1">
      <alignment horizontal="center" vertical="center"/>
    </xf>
    <xf numFmtId="0" fontId="31" fillId="0" borderId="52" xfId="0" applyFont="1" applyBorder="1" applyAlignment="1">
      <alignment horizontal="center" vertical="center"/>
    </xf>
    <xf numFmtId="0" fontId="91" fillId="27" borderId="162" xfId="0" applyFont="1" applyFill="1" applyBorder="1" applyAlignment="1">
      <alignment horizontal="left" vertical="top"/>
    </xf>
    <xf numFmtId="0" fontId="91" fillId="27" borderId="162" xfId="0" applyFont="1" applyFill="1" applyBorder="1" applyAlignment="1">
      <alignment horizontal="right" vertical="center"/>
    </xf>
    <xf numFmtId="0" fontId="80" fillId="5" borderId="25" xfId="0" applyFont="1" applyFill="1" applyBorder="1" applyAlignment="1">
      <alignment horizontal="left" vertical="top"/>
    </xf>
    <xf numFmtId="166" fontId="26" fillId="0" borderId="0" xfId="0" applyNumberFormat="1" applyFont="1"/>
    <xf numFmtId="0" fontId="26" fillId="0" borderId="21" xfId="0" applyFont="1" applyBorder="1" applyAlignment="1">
      <alignment horizontal="left" vertical="top"/>
    </xf>
    <xf numFmtId="0" fontId="26" fillId="5" borderId="21" xfId="0" applyFont="1" applyFill="1" applyBorder="1" applyAlignment="1">
      <alignment horizontal="left" vertical="top"/>
    </xf>
    <xf numFmtId="0" fontId="26" fillId="0" borderId="26" xfId="0" applyFont="1" applyBorder="1" applyAlignment="1">
      <alignment horizontal="left" vertical="top"/>
    </xf>
    <xf numFmtId="0" fontId="78" fillId="0" borderId="51" xfId="0" applyFont="1" applyBorder="1" applyAlignment="1">
      <alignment horizontal="center" vertical="center"/>
    </xf>
    <xf numFmtId="0" fontId="80" fillId="5" borderId="23" xfId="0" applyFont="1" applyFill="1" applyBorder="1" applyAlignment="1">
      <alignment horizontal="right" vertical="center"/>
    </xf>
    <xf numFmtId="0" fontId="80" fillId="0" borderId="22" xfId="0" applyFont="1" applyBorder="1" applyAlignment="1">
      <alignment horizontal="right" vertical="center"/>
    </xf>
    <xf numFmtId="0" fontId="80" fillId="5" borderId="22" xfId="0" applyFont="1" applyFill="1" applyBorder="1" applyAlignment="1">
      <alignment horizontal="right" vertical="center"/>
    </xf>
    <xf numFmtId="0" fontId="80" fillId="0" borderId="22" xfId="0" applyFont="1" applyBorder="1" applyAlignment="1">
      <alignment horizontal="left" vertical="center"/>
    </xf>
    <xf numFmtId="0" fontId="80" fillId="0" borderId="24" xfId="0" applyFont="1" applyBorder="1" applyAlignment="1">
      <alignment horizontal="right" vertical="center"/>
    </xf>
    <xf numFmtId="166" fontId="79" fillId="0" borderId="0" xfId="5" applyNumberFormat="1" applyFont="1" applyFill="1" applyBorder="1" applyAlignment="1" applyProtection="1">
      <alignment horizontal="right" vertical="center"/>
      <protection locked="0"/>
    </xf>
    <xf numFmtId="0" fontId="91" fillId="0" borderId="166" xfId="0" applyFont="1" applyBorder="1" applyAlignment="1" applyProtection="1">
      <alignment horizontal="center" vertical="center"/>
      <protection locked="0"/>
    </xf>
    <xf numFmtId="43" fontId="0" fillId="0" borderId="4" xfId="0" applyNumberFormat="1" applyBorder="1" applyAlignment="1">
      <alignment vertical="center"/>
    </xf>
    <xf numFmtId="43" fontId="0" fillId="0" borderId="6" xfId="0" applyNumberFormat="1" applyBorder="1" applyAlignment="1">
      <alignment vertical="center"/>
    </xf>
    <xf numFmtId="0" fontId="12" fillId="5" borderId="23" xfId="0" applyFont="1" applyFill="1" applyBorder="1" applyAlignment="1">
      <alignment horizontal="left" vertical="top"/>
    </xf>
    <xf numFmtId="0" fontId="12" fillId="0" borderId="22" xfId="0" applyFont="1" applyBorder="1" applyAlignment="1">
      <alignment horizontal="left" vertical="top"/>
    </xf>
    <xf numFmtId="0" fontId="12" fillId="5" borderId="22" xfId="0" applyFont="1" applyFill="1" applyBorder="1" applyAlignment="1">
      <alignment horizontal="left" vertical="top"/>
    </xf>
    <xf numFmtId="0" fontId="12" fillId="5" borderId="180" xfId="0" applyFont="1" applyFill="1" applyBorder="1" applyAlignment="1">
      <alignment horizontal="right" vertical="center"/>
    </xf>
    <xf numFmtId="0" fontId="12" fillId="5" borderId="23" xfId="0" applyFont="1" applyFill="1" applyBorder="1" applyAlignment="1">
      <alignment horizontal="right" vertical="center"/>
    </xf>
    <xf numFmtId="0" fontId="92" fillId="4" borderId="0" xfId="0" applyFont="1" applyFill="1"/>
    <xf numFmtId="0" fontId="78" fillId="25" borderId="160" xfId="0" applyFont="1" applyFill="1" applyBorder="1" applyAlignment="1">
      <alignment horizontal="center" vertical="center"/>
    </xf>
    <xf numFmtId="0" fontId="82" fillId="25" borderId="159" xfId="0" applyFont="1" applyFill="1" applyBorder="1" applyAlignment="1">
      <alignment horizontal="center" vertical="center" wrapText="1"/>
    </xf>
    <xf numFmtId="0" fontId="82" fillId="25" borderId="160" xfId="0" applyFont="1" applyFill="1" applyBorder="1" applyAlignment="1">
      <alignment horizontal="center" vertical="center" wrapText="1"/>
    </xf>
    <xf numFmtId="0" fontId="82" fillId="25" borderId="161" xfId="0" applyFont="1" applyFill="1" applyBorder="1" applyAlignment="1">
      <alignment horizontal="center" vertical="center" wrapText="1"/>
    </xf>
    <xf numFmtId="0" fontId="82" fillId="25" borderId="159" xfId="0" applyFont="1" applyFill="1" applyBorder="1" applyAlignment="1">
      <alignment horizontal="center" vertical="center"/>
    </xf>
    <xf numFmtId="176" fontId="9" fillId="0" borderId="0" xfId="0" applyNumberFormat="1" applyFont="1"/>
    <xf numFmtId="0" fontId="94" fillId="0" borderId="0" xfId="0" applyFont="1"/>
    <xf numFmtId="0" fontId="26" fillId="0" borderId="0" xfId="0" applyFont="1" applyAlignment="1">
      <alignment vertical="top"/>
    </xf>
    <xf numFmtId="0" fontId="95" fillId="0" borderId="0" xfId="0" applyFont="1"/>
    <xf numFmtId="0" fontId="93" fillId="4" borderId="0" xfId="0" applyFont="1" applyFill="1" applyAlignment="1">
      <alignment vertical="center"/>
    </xf>
    <xf numFmtId="0" fontId="85" fillId="0" borderId="0" xfId="0" applyFont="1" applyAlignment="1">
      <alignment vertical="top"/>
    </xf>
    <xf numFmtId="0" fontId="85" fillId="0" borderId="0" xfId="0" applyFont="1"/>
    <xf numFmtId="0" fontId="82" fillId="15" borderId="49" xfId="0" applyFont="1" applyFill="1" applyBorder="1" applyAlignment="1" applyProtection="1">
      <alignment horizontal="center" vertical="center"/>
      <protection locked="0"/>
    </xf>
    <xf numFmtId="0" fontId="26" fillId="0" borderId="17" xfId="0" applyFont="1" applyBorder="1"/>
    <xf numFmtId="0" fontId="0" fillId="29" borderId="0" xfId="0" applyFill="1"/>
    <xf numFmtId="0" fontId="73" fillId="0" borderId="0" xfId="0" applyFont="1" applyAlignment="1">
      <alignment vertical="center"/>
    </xf>
    <xf numFmtId="1" fontId="78" fillId="25" borderId="186" xfId="3" applyNumberFormat="1" applyFont="1" applyFill="1" applyBorder="1" applyAlignment="1">
      <alignment horizontal="center" vertical="center" wrapText="1"/>
    </xf>
    <xf numFmtId="1" fontId="78" fillId="25" borderId="187" xfId="3" applyNumberFormat="1" applyFont="1" applyFill="1" applyBorder="1" applyAlignment="1">
      <alignment horizontal="center" vertical="center" wrapText="1"/>
    </xf>
    <xf numFmtId="1" fontId="78" fillId="25" borderId="188" xfId="3" applyNumberFormat="1" applyFont="1" applyFill="1" applyBorder="1" applyAlignment="1">
      <alignment horizontal="center" vertical="center" wrapText="1"/>
    </xf>
    <xf numFmtId="0" fontId="79" fillId="22" borderId="107" xfId="4" applyNumberFormat="1" applyFont="1" applyFill="1" applyBorder="1" applyAlignment="1" applyProtection="1">
      <alignment horizontal="center" vertical="center"/>
      <protection locked="0"/>
    </xf>
    <xf numFmtId="1" fontId="26" fillId="4" borderId="107" xfId="3" applyNumberFormat="1" applyFont="1" applyFill="1" applyBorder="1" applyAlignment="1" applyProtection="1">
      <alignment horizontal="center" vertical="top" wrapText="1"/>
      <protection locked="0"/>
    </xf>
    <xf numFmtId="166" fontId="26" fillId="0" borderId="107" xfId="17" applyNumberFormat="1" applyFont="1" applyFill="1" applyBorder="1" applyAlignment="1" applyProtection="1">
      <alignment horizontal="center" vertical="top" wrapText="1"/>
      <protection locked="0"/>
    </xf>
    <xf numFmtId="1" fontId="26" fillId="4" borderId="144" xfId="3" applyNumberFormat="1" applyFont="1" applyFill="1" applyBorder="1" applyAlignment="1" applyProtection="1">
      <alignment horizontal="center" vertical="top" wrapText="1"/>
      <protection locked="0"/>
    </xf>
    <xf numFmtId="166" fontId="26" fillId="0" borderId="185" xfId="17" applyNumberFormat="1" applyFont="1" applyFill="1" applyBorder="1" applyAlignment="1" applyProtection="1">
      <alignment horizontal="center" vertical="top" wrapText="1"/>
      <protection locked="0"/>
    </xf>
    <xf numFmtId="1" fontId="82" fillId="25" borderId="187" xfId="3" applyNumberFormat="1" applyFont="1" applyFill="1" applyBorder="1" applyAlignment="1">
      <alignment horizontal="center" vertical="center" wrapText="1"/>
    </xf>
    <xf numFmtId="1" fontId="26" fillId="4" borderId="191" xfId="3" applyNumberFormat="1" applyFont="1" applyFill="1" applyBorder="1" applyAlignment="1" applyProtection="1">
      <alignment horizontal="center" vertical="top" wrapText="1"/>
      <protection locked="0"/>
    </xf>
    <xf numFmtId="0" fontId="79" fillId="22" borderId="191" xfId="4" applyNumberFormat="1" applyFont="1" applyFill="1" applyBorder="1" applyAlignment="1" applyProtection="1">
      <alignment horizontal="center" vertical="center"/>
      <protection locked="0"/>
    </xf>
    <xf numFmtId="166" fontId="26" fillId="0" borderId="191" xfId="17" applyNumberFormat="1" applyFont="1" applyFill="1" applyBorder="1" applyAlignment="1" applyProtection="1">
      <alignment horizontal="center" vertical="top" wrapText="1"/>
      <protection locked="0"/>
    </xf>
    <xf numFmtId="0" fontId="79" fillId="22" borderId="144" xfId="4" applyNumberFormat="1" applyFont="1" applyFill="1" applyBorder="1" applyAlignment="1" applyProtection="1">
      <alignment horizontal="center" vertical="top" wrapText="1"/>
      <protection locked="0"/>
    </xf>
    <xf numFmtId="0" fontId="30" fillId="4" borderId="0" xfId="0" applyFont="1" applyFill="1"/>
    <xf numFmtId="0" fontId="21" fillId="0" borderId="0" xfId="0" applyFont="1" applyAlignment="1">
      <alignment horizontal="right"/>
    </xf>
    <xf numFmtId="1" fontId="101" fillId="25" borderId="144" xfId="3" applyNumberFormat="1" applyFont="1" applyFill="1" applyBorder="1" applyAlignment="1">
      <alignment horizontal="center" vertical="top" wrapText="1"/>
    </xf>
    <xf numFmtId="1" fontId="101" fillId="25" borderId="107" xfId="3" applyNumberFormat="1" applyFont="1" applyFill="1" applyBorder="1" applyAlignment="1">
      <alignment horizontal="center" vertical="top" wrapText="1"/>
    </xf>
    <xf numFmtId="1" fontId="101" fillId="25" borderId="191" xfId="3" applyNumberFormat="1" applyFont="1" applyFill="1" applyBorder="1" applyAlignment="1">
      <alignment horizontal="center" vertical="top" wrapText="1"/>
    </xf>
    <xf numFmtId="166" fontId="101" fillId="25" borderId="189" xfId="17" applyNumberFormat="1" applyFont="1" applyFill="1" applyBorder="1" applyAlignment="1" applyProtection="1">
      <alignment horizontal="right" vertical="top" wrapText="1"/>
    </xf>
    <xf numFmtId="166" fontId="101" fillId="25" borderId="190" xfId="17" applyNumberFormat="1" applyFont="1" applyFill="1" applyBorder="1" applyAlignment="1" applyProtection="1">
      <alignment horizontal="right" vertical="top" wrapText="1"/>
    </xf>
    <xf numFmtId="166" fontId="101" fillId="25" borderId="192" xfId="17" applyNumberFormat="1" applyFont="1" applyFill="1" applyBorder="1" applyAlignment="1" applyProtection="1">
      <alignment horizontal="right" vertical="top" wrapText="1"/>
    </xf>
    <xf numFmtId="0" fontId="21" fillId="0" borderId="12" xfId="0" applyFont="1" applyBorder="1"/>
    <xf numFmtId="0" fontId="79" fillId="0" borderId="0" xfId="0" applyFont="1" applyAlignment="1">
      <alignment vertical="top" wrapText="1"/>
    </xf>
    <xf numFmtId="0" fontId="79" fillId="0" borderId="0" xfId="0" applyFont="1" applyAlignment="1">
      <alignment horizontal="center" vertical="center"/>
    </xf>
    <xf numFmtId="0" fontId="79" fillId="0" borderId="0" xfId="0" applyFont="1" applyAlignment="1" applyProtection="1">
      <alignment vertical="center"/>
      <protection locked="0"/>
    </xf>
    <xf numFmtId="10" fontId="26" fillId="0" borderId="0" xfId="2" applyNumberFormat="1" applyFont="1" applyFill="1" applyProtection="1"/>
    <xf numFmtId="0" fontId="26" fillId="0" borderId="0" xfId="0" applyFont="1" applyProtection="1">
      <protection locked="0"/>
    </xf>
    <xf numFmtId="0" fontId="78" fillId="0" borderId="0" xfId="0" applyFont="1" applyAlignment="1">
      <alignment horizontal="left" vertical="center"/>
    </xf>
    <xf numFmtId="0" fontId="102" fillId="0" borderId="54" xfId="0" applyFont="1" applyBorder="1" applyAlignment="1">
      <alignment horizontal="left" vertical="center"/>
    </xf>
    <xf numFmtId="10" fontId="82" fillId="0" borderId="46" xfId="5" applyNumberFormat="1" applyFont="1" applyFill="1" applyBorder="1" applyAlignment="1" applyProtection="1">
      <alignment horizontal="right" vertical="center"/>
      <protection locked="0"/>
    </xf>
    <xf numFmtId="164" fontId="26" fillId="0" borderId="43" xfId="5" applyFont="1" applyFill="1" applyBorder="1" applyAlignment="1" applyProtection="1">
      <alignment horizontal="left" vertical="center"/>
    </xf>
    <xf numFmtId="164" fontId="26" fillId="0" borderId="0" xfId="5" applyFont="1" applyFill="1" applyBorder="1" applyAlignment="1" applyProtection="1"/>
    <xf numFmtId="164" fontId="26" fillId="0" borderId="0" xfId="5" applyFont="1" applyFill="1" applyBorder="1" applyProtection="1"/>
    <xf numFmtId="164" fontId="26" fillId="0" borderId="40" xfId="5" applyFont="1" applyFill="1" applyBorder="1" applyProtection="1"/>
    <xf numFmtId="164" fontId="26" fillId="0" borderId="40" xfId="5" applyFont="1" applyFill="1" applyBorder="1" applyAlignment="1" applyProtection="1">
      <alignment horizontal="center" vertical="center"/>
    </xf>
    <xf numFmtId="164" fontId="26" fillId="0" borderId="0" xfId="5" applyFont="1" applyFill="1" applyBorder="1" applyAlignment="1" applyProtection="1">
      <alignment horizontal="left" vertical="center"/>
    </xf>
    <xf numFmtId="164" fontId="26" fillId="0" borderId="40" xfId="5" applyFont="1" applyFill="1" applyBorder="1" applyAlignment="1" applyProtection="1">
      <alignment horizontal="left" vertical="center"/>
    </xf>
    <xf numFmtId="164" fontId="26" fillId="0" borderId="46" xfId="5" applyFont="1" applyFill="1" applyBorder="1" applyAlignment="1" applyProtection="1">
      <alignment horizontal="left" vertical="center"/>
    </xf>
    <xf numFmtId="168" fontId="26" fillId="0" borderId="43" xfId="5" applyNumberFormat="1" applyFont="1" applyFill="1" applyBorder="1" applyAlignment="1" applyProtection="1">
      <alignment horizontal="left" vertical="center"/>
    </xf>
    <xf numFmtId="0" fontId="102" fillId="0" borderId="58" xfId="0" applyFont="1" applyBorder="1" applyAlignment="1">
      <alignment horizontal="left" vertical="center"/>
    </xf>
    <xf numFmtId="164" fontId="26" fillId="0" borderId="43" xfId="5" applyFont="1" applyFill="1" applyBorder="1" applyAlignment="1" applyProtection="1">
      <alignment horizontal="center" vertical="center"/>
    </xf>
    <xf numFmtId="164" fontId="26" fillId="0" borderId="0" xfId="5" applyFont="1" applyFill="1" applyBorder="1" applyAlignment="1" applyProtection="1">
      <alignment horizontal="center" vertical="center"/>
    </xf>
    <xf numFmtId="10" fontId="82" fillId="0" borderId="47" xfId="5" applyNumberFormat="1" applyFont="1" applyFill="1" applyBorder="1" applyAlignment="1" applyProtection="1">
      <alignment horizontal="right" vertical="center"/>
      <protection locked="0"/>
    </xf>
    <xf numFmtId="164" fontId="26" fillId="0" borderId="41" xfId="5" applyFont="1" applyFill="1" applyBorder="1" applyAlignment="1" applyProtection="1">
      <alignment horizontal="left" vertical="center"/>
    </xf>
    <xf numFmtId="164" fontId="26" fillId="0" borderId="45" xfId="5" applyFont="1" applyFill="1" applyBorder="1" applyProtection="1"/>
    <xf numFmtId="164" fontId="26" fillId="0" borderId="45" xfId="5" applyFont="1" applyFill="1" applyBorder="1" applyAlignment="1" applyProtection="1">
      <alignment horizontal="center" vertical="center"/>
    </xf>
    <xf numFmtId="164" fontId="26" fillId="0" borderId="47" xfId="5" applyFont="1" applyFill="1" applyBorder="1" applyAlignment="1" applyProtection="1">
      <alignment horizontal="left" vertical="center"/>
    </xf>
    <xf numFmtId="10" fontId="82" fillId="0" borderId="40" xfId="5" applyNumberFormat="1" applyFont="1" applyFill="1" applyBorder="1" applyAlignment="1" applyProtection="1">
      <alignment horizontal="right" vertical="center"/>
      <protection locked="0"/>
    </xf>
    <xf numFmtId="168" fontId="79" fillId="0" borderId="98" xfId="5" applyNumberFormat="1" applyFont="1" applyFill="1" applyBorder="1" applyProtection="1"/>
    <xf numFmtId="168" fontId="26" fillId="0" borderId="102" xfId="5" applyNumberFormat="1" applyFont="1" applyFill="1" applyBorder="1" applyProtection="1">
      <protection locked="0"/>
    </xf>
    <xf numFmtId="168" fontId="79" fillId="0" borderId="43" xfId="5" applyNumberFormat="1" applyFont="1" applyFill="1" applyBorder="1" applyProtection="1"/>
    <xf numFmtId="10" fontId="82" fillId="0" borderId="45" xfId="5" applyNumberFormat="1" applyFont="1" applyFill="1" applyBorder="1" applyAlignment="1" applyProtection="1">
      <alignment horizontal="right" vertical="center"/>
      <protection locked="0"/>
    </xf>
    <xf numFmtId="164" fontId="26" fillId="0" borderId="65" xfId="5" applyFont="1" applyFill="1" applyBorder="1" applyAlignment="1" applyProtection="1">
      <alignment horizontal="left" vertical="center"/>
    </xf>
    <xf numFmtId="164" fontId="26" fillId="0" borderId="45" xfId="5" applyFont="1" applyFill="1" applyBorder="1" applyAlignment="1" applyProtection="1">
      <alignment horizontal="left" vertical="center"/>
    </xf>
    <xf numFmtId="168" fontId="79" fillId="0" borderId="44" xfId="5" applyNumberFormat="1" applyFont="1" applyFill="1" applyBorder="1" applyProtection="1"/>
    <xf numFmtId="168" fontId="26" fillId="0" borderId="101" xfId="5" applyNumberFormat="1" applyFont="1" applyFill="1" applyBorder="1" applyProtection="1">
      <protection locked="0"/>
    </xf>
    <xf numFmtId="0" fontId="99" fillId="0" borderId="0" xfId="0" applyFont="1" applyAlignment="1">
      <alignment horizontal="center" vertical="center"/>
    </xf>
    <xf numFmtId="10" fontId="105" fillId="0" borderId="0" xfId="2" applyNumberFormat="1" applyFont="1" applyFill="1" applyBorder="1" applyAlignment="1" applyProtection="1">
      <alignment horizontal="right" vertical="center"/>
    </xf>
    <xf numFmtId="166" fontId="90" fillId="0" borderId="0" xfId="5" applyNumberFormat="1" applyFont="1" applyFill="1" applyBorder="1" applyAlignment="1" applyProtection="1">
      <alignment horizontal="left" vertical="center"/>
    </xf>
    <xf numFmtId="166" fontId="26" fillId="0" borderId="0" xfId="5" applyNumberFormat="1" applyFont="1" applyFill="1" applyBorder="1" applyAlignment="1" applyProtection="1"/>
    <xf numFmtId="166" fontId="26" fillId="0" borderId="0" xfId="5" applyNumberFormat="1" applyFont="1" applyFill="1" applyBorder="1" applyProtection="1"/>
    <xf numFmtId="164" fontId="106" fillId="0" borderId="0" xfId="0" applyNumberFormat="1" applyFont="1"/>
    <xf numFmtId="0" fontId="82" fillId="0" borderId="0" xfId="0" applyFont="1" applyProtection="1">
      <protection locked="0"/>
    </xf>
    <xf numFmtId="0" fontId="78" fillId="0" borderId="0" xfId="0" applyFont="1" applyAlignment="1" applyProtection="1">
      <alignment vertical="center"/>
      <protection locked="0"/>
    </xf>
    <xf numFmtId="0" fontId="102" fillId="0" borderId="0" xfId="0" applyFont="1" applyAlignment="1">
      <alignment horizontal="left" vertical="center"/>
    </xf>
    <xf numFmtId="0" fontId="83" fillId="0" borderId="0" xfId="0" applyFont="1" applyAlignment="1">
      <alignment horizontal="left" vertical="center"/>
    </xf>
    <xf numFmtId="0" fontId="82" fillId="0" borderId="0" xfId="0" applyFont="1"/>
    <xf numFmtId="0" fontId="104" fillId="0" borderId="0" xfId="0" applyFont="1" applyAlignment="1">
      <alignment horizontal="center" vertical="center" wrapText="1"/>
    </xf>
    <xf numFmtId="10" fontId="82" fillId="0" borderId="0" xfId="5" applyNumberFormat="1" applyFont="1" applyFill="1" applyBorder="1" applyAlignment="1" applyProtection="1">
      <alignment horizontal="right" vertical="center"/>
      <protection locked="0"/>
    </xf>
    <xf numFmtId="168" fontId="79" fillId="0" borderId="0" xfId="5" applyNumberFormat="1" applyFont="1" applyFill="1" applyBorder="1" applyProtection="1"/>
    <xf numFmtId="168" fontId="26" fillId="0" borderId="0" xfId="5" applyNumberFormat="1" applyFont="1" applyFill="1" applyBorder="1" applyProtection="1">
      <protection locked="0"/>
    </xf>
    <xf numFmtId="166" fontId="78" fillId="0" borderId="0" xfId="5" applyNumberFormat="1" applyFont="1" applyFill="1" applyBorder="1" applyProtection="1"/>
    <xf numFmtId="10" fontId="78" fillId="0" borderId="0" xfId="2" applyNumberFormat="1" applyFont="1" applyFill="1" applyBorder="1" applyAlignment="1" applyProtection="1">
      <alignment horizontal="center"/>
    </xf>
    <xf numFmtId="166" fontId="102" fillId="0" borderId="0" xfId="5" applyNumberFormat="1" applyFont="1" applyFill="1" applyBorder="1" applyProtection="1"/>
    <xf numFmtId="166" fontId="102" fillId="0" borderId="0" xfId="5" applyNumberFormat="1" applyFont="1" applyFill="1" applyBorder="1" applyProtection="1">
      <protection locked="0"/>
    </xf>
    <xf numFmtId="0" fontId="107" fillId="0" borderId="0" xfId="0" applyFont="1" applyAlignment="1">
      <alignment vertical="center"/>
    </xf>
    <xf numFmtId="0" fontId="97" fillId="0" borderId="0" xfId="0" applyFont="1" applyAlignment="1">
      <alignment vertical="center"/>
    </xf>
    <xf numFmtId="0" fontId="97" fillId="0" borderId="0" xfId="0" applyFont="1" applyAlignment="1">
      <alignment horizontal="left" vertical="center"/>
    </xf>
    <xf numFmtId="10" fontId="97" fillId="0" borderId="0" xfId="2" applyNumberFormat="1" applyFont="1" applyFill="1" applyBorder="1" applyAlignment="1" applyProtection="1">
      <alignment horizontal="center" vertical="center"/>
    </xf>
    <xf numFmtId="0" fontId="97" fillId="0" borderId="0" xfId="0" applyFont="1" applyAlignment="1">
      <alignment horizontal="center" vertical="center"/>
    </xf>
    <xf numFmtId="166" fontId="97" fillId="0" borderId="0" xfId="5" applyNumberFormat="1" applyFont="1" applyFill="1" applyBorder="1" applyAlignment="1" applyProtection="1">
      <alignment vertical="center"/>
    </xf>
    <xf numFmtId="166" fontId="97" fillId="0" borderId="0" xfId="5" applyNumberFormat="1" applyFont="1" applyFill="1" applyBorder="1" applyAlignment="1" applyProtection="1">
      <alignment vertical="center"/>
      <protection locked="0"/>
    </xf>
    <xf numFmtId="164" fontId="106" fillId="0" borderId="39" xfId="0" applyNumberFormat="1" applyFont="1" applyBorder="1"/>
    <xf numFmtId="0" fontId="104" fillId="0" borderId="0" xfId="0" applyFont="1" applyAlignment="1">
      <alignment vertical="center" wrapText="1"/>
    </xf>
    <xf numFmtId="0" fontId="104" fillId="0" borderId="43" xfId="0" applyFont="1" applyBorder="1" applyAlignment="1">
      <alignment vertical="center" wrapText="1"/>
    </xf>
    <xf numFmtId="0" fontId="102" fillId="0" borderId="143" xfId="0" applyFont="1" applyBorder="1" applyAlignment="1">
      <alignment horizontal="left" vertical="center"/>
    </xf>
    <xf numFmtId="0" fontId="104" fillId="0" borderId="44" xfId="0" applyFont="1" applyBorder="1" applyAlignment="1">
      <alignment vertical="center" wrapText="1"/>
    </xf>
    <xf numFmtId="0" fontId="78" fillId="25" borderId="43" xfId="0" applyFont="1" applyFill="1" applyBorder="1" applyAlignment="1">
      <alignment horizontal="center" vertical="center" wrapText="1"/>
    </xf>
    <xf numFmtId="10" fontId="82" fillId="22" borderId="46" xfId="5" applyNumberFormat="1" applyFont="1" applyFill="1" applyBorder="1" applyAlignment="1" applyProtection="1">
      <alignment horizontal="right" vertical="center"/>
      <protection locked="0"/>
    </xf>
    <xf numFmtId="0" fontId="0" fillId="0" borderId="34" xfId="0" applyBorder="1" applyAlignment="1">
      <alignment vertical="top"/>
    </xf>
    <xf numFmtId="0" fontId="24" fillId="0" borderId="0" xfId="0" applyFont="1"/>
    <xf numFmtId="0" fontId="79" fillId="0" borderId="0" xfId="0" applyFont="1" applyAlignment="1">
      <alignment vertical="center" wrapText="1"/>
    </xf>
    <xf numFmtId="0" fontId="24" fillId="0" borderId="0" xfId="0" applyFont="1" applyAlignment="1">
      <alignment vertical="top"/>
    </xf>
    <xf numFmtId="0" fontId="79" fillId="0" borderId="0" xfId="0" applyFont="1" applyAlignment="1">
      <alignment vertical="top"/>
    </xf>
    <xf numFmtId="0" fontId="79" fillId="0" borderId="199" xfId="0" applyFont="1" applyBorder="1" applyAlignment="1">
      <alignment vertical="center" wrapText="1"/>
    </xf>
    <xf numFmtId="0" fontId="79" fillId="0" borderId="200" xfId="0" applyFont="1" applyBorder="1" applyAlignment="1">
      <alignment vertical="center" wrapText="1"/>
    </xf>
    <xf numFmtId="0" fontId="103" fillId="0" borderId="0" xfId="0" applyFont="1" applyAlignment="1">
      <alignment vertical="center"/>
    </xf>
    <xf numFmtId="0" fontId="78" fillId="25" borderId="217" xfId="0" applyFont="1" applyFill="1" applyBorder="1" applyAlignment="1">
      <alignment horizontal="center" vertical="center" wrapText="1"/>
    </xf>
    <xf numFmtId="0" fontId="78" fillId="25" borderId="220" xfId="0" applyFont="1" applyFill="1" applyBorder="1" applyAlignment="1">
      <alignment horizontal="center" vertical="center" wrapText="1"/>
    </xf>
    <xf numFmtId="10" fontId="82" fillId="22" borderId="40" xfId="5" applyNumberFormat="1" applyFont="1" applyFill="1" applyBorder="1" applyAlignment="1" applyProtection="1">
      <alignment horizontal="right" vertical="center"/>
      <protection locked="0"/>
    </xf>
    <xf numFmtId="0" fontId="43" fillId="0" borderId="124" xfId="0" applyFont="1" applyBorder="1" applyAlignment="1">
      <alignment vertical="center"/>
    </xf>
    <xf numFmtId="0" fontId="43" fillId="0" borderId="230" xfId="0" applyFont="1" applyBorder="1" applyAlignment="1">
      <alignment vertical="center"/>
    </xf>
    <xf numFmtId="0" fontId="43" fillId="0" borderId="59" xfId="0" applyFont="1" applyBorder="1" applyAlignment="1">
      <alignment horizontal="left" vertical="top" wrapText="1"/>
    </xf>
    <xf numFmtId="0" fontId="43" fillId="0" borderId="136" xfId="0" applyFont="1" applyBorder="1" applyAlignment="1">
      <alignment horizontal="left" vertical="top" wrapText="1"/>
    </xf>
    <xf numFmtId="0" fontId="102" fillId="0" borderId="231" xfId="0" applyFont="1" applyBorder="1" applyAlignment="1">
      <alignment horizontal="left" vertical="center"/>
    </xf>
    <xf numFmtId="0" fontId="108" fillId="0" borderId="229" xfId="0" applyFont="1" applyBorder="1" applyAlignment="1">
      <alignment horizontal="left" vertical="center"/>
    </xf>
    <xf numFmtId="164" fontId="26" fillId="0" borderId="67" xfId="5" applyFont="1" applyFill="1" applyBorder="1" applyAlignment="1" applyProtection="1">
      <alignment horizontal="left" vertical="center"/>
    </xf>
    <xf numFmtId="0" fontId="104" fillId="0" borderId="232" xfId="0" applyFont="1" applyBorder="1" applyAlignment="1">
      <alignment horizontal="center" vertical="center" wrapText="1"/>
    </xf>
    <xf numFmtId="10" fontId="82" fillId="22" borderId="233" xfId="5" applyNumberFormat="1" applyFont="1" applyFill="1" applyBorder="1" applyAlignment="1" applyProtection="1">
      <alignment horizontal="right" vertical="center"/>
      <protection locked="0"/>
    </xf>
    <xf numFmtId="0" fontId="26" fillId="0" borderId="212" xfId="5" applyNumberFormat="1" applyFont="1" applyFill="1" applyBorder="1" applyAlignment="1" applyProtection="1">
      <alignment horizontal="right" vertical="center"/>
      <protection locked="0"/>
    </xf>
    <xf numFmtId="0" fontId="108" fillId="0" borderId="234" xfId="0" applyFont="1" applyBorder="1" applyAlignment="1">
      <alignment horizontal="left" vertical="center"/>
    </xf>
    <xf numFmtId="164" fontId="26" fillId="0" borderId="217" xfId="5" applyFont="1" applyFill="1" applyBorder="1" applyAlignment="1" applyProtection="1">
      <alignment horizontal="left" vertical="center"/>
    </xf>
    <xf numFmtId="164" fontId="26" fillId="0" borderId="220" xfId="5" applyFont="1" applyFill="1" applyBorder="1" applyAlignment="1" applyProtection="1">
      <alignment horizontal="center" vertical="center"/>
    </xf>
    <xf numFmtId="10" fontId="82" fillId="22" borderId="221" xfId="5" applyNumberFormat="1" applyFont="1" applyFill="1" applyBorder="1" applyAlignment="1" applyProtection="1">
      <alignment horizontal="right" vertical="center"/>
      <protection locked="0"/>
    </xf>
    <xf numFmtId="164" fontId="26" fillId="0" borderId="220" xfId="5" applyFont="1" applyFill="1" applyBorder="1" applyProtection="1"/>
    <xf numFmtId="164" fontId="26" fillId="0" borderId="221" xfId="5" applyFont="1" applyFill="1" applyBorder="1" applyAlignment="1" applyProtection="1">
      <alignment horizontal="left" vertical="center"/>
    </xf>
    <xf numFmtId="168" fontId="26" fillId="0" borderId="217" xfId="5" applyNumberFormat="1" applyFont="1" applyFill="1" applyBorder="1" applyAlignment="1" applyProtection="1">
      <alignment horizontal="left" vertical="center"/>
    </xf>
    <xf numFmtId="0" fontId="26" fillId="0" borderId="218" xfId="5" applyNumberFormat="1" applyFont="1" applyFill="1" applyBorder="1" applyAlignment="1" applyProtection="1">
      <alignment horizontal="right" vertical="center"/>
      <protection locked="0"/>
    </xf>
    <xf numFmtId="0" fontId="43" fillId="0" borderId="42" xfId="0" applyFont="1" applyBorder="1" applyAlignment="1">
      <alignment vertical="center"/>
    </xf>
    <xf numFmtId="0" fontId="43" fillId="0" borderId="42" xfId="0" applyFont="1" applyBorder="1" applyAlignment="1">
      <alignment vertical="top" wrapText="1"/>
    </xf>
    <xf numFmtId="0" fontId="43" fillId="0" borderId="59" xfId="0" applyFont="1" applyBorder="1" applyAlignment="1">
      <alignment vertical="top" wrapText="1"/>
    </xf>
    <xf numFmtId="0" fontId="43" fillId="0" borderId="136" xfId="0" applyFont="1" applyBorder="1" applyAlignment="1">
      <alignment vertical="top" wrapText="1"/>
    </xf>
    <xf numFmtId="10" fontId="82" fillId="22" borderId="220" xfId="5" applyNumberFormat="1" applyFont="1" applyFill="1" applyBorder="1" applyAlignment="1" applyProtection="1">
      <alignment horizontal="right" vertical="center"/>
      <protection locked="0"/>
    </xf>
    <xf numFmtId="0" fontId="26" fillId="0" borderId="237" xfId="5" applyNumberFormat="1" applyFont="1" applyFill="1" applyBorder="1" applyAlignment="1" applyProtection="1">
      <alignment horizontal="right" vertical="center"/>
      <protection locked="0"/>
    </xf>
    <xf numFmtId="0" fontId="26" fillId="0" borderId="238" xfId="5" applyNumberFormat="1" applyFont="1" applyFill="1" applyBorder="1" applyAlignment="1" applyProtection="1">
      <alignment horizontal="right" vertical="center"/>
      <protection locked="0"/>
    </xf>
    <xf numFmtId="168" fontId="26" fillId="0" borderId="237" xfId="5" applyNumberFormat="1" applyFont="1" applyFill="1" applyBorder="1" applyProtection="1">
      <protection locked="0"/>
    </xf>
    <xf numFmtId="0" fontId="78" fillId="25" borderId="40" xfId="0" applyFont="1" applyFill="1" applyBorder="1" applyAlignment="1">
      <alignment horizontal="center" vertical="center" wrapText="1"/>
    </xf>
    <xf numFmtId="164" fontId="26" fillId="0" borderId="205" xfId="5" applyFont="1" applyFill="1" applyBorder="1" applyAlignment="1" applyProtection="1">
      <alignment horizontal="left" vertical="center"/>
    </xf>
    <xf numFmtId="0" fontId="35" fillId="0" borderId="66" xfId="0" applyFont="1" applyBorder="1" applyAlignment="1">
      <alignment horizontal="left" vertical="center"/>
    </xf>
    <xf numFmtId="0" fontId="35" fillId="0" borderId="75" xfId="0" applyFont="1" applyBorder="1" applyAlignment="1">
      <alignment horizontal="left" vertical="center"/>
    </xf>
    <xf numFmtId="0" fontId="43" fillId="0" borderId="232" xfId="0" applyFont="1" applyBorder="1" applyAlignment="1">
      <alignment horizontal="center" vertical="center" wrapText="1"/>
    </xf>
    <xf numFmtId="0" fontId="43" fillId="0" borderId="245" xfId="0" applyFont="1" applyBorder="1" applyAlignment="1">
      <alignment horizontal="left" vertical="top" wrapText="1"/>
    </xf>
    <xf numFmtId="0" fontId="14" fillId="25" borderId="73" xfId="0" applyFont="1" applyFill="1" applyBorder="1"/>
    <xf numFmtId="0" fontId="14" fillId="25" borderId="66" xfId="0" applyFont="1" applyFill="1" applyBorder="1"/>
    <xf numFmtId="0" fontId="14" fillId="25" borderId="75" xfId="0" applyFont="1" applyFill="1" applyBorder="1"/>
    <xf numFmtId="0" fontId="43" fillId="0" borderId="245" xfId="0" applyFont="1" applyBorder="1" applyAlignment="1">
      <alignment vertical="top" wrapText="1"/>
    </xf>
    <xf numFmtId="0" fontId="48" fillId="0" borderId="232" xfId="0" applyFont="1" applyBorder="1" applyAlignment="1">
      <alignment horizontal="center" vertical="center" wrapText="1"/>
    </xf>
    <xf numFmtId="0" fontId="25" fillId="0" borderId="231" xfId="0" applyFont="1" applyBorder="1" applyAlignment="1">
      <alignment horizontal="left" vertical="center"/>
    </xf>
    <xf numFmtId="10" fontId="31" fillId="22" borderId="46" xfId="5" applyNumberFormat="1" applyFont="1" applyFill="1" applyBorder="1" applyAlignment="1" applyProtection="1">
      <alignment horizontal="right" vertical="center"/>
      <protection locked="0"/>
    </xf>
    <xf numFmtId="10" fontId="31" fillId="22" borderId="47" xfId="5" applyNumberFormat="1" applyFont="1" applyFill="1" applyBorder="1" applyAlignment="1" applyProtection="1">
      <alignment horizontal="right" vertical="center"/>
      <protection locked="0"/>
    </xf>
    <xf numFmtId="0" fontId="18" fillId="0" borderId="33" xfId="0" applyFont="1" applyBorder="1" applyAlignment="1">
      <alignment horizontal="left" vertical="center"/>
    </xf>
    <xf numFmtId="0" fontId="18" fillId="33" borderId="247" xfId="0" applyFont="1" applyFill="1" applyBorder="1" applyAlignment="1">
      <alignment horizontal="left" vertical="center"/>
    </xf>
    <xf numFmtId="0" fontId="18" fillId="33" borderId="248" xfId="0" applyFont="1" applyFill="1" applyBorder="1" applyAlignment="1">
      <alignment horizontal="left" vertical="center"/>
    </xf>
    <xf numFmtId="0" fontId="76" fillId="33" borderId="246" xfId="0" applyFont="1" applyFill="1" applyBorder="1" applyAlignment="1">
      <alignment horizontal="center" vertical="center"/>
    </xf>
    <xf numFmtId="0" fontId="109" fillId="33" borderId="0" xfId="0" applyFont="1" applyFill="1" applyAlignment="1">
      <alignment horizontal="left" vertical="center"/>
    </xf>
    <xf numFmtId="0" fontId="76" fillId="33" borderId="0" xfId="0" applyFont="1" applyFill="1" applyAlignment="1">
      <alignment horizontal="center" vertical="center"/>
    </xf>
    <xf numFmtId="0" fontId="42" fillId="12" borderId="0" xfId="0" applyFont="1" applyFill="1" applyAlignment="1">
      <alignment vertical="center" wrapText="1"/>
    </xf>
    <xf numFmtId="0" fontId="42" fillId="10" borderId="0" xfId="0" applyFont="1" applyFill="1" applyAlignment="1">
      <alignment vertical="center" wrapText="1"/>
    </xf>
    <xf numFmtId="0" fontId="42" fillId="7" borderId="0" xfId="0" applyFont="1" applyFill="1" applyAlignment="1">
      <alignment vertical="center" wrapText="1"/>
    </xf>
    <xf numFmtId="0" fontId="111" fillId="4" borderId="0" xfId="0" applyFont="1" applyFill="1" applyAlignment="1">
      <alignment vertical="top"/>
    </xf>
    <xf numFmtId="0" fontId="111" fillId="4" borderId="0" xfId="0" applyFont="1" applyFill="1" applyAlignment="1" applyProtection="1">
      <alignment horizontal="center" vertical="top"/>
      <protection locked="0"/>
    </xf>
    <xf numFmtId="0" fontId="111" fillId="4" borderId="66" xfId="0" applyFont="1" applyFill="1" applyBorder="1" applyAlignment="1" applyProtection="1">
      <alignment horizontal="center" vertical="center"/>
      <protection locked="0"/>
    </xf>
    <xf numFmtId="0" fontId="111" fillId="0" borderId="0" xfId="0" applyFont="1" applyAlignment="1" applyProtection="1">
      <alignment horizontal="center" vertical="top"/>
      <protection locked="0"/>
    </xf>
    <xf numFmtId="0" fontId="111" fillId="29" borderId="120" xfId="0" applyFont="1" applyFill="1" applyBorder="1" applyAlignment="1">
      <alignment vertical="top"/>
    </xf>
    <xf numFmtId="0" fontId="111" fillId="29" borderId="91" xfId="0" applyFont="1" applyFill="1" applyBorder="1" applyAlignment="1" applyProtection="1">
      <alignment horizontal="center" vertical="top"/>
      <protection locked="0"/>
    </xf>
    <xf numFmtId="0" fontId="111" fillId="29" borderId="106" xfId="0" applyFont="1" applyFill="1" applyBorder="1" applyAlignment="1" applyProtection="1">
      <alignment horizontal="center" vertical="center"/>
      <protection locked="0"/>
    </xf>
    <xf numFmtId="0" fontId="111" fillId="29" borderId="77" xfId="0" applyFont="1" applyFill="1" applyBorder="1" applyAlignment="1" applyProtection="1">
      <alignment horizontal="center"/>
      <protection locked="0"/>
    </xf>
    <xf numFmtId="0" fontId="111" fillId="0" borderId="0" xfId="0" applyFont="1" applyAlignment="1">
      <alignment horizontal="left" vertical="top"/>
    </xf>
    <xf numFmtId="0" fontId="111" fillId="0" borderId="61" xfId="0" applyFont="1" applyBorder="1" applyAlignment="1" applyProtection="1">
      <alignment horizontal="center"/>
      <protection locked="0"/>
    </xf>
    <xf numFmtId="0" fontId="111" fillId="29" borderId="0" xfId="0" applyFont="1" applyFill="1" applyAlignment="1">
      <alignment horizontal="left" vertical="top"/>
    </xf>
    <xf numFmtId="0" fontId="111" fillId="29" borderId="0" xfId="0" applyFont="1" applyFill="1" applyAlignment="1" applyProtection="1">
      <alignment horizontal="center" vertical="top"/>
      <protection locked="0"/>
    </xf>
    <xf numFmtId="0" fontId="111" fillId="29" borderId="66" xfId="0" applyFont="1" applyFill="1" applyBorder="1" applyAlignment="1" applyProtection="1">
      <alignment horizontal="center" vertical="center"/>
      <protection locked="0"/>
    </xf>
    <xf numFmtId="0" fontId="111" fillId="29" borderId="61" xfId="0" applyFont="1" applyFill="1" applyBorder="1" applyAlignment="1" applyProtection="1">
      <alignment horizontal="center"/>
      <protection locked="0"/>
    </xf>
    <xf numFmtId="0" fontId="112" fillId="4" borderId="50" xfId="0" applyFont="1" applyFill="1" applyBorder="1" applyAlignment="1" applyProtection="1">
      <alignment horizontal="center" vertical="top" wrapText="1"/>
      <protection locked="0"/>
    </xf>
    <xf numFmtId="0" fontId="112" fillId="4" borderId="50" xfId="0" applyFont="1" applyFill="1" applyBorder="1" applyAlignment="1" applyProtection="1">
      <alignment horizontal="center" vertical="top"/>
      <protection locked="0"/>
    </xf>
    <xf numFmtId="0" fontId="112" fillId="4" borderId="105" xfId="0" applyFont="1" applyFill="1" applyBorder="1" applyAlignment="1" applyProtection="1">
      <alignment horizontal="center" vertical="center"/>
      <protection locked="0"/>
    </xf>
    <xf numFmtId="0" fontId="112" fillId="0" borderId="104" xfId="0" applyFont="1" applyBorder="1" applyAlignment="1" applyProtection="1">
      <alignment horizontal="center"/>
      <protection locked="0"/>
    </xf>
    <xf numFmtId="0" fontId="112" fillId="30" borderId="0" xfId="0" applyFont="1" applyFill="1" applyAlignment="1" applyProtection="1">
      <alignment horizontal="center" vertical="top" wrapText="1"/>
      <protection locked="0"/>
    </xf>
    <xf numFmtId="0" fontId="112" fillId="30" borderId="0" xfId="0" applyFont="1" applyFill="1" applyAlignment="1" applyProtection="1">
      <alignment horizontal="center" vertical="top"/>
      <protection locked="0"/>
    </xf>
    <xf numFmtId="0" fontId="112" fillId="30" borderId="66" xfId="0" applyFont="1" applyFill="1" applyBorder="1" applyAlignment="1" applyProtection="1">
      <alignment horizontal="center" vertical="center"/>
      <protection locked="0"/>
    </xf>
    <xf numFmtId="0" fontId="112" fillId="30" borderId="66" xfId="0" applyFont="1" applyFill="1" applyBorder="1" applyAlignment="1" applyProtection="1">
      <alignment horizontal="center"/>
      <protection locked="0"/>
    </xf>
    <xf numFmtId="0" fontId="112" fillId="4" borderId="0" xfId="0" applyFont="1" applyFill="1" applyAlignment="1">
      <alignment vertical="top"/>
    </xf>
    <xf numFmtId="0" fontId="112" fillId="4" borderId="0" xfId="0" applyFont="1" applyFill="1" applyAlignment="1" applyProtection="1">
      <alignment horizontal="center" vertical="top" wrapText="1"/>
      <protection locked="0"/>
    </xf>
    <xf numFmtId="0" fontId="112" fillId="4" borderId="0" xfId="0" applyFont="1" applyFill="1" applyAlignment="1" applyProtection="1">
      <alignment horizontal="center" vertical="top"/>
      <protection locked="0"/>
    </xf>
    <xf numFmtId="0" fontId="112" fillId="4" borderId="66" xfId="0" applyFont="1" applyFill="1" applyBorder="1" applyAlignment="1" applyProtection="1">
      <alignment horizontal="center" vertical="center"/>
      <protection locked="0"/>
    </xf>
    <xf numFmtId="0" fontId="112" fillId="0" borderId="66" xfId="0" applyFont="1" applyBorder="1" applyAlignment="1" applyProtection="1">
      <alignment horizontal="center"/>
      <protection locked="0"/>
    </xf>
    <xf numFmtId="0" fontId="112" fillId="0" borderId="0" xfId="0" applyFont="1" applyAlignment="1" applyProtection="1">
      <alignment horizontal="center" vertical="top" wrapText="1"/>
      <protection locked="0"/>
    </xf>
    <xf numFmtId="0" fontId="112" fillId="0" borderId="0" xfId="0" applyFont="1" applyAlignment="1" applyProtection="1">
      <alignment horizontal="center" vertical="top"/>
      <protection locked="0"/>
    </xf>
    <xf numFmtId="0" fontId="112" fillId="0" borderId="66" xfId="0" applyFont="1" applyBorder="1" applyAlignment="1" applyProtection="1">
      <alignment horizontal="center" vertical="center"/>
      <protection locked="0"/>
    </xf>
    <xf numFmtId="0" fontId="83" fillId="33" borderId="78" xfId="1" applyNumberFormat="1" applyFont="1" applyFill="1" applyBorder="1" applyAlignment="1" applyProtection="1">
      <alignment horizontal="right" vertical="center"/>
    </xf>
    <xf numFmtId="0" fontId="83" fillId="33" borderId="111" xfId="1" applyNumberFormat="1" applyFont="1" applyFill="1" applyBorder="1" applyAlignment="1" applyProtection="1">
      <alignment horizontal="right" vertical="center"/>
    </xf>
    <xf numFmtId="0" fontId="83" fillId="33" borderId="74" xfId="1" applyNumberFormat="1" applyFont="1" applyFill="1" applyBorder="1" applyAlignment="1" applyProtection="1">
      <alignment horizontal="right" vertical="center"/>
    </xf>
    <xf numFmtId="0" fontId="83" fillId="33" borderId="20" xfId="1" applyNumberFormat="1" applyFont="1" applyFill="1" applyBorder="1" applyAlignment="1" applyProtection="1">
      <alignment horizontal="right" vertical="center" wrapText="1"/>
    </xf>
    <xf numFmtId="0" fontId="83" fillId="33" borderId="20" xfId="1" applyNumberFormat="1" applyFont="1" applyFill="1" applyBorder="1" applyAlignment="1" applyProtection="1">
      <alignment horizontal="right" vertical="center"/>
    </xf>
    <xf numFmtId="0" fontId="83" fillId="33" borderId="0" xfId="1" applyNumberFormat="1" applyFont="1" applyFill="1" applyBorder="1" applyAlignment="1" applyProtection="1">
      <alignment horizontal="center" vertical="center" wrapText="1"/>
    </xf>
    <xf numFmtId="0" fontId="83" fillId="33" borderId="76" xfId="1" applyNumberFormat="1" applyFont="1" applyFill="1" applyBorder="1" applyAlignment="1" applyProtection="1">
      <alignment horizontal="right" vertical="center"/>
    </xf>
    <xf numFmtId="0" fontId="0" fillId="0" borderId="27" xfId="0" applyBorder="1"/>
    <xf numFmtId="0" fontId="26" fillId="0" borderId="29" xfId="0" applyFont="1" applyBorder="1"/>
    <xf numFmtId="0" fontId="82" fillId="25" borderId="77" xfId="0" applyFont="1" applyFill="1" applyBorder="1" applyAlignment="1">
      <alignment horizontal="center" vertical="center" wrapText="1"/>
    </xf>
    <xf numFmtId="0" fontId="82" fillId="25" borderId="73" xfId="0" applyFont="1" applyFill="1" applyBorder="1" applyAlignment="1">
      <alignment horizontal="center" vertical="center"/>
    </xf>
    <xf numFmtId="0" fontId="82" fillId="25" borderId="76" xfId="0" applyFont="1" applyFill="1" applyBorder="1" applyAlignment="1">
      <alignment horizontal="center" vertical="center" wrapText="1"/>
    </xf>
    <xf numFmtId="0" fontId="90" fillId="34" borderId="145" xfId="0" applyFont="1" applyFill="1" applyBorder="1" applyAlignment="1">
      <alignment horizontal="left" vertical="center"/>
    </xf>
    <xf numFmtId="0" fontId="83" fillId="34" borderId="69" xfId="0" applyFont="1" applyFill="1" applyBorder="1" applyAlignment="1">
      <alignment horizontal="left" vertical="top"/>
    </xf>
    <xf numFmtId="0" fontId="83" fillId="34" borderId="68" xfId="0" applyFont="1" applyFill="1" applyBorder="1" applyAlignment="1">
      <alignment horizontal="center" vertical="center"/>
    </xf>
    <xf numFmtId="0" fontId="83" fillId="34" borderId="70" xfId="0" applyFont="1" applyFill="1" applyBorder="1" applyAlignment="1">
      <alignment horizontal="center" vertical="center"/>
    </xf>
    <xf numFmtId="0" fontId="112" fillId="4" borderId="50" xfId="0" applyFont="1" applyFill="1" applyBorder="1" applyAlignment="1">
      <alignment horizontal="left" vertical="top"/>
    </xf>
    <xf numFmtId="0" fontId="112" fillId="30" borderId="91" xfId="0" applyFont="1" applyFill="1" applyBorder="1" applyAlignment="1">
      <alignment vertical="top"/>
    </xf>
    <xf numFmtId="0" fontId="112" fillId="0" borderId="0" xfId="0" applyFont="1" applyAlignment="1">
      <alignment horizontal="left" vertical="top"/>
    </xf>
    <xf numFmtId="0" fontId="112" fillId="30" borderId="0" xfId="0" applyFont="1" applyFill="1" applyAlignment="1">
      <alignment horizontal="left" vertical="top"/>
    </xf>
    <xf numFmtId="0" fontId="0" fillId="0" borderId="0" xfId="0" applyAlignment="1">
      <alignment horizontal="center" vertical="top"/>
    </xf>
    <xf numFmtId="175" fontId="78" fillId="25" borderId="85" xfId="1" applyNumberFormat="1" applyFont="1" applyFill="1" applyBorder="1" applyAlignment="1" applyProtection="1">
      <alignment horizontal="center" vertical="center"/>
      <protection locked="0"/>
    </xf>
    <xf numFmtId="175" fontId="78" fillId="15" borderId="85" xfId="1" applyNumberFormat="1" applyFont="1" applyFill="1" applyBorder="1" applyAlignment="1" applyProtection="1">
      <alignment horizontal="center" vertical="center"/>
      <protection locked="0"/>
    </xf>
    <xf numFmtId="0" fontId="83" fillId="34" borderId="60" xfId="0" applyFont="1" applyFill="1" applyBorder="1"/>
    <xf numFmtId="0" fontId="83" fillId="34" borderId="125" xfId="0" applyFont="1" applyFill="1" applyBorder="1"/>
    <xf numFmtId="0" fontId="78" fillId="0" borderId="77" xfId="0" applyFont="1" applyBorder="1" applyAlignment="1" applyProtection="1">
      <alignment horizontal="center"/>
      <protection locked="0"/>
    </xf>
    <xf numFmtId="0" fontId="78" fillId="0" borderId="76" xfId="0" applyFont="1" applyBorder="1" applyAlignment="1" applyProtection="1">
      <alignment horizontal="center"/>
      <protection locked="0"/>
    </xf>
    <xf numFmtId="0" fontId="82" fillId="36" borderId="73" xfId="0" applyFont="1" applyFill="1" applyBorder="1" applyAlignment="1">
      <alignment horizontal="center"/>
    </xf>
    <xf numFmtId="0" fontId="82" fillId="25" borderId="73" xfId="0" applyFont="1" applyFill="1" applyBorder="1" applyAlignment="1">
      <alignment horizontal="center"/>
    </xf>
    <xf numFmtId="0" fontId="82" fillId="25" borderId="108" xfId="0" applyFont="1" applyFill="1" applyBorder="1" applyAlignment="1">
      <alignment horizontal="center"/>
    </xf>
    <xf numFmtId="175" fontId="78" fillId="37" borderId="73" xfId="0" applyNumberFormat="1" applyFont="1" applyFill="1" applyBorder="1" applyAlignment="1" applyProtection="1">
      <alignment horizontal="center"/>
      <protection locked="0"/>
    </xf>
    <xf numFmtId="0" fontId="78" fillId="37" borderId="73" xfId="0" applyFont="1" applyFill="1" applyBorder="1" applyAlignment="1" applyProtection="1">
      <alignment horizontal="center"/>
      <protection locked="0"/>
    </xf>
    <xf numFmtId="0" fontId="78" fillId="15" borderId="73" xfId="0" applyFont="1" applyFill="1" applyBorder="1" applyAlignment="1" applyProtection="1">
      <alignment horizontal="center"/>
      <protection locked="0"/>
    </xf>
    <xf numFmtId="0" fontId="78" fillId="15" borderId="108" xfId="0" applyFont="1" applyFill="1" applyBorder="1" applyAlignment="1" applyProtection="1">
      <alignment horizontal="center"/>
      <protection locked="0"/>
    </xf>
    <xf numFmtId="0" fontId="83" fillId="33" borderId="49" xfId="0" applyFont="1" applyFill="1" applyBorder="1" applyAlignment="1">
      <alignment horizontal="center" wrapText="1"/>
    </xf>
    <xf numFmtId="0" fontId="26" fillId="25" borderId="49" xfId="0" applyFont="1" applyFill="1" applyBorder="1" applyAlignment="1">
      <alignment horizontal="center" vertical="center"/>
    </xf>
    <xf numFmtId="0" fontId="0" fillId="5" borderId="141" xfId="0" applyFill="1" applyBorder="1" applyAlignment="1">
      <alignment vertical="center" wrapText="1"/>
    </xf>
    <xf numFmtId="0" fontId="0" fillId="5" borderId="109" xfId="0" applyFill="1" applyBorder="1" applyAlignment="1">
      <alignment vertical="center" wrapText="1"/>
    </xf>
    <xf numFmtId="0" fontId="0" fillId="5" borderId="146" xfId="0" applyFill="1" applyBorder="1" applyAlignment="1">
      <alignment vertical="center" wrapText="1"/>
    </xf>
    <xf numFmtId="0" fontId="78" fillId="0" borderId="160" xfId="0" applyFont="1" applyBorder="1" applyAlignment="1">
      <alignment horizontal="center" vertical="center"/>
    </xf>
    <xf numFmtId="0" fontId="78" fillId="0" borderId="161" xfId="0" applyFont="1" applyBorder="1" applyAlignment="1">
      <alignment horizontal="center" vertical="center"/>
    </xf>
    <xf numFmtId="0" fontId="79" fillId="27" borderId="164" xfId="0" applyFont="1" applyFill="1" applyBorder="1" applyAlignment="1" applyProtection="1">
      <alignment horizontal="left" vertical="center"/>
      <protection locked="0"/>
    </xf>
    <xf numFmtId="0" fontId="79" fillId="0" borderId="164" xfId="0" applyFont="1" applyBorder="1" applyAlignment="1" applyProtection="1">
      <alignment horizontal="left" vertical="center"/>
      <protection locked="0"/>
    </xf>
    <xf numFmtId="0" fontId="79" fillId="27" borderId="162" xfId="0" applyFont="1" applyFill="1" applyBorder="1" applyAlignment="1" applyProtection="1">
      <alignment horizontal="left" vertical="center"/>
      <protection locked="0"/>
    </xf>
    <xf numFmtId="0" fontId="79" fillId="0" borderId="163" xfId="0" applyFont="1" applyBorder="1" applyAlignment="1" applyProtection="1">
      <alignment horizontal="left" vertical="center"/>
      <protection locked="0"/>
    </xf>
    <xf numFmtId="0" fontId="31" fillId="4" borderId="0" xfId="0" applyFont="1" applyFill="1" applyAlignment="1">
      <alignment horizontal="center" vertical="center" wrapText="1"/>
    </xf>
    <xf numFmtId="0" fontId="78" fillId="0" borderId="160" xfId="0" applyFont="1" applyBorder="1" applyAlignment="1">
      <alignment vertical="center"/>
    </xf>
    <xf numFmtId="0" fontId="78" fillId="0" borderId="161" xfId="0" applyFont="1" applyBorder="1" applyAlignment="1">
      <alignment vertical="center"/>
    </xf>
    <xf numFmtId="0" fontId="113" fillId="0" borderId="0" xfId="0" applyFont="1"/>
    <xf numFmtId="0" fontId="26" fillId="30" borderId="61" xfId="0" applyFont="1" applyFill="1" applyBorder="1" applyAlignment="1">
      <alignment vertical="center" wrapText="1"/>
    </xf>
    <xf numFmtId="0" fontId="26" fillId="30" borderId="104" xfId="0" applyFont="1" applyFill="1" applyBorder="1" applyAlignment="1">
      <alignment vertical="center" wrapText="1"/>
    </xf>
    <xf numFmtId="0" fontId="111" fillId="29" borderId="0" xfId="0" applyFont="1" applyFill="1" applyAlignment="1">
      <alignment vertical="top"/>
    </xf>
    <xf numFmtId="0" fontId="111" fillId="4" borderId="111" xfId="0" applyFont="1" applyFill="1" applyBorder="1" applyAlignment="1">
      <alignment horizontal="left" vertical="top"/>
    </xf>
    <xf numFmtId="0" fontId="111" fillId="4" borderId="0" xfId="0" applyFont="1" applyFill="1" applyAlignment="1" applyProtection="1">
      <alignment horizontal="center" vertical="top" wrapText="1"/>
      <protection locked="0"/>
    </xf>
    <xf numFmtId="0" fontId="111" fillId="29" borderId="111" xfId="0" applyFont="1" applyFill="1" applyBorder="1" applyAlignment="1">
      <alignment vertical="top"/>
    </xf>
    <xf numFmtId="0" fontId="82" fillId="4" borderId="0" xfId="0" applyFont="1" applyFill="1" applyAlignment="1">
      <alignment horizontal="center" vertical="center" wrapText="1"/>
    </xf>
    <xf numFmtId="0" fontId="100" fillId="4" borderId="0" xfId="0" applyFont="1" applyFill="1" applyAlignment="1">
      <alignment horizontal="center" vertical="center"/>
    </xf>
    <xf numFmtId="166" fontId="91" fillId="0" borderId="156" xfId="5" applyNumberFormat="1" applyFont="1" applyBorder="1" applyAlignment="1">
      <alignment horizontal="right" vertical="center"/>
    </xf>
    <xf numFmtId="0" fontId="82" fillId="25" borderId="160" xfId="0" applyFont="1" applyFill="1" applyBorder="1" applyAlignment="1">
      <alignment horizontal="center" vertical="center"/>
    </xf>
    <xf numFmtId="0" fontId="78" fillId="0" borderId="160" xfId="0" applyFont="1" applyBorder="1"/>
    <xf numFmtId="0" fontId="79" fillId="0" borderId="156" xfId="0" applyFont="1" applyBorder="1"/>
    <xf numFmtId="0" fontId="82" fillId="0" borderId="160" xfId="0" applyFont="1" applyBorder="1" applyAlignment="1">
      <alignment vertical="center"/>
    </xf>
    <xf numFmtId="0" fontId="91" fillId="0" borderId="158" xfId="0" applyFont="1" applyBorder="1" applyAlignment="1" applyProtection="1">
      <alignment horizontal="center" vertical="center"/>
      <protection locked="0"/>
    </xf>
    <xf numFmtId="166" fontId="79" fillId="0" borderId="157" xfId="5" applyNumberFormat="1" applyFont="1" applyFill="1" applyBorder="1" applyAlignment="1" applyProtection="1">
      <alignment horizontal="right" vertical="center"/>
      <protection locked="0"/>
    </xf>
    <xf numFmtId="0" fontId="79" fillId="0" borderId="0" xfId="0" applyFont="1" applyAlignment="1">
      <alignment horizontal="left" vertical="center" wrapText="1"/>
    </xf>
    <xf numFmtId="166" fontId="91" fillId="43" borderId="165" xfId="5" applyNumberFormat="1" applyFont="1" applyFill="1" applyBorder="1" applyAlignment="1">
      <alignment horizontal="right" vertical="center"/>
    </xf>
    <xf numFmtId="166" fontId="91" fillId="43" borderId="0" xfId="5" applyNumberFormat="1" applyFont="1" applyFill="1" applyBorder="1" applyAlignment="1">
      <alignment horizontal="right" vertical="center"/>
    </xf>
    <xf numFmtId="166" fontId="91" fillId="43" borderId="166" xfId="5" applyNumberFormat="1" applyFont="1" applyFill="1" applyBorder="1" applyAlignment="1">
      <alignment horizontal="right" vertical="center"/>
    </xf>
    <xf numFmtId="166" fontId="91" fillId="42" borderId="165" xfId="5" applyNumberFormat="1" applyFont="1" applyFill="1" applyBorder="1" applyAlignment="1" applyProtection="1">
      <alignment horizontal="right" vertical="center"/>
    </xf>
    <xf numFmtId="166" fontId="91" fillId="42" borderId="0" xfId="5" applyNumberFormat="1" applyFont="1" applyFill="1" applyBorder="1" applyAlignment="1" applyProtection="1">
      <alignment horizontal="right" vertical="center"/>
    </xf>
    <xf numFmtId="166" fontId="91" fillId="42" borderId="166" xfId="5" applyNumberFormat="1" applyFont="1" applyFill="1" applyBorder="1" applyAlignment="1" applyProtection="1">
      <alignment horizontal="right" vertical="center"/>
    </xf>
    <xf numFmtId="166" fontId="91" fillId="42" borderId="156" xfId="5" applyNumberFormat="1" applyFont="1" applyFill="1" applyBorder="1" applyAlignment="1" applyProtection="1">
      <alignment horizontal="right" vertical="center"/>
    </xf>
    <xf numFmtId="166" fontId="91" fillId="42" borderId="157" xfId="5" applyNumberFormat="1" applyFont="1" applyFill="1" applyBorder="1" applyAlignment="1" applyProtection="1">
      <alignment horizontal="right" vertical="center"/>
    </xf>
    <xf numFmtId="166" fontId="91" fillId="42" borderId="158" xfId="5" applyNumberFormat="1" applyFont="1" applyFill="1" applyBorder="1" applyAlignment="1" applyProtection="1">
      <alignment horizontal="right" vertical="center"/>
    </xf>
    <xf numFmtId="166" fontId="91" fillId="42" borderId="0" xfId="5" applyNumberFormat="1" applyFont="1" applyFill="1" applyBorder="1" applyAlignment="1">
      <alignment horizontal="right" vertical="center"/>
    </xf>
    <xf numFmtId="166" fontId="91" fillId="42" borderId="166" xfId="5" applyNumberFormat="1" applyFont="1" applyFill="1" applyBorder="1" applyAlignment="1">
      <alignment horizontal="right" vertical="center"/>
    </xf>
    <xf numFmtId="166" fontId="91" fillId="42" borderId="157" xfId="5" applyNumberFormat="1" applyFont="1" applyFill="1" applyBorder="1" applyAlignment="1">
      <alignment horizontal="right" vertical="center"/>
    </xf>
    <xf numFmtId="166" fontId="91" fillId="42" borderId="158" xfId="5" applyNumberFormat="1" applyFont="1" applyFill="1" applyBorder="1" applyAlignment="1">
      <alignment horizontal="right" vertical="center"/>
    </xf>
    <xf numFmtId="166" fontId="91" fillId="42" borderId="153" xfId="5" applyNumberFormat="1" applyFont="1" applyFill="1" applyBorder="1" applyAlignment="1" applyProtection="1">
      <alignment horizontal="right" vertical="center"/>
    </xf>
    <xf numFmtId="166" fontId="91" fillId="42" borderId="154" xfId="5" applyNumberFormat="1" applyFont="1" applyFill="1" applyBorder="1" applyAlignment="1" applyProtection="1">
      <alignment horizontal="right" vertical="center"/>
    </xf>
    <xf numFmtId="166" fontId="91" fillId="42" borderId="155" xfId="5" applyNumberFormat="1" applyFont="1" applyFill="1" applyBorder="1" applyAlignment="1" applyProtection="1">
      <alignment horizontal="right" vertical="center"/>
    </xf>
    <xf numFmtId="164" fontId="26" fillId="42" borderId="43" xfId="5" applyFont="1" applyFill="1" applyBorder="1" applyAlignment="1" applyProtection="1">
      <alignment horizontal="left" vertical="center"/>
    </xf>
    <xf numFmtId="164" fontId="26" fillId="42" borderId="0" xfId="5" applyFont="1" applyFill="1" applyBorder="1" applyAlignment="1" applyProtection="1">
      <alignment horizontal="left" vertical="center"/>
    </xf>
    <xf numFmtId="164" fontId="26" fillId="42" borderId="40" xfId="5" applyFont="1" applyFill="1" applyBorder="1" applyAlignment="1" applyProtection="1">
      <alignment horizontal="left" vertical="center"/>
    </xf>
    <xf numFmtId="15" fontId="62" fillId="16" borderId="0" xfId="3" applyNumberFormat="1" applyFont="1" applyFill="1" applyAlignment="1" applyProtection="1">
      <alignment horizontal="right" vertical="center"/>
      <protection hidden="1"/>
    </xf>
    <xf numFmtId="164" fontId="55" fillId="16" borderId="0" xfId="3" applyNumberFormat="1" applyFont="1" applyFill="1" applyAlignment="1" applyProtection="1">
      <alignment horizontal="center" vertical="center" wrapText="1"/>
      <protection hidden="1"/>
    </xf>
    <xf numFmtId="164" fontId="56" fillId="0" borderId="0" xfId="3" applyNumberFormat="1" applyFont="1" applyProtection="1">
      <protection hidden="1"/>
    </xf>
    <xf numFmtId="15" fontId="114" fillId="0" borderId="0" xfId="17" applyNumberFormat="1" applyFont="1" applyFill="1" applyBorder="1" applyAlignment="1" applyProtection="1">
      <protection hidden="1"/>
    </xf>
    <xf numFmtId="1" fontId="55" fillId="0" borderId="0" xfId="3" applyNumberFormat="1" applyFont="1" applyAlignment="1" applyProtection="1">
      <alignment horizontal="center" vertical="center" wrapText="1"/>
      <protection hidden="1"/>
    </xf>
    <xf numFmtId="15" fontId="62" fillId="16" borderId="0" xfId="3" applyNumberFormat="1" applyFont="1" applyFill="1" applyProtection="1">
      <protection hidden="1"/>
    </xf>
    <xf numFmtId="164" fontId="56" fillId="16" borderId="0" xfId="3" applyNumberFormat="1" applyFont="1" applyFill="1" applyProtection="1">
      <protection hidden="1"/>
    </xf>
    <xf numFmtId="15" fontId="62" fillId="0" borderId="0" xfId="17" applyNumberFormat="1" applyFont="1" applyFill="1" applyBorder="1" applyAlignment="1" applyProtection="1">
      <protection hidden="1"/>
    </xf>
    <xf numFmtId="164" fontId="55" fillId="0" borderId="0" xfId="3" applyNumberFormat="1" applyFont="1" applyAlignment="1" applyProtection="1">
      <alignment horizontal="center" vertical="center" wrapText="1"/>
      <protection hidden="1"/>
    </xf>
    <xf numFmtId="1" fontId="55" fillId="0" borderId="0" xfId="3" applyNumberFormat="1" applyFont="1" applyAlignment="1" applyProtection="1">
      <alignment horizontal="right" vertical="center" wrapText="1"/>
      <protection hidden="1"/>
    </xf>
    <xf numFmtId="166" fontId="91" fillId="44" borderId="154" xfId="5" applyNumberFormat="1" applyFont="1" applyFill="1" applyBorder="1" applyAlignment="1" applyProtection="1">
      <alignment horizontal="right" vertical="center"/>
    </xf>
    <xf numFmtId="164" fontId="26" fillId="44" borderId="43" xfId="5" applyFont="1" applyFill="1" applyBorder="1" applyAlignment="1" applyProtection="1">
      <alignment horizontal="left" vertical="center"/>
    </xf>
    <xf numFmtId="164" fontId="26" fillId="44" borderId="0" xfId="5" applyFont="1" applyFill="1" applyBorder="1" applyAlignment="1" applyProtection="1">
      <alignment horizontal="left" vertical="center"/>
    </xf>
    <xf numFmtId="164" fontId="26" fillId="44" borderId="40" xfId="5" applyFont="1" applyFill="1" applyBorder="1" applyAlignment="1" applyProtection="1">
      <alignment horizontal="left" vertical="center"/>
    </xf>
    <xf numFmtId="10" fontId="82" fillId="44" borderId="46" xfId="5" applyNumberFormat="1" applyFont="1" applyFill="1" applyBorder="1" applyAlignment="1" applyProtection="1">
      <alignment horizontal="right" vertical="center"/>
    </xf>
    <xf numFmtId="164" fontId="26" fillId="44" borderId="40" xfId="5" applyFont="1" applyFill="1" applyBorder="1" applyProtection="1"/>
    <xf numFmtId="164" fontId="26" fillId="44" borderId="220" xfId="5" applyFont="1" applyFill="1" applyBorder="1" applyProtection="1"/>
    <xf numFmtId="164" fontId="26" fillId="44" borderId="45" xfId="5" applyFont="1" applyFill="1" applyBorder="1" applyAlignment="1" applyProtection="1">
      <alignment horizontal="left" vertical="center"/>
    </xf>
    <xf numFmtId="0" fontId="82" fillId="0" borderId="160" xfId="0" applyFont="1" applyBorder="1" applyAlignment="1">
      <alignment horizontal="center" vertical="center"/>
    </xf>
    <xf numFmtId="0" fontId="82" fillId="0" borderId="161" xfId="0" applyFont="1" applyBorder="1" applyAlignment="1">
      <alignment horizontal="center" vertical="center"/>
    </xf>
    <xf numFmtId="0" fontId="0" fillId="6" borderId="0" xfId="0" applyFill="1"/>
    <xf numFmtId="166" fontId="91" fillId="45" borderId="153" xfId="5" applyNumberFormat="1" applyFont="1" applyFill="1" applyBorder="1" applyAlignment="1">
      <alignment horizontal="right" vertical="center"/>
    </xf>
    <xf numFmtId="166" fontId="91" fillId="45" borderId="154" xfId="5" applyNumberFormat="1" applyFont="1" applyFill="1" applyBorder="1" applyAlignment="1">
      <alignment horizontal="right" vertical="center"/>
    </xf>
    <xf numFmtId="166" fontId="91" fillId="45" borderId="0" xfId="5" applyNumberFormat="1" applyFont="1" applyFill="1" applyBorder="1" applyAlignment="1">
      <alignment horizontal="right" vertical="center"/>
    </xf>
    <xf numFmtId="166" fontId="91" fillId="45" borderId="166" xfId="5" applyNumberFormat="1" applyFont="1" applyFill="1" applyBorder="1" applyAlignment="1">
      <alignment horizontal="right" vertical="center"/>
    </xf>
    <xf numFmtId="166" fontId="91" fillId="46" borderId="165" xfId="5" applyNumberFormat="1" applyFont="1" applyFill="1" applyBorder="1" applyAlignment="1">
      <alignment horizontal="right" vertical="center"/>
    </xf>
    <xf numFmtId="166" fontId="91" fillId="46" borderId="0" xfId="5" applyNumberFormat="1" applyFont="1" applyFill="1" applyBorder="1" applyAlignment="1">
      <alignment horizontal="right" vertical="center"/>
    </xf>
    <xf numFmtId="166" fontId="91" fillId="46" borderId="166" xfId="5" applyNumberFormat="1" applyFont="1" applyFill="1" applyBorder="1" applyAlignment="1">
      <alignment horizontal="right" vertical="center"/>
    </xf>
    <xf numFmtId="166" fontId="91" fillId="45" borderId="165" xfId="5" applyNumberFormat="1" applyFont="1" applyFill="1" applyBorder="1" applyAlignment="1">
      <alignment horizontal="right" vertical="center"/>
    </xf>
    <xf numFmtId="166" fontId="91" fillId="46" borderId="156" xfId="5" applyNumberFormat="1" applyFont="1" applyFill="1" applyBorder="1" applyAlignment="1">
      <alignment horizontal="right" vertical="center"/>
    </xf>
    <xf numFmtId="166" fontId="91" fillId="46" borderId="157" xfId="5" applyNumberFormat="1" applyFont="1" applyFill="1" applyBorder="1" applyAlignment="1">
      <alignment horizontal="right" vertical="center"/>
    </xf>
    <xf numFmtId="166" fontId="91" fillId="46" borderId="158" xfId="5" applyNumberFormat="1" applyFont="1" applyFill="1" applyBorder="1" applyAlignment="1">
      <alignment horizontal="right" vertical="center"/>
    </xf>
    <xf numFmtId="166" fontId="0" fillId="4" borderId="0" xfId="0" applyNumberFormat="1" applyFill="1" applyAlignment="1">
      <alignment vertical="center"/>
    </xf>
    <xf numFmtId="0" fontId="81" fillId="24" borderId="157" xfId="0" applyFont="1" applyFill="1" applyBorder="1" applyAlignment="1">
      <alignment vertical="center"/>
    </xf>
    <xf numFmtId="0" fontId="41" fillId="10" borderId="131" xfId="0" applyFont="1" applyFill="1" applyBorder="1" applyAlignment="1">
      <alignment horizontal="left" vertical="top" wrapText="1"/>
    </xf>
    <xf numFmtId="0" fontId="26" fillId="27" borderId="61" xfId="0" applyFont="1" applyFill="1" applyBorder="1" applyAlignment="1">
      <alignment vertical="center" wrapText="1"/>
    </xf>
    <xf numFmtId="0" fontId="26" fillId="27" borderId="62" xfId="0" applyFont="1" applyFill="1" applyBorder="1" applyAlignment="1">
      <alignment vertical="center" wrapText="1"/>
    </xf>
    <xf numFmtId="0" fontId="78" fillId="0" borderId="160" xfId="0" applyFont="1" applyBorder="1" applyAlignment="1">
      <alignment horizontal="center"/>
    </xf>
    <xf numFmtId="0" fontId="78" fillId="0" borderId="161" xfId="0" applyFont="1" applyBorder="1" applyAlignment="1">
      <alignment horizontal="center"/>
    </xf>
    <xf numFmtId="166" fontId="26" fillId="0" borderId="144" xfId="17" applyNumberFormat="1" applyFont="1" applyFill="1" applyBorder="1" applyAlignment="1" applyProtection="1">
      <alignment horizontal="center" vertical="top" wrapText="1"/>
      <protection locked="0"/>
    </xf>
    <xf numFmtId="166" fontId="26" fillId="0" borderId="260" xfId="17" applyNumberFormat="1" applyFont="1" applyFill="1" applyBorder="1" applyAlignment="1" applyProtection="1">
      <alignment horizontal="center" vertical="top" wrapText="1"/>
      <protection locked="0"/>
    </xf>
    <xf numFmtId="166" fontId="26" fillId="0" borderId="259" xfId="17" applyNumberFormat="1" applyFont="1" applyFill="1" applyBorder="1" applyAlignment="1" applyProtection="1">
      <alignment horizontal="center" vertical="top" wrapText="1"/>
      <protection locked="0"/>
    </xf>
    <xf numFmtId="166" fontId="26" fillId="25" borderId="185" xfId="17" applyNumberFormat="1" applyFont="1" applyFill="1" applyBorder="1" applyAlignment="1" applyProtection="1">
      <alignment horizontal="center" vertical="top" wrapText="1"/>
    </xf>
    <xf numFmtId="166" fontId="26" fillId="25" borderId="107" xfId="17" applyNumberFormat="1" applyFont="1" applyFill="1" applyBorder="1" applyAlignment="1" applyProtection="1">
      <alignment horizontal="center" vertical="top" wrapText="1"/>
    </xf>
    <xf numFmtId="166" fontId="26" fillId="25" borderId="191" xfId="17" applyNumberFormat="1" applyFont="1" applyFill="1" applyBorder="1" applyAlignment="1" applyProtection="1">
      <alignment horizontal="center" vertical="top" wrapText="1"/>
    </xf>
    <xf numFmtId="164" fontId="26" fillId="25" borderId="144" xfId="17" applyFont="1" applyFill="1" applyBorder="1" applyAlignment="1" applyProtection="1">
      <alignment horizontal="right" vertical="top" wrapText="1"/>
    </xf>
    <xf numFmtId="166" fontId="26" fillId="25" borderId="107" xfId="17" applyNumberFormat="1" applyFont="1" applyFill="1" applyBorder="1" applyAlignment="1" applyProtection="1">
      <alignment horizontal="right" vertical="top" wrapText="1"/>
    </xf>
    <xf numFmtId="166" fontId="26" fillId="25" borderId="191" xfId="17" applyNumberFormat="1" applyFont="1" applyFill="1" applyBorder="1" applyAlignment="1" applyProtection="1">
      <alignment horizontal="right" vertical="top" wrapText="1"/>
    </xf>
    <xf numFmtId="2" fontId="0" fillId="0" borderId="0" xfId="0" applyNumberFormat="1" applyProtection="1">
      <protection locked="0"/>
    </xf>
    <xf numFmtId="1" fontId="101" fillId="0" borderId="193" xfId="3" applyNumberFormat="1" applyFont="1" applyBorder="1" applyAlignment="1" applyProtection="1">
      <alignment horizontal="center" vertical="top" wrapText="1"/>
      <protection locked="0"/>
    </xf>
    <xf numFmtId="1" fontId="101" fillId="0" borderId="258" xfId="3" applyNumberFormat="1" applyFont="1" applyBorder="1" applyAlignment="1" applyProtection="1">
      <alignment horizontal="center" vertical="top" wrapText="1"/>
      <protection locked="0"/>
    </xf>
    <xf numFmtId="1" fontId="101" fillId="0" borderId="107" xfId="3" applyNumberFormat="1" applyFont="1" applyBorder="1" applyAlignment="1" applyProtection="1">
      <alignment horizontal="center" vertical="top" wrapText="1"/>
      <protection locked="0"/>
    </xf>
    <xf numFmtId="1" fontId="101" fillId="0" borderId="191" xfId="3" applyNumberFormat="1" applyFont="1" applyBorder="1" applyAlignment="1" applyProtection="1">
      <alignment horizontal="center" vertical="top" wrapText="1"/>
      <protection locked="0"/>
    </xf>
    <xf numFmtId="0" fontId="26" fillId="0" borderId="261" xfId="0" applyFont="1" applyBorder="1" applyProtection="1">
      <protection locked="0"/>
    </xf>
    <xf numFmtId="0" fontId="26" fillId="0" borderId="262" xfId="0" applyFont="1" applyBorder="1" applyProtection="1">
      <protection locked="0"/>
    </xf>
    <xf numFmtId="0" fontId="0" fillId="0" borderId="18" xfId="0" applyBorder="1" applyAlignment="1">
      <alignment horizontal="center"/>
    </xf>
    <xf numFmtId="166" fontId="56" fillId="0" borderId="0" xfId="3" applyNumberFormat="1" applyFont="1" applyAlignment="1" applyProtection="1">
      <alignment horizontal="right" vertical="center" wrapText="1"/>
      <protection hidden="1"/>
    </xf>
    <xf numFmtId="0" fontId="21" fillId="0" borderId="0" xfId="0" applyFont="1" applyAlignment="1">
      <alignment horizontal="left" vertical="center"/>
    </xf>
    <xf numFmtId="166" fontId="56" fillId="0" borderId="0" xfId="17" quotePrefix="1" applyNumberFormat="1" applyFont="1" applyFill="1" applyBorder="1" applyAlignment="1" applyProtection="1">
      <alignment horizontal="right" vertical="center"/>
      <protection hidden="1"/>
    </xf>
    <xf numFmtId="164" fontId="26" fillId="46" borderId="254" xfId="17" applyFont="1" applyFill="1" applyBorder="1" applyAlignment="1" applyProtection="1">
      <alignment horizontal="right" vertical="top" wrapText="1"/>
    </xf>
    <xf numFmtId="166" fontId="26" fillId="46" borderId="255" xfId="17" applyNumberFormat="1" applyFont="1" applyFill="1" applyBorder="1" applyAlignment="1" applyProtection="1">
      <alignment horizontal="right" vertical="top" wrapText="1"/>
    </xf>
    <xf numFmtId="166" fontId="26" fillId="46" borderId="256" xfId="17" applyNumberFormat="1" applyFont="1" applyFill="1" applyBorder="1" applyAlignment="1" applyProtection="1">
      <alignment horizontal="right" vertical="top" wrapText="1"/>
    </xf>
    <xf numFmtId="169" fontId="79" fillId="28" borderId="0" xfId="5" applyNumberFormat="1" applyFont="1" applyFill="1" applyBorder="1" applyAlignment="1" applyProtection="1">
      <alignment horizontal="right" vertical="center"/>
      <protection locked="0"/>
    </xf>
    <xf numFmtId="169" fontId="79" fillId="0" borderId="0" xfId="5" applyNumberFormat="1" applyFont="1" applyFill="1" applyBorder="1" applyAlignment="1" applyProtection="1">
      <alignment horizontal="right" vertical="center"/>
      <protection locked="0"/>
    </xf>
    <xf numFmtId="169" fontId="79" fillId="27" borderId="0" xfId="5" applyNumberFormat="1" applyFont="1" applyFill="1" applyBorder="1" applyAlignment="1" applyProtection="1">
      <alignment horizontal="right" vertical="center"/>
      <protection locked="0"/>
    </xf>
    <xf numFmtId="166" fontId="79" fillId="27" borderId="0" xfId="5" applyNumberFormat="1" applyFont="1" applyFill="1" applyBorder="1" applyAlignment="1" applyProtection="1">
      <alignment horizontal="right" vertical="center"/>
      <protection locked="0"/>
    </xf>
    <xf numFmtId="169" fontId="79" fillId="0" borderId="157" xfId="5" applyNumberFormat="1" applyFont="1" applyFill="1" applyBorder="1" applyAlignment="1" applyProtection="1">
      <alignment horizontal="right" vertical="center"/>
      <protection locked="0"/>
    </xf>
    <xf numFmtId="169" fontId="79" fillId="27" borderId="154" xfId="5" applyNumberFormat="1" applyFont="1" applyFill="1" applyBorder="1" applyAlignment="1" applyProtection="1">
      <alignment horizontal="right" vertical="center"/>
      <protection locked="0"/>
    </xf>
    <xf numFmtId="166" fontId="79" fillId="27" borderId="154" xfId="5" applyNumberFormat="1" applyFont="1" applyFill="1" applyBorder="1" applyAlignment="1" applyProtection="1">
      <alignment horizontal="right" vertical="center"/>
      <protection locked="0"/>
    </xf>
    <xf numFmtId="0" fontId="13" fillId="4" borderId="0" xfId="0" applyFont="1" applyFill="1" applyAlignment="1">
      <alignment horizontal="right"/>
    </xf>
    <xf numFmtId="0" fontId="0" fillId="0" borderId="0" xfId="0" applyAlignment="1">
      <alignment vertical="center" wrapText="1"/>
    </xf>
    <xf numFmtId="0" fontId="78" fillId="25" borderId="0" xfId="0" applyFont="1" applyFill="1" applyAlignment="1">
      <alignment horizontal="center" vertical="center" wrapText="1"/>
    </xf>
    <xf numFmtId="0" fontId="78" fillId="25" borderId="67" xfId="0" applyFont="1" applyFill="1" applyBorder="1" applyAlignment="1">
      <alignment horizontal="center" vertical="center" wrapText="1"/>
    </xf>
    <xf numFmtId="0" fontId="117" fillId="0" borderId="49" xfId="12" applyFont="1" applyBorder="1" applyAlignment="1">
      <alignment vertical="center"/>
    </xf>
    <xf numFmtId="0" fontId="117" fillId="0" borderId="49" xfId="12" applyFont="1" applyBorder="1" applyAlignment="1">
      <alignment horizontal="center" vertical="center" wrapText="1"/>
    </xf>
    <xf numFmtId="0" fontId="117" fillId="0" borderId="49" xfId="12" applyFont="1" applyBorder="1" applyAlignment="1">
      <alignment horizontal="center" vertical="center"/>
    </xf>
    <xf numFmtId="0" fontId="0" fillId="0" borderId="263" xfId="0" applyBorder="1"/>
    <xf numFmtId="0" fontId="0" fillId="0" borderId="49" xfId="0" applyBorder="1" applyAlignment="1">
      <alignment horizontal="center"/>
    </xf>
    <xf numFmtId="0" fontId="117" fillId="0" borderId="263" xfId="12" applyFont="1" applyBorder="1" applyAlignment="1">
      <alignment horizontal="center" vertical="center"/>
    </xf>
    <xf numFmtId="0" fontId="0" fillId="47" borderId="0" xfId="0" applyFill="1"/>
    <xf numFmtId="0" fontId="0" fillId="47" borderId="0" xfId="0" applyFill="1" applyAlignment="1">
      <alignment horizontal="center"/>
    </xf>
    <xf numFmtId="2" fontId="21" fillId="0" borderId="0" xfId="0" applyNumberFormat="1" applyFont="1" applyAlignment="1">
      <alignment horizontal="center" vertical="center"/>
    </xf>
    <xf numFmtId="0" fontId="13" fillId="4" borderId="0" xfId="15" applyFont="1" applyFill="1" applyAlignment="1">
      <alignment vertical="center"/>
    </xf>
    <xf numFmtId="0" fontId="9" fillId="4" borderId="0" xfId="0" applyFont="1" applyFill="1"/>
    <xf numFmtId="2" fontId="0" fillId="4" borderId="0" xfId="0" applyNumberFormat="1" applyFill="1" applyAlignment="1">
      <alignment horizontal="center" vertical="center"/>
    </xf>
    <xf numFmtId="172" fontId="0" fillId="4" borderId="0" xfId="0" applyNumberFormat="1" applyFill="1" applyAlignment="1">
      <alignment horizontal="center" vertical="center"/>
    </xf>
    <xf numFmtId="0" fontId="36" fillId="0" borderId="0" xfId="15" applyFont="1" applyAlignment="1">
      <alignment vertical="center"/>
    </xf>
    <xf numFmtId="164" fontId="56" fillId="0" borderId="0" xfId="17" applyFont="1" applyFill="1" applyBorder="1" applyAlignment="1" applyProtection="1">
      <alignment horizontal="right" vertical="center"/>
      <protection hidden="1"/>
    </xf>
    <xf numFmtId="164" fontId="56" fillId="0" borderId="0" xfId="3" applyNumberFormat="1" applyFont="1" applyAlignment="1" applyProtection="1">
      <alignment horizontal="right" vertical="center" wrapText="1"/>
      <protection hidden="1"/>
    </xf>
    <xf numFmtId="1" fontId="56" fillId="48" borderId="0" xfId="3" applyNumberFormat="1" applyFont="1" applyFill="1" applyAlignment="1" applyProtection="1">
      <alignment horizontal="center" vertical="top" wrapText="1"/>
      <protection hidden="1"/>
    </xf>
    <xf numFmtId="166" fontId="56" fillId="48" borderId="0" xfId="17" applyNumberFormat="1" applyFont="1" applyFill="1" applyBorder="1" applyAlignment="1" applyProtection="1">
      <alignment horizontal="right" vertical="center"/>
      <protection hidden="1"/>
    </xf>
    <xf numFmtId="0" fontId="0" fillId="48" borderId="0" xfId="0" applyFill="1"/>
    <xf numFmtId="1" fontId="64" fillId="48" borderId="0" xfId="3" applyNumberFormat="1" applyFont="1" applyFill="1" applyAlignment="1">
      <alignment horizontal="center" vertical="center"/>
    </xf>
    <xf numFmtId="0" fontId="27" fillId="0" borderId="229" xfId="0" applyFont="1" applyBorder="1" applyAlignment="1">
      <alignment horizontal="left" vertical="center"/>
    </xf>
    <xf numFmtId="0" fontId="5" fillId="0" borderId="0" xfId="0" applyFont="1" applyAlignment="1">
      <alignment horizontal="center" vertical="center"/>
    </xf>
    <xf numFmtId="166" fontId="56" fillId="0" borderId="0" xfId="3" applyNumberFormat="1" applyFont="1" applyAlignment="1" applyProtection="1">
      <alignment horizontal="right" vertical="center"/>
      <protection hidden="1"/>
    </xf>
    <xf numFmtId="166" fontId="115" fillId="0" borderId="0" xfId="12" applyNumberFormat="1" applyFont="1" applyAlignment="1">
      <alignment vertical="center"/>
    </xf>
    <xf numFmtId="164" fontId="45" fillId="0" borderId="0" xfId="0" applyNumberFormat="1" applyFont="1" applyAlignment="1">
      <alignment horizontal="center"/>
    </xf>
    <xf numFmtId="0" fontId="28" fillId="0" borderId="6" xfId="0" applyFont="1" applyBorder="1" applyAlignment="1">
      <alignment vertical="center" wrapText="1"/>
    </xf>
    <xf numFmtId="0" fontId="112" fillId="27" borderId="67" xfId="0" applyFont="1" applyFill="1" applyBorder="1" applyAlignment="1" applyProtection="1">
      <alignment horizontal="center" vertical="top"/>
      <protection locked="0"/>
    </xf>
    <xf numFmtId="0" fontId="112" fillId="27" borderId="75" xfId="0" applyFont="1" applyFill="1" applyBorder="1" applyAlignment="1" applyProtection="1">
      <alignment horizontal="center" vertical="center"/>
      <protection locked="0"/>
    </xf>
    <xf numFmtId="0" fontId="112" fillId="27" borderId="75" xfId="0" applyFont="1" applyFill="1" applyBorder="1" applyAlignment="1" applyProtection="1">
      <alignment horizontal="center"/>
      <protection locked="0"/>
    </xf>
    <xf numFmtId="0" fontId="110" fillId="27" borderId="67" xfId="0" applyFont="1" applyFill="1" applyBorder="1" applyAlignment="1">
      <alignment vertical="top"/>
    </xf>
    <xf numFmtId="0" fontId="78" fillId="0" borderId="69" xfId="0" applyFont="1" applyBorder="1" applyAlignment="1">
      <alignment horizontal="center" vertical="center" wrapText="1"/>
    </xf>
    <xf numFmtId="0" fontId="97" fillId="0" borderId="0" xfId="0" applyFont="1"/>
    <xf numFmtId="0" fontId="119" fillId="27" borderId="78" xfId="0" applyFont="1" applyFill="1" applyBorder="1" applyAlignment="1">
      <alignment horizontal="left" vertical="center"/>
    </xf>
    <xf numFmtId="0" fontId="119" fillId="27" borderId="73" xfId="0" applyFont="1" applyFill="1" applyBorder="1" applyAlignment="1" applyProtection="1">
      <alignment horizontal="center" vertical="center"/>
      <protection locked="0"/>
    </xf>
    <xf numFmtId="0" fontId="119" fillId="0" borderId="0" xfId="0" applyFont="1" applyAlignment="1">
      <alignment horizontal="left" vertical="center"/>
    </xf>
    <xf numFmtId="0" fontId="119" fillId="4" borderId="66" xfId="0" applyFont="1" applyFill="1" applyBorder="1" applyAlignment="1" applyProtection="1">
      <alignment horizontal="center" vertical="center"/>
      <protection locked="0"/>
    </xf>
    <xf numFmtId="0" fontId="119" fillId="27" borderId="111" xfId="0" applyFont="1" applyFill="1" applyBorder="1" applyAlignment="1">
      <alignment horizontal="left" vertical="center"/>
    </xf>
    <xf numFmtId="0" fontId="119" fillId="27" borderId="66" xfId="0" applyFont="1" applyFill="1" applyBorder="1" applyAlignment="1" applyProtection="1">
      <alignment horizontal="center" vertical="center"/>
      <protection locked="0"/>
    </xf>
    <xf numFmtId="0" fontId="119" fillId="4" borderId="111" xfId="0" applyFont="1" applyFill="1" applyBorder="1" applyAlignment="1">
      <alignment horizontal="left" vertical="center"/>
    </xf>
    <xf numFmtId="0" fontId="119" fillId="27" borderId="0" xfId="0" applyFont="1" applyFill="1" applyAlignment="1">
      <alignment horizontal="left" vertical="center"/>
    </xf>
    <xf numFmtId="0" fontId="119" fillId="27" borderId="75" xfId="0" applyFont="1" applyFill="1" applyBorder="1" applyAlignment="1" applyProtection="1">
      <alignment horizontal="center" vertical="center"/>
      <protection locked="0"/>
    </xf>
    <xf numFmtId="10" fontId="82" fillId="22" borderId="266" xfId="5" applyNumberFormat="1" applyFont="1" applyFill="1" applyBorder="1" applyAlignment="1" applyProtection="1">
      <alignment horizontal="right" vertical="center"/>
      <protection locked="0"/>
    </xf>
    <xf numFmtId="164" fontId="26" fillId="0" borderId="72" xfId="5" applyFont="1" applyFill="1" applyBorder="1" applyAlignment="1" applyProtection="1">
      <alignment horizontal="left" vertical="center"/>
    </xf>
    <xf numFmtId="164" fontId="26" fillId="0" borderId="72" xfId="5" applyFont="1" applyFill="1" applyBorder="1" applyAlignment="1" applyProtection="1"/>
    <xf numFmtId="164" fontId="26" fillId="0" borderId="72" xfId="5" applyFont="1" applyFill="1" applyBorder="1" applyProtection="1"/>
    <xf numFmtId="10" fontId="82" fillId="22" borderId="267" xfId="5" applyNumberFormat="1" applyFont="1" applyFill="1" applyBorder="1" applyAlignment="1" applyProtection="1">
      <alignment horizontal="right" vertical="center"/>
      <protection locked="0"/>
    </xf>
    <xf numFmtId="164" fontId="26" fillId="0" borderId="206" xfId="5" applyFont="1" applyFill="1" applyBorder="1" applyAlignment="1" applyProtection="1">
      <alignment horizontal="center" vertical="center"/>
    </xf>
    <xf numFmtId="10" fontId="82" fillId="22" borderId="219" xfId="5" applyNumberFormat="1" applyFont="1" applyFill="1" applyBorder="1" applyAlignment="1" applyProtection="1">
      <alignment horizontal="right" vertical="center"/>
      <protection locked="0"/>
    </xf>
    <xf numFmtId="164" fontId="26" fillId="0" borderId="206" xfId="5" applyFont="1" applyFill="1" applyBorder="1" applyAlignment="1" applyProtection="1">
      <alignment horizontal="left" vertical="center"/>
    </xf>
    <xf numFmtId="10" fontId="82" fillId="44" borderId="219" xfId="5" applyNumberFormat="1" applyFont="1" applyFill="1" applyBorder="1" applyAlignment="1" applyProtection="1">
      <alignment horizontal="right" vertical="center"/>
    </xf>
    <xf numFmtId="164" fontId="26" fillId="44" borderId="205" xfId="5" applyFont="1" applyFill="1" applyBorder="1" applyAlignment="1" applyProtection="1">
      <alignment horizontal="left" vertical="center"/>
    </xf>
    <xf numFmtId="164" fontId="26" fillId="44" borderId="72" xfId="5" applyFont="1" applyFill="1" applyBorder="1" applyAlignment="1" applyProtection="1">
      <alignment horizontal="left" vertical="center"/>
    </xf>
    <xf numFmtId="164" fontId="26" fillId="44" borderId="206" xfId="5" applyFont="1" applyFill="1" applyBorder="1" applyAlignment="1" applyProtection="1">
      <alignment horizontal="left" vertical="center"/>
    </xf>
    <xf numFmtId="168" fontId="26" fillId="0" borderId="205" xfId="5" applyNumberFormat="1" applyFont="1" applyFill="1" applyBorder="1" applyAlignment="1" applyProtection="1">
      <alignment horizontal="left" vertical="center"/>
    </xf>
    <xf numFmtId="0" fontId="26" fillId="0" borderId="210" xfId="5" applyNumberFormat="1" applyFont="1" applyFill="1" applyBorder="1" applyAlignment="1" applyProtection="1">
      <alignment horizontal="right" vertical="center"/>
      <protection locked="0"/>
    </xf>
    <xf numFmtId="164" fontId="26" fillId="0" borderId="67" xfId="5" applyFont="1" applyFill="1" applyBorder="1" applyProtection="1"/>
    <xf numFmtId="10" fontId="82" fillId="44" borderId="221" xfId="5" applyNumberFormat="1" applyFont="1" applyFill="1" applyBorder="1" applyAlignment="1" applyProtection="1">
      <alignment horizontal="right" vertical="center"/>
    </xf>
    <xf numFmtId="164" fontId="26" fillId="44" borderId="217" xfId="5" applyFont="1" applyFill="1" applyBorder="1" applyProtection="1"/>
    <xf numFmtId="164" fontId="26" fillId="44" borderId="67" xfId="5" applyFont="1" applyFill="1" applyBorder="1" applyProtection="1"/>
    <xf numFmtId="164" fontId="26" fillId="0" borderId="220" xfId="5" applyFont="1" applyFill="1" applyBorder="1" applyAlignment="1" applyProtection="1">
      <alignment horizontal="left" vertical="center"/>
    </xf>
    <xf numFmtId="0" fontId="78" fillId="30" borderId="263" xfId="0" applyFont="1" applyFill="1" applyBorder="1" applyAlignment="1">
      <alignment vertical="center" wrapText="1"/>
    </xf>
    <xf numFmtId="0" fontId="108" fillId="0" borderId="250" xfId="0" applyFont="1" applyBorder="1" applyAlignment="1">
      <alignment horizontal="left" vertical="center"/>
    </xf>
    <xf numFmtId="10" fontId="82" fillId="22" borderId="206" xfId="5" applyNumberFormat="1" applyFont="1" applyFill="1" applyBorder="1" applyAlignment="1" applyProtection="1">
      <alignment horizontal="right" vertical="center"/>
      <protection locked="0"/>
    </xf>
    <xf numFmtId="164" fontId="26" fillId="0" borderId="206" xfId="5" applyFont="1" applyFill="1" applyBorder="1" applyProtection="1"/>
    <xf numFmtId="164" fontId="26" fillId="42" borderId="205" xfId="5" applyFont="1" applyFill="1" applyBorder="1" applyAlignment="1" applyProtection="1">
      <alignment horizontal="left" vertical="center"/>
    </xf>
    <xf numFmtId="164" fontId="26" fillId="42" borderId="72" xfId="5" applyFont="1" applyFill="1" applyBorder="1" applyAlignment="1" applyProtection="1">
      <alignment horizontal="left" vertical="center"/>
    </xf>
    <xf numFmtId="164" fontId="26" fillId="42" borderId="206" xfId="5" applyFont="1" applyFill="1" applyBorder="1" applyAlignment="1" applyProtection="1">
      <alignment horizontal="left" vertical="center"/>
    </xf>
    <xf numFmtId="164" fontId="26" fillId="42" borderId="217" xfId="5" applyFont="1" applyFill="1" applyBorder="1" applyProtection="1"/>
    <xf numFmtId="164" fontId="26" fillId="42" borderId="67" xfId="5" applyFont="1" applyFill="1" applyBorder="1" applyProtection="1"/>
    <xf numFmtId="164" fontId="26" fillId="42" borderId="220" xfId="5" applyFont="1" applyFill="1" applyBorder="1" applyProtection="1"/>
    <xf numFmtId="0" fontId="78" fillId="30" borderId="268" xfId="0" applyFont="1" applyFill="1" applyBorder="1" applyAlignment="1">
      <alignment vertical="center" wrapText="1"/>
    </xf>
    <xf numFmtId="164" fontId="26" fillId="0" borderId="67" xfId="5" applyFont="1" applyFill="1" applyBorder="1" applyAlignment="1" applyProtection="1"/>
    <xf numFmtId="164" fontId="26" fillId="44" borderId="217" xfId="5" applyFont="1" applyFill="1" applyBorder="1" applyAlignment="1" applyProtection="1">
      <alignment horizontal="left" vertical="center"/>
    </xf>
    <xf numFmtId="164" fontId="26" fillId="44" borderId="67" xfId="5" applyFont="1" applyFill="1" applyBorder="1" applyAlignment="1" applyProtection="1">
      <alignment horizontal="left" vertical="center"/>
    </xf>
    <xf numFmtId="164" fontId="26" fillId="44" borderId="220" xfId="5" applyFont="1" applyFill="1" applyBorder="1" applyAlignment="1" applyProtection="1">
      <alignment horizontal="left" vertical="center"/>
    </xf>
    <xf numFmtId="0" fontId="120" fillId="0" borderId="265" xfId="0" applyFont="1" applyBorder="1" applyAlignment="1">
      <alignment horizontal="left" vertical="center"/>
    </xf>
    <xf numFmtId="0" fontId="120" fillId="0" borderId="229" xfId="0" applyFont="1" applyBorder="1" applyAlignment="1">
      <alignment horizontal="left" vertical="center"/>
    </xf>
    <xf numFmtId="0" fontId="120" fillId="0" borderId="234" xfId="0" applyFont="1" applyBorder="1" applyAlignment="1">
      <alignment horizontal="left" vertical="center"/>
    </xf>
    <xf numFmtId="15" fontId="119" fillId="27" borderId="72" xfId="0" applyNumberFormat="1" applyFont="1" applyFill="1" applyBorder="1" applyAlignment="1" applyProtection="1">
      <alignment horizontal="center" vertical="center" wrapText="1"/>
      <protection locked="0"/>
    </xf>
    <xf numFmtId="15" fontId="119" fillId="4" borderId="0" xfId="0" applyNumberFormat="1" applyFont="1" applyFill="1" applyAlignment="1" applyProtection="1">
      <alignment horizontal="center" vertical="center" wrapText="1"/>
      <protection locked="0"/>
    </xf>
    <xf numFmtId="15" fontId="119" fillId="27" borderId="0" xfId="0" applyNumberFormat="1" applyFont="1" applyFill="1" applyAlignment="1" applyProtection="1">
      <alignment horizontal="center" vertical="center" wrapText="1"/>
      <protection locked="0"/>
    </xf>
    <xf numFmtId="0" fontId="119" fillId="27" borderId="0" xfId="0" applyFont="1" applyFill="1" applyAlignment="1" applyProtection="1">
      <alignment horizontal="center" vertical="center" wrapText="1"/>
      <protection locked="0"/>
    </xf>
    <xf numFmtId="0" fontId="119" fillId="4" borderId="0" xfId="0" applyFont="1" applyFill="1" applyAlignment="1" applyProtection="1">
      <alignment horizontal="center" vertical="center" wrapText="1"/>
      <protection locked="0"/>
    </xf>
    <xf numFmtId="0" fontId="83" fillId="34" borderId="60" xfId="0" applyFont="1" applyFill="1" applyBorder="1" applyAlignment="1">
      <alignment vertical="center"/>
    </xf>
    <xf numFmtId="0" fontId="119" fillId="27" borderId="72" xfId="0" applyFont="1" applyFill="1" applyBorder="1" applyAlignment="1">
      <alignment horizontal="center" vertical="center"/>
    </xf>
    <xf numFmtId="0" fontId="119" fillId="4" borderId="0" xfId="0" applyFont="1" applyFill="1" applyAlignment="1">
      <alignment horizontal="center" vertical="center"/>
    </xf>
    <xf numFmtId="0" fontId="119" fillId="27" borderId="0" xfId="0" applyFont="1" applyFill="1" applyAlignment="1">
      <alignment horizontal="center" vertical="center"/>
    </xf>
    <xf numFmtId="0" fontId="119" fillId="27" borderId="67" xfId="0" applyFont="1" applyFill="1" applyBorder="1" applyAlignment="1">
      <alignment horizontal="center" vertical="center"/>
    </xf>
    <xf numFmtId="0" fontId="119" fillId="0" borderId="66" xfId="0" applyFont="1" applyBorder="1" applyAlignment="1" applyProtection="1">
      <alignment horizontal="center" vertical="center"/>
      <protection locked="0"/>
    </xf>
    <xf numFmtId="0" fontId="119" fillId="27" borderId="61" xfId="0" applyFont="1" applyFill="1" applyBorder="1" applyAlignment="1" applyProtection="1">
      <alignment horizontal="center" vertical="center"/>
      <protection locked="0"/>
    </xf>
    <xf numFmtId="0" fontId="119" fillId="0" borderId="61" xfId="0" applyFont="1" applyBorder="1" applyAlignment="1" applyProtection="1">
      <alignment horizontal="center" vertical="center"/>
      <protection locked="0"/>
    </xf>
    <xf numFmtId="0" fontId="90" fillId="0" borderId="0" xfId="0" applyFont="1" applyAlignment="1">
      <alignment horizontal="left" vertical="center" wrapText="1"/>
    </xf>
    <xf numFmtId="164" fontId="0" fillId="0" borderId="0" xfId="0" applyNumberFormat="1"/>
    <xf numFmtId="169" fontId="79" fillId="28" borderId="153" xfId="5" applyNumberFormat="1" applyFont="1" applyFill="1" applyBorder="1" applyAlignment="1" applyProtection="1">
      <alignment horizontal="right" vertical="center" indent="4"/>
      <protection locked="0"/>
    </xf>
    <xf numFmtId="0" fontId="119" fillId="4" borderId="0" xfId="0" applyFont="1" applyFill="1" applyAlignment="1">
      <alignment horizontal="left" vertical="center"/>
    </xf>
    <xf numFmtId="164" fontId="26" fillId="0" borderId="222" xfId="5" applyFont="1" applyFill="1" applyBorder="1" applyAlignment="1" applyProtection="1">
      <alignment horizontal="left" vertical="center"/>
    </xf>
    <xf numFmtId="164" fontId="26" fillId="0" borderId="223" xfId="5" applyFont="1" applyFill="1" applyBorder="1" applyProtection="1"/>
    <xf numFmtId="164" fontId="26" fillId="0" borderId="269" xfId="5" applyFont="1" applyFill="1" applyBorder="1" applyAlignment="1" applyProtection="1">
      <alignment horizontal="left" vertical="center"/>
    </xf>
    <xf numFmtId="164" fontId="26" fillId="0" borderId="270" xfId="5" applyFont="1" applyFill="1" applyBorder="1" applyProtection="1"/>
    <xf numFmtId="164" fontId="26" fillId="0" borderId="271" xfId="5" applyFont="1" applyFill="1" applyBorder="1" applyAlignment="1" applyProtection="1">
      <alignment horizontal="left" vertical="center"/>
    </xf>
    <xf numFmtId="164" fontId="26" fillId="0" borderId="272" xfId="5" applyFont="1" applyFill="1" applyBorder="1" applyProtection="1"/>
    <xf numFmtId="0" fontId="0" fillId="0" borderId="0" xfId="0"/>
    <xf numFmtId="0" fontId="21" fillId="0" borderId="2" xfId="0" applyFont="1" applyBorder="1"/>
    <xf numFmtId="0" fontId="0" fillId="0" borderId="0" xfId="0" applyAlignment="1">
      <alignment horizontal="left" vertical="top"/>
    </xf>
    <xf numFmtId="0" fontId="79" fillId="0" borderId="0" xfId="0" applyFont="1" applyAlignment="1">
      <alignment horizontal="left" vertical="top" wrapText="1"/>
    </xf>
    <xf numFmtId="0" fontId="96" fillId="3" borderId="0" xfId="0" applyFont="1" applyFill="1" applyAlignment="1">
      <alignment horizontal="center" vertical="top"/>
    </xf>
    <xf numFmtId="0" fontId="93" fillId="9" borderId="0" xfId="0" applyFont="1" applyFill="1" applyAlignment="1">
      <alignment horizontal="center" vertical="center"/>
    </xf>
    <xf numFmtId="0" fontId="118" fillId="35" borderId="77" xfId="0" applyFont="1" applyFill="1" applyBorder="1" applyAlignment="1">
      <alignment horizontal="center" vertical="center" wrapText="1"/>
    </xf>
    <xf numFmtId="0" fontId="118" fillId="35" borderId="61" xfId="0" applyFont="1" applyFill="1" applyBorder="1" applyAlignment="1">
      <alignment horizontal="center" vertical="center" wrapText="1"/>
    </xf>
    <xf numFmtId="0" fontId="118" fillId="35" borderId="62" xfId="0" applyFont="1" applyFill="1" applyBorder="1" applyAlignment="1">
      <alignment horizontal="center" vertical="center" wrapText="1"/>
    </xf>
    <xf numFmtId="0" fontId="26" fillId="29" borderId="77" xfId="0" applyFont="1" applyFill="1" applyBorder="1" applyAlignment="1">
      <alignment horizontal="center" vertical="center" wrapText="1"/>
    </xf>
    <xf numFmtId="0" fontId="26" fillId="29" borderId="61" xfId="0" applyFont="1" applyFill="1" applyBorder="1" applyAlignment="1">
      <alignment horizontal="center" vertical="center" wrapText="1"/>
    </xf>
    <xf numFmtId="0" fontId="98" fillId="34" borderId="20" xfId="0" applyFont="1" applyFill="1" applyBorder="1" applyAlignment="1">
      <alignment horizontal="center" vertical="center"/>
    </xf>
    <xf numFmtId="0" fontId="98" fillId="34" borderId="145" xfId="0" applyFont="1" applyFill="1" applyBorder="1" applyAlignment="1">
      <alignment horizontal="center" vertical="center"/>
    </xf>
    <xf numFmtId="0" fontId="83" fillId="33" borderId="72" xfId="1" applyNumberFormat="1" applyFont="1" applyFill="1" applyBorder="1" applyAlignment="1" applyProtection="1">
      <alignment horizontal="center" vertical="center"/>
    </xf>
    <xf numFmtId="0" fontId="83" fillId="33" borderId="73" xfId="1" applyNumberFormat="1" applyFont="1" applyFill="1" applyBorder="1" applyAlignment="1" applyProtection="1">
      <alignment horizontal="center" vertical="center"/>
    </xf>
    <xf numFmtId="0" fontId="83" fillId="33" borderId="0" xfId="1" applyNumberFormat="1" applyFont="1" applyFill="1" applyBorder="1" applyAlignment="1" applyProtection="1">
      <alignment horizontal="center" vertical="center"/>
    </xf>
    <xf numFmtId="0" fontId="83" fillId="33" borderId="66" xfId="1" applyNumberFormat="1" applyFont="1" applyFill="1" applyBorder="1" applyAlignment="1" applyProtection="1">
      <alignment horizontal="center" vertical="center"/>
    </xf>
    <xf numFmtId="177" fontId="77" fillId="34" borderId="145" xfId="0" applyNumberFormat="1" applyFont="1" applyFill="1" applyBorder="1" applyAlignment="1">
      <alignment horizontal="center" vertical="center"/>
    </xf>
    <xf numFmtId="177" fontId="77" fillId="34" borderId="108" xfId="0" applyNumberFormat="1" applyFont="1" applyFill="1" applyBorder="1" applyAlignment="1">
      <alignment horizontal="center" vertical="center"/>
    </xf>
    <xf numFmtId="0" fontId="83" fillId="33" borderId="67" xfId="1" applyNumberFormat="1" applyFont="1" applyFill="1" applyBorder="1" applyAlignment="1" applyProtection="1">
      <alignment horizontal="center" vertical="center"/>
    </xf>
    <xf numFmtId="0" fontId="83" fillId="33" borderId="75" xfId="1" applyNumberFormat="1" applyFont="1" applyFill="1" applyBorder="1" applyAlignment="1" applyProtection="1">
      <alignment horizontal="center" vertical="center"/>
    </xf>
    <xf numFmtId="0" fontId="85" fillId="0" borderId="72" xfId="0" applyFont="1" applyBorder="1" applyAlignment="1">
      <alignment horizontal="left" vertical="top" wrapText="1"/>
    </xf>
    <xf numFmtId="0" fontId="85" fillId="0" borderId="0" xfId="0" applyFont="1" applyAlignment="1">
      <alignment horizontal="left" vertical="top" wrapText="1"/>
    </xf>
    <xf numFmtId="0" fontId="83" fillId="33" borderId="78" xfId="1" applyNumberFormat="1" applyFont="1" applyFill="1" applyBorder="1" applyAlignment="1" applyProtection="1">
      <alignment horizontal="left" vertical="top"/>
    </xf>
    <xf numFmtId="0" fontId="83" fillId="33" borderId="72" xfId="1" applyNumberFormat="1" applyFont="1" applyFill="1" applyBorder="1" applyAlignment="1" applyProtection="1">
      <alignment horizontal="left" vertical="top"/>
    </xf>
    <xf numFmtId="0" fontId="83" fillId="33" borderId="73" xfId="1" applyNumberFormat="1" applyFont="1" applyFill="1" applyBorder="1" applyAlignment="1" applyProtection="1">
      <alignment horizontal="left" vertical="top"/>
    </xf>
    <xf numFmtId="0" fontId="85" fillId="4" borderId="31" xfId="0" applyFont="1" applyFill="1" applyBorder="1" applyAlignment="1">
      <alignment horizontal="left" vertical="top" wrapText="1"/>
    </xf>
    <xf numFmtId="0" fontId="85" fillId="4" borderId="0" xfId="0" applyFont="1" applyFill="1" applyAlignment="1">
      <alignment horizontal="left" vertical="top" wrapText="1"/>
    </xf>
    <xf numFmtId="0" fontId="85" fillId="4" borderId="27" xfId="0" applyFont="1" applyFill="1" applyBorder="1" applyAlignment="1">
      <alignment horizontal="left" vertical="top" wrapText="1"/>
    </xf>
    <xf numFmtId="0" fontId="85" fillId="4" borderId="29" xfId="0" applyFont="1" applyFill="1" applyBorder="1" applyAlignment="1">
      <alignment horizontal="left" vertical="top" wrapText="1"/>
    </xf>
    <xf numFmtId="165" fontId="78" fillId="15" borderId="81" xfId="1" applyNumberFormat="1" applyFont="1" applyFill="1" applyBorder="1" applyAlignment="1" applyProtection="1">
      <alignment horizontal="center" vertical="center"/>
      <protection locked="0"/>
    </xf>
    <xf numFmtId="165" fontId="78" fillId="15" borderId="82" xfId="1" applyNumberFormat="1" applyFont="1" applyFill="1" applyBorder="1" applyAlignment="1" applyProtection="1">
      <alignment horizontal="center" vertical="center"/>
      <protection locked="0"/>
    </xf>
    <xf numFmtId="0" fontId="83" fillId="34" borderId="78" xfId="1" applyNumberFormat="1" applyFont="1" applyFill="1" applyBorder="1" applyAlignment="1" applyProtection="1">
      <alignment horizontal="center" vertical="center"/>
    </xf>
    <xf numFmtId="0" fontId="83" fillId="34" borderId="72" xfId="1" applyNumberFormat="1" applyFont="1" applyFill="1" applyBorder="1" applyAlignment="1" applyProtection="1">
      <alignment horizontal="center" vertical="center"/>
    </xf>
    <xf numFmtId="0" fontId="83" fillId="34" borderId="73" xfId="1" applyNumberFormat="1" applyFont="1" applyFill="1" applyBorder="1" applyAlignment="1" applyProtection="1">
      <alignment horizontal="center" vertical="center"/>
    </xf>
    <xf numFmtId="0" fontId="83" fillId="34" borderId="74" xfId="1" applyNumberFormat="1" applyFont="1" applyFill="1" applyBorder="1" applyAlignment="1" applyProtection="1">
      <alignment horizontal="center" vertical="center"/>
    </xf>
    <xf numFmtId="0" fontId="83" fillId="34" borderId="67" xfId="1" applyNumberFormat="1" applyFont="1" applyFill="1" applyBorder="1" applyAlignment="1" applyProtection="1">
      <alignment horizontal="center" vertical="center"/>
    </xf>
    <xf numFmtId="0" fontId="83" fillId="34" borderId="75" xfId="1" applyNumberFormat="1" applyFont="1" applyFill="1" applyBorder="1" applyAlignment="1" applyProtection="1">
      <alignment horizontal="center" vertical="center"/>
    </xf>
    <xf numFmtId="0" fontId="78" fillId="0" borderId="249" xfId="0" applyFont="1" applyBorder="1" applyAlignment="1">
      <alignment horizontal="left" vertical="center" wrapText="1" indent="1"/>
    </xf>
    <xf numFmtId="0" fontId="78" fillId="0" borderId="68" xfId="0" applyFont="1" applyBorder="1" applyAlignment="1">
      <alignment horizontal="left" vertical="center" wrapText="1" indent="1"/>
    </xf>
    <xf numFmtId="0" fontId="78" fillId="0" borderId="70" xfId="0" applyFont="1" applyBorder="1" applyAlignment="1">
      <alignment horizontal="left" vertical="center" wrapText="1" indent="1"/>
    </xf>
    <xf numFmtId="0" fontId="26" fillId="27" borderId="77" xfId="0" applyFont="1" applyFill="1" applyBorder="1" applyAlignment="1">
      <alignment horizontal="center" vertical="center" wrapText="1"/>
    </xf>
    <xf numFmtId="0" fontId="26" fillId="27" borderId="61" xfId="0" applyFont="1" applyFill="1" applyBorder="1" applyAlignment="1">
      <alignment horizontal="center" vertical="center" wrapText="1"/>
    </xf>
    <xf numFmtId="0" fontId="82" fillId="0" borderId="20" xfId="0" applyFont="1" applyBorder="1" applyAlignment="1" applyProtection="1">
      <alignment horizontal="left" vertical="center"/>
      <protection locked="0"/>
    </xf>
    <xf numFmtId="0" fontId="82" fillId="0" borderId="108" xfId="0" applyFont="1" applyBorder="1" applyAlignment="1" applyProtection="1">
      <alignment horizontal="left" vertical="center"/>
      <protection locked="0"/>
    </xf>
    <xf numFmtId="0" fontId="78" fillId="15" borderId="20" xfId="0" applyFont="1" applyFill="1" applyBorder="1" applyAlignment="1">
      <alignment horizontal="center" vertical="center" wrapText="1"/>
    </xf>
    <xf numFmtId="0" fontId="78" fillId="15" borderId="145" xfId="0" applyFont="1" applyFill="1" applyBorder="1" applyAlignment="1">
      <alignment horizontal="center" vertical="center" wrapText="1"/>
    </xf>
    <xf numFmtId="0" fontId="78" fillId="15" borderId="108" xfId="0" applyFont="1" applyFill="1" applyBorder="1" applyAlignment="1">
      <alignment horizontal="center" vertical="center" wrapText="1"/>
    </xf>
    <xf numFmtId="0" fontId="21" fillId="0" borderId="0" xfId="0" applyFont="1" applyAlignment="1">
      <alignment horizontal="left" vertical="top"/>
    </xf>
    <xf numFmtId="0" fontId="76" fillId="9" borderId="20" xfId="0" applyFont="1" applyFill="1" applyBorder="1" applyAlignment="1">
      <alignment horizontal="center" vertical="center"/>
    </xf>
    <xf numFmtId="0" fontId="76" fillId="9" borderId="145" xfId="0" applyFont="1" applyFill="1" applyBorder="1" applyAlignment="1">
      <alignment horizontal="center" vertical="center"/>
    </xf>
    <xf numFmtId="0" fontId="76" fillId="9" borderId="108" xfId="0" applyFont="1" applyFill="1" applyBorder="1" applyAlignment="1">
      <alignment horizontal="center" vertical="center"/>
    </xf>
    <xf numFmtId="0" fontId="78" fillId="0" borderId="249" xfId="0" applyFont="1" applyBorder="1" applyAlignment="1" applyProtection="1">
      <alignment horizontal="left" vertical="center"/>
      <protection locked="0"/>
    </xf>
    <xf numFmtId="0" fontId="78" fillId="0" borderId="68" xfId="0" applyFont="1" applyBorder="1" applyAlignment="1" applyProtection="1">
      <alignment horizontal="left" vertical="center"/>
      <protection locked="0"/>
    </xf>
    <xf numFmtId="0" fontId="78" fillId="0" borderId="70" xfId="0" applyFont="1" applyBorder="1" applyAlignment="1" applyProtection="1">
      <alignment horizontal="left" vertical="center"/>
      <protection locked="0"/>
    </xf>
    <xf numFmtId="0" fontId="28" fillId="0" borderId="0" xfId="0" applyFont="1" applyAlignment="1">
      <alignment horizontal="left" vertical="top"/>
    </xf>
    <xf numFmtId="0" fontId="69" fillId="0" borderId="0" xfId="0" applyFont="1" applyAlignment="1">
      <alignment horizontal="center" vertical="center"/>
    </xf>
    <xf numFmtId="0" fontId="69" fillId="0" borderId="33" xfId="0" applyFont="1" applyBorder="1" applyAlignment="1">
      <alignment horizontal="center" vertical="center"/>
    </xf>
    <xf numFmtId="0" fontId="78" fillId="0" borderId="69" xfId="0" applyFont="1" applyBorder="1" applyAlignment="1" applyProtection="1">
      <alignment horizontal="left" vertical="center" wrapText="1" indent="1"/>
      <protection locked="0"/>
    </xf>
    <xf numFmtId="0" fontId="78" fillId="0" borderId="68" xfId="0" applyFont="1" applyBorder="1" applyAlignment="1" applyProtection="1">
      <alignment horizontal="left" vertical="center" wrapText="1" indent="1"/>
      <protection locked="0"/>
    </xf>
    <xf numFmtId="0" fontId="78" fillId="0" borderId="70" xfId="0" applyFont="1" applyBorder="1" applyAlignment="1" applyProtection="1">
      <alignment horizontal="left" vertical="center" wrapText="1" indent="1"/>
      <protection locked="0"/>
    </xf>
    <xf numFmtId="0" fontId="85" fillId="4" borderId="145" xfId="0" applyFont="1" applyFill="1" applyBorder="1" applyAlignment="1">
      <alignment horizontal="left" vertical="top" wrapText="1"/>
    </xf>
    <xf numFmtId="0" fontId="30" fillId="13" borderId="103" xfId="0" applyFont="1" applyFill="1" applyBorder="1" applyAlignment="1">
      <alignment horizontal="center" vertical="center"/>
    </xf>
    <xf numFmtId="0" fontId="30" fillId="13" borderId="61" xfId="0" applyFont="1" applyFill="1" applyBorder="1" applyAlignment="1">
      <alignment horizontal="center" vertical="center"/>
    </xf>
    <xf numFmtId="0" fontId="30" fillId="13" borderId="104" xfId="0" applyFont="1" applyFill="1" applyBorder="1" applyAlignment="1">
      <alignment horizontal="center" vertical="center"/>
    </xf>
    <xf numFmtId="0" fontId="26" fillId="15" borderId="86" xfId="0" applyFont="1" applyFill="1" applyBorder="1" applyAlignment="1" applyProtection="1">
      <alignment horizontal="center" vertical="center"/>
      <protection locked="0"/>
    </xf>
    <xf numFmtId="0" fontId="26" fillId="15" borderId="87" xfId="0" applyFont="1" applyFill="1" applyBorder="1" applyAlignment="1" applyProtection="1">
      <alignment horizontal="center" vertical="center"/>
      <protection locked="0"/>
    </xf>
    <xf numFmtId="0" fontId="85" fillId="0" borderId="17" xfId="0" applyFont="1" applyBorder="1" applyAlignment="1">
      <alignment horizontal="left" vertical="top"/>
    </xf>
    <xf numFmtId="0" fontId="85" fillId="0" borderId="28" xfId="0" applyFont="1" applyBorder="1" applyAlignment="1">
      <alignment horizontal="left" vertical="top"/>
    </xf>
    <xf numFmtId="0" fontId="83" fillId="33" borderId="74" xfId="1" applyNumberFormat="1" applyFont="1" applyFill="1" applyBorder="1" applyAlignment="1" applyProtection="1">
      <alignment horizontal="left" vertical="center"/>
    </xf>
    <xf numFmtId="0" fontId="83" fillId="33" borderId="67" xfId="1" applyNumberFormat="1" applyFont="1" applyFill="1" applyBorder="1" applyAlignment="1" applyProtection="1">
      <alignment horizontal="left" vertical="center"/>
    </xf>
    <xf numFmtId="0" fontId="83" fillId="33" borderId="75" xfId="1" applyNumberFormat="1" applyFont="1" applyFill="1" applyBorder="1" applyAlignment="1" applyProtection="1">
      <alignment horizontal="left" vertical="center"/>
    </xf>
    <xf numFmtId="0" fontId="0" fillId="11" borderId="77" xfId="0" applyFill="1" applyBorder="1" applyAlignment="1">
      <alignment horizontal="center" vertical="center"/>
    </xf>
    <xf numFmtId="0" fontId="0" fillId="11" borderId="61" xfId="0" applyFill="1" applyBorder="1" applyAlignment="1">
      <alignment horizontal="center" vertical="center"/>
    </xf>
    <xf numFmtId="0" fontId="0" fillId="11" borderId="62" xfId="0" applyFill="1" applyBorder="1" applyAlignment="1">
      <alignment horizontal="center" vertical="center"/>
    </xf>
    <xf numFmtId="165" fontId="78" fillId="15" borderId="83" xfId="1" applyNumberFormat="1" applyFont="1" applyFill="1" applyBorder="1" applyAlignment="1" applyProtection="1">
      <alignment horizontal="center" vertical="center"/>
      <protection locked="0"/>
    </xf>
    <xf numFmtId="165" fontId="78" fillId="15" borderId="84" xfId="1" applyNumberFormat="1" applyFont="1" applyFill="1" applyBorder="1" applyAlignment="1" applyProtection="1">
      <alignment horizontal="center" vertical="center"/>
      <protection locked="0"/>
    </xf>
    <xf numFmtId="165" fontId="78" fillId="15" borderId="79" xfId="1" applyNumberFormat="1" applyFont="1" applyFill="1" applyBorder="1" applyAlignment="1" applyProtection="1">
      <alignment horizontal="center" vertical="center"/>
      <protection locked="0"/>
    </xf>
    <xf numFmtId="165" fontId="78" fillId="15" borderId="80" xfId="1" applyNumberFormat="1" applyFont="1" applyFill="1" applyBorder="1" applyAlignment="1" applyProtection="1">
      <alignment horizontal="center" vertical="center"/>
      <protection locked="0"/>
    </xf>
    <xf numFmtId="175" fontId="77" fillId="34" borderId="145" xfId="1" applyNumberFormat="1" applyFont="1" applyFill="1" applyBorder="1" applyAlignment="1" applyProtection="1">
      <alignment horizontal="center" vertical="center"/>
    </xf>
    <xf numFmtId="175" fontId="77" fillId="34" borderId="108" xfId="1" applyNumberFormat="1" applyFont="1" applyFill="1" applyBorder="1" applyAlignment="1" applyProtection="1">
      <alignment horizontal="center" vertical="center"/>
    </xf>
    <xf numFmtId="0" fontId="98" fillId="34" borderId="20" xfId="0" applyFont="1" applyFill="1" applyBorder="1" applyAlignment="1">
      <alignment horizontal="left" vertical="center"/>
    </xf>
    <xf numFmtId="0" fontId="98" fillId="34" borderId="145" xfId="0" applyFont="1" applyFill="1" applyBorder="1" applyAlignment="1">
      <alignment horizontal="left" vertical="center"/>
    </xf>
    <xf numFmtId="0" fontId="78" fillId="0" borderId="145" xfId="0" applyFont="1" applyBorder="1" applyAlignment="1" applyProtection="1">
      <alignment horizontal="left" vertical="center" wrapText="1" indent="1"/>
      <protection locked="0"/>
    </xf>
    <xf numFmtId="0" fontId="78" fillId="0" borderId="108" xfId="0" applyFont="1" applyBorder="1" applyAlignment="1" applyProtection="1">
      <alignment horizontal="left" vertical="center" wrapText="1" indent="1"/>
      <protection locked="0"/>
    </xf>
    <xf numFmtId="0" fontId="78" fillId="0" borderId="20" xfId="0" applyFont="1" applyBorder="1" applyAlignment="1" applyProtection="1">
      <alignment horizontal="center" vertical="center" wrapText="1"/>
      <protection locked="0"/>
    </xf>
    <xf numFmtId="0" fontId="78" fillId="0" borderId="145" xfId="0" applyFont="1" applyBorder="1" applyAlignment="1" applyProtection="1">
      <alignment horizontal="center" vertical="center" wrapText="1"/>
      <protection locked="0"/>
    </xf>
    <xf numFmtId="0" fontId="78" fillId="0" borderId="108" xfId="0" applyFont="1" applyBorder="1" applyAlignment="1" applyProtection="1">
      <alignment horizontal="center" vertical="center" wrapText="1"/>
      <protection locked="0"/>
    </xf>
    <xf numFmtId="0" fontId="78" fillId="25" borderId="20" xfId="0" applyFont="1" applyFill="1" applyBorder="1" applyAlignment="1">
      <alignment horizontal="center" vertical="center" wrapText="1"/>
    </xf>
    <xf numFmtId="0" fontId="78" fillId="25" borderId="145" xfId="0" applyFont="1" applyFill="1" applyBorder="1" applyAlignment="1">
      <alignment horizontal="center" vertical="center" wrapText="1"/>
    </xf>
    <xf numFmtId="0" fontId="78" fillId="25" borderId="108" xfId="0" applyFont="1" applyFill="1" applyBorder="1" applyAlignment="1">
      <alignment horizontal="center" vertical="center" wrapText="1"/>
    </xf>
    <xf numFmtId="165" fontId="78" fillId="23" borderId="83" xfId="1" applyNumberFormat="1" applyFont="1" applyFill="1" applyBorder="1" applyAlignment="1" applyProtection="1">
      <alignment horizontal="left" vertical="center"/>
    </xf>
    <xf numFmtId="165" fontId="78" fillId="23" borderId="79" xfId="1" applyNumberFormat="1" applyFont="1" applyFill="1" applyBorder="1" applyAlignment="1" applyProtection="1">
      <alignment horizontal="left" vertical="center"/>
    </xf>
    <xf numFmtId="0" fontId="79" fillId="4" borderId="148" xfId="0" applyFont="1" applyFill="1" applyBorder="1" applyAlignment="1">
      <alignment horizontal="left" vertical="center" wrapText="1"/>
    </xf>
    <xf numFmtId="0" fontId="79" fillId="4" borderId="149" xfId="0" applyFont="1" applyFill="1" applyBorder="1" applyAlignment="1">
      <alignment horizontal="left" vertical="center" wrapText="1"/>
    </xf>
    <xf numFmtId="0" fontId="79" fillId="4" borderId="90" xfId="0" applyFont="1" applyFill="1" applyBorder="1" applyAlignment="1">
      <alignment horizontal="left" vertical="center" wrapText="1"/>
    </xf>
    <xf numFmtId="0" fontId="79" fillId="4" borderId="150" xfId="0" applyFont="1" applyFill="1" applyBorder="1" applyAlignment="1">
      <alignment horizontal="left" vertical="center" wrapText="1"/>
    </xf>
    <xf numFmtId="165" fontId="78" fillId="23" borderId="83" xfId="1" applyNumberFormat="1" applyFont="1" applyFill="1" applyBorder="1" applyAlignment="1" applyProtection="1">
      <alignment horizontal="left" vertical="center" wrapText="1"/>
    </xf>
    <xf numFmtId="165" fontId="78" fillId="23" borderId="79" xfId="1" applyNumberFormat="1" applyFont="1" applyFill="1" applyBorder="1" applyAlignment="1" applyProtection="1">
      <alignment horizontal="left" vertical="center" wrapText="1"/>
    </xf>
    <xf numFmtId="0" fontId="83" fillId="24" borderId="171" xfId="0" applyFont="1" applyFill="1" applyBorder="1" applyAlignment="1">
      <alignment horizontal="left" vertical="center"/>
    </xf>
    <xf numFmtId="0" fontId="83" fillId="24" borderId="172" xfId="0" applyFont="1" applyFill="1" applyBorder="1" applyAlignment="1">
      <alignment horizontal="left" vertical="center"/>
    </xf>
    <xf numFmtId="0" fontId="83" fillId="24" borderId="0" xfId="0" applyFont="1" applyFill="1" applyAlignment="1">
      <alignment horizontal="center" vertical="center"/>
    </xf>
    <xf numFmtId="165" fontId="78" fillId="23" borderId="81" xfId="1" applyNumberFormat="1" applyFont="1" applyFill="1" applyBorder="1" applyAlignment="1" applyProtection="1">
      <alignment horizontal="left" vertical="center"/>
    </xf>
    <xf numFmtId="0" fontId="79" fillId="4" borderId="151" xfId="0" applyFont="1" applyFill="1" applyBorder="1" applyAlignment="1">
      <alignment horizontal="left" vertical="center" wrapText="1"/>
    </xf>
    <xf numFmtId="0" fontId="79" fillId="4" borderId="152" xfId="0" applyFont="1" applyFill="1" applyBorder="1" applyAlignment="1">
      <alignment horizontal="left" vertical="center" wrapText="1"/>
    </xf>
    <xf numFmtId="0" fontId="89" fillId="24" borderId="153" xfId="0" applyFont="1" applyFill="1" applyBorder="1" applyAlignment="1">
      <alignment horizontal="center" vertical="center"/>
    </xf>
    <xf numFmtId="0" fontId="89" fillId="24" borderId="156" xfId="0" applyFont="1" applyFill="1" applyBorder="1" applyAlignment="1">
      <alignment horizontal="center" vertical="center"/>
    </xf>
    <xf numFmtId="0" fontId="81" fillId="24" borderId="154" xfId="0" applyFont="1" applyFill="1" applyBorder="1" applyAlignment="1">
      <alignment horizontal="center" vertical="center"/>
    </xf>
    <xf numFmtId="0" fontId="81" fillId="24" borderId="157" xfId="0" applyFont="1" applyFill="1" applyBorder="1" applyAlignment="1">
      <alignment horizontal="center" vertical="center"/>
    </xf>
    <xf numFmtId="0" fontId="0" fillId="0" borderId="0" xfId="0"/>
    <xf numFmtId="0" fontId="78" fillId="23" borderId="83" xfId="0" applyFont="1" applyFill="1" applyBorder="1" applyAlignment="1">
      <alignment horizontal="center" vertical="center" wrapText="1"/>
    </xf>
    <xf numFmtId="0" fontId="78" fillId="23" borderId="81" xfId="0" applyFont="1" applyFill="1" applyBorder="1" applyAlignment="1">
      <alignment horizontal="center" vertical="center" wrapText="1"/>
    </xf>
    <xf numFmtId="0" fontId="84" fillId="0" borderId="15" xfId="0" applyFont="1" applyBorder="1" applyAlignment="1">
      <alignment horizontal="left" vertical="center" wrapText="1"/>
    </xf>
    <xf numFmtId="0" fontId="84" fillId="0" borderId="0" xfId="0" applyFont="1" applyAlignment="1">
      <alignment horizontal="left" vertical="center" wrapText="1"/>
    </xf>
    <xf numFmtId="0" fontId="84" fillId="0" borderId="28" xfId="0" applyFont="1" applyBorder="1" applyAlignment="1">
      <alignment horizontal="left" vertical="center" wrapText="1"/>
    </xf>
    <xf numFmtId="0" fontId="78" fillId="25" borderId="153" xfId="0" applyFont="1" applyFill="1" applyBorder="1" applyAlignment="1">
      <alignment horizontal="center" vertical="center"/>
    </xf>
    <xf numFmtId="0" fontId="78" fillId="25" borderId="154" xfId="0" applyFont="1" applyFill="1" applyBorder="1" applyAlignment="1">
      <alignment horizontal="center" vertical="center"/>
    </xf>
    <xf numFmtId="0" fontId="78" fillId="25" borderId="155" xfId="0" applyFont="1" applyFill="1" applyBorder="1" applyAlignment="1">
      <alignment horizontal="center" vertical="center"/>
    </xf>
    <xf numFmtId="0" fontId="78" fillId="25" borderId="156" xfId="0" applyFont="1" applyFill="1" applyBorder="1" applyAlignment="1">
      <alignment horizontal="center" vertical="center"/>
    </xf>
    <xf numFmtId="0" fontId="78" fillId="25" borderId="157" xfId="0" applyFont="1" applyFill="1" applyBorder="1" applyAlignment="1">
      <alignment horizontal="center" vertical="center"/>
    </xf>
    <xf numFmtId="0" fontId="78" fillId="25" borderId="158" xfId="0" applyFont="1" applyFill="1" applyBorder="1" applyAlignment="1">
      <alignment horizontal="center" vertical="center"/>
    </xf>
    <xf numFmtId="0" fontId="78" fillId="25" borderId="153" xfId="0" applyFont="1" applyFill="1" applyBorder="1" applyAlignment="1">
      <alignment horizontal="center" vertical="center" wrapText="1"/>
    </xf>
    <xf numFmtId="0" fontId="78" fillId="25" borderId="154" xfId="0" applyFont="1" applyFill="1" applyBorder="1" applyAlignment="1">
      <alignment horizontal="center" vertical="center" wrapText="1"/>
    </xf>
    <xf numFmtId="0" fontId="78" fillId="25" borderId="155" xfId="0" applyFont="1" applyFill="1" applyBorder="1" applyAlignment="1">
      <alignment horizontal="center" vertical="center" wrapText="1"/>
    </xf>
    <xf numFmtId="0" fontId="78" fillId="25" borderId="156" xfId="0" applyFont="1" applyFill="1" applyBorder="1" applyAlignment="1">
      <alignment horizontal="center" vertical="center" wrapText="1"/>
    </xf>
    <xf numFmtId="0" fontId="78" fillId="25" borderId="157" xfId="0" applyFont="1" applyFill="1" applyBorder="1" applyAlignment="1">
      <alignment horizontal="center" vertical="center" wrapText="1"/>
    </xf>
    <xf numFmtId="0" fontId="78" fillId="25" borderId="158" xfId="0" applyFont="1" applyFill="1" applyBorder="1" applyAlignment="1">
      <alignment horizontal="center" vertical="center" wrapText="1"/>
    </xf>
    <xf numFmtId="0" fontId="22" fillId="0" borderId="63" xfId="0" applyFont="1" applyBorder="1" applyAlignment="1">
      <alignment horizontal="center" vertical="center" wrapText="1"/>
    </xf>
    <xf numFmtId="0" fontId="22" fillId="0" borderId="64" xfId="0" applyFont="1" applyBorder="1" applyAlignment="1">
      <alignment horizontal="center" vertical="center" wrapText="1"/>
    </xf>
    <xf numFmtId="0" fontId="31" fillId="4" borderId="0" xfId="0" applyFont="1" applyFill="1" applyAlignment="1">
      <alignment horizontal="center" vertical="center" wrapText="1"/>
    </xf>
    <xf numFmtId="0" fontId="26" fillId="4" borderId="164" xfId="0" applyFont="1" applyFill="1" applyBorder="1" applyAlignment="1" applyProtection="1">
      <alignment horizontal="left" vertical="top"/>
      <protection locked="0"/>
    </xf>
    <xf numFmtId="0" fontId="79" fillId="0" borderId="164" xfId="0" applyFont="1" applyBorder="1" applyAlignment="1" applyProtection="1">
      <alignment horizontal="left" vertical="center"/>
      <protection locked="0"/>
    </xf>
    <xf numFmtId="0" fontId="78" fillId="0" borderId="159" xfId="0" applyFont="1" applyBorder="1" applyAlignment="1">
      <alignment horizontal="center" vertical="center"/>
    </xf>
    <xf numFmtId="0" fontId="78" fillId="0" borderId="160" xfId="0" applyFont="1" applyBorder="1" applyAlignment="1">
      <alignment horizontal="center" vertical="center"/>
    </xf>
    <xf numFmtId="0" fontId="78" fillId="0" borderId="161" xfId="0" applyFont="1" applyBorder="1" applyAlignment="1">
      <alignment horizontal="center" vertical="center"/>
    </xf>
    <xf numFmtId="0" fontId="78" fillId="25" borderId="162" xfId="0" applyFont="1" applyFill="1" applyBorder="1" applyAlignment="1">
      <alignment horizontal="center" vertical="center" wrapText="1"/>
    </xf>
    <xf numFmtId="0" fontId="78" fillId="25" borderId="163" xfId="0" applyFont="1" applyFill="1" applyBorder="1" applyAlignment="1">
      <alignment horizontal="center" vertical="center" wrapText="1"/>
    </xf>
    <xf numFmtId="0" fontId="79" fillId="27" borderId="164" xfId="0" applyFont="1" applyFill="1" applyBorder="1" applyAlignment="1" applyProtection="1">
      <alignment horizontal="left" vertical="top"/>
      <protection locked="0"/>
    </xf>
    <xf numFmtId="0" fontId="79" fillId="27" borderId="164" xfId="0" applyFont="1" applyFill="1" applyBorder="1" applyAlignment="1" applyProtection="1">
      <alignment horizontal="left" vertical="center"/>
      <protection locked="0"/>
    </xf>
    <xf numFmtId="0" fontId="78" fillId="25" borderId="162" xfId="0" applyFont="1" applyFill="1" applyBorder="1" applyAlignment="1">
      <alignment horizontal="center" vertical="center"/>
    </xf>
    <xf numFmtId="0" fontId="78" fillId="25" borderId="163" xfId="0" applyFont="1" applyFill="1" applyBorder="1" applyAlignment="1">
      <alignment horizontal="center" vertical="center"/>
    </xf>
    <xf numFmtId="0" fontId="50" fillId="0" borderId="113" xfId="0" applyFont="1" applyBorder="1" applyAlignment="1">
      <alignment horizontal="center" vertical="center" wrapText="1"/>
    </xf>
    <xf numFmtId="0" fontId="50" fillId="0" borderId="114" xfId="0" applyFont="1" applyBorder="1" applyAlignment="1">
      <alignment horizontal="center" vertical="center" wrapText="1"/>
    </xf>
    <xf numFmtId="0" fontId="79" fillId="27" borderId="162" xfId="0" applyFont="1" applyFill="1" applyBorder="1" applyAlignment="1" applyProtection="1">
      <alignment horizontal="left" vertical="top"/>
      <protection locked="0"/>
    </xf>
    <xf numFmtId="0" fontId="79" fillId="27" borderId="162" xfId="0" applyFont="1" applyFill="1" applyBorder="1" applyAlignment="1" applyProtection="1">
      <alignment horizontal="left" vertical="center"/>
      <protection locked="0"/>
    </xf>
    <xf numFmtId="0" fontId="26" fillId="4" borderId="163" xfId="0" applyFont="1" applyFill="1" applyBorder="1" applyAlignment="1" applyProtection="1">
      <alignment horizontal="left" vertical="top"/>
      <protection locked="0"/>
    </xf>
    <xf numFmtId="0" fontId="79" fillId="0" borderId="163" xfId="0" applyFont="1" applyBorder="1" applyAlignment="1" applyProtection="1">
      <alignment horizontal="left" vertical="center"/>
      <protection locked="0"/>
    </xf>
    <xf numFmtId="0" fontId="4" fillId="24" borderId="173" xfId="0" applyFont="1" applyFill="1" applyBorder="1" applyAlignment="1">
      <alignment horizontal="left" vertical="center"/>
    </xf>
    <xf numFmtId="0" fontId="4" fillId="24" borderId="174" xfId="0" applyFont="1" applyFill="1" applyBorder="1" applyAlignment="1">
      <alignment horizontal="left" vertical="center"/>
    </xf>
    <xf numFmtId="0" fontId="78" fillId="25" borderId="169" xfId="0" applyFont="1" applyFill="1" applyBorder="1" applyAlignment="1">
      <alignment horizontal="center" vertical="center"/>
    </xf>
    <xf numFmtId="0" fontId="78" fillId="25" borderId="170" xfId="0" applyFont="1" applyFill="1" applyBorder="1" applyAlignment="1">
      <alignment horizontal="center" vertical="center"/>
    </xf>
    <xf numFmtId="0" fontId="78" fillId="25" borderId="169" xfId="0" applyFont="1" applyFill="1" applyBorder="1" applyAlignment="1">
      <alignment horizontal="center" vertical="center" wrapText="1"/>
    </xf>
    <xf numFmtId="0" fontId="78" fillId="25" borderId="170" xfId="0" applyFont="1" applyFill="1" applyBorder="1" applyAlignment="1">
      <alignment horizontal="center" vertical="center" wrapText="1"/>
    </xf>
    <xf numFmtId="0" fontId="50" fillId="0" borderId="115" xfId="0" applyFont="1" applyBorder="1" applyAlignment="1">
      <alignment horizontal="center" vertical="center" wrapText="1"/>
    </xf>
    <xf numFmtId="0" fontId="79" fillId="5" borderId="162" xfId="0" applyFont="1" applyFill="1" applyBorder="1" applyAlignment="1" applyProtection="1">
      <alignment horizontal="left" vertical="center"/>
      <protection locked="0"/>
    </xf>
    <xf numFmtId="0" fontId="78" fillId="0" borderId="167" xfId="0" applyFont="1" applyBorder="1" applyAlignment="1">
      <alignment horizontal="center" vertical="center"/>
    </xf>
    <xf numFmtId="0" fontId="78" fillId="0" borderId="168" xfId="0" applyFont="1" applyBorder="1" applyAlignment="1">
      <alignment horizontal="center" vertical="center"/>
    </xf>
    <xf numFmtId="0" fontId="26" fillId="27" borderId="164" xfId="0" applyFont="1" applyFill="1" applyBorder="1" applyAlignment="1" applyProtection="1">
      <alignment horizontal="left" vertical="top"/>
      <protection locked="0"/>
    </xf>
    <xf numFmtId="0" fontId="79" fillId="5" borderId="164" xfId="0" applyFont="1" applyFill="1" applyBorder="1" applyAlignment="1" applyProtection="1">
      <alignment horizontal="left" vertical="center"/>
      <protection locked="0"/>
    </xf>
    <xf numFmtId="0" fontId="83" fillId="24" borderId="157" xfId="0" applyFont="1" applyFill="1" applyBorder="1" applyAlignment="1">
      <alignment horizontal="left" vertical="center"/>
    </xf>
    <xf numFmtId="0" fontId="83" fillId="24" borderId="158" xfId="0" applyFont="1" applyFill="1" applyBorder="1" applyAlignment="1">
      <alignment horizontal="left" vertical="center"/>
    </xf>
    <xf numFmtId="0" fontId="26" fillId="0" borderId="164" xfId="0" applyFont="1" applyBorder="1" applyAlignment="1" applyProtection="1">
      <alignment horizontal="left" vertical="top"/>
      <protection locked="0"/>
    </xf>
    <xf numFmtId="0" fontId="79" fillId="27" borderId="165" xfId="0" applyFont="1" applyFill="1" applyBorder="1" applyAlignment="1" applyProtection="1">
      <alignment horizontal="left" vertical="top"/>
      <protection locked="0"/>
    </xf>
    <xf numFmtId="0" fontId="79" fillId="27" borderId="0" xfId="0" applyFont="1" applyFill="1" applyAlignment="1" applyProtection="1">
      <alignment horizontal="left" vertical="top"/>
      <protection locked="0"/>
    </xf>
    <xf numFmtId="0" fontId="79" fillId="27" borderId="166" xfId="0" applyFont="1" applyFill="1" applyBorder="1" applyAlignment="1" applyProtection="1">
      <alignment horizontal="left" vertical="top"/>
      <protection locked="0"/>
    </xf>
    <xf numFmtId="0" fontId="26" fillId="4" borderId="165" xfId="0" applyFont="1" applyFill="1" applyBorder="1" applyAlignment="1" applyProtection="1">
      <alignment horizontal="left" vertical="top"/>
      <protection locked="0"/>
    </xf>
    <xf numFmtId="0" fontId="26" fillId="4" borderId="0" xfId="0" applyFont="1" applyFill="1" applyAlignment="1" applyProtection="1">
      <alignment horizontal="left" vertical="top"/>
      <protection locked="0"/>
    </xf>
    <xf numFmtId="0" fontId="26" fillId="4" borderId="166" xfId="0" applyFont="1" applyFill="1" applyBorder="1" applyAlignment="1" applyProtection="1">
      <alignment horizontal="left" vertical="top"/>
      <protection locked="0"/>
    </xf>
    <xf numFmtId="0" fontId="78" fillId="25" borderId="115" xfId="0" applyFont="1" applyFill="1" applyBorder="1" applyAlignment="1">
      <alignment horizontal="center" vertical="center" wrapText="1"/>
    </xf>
    <xf numFmtId="0" fontId="78" fillId="25" borderId="112" xfId="0" applyFont="1" applyFill="1" applyBorder="1" applyAlignment="1">
      <alignment horizontal="center" vertical="center" wrapText="1"/>
    </xf>
    <xf numFmtId="0" fontId="82" fillId="0" borderId="159" xfId="0" applyFont="1" applyBorder="1" applyAlignment="1">
      <alignment horizontal="center" vertical="center"/>
    </xf>
    <xf numFmtId="0" fontId="82" fillId="0" borderId="160" xfId="0" applyFont="1" applyBorder="1" applyAlignment="1">
      <alignment horizontal="center" vertical="center"/>
    </xf>
    <xf numFmtId="0" fontId="82" fillId="0" borderId="161" xfId="0" applyFont="1" applyBorder="1" applyAlignment="1">
      <alignment horizontal="center" vertical="center"/>
    </xf>
    <xf numFmtId="0" fontId="88" fillId="0" borderId="63" xfId="0" applyFont="1" applyBorder="1" applyAlignment="1">
      <alignment horizontal="center" vertical="center" wrapText="1"/>
    </xf>
    <xf numFmtId="0" fontId="88" fillId="0" borderId="64" xfId="0" applyFont="1" applyBorder="1" applyAlignment="1">
      <alignment horizontal="center" vertical="center" wrapText="1"/>
    </xf>
    <xf numFmtId="0" fontId="82" fillId="4" borderId="0" xfId="0" applyFont="1" applyFill="1" applyAlignment="1">
      <alignment horizontal="center" vertical="center" wrapText="1"/>
    </xf>
    <xf numFmtId="0" fontId="78" fillId="0" borderId="177" xfId="0" applyFont="1" applyBorder="1" applyAlignment="1">
      <alignment horizontal="center" vertical="center"/>
    </xf>
    <xf numFmtId="0" fontId="83" fillId="24" borderId="252" xfId="0" applyFont="1" applyFill="1" applyBorder="1" applyAlignment="1">
      <alignment horizontal="left" vertical="center"/>
    </xf>
    <xf numFmtId="0" fontId="83" fillId="24" borderId="251" xfId="0" applyFont="1" applyFill="1" applyBorder="1" applyAlignment="1">
      <alignment horizontal="left" vertical="center"/>
    </xf>
    <xf numFmtId="0" fontId="83" fillId="24" borderId="0" xfId="0" applyFont="1" applyFill="1" applyAlignment="1">
      <alignment horizontal="left" vertical="center"/>
    </xf>
    <xf numFmtId="0" fontId="83" fillId="24" borderId="166" xfId="0" applyFont="1" applyFill="1" applyBorder="1" applyAlignment="1">
      <alignment horizontal="left" vertical="center"/>
    </xf>
    <xf numFmtId="0" fontId="79" fillId="0" borderId="165" xfId="0" applyFont="1" applyBorder="1" applyAlignment="1" applyProtection="1">
      <alignment horizontal="left" vertical="center"/>
      <protection locked="0"/>
    </xf>
    <xf numFmtId="0" fontId="79" fillId="0" borderId="0" xfId="0" applyFont="1" applyAlignment="1" applyProtection="1">
      <alignment horizontal="left" vertical="center"/>
      <protection locked="0"/>
    </xf>
    <xf numFmtId="0" fontId="79" fillId="0" borderId="166" xfId="0" applyFont="1" applyBorder="1" applyAlignment="1" applyProtection="1">
      <alignment horizontal="left" vertical="center"/>
      <protection locked="0"/>
    </xf>
    <xf numFmtId="0" fontId="79" fillId="27" borderId="165" xfId="0" applyFont="1" applyFill="1" applyBorder="1" applyAlignment="1" applyProtection="1">
      <alignment horizontal="left" vertical="center"/>
      <protection locked="0"/>
    </xf>
    <xf numFmtId="0" fontId="79" fillId="27" borderId="0" xfId="0" applyFont="1" applyFill="1" applyAlignment="1" applyProtection="1">
      <alignment horizontal="left" vertical="center"/>
      <protection locked="0"/>
    </xf>
    <xf numFmtId="0" fontId="79" fillId="27" borderId="166" xfId="0" applyFont="1" applyFill="1" applyBorder="1" applyAlignment="1" applyProtection="1">
      <alignment horizontal="left" vertical="center"/>
      <protection locked="0"/>
    </xf>
    <xf numFmtId="0" fontId="26" fillId="4" borderId="156" xfId="0" applyFont="1" applyFill="1" applyBorder="1" applyAlignment="1" applyProtection="1">
      <alignment horizontal="left" vertical="top"/>
      <protection locked="0"/>
    </xf>
    <xf numFmtId="0" fontId="26" fillId="4" borderId="157" xfId="0" applyFont="1" applyFill="1" applyBorder="1" applyAlignment="1" applyProtection="1">
      <alignment horizontal="left" vertical="top"/>
      <protection locked="0"/>
    </xf>
    <xf numFmtId="0" fontId="26" fillId="4" borderId="158" xfId="0" applyFont="1" applyFill="1" applyBorder="1" applyAlignment="1" applyProtection="1">
      <alignment horizontal="left" vertical="top"/>
      <protection locked="0"/>
    </xf>
    <xf numFmtId="0" fontId="79" fillId="0" borderId="156" xfId="0" applyFont="1" applyBorder="1" applyAlignment="1" applyProtection="1">
      <alignment horizontal="left" vertical="center"/>
      <protection locked="0"/>
    </xf>
    <xf numFmtId="0" fontId="79" fillId="0" borderId="157" xfId="0" applyFont="1" applyBorder="1" applyAlignment="1" applyProtection="1">
      <alignment horizontal="left" vertical="center"/>
      <protection locked="0"/>
    </xf>
    <xf numFmtId="0" fontId="79" fillId="0" borderId="158" xfId="0" applyFont="1" applyBorder="1" applyAlignment="1" applyProtection="1">
      <alignment horizontal="left" vertical="center"/>
      <protection locked="0"/>
    </xf>
    <xf numFmtId="0" fontId="78" fillId="25" borderId="178" xfId="0" applyFont="1" applyFill="1" applyBorder="1" applyAlignment="1">
      <alignment horizontal="center" vertical="center"/>
    </xf>
    <xf numFmtId="0" fontId="78" fillId="25" borderId="181" xfId="0" applyFont="1" applyFill="1" applyBorder="1" applyAlignment="1">
      <alignment horizontal="center" vertical="center"/>
    </xf>
    <xf numFmtId="0" fontId="78" fillId="25" borderId="178" xfId="0" applyFont="1" applyFill="1" applyBorder="1" applyAlignment="1">
      <alignment horizontal="center" vertical="center" wrapText="1"/>
    </xf>
    <xf numFmtId="0" fontId="78" fillId="25" borderId="181" xfId="0" applyFont="1" applyFill="1" applyBorder="1" applyAlignment="1">
      <alignment horizontal="center" vertical="center" wrapText="1"/>
    </xf>
    <xf numFmtId="0" fontId="14" fillId="0" borderId="52" xfId="0" applyFont="1" applyBorder="1" applyAlignment="1">
      <alignment horizontal="center" vertical="center" wrapText="1"/>
    </xf>
    <xf numFmtId="0" fontId="82" fillId="25" borderId="162" xfId="0" applyFont="1" applyFill="1" applyBorder="1" applyAlignment="1">
      <alignment horizontal="center" vertical="center"/>
    </xf>
    <xf numFmtId="0" fontId="82" fillId="25" borderId="163" xfId="0" applyFont="1" applyFill="1" applyBorder="1" applyAlignment="1">
      <alignment horizontal="center" vertical="center"/>
    </xf>
    <xf numFmtId="0" fontId="82" fillId="25" borderId="162" xfId="0" applyFont="1" applyFill="1" applyBorder="1" applyAlignment="1">
      <alignment horizontal="center" vertical="center" wrapText="1"/>
    </xf>
    <xf numFmtId="0" fontId="82" fillId="25" borderId="163" xfId="0" applyFont="1" applyFill="1" applyBorder="1" applyAlignment="1">
      <alignment horizontal="center" vertical="center" wrapText="1"/>
    </xf>
    <xf numFmtId="0" fontId="82" fillId="25" borderId="153" xfId="0" applyFont="1" applyFill="1" applyBorder="1" applyAlignment="1">
      <alignment horizontal="center" vertical="center" wrapText="1"/>
    </xf>
    <xf numFmtId="0" fontId="82" fillId="25" borderId="156" xfId="0" applyFont="1" applyFill="1" applyBorder="1" applyAlignment="1">
      <alignment horizontal="center" vertical="center" wrapText="1"/>
    </xf>
    <xf numFmtId="0" fontId="82" fillId="25" borderId="154" xfId="0" applyFont="1" applyFill="1" applyBorder="1" applyAlignment="1">
      <alignment horizontal="center" vertical="center" wrapText="1"/>
    </xf>
    <xf numFmtId="0" fontId="82" fillId="25" borderId="157" xfId="0" applyFont="1" applyFill="1" applyBorder="1" applyAlignment="1">
      <alignment horizontal="center" vertical="center" wrapText="1"/>
    </xf>
    <xf numFmtId="0" fontId="82" fillId="25" borderId="155" xfId="0" applyFont="1" applyFill="1" applyBorder="1" applyAlignment="1">
      <alignment horizontal="center" vertical="center" wrapText="1"/>
    </xf>
    <xf numFmtId="0" fontId="82" fillId="25" borderId="158" xfId="0" applyFont="1" applyFill="1" applyBorder="1" applyAlignment="1">
      <alignment horizontal="center" vertical="center" wrapText="1"/>
    </xf>
    <xf numFmtId="0" fontId="82" fillId="25" borderId="178" xfId="0" applyFont="1" applyFill="1" applyBorder="1" applyAlignment="1">
      <alignment horizontal="center" vertical="center"/>
    </xf>
    <xf numFmtId="0" fontId="82" fillId="25" borderId="181" xfId="0" applyFont="1" applyFill="1" applyBorder="1" applyAlignment="1">
      <alignment horizontal="center" vertical="center"/>
    </xf>
    <xf numFmtId="0" fontId="82" fillId="25" borderId="178" xfId="0" applyFont="1" applyFill="1" applyBorder="1" applyAlignment="1">
      <alignment horizontal="center" vertical="center" wrapText="1"/>
    </xf>
    <xf numFmtId="0" fontId="82" fillId="25" borderId="181" xfId="0" applyFont="1" applyFill="1" applyBorder="1" applyAlignment="1">
      <alignment horizontal="center" vertical="center" wrapText="1"/>
    </xf>
    <xf numFmtId="0" fontId="31" fillId="0" borderId="178" xfId="0" applyFont="1" applyBorder="1" applyAlignment="1">
      <alignment horizontal="center" vertical="center" wrapText="1"/>
    </xf>
    <xf numFmtId="0" fontId="31" fillId="0" borderId="181" xfId="0" applyFont="1" applyBorder="1" applyAlignment="1">
      <alignment horizontal="center" vertical="center" wrapText="1"/>
    </xf>
    <xf numFmtId="0" fontId="82" fillId="0" borderId="253" xfId="0" applyFont="1" applyBorder="1" applyAlignment="1">
      <alignment horizontal="center" vertical="center"/>
    </xf>
    <xf numFmtId="0" fontId="82" fillId="0" borderId="183" xfId="0" applyFont="1" applyBorder="1" applyAlignment="1">
      <alignment horizontal="center" vertical="center"/>
    </xf>
    <xf numFmtId="0" fontId="78" fillId="0" borderId="52" xfId="0" applyFont="1" applyBorder="1" applyAlignment="1">
      <alignment horizontal="center" vertical="center" wrapText="1"/>
    </xf>
    <xf numFmtId="0" fontId="78" fillId="0" borderId="182" xfId="0" applyFont="1" applyBorder="1" applyAlignment="1">
      <alignment horizontal="center" vertical="center"/>
    </xf>
    <xf numFmtId="0" fontId="78" fillId="0" borderId="183" xfId="0" applyFont="1" applyBorder="1" applyAlignment="1">
      <alignment horizontal="center" vertical="center"/>
    </xf>
    <xf numFmtId="0" fontId="4" fillId="24" borderId="157" xfId="0" applyFont="1" applyFill="1" applyBorder="1" applyAlignment="1">
      <alignment horizontal="left" vertical="center"/>
    </xf>
    <xf numFmtId="0" fontId="4" fillId="24" borderId="158" xfId="0" applyFont="1" applyFill="1" applyBorder="1" applyAlignment="1">
      <alignment horizontal="left" vertical="center"/>
    </xf>
    <xf numFmtId="0" fontId="31" fillId="0" borderId="179" xfId="0" applyFont="1" applyBorder="1" applyAlignment="1">
      <alignment horizontal="center" vertical="center" wrapText="1"/>
    </xf>
    <xf numFmtId="0" fontId="82" fillId="0" borderId="182" xfId="0" applyFont="1" applyBorder="1" applyAlignment="1">
      <alignment horizontal="center" vertical="center"/>
    </xf>
    <xf numFmtId="0" fontId="26" fillId="0" borderId="163" xfId="0" applyFont="1" applyBorder="1" applyAlignment="1" applyProtection="1">
      <alignment horizontal="left" vertical="top"/>
      <protection locked="0"/>
    </xf>
    <xf numFmtId="0" fontId="0" fillId="38" borderId="0" xfId="0" applyFill="1" applyAlignment="1">
      <alignment horizontal="center" vertical="center"/>
    </xf>
    <xf numFmtId="0" fontId="0" fillId="39" borderId="0" xfId="0" applyFill="1" applyAlignment="1">
      <alignment horizontal="center" vertical="center"/>
    </xf>
    <xf numFmtId="0" fontId="0" fillId="0" borderId="0" xfId="0" applyAlignment="1">
      <alignment horizontal="center" vertical="center"/>
    </xf>
    <xf numFmtId="0" fontId="58" fillId="6" borderId="0" xfId="0" applyFont="1" applyFill="1" applyAlignment="1">
      <alignment horizontal="center" vertical="center"/>
    </xf>
    <xf numFmtId="0" fontId="0" fillId="41" borderId="49" xfId="0" applyFill="1" applyBorder="1" applyAlignment="1">
      <alignment horizontal="center" vertical="center"/>
    </xf>
    <xf numFmtId="0" fontId="0" fillId="38" borderId="109" xfId="0" applyFill="1" applyBorder="1" applyAlignment="1">
      <alignment horizontal="center" vertical="center"/>
    </xf>
    <xf numFmtId="0" fontId="0" fillId="38" borderId="90" xfId="0" applyFill="1" applyBorder="1" applyAlignment="1">
      <alignment horizontal="center" vertical="center"/>
    </xf>
    <xf numFmtId="0" fontId="0" fillId="38" borderId="71" xfId="0" applyFill="1" applyBorder="1" applyAlignment="1">
      <alignment horizontal="center" vertical="center"/>
    </xf>
    <xf numFmtId="0" fontId="0" fillId="40" borderId="49" xfId="0" applyFill="1" applyBorder="1" applyAlignment="1">
      <alignment horizontal="center" vertical="center"/>
    </xf>
    <xf numFmtId="0" fontId="0" fillId="5" borderId="109" xfId="0" applyFill="1" applyBorder="1" applyAlignment="1">
      <alignment horizontal="center" vertical="center"/>
    </xf>
    <xf numFmtId="0" fontId="0" fillId="5" borderId="90" xfId="0" applyFill="1" applyBorder="1" applyAlignment="1">
      <alignment horizontal="center" vertical="center"/>
    </xf>
    <xf numFmtId="0" fontId="0" fillId="5" borderId="71" xfId="0" applyFill="1" applyBorder="1" applyAlignment="1">
      <alignment horizontal="center" vertical="center"/>
    </xf>
    <xf numFmtId="0" fontId="0" fillId="6" borderId="0" xfId="0" applyFill="1" applyAlignment="1">
      <alignment horizontal="center" vertical="center"/>
    </xf>
    <xf numFmtId="0" fontId="82" fillId="31" borderId="186" xfId="0" applyFont="1" applyFill="1" applyBorder="1" applyAlignment="1">
      <alignment horizontal="center"/>
    </xf>
    <xf numFmtId="0" fontId="82" fillId="31" borderId="187" xfId="0" applyFont="1" applyFill="1" applyBorder="1" applyAlignment="1">
      <alignment horizontal="center"/>
    </xf>
    <xf numFmtId="0" fontId="82" fillId="31" borderId="188" xfId="0" applyFont="1" applyFill="1" applyBorder="1" applyAlignment="1">
      <alignment horizontal="center"/>
    </xf>
    <xf numFmtId="0" fontId="76" fillId="9" borderId="50" xfId="0" applyFont="1" applyFill="1" applyBorder="1" applyAlignment="1">
      <alignment horizontal="center" vertical="center"/>
    </xf>
    <xf numFmtId="0" fontId="100" fillId="4" borderId="0" xfId="0" applyFont="1" applyFill="1" applyAlignment="1">
      <alignment horizontal="center" vertical="center"/>
    </xf>
    <xf numFmtId="0" fontId="79" fillId="0" borderId="109" xfId="0" applyFont="1" applyBorder="1" applyAlignment="1">
      <alignment horizontal="left" vertical="center" wrapText="1"/>
    </xf>
    <xf numFmtId="0" fontId="79" fillId="0" borderId="90" xfId="0" applyFont="1" applyBorder="1" applyAlignment="1">
      <alignment horizontal="left" vertical="center" wrapText="1"/>
    </xf>
    <xf numFmtId="0" fontId="79" fillId="0" borderId="71" xfId="0" applyFont="1" applyBorder="1" applyAlignment="1">
      <alignment horizontal="left" vertical="center" wrapText="1"/>
    </xf>
    <xf numFmtId="1" fontId="61" fillId="16" borderId="0" xfId="3" applyNumberFormat="1" applyFont="1" applyFill="1" applyAlignment="1" applyProtection="1">
      <alignment horizontal="center" vertical="center" wrapText="1"/>
      <protection hidden="1"/>
    </xf>
    <xf numFmtId="0" fontId="68" fillId="0" borderId="0" xfId="0" applyFont="1" applyAlignment="1">
      <alignment horizontal="center" vertical="center" wrapText="1"/>
    </xf>
    <xf numFmtId="0" fontId="0" fillId="0" borderId="20" xfId="0" applyBorder="1" applyAlignment="1">
      <alignment horizontal="center"/>
    </xf>
    <xf numFmtId="0" fontId="0" fillId="0" borderId="145" xfId="0" applyBorder="1" applyAlignment="1">
      <alignment horizontal="center"/>
    </xf>
    <xf numFmtId="0" fontId="0" fillId="0" borderId="108" xfId="0" applyBorder="1" applyAlignment="1">
      <alignment horizontal="center"/>
    </xf>
    <xf numFmtId="0" fontId="78" fillId="30" borderId="184" xfId="0" applyFont="1" applyFill="1" applyBorder="1" applyAlignment="1">
      <alignment horizontal="center" vertical="center" wrapText="1"/>
    </xf>
    <xf numFmtId="0" fontId="78" fillId="30" borderId="244" xfId="0" applyFont="1" applyFill="1" applyBorder="1" applyAlignment="1">
      <alignment horizontal="center" vertical="center" wrapText="1"/>
    </xf>
    <xf numFmtId="0" fontId="78" fillId="30" borderId="257" xfId="0" applyFont="1" applyFill="1" applyBorder="1" applyAlignment="1">
      <alignment horizontal="center" vertical="center" wrapText="1"/>
    </xf>
    <xf numFmtId="0" fontId="48" fillId="0" borderId="133" xfId="0" applyFont="1" applyBorder="1" applyAlignment="1">
      <alignment horizontal="center" vertical="center" wrapText="1"/>
    </xf>
    <xf numFmtId="0" fontId="48" fillId="0" borderId="139" xfId="0" applyFont="1" applyBorder="1" applyAlignment="1">
      <alignment horizontal="center" vertical="center" wrapText="1"/>
    </xf>
    <xf numFmtId="0" fontId="48" fillId="0" borderId="140" xfId="0" applyFont="1" applyBorder="1" applyAlignment="1">
      <alignment horizontal="center" vertical="center" wrapText="1"/>
    </xf>
    <xf numFmtId="10" fontId="78" fillId="25" borderId="219" xfId="2" applyNumberFormat="1" applyFont="1" applyFill="1" applyBorder="1" applyAlignment="1" applyProtection="1">
      <alignment horizontal="center" vertical="center" wrapText="1"/>
    </xf>
    <xf numFmtId="10" fontId="78" fillId="25" borderId="46" xfId="2" applyNumberFormat="1" applyFont="1" applyFill="1" applyBorder="1" applyAlignment="1" applyProtection="1">
      <alignment horizontal="center" vertical="center" wrapText="1"/>
    </xf>
    <xf numFmtId="10" fontId="78" fillId="25" borderId="221" xfId="2" applyNumberFormat="1" applyFont="1" applyFill="1" applyBorder="1" applyAlignment="1" applyProtection="1">
      <alignment horizontal="center" vertical="center" wrapText="1"/>
    </xf>
    <xf numFmtId="0" fontId="78" fillId="25" borderId="205" xfId="0" applyFont="1" applyFill="1" applyBorder="1" applyAlignment="1">
      <alignment horizontal="center" vertical="center"/>
    </xf>
    <xf numFmtId="0" fontId="78" fillId="25" borderId="72" xfId="0" applyFont="1" applyFill="1" applyBorder="1" applyAlignment="1">
      <alignment horizontal="center" vertical="center"/>
    </xf>
    <xf numFmtId="0" fontId="78" fillId="25" borderId="208" xfId="0" applyFont="1" applyFill="1" applyBorder="1" applyAlignment="1">
      <alignment horizontal="center" vertical="center"/>
    </xf>
    <xf numFmtId="0" fontId="78" fillId="25" borderId="227" xfId="0" applyFont="1" applyFill="1" applyBorder="1" applyAlignment="1">
      <alignment horizontal="center" vertical="center"/>
    </xf>
    <xf numFmtId="0" fontId="78" fillId="25" borderId="27" xfId="0" applyFont="1" applyFill="1" applyBorder="1" applyAlignment="1">
      <alignment horizontal="center" vertical="center"/>
    </xf>
    <xf numFmtId="0" fontId="78" fillId="25" borderId="228" xfId="0" applyFont="1" applyFill="1" applyBorder="1" applyAlignment="1">
      <alignment horizontal="center" vertical="center"/>
    </xf>
    <xf numFmtId="0" fontId="78" fillId="25" borderId="209" xfId="0" applyFont="1" applyFill="1" applyBorder="1" applyAlignment="1">
      <alignment horizontal="center" vertical="center" wrapText="1"/>
    </xf>
    <xf numFmtId="0" fontId="78" fillId="25" borderId="100" xfId="0" applyFont="1" applyFill="1" applyBorder="1" applyAlignment="1">
      <alignment horizontal="center" vertical="center" wrapText="1"/>
    </xf>
    <xf numFmtId="0" fontId="78" fillId="25" borderId="206" xfId="0" applyFont="1" applyFill="1" applyBorder="1" applyAlignment="1">
      <alignment horizontal="center" vertical="center"/>
    </xf>
    <xf numFmtId="0" fontId="78" fillId="25" borderId="226" xfId="0" applyFont="1" applyFill="1" applyBorder="1" applyAlignment="1">
      <alignment horizontal="center" vertical="center"/>
    </xf>
    <xf numFmtId="0" fontId="116" fillId="0" borderId="67" xfId="12" applyFont="1" applyBorder="1" applyAlignment="1">
      <alignment horizontal="left" vertical="center"/>
    </xf>
    <xf numFmtId="0" fontId="78" fillId="25" borderId="78" xfId="0" applyFont="1" applyFill="1" applyBorder="1" applyAlignment="1">
      <alignment horizontal="center" vertical="center"/>
    </xf>
    <xf numFmtId="0" fontId="78" fillId="25" borderId="111" xfId="0" applyFont="1" applyFill="1" applyBorder="1" applyAlignment="1">
      <alignment horizontal="center" vertical="center"/>
    </xf>
    <xf numFmtId="0" fontId="78" fillId="25" borderId="0" xfId="0" applyFont="1" applyFill="1" applyAlignment="1">
      <alignment horizontal="center" vertical="center"/>
    </xf>
    <xf numFmtId="0" fontId="78" fillId="25" borderId="74" xfId="0" applyFont="1" applyFill="1" applyBorder="1" applyAlignment="1">
      <alignment horizontal="center" vertical="center"/>
    </xf>
    <xf numFmtId="0" fontId="78" fillId="25" borderId="67" xfId="0" applyFont="1" applyFill="1" applyBorder="1" applyAlignment="1">
      <alignment horizontal="center" vertical="center"/>
    </xf>
    <xf numFmtId="0" fontId="78" fillId="25" borderId="210" xfId="0" applyFont="1" applyFill="1" applyBorder="1" applyAlignment="1" applyProtection="1">
      <alignment horizontal="center" vertical="center"/>
      <protection locked="0"/>
    </xf>
    <xf numFmtId="0" fontId="78" fillId="25" borderId="212" xfId="0" applyFont="1" applyFill="1" applyBorder="1" applyAlignment="1" applyProtection="1">
      <alignment horizontal="center" vertical="center"/>
      <protection locked="0"/>
    </xf>
    <xf numFmtId="0" fontId="78" fillId="25" borderId="218" xfId="0" applyFont="1" applyFill="1" applyBorder="1" applyAlignment="1" applyProtection="1">
      <alignment horizontal="center" vertical="center"/>
      <protection locked="0"/>
    </xf>
    <xf numFmtId="0" fontId="78" fillId="27" borderId="264" xfId="0" applyFont="1" applyFill="1" applyBorder="1" applyAlignment="1">
      <alignment horizontal="center" vertical="center" wrapText="1"/>
    </xf>
    <xf numFmtId="0" fontId="78" fillId="27" borderId="244" xfId="0" applyFont="1" applyFill="1" applyBorder="1" applyAlignment="1">
      <alignment horizontal="center" vertical="center" wrapText="1"/>
    </xf>
    <xf numFmtId="0" fontId="78" fillId="27" borderId="257" xfId="0" applyFont="1" applyFill="1" applyBorder="1" applyAlignment="1">
      <alignment horizontal="center" vertical="center" wrapText="1"/>
    </xf>
    <xf numFmtId="0" fontId="78" fillId="30" borderId="79" xfId="0" applyFont="1" applyFill="1" applyBorder="1" applyAlignment="1">
      <alignment horizontal="center" vertical="center" wrapText="1"/>
    </xf>
    <xf numFmtId="0" fontId="78" fillId="30" borderId="81" xfId="0" applyFont="1" applyFill="1" applyBorder="1" applyAlignment="1">
      <alignment horizontal="center" vertical="center" wrapText="1"/>
    </xf>
    <xf numFmtId="0" fontId="104" fillId="0" borderId="133" xfId="0" applyFont="1" applyBorder="1" applyAlignment="1">
      <alignment horizontal="center" vertical="center" wrapText="1"/>
    </xf>
    <xf numFmtId="0" fontId="104" fillId="0" borderId="139" xfId="0" applyFont="1" applyBorder="1" applyAlignment="1">
      <alignment horizontal="center" vertical="center" wrapText="1"/>
    </xf>
    <xf numFmtId="0" fontId="104" fillId="0" borderId="140" xfId="0" applyFont="1" applyBorder="1" applyAlignment="1">
      <alignment horizontal="center" vertical="center" wrapText="1"/>
    </xf>
    <xf numFmtId="0" fontId="78" fillId="25" borderId="40" xfId="0" applyFont="1" applyFill="1" applyBorder="1" applyAlignment="1">
      <alignment horizontal="center" vertical="center"/>
    </xf>
    <xf numFmtId="0" fontId="78" fillId="25" borderId="220" xfId="0" applyFont="1" applyFill="1" applyBorder="1" applyAlignment="1">
      <alignment horizontal="center" vertical="center"/>
    </xf>
    <xf numFmtId="0" fontId="14" fillId="25" borderId="73" xfId="0" applyFont="1" applyFill="1" applyBorder="1" applyAlignment="1">
      <alignment horizontal="center" vertical="center"/>
    </xf>
    <xf numFmtId="0" fontId="14" fillId="25" borderId="66" xfId="0" applyFont="1" applyFill="1" applyBorder="1" applyAlignment="1">
      <alignment horizontal="center" vertical="center"/>
    </xf>
    <xf numFmtId="0" fontId="14" fillId="25" borderId="75" xfId="0" applyFont="1" applyFill="1" applyBorder="1" applyAlignment="1">
      <alignment horizontal="center" vertical="center"/>
    </xf>
    <xf numFmtId="0" fontId="104" fillId="0" borderId="59" xfId="0" applyFont="1" applyBorder="1" applyAlignment="1">
      <alignment horizontal="center" vertical="center" wrapText="1"/>
    </xf>
    <xf numFmtId="0" fontId="104" fillId="0" borderId="43" xfId="0" applyFont="1" applyBorder="1" applyAlignment="1">
      <alignment horizontal="center" vertical="center" wrapText="1"/>
    </xf>
    <xf numFmtId="0" fontId="104" fillId="0" borderId="44" xfId="0" applyFont="1" applyBorder="1" applyAlignment="1">
      <alignment horizontal="center" vertical="center" wrapText="1"/>
    </xf>
    <xf numFmtId="10" fontId="78" fillId="25" borderId="72" xfId="2" applyNumberFormat="1" applyFont="1" applyFill="1" applyBorder="1" applyAlignment="1" applyProtection="1">
      <alignment horizontal="center" vertical="center" wrapText="1"/>
    </xf>
    <xf numFmtId="10" fontId="78" fillId="25" borderId="0" xfId="2" applyNumberFormat="1" applyFont="1" applyFill="1" applyBorder="1" applyAlignment="1" applyProtection="1">
      <alignment horizontal="center" vertical="center" wrapText="1"/>
    </xf>
    <xf numFmtId="10" fontId="78" fillId="25" borderId="67" xfId="2" applyNumberFormat="1" applyFont="1" applyFill="1" applyBorder="1" applyAlignment="1" applyProtection="1">
      <alignment horizontal="center" vertical="center" wrapText="1"/>
    </xf>
    <xf numFmtId="0" fontId="78" fillId="25" borderId="202" xfId="0" applyFont="1" applyFill="1" applyBorder="1" applyAlignment="1">
      <alignment horizontal="center" vertical="center" wrapText="1"/>
    </xf>
    <xf numFmtId="0" fontId="78" fillId="25" borderId="203" xfId="0" applyFont="1" applyFill="1" applyBorder="1" applyAlignment="1">
      <alignment horizontal="center" vertical="center" wrapText="1"/>
    </xf>
    <xf numFmtId="0" fontId="78" fillId="25" borderId="211" xfId="0" applyFont="1" applyFill="1" applyBorder="1" applyAlignment="1">
      <alignment horizontal="center" vertical="center" wrapText="1"/>
    </xf>
    <xf numFmtId="0" fontId="78" fillId="25" borderId="54" xfId="0" applyFont="1" applyFill="1" applyBorder="1" applyAlignment="1">
      <alignment horizontal="center" vertical="center" wrapText="1"/>
    </xf>
    <xf numFmtId="0" fontId="78" fillId="25" borderId="213" xfId="0" applyFont="1" applyFill="1" applyBorder="1" applyAlignment="1">
      <alignment horizontal="center" vertical="center" wrapText="1"/>
    </xf>
    <xf numFmtId="0" fontId="78" fillId="25" borderId="214" xfId="0" applyFont="1" applyFill="1" applyBorder="1" applyAlignment="1">
      <alignment horizontal="center" vertical="center" wrapText="1"/>
    </xf>
    <xf numFmtId="0" fontId="25" fillId="0" borderId="99" xfId="0" applyFont="1" applyBorder="1" applyAlignment="1">
      <alignment horizontal="center" vertical="center"/>
    </xf>
    <xf numFmtId="0" fontId="25" fillId="0" borderId="93" xfId="0" applyFont="1" applyBorder="1" applyAlignment="1">
      <alignment horizontal="center" vertical="center"/>
    </xf>
    <xf numFmtId="0" fontId="25" fillId="0" borderId="97" xfId="0" applyFont="1" applyBorder="1" applyAlignment="1">
      <alignment horizontal="center" vertical="center"/>
    </xf>
    <xf numFmtId="10" fontId="78" fillId="25" borderId="235" xfId="2" applyNumberFormat="1" applyFont="1" applyFill="1" applyBorder="1" applyAlignment="1" applyProtection="1">
      <alignment horizontal="center" vertical="center" wrapText="1"/>
    </xf>
    <xf numFmtId="10" fontId="78" fillId="25" borderId="57" xfId="2" applyNumberFormat="1" applyFont="1" applyFill="1" applyBorder="1" applyAlignment="1" applyProtection="1">
      <alignment horizontal="center" vertical="center" wrapText="1"/>
    </xf>
    <xf numFmtId="10" fontId="78" fillId="25" borderId="215" xfId="2" applyNumberFormat="1" applyFont="1" applyFill="1" applyBorder="1" applyAlignment="1" applyProtection="1">
      <alignment horizontal="center" vertical="center" wrapText="1"/>
    </xf>
    <xf numFmtId="10" fontId="78" fillId="25" borderId="204" xfId="2" applyNumberFormat="1" applyFont="1" applyFill="1" applyBorder="1" applyAlignment="1" applyProtection="1">
      <alignment horizontal="center" vertical="center" wrapText="1"/>
    </xf>
    <xf numFmtId="10" fontId="78" fillId="25" borderId="122" xfId="2" applyNumberFormat="1" applyFont="1" applyFill="1" applyBorder="1" applyAlignment="1" applyProtection="1">
      <alignment horizontal="center" vertical="center" wrapText="1"/>
    </xf>
    <xf numFmtId="0" fontId="78" fillId="25" borderId="242" xfId="0" applyFont="1" applyFill="1" applyBorder="1" applyAlignment="1">
      <alignment horizontal="center" vertical="center"/>
    </xf>
    <xf numFmtId="0" fontId="78" fillId="25" borderId="243" xfId="0" applyFont="1" applyFill="1" applyBorder="1" applyAlignment="1">
      <alignment horizontal="center" vertical="center"/>
    </xf>
    <xf numFmtId="0" fontId="103" fillId="0" borderId="0" xfId="0" applyFont="1" applyAlignment="1">
      <alignment horizontal="left" vertical="center"/>
    </xf>
    <xf numFmtId="10" fontId="78" fillId="25" borderId="239" xfId="2" applyNumberFormat="1" applyFont="1" applyFill="1" applyBorder="1" applyAlignment="1" applyProtection="1">
      <alignment horizontal="center" vertical="center" wrapText="1"/>
    </xf>
    <xf numFmtId="10" fontId="78" fillId="25" borderId="138" xfId="2" applyNumberFormat="1" applyFont="1" applyFill="1" applyBorder="1" applyAlignment="1" applyProtection="1">
      <alignment horizontal="center" vertical="center" wrapText="1"/>
    </xf>
    <xf numFmtId="0" fontId="78" fillId="30" borderId="53" xfId="0" applyFont="1" applyFill="1" applyBorder="1" applyAlignment="1">
      <alignment horizontal="center" vertical="center" wrapText="1"/>
    </xf>
    <xf numFmtId="0" fontId="78" fillId="30" borderId="142" xfId="0" applyFont="1" applyFill="1" applyBorder="1" applyAlignment="1">
      <alignment horizontal="center" vertical="center" wrapText="1"/>
    </xf>
    <xf numFmtId="0" fontId="78" fillId="30" borderId="199" xfId="0" applyFont="1" applyFill="1" applyBorder="1" applyAlignment="1">
      <alignment horizontal="center" vertical="center" wrapText="1"/>
    </xf>
    <xf numFmtId="0" fontId="78" fillId="25" borderId="241" xfId="0" applyFont="1" applyFill="1" applyBorder="1" applyAlignment="1">
      <alignment horizontal="center" vertical="center" wrapText="1"/>
    </xf>
    <xf numFmtId="0" fontId="78" fillId="25" borderId="240" xfId="0" applyFont="1" applyFill="1" applyBorder="1" applyAlignment="1">
      <alignment horizontal="center" vertical="center" wrapText="1"/>
    </xf>
    <xf numFmtId="0" fontId="78" fillId="25" borderId="209" xfId="0" applyFont="1" applyFill="1" applyBorder="1" applyAlignment="1">
      <alignment horizontal="center" vertical="top" wrapText="1"/>
    </xf>
    <xf numFmtId="0" fontId="78" fillId="25" borderId="100" xfId="0" applyFont="1" applyFill="1" applyBorder="1" applyAlignment="1">
      <alignment horizontal="center" vertical="top" wrapText="1"/>
    </xf>
    <xf numFmtId="0" fontId="78" fillId="25" borderId="236" xfId="0" applyFont="1" applyFill="1" applyBorder="1" applyAlignment="1" applyProtection="1">
      <alignment horizontal="center" vertical="center"/>
      <protection locked="0"/>
    </xf>
    <xf numFmtId="0" fontId="78" fillId="25" borderId="237" xfId="0" applyFont="1" applyFill="1" applyBorder="1" applyAlignment="1" applyProtection="1">
      <alignment horizontal="center" vertical="center"/>
      <protection locked="0"/>
    </xf>
    <xf numFmtId="0" fontId="78" fillId="25" borderId="238" xfId="0" applyFont="1" applyFill="1" applyBorder="1" applyAlignment="1" applyProtection="1">
      <alignment horizontal="center" vertical="center"/>
      <protection locked="0"/>
    </xf>
    <xf numFmtId="10" fontId="78" fillId="25" borderId="216" xfId="2" applyNumberFormat="1" applyFont="1" applyFill="1" applyBorder="1" applyAlignment="1" applyProtection="1">
      <alignment horizontal="center" vertical="center" wrapText="1"/>
    </xf>
    <xf numFmtId="0" fontId="78" fillId="25" borderId="72" xfId="0" applyFont="1" applyFill="1" applyBorder="1" applyAlignment="1">
      <alignment horizontal="center" vertical="center" wrapText="1"/>
    </xf>
    <xf numFmtId="0" fontId="78" fillId="25" borderId="0" xfId="0" applyFont="1" applyFill="1" applyAlignment="1">
      <alignment horizontal="center" vertical="center" wrapText="1"/>
    </xf>
    <xf numFmtId="0" fontId="78" fillId="25" borderId="67" xfId="0" applyFont="1" applyFill="1" applyBorder="1" applyAlignment="1">
      <alignment horizontal="center" vertical="center" wrapText="1"/>
    </xf>
    <xf numFmtId="0" fontId="82" fillId="0" borderId="15" xfId="0" applyFont="1" applyBorder="1" applyAlignment="1">
      <alignment horizontal="left" vertical="top" wrapText="1"/>
    </xf>
    <xf numFmtId="0" fontId="82" fillId="0" borderId="0" xfId="0" applyFont="1" applyAlignment="1">
      <alignment horizontal="left" vertical="top" wrapText="1"/>
    </xf>
    <xf numFmtId="0" fontId="82" fillId="0" borderId="33" xfId="0" applyFont="1" applyBorder="1" applyAlignment="1">
      <alignment horizontal="left" vertical="top" wrapText="1"/>
    </xf>
    <xf numFmtId="0" fontId="78" fillId="0" borderId="17" xfId="0" applyFont="1" applyBorder="1" applyAlignment="1">
      <alignment horizontal="left" vertical="top" wrapText="1"/>
    </xf>
    <xf numFmtId="0" fontId="78" fillId="0" borderId="0" xfId="0" applyFont="1" applyAlignment="1">
      <alignment horizontal="left" vertical="top" wrapText="1"/>
    </xf>
    <xf numFmtId="0" fontId="78" fillId="25" borderId="222" xfId="0" applyFont="1" applyFill="1" applyBorder="1" applyAlignment="1">
      <alignment horizontal="center" vertical="center"/>
    </xf>
    <xf numFmtId="0" fontId="78" fillId="25" borderId="223" xfId="0" applyFont="1" applyFill="1" applyBorder="1" applyAlignment="1">
      <alignment horizontal="center" vertical="center"/>
    </xf>
    <xf numFmtId="0" fontId="78" fillId="25" borderId="224" xfId="0" applyFont="1" applyFill="1" applyBorder="1" applyAlignment="1">
      <alignment horizontal="center" vertical="center"/>
    </xf>
    <xf numFmtId="0" fontId="78" fillId="25" borderId="225" xfId="0" applyFont="1" applyFill="1" applyBorder="1" applyAlignment="1">
      <alignment horizontal="center" vertical="center"/>
    </xf>
    <xf numFmtId="10" fontId="78" fillId="25" borderId="207" xfId="2" applyNumberFormat="1" applyFont="1" applyFill="1" applyBorder="1" applyAlignment="1" applyProtection="1">
      <alignment horizontal="center" vertical="center" wrapText="1"/>
    </xf>
    <xf numFmtId="10" fontId="78" fillId="25" borderId="123" xfId="2" applyNumberFormat="1" applyFont="1" applyFill="1" applyBorder="1" applyAlignment="1" applyProtection="1">
      <alignment horizontal="center" vertical="center" wrapText="1"/>
    </xf>
    <xf numFmtId="0" fontId="79" fillId="0" borderId="201" xfId="0" applyFont="1" applyBorder="1" applyAlignment="1">
      <alignment horizontal="left" vertical="center" wrapText="1"/>
    </xf>
    <xf numFmtId="0" fontId="79" fillId="0" borderId="198" xfId="0" applyFont="1" applyBorder="1" applyAlignment="1">
      <alignment horizontal="left" vertical="center" wrapText="1"/>
    </xf>
    <xf numFmtId="0" fontId="78" fillId="32" borderId="79" xfId="0" applyFont="1" applyFill="1" applyBorder="1" applyAlignment="1">
      <alignment horizontal="left" vertical="center" wrapText="1"/>
    </xf>
    <xf numFmtId="0" fontId="78" fillId="32" borderId="81" xfId="0" applyFont="1" applyFill="1" applyBorder="1" applyAlignment="1">
      <alignment horizontal="left" vertical="center" wrapText="1"/>
    </xf>
    <xf numFmtId="0" fontId="79" fillId="0" borderId="80" xfId="0" applyFont="1" applyBorder="1" applyAlignment="1">
      <alignment horizontal="left" vertical="center" wrapText="1"/>
    </xf>
    <xf numFmtId="0" fontId="79" fillId="0" borderId="82" xfId="0" applyFont="1" applyBorder="1" applyAlignment="1">
      <alignment horizontal="left" vertical="center" wrapText="1"/>
    </xf>
    <xf numFmtId="0" fontId="78" fillId="32" borderId="196" xfId="0" applyFont="1" applyFill="1" applyBorder="1" applyAlignment="1">
      <alignment horizontal="left" vertical="center"/>
    </xf>
    <xf numFmtId="0" fontId="78" fillId="32" borderId="150" xfId="0" applyFont="1" applyFill="1" applyBorder="1" applyAlignment="1">
      <alignment horizontal="left" vertical="center"/>
    </xf>
    <xf numFmtId="0" fontId="78" fillId="32" borderId="197" xfId="0" applyFont="1" applyFill="1" applyBorder="1" applyAlignment="1">
      <alignment horizontal="left" vertical="center"/>
    </xf>
    <xf numFmtId="0" fontId="78" fillId="32" borderId="152" xfId="0" applyFont="1" applyFill="1" applyBorder="1" applyAlignment="1">
      <alignment horizontal="left" vertical="center"/>
    </xf>
    <xf numFmtId="0" fontId="79" fillId="0" borderId="49" xfId="0" applyFont="1" applyBorder="1" applyAlignment="1">
      <alignment horizontal="left" vertical="center" wrapText="1"/>
    </xf>
    <xf numFmtId="0" fontId="79" fillId="0" borderId="194" xfId="0" applyFont="1" applyBorder="1" applyAlignment="1">
      <alignment horizontal="left" vertical="center" wrapText="1"/>
    </xf>
    <xf numFmtId="0" fontId="79" fillId="0" borderId="176" xfId="0" applyFont="1" applyBorder="1" applyAlignment="1">
      <alignment horizontal="left" vertical="center" wrapText="1"/>
    </xf>
    <xf numFmtId="165" fontId="78" fillId="0" borderId="0" xfId="1" applyNumberFormat="1" applyFont="1" applyFill="1" applyBorder="1" applyAlignment="1" applyProtection="1">
      <alignment horizontal="left" vertical="center"/>
    </xf>
    <xf numFmtId="0" fontId="76" fillId="9" borderId="37" xfId="0" applyFont="1" applyFill="1" applyBorder="1" applyAlignment="1">
      <alignment horizontal="center" vertical="center"/>
    </xf>
    <xf numFmtId="0" fontId="76" fillId="9" borderId="38" xfId="0" applyFont="1" applyFill="1" applyBorder="1" applyAlignment="1">
      <alignment horizontal="center" vertical="center"/>
    </xf>
    <xf numFmtId="0" fontId="70" fillId="0" borderId="89" xfId="6" applyFont="1" applyFill="1" applyBorder="1" applyAlignment="1" applyProtection="1">
      <alignment horizontal="center" vertical="center" wrapText="1"/>
      <protection locked="0"/>
    </xf>
    <xf numFmtId="0" fontId="70" fillId="0" borderId="0" xfId="6" applyFont="1" applyFill="1" applyBorder="1" applyAlignment="1" applyProtection="1">
      <alignment horizontal="center" vertical="center" wrapText="1"/>
      <protection locked="0"/>
    </xf>
    <xf numFmtId="0" fontId="78" fillId="32" borderId="83" xfId="0" applyFont="1" applyFill="1" applyBorder="1" applyAlignment="1">
      <alignment horizontal="left" vertical="center" wrapText="1"/>
    </xf>
    <xf numFmtId="0" fontId="79" fillId="0" borderId="84" xfId="0" applyFont="1" applyBorder="1" applyAlignment="1">
      <alignment horizontal="left" vertical="center" wrapText="1"/>
    </xf>
    <xf numFmtId="0" fontId="78" fillId="32" borderId="84" xfId="0" applyFont="1" applyFill="1" applyBorder="1" applyAlignment="1">
      <alignment horizontal="left" vertical="center" wrapText="1"/>
    </xf>
    <xf numFmtId="0" fontId="78" fillId="32" borderId="80" xfId="0" applyFont="1" applyFill="1" applyBorder="1" applyAlignment="1">
      <alignment horizontal="left" vertical="center" wrapText="1"/>
    </xf>
    <xf numFmtId="0" fontId="79" fillId="0" borderId="195" xfId="0" applyFont="1" applyBorder="1" applyAlignment="1">
      <alignment horizontal="left" vertical="center" wrapText="1"/>
    </xf>
    <xf numFmtId="0" fontId="79" fillId="0" borderId="175" xfId="0" applyFont="1" applyBorder="1" applyAlignment="1">
      <alignment horizontal="left" vertical="center" wrapText="1"/>
    </xf>
    <xf numFmtId="0" fontId="78" fillId="32" borderId="83" xfId="0" applyFont="1" applyFill="1" applyBorder="1" applyAlignment="1">
      <alignment horizontal="left" vertical="center"/>
    </xf>
    <xf numFmtId="0" fontId="78" fillId="32" borderId="175" xfId="0" applyFont="1" applyFill="1" applyBorder="1" applyAlignment="1">
      <alignment horizontal="left" vertical="center"/>
    </xf>
    <xf numFmtId="0" fontId="78" fillId="32" borderId="81" xfId="0" applyFont="1" applyFill="1" applyBorder="1" applyAlignment="1">
      <alignment horizontal="left" vertical="center"/>
    </xf>
    <xf numFmtId="0" fontId="78" fillId="32" borderId="176" xfId="0" applyFont="1" applyFill="1" applyBorder="1" applyAlignment="1">
      <alignment horizontal="left" vertical="center"/>
    </xf>
    <xf numFmtId="0" fontId="59" fillId="17" borderId="127" xfId="0" applyFont="1" applyFill="1" applyBorder="1" applyAlignment="1">
      <alignment vertical="center" wrapText="1"/>
    </xf>
    <xf numFmtId="0" fontId="59" fillId="17" borderId="128" xfId="0" applyFont="1" applyFill="1" applyBorder="1" applyAlignment="1">
      <alignment vertical="center" wrapText="1"/>
    </xf>
    <xf numFmtId="0" fontId="5" fillId="0" borderId="0" xfId="0" applyFont="1" applyAlignment="1">
      <alignment horizontal="left"/>
    </xf>
  </cellXfs>
  <cellStyles count="23">
    <cellStyle name="Comma" xfId="5" builtinId="3"/>
    <cellStyle name="Comma 2" xfId="17" xr:uid="{03423E6A-9045-48EE-9EBE-A47B3D5FE39F}"/>
    <cellStyle name="Comma 2 10" xfId="4" xr:uid="{00000000-0005-0000-0000-000000000000}"/>
    <cellStyle name="Comma 2 10 2" xfId="14" xr:uid="{9D92F8AA-C509-4988-860B-9B51B1FF6D9E}"/>
    <cellStyle name="Comma 2 10 2 2" xfId="18" xr:uid="{5702B2BC-37D3-49C8-8A40-A5B97015A015}"/>
    <cellStyle name="Comma 2 10 2 2 2" xfId="21" xr:uid="{0965A0F7-6A59-4922-9431-404CF17013D2}"/>
    <cellStyle name="Comma 2 10 2 3" xfId="20" xr:uid="{CF036120-BBA8-430D-94E9-E253F5A3D519}"/>
    <cellStyle name="Comma 2 2" xfId="19" xr:uid="{535F053F-7776-4C66-B624-082C9FADBA08}"/>
    <cellStyle name="Comma 2 2 2" xfId="22" xr:uid="{BBCB7E41-ABBD-4594-9D26-9283AB3AA848}"/>
    <cellStyle name="Heading 3" xfId="1" builtinId="18"/>
    <cellStyle name="HPMT" xfId="13" xr:uid="{00000000-0005-0000-0000-000001000000}"/>
    <cellStyle name="Hyperlink" xfId="6" builtinId="8"/>
    <cellStyle name="Normal" xfId="0" builtinId="0"/>
    <cellStyle name="Normal 2" xfId="3" xr:uid="{00000000-0005-0000-0000-000002000000}"/>
    <cellStyle name="Normal 2 2" xfId="8" xr:uid="{00000000-0005-0000-0000-000003000000}"/>
    <cellStyle name="Normal 2 3" xfId="12" xr:uid="{00000000-0005-0000-0000-000004000000}"/>
    <cellStyle name="Normal 2 6" xfId="9" xr:uid="{00000000-0005-0000-0000-000005000000}"/>
    <cellStyle name="Normal 3" xfId="10" xr:uid="{00000000-0005-0000-0000-000006000000}"/>
    <cellStyle name="Normal 4" xfId="7" xr:uid="{00000000-0005-0000-0000-000007000000}"/>
    <cellStyle name="Normal 5" xfId="11" xr:uid="{00000000-0005-0000-0000-000008000000}"/>
    <cellStyle name="Normal 6" xfId="15" xr:uid="{04E6213D-5597-443C-B6A1-0D617547C062}"/>
    <cellStyle name="Per cent 2" xfId="16" xr:uid="{BD1D5498-D6B6-466E-8F30-010B68ECEFFB}"/>
    <cellStyle name="Percent" xfId="2" builtinId="5"/>
  </cellStyles>
  <dxfs count="4586">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border outline="0">
        <top style="thin">
          <color rgb="FF000000"/>
        </top>
        <bottom style="thin">
          <color rgb="FFA5A5A5"/>
        </bottom>
      </border>
    </dxf>
    <dxf>
      <font>
        <b val="0"/>
        <i val="0"/>
        <strike val="0"/>
        <condense val="0"/>
        <extend val="0"/>
        <outline val="0"/>
        <shadow val="0"/>
        <u val="none"/>
        <vertAlign val="baseline"/>
        <sz val="11"/>
        <color rgb="FF7B7B7B"/>
        <name val="Calibri"/>
        <family val="2"/>
        <scheme val="none"/>
      </font>
      <fill>
        <patternFill patternType="solid">
          <fgColor rgb="FFEDEDED"/>
          <bgColor rgb="FFEDEDED"/>
        </patternFill>
      </fill>
    </dxf>
    <dxf>
      <font>
        <b/>
        <i val="0"/>
        <strike val="0"/>
        <condense val="0"/>
        <extend val="0"/>
        <outline val="0"/>
        <shadow val="0"/>
        <u val="none"/>
        <vertAlign val="baseline"/>
        <sz val="10"/>
        <color auto="1"/>
        <name val="Arial"/>
        <family val="2"/>
        <charset val="238"/>
        <scheme val="none"/>
      </font>
      <numFmt numFmtId="1" formatCode="0"/>
      <fill>
        <patternFill patternType="solid">
          <fgColor indexed="64"/>
          <bgColor rgb="FF8DB4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border outline="0">
        <top style="thin">
          <color indexed="64"/>
        </top>
        <bottom style="thin">
          <color theme="6"/>
        </bottom>
      </border>
    </dxf>
    <dxf>
      <font>
        <b val="0"/>
        <i val="0"/>
        <strike val="0"/>
        <condense val="0"/>
        <extend val="0"/>
        <outline val="0"/>
        <shadow val="0"/>
        <u val="none"/>
        <vertAlign val="baseline"/>
        <sz val="11"/>
        <color theme="6" tint="-0.249977111117893"/>
        <name val="Calibri"/>
        <family val="2"/>
        <scheme val="minor"/>
      </font>
      <fill>
        <patternFill patternType="solid">
          <fgColor theme="6" tint="0.79998168889431442"/>
          <bgColor theme="6" tint="0.79998168889431442"/>
        </patternFill>
      </fill>
    </dxf>
    <dxf>
      <font>
        <b/>
        <i val="0"/>
        <strike val="0"/>
        <condense val="0"/>
        <extend val="0"/>
        <outline val="0"/>
        <shadow val="0"/>
        <u val="none"/>
        <vertAlign val="baseline"/>
        <sz val="10"/>
        <color auto="1"/>
        <name val="Arial"/>
        <family val="2"/>
        <charset val="238"/>
        <scheme val="none"/>
      </font>
      <numFmt numFmtId="1" formatCode="0"/>
      <fill>
        <patternFill patternType="solid">
          <fgColor indexed="64"/>
          <bgColor rgb="FF8DB4E2"/>
        </patternFill>
      </fill>
      <alignment horizontal="center" vertical="center" textRotation="0" wrapText="0" indent="0" justifyLastLine="0" shrinkToFit="0" readingOrder="0"/>
    </dxf>
    <dxf>
      <fill>
        <patternFill>
          <bgColor rgb="FFF75535"/>
        </patternFill>
      </fill>
    </dxf>
    <dxf>
      <fill>
        <patternFill>
          <bgColor rgb="FF2705D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family val="2"/>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0"/>
        <name val="Calibri"/>
        <scheme val="minor"/>
      </font>
      <fill>
        <patternFill patternType="solid">
          <fgColor indexed="64"/>
          <bgColor theme="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patternType="solid">
          <bgColor rgb="FFFFFF00"/>
        </patternFill>
      </fill>
    </dxf>
    <dxf>
      <fill>
        <patternFill patternType="none">
          <bgColor auto="1"/>
        </patternFill>
      </fill>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u/>
        <color theme="0"/>
      </font>
      <fill>
        <patternFill>
          <bgColor rgb="FFFF0000"/>
        </patternFill>
      </fill>
    </dxf>
    <dxf>
      <font>
        <b val="0"/>
        <i/>
        <color rgb="FFC00000"/>
      </font>
    </dxf>
    <dxf>
      <fill>
        <patternFill>
          <bgColor rgb="FFF75535"/>
        </patternFill>
      </fill>
    </dxf>
    <dxf>
      <fill>
        <patternFill>
          <bgColor rgb="FF2705D1"/>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theme="0" tint="-0.14996795556505021"/>
        </patternFill>
      </fill>
    </dxf>
    <dxf>
      <font>
        <color theme="0"/>
      </font>
      <fill>
        <patternFill>
          <bgColor rgb="FFFF0000"/>
        </patternFill>
      </fill>
    </dxf>
    <dxf>
      <fill>
        <patternFill>
          <bgColor rgb="FFF75535"/>
        </patternFill>
      </fill>
    </dxf>
    <dxf>
      <fill>
        <patternFill>
          <bgColor rgb="FF2705D1"/>
        </patternFill>
      </fill>
    </dxf>
    <dxf>
      <font>
        <color theme="0"/>
      </font>
      <fill>
        <patternFill>
          <bgColor theme="4" tint="-0.24994659260841701"/>
        </patternFill>
      </fill>
    </dxf>
    <dxf>
      <fill>
        <patternFill>
          <bgColor theme="0" tint="-0.14996795556505021"/>
        </patternFill>
      </fill>
    </dxf>
    <dxf>
      <fill>
        <patternFill>
          <bgColor theme="0" tint="-0.14996795556505021"/>
        </patternFill>
      </fill>
    </dxf>
    <dxf>
      <fill>
        <patternFill>
          <bgColor rgb="FFD9D9D9"/>
        </patternFill>
      </fill>
    </dxf>
    <dxf>
      <fill>
        <patternFill>
          <bgColor rgb="FFD9D9D9"/>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ont>
        <u/>
        <color theme="0"/>
      </font>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75535"/>
        </patternFill>
      </fill>
    </dxf>
    <dxf>
      <fill>
        <patternFill>
          <bgColor rgb="FF2705D1"/>
        </patternFill>
      </fill>
    </dxf>
    <dxf>
      <font>
        <b/>
        <i val="0"/>
        <strike val="0"/>
        <color rgb="FFFF0000"/>
      </font>
    </dxf>
    <dxf>
      <font>
        <b/>
        <i val="0"/>
        <strike val="0"/>
        <color rgb="FFFF0000"/>
      </font>
    </dxf>
    <dxf>
      <font>
        <b/>
        <i val="0"/>
        <color rgb="FFFF0000"/>
      </font>
      <border>
        <vertical/>
        <horizontal/>
      </border>
    </dxf>
    <dxf>
      <font>
        <b/>
        <i val="0"/>
        <strike val="0"/>
        <color rgb="FFFF0000"/>
      </font>
    </dxf>
    <dxf>
      <font>
        <b/>
        <i val="0"/>
        <strike val="0"/>
        <color rgb="FFFF0000"/>
      </font>
    </dxf>
    <dxf>
      <font>
        <color theme="0"/>
      </font>
      <fill>
        <patternFill>
          <bgColor theme="4" tint="-0.24994659260841701"/>
        </patternFill>
      </fill>
    </dxf>
    <dxf>
      <fill>
        <patternFill>
          <bgColor theme="0" tint="-0.14996795556505021"/>
        </patternFill>
      </fill>
    </dxf>
    <dxf>
      <fill>
        <patternFill>
          <bgColor theme="0" tint="-0.14996795556505021"/>
        </patternFill>
      </fill>
    </dxf>
    <dxf>
      <fill>
        <patternFill>
          <bgColor rgb="FFD9D9D9"/>
        </patternFill>
      </fill>
    </dxf>
    <dxf>
      <fill>
        <patternFill>
          <bgColor theme="0" tint="-0.14996795556505021"/>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DCED8"/>
        </patternFill>
      </fill>
    </dxf>
    <dxf>
      <font>
        <u/>
        <color theme="0"/>
      </font>
      <fill>
        <patternFill>
          <bgColor rgb="FFFF0000"/>
        </patternFill>
      </fill>
    </dxf>
    <dxf>
      <font>
        <b/>
        <i val="0"/>
        <color rgb="FFFF0000"/>
      </font>
      <border>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border>
        <left style="dashDot">
          <color rgb="FFFF0000"/>
        </left>
        <right style="dashDot">
          <color rgb="FFFF0000"/>
        </right>
        <top style="dashDot">
          <color rgb="FFFF0000"/>
        </top>
        <bottom style="dashDot">
          <color rgb="FFFF0000"/>
        </bottom>
        <vertical/>
        <horizontal/>
      </border>
    </dxf>
    <dxf>
      <fill>
        <patternFill>
          <bgColor rgb="FFFF0000"/>
        </patternFill>
      </fill>
    </dxf>
    <dxf>
      <font>
        <b/>
        <i val="0"/>
        <strike val="0"/>
        <condense val="0"/>
        <extend val="0"/>
        <outline val="0"/>
        <shadow val="0"/>
        <u val="none"/>
        <vertAlign val="baseline"/>
        <sz val="11"/>
        <color auto="1"/>
        <name val="Calibri"/>
        <scheme val="minor"/>
      </font>
      <fill>
        <patternFill patternType="solid">
          <fgColor indexed="64"/>
          <bgColor theme="4" tint="0.79998168889431442"/>
        </patternFill>
      </fill>
    </dxf>
    <dxf>
      <fill>
        <patternFill>
          <bgColor rgb="FFF75535"/>
        </patternFill>
      </fill>
    </dxf>
    <dxf>
      <fill>
        <patternFill>
          <bgColor rgb="FF2705D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u/>
        <color theme="0"/>
      </font>
      <fill>
        <patternFill>
          <bgColor rgb="FFFF0000"/>
        </patternFill>
      </fill>
    </dxf>
    <dxf>
      <fill>
        <patternFill>
          <bgColor rgb="FFFF0000"/>
        </patternFill>
      </fill>
    </dxf>
    <dxf>
      <fill>
        <patternFill>
          <bgColor rgb="FFFF0000"/>
        </patternFill>
      </fill>
      <border>
        <left style="thin">
          <color theme="1"/>
        </left>
        <right style="thin">
          <color theme="1"/>
        </right>
        <top style="thin">
          <color theme="1"/>
        </top>
        <bottom style="thin">
          <color theme="1"/>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dashDot">
          <color rgb="FFFF0000"/>
        </left>
        <right style="dashDot">
          <color rgb="FFFF0000"/>
        </right>
        <top style="dashDot">
          <color rgb="FFFF0000"/>
        </top>
        <bottom style="dashDot">
          <color rgb="FFFF0000"/>
        </bottom>
        <vertical/>
        <horizontal/>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ill>
        <patternFill>
          <bgColor rgb="FFFF0000"/>
        </patternFill>
      </fill>
      <border>
        <left style="thin">
          <color rgb="FFFF0000"/>
        </left>
        <right style="thin">
          <color rgb="FFFF0000"/>
        </right>
        <top style="thin">
          <color rgb="FFFF0000"/>
        </top>
        <bottom style="thin">
          <color rgb="FFFF0000"/>
        </bottom>
      </border>
    </dxf>
    <dxf>
      <font>
        <color theme="0"/>
      </font>
    </dxf>
    <dxf>
      <font>
        <color theme="0"/>
      </font>
    </dxf>
    <dxf>
      <fill>
        <patternFill>
          <bgColor rgb="FF00B0CA"/>
        </patternFill>
      </fill>
    </dxf>
    <dxf>
      <fill>
        <patternFill>
          <bgColor rgb="FF00B0CA"/>
        </patternFill>
      </fill>
    </dxf>
    <dxf>
      <font>
        <b/>
        <color theme="1"/>
      </font>
      <border>
        <bottom style="thin">
          <color theme="4"/>
        </bottom>
        <vertical/>
        <horizontal/>
      </border>
    </dxf>
    <dxf>
      <font>
        <sz val="8"/>
        <color theme="1"/>
      </font>
      <border>
        <left style="thin">
          <color theme="4"/>
        </left>
        <right style="thin">
          <color theme="4"/>
        </right>
        <top style="thin">
          <color theme="4"/>
        </top>
        <bottom style="thin">
          <color theme="4"/>
        </bottom>
        <vertical/>
        <horizontal/>
      </border>
    </dxf>
    <dxf>
      <fill>
        <patternFill>
          <fgColor theme="0" tint="-0.14996795556505021"/>
          <bgColor theme="0" tint="-0.14996795556505021"/>
        </patternFill>
      </fill>
    </dxf>
    <dxf>
      <fill>
        <patternFill>
          <bgColor theme="0" tint="-0.14996795556505021"/>
        </patternFill>
      </fill>
    </dxf>
  </dxfs>
  <tableStyles count="5" defaultTableStyle="TableStyleMedium2" defaultPivotStyle="PivotStyleLight16">
    <tableStyle name="PivotTable Style 1" table="0" count="1" xr9:uid="{92C16184-F967-4BD9-A7D2-27580F54174C}">
      <tableStyleElement type="firstRowStripe" dxfId="4585"/>
    </tableStyle>
    <tableStyle name="PivotTable Style 2" table="0" count="1" xr9:uid="{403E8322-61A2-47D5-A007-580F512161FA}">
      <tableStyleElement type="firstRowStripe" dxfId="4584"/>
    </tableStyle>
    <tableStyle name="SlicerStyleLight1 2" pivot="0" table="0" count="10" xr9:uid="{15A65181-C16B-4398-A6AB-E3A5E12F7EF8}">
      <tableStyleElement type="wholeTable" dxfId="4583"/>
      <tableStyleElement type="headerRow" dxfId="4582"/>
    </tableStyle>
    <tableStyle name="Table Style 1" pivot="0" count="1" xr9:uid="{00000000-0011-0000-FFFF-FFFF00000000}">
      <tableStyleElement type="firstRowStripe" dxfId="4581"/>
    </tableStyle>
    <tableStyle name="Table Style HPMT" pivot="0" count="1" xr9:uid="{00000000-0011-0000-FFFF-FFFF01000000}">
      <tableStyleElement type="firstRowStripe" dxfId="4580"/>
    </tableStyle>
  </tableStyles>
  <colors>
    <mruColors>
      <color rgb="FF77061F"/>
      <color rgb="FF4D17D3"/>
      <color rgb="FFD9D9D9"/>
      <color rgb="FFFDCED8"/>
      <color rgb="FF2705D1"/>
      <color rgb="FF4330D0"/>
      <color rgb="FF340EF2"/>
      <color rgb="FF000000"/>
      <color rgb="FF3914F0"/>
      <color rgb="FFF75535"/>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1.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styles" Target="styles.xml"/><Relationship Id="rId30" Type="http://schemas.microsoft.com/office/2017/06/relationships/rdRichValue" Target="richData/rdrichvalue.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microsoft.com/office/2007/relationships/hdphoto" Target="../media/hdphoto5.wdp"/><Relationship Id="rId3" Type="http://schemas.openxmlformats.org/officeDocument/2006/relationships/image" Target="../media/image8.png"/><Relationship Id="rId7" Type="http://schemas.openxmlformats.org/officeDocument/2006/relationships/image" Target="../media/image10.png"/><Relationship Id="rId12" Type="http://schemas.openxmlformats.org/officeDocument/2006/relationships/image" Target="../media/image14.png"/><Relationship Id="rId2" Type="http://schemas.microsoft.com/office/2007/relationships/hdphoto" Target="../media/hdphoto1.wdp"/><Relationship Id="rId1" Type="http://schemas.openxmlformats.org/officeDocument/2006/relationships/image" Target="../media/image7.png"/><Relationship Id="rId6" Type="http://schemas.microsoft.com/office/2007/relationships/hdphoto" Target="../media/hdphoto3.wdp"/><Relationship Id="rId11" Type="http://schemas.microsoft.com/office/2007/relationships/hdphoto" Target="../media/hdphoto4.wdp"/><Relationship Id="rId5" Type="http://schemas.openxmlformats.org/officeDocument/2006/relationships/image" Target="../media/image9.png"/><Relationship Id="rId15" Type="http://schemas.openxmlformats.org/officeDocument/2006/relationships/image" Target="../media/image6.png"/><Relationship Id="rId10" Type="http://schemas.openxmlformats.org/officeDocument/2006/relationships/image" Target="../media/image13.png"/><Relationship Id="rId4" Type="http://schemas.microsoft.com/office/2007/relationships/hdphoto" Target="../media/hdphoto2.wdp"/><Relationship Id="rId9" Type="http://schemas.openxmlformats.org/officeDocument/2006/relationships/image" Target="../media/image12.svg"/><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absolute">
    <xdr:from>
      <xdr:col>15</xdr:col>
      <xdr:colOff>846666</xdr:colOff>
      <xdr:row>6</xdr:row>
      <xdr:rowOff>125942</xdr:rowOff>
    </xdr:from>
    <xdr:to>
      <xdr:col>16</xdr:col>
      <xdr:colOff>3058582</xdr:colOff>
      <xdr:row>14</xdr:row>
      <xdr:rowOff>158750</xdr:rowOff>
    </xdr:to>
    <mc:AlternateContent xmlns:mc="http://schemas.openxmlformats.org/markup-compatibility/2006" xmlns:a14="http://schemas.microsoft.com/office/drawing/2010/main">
      <mc:Choice Requires="a14">
        <xdr:graphicFrame macro="">
          <xdr:nvGraphicFramePr>
            <xdr:cNvPr id="2" name="Each 1">
              <a:extLst>
                <a:ext uri="{FF2B5EF4-FFF2-40B4-BE49-F238E27FC236}">
                  <a16:creationId xmlns:a16="http://schemas.microsoft.com/office/drawing/2014/main" id="{00000000-0008-0000-05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Each 1"/>
            </a:graphicData>
          </a:graphic>
        </xdr:graphicFrame>
      </mc:Choice>
      <mc:Fallback xmlns="">
        <xdr:sp macro="" textlink="">
          <xdr:nvSpPr>
            <xdr:cNvPr id="0" name=""/>
            <xdr:cNvSpPr>
              <a:spLocks noTextEdit="1"/>
            </xdr:cNvSpPr>
          </xdr:nvSpPr>
          <xdr:spPr>
            <a:xfrm>
              <a:off x="12181416" y="2454275"/>
              <a:ext cx="3206749" cy="1440392"/>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798729</xdr:colOff>
      <xdr:row>18</xdr:row>
      <xdr:rowOff>21166</xdr:rowOff>
    </xdr:from>
    <xdr:to>
      <xdr:col>17</xdr:col>
      <xdr:colOff>10583</xdr:colOff>
      <xdr:row>28</xdr:row>
      <xdr:rowOff>169334</xdr:rowOff>
    </xdr:to>
    <mc:AlternateContent xmlns:mc="http://schemas.openxmlformats.org/markup-compatibility/2006" xmlns:a14="http://schemas.microsoft.com/office/drawing/2010/main">
      <mc:Choice Requires="a14">
        <xdr:graphicFrame macro="">
          <xdr:nvGraphicFramePr>
            <xdr:cNvPr id="3" name="Packaging 1">
              <a:extLst>
                <a:ext uri="{FF2B5EF4-FFF2-40B4-BE49-F238E27FC236}">
                  <a16:creationId xmlns:a16="http://schemas.microsoft.com/office/drawing/2014/main" id="{00000000-0008-0000-05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ackaging 1"/>
            </a:graphicData>
          </a:graphic>
        </xdr:graphicFrame>
      </mc:Choice>
      <mc:Fallback xmlns="">
        <xdr:sp macro="" textlink="">
          <xdr:nvSpPr>
            <xdr:cNvPr id="0" name=""/>
            <xdr:cNvSpPr>
              <a:spLocks noTextEdit="1"/>
            </xdr:cNvSpPr>
          </xdr:nvSpPr>
          <xdr:spPr>
            <a:xfrm>
              <a:off x="12133479" y="4519083"/>
              <a:ext cx="3265271" cy="1979084"/>
            </a:xfrm>
            <a:prstGeom prst="rect">
              <a:avLst/>
            </a:prstGeom>
            <a:solidFill>
              <a:prstClr val="white"/>
            </a:solidFill>
            <a:ln w="1">
              <a:solidFill>
                <a:prstClr val="green"/>
              </a:solidFill>
            </a:ln>
          </xdr:spPr>
          <xdr:txBody>
            <a:bodyPr vertOverflow="clip" horzOverflow="clip"/>
            <a:lstStyle/>
            <a:p>
              <a:r>
                <a:rPr lang="en-IN"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17</xdr:col>
      <xdr:colOff>179539</xdr:colOff>
      <xdr:row>5</xdr:row>
      <xdr:rowOff>58248</xdr:rowOff>
    </xdr:from>
    <xdr:to>
      <xdr:col>18</xdr:col>
      <xdr:colOff>476250</xdr:colOff>
      <xdr:row>9</xdr:row>
      <xdr:rowOff>79356</xdr:rowOff>
    </xdr:to>
    <xdr:pic>
      <xdr:nvPicPr>
        <xdr:cNvPr id="9" name="Graphic 8" descr="Line arrow: Straight with solid fill">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567706" y="2069081"/>
          <a:ext cx="497794" cy="709024"/>
        </a:xfrm>
        <a:prstGeom prst="rect">
          <a:avLst/>
        </a:prstGeom>
      </xdr:spPr>
    </xdr:pic>
    <xdr:clientData/>
  </xdr:twoCellAnchor>
  <xdr:twoCellAnchor editAs="oneCell">
    <xdr:from>
      <xdr:col>17</xdr:col>
      <xdr:colOff>174189</xdr:colOff>
      <xdr:row>16</xdr:row>
      <xdr:rowOff>117493</xdr:rowOff>
    </xdr:from>
    <xdr:to>
      <xdr:col>18</xdr:col>
      <xdr:colOff>476250</xdr:colOff>
      <xdr:row>20</xdr:row>
      <xdr:rowOff>95362</xdr:rowOff>
    </xdr:to>
    <xdr:pic>
      <xdr:nvPicPr>
        <xdr:cNvPr id="12" name="Graphic 11" descr="Line arrow: Straight with solid fill">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62356" y="4096826"/>
          <a:ext cx="503144" cy="750452"/>
        </a:xfrm>
        <a:prstGeom prst="rect">
          <a:avLst/>
        </a:prstGeom>
      </xdr:spPr>
    </xdr:pic>
    <xdr:clientData/>
  </xdr:twoCellAnchor>
  <xdr:twoCellAnchor editAs="oneCell">
    <xdr:from>
      <xdr:col>15</xdr:col>
      <xdr:colOff>219533</xdr:colOff>
      <xdr:row>0</xdr:row>
      <xdr:rowOff>508000</xdr:rowOff>
    </xdr:from>
    <xdr:to>
      <xdr:col>16</xdr:col>
      <xdr:colOff>412749</xdr:colOff>
      <xdr:row>1</xdr:row>
      <xdr:rowOff>916516</xdr:rowOff>
    </xdr:to>
    <xdr:pic>
      <xdr:nvPicPr>
        <xdr:cNvPr id="6" name="Graphic 5" descr="Folder Search with solid fill">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363783" y="508000"/>
          <a:ext cx="1188049" cy="1064683"/>
        </a:xfrm>
        <a:prstGeom prst="rect">
          <a:avLst/>
        </a:prstGeom>
      </xdr:spPr>
    </xdr:pic>
    <xdr:clientData/>
  </xdr:twoCellAnchor>
  <xdr:twoCellAnchor editAs="oneCell">
    <xdr:from>
      <xdr:col>0</xdr:col>
      <xdr:colOff>127000</xdr:colOff>
      <xdr:row>0</xdr:row>
      <xdr:rowOff>84666</xdr:rowOff>
    </xdr:from>
    <xdr:to>
      <xdr:col>1</xdr:col>
      <xdr:colOff>515699</xdr:colOff>
      <xdr:row>0</xdr:row>
      <xdr:rowOff>624666</xdr:rowOff>
    </xdr:to>
    <xdr:pic>
      <xdr:nvPicPr>
        <xdr:cNvPr id="4" name="Picture 3">
          <a:extLst>
            <a:ext uri="{FF2B5EF4-FFF2-40B4-BE49-F238E27FC236}">
              <a16:creationId xmlns:a16="http://schemas.microsoft.com/office/drawing/2014/main" id="{06241621-6432-431C-A1E0-A43ACC265269}"/>
            </a:ext>
          </a:extLst>
        </xdr:cNvPr>
        <xdr:cNvPicPr preferRelativeResize="0">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7000" y="84666"/>
          <a:ext cx="10871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14516</xdr:colOff>
      <xdr:row>1</xdr:row>
      <xdr:rowOff>264209</xdr:rowOff>
    </xdr:from>
    <xdr:to>
      <xdr:col>3</xdr:col>
      <xdr:colOff>366889</xdr:colOff>
      <xdr:row>3</xdr:row>
      <xdr:rowOff>19696</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clrChange>
            <a:clrFrom>
              <a:srgbClr val="000000">
                <a:alpha val="0"/>
              </a:srgbClr>
            </a:clrFrom>
            <a:clrTo>
              <a:srgbClr val="000000">
                <a:alpha val="0"/>
              </a:srgbClr>
            </a:clrTo>
          </a:clrChange>
          <a:lum bright="70000" contrast="-70000"/>
          <a:alphaModFix/>
          <a:extLst>
            <a:ext uri="{BEBA8EAE-BF5A-486C-A8C5-ECC9F3942E4B}">
              <a14:imgProps xmlns:a14="http://schemas.microsoft.com/office/drawing/2010/main">
                <a14:imgLayer r:embed="rId2">
                  <a14:imgEffect>
                    <a14:backgroundRemoval t="10000" b="90000" l="10000" r="90000"/>
                  </a14:imgEffect>
                  <a14:imgEffect>
                    <a14:artisticGlowEdges/>
                  </a14:imgEffect>
                  <a14:imgEffect>
                    <a14:saturation sat="128000"/>
                  </a14:imgEffect>
                </a14:imgLayer>
              </a14:imgProps>
            </a:ext>
          </a:extLst>
        </a:blip>
        <a:stretch>
          <a:fillRect/>
        </a:stretch>
      </xdr:blipFill>
      <xdr:spPr>
        <a:xfrm>
          <a:off x="1887766" y="886509"/>
          <a:ext cx="352373" cy="403187"/>
        </a:xfrm>
        <a:prstGeom prst="rect">
          <a:avLst/>
        </a:prstGeom>
      </xdr:spPr>
    </xdr:pic>
    <xdr:clientData/>
  </xdr:twoCellAnchor>
  <xdr:twoCellAnchor editAs="oneCell">
    <xdr:from>
      <xdr:col>3</xdr:col>
      <xdr:colOff>7054</xdr:colOff>
      <xdr:row>4</xdr:row>
      <xdr:rowOff>1162</xdr:rowOff>
    </xdr:from>
    <xdr:to>
      <xdr:col>3</xdr:col>
      <xdr:colOff>457200</xdr:colOff>
      <xdr:row>5</xdr:row>
      <xdr:rowOff>6350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3">
          <a:duotone>
            <a:srgbClr val="5B9BD5">
              <a:shade val="45000"/>
              <a:satMod val="135000"/>
            </a:srgbClr>
            <a:prstClr val="white"/>
          </a:duotone>
          <a:extLst>
            <a:ext uri="{BEBA8EAE-BF5A-486C-A8C5-ECC9F3942E4B}">
              <a14:imgProps xmlns:a14="http://schemas.microsoft.com/office/drawing/2010/main">
                <a14:imgLayer r:embed="rId4">
                  <a14:imgEffect>
                    <a14:backgroundRemoval t="9653" b="89961" l="9677" r="91039">
                      <a14:foregroundMark x1="18638" y1="35521" x2="91039" y2="22780"/>
                      <a14:foregroundMark x1="91039" y1="22780" x2="21864" y2="43243"/>
                      <a14:foregroundMark x1="21864" y1="43243" x2="21864" y2="46718"/>
                      <a14:foregroundMark x1="9319" y1="80695" x2="14695" y2="86100"/>
                      <a14:foregroundMark x1="14695" y1="52124" x2="19713" y2="54440"/>
                      <a14:backgroundMark x1="14695" y1="22394" x2="75986" y2="386"/>
                    </a14:backgroundRemoval>
                  </a14:imgEffect>
                </a14:imgLayer>
              </a14:imgProps>
            </a:ext>
          </a:extLst>
        </a:blip>
        <a:stretch>
          <a:fillRect/>
        </a:stretch>
      </xdr:blipFill>
      <xdr:spPr>
        <a:xfrm>
          <a:off x="1880304" y="1626762"/>
          <a:ext cx="450146" cy="360788"/>
        </a:xfrm>
        <a:prstGeom prst="rect">
          <a:avLst/>
        </a:prstGeom>
      </xdr:spPr>
    </xdr:pic>
    <xdr:clientData/>
  </xdr:twoCellAnchor>
  <xdr:oneCellAnchor>
    <xdr:from>
      <xdr:col>3</xdr:col>
      <xdr:colOff>18363</xdr:colOff>
      <xdr:row>8</xdr:row>
      <xdr:rowOff>23812</xdr:rowOff>
    </xdr:from>
    <xdr:ext cx="370574" cy="349250"/>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5">
          <a:clrChange>
            <a:clrFrom>
              <a:srgbClr val="FDFDFD"/>
            </a:clrFrom>
            <a:clrTo>
              <a:srgbClr val="FDFDFD">
                <a:alpha val="0"/>
              </a:srgbClr>
            </a:clrTo>
          </a:clrChange>
          <a:alphaModFix/>
          <a:lum bright="70000" contrast="-70000"/>
          <a:extLst>
            <a:ext uri="{BEBA8EAE-BF5A-486C-A8C5-ECC9F3942E4B}">
              <a14:imgProps xmlns:a14="http://schemas.microsoft.com/office/drawing/2010/main">
                <a14:imgLayer r:embed="rId6">
                  <a14:imgEffect>
                    <a14:backgroundRemoval t="4274" b="92308" l="5932" r="97458">
                      <a14:foregroundMark x1="92585" y1="53846" x2="92155" y2="55233"/>
                      <a14:foregroundMark x1="93114" y1="52137" x2="92585" y2="53846"/>
                      <a14:foregroundMark x1="93379" y1="51282" x2="93114" y2="52137"/>
                      <a14:foregroundMark x1="93909" y1="49573" x2="93379" y2="51282"/>
                      <a14:foregroundMark x1="95393" y1="44784" x2="93909" y2="49573"/>
                      <a14:foregroundMark x1="98305" y1="45299" x2="97458" y2="59829"/>
                      <a14:foregroundMark x1="7627" y1="11111" x2="5932" y2="44444"/>
                      <a14:foregroundMark x1="16949" y1="4274" x2="16949" y2="4274"/>
                      <a14:foregroundMark x1="52542" y1="4274" x2="52542" y2="4274"/>
                      <a14:foregroundMark x1="87288" y1="70085" x2="85593" y2="86325"/>
                      <a14:backgroundMark x1="34746" y1="18803" x2="37288" y2="41880"/>
                      <a14:backgroundMark x1="76271" y1="6838" x2="97458" y2="29915"/>
                      <a14:backgroundMark x1="97458" y1="29915" x2="98305" y2="35043"/>
                      <a14:backgroundMark x1="44915" y1="72650" x2="64995" y2="75386"/>
                      <a14:backgroundMark x1="75092" y1="68795" x2="71186" y2="41880"/>
                      <a14:backgroundMark x1="95524" y1="87375" x2="95763" y2="93162"/>
                      <a14:backgroundMark x1="6780" y1="69231" x2="29661" y2="93162"/>
                      <a14:backgroundMark x1="29661" y1="93162" x2="2542" y2="78632"/>
                      <a14:backgroundMark x1="2542" y1="78632" x2="20339" y2="76923"/>
                      <a14:backgroundMark x1="7627" y1="83761" x2="2542" y2="88889"/>
                      <a14:backgroundMark x1="1695" y1="4274" x2="0" y2="1709"/>
                      <a14:backgroundMark x1="28475" y1="4274" x2="30508" y2="14530"/>
                      <a14:backgroundMark x1="27966" y1="1709" x2="28475" y2="4274"/>
                      <a14:backgroundMark x1="39233" y1="4274" x2="56780" y2="17949"/>
                      <a14:backgroundMark x1="38136" y1="3419" x2="39233" y2="4274"/>
                      <a14:backgroundMark x1="30508" y1="41880" x2="30508" y2="41880"/>
                      <a14:backgroundMark x1="5932" y1="79487" x2="22034" y2="84615"/>
                      <a14:backgroundMark x1="1695" y1="63248" x2="24576" y2="90598"/>
                      <a14:backgroundMark x1="24576" y1="90598" x2="7627" y2="84615"/>
                      <a14:backgroundMark x1="9322" y1="88889" x2="7627" y2="90598"/>
                      <a14:backgroundMark x1="8475" y1="86325" x2="18644" y2="91453"/>
                      <a14:backgroundMark x1="16949" y1="92308" x2="21186" y2="95726"/>
                      <a14:backgroundMark x1="17797" y1="87179" x2="18644" y2="89744"/>
                      <a14:backgroundMark x1="21186" y1="92308" x2="27966" y2="97436"/>
                      <a14:backgroundMark x1="19492" y1="94017" x2="25424" y2="94017"/>
                      <a14:backgroundMark x1="22881" y1="92308" x2="33898" y2="95726"/>
                      <a14:backgroundMark x1="4237" y1="62393" x2="29661" y2="88889"/>
                      <a14:backgroundMark x1="5932" y1="62393" x2="27966" y2="87179"/>
                      <a14:backgroundMark x1="11864" y1="64957" x2="18644" y2="77778"/>
                      <a14:backgroundMark x1="15254" y1="67521" x2="27119" y2="85470"/>
                      <a14:backgroundMark x1="16949" y1="70940" x2="29661" y2="88034"/>
                      <a14:backgroundMark x1="18644" y1="70085" x2="32203" y2="89744"/>
                      <a14:backgroundMark x1="21186" y1="71795" x2="27119" y2="84615"/>
                      <a14:backgroundMark x1="22881" y1="72650" x2="27966" y2="83761"/>
                      <a14:backgroundMark x1="24576" y1="74359" x2="28814" y2="80342"/>
                      <a14:backgroundMark x1="28814" y1="82906" x2="33898" y2="94872"/>
                      <a14:backgroundMark x1="41525" y1="96581" x2="30508" y2="88889"/>
                      <a14:backgroundMark x1="28885" y1="18803" x2="39831" y2="18803"/>
                      <a14:backgroundMark x1="32154" y1="4274" x2="34746" y2="15385"/>
                      <a14:backgroundMark x1="31356" y1="855" x2="32154" y2="4274"/>
                      <a14:backgroundMark x1="31356" y1="5128" x2="36441" y2="22222"/>
                      <a14:backgroundMark x1="29661" y1="7692" x2="32203" y2="20513"/>
                      <a14:backgroundMark x1="36339" y1="4274" x2="35593" y2="23077"/>
                      <a14:backgroundMark x1="36441" y1="1709" x2="36339" y2="4274"/>
                      <a14:backgroundMark x1="34181" y1="4274" x2="40678" y2="23932"/>
                      <a14:backgroundMark x1="33898" y1="3419" x2="34181" y2="4274"/>
                      <a14:backgroundMark x1="36441" y1="10256" x2="52542" y2="38462"/>
                      <a14:backgroundMark x1="43220" y1="12821" x2="40678" y2="13675"/>
                      <a14:backgroundMark x1="40678" y1="13675" x2="54237" y2="38462"/>
                      <a14:backgroundMark x1="49153" y1="20513" x2="56780" y2="37607"/>
                      <a14:backgroundMark x1="28054" y1="35132" x2="38983" y2="46154"/>
                      <a14:backgroundMark x1="28314" y1="30018" x2="45763" y2="47009"/>
                      <a14:backgroundMark x1="26330" y1="45498" x2="36441" y2="57265"/>
                      <a14:backgroundMark x1="27675" y1="42597" x2="41525" y2="58974"/>
                      <a14:backgroundMark x1="41525" y1="58974" x2="41525" y2="58974"/>
                      <a14:backgroundMark x1="27815" y1="39846" x2="46610" y2="57265"/>
                      <a14:backgroundMark x1="46610" y1="57265" x2="35593" y2="42735"/>
                      <a14:backgroundMark x1="28509" y1="26196" x2="39831" y2="33333"/>
                      <a14:backgroundMark x1="35593" y1="27350" x2="44915" y2="42735"/>
                      <a14:backgroundMark x1="38983" y1="23077" x2="49153" y2="44444"/>
                      <a14:backgroundMark x1="45763" y1="26496" x2="50847" y2="43590"/>
                      <a14:backgroundMark x1="35593" y1="36752" x2="45763" y2="52137"/>
                      <a14:backgroundMark x1="44915" y1="31624" x2="49153" y2="47009"/>
                      <a14:backgroundMark x1="24355" y1="45396" x2="33898" y2="55556"/>
                      <a14:backgroundMark x1="20352" y1="45189" x2="35593" y2="59829"/>
                      <a14:backgroundMark x1="28862" y1="19255" x2="29661" y2="19658"/>
                      <a14:backgroundMark x1="51695" y1="22222" x2="55085" y2="49573"/>
                      <a14:backgroundMark x1="52542" y1="18803" x2="53390" y2="35897"/>
                      <a14:backgroundMark x1="54237" y1="20513" x2="54237" y2="43590"/>
                      <a14:backgroundMark x1="57627" y1="18803" x2="57627" y2="18803"/>
                      <a14:backgroundMark x1="55085" y1="20513" x2="55085" y2="36752"/>
                      <a14:backgroundMark x1="38136" y1="52137" x2="43220" y2="58974"/>
                      <a14:backgroundMark x1="25424" y1="55556" x2="33898" y2="48718"/>
                      <a14:backgroundMark x1="18644" y1="54701" x2="34746" y2="59829"/>
                      <a14:backgroundMark x1="30508" y1="58974" x2="54237" y2="42735"/>
                      <a14:backgroundMark x1="36441" y1="60684" x2="51695" y2="42735"/>
                      <a14:backgroundMark x1="41525" y1="57265" x2="51695" y2="52137"/>
                      <a14:backgroundMark x1="53390" y1="39316" x2="43220" y2="54701"/>
                      <a14:backgroundMark x1="17486" y1="45041" x2="17797" y2="47863"/>
                      <a14:backgroundMark x1="20097" y1="45176" x2="22034" y2="51282"/>
                      <a14:backgroundMark x1="15398" y1="44934" x2="18644" y2="52137"/>
                      <a14:backgroundMark x1="56780" y1="23077" x2="47458" y2="52137"/>
                      <a14:backgroundMark x1="51695" y1="47009" x2="51695" y2="52991"/>
                      <a14:backgroundMark x1="55085" y1="24786" x2="55085" y2="50427"/>
                      <a14:backgroundMark x1="70339" y1="11111" x2="83051" y2="20513"/>
                      <a14:backgroundMark x1="71186" y1="15385" x2="81356" y2="29915"/>
                      <a14:backgroundMark x1="77966" y1="18803" x2="88983" y2="27350"/>
                      <a14:backgroundMark x1="68644" y1="1709" x2="93220" y2="5983"/>
                      <a14:backgroundMark x1="79661" y1="3419" x2="94068" y2="1709"/>
                      <a14:backgroundMark x1="71186" y1="855" x2="99153" y2="1709"/>
                      <a14:backgroundMark x1="61864" y1="0" x2="98305" y2="0"/>
                      <a14:backgroundMark x1="69810" y1="4274" x2="96610" y2="23932"/>
                      <a14:backgroundMark x1="68644" y1="3419" x2="69810" y2="4274"/>
                      <a14:backgroundMark x1="66033" y1="4274" x2="94068" y2="35043"/>
                      <a14:backgroundMark x1="65254" y1="3419" x2="66033" y2="4274"/>
                      <a14:backgroundMark x1="75424" y1="11111" x2="99153" y2="32479"/>
                      <a14:backgroundMark x1="77966" y1="20513" x2="96610" y2="32479"/>
                      <a14:backgroundMark x1="64407" y1="7692" x2="87288" y2="36752"/>
                      <a14:backgroundMark x1="87288" y1="36752" x2="87288" y2="36752"/>
                      <a14:backgroundMark x1="80508" y1="20513" x2="92373" y2="35043"/>
                      <a14:backgroundMark x1="80508" y1="23932" x2="88136" y2="36752"/>
                      <a14:backgroundMark x1="88136" y1="33333" x2="95763" y2="38462"/>
                      <a14:backgroundMark x1="96610" y1="35043" x2="96610" y2="35043"/>
                      <a14:backgroundMark x1="95763" y1="38462" x2="95763" y2="38462"/>
                      <a14:backgroundMark x1="67797" y1="13675" x2="69492" y2="17094"/>
                      <a14:backgroundMark x1="69492" y1="21368" x2="78814" y2="38462"/>
                      <a14:backgroundMark x1="71186" y1="18803" x2="83051" y2="33333"/>
                      <a14:backgroundMark x1="71186" y1="22222" x2="79661" y2="35043"/>
                      <a14:backgroundMark x1="77119" y1="29060" x2="82203" y2="35043"/>
                      <a14:backgroundMark x1="69492" y1="17094" x2="72881" y2="39316"/>
                      <a14:backgroundMark x1="68644" y1="20513" x2="72881" y2="23932"/>
                      <a14:backgroundMark x1="68644" y1="24786" x2="71186" y2="40171"/>
                      <a14:backgroundMark x1="72881" y1="30769" x2="74576" y2="38462"/>
                      <a14:backgroundMark x1="75424" y1="30769" x2="75424" y2="38462"/>
                      <a14:backgroundMark x1="83051" y1="33333" x2="83051" y2="36752"/>
                      <a14:backgroundMark x1="80508" y1="38462" x2="80508" y2="38462"/>
                      <a14:backgroundMark x1="99153" y1="35897" x2="99153" y2="35897"/>
                      <a14:backgroundMark x1="59322" y1="70940" x2="65211" y2="73316"/>
                      <a14:backgroundMark x1="50000" y1="70940" x2="65395" y2="71561"/>
                      <a14:backgroundMark x1="52542" y1="71795" x2="65370" y2="71795"/>
                      <a14:backgroundMark x1="57627" y1="69231" x2="65578" y2="69803"/>
                      <a14:backgroundMark x1="58475" y1="69231" x2="65638" y2="69231"/>
                      <a14:backgroundMark x1="56780" y1="67521" x2="70339" y2="67521"/>
                      <a14:backgroundMark x1="59322" y1="66667" x2="71186" y2="66667"/>
                      <a14:backgroundMark x1="70339" y1="65812" x2="61864" y2="64957"/>
                      <a14:backgroundMark x1="52542" y1="76923" x2="64907" y2="76230"/>
                      <a14:backgroundMark x1="52542" y1="77778" x2="64658" y2="78620"/>
                      <a14:backgroundMark x1="50847" y1="81197" x2="64389" y2="81197"/>
                      <a14:backgroundMark x1="69492" y1="61538" x2="71188" y2="68382"/>
                      <a14:backgroundMark x1="68644" y1="49573" x2="73041" y2="68578"/>
                      <a14:backgroundMark x1="42373" y1="81197" x2="64271" y2="82329"/>
                      <a14:backgroundMark x1="85593" y1="94017" x2="95763" y2="94872"/>
                      <a14:backgroundMark x1="90678" y1="92308" x2="99153" y2="95726"/>
                      <a14:backgroundMark x1="91525" y1="93162" x2="98305" y2="94872"/>
                      <a14:backgroundMark x1="86441" y1="94872" x2="82203" y2="96581"/>
                      <a14:backgroundMark x1="91525" y1="92308" x2="94068" y2="92308"/>
                      <a14:backgroundMark x1="95135" y1="87334" x2="95763" y2="91453"/>
                      <a14:backgroundMark x1="88136" y1="94017" x2="89831" y2="90598"/>
                      <a14:backgroundMark x1="89831" y1="91453" x2="97458" y2="91453"/>
                      <a14:backgroundMark x1="90678" y1="88889" x2="94068" y2="90598"/>
                      <a14:backgroundMark x1="97645" y1="87599" x2="98305" y2="96581"/>
                      <a14:backgroundMark x1="98127" y1="87650" x2="98305" y2="92308"/>
                      <a14:backgroundMark x1="97458" y1="70085" x2="97499" y2="71166"/>
                      <a14:backgroundMark x1="93704" y1="87182" x2="93220" y2="90598"/>
                      <a14:backgroundMark x1="76271" y1="64957" x2="76632" y2="68958"/>
                      <a14:backgroundMark x1="77966" y1="68376" x2="77816" y2="69084"/>
                      <a14:backgroundMark x1="43220" y1="82906" x2="72881" y2="85470"/>
                      <a14:backgroundMark x1="46610" y1="85470" x2="46610" y2="85470"/>
                      <a14:backgroundMark x1="47458" y1="85470" x2="61864" y2="85470"/>
                      <a14:backgroundMark x1="76271" y1="85470" x2="55932" y2="83761"/>
                      <a14:backgroundMark x1="3390" y1="55556" x2="6780" y2="66667"/>
                      <a14:backgroundMark x1="3390" y1="55556" x2="9322" y2="71795"/>
                      <a14:backgroundMark x1="19492" y1="70085" x2="27119" y2="80342"/>
                      <a14:backgroundMark x1="22034" y1="70085" x2="27966" y2="77778"/>
                      <a14:backgroundMark x1="25424" y1="70085" x2="30508" y2="97436"/>
                      <a14:backgroundMark x1="25424" y1="9402" x2="25424" y2="9402"/>
                      <a14:backgroundMark x1="23729" y1="11111" x2="23729" y2="11111"/>
                      <a14:backgroundMark x1="20339" y1="11111" x2="20339" y2="11111"/>
                      <a14:backgroundMark x1="15254" y1="47009" x2="17797" y2="53846"/>
                      <a14:backgroundMark x1="23729" y1="58120" x2="26271" y2="58120"/>
                      <a14:backgroundMark x1="55932" y1="51282" x2="52542" y2="53846"/>
                      <a14:backgroundMark x1="54237" y1="51282" x2="50000" y2="51282"/>
                      <a14:backgroundMark x1="50000" y1="56410" x2="50000" y2="56410"/>
                      <a14:backgroundMark x1="54237" y1="53846" x2="54237" y2="53846"/>
                      <a14:backgroundMark x1="49153" y1="56410" x2="49153" y2="56410"/>
                      <a14:backgroundMark x1="30508" y1="2564" x2="40678" y2="855"/>
                      <a14:backgroundMark x1="4237" y1="1709" x2="4237" y2="1709"/>
                      <a14:backgroundMark x1="3390" y1="1709" x2="3390" y2="1709"/>
                      <a14:backgroundMark x1="0" y1="0" x2="0" y2="855"/>
                      <a14:backgroundMark x1="847" y1="0" x2="8475" y2="0"/>
                      <a14:backgroundMark x1="4520" y1="4274" x2="3390" y2="5983"/>
                      <a14:backgroundMark x1="5085" y1="3419" x2="4520" y2="4274"/>
                      <a14:backgroundMark x1="3390" y1="7692" x2="3390" y2="7692"/>
                      <a14:backgroundMark x1="7627" y1="2564" x2="7627" y2="2564"/>
                      <a14:backgroundMark x1="2542" y1="7692" x2="2542" y2="7692"/>
                      <a14:backgroundMark x1="2542" y1="8547" x2="2542" y2="8547"/>
                      <a14:backgroundMark x1="847" y1="9402" x2="847" y2="9402"/>
                      <a14:backgroundMark x1="3390" y1="8547" x2="3390" y2="8547"/>
                      <a14:backgroundMark x1="72881" y1="41880" x2="72881" y2="41880"/>
                      <a14:backgroundMark x1="75424" y1="42735" x2="75424" y2="42735"/>
                      <a14:backgroundMark x1="79661" y1="36752" x2="79661" y2="36752"/>
                      <a14:backgroundMark x1="82203" y1="36752" x2="82203" y2="36752"/>
                      <a14:backgroundMark x1="99153" y1="38462" x2="99153" y2="38462"/>
                      <a14:backgroundMark x1="97458" y1="38462" x2="97458" y2="38462"/>
                      <a14:backgroundMark x1="67797" y1="17094" x2="67797" y2="17094"/>
                      <a14:backgroundMark x1="67797" y1="33333" x2="67797" y2="35043"/>
                      <a14:backgroundMark x1="67797" y1="29060" x2="67797" y2="29060"/>
                      <a14:backgroundMark x1="68644" y1="17094" x2="68644" y2="17094"/>
                      <a14:backgroundMark x1="67797" y1="18803" x2="67797" y2="18803"/>
                      <a14:backgroundMark x1="70339" y1="23077" x2="70339" y2="23077"/>
                      <a14:backgroundMark x1="68644" y1="23932" x2="68644" y2="23932"/>
                      <a14:backgroundMark x1="45763" y1="71795" x2="56780" y2="74359"/>
                      <a14:backgroundMark x1="47458" y1="74359" x2="47458" y2="80342"/>
                      <a14:backgroundMark x1="44068" y1="76923" x2="44068" y2="81197"/>
                      <a14:backgroundMark x1="40678" y1="79487" x2="40678" y2="79487"/>
                      <a14:backgroundMark x1="41525" y1="78632" x2="41525" y2="78632"/>
                      <a14:backgroundMark x1="44068" y1="79487" x2="44068" y2="79487"/>
                      <a14:backgroundMark x1="41525" y1="79487" x2="41525" y2="79487"/>
                      <a14:backgroundMark x1="43220" y1="79487" x2="43220" y2="79487"/>
                      <a14:backgroundMark x1="43220" y1="76068" x2="43220" y2="76068"/>
                      <a14:backgroundMark x1="45763" y1="72650" x2="45763" y2="72650"/>
                      <a14:backgroundMark x1="47458" y1="71795" x2="47458" y2="71795"/>
                      <a14:backgroundMark x1="46610" y1="70940" x2="46610" y2="70940"/>
                      <a14:backgroundMark x1="48305" y1="70940" x2="48305" y2="70940"/>
                      <a14:backgroundMark x1="50000" y1="70940" x2="50000" y2="70940"/>
                      <a14:backgroundMark x1="52542" y1="70085" x2="52542" y2="70085"/>
                      <a14:backgroundMark x1="59322" y1="69231" x2="59322" y2="69231"/>
                      <a14:backgroundMark x1="54237" y1="69231" x2="54237" y2="69231"/>
                      <a14:backgroundMark x1="63559" y1="63248" x2="50847" y2="68376"/>
                      <a14:backgroundMark x1="66102" y1="61538" x2="66102" y2="61538"/>
                      <a14:backgroundMark x1="67797" y1="63248" x2="67797" y2="63248"/>
                      <a14:backgroundMark x1="67797" y1="63248" x2="67797" y2="63248"/>
                      <a14:backgroundMark x1="66949" y1="63248" x2="66949" y2="63248"/>
                      <a14:backgroundMark x1="66949" y1="59829" x2="66949" y2="59829"/>
                      <a14:backgroundMark x1="69492" y1="55556" x2="69492" y2="55556"/>
                      <a14:backgroundMark x1="69492" y1="55556" x2="59322" y2="69231"/>
                      <a14:backgroundMark x1="68644" y1="54701" x2="61017" y2="68376"/>
                      <a14:backgroundMark x1="66102" y1="57265" x2="61864" y2="65812"/>
                      <a14:backgroundMark x1="68644" y1="39316" x2="69492" y2="41026"/>
                      <a14:backgroundMark x1="69492" y1="45299" x2="69492" y2="45299"/>
                      <a14:backgroundMark x1="68644" y1="47863" x2="68644" y2="47863"/>
                      <a14:backgroundMark x1="70339" y1="44444" x2="70339" y2="44444"/>
                      <a14:backgroundMark x1="68644" y1="43590" x2="68644" y2="43590"/>
                      <a14:backgroundMark x1="68644" y1="42735" x2="68644" y2="42735"/>
                      <a14:backgroundMark x1="69492" y1="38462" x2="69492" y2="38462"/>
                      <a14:backgroundMark x1="96610" y1="38462" x2="99153" y2="42735"/>
                      <a14:backgroundMark x1="56780" y1="29915" x2="56780" y2="29915"/>
                      <a14:backgroundMark x1="56780" y1="34188" x2="56780" y2="34188"/>
                      <a14:backgroundMark x1="56780" y1="22222" x2="56780" y2="22222"/>
                      <a14:backgroundMark x1="56780" y1="30769" x2="56780" y2="30769"/>
                      <a14:backgroundMark x1="57627" y1="27350" x2="57627" y2="27350"/>
                      <a14:backgroundMark x1="56780" y1="42735" x2="56780" y2="42735"/>
                      <a14:backgroundMark x1="56780" y1="40171" x2="56780" y2="40171"/>
                      <a14:backgroundMark x1="55932" y1="44444" x2="55932" y2="44444"/>
                      <a14:backgroundMark x1="56780" y1="47863" x2="56780" y2="47863"/>
                      <a14:backgroundMark x1="56780" y1="43590" x2="56780" y2="43590"/>
                      <a14:backgroundMark x1="56780" y1="46154" x2="56780" y2="46154"/>
                      <a14:backgroundMark x1="27966" y1="59829" x2="27966" y2="59829"/>
                      <a14:backgroundMark x1="30508" y1="59829" x2="30508" y2="59829"/>
                      <a14:backgroundMark x1="14407" y1="49573" x2="14407" y2="49573"/>
                      <a14:backgroundMark x1="16102" y1="53846" x2="16102" y2="53846"/>
                      <a14:backgroundMark x1="22034" y1="57265" x2="22034" y2="57265"/>
                      <a14:backgroundMark x1="22034" y1="57265" x2="22034" y2="57265"/>
                      <a14:backgroundMark x1="18644" y1="11111" x2="18644" y2="11111"/>
                      <a14:backgroundMark x1="22881" y1="11111" x2="22881" y2="11111"/>
                      <a14:backgroundMark x1="13559" y1="47863" x2="13559" y2="47863"/>
                      <a14:backgroundMark x1="12712" y1="46154" x2="12712" y2="46154"/>
                      <a14:backgroundMark x1="12712" y1="46154" x2="12712" y2="46154"/>
                      <a14:backgroundMark x1="12712" y1="45299" x2="12712" y2="45299"/>
                      <a14:backgroundMark x1="12712" y1="45299" x2="12712" y2="45299"/>
                      <a14:backgroundMark x1="52542" y1="12821" x2="52542" y2="12821"/>
                      <a14:backgroundMark x1="54237" y1="14530" x2="54237" y2="14530"/>
                      <a14:backgroundMark x1="55932" y1="16239" x2="55932" y2="16239"/>
                      <a14:backgroundMark x1="55932" y1="12821" x2="55932" y2="12821"/>
                      <a14:backgroundMark x1="51695" y1="11111" x2="51695" y2="11111"/>
                      <a14:backgroundMark x1="54237" y1="12821" x2="54237" y2="12821"/>
                      <a14:backgroundMark x1="54237" y1="11111" x2="54237" y2="11111"/>
                      <a14:backgroundMark x1="49153" y1="11111" x2="49153" y2="11111"/>
                      <a14:backgroundMark x1="80508" y1="68376" x2="80508" y2="68376"/>
                      <a14:backgroundMark x1="77119" y1="64957" x2="77119" y2="64957"/>
                      <a14:backgroundMark x1="62712" y1="85470" x2="62712" y2="85470"/>
                      <a14:backgroundMark x1="63559" y1="85470" x2="63559" y2="85470"/>
                      <a14:backgroundMark x1="65254" y1="85470" x2="65254" y2="85470"/>
                      <a14:backgroundMark x1="41525" y1="79487" x2="41525" y2="79487"/>
                      <a14:backgroundMark x1="44915" y1="70085" x2="44915" y2="70085"/>
                      <a14:backgroundMark x1="47458" y1="69231" x2="47458" y2="69231"/>
                      <a14:backgroundMark x1="66102" y1="57265" x2="66102" y2="57265"/>
                      <a14:backgroundMark x1="65254" y1="57265" x2="65254" y2="57265"/>
                      <a14:backgroundMark x1="63559" y1="58974" x2="63559" y2="58974"/>
                      <a14:backgroundMark x1="63559" y1="61538" x2="63559" y2="61538"/>
                      <a14:backgroundMark x1="61864" y1="62393" x2="61864" y2="62393"/>
                      <a14:backgroundMark x1="61017" y1="64103" x2="61017" y2="64103"/>
                      <a14:backgroundMark x1="59322" y1="64957" x2="59322" y2="64957"/>
                      <a14:backgroundMark x1="66102" y1="54701" x2="66102" y2="54701"/>
                      <a14:backgroundMark x1="69492" y1="50427" x2="69492" y2="50427"/>
                      <a14:backgroundMark x1="67797" y1="52991" x2="67797" y2="52991"/>
                      <a14:backgroundMark x1="67797" y1="54701" x2="67797" y2="54701"/>
                      <a14:backgroundMark x1="60169" y1="63248" x2="60169" y2="63248"/>
                      <a14:backgroundMark x1="66949" y1="56410" x2="66949" y2="56410"/>
                      <a14:backgroundMark x1="67797" y1="52991" x2="67797" y2="52991"/>
                      <a14:backgroundMark x1="98305" y1="68376" x2="98305" y2="68376"/>
                      <a14:backgroundMark x1="72881" y1="44444" x2="72881" y2="44444"/>
                      <a14:backgroundMark x1="90678" y1="36752" x2="90678" y2="36752"/>
                      <a14:backgroundMark x1="63559" y1="3419" x2="63559" y2="3419"/>
                      <a14:backgroundMark x1="66102" y1="0" x2="66102" y2="0"/>
                      <a14:backgroundMark x1="63559" y1="855" x2="63559" y2="855"/>
                      <a14:backgroundMark x1="59322" y1="0" x2="59322" y2="0"/>
                      <a14:backgroundMark x1="60169" y1="0" x2="60169" y2="0"/>
                      <a14:backgroundMark x1="61017" y1="2564" x2="61017" y2="2564"/>
                      <a14:backgroundMark x1="30508" y1="0" x2="38983" y2="0"/>
                      <a14:backgroundMark x1="42373" y1="3419" x2="42373" y2="3419"/>
                      <a14:backgroundMark x1="42373" y1="855" x2="42373" y2="855"/>
                      <a14:backgroundMark x1="44915" y1="0" x2="44915" y2="0"/>
                      <a14:backgroundMark x1="47458" y1="0" x2="47458" y2="0"/>
                      <a14:backgroundMark x1="50847" y1="0" x2="50847" y2="0"/>
                      <a14:backgroundMark x1="55932" y1="0" x2="55932" y2="0"/>
                      <a14:backgroundMark x1="58475" y1="0" x2="58475" y2="0"/>
                      <a14:backgroundMark x1="58475" y1="0" x2="58475" y2="0"/>
                      <a14:backgroundMark x1="75424" y1="61538" x2="75424" y2="61538"/>
                      <a14:backgroundMark x1="79661" y1="63248" x2="79661" y2="63248"/>
                      <a14:backgroundMark x1="83051" y1="67521" x2="83051" y2="67521"/>
                      <a14:backgroundMark x1="91525" y1="67521" x2="91525" y2="67521"/>
                      <a14:backgroundMark x1="94068" y1="70085" x2="94068" y2="70085"/>
                      <a14:backgroundMark x1="83898" y1="65812" x2="83898" y2="65812"/>
                      <a14:backgroundMark x1="73729" y1="59829" x2="73729" y2="59829"/>
                      <a14:backgroundMark x1="79661" y1="66667" x2="79661" y2="66667"/>
                      <a14:backgroundMark x1="81356" y1="37607" x2="81356" y2="37607"/>
                      <a14:backgroundMark x1="10169" y1="1709" x2="10169" y2="1709"/>
                      <a14:backgroundMark x1="11017" y1="0" x2="11017" y2="0"/>
                      <a14:backgroundMark x1="14407" y1="0" x2="14407" y2="0"/>
                    </a14:backgroundRemoval>
                  </a14:imgEffect>
                  <a14:imgEffect>
                    <a14:colorTemperature colorTemp="11200"/>
                  </a14:imgEffect>
                </a14:imgLayer>
              </a14:imgProps>
            </a:ext>
          </a:extLst>
        </a:blip>
        <a:stretch>
          <a:fillRect/>
        </a:stretch>
      </xdr:blipFill>
      <xdr:spPr>
        <a:xfrm>
          <a:off x="1891613" y="3079750"/>
          <a:ext cx="370574" cy="349250"/>
        </a:xfrm>
        <a:prstGeom prst="rect">
          <a:avLst/>
        </a:prstGeom>
        <a:noFill/>
        <a:ln>
          <a:noFill/>
        </a:ln>
      </xdr:spPr>
    </xdr:pic>
    <xdr:clientData/>
  </xdr:oneCellAnchor>
  <xdr:oneCellAnchor>
    <xdr:from>
      <xdr:col>8</xdr:col>
      <xdr:colOff>13796</xdr:colOff>
      <xdr:row>4</xdr:row>
      <xdr:rowOff>10130</xdr:rowOff>
    </xdr:from>
    <xdr:ext cx="240204" cy="339120"/>
    <xdr:sp macro="" textlink="">
      <xdr:nvSpPr>
        <xdr:cNvPr id="18" name="Person icon" descr="&quot;&quot;" title="Person icon">
          <a:extLst>
            <a:ext uri="{FF2B5EF4-FFF2-40B4-BE49-F238E27FC236}">
              <a16:creationId xmlns:a16="http://schemas.microsoft.com/office/drawing/2014/main" id="{00000000-0008-0000-0600-000012000000}"/>
            </a:ext>
          </a:extLst>
        </xdr:cNvPr>
        <xdr:cNvSpPr>
          <a:spLocks noChangeAspect="1"/>
        </xdr:cNvSpPr>
      </xdr:nvSpPr>
      <xdr:spPr bwMode="auto">
        <a:xfrm>
          <a:off x="11840671" y="1637318"/>
          <a:ext cx="240204" cy="339120"/>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txBody>
        <a:bodyPr/>
        <a:lstStyle/>
        <a:p>
          <a:endParaRPr lang="en-IN"/>
        </a:p>
      </xdr:txBody>
    </xdr:sp>
    <xdr:clientData/>
  </xdr:oneCellAnchor>
  <xdr:oneCellAnchor>
    <xdr:from>
      <xdr:col>8</xdr:col>
      <xdr:colOff>51406</xdr:colOff>
      <xdr:row>8</xdr:row>
      <xdr:rowOff>0</xdr:rowOff>
    </xdr:from>
    <xdr:ext cx="762000" cy="709083"/>
    <xdr:grpSp>
      <xdr:nvGrpSpPr>
        <xdr:cNvPr id="19" name="Envelope icon group" descr="&quot;&quot;" title="Envelope icon">
          <a:extLst>
            <a:ext uri="{FF2B5EF4-FFF2-40B4-BE49-F238E27FC236}">
              <a16:creationId xmlns:a16="http://schemas.microsoft.com/office/drawing/2014/main" id="{00000000-0008-0000-0600-000013000000}"/>
            </a:ext>
          </a:extLst>
        </xdr:cNvPr>
        <xdr:cNvGrpSpPr>
          <a:grpSpLocks noChangeAspect="1"/>
        </xdr:cNvGrpSpPr>
      </xdr:nvGrpSpPr>
      <xdr:grpSpPr>
        <a:xfrm>
          <a:off x="12472006" y="3124200"/>
          <a:ext cx="762000" cy="709083"/>
          <a:chOff x="1847850" y="4562475"/>
          <a:chExt cx="447675" cy="381000"/>
        </a:xfrm>
        <a:solidFill>
          <a:schemeClr val="accent1">
            <a:lumMod val="75000"/>
          </a:schemeClr>
        </a:solidFill>
      </xdr:grpSpPr>
      <xdr:sp macro="" textlink="">
        <xdr:nvSpPr>
          <xdr:cNvPr id="20" name="Freeform 16">
            <a:extLst>
              <a:ext uri="{FF2B5EF4-FFF2-40B4-BE49-F238E27FC236}">
                <a16:creationId xmlns:a16="http://schemas.microsoft.com/office/drawing/2014/main" id="{00000000-0008-0000-0600-000014000000}"/>
              </a:ext>
            </a:extLst>
          </xdr:cNvPr>
          <xdr:cNvSpPr>
            <a:spLocks/>
          </xdr:cNvSpPr>
        </xdr:nvSpPr>
        <xdr:spPr bwMode="auto">
          <a:xfrm>
            <a:off x="1847850" y="4695825"/>
            <a:ext cx="447675" cy="247650"/>
          </a:xfrm>
          <a:custGeom>
            <a:avLst/>
            <a:gdLst>
              <a:gd name="T0" fmla="*/ 6 w 517"/>
              <a:gd name="T1" fmla="*/ 0 h 280"/>
              <a:gd name="T2" fmla="*/ 218 w 517"/>
              <a:gd name="T3" fmla="*/ 172 h 280"/>
              <a:gd name="T4" fmla="*/ 218 w 517"/>
              <a:gd name="T5" fmla="*/ 173 h 280"/>
              <a:gd name="T6" fmla="*/ 230 w 517"/>
              <a:gd name="T7" fmla="*/ 180 h 280"/>
              <a:gd name="T8" fmla="*/ 245 w 517"/>
              <a:gd name="T9" fmla="*/ 184 h 280"/>
              <a:gd name="T10" fmla="*/ 259 w 517"/>
              <a:gd name="T11" fmla="*/ 186 h 280"/>
              <a:gd name="T12" fmla="*/ 273 w 517"/>
              <a:gd name="T13" fmla="*/ 184 h 280"/>
              <a:gd name="T14" fmla="*/ 287 w 517"/>
              <a:gd name="T15" fmla="*/ 179 h 280"/>
              <a:gd name="T16" fmla="*/ 300 w 517"/>
              <a:gd name="T17" fmla="*/ 172 h 280"/>
              <a:gd name="T18" fmla="*/ 300 w 517"/>
              <a:gd name="T19" fmla="*/ 171 h 280"/>
              <a:gd name="T20" fmla="*/ 379 w 517"/>
              <a:gd name="T21" fmla="*/ 108 h 280"/>
              <a:gd name="T22" fmla="*/ 492 w 517"/>
              <a:gd name="T23" fmla="*/ 16 h 280"/>
              <a:gd name="T24" fmla="*/ 511 w 517"/>
              <a:gd name="T25" fmla="*/ 0 h 280"/>
              <a:gd name="T26" fmla="*/ 515 w 517"/>
              <a:gd name="T27" fmla="*/ 11 h 280"/>
              <a:gd name="T28" fmla="*/ 516 w 517"/>
              <a:gd name="T29" fmla="*/ 21 h 280"/>
              <a:gd name="T30" fmla="*/ 517 w 517"/>
              <a:gd name="T31" fmla="*/ 232 h 280"/>
              <a:gd name="T32" fmla="*/ 515 w 517"/>
              <a:gd name="T33" fmla="*/ 246 h 280"/>
              <a:gd name="T34" fmla="*/ 508 w 517"/>
              <a:gd name="T35" fmla="*/ 259 h 280"/>
              <a:gd name="T36" fmla="*/ 373 w 517"/>
              <a:gd name="T37" fmla="*/ 158 h 280"/>
              <a:gd name="T38" fmla="*/ 371 w 517"/>
              <a:gd name="T39" fmla="*/ 157 h 280"/>
              <a:gd name="T40" fmla="*/ 368 w 517"/>
              <a:gd name="T41" fmla="*/ 156 h 280"/>
              <a:gd name="T42" fmla="*/ 366 w 517"/>
              <a:gd name="T43" fmla="*/ 157 h 280"/>
              <a:gd name="T44" fmla="*/ 364 w 517"/>
              <a:gd name="T45" fmla="*/ 159 h 280"/>
              <a:gd name="T46" fmla="*/ 362 w 517"/>
              <a:gd name="T47" fmla="*/ 163 h 280"/>
              <a:gd name="T48" fmla="*/ 362 w 517"/>
              <a:gd name="T49" fmla="*/ 165 h 280"/>
              <a:gd name="T50" fmla="*/ 363 w 517"/>
              <a:gd name="T51" fmla="*/ 168 h 280"/>
              <a:gd name="T52" fmla="*/ 365 w 517"/>
              <a:gd name="T53" fmla="*/ 170 h 280"/>
              <a:gd name="T54" fmla="*/ 499 w 517"/>
              <a:gd name="T55" fmla="*/ 269 h 280"/>
              <a:gd name="T56" fmla="*/ 485 w 517"/>
              <a:gd name="T57" fmla="*/ 277 h 280"/>
              <a:gd name="T58" fmla="*/ 468 w 517"/>
              <a:gd name="T59" fmla="*/ 280 h 280"/>
              <a:gd name="T60" fmla="*/ 49 w 517"/>
              <a:gd name="T61" fmla="*/ 280 h 280"/>
              <a:gd name="T62" fmla="*/ 33 w 517"/>
              <a:gd name="T63" fmla="*/ 278 h 280"/>
              <a:gd name="T64" fmla="*/ 20 w 517"/>
              <a:gd name="T65" fmla="*/ 270 h 280"/>
              <a:gd name="T66" fmla="*/ 153 w 517"/>
              <a:gd name="T67" fmla="*/ 170 h 280"/>
              <a:gd name="T68" fmla="*/ 155 w 517"/>
              <a:gd name="T69" fmla="*/ 168 h 280"/>
              <a:gd name="T70" fmla="*/ 156 w 517"/>
              <a:gd name="T71" fmla="*/ 165 h 280"/>
              <a:gd name="T72" fmla="*/ 156 w 517"/>
              <a:gd name="T73" fmla="*/ 163 h 280"/>
              <a:gd name="T74" fmla="*/ 155 w 517"/>
              <a:gd name="T75" fmla="*/ 159 h 280"/>
              <a:gd name="T76" fmla="*/ 153 w 517"/>
              <a:gd name="T77" fmla="*/ 157 h 280"/>
              <a:gd name="T78" fmla="*/ 150 w 517"/>
              <a:gd name="T79" fmla="*/ 156 h 280"/>
              <a:gd name="T80" fmla="*/ 148 w 517"/>
              <a:gd name="T81" fmla="*/ 157 h 280"/>
              <a:gd name="T82" fmla="*/ 145 w 517"/>
              <a:gd name="T83" fmla="*/ 158 h 280"/>
              <a:gd name="T84" fmla="*/ 10 w 517"/>
              <a:gd name="T85" fmla="*/ 260 h 280"/>
              <a:gd name="T86" fmla="*/ 2 w 517"/>
              <a:gd name="T87" fmla="*/ 247 h 280"/>
              <a:gd name="T88" fmla="*/ 0 w 517"/>
              <a:gd name="T89" fmla="*/ 232 h 280"/>
              <a:gd name="T90" fmla="*/ 0 w 517"/>
              <a:gd name="T91" fmla="*/ 228 h 280"/>
              <a:gd name="T92" fmla="*/ 0 w 517"/>
              <a:gd name="T93" fmla="*/ 218 h 280"/>
              <a:gd name="T94" fmla="*/ 0 w 517"/>
              <a:gd name="T95" fmla="*/ 203 h 280"/>
              <a:gd name="T96" fmla="*/ 0 w 517"/>
              <a:gd name="T97" fmla="*/ 184 h 280"/>
              <a:gd name="T98" fmla="*/ 0 w 517"/>
              <a:gd name="T99" fmla="*/ 163 h 280"/>
              <a:gd name="T100" fmla="*/ 0 w 517"/>
              <a:gd name="T101" fmla="*/ 139 h 280"/>
              <a:gd name="T102" fmla="*/ 0 w 517"/>
              <a:gd name="T103" fmla="*/ 115 h 280"/>
              <a:gd name="T104" fmla="*/ 0 w 517"/>
              <a:gd name="T105" fmla="*/ 91 h 280"/>
              <a:gd name="T106" fmla="*/ 0 w 517"/>
              <a:gd name="T107" fmla="*/ 69 h 280"/>
              <a:gd name="T108" fmla="*/ 0 w 517"/>
              <a:gd name="T109" fmla="*/ 50 h 280"/>
              <a:gd name="T110" fmla="*/ 0 w 517"/>
              <a:gd name="T111" fmla="*/ 35 h 280"/>
              <a:gd name="T112" fmla="*/ 0 w 517"/>
              <a:gd name="T113" fmla="*/ 25 h 280"/>
              <a:gd name="T114" fmla="*/ 0 w 517"/>
              <a:gd name="T115" fmla="*/ 21 h 280"/>
              <a:gd name="T116" fmla="*/ 1 w 517"/>
              <a:gd name="T117" fmla="*/ 10 h 280"/>
              <a:gd name="T118" fmla="*/ 6 w 517"/>
              <a:gd name="T119" fmla="*/ 0 h 28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517" h="280">
                <a:moveTo>
                  <a:pt x="6" y="0"/>
                </a:moveTo>
                <a:lnTo>
                  <a:pt x="218" y="172"/>
                </a:lnTo>
                <a:lnTo>
                  <a:pt x="218" y="173"/>
                </a:lnTo>
                <a:lnTo>
                  <a:pt x="230" y="180"/>
                </a:lnTo>
                <a:lnTo>
                  <a:pt x="245" y="184"/>
                </a:lnTo>
                <a:lnTo>
                  <a:pt x="259" y="186"/>
                </a:lnTo>
                <a:lnTo>
                  <a:pt x="273" y="184"/>
                </a:lnTo>
                <a:lnTo>
                  <a:pt x="287" y="179"/>
                </a:lnTo>
                <a:lnTo>
                  <a:pt x="300" y="172"/>
                </a:lnTo>
                <a:lnTo>
                  <a:pt x="300" y="171"/>
                </a:lnTo>
                <a:lnTo>
                  <a:pt x="379" y="108"/>
                </a:lnTo>
                <a:lnTo>
                  <a:pt x="492" y="16"/>
                </a:lnTo>
                <a:lnTo>
                  <a:pt x="511" y="0"/>
                </a:lnTo>
                <a:lnTo>
                  <a:pt x="515" y="11"/>
                </a:lnTo>
                <a:lnTo>
                  <a:pt x="516" y="21"/>
                </a:lnTo>
                <a:lnTo>
                  <a:pt x="517" y="232"/>
                </a:lnTo>
                <a:lnTo>
                  <a:pt x="515" y="246"/>
                </a:lnTo>
                <a:lnTo>
                  <a:pt x="508" y="259"/>
                </a:lnTo>
                <a:lnTo>
                  <a:pt x="373" y="158"/>
                </a:lnTo>
                <a:lnTo>
                  <a:pt x="371" y="157"/>
                </a:lnTo>
                <a:lnTo>
                  <a:pt x="368" y="156"/>
                </a:lnTo>
                <a:lnTo>
                  <a:pt x="366" y="157"/>
                </a:lnTo>
                <a:lnTo>
                  <a:pt x="364" y="159"/>
                </a:lnTo>
                <a:lnTo>
                  <a:pt x="362" y="163"/>
                </a:lnTo>
                <a:lnTo>
                  <a:pt x="362" y="165"/>
                </a:lnTo>
                <a:lnTo>
                  <a:pt x="363" y="168"/>
                </a:lnTo>
                <a:lnTo>
                  <a:pt x="365" y="170"/>
                </a:lnTo>
                <a:lnTo>
                  <a:pt x="499" y="269"/>
                </a:lnTo>
                <a:lnTo>
                  <a:pt x="485" y="277"/>
                </a:lnTo>
                <a:lnTo>
                  <a:pt x="468" y="280"/>
                </a:lnTo>
                <a:lnTo>
                  <a:pt x="49" y="280"/>
                </a:lnTo>
                <a:lnTo>
                  <a:pt x="33" y="278"/>
                </a:lnTo>
                <a:lnTo>
                  <a:pt x="20" y="270"/>
                </a:lnTo>
                <a:lnTo>
                  <a:pt x="153" y="170"/>
                </a:lnTo>
                <a:lnTo>
                  <a:pt x="155" y="168"/>
                </a:lnTo>
                <a:lnTo>
                  <a:pt x="156" y="165"/>
                </a:lnTo>
                <a:lnTo>
                  <a:pt x="156" y="163"/>
                </a:lnTo>
                <a:lnTo>
                  <a:pt x="155" y="159"/>
                </a:lnTo>
                <a:lnTo>
                  <a:pt x="153" y="157"/>
                </a:lnTo>
                <a:lnTo>
                  <a:pt x="150" y="156"/>
                </a:lnTo>
                <a:lnTo>
                  <a:pt x="148" y="157"/>
                </a:lnTo>
                <a:lnTo>
                  <a:pt x="145" y="158"/>
                </a:lnTo>
                <a:lnTo>
                  <a:pt x="10" y="260"/>
                </a:lnTo>
                <a:lnTo>
                  <a:pt x="2" y="247"/>
                </a:lnTo>
                <a:lnTo>
                  <a:pt x="0" y="232"/>
                </a:lnTo>
                <a:lnTo>
                  <a:pt x="0" y="228"/>
                </a:lnTo>
                <a:lnTo>
                  <a:pt x="0" y="218"/>
                </a:lnTo>
                <a:lnTo>
                  <a:pt x="0" y="203"/>
                </a:lnTo>
                <a:lnTo>
                  <a:pt x="0" y="184"/>
                </a:lnTo>
                <a:lnTo>
                  <a:pt x="0" y="163"/>
                </a:lnTo>
                <a:lnTo>
                  <a:pt x="0" y="139"/>
                </a:lnTo>
                <a:lnTo>
                  <a:pt x="0" y="115"/>
                </a:lnTo>
                <a:lnTo>
                  <a:pt x="0" y="91"/>
                </a:lnTo>
                <a:lnTo>
                  <a:pt x="0" y="69"/>
                </a:lnTo>
                <a:lnTo>
                  <a:pt x="0" y="50"/>
                </a:lnTo>
                <a:lnTo>
                  <a:pt x="0" y="35"/>
                </a:lnTo>
                <a:lnTo>
                  <a:pt x="0" y="25"/>
                </a:lnTo>
                <a:lnTo>
                  <a:pt x="0" y="21"/>
                </a:lnTo>
                <a:lnTo>
                  <a:pt x="1" y="10"/>
                </a:lnTo>
                <a:lnTo>
                  <a:pt x="6"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sp>
      <xdr:sp macro="" textlink="">
        <xdr:nvSpPr>
          <xdr:cNvPr id="21" name="Freeform 17">
            <a:extLst>
              <a:ext uri="{FF2B5EF4-FFF2-40B4-BE49-F238E27FC236}">
                <a16:creationId xmlns:a16="http://schemas.microsoft.com/office/drawing/2014/main" id="{00000000-0008-0000-0600-000015000000}"/>
              </a:ext>
            </a:extLst>
          </xdr:cNvPr>
          <xdr:cNvSpPr>
            <a:spLocks/>
          </xdr:cNvSpPr>
        </xdr:nvSpPr>
        <xdr:spPr bwMode="auto">
          <a:xfrm>
            <a:off x="1866900" y="4562475"/>
            <a:ext cx="409575" cy="209550"/>
          </a:xfrm>
          <a:custGeom>
            <a:avLst/>
            <a:gdLst>
              <a:gd name="T0" fmla="*/ 234 w 467"/>
              <a:gd name="T1" fmla="*/ 0 h 245"/>
              <a:gd name="T2" fmla="*/ 248 w 467"/>
              <a:gd name="T3" fmla="*/ 1 h 245"/>
              <a:gd name="T4" fmla="*/ 261 w 467"/>
              <a:gd name="T5" fmla="*/ 6 h 245"/>
              <a:gd name="T6" fmla="*/ 274 w 467"/>
              <a:gd name="T7" fmla="*/ 13 h 245"/>
              <a:gd name="T8" fmla="*/ 467 w 467"/>
              <a:gd name="T9" fmla="*/ 139 h 245"/>
              <a:gd name="T10" fmla="*/ 397 w 467"/>
              <a:gd name="T11" fmla="*/ 195 h 245"/>
              <a:gd name="T12" fmla="*/ 310 w 467"/>
              <a:gd name="T13" fmla="*/ 127 h 245"/>
              <a:gd name="T14" fmla="*/ 310 w 467"/>
              <a:gd name="T15" fmla="*/ 191 h 245"/>
              <a:gd name="T16" fmla="*/ 312 w 467"/>
              <a:gd name="T17" fmla="*/ 202 h 245"/>
              <a:gd name="T18" fmla="*/ 318 w 467"/>
              <a:gd name="T19" fmla="*/ 210 h 245"/>
              <a:gd name="T20" fmla="*/ 326 w 467"/>
              <a:gd name="T21" fmla="*/ 215 h 245"/>
              <a:gd name="T22" fmla="*/ 336 w 467"/>
              <a:gd name="T23" fmla="*/ 217 h 245"/>
              <a:gd name="T24" fmla="*/ 371 w 467"/>
              <a:gd name="T25" fmla="*/ 217 h 245"/>
              <a:gd name="T26" fmla="*/ 354 w 467"/>
              <a:gd name="T27" fmla="*/ 231 h 245"/>
              <a:gd name="T28" fmla="*/ 337 w 467"/>
              <a:gd name="T29" fmla="*/ 245 h 245"/>
              <a:gd name="T30" fmla="*/ 336 w 467"/>
              <a:gd name="T31" fmla="*/ 245 h 245"/>
              <a:gd name="T32" fmla="*/ 319 w 467"/>
              <a:gd name="T33" fmla="*/ 242 h 245"/>
              <a:gd name="T34" fmla="*/ 304 w 467"/>
              <a:gd name="T35" fmla="*/ 234 h 245"/>
              <a:gd name="T36" fmla="*/ 293 w 467"/>
              <a:gd name="T37" fmla="*/ 223 h 245"/>
              <a:gd name="T38" fmla="*/ 285 w 467"/>
              <a:gd name="T39" fmla="*/ 209 h 245"/>
              <a:gd name="T40" fmla="*/ 283 w 467"/>
              <a:gd name="T41" fmla="*/ 191 h 245"/>
              <a:gd name="T42" fmla="*/ 283 w 467"/>
              <a:gd name="T43" fmla="*/ 124 h 245"/>
              <a:gd name="T44" fmla="*/ 106 w 467"/>
              <a:gd name="T45" fmla="*/ 124 h 245"/>
              <a:gd name="T46" fmla="*/ 91 w 467"/>
              <a:gd name="T47" fmla="*/ 127 h 245"/>
              <a:gd name="T48" fmla="*/ 80 w 467"/>
              <a:gd name="T49" fmla="*/ 134 h 245"/>
              <a:gd name="T50" fmla="*/ 73 w 467"/>
              <a:gd name="T51" fmla="*/ 146 h 245"/>
              <a:gd name="T52" fmla="*/ 70 w 467"/>
              <a:gd name="T53" fmla="*/ 160 h 245"/>
              <a:gd name="T54" fmla="*/ 70 w 467"/>
              <a:gd name="T55" fmla="*/ 195 h 245"/>
              <a:gd name="T56" fmla="*/ 0 w 467"/>
              <a:gd name="T57" fmla="*/ 139 h 245"/>
              <a:gd name="T58" fmla="*/ 194 w 467"/>
              <a:gd name="T59" fmla="*/ 12 h 245"/>
              <a:gd name="T60" fmla="*/ 194 w 467"/>
              <a:gd name="T61" fmla="*/ 12 h 245"/>
              <a:gd name="T62" fmla="*/ 206 w 467"/>
              <a:gd name="T63" fmla="*/ 5 h 245"/>
              <a:gd name="T64" fmla="*/ 220 w 467"/>
              <a:gd name="T65" fmla="*/ 1 h 245"/>
              <a:gd name="T66" fmla="*/ 234 w 467"/>
              <a:gd name="T67" fmla="*/ 0 h 2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467" h="245">
                <a:moveTo>
                  <a:pt x="234" y="0"/>
                </a:moveTo>
                <a:lnTo>
                  <a:pt x="248" y="1"/>
                </a:lnTo>
                <a:lnTo>
                  <a:pt x="261" y="6"/>
                </a:lnTo>
                <a:lnTo>
                  <a:pt x="274" y="13"/>
                </a:lnTo>
                <a:lnTo>
                  <a:pt x="467" y="139"/>
                </a:lnTo>
                <a:lnTo>
                  <a:pt x="397" y="195"/>
                </a:lnTo>
                <a:lnTo>
                  <a:pt x="310" y="127"/>
                </a:lnTo>
                <a:lnTo>
                  <a:pt x="310" y="191"/>
                </a:lnTo>
                <a:lnTo>
                  <a:pt x="312" y="202"/>
                </a:lnTo>
                <a:lnTo>
                  <a:pt x="318" y="210"/>
                </a:lnTo>
                <a:lnTo>
                  <a:pt x="326" y="215"/>
                </a:lnTo>
                <a:lnTo>
                  <a:pt x="336" y="217"/>
                </a:lnTo>
                <a:lnTo>
                  <a:pt x="371" y="217"/>
                </a:lnTo>
                <a:lnTo>
                  <a:pt x="354" y="231"/>
                </a:lnTo>
                <a:lnTo>
                  <a:pt x="337" y="245"/>
                </a:lnTo>
                <a:lnTo>
                  <a:pt x="336" y="245"/>
                </a:lnTo>
                <a:lnTo>
                  <a:pt x="319" y="242"/>
                </a:lnTo>
                <a:lnTo>
                  <a:pt x="304" y="234"/>
                </a:lnTo>
                <a:lnTo>
                  <a:pt x="293" y="223"/>
                </a:lnTo>
                <a:lnTo>
                  <a:pt x="285" y="209"/>
                </a:lnTo>
                <a:lnTo>
                  <a:pt x="283" y="191"/>
                </a:lnTo>
                <a:lnTo>
                  <a:pt x="283" y="124"/>
                </a:lnTo>
                <a:lnTo>
                  <a:pt x="106" y="124"/>
                </a:lnTo>
                <a:lnTo>
                  <a:pt x="91" y="127"/>
                </a:lnTo>
                <a:lnTo>
                  <a:pt x="80" y="134"/>
                </a:lnTo>
                <a:lnTo>
                  <a:pt x="73" y="146"/>
                </a:lnTo>
                <a:lnTo>
                  <a:pt x="70" y="160"/>
                </a:lnTo>
                <a:lnTo>
                  <a:pt x="70" y="195"/>
                </a:lnTo>
                <a:lnTo>
                  <a:pt x="0" y="139"/>
                </a:lnTo>
                <a:lnTo>
                  <a:pt x="194" y="12"/>
                </a:lnTo>
                <a:lnTo>
                  <a:pt x="194" y="12"/>
                </a:lnTo>
                <a:lnTo>
                  <a:pt x="206" y="5"/>
                </a:lnTo>
                <a:lnTo>
                  <a:pt x="220" y="1"/>
                </a:lnTo>
                <a:lnTo>
                  <a:pt x="234" y="0"/>
                </a:lnTo>
                <a:close/>
              </a:path>
            </a:pathLst>
          </a:custGeom>
          <a:solidFill>
            <a:srgbClr val="8C29D3"/>
          </a:solidFill>
          <a:ln w="0">
            <a:solidFill>
              <a:srgbClr val="691F9E"/>
            </a:solidFill>
            <a:prstDash val="solid"/>
            <a:round/>
            <a:headEnd/>
            <a:tailEnd/>
          </a:ln>
        </xdr:spPr>
      </xdr:sp>
    </xdr:grpSp>
    <xdr:clientData/>
  </xdr:oneCellAnchor>
  <xdr:twoCellAnchor editAs="oneCell">
    <xdr:from>
      <xdr:col>8</xdr:col>
      <xdr:colOff>7938</xdr:colOff>
      <xdr:row>1</xdr:row>
      <xdr:rowOff>285749</xdr:rowOff>
    </xdr:from>
    <xdr:to>
      <xdr:col>8</xdr:col>
      <xdr:colOff>387790</xdr:colOff>
      <xdr:row>3</xdr:row>
      <xdr:rowOff>1812</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7">
          <a:duotone>
            <a:prstClr val="black"/>
            <a:srgbClr val="691F9E">
              <a:tint val="45000"/>
              <a:satMod val="400000"/>
            </a:srgbClr>
          </a:duotone>
        </a:blip>
        <a:stretch>
          <a:fillRect/>
        </a:stretch>
      </xdr:blipFill>
      <xdr:spPr>
        <a:xfrm>
          <a:off x="11834813" y="904874"/>
          <a:ext cx="379852" cy="363537"/>
        </a:xfrm>
        <a:prstGeom prst="rect">
          <a:avLst/>
        </a:prstGeom>
      </xdr:spPr>
    </xdr:pic>
    <xdr:clientData/>
  </xdr:twoCellAnchor>
  <xdr:twoCellAnchor editAs="oneCell">
    <xdr:from>
      <xdr:col>11</xdr:col>
      <xdr:colOff>2008855</xdr:colOff>
      <xdr:row>0</xdr:row>
      <xdr:rowOff>273050</xdr:rowOff>
    </xdr:from>
    <xdr:to>
      <xdr:col>12</xdr:col>
      <xdr:colOff>348872</xdr:colOff>
      <xdr:row>0</xdr:row>
      <xdr:rowOff>665590</xdr:rowOff>
    </xdr:to>
    <xdr:pic>
      <xdr:nvPicPr>
        <xdr:cNvPr id="14" name="Graphic 13" descr="Follow with solid fill">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21389055" y="273050"/>
          <a:ext cx="384717" cy="392540"/>
        </a:xfrm>
        <a:prstGeom prst="rect">
          <a:avLst/>
        </a:prstGeom>
      </xdr:spPr>
    </xdr:pic>
    <xdr:clientData/>
  </xdr:twoCellAnchor>
  <xdr:oneCellAnchor>
    <xdr:from>
      <xdr:col>8</xdr:col>
      <xdr:colOff>286236</xdr:colOff>
      <xdr:row>4</xdr:row>
      <xdr:rowOff>23443</xdr:rowOff>
    </xdr:from>
    <xdr:ext cx="364640" cy="309932"/>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0">
          <a:lum bright="70000" contrast="-70000"/>
          <a:extLst>
            <a:ext uri="{BEBA8EAE-BF5A-486C-A8C5-ECC9F3942E4B}">
              <a14:imgProps xmlns:a14="http://schemas.microsoft.com/office/drawing/2010/main">
                <a14:imgLayer r:embed="rId11">
                  <a14:imgEffect>
                    <a14:backgroundRemoval t="4274" b="91453" l="8475" r="96610">
                      <a14:foregroundMark x1="9322" y1="9402" x2="9322" y2="51282"/>
                      <a14:foregroundMark x1="9322" y1="51282" x2="10169" y2="33333"/>
                      <a14:foregroundMark x1="61017" y1="17949" x2="62712" y2="47863"/>
                      <a14:foregroundMark x1="47458" y1="5128" x2="64407" y2="11966"/>
                      <a14:foregroundMark x1="46610" y1="89744" x2="81356" y2="91453"/>
                      <a14:foregroundMark x1="81356" y1="91453" x2="88136" y2="78632"/>
                      <a14:foregroundMark x1="92373" y1="41880" x2="90678" y2="42735"/>
                      <a14:foregroundMark x1="95763" y1="45299" x2="96610" y2="57265"/>
                    </a14:backgroundRemoval>
                  </a14:imgEffect>
                  <a14:imgEffect>
                    <a14:colorTemperature colorTemp="6300"/>
                  </a14:imgEffect>
                </a14:imgLayer>
              </a14:imgProps>
            </a:ext>
          </a:extLst>
        </a:blip>
        <a:stretch>
          <a:fillRect/>
        </a:stretch>
      </xdr:blipFill>
      <xdr:spPr>
        <a:xfrm>
          <a:off x="12113111" y="1650631"/>
          <a:ext cx="364640" cy="309932"/>
        </a:xfrm>
        <a:prstGeom prst="rect">
          <a:avLst/>
        </a:prstGeom>
        <a:ln>
          <a:noFill/>
        </a:ln>
      </xdr:spPr>
    </xdr:pic>
    <xdr:clientData/>
  </xdr:oneCellAnchor>
  <xdr:twoCellAnchor editAs="oneCell">
    <xdr:from>
      <xdr:col>2</xdr:col>
      <xdr:colOff>10835</xdr:colOff>
      <xdr:row>16</xdr:row>
      <xdr:rowOff>1</xdr:rowOff>
    </xdr:from>
    <xdr:to>
      <xdr:col>2</xdr:col>
      <xdr:colOff>410680</xdr:colOff>
      <xdr:row>18</xdr:row>
      <xdr:rowOff>1</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2">
          <a:lum bright="70000" contrast="-70000"/>
          <a:alphaModFix/>
          <a:extLst>
            <a:ext uri="{BEBA8EAE-BF5A-486C-A8C5-ECC9F3942E4B}">
              <a14:imgProps xmlns:a14="http://schemas.microsoft.com/office/drawing/2010/main">
                <a14:imgLayer r:embed="rId13">
                  <a14:imgEffect>
                    <a14:backgroundRemoval t="4049" b="93522" l="10000" r="90000">
                      <a14:foregroundMark x1="30714" y1="12551" x2="30714" y2="12551"/>
                      <a14:foregroundMark x1="31429" y1="4453" x2="31429" y2="4453"/>
                      <a14:foregroundMark x1="26429" y1="38057" x2="26429" y2="38057"/>
                      <a14:foregroundMark x1="62143" y1="40081" x2="62143" y2="40081"/>
                      <a14:foregroundMark x1="68571" y1="69231" x2="68571" y2="69231"/>
                      <a14:foregroundMark x1="32143" y1="26721" x2="32143" y2="26721"/>
                      <a14:foregroundMark x1="14643" y1="82186" x2="14643" y2="82186"/>
                      <a14:foregroundMark x1="13571" y1="89474" x2="13571" y2="89474"/>
                      <a14:foregroundMark x1="35357" y1="89474" x2="35357" y2="89474"/>
                      <a14:foregroundMark x1="36071" y1="90688" x2="36071" y2="90688"/>
                      <a14:foregroundMark x1="13571" y1="91498" x2="13571" y2="91498"/>
                      <a14:foregroundMark x1="57143" y1="92308" x2="57143" y2="92308"/>
                      <a14:foregroundMark x1="77500" y1="93522" x2="77500" y2="93522"/>
                    </a14:backgroundRemoval>
                  </a14:imgEffect>
                </a14:imgLayer>
              </a14:imgProps>
            </a:ext>
          </a:extLst>
        </a:blip>
        <a:stretch>
          <a:fillRect/>
        </a:stretch>
      </xdr:blipFill>
      <xdr:spPr>
        <a:xfrm>
          <a:off x="210406" y="5107215"/>
          <a:ext cx="399845" cy="362857"/>
        </a:xfrm>
        <a:prstGeom prst="rect">
          <a:avLst/>
        </a:prstGeom>
        <a:noFill/>
      </xdr:spPr>
    </xdr:pic>
    <xdr:clientData/>
  </xdr:twoCellAnchor>
  <xdr:oneCellAnchor>
    <xdr:from>
      <xdr:col>8</xdr:col>
      <xdr:colOff>10582</xdr:colOff>
      <xdr:row>6</xdr:row>
      <xdr:rowOff>7936</xdr:rowOff>
    </xdr:from>
    <xdr:ext cx="243418" cy="343657"/>
    <xdr:sp macro="" textlink="">
      <xdr:nvSpPr>
        <xdr:cNvPr id="16" name="Person icon" descr="&quot;&quot;" title="Person icon">
          <a:extLst>
            <a:ext uri="{FF2B5EF4-FFF2-40B4-BE49-F238E27FC236}">
              <a16:creationId xmlns:a16="http://schemas.microsoft.com/office/drawing/2014/main" id="{00000000-0008-0000-0600-000010000000}"/>
            </a:ext>
          </a:extLst>
        </xdr:cNvPr>
        <xdr:cNvSpPr>
          <a:spLocks noChangeAspect="1"/>
        </xdr:cNvSpPr>
      </xdr:nvSpPr>
      <xdr:spPr bwMode="auto">
        <a:xfrm>
          <a:off x="11837457" y="2349499"/>
          <a:ext cx="243418" cy="343657"/>
        </a:xfrm>
        <a:custGeom>
          <a:avLst/>
          <a:gdLst>
            <a:gd name="T0" fmla="*/ 209 w 376"/>
            <a:gd name="T1" fmla="*/ 3 h 523"/>
            <a:gd name="T2" fmla="*/ 248 w 376"/>
            <a:gd name="T3" fmla="*/ 21 h 523"/>
            <a:gd name="T4" fmla="*/ 274 w 376"/>
            <a:gd name="T5" fmla="*/ 55 h 523"/>
            <a:gd name="T6" fmla="*/ 285 w 376"/>
            <a:gd name="T7" fmla="*/ 97 h 523"/>
            <a:gd name="T8" fmla="*/ 295 w 376"/>
            <a:gd name="T9" fmla="*/ 122 h 523"/>
            <a:gd name="T10" fmla="*/ 305 w 376"/>
            <a:gd name="T11" fmla="*/ 139 h 523"/>
            <a:gd name="T12" fmla="*/ 302 w 376"/>
            <a:gd name="T13" fmla="*/ 161 h 523"/>
            <a:gd name="T14" fmla="*/ 285 w 376"/>
            <a:gd name="T15" fmla="*/ 172 h 523"/>
            <a:gd name="T16" fmla="*/ 282 w 376"/>
            <a:gd name="T17" fmla="*/ 198 h 523"/>
            <a:gd name="T18" fmla="*/ 260 w 376"/>
            <a:gd name="T19" fmla="*/ 239 h 523"/>
            <a:gd name="T20" fmla="*/ 223 w 376"/>
            <a:gd name="T21" fmla="*/ 265 h 523"/>
            <a:gd name="T22" fmla="*/ 240 w 376"/>
            <a:gd name="T23" fmla="*/ 267 h 523"/>
            <a:gd name="T24" fmla="*/ 246 w 376"/>
            <a:gd name="T25" fmla="*/ 268 h 523"/>
            <a:gd name="T26" fmla="*/ 341 w 376"/>
            <a:gd name="T27" fmla="*/ 292 h 523"/>
            <a:gd name="T28" fmla="*/ 366 w 376"/>
            <a:gd name="T29" fmla="*/ 316 h 523"/>
            <a:gd name="T30" fmla="*/ 376 w 376"/>
            <a:gd name="T31" fmla="*/ 351 h 523"/>
            <a:gd name="T32" fmla="*/ 374 w 376"/>
            <a:gd name="T33" fmla="*/ 509 h 523"/>
            <a:gd name="T34" fmla="*/ 362 w 376"/>
            <a:gd name="T35" fmla="*/ 521 h 523"/>
            <a:gd name="T36" fmla="*/ 23 w 376"/>
            <a:gd name="T37" fmla="*/ 523 h 523"/>
            <a:gd name="T38" fmla="*/ 6 w 376"/>
            <a:gd name="T39" fmla="*/ 516 h 523"/>
            <a:gd name="T40" fmla="*/ 0 w 376"/>
            <a:gd name="T41" fmla="*/ 500 h 523"/>
            <a:gd name="T42" fmla="*/ 2 w 376"/>
            <a:gd name="T43" fmla="*/ 332 h 523"/>
            <a:gd name="T44" fmla="*/ 20 w 376"/>
            <a:gd name="T45" fmla="*/ 302 h 523"/>
            <a:gd name="T46" fmla="*/ 52 w 376"/>
            <a:gd name="T47" fmla="*/ 285 h 523"/>
            <a:gd name="T48" fmla="*/ 132 w 376"/>
            <a:gd name="T49" fmla="*/ 268 h 523"/>
            <a:gd name="T50" fmla="*/ 152 w 376"/>
            <a:gd name="T51" fmla="*/ 265 h 523"/>
            <a:gd name="T52" fmla="*/ 115 w 376"/>
            <a:gd name="T53" fmla="*/ 240 h 523"/>
            <a:gd name="T54" fmla="*/ 93 w 376"/>
            <a:gd name="T55" fmla="*/ 198 h 523"/>
            <a:gd name="T56" fmla="*/ 90 w 376"/>
            <a:gd name="T57" fmla="*/ 172 h 523"/>
            <a:gd name="T58" fmla="*/ 73 w 376"/>
            <a:gd name="T59" fmla="*/ 161 h 523"/>
            <a:gd name="T60" fmla="*/ 70 w 376"/>
            <a:gd name="T61" fmla="*/ 139 h 523"/>
            <a:gd name="T62" fmla="*/ 80 w 376"/>
            <a:gd name="T63" fmla="*/ 122 h 523"/>
            <a:gd name="T64" fmla="*/ 90 w 376"/>
            <a:gd name="T65" fmla="*/ 97 h 523"/>
            <a:gd name="T66" fmla="*/ 99 w 376"/>
            <a:gd name="T67" fmla="*/ 55 h 523"/>
            <a:gd name="T68" fmla="*/ 126 w 376"/>
            <a:gd name="T69" fmla="*/ 21 h 523"/>
            <a:gd name="T70" fmla="*/ 165 w 376"/>
            <a:gd name="T71" fmla="*/ 3 h 5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376" h="523">
              <a:moveTo>
                <a:pt x="187" y="0"/>
              </a:moveTo>
              <a:lnTo>
                <a:pt x="209" y="3"/>
              </a:lnTo>
              <a:lnTo>
                <a:pt x="230" y="10"/>
              </a:lnTo>
              <a:lnTo>
                <a:pt x="248" y="21"/>
              </a:lnTo>
              <a:lnTo>
                <a:pt x="263" y="36"/>
              </a:lnTo>
              <a:lnTo>
                <a:pt x="274" y="55"/>
              </a:lnTo>
              <a:lnTo>
                <a:pt x="282" y="75"/>
              </a:lnTo>
              <a:lnTo>
                <a:pt x="285" y="97"/>
              </a:lnTo>
              <a:lnTo>
                <a:pt x="285" y="120"/>
              </a:lnTo>
              <a:lnTo>
                <a:pt x="295" y="122"/>
              </a:lnTo>
              <a:lnTo>
                <a:pt x="302" y="129"/>
              </a:lnTo>
              <a:lnTo>
                <a:pt x="305" y="139"/>
              </a:lnTo>
              <a:lnTo>
                <a:pt x="305" y="151"/>
              </a:lnTo>
              <a:lnTo>
                <a:pt x="302" y="161"/>
              </a:lnTo>
              <a:lnTo>
                <a:pt x="295" y="169"/>
              </a:lnTo>
              <a:lnTo>
                <a:pt x="285" y="172"/>
              </a:lnTo>
              <a:lnTo>
                <a:pt x="285" y="175"/>
              </a:lnTo>
              <a:lnTo>
                <a:pt x="282" y="198"/>
              </a:lnTo>
              <a:lnTo>
                <a:pt x="273" y="220"/>
              </a:lnTo>
              <a:lnTo>
                <a:pt x="260" y="239"/>
              </a:lnTo>
              <a:lnTo>
                <a:pt x="243" y="254"/>
              </a:lnTo>
              <a:lnTo>
                <a:pt x="223" y="265"/>
              </a:lnTo>
              <a:lnTo>
                <a:pt x="232" y="266"/>
              </a:lnTo>
              <a:lnTo>
                <a:pt x="240" y="267"/>
              </a:lnTo>
              <a:lnTo>
                <a:pt x="245" y="268"/>
              </a:lnTo>
              <a:lnTo>
                <a:pt x="246" y="268"/>
              </a:lnTo>
              <a:lnTo>
                <a:pt x="323" y="285"/>
              </a:lnTo>
              <a:lnTo>
                <a:pt x="341" y="292"/>
              </a:lnTo>
              <a:lnTo>
                <a:pt x="355" y="302"/>
              </a:lnTo>
              <a:lnTo>
                <a:pt x="366" y="316"/>
              </a:lnTo>
              <a:lnTo>
                <a:pt x="373" y="332"/>
              </a:lnTo>
              <a:lnTo>
                <a:pt x="376" y="351"/>
              </a:lnTo>
              <a:lnTo>
                <a:pt x="376" y="500"/>
              </a:lnTo>
              <a:lnTo>
                <a:pt x="374" y="509"/>
              </a:lnTo>
              <a:lnTo>
                <a:pt x="369" y="516"/>
              </a:lnTo>
              <a:lnTo>
                <a:pt x="362" y="521"/>
              </a:lnTo>
              <a:lnTo>
                <a:pt x="353" y="523"/>
              </a:lnTo>
              <a:lnTo>
                <a:pt x="23" y="523"/>
              </a:lnTo>
              <a:lnTo>
                <a:pt x="14" y="521"/>
              </a:lnTo>
              <a:lnTo>
                <a:pt x="6" y="516"/>
              </a:lnTo>
              <a:lnTo>
                <a:pt x="1" y="509"/>
              </a:lnTo>
              <a:lnTo>
                <a:pt x="0" y="500"/>
              </a:lnTo>
              <a:lnTo>
                <a:pt x="0" y="351"/>
              </a:lnTo>
              <a:lnTo>
                <a:pt x="2" y="332"/>
              </a:lnTo>
              <a:lnTo>
                <a:pt x="9" y="316"/>
              </a:lnTo>
              <a:lnTo>
                <a:pt x="20" y="302"/>
              </a:lnTo>
              <a:lnTo>
                <a:pt x="35" y="292"/>
              </a:lnTo>
              <a:lnTo>
                <a:pt x="52" y="285"/>
              </a:lnTo>
              <a:lnTo>
                <a:pt x="129" y="268"/>
              </a:lnTo>
              <a:lnTo>
                <a:pt x="132" y="268"/>
              </a:lnTo>
              <a:lnTo>
                <a:pt x="140" y="267"/>
              </a:lnTo>
              <a:lnTo>
                <a:pt x="152" y="265"/>
              </a:lnTo>
              <a:lnTo>
                <a:pt x="132" y="255"/>
              </a:lnTo>
              <a:lnTo>
                <a:pt x="115" y="240"/>
              </a:lnTo>
              <a:lnTo>
                <a:pt x="101" y="220"/>
              </a:lnTo>
              <a:lnTo>
                <a:pt x="93" y="198"/>
              </a:lnTo>
              <a:lnTo>
                <a:pt x="90" y="175"/>
              </a:lnTo>
              <a:lnTo>
                <a:pt x="90" y="172"/>
              </a:lnTo>
              <a:lnTo>
                <a:pt x="80" y="169"/>
              </a:lnTo>
              <a:lnTo>
                <a:pt x="73" y="161"/>
              </a:lnTo>
              <a:lnTo>
                <a:pt x="70" y="151"/>
              </a:lnTo>
              <a:lnTo>
                <a:pt x="70" y="139"/>
              </a:lnTo>
              <a:lnTo>
                <a:pt x="73" y="129"/>
              </a:lnTo>
              <a:lnTo>
                <a:pt x="80" y="122"/>
              </a:lnTo>
              <a:lnTo>
                <a:pt x="90" y="120"/>
              </a:lnTo>
              <a:lnTo>
                <a:pt x="90" y="97"/>
              </a:lnTo>
              <a:lnTo>
                <a:pt x="92" y="75"/>
              </a:lnTo>
              <a:lnTo>
                <a:pt x="99" y="55"/>
              </a:lnTo>
              <a:lnTo>
                <a:pt x="112" y="36"/>
              </a:lnTo>
              <a:lnTo>
                <a:pt x="126" y="21"/>
              </a:lnTo>
              <a:lnTo>
                <a:pt x="144" y="10"/>
              </a:lnTo>
              <a:lnTo>
                <a:pt x="165" y="3"/>
              </a:lnTo>
              <a:lnTo>
                <a:pt x="187" y="0"/>
              </a:lnTo>
              <a:close/>
            </a:path>
          </a:pathLst>
        </a:custGeom>
        <a:ln>
          <a:solidFill>
            <a:srgbClr val="691F9E"/>
          </a:solidFill>
          <a:headEnd/>
          <a:tailEnd/>
        </a:ln>
      </xdr:spPr>
      <xdr:style>
        <a:lnRef idx="2">
          <a:schemeClr val="accent1"/>
        </a:lnRef>
        <a:fillRef idx="1">
          <a:schemeClr val="lt1"/>
        </a:fillRef>
        <a:effectRef idx="0">
          <a:schemeClr val="accent1"/>
        </a:effectRef>
        <a:fontRef idx="minor">
          <a:schemeClr val="dk1"/>
        </a:fontRef>
      </xdr:style>
      <xdr:txBody>
        <a:bodyPr/>
        <a:lstStyle/>
        <a:p>
          <a:endParaRPr lang="en-IN"/>
        </a:p>
      </xdr:txBody>
    </xdr:sp>
    <xdr:clientData/>
  </xdr:oneCellAnchor>
  <xdr:twoCellAnchor editAs="oneCell">
    <xdr:from>
      <xdr:col>2</xdr:col>
      <xdr:colOff>1672166</xdr:colOff>
      <xdr:row>6</xdr:row>
      <xdr:rowOff>15875</xdr:rowOff>
    </xdr:from>
    <xdr:to>
      <xdr:col>3</xdr:col>
      <xdr:colOff>455084</xdr:colOff>
      <xdr:row>7</xdr:row>
      <xdr:rowOff>0</xdr:rowOff>
    </xdr:to>
    <xdr:pic>
      <xdr:nvPicPr>
        <xdr:cNvPr id="3" name="Picture 2">
          <a:extLst>
            <a:ext uri="{FF2B5EF4-FFF2-40B4-BE49-F238E27FC236}">
              <a16:creationId xmlns:a16="http://schemas.microsoft.com/office/drawing/2014/main" id="{0A732A59-2417-F274-E318-B806792D2119}"/>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870604" y="2357438"/>
          <a:ext cx="457729" cy="341312"/>
        </a:xfrm>
        <a:prstGeom prst="rect">
          <a:avLst/>
        </a:prstGeom>
      </xdr:spPr>
    </xdr:pic>
    <xdr:clientData/>
  </xdr:twoCellAnchor>
  <xdr:twoCellAnchor editAs="oneCell">
    <xdr:from>
      <xdr:col>2</xdr:col>
      <xdr:colOff>31750</xdr:colOff>
      <xdr:row>0</xdr:row>
      <xdr:rowOff>42332</xdr:rowOff>
    </xdr:from>
    <xdr:to>
      <xdr:col>2</xdr:col>
      <xdr:colOff>1408869</xdr:colOff>
      <xdr:row>1</xdr:row>
      <xdr:rowOff>27832</xdr:rowOff>
    </xdr:to>
    <xdr:pic>
      <xdr:nvPicPr>
        <xdr:cNvPr id="5" name="Picture 4">
          <a:extLst>
            <a:ext uri="{FF2B5EF4-FFF2-40B4-BE49-F238E27FC236}">
              <a16:creationId xmlns:a16="http://schemas.microsoft.com/office/drawing/2014/main" id="{E652F0F8-19F7-40EF-A8B1-A63DBF28818E}"/>
            </a:ext>
          </a:extLst>
        </xdr:cNvPr>
        <xdr:cNvPicPr preferRelativeResize="0">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70417" y="42332"/>
          <a:ext cx="1377119" cy="684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84667</xdr:rowOff>
    </xdr:from>
    <xdr:to>
      <xdr:col>0</xdr:col>
      <xdr:colOff>1065389</xdr:colOff>
      <xdr:row>0</xdr:row>
      <xdr:rowOff>613834</xdr:rowOff>
    </xdr:to>
    <xdr:pic>
      <xdr:nvPicPr>
        <xdr:cNvPr id="3" name="Picture 2">
          <a:extLst>
            <a:ext uri="{FF2B5EF4-FFF2-40B4-BE49-F238E27FC236}">
              <a16:creationId xmlns:a16="http://schemas.microsoft.com/office/drawing/2014/main" id="{1B226115-38FE-4F77-ACEC-086429BF6927}"/>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667"/>
          <a:ext cx="1065389" cy="529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42332</xdr:colOff>
      <xdr:row>0</xdr:row>
      <xdr:rowOff>52915</xdr:rowOff>
    </xdr:from>
    <xdr:to>
      <xdr:col>0</xdr:col>
      <xdr:colOff>1107721</xdr:colOff>
      <xdr:row>0</xdr:row>
      <xdr:rowOff>582082</xdr:rowOff>
    </xdr:to>
    <xdr:pic>
      <xdr:nvPicPr>
        <xdr:cNvPr id="3" name="Picture 2">
          <a:extLst>
            <a:ext uri="{FF2B5EF4-FFF2-40B4-BE49-F238E27FC236}">
              <a16:creationId xmlns:a16="http://schemas.microsoft.com/office/drawing/2014/main" id="{4B435B41-6FD5-44CD-BBFA-C250A8E842A6}"/>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2" y="52915"/>
          <a:ext cx="1065389" cy="5291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1065389</xdr:colOff>
      <xdr:row>1</xdr:row>
      <xdr:rowOff>0</xdr:rowOff>
    </xdr:to>
    <xdr:pic>
      <xdr:nvPicPr>
        <xdr:cNvPr id="2" name="Picture 1">
          <a:extLst>
            <a:ext uri="{FF2B5EF4-FFF2-40B4-BE49-F238E27FC236}">
              <a16:creationId xmlns:a16="http://schemas.microsoft.com/office/drawing/2014/main" id="{2663EEF0-23AE-439A-A2BB-5A4045CBB083}"/>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065388" cy="5291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0</xdr:colOff>
      <xdr:row>0</xdr:row>
      <xdr:rowOff>589643</xdr:rowOff>
    </xdr:to>
    <xdr:pic>
      <xdr:nvPicPr>
        <xdr:cNvPr id="2" name="Picture 1">
          <a:extLst>
            <a:ext uri="{FF2B5EF4-FFF2-40B4-BE49-F238E27FC236}">
              <a16:creationId xmlns:a16="http://schemas.microsoft.com/office/drawing/2014/main" id="{CCADAB2D-76C7-4140-855C-59599CF08732}"/>
            </a:ext>
          </a:extLst>
        </xdr:cNvPr>
        <xdr:cNvPicPr preferRelativeResize="0">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0"/>
          <a:ext cx="1219200" cy="589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s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urrenci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07.92271875" createdVersion="8" refreshedVersion="8" minRefreshableVersion="3" recordCount="42" xr:uid="{45449EC7-5F56-46A4-A487-7534A1093962}">
  <cacheSource type="worksheet">
    <worksheetSource ref="AA2:AD44" sheet="Master Data-C19RM"/>
  </cacheSource>
  <cacheFields count="4">
    <cacheField name="Component" numFmtId="1">
      <sharedItems count="1">
        <s v="C19RM"/>
      </sharedItems>
    </cacheField>
    <cacheField name="Module" numFmtId="1">
      <sharedItems count="1">
        <s v="C19RM 2021"/>
      </sharedItems>
    </cacheField>
    <cacheField name="Intervention" numFmtId="1">
      <sharedItems count="6">
        <s v="Case management, clinical operations and therapeutics"/>
        <s v="COVID Diagnostics and testing"/>
        <s v="Infection prevention and control and protection of the health workforce (COVID-19)"/>
        <s v="RSSH: Laboratory Systems"/>
        <s v="Health products and waste management systems"/>
        <s v="Surveillance- Epidemiological investigation and contact tracing"/>
      </sharedItems>
    </cacheField>
    <cacheField name="Cost Input" numFmtId="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07.922718981485" createdVersion="7" refreshedVersion="8" minRefreshableVersion="3" recordCount="244" xr:uid="{FD906B9E-1A25-40A9-8665-7A7D0B8985AE}">
  <cacheSource type="worksheet">
    <worksheetSource ref="AA2:AD300" sheet="Master Data"/>
  </cacheSource>
  <cacheFields count="4">
    <cacheField name="Component" numFmtId="0">
      <sharedItems containsBlank="1" count="4">
        <s v="HIV"/>
        <s v="Malaria"/>
        <s v="TB"/>
        <m/>
      </sharedItems>
    </cacheField>
    <cacheField name="Module" numFmtId="0">
      <sharedItems containsBlank="1" count="26">
        <s v="Differentiated HIV Testing Services"/>
        <s v="Elimination of vertical transmission of HIV, syphilis and hepatitis B"/>
        <s v="Prevention package for adolescent girls and young women (AGYW) and male sexual partners in high HIV incidence settings"/>
        <s v="Prevention package for men who have sex with men (MSM) and their sexual partners"/>
        <s v="Prevention package for other vulnerable populations (OVP)"/>
        <s v="Prevention package for people in prisons and other closed settings"/>
        <s v="Prevention package for people who use drugs (PUD) and their sexual partners"/>
        <s v="Prevention package for sex workers, their clients and other sexual partners"/>
        <s v="Prevention package for transgender people and their sexual partners"/>
        <s v="TB/HIV"/>
        <s v="Treatment, care and support"/>
        <s v="Vector control"/>
        <s v="Specific prevention interventions (SPI)"/>
        <s v="Case management"/>
        <s v="Collaboration with other providers and sectors"/>
        <s v="Drug-resistant (DR)-TB diagnosis, treatment and care"/>
        <s v="Key and vulnerable populations (KVP) – TB/DR-TB"/>
        <s v="TB diagnosis, treatment and care"/>
        <s v="TB/DR-TB Prevention"/>
        <m/>
        <s v="Key and vulnerable populations – TB/DR-TB" u="1"/>
        <s v="Prevention package for transgender people (TG) and their sexual partners" u="1"/>
        <s v="TB diagnosis, treatment, and care " u="1"/>
        <s v="Drug-resistant (DR)-TB diagnosis, treatment and care " u="1"/>
        <s v="TB diagnosis, treatment, and care" u="1"/>
        <s v="Prevention package for AGYW and male sexual partners in high HIV incidence settings" u="1"/>
      </sharedItems>
    </cacheField>
    <cacheField name="Intervention" numFmtId="0">
      <sharedItems containsBlank="1" count="107">
        <s v="Community-based testing for AGYW and their male sexual partners programs"/>
        <s v="Community-based testing for KP programs"/>
        <s v="Community-based testing outside of KP and AGYW programs"/>
        <s v="Facility-based testing for adolescent girls and young women (AGYW) and their male sexual partners programs"/>
        <s v="Facility-based testing for key population (KP) programs"/>
        <s v="Facility-based testing outside of key population (KP) and adolescent girls and young women (AGYW) programs"/>
        <s v="Self-testing for AGYW and their male sexual partners programs"/>
        <s v="Self-testing for KP programs"/>
        <s v="Self-testing outside of KP and AGYW programs"/>
        <s v="Early infant diagnosis and follow-up HIV testing for exposed infants"/>
        <s v="Integrated testing of pregnant women for HIV, syphilis and hepatitis B"/>
        <s v="Post-natal infant prophylaxis"/>
        <s v="Prevention of incident HIV among pregnant and breastfeeding women"/>
        <s v="Condom and lubricant programing for AGYW in high HIV incidence settings"/>
        <s v="Condom and lubricant programing for male sexual partners of AGYW in high HIV incidence settings"/>
        <s v="Pre-exposure prophylaxis (PrEP) programing for AGYW in high HIV incidence settings"/>
        <s v="Pre-exposure prophylaxis (PrEP) programing for male sexual partners of AGYW in high HIV incidence settings"/>
        <s v="Sexual and reproductive health services, including STIs, hepatitis, post-violence care for AGYW and male sexual partners in high HIV incidence settings"/>
        <s v="Condom and lubricant programing for MSM"/>
        <s v="Pre-exposure prophylaxis (PrEP) programing for MSM"/>
        <s v="Sexual and reproductive health services, including STIs, hepatitis, post-violence care for MSM"/>
        <s v="Condom and lubricant programing for OVP"/>
        <s v="Pre-exposure prophylaxis (PrEP) programing for OVP"/>
        <s v="Sexual and reproductive health services, including STIs, hepatitis, post-violence care for OVP"/>
        <s v="Condom and lubricant programing for prisoners"/>
        <s v="Pre-exposure prophylaxis (PrEP) programing for prisoners"/>
        <s v="Sexual and reproductive health services, including STIs, hepatitis, post-violence care for prisoners"/>
        <s v="Condom and lubricant programing for PUD"/>
        <s v="Needle and syringe programs for PWID"/>
        <s v="Opioid substitution therapy and other medically assisted drug dependence treatment for PWID"/>
        <s v="Pre-exposure prophylaxis (PrEP) programing for PUD"/>
        <s v="Sexual and reproductive health services, including STIs, hepatitis, post-violence care for PUD"/>
        <s v="Condom and lubricant programing for sex workers"/>
        <s v="Pre-exposure prophylaxis (PrEP) programing for sex workers"/>
        <s v="Sexual and reproductive health services, including STIs, hepatitis, post-violence care for sex workers"/>
        <s v="Condom and lubricant programing for transgender people"/>
        <s v="Pre-exposure prophylaxis (PrEP) programing for transgender people"/>
        <s v="Sexual and reproductive health services, including STIs, hepatitis, post-violence care for transgender people"/>
        <s v="TB/HIV - Prevention"/>
        <s v="TB/HIV - Screening, testing and diagnosis"/>
        <s v="Diagnosis and management of advanced disease (adults and children)"/>
        <s v="HIV treatment and differentiated service delivery - adults (15 and above)"/>
        <s v="HIV treatment and differentiated service delivery - children (under 15)"/>
        <s v="Integrated management of common co-infections and co-morbidities (adults and children)"/>
        <s v="Treatment monitoring - Drug resistance"/>
        <s v="Treatment monitoring - Viral load and antiretroviral (ARV) toxicity"/>
        <s v="Insecticide treated nets (ITNs) - Mass campaign: universal"/>
        <s v="Insecticide treated nets (ITNs) - Continuous distribution: ANC"/>
        <s v="Insecticide treated nets (ITNs) - Continuous distribution: EPI"/>
        <s v="Insecticide treated nets (ITNs) - Continuous distribution: school based"/>
        <s v="Insecticide treated nets (ITNs) - Continuous distribution: community-based"/>
        <s v="Indoor residual spraying (IRS)"/>
        <s v="Intermittent preventive treatment (IPT) - In pregnancy"/>
        <s v="Perennial malaria chemoprevention (PMC)"/>
        <s v="Seasonal malaria chemoprevention"/>
        <s v="Mass drug administration"/>
        <s v="Intermittent preventive treatment for school children (IPTsc)"/>
        <s v="Post discharge malaria chemoprevention (PDMC)"/>
        <s v="Facility-based treatment"/>
        <s v="Integrated community case management (iCCM)"/>
        <s v="Private sector case management"/>
        <s v="Intensified activities for elimination"/>
        <s v="Epidemic preparedness"/>
        <s v="Private provider engagement in TB/DR-TB care"/>
        <s v="DR-TB diagnosis/drug susceptibility testing (DST)"/>
        <s v="DR-TB treatment, care and support"/>
        <s v="KVP - Children and adolescents"/>
        <s v="KVP - Miners and mining communities"/>
        <s v="KVP - Mobile population (migrants/refugees/IDPs)"/>
        <s v="KVP - Others"/>
        <s v="KVP - People in prisons/jails/detention centers"/>
        <s v="KVP - Urban poor/slum dwellers"/>
        <s v="TB screening and diagnosis"/>
        <s v="TB treatment, care and support"/>
        <s v="Infection prevention and control (IPC)"/>
        <s v="Preventive treatment"/>
        <s v="TB/HIV - Treatment and care"/>
        <m/>
        <s v="DR-TB diagnosis/ drug susceptibility testing (DST)" u="1"/>
        <s v="Infection prevention and control" u="1"/>
        <s v="Insecticide Treated Nets (ITN) - Mass campaign: Universal" u="1"/>
        <s v="Insecticide Treated Nets (ITN)-Continuous distribution - Community-based" u="1"/>
        <s v="KVP - Children and adolescents " u="1"/>
        <s v="DR-TB treatment, care and support " u="1"/>
        <s v="KVP - Mobile population (migrants / refugees / IDPs)" u="1"/>
        <s v="Post discharge Chemoprevention (PDMC)" u="1"/>
        <s v="Facility-based testing for AGYW and their male sexual partners programs" u="1"/>
        <s v="KVP - Urban poor/slum dwellers " u="1"/>
        <s v="Preventive treatment " u="1"/>
        <s v="Pre-exposure prophylaxis (PrEP) programing for TG" u="1"/>
        <s v="Facility-based testing for KP programs" u="1"/>
        <s v="Self-testing for AGYW and their male sexual partners' programs" u="1"/>
        <s v="Self-testing for AGYW and their male sexual partners’ programs" u="1"/>
        <s v="Mass drug administration (MDA)" u="1"/>
        <s v="Voluntary medical male circumcision" u="1"/>
        <s v="Facility-based testing outside of KP and AGYW programs" u="1"/>
        <s v="Sexual and reproductive health services, including STIs, hepatitis, post-violence care for TG" u="1"/>
        <s v="Insecticide Treated Nets (ITN)-Continuous distribution - School based " u="1"/>
        <s v="Insecticide Treated Nets (ITN)-Continuous distribution - EPI" u="1"/>
        <s v="Community-based testing for AGYW and their male sexual partners' programs" u="1"/>
        <s v="Community-based testing for AGYW and their male sexual partners’ programs" u="1"/>
        <s v="Seasonal malaria chemoprevention (SMC)" u="1"/>
        <s v="TB/HIV - Screening, testing and diagnosis " u="1"/>
        <s v="Insecticide Treated Nets (ITN)-Continuous distribution - ANC" u="1"/>
        <s v="Condom and lubricant programing for TG" u="1"/>
        <s v="Screening/testing for TB infection" u="1"/>
        <s v="Treatment monitoring - Viral load and ARV toxicity" u="1"/>
      </sharedItems>
    </cacheField>
    <cacheField name="Cost Inpu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34.678715856484" createdVersion="6" refreshedVersion="8" minRefreshableVersion="3" recordCount="291" xr:uid="{00000000-000A-0000-FFFF-FFFF07000000}">
  <cacheSource type="worksheet">
    <worksheetSource name="PMtbl"/>
  </cacheSource>
  <cacheFields count="16">
    <cacheField name="Component" numFmtId="0">
      <sharedItems/>
    </cacheField>
    <cacheField name="WKst" numFmtId="0">
      <sharedItems containsBlank="1" count="29">
        <s v="C19RM 2021-Lab &amp; Other HPS"/>
        <s v="C19RM 2021-Pharma"/>
        <m u="1"/>
        <s v="COVID- Lab &amp; Other HPS" u="1"/>
        <s v="Malaria-Pharmaceuticals" u="1"/>
        <s v="MALARIA - PHARMA" u="1"/>
        <s v="HIV-Pharmaceuticals" u="1"/>
        <s v="MALARIA-NON-PHARMA" u="1"/>
        <s v="C19RM 2021-Other Health Produ" u="1"/>
        <s v="COVID" u="1"/>
        <s v="TB-NON-PHARMA" u="1"/>
        <s v="HIV-PHARMA" u="1"/>
        <s v="COVID-Pharma" u="1"/>
        <s v="HIV - PHARMA" u="1"/>
        <s v="HIV-Equipment" u="1"/>
        <s v="TB- NON-PHARMA" u="1"/>
        <s v="TB-Pharmaceuticals" u="1"/>
        <s v="MALARIA - NON-PHARMA" u="1"/>
        <s v="TB - PHARMA" u="1"/>
        <s v="Malaria-Equipment &amp; Other HPs" u="1"/>
        <e v="#N/A" u="1"/>
        <s v="Malaria Non-Pharmaceuticals" u="1"/>
        <s v="COVID-NA" u="1"/>
        <s v="TB Non-Pharmaceuticals" u="1"/>
        <s v="HIV-Other HPs" u="1"/>
        <s v="TB- PHARMA" u="1"/>
        <s v="HIV - OTHER HPs" u="1"/>
        <s v="HIV-NON-PHARMA" u="1"/>
        <s v="TB-EQUIPMENT &amp; OTHER HPs" u="1"/>
      </sharedItems>
    </cacheField>
    <cacheField name="Sec" numFmtId="0">
      <sharedItems containsSemiMixedTypes="0" containsString="0" containsNumber="1" containsInteger="1" minValue="1" maxValue="7" count="7">
        <n v="1"/>
        <n v="2"/>
        <n v="3"/>
        <n v="4"/>
        <n v="5"/>
        <n v="6"/>
        <n v="7" u="1"/>
      </sharedItems>
    </cacheField>
    <cacheField name="HPM Category" numFmtId="0">
      <sharedItems/>
    </cacheField>
    <cacheField name="Category" numFmtId="0">
      <sharedItems containsBlank="1" count="435">
        <s v="COVID Tests / Antigen Rapid Diagnostic Test Ag-RDT"/>
        <s v="COVID Molecular Test Equipment"/>
        <s v="GeneXpert - Equipment for C19RM"/>
        <s v="OTHER NEAR POC for C19RM"/>
        <s v="TrueNat for C19RM"/>
        <s v="COVID Diagnostics reagents &amp; consumables"/>
        <s v="Medical Oxygen - consumables"/>
        <s v="Medical Oxygen - equipment"/>
        <s v="Medical Oxygen Liquid &amp; Gas"/>
        <s v="Other Health Equipment"/>
        <s v="Disinfectants"/>
        <s v="COVID PPE core"/>
        <s v="COVID PPE: other"/>
        <s v="Laboratory Equipment"/>
        <s v="Cold Chain Consumables"/>
        <s v="Cold Chain Equipment"/>
        <s v="Waste management for C19RM"/>
        <s v="COVID Tests / Antibody Rapid Diagnostic Test Ab-RDT"/>
        <s v="Genomic surveillance / sequencing"/>
        <s v="COVID Existing/Repurposed Medicines"/>
        <s v="COVID Novel Medicines"/>
        <s v="COVID Other Medicines"/>
        <s v="Hepatitis B RDTs" u="1"/>
        <s v="Other medicines_x000a_" u="1"/>
        <s v="Flow Cytometry: Consumables" u="1"/>
        <s v="Malaria: Automated Analyzers" u="1"/>
        <s v="Molecular testing, manual, TB" u="1"/>
        <s v="Molecular testing: manual, TB" u="1"/>
        <m u="1"/>
        <s v="Consumables" u="1"/>
        <s v="TB: Containment equipment" u="1"/>
        <s v="TB: Specimen transportation" u="1"/>
        <s v="Molecular testing, automated, TB " u="1"/>
        <s v="Malaria Surveillance: Malaria RDTs" u="1"/>
        <s v="RDTs for Malaria" u="1"/>
        <s v="Handheld analyzers" u="1"/>
        <s v="Immunoassays: Other" u="1"/>
        <s v="Section 3 - Malaria Other health equipment" u="1"/>
        <s v="GeneXpert - Equipment &amp; cartridges for C19RM" u="1"/>
        <s v="Molecular Testing: Spare parts &amp; Accessories " u="1"/>
        <s v="GeneXpert - Equipment &amp; cartridges for TB program" u="1"/>
        <s v="Medicines for Co-infections &amp; Co-morbidities (COIM)" u="1"/>
        <s v="Other Tests" u="1"/>
        <s v="Pregnancy RDTs" u="1"/>
        <s v="Vector Control (ITNs)" u="1"/>
        <s v="Molecular Testing: Consumables " u="1"/>
        <s v="Antimalaria medicines (Prevention)" u="1"/>
        <s v="X-ray Equipment" u="1"/>
        <s v="X-ray: Consumables" u="1"/>
        <s v="Automated Analyzers " u="1"/>
        <s v="Immunoassays: Hepatitis B" u="1"/>
        <s v="Malaria Waste management: Equipment" u="1"/>
        <s v="Molecular testing, automated, HIV EID" u="1"/>
        <s v="Molecular: manual, nucleic acid extraction   " u="1"/>
        <s v="Malaria Diagnostics" u="1"/>
        <s v="Pesticide application: Equipment" u="1"/>
        <s v="IPC: Consumables" u="1"/>
        <s v="IPC: Disinfectants" u="1"/>
        <s v="Malaria: Biosafety" u="1"/>
        <s v="HIV IPC: Disinfectants" u="1"/>
        <s v="RDTs for TB for HIV program" u="1"/>
        <s v="IPC: Maintenance &amp; Services " u="1"/>
        <s v="TB medicines for Sensitive TB" u="1"/>
        <s v="X-ray Spare parts &amp; accessories" u="1"/>
        <s v="TB: Other Spare parts &amp; Accessories" u="1"/>
        <s v="Immunoassay: STI" u="1"/>
        <s v="Entomological Monitoring" u="1"/>
        <s v="Immunoassays: Hepatitis C" u="1"/>
        <s v="HIV Rapid Diagnostic Tests" u="1"/>
        <s v="RDTs for STIs, OIs &amp; hepatitis" u="1"/>
        <s v="TB Liquid Culture: Consumables" u="1"/>
        <s v="X-ray: Maintenance &amp; service costs" u="1"/>
        <s v="HIV-specific reagents &amp; consumables" u="1"/>
        <s v="Molecular Testing: Reagents &amp; test kits1" u="1"/>
        <s v="Malaria Surveillance: Maintenance &amp; Services" u="1"/>
        <s v="TB: Automated bacterial identification and AST  " u="1"/>
        <s v="Vaccines" u="1"/>
        <s v="Lubricants" u="1"/>
        <s v="Hepatitis C RDTs" u="1"/>
        <s v="Prevention Commodities" u="1"/>
        <s v="TB: Biosafety consumables" u="1"/>
        <s v="Malaria Surveillance: Reagents" u="1"/>
        <s v="VL Testing: Reagents &amp; test kits" u="1"/>
        <s v="Laboratory equipment for HIV program" u="1"/>
        <s v="Molecular testing, manual, nucleic acid extraction " u="1"/>
        <s v="CRP Reagents" u="1"/>
        <s v="IPC: Equipment" u="1"/>
        <s v="Harm reduction: OST" u="1"/>
        <s v="Multi-pathogen RDTs" u="1"/>
        <s v="Molecular, POC / Near-POC instruments" u="1"/>
        <s v="Molecular: POC / Near-POC instruments" u="1"/>
        <s v="ARVs (Treatment - pediatric formulations)" u="1"/>
        <s v="IPC: PPE" u="1"/>
        <s v="X-ray: Equipment " u="1"/>
        <s v="HIV IPC: Equipment" u="1"/>
        <s v="EID Testing: Consumables" u="1"/>
        <s v="Malaria Microscopy: Equipment" u="1"/>
        <s v="HIV: Other laboratory reagents" u="1"/>
        <s v="Molecular testing: Hepatitis B" u="1"/>
        <s v="Molecular Testing: Thermocyclers " u="1"/>
        <s v="Molecular: manual, thermocyclers " u="1"/>
        <s v="Sequencing: Maintenance &amp; Services" u="1"/>
        <s v="Molecular testing POC/near POC, HIV EID" u="1"/>
        <s v="HIV Tests" u="1"/>
        <s v="Female condoms" u="1"/>
        <s v="Pesticides for IRS" u="1"/>
        <s v="TB: Other reagents" u="1"/>
        <s v="Molecular testing: TB" u="1"/>
        <s v="HIV: Other health equipment" u="1"/>
        <s v="Malaria Microscopy: Consumables" u="1"/>
        <s v="Molecular Testing: Consumables4" u="1"/>
        <s v="_Molecular: POC / Near-POC instruments" u="1"/>
        <s v="Flow Cytometry: Spare parts &amp; Accessories" u="1"/>
        <s v="Malaria Waste management supplies: Reagents" u="1"/>
        <s v="Waste management for HIV: Reagents &amp; Consumables" u="1"/>
        <s v="Malaria IPC: PPE" u="1"/>
        <s v="COVID Pharmaceuticals" u="1"/>
        <s v="TB: Other health equipment" u="1"/>
        <s v="Molecular Testing: Spare parts &amp; Accessories" u="1"/>
        <s v="ARVs (for PEP)" u="1"/>
        <s v="TB: Biosafety " u="1"/>
        <s v="X-ray: Equipment" u="1"/>
        <s v="Harm reduction: consumables" u="1"/>
        <s v="Malaria Surveillance: Consumables" u="1"/>
        <s v="HIV: Laboratory quality assessment reagents" u="1"/>
        <s v="RDTs for HIV" u="1"/>
        <s v="Malaria: Other consumables" u="1"/>
        <s v="TB: Other laboratory consumables" u="1"/>
        <s v="Molecular, Fully automated instruments" u="1"/>
        <s v="Molecular: Fully automated instruments" u="1"/>
        <s v="Molecular testing, automated, nucleic acid extraction " u="1"/>
        <s v="ARVs for Prevention" u="1"/>
        <s v="Medicines: Histoplasmosis" u="1"/>
        <s v="IPC: Spare parts &amp; Accessories " u="1"/>
        <s v="HIV: Other laboratory consumables" u="1"/>
        <s v="Flow Cytometry: CD4 POC / Near-POC" u="1"/>
        <s v="Harm reduction: syringes &amp; needles" u="1"/>
        <s v="Pesticide application: Protective clothing" u="1"/>
        <s v="Malaria Waste management: Service Contracts" u="1"/>
        <s v="TB: Automated bacterial culture, identification and AST " u="1"/>
        <s v="HIV: Biosafety consumables" u="1"/>
        <s v="Waste management for Malaria" u="1"/>
        <s v="Malaria: Maintenance &amp; Services" u="1"/>
        <s v="OIs, STIs &amp; other medicines in TB" u="1"/>
        <s v="Molecular Testing: POC / Near - POC" u="1"/>
        <s v="Molecular testing, POC/near POC, TB " u="1"/>
        <s v="Protective clothing for pesticide application" u="1"/>
        <s v="IPC: PPE " u="1"/>
        <s v="HIV EQA: reagents" u="1"/>
        <s v="Malaria: Handheld analyzers" u="1"/>
        <s v="Laboratory equipment for TB program" u="1"/>
        <s v="Malaria Surveillance: Spare parts &amp; Accessories" u="1"/>
        <s v="TB Microscopy: Consumables" u="1"/>
        <s v="Molecular testing: Hepatitis C" u="1"/>
        <s v="Molecular testing, manual, nucleic acid extraction" u="1"/>
        <s v="Molecular testing: manual, nucleic acid extraction" u="1"/>
        <s v="TB Microscopy: Maintenance &amp; Services " u="1"/>
        <s v="_Molecular instruments: Spare parts &amp; Accessories" u="1"/>
        <s v="VL Testing: Consumables" u="1"/>
        <s v="TB Microscopy: Reagents " u="1"/>
        <s v="Malaria: Specimen transportation" u="1"/>
        <s v="Automated bacterial culture, identification and AST " u="1"/>
        <s v="TB: Consumables" u="1"/>
        <s v="Surveillance Activities" u="1"/>
        <s v="Consumables for HIV program" u="1"/>
        <s v="Antimalaria medicines - prevention" u="1"/>
        <s v="Voluntary Medical Male Circumcision (VMMC)" u="1"/>
        <s v="RDTs for TB" u="1"/>
        <s v="Medicines: OIs" u="1"/>
        <s v="Malaria EQA: consumables" u="1"/>
        <s v="Malaria IPC: Consumables" u="1"/>
        <s v="Malaria IPC: Disinfectants" u="1"/>
        <s v="Molecular Testing: POC / Near-POC" u="1"/>
        <s v="HIV: Testing controls for HIV tests" u="1"/>
        <s v="TB Microscopy: Spare parts &amp; Accessories  " u="1"/>
        <s v="Molecular testing, Surcharge" u="1"/>
        <s v="Molecular testing: Surcharge" u="1"/>
        <s v="Molecular Testing: Consumables1" u="1"/>
        <s v="ARVs (Treatment - adult formulations)" u="1"/>
        <s v="Health Products used in HIV Prevention Programs" u="1"/>
        <s v="IPC: Equipment " u="1"/>
        <s v="Consumables for TB program" u="1"/>
        <s v="Malaria Laboratory reagents" u="1"/>
        <s v="Malaria Microscopy Reagents" u="1"/>
        <s v="Malaria Microscopy: Reagents" u="1"/>
        <s v="Other RDTs" u="1"/>
        <s v="_Molecular testing, manual, TB" u="1"/>
        <s v="Molecular testing, manual, HIV VL" u="1"/>
        <s v="HIV IPC: Spare parts &amp; Accessories" u="1"/>
        <s v="Medicines: Cryptococcal meningitis" u="1"/>
        <s v="Antimalaria medicines (Case Management)" u="1"/>
        <s v="HIV RDTs" u="1"/>
        <s v="TB: Other laboratory reagents" u="1"/>
        <s v="Antimalaria medicines (Co-pay)" u="1"/>
        <s v="Equipment for pesticide application" u="1"/>
        <s v="Molecular: Fully automated instruments " u="1"/>
        <s v="Pesticides for entomological monitoring" u="1"/>
        <s v="Molecular testing, automated, nucleic acid extraction" u="1"/>
        <s v="Molecular testing: automated, nucleic acid extraction" u="1"/>
        <s v="CRP: Reagents" u="1"/>
        <s v="Other health products" u="1"/>
        <s v="Malaria: Specimen collection" u="1"/>
        <s v="Medical Oxygen - liquid oxygen" u="1"/>
        <s v="Molecular testing: Surcharge   " u="1"/>
        <s v="TB Liquid Culture: Reagents and tubes" u="1"/>
        <s v="Molecular Testing, Maintenance &amp; Services" u="1"/>
        <s v="Molecular Testing: Maintenance &amp; Services" u="1"/>
        <s v="Malaria Microscopy: Maintenance &amp; Services" u="1"/>
        <s v="HIV: Testing controls for OI, STI, hepatitis tests" u="1"/>
        <s v="Male condoms" u="1"/>
        <s v="DR-TB medicines" u="1"/>
        <s v="IPC: Maintenance &amp; Services" u="1"/>
        <s v="HIV: Specimen transportation" u="1"/>
        <s v="TB: Waste management: consumables" u="1"/>
        <s v="HIV: Waste management: consumables" u="1"/>
        <s v="Molecular testing POC/near POC, Hepatitis C" u="1"/>
        <s v="HIV (self test)" u="1"/>
        <s v="Malaria: Other RDTs" u="1"/>
        <s v="TB EQA: consumables" u="1"/>
        <s v="COVID PPE &amp; consumables" u="1"/>
        <s v="HIV: Other Spare parts &amp; Accessories" u="1"/>
        <s v="Molecular Testing: Reagents &amp; test kits" u="1"/>
        <s v="iCCM consumables" u="1"/>
        <s v="TB Microscopy: Reagents" u="1"/>
        <s v="HIV: Specimen collection" u="1"/>
        <s v="DR-TB: Monitoring Equipment" u="1"/>
        <s v="Malaria Laboratory equipment" u="1"/>
        <s v="Malaria Microscopy Equipment" u="1"/>
        <s v="Malaria Other health equipment" u="1"/>
        <s v="Malaria: Containment equipment" u="1"/>
        <s v="Molecular instruments: Spare parts &amp; Accessories " u="1"/>
        <s v="Biosafety " u="1"/>
        <s v="HIV Testing Consumables" u="1"/>
        <s v="Waste management for TB" u="1"/>
        <s v="LLINs (mass campaigns)" u="1"/>
        <s v="Harm reduction: supportive medicines" u="1"/>
        <s v="HIV RDTs " u="1"/>
        <s v="COVID Equipment" u="1"/>
        <s v="Malaria: Other Maintenance &amp; Services" u="1"/>
        <s v="Flow Cytometry: Maintenance &amp; Services" u="1"/>
        <s v="TB-LAMP Loop-Mediated Isothermal Amplification for HIV program" u="1"/>
        <s v="ARVs" u="1"/>
        <s v="TB RDTs" u="1"/>
        <s v="VL/EID Molecular testing: Surcharge" u="1"/>
        <s v="TB Solid Culture: Reagents and tubes" u="1"/>
        <s v="Immunoassays: STI" u="1"/>
        <s v="TB: Specimen processing" u="1"/>
        <s v="TB Liquid Culture: Reagents" u="1"/>
        <s v="TB: Other Maintenance &amp; Services" u="1"/>
        <s v="Pesticide application: Spare parts &amp; Accessories" u="1"/>
        <s v="_Molecular testing, manual, nucleic acid extraction" u="1"/>
        <s v="Molecular testing, manual, HIV EID" u="1"/>
        <s v="TB EQA: reagents" u="1"/>
        <s v="X-ray Consumables" u="1"/>
        <s v="TB Microscopy: Maintenance &amp; Services" u="1"/>
        <s v="Molecular testing POC/near POC, HIV VL" u="1"/>
        <s v="Malaria Surveillance: Laboratory Equipment" u="1"/>
        <s v="Dual RDTs" u="1"/>
        <s v="Syphilis RDTs" u="1"/>
        <s v="TB: Automated Analyzers" u="1"/>
        <s v="Other Supportive Medicine" u="1"/>
        <s v="TB Microscopy: Consumables  " u="1"/>
        <s v="Molecular Testing: Consumables3" u="1"/>
        <s v="TB medicines for Prevention (DS-TB)" u="1"/>
        <s v="Molecular: POC / Near-POC instruments " u="1"/>
        <s v="TrueNat for TB program" u="1"/>
        <s v="ITN (Continuous Distribution)" u="1"/>
        <s v="Molecular testing POC/near POC, Hepatitis B" u="1"/>
        <s v="Malaria Microscopy: Spare parts &amp; Accessories" u="1"/>
        <s v="Malaria Consumables" u="1"/>
        <s v="Flow Cytometry: Reagents" u="1"/>
        <s v="Medicines: TB prevention" u="1"/>
        <s v="Consumables for entomological monitoring" u="1"/>
        <s v="Malaria: Automated bacterial identification and AST" u="1"/>
        <s v="TB: Automated bacterial culture, identification and AST" u="1"/>
        <s v="Immunoassays: HIV" u="1"/>
        <s v="Sequencing: Reagents" u="1"/>
        <s v="TB: Specimen collection" u="1"/>
        <s v="Antimalaria medicines - treatment" u="1"/>
        <s v="Molecular testing, automated, OI, STI" u="1"/>
        <s v="Anti-tuberculosis medicines: Treatment for Drug Sensitive TB (DS-TB)" u="1"/>
        <s v="IRS equipment &amp; insecticides" u="1"/>
        <s v="HIV-specific testing controls" u="1"/>
        <s v="_Molecular: manual, thermocyclers" u="1"/>
        <s v="Waste management for HIV: Equipment" u="1"/>
        <s v="Other Laboratory reagents_HIV program" u="1"/>
        <s v="Malaria Surveillance: Maintenance &amp; Service" u="1"/>
        <s v="TB Tests  " u="1"/>
        <s v="Malaria EQA: reagents" u="1"/>
        <s v="Molecular testing: STI" u="1"/>
        <s v="X-ray: Maintenance &amp; Services" u="1"/>
        <s v="TB: General laboratory equipment" u="1"/>
        <s v="Testing controls for other tests" u="1"/>
        <s v="_Molecular testing, automated, TB" u="1"/>
        <s v="Sequencing: Spare parts &amp; accessories" u="1"/>
        <s v="Molecular Testing: Liquid handling systems" u="1"/>
        <s v="Malaria: Laboratory quality assessment reagents" u="1"/>
        <s v="HIV Self-Tests" u="1"/>
        <s v="Molecular Testing: POC / Near - POC3" u="1"/>
        <s v="Other Laboratory reagents_TB program" u="1"/>
        <s v="Malaria IPC: Spare parts &amp; Accessories" u="1"/>
        <s v="Malaria: Other Spare parts &amp; Accessories" u="1"/>
        <s v="Pesticide application: Maintenance &amp; Services" u="1"/>
        <s v="Equipment, sequencing" u="1"/>
        <s v="Medicines: Hepatitis B" u="1"/>
        <s v="Sequencing: Consumables" u="1"/>
        <s v="HIV: Specimen processing" u="1"/>
        <s v="Molecular Testing:  Thermocyclers" u="1"/>
        <s v="Consumables (Prevention)" u="1"/>
        <s v="HIV: Speciment processing" u="1"/>
        <s v="Medicines for HIV Prevention" u="1"/>
        <s v="Medicines for Advanced Disease" u="1"/>
        <s v="Molecular testing, automated, TB" u="1"/>
        <s v="Molecular testing: automated, TB" u="1"/>
        <s v="X-ray: Spare parts &amp; Accessories " u="1"/>
        <s v="Medicines: Hepatitis C" u="1"/>
        <s v="Antimalaria medicines (TES)" u="1"/>
        <s v="MTB Identification: Reagents &amp; test kits" u="1"/>
        <s v="Other pesticides &amp; tools for vector control" u="1"/>
        <s v="TB: Handheld analyzers " u="1"/>
        <s v="TB Microscopy: Spare parts &amp; Accessories" u="1"/>
        <s v="HIV EQA: Consumables" u="1"/>
        <s v="HIV IPC: Consumables" u="1"/>
        <s v="Flow Cytometry: POC / Near-POC" u="1"/>
        <s v="HIV VL/EID Laboratory reagents" u="1"/>
        <s v="IPC: Spare parts &amp; Accessories" u="1"/>
        <s v="Molecular testing, POC/near POC, TB" u="1"/>
        <s v="Molecular testing: POC/near POC, TB" u="1"/>
        <s v="ARVs (for PrEP)" u="1"/>
        <s v="Malaria Waste management: Reagents" u="1"/>
        <s v="Malaria: Other laboratory reagents" u="1"/>
        <s v="RDTS for HIV testing in TB program" u="1"/>
        <s v="HIV: Testing controls for other tests" u="1"/>
        <s v="Molecular testing POC/near POC, OI, STI" u="1"/>
        <s v="Biosafety" u="1"/>
        <s v="Molecular instruments, Spare parts &amp; Accessories" u="1"/>
        <s v="Molecular instruments: Spare parts &amp; Accessories" u="1"/>
        <s v="Anti-tuberculosis medicines: Prevention of DS-TB &amp; DR-TB" u="1"/>
        <s v="TB-LAMP Loop-Mediated Isothermal Amplification for TB program" u="1"/>
        <s v="TB Solid Culture: Reagents" u="1"/>
        <s v="Molecular testing, manual, TB " u="1"/>
        <s v="Molecular testing, automated, Hepatitis B" u="1"/>
        <s v="TB medicines for Prevention for HIV program" u="1"/>
        <s v="Condoms" u="1"/>
        <s v="X-ray: Maintenance &amp; service costs " u="1"/>
        <s v="Molecular Testing: Nucleic acid extraction" u="1"/>
        <s v="Molecular Testing: Nucliec acid extraction" u="1"/>
        <s v="Molecular, manual, nucleic acid extraction" u="1"/>
        <s v="Molecular: manual, nucleic acid extraction" u="1"/>
        <s v="Ancillary equipment, molecular or sequencing" u="1"/>
        <s v="Malaria RDTs (Co-pay)" u="1"/>
        <s v="TB Microscopy: Equipment " u="1"/>
        <s v="Harm reduction: Wound care" u="1"/>
        <s v="Molecular testing, automated, Hepatitis C" u="1"/>
        <s v="Automated bacterial culture, identification and AST" u="1"/>
        <s v="_Molecular testing, automated, nucleic acid extraction" u="1"/>
        <s v="Sequencing: Analyzers" u="1"/>
        <s v="Treatment, care &amp; support" u="1"/>
        <s v="Malaria: Other health equipment" u="1"/>
        <s v="Molecular Testing: Thermocyclers" u="1"/>
        <s v="Molecular, manual, thermocyclers" u="1"/>
        <s v="Molecular: manual, thermocyclers" u="1"/>
        <s v="Malaria: EQA reagents &amp; consumables" u="1"/>
        <s v="Malaria Microscopy - Equipment &amp; reagents" u="1"/>
        <s v="Antiretroviral Medicines for HIV Treatment" u="1"/>
        <s v="TB Tests" u="1"/>
        <s v="iCCM medicines" u="1"/>
        <s v="Containment equipment  " u="1"/>
        <s v="TB Solid Culture: Consumables" u="1"/>
        <s v="EID Testing: Reagents &amp; test kits" u="1"/>
        <s v="Harm reduction: Overdose prevention" u="1"/>
        <s v="CRP: Reagents " u="1"/>
        <s v="IPC: Consumables " u="1"/>
        <s v="Malaria: Specimen processing" u="1"/>
        <s v="HIV IPC: Maintenance &amp; Services" u="1"/>
        <s v="HIV: General laboratory equipment" u="1"/>
        <s v="Malaria: General laboratory equipment" u="1"/>
        <s v="Malaria: Speciment processing" u="1"/>
        <s v="Automated Analyzers" u="1"/>
        <s v="Malaria IPC: Equipment" u="1"/>
        <s v="Molecular Testing: Consumables" u="1"/>
        <s v="Malaria: Waste management: consumables" u="1"/>
        <s v="Molecular Testing: Maintenance &amp; Services " u="1"/>
        <s v="Pesticide application: Maintenance &amp; Service" u="1"/>
        <s v="Vector Control (IRS, other pesticides &amp; tools)" u="1"/>
        <s v="Other medicines" u="1"/>
        <s v="TrueNat for HIV program" u="1"/>
        <s v="X-ray: Spare parts &amp; Accessories" u="1"/>
        <s v="Molecular Testing: POC / Near - POC2" u="1"/>
        <s v="TB: Laboratory quality assessment reagents" u="1"/>
        <s v="TB Phenotypic drug sensitivity testing (DST): Consumables" u="1"/>
        <s v="Molecular testing, automated, HIV VL" u="1"/>
        <s v="X-ray: Consumables " u="1"/>
        <s v="ARVs (Infant prophylaxis)" u="1"/>
        <s v="Other supportive medicines" u="1"/>
        <s v="TB medicines for Prevention" u="1"/>
        <s v="LLINs (routine distributions)" u="1"/>
        <s v="TB medicines for Resistant TB" u="1"/>
        <s v="Automated bacterial identification and AST" u="1"/>
        <s v="Testing controls for OI, STI, hepatitis tests" u="1"/>
        <s v="Malaria: Automated bacterial culture, identification and AST" u="1"/>
        <s v="TB: Containment equipment  " u="1"/>
        <s v="Other health equipment for TB program" u="1"/>
        <s v="DS-TB medicines" u="1"/>
        <s v="IPC: Disinfectants " u="1"/>
        <s v="Malaria IPC: Maintenance &amp; Services" u="1"/>
        <s v="Malaria Waste management: Consumables" u="1"/>
        <s v="Malaria: Other laboratory consumables" u="1"/>
        <s v="GeneXpert - Equipment &amp; cartridges for HIV program" u="1"/>
        <s v="Testing Consumables" u="1"/>
        <s v="Malaria Microscopy Consumables" u="1"/>
        <s v="Malaria: Biosafety consumables" u="1"/>
        <s v="OIs, STIs &amp; other medicines in HIV" u="1"/>
        <s v="TB medicines for Prevention (DR-TB)" u="1"/>
        <s v="COVID Diagnostic reagents &amp; consumables" u="1"/>
        <s v="HIV IPC: PPE" u="1"/>
        <s v="Medicines: STIs" u="1"/>
        <s v="Containment equipment" u="1"/>
        <s v="TB: Automated Analyzers " u="1"/>
        <s v="Flow Cytometry: Surcharge" u="1"/>
        <s v="TB: Automated bacterial identification and AST" u="1"/>
        <s v="Syphillis RDTs" u="1"/>
        <s v="DR-TB: Consumables" u="1"/>
        <s v="Handheld analyzers " u="1"/>
        <s v="HIV Laboratory reagents" u="1"/>
        <s v="Opioid substitute medicines" u="1"/>
        <s v="TB Microscopy - Equipment &amp; reagents" u="1"/>
        <s v="ITNs (Mass Campaign)" u="1"/>
        <s v="TB: Testing controls" u="1"/>
        <s v="TB Microscopy: Equipment" u="1"/>
        <s v="HIV: Other Maintenance &amp; Services" u="1"/>
        <s v="Culture/DST/LPA - Equipment &amp; reagents" u="1"/>
        <s v="Molecular: manual, nucleic acid extraction " u="1"/>
        <s v="Automated bacterial identification and AST  " u="1"/>
        <s v="TB Phenotypic drug sensitivity testing (DST): Reagents" u="1"/>
      </sharedItems>
    </cacheField>
    <cacheField name="PDH Item UID" numFmtId="0">
      <sharedItems containsSemiMixedTypes="0" containsString="0" containsNumber="1" containsInteger="1" minValue="1" maxValue="291"/>
    </cacheField>
    <cacheField name="Each" numFmtId="0">
      <sharedItems containsBlank="1" count="2310">
        <s v="SARS-CoV-2 Ag Rapid Test kit"/>
        <s v="Automated extractors"/>
        <s v="COVID Equipment - Other"/>
        <s v="Magnetic Stand: Manual Extraction"/>
        <s v="Magnetic Stand: Manual Extraction - Other"/>
        <s v="Tabletop PCR workstation with UV light"/>
        <s v="Thermocycler, incl. RT-PCR analyser"/>
        <s v="Thermocycler, incl. RT-PCR analyser - Other"/>
        <s v="UV crosslinker"/>
        <s v="UV transilluminator 312nm"/>
        <s v="UV transilluminator 365nm"/>
        <s v="GeneXpert: Equipment"/>
        <s v="OTHER NEAR POC"/>
        <s v="Truelab Uno Dx"/>
        <s v="Trueprep"/>
        <s v="COVID Tests / Diagnostic Consumables"/>
        <s v="COVID Tests / Diagnostic Reagents &amp; Cartridges"/>
        <s v="Airway"/>
        <s v="CO2 detector"/>
        <s v="Cricothyrotomy"/>
        <s v="Endotracheal tube"/>
        <s v="Flow spitter"/>
        <s v="Flowmeter, medical O2, Gas Cylinder"/>
        <s v="Flowmeter, medical O2, Terminal (wall) Unit"/>
        <s v="Humidifier"/>
        <s v="Infusion giving set"/>
        <s v="Laryngoscope"/>
        <s v="Nasal Cannula"/>
        <s v="Nasal Catheter"/>
        <s v="Nasal prong"/>
        <s v="Other"/>
        <s v="Oxygen mask"/>
        <s v="Pulse oximeter probes"/>
        <s v="Resuscitator"/>
        <s v="Suction device"/>
        <s v="Tubing"/>
        <s v="COVID Equipment"/>
        <s v="Mechanical ventilation"/>
        <s v="Non-invasive ventilation"/>
        <s v="Oxygen analyser"/>
        <s v="Oxygen concentrator"/>
        <s v="Pulse oximeter"/>
        <s v="Surge suppressor"/>
        <s v="Voltage stabilizer"/>
        <s v="Medical gas cylinder, portable"/>
        <s v="Oxygen plant"/>
        <s v="Blood Gas Analyser"/>
        <s v="Electrocardiogram (ECG) digital monitor and recorder"/>
        <s v="Electronic drop counter"/>
        <s v="Infusion pump"/>
        <s v="Patient monitor"/>
        <s v="Thermometer"/>
        <s v="Ultrasound"/>
        <s v="UPS units"/>
        <s v="X-ray: Equipment"/>
        <s v="Alcohol-based hand rub"/>
        <s v="Chlorhexidine"/>
        <s v="Chlorine"/>
        <s v="Hand wash (liquid)"/>
        <s v="Soap"/>
        <s v="Apron"/>
        <s v="Faceshield"/>
        <s v="Gloves"/>
        <s v="Goggles"/>
        <s v="Gowns"/>
        <s v="Masks"/>
        <s v="Respirator"/>
        <s v="Scrubs"/>
        <s v="Bootcover"/>
        <s v="Boots"/>
        <s v="Coverall"/>
        <s v="Heavy-duty apron"/>
        <s v="Heavy-duty gloves"/>
        <s v="Other COVID consumables"/>
        <s v="Surgical cap"/>
        <s v="Autoclave for laboratory"/>
        <s v="Bi-directional testing"/>
        <s v="Biological Safety Cabinet BSL II"/>
        <s v="Centrifuges"/>
        <s v="Equipment: other"/>
        <s v="Glove box"/>
        <s v="Incubator"/>
        <s v="Laboratory freezer"/>
        <s v="Laboratory freezer - ultra low"/>
        <s v="Laboratory refrigerator"/>
        <s v="Microcentrifuge"/>
        <s v="Refrigerated bench top centrifuge"/>
        <s v="Thermoblock"/>
        <s v="Vortex"/>
        <s v="Cold Box"/>
        <s v="Data logger"/>
        <s v="Icepack"/>
        <s v="Remote Temperature Monitoring System"/>
        <s v="Vaccine carrier"/>
        <s v="Vaccine Combined Refrigerator &amp; Freezer"/>
        <s v="Vaccine freezer"/>
        <s v="Vaccine refrigerator"/>
        <s v="Waste management supplies: Consumables"/>
        <s v="Waste management supplies: Reagents"/>
        <s v="Waste management: Autoclave"/>
        <s v="Waste management: Incinerator, general waste"/>
        <s v="Waste management: Incinerator, medical waste"/>
        <s v="Waste management: Other equipment"/>
        <s v="Waste management:Service Contracts"/>
        <s v="SARS-CoV-2 Ab Rapid Test kit"/>
        <s v="Reagents for sequencing"/>
        <s v="Sample Collection"/>
        <s v="Sequencing analyzers"/>
        <s v="Dalteparin Sodium"/>
        <s v="Dexamethasone"/>
        <s v="Enoxaparin Sodium"/>
        <s v="Heparin sodium solution for injection"/>
        <s v="Other Anticoagulants"/>
        <s v="Other Steroids"/>
        <s v="New Medicines"/>
        <s v="Compound sodium lactate solution (Ringer's lactate)"/>
        <s v="Other essential medicines"/>
        <s v="Paracetamol"/>
        <s v="Exhaust Hepa filter H14" u="1"/>
        <m u="1"/>
        <s v="dummy107" u="1"/>
        <s v="Sequencing: Consumables" u="1"/>
        <s v="Microscopy: Malaria smear microscopy reagents" u="1"/>
        <s v="dummy48" u="1"/>
        <s v="Cycloserine" u="1"/>
        <s v="Refrigerator" u="1"/>
        <s v="Phenol crystals" u="1"/>
        <s v="dummy20" u="1"/>
        <s v="GeneXpert Edge System" u="1"/>
        <s v="dummy117" u="1"/>
        <s v="BD - FACS Other reagents" u="1"/>
        <s v="dummy49" u="1"/>
        <s v="Electrophoresis chamber" u="1"/>
        <s v="dummy21" u="1"/>
        <s v="BACTECmgIT Kanamycin (215348)" u="1"/>
        <s v="Buffer pH 7.2 tablet for 1000mL" u="1"/>
        <s v="Space Spray (indoor), Space Spray (outdoor): d,d,trans-Cyphenothrin 5%" u="1"/>
        <s v="dummy22" u="1"/>
        <s v="dummy23" u="1"/>
        <s v="BACTECmgIT AST Carrier Set 4-tube  (445944) " u="1"/>
        <s v="HBV Immunoassay" u="1"/>
        <s v="GeneXpert ULTRA Cartridge 10" u="1"/>
        <s v="dummy24" u="1"/>
        <s v="Blood gas analyzer" u="1"/>
        <s v="Raltegravir 25mg chewable tablet" u="1"/>
        <s v="Marker - permanent ink" u="1"/>
        <s v="dummy25" u="1"/>
        <s v="Pyrethroid-PBO ITN Rectangular" u="1"/>
        <s v="Isoniazid/Pyrazinamide/Rifampicin 50/150/75mg tablet" u="1"/>
        <s v="Pregnancy RDT" u="1"/>
        <s v="dummy26" u="1"/>
        <s v="Data logger , reusable," u="1"/>
        <s v="Truelab Quattro Workstation " u="1"/>
        <s v="Ziehl Neelsen stain kit 500mL" u="1"/>
        <s v="Amylase (CNP-G3) test kit - 405nm - 12x10ml" u="1"/>
        <s v="dummy27" u="1"/>
        <s v="dummy28" u="1"/>
        <s v="Dolutegravir 10mg dispersible tablet" u="1"/>
        <s v="Nystatin 100000 IU/mL oral suspension, bottle" u="1"/>
        <s v="BACTECmgIT System Installation and Training (01SM0001)" u="1"/>
        <s v="HIV 1+2 - Generic Combined DetectionRapid Diagnostic Test Kit - 1 test" u="1"/>
        <s v="BACTECmgIT Capreomycin (215351)" u="1"/>
        <s v="IPC: PPE" u="1"/>
        <s v="dummy29" u="1"/>
        <s v="Voluntary Medical Male Circumcision (VMMC)" u="1"/>
        <s v="Isoniazid" u="1"/>
        <s v="Malaria Waste management: Consumables" u="1"/>
        <s v="Malaria: Other laboratory consumables" u="1"/>
        <s v="Sysmex - Sulfolyser hemoglobin lysing " u="1"/>
        <s v="X-ray equipment " u="1"/>
        <s v="Analytical balance" u="1"/>
        <s v="Water for injection" u="1"/>
        <s v="Linezolid 600mg tablet" u="1"/>
        <s v="Kanamycin 5g" u="1"/>
        <s v="Slidebox plastic - " u="1"/>
        <s v="Molecular diagnosis: LPA Reagents kits " u="1"/>
        <s v="Electrocardiogram (ECG) digital monitor and recorder, 12 channel" u="1"/>
        <s v="Precision balance" u="1"/>
        <s v="Aciclovir" u="1"/>
        <s v="Ceftriaxone" u="1"/>
        <s v="Roche - Cobas Cfas" u="1"/>
        <s v="Needle: 25G (orange) 16mm" u="1"/>
        <s v="Bedaquiline 100mg tablet" u="1"/>
        <s v="ALT (GPT) test kit" u="1"/>
        <s v="Auramine stain solution and set" u="1"/>
        <s v="TR001-250IC - Generic HIV Charge Virale " u="1"/>
        <s v="Combitips, sterile" u="1"/>
        <s v="OTHER Reagents" u="1"/>
        <s v="BD MAX System Installation and Training " u="1"/>
        <s v="XPERT Check kit" u="1"/>
        <s v="Blood collection lancet" u="1"/>
        <s v="MGIT OADC Enrichment vials" u="1"/>
        <s v="Prothionamide 250mg tablet" u="1"/>
        <s v="Malaria: Maintenance &amp; Services" u="1"/>
        <s v="Hematology or biochemistry reagents: Coulter" u="1"/>
        <s v="HIV EQA: reagents" u="1"/>
        <s v="HIV 1/2-O - First Response HIV 1-2.0 v.3.0 Cards Kit" u="1"/>
        <s v="BBL MycoPrep Kit, 150 mL (240863) " u="1"/>
        <s v="Hematology or biochemistry reagents: : Roche - Cobas c/Integra" u="1"/>
        <s v="Gown" u="1"/>
        <s v="Aciclovir 5% cream" u="1"/>
        <s v="Imipenem/Cilastatin 250/250mg powder for injection 20mL, 1 vial" u="1"/>
        <s v="Larvicide" u="1"/>
        <s v="Beckman Coulter - C-Reactive Protein" u="1"/>
        <s v="Illumina - iSeq100" u="1"/>
        <s v="Paracetamol 100mg dispersible tablet" u="1"/>
        <s v="Paracetamol 250mg dispersible tablet" u="1"/>
        <s v="water based 4.3ml sachet 1000" u="1"/>
        <s v="BDmgIT TBc Identification Test" u="1"/>
        <s v="Flow Cytometry: Surcharge" u="1"/>
        <s v="ThermoFisher Scientific - TaqMan™" u="1"/>
        <s v="GT-Blot 48 Tray for 96 strips (black)" u="1"/>
        <s v="SD BIOLINE HCV - accessories included - 25 tests" u="1"/>
        <s v="Chloramphenicol 250mg capsule" u="1"/>
        <s v="Consumables: Blood collection" u="1"/>
        <s v="Diagnostic kit for HIV (1+2) antibody (colloidal gold) V2" u="1"/>
        <s v="Roche   Cobas 4800 " u="1"/>
        <s v="Roche - Cobas 4800 " u="1"/>
        <s v="Sterile pp centrifuge tubes 15 mL" u="1"/>
        <s v="Paracetamol 125 mg/5ml oral solution" u="1"/>
        <s v="HumaTurb C+ HumaTurb A" u="1"/>
        <s v="Sample Preparation" u="1"/>
        <s v="Male condom 49 mm, thin" u="1"/>
        <s v="Male condom 53 mm, thin" u="1"/>
        <s v="Zidovudine 50mg/5mL oral solution, bottle" u="1"/>
        <s v="Ivermectin 3 mg" u="1"/>
        <s v="Sysmex - Partec Cyflow Consumables" u="1"/>
        <s v="Nucleid acid extraction kit ( add details in comment section)" u="1"/>
        <s v="Apron Reusable" u="1"/>
        <s v="Glecaprevir/pibrentasvir 50/20mg" u="1"/>
        <s v="Adhesive woundplaster" u="1"/>
        <s v="Molecular diagnosis: LPA Reagents kits" u="1"/>
        <s v="Molecular diagnosis: LPA-Reagents kits" u="1"/>
        <s v="Spectrofluorimeters or fluorimeters" u="1"/>
        <s v="HBV - Generic Rapid Diagnostic Test Kit - 1 test" u="1"/>
        <s v="HPV Test" u="1"/>
        <s v="Sysmex - Eightcheck" u="1"/>
        <s v="Fluconazole 50mg capsule" u="1"/>
        <s v="Weighing boats" u="1"/>
        <s v="Truelab Duo Workstation " u="1"/>
        <s v="Syringes and needles for HARM REDUCTION, Other - Enter details in Comments" u="1"/>
        <s v="Atazanavir/Ritonavir 300/100mg tablet" u="1"/>
        <s v="Automated bacterial culture, identification and AST" u="1"/>
        <s v="Lopinavir/Ritonavir 80/20mg/mL oral solution, bottle" u="1"/>
        <s v="ALT (GPT) test kit " u="1"/>
        <s v="Roche - Cobas 6800 " u="1"/>
        <s v="Dexamethasone 4mg tablet" u="1"/>
        <s v="Bioline HCV" u="1"/>
        <s v="Pipette tips - sterile, without filter" u="1"/>
        <s v="dummy108" u="1"/>
        <s v="Litter picker" u="1"/>
        <s v="Capillary Tubes - EDTA 50uL 100 tubes" u="1"/>
        <s v="dummy118" u="1"/>
        <s v="Cobas HIV-1/HIV-2 Test for use with 6800/8800" u="1"/>
        <s v="Flow Cytometry: POC / Near-POC" u="1"/>
        <s v="Other TB medicine for Sensitive TB" u="1"/>
        <s v="Di-Sodium hydrogen phosphate dodecahydrate" u="1"/>
        <s v="Abacavir" u="1"/>
        <s v="IRS Sprayers: backpack sprayer manual operated" u="1"/>
        <s v="COVID Tests / Diagnotic Reagents" u="1"/>
        <s v="Malaria Rapid Diagnostic Test Kit - Pf/Pan" u="1"/>
        <s v="Primaquine 15mg (as base) tablet" u="1"/>
        <s v="BACTECmgIT AST Carrier Set 2-tube  (445946) " u="1"/>
        <s v="Amodiaquine (as HCl)+Sulf/Pyr 150mg+500/25mg 3+1 dispersible tab" u="1"/>
        <s v="Amodiaquine + Pyr/Sulf 76.5mg + 12.5/250mg 3 + 1 dispersible tab" u="1"/>
        <s v="Capillary tubes" u="1"/>
        <s v="ThermoFisher Scientific - Applied Biosystems™ 7500 Fast Dx Real-Time PCR Instrument, Desktop - 4406985" u="1"/>
        <s v="Flucytosine 10mg/mL solution for parenteral inj, bottle" u="1"/>
        <s v="Pesticides for IRS" u="1"/>
        <s v="Ethionamide 5g" u="1"/>
        <s v="Abacavir 60mg dispersible tablet" u="1"/>
        <s v="Artemether" u="1"/>
        <s v="HIV/Syphilis - SD Bioline Duo complete kit" u="1"/>
        <s v="Ethionamide" u="1"/>
        <s v="HIV 1/2 - SD Bioline 3.0 Kit - accessories included - 25 tests" u="1"/>
        <s v="VIKIA® HBsAg - 25 Tests - 31124" u="1"/>
        <s v="EXACTO©  TEST HIV" u="1"/>
        <s v="Roche - Cobas c111 Triglycerides - 200 tests" u="1"/>
        <s v="Cap" u="1"/>
        <s v="Other Tests" u="1"/>
        <s v="Artesunate + Pyr/Sulf 50mg + 25/500mg" u="1"/>
        <s v="Sysmex - Partec Cyflow Consumables Sysmex " u="1"/>
        <s v="AQUIOS Tetra‐1" u="1"/>
        <s v="HIV Real-TM Quant Dx - 96" u="1"/>
        <s v="Pipette, single channel" u="1"/>
        <s v="BD MAX External Battery Module " u="1"/>
        <s v="Cepheid Viral Load Test Kit" u="1"/>
        <s v="Abacavir/Lamivudine/Zidovudine 300/150/300mg tablet" u="1"/>
        <s v="Malaria: EQA reagents &amp; consumables" u="1"/>
        <s v="285033 - NucliSENS EasyQ HIV-1 V2.0  (Semi Automated) - 48T/kit" u="1"/>
        <s v="Abbott Real Time HIV-1  (m24sp)" u="1"/>
        <s v="ShangRing" u="1"/>
        <s v="Rack for glass bottles" u="1"/>
        <s v="BD MAX PCR Cartridges" u="1"/>
        <s v="HIV 1/2 STAT-PAK Dipstick" u="1"/>
        <s v="Ampicillin 500mg powder for solution for parenteral injection" u="1"/>
        <s v="Bootcover,antiskid,elasticated," u="1"/>
        <s v="Ritonavir 25mg tablet" u="1"/>
        <s v="Ritonavir 50mg tablet" u="1"/>
        <s v="MTB/RIF Test" u="1"/>
        <s v="Lamivudine/Nevirapine/Zidovudine" u="1"/>
        <s v="Zidovudine 60mg dispersible tablet" u="1"/>
        <s v="HIV: Testing controls for OI, STI, hepatitis tests" u="1"/>
        <s v="Autoclave " u="1"/>
        <s v="Medicines: Histoplasmosis" u="1"/>
        <s v="Flucytosine injection 10mg/ml 5 bottles 250ml" u="1"/>
        <s v="Cepheid Early Infant Diagnosis Test Kit" u="1"/>
        <s v="Goggles, protective, indirect side-ventilation" u="1"/>
        <s v="OM1" u="1"/>
        <s v="Lime glass culture tubes" u="1"/>
        <s v="Lubricant 2 mL, water based" u="1"/>
        <s v="Lubricant 3 mL, water based" u="1"/>
        <s v="Lubricant 4 mL, water based" u="1"/>
        <s v="Lubricant 5 mL, water based" u="1"/>
        <s v="OM2" u="1"/>
        <s v="Artesunate/amodiaquine 25/67.5mg" u="1"/>
        <s v="OTHER pesticides &amp; tools for vector control" u="1"/>
        <s v="Needles and Syringes" u="1"/>
        <s v="Xylene clearing agent for mounting media" u="1"/>
        <s v="Waste collection container large" u="1"/>
        <s v="Cabotegravir 200 mg/mL extended-release injectable suspension" u="1"/>
        <s v="Pretomanid 200mg tablet" u="1"/>
        <s v="ONE STEP Anti-HIV(1&amp;2 ) Test" u="1"/>
        <s v="Washbottle" u="1"/>
        <s v="Malaria: Other consumables" u="1"/>
        <s v="Hematology or biochemistry reagents: ELITechGroup" u="1"/>
        <s v="Dispenser pipette 10 ml" u="1"/>
        <s v="Goggles " u="1"/>
        <s v="Roche - Cobas c111 microcuvette segment - pack of 1680" u="1"/>
        <s v="Determine HIV Early Detect " u="1"/>
        <s v="HumaHeat" u="1"/>
        <s v="HIV: Specimen transportation" u="1"/>
        <s v="Slide warmer" u="1"/>
        <s v="Difco Middlebrook 7H9 Broth" u="1"/>
        <s v="BD MAX External Battery Module" u="1"/>
        <s v="Amoxicillin 125mg dispersible tablet" u="1"/>
        <s v="Amoxicillin 250mg dispersible tablet" u="1"/>
        <s v="Artemether/Lumefantrine 20/120mg dispersible tablet" u="1"/>
        <s v="Artemether/Lumefantrine 40/240mg dispersible tablet" u="1"/>
        <s v="Bag,biohazard,red,100L" u="1"/>
        <s v="HIV 1+2 - Vikia HIV Device Kit" u="1"/>
        <s v="Alere - PIMA" u="1"/>
        <s v="Other pesticides &amp; tools for vector control????" u="1"/>
        <s v="Enzygnost HIV Integral 4 and Supplementary reagents kit forEnzygnost®/TMB" u="1"/>
        <s v="Microscopy: TB smear microscopy - other reagents" u="1"/>
        <s v="HIV: Other laboratory consumables" u="1"/>
        <s v="Transport case for bright field microscope" u="1"/>
        <s v="HIV 1+2 - OraQuick ADVANCE HIV Rapid Antibody Kit" u="1"/>
        <s v="Determine HIV Early Detect" u="1"/>
        <s v="Flow Cytometry: Maintenance &amp; Services" u="1"/>
        <s v="Flow cytometry analyzer (CD4): Equipment" u="1"/>
        <s v="Anaesthetic cream" u="1"/>
        <s v="ThermoFisher Scientific - 96-Well Fast TaqMan™ RNase P Instrument Verification Plate - 4351979" u="1"/>
        <s v="Maintenance &amp; Services" u="1"/>
        <s v="Artesunate/amodiaquine 50/135mg" u="1"/>
        <s v="Syphillis RDTs" u="1"/>
        <s v="HIV 1/2/O – ABON Tri-Line HIV Rapid Test Kit - 40 tests" u="1"/>
        <s v="Gloves, heavy-duty, Nitrile" u="1"/>
        <s v="STANDARD Q HIV/Syphilis Combo Test" u="1"/>
        <s v="BD MAX MDR-TB Resistance Tool (444522)" u="1"/>
        <s v="Waste collection container small" u="1"/>
        <s v="Densitometer" u="1"/>
        <s v="INNOTEST HIV Ag mAb" u="1"/>
        <s v="ThermoFisher Scientific - KingFisher" u="1"/>
        <s v="EID Testing: Consumables" u="1"/>
        <s v="Murex HIV - 1.2.0" u="1"/>
        <s v="OTHER Laboratory consumables" u="1"/>
        <s v="Cobas HIV-1 Test for use with 6800/8800 and PCS" u="1"/>
        <s v="Salbutamol" u="1"/>
        <s v="HIV 1+2 - Stat-Pak HIV Kit - accessories included - 20 tests" u="1"/>
        <s v="HIV 1+2 - Uni-gold HIV Kit - accessories included - 20 tests" u="1"/>
        <s v="Erythromycin (as stearate) 250mg tablet" u="1"/>
        <s v="Erythromycin (as stearate) 500mg tablet" u="1"/>
        <s v="DNA extraction, amplification, isolation, purification" u="1"/>
        <s v="Para-AminoSalicylate Acid" u="1"/>
        <s v="Microscopy: TB smear microscopy reagents" u="1"/>
        <s v="Test tube - plastic " u="1"/>
        <s v="Space Spray (indoor), Space Spray (outdoor): Lambda-Cyhalothrin 2.5%" u="1"/>
        <s v="Qiagen Viral Load Test Kit and Consumable Bundle " u="1"/>
        <s v="PCR equipment (manual)" u="1"/>
        <s v="Mefloquine 250mg tablet" u="1"/>
        <s v="Test tube - plastic + cap" u="1"/>
        <s v="Etravirine" u="1"/>
        <s v="Thermoblock, for 1.5mL tubes" u="1"/>
        <s v="Timer" u="1"/>
        <s v="Sysmex Eightcheck" u="1"/>
        <s v="Ibuprofen 200mg tablet 1000" u="1"/>
        <s v="Syringe 1mL with 29G fixed needle" u="1"/>
        <s v="Syringe 1mL with 30G fixed needle" u="1"/>
        <s v="DRW Samba II Viral Load Test Kit - 12 tests" u="1"/>
        <s v="Fuchsin" u="1"/>
        <s v="dummy109" u="1"/>
        <s v="Pyrimethamine/Sulfadoxine 25/500mg tablet" u="1"/>
        <s v="Lamivudine" u="1"/>
        <s v="Inoculation loop" u="1"/>
        <s v="Sysmex - Fluorocell " u="1"/>
        <s v="Valganciclovir 450mg tablet" u="1"/>
        <s v="Mask, Surgical, Type II (non-fluid resistant), disposable" u="1"/>
        <s v="BACTECmgIT Calibrators (445871)" u="1"/>
        <s v="dummy119" u="1"/>
        <s v="Amoxicillin/Clavulanic acid 250mg/62.5mg/5mL powder for oral solution" u="1"/>
        <s v="Syringes and needles kit" u="1"/>
        <s v="Ribavirin" u="1"/>
        <s v="Pipette, pasteur - plastic, sterile" u="1"/>
        <s v="HIV/Syphilis - Generic RDT - 1 test" u="1"/>
        <s v="Multivitamin tablet" u="1"/>
        <s v="Biological Safety Cabinet" u="1"/>
        <s v="Pyrazinamide 150mg dispersible tablet" u="1"/>
        <s v="Ibuprofen 200mg tablet" u="1"/>
        <s v="Ibuprofen 400mg tablet" u="1"/>
        <s v="Malaria: Other Maintenance &amp; Services" u="1"/>
        <s v="Efavirenz 200mg double-scored tablet" u="1"/>
        <s v="Efavirenz 200mg single-scored tablet" u="1"/>
        <s v="Rifapentine 150mg tablet" u="1"/>
        <s v="Rifapentine 300mg tablet" u="1"/>
        <s v="&quot;DIAQUICK&quot; HIV 1&amp;2 Ab Cassette" u="1"/>
        <s v="Sequencing: Maintenance &amp; Services" u="1"/>
        <s v="Filter paper" u="1"/>
        <s v="Multispot HIV-1/HIV-2 Rapid Test" u="1"/>
        <s v="Male condom 52 mm, contoured, dotted" u="1"/>
        <s v="BACTECmgIT PZA Kit (245128)" u="1"/>
        <s v="Rapid Anti-HCV Test - 10 Tests" u="1"/>
        <s v="Laboratory Equipment-BACTEC MGIT 320 system" u="1"/>
        <s v="Faceshield Reusable, single" u="1"/>
        <s v="HIV 1+2 - Western Blot 2.2 confirmatory assay" u="1"/>
        <s v="BD FACS Presto" u="1"/>
        <s v="Male condom 53 mm, dotted, ribbed, contoured" u="1"/>
        <s v="HIV Self Testing - Generic Rapid Diagnostic Test Kit - 1 test" u="1"/>
        <s v="Rifapentine/Isoniazid" u="1"/>
        <s v="Other OI/STI medicines" u="1"/>
        <s v="X-ray equipment" u="1"/>
        <s v="Abbott Real Time HIV-1 (m2000sp)" u="1"/>
        <s v="Zinc sulfate 20mg dispersible tablet" u="1"/>
        <s v="Dolutegravir 50mg tablet" u="1"/>
        <s v="Data logger, reusable, electronic, wireless " u="1"/>
        <s v="HIV 1/2 - Determine HIV Combo Kit - no accessories - 100 tests" u="1"/>
        <s v="Computer-Aided Detection Software" u="1"/>
        <s v="Pyrazinamide 400mg tablet" u="1"/>
        <s v="Pyrazinamide 500mg tablet" u="1"/>
        <s v="Sysmex - Stromatolyser-FB lyse" u="1"/>
        <s v="Lancet" u="1"/>
        <s v="HIV Viral Load Test" u="1"/>
        <s v="BACTECmgIT Supplement Kit, PANTA and OADC combined vials (245124)" u="1"/>
        <s v="HIV 1+2 - INSTI HIV Antibody Test Kit - accessories included" u="1"/>
        <s v="GT-Blot 48 reagent set for DNA" u="1"/>
        <s v="GeneXpert XVI, 8 sites" u="1"/>
        <s v="Clothianidin, Deltamethrin technical grade insecticide" u="1"/>
        <s v="DDT 75% (75mg/kg)" u="1"/>
        <s v="Griseofulvin 250 mg" u="1"/>
        <s v="Disodium hydrogen phosphate (anhydrous) (Na2HPO4)" u="1"/>
        <s v="Microcentrifuge tubes" u="1"/>
        <s v="Etofenprox technical grade insecticide" u="1"/>
        <s v="Molecular Testing: Nucleic acid extraction" u="1"/>
        <s v="Sansure Biotech - Multi-type Sample DNA/RNA Extraction-Purification" u="1"/>
        <s v="Ethambutol" u="1"/>
        <s v="Microscopy: Malaria consumables" u="1"/>
        <s v="Siemens - Elisa - HIV 1+2+O - Enzygnost Integral 4" u="1"/>
        <s v="Laboratory Equipment-BACTEC MGIT 960 system" u="1"/>
        <s v="GeneXpert: Consumables" u="1"/>
        <s v="Clotrimazole 1% cream, tube" u="1"/>
        <s v="Bilirubin (direct) test kit - 546 nm - 375ml" u="1"/>
        <s v="Benzathine penicillin" u="1"/>
        <s v="DRW Samba I Viral Load Test Kit - 12 tests" u="1"/>
        <s v="Ciprofloxacin 250mg tablet" u="1"/>
        <s v="Ciprofloxacin 500mg tablet" u="1"/>
        <s v="Lightweight portable solar panel " u="1"/>
        <s v="HIV: Testing controls for other tests" u="1"/>
        <s v="Doxycycline 100mg dispersible tablet" u="1"/>
        <s v="OTHER Maintenance and Services" u="1"/>
        <s v="Phenoxymethylpenicillin 500mg tablet" u="1"/>
        <s v="Metoclopramide 10mg tablet" u="1"/>
        <s v="Sputum cup 1000 units" u="1"/>
        <s v="Metronidazole 250mg tablet 1000" u="1"/>
        <s v="Fuchsin " u="1"/>
        <s v="BACTECmgIT Calibrators (445999)" u="1"/>
        <s v="Other antimalaria medicine for prevention" u="1"/>
        <s v="Fluconazole 2mg/mL solution for parenteral inf, bag" u="1"/>
        <s v="Chlorhexidine concentrated solution 5%" u="1"/>
        <s v="Isoniazid/Rifampicin" u="1"/>
        <s v="HIV: Other Maintenance &amp; Services" u="1"/>
        <s v="Reflecting mirror for bright field microscope" u="1"/>
        <s v="Roche MagNA pure Equipment Automated extractors" u="1"/>
        <s v="Deltamethrin 5%" u="1"/>
        <s v="Terbinafine 1% cream" u="1"/>
        <s v="Pesticide application: Protective clothing" u="1"/>
        <s v="Sysmex - Cellpack" u="1"/>
        <s v="Paracetamol 500mg tablet" u="1"/>
        <s v="ThermoFisher Scientific - Applied Biosystems™ 7500 Real-Time PCR Instrument, Laptop - LS4351104" u="1"/>
        <s v="VL Testing: Consumables" u="1"/>
        <s v="Consumables: Infection prevention and control" u="1"/>
        <s v="Hexagon HIV" u="1"/>
        <s v="Slidebox plastic " u="1"/>
        <s v="X-ray film processor - darkroom" u="1"/>
        <s v="Flow Cytometry: Spare parts &amp; Accessories" u="1"/>
        <s v="Amitriptyline (as hydrochloride)" u="1"/>
        <s v="Paracetamol 250 mg" u="1"/>
        <s v="Illumina - IDT for Illumina PCR Indexes" u="1"/>
        <s v="Sealing film roll" u="1"/>
        <s v="lab consumables for entomological monitoring" u="1"/>
        <s v="Abbott Real Time HIV-1 (m24sp)" u="1"/>
        <s v="TR001-440IC - Generic HIV Charge Virale" u="1"/>
        <s v="Sofosbuvir/Velpatasvir" u="1"/>
        <s v="Syringes and needles" u="1"/>
        <s v="ThermoFisher Scientific - MicroAmp™ Fast Optical 96-Well Reaction Plate with Barcode, 0.1 mL" u="1"/>
        <s v="Tabletop filtering PCR workstation with UV light" u="1"/>
        <s v="Ceftriaxone 500mg powder for solution for parenteral injection, vial" u="1"/>
        <s v="UV transilluminator " u="1"/>
        <s v="Malaria: Other Spare parts &amp; Accessories" u="1"/>
        <s v="Raltegravir 100mg oral granules sachet" u="1"/>
        <s v="Glass beads" u="1"/>
        <s v="Itraconazole 100mg 15 capsule" u="1"/>
        <s v="GenScreen ULTRA HIV Ag-Ab" u="1"/>
        <s v="SD BIOLINE HBsAg WB – 30 tests" u="1"/>
        <s v="Abacavir/Lamivudine" u="1"/>
        <s v="Male condom 49 mm, color" u="1"/>
        <s v="Male condom 53 mm, color" u="1"/>
        <s v="Specimen container, glass" u="1"/>
        <s v="Tourniquet - synthetic rubber 1.8 x 100cm" u="1"/>
        <s v="Naloxone 0.4mg/ml solution for parenteral injection, ampoule" u="1"/>
        <s v="Lamivudine 30mg tablet" u="1"/>
        <s v="Amoxicillin 500mg capsule" u="1"/>
        <s v="Female condom, latex - ring" u="1"/>
        <s v="Sulphuric acid " u="1"/>
        <s v="TB-LAMP Training" u="1"/>
        <s v="Diagnostic consumables kit - ZN microscopy" u="1"/>
        <s v="Pipette tips - sterile, with filter, racked" u="1"/>
        <s v="Azithromycin" u="1"/>
        <s v="Space Spray (outdoor): Malathion 96.50%" u="1"/>
        <s v="Dolutegravir 5mg dispersible tablet" u="1"/>
        <s v="OTHER Medicines" u="1"/>
        <s v="Amitriptyline (as hydrochloride) 25mg tablet" u="1"/>
        <s v="AiD anti-HIV 1+2 ELISA" u="1"/>
        <s v="AccessCare Xpert" u="1"/>
        <s v="Flow Cytometry (CD4)" u="1"/>
        <s v="Malaria: Specimen collection" u="1"/>
        <s v="Auramine, phenol and ethanol denatured stain set" u="1"/>
        <s v="Bedaquiline 20mg tablet" u="1"/>
        <s v="Consumables: DBS collection" u="1"/>
        <s v="Methadone 10mg/mL oral solution, bottle" u="1"/>
        <s v="Flow cytometry analyzer (CD4): Spare parts and accessories" u="1"/>
        <s v="Consumables" u="1"/>
        <s v="MTB/RIF ULTRA Test" u="1"/>
        <s v="Lopinavir/Ritonavir 40/10mg oral granules sachet" u="1"/>
        <s v="Male condom 52 mm, contoured" u="1"/>
        <s v="Cabotegravir 200mg/mL extended-release injectable suspension" u="1"/>
        <s v="BD BBL Middlebrook 7H9 Broth with Glyerol 5ml 10 units" u="1"/>
        <s v="Cryotubes, sterile" u="1"/>
        <s v="Omeprazole 20mg capsule" u="1"/>
        <s v="Atazanavir 100mg capsule" u="1"/>
        <s v="Atazanavir 150mg capsule" u="1"/>
        <s v="Atazanavir 200mg capsule" u="1"/>
        <s v="Atazanavir 300mg capsule" u="1"/>
        <s v="Pyridoxine (vitamin B6) 100mg tablet" u="1"/>
        <s v="Pyridoxine (vitamin B6) 50 mg tablet" u="1"/>
        <s v="Naloxone 4 mg/0.1mL nasal spray" u="1"/>
        <s v="Loperamide 2mg tablet" u="1"/>
        <s v="Gloves, Surgical, Sterile, disposable, powder free, " u="1"/>
        <s v="Quinine" u="1"/>
        <s v="HIV Early Infant Diagnosis" u="1"/>
        <s v="Magnesium citrate tribasic nonahydrate" u="1"/>
        <s v="ThermoFisher Scientific - ABY™ Dye Spectral Calibration Plate for Multiplex qPCR, Fast 96-well - A24734" u="1"/>
        <s v="Sysmex - Cellpack " u="1"/>
        <s v="Amodiaquine (as HCl)+Sulf/Pyr 75mg+250/12.5mg 3+1 dispersible tab" u="1"/>
        <s v="Roche Early Infant Diagnosis Test Kit and Consumable Bundle - 48 tests" u="1"/>
        <s v="Microtube " u="1"/>
        <s v="Roche - Cobas c111 reagent disc - 27 slots" u="1"/>
        <s v="Darunavir 75mg tablet" u="1"/>
        <s v="Apron " u="1"/>
        <s v="Lens tissue - 10x15cm" u="1"/>
        <s v="Needle: 21G (green) 40mm" u="1"/>
        <s v="Determine HIV-1/2" u="1"/>
        <s v="Sputum container, plastic with lid" u="1"/>
        <s v="X-ray: Maintenance &amp; service costs" u="1"/>
        <s v="BACTEC MicroMGIT (441049)" u="1"/>
        <s v="Other labboratory reagents for HIV" u="1"/>
        <s v="Methanol (methylalcohol) " u="1"/>
        <s v="Pyrimethamine/Sulfadoxine 12.5/250mg dispersible tablet" u="1"/>
        <s v="Thermoshaker / Twincubator Molecular diagnosis: LPA" u="1"/>
        <s v="53 mm - with color - with flavor/scent - pack of 144" u="1"/>
        <s v="Auto-disable syringes with sharp injury prevention 5ml" u="1"/>
        <s v="Hepatitis B RDTs" u="1"/>
        <s v="Primaquine" u="1"/>
        <s v="Salbutamol 4mg tablet" u="1"/>
        <s v="Microtube, plastic, snap cap" u="1"/>
        <s v="49 mm - plain - pack of 144" u="1"/>
        <s v="Oral rehydration salt" u="1"/>
        <s v="Sysmex - lysing reagent (Stromatolyser WH) " u="1"/>
        <s v="VMMC kits" u="1"/>
        <s v="Sterile cooker: 5mL" u="1"/>
        <s v="LDS Needle: 21G (green) 40mm" u="1"/>
        <s v="Ampicillin" u="1"/>
        <s v="Hepatitis C RDTs" u="1"/>
        <s v="Phenoxymethylpenicillin" u="1"/>
        <s v="Flucytosine injection" u="1"/>
        <s v="Needle: 23G (blue) 30mm" u="1"/>
        <s v="Podophyllotoxin 0.5% oral solution, bottle" u="1"/>
        <s v="Truelab Duo Workstation" u="1"/>
        <s v="Sputum container, plastic 30mL" u="1"/>
        <s v="Pipette, filler" u="1"/>
        <s v="Moxifloxacin" u="1"/>
        <s v="Pyruvic acid sodium salt" u="1"/>
        <s v="Containment equipment" u="1"/>
        <s v="Needle: 26G (brown) 12mm" u="1"/>
        <s v="Molecular Testing: Thermocyclers" u="1"/>
        <s v="Becton &amp; Dickinson - BD MAX " u="1"/>
        <s v="Chloroquine" u="1"/>
        <s v="BACTECmgIT AST Carrier Set 8-tube (445993)" u="1"/>
        <s v="Pesticide application: Spare parts &amp; Accessories" u="1"/>
        <s v="Diagnostic  and consumables kit - ZN/LIGHT MICROSCOPY" u="1"/>
        <s v="OTHER Laboratory reagents" u="1"/>
        <s v="Levofloxacin 500mg, tablet" u="1"/>
        <s v="Levofloxacin 750mg, tablet" u="1"/>
        <s v="Staining Jars for Slides (5) + Rack for 12 slides" u="1"/>
        <s v="BD MAX System Installation and Training" u="1"/>
        <s v="Pipette tips, sterile, without filter" u="1"/>
        <s v="BD MAX Qualification kit " u="1"/>
        <s v="Molecular testing: Hepatitis B" u="1"/>
        <s v="Larvicide: Pyriproxyfen 2 %" u="1"/>
        <s v="GeneXpert 1-module Edge with tablet, barcode reader and auxiliary batteries GeneXpert" u="1"/>
        <s v="Nevirapine 10mg/ml oral suspension 100ml" u="1"/>
        <s v="Sysmex - Partec Cyflow Consumables Sysmex - Partec Cyflow tube " u="1"/>
        <s v="X-ray film processor -darkroom" u="1"/>
        <s v="IRS Protective Items: Face shield 7.5’’ with headband, each" u="1"/>
        <s v="Amoxicillin 500mg tablet" u="1"/>
        <s v="Molecular testing: Hepatitis C" u="1"/>
        <s v="Potassium dihydrogen phosphate" u="1"/>
        <s v="Biocentric Viral Load Test Kit and Consumable Bundle" u="1"/>
        <s v="Microscope" u="1"/>
        <s v="Surcharge/Reagent Rental" u="1"/>
        <s v="BACTECmgIT AST Carrier Set 3-tube (445945) " u="1"/>
        <s v="UV transilluminator" u="1"/>
        <s v="BD" u="1"/>
        <s v="LDS Needle: 23G (blue) 30mm" u="1"/>
        <s v="Truenat MTB 20 tests" u="1"/>
        <s v="Larvicide: Spinosad 7.48%" u="1"/>
        <s v="Tuberculin, purified protein derivative for Mantoux test " u="1"/>
        <s v="Male condom 53 mm, thin,dotted" u="1"/>
        <s v="Other approved device" u="1"/>
        <s v="Rapid Anti-HCV Test - 40 Tests" u="1"/>
        <s v="ThermoFisher Scientific - Applied Biosystems, QuantStudio 5 Real-Time, 384-well, Laptop, PCR Equipment (Research Use Only) - A28570" u="1"/>
        <s v="HIV 1+2+O - Elisa - Bio-Rad Genscreen v2 Ab" u="1"/>
        <s v="Molecular Testing: Spare parts &amp; Accessories" u="1"/>
        <s v="Glass beads " u="1"/>
        <s v="Murex HIV - 1.2.1" u="1"/>
        <s v="53 mm - plain - pack of 144" u="1"/>
        <s v="BACTECmgIT spare bar code set carrier (445959)" u="1"/>
        <s v="Clotrimazole 1% vaginal cream, tube" u="1"/>
        <s v="BD MAX Printer " u="1"/>
        <s v="First Response® Syphilis Anti-TP Card Test" u="1"/>
        <s v="Mask, Surgical, Type IIR (fluid resistant), disposable" u="1"/>
        <s v="Glecaprevir/pibrentasvir 100/40mg" u="1"/>
        <s v="Ranitidine" u="1"/>
        <s v="Tourniquet (silicone)" u="1"/>
        <s v="Para-AminoSalicylate Sod granules, 5.52g (equiv 4g PAS) sachet" u="1"/>
        <s v="Long 1mL tips with ART barrier" u="1"/>
        <s v="Roche - Cobas 4800" u="1"/>
        <s v="Isoniazid 100mg tablet" u="1"/>
        <s v="Isoniazid 200mg tablet" u="1"/>
        <s v="Isoniazid 300mg tablet" u="1"/>
        <s v="Clindamycin" u="1"/>
        <s v="First Response HCV Card Test" u="1"/>
        <s v="Rapid Anti-HCV Test - 25 Tests" u="1"/>
        <s v="Consumables: Blood collection, Other - Enter details in Comments" u="1"/>
        <s v="Sulfadoxine/Pyrimethamine" u="1"/>
        <s v="HPV vaccine" u="1"/>
        <s v="Metoclopramide" u="1"/>
        <s v="Space Spray (outdoor)" u="1"/>
        <s v="Doxorubicin 2mg/mL pegylated liposomal powder for solution for parenteral inj, vial" u="1"/>
        <s v="Emtricitabine 10mg/mL oral solution" u="1"/>
        <s v="Dolutegravir/Lamivudine/Tenofovir alafenamide 50/300/25mg tablet" u="1"/>
        <s v="Roche LightCycler 480 PCR system Thermocycler, incl. RT-PCR analyser" u="1"/>
        <s v="Ganciclovir" u="1"/>
        <s v="Nystatin 100000 IU tablet" u="1"/>
        <s v="Female condom" u="1"/>
        <s v="Metronidazole 200mg tablet" u="1"/>
        <s v="Metronidazole 250mg tablet" u="1"/>
        <s v="HIV 1+2 - OraQuick HIV Self Test - accessories included - 50 Tests" u="1"/>
        <s v="Lime glass culture tubes " u="1"/>
        <s v="Artesunate" u="1"/>
        <s v="Microscope slides" u="1"/>
        <s v="Total Protein test kit - 546 nm " u="1"/>
        <s v="HCV Immunoassay" u="1"/>
        <s v="Roche - Roche MagNA Pure 24" u="1"/>
        <s v="Storage plastic box" u="1"/>
        <s v="Linezolid 100 mg/5ml,  bottle" u="1"/>
        <s v="First Response HIV 1+2/Syphilis Combo Card Test" u="1"/>
        <s v="Alere Early Infant Diagnosis Test Kit - 10 tests" u="1"/>
        <s v="Combitips, sterile " u="1"/>
        <s v="52 mm - dotted - contoured - pack of 144" u="1"/>
        <s v="52 mm - ribbed - contoured - pack of 144" u="1"/>
        <s v="Efavirenz 200mg tablet" u="1"/>
        <s v="Efavirenz 600mg tablet" u="1"/>
        <s v="Space Spray (indoor), Space Spray (outdoor): Deltamethrin 2% (20g/L)" u="1"/>
        <s v="HIV 1+2 - OraQuick ADVANCE HIV Rapid Antibody Kit - accessories included - 25 Tests" u="1"/>
        <s v="BD - BACTECmgIT 960 (445870)" u="1"/>
        <s v="First Response HIV1+2/Syphilis Combo Card Test" u="1"/>
        <s v="Loperamide" u="1"/>
        <s v="Buprenorphine 8mg + Naloxone 2mg tablet" u="1"/>
        <s v="ThermoFisher Scientific - JUN™ Dye Spectral Calibration Plate for Multiplex qPCR, Fast 96-well - A24735" u="1"/>
        <s v="Hydrochloric acid" u="1"/>
        <s v="Syringe: centered luer tip 2.5mL" u="1"/>
        <s v="Alere Early Infant Diagnosis Test Kit - 50 tests" u="1"/>
        <s v="HIV 1/2 - Generic Differentiated Detection Rapid Diagnostic Test Kit - 1 test" u="1"/>
        <s v="Lamivudine/Tenofovir" u="1"/>
        <s v="Solid culture and DST: Media,Reagents,Antibiotics" u="1"/>
        <s v="Nevirapine" u="1"/>
        <s v="Erythromycin" u="1"/>
        <s v="Sysmex - Partec Cyflow hypochlorite solution" u="1"/>
        <s v="Abacavir/Lamivudine 120/60mg dispersible tablet" u="1"/>
        <s v="GeneXpert ULTRA Cartridge 50" u="1"/>
        <s v="Lactulose (as liquid)" u="1"/>
        <s v="Malaria EQA: consumables" u="1"/>
        <s v="Sysmex - Partec Cyflow tube " u="1"/>
        <s v="GeneXpert II, Satellite, 2 sites - 10 color" u="1"/>
        <s v="Larvicide: Temephos 1%" u="1"/>
        <s v="Electronic drop counter for IV fluids " u="1"/>
        <s v="polyurethane" u="1"/>
        <s v="Auto-disable syringes with sharp injury prevention," u="1"/>
        <s v="Bleomycin 15 USP units - 15,0000 IU powder for injection - 1 vial" u="1"/>
        <s v="GenoLyse V 1.0" u="1"/>
        <s v="Sequencing: Analyzers" u="1"/>
        <s v="Lab quality control reagents" u="1"/>
        <s v="BACTECmgIT 960 AST transport rack - 445942" u="1"/>
        <s v="Sequencing: Reagents" u="1"/>
        <s v="Paracetamol 100 mg" u="1"/>
        <s v="ThermoFisher Scientific - MicroAmp™ Optical" u="1"/>
        <s v="TB Microscopy: Maintenance &amp; Services" u="1"/>
        <s v="Benchtop Centrifuge" u="1"/>
        <s v="Folic acid 5mg tablet" u="1"/>
        <s v="STANDARD Q HCV Ab Test" u="1"/>
        <s v="9001772 - careHPV Test System" u="1"/>
        <s v="HIV Ab &amp; Ag Elisa" u="1"/>
        <s v="Malaria Rapid Diagnostic Test Kit - Pf only" u="1"/>
        <s v="TB medicines for Prevention (DR-TB)" u="1"/>
        <s v="TB-LAMP Maintenance" u="1"/>
        <s v="Labels for cryovials" u="1"/>
        <s v="Alcohol swabs" u="1"/>
        <s v="Roche - Cobas 8800" u="1"/>
        <s v="Sputum container, plastic 40mL" u="1"/>
        <s v="Rifampicin 1g " u="1"/>
        <s v="Entecavir 1mg single-scored tablet" u="1"/>
        <s v="Molecular Testing: Maintenance &amp; Services" u="1"/>
        <s v="Primaquine 7.5mg (as base) tablet" u="1"/>
        <s v="Rapid Diagnostic Test - Syphilis" u="1"/>
        <s v="Chlorphenamine maleate 4mg tablet" u="1"/>
        <s v="Amphotericin b liposomal 50mg for injection - 1 vial" u="1"/>
        <s v="Sysmex - Partec Cyflow Consumables Sysmex - Partec Cyflow decontamination solution" u="1"/>
        <s v="Omeprazole" u="1"/>
        <s v="HIV 1&amp;2 Ab cut-off " u="1"/>
        <s v="Permethrin 5% cream" u="1"/>
        <s v="Ethambutol 100mg dispersible tablet" u="1"/>
        <s v="Cefixime 200mg tablet" u="1"/>
        <s v="Cefixime 400mg tablet" u="1"/>
        <s v="Naloxone 4mg/0.1mL nasal spray" u="1"/>
        <s v="Determine TB LAM Ag Test, 100 test/kit" u="1"/>
        <s v="Liquid culture and DST-Other reagents (not consumables)" u="1"/>
        <s v="Para-nitrobenzoic acid" u="1"/>
        <s v="&quot;DIAQUICK&quot; HIV Plus WB" u="1"/>
        <s v="Erythromycin 250mg/5mL powder for oral solution,  bottle" u="1"/>
        <s v="Valaciclovir 500mg tablet" u="1"/>
        <s v="Roche - Cobas c111 ISE sodium (Na) electrode" u="1"/>
        <s v="Abbott - Hepatitis B - Elisa -  HBsAg  - 96 tests" u="1"/>
        <s v="Harm reduction: consumables" u="1"/>
        <s v="Other antimalaria medicine for treatment" u="1"/>
        <s v="Griseofulvin 125mg/5 ml" u="1"/>
        <s v="Sysmex -  XN-" u="1"/>
        <s v="Syringe: off-set luer tip 10mL" u="1"/>
        <s v="Microscope slides, frosted end - 76x24mm" u="1"/>
        <s v="Roche - COBAS OMNI " u="1"/>
        <s v="INSTI® HIV Self Test" u="1"/>
        <s v="Flow Cytometry: Consumables" u="1"/>
        <s v="Primaquine 7.5mg (as base) (equivalent to 13.2mg Primaquine Phosphate)" u="1"/>
        <s v="Borosilicate glass culture tubes 12 mL with screw caps" u="1"/>
        <s v="Ziehl Neelsen counterstaining solution" u="1"/>
        <s v="Ziehl Neelsen decolourisation solution" u="1"/>
        <s v="Abbott Viral Load Test Kit and Consumable Bundle - Plasma - 96 tests" u="1"/>
        <s v="Rifampicin 150mg tablet" u="1"/>
        <s v="Rifampicin 300mg tablet" u="1"/>
        <s v="Clofazimine 1g" u="1"/>
        <s v="HCV - Generic Rapid Diagnostic Test Kit - 1 test" u="1"/>
        <s v="52 mm - contoured - pack of 144" u="1"/>
        <s v="Pregnancy RDTs" u="1"/>
        <s v="MERISCREEN HIV 1-2 WB" u="1"/>
        <s v="Chlorhexidine digluconate 7.1% solution" u="1"/>
        <s v="Hologic Viral Load Test Kit" u="1"/>
        <s v="Ombitasvir/paritaprevir/ritonavir 12.5/75/50mg" u="1"/>
        <s v="Dihydroartemisinin/Piperaquine 20/160mg dispersible tablet" u="1"/>
        <s v="Dihydroartemisinin/Piperaquine 30/240mg dispersible tablet" u="1"/>
        <s v="Dihydroartemisinin/Piperaquine 40/320mg dispersible tablet" u="1"/>
        <s v="Malaria Waste management: Reagents" u="1"/>
        <s v="Malaria: Other laboratory reagents" u="1"/>
        <s v="Vector control equipment for purposes other than IRS" u="1"/>
        <s v="RDTs for Malaria" u="1"/>
        <s v="BD - FACSPresto" u="1"/>
        <s v="200305 * - NucliSENS EasyQ HIV-1 V2.0  (Semi Automated)" u="1"/>
        <s v="Amoxicillin" u="1"/>
        <s v="Blood collection needle" u="1"/>
        <s v="Efavirenz/Lamivudine/Tenofovir" u="1"/>
        <s v="Roche - Elecsys HIV Combi PT" u="1"/>
        <s v="Roche - warranty extension" u="1"/>
        <s v="NucliSENS EasyQ HIV-1 V2.0  (Semi Automated)" u="1"/>
        <s v="Podophyllotoxin" u="1"/>
        <s v="Microscope slides, frosted end - 76x25mm" u="1"/>
        <s v="Larvicide: Bacillus thuringiensis subsp. Israelensis strain AM65-52 2.8% - 200 ITU/mg " u="1"/>
        <s v="Larvicide: PDMS (Polydimethylsiloxane) 78-89%" u="1"/>
        <s v="B235330AQUIOS Tetra‐1" u="1"/>
        <s v="Pyrimethamine/Sulfadoxine 25/500mg" u="1"/>
        <s v="Determine TB LAM Ag Test" u="1"/>
        <s v="Illumina - NextSeq 500/550" u="1"/>
        <s v="Xpert MTB/RIF ULTRA Cartridge" u="1"/>
        <s v="Sofosbuvir/Ledipasvir 400mg/90mg tablet" u="1"/>
        <s v="Potassium chloride 10% solution for parenteral injection, ampoule" u="1"/>
        <s v="DR-TB medicines" u="1"/>
        <s v="Xpert HPV kit, 1 test" u="1"/>
        <s v="Microcentrifuge with Rotor capacity" u="1"/>
        <s v="Artesunate+Sulfadoxine/Pyrimethamine 50mg+500/25mg" u="1"/>
        <s v="Lancets" u="1"/>
        <s v="Malaria Rapid Diagnostic Test Kit - Pf only,- HRP2" u="1"/>
        <s v="HIV: Biosafety consumables" u="1"/>
        <s v="Equipment for IRS" u="1"/>
        <s v="Determine Chase buffer " u="1"/>
        <s v="CRP: Reagents" u="1"/>
        <s v="IRS sprayer spare parts" u="1"/>
        <s v="Syringe: off-set luer tip 5mL" u="1"/>
        <s v="Bleomycin 15000 IU lpowder for solution for injection, vial" u="1"/>
        <s v="Genscreen HIV-1 Ag Assay" u="1"/>
        <s v="Amoxicillin/Clavulanic acid 500/125mg tablet" u="1"/>
        <s v="Amoxicillin/Clavulanic acid 875/125mg tablet" u="1"/>
        <s v="Fluconazole" u="1"/>
        <s v="Spare Parts/accessories" u="1"/>
        <s v="Proficiency testing panels" u="1"/>
        <s v="HIV 1+2 - Determine HIV Kit - no accessories - 100 tests" u="1"/>
        <s v="Nystatin 100000 IU vaginal tablet" u="1"/>
        <s v="Isoniazid/Rifampicin 75/150mg tablet" u="1"/>
        <s v="Sysmex - Sulfolyser hemoglobin lysing" u="1"/>
        <s v="Glycerin/Glycerol " u="1"/>
        <s v="Etofenprox 20% (200 g/kg)" u="1"/>
        <s v="Wooden applicator sticks 150 mm " u="1"/>
        <s v="HIV 1+2 - Determine HIV Kit" u="1"/>
        <s v="SD Bioline 3.0 Syphilis rapid Test" u="1"/>
        <s v="Artesunate + Pyr/Sulf 100mg + 25/500mg" u="1"/>
        <s v="Buprenorphine 2mg + Naloxone 0.5mg tablet" u="1"/>
        <s v="Diphenhydramine" u="1"/>
        <s v="Seegene - STARMag 96x4 " u="1"/>
        <s v="Laboratory Equipment-BACTEC MGIT" u="1"/>
        <s v="Female condom, nitrile, color" u="1"/>
        <s v="Suitcase" u="1"/>
        <s v="Pyrethroid-only ITN Conical" u="1"/>
        <s v="Artesunate/Mefloquine 25/50mg" u="1"/>
        <s v="Rifampicin 1g" u="1"/>
        <s v="Molecular diagnosis: LPA-Chemicals" u="1"/>
        <s v="Data logger, Single use" u="1"/>
        <s v="Other supportive medicines" u="1"/>
        <s v="Capreomycin 1g" u="1"/>
        <s v="HIV Self Testing - Generic Rapid Diagnostic Self Test Kit" u="1"/>
        <s v="Slidebox plastic - 76x26mm" u="1"/>
        <s v="Alcohol-based hand rubSolution" u="1"/>
        <s v="Ethionamide 5g " u="1"/>
        <s v="Rifampicin 150mg capsule" u="1"/>
        <s v="Rifampicin 300mg capsule" u="1"/>
        <s v="GeneXpert II, 1 site" u="1"/>
        <s v="Coulter" u="1"/>
        <s v="Proguanil 100mg tablet" u="1"/>
        <s v="BD MAX Software package (443584)" u="1"/>
        <s v="Ethambutol/Isoniazid/Pyrazinamide/Rifampicin" u="1"/>
        <s v="&quot;DIAQUICK&quot; HIV Plus" u="1"/>
        <s v="Truelab Quattro Workstation" u="1"/>
        <s v="Ziehl Neelsen stain solution" u="1"/>
        <s v="HIV EQA: consumables" u="1"/>
        <s v="ThermoFisher Scientific - TaqMan™ RNase P Instrument Verification Plate for 7300/7500 Systems, 96-well - 4350584" u="1"/>
        <s v="Abacavir 300mg tablet" u="1"/>
        <s v="Other TB medicine for TB Prevention" u="1"/>
        <s v="Microscope slides, tropical pack - 76x25mm" u="1"/>
        <s v="Zinc sulfate" u="1"/>
        <s v="HIV 1+2 - SD Bioline Ag/Ab Combo Kit" u="1"/>
        <s v="Pregnancy test" u="1"/>
        <s v="EXACTO©  TEST HIV DUO" u="1"/>
        <s v="Roche - Cobas c111 lamp halogn 12V/20W" u="1"/>
        <s v="ABON HIV 1/2/O Tri-Line HIV Rapid Test, Device" u="1"/>
        <s v="Floating test tube rack" u="1"/>
        <s v="Amodiaquine/Artesunate 270/100mg tablet" u="1"/>
        <s v="Amodiaquine/Artesunate 67.5/25mg tablet" u="1"/>
        <s v="Quinine 300mg" u="1"/>
        <s v="Doxycycline (as hyclate) 100mg tablet" u="1"/>
        <s v="NucliSENS EasyQ HIV-1 V2.0 (Automated)" u="1"/>
        <s v="Metronidazole 5mg/mL oral solution, bottle" u="1"/>
        <s v="Paracetamol 125mg/5mL oral solution" u="1"/>
        <s v="apDia HIV Ab &amp; Ag Elisa" u="1"/>
        <s v="Automated bacterial identification and AST" u="1"/>
        <s v="OTHER Consumables" u="1"/>
        <s v="Methadone 10mg tablet" u="1"/>
        <s v="Methadone 25mg tablet" u="1"/>
        <s v="Auramine counterstaining solution " u="1"/>
        <s v="Male condom 49 mm, scent" u="1"/>
        <s v="Male condom 53 mm, scent" u="1"/>
        <s v="Mobile fluoroscopic x-ray system, analogue" u="1"/>
        <s v="IRS Protective Items: Chemical protective gloves, 1 pair" u="1"/>
        <s v="Efavirenz" u="1"/>
        <s v="Hematology reagents" u="1"/>
        <s v="Cap,surgical,bouffant,non-woven" u="1"/>
        <s v="Stand for 8-channel pipettes" u="1"/>
        <s v="Immunoassays: HIV" u="1"/>
        <s v="CAD Software " u="1"/>
        <s v="PCR tubes" u="1"/>
        <s v="Rapid Diagnostic Test - TB" u="1"/>
        <s v="dummy9" u="1"/>
        <s v="Tuberculin, purified protein derivative for Mantoux test" u="1"/>
        <s v="Water for injection, ampoule" u="1"/>
        <s v="Consumables for entomological monitoring" u="1"/>
        <s v="Sofosbuvir + Daclatasvir 400mg + 60mg tablets" u="1"/>
        <s v="DRW Samba II Early Infant Diagnosis Test Kit - 12 tests" u="1"/>
        <s v="Sterile culture tubes " u="1"/>
        <s v="Isoniazid/Pyridoxine hydrochloride/Sulfamethoxazole/Trimethoprim 300/25/800/160mg tablet" u="1"/>
        <s v="Betamethasone 0.1% cream" u="1"/>
        <s v="Syringe: off-set luer tip 20mL" u="1"/>
        <s v="Microscope " u="1"/>
        <s v="Paracetamol 120mg/5mL oral solution, bottle" u="1"/>
        <s v="Aptima HIV-1 Quant Dx Assay Kit (Panther System)" u="1"/>
        <s v="Erythromycin 125mg / 5mL, Powder for oral suspension, bottle " u="1"/>
        <s v="Warranty Extension" u="1"/>
        <s v="PPE" u="1"/>
        <s v="Immunoassays: Hepatitis B" u="1"/>
        <s v="Amoxicillin 120mg" u="1"/>
        <s v="BD MAX Cable Printer" u="1"/>
        <s v="OTHER Spare parts &amp; Accessories" u="1"/>
        <s v="Consumables: Laboratory Other" u="1"/>
        <s v="Cepheid Viral Load Test Kit - 10 tests" u="1"/>
        <s v="Artesunate 120mg powder for solution for injection" u="1"/>
        <s v="Auramine O" u="1"/>
        <s v="Female condom, latex, ring, fragrance" u="1"/>
        <s v="TB-LAMP" u="1"/>
        <s v="EXACTO© TEST HIV" u="1"/>
        <s v="Levofloxacin 1g" u="1"/>
        <s v="dummy7" u="1"/>
        <s v="Sysmex - Partec Cyflow CD4% easy count kit " u="1"/>
        <s v="Bendiocarb 80%" u="1"/>
        <s v="FluoroCycler XT: Equipment" u="1"/>
        <s v="GeneXpert Remote Calibration Kit" u="1"/>
        <s v="BACTECmgIT Moxifloxacin (215349)" u="1"/>
        <s v="Malaria Surveillance: Malaria RDTs" u="1"/>
        <s v="Larvicide: Spinosad 8.33%" u="1"/>
        <s v="Blood collection needle + syringe insuline" u="1"/>
        <s v="Sodium chloride 0.9% solution for infusion" u="1"/>
        <s v="Ethionamide 125mg dispersible tablet" u="1"/>
        <s v="Sofosbuvir/Velpatasvir 400mg/100mg tablet" u="1"/>
        <s v="Lightweight portable solar panel" u="1"/>
        <s v="Male condom 53 mm, violet color, ribbed" u="1"/>
        <s v="Povidone-iodine 10% topical solution, bottle" u="1"/>
        <s v="Azithromycin 250mg tablet" u="1"/>
        <s v="Azithromycin 500mg tablet" u="1"/>
        <s v="DIAQUICK HIV 1&amp;2 Ab Cassette" u="1"/>
        <s v="BD MAX Rack Assay Locking Blue racks " u="1"/>
        <s v="Harm reduction: Overdose prevention" u="1"/>
        <s v="C-Reactive Protein, reagents for laboratory use" u="1"/>
        <s v="Roche - MagNa Pure 24" u="1"/>
        <s v="Loratidine 10mg tablet" u="1"/>
        <s v="GeneXpert XVI, 16 sites" u="1"/>
        <s v="Xpert HIV-1 Viral Load Cartridge" u="1"/>
        <s v="BD MAX MDR TB Assay kit" u="1"/>
        <s v="Apron,protection,plastic,reusable " u="1"/>
        <s v="Doxycycline 100 mg" u="1"/>
        <s v="GeneXpert Infinity-48 instrument" u="1"/>
        <s v="GeneXpert Infinity-80 instrument" u="1"/>
        <s v="TB Cat I+III Patient Kit A " u="1"/>
        <s v="Dapsone 100mg tablet" u="1"/>
        <s v="Molecular Testing: Liquid handling systems" u="1"/>
        <s v="CAD Software" u="1"/>
        <s v="Flow Cytometry: Reagents" u="1"/>
        <s v="TB Cat I+III Patient Kit A" u="1"/>
        <s v="dummy5" u="1"/>
        <s v="Electronic drop counter, IV fluids" u="1"/>
        <s v="Artesunate 100mg" u="1"/>
        <s v="Malaria Rapid Diagnostic Test Kit - Pf only, pLDH" u="1"/>
        <s v="Zidovudine" u="1"/>
        <s v="Valaciclovir 500 mg" u="1"/>
        <s v="Amphotericin B deoxycholate 50mg powder for solution for inj." u="1"/>
        <s v="Handheld analyzers" u="1"/>
        <s v="Fluconazole 50mg capsule 100" u="1"/>
        <s v="Rifapentine/Isoniazid 300/300mg tablet 36 blister" u="1"/>
        <s v="280130 - NucliSENS EasyQ HIV-1 V2.0  (Automated)" u="1"/>
        <s v="Ritonavir 100mg tablet" u="1"/>
        <s v="HIV 1+2 - Stat-Pak Dipstick Assay Kit - accessories included - 30 tests" u="1"/>
        <s v="GenoType NTM-DR V1.0" u="1"/>
        <s v="Chloroquine 250mg as phosphate (155mg as base) tablet" u="1"/>
        <s v="HBV Viral load  test" u="1"/>
        <s v="Minicentrifuge" u="1"/>
        <s v="Bioline HIV/Syphilis Duo" u="1"/>
        <s v="Abbott Viral Load Test Kit and Consumable Bundle - Plasma" u="1"/>
        <s v="Metronidazole 5mg/mL, Solution for injection, bottle" u="1"/>
        <s v="DNA extraction, amplification, isolation, purification, detection and sequencing analyzers" u="1"/>
        <s v="Roche - Roche MagNA Pure 96" u="1"/>
        <s v="Benzathine penicillin 2.4 MIU powder for suspension for injection, vial" u="1"/>
        <s v="Hematology or biochemistry analyzers" u="1"/>
        <s v="dummy3" u="1"/>
        <s v="Multi-use data logger" u="1"/>
        <s v="Murex HIV Ag/Ab Combination" u="1"/>
        <s v="Samples Collection" u="1"/>
        <s v="GeneXpert module" u="1"/>
        <s v="Seegene - STARMag 96x4 Viral DNA/RNA 200C" u="1"/>
        <s v="TB medicines for Prevention (DS-TB)" u="1"/>
        <s v="Genoscholar PZA-TB II" u="1"/>
        <s v="ARCHITECT HIV Ag/Ab Combo Reagent Kit (CLIA)" u="1"/>
        <s v="Pyrimethamine 25mg tablet" u="1"/>
        <s v="Pyrimethamine 50mg tablet" u="1"/>
        <s v="Prednisolone" u="1"/>
        <s v="Raltegravir" u="1"/>
        <s v="Ethambutol 100mg tablet" u="1"/>
        <s v="Ethambutol 250mg tablet" u="1"/>
        <s v="Ethambutol 400mg tablet" u="1"/>
        <s v="Ethambutol 500mg tablet" u="1"/>
        <s v="Hepatitis C - Anti-HCV - Rapid Diagnostic Test" u="1"/>
        <s v="Clearing agent for mounting media" u="1"/>
        <s v="Cryptococcus Antigen Latex lateral flow assay, 50 test/kit" u="1"/>
        <s v="MTB/MPT64 identification - Rapid test" u="1"/>
        <s v="Pipette, adjustable " u="1"/>
        <s v="Harm reduction: Wound care" u="1"/>
        <s v="Abacavir/Dolutegravir/Lamivudine 600/50/300mg tablet" u="1"/>
        <s v="TB molecular diagnosis" u="1"/>
        <s v="Sterile cooker: 2.5mL" u="1"/>
        <s v="Alere - PIMA Consumables" u="1"/>
        <s v="Blood collection needle + insulin syringe " u="1"/>
        <s v="Sofosbuvir" u="1"/>
        <s v="Moxifloxacin 100mg dispersible tablet" u="1"/>
        <s v="Etravirine 100mg tablet" u="1"/>
        <s v="Etravirine 200mg tablet" u="1"/>
        <s v="Larvicide: Bacillus thuringiensis subsp. Israelensis strain AM65-52 37.4% - 3000 ITU/mg" u="1"/>
        <s v="dummy1" u="1"/>
        <s v="Pyrazinamide" u="1"/>
        <s v="Sysmex - Cell Pack" u="1"/>
        <s v="Sysmex XN " u="1"/>
        <s v="Tenofovir 300mg tablet" u="1"/>
        <s v="Griseofulvin 125mg tablet" u="1"/>
        <s v="Griseofulvin 250mg tablet" u="1"/>
        <s v="Larvicide: Spinosad 0.50%" u="1"/>
        <s v="Di-Sodium hydrogen phosphate" u="1"/>
        <s v="Roche - MagNA Pure 96" u="1"/>
        <s v="TrueNat" u="1"/>
        <s v="Basic fuchsin " u="1"/>
        <s v="HIV: Specimen collection" u="1"/>
        <s v="Flow cytometry analyzer (CD4)" u="1"/>
        <s v="Generic HIV Charge Virale" u="1"/>
        <s v="Para-AminoSalicylate Sod granules, sachet" u="1"/>
        <s v="Griseofulvin 125mg" u="1"/>
        <s v="Abacavir/Lamivudine/Zidovudine 60/30/60mg tablet" u="1"/>
        <s v="Zidovudine 10mg/mL injection for infusion, ampoule" u="1"/>
        <s v="Clofazimine 100mg tablet" u="1"/>
        <s v="Moxifloxacin 400mg tablet" u="1"/>
        <s v="Doxycycline (as hyclate)" u="1"/>
        <s v="HBV Viral Load Test" u="1"/>
        <s v="Hematology or biochemistry reagents: Sysmex" u="1"/>
        <s v="Ciprofloxacin" u="1"/>
        <s v="Pipette, adjustable" u="1"/>
        <s v="Lambda-Cyhalothrin technical grade insecticide" u="1"/>
        <s v="Atazanavir" u="1"/>
        <s v="Harm reduction: syringes &amp; needles" u="1"/>
        <s v="TB-LAMP Loop-Mediated Isothermal Amplification" u="1"/>
        <s v="Ceftriaxone 1g powder for solution for parenteral injection, vial" u="1"/>
        <s v="Malaria Rapid Diagnostic Test Kit - Pf only, HRP2/pLDH" u="1"/>
        <s v="Wondfo HIV Self-Test" u="1"/>
        <s v="Sofosbuvir+Daclatasvir" u="1"/>
        <s v="Other-opioid substitute medicine" u="1"/>
        <s v="Ombitasvir/paritaprevir/ritonavir 12.5/75/50mg tablet" u="1"/>
        <s v="Vitamin B-6 (pyridoxine as hydrochloride) 25mg tablet 100" u="1"/>
        <s v="Pipette adjustable " u="1"/>
        <s v="Amikacin" u="1"/>
        <s v="Levofloxacin" u="1"/>
        <s v="Permethrin 1% lotion" u="1"/>
        <s v="Cotton wick for spirit lamp 10 cm" u="1"/>
        <s v="Multi-drug test kit" u="1"/>
        <s v="Triglycerides (GPO) kit" u="1"/>
        <s v="Artesunate + Pyr/Sulf 100mg + 25/500mg " u="1"/>
        <s v="Lamivudine/Tenofovir 300/300mg tablet" u="1"/>
        <s v="FPP2/N95" u="1"/>
        <s v="Toyo Anti-HIV 1/2" u="1"/>
        <s v="Artesunate 30mg powder" u="1"/>
        <s v="Artesunate 60mg powder" u="1"/>
        <s v="Reagents for genomic sequencing" u="1"/>
        <s v="Procaine penicillin 1MIU powder for suspension for injection" u="1"/>
        <s v="Procaine penicillin 3MIU powder for suspension for injection" u="1"/>
        <s v="Nicotinic acid amide 100g " u="1"/>
        <s v="VITROS Immunodiagnostic Products HIV Combo Reagent Pack" u="1"/>
        <s v="Medicines: OIs" u="1"/>
        <s v="BD MAX Windows 10 Image Key (443436)" u="1"/>
        <s v="dummy90" u="1"/>
        <s v="Freezer" u="1"/>
        <s v="dummy91" u="1"/>
        <s v="Sysmex - Partec Cyflow" u="1"/>
        <s v="ThermoFisher Scientific - 7500 Fast Real-Time PCR Systems" u="1"/>
        <s v="dummy92" u="1"/>
        <s v="BACTECmgIT QC Temperature Tube (445872)" u="1"/>
        <s v="Gloves, Examination, non-sterile, disposable, powder free, Latex" u="1"/>
        <s v="Gauze compress" u="1"/>
        <s v="Alpha-cypermethrin 9.6%" u="1"/>
        <s v="INSTI HIV-1/2 Antibody Test Kit" u="1"/>
        <s v="Ceftriaxone 250mg powder for solution for parenteral injection" u="1"/>
        <s v="GeneXpert II, Satellite, 1 site - 10 color" u="1"/>
        <s v="GeneXpert IV, Satellite, 2 sites, 10 color" u="1"/>
        <s v="GeneXpert IV, Satellite, 4 sites, 10 color" u="1"/>
        <s v="dummy93" u="1"/>
        <s v="Abbott Real Time HIV-1 (Manual)" u="1"/>
        <s v="Roche - Cobas c111 ISE reference solution 2x115ml" u="1"/>
        <s v="dummy94" u="1"/>
        <s v="Abacavir 20mg/mL oral solution" u="1"/>
        <s v="Roche - Cobas c111 Total Protein gen.2 - 400 tests" u="1"/>
        <s v="Dolutegravir/Lamivudine/Tenofovir" u="1"/>
        <s v="dummy95" u="1"/>
        <s v="Hematology or biochemistry reagents: Roche - Cobas c111" u="1"/>
        <s v="Tenofovir" u="1"/>
        <s v="Fumigation kit for HPV " u="1"/>
        <s v="Fingertip Pulse oximeter, battery-powered,with access" u="1"/>
        <s v="Larvicide: Spinosad 20.62% (240 g/L)" u="1"/>
        <s v="dummy96" u="1"/>
        <s v="BACTECmgIT AST Carrier Set 8-tube (445993) " u="1"/>
        <s v="Larvicide: Bacillus sphaericus strain ABTS-1743, Bacillus thuringiensis subsp. Israelensis strain AM65-52 4.5% (45g/kg) Bti; 2.7% (27g/kg) Bsph - 50 ITU/mg" u="1"/>
        <s v="Cookers" u="1"/>
        <s v="dummy97" u="1"/>
        <s v="WT-1196 - WANTAI TB-IGRA" u="1"/>
        <s v="BACTEC Air Filters, rectangular (445888)" u="1"/>
        <s v="Azithromycin 200mg/5mL powder for oral suspension" u="1"/>
        <s v="Therapeutic food products" u="1"/>
        <s v="Methadone 5mg/mL oral solution" u="1"/>
        <s v="dummy98" u="1"/>
        <s v="Loratidine 1mg/mL oral solution" u="1"/>
        <s v="dummy70" u="1"/>
        <s v="Bioline HBsAg WB" u="1"/>
        <s v="SAMBA II HIV-1 Qual Whole Blood Test" u="1"/>
        <s v="dummy99" u="1"/>
        <s v="dummy71" u="1"/>
        <s v="IPC: Disinfectants" u="1"/>
        <s v="Humaloop T" u="1"/>
        <s v="dummy72" u="1"/>
        <s v="HIV 1+2 - Determine Complete HIV Kit" u="1"/>
        <s v="MULTIBLOT NS-4800 Molecular diagnosis: LPA" u="1"/>
        <s v="Larvicide: Diflubenzuron 25% (250 g/kg)" u="1"/>
        <s v="Molecular Testing: Spare parts and accessories" u="1"/>
        <s v="dummy73" u="1"/>
        <s v="Cimetidine" u="1"/>
        <s v="Paracetamol 120mg/5ml oral solution 60ml" u="1"/>
        <s v="BACTECmgIT 320 System - 441743 (including 440107 + 445941)" u="1"/>
        <s v="Basic fuchsin" u="1"/>
        <s v="dummy74" u="1"/>
        <s v="Phenol crystals " u="1"/>
        <s v="Alpha-cypermethrin 5%" u="1"/>
        <s v="dummy75" u="1"/>
        <s v="BD MAX Cable Printer " u="1"/>
        <s v="Chloroquine 250mg as phosphate/sulfate (155mg as base" u="1"/>
        <s v="Daclatasvir" u="1"/>
        <s v="Sample collection for HIV" u="1"/>
        <s v="Rifampicin 20mg/mL granules for oral suspension, bottle" u="1"/>
        <s v="dummy76" u="1"/>
        <s v="Isoniazid/Pyridoxine hydrochloride/Sulfamethoxazole/Trimethoprim" u="1"/>
        <s v="Hydrocortisone 1% cream, tube" u="1"/>
        <s v="Lactulose (as liquid) 667mg/mL syrup, bottle" u="1"/>
        <s v="Ofloxacin 10g " u="1"/>
        <s v="dummy77" u="1"/>
        <s v="Reagent bottles - various sizes" u="1"/>
        <s v="Genie Fast HIV 1/2" u="1"/>
        <s v="dummy78" u="1"/>
        <s v="dummy50" u="1"/>
        <s v="Bendiocarb 10%" u="1"/>
        <s v="Primaquine 15mg (as base) (equivalent to 26.4mg Primaquine Phosphate)" u="1"/>
        <s v="m-PIMA HIV-1/2 VL" u="1"/>
        <s v="dummy79" u="1"/>
        <s v="dummy51" u="1"/>
        <s v="IRS-Insecticides" u="1"/>
        <s v="Truelab Uno Dx: Equipment" u="1"/>
        <s v="GeneXpert XVI, Warranty Extension" u="1"/>
        <s v="Space Spray (indoor), Space Spray (outdoor): Imidacloprid, Prallethrin 0.75% Prallethrin; 3% Imidacloprid" u="1"/>
        <s v="dummy52" u="1"/>
        <s v="Sterile cryovials" u="1"/>
        <s v="individual sterilized peel-off pack" u="1"/>
        <s v="Amoxicillin/Clavulanic acid 125mg/31.25mg/5mL powder for oral solution" u="1"/>
        <s v="Alinity m HIV-1" u="1"/>
        <s v="GeneXpert II, 2 sites" u="1"/>
        <s v="GeneXpert IV, 2 sites" u="1"/>
        <s v="dummy53" u="1"/>
        <s v="Ganciclovir 500mg powder for solution for parenteral inj,  vial" u="1"/>
        <s v="Ethambutol/Isoniazid/Rifampicin 275/75/150mg tablet" u="1"/>
        <s v="Pyridoxine (vitamin B6) 25mg tablet" u="1"/>
        <s v="Pyridoxine (vitamin B6) 50mg tablet" u="1"/>
        <s v="dummy54" u="1"/>
        <s v="Streptomycin" u="1"/>
        <s v="BD - Multicheck" u="1"/>
        <s v="Sharps Container " u="1"/>
        <s v="dummy55" u="1"/>
        <s v="SAMBA I HIV-1 Qual Whole Blood Test" u="1"/>
        <s v="ThermoFisher Scientific - ABY™ Dye Spectral" u="1"/>
        <s v="ThermoFisher Scientific - JUN™ Dye Spectral" u="1"/>
        <s v="Auramine O " u="1"/>
        <s v="dummy56" u="1"/>
        <s v="ARVs (Treatment - adult formulations)" u="1"/>
        <s v="Roche - COBAS OMNI" u="1"/>
        <s v="dummy57" u="1"/>
        <s v="Sysmex -  XN " u="1"/>
        <s v="SIide-holding forceps" u="1"/>
        <s v="ThermoFisher Scientific - 96-Well Fast TaqMan™" u="1"/>
        <s v="dummy58" u="1"/>
        <s v="dummy30" u="1"/>
        <s v="Pipette pasteur " u="1"/>
        <s v="Darunavir/Ritonavir" u="1"/>
        <s v="Lubricant 10 mL, water based" u="1"/>
        <s v="Lubricant 40 mL, water based" u="1"/>
        <s v="Lubricant 50 mL, water based" u="1"/>
        <s v="Syringe: LDS centered luer tip 1mL" u="1"/>
        <s v="ThermoFisher Scientific - KingFisher 96 deep-well plate, v-bottom, polypropylene" u="1"/>
        <s v="96 Deep Well Plates" u="1"/>
        <s v="dummy59" u="1"/>
        <s v="Medicines: Cryptococcal meningitis" u="1"/>
        <s v="dummy31" u="1"/>
        <s v="Ethionamide 125mg tablet" u="1"/>
        <s v="Ethionamide 250mg tablet" u="1"/>
        <s v="Disposable inoculation loops" u="1"/>
        <s v="Lamivudine/Zidovudine 150/300mg tablet" u="1"/>
        <s v="Syphilis - Generic Rapid Diagnostic Test Kit - 1 test" u="1"/>
        <s v="Amphotericin b deoxycholate 50mg for injection - 1 vial" u="1"/>
        <s v="HIV 1+2 - Generic Combined DetectionRapid Diagnostic Test Kit" u="1"/>
        <s v="dummy32" u="1"/>
        <s v="MTB/RIF/INH Test" u="1"/>
        <s v="GeneXpert IV, 4 sites" u="1"/>
        <s v="BD BBL Middlebrook 7H9 Broth with Glyerol 5mL" u="1"/>
        <s v="dummy33" u="1"/>
        <s v="IPC: Consumables" u="1"/>
        <s v="dummy34" u="1"/>
        <s v="Sulfamethoxazole/Trimethoprim 800/160mg tablet" u="1"/>
        <s v="Face shield, disp - Piece" u="1"/>
        <s v="ThermoFisher Scientific - KingFisher 96 Tip Como" u="1"/>
        <s v="Boots, rubber/PVC, reusable" u="1"/>
        <s v="Artesunate+Sulfadoxine/Pyrimethamine" u="1"/>
        <s v="dummy35" u="1"/>
        <s v="Isoniazid/Rifampicin 150/300mg tablet" u="1"/>
        <s v="Darunavir 150mg tablet" u="1"/>
        <s v="Darunavir 400mg tablet" u="1"/>
        <s v="Darunavir 600mg tablet" u="1"/>
        <s v="dummy36" u="1"/>
        <s v="Abacavir/Lamivudine 120/60mg double-scored disperisble tablet" u="1"/>
        <s v="Abacavir/Lamivudine 120/60mg double-scored dispersible tablet" u="1"/>
        <s v="Abacavir/Lamivudine 120/60mg single-scored disperisble tablet" u="1"/>
        <s v="Abacavir/Lamivudine 120/60mg single-scored dispersible tablet" u="1"/>
        <s v="Isoniazid 50mg dispersible tablet" u="1"/>
        <s v="dummy37" u="1"/>
        <s v="Mefloquine 250 mg" u="1"/>
        <s v="Shelf for incubator " u="1"/>
        <s v="GenScreen HIV 1/2 Version 2" u="1"/>
        <s v="Xpert HPV Cartridge" u="1"/>
        <s v="dummy38" u="1"/>
        <s v=" DS-EIA-HBsAg" u="1"/>
        <s v="dummy10" u="1"/>
        <s v="Imipenem/Cilastatin 500/500mg powder for injection 1 vial" u="1"/>
        <s v="X-ray unit, Battery-powered" u="1"/>
        <s v="Finger stick sample collection kit" u="1"/>
        <s v="Roche - Cobas c111 " u="1"/>
        <s v="dummy39" u="1"/>
        <s v="Malaria: Speciment processing" u="1"/>
        <s v="Sysmex - Partec Cyflow CountCheck Beads Green " u="1"/>
        <s v="dummy11" u="1"/>
        <s v="Buprenorphine 2mg tablet" u="1"/>
        <s v="Buprenorphine 8mg tablet" u="1"/>
        <s v="Proguanil" u="1"/>
        <s v="Emtricitabine/Tenofovir" u="1"/>
        <s v="Fluconazole 50mg/5mL powder for oral solution, bottle" u="1"/>
        <s v="dummy12" u="1"/>
        <s v="Metronidazole" u="1"/>
        <s v="Abbott RealTime MTB Amplification Reagent Kit" u="1"/>
        <s v="dummy13" u="1"/>
        <s v="Sysmex - Partec Cyflow Other reagents" u="1"/>
        <s v="Female condom, nitrile, ring, color" u="1"/>
        <s v="BBL MycoPrep Kit, 150 mL (240863)" u="1"/>
        <s v="dummy14" u="1"/>
        <s v="Piperaquine/Dihydroartemisinin" u="1"/>
        <s v="Microscopy: Malaria other consumables" u="1"/>
        <s v="SURE CHECK HIV SELF-TEST" u="1"/>
        <s v="49 mm - with color - pack of 144" u="1"/>
        <s v="dummy15" u="1"/>
        <s v="Trueprep: Equipment" u="1"/>
        <s v="Sodium dichloroisocyanurate 1.67g tablet" u="1"/>
        <s v="Isoniazid/Pyrazinamide/Rifampicin 50/150/75mg dispersible tablet" u="1"/>
        <s v="Ofloxacin 10g" u="1"/>
        <s v="dummy16" u="1"/>
        <s v="Pegylated liposomal doxorubicin" u="1"/>
        <s v="Four-way rack for 15-50 mL tubes" u="1"/>
        <s v="Sysmex - Partec Cyflow pipette tips " u="1"/>
        <s v="HIV 1/2-O - First Response HIV 1-2.0 v.3.0 Cards Kit - accessories included - 30 tests" u="1"/>
        <s v="dummy17" u="1"/>
        <s v="Sysmex -  XN" u="1"/>
        <s v="Space Spray (indoor), Space Spray (outdoor)" u="1"/>
        <s v="Abbott RealTime MTB RIF/INH Resistance Amplification Reagent Kit" u="1"/>
        <s v="Waste collection container medium" u="1"/>
        <s v="Cotton roll" u="1"/>
        <s v="dummy18" u="1"/>
        <s v="Mobile basic diagnostic x-ray system" u="1"/>
        <s v="OraQuick HIV Self-Test" u="1"/>
        <s v="Efavirenz/Emtricitabine/Tenofovir 600/200mg/300mg tablet" u="1"/>
        <s v="Therapeutic food products, Other - Enter details in Comments" u="1"/>
        <s v="dummy19" u="1"/>
        <s v="OTHER Health Equipment" u="1"/>
        <s v="Data logger, reusable, electronic, wireless" u="1"/>
        <s v="BACTECmgIT SIRE kit (245123)" u="1"/>
        <s v="V0-96/3FRT - HIV Real-TM Quant Dx - 96" u="1"/>
        <s v="Sysmex - Partec Cyflow CountCheck Beads Green dry" u="1"/>
        <s v="Xpert MTB/RIF Cartridge" u="1"/>
        <s v="Xpert MTB/XDR Cartridge" u="1"/>
        <s v="ThermoFisher Scientific - Applied Biosystems, QuantStudio 5 Real-Time, 96-well, 0.1mL, Desktop, PCR Equipment (Research Use Only) - A28573" u="1"/>
        <s v="Sofosbuvir/Velpatasvir 400mg/100mg tablet 28" u="1"/>
        <s v="High-filt" u="1"/>
        <s v="Truenat MTB Plus 20 tests" u="1"/>
        <s v="BD - BACTEC MGIT 960 (445870)" u="1"/>
        <s v="Male condoms" u="1"/>
        <s v="Hematology consumables" u="1"/>
        <s v="Dihydroartemisinin/Piperaquine 60/480mg tablet" u="1"/>
        <s v="Dihydroartemisinin/Piperaquine 80/640mg tablet" u="1"/>
        <s v="Lubricants" u="1"/>
        <s v="X-ray: Spare parts &amp; accessories" u="1"/>
        <s v="Female condoms" u="1"/>
        <s v="Wondfo® One Step HIV1/2 Whole Blood/Serum/Plasma Test" u="1"/>
        <s v="Chlorphenamine maleate 10mg/mL solution for parenteral inj, ampoule" u="1"/>
        <s v="Sysmex - Partec Cyflow Consumables Sysmex - Partec Cyflow hypochlorite solution" u="1"/>
        <s v="Denatured alcohol " u="1"/>
        <s v="Abbott PRISM HIV Ag/Ab Combo Assay" u="1"/>
        <s v="Skim milk powder" u="1"/>
        <s v="Mask" u="1"/>
        <s v="GeneXpert Cartridge 50" u="1"/>
        <s v="Malaria: Specimen transportation" u="1"/>
        <s v="First Response HBsAg Card Test" u="1"/>
        <s v="Delamanid 25mg tablet" u="1"/>
        <s v="Delamanid 50mg tablet" u="1"/>
        <s v="Lamivudine 150mg tablet" u="1"/>
        <s v="Lamivudine 300mg tablet" u="1"/>
        <s v="Lambda-Cyhalothrin 10% (100g/L)" u="1"/>
        <s v="MTB/MPT64 identification-Rapid test - 30 tests" u="1"/>
        <s v="Clinical chemistry reagents" u="1"/>
        <s v="BD - FACS" u="1"/>
        <s v="Clofazimine" u="1"/>
        <s v="bioMerieux Viral Load Test Kit and Consumable Bundle" u="1"/>
        <s v="Aciclovir 200mg dispersible tablet" u="1"/>
        <s v="ThermoFisher Scientific - Applied Biosystems, QuantStudio 5 Real-Time, 96-well, 0.2mL, Desktop, PCR Equipment (Research Use Only) - A28574" u="1"/>
        <s v="Lidocaine/Prilocaine 2.5/2.5% cream" u="1"/>
        <s v="Prothionamide" u="1"/>
        <s v="Sterile culture tubes" u="1"/>
        <s v="BD MAX UPS" u="1"/>
        <s v="Betamethasone 0.1% ointment" u="1"/>
        <s v="Malaria Rapid Diagnostic Test Kit - Pf only, HRP2, POCT" u="1"/>
        <s v="HIV/Syphilis - SD Bioline Duo complete kit - accessories included - 25 tests" u="1"/>
        <s v="Clofazimine 1g " u="1"/>
        <s v="Sysmex - Partec Cyflow Consumables Sysmex - Partec Cyflow pipette tips " u="1"/>
        <s v="Shelf for incubator" u="1"/>
        <s v="53 mm - with color - pack of 144" u="1"/>
        <s v="Male condom 49 mm, dotted" u="1"/>
        <s v="Male condom 52 mm, dotted" u="1"/>
        <s v="Male condom 53 mm, dotted" u="1"/>
        <s v="Male condom 49 mm, scent, thin" u="1"/>
        <s v="Sulfamethoxazole/Trimethoprim 200/40mg/5mL oral suspension, bottle" u="1"/>
        <s v="CHECKNOW HIV SELFTEST" u="1"/>
        <s v="Alere HIV Combo" u="1"/>
        <s v="Malaria Surveillance: Spare parts &amp; Accessories" u="1"/>
        <s v="MTB Test" u="1"/>
        <s v="IPC: Maintenance &amp; Services" u="1"/>
        <s v="Emtricitabine" u="1"/>
        <s v="GeneXpert - Equipment &amp; cartridges" u="1"/>
        <s v="dummy100" u="1"/>
        <s v="DS-TB medicines" u="1"/>
        <s v="GeneXpert Cartridge 10" u="1"/>
        <s v="Molecular testing: STI" u="1"/>
        <s v="49 mm - with flavor/scent - pack of 144" u="1"/>
        <s v="Methadone 5mg/mL oral solution, bottle" u="1"/>
        <s v="Space Spray (indoor): Permethrin, Piperonyl Butoxide (PBO), S-Bioallethrin 0.14% (1.42 g/L) S-Bioallethrin; 10.3% (102.7 g/L) Permethrin; 9.8% (98.4 g/L)" u="1"/>
        <s v="dummy110" u="1"/>
        <s v="Prednisone" u="1"/>
        <s v="Isoniazid/Rifapentine 300/300mg tablet" u="1"/>
        <s v="dummy120" u="1"/>
        <s v="PCR consumables" u="1"/>
        <s v="Automated Analyzers" u="1"/>
        <s v="Abacavir/Lamivudine 60/30mg tablet dispersible 60" u="1"/>
        <s v="Multivitamin" u="1"/>
        <s v="Ziehl Neelsen stain solution " u="1"/>
        <s v="Lamivudine/Tenofovir 300/300mg tablet 30" u="1"/>
        <s v="Itraconazole" u="1"/>
        <s v="Ethambutol 25g" u="1"/>
        <s v="Chloramphenicol" u="1"/>
        <s v="Electronic drop counter for IV fluids" u="1"/>
        <s v="Nevirapine 10mg/mL oral suspension, bottle" u="1"/>
        <s v="Roche - Cobas c111 thermal paper - 5 roll" u="1"/>
        <s v="IRS Sprayers: backpack sprayer manual operated, 7.5L, each" u="1"/>
        <s v="Daclatasvir 30mg tablet" u="1"/>
        <s v="Daclatasvir 60mg tablet" u="1"/>
        <s v="Daclatasvir 90mg tablet" u="1"/>
        <s v="Truelab and Trueprep Installation and training" u="1"/>
        <s v="Alcohol-based hand rub Solution" u="1"/>
        <s v="HIV 1+2 - Determine Chase Buffer - 2.5ml vial - 100 tests" u="1"/>
        <s v="Malaria Waste management: Equipment" u="1"/>
        <s v="Refrigerator, electric" u="1"/>
        <s v="BACTECmgIT Amikacin lyophilized (215350)" u="1"/>
        <s v="AMP1" u="1"/>
        <s v="Female condom, nitrile, color, scent" u="1"/>
        <s v="WI-43480 - AiD anti-HIV 1+2 ELISA - 480T/kit" u="1"/>
        <s v="Triple Packaging" u="1"/>
        <s v="OTHER Laboratory Equipment" u="1"/>
        <s v="Consumables: Other" u="1"/>
        <s v="Larvicide: Pyriproxyfen 0.50%" u="1"/>
        <s v="Artemether/Lumefantrine 80/480mg" u="1"/>
        <s v="Griseofulvin 125mg/5 mL solution" u="1"/>
        <s v="Emtricitabine/Tenofovir 200/300mg tablet" u="1"/>
        <s v="Equipment and starter kit for LED / ZN microscopy" u="1"/>
        <s v="Auramine O (C.I. 41000) - 50g" u="1"/>
        <s v="bioMerieux Viral Load Test Kit and Consumable Bundle - 48 tests" u="1"/>
        <s v="Betamethasone" u="1"/>
        <s v="LLINs (mass campaign)" u="1"/>
        <s v="HIV 1+2 - OraQuick HIV Rapid Antibody Kit - accessories included - 100 Tests" u="1"/>
        <s v="Pipette" u="1"/>
        <s v="Ultrasound, portable color Doppler with 1x convex probe" u="1"/>
        <s v="First Response HIV 1-2-0 Card Test (version 2)" u="1"/>
        <s v="Sulfamethoxazole/Trimethoprim (Co-trimoxazole)" u="1"/>
        <s v="Para-AminoSalicylate Sodium" u="1"/>
        <s v="Shanghai Kehua - Automated Nucleic Acid Extractor w/software v2.4.1" u="1"/>
        <s v="Entecavir 0.5mg single-scored tablet" u="1"/>
        <s v="Capreomycin 1g " u="1"/>
        <s v="Glecaprevir/pibrentasvir 50/20mg oral granules sachet" u="1"/>
        <s v="Dimethyl sulfoxide " u="1"/>
        <s v="Pesticide application: Equipment" u="1"/>
        <s v="Determine Chase buffer" u="1"/>
        <s v="TB smear microscopy: Ziehl Neelsen stain solution" u="1"/>
        <s v="DRW Samba I Early Infant Diagnosis Test Kit - 12 tests" u="1"/>
        <s v="HIV: Speciment processing" u="1"/>
        <s v="Adapter for 12ml/15ml tubes 4-place for refrigerated centrifuge" u="1"/>
        <s v="Immersion oil " u="1"/>
        <s v="Clofazimine 50mg tablet" u="1"/>
        <s v="Malaria Rapid Diagnostic Test Kit - Pf/Pan, HRP2/pLDH" u="1"/>
        <s v="Malaria Rapid Diagnostic Test Kit - Pf/Pv - HRP2/pLDH" u="1"/>
        <s v="Dolutegravir" u="1"/>
        <s v="Promethazine" u="1"/>
        <s v="Methadone 5mg tablet" u="1"/>
        <s v="Box computer for CAD software" u="1"/>
        <s v="Prednisolone 5mg tablet" u="1"/>
        <s v="Xpert  HIV-1 Qual Assay Cartridge" u="1"/>
        <s v="Malaria Rapid Diagnostic Test Kit - Pf only " u="1"/>
        <s v="Murex - AgAb ELISA - combination - 96 tests" u="1"/>
        <s v="285033 - NucliSENS EasyQ HIV-1 V2.0  (Automated) " u="1"/>
        <s v="Larvicide: Novaluron 10% (100g/L)" u="1"/>
        <s v="53 mm - with flavor/scent - pack of 144" u="1"/>
        <s v="SD BIOLINE HCV" u="1"/>
        <s v="Ranitidine 150mg tablet" u="1"/>
        <s v="Capilia TB-Neo - Rapid test for detection of MPT 64 Antigen" u="1"/>
        <s v="ARVs (Infant prophylaxis)" u="1"/>
        <s v="Deltamethrin 6.25%, (62.5 g/L)" u="1"/>
        <s v="Artemether/Lumefantrine 60/360mg" u="1"/>
        <s v="Flucytosine 500mg tablet 100" u="1"/>
        <s v="Gentamicin 80mg/2mL inj, ampoule" u="1"/>
        <s v="Computer-Aided Detection (CAD) Software" u="1"/>
        <s v="Microscopy: TB consumables" u="1"/>
        <s v="Roche - KIT COBAS 6800/8800" u="1"/>
        <s v="VL Testing: Reagents &amp; test kits" u="1"/>
        <s v="Automated blood culture system, system for incubating and processing blood cultures" u="1"/>
        <s v="Male condom 49 mm, ribbed" u="1"/>
        <s v="Male condom 52 mm, ribbed" u="1"/>
        <s v="Male condom 53 mm, ribbed" u="1"/>
        <s v="Artemether 80mg/ml Solution" u="1"/>
        <s v="Isoniazid 100mg 10 tablet dispersible 10 blister (100)" u="1"/>
        <s v="Malachite green oxalate" u="1"/>
        <s v="Rack with lid for PCR tubes of 0.2 mL" u="1"/>
        <s v="First Response Syphilis Anti-TP Card Test" u="1"/>
        <s v="Box compute for artificial intelligence software" u="1"/>
        <s v="AccuPower® HIV-1 Quantitative RT-PCR Kit" u="1"/>
        <s v="Meropenem 1g powder for solution vial" u="1"/>
        <s v="BD - FACSCount" u="1"/>
        <s v="Vacutainer tube holder" u="1"/>
        <s v="Imipenem/Cilastatin" u="1"/>
        <s v="BD FACS" u="1"/>
        <s v="AMP2" u="1"/>
        <s v="Cetirizine 10mg tablet" u="1"/>
        <s v="Molecular diagnosis: Rapid test" u="1"/>
        <s v="Abbott Alinity m HIV-1" u="1"/>
        <s v="Diclofenac (as sodium)" u="1"/>
        <s v="Sysmex - Partec Cyflow Consumables Sysmex - Partec Cyflow CountCheck Beads Green dry" u="1"/>
        <s v="Water for molecular biology" u="1"/>
        <s v="Artemether/Lumefantrine 20/120mg tablet" u="1"/>
        <s v="Artemether/Lumefantrine 40/240mg tablet" u="1"/>
        <s v="Artemether/Lumefantrine 60/360mg tablet" u="1"/>
        <s v="Artemether/Lumefantrine 80/480mg tablet" u="1"/>
        <s v="Artesunate/Pyronaridine 60/180mg tablet" u="1"/>
        <s v="Codeine (as phosphate)" u="1"/>
        <s v="DROPPED" u="1"/>
        <s v="Deltamethrin technical grade insecticide" u="1"/>
        <s v="STI Test" u="1"/>
        <s v="Alere Early Infant Diagnosis Test Kit" u="1"/>
        <s v="HIV 1/2 - SD Bioline 3.0 Kit - no accessories - 30 tests" u="1"/>
        <s v="EXACTO© PRO TEST HIV" u="1"/>
        <s v="Rifapentine" u="1"/>
        <s v="BACTEC MGIT Supplement Kit, PANTA and OADC combined vials (245124)" u="1"/>
        <s v="Artemether/Lumefantrine 40/240mg" u="1"/>
        <s v="Isoniazid/Rifampicin 50/75mg tablet" u="1"/>
        <s v="Autoclave" u="1"/>
        <s v="Rifampicin" u="1"/>
        <s v="Giemsa solution " u="1"/>
        <s v="BACTEC Air Filters, square (444374)" u="1"/>
        <s v="Denatured alcohol" u="1"/>
        <s v="DS-EIA-HIV-AGAB-SCREEN" u="1"/>
        <s v="Truenat MTB Plus" u="1"/>
        <s v="Malaria EQA: reagents" u="1"/>
        <s v="Medicines: STIs" u="1"/>
        <s v="Lopinavir/Ritonavir" u="1"/>
        <s v="Gown, isolation, Non-woven, disposable" u="1"/>
        <s v="Vortex mixer" u="1"/>
        <s v="ITNs (Mass Campaign)" u="1"/>
        <s v="HIV 1+2 Colloidal Gold - accessories included - 50 tests" u="1"/>
        <s v="BD - FACSPresto cartridge kit - 100 tests" u="1"/>
        <s v="dummy101" u="1"/>
        <s v="latex - sponge" u="1"/>
        <s v="Audiometer" u="1"/>
        <s v="Seegene - STARMag 96x4" u="1"/>
        <s v="Sysmex - Partec  Cyflow " u="1"/>
        <s v="dummy111" u="1"/>
        <s v="Capilia TB-Neo extraction buffer - 20mL" u="1"/>
        <s v="water based 4ml sachet 1000" u="1"/>
        <s v="water based 5ml sachet 1000" u="1"/>
        <s v="Sulfamethoxazole/Trimethoprim 100/20mg dispersible tablet" u="1"/>
        <s v="m-PIMA HIV-1/2 Detect" u="1"/>
        <s v="Artesunate/amodiaquine" u="1"/>
        <s v="dummy121" u="1"/>
        <s v="MGI" u="1"/>
        <s v="Artesunate/Mefloquine 100/200mg" u="1"/>
        <s v="Out-sourced waste management contracts" u="1"/>
        <s v="HIV 1+2 - Generic Rapid Diagnostic Test Kit" u="1"/>
        <s v="HIV 1/2 - Generic Rapid Diagnostic Test Kit" u="1"/>
        <s v="Hand and skin cleaning" u="1"/>
        <s v="HIV 1 - Generic Rapid Diagnostic Test Kit" u="1"/>
        <s v="Terizidone 250mg capsule" u="1"/>
        <s v="Clindamycin 150mg capsule" u="1"/>
        <s v="Amphotericin b deoxycholate" u="1"/>
        <s v="Insecticides for purposes other than IRS" u="1"/>
        <s v="Immunoassays: STI" u="1"/>
        <s v="Transport case for LED microscope" u="1"/>
        <s v="Artemether/Lumefantrine 20/120mg" u="1"/>
        <s v="Cetirizine" u="1"/>
        <s v="BBL Middlebrook OADC Enrichment, 20 mL (211886)" u="1"/>
        <s v="Levofloxacin 100mg dispersible tablet" u="1"/>
        <s v="Space Spray (outdoor): Malathion 40.9% w/w (440 g/L)" u="1"/>
        <s v="Immersion oil" u="1"/>
        <s v="AMP3" u="1"/>
        <s v="BD Multitest" u="1"/>
        <s v="Xylene clearing agent for mounting media " u="1"/>
        <s v="Linezolid 25g " u="1"/>
        <s v="Pirimiphos-methyl 300g/L" u="1"/>
        <s v="Funnels - various sizes" u="1"/>
        <s v="Z04380 - HIV 1&amp;2 Ag/Ab, Double Ag&amp;Ab Sandwich Principle" u="1"/>
        <s v="MGI " u="1"/>
        <s v="Folic acid" u="1"/>
        <s v="water based 20ml tube" u="1"/>
        <s v="Standard G6PD System - Tests" u="1"/>
        <s v="Nystatin" u="1"/>
        <s v="Entecavir 1mg tablet" u="1"/>
        <s v="Harm reduction: OST" u="1"/>
        <s v="Waste management, Autoclave" u="1"/>
        <s v="Loopamp MTBC Detection Kit 2 x 48 tests" u="1"/>
        <s v="Levofloxacin 250mg tablet" u="1"/>
        <s v="HIV 1 - Generic Rapid Diagnostic Test Kit - 1 test" u="1"/>
        <s v="SAMBA HIV-1 Semi-Q Plasma Test" u="1"/>
        <s v="Sysmex - Partec Cyflow sheath fluid " u="1"/>
        <s v="Graduated pipette " u="1"/>
        <s v="BD MAX MDR-TB Test" u="1"/>
        <s v="Rack for 1.5-2 mL tubes" u="1"/>
        <s v="Space Spray (indoor), Space Spray (outdoor): Deltamethrin 2%" u="1"/>
        <s v="Alere - PIMA Other reagents" u="1"/>
        <s v="Consumables: Other (non-laboratory)" u="1"/>
        <s v="BBL Lowenstein-Jensen Medium Slants, tubes (220908)" u="1"/>
        <s v="OTHER Maintenance &amp; Services" u="1"/>
        <s v="Rack for 3 single channel pipettes" u="1"/>
        <s v="Rack for 4 single channel pipettes" u="1"/>
        <s v="Rack for 6 single channel pipettes" u="1"/>
        <s v="Sysmex - Stromalolyser-4DS stain " u="1"/>
        <s v="96 Deep Well Plates, pack of 32" u="1"/>
        <s v="Other - Enter details in Comments" u="1"/>
        <s v="Diasorin - Elisa HIV 1+2+O - Murex HIV 1.2.0 Ab" u="1"/>
        <s v="GeneXpert 1-module Edge with tablet, barcode reader and auxiliary batteries GeneXpert " u="1"/>
        <s v="Malaria Microscopy: Consumables" u="1"/>
        <s v="Microtube, plastic, screw cap" u="1"/>
        <s v="Tenofovir 300mg tablet 30" u="1"/>
        <s v="ITN (Continuous Distribution)" u="1"/>
        <s v="Thermoshaker / Twincubator" u="1"/>
        <s v="Delamanid" u="1"/>
        <s v="Sodium-L-Glutamate-monohydrate" u="1"/>
        <s v="Pipette, pasteur - plastic, sterile, fine tip" u="1"/>
        <s v="Liquid culture and DST-Reagents kits" u="1"/>
        <s v="Colloidal Gold HIV test kit" u="1"/>
        <s v="UVGI bulb" u="1"/>
        <s v="Consumables: Specimen processing &amp; transport supplies" u="1"/>
        <s v="BBL Seven H11 Agar (212203)" u="1"/>
        <s v="Apron, s.u./ Disp" u="1"/>
        <s v="Ritonavir" u="1"/>
        <s v="Mefloquine" u="1"/>
        <s v="Sysmex - XN" u="1"/>
        <s v="Molecular testing: TB" u="1"/>
        <s v="BD - FACS Consumables" u="1"/>
        <s v="Fluconazole 2mg/ml infusion 100ml - 10 bags" u="1"/>
        <s v="DIAQUICK HIV Plus WB" u="1"/>
        <s v="Pirimiphos-methyl 500g/L" u="1"/>
        <s v="Freezer, electric" u="1"/>
        <s v="Rack for 50 mL tubes" u="1"/>
        <s v="HCV Viral Load Test" u="1"/>
        <s v="IRS Protective Items: Boots PVC, 1 pair" u="1"/>
        <s v="Linezolid 150mg dispersible tablet" u="1"/>
        <s v="VERSANT HIV-1 RNA 1.5 Assay (kPCR) " u="1"/>
        <s v="Brain heart infusion agar" u="1"/>
        <s v="IPC: Equipment" u="1"/>
        <s v="IRS Sprayers: backpack sprayer manual operated, 8L, each" u="1"/>
        <s v="Reagent surcharge for maintenance &amp; servicing" u="1"/>
        <s v="Propoxur, 50%" u="1"/>
        <s v="Sysmex - XP" u="1"/>
        <s v="Sofosbuvir/Daclatasvir 400/60mg tablet" u="1"/>
        <s v="BD FACS Presto system" u="1"/>
        <s v="DPP HIV 1/2 Assay" u="1"/>
        <s v="Alpha-cypermethrin 25%" u="1"/>
        <s v="Doxorubicin (as hydrochloride) 10mg powder for solution for parenteral inj, vial" u="1"/>
        <s v="Doxorubicin (as hydrochloride) 50mg powder for solution for parenteral inj, vial" u="1"/>
        <s v="VERSANT HIV-1 RNA 1.5 Assay (kPCR)" u="1"/>
        <s v="NucliSENS EasyQ HIV-1 V2.0 (Semi Automated)" u="1"/>
        <s v="HIV 1&amp;2 Ag/Ab, Double Ag&amp;Ab Sandwich Principle" u="1"/>
        <s v="IRS Protective Items: Goggles sealed protective 191 x 76 mm, each" u="1"/>
        <s v="Shaker" u="1"/>
        <s v="HIV 1/2-O - First Response HIV 1-2.0 v.3.0 Cards Kit - accessories included - 25 tests" u="1"/>
        <s v="HIV Self-Tests" u="1"/>
        <s v="ThermoFisher Scientific - 7500 Fast Real-Time PCR Systems Spectral Calibration Kit I - 4360788" u="1"/>
        <s v="dummy102" u="1"/>
        <s v="X-ray: Consumables" u="1"/>
        <s v="CR2003 - CrAg Lateral Flow Assay" u="1"/>
        <s v="Qiagen Viral Load Test Kit and Consumable Bundle" u="1"/>
        <s v="Female condom, latex, sponge" u="1"/>
        <s v="Other TB medicine for Resistant TB" u="1"/>
        <s v="Malaria Microscopy: Maintenance &amp; Services" u="1"/>
        <s v="dummy112" u="1"/>
        <s v="Linezolid 25g" u="1"/>
        <s v="HIV 1/2-O - First Response HIV 1-2.0 v.3.0 Cards Kit - 100 tests" u="1"/>
        <s v="dummy122" u="1"/>
        <s v="Isoniazid 5g " u="1"/>
        <s v="GeneXpert II, Satellite, 1 site - 10 color " u="1"/>
        <s v="Abbott Early Infant Diagnosis Test Kit and Consumable Bundle" u="1"/>
        <s v="Fumigation kit for HPV" u="1"/>
        <s v="Ethambutol 50mg dispersible tablet" u="1"/>
        <s v="BD MAX Rack Assay Locking Blue racks" u="1"/>
        <s v="Needle: 22G (black) 30mm" u="1"/>
        <s v="Amikacin 5 g" u="1"/>
        <s v="Sulfadiazine" u="1"/>
        <s v="HIV 1&amp;2 Ab cut-off" u="1"/>
        <s v="Pirimiphos-methyl technical grade insecticide" u="1"/>
        <s v="Rack for loop holder" u="1"/>
        <s v="STANDARD Q Syphilis Ab Test" u="1"/>
        <s v="Clindamycin 600mg/4mL solution for injection 4mL ampoule/vial" u="1"/>
        <s v="Amodiaquine + Pyr/Sulf 153mg + 25/500mg 3 + 1 dispersible tab" u="1"/>
        <s v="Ziehl Neelsen stain kit 500mL " u="1"/>
        <s v="Codeine (as phosphate) 30mg tablet" u="1"/>
        <s v="Lubricant, water based 4.3ml sachet 1000" u="1"/>
        <s v="HIV 1/2 – MultiSure HIV Rapid Test – 20 tests" u="1"/>
        <s v="Efavirenz/Lamivudine/Tenofovir 400/300/300mg tablet" u="1"/>
        <s v="Efavirenz/Lamivudine/Tenofovir 600/300/300mg tablet" u="1"/>
        <s v="Tabletop " u="1"/>
        <s v="Pipette tips - sterile, with filter" u="1"/>
        <s v="Pipette tips - non-sterile" u="1"/>
        <s v="Auramine stain solution and  set" u="1"/>
        <s v="Gauze compress " u="1"/>
        <s v="Laboratory freezer, Ultra-Low Temp (-80°C to -20°C)" u="1"/>
        <s v="Chlorphenamine maleate" u="1"/>
        <s v="Entecavir 0.5mg tablet" u="1"/>
        <s v="IRS Sprayers" u="1"/>
        <s v="latex - ring" u="1"/>
        <s v="ThermoFisher Scientific - MicroAmp™ Optical 96-Well Reaction Plate with Barcode" u="1"/>
        <s v="Amodiaquine/Artesunate 135/50mg tablet" u="1"/>
        <s v="Amodiaquine/Artesunate 150/50mg tablet" u="1"/>
        <s v="SAMBA II HIV-1 Semi-Q Whole Blood Test" u="1"/>
        <s v="Erythromycin 250mg/5mL powder for oral solution, bottle" u="1"/>
        <s v="Truenat MTB" u="1"/>
        <s v="Dolutegravir/Lamivudine/Tenofovir 50/300/25mg tablet" u="1"/>
        <s v="Roche - Cobas c111" u="1"/>
        <s v="49 mm - dotted - pack of 144" u="1"/>
        <s v="49 mm - ribbed - pack of 144" u="1"/>
        <s v="Magnesium sulphate" u="1"/>
        <s v="COVID Tests / Diagnotic Consumables" u="1"/>
        <s v="Abacavir/Lamivudine 600/300mg tablet" u="1"/>
        <s v="Ice pack" u="1"/>
        <s v="TB immunoassay" u="1"/>
        <s v="Dolutegravir/Lamivudine/Tenofovir 50/300/300mg tablet 30 - no carton" u="1"/>
        <s v="Sysmex - Partec Cyflow Consumables Sysmex - Partec Cyflow sheath fluid " u="1"/>
        <s v="Sulfamethoxazole/Trimethoprim 400/80mg/5mL solution for parenteral inj ampoule" u="1"/>
        <s v="HIV: Other Spare parts &amp; Accessories" u="1"/>
        <s v="Dimethyl sulfoxide" u="1"/>
        <s v="Methadone-opioid substitute 10mg/ml oral concentrate 1 Liter" u="1"/>
        <s v="Meropenem" u="1"/>
        <s v="Illumina - NextSeq 1000/2000" u="1"/>
        <s v="Lamivudine/Zidovudine 30/60mg dispersible tablet" u="1"/>
        <s v="Solid culture and DST: Other reagents (no consumables)" u="1"/>
        <s v="Terizidone" u="1"/>
        <s v="Therapeutic milk F100 powder, sachet" u="1"/>
        <s v="Buprenorphine-opioid substitute" u="1"/>
        <s v="Isoniazid 5g" u="1"/>
        <s v="Promethazine 25mg tablet" u="1"/>
        <s v="Roche - KIT COBAS 6800/8800 " u="1"/>
        <s v="Mobile basic diagnostic x-ray system, digital" u="1"/>
        <s v="Graduated pipette" u="1"/>
        <s v="HIV Testing Consumables" u="1"/>
        <s v="Sofosbuvir 400mg tablet" u="1"/>
        <s v="Mylan HIV Self-Test (former Atomo HIV Self-Test)" u="1"/>
        <s v="Battery pack for microscope" u="1"/>
        <s v="Cotton wick for spirit lamp 10 cm " u="1"/>
        <s v="VISITECT CD4 Advanced Disease test kit" u="1"/>
        <s v="Amoxicillin 125mg/5mL powder for oral suspension" u="1"/>
        <s v="Amoxicillin 250mg/5mL powder for oral suspension" u="1"/>
        <s v="Pvp iodine 10% solution 200ml" u="1"/>
        <s v="Molecular Testing: POC / Near-POC" u="1"/>
        <s v="Liquid culture &amp; DST" u="1"/>
        <s v="Alcohol swabs - 100 swabs" u="1"/>
        <s v="Emtricitabine 200mg capsule" u="1"/>
        <s v="Needle:  30G (yellow) 12mm" u="1"/>
        <s v="HIV 1+2 - SD Bioline Ag/Ab Combo Kit - no accessories - 30 tests" u="1"/>
        <s v="Pantoprazole" u="1"/>
        <s v="Gown, Surgical, Sterile, disposable" u="1"/>
        <s v="GS HIV Combo Ag/Ab EIA" u="1"/>
        <s v="Diclofenac (as sodium) 75mg/3mL solution for parenteral inj, ampoule" u="1"/>
        <s v="Vaccines" u="1"/>
        <s v="Sysmex - Partec Cyflow CD4% easy count kit dry " u="1"/>
        <s v="PrePex" u="1"/>
        <s v="Other RDTs" u="1"/>
        <s v="LLINs (routine distributions)" u="1"/>
        <s v="HIV Immunoassay" u="1"/>
        <s v="Artesunate/Mefloquine 25/50mg tablet" u="1"/>
        <s v="BD MAX STR Reagent" u="1"/>
        <s v="Wooden applicator sticks 150 mm" u="1"/>
        <s v="Streptomycin 1g powder for injection, 1 vial" u="1"/>
        <s v="Dolutegravir/Lamivudine/Tenofovir 50/300/25 mg tablet" u="1"/>
        <s v="Dolutegravir/Lamivudine/Tenofovir 50/300/300mg tablet" u="1"/>
        <s v="Quinine 300mg tablet" u="1"/>
        <s v="Clothianidin 50%" u="1"/>
        <s v="Dapivirine 25mg vaginal ring" u="1"/>
        <s v="Alkaline Phosphatase (ALP) test kit" u="1"/>
        <s v="200292 - NucliSENS EasyQ HIV-1 V2.0  (Semi Automated) " u="1"/>
        <s v="Inoculation loop " u="1"/>
        <s v="Methadone 10mg/mL oral solution" u="1"/>
        <s v="Water for injection 5ml - 100 ampoule" u="1"/>
        <s v="NucliSENS EasyQ HIV-1 V2.0  (Automated)" u="1"/>
        <s v="Rifabutin" u="1"/>
        <s v="Xpert HBV Viral Load Cartridge" u="1"/>
        <s v="Xpert HCV Viral Load Cartridge" u="1"/>
        <s v="BACTECmgIT Tubes 7mL (245122)" u="1"/>
        <s v="Staining bottle - various sizes" u="1"/>
        <s v="Dolutegravir/Emtricitabine/Tenofovir alafenamide 50/200/25mg tablet" u="1"/>
        <s v="Male condom 49 mm, schent" u="1"/>
        <s v="AFB quality control slides " u="1"/>
        <s v="HIV 1/2 - Determine HIV Combo Kit" u="1"/>
        <s v="HIV 1/2 - Determine HIV Combo Kit - accessories included - 100 tests" u="1"/>
        <s v="Methylene blue" u="1"/>
        <s v="Mupirocin 2% cream" u="1"/>
        <s v="Potassium chloride" u="1"/>
        <s v="Becton &amp; Dickinson - BD MAX" u="1"/>
        <s v="Sodium dichloroisocyanurate" u="1"/>
        <s v="Amphotericin b liposomal" u="1"/>
        <s v="Dual RDTs" u="1"/>
        <s v="Microscope: Equipment" u="1"/>
        <s v="Clothianidin/Deltamethrin 50%/6.25%" u="1"/>
        <s v="Sysmex - Partec Cyflow cleaning solution " u="1"/>
        <s v="Molecular diagnosis: LPA-Other reagents (no consumables)" u="1"/>
        <s v="53 mm - dotted - pack of 144" u="1"/>
        <s v="53 mm - ribbed - pack of 144" u="1"/>
        <s v="Thermocycler, for 0.2mL tubes" u="1"/>
        <s v="Ibuprofen 100mg/5mL oral solution, bottle" u="1"/>
        <s v="MTB/XDR Test" u="1"/>
        <s v="Alpha-cypermethrin technical grade insecticide" u="1"/>
        <s v="Lancet, for blood collection" u="1"/>
        <s v="AFB quality control slides" u="1"/>
        <s v="Antibiotic ointment" u="1"/>
        <s v="HIV 1+2 - Determine HIV Kit - 20 tests" u="1"/>
        <s v="HIV 1/2 - DPP HIV 1/2 Assay - 20 tests" u="1"/>
        <s v="Roche - cobas® 6800/8800" u="1"/>
        <s v="HIV 1+2 - Determine Complete HIV Kit - accessories included - 100 tests" u="1"/>
        <s v="dummy103" u="1"/>
        <s v="HIV RDTs" u="1"/>
        <s v="Malaria: Waste management: consumables" u="1"/>
        <s v="Glycerin/Glycerol" u="1"/>
        <s v="Z01375 - HIV 1&amp;2 Ab" u="1"/>
        <s v="Male condom 53 mm, flared" u="1"/>
        <s v="Male condom 56 mm, flared" u="1"/>
        <s v="Methadone-opioid substitute" u="1"/>
        <s v="Sputum sample collection cup" u="1"/>
        <s v="OTHER Calibration &amp; Testing Controls" u="1"/>
        <s v="AST (GOT) test kit" u="1"/>
        <s v="Hydrocortisone 1% ointment" u="1"/>
        <s v="dummy113" u="1"/>
        <s v="Clotrimazole 500mg vaginal tablet, 1 tablet" u="1"/>
        <s v="Dasabuvir 250 mg" u="1"/>
        <s v="Magnesium sulphate heptahydrate" u="1"/>
        <s v="Microscopy: TB smear microscopy reagent kits" u="1"/>
        <s v="Hologic Viral Load Test Kit - 100 tests" u="1"/>
        <s v="ThermoFisher Scientific - 7500 Real Time PCR Systems Spectral Calibration Kit I - 4349180" u="1"/>
        <s v="Combitips - sterile " u="1"/>
        <s v="Cycloserine 125mg capsule" u="1"/>
        <s v="Cycloserine 250mg capsule" u="1"/>
        <s v="Space Spray (indoor), Space Spray (outdoor): Flupyradifurone, Transfluthrin 52.5 g/L Transfluthrin; 26.3 g/L Flupyradifurone" u="1"/>
        <s v="Methanol (methylalcohol)" u="1"/>
        <s v="Potassium dihydrogen phosphate (anhydrous) (KH2PO4)" u="1"/>
        <s v="Generic HIV Charge Virale " u="1"/>
        <s v="Molecular grade water, 1.7mL" u="1"/>
        <s v="WI-4396 - AiD anti-HIV 1+2 ELISA " u="1"/>
        <s v="HIV/Syphilis - Generic RDT" u="1"/>
        <s v="Pantoprazole 20mg tablet" u="1"/>
        <s v="Malaria Surveillance: Reagents" u="1"/>
        <s v="Ethambutol/Isoniazid/Rifampicin" u="1"/>
        <s v="BACTECmgIT PZA Tubes (245115)" u="1"/>
        <s v="Syringes and needles for HARM REDUCTION" u="1"/>
        <s v="200309 - NucliSENS EasyQ HIV-1 V2.0  (Semi Automated) " u="1"/>
        <s v="BACTEC MGIT SIRE kit (245123)" u="1"/>
        <s v="Naloxone 0.4mg/ml 1ml ampoule 10" u="1"/>
        <s v="Flow cytometry analyzer (CD4): Warranty, maintenance and service" u="1"/>
        <s v="TB specimen processing: Reagents" u="1"/>
        <s v="Refrigerated benchtop centrifuge" u="1"/>
        <s v="Mobile basic diagnostic x-ray system, analogue" u="1"/>
        <s v="Efavirenz/Emtricitabine/Tenofovir" u="1"/>
        <s v="Truenat MTB " u="1"/>
        <s v="Sysmex - Partec Cyflow Consumables Sysmex - Partec Cyflow paper roll thermal " u="1"/>
        <s v="Isothermal amplification supplies" u="1"/>
        <s v="Artesunate/Pyronaridine 20/60mg " u="1"/>
        <s v="GeneXpert XVI , Satellite, 8 sites" u="1"/>
        <s v="Cepheid Early Infant Diagnosis Test Kit - 10 tests" u="1"/>
        <s v="Isoniazid/Rifampicin 50/75mg  tablet" u="1"/>
        <s v="Sterile PS laboratory forceps" u="1"/>
        <s v="Deltamethrin 25%" u="1"/>
        <s v="BACTEC MGIT 320 system: Equipment" u="1"/>
        <s v="Vacutainer tube holder " u="1"/>
        <s v="Laboratory reagents: Other" u="1"/>
        <s v="Cobas HIV-1 Test for use with 4800" u="1"/>
        <s v="Raltegravir 400mg tablet" u="1"/>
        <s v="Diagnostic consumables kit - LED / Auramine microscopy" u="1"/>
        <s v="GeneXpert Positive control kit" u="1"/>
        <s v="Malaria Rapid Diagnostic Test Kit - Pf only, HRP2" u="1"/>
        <s v="200293 - NucliSENS EasyQ HIV-1 V2.0  (Semi Automated)" u="1"/>
        <s v="Abbott RealTime MTB Amplification Reagent Kit 96 tests" u="1"/>
        <s v="Sysmex -  XP" u="1"/>
        <s v="Roche - cobas® 6800/8800 " u="1"/>
        <s v="HIV: Other health equipment" u="1"/>
        <s v="BBL Lowenstein-Jensen Medium Slants, tubes (220909)" u="1"/>
        <s v="Male condom 49 mm, plain" u="1"/>
        <s v="Male condom 51 mm, plain" u="1"/>
        <s v="Male condom 56 mm, plain" u="1"/>
        <s v="Male condom 58 mm, plain" u="1"/>
        <s v="Truelab and Trueprep Extended warranty" u="1"/>
        <s v="Pyrimethamine/Sulfadoxine 25/500mg dispersible tablet" u="1"/>
        <s v="Modular heating block" u="1"/>
        <s v="AST (GOT) test kit " u="1"/>
        <s v="Darunavir" u="1"/>
        <s v="Bendiocarb 80%,(800 g/kg)" u="1"/>
        <s v="Artesunate/Mefloquine" u="1"/>
        <s v="IRS Sprayers: hand-operated compression sprayers" u="1"/>
        <s v="Truelab Positive Control Kit - Panel I" u="1"/>
        <s v="Filters" u="1"/>
        <s v="Erythromycin 125mg / 5mL, Powder for oral suspension, bottle" u="1"/>
        <s v="Linezolide" u="1"/>
        <s v="Flucytosine" u="1"/>
        <s v="Tenofovir Disoproxil Fumarate 300mg tablet" u="1"/>
        <s v="Reagents &amp; consumables" u="1"/>
        <s v="BACTEC MGIT 320 System - 441743 (including 440107 + 445941)" u="1"/>
        <s v="OTHER Malaria RDTs" u="1"/>
        <s v="Blood collection tube" u="1"/>
        <s v="Viral Load and/or EID Analyzer" u="1"/>
        <s v="Hematology or biochemistry reagents" u="1"/>
        <s v="Ivermectin 3mg tablet" u="1"/>
        <s v="Urea test kit - 546 nm" u="1"/>
        <s v="Giemsa solution" u="1"/>
        <s v="Sigma - Human C-Reactive Protein ELISA" u="1"/>
        <s v="LDS Needle: 25G (orange) 25mm" u="1"/>
        <s v="Standard G6PD System - Controls" u="1"/>
        <s v="Quinine 300mg/mL solution for injection, ampoule" u="1"/>
        <s v="Quick chiller for tubes 0.2 to 1.5 mL" u="1"/>
        <s v="L-Asparagine-monohydrate" u="1"/>
        <s v="Sysmex - Partec Cyflow CD4 easy count kit dry" u="1"/>
        <s v="Hepatitis A vaccine" u="1"/>
        <s v="Zidovudine 300mg tablet" u="1"/>
        <s v="Auto-disable, reuse prevention syringes with sharp injury prevention" u="1"/>
        <s v="Erythromycin (as stearate)" u="1"/>
        <s v="200309 - NucliSENS EasyQ HIV-1 V2.0  (Automated) - " u="1"/>
        <s v="Molecular diagnosis: LPA-Other equipment required" u="1"/>
        <s v="Loop holder" u="1"/>
        <s v="BD FACS Count" u="1"/>
        <s v="Sharps Container" u="1"/>
        <s v="Lowenstein medium" u="1"/>
        <s v="Illumina - MiniSeq" u="1"/>
        <s v="Hepatitis B vaccine" u="1"/>
        <s v="AiD anti-HIV 1+2 ELISA " u="1"/>
        <s v="Biosafety" u="1"/>
        <s v="Multi-panel drug test" u="1"/>
        <s v="Vincristine (as sulfate) 1mg/mL solution for parenteral injection, vial" u="1"/>
        <s v="Truenat MTB-RIF Dx 20 tests" u="1"/>
        <s v="Artesunate 30mg powder for solution for injection" u="1"/>
        <s v="Artesunate 60mg powder for solution for injection" u="1"/>
        <s v="Artesunate/Pyronaridine" u="1"/>
        <s v="Microscopy: Malaria smear microscopy - other reagents" u="1"/>
        <s v="Microbiology analyzers" u="1"/>
        <s v="Abbott Real Time HIV-1  (m2000sp)" u="1"/>
        <s v="TB smear microscopy:  Ziehl Neelsen stain solution " u="1"/>
        <s v="Biocentric Viral Load Test Kit and Consumable Bundle - 440 tests" u="1"/>
        <s v="Slanted rack for 16 mm tubes" u="1"/>
        <s v="Slanted rack for 20 mm tubes" u="1"/>
        <s v="Entecavir" u="1"/>
        <s v="dummy104" u="1"/>
        <s v="Roche - MagNA Pure" u="1"/>
        <s v="Microscope slides " u="1"/>
        <s v="dummy114" u="1"/>
        <s v="Pretomanid" u="1"/>
        <s v="IPC: Spare parts &amp; Accessories" u="1"/>
        <s v="Z03502 - HIV 1&amp;2 Ab" u="1"/>
        <s v="Fluconazole 200mg capsule" u="1"/>
        <s v="Cimetidine 200mg tablet" u="1"/>
        <s v="Therapeutic milk F100 powder" u="1"/>
        <s v="Roche - Cobas c111 probe - pack of 2" u="1"/>
        <s v="Malaria Microscopy: Spare parts &amp; Accessories" u="1"/>
        <s v="Artemether 80mg/mL solution for injection, vial" u="1"/>
        <s v="Qiagen" u="1"/>
        <s v="BD Tritest" u="1"/>
        <s v="Ganciclovir 500mg powder for solution for parenteral inj, vial" u="1"/>
        <s v="Ethambutol 25g " u="1"/>
        <s v="Buffer pH 7.2 tablet for 1L" u="1"/>
        <s v="Mask, Medical, Type I, disposable" u="1"/>
        <s v="OPKR03 - Enzygnost HIV Integral 4and Supplementary reagents kit forEnzygnost®/TMB" u="1"/>
        <s v="Giemsa " u="1"/>
        <s v="ThermoFisher Scientific - Applied Biosystems, QuantStudio 5 Real-Time, 96-well, 0.1mL, Laptop, PCR Equipment (Research Use Only) - A28568" u="1"/>
        <s v="Cryobox" u="1"/>
        <s v="Cotton wool, absorbent - BP/EurP" u="1"/>
        <s v="Levofloxacin 250mg 10 tablet 10 blister (100)" u="1"/>
        <s v="Waterbath" u="1"/>
        <s v="Roche - Cobas c/Integra " u="1"/>
        <s v="Sysmex - pocH reagent PoCH " u="1"/>
        <s v="Electrocardiogram (ECG) digital monitor and recorder, 3 channel" u="1"/>
        <s v="Lens cleaning tissues" u="1"/>
        <s v="Clothianidin technical grade insecticide" u="1"/>
        <s v="Combitips" u="1"/>
        <s v="Consumables: Sputum sample collection" u="1"/>
        <s v="Pyrethroid-only ITN Rectangular + Hammock" u="1"/>
        <s v="Auramine counterstaining solution" u="1"/>
        <s v="Auramine decolourisation solution" u="1"/>
        <s v="BD MAX Windows 10 License with Cylance (444819)" u="1"/>
        <s v="Vincristine (as sulfate)" u="1"/>
        <s v="BACTECmgIT Moxifloxacin (215349) " u="1"/>
        <s v="Molecular Testing: Warranty, maintenance and service" u="1"/>
        <s v="Glass bottle " u="1"/>
        <s v="Reagents for Electrophoresis" u="1"/>
        <s v="Sysmex - Partec Cyflow CD4 easy count kit" u="1"/>
        <s v="Sysmex - Partec Cyflow Consumables Sysmex - Partec Cyflow CountCheck Beads Green " u="1"/>
        <s v="TB-LAMP Installation" u="1"/>
        <s v="Malaria Microscopy: Reagents" u="1"/>
        <s v="nitrile - ring" u="1"/>
        <s v="Povidone-iodine 10% gynaecological solution, bottle" u="1"/>
        <s v="Space Spray (indoor): Lambda-Cyhalothrin 25g/L" u="1"/>
        <s v="HuMax ITA microcentrifuge" u="1"/>
        <s v="Raltegravir 100mg chewable tablet" u="1"/>
        <s v="GeneXpert IV-2, Warranty Extension" u="1"/>
        <s v="GeneXpert XVI - Warranty Extension" u="1"/>
        <s v="Sequencing: Spare parts &amp; accessories" u="1"/>
        <s v="Pre-packed harm reduction kit, varying contents" u="1"/>
        <s v="Xpert HBV Viral Load Kit ‚ 10 Tests" u="1"/>
        <s v="Xpert HCV Viral Load Kit ‚ 10 Tests" u="1"/>
        <s v="Larvicide: Diflubenzuron 2% (20 g/kg)" u="1"/>
        <s v="HIV 1+2 - OraQuick HIV Rapid Antibody Kit" u="1"/>
        <s v="Magnesium sulfate 500mg/mL solution for parenteral injection, ampoule" u="1"/>
        <s v="Abacavir/Dolutegravir/Lamivudine" u="1"/>
        <s v="Dextrose 5%, solution for infusion, bottle" u="1"/>
        <s v="Therapeutic spread" u="1"/>
        <s v="Sulfadiazine 500mg tablet" u="1"/>
        <s v="Applied Biosystems 7500 Fast Real Time PCR Systems" u="1"/>
        <s v="Nevirapine 50mg dispersible tablet" u="1"/>
        <s v="Determine HBsAg 2" u="1"/>
        <s v="Malaria: General laboratory equipment" u="1"/>
        <s v="Blood collection needle + insulin syringe" u="1"/>
        <s v="ELITechGroup" u="1"/>
        <s v="Sofosbuvir/ Ledipasvir" u="1"/>
        <s v="Benzyl benzoate 25% lotion" u="1"/>
        <s v="X-ray Film" u="1"/>
        <s v="BACTEC MGIT PZA Kit (245128)" u="1"/>
        <s v="Suitcase for the Truelab Duo Workstation" u="1"/>
        <s v="Ethambutol/Isoniazid/Pyrazinamide/Rifampicin 275/75/400/150mg tablet" u="1"/>
        <s v="Oral rehydration salt 20.5g/l sachet" u="1"/>
        <s v="Nicotinic acid amide 100g" u="1"/>
        <s v="Deltamethrin 25%, (250 g/kg)" u="1"/>
        <s v="Light mirror for LED microscope" u="1"/>
        <s v="Hydrochloric acid " u="1"/>
        <s v="Pipette, 8-channel" u="1"/>
        <s v="ThermoFisher Scientific - Applied Biosystems, QuantStudio 5 Real-Time, 384-well, Desktop, PCR Equipment (Research Use Only) - A28575" u="1"/>
        <s v="Immunoassays: Hepatitis C" u="1"/>
        <s v="Doxorubicin (as hydrochloride)" u="1"/>
        <s v="Lubricant 100 mL, water based" u="1"/>
        <s v="Lubricant 115 mL, water based" u="1"/>
        <s v="Pipette tips" u="1"/>
        <s v="INSTI HCV Antibody Test" u="1"/>
        <s v="ThermoFisher Scientific - Applied Biosystems, QuantStudio 5 Real-Time, 96-well, 0.2mL, Laptop, PCR Equipment (Research Use Only) - A28569" u="1"/>
        <s v="Glecaprevir/pibrentasvir 100/40mg tablet" u="1"/>
        <s v="Space Spray (indoor): Lambda-Cyhalothrin 50g/L" u="1"/>
        <s v="HIV 1+2 - INSTI HIV Antibody Test Kit" u="1"/>
        <s v="Sulfamethoxazole/Trimethoprim 100/20mg tablet" u="1"/>
        <s v="Sulfamethoxazole/Trimethoprim 400/80mg tablet" u="1"/>
        <s v="ARVs (for PEP)" u="1"/>
        <s v="Artesunate/amodiaquine 100/270mg" u="1"/>
        <s v="Roche Viral Load Test Kit and Consumable Bundle" u="1"/>
        <s v="dummy8" u="1"/>
        <s v="Cryptococcus - Generic RDT - 1 test" u="1"/>
        <s v="LDS Needle: 25G (orange) 16mm" u="1"/>
        <s v="Flucytosine 500mg tablet" u="1"/>
        <s v="HIV 1/2 - Generic Differentiated Detection Rapid Diagnostic Test Kit" u="1"/>
        <s v="ThermoFisher Scientific - Applied Biosystems™ 7500 Fast Real-Time PCR Instrument, Laptop - 4351106" u="1"/>
        <s v="GeneXpert Daisy Chain Accessory Kit" u="1"/>
        <s v="Capillary Tubes, for Determine, EDTA 50 uL" u="1"/>
        <s v="G6PD Diagnostic Test" u="1"/>
        <s v="DS-EIA-HBsAg" u="1"/>
        <s v="DIAQUICK HIV Plus" u="1"/>
        <s v="Roche - Cobas c/Integra" u="1"/>
        <s v="Rapid Diagnostic Test - HBV" u="1"/>
        <s v="ThermoFisher Scientific - JUN™ Dye Spectral Calibration Plate for Multiplex qPCR, 96-well - A24737" u="1"/>
        <s v="Glass bottle" u="1"/>
        <s v="Measuring cylinders - various sizes" u="1"/>
        <s v="ThermoFisher Scientific - ABY™ Dye Spectral Calibration Plate for Multiplex qPCR, 96-well - A24738" u="1"/>
        <s v="Doxycycline" u="1"/>
        <s v="Dispenser tips" u="1"/>
        <s v="Rapid Diagnostic Test - HCV" u="1"/>
        <s v="STANDARD Q HIV 1/2 Ab 3-Line Test" u="1"/>
        <s v="Malaria Rapid Diagnostic Test Kit - Pf/Pv" u="1"/>
        <s v="Biohazard bag" u="1"/>
        <s v="Spirit lamp" u="1"/>
        <s v="Steel laboratory forceps" u="1"/>
        <s v="Pyrethroid-only ITN Rectangular" u="1"/>
        <s v="EID Testing: Reagents &amp; test kits" u="1"/>
        <s v="Larvicide: Spinosad 12% (120 g/L)" u="1"/>
        <s v="First Response HIV 1-2-0 Card Test" u="1"/>
        <s v="Isoniazid/Rifampicin 50/75mg dispersible tablet" u="1"/>
        <s v="Bedaquiline" u="1"/>
        <s v="Consumables: TB specimen processing" u="1"/>
        <s v="Ultraviolet Germicidal Irradiation (wall/ceiling)" u="1"/>
        <s v="Artesunate 120mg powder" u="1"/>
        <s v="Mobile fluoroscopic x-ray system, digital" u="1"/>
        <s v="Refrigerated benchtop centrifuge, accessories" u="1"/>
        <s v="Fluconazole 200mg capsule 100" u="1"/>
        <s v="Dasabuvir 250mg tablet" u="1"/>
        <s v="Darunavir/Ritonavir 400/50mg tablet" u="1"/>
        <s v="Pyrimethamine/Sulfadoxine 12.5/250mg" u="1"/>
        <s v="Maintenance and service for X-rays" u="1"/>
        <s v="Protionamide 2g " u="1"/>
        <s v="dummy6" u="1"/>
        <s v="Dual active ingredient (AI) ITN Rectangular" u="1"/>
        <s v="dummy105" u="1"/>
        <s v="Waste Management, Incinerator" u="1"/>
        <s v="Pvp iodine" u="1"/>
        <s v="dummy115" u="1"/>
        <s v="Thermoblock with 4 blocks" u="1"/>
        <s v="BD MAX Starter Kit Accessories" u="1"/>
        <s v="Bendiocarb technical grade insecticide" u="1"/>
        <s v="BACTEC MicroMGIT Fluorescence Reader (445923)" u="1"/>
        <s v="Rapid Diagnostic Test - HIV" u="1"/>
        <s v="Levofloxacin 1g " u="1"/>
        <s v="KingFisher™ Flex Purification System, with 96 Deep-well" u="1"/>
        <s v="ARVs (for PrEP)" u="1"/>
        <s v="96-well rack for PCR tubes of 0.2 mL" u="1"/>
        <s v="Protionamide 2g" u="1"/>
        <s v="careHPV Test System" u="1"/>
        <s v="Qiagen " u="1"/>
        <s v="Microscopy: TB other consumables" u="1"/>
        <s v="BACTEC Printer Brother L5000D (257710)" u="1"/>
        <s v="BACTECmgIT Ofloxacin (215352)" u="1"/>
        <s v="Consumables: DBS collection, Other - Enter details in Comments" u="1"/>
        <s v="Centrifuge tube" u="1"/>
        <s v="Bifenthrin technical grade insecticide" u="1"/>
        <s v="Sysmex - Cell Clean solution" u="1"/>
        <s v="Gloves, Examination, non-sterile, disposable, powder free, Nitrile" u="1"/>
        <s v="Testing Consumables" u="1"/>
        <s v="Z13382 - HIV 1&amp;2 Ag/Ab, Double Ag&amp;Ab Sandwich Principle" u="1"/>
        <s v="Roche - Cobas Integra " u="1"/>
        <s v="X-ray unit, AC-powered" u="1"/>
        <s v="Quinine 300mg/ml Amp" u="1"/>
        <s v="Malaria Surveillance: Consumables" u="1"/>
        <s v="Sysmex - Ret-Search II diluent+dye kit" u="1"/>
        <s v="HIV 1+2 Ab Elisa" u="1"/>
        <s v="Amodiaquine (as HCl)+Sulf/Pyr 75mg+250/12.5mg 3+1  dispersible tab" u="1"/>
        <s v="SLAN-96P PCR system Thermocycler, incl. RT-PCR analyser" u="1"/>
        <s v="dummy4" u="1"/>
        <s v="Space Spray (indoor)" u="1"/>
        <s v="Pipette tips, non-sterile" u="1"/>
        <s v="TB Tests" u="1"/>
        <s v="Other ARV medicines" u="1"/>
        <s v="Deltamethrin 25%,  (250 g/kg)" u="1"/>
        <s v="Vitamin B-6 (pyridoxine as hydrochloride)" u="1"/>
        <s v="Sysmex" u="1"/>
        <s v="Lubricant" u="1"/>
        <s v="Cryptococcus Ag Latex Agglutination Test" u="1"/>
        <s v="ARVs (Treatment - pediatric formulations)" u="1"/>
        <s v="Malaria Rapid Diagnostic Test Kit - Pf/Pan - POCT - HRP2/pLDH" u="1"/>
        <s v="Amoxicillin/Clavulanic acid" u="1"/>
        <s v="Aciclovir 200mg tablet" u="1"/>
        <s v="Sysmex - Partec Cyflow decontamination solution" u="1"/>
        <s v="Bleomycin" u="1"/>
        <s v="Amikacin 500mg/2mL solution for inj" u="1"/>
        <s v="Lopinavir/Ritonavir 40/10mg capsule (pellets)" u="1"/>
        <s v="Naloxone 1.8mg/0.1mL nasal spray" u="1"/>
        <s v="Isoniazid 100mg dispersible tablet" u="1"/>
        <s v="Magnifying hand lens for laboratory" u="1"/>
        <s v="Hematology equipment" u="1"/>
        <s v="Amodiaquine+Sulfadoxine/Pyrimethamine 76.5mg+250/12.5mg 3+1 tablet dispersible" u="1"/>
        <s v="BACTEC MGIT PZA Tubes (245115)" u="1"/>
        <s v="Malaria: Other health equipment" u="1"/>
        <s v="Truelab and Trueprep Extended warranty " u="1"/>
        <s v="Larvicide: Temephos 50% " u="1"/>
        <s v="Diagnostic  and consumables kit - LED/AURAMINE MICROSCOPY" u="1"/>
        <s v="Abacavir/Lamivudine/Zidovudine" u="1"/>
        <s v="Lamivudine/Zidovudine" u="1"/>
        <s v="HIV 1+2 - INSTI HIV Antibody Test Kit - accessories included - 48 tests" u="1"/>
        <s v="Malaria Surveillance: Laboratory Equipment" u="1"/>
        <s v="ThermoFisher Scientific - MicroAmp™ Optical 384-Well Reaction Plate with Barcode" u="1"/>
        <s v="Siemens - Elisa - HIV 1+2+O" u="1"/>
        <s v="QuantStudio™ 5 Real-Time PCR System" u="1"/>
        <s v="HIV: Testing controls for HIV tests" u="1"/>
        <s v="MTB/MPT64 identification - Other reagents" u="1"/>
        <s v="Sterile filter tips" u="1"/>
        <s v="Pesticides for entomological monitoring" u="1"/>
        <s v="GeneXpert IV-4 modules with laptop computer and barcode reader" u="1"/>
        <s v="BACTECmgIT Plug for Bad Station (445873)" u="1"/>
        <s v="dummy2" u="1"/>
        <s v="Roche - LightCycler 480 II" u="1"/>
        <s v="Rapid Diagnostic Test - Cryptococcus" u="1"/>
        <s v="Chlorhexidine Solution: 5% (digluconate) for dilution, bottle" u="1"/>
        <s v="Molecular testing: Surcharge" u="1"/>
        <s v="Consumables: Other (laboratory)" u="1"/>
        <s v="Naloxone" u="1"/>
        <s v="Larvicide: Spinosad 2.50%" u="1"/>
        <s v="Male condom 53 mm, thin, scent" u="1"/>
        <s v="OraQuick HCV Rapid Antibody Test Kit" u="1"/>
        <s v="Alere HIV/Syphilis Duo" u="1"/>
        <s v="Exhaust Hepa filter H14 " u="1"/>
        <s v="Molecular Testing: Equipment" u="1"/>
        <s v="HPV Qualitative Assay" u="1"/>
        <s v="Pipette tips, sterile, with filter" u="1"/>
        <s v="Radiographic film view box, non-powered" u="1"/>
        <s v="Pesticide application: Maintenance &amp; Service" u="1"/>
        <s v="Lens tissue" u="1"/>
        <s v="Male condom, 53 mm - plain - pack of 144" u="1"/>
        <s v="Prednisone 5mg tablet" u="1"/>
        <s v="Storage cardboard box for sterile cryovials 2mL" u="1"/>
        <s v="Harm reduction: supportive medicines" u="1"/>
        <s v="Stock solution" u="1"/>
        <s v="Medicines: Hepatitis B" u="1"/>
        <s v="Hydrocortisone" u="1"/>
        <s v="Medicines: Hepatitis C" u="1"/>
        <s v="Sysmex - Stromatolyser-4DL lyse " u="1"/>
        <s v="Medicines: TB prevention" u="1"/>
        <s v="Lidocaine 2% solution for injection" u="1"/>
        <s v="Streptomycin 1g powder for injection, vial" u="1"/>
        <s v="Sulphuric acid" u="1"/>
        <s v="Measuring beakers - various sizes" u="1"/>
        <s v="Pyrimethamine" u="1"/>
        <s v="Coverall,protection, CatIII, type 6b" u="1"/>
        <s v="Ribavirin 200mg tablet" u="1"/>
        <s v="Needle for lumbar puncture" u="1"/>
        <s v="Rack for sterile cryovials 2 mL" u="1"/>
        <s v="HIV: Waste management: consumables" u="1"/>
        <s v="Amodiaquine+Sulfadoxine/Pyrimethamine" u="1"/>
        <s v="HIV 1/2 - Bioline 3.0 Kit" u="1"/>
        <s v="Artemether/Lumefantrine 40/240mg tablet dispersible" u="1"/>
        <s v="Uni-Gold HIV test kit" u="1"/>
        <s v="Liquid culture and DST: Media,Reagents,Antibiotics" u="1"/>
        <s v="ThermoFisher Scientific - MicroAmp™ Optical Adhesive Film" u="1"/>
        <s v="Nystatin 100,000 IU/ml oral solution 30ml" u="1"/>
        <s v="Adhesive Tape " u="1"/>
        <s v="ThermoFisher Scientific - MicroAmp™ Fast Optical" u="1"/>
        <s v="Linezolid 100mg/5mL, bottle" u="1"/>
        <s v="Malaria Rapid Diagnostic Test Kit - Pf only, HRP2/pLDH, POCT" u="1"/>
        <s v="Cryotubes" u="1"/>
        <s v="Clearing agent for mounting media 5000mL " u="1"/>
        <s v="Dapsone" u="1"/>
        <s v="BACTEC MGIT 960 System (445870 including 440107 + 445941)" u="1"/>
        <s v="Female condom, latex, sponge, color, fragrance" u="1"/>
        <s v="dummy106" u="1"/>
        <s v="Clotrimzole" u="1"/>
        <s v="dummy116" u="1"/>
        <s v="Isoniazid 50mg tablet" u="1"/>
        <s v="Sysmex XN" u="1"/>
        <s v="Alpha-cypermethrin 10%" u="1"/>
        <s v="HIV 1/2 - MultiSure HIV Rapid Test" u="1"/>
        <s v="SD BIOLINE HBsAg WB test" u="1"/>
        <s v="Fluconazole 50mg/5ml powder for oral solution 35ml" u="1"/>
        <s v="Sysmex - Lysercell " u="1"/>
        <s v="Molecular diagnosis: LPA-Equipment" u="1"/>
        <s v="Needle: 30G (yellow) 12mm" u="1"/>
        <s v="HIV 1+2 - OraQuick HIV Self Test - accessories included - 250 Tests" u="1"/>
        <s v="Linezolid 2mg/mL, infusion bag" u="1"/>
        <s v="UV cross linker" u="1"/>
        <s v="Para-AminoSalicylate Sodium 60% w/w, delayed release granules" u="1"/>
        <s v="Larvicide: Temephos 500g/L " u="1"/>
        <s v="Ibuprofen" u="1"/>
        <s v="Adapter for 50 ml tubes 4- place for refrigerated centrifuge" u="1"/>
        <s v="GenoType MTBC V1.X" u="1"/>
        <s v="Malaria Waste management: Service Contracts" u="1"/>
        <s v="Pure drug substances" u="1"/>
        <s v="Rnase away surface decontamination" u="1"/>
        <s v="Itraconazole 100mg capsule" u="1"/>
        <s v="Cryptococcus - Latex Agglutination Antigen Detection System - 120 Tests" u="1"/>
        <s v="Efavirenz 50mg tablet" u="1"/>
        <s v="Diclofenac (as sodium) 50mg tablet" u="1"/>
        <s v="dummy80" u="1"/>
        <s v="dummy81" u="1"/>
        <s v="BBL Lowenstein-Jensen Medium + PACT, tubes (220502)" u="1"/>
        <s v="Valganciclovir" u="1"/>
        <s v="Roche - Cobas Integra" u="1"/>
        <s v="Slide drying rack" u="1"/>
        <s v="dummy82" u="1"/>
        <s v="Sysmex " u="1"/>
        <s v="Difco Middlebrook 7H10 Agar (262710)" u="1"/>
        <s v="Ultraviolet Germicidal Irradiation (floor standing)" u="1"/>
        <s v="Staining rack" u="1"/>
        <s v="dummy83" u="1"/>
        <s v="X-ray film processor - daylight" u="1"/>
        <s v="dummy84" u="1"/>
        <s v="OTHER Installation and Training" u="1"/>
        <s v="Amodiaquine+Sulfadoxine/Pyrimethamine 153mg+500/25mg 3+1 tablet dispersible" u="1"/>
        <s v="Cryptococcus Ag Latex lateral flow assay" u="1"/>
        <s v="Particle filter (for use with syringes)" u="1"/>
        <s v="dummy85" u="1"/>
        <s v="Rapid Diagnostic Test - Malaria" u="1"/>
        <s v="dummy86" u="1"/>
        <s v="Female condom, nitrile, ring, fragrance" u="1"/>
        <s v="GeneXpert XPERT Check kit" u="1"/>
        <s v="dummy87" u="1"/>
        <s v="Proguanil 100mg " u="1"/>
        <s v="GeneXpert XVI , Satellite, 16 sites" u="1"/>
        <s v="dummy88" u="1"/>
        <s v="dummy60" u="1"/>
        <s v="Dexamethasone 4mg/mL 1mL ampoule" u="1"/>
        <s v="Dexamethasone 5mg/mL 1mL ampoule" u="1"/>
        <s v="Malaria: Biosafety consumables" u="1"/>
        <s v="BACTECmgIT Plug for Bad Station (445873) " u="1"/>
        <s v="dummy89" u="1"/>
        <s v="Generic HIV Self-Test" u="1"/>
        <s v="dummy61" u="1"/>
        <s v="IRS Sprayers: backpack sprayer manual operated, 11.4L, each" u="1"/>
        <s v="ShangRing device" u="1"/>
        <s v="Artesunate/Mefloquine 100/200mg tablet" u="1"/>
        <s v="Truelab Uno Dx Workstation " u="1"/>
        <s v="Giemsa powder" u="1"/>
        <s v="GenoType MTBDRplus" u="1"/>
        <s v="dummy62" u="1"/>
        <s v="Positive control kit for GeneXpert" u="1"/>
        <s v="Dolutegravir 10mg dispersible tablet 90" u="1"/>
        <s v="dummy63" u="1"/>
        <s v="Artemether/Lumefantrine" u="1"/>
        <s v="Female condom, latex, ring, color" u="1"/>
        <s v="BACTECmgIT AST Carrier Set 5-tube  (445943) " u="1"/>
        <s v="EXACTO© TEST HIV DUO" u="1"/>
        <s v="dummy64" u="1"/>
        <s v="First Response HIV 1-2-0 Card Test (version 2.0)" u="1"/>
        <s v="Alpha-cypermethrin 6%" u="1"/>
        <s v="Artesunate/Pyronaridine 20/60mg oral granules sachet" u="1"/>
        <s v="dummy65" u="1"/>
        <s v="Adhesive Tape" u="1"/>
        <s v="Truenat MTB Rif" u="1"/>
        <s v="HIV: Other laboratory reagents" u="1"/>
        <s v="Roche - Cobas c111 Urea/BUN - 400 tests" u="1"/>
        <s v="Roche Early Infant Diagnosis Test Kit and Consumable Bundle" u="1"/>
        <s v="Abbott Early Infant Diagnosis Test Kit and Consumable Bundle - 96 tests" u="1"/>
        <s v="dummy66" u="1"/>
        <s v="Artesunate 100mg suppository" u="1"/>
        <s v="Truelab Uno Dx Workstation" u="1"/>
        <s v="HIV: General laboratory equipment" u="1"/>
        <s v="Atazanavir/Ritonavir" u="1"/>
        <s v="dummy67" u="1"/>
        <s v="VIKIA® HBsAg - 25 Tests" u="1"/>
        <s v="Male condom 49 mm, scent, color" u="1"/>
        <s v="Lamivudine 10mg/mL oral solution, bottle" u="1"/>
        <s v="BD MAX Qualification kit" u="1"/>
        <s v="dummy68" u="1"/>
        <s v="X-ray unit" u="1"/>
        <s v="dummy40" u="1"/>
        <s v="BD MAX Printer" u="1"/>
        <s v="IRS: Personal Protective Equipment (PPE)" u="1"/>
        <s v="dummy69" u="1"/>
        <s v="HIV 1+2 - Uni-gold HIV Kit" u="1"/>
        <s v="dummy41" u="1"/>
        <s v="Loopamp PURE DNA Extraction Kit 90 tests" u="1"/>
        <s v="BACTECmgIT AST Carrier Set 5-tube (445943)" u="1"/>
        <s v="Malaria Surveillance: Maintenance &amp; Service" u="1"/>
        <s v="Amphotericin B 50mg lyophilized powder for solution for inj." u="1"/>
        <s v="GenoType Mycobacterium AS V1.0" u="1"/>
        <s v="dummy42" u="1"/>
        <s v="BD MGIT TBc Identification Test" u="1"/>
        <s v="BACTECmgIT AST Carrier Set 4-tube (445944)" u="1"/>
        <s v="BD - FACSPresto printer paper roll - 5 rolls" u="1"/>
        <s v="Kanamycin 5g " u="1"/>
        <s v="HIV 1+2 - Stat-Pak HIV Kit" u="1"/>
        <s v="BACTECmgIT AST Carrier Set 3-tube (445945)" u="1"/>
        <s v="Urea (GLDH) test kit " u="1"/>
        <s v="Male condom 52 mm, contoured, ribbed" u="1"/>
        <s v="dummy43" u="1"/>
        <s v="Male condom 53 mm, scent, dotted" u="1"/>
        <s v="BACTECmgIT AST Carrier Set 2-tube (445946)" u="1"/>
        <s v="Lopinavir/Ritonavir 100/25mg tablet" u="1"/>
        <s v="Lopinavir/Ritonavir 200/50mg tablet" u="1"/>
        <s v="dummy44" u="1"/>
        <s v="Diphenhydramine 50mg tablet" u="1"/>
        <s v="Electric sterilizer for loops and needles" u="1"/>
        <s v="Gentamicin" u="1"/>
        <s v="Methylene blue " u="1"/>
        <s v="Isoniazid/Pyrazinamide/Rifampicin" u="1"/>
        <s v="SURE CHECK HIV 1/2 ASSAY" u="1"/>
        <s v="Needle: 25G (orange) 25mm" u="1"/>
        <s v="X-ray film processor -daylight" u="1"/>
        <s v="Male condom 53 mm, color, scent" u="1"/>
        <s v="dummy45" u="1"/>
        <s v="AccessCare Xpert " u="1"/>
        <s v="Atovaquone-Proguanil" u="1"/>
        <s v="Malaria Microscopy: Equipment" u="1"/>
        <s v="Naloxone 0.4mg/mL solution for parenteral injection" u="1"/>
        <s v="dummy46" u="1"/>
        <s v="Rapid Diagnostic Test - HIV/Syphilis" u="1"/>
        <s v="dummy47" u="1"/>
        <s v="Male condom" u="1"/>
      </sharedItems>
    </cacheField>
    <cacheField name="Packaging" numFmtId="0">
      <sharedItems containsBlank="1" count="1347">
        <s v="SARS-CoV-2 - Generic Rapid Antigen Diagnostic Test Kit - 1 test"/>
        <s v="BioMerieux EMAG (easyMAG) Equipment"/>
        <s v="Equipment"/>
        <s v="KingFisher™ Flex Purification System, KingFisher with 96 Deep-well"/>
        <s v="Qiagen QIAsymphony SP Equipment"/>
        <s v="Roche MagNA pure Equipment"/>
        <s v="Spare parts and accessories"/>
        <s v="Warranty, maintenance and service"/>
        <s v="Magnetic Stand for Manual Extraction 96 well magnet stand"/>
        <s v="Applied Biosystems 7500 Fast Dx Real Time PCR Systems"/>
        <s v="Applied Biosystems 7500 Fast Real Time PCR Systems"/>
        <s v="Applied Biosystems™ 7500 Real-Time PCR Instrument"/>
        <s v="BioRad CFX96 PCR system"/>
        <s v="Qiagen Rotor-Gene 5 Plex PCR system"/>
        <s v="QuantStudio™ 5 Real-Time PCR System, 384-well"/>
        <s v="QuantStudio™ 5 Real-Time PCR System, 96-well, 0.1 mL"/>
        <s v="QuantStudio™ 5 Real-Time PCR System, 96-well, 0.2 mL"/>
        <s v="Roche LightCycler 480 PCR system"/>
        <s v="SLAN-96P PCR system"/>
        <s v="GeneXpert 1-module Edge with tablet, barcode reader and auxiliary batteries"/>
        <s v="GeneXpert IV-2 modules with desktop computer and barcode reader"/>
        <s v="GeneXpert IV-2 modules with laptop computer and barcode reader"/>
        <s v="GeneXpert IV-4 modules with desktop computer and barcode reader"/>
        <s v="GeneXpert IV-4 modules with laptop computer and barcode reader"/>
        <s v="GeneXpert XVI-16 modules with desktop computer and barcode reader"/>
        <s v="GeneXpert XVI-16 modules with laptop computer and barcode reader"/>
        <s v="Cepheid Xpert Nasopharyngeal swab collection kit 100"/>
        <s v="Extraction consumables (e.g. deep-well plate, microplate)"/>
        <s v="Filtered Pipette Tips Sterile, 0.1-10 µl, 30 mm, Racked, 960 pieces, box"/>
        <s v="Filtered Pipette Tips Sterile, 100-1000 µl, 66 mm, Racked, 960 pieces, box"/>
        <s v="Filtered Pipette Tips Sterile, 20-200 µl, 30 mm, Racked, 960 pieces, box"/>
        <s v="Filtered Pipette Tips Sterile, 2-30 µl, 51 mm, Racked, 960 pieces, box"/>
        <s v="Other consumables - Enter details in Comments"/>
        <s v="Sample collection kit: swab"/>
        <s v="Sample collection kit: swab and viral transport medium"/>
        <s v="Sample collection kit: viral transport medium"/>
        <s v="Sample collection: Triple packaging boxes for transport"/>
        <s v="Abbott RealTime SARS-CoV-2 RT-PCR Kit 96 tests"/>
        <s v="BGI Real-time fluorescent RT-PCR kit for detecting 2019- nCoV"/>
        <s v="Cepheid Xpert® Xpress SARS-CoV-2 10 tests"/>
        <s v="Hologic Aptima SARS-CoV-2 assay"/>
        <s v="Other automated tests - please specify in the comments column"/>
        <s v="Other manual tests - please specify in the comments column"/>
        <s v="Qiagen QIAamp Viral RNA extraction kit"/>
        <s v="Roche Cobas SARS-CoV-2 RT-PCR Kit 96 tests"/>
        <s v="Thermo Fisher MagMAX Viral/Pathogen Nucleic Acid Isolation Kit"/>
        <s v="Thermo Fisher TaqPath COVID-19 CE-IVD RT-PCR Kit"/>
        <s v="Nasopharyngeal airway"/>
        <s v="Oropharyngeal airway,Guedel, sterile,single-use"/>
        <s v="Colorimetric end tidal CO2 detector"/>
        <s v="Set, emergency, 6 mm, sterile, single use"/>
        <s v="Endotracheal tube (specify in comments with cuff, without cuff)"/>
        <s v="Endotracheal tube introducer (specify in comments Bougie or Stylet)"/>
        <s v="Flow splitter, for oxygen concentrator, 5 flowmeters, range 0.125 – 2 l/m"/>
        <s v="Thorpe tube, pressure-compensated, with pressure regulator &amp; pressure-reducing valve, Barbed green “Christmas tree” connector to connect to tubing/patient delivery device"/>
        <s v="Thorpe tube, pressure-compensated, with pressure regulator &amp; pressure-reducing valve, DISS female/male connector (or other) &amp; adapter to connect with humidifier"/>
        <s v="Thorpe tube, pressure-compensated, with pressure regulator &amp; pressure-reducing valve, DISS female/male connector (or other) &amp; adapter to connect with regulator"/>
        <s v="Thorpe tube, pressure-compensated, with pressure regulator, Barbed green “Christmas tree” connector to connect to tubing/patient delivery device"/>
        <s v="Thorpe tube, pressure-compensated, with pressure regulator, DISS female/male connector (or other) &amp; adapter to connect with humidifier"/>
        <s v="Thorpe tube, pressure-compensated, with pressure regulator, DISS female/male connector (or other) &amp; adapter to connect with regulator"/>
        <s v="Humidifier, non-heated, reusable"/>
        <s v="Infusion giving sets for adult and pediatric use with IV catheters and scalp vein sets (all size)"/>
        <s v="Laryngoscope – adult/child"/>
        <s v="Laryngoscope – neonate"/>
        <s v="High flow with tubing &amp; patient interfaces, with accessories"/>
        <s v="High flow with tubing &amp; adapters, lubricated, non-sterile"/>
        <s v="Prongs, nasal, Oxygen, adult, single use"/>
        <s v="Prongs, nasal, Oxygen, child, single use"/>
        <s v="Prongs, nasal, Oxygen, neonate, single use"/>
        <s v="Other - Enter details in Comments"/>
        <s v="Oxygen mask with connection tube, reservoir bag and value, adult, single use"/>
        <s v="Oxygen mask with connection tube, reservoir bag and value, child, single use"/>
        <s v="Venturi mask with percent O2 Lock and tubing, adult"/>
        <s v="Venturi mask with percent O2 Lock and tubing, child"/>
        <s v="Handheld pulse oximeter probes, adult"/>
        <s v="Handheld pulse oximeter probes, neonatal"/>
        <s v="Handheld pulse oximeter probes, pediatric"/>
        <s v="Tabletop pulse oximeter probes, adult"/>
        <s v="Tabletop pulse oximeter probes, neonatal"/>
        <s v="Tabletop pulse oximeter probes, pediatric"/>
        <s v="Resuscitator, adult"/>
        <s v="Resuscitator, child"/>
        <s v="Suction devices (Electrical recommend)"/>
        <s v="Oxygen administration tubing, non-sterile"/>
        <s v="Suction tubing, silicone, non-sterile"/>
        <s v="Patient ventilator, for critical / intensive care, for adult &amp; paediatric, with breathing circuits &amp; patient interface"/>
        <s v="Patient ventilator, for transport, for adult &amp; paediatric, with breathing circuits &amp; patient interface"/>
        <s v="BiPAP, with tubing &amp; patient interfaces, with accessories"/>
        <s v="CPAP, with tubing and patient interfaces, adult &amp; paediatric, with accessories"/>
        <s v="High-Flow Nasal Cannula (HFNC) Oxygen Therapy Devices"/>
        <s v="Electrochemical, battery-powered, handheld"/>
        <s v="Ultrasonic, battery-powered, handheld"/>
        <s v="Oxygen concentrator, portable, with accessories"/>
        <s v="Oxygen concentrator, stationary/bedside, with accessories"/>
        <s v="Oxygen saturation monitor, portable fingertip, battery-powered"/>
        <s v="Oxygen saturation monitor, portable handheld, battery-powered, with cables &amp; sensor"/>
        <s v="Oxygen saturation monitor, tabletop, AC-powered, with cables &amp; sensor"/>
        <s v="Surge protector device, with multiple protected output sockets, hospital grade"/>
        <s v="Electronic, microprocessor controlled voltage stabilizer, with voltage monitor"/>
        <s v="Compressed oxygen or compressed medical air, with valves and regulators."/>
        <s v="Pressure Swing Adsorption (PSA) Oxygen Generator Plants"/>
        <s v="Portable, with cartridges and control solutions"/>
        <s v="Electronic drop counter, IV fluids"/>
        <s v="Infusion pump, with accessories"/>
        <s v="Patient monitor, multiparametric with EKG/ECG"/>
        <s v="Patient monitor, multiparametric without EKG/ECG"/>
        <s v="Non-contact infrared thermometer"/>
        <s v="Thermometer, clinical, non-cntct, incl bat"/>
        <s v="Portable, w/linear and phased array cardiac transducer (5.0-7.5 MHz), w/trolley"/>
        <s v="Darkroom Automatic X-ray Film processor"/>
        <s v="Daylight Automatic X-ray Film Processor"/>
        <s v="Mobile basic diagnostic x-ray system, analogue"/>
        <s v="Mobile basic diagnostic x-ray system, digital"/>
        <s v="Mobile flouroscopic x-ray system, analogue"/>
        <s v="Mobile flouroscopic x-ray system, digital"/>
        <s v="Other type"/>
        <s v="Radiographic film view box, non-powered"/>
        <s v="Solution: 80% v/v ethanol; 75% v/v isopropyl alcohol"/>
        <s v="Solution: 5% (digluconate) for dilution"/>
        <s v="NaDCC, granules, 1kg, 65 to 70% + measurement spoon"/>
        <s v="Enter details in Comments"/>
        <s v="Apron Reusable, 100"/>
        <s v="Faceshield Reusable"/>
        <s v="Faceshield Single-use, disposable"/>
        <s v="Gloves, Examination - Latex - non-sterile, single-use, disposable, powder-free 100"/>
        <s v="Gloves, Examination - Nitrile - non-sterile, single-use, disposable, powder-free100"/>
        <s v="Gloves, Surgical - sterile, single-use, disposable, powder-free pair"/>
        <s v="Goggles, protective, indirect side-ventilation"/>
        <s v="Gown, Isolation, non-woven, disposable, pack 10"/>
        <s v="Gown, Surgical sterile, single-use, disposable, standard perfusion"/>
        <s v="Mask, Medical, Type I, single-use, disposable 50"/>
        <s v="Mask, Surgical, Type II (non-fluid resistant), single-use, disposable 50"/>
        <s v="Mask, Surgical, Type IIR (fluid resistant), single-use, disposable 50"/>
        <s v="Airflow (fit-test) test set"/>
        <s v="Refill for airflow test set"/>
        <s v="Respirator, High-filt, FPP2/N95, non-sterile each"/>
        <s v="Respirator, High-filt, FPP3, non-sterile each"/>
        <s v="Surgical Respirator, High-filt, FPP2/N95, sterile each"/>
        <s v="Pants"/>
        <s v="Tops"/>
        <s v="Apron Single-use, disposable 100"/>
        <s v="Bootcover, anti-skid, elasticated, pair"/>
        <s v="Boots, rubber/PVC, reusable, pair"/>
        <s v="Coverall, Protection, CatIII, Type 6b"/>
        <s v="Apron, protection, plastic, reusable"/>
        <s v="Gloves, Heavy-duty, rubber/nitrile, pair"/>
        <s v="Cap, surgical, bouffant, non-woven, box 100"/>
        <s v="GeneXpert MTB/RIF Cartridge 10"/>
        <s v="GeneXpert MTB/RIF Cartridge 50"/>
        <s v="GeneXpert MTB/RIF ULTRA Cartridge 10"/>
        <s v="GeneXpert MTB/RIF ULTRA Cartridge 50"/>
        <s v="GeneXpert MTB/XDR Cartridge 10"/>
        <s v="Truenat MTB 20 tests"/>
        <s v="Truenat MTB Plus 20 tests"/>
        <s v="Truenat MTB-RIF Dx 20 tests"/>
        <s v="Cold box, Large, Long range, vaccine storage capacity"/>
        <s v="Multi-use data logger"/>
        <s v="Icepack"/>
        <s v="Configured for real-time monitoring of vaccine storage conditions"/>
        <s v="Vaccine carrier,Large, Long range vaccine storage capacity"/>
        <s v="Bag, biohazard, refuse, autoclav., min. 30 liters"/>
        <s v="Bag,biohazard, Other - Enter details in Comments"/>
        <s v="Bag,biohazard,red,100L,box/100"/>
        <s v="Container, sharps, leak-resistant, with lid"/>
        <s v="Service Contracts"/>
        <s v="SARS-CoV-2 - Generic Rapid Antibody Diagnostic Test Kit - 1 test"/>
        <s v="Needles and Syringes"/>
        <s v="Triple packaging boxes for transport"/>
        <s v="Single dose subcutaneous injection, each"/>
        <s v="0.5mg 1000"/>
        <s v="4mg tablet 100"/>
        <s v="4mg/ml vial 1ml ampoule 50"/>
        <s v="5mg/ml 1ml ampoule 100"/>
        <s v="5000 IU/ml, 5ml vial, box of 10 vials"/>
        <s v="1000ml"/>
        <s v="500ml"/>
        <s v="120mg/5ml oral solution 60ml - 140 bottles"/>
        <s v="500mg tablet 1000"/>
        <m u="1"/>
        <s v="Pack of 100 tablets" u="1"/>
        <s v="200mL bottle" u="1"/>
        <s v="Container/pack of 30 capsules" u="1"/>
        <s v="Container/pack of 60 capsules" u="1"/>
        <s v="Container/pack of 90 capsules" u="1"/>
        <s v="23L" u="1"/>
        <s v="Pack of 50 vials" u="1"/>
        <s v="Pack of 100 ampoules" u="1"/>
        <s v="Infusion pump" u="1"/>
        <s v="6 position" u="1"/>
        <s v="Abbott RealTime High Risk HPV - 96T/kit" u="1"/>
        <s v="4.5mL - 12x75mm - pack of 1000" u="1"/>
        <s v="9 tablets per blister, pack of 10 blisters" u="1"/>
        <s v="9 tablets per blister, pack of 25 blisters" u="1"/>
        <s v="100 cups" u="1"/>
        <s v="384 tests" u="1"/>
        <s v="Plain glass - 5mL - red - pack of 1000" u="1"/>
        <s v="Container/pack of 42 tablets" u="1"/>
        <s v="Pack of 25 Tests (02FK17)" u="1"/>
        <s v="Urea/BUN - 400 tests" u="1"/>
        <s v="Hand rub, Bottle/container 0.5L" u="1"/>
        <s v="Disposable - 21g - pack of 200" u="1"/>
        <s v="500g" u="1"/>
        <s v="Cholesterol gen.2 - 400 tests" u="1"/>
        <s v="Elecsys Anti-HBs II - 300 (07026854190)" u="1"/>
        <s v="Cobas HCV Test for use with 6800/8800 and PCS, 96 tests" u="1"/>
        <s v="92g sachet" u="1"/>
        <s v="Sterile, with burette" u="1"/>
        <s v="Cellpack - DCL 20L" u="1"/>
        <s v="AcT 5Diff diluent 20L" u="1"/>
        <s v="Glucose (GOD) test kit - 4x100mL - 1 kit" u="1"/>
        <s v="680L - 230V/50Hz" u="1"/>
        <s v="Pack of 30 tablets - No Carton" u="1"/>
        <s v="220 tests" u="1"/>
        <s v="8 position" u="1"/>
        <s v="Pants, 1 piece" u="1"/>
        <s v="100 tests" u="1"/>
        <s v="300 analyzer" u="1"/>
        <s v="3.5mL bottle" u="1"/>
        <s v="50mL container" u="1"/>
        <s v="Control kit - 25T/kit" u="1"/>
        <s v="Container/pack of 14 tablets" u="1"/>
        <s v="Container/pack of 24 tablets" u="1"/>
        <s v="Container/pack of 84 tablets" u="1"/>
        <s v="Triglycerides (GPO) kit 4x250mL" u="1"/>
        <s v="2 years" u="1"/>
        <s v="BioRad CFX96 PCR system Thermocycler, incl. RT-PCR analyser" u="1"/>
        <s v="Backpack" u="1"/>
        <s v="100-1000ul" u="1"/>
        <s v="Pack of 100 tests, accessories included (1001-0079)" u="1"/>
        <s v="Pack of 20 tests (43030-020)" u="1"/>
        <s v="Optical calibration Kit (04J71-93)" u="1"/>
        <s v="Tube 3.5mL - pack of 500" u="1"/>
        <s v="Capacity 390L" u="1"/>
        <s v="Abbott - Realtime CT/NG" u="1"/>
        <s v="Flupyradifurone, Transfluthrin 52.5 g/L Transfluthrin; 26.3 g/L Flupyradifurone Emulsion, oil in water (EW)" u="1"/>
        <s v="Pack of 25 Tests (Z09742CE)" u="1"/>
        <s v="BSL II" u="1"/>
        <s v="bioMerieux - Nuclisens EasyMag Instrument + Nuclisens EasyQ Analyzer" u="1"/>
        <s v="82mL container" u="1"/>
        <s v="Container/pack of 26 tablets" u="1"/>
        <s v="Container/pack of 36 tablets" u="1"/>
        <s v="Container/pack of 56 tablets" u="1"/>
        <s v="4 years" u="1"/>
        <s v="Co-blistered, pack of 50 blister" u="1"/>
        <s v="Murex HBsAg Version 4 - 480T/kit" u="1"/>
        <s v="GenoType MTBDR plus V2 (with Genolyse) pack of 96 tests" u="1"/>
        <s v="2mL, 1000 pieces" u="1"/>
        <s v="Kit of 120 tests" u="1"/>
        <s v="Elecsys Anti-HBs II - 300 (08498610190)" u="1"/>
        <s v="Container of 100g" u="1"/>
        <s v="HumaTurb C+ HumaTurb A" u="1"/>
        <s v="Lyophilized drug for lab use" u="1"/>
        <s v="Soap Antibacterial, container/bottle of 0.5L" u="1"/>
        <s v="Pack of 25 x 1 Test, POCT" u="1"/>
        <s v="500 tests" u="1"/>
        <s v="Container/pack of 28 tablets" u="1"/>
        <s v="Container/pack of 48 tablets" u="1"/>
        <s v="Burn rate of 30kg/hr, with spare parts package" u="1"/>
        <s v="TB.300 + TSK.910 - T-SPOT®.TB 8 with T-Cell Select, 144 tests" u="1"/>
        <s v="Pack of 28 sachets" u="1"/>
        <s v="QIASymphony AS instrument" u="1"/>
        <s v="QIASymphony SP instrument" u="1"/>
        <s v="Xpert CT/NG Assay, 10 cartridges per pack" u="1"/>
        <s v="Calibrator 3x3mL" u="1"/>
        <s v="HP M255DW (257819)" u="1"/>
        <s v="Biorad - 0.2mL 8-Tube PCR Strips without Caps, low profile, clear, pack of 120 pieces (TLS0801/TLS0851EDU)" u="1"/>
        <s v="Biorad - 0.2mL 8-Tube PCR Strips without Caps, low profile, white, pack of 120 pieces (TLS0801/TLS0851EDU)" u="1"/>
        <s v="500 pieces" u="1"/>
        <s v="Red, 41.5x60cm/15L, pack of 50" u="1"/>
        <s v="Red, 90x100cm/100L, pack of 50" u="1"/>
        <s v="Universal Cartridge, 384T/Kit - 744300.4.UC 384" u="1"/>
        <s v="24 tablets per blister, pack of 30 blisters" u="1"/>
        <s v="12 tablets per blister, pack of 30 blisters" u="1"/>
        <s v="11.4L, each" u="1"/>
        <s v="Wettable powder (WP), 100g sachet" u="1"/>
        <s v="Wettable powder (WP), 200g sachet" u="1"/>
        <s v="Wettable powder (WP), 670g sachet" u="1"/>
        <s v="Elecsys Anti-HBc II - 300 (07026790190)" u="1"/>
        <s v="Elecsys Anti-HBs II - 200 (06771823190)" u="1"/>
        <s v="Lambda-Cyhalothrin 25g/L Emulsifiable concentrate (EC)" u="1"/>
        <s v="Lambda-Cyhalothrin 50g/L Emulsifiable concentrate (EC)" u="1"/>
        <s v="Clear, 41.5x60cm/15L, pack of 50" u="1"/>
        <s v="Clear, 90x100cm/100L, pack of 50" u="1"/>
        <s v="Pack of 1" u="1"/>
        <s v="Biorad - Hard-Shell 96-Well PCR Plates, Low Profile, Thin wall, skirted, White/Clear, pack of 50 pieces (HSP9601)" u="1"/>
        <s v="GenoType MTBC pack of 96 tests" u="1"/>
        <s v="Hand rub, Bottle/container 2.5L" u="1"/>
        <s v="TB.300 + TTK.610 - T-SPOT®.TB 8 with T-Cell Xtend, 40 tests" u="1"/>
        <s v="Unit" u="1"/>
        <s v="Sulfolyser hemoglobin lysing 2 x 1.5L" u="1"/>
        <s v="Deltamethrin 2% (20g/L) Emulsion, oil in water (EW)" u="1"/>
        <s v="Pack of 40 tests (IHI-T402WA)" u="1"/>
        <s v="LYS REAGENT IVD, 4 x 875mL - 6997538190" u="1"/>
        <s v="Cleaning solution 250mL" u="1"/>
        <s v="250mL" u="1"/>
        <s v="100-1000ul, 66mm, 960 pieces" u="1"/>
        <s v="5cm x 5m , 4 rolls" u="1"/>
        <s v="Capacity 751L" u="1"/>
        <s v="Pack of 50 tests (72330)" u="1"/>
        <s v="Calibrite 3-color beads kit - 25T/kit" u="1"/>
        <s v="Illumina - NextSeq1000, Next-Generation Sequencing Equipment - 20038898" u="1"/>
        <s v="Disposable,1 piece" u="1"/>
        <s v="Lambda-Cyhalothrin 2.5% Emulsifiable concentrate (EC)" u="1"/>
        <s v="GenoType MTBDRsl kit - 96 tests" u="1"/>
        <s v="AcT 5Diff lyse reagent WBC 1L" u="1"/>
        <s v="CD4 reagent kit - 50T/kit" u="1"/>
        <s v="Incubator Capacity 32L" u="1"/>
        <s v="Printer paper - 1 paper roll included" u="1"/>
        <s v="Genoscholar NTM+MDRTB II pack of 20 tests" u="1"/>
        <s v="2mL ampoule" u="1"/>
        <s v="Pack of 25 Tests (PI03FRC25CE)" u="1"/>
        <s v="HumaHeat" u="1"/>
        <s v="Pack of 25 tests, (I05FRC25CE)" u="1"/>
        <s v="3 tablets per blister, pack of 100 blisters" u="1"/>
        <s v="Blister of 6 tablets" u="1"/>
        <s v="BD MAX ™ System - 441916" u="1"/>
        <s v="artus HBV RG RT-PCR Kit, 96 tests" u="1"/>
        <s v="artus HCV RG RT-PCR Kit, 96 tests" u="1"/>
        <s v="Pack of 25 sachets" u="1"/>
        <s v="ISE calibrator indirect urine - 2x230mL" u="1"/>
        <s v="Pack of 100 tests (7D2847)" u="1"/>
        <s v="Selectra system clean solution 1L" u="1"/>
        <s v="96-Well Reaction Plate with Barcode, 0.1 mL, pack of 20 pieces (4346906)" u="1"/>
        <s v="Xpert MTB/RIF ULTRA Cartridge, 10 tests" u="1"/>
        <s v="Kit of 96 wells (12 strips x 8 wells)" u="1"/>
        <s v="Illumina - NextSeq2000, Next-Generation Sequencing Equipment - 20038897" u="1"/>
        <s v="DNA extraction, amplification, isolation, purification" u="1"/>
        <s v="Pack of 100 tests" u="1"/>
        <s v="20mL ampoules, pack of 5 ampoules" u="1"/>
        <s v="Pack of 10 Tests (PI10FRC10C)" u="1"/>
        <s v="Container/pack of 120 tablets - no carton" u="1"/>
        <s v="Container/pack of 180 tablets - no carton" u="1"/>
        <s v="Pack of 30 Tests (PI10FRC30C)" u="1"/>
        <s v="Class II Type A2, w/ Stand + UV Light" u="1"/>
        <s v="Pack of 25 Tests, (7D2741)" u="1"/>
        <s v="Red, 84x52cm, pack of 50" u="1"/>
        <s v="Pack of 5 tests, (PI05FRC05)" u="1"/>
        <s v="Pack of 30 Tests (I10FRC30C)" u="1"/>
        <s v="Wettable powder in water soluble bag (WP-SB), 62.5g sachet" u="1"/>
        <s v="1 test (60-9508-0)" u="1"/>
        <s v="PocH reagent PoCH pack 65XL" u="1"/>
        <s v="Pack of 25 tests (PI08FRC25)" u="1"/>
        <s v="Incubator Capacity 749L" u="1"/>
        <s v="SAMBA I, SAMBAprep - instrument" u="1"/>
        <s v="UREA/BUN - 500 tests" u="1"/>
        <s v="Elecsys HBeAg - 100 (11820583122)" u="1"/>
        <s v="Monolisa HBsAg ULTRA assay - 96T/kit" u="1"/>
        <s v="Pack of 40 tests (ITP01152-TC40)" u="1"/>
        <s v="Pack of 25 tests, accessories included (I20FRC25)" u="1"/>
        <s v="Red, 84x52cm, pack of 200" u="1"/>
        <s v="Supply tube, each" u="1"/>
        <s v="Pack of 100 tests (7D2843)" u="1"/>
        <s v="Water dispersible granules in non-soluble bag, 20g sachet, 150 sachets" u="1"/>
        <s v="1.5mL, 500 pieces" u="1"/>
        <s v="carton, 13x13x5cm" u="1"/>
        <s v="Pack of 25 Tests (31124)" u="1"/>
        <s v="1 unit with accessories" u="1"/>
        <s v="Maintenance and service contracts" u="1"/>
        <s v="Clothianidin, Deltamethrin technical grade insecticide" u="1"/>
        <s v="AcT 5Diff rinse reagent 1L" u="1"/>
        <s v="Etofenprox technical grade insecticide" u="1"/>
        <s v="CD4% easy count kit - pack of 100 tests" u="1"/>
        <s v="14mL" u="1"/>
        <s v="Vital signs monitor, 6 parameters, portable, w/access, 1 unit" u="1"/>
        <s v="Single-use (Disposable), Pack of 100" u="1"/>
        <s v="Genedrive Instrument" u="1"/>
        <s v="Trucount controls - 30 tests" u="1"/>
        <s v="20-200ul" u="1"/>
        <s v="AMPLIFICATION PLATE, pack of 32 pieces - 5534941001" u="1"/>
        <s v="5 calibrators (PRD-03002)" u="1"/>
        <s v="Bio-Rad - CFX96 Dx Optical Reaction Module (Includes CFX Manager Dx Software) - 1845097-IVD" u="1"/>
        <s v="Bio-Rad - Bio-Rad, C1000 Touch, PCR Equipment / Thermal Cycler - Bio-Rad/1841000-IVD" u="1"/>
        <s v="Sets 1-3 (20043137)" u="1"/>
        <s v="Sets 1-4 (20043137)" u="1"/>
        <s v="Pack of 30 Tests (01FK10W)" u="1"/>
        <s v="1-20ul, pack of 960" u="1"/>
        <s v="artus HBV QS-RGQ Kit, 24 tests" u="1"/>
        <s v="artus HCV QS-RGQ Kit, 24 tests" u="1"/>
        <s v="2mL - pack of 500" u="1"/>
        <s v="100mL per bottle, pack of 40 bottles" u="1"/>
        <s v="384-well Thermocycler, incl. RT-PCR analyser" u="1"/>
        <s v="Pack of 100 Tests, (7D2740)" u="1"/>
        <s v="STRIP Kits" u="1"/>
        <s v="Thermal paper - 5 roll" u="1"/>
        <s v="Elecsys Anti-HBs II - 100 (08498598190)" u="1"/>
        <s v="100 sheets" u="1"/>
        <s v="Pack of 100 Tests (7D2943)" u="1"/>
        <s v="1-100ul, pack of 960" u="1"/>
        <s v="Loopamp MTBC Detection Kit - 2 x 48 Tests" u="1"/>
        <s v="Pack of 25 Tests (09HIV30DM)" u="1"/>
        <s v="AcT 5Diff lyse reagent Hb 400mL" u="1"/>
        <s v="Co-blistered, 12 tablet + 12 tablet, 1 blister" u="1"/>
        <s v="10ul" u="1"/>
        <s v="500g - 25 rolls" u="1"/>
        <s v="Pack of 30 Tests (I03FRC30CE)" u="1"/>
        <s v="GGT-2 - 400 tests" u="1"/>
        <s v="Murex anti-HCV Version 5 - 480T/kit" u="1"/>
        <s v="384-wells, PCR Equipment - 5015243001" u="1"/>
        <s v="30mL" u="1"/>
        <s v="Pyriproxyfen 2% Matrix realease (MR)" u="1"/>
        <s v="48 tests" u="1"/>
        <s v="36 tests" u="1"/>
        <s v="Safety Helmet" u="1"/>
        <s v="Spinosad 20.62% (240 g/L) Emulsifiable concentrate (EC)" u="1"/>
        <s v="24 tests" u="1"/>
        <s v="12 tests" u="1"/>
        <s v="SLAN-96P incl. RT-PCR analyser" u="1"/>
        <s v="Pack of 30 sachets" u="1"/>
        <s v="Pack of 60 sachets" u="1"/>
        <s v="Pack of 90 sachets" u="1"/>
        <s v="Xpert MTB/RIF ULTRA Cartridge, 50 cartridges" u="1"/>
        <s v="BD Multicheck control (blood) - 2.5mL - 1 vial" u="1"/>
        <s v="20-300ul" u="1"/>
        <s v="GeneXpert IV-2, 3 years" u="1"/>
        <s v="GeneXpert IV-4, 3 years" u="1"/>
        <s v="Pack of 10 tests, (PI05FRC10)" u="1"/>
        <s v="Imidacloprid, Prallethrin 0.75% Prallethrin; 3% Imidacloprid Ultra-low volume (ULV) liquid (UL)" u="1"/>
        <s v="Amylase (CNP-G3) test kit - 405nm - 12x10ml - 1 kit" u="1"/>
        <s v="Rotor-Gene Q MDx 5plex HRM" u="1"/>
        <s v="Wettable powder in water soluble bag (WP-SB), 125g bag" u="1"/>
        <s v="MGP Set, Pack of 12 Tubes - 7806361001" u="1"/>
        <s v="50mL" u="1"/>
        <s v="1-10ul" u="1"/>
        <s v="Capacity 602L" u="1"/>
        <s v="Roche - Cobas HPV" u="1"/>
        <s v="20 tests" u="1"/>
        <s v="5-300ul, pack of 960" u="1"/>
        <s v="Fluorocell RET cartridge 2X12mL" u="1"/>
        <s v="Wettable powder in water-soluble bag (WP-SB), 100g bag" u="1"/>
        <s v="20g tube, pack of 10 tubes" u="1"/>
        <s v="1250x65x250" u="1"/>
        <s v="Hand rub Bottle/container 0.25L" u="1"/>
        <s v="170mL bottle" u="1"/>
        <s v="115mL container" u="1"/>
        <s v="Pack of 25 tests, accessories included, (PI05FRC25)" u="1"/>
        <s v="Elecsys Anti-HBc II - 300 (09014926190)" u="1"/>
        <s v="Amylase ver.2 - 300 tests" u="1"/>
        <s v="Nozzle tip stainless steel , each" u="1"/>
        <s v="Total Protein gen.2 - 300 tests" u="1"/>
        <s v="Bacillus thuringiensis subsp. Israelensis strain AM65-52 37.4% - 3000 ITU/mg Water dispersible granules (WG)" u="1"/>
        <s v="Surgical, Sterile, disposable, powder free, 1 Pair" u="1"/>
        <s v="QIAsymphony SP Equipment Automated extractors" u="1"/>
        <s v="10mL bottle" u="1"/>
        <s v="Basic Agreement (extended warranty) for Rotor-Gene Q" u="1"/>
        <s v="250mL bottle" u="1"/>
        <s v="96 tests" u="1"/>
        <s v="AcT 5Diff fix reagent 1L" u="1"/>
        <s v="Yellow, 41.5x60cm/15L, pack of 50" u="1"/>
        <s v="Yellow, 90x100cm/100L, pack of 50" u="1"/>
        <s v="72 tests" u="1"/>
        <s v="Pack of 25" u="1"/>
        <s v="With warranty extension for 1 year" u="1"/>
        <s v="192 tests" u="1"/>
        <s v="5-50ul" u="1"/>
        <s v="Swing-out rotor 4 - place" u="1"/>
        <s v="Glucose (GOD) kit 12x20mL" u="1"/>
        <s v="Suspension concentrate (= flowable concentrate) (SC), 250mL bottle" u="1"/>
        <s v="196 tests" u="1"/>
        <s v="Heavy-duty, Nitrile, 1 pair" u="1"/>
        <s v="1 system with desktop computer" u="1"/>
        <s v="30mL bottle" u="1"/>
        <s v="BIOSYNEX Crypto PS - 20T/kit" u="1"/>
        <s v="Cell Clean solution 50mL bottle" u="1"/>
        <s v="Elitrol control serum II abnormal 10x5mL" u="1"/>
        <s v="Long sleeved overalls" u="1"/>
        <s v="Bead standards - 1 kit" u="1"/>
        <s v="Burn rate of 100 kg/hr, with spare parts package" u="1"/>
        <s v="Abbott RealTime MTB Amplification Reagent Kit, 96 tests" u="1"/>
        <s v="Elecsys HBeAg - 300 (09015558190)" u="1"/>
        <s v="Alinity m" u="1"/>
        <s v="Container/pack of 30 tablets-no carton" u="1"/>
        <s v="500g (271310)" u="1"/>
        <s v="500mL - 2 bottles" u="1"/>
        <s v="Monolisa HCV Ag-Ab ULTRA V2 assay - 96T/kit" u="1"/>
        <s v="Roche - Cobas 6800 - instrument" u="1"/>
        <s v="Roche - Cobas 8800 - instrument" u="1"/>
        <s v="AcT rinse shutdown 500mL" u="1"/>
        <s v="Total Protein gen.2 - 400 tests" u="1"/>
        <s v="Pack of 25 Tests (09SYP10)" u="1"/>
        <s v="Kit of 50 tests" u="1"/>
        <s v="Elecsys Anti-HBs II - 100 (05894816190)" u="1"/>
        <s v="Surgical, Type IIR (fluid resistant), disposable, Pack of 50" u="1"/>
        <s v="Abbott RealTime MTB RIF/INH Resistance Amplification Reagent Kit, 96 tests" u="1"/>
        <s v="Thermal paper TP-2 - 50 rolls" u="1"/>
        <s v="7.5L, each" u="1"/>
        <s v="Rubber/PVC, reusable, 1 pair" u="1"/>
        <s v="180x160x180" u="1"/>
        <s v="5mL - 100 tips" u="1"/>
        <s v="Pack of 100 Tests (1206502-100)" u="1"/>
        <s v="Ultra-portable DR system" u="1"/>
        <s v="550 analyzer" u="1"/>
        <s v="1 system" u="1"/>
        <s v="GeneXpert XVI, 1 year" u="1"/>
        <s v="100-lb. Pressure Gauge, each" u="1"/>
        <s v="0.1-10ul, 30mm, 960 pieces" u="1"/>
        <s v="Repair kit, 1 Kit" u="1"/>
        <s v="Cholesterol total (CHOD) kit 4x250mL" u="1"/>
        <s v="DNBSEQ G400RS,Next-Generation Sequencing Equipment - 900-000170-00" u="1"/>
        <s v="DNBSEQ G50RS, Next-Generation Sequencing Equipment - 900-000354-00" u="1"/>
        <s v="Pack of 25 Tests (H18100)" u="1"/>
        <s v="ALT (GPT) test kit - 10x10ml - 1 kit" u="1"/>
        <s v="Capacity 7L" u="1"/>
        <s v="Pack of 1000 sachets" u="1"/>
        <s v="Novaluron 10% (100g/L) Emulsifiable concentrate (EC)" u="1"/>
        <s v="180x160x170" u="1"/>
        <s v="Pack of 100 Tests (1001-0274)" u="1"/>
        <s v="Yellow, 2-200ul, pack of 1000" u="1"/>
        <s v="Emulsifiable concentrate (EC), 1000mL bottle" u="1"/>
        <s v="-12 celcius to -30c - 680L - 115V/60Hz" u="1"/>
        <s v="Full Face Respirator with filter" u="1"/>
        <s v="Pack of 10" u="1"/>
        <s v="Pack of 100 Tests (PI08FRC10)" u="1"/>
        <s v="Plastic, sterile, conical - 15mL - 500 tubes" u="1"/>
        <s v="Electronic dispenser 50mL" u="1"/>
        <s v="Pack of 25 Tests (H18101)" u="1"/>
        <s v="Elecsys Anti-HBs II - 200 (08498601190)" u="1"/>
        <s v="Suspension concentrate (= flowable concentrate) (SC), 1000mL bottle" u="1"/>
        <s v="Examination, non-sterile, disposable, powder free, Latex, Pack of 100" u="1"/>
        <s v="1 piece" u="1"/>
        <s v="Calibrator vial" u="1"/>
        <s v="artus HBV QS-RGQ Kit, 72 tests" u="1"/>
        <s v="artus HCV QS-RGQ Kit, 72 tests" u="1"/>
        <s v="-40 celcius - 253L - 230V - incl. accessories" u="1"/>
        <s v="9 tablets per blister, pack of 1 blister" u="1"/>
        <s v="O Ring for supply tube,each" u="1"/>
        <s v="Fluorocell WDF cartridge 2X42mL" u="1"/>
        <s v="High Output Reagent v2.5 (300 Cycles) (20024908)" u="1"/>
        <s v="856L - 230V/50Hz" u="1"/>
        <s v="Pack of 25 tests (72327)" u="1"/>
        <s v="Paper roll thermal - 5 rolls" u="1"/>
        <s v="1000 units/pack" u="1"/>
        <s v="Malathion 40.9% w/w (440 g/L) Emulsion, oil in water (EW)" u="1"/>
        <s v="Pack of 25 tests (72347)" u="1"/>
        <s v="Temperature range -30°C to +70°C" u="1"/>
        <s v="Pack of 2 suppositories" u="1"/>
        <s v="96-Well Reaction Plate with Barcode, pack of 20 pieces (4306737)" u="1"/>
        <s v="Temperature range -40°C to +85°C" u="1"/>
        <s v="Elecsys Anti-HCV II - 300 (07026889190)" u="1"/>
        <s v="1 set" u="1"/>
        <s v="INNOTEST HCV Ab IV - 480T/kit" u="1"/>
        <s v="Paperboard - 5L - White" u="1"/>
        <s v="Capacity 40L, with accessories" u="1"/>
        <s v="Capacity 62L, with accessories" u="1"/>
        <s v="180x160x150" u="1"/>
        <s v="Biorad - 0.2mL Flat PCR Tube 8-Cap Strips, optical, ultraclear, pack of 120 pieces (TCS0803)" u="1"/>
        <s v="Pack of 32" u="1"/>
        <s v="Isolation, Non-woven, disposable, pack of 10" u="1"/>
        <s v="Co-blistered pack of 28+28 tablets" u="1"/>
        <s v="Abbott - RealTime CT" u="1"/>
        <s v="2 x 24 tests (443878)" u="1"/>
        <s v="Cobas MTB-RIF/INH, 72 tests" u="1"/>
        <s v="3 tablets per blister, pack of 2 blisters" u="1"/>
        <s v="3 tablets per blister, pack of 8 blisters" u="1"/>
        <s v="Round bucket 4 - place" u="1"/>
        <s v="Bottle of 140mL" u="1"/>
        <s v="m-PIMA Analyser" u="1"/>
        <s v="Capacity 7L (with 14 ice‐packs 0.6 liter, liquid crystal thermometer)" u="1"/>
        <s v="Container/pack of 30 tablets - no carton" u="1"/>
        <s v="Container/pack of 60 tablets - no carton" u="1"/>
        <s v="Container/pack of 90 tablets - no carton" u="1"/>
        <s v="Lysercell WDF 5L" u="1"/>
        <s v="Processing Cartridge, Pack of 36 Pieces - 6241603001" u="1"/>
        <s v="Plastic" u="1"/>
        <s v="1 device with standard accessories" u="1"/>
        <s v="AccuPower® HCV Quantitative RT-PCR Kit, 96 tests" u="1"/>
        <s v="Panel of 50 tests" u="1"/>
        <s v="Total Protein test kit - 546 nm - 4x100ml - 1 kit" u="1"/>
        <s v="Kit for 1 drawer" u="1"/>
        <s v="Lysercell WNR 5L" u="1"/>
        <s v="careHPV Test, 96 tests" u="1"/>
        <s v="B-1256 - DS-EIA-HBsAg-0,04 - 1 plate 96 (for detection) or 48 (for confirmation)" u="1"/>
        <s v="Pack of 20 Tests (7D2942)" u="1"/>
        <s v="WASH Reagent IVD, 4.2mL - 6997503190" u="1"/>
        <s v="5 x 96 tests" u="1"/>
        <s v="Pack of 25 tests, Safety Lancet" u="1"/>
        <s v="3 channel" u="1"/>
        <s v="DNA and Viral NA Large Volume, 288 tests" u="1"/>
        <s v="1mL ampoules, pack of 10 ampoules" u="1"/>
        <s v="Probe - pack of 2" u="1"/>
        <s v="Elecsys HBeAg - 100 (09015540190)" u="1"/>
        <s v="N95, NIOSH or FFP2 &amp; Type IIR, CE Marked, no-valve, sterile, Piece" u="1"/>
        <s v="Zeiss PrimoStar iLED" u="1"/>
        <s v="3WP control (BL) high level - 1.5mL - 12 vials" u="1"/>
        <s v="Control kit 3 x 12" u="1"/>
        <s v="PCR tubes 0.2 mL, 1000 pieces" u="1"/>
        <s v="1 set with standard accessories" u="1"/>
        <s v="Diflubenzuron 2% (20 g/kg) Granule (GR)" u="1"/>
        <s v="Examination, non-sterile, disposable, powder free, Nitrile, Pack of 100" u="1"/>
        <s v="1 year" u="1"/>
        <s v="Kit, 2 x 24 tests (444048)" u="1"/>
        <s v="System Fluid (External), Bottle of 5500mL - 6640729001" u="1"/>
        <s v="Pack of 25 Tests (09HCV10D)" u="1"/>
        <s v="AST (GOT) test kit - 8x50ml - 1 kit" u="1"/>
        <s v="Fuchsin, package of 100g" u="1"/>
        <s v="Pack of 10 tests (WJ-1810)" u="1"/>
        <s v="192/2 plates" u="1"/>
        <s v="Pack of 60 Tests (I20FRC60)" u="1"/>
        <s v="Co-blistered, 3 tablet + 3 tablet, 1 blister" u="1"/>
        <s v="Co-blistered, 6 tablet + 6 tablet, 1 blister" u="1"/>
        <s v="15mL (245116)" u="1"/>
        <s v="Cobas MTB, 384 tests" u="1"/>
        <s v="ISE diluent reagent 25mL - 12 vials" u="1"/>
        <s v="Each" u="1"/>
        <s v="REAGENT RENTAL, 24 tests" u="1"/>
        <s v="EDTA-K3 - 6mL - pack of 1200" u="1"/>
        <s v="INNOTEST HCV Ab IV - 192T/kit" u="1"/>
        <s v="GeneXpert XVI, 3 years" u="1"/>
        <s v="5mL ampoules, pack of 100 ampoules" u="1"/>
        <s v="Surgical, Sterile, disposable, 1 Piece" u="1"/>
        <s v="1700 labels" u="1"/>
        <s v="Elecsys Anti-HCV II - 100 (08836981190)" u="1"/>
        <s v="Bilirubin tot. gen.3 - 250 tests" u="1"/>
        <s v="Pack of 20 tests, accessories included (1206502-C)" u="1"/>
        <s v="Bottle of 1000mL (1L)" u="1"/>
        <s v="100 cartridges" u="1"/>
        <s v="10 pieces" u="1"/>
        <s v="Pack of 30 tests (HVWRPD-01)" u="1"/>
        <s v="102.5g sachet, pack of 120 sachets" u="1"/>
        <s v="Pack of 25 tests (09HIV20D)" u="1"/>
        <s v="Illumina - MiniSeq, Next-Generation Sequencing Equipment - 15073750" u="1"/>
        <s v="5mL ampoules, pack of 10 ampoules" u="1"/>
        <s v="5mL ampoules, pack of 20 ampoules" u="1"/>
        <s v="5mL ampoules, pack of 50 ampoules" u="1"/>
        <s v="PCR Cartridges, 576 per box - 437519" u="1"/>
        <s v="Creatinine (PAP) kit 8x21mL+8x7mL" u="1"/>
        <s v="Bilirubin direct Gen.2 - 250 tests" u="1"/>
        <s v="3 tablets per blister, 1 blister" u="1"/>
        <s v="GenoType MTBDRsl 2.0 (without Genolyse) pack of 96 tests" u="1"/>
        <s v="Cleaning fluid 5000mL pack (5L)" u="1"/>
        <s v="Container/pack of 336 tablets" u="1"/>
        <s v="Pack of 25 tests, accessories included (31112)" u="1"/>
        <s v="30g tube" u="1"/>
        <s v="1kg" u="1"/>
        <s v="12 channel" u="1"/>
        <s v="Pack of 25 Tests (09HIV30D)" u="1"/>
        <s v="Microcuvette segment - pack of 1680" u="1"/>
        <s v="3WP control (BL) low level - 1.5mL - 12 vials" u="1"/>
        <s v="REAGENT RENTAL - 72 tests" u="1"/>
        <s v="96 Tip Como, pack of 100 (97002534)" u="1"/>
        <s v="CD4/CD8/CD3 reagent kit - 50T/kit" u="1"/>
        <s v="Wettable powder in non-soluble bag, 80g sachet, 130 sachets" u="1"/>
        <s v="Bacillus thuringiensis subsp. Israelensis strain AM65-52 2.8% - 200 ITU/mg Granule (GR)" u="1"/>
        <s v="150m" u="1"/>
        <s v="Sterile, with needle" u="1"/>
        <s v="Pack of 20 tests (7D2846)" u="1"/>
        <s v="18 tablets per blister, 1 blister" u="1"/>
        <s v="NaF/C2K204 gray - 1000" u="1"/>
        <s v="Nozzle tip, each" u="1"/>
        <s v="Maintenance &amp; Service costs" u="1"/>
        <s v="Container/pack of 672 tablets" u="1"/>
        <s v="Pump cap assembly brass, each" u="1"/>
        <s v="50 pieces" u="1"/>
        <s v="Pack of POCT 25 x1" u="1"/>
        <s v="Genedrive HCV ID Kit, 10 tests" u="1"/>
        <s v="Pack of 30 tests (03FK10)" u="1"/>
        <s v="Selectra/Flexor reference electrode" u="1"/>
        <s v="4mm" u="1"/>
        <s v="Cholesterol HDL kit - 80mL - 1 kit" u="1"/>
        <s v="Elecsys Anti-HBs II - 200 (07914482190)" u="1"/>
        <s v="Hand rub, Bottle/container 1L" u="1"/>
        <s v="114g sachet, pack of 90 sachets" u="1"/>
        <s v="2 units" u="1"/>
        <s v="Cholesterol LDL kit - 555nm - 200mL - 1 kit" u="1"/>
        <s v="Abbott - Alinity Syphilis TP" u="1"/>
        <s v="CyFlow miniPOC" u="1"/>
        <s v="Lamp halogen 12V/20W" u="1"/>
        <s v="Pack of 20 tests (7D2847)" u="1"/>
        <s v="Pack of 30 tests (7D2847)" u="1"/>
        <s v="Tip Park/Piercing Tool, Pack of 48 Tips and 50 Tools - 7345585001" u="1"/>
        <s v="Elecsys Anti-HCV II - 200 (06427405190)" u="1"/>
        <s v="Top, 1 piece" u="1"/>
        <s v="152mm - 5.8mL - pack of 500" u="1"/>
        <s v="Fluorocell WNR cartridge 2X82mL" u="1"/>
        <s v="ISE sodium (Na) electrode" u="1"/>
        <s v="Roche - Cobas TV/MG" u="1"/>
        <s v="180x160x200" u="1"/>
        <s v="pack of 144" u="1"/>
        <s v="156mm - 7.7mL - pack of 500" u="1"/>
        <s v="80% v/v ethanol; 75% v/v isopropyl alcohol" u="1"/>
        <s v="157mm - 3.5mL - pack of 500" u="1"/>
        <s v="Pack of 48 tests (90-1022)" u="1"/>
        <s v="Liquid culture &amp; DST: BBL MGIT OADC Enrichment pack of 100mL 6 bottles" u="1"/>
        <s v="1 kit" u="1"/>
        <s v="Pack of 100 tubes (7D2222)" u="1"/>
        <s v="Abbott - Hepatitis B - Elisa - HBsAg - 96 tests" u="1"/>
        <s v="Repetitive (re-usable)" u="1"/>
        <s v="Pack of 24 Tests (90-1010)" u="1"/>
        <s v="Lambda-Cyhalothrin technical grade insecticide" u="1"/>
        <s v="1 test (ARST001-003)" u="1"/>
        <s v="-20 celcius - 659L - 60Hz" u="1"/>
        <s v="96-well, 0.1mL Thermocycler, incl. RT-PCR analyser" u="1"/>
        <s v="96-well, 0.2mL Thermocycler, incl. RT-PCR analyser" u="1"/>
        <s v="Biorad - Microseal 'B' PCR Plate Sealing Film, adhesive, optical, pack of 100 pieces (MSB1001)" u="1"/>
        <s v="i1 Reagent v2 (300-cycle) (20031371)" u="1"/>
        <s v="For BSC Class II Type A2" u="1"/>
        <s v="Bottle of 5000mL (5L)" u="1"/>
        <s v="SAMBA II Assay Module - instrument" u="1"/>
        <s v="50mg vial" u="1"/>
        <s v="Pack of 40 tests (HVWRPD-02)" u="1"/>
        <s v="Pack of 25 Tests (PI10FRC25C)" u="1"/>
        <s v="100 units" u="1"/>
        <s v="Strap, each" u="1"/>
        <s v="48 tests (443806)" u="1"/>
        <s v="137mm - 4.8mL - pack of 400" u="1"/>
        <s v="LED Microscope (Fluorescence microscope)" u="1"/>
        <s v="Pack of 10 ampoules" u="1"/>
        <s v="CD3/CD4/CD45 reagent kit - 50T/kit" u="1"/>
        <s v="P2 Reagents v3 (300 Cycles) (20046813)" u="1"/>
        <s v="2g tube" u="1"/>
        <s v="Bilirubin total gen.3 - 400 tests" u="1"/>
        <s v="Pack of 25 Tests (1001-0270)" u="1"/>
        <s v="96 deep-well plate, v-bottom, polypropylene, pack of 50 pieces (95040450)" u="1"/>
        <s v="100 tests (08924163190)" u="1"/>
        <s v="REAGENT RENTAL, 100 tests" u="1"/>
        <s v="On-site installation &amp; training (Excluding travel expenses)" u="1"/>
        <s v="15mL bottle" u="1"/>
        <s v="1 bottle" u="1"/>
        <s v="Murex anti-HCV Version 4 - 96T/kit" u="1"/>
        <s v="Bottle of 250mL" u="1"/>
        <s v="Pack of 20 Tests (65-9506-0)" u="1"/>
        <s v="Humaloop T" u="1"/>
        <s v="Wettable powder (WP), 150g container" u="1"/>
        <s v="1 test (THIV02)" u="1"/>
        <s v="AST kit - 400 tests" u="1"/>
        <s v="Lids for rotor 4 - place" u="1"/>
        <s v="Safety - High Flow - 1.5 x 2mm - pack of 200" u="1"/>
        <s v="35mL bottle" u="1"/>
        <s v="SIII 2KVA (257688)" u="1"/>
        <s v="Pack of 100" u="1"/>
        <s v="Output Plate, Pack of 60 Pieces - 6241611001" u="1"/>
        <s v="1 test (85516)" u="1"/>
        <s v="Elecsys Anti-HCV II - 300 (08837058190)" u="1"/>
        <s v="6 tablets per blister, pack of 25 blisters" u="1"/>
        <s v="6 tablets per blister, pack of 30 blisters" u="1"/>
        <s v="Internal Control Tube, Pack of 150 Tubes - 6374905001" u="1"/>
        <s v="20 tourniquets" u="1"/>
        <s v="150 tissues per pack" u="1"/>
        <s v="Perpetual License with 12-month support &amp; maintenance" u="1"/>
        <s v="Perpetual License with 15-month support &amp; maintenance" u="1"/>
        <s v="Adhesive Film, pack of 100 pieces (4311971)" u="1"/>
        <s v="Syringe Luer - 3mL + Needle (bypacked) 23g x 1inch, pack of 100" u="1"/>
        <s v="TPUC gen.3 - 150 tests" u="1"/>
        <s v="Pack of 100g" u="1"/>
        <s v="25g" u="1"/>
        <s v="External Lysis Buffer, Bottle of 100mL - 6374913001" u="1"/>
        <s v="Calibration Plate for Multiplex qPCR, 96-well, 1 kit (A24737)" u="1"/>
        <s v="2-30ul, 51mm, 960 pieces" u="1"/>
        <s v="Pack of 50 Tests (90-1062)" u="1"/>
        <s v="Calibration Plate for Multiplex qPCR, 96-well, 1 kit (A24738)" u="1"/>
        <s v="AccuPower® HBV Quantitative PCR Kit, 96 tests" u="1"/>
        <s v="CD4% easy count kit dry - pack of 100 tests" u="1"/>
        <s v="Pack of 20 Tests, (7D2342)" u="1"/>
        <s v="190x180x180" u="1"/>
        <s v="100mL bottle" u="1"/>
        <s v="1000 cups" u="1"/>
        <s v="Pack of 50 Tests (A-GOLD-01)" u="1"/>
        <s v="GenoType Mycobacterium AS (without GenoLyse) pack of 96 tests" u="1"/>
        <s v="Nozzle body cap, each" u="1"/>
        <s v="Hypochlorite solution 250mL" u="1"/>
        <s v="20-200ul, 960 pieces" u="1"/>
        <s v="Lysing fluid 100mL pack" u="1"/>
        <s v="CD4 easy count kit dry, kit of 100 tests" u="1"/>
        <s v="Container/pack 100 capsules" u="1"/>
        <s v="Plunger assembly ,each" u="1"/>
        <s v="Water dispersible granules in water soluble bag (WG-SB), 20g sachet, 150 sachets" u="1"/>
        <s v="Xpert MTB/RIF Cartridge - PURCHASED EQUIPMENT, 50 tests" u="1"/>
        <s v="Lysercell 4L - 2 bottles" u="1"/>
        <s v="Sheath fluid 20000mL (20L)" u="1"/>
        <s v="Capacity 454L" u="1"/>
        <s v="190x180x170" u="1"/>
        <s v="Orbital - 25x25cm - 50-500rpm - 110-240v" u="1"/>
        <s v="480 tests" u="1"/>
        <s v="Up to 5000T/kit" u="1"/>
        <s v="120 tests" u="1"/>
        <s v="-86 celcius - 651L - 230V/50Hz" u="1"/>
        <s v="Ultra-lightweight portable, DR system" u="1"/>
        <s v="High Output Reagent (300 cycles) (15073755)" u="1"/>
        <s v="24 months" u="1"/>
        <s v="40mL container" u="1"/>
        <s v="kit of 5 tests (XPERTCHECK-CE-5)" u="1"/>
        <s v="50 slides" u="1"/>
        <s v="0.5-10ul" u="1"/>
        <s v="Pack of 25g" u="1"/>
        <s v="Medical, Type I, disposable, Pack of 50" u="1"/>
        <s v="Stromatolyser-FB lyse 5L" u="1"/>
        <s v="Temperature and humidity recording, 1 unit" u="1"/>
        <s v="100mL bag" u="1"/>
        <s v="Acid Solution 1L" u="1"/>
        <s v="Urea test kit - 546 nm - 2x100ml - 1 kit" u="1"/>
        <s v="500mL bottle" u="1"/>
        <s v="210x190x180" u="1"/>
        <s v="1 vial" u="1"/>
        <s v="440 tests" u="1"/>
        <s v="Elecsys Anti-HBc IgM - 300 (07026811190)" u="1"/>
        <s v="Glucose HK gen.3 - 800 tests" u="1"/>
        <s v="Cover assembly complete, each" u="1"/>
        <s v="4 bottles" u="1"/>
        <s v="2.5mL Bottle (7D2243)" u="1"/>
        <s v="Pack of 100 tests, accessories included, (PI05FRC100)" u="1"/>
        <s v="Creatinine Jaffe gen.2 - 400 tests" u="1"/>
        <s v="Container/pack of 15 tablets" u="1"/>
        <s v="Pack of 50 tests (25228)" u="1"/>
        <s v="3 years" u="1"/>
        <s v="Pipette tips 50-1000ul - pack of 1000" u="1"/>
        <s v="Illumina - iSeq100, Next-Generation Sequencing Equipment - 20021532" u="1"/>
        <s v="Roche - Cobas AmpliPrep + 1 Cobas Taqman Analyzer (96)" u="1"/>
        <s v="Hand rub, Bottle/container 5L" u="1"/>
        <s v="ISE cleaner/conditioner kit" u="1"/>
        <s v="Long Range, Capacity 20.25L" u="1"/>
        <s v="500g pack" u="1"/>
        <s v="Uric acid ver.2 - 400 tests" u="1"/>
        <s v="Round bottom, external thread - 2mL - pack of 1000" u="1"/>
        <s v="18 tablets per blister, pack of 30 blisters" u="1"/>
        <s v="10cm x 5m, 2 rolls" u="1"/>
        <s v="Spinosad 12% (120 g/L) Suspension concentrate (= flowable concentrate) (SC)" u="1"/>
        <s v="Monolisa HBsAg ULTRA assay - 480T/kit" u="1"/>
        <s v="PROCESSING PLATE, pack of 32 pieces - 5534917001" u="1"/>
        <s v="Box of 100" u="1"/>
        <s v="50-1000ul, pack of 1000" u="1"/>
        <s v="DNA and Viral NA Small Volume, 576 tests" u="1"/>
        <s v="5 years" u="1"/>
        <s v="118mL container, pack of 12" u="1"/>
        <s v="Container/pack of 1000 tablets" u="1"/>
        <s v="CyFlow Counter System" u="1"/>
        <s v="960 tests" u="1"/>
        <s v="1 test (29012-W0)" u="1"/>
        <s v="Creatinine Jaffre gen.2 - 700 tests" u="1"/>
        <s v="240x65x120 + Hammock 140x240" u="1"/>
        <s v="Phosphate ver.2 - 250 tests" u="1"/>
        <s v="Sulfolyser hemoglobin lysing 5L" u="1"/>
        <s v="Temephos 50% Emulsifiable concentrate (EC)" u="1"/>
        <s v="Murex HBsAg Confirmatory Version 3 - 50T/kit" u="1"/>
        <s v="Pack of 25 tests, accessories included (03FK16)" u="1"/>
        <s v="For laboratory use" u="1"/>
        <s v="Pack of 10g" u="1"/>
        <s v="ISE reference electrode" u="1"/>
        <s v="23g/m2 - 10x10cm, pack of 100" u="1"/>
        <s v="Stromalolyser-4DS stain 3X42mL" u="1"/>
        <s v="Kit for 3 drawers" u="1"/>
        <s v="Decontamination solution 250mL" u="1"/>
        <s v="ISE chloride (Cl) electrode" u="1"/>
        <s v="ISE potassium (K) electrode" u="1"/>
        <s v="150mm - 4mL - pack of 500" u="1"/>
        <s v="Water dispersible granules in water soluble bag (WG-SB), 30mg bag" u="1"/>
        <s v="155mm - 3mL - pack of 500" u="1"/>
        <s v="Malathion 96.50% Ultra-low volume (ULV) liquid (UL)" u="1"/>
        <s v="SPO2 and resp rate, continous monitoring, handheld, with accessories and probes, 1 unit" u="1"/>
        <s v="Rotor-Gene 5 Plex PCR system Thermocycler, incl. RT-PCR analyser" u="1"/>
        <s v="BD Multicheck CD4 control (blood) low - 2.5mL - 1 vial" u="1"/>
        <s v="800 pieces" u="1"/>
        <s v="ISE deproteinizer 11mL - 2 vials" u="1"/>
        <s v="Pack of 30 tests, accessories included, (PI05FRC30)" u="1"/>
        <s v="N95, NIOSH or FFP2 approved, no-valve, non-sterile, Piece" u="1"/>
        <s v="Water dispersible granules (WG), 150g sachet, 60 sachets" u="1"/>
        <s v="ISE reference solution 2x115mL" u="1"/>
        <s v="Qiagen - QIASymphony SP instrument + QIASymphony AS Instrument + Rotor-Gene Q MDx 5plex HRM" u="1"/>
        <s v="Co-blistered, pack of 50 blisters" u="1"/>
        <s v="1mL ampoule" u="1"/>
        <s v="5 pieces" u="1"/>
        <s v="Installation and training for QIASymphony automated system" u="1"/>
        <s v="3mL single-dose vial" u="1"/>
        <s v="Xpert HPV Cartridge, 10 cartridges per pack" u="1"/>
        <s v="Syringe + needle - re-use prevention - 21Gx1.5inch - 10mL - pack of 100" u="1"/>
        <s v="Syringe + needle - re-use prevention - 22Gx1.25inch - 2mL - pack of 100" u="1"/>
        <s v="Syringe + needle - re-use prevention - 22Gx1.25inch - 5mL - pack of 100" u="1"/>
        <s v="EDTA-K2 - 3mL - purple - pack of 1000" u="1"/>
        <s v="EDTA-K2 - 4mL - purple - pack of 1000" u="1"/>
        <s v="Pack of 25 tests, accessories included (06FK35)" u="1"/>
        <s v="Capacity 645L" u="1"/>
        <s v="Alinity m HIV-1 - sample prep kit 2" u="1"/>
        <s v="Olympus CX33 4 obj - no case" u="1"/>
        <s v="Olympus CX43 4 obj - no case" u="1"/>
        <s v="Co-blistered, 2 + 3 tablets, pack of 25 blisters" u="1"/>
        <s v="Co-blistered, 3 + 6 tablets, pack of 25 blisters" u="1"/>
        <s v="Ultra-portable DR system Backpack" u="1"/>
        <s v="For Biosafety cabinet" u="1"/>
        <s v="Strainer assembly, each" u="1"/>
        <s v="10 calibrators (PRD-03002)" u="1"/>
        <s v="Wettable powder in non-soluble bag, 100g sachet, 120 sachets" u="1"/>
        <s v="Wettable powder in non-soluble bag, 100g sachet, 130 sachets" u="1"/>
        <s v="Wettable powder in non-soluble bag, 125g sachet, 120 sachets" u="1"/>
        <s v="15g tube" u="1"/>
        <s v="Container/pack of 3 tablets" u="1"/>
        <s v="Elecsys HBeAg - 300 (07027427190)" u="1"/>
        <s v="Pack of 10 Tests, (ITP01153-TC10)" u="1"/>
        <s v="10mL ampoules, pack of 10 ampoules" u="1"/>
        <s v="10mL ampoules, pack of 20 ampoules" u="1"/>
        <s v="10mL ampoules, pack of 50 ampoules" u="1"/>
        <s v="Pack of 40 tests (57002P)" u="1"/>
        <s v="Deltamethrin technical grade insecticide" u="1"/>
        <s v="AST (GOT) kit 8x20mL+8x5mL" u="1"/>
        <s v="Co-blistered, 4 tablet + 4 tablet, 3 blister" u="1"/>
        <s v="1 test" u="1"/>
        <s v="Pack of 500g" u="1"/>
        <s v="Long Range, Capacity 6L" u="1"/>
        <s v="Hemoglobin A1c gen.2 - 150 tests" u="1"/>
        <s v="Ultra-thin, small temperature range -30°C to +70°C" u="1"/>
        <s v="PURCHASED EQUIPMENT, 10 tests" u="1"/>
        <s v="144 slides" u="1"/>
        <s v="Instrument" u="1"/>
        <s v="1-200mL - battery" u="1"/>
        <s v="REAGENT RENTAL, 48 tests" u="1"/>
        <s v="PURCHASED EQUIPMENT, 50 tests" u="1"/>
        <s v="2mL single-handed, 1000 pieces" u="1"/>
        <s v="System Fluid (Internal), Pack of 2x1825mL - 6430112001" u="1"/>
        <s v="Pack of 100 bags" u="1"/>
        <s v="CD3/CD8/CD45/CD4 reagent kit - 50 tests" u="1"/>
        <s v="10-100ul" u="1"/>
        <s v="Spectral Calibration Kit I, 1 kit (4349180)" u="1"/>
        <s v="Perpetual License" u="1"/>
        <s v="21g x 1.25inch - 100 needles" u="1"/>
        <s v="21g x 1.5inch - 1000 needles" u="1"/>
        <s v="Portable DR X-ray system" u="1"/>
        <s v="Genedrive System, equipment" u="1"/>
        <s v="Calibrite APC beads - 25 tests" u="1"/>
        <s v="d,d,trans-Cyphenothrin 5% Emulsifiable concentrate (EC)" u="1"/>
        <s v="ALT (GPT) test kit - 8x50ml - 1 kit" u="1"/>
        <s v="245L" u="1"/>
        <s v="Cholesterol HDL test kit - liquicolor 593nm - 80mL" u="1"/>
        <s v="Instrument - accessories included" u="1"/>
        <s v="Solution in a single-dose container" u="1"/>
        <s v="Support and Maintenance Extension - 1 year" u="1"/>
        <s v="Cholesterol HDL kit 3x60mL+3x20mL" u="1"/>
        <s v="Xpert HBV Viral Load Cartridge, 10 tests" u="1"/>
        <s v="Xpert HCV Viral Load Cartridge, 10 tests" u="1"/>
        <s v="Antiskid,elasticated, 1 pair" u="1"/>
        <s v="300mL infusion bag, pack of 10 bags" u="1"/>
        <s v="1000 slides" u="1"/>
        <s v="20-20ul, 30mm, 960 pieces" u="1"/>
        <s v="Extension tube assembly, each" u="1"/>
        <s v="Protection,plastic,reusable, Each" u="1"/>
        <s v="Selectra/Flexor chloride (Cl) electrode" u="1"/>
        <s v="Selectra/Flexor potassium (K) electrode" u="1"/>
        <s v="PIPETTE TIPS, pack of 1536 pieces - 5534925001" u="1"/>
        <s v="Pack of 25 Tests (I10FRC25C)" u="1"/>
        <s v="Pipette tips 2-200ul - pack of 1000" u="1"/>
        <s v="Pack of 20 Tests, (7D2842)" u="1"/>
        <s v="Fits 50 slides" u="1"/>
        <s v="Face shield 7.5’’ with headband, each" u="1"/>
        <s v="312nm" u="1"/>
        <s v="Container/pack of 6 tablets" u="1"/>
        <s v="Pack of 10 tests (ITP02122-TC10)" u="1"/>
        <s v="10mL ampoules, pack of 100 ampoules" u="1"/>
        <s v="Xpert TV Assay, 10 cartridges per pack" u="1"/>
        <s v="Goggles sealed protective 191 x 76 mm, each" u="1"/>
        <s v="Selectra ProM analyzer + accessories" u="1"/>
        <s v="Elecsys Anti-HBs II - 100 (04687787190)" u="1"/>
        <s v="Temephos 1% Granule (GR)" u="1"/>
        <s v="Instrument + accessories" u="1"/>
        <s v="100-1000ul, pack of 960" u="1"/>
        <s v="Hologic - Panther Instrument System" u="1"/>
        <s v="12mL" u="1"/>
        <s v="Support and Maintenance Extension - 3 years" u="1"/>
        <s v="Pack of 5 Tests (PI10FRC05C)" u="1"/>
        <s v="Basic Agreement (extended warranty) for QIASymphony automated system" u="1"/>
        <s v="Pack of 1 vial" u="1"/>
        <s v="Calibration Plate for Multiplex qPCR, Fast 96-well, 1 kit (A24734)" u="1"/>
        <s v="240mL bottle, pack of 10 bottles" u="1"/>
        <s v="B-1254 - DS-EIA-HBsAg-0,01 - 96/1 plate" u="1"/>
        <s v="9.2g sachet" u="1"/>
        <s v="Container/pack of 7 tablets" u="1"/>
        <s v="Isothermal Carrier Bag, Medium" u="1"/>
        <s v="32 inch, each" u="1"/>
        <s v="Calibrator 3mL - 12 vials" u="1"/>
        <s v="Plastic, sterile, conical - 5mL - 1000 tubes" u="1"/>
        <s v="GeneXpert IV-2, 1 year" u="1"/>
        <s v="Capsule suspension (CS), 62.5mL sachet" u="1"/>
        <s v="Plastic, sterile, conical + cap - 50mL - pack of 500" u="1"/>
        <s v="195x160x200" u="1"/>
        <s v="Reusable, single, 1 piece" u="1"/>
        <s v="4 x 14mL" u="1"/>
        <s v="Protective, indirect side-ventilation, 1 Piece" u="1"/>
        <s v="480/5 plates" u="1"/>
        <s v="PURCHASED EQUIPMENT, 72 tests" u="1"/>
        <s v="12.5mL - 100 tips" u="1"/>
        <s v="Alkaline Phosphatase (ALP) test kit - 8 x 50ml - 1 kit" u="1"/>
        <s v="2-200ul, pack of 960" u="1"/>
        <s v="1 year spare parts package" u="1"/>
        <s v="Extraction (deepwell) Plate 2mL, Pack of 40 Pieces (6884008001)" u="1"/>
        <s v="Constant-flow Red valve, each" u="1"/>
        <s v="Elecsys Anti-HCV II - 200 (08837031190)" u="1"/>
        <s v="Lowenstein medium base - 500g" u="1"/>
        <s v="Polythene nozzle gasket, each" u="1"/>
        <s v="PDMS (Polydimethylsiloxane) 78-89%" u="1"/>
        <s v="Lysing reagent (Stromatolyser WH) 3 x 500mL" u="1"/>
        <s v="QIASymphony SP instrument + QIASymphony AS Instrument + Rotor-Gene Q MDx 5plex HRM" u="1"/>
        <s v="Selectra sample cup 2mL - pack of 1000" u="1"/>
        <s v="Pirimiphos-methyl technical grade insecticide" u="1"/>
        <s v="Biorad - Hard-Shell 96-Well PCR Plates, Low Profile, Thin wall, skirted, White/White, pack of 25 pieces (HSP9655/ HSP9601)" u="1"/>
        <s v="Reagent disc - 27 slots" u="1"/>
        <s v="10 tests" u="1"/>
        <s v="Auto-disable, reuse prevention syringes with sharp injury prevention, 5ml, 21/22/23 G, individual sterilized peel-off pack, and Safety Box, 5lt." u="1"/>
        <s v="Pack of 25 Tests (I03FRC25CE)" u="1"/>
        <s v="Capsule suspension (CS), 833mL bottle, 12 bottles" u="1"/>
        <s v="BD MAX™ CT/GC/TV" u="1"/>
        <s v="Rinse fluid 5000mL pack (5L)" u="1"/>
        <s v="4 calibrations (2G31-70)" u="1"/>
        <s v="Shutoff assembly, each" u="1"/>
        <s v="Cell Pack diluent reagent 20L" u="1"/>
        <s v="Elical 2 multiparametric calibration 4x3mL" u="1"/>
        <s v="Filter paper - round s/s 595 - 15cm packs of 100 pieces" u="1"/>
        <s v="2-20ul" u="1"/>
        <s v="1 module" u="1"/>
        <s v="Pack of 25 Tests, accessories included" u="1"/>
        <s v="Pack of 30 tests, accessories included" u="1"/>
        <s v="1-2mL - 81 cryotubes - pack of 24" u="1"/>
        <s v="25mL - 100 tips" u="1"/>
        <s v="Pack of 5 Tests (PI03FRC05CE)" u="1"/>
        <s v="1000x65x250" u="1"/>
        <s v="Elecsys Anti-HBc II - 100 (09014918190)" u="1"/>
        <s v="Illumina - MiSeq, Next-Generation Sequencing Equipment - 15034551" u="1"/>
        <s v="ISE calibration kit" u="1"/>
        <s v="Fits 100 slides" u="1"/>
        <s v="Bacillus sphaericus strain ABTS-1743, Bacillus thuringiensis subsp. Israelensis strain AM65-52 4.5% (45g/kg) Bti; 2.7% (27g/kg) Bsph - 50 ITU/mg Granule (GR)" u="1"/>
        <s v="30g tube, pack of 10 tubes" u="1"/>
        <s v="Water dispersible granules (WG), 20g sachet" u="1"/>
        <s v="Pack of 1000 tubes" u="1"/>
        <s v="Pipette Tips, 1mL w/filter, Pack of 3840 Pieces - 6241620001" u="1"/>
        <s v="50 tests" u="1"/>
        <s v="Calibration Plate for Multiplex qPCR, Fast 96-well, 1 kit (A24735)" u="1"/>
        <s v="Installation &amp; Training" u="1"/>
        <s v="ELITechGroup - ISE calibrator kit" u="1"/>
        <s v="Online SYN SIII 2KVA (257687)" u="1"/>
        <s v="Wettable powder (WP), 62.5g sachet" u="1"/>
        <s v="Urea (GLDH) test kit - 8x50ml - 1 kit" u="1"/>
        <s v="Box of 1000" u="1"/>
        <s v="Co-blistered, 2 + 3 tablets, 1 blister" u="1"/>
        <s v="Co-blistered, 3 + 6 tablets, 1 blister" u="1"/>
        <s v="PURCHASED EQUIPMENT, 24 tests" u="1"/>
        <s v="Bilirubin (direct) test kit - 546 nm - 375ml - 1 kit" u="1"/>
        <s v="Pack of 25 (245159-BD)" u="1"/>
        <s v="1 unit" u="1"/>
        <s v="118mL container, pack of 25" u="1"/>
        <s v="Diflubenzuron 25% (250 g/kg) Wettable powder (WP)" u="1"/>
        <s v="384-Well Reaction Plate with Barcode, pack of 500 pieces (4326270)" u="1"/>
        <s v="ALT kit - 400 tests" u="1"/>
        <s v="Alpha-cypermethrin technical grade insecticide" u="1"/>
        <s v="Diluent NaCl 9% 12mL - 4 vials" u="1"/>
        <s v="ALT kit - 500 tests" u="1"/>
        <s v="72x19mm,100 plasters" u="1"/>
        <s v="Elecsys Anti-HBc II - 100 (07374160190)" u="1"/>
        <s v="3mL ampoule, 1 ampoule" u="1"/>
        <s v="Reagent v3 (600 cycle) (15043762)" u="1"/>
        <s v="6 slides" u="1"/>
        <s v="4 x 64mL" u="1"/>
        <s v="Pack of 100 swabs" u="1"/>
        <s v="300mL, 1 piece" u="1"/>
        <s v="Cellpack DFL 2X1.5L" u="1"/>
        <s v="Pack of 1 vaginal ring" u="1"/>
        <s v="USB 15 FT (441478)" u="1"/>
        <s v="Printer paper roll - 5 rolls" u="1"/>
        <s v="60mL bottle" u="1"/>
        <s v="4C-ES cell control (BL) LNH 3mL - 3 vials" u="1"/>
        <s v="Bright field microscope (with LED illumination)" u="1"/>
        <s v="Glucose HK - 400 tests" u="1"/>
        <s v="Pack of 25 Tests (ITP01152-TC25)" u="1"/>
        <s v="Thin tip, black - pack of 10" u="1"/>
        <s v="For 1 year" u="1"/>
        <s v="Wettable powder (WP), no pack size" u="1"/>
        <s v="Permethrin, Piperonyl Butoxide (PBO), S-Bioallethrin 0.14% (1.42 g/L) S-Bioallethrin; 10.3% (102.7 g/L) Permethrin; 9.8% (98.4 g/L) PBO Emulsion, oil in water (EW)" u="1"/>
        <s v="List items in Comments" u="1"/>
        <s v="1050x65x220" u="1"/>
        <s v="10 - 100 ul" u="1"/>
        <s v="Warranty extension - 1 year" u="1"/>
        <s v="180x190x160" u="1"/>
        <s v="AcT 5Diff control (BL)" u="1"/>
        <s v="CountCheck Beads Green - 50 tests" u="1"/>
        <s v="Pack of 100 tests, accessories included (7D2343SET)" u="1"/>
        <s v="Pack of 5 Tests" u="1"/>
        <s v="GenoType Mycobacterium CM Version 2 (without GenoLyse) pack of 96 tests" u="1"/>
        <s v="Enhanced Service and Maintenance" u="1"/>
        <s v="Loopamp PURE DNA Extraction Kit - 90 Tests" u="1"/>
        <s v="Pack of 10 Tests (PI03FRC10CE)" u="1"/>
        <s v="Pack of 25 Tests, with Safety Lancet" u="1"/>
        <s v="Portable" u="1"/>
        <s v="PCR tubes (flat cap) 0.2mL - 1000" u="1"/>
        <s v="Pack of 3 vaginal rings" u="1"/>
        <s v="Roche - Cobas CT/NG" u="1"/>
        <s v="Xpert MTB/RIF Cartridge, 10 tests" u="1"/>
        <s v="Xpert MTB/XDR Cartridge, 10 tests" u="1"/>
        <s v="Pack of 30 Tests (PI03FRC30CE)" u="1"/>
        <s v="Pack of 100 Tests, accessories included (7D2943SET)" u="1"/>
        <s v="Microprocessor controlled, hospital grade, 1 unit" u="1"/>
        <s v="Pack of 30 tests, (I05FRC30CE)" u="1"/>
        <s v="Selectra/Flexor sodium (Na) electrode" u="1"/>
        <s v="180x190x150" u="1"/>
        <s v="8 tablets per blister, pack of 1 blister" u="1"/>
        <s v="Xpert MTB/RIF Cartridge, 50 tests" u="1"/>
        <s v="Biopack-1, 330mL" u="1"/>
        <s v="Container/pack of 100 capsules" u="1"/>
        <s v="Container/pack of 120 capsules" u="1"/>
        <s v="Triglycerides - 200 tests" u="1"/>
        <s v="Calibration kit 2x4" u="1"/>
        <s v="Triglycerides - 250 tests" u="1"/>
        <s v="Surgical, Type II (non-fluid resistant), disposable, Pack of 50" u="1"/>
        <s v="Pack of 25 tests" u="1"/>
        <s v="5 tests" u="1"/>
        <s v="1 pack" u="1"/>
        <s v="21g x 1.5inch - 100 needles" u="1"/>
        <s v="For 0.2mL PCR tubes, 1 unit" u="1"/>
        <s v="Analyzer bag" u="1"/>
        <s v="Burn rate of 225kg/hr, with spare parts package" u="1"/>
        <s v="Burn rate of 360kg/hr, with spare parts package" u="1"/>
        <s v="Burn rate of 50 kg/hr, with spare parts package" u="1"/>
        <s v="B-1252 - DS-EIA-HBsAg-0,02 - 192/2 plates" u="1"/>
        <s v="Valve pin assembly, each" u="1"/>
        <s v="Spectral Calibration Kit I, 1 kit (4360788)" u="1"/>
        <s v="Selectra/Flexor carbon dioxide electrode" u="1"/>
        <s v="2 tablets per blister, pack of 8 blisters" u="1"/>
        <s v="Installation and training for manual system (Rotor-Gene Q)" u="1"/>
        <s v="Container/pack of 1000 capsules" u="1"/>
        <s v="Warranty extension - 3 years" u="1"/>
        <s v="Auto-disable syringes with sharp injury prevention, 5ml, 21/22/23 G, individual sterilized peel-off pack, and Safety Box, 5lt." u="1"/>
        <s v="Bottle of 100mL" u="1"/>
        <s v="Pack of 24 tests" u="1"/>
        <s v="Elecsys Anti-HBc II - 200 (07394764190)" u="1"/>
        <s v="Pack of 5 tests, (PI05FRC60)" u="1"/>
        <s v="36 wells" u="1"/>
        <s v="Pack of 50 Tests (PI08FRC50)" u="1"/>
        <s v="Clothianidin technical grade insecticide" u="1"/>
        <s v="REAGENT RENTAL, 440 tests" u="1"/>
        <s v="Pack of 20 Tests (1206502E)" u="1"/>
        <s v="Elecsys Anti-HCV II - 100 (06368921190)" u="1"/>
        <s v="Selectra ProS analyzer" u="1"/>
        <s v="Stromatolyser-4DL lyse 5L" u="1"/>
        <s v="Elecsys Anti-HBc II - 200 (09109463190)" u="1"/>
        <s v="RNase P Instrument Verification Plate, 1 kit (4351979)" u="1"/>
        <s v="Spinosad 0.50% Granule (GR)" u="1"/>
        <s v="Spinosad 2.50% Granule (GR)" u="1"/>
        <s v="B-1255 - DS-EIA-HBsAg-0,03 - 480/5 plates" u="1"/>
        <s v="Bottle of 500mL" u="1"/>
        <s v="Selectra system solution 1L" u="1"/>
        <s v="HuMax ITA microcentrifuge" u="1"/>
        <s v="Total NA Isolation, 96 tests" u="1"/>
        <s v="ExiStation Universal Molecular Diagnostic System" u="1"/>
        <s v="Pyriproxyfen 0.50% Granule (GR)" u="1"/>
        <s v="PURCHASED EQUIPMENT, 100 tests" u="1"/>
        <s v="Spinosad 7.48% Tablet for direct application (DT)" u="1"/>
        <s v="Spinosad 8.33% Tablet for direct application (DT)" u="1"/>
        <s v="Pack of 20 Tests with accessories (1206502E-C)" u="1"/>
        <s v="Bio-Rad - CFX96 Touch Real-Time PCR Deep Well Detection System - 1854095-IVD" u="1"/>
        <s v="0.1-10ul, 960 pieces" u="1"/>
        <s v="Check level 1 - 3mL - 8 vials" u="1"/>
        <s v="Check level 2 - 3mL - 8 vials" u="1"/>
        <s v="Check level 3 - 3mL - 8 vials" u="1"/>
        <s v="Murex HBsAg Version 3 - 96T/kit" u="1"/>
        <s v="GTQCycler 96" u="1"/>
        <s v="0.2-20ul, 960 pieces" u="1"/>
        <s v="1.5mL - pack of 500" u="1"/>
        <s v="Pack of 100 tests, accessories included, (7D2843SET)" u="1"/>
        <s v="ALP IFCC gen.2 - 200 tests" u="1"/>
        <s v="CD4/CD3 reagent kit - 50T/kit" u="1"/>
        <s v="Printer paper roll, non-adhesive - 10 rolls" u="1"/>
        <s v="ALP IFCC gen.2 - 400 tests" u="1"/>
        <s v="Pack of 50 tests -(5X4-1000)" u="1"/>
        <s v="2mL ampoules, pack of 100 ampoules" u="1"/>
        <s v="200mL" u="1"/>
        <s v="Boots PVC, 1 pair" u="1"/>
        <s v="GenoType MTBDRplus v2.0 + GenoLyse - 96 tests" u="1"/>
        <s v="Sheath fluid 5000mL pack (5L)" u="1"/>
        <s v="17g/m2 - 10x10cm , pack of 100" u="1"/>
        <s v="Selectra sample cup 5mL - pack of 500" u="1"/>
        <s v="Pack of 20 tests (HIV101)" u="1"/>
        <s v="RNase P Instrument Verification Plate for 7300/7500 Systems, 96-well, 1 kit (4350584)" u="1"/>
        <s v="Pack of 10 Tests" u="1"/>
        <s v="Diflubenzuron 2% (20 g/kg) Tablet for direct application (DT)" u="1"/>
        <s v="ISE dummy electrode" u="1"/>
        <s v="Capacity 517L" u="1"/>
        <s v="4 Rotor position" u="1"/>
        <s v="Starter Kit Accessories (443362)" u="1"/>
        <s v="Suspension concentrate, polymer enhanced (SC-PE), no pack size" u="1"/>
        <s v="Monolisa HCV Ag-Ab ULTRA V2 assay - 480T/kit" u="1"/>
        <s v="Rain Suit" u="1"/>
        <s v="AcT Diff II hematology analyzer" u="1"/>
        <s v="Fuel Tank 1000L" u="1"/>
        <s v="1 vaginal tablet" u="1"/>
        <s v="Alinity m HBV, 192 tests" u="1"/>
        <s v="Urea kit 5x50mL+2x26mL" u="1"/>
        <s v="AcT 5Diff calibrator kit" u="1"/>
        <s v="Pack of 50 Tests (I20FRC50)" u="1"/>
        <s v="PURCHASED EQUIPMENT, 48 tests" u="1"/>
        <s v="200x140x150" u="1"/>
        <s v="Reusable, pack of 100" u="1"/>
        <s v="CD4 cartridge kit - 100 tests" u="1"/>
        <s v="SAMBA I, SAMBAamp - instrument" u="1"/>
        <s v="Elitrol control serum I normal 10x5mL" u="1"/>
        <s v="Elecsys Anti-HBs II - 300 (07251076190)" u="1"/>
        <s v="1 test (90-1071)" u="1"/>
        <s v="Bendiocarb technical grade insecticide" u="1"/>
        <s v="HYBRID PURCHASE/RENTAL, 48 tests" u="1"/>
        <s v="Pack of 40 tests (W006-C4P2-F)" u="1"/>
        <s v="Bio-Rad - CFX96 Touch Real-Time PCR Detection System - 1855195" u="1"/>
        <s v="Plastic, squeeze type - 500mL - pack of 6" u="1"/>
        <s v="Sealing Foil, Pack of 100 Pieces - 6241638001" u="1"/>
        <s v="Pack of 10 vials" u="1"/>
        <s v="Container/pack of 188 tablets" u="1"/>
        <s v="Bilirubin direct - 100 tests" u="1"/>
        <s v="Non-contact, incl. battery" u="1"/>
        <s v="12x50 sheets (600)" u="1"/>
        <s v="Pack of 100 tests, accessories included (5X4-0010)" u="1"/>
        <s v="24 cartridges (437519)" u="1"/>
        <s v="Protection, Cat III, type 6b, 1 piece" u="1"/>
        <s v="Bifenthrin technical grade insecticide" u="1"/>
        <s v="365nm" u="1"/>
        <s v="Pack of 20 tests" u="1"/>
        <s v="0.2-2ul" u="1"/>
        <s v="2-200ul, pack of 1000" u="1"/>
        <s v="Pack of 30 Tests (I20FRC30)" u="1"/>
        <s v="Pack of 10 ampoules/vials" u="1"/>
        <s v="ALT (GPT) kit 8x20mL+8x5mL" u="1"/>
        <s v="CD4 easy count kit, kit of 100 tests" u="1"/>
        <s v="Abbott Realtime HCV, 96 tests" u="1"/>
        <s v="8 Rotor position" u="1"/>
        <s v="ISE reference solution 500mL" u="1"/>
        <s v="1-1.5mL - 100 cryotubes - pack of 10" u="1"/>
        <s v="5-100ul, 960 pieces" u="1"/>
        <s v="100-1000ul, pack of 1000" u="1"/>
        <s v="100-1250ul, pack of 1000" u="1"/>
        <s v="Olympus CX23 4 obj - case included" u="1"/>
        <s v="Illumina - NextSeq550, Next-Generation Sequencing Equipment - 15046626" u="1"/>
        <s v="Capacity 20L" u="1"/>
        <s v="INNO-LIA HCV Score - 20T/kit" u="1"/>
        <s v="Pack of 250 mg" u="1"/>
        <s v="1000 analyzer DIFF + accessories" u="1"/>
        <s v="ISE etcher 2x11mL" u="1"/>
        <s v="Pack of 100 Tests(I20FRC10)" u="1"/>
        <s v="Pack of 30 Tests (02FK10)" u="1"/>
        <s v="Capacity 22L" u="1"/>
        <s v="3mm" u="1"/>
        <s v="Pack of 24 Tests (90-1013)" u="1"/>
        <s v="Surge protector device, hospital grade, 1 unit" u="1"/>
        <s v="Capacity 217L" u="1"/>
        <s v="6 tablets per blister, 1 blister" u="1"/>
        <s v="Pack of 25 tests (W006-C4P2)" u="1"/>
        <s v="Pack of 250 tests (5X4-1001)" u="1"/>
        <s v="Container/pack of 100 tablets" u="1"/>
        <s v="Container/pack of 120 tablets" u="1"/>
        <s v="Container/pack of 180 tablets" u="1"/>
        <s v="Container/pack of 200 tablets" u="1"/>
        <s v="Container/pack of 240 tablets" u="1"/>
        <s v="Container/pack of 250 tablets" u="1"/>
        <s v="Container/pack of 480 tablets" u="1"/>
        <s v="Container/pack of 500 tablets" u="1"/>
        <s v="8L, each" u="1"/>
        <s v="200 tests (08924180190)" u="1"/>
        <s v="20mg vial" u="1"/>
        <s v="Pack of 30 tests" u="1"/>
        <s v="1 system with laptop computer" u="1"/>
        <s v="GTBlot 48 Tray for 96 strips (black)" u="1"/>
        <s v="Selectra electrode bypass" u="1"/>
        <s v="5mm" u="1"/>
        <s v="With integrated battery and compact power converter" u="1"/>
        <s v="Container/pack of 30 tablets, no carton" u="1"/>
        <s v="3 units" u="1"/>
        <s v="Triglycerides (GPO) kit - 4x100ml - 1 kit" u="1"/>
        <s v="12 tablet per blister, pack of 30 blisters" u="1"/>
        <s v="Creatinine - Jaffe - test kit - 492nm - 200mL" u="1"/>
        <s v="Chemical protective gloves, 1 pair" u="1"/>
        <s v="Elecsys HBsAg II - 300 (08814848190)" u="1"/>
        <s v="Pack of 110 tests (5X4-2001)" u="1"/>
        <s v="24 tablets per blister, 1 blister" u="1"/>
        <s v="12 tablets per blister, 1 blister" u="1"/>
        <s v="B-231 - DS-EIA-HBsAg-0,05 - 200 tests" u="1"/>
        <s v="EDTA - whole blood - 0.05mL - 100" u="1"/>
        <s v="Elecsys HBsAg II - 100 (08814856190)" u="1"/>
        <s v="Pack of 100 tests (CATB0870)" u="1"/>
        <s v="Capacity 15L" u="1"/>
        <s v="Pack of 100 sachets" u="1"/>
        <s v="Pack of 120 sachets" u="1"/>
        <s v="Pack of 300 sachets" u="1"/>
        <s v="Pack of 5 tests (IHI-T402WC)" u="1"/>
        <s v="Pack of 30 Tests (06FK10)" u="1"/>
        <s v="Elecsys HBsAg II - 200 (08814864190)" u="1"/>
        <s v="100-1000ul, 960 pieces" u="1"/>
        <s v="Buffer Negative Control Kit, 16mL - 7002238190" u="1"/>
        <s v="Pack of 2 Tests (85516)" u="1"/>
        <s v="Pack of 100 vials" u="1"/>
        <s v="Pack of 48 Tests (90-1021)" u="1"/>
        <s v="Surgical,bouffant,non-woven, pack of 100" u="1"/>
        <s v="Alinity m HCV, 4 x 48 tests" u="1"/>
        <s v="3WP control (BL) normal level - 1.5mL - 12 vials" u="1"/>
        <s v="Processing Cartridge, Pack of 48 Pieces - 7345577001" u="1"/>
        <s v="Pack of 40 Tests" u="1"/>
        <s v="10 units" u="1"/>
        <s v="EDTA-K2 - 6mL - purple - 1000" u="1"/>
        <s v="12 units/pack" u="1"/>
        <s v="Co-blistered, 3 + 1 tablet, pack of 25 blisters" u="1"/>
        <s v="Co-blistered, 6 + 2 tablet, pack of 25 blisters" u="1"/>
        <s v="QuantiFERON-TB Gold Plus, 20 x 96 tests" u="1"/>
        <s v="CountCheck Beads Green dry - 100 tests" u="1"/>
        <s v="Nucleic Acid Extraction kit, 96T/Kit - 1000021043" u="1"/>
        <s v="Deltamethrin 2% Emulsion, oil in water (EW)" u="1"/>
        <s v="Wettable powder in non-soluble bag, 62.5g sachet, 200 sachets" u="1"/>
        <s v="Tubes 2.0mL, Pack of 350 Pieces - 7857551001" u="1"/>
        <s v="ARCHITECT HCV Ag assay - 100T/kit" u="1"/>
        <s v="Elecsys Anti-HBc IgM - 100T/kit (11820567122)" u="1"/>
        <s v="4mL - silica red - 1000" u="1"/>
        <s v="3 tablets per blister, pack of 10 blisters" u="1"/>
        <s v="3 tablets per blister, pack of 25 blisters" u="1"/>
        <s v="3 tablets per blister, pack of 30 blisters" u="1"/>
        <s v="3 tablets per blister, pack of 50 blisters" u="1"/>
        <s v="QuantiFERON-TB Gold Plus, 2 x 96 tests" u="1"/>
        <s v="Pack of 10 Tests (857318)" u="1"/>
        <s v="artus HBV RG RT-PCR Kit, 24 tests" u="1"/>
        <s v="artus HCV RG RT-PCR Kit, 24 tests" u="1"/>
        <s v="100mL container" u="1"/>
        <s v="4 Bottles of 250mL" u="1"/>
        <s v="10 wicks" u="1"/>
        <s v="SAMBA II Tablet Module - instrument" u="1"/>
        <s v="PURCHASED EQUIPMENT, 440 tests" u="1"/>
        <s v="300 tests (08836973190)" u="1"/>
        <s v="160mL bottle" u="1"/>
        <s v="AcT diluent + lyse reagent kit" u="1"/>
        <s v="5g tube" u="1"/>
        <s v="Roche Cobas 4800 - instrument" u="1"/>
        <s v="40L with integrated schredder + Accessories" u="1"/>
        <s v="For sterile 2mL cryovials, 1 unit" u="1"/>
        <s v="6mL - silica red - 1000" u="1"/>
        <s v="Ret-Search II diluent+dye kit" u="1"/>
        <s v="Pack of 50 Tests" u="1"/>
        <s v="MGP IVD, 480 tests - 6997546190" u="1"/>
        <s v="WT-1196 - WANTAI TB-IGRA, 28 tests" u="1"/>
        <s v="10mL - 100 tips" u="1"/>
        <s v="SPEC DIL REAGENT IVD, 4 x 875mL - 6997511190" u="1"/>
        <s v="40IU - 1mL - 100" u="1"/>
        <s v="Temephos 500g/L Emulsifiable concentrate (EC)" u="1"/>
        <s v="100g" u="1"/>
        <s v="Individual patient kit, GDF, (4-FDC + 2-FDC)" u="1"/>
        <s v="Pack of 100 tests (7D2343)" u="1"/>
        <s v="240mL bottle" u="1"/>
        <s v="120mL bottle" u="1"/>
        <s v="Rack Assay Locking Blue racks (444808)" u="1"/>
        <s v="Water dispersible granules (WG), 25g sachet" u="1"/>
        <s v="Cleaner 4x21mL" u="1"/>
        <s v="Container/pack of 10 tablets" u="1"/>
        <s v="Container/pack of 20 tablets" u="1"/>
        <s v="Container/pack of 30 tablets" u="1"/>
        <s v="Container/pack of 40 tablets" u="1"/>
        <s v="Container/pack of 50 tablets" u="1"/>
        <s v="Container/pack of 60 tablets" u="1"/>
        <s v="Container/pack of 90 tablets" u="1"/>
        <s v="Pack of 25 Tests (02FK16)" u="1"/>
        <s v="2 mL, 500 pieces" u="1"/>
        <s v="Pack of 25 Tests (06FK30)" u="1"/>
        <s v="AST (GOT) test kit - 10x10ml - 1 kit" u="1"/>
        <s v="GeneXpert IV-4 , 1 year" u="1"/>
        <s v="GT blot 48 Molecular diagnosis" u="1"/>
      </sharedItems>
    </cacheField>
    <cacheField name="Currency" numFmtId="0">
      <sharedItems containsBlank="1" count="2">
        <s v="USD"/>
        <m u="1"/>
      </sharedItems>
    </cacheField>
    <cacheField name="UID" numFmtId="0">
      <sharedItems/>
    </cacheField>
    <cacheField name="Ref Price" numFmtId="0">
      <sharedItems containsSemiMixedTypes="0" containsString="0" containsNumber="1" minValue="0" maxValue="600000" count="280">
        <n v="0"/>
        <n v="2.33" u="1"/>
        <n v="4.25" u="1"/>
        <n v="20.5" u="1"/>
        <n v="55.4" u="1"/>
        <n v="1700" u="1"/>
        <n v="57" u="1"/>
        <n v="12530" u="1"/>
        <n v="11.8" u="1"/>
        <n v="12.2" u="1"/>
        <n v="19.440000000000001" u="1"/>
        <n v="576.45000000000005" u="1"/>
        <n v="5500" u="1"/>
        <n v="2.87" u="1"/>
        <n v="4.5" u="1"/>
        <n v="100" u="1"/>
        <n v="121.8" u="1"/>
        <n v="196.68" u="1"/>
        <n v="0.87" u="1"/>
        <n v="2.97" u="1"/>
        <n v="13" u="1"/>
        <n v="59" u="1"/>
        <n v="2351" u="1"/>
        <n v="0.55000000000000004" u="1"/>
        <n v="9.94" u="1"/>
        <n v="16.25" u="1"/>
        <n v="20.440000000000001" u="1"/>
        <n v="36" u="1"/>
        <n v="79" u="1"/>
        <n v="1.65" u="1"/>
        <n v="2.68" u="1"/>
        <n v="19.91" u="1"/>
        <n v="22.5" u="1"/>
        <n v="34.729999999999997" u="1"/>
        <n v="0.65" u="1"/>
        <n v="1.7" u="1"/>
        <n v="13.5" u="1"/>
        <n v="45.84" u="1"/>
        <n v="130" u="1"/>
        <n v="1.75" u="1"/>
        <n v="4.8" u="1"/>
        <n v="17.25" u="1"/>
        <n v="38" u="1"/>
        <n v="58.2" u="1"/>
        <n v="5" u="1"/>
        <n v="5.2" u="1"/>
        <n v="7.7249999999999996" u="1"/>
        <n v="12.97" u="1"/>
        <n v="23.5" u="1"/>
        <n v="43.65" u="1"/>
        <n v="14" u="1"/>
        <n v="63" u="1"/>
        <n v="0.28000000000000003" u="1"/>
        <n v="40" u="1"/>
        <n v="651" u="1"/>
        <n v="14.1" u="1"/>
        <n v="21.91" u="1"/>
        <n v="74.38" u="1"/>
        <n v="1885" u="1"/>
        <n v="3000" u="1"/>
        <n v="6.28" u="1"/>
        <n v="66" u="1"/>
        <n v="74.099999999999994" u="1"/>
        <n v="600000" u="1"/>
        <n v="8.75" u="1"/>
        <n v="35.08" u="1"/>
        <n v="82.34" u="1"/>
        <n v="3.37" u="1"/>
        <n v="40.729999999999997" u="1"/>
        <n v="83.7" u="1"/>
        <n v="175" u="1"/>
        <n v="6420" u="1"/>
        <n v="5.35" u="1"/>
        <n v="15" u="1"/>
        <n v="15.4" u="1"/>
        <n v="0.7" u="1"/>
        <n v="2.29" u="1"/>
        <n v="26.96" u="1"/>
        <n v="44" u="1"/>
        <n v="95" u="1"/>
        <n v="1.9" u="1"/>
        <n v="120" u="1"/>
        <n v="123.2" u="1"/>
        <n v="9420" u="1"/>
        <n v="5.4" u="1"/>
        <n v="9.98" u="1"/>
        <n v="32.44" u="1"/>
        <n v="35.1" u="1"/>
        <n v="2" u="1"/>
        <n v="9.75" u="1"/>
        <n v="99" u="1"/>
        <n v="1.46" u="1"/>
        <n v="6" u="1"/>
        <n v="15.6" u="1"/>
        <n v="27.5" u="1"/>
        <n v="4.82" u="1"/>
        <n v="5.65" u="1"/>
        <n v="16" u="1"/>
        <n v="6.05" u="1"/>
        <n v="10.25" u="1"/>
        <n v="2.0499999999999998" u="1"/>
        <n v="6.25" u="1"/>
        <n v="92.5" u="1"/>
        <n v="17" u="1"/>
        <n v="27.9" u="1"/>
        <n v="37.5" u="1"/>
        <n v="178" u="1"/>
        <n v="43000" u="1"/>
        <n v="2.25" u="1"/>
        <n v="10.75" u="1"/>
        <n v="12.41" u="1"/>
        <n v="19.329999999999998" u="1"/>
        <n v="50" u="1"/>
        <n v="1450" u="1"/>
        <n v="22000" u="1"/>
        <n v="3.38" u="1"/>
        <n v="3.97" u="1"/>
        <n v="18" u="1"/>
        <n v="400" u="1"/>
        <n v="0.3" u="1"/>
        <n v="7.73" u="1"/>
        <n v="52" u="1"/>
        <n v="500" u="1"/>
        <n v="35.78" u="1"/>
        <n v="65" u="1"/>
        <n v="68.2" u="1"/>
        <n v="13030" u="1"/>
        <n v="36000" u="1"/>
        <n v="2.4" u="1"/>
        <n v="6.4" u="1"/>
        <n v="29.1" u="1"/>
        <n v="1320" u="1"/>
        <n v="4000" u="1"/>
        <n v="2.5" u="1"/>
        <n v="27.31" u="1"/>
        <n v="36750" u="1"/>
        <n v="0.63" u="1"/>
        <n v="7" u="1"/>
        <n v="27.58" u="1"/>
        <n v="170.46" u="1"/>
        <n v="2.94" u="1"/>
        <n v="20" u="1"/>
        <n v="1100" u="1"/>
        <n v="12.25" u="1"/>
        <n v="26.25" u="1"/>
        <n v="33.92" u="1"/>
        <n v="3.34" u="1"/>
        <n v="33" u="1"/>
        <n v="160" u="1"/>
        <n v="300000" u="1"/>
        <n v="3.24" u="1"/>
        <n v="139" u="1"/>
        <n v="58008" u="1"/>
        <n v="2.75" u="1"/>
        <n v="58" u="1"/>
        <n v="240.98" u="1"/>
        <n v="2.16" u="1"/>
        <n v="7.5" u="1"/>
        <n v="35" u="1"/>
        <n v="77" u="1"/>
        <n v="94.61" u="1"/>
        <n v="277.10000000000002" u="1"/>
        <n v="4218.7" u="1"/>
        <n v="12.22" u="1"/>
        <n v="12.85" u="1"/>
        <n v="22" u="1"/>
        <n v="66.5" u="1"/>
        <n v="168.00000000000003" u="1"/>
        <n v="9530" u="1"/>
        <n v="11.29" u="1"/>
        <n v="15.94" u="1"/>
        <n v="21.4" u="1"/>
        <n v="60" u="1"/>
        <n v="900" u="1"/>
        <n v="49000" u="1"/>
        <n v="3.59" u="1"/>
        <n v="6.77" u="1"/>
        <n v="9.16" u="1"/>
        <n v="57.2" u="1"/>
        <n v="1" u="1"/>
        <n v="7.6" u="1"/>
        <n v="13.35" u="1"/>
        <n v="241.77" u="1"/>
        <n v="3" u="1"/>
        <n v="3.1" u="1"/>
        <n v="20.61" u="1"/>
        <n v="85" u="1"/>
        <n v="3.44" u="1"/>
        <n v="14.48" u="1"/>
        <n v="24" u="1"/>
        <n v="83500" u="1"/>
        <n v="14.25" u="1"/>
        <n v="17.95" u="1"/>
        <n v="99.5" u="1"/>
        <n v="213" u="1"/>
        <n v="9920" u="1"/>
        <n v="40600" u="1"/>
        <n v="2.36" u="1"/>
        <n v="3.05" u="1"/>
        <n v="4.8600000000000003" u="1"/>
        <n v="18.75" u="1"/>
        <n v="25.53" u="1"/>
        <n v="3.15" u="1"/>
        <n v="6.09" u="1"/>
        <n v="7.9" u="1"/>
        <n v="3.35" u="1"/>
        <n v="43500" u="1"/>
        <n v="0.62" u="1"/>
        <n v="2.17" u="1"/>
        <n v="74.260000000000005" u="1"/>
        <n v="200" u="1"/>
        <n v="0.67" u="1"/>
        <n v="26" u="1"/>
        <n v="250" u="1"/>
        <n v="13.52" u="1"/>
        <n v="25.4" u="1"/>
        <n v="18000" u="1"/>
        <n v="0.45" u="1"/>
        <n v="9.5" u="1"/>
        <n v="9.9" u="1"/>
        <n v="45" u="1"/>
        <n v="137" u="1"/>
        <n v="2000" u="1"/>
        <n v="1.25" u="1"/>
        <n v="1.3" u="1"/>
        <n v="27" u="1"/>
        <n v="151.5" u="1"/>
        <n v="2.12" u="1"/>
        <n v="13.79" u="1"/>
        <n v="26.4" u="1"/>
        <n v="10" u="1"/>
        <n v="27.13" u="1"/>
        <n v="47" u="1"/>
        <n v="2.52" u="1"/>
        <n v="9.3000000000000007" u="1"/>
        <n v="16.5" u="1"/>
        <n v="80" u="1"/>
        <n v="10.5" u="1"/>
        <n v="105" u="1"/>
        <n v="504.01" u="1"/>
        <n v="29" u="1"/>
        <n v="16.97" u="1"/>
        <n v="17.5" u="1"/>
        <n v="18.3" u="1"/>
        <n v="28.4" u="1"/>
        <n v="1508" u="1"/>
        <n v="2.67" u="1"/>
        <n v="23.75" u="1"/>
        <n v="29.2" u="1"/>
        <n v="1056" u="1"/>
        <n v="10000" u="1"/>
        <n v="1.99" u="1"/>
        <n v="6.94" u="1"/>
        <n v="8.64" u="1"/>
        <n v="30" u="1"/>
        <n v="36.380000000000003" u="1"/>
        <n v="175.5" u="1"/>
        <n v="1.35" u="1"/>
        <n v="2.1800000000000002" u="1"/>
        <n v="27.27" u="1"/>
        <n v="40.43" u="1"/>
        <n v="80000" u="1"/>
        <n v="0.5" u="1"/>
        <n v="1.45" u="1"/>
        <n v="31.53" u="1"/>
        <n v="1.5" u="1"/>
        <n v="2.0299999999999998" u="1"/>
        <n v="11.6" u="1"/>
        <n v="162.5" u="1"/>
        <n v="2.13" u="1"/>
        <n v="2.92" u="1"/>
        <n v="6.06" u="1"/>
        <n v="12" u="1"/>
        <n v="18.899999999999999" u="1"/>
        <n v="117" u="1"/>
        <n v="59500" u="1"/>
        <n v="0.66" u="1"/>
        <n v="2.23" u="1"/>
        <n v="32" u="1"/>
        <n v="340" u="1"/>
      </sharedItems>
    </cacheField>
    <cacheField name="Cost Input*" numFmtId="0">
      <sharedItems containsSemiMixedTypes="0" containsString="0" containsNumber="1" minValue="4.0999999999999996" maxValue="6.9" count="29">
        <n v="5.4"/>
        <n v="6.6"/>
        <n v="5.8"/>
        <n v="6.5"/>
        <n v="6.4"/>
        <n v="5.6"/>
        <n v="5.12"/>
        <n v="6.7"/>
        <n v="5.1100000000000003"/>
        <n v="4.8"/>
        <n v="4.9000000000000004"/>
        <n v="4.7"/>
        <n v="4.0999999999999996" u="1"/>
        <n v="4.3" u="1"/>
        <n v="5.13" u="1"/>
        <n v="4.5" u="1"/>
        <n v="4.4000000000000004" u="1"/>
        <n v="4.5999999999999996" u="1"/>
        <n v="5.2" u="1"/>
        <n v="5.0999999999999996" u="1"/>
        <n v="5.3" u="1"/>
        <n v="5.5" u="1"/>
        <n v="5.7" u="1"/>
        <n v="5.9" u="1"/>
        <n v="6.3" u="1"/>
        <n v="6.8" u="1"/>
        <n v="6.9" u="1"/>
        <n v="6.11" u="1"/>
        <n v="4.2" u="1"/>
      </sharedItems>
    </cacheField>
    <cacheField name="Cost Input Finance" numFmtId="0">
      <sharedItems/>
    </cacheField>
    <cacheField name="Lead Time( In Quarters)" numFmtId="0">
      <sharedItems containsNonDate="0" containsString="0" containsBlank="1" containsNumber="1" containsInteger="1" minValue="1" maxValue="4" count="5">
        <m/>
        <n v="2" u="1"/>
        <n v="1" u="1"/>
        <n v="3" u="1"/>
        <n v="4" u="1"/>
      </sharedItems>
    </cacheField>
    <cacheField name="Unit of measure*" numFmtId="0">
      <sharedItems/>
    </cacheField>
    <cacheField name="Remark" numFmtId="0">
      <sharedItems containsNonDate="0" containsString="0" containsBlank="1"/>
    </cacheField>
  </cacheFields>
  <extLst>
    <ext xmlns:x14="http://schemas.microsoft.com/office/spreadsheetml/2009/9/main" uri="{725AE2AE-9491-48be-B2B4-4EB974FC3084}">
      <x14:pivotCacheDefinition pivotCacheId="134932898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055.546355324077" createdVersion="7" refreshedVersion="8" minRefreshableVersion="3" recordCount="522" xr:uid="{F8F84C66-96FE-4240-A2C4-1D4E88860C67}">
  <cacheSource type="worksheet">
    <worksheetSource name="Grant"/>
  </cacheSource>
  <cacheFields count="13">
    <cacheField name="Geography ID" numFmtId="0">
      <sharedItems containsString="0" containsBlank="1" containsNumber="1" containsInteger="1" minValue="24" maxValue="291"/>
    </cacheField>
    <cacheField name="Country" numFmtId="0">
      <sharedItems containsBlank="1" count="246">
        <s v="Afghanistan"/>
        <s v="Angola"/>
        <s v="Albania"/>
        <s v="Armenia"/>
        <s v="Azerbaijan"/>
        <s v="Burundi"/>
        <s v="Benin"/>
        <s v="Burkina Faso"/>
        <s v="Bangladesh"/>
        <s v="Belarus"/>
        <s v="Belize"/>
        <s v="Bolivia (Plurinational State)"/>
        <s v="Bhutan"/>
        <s v="Botswana"/>
        <s v="Central African Republic"/>
        <s v="Côte d'Ivoire"/>
        <s v="Cameroon"/>
        <s v="Congo (Democratic Republic)"/>
        <s v="Congo"/>
        <s v="Colombia"/>
        <s v="Comoros"/>
        <s v="Cabo Verde"/>
        <s v="Costa Rica"/>
        <s v="Cuba"/>
        <s v="Djibouti"/>
        <s v="Dominican Republic"/>
        <s v="Algeria"/>
        <s v="Ecuador"/>
        <s v="Egypt"/>
        <s v="Eritrea"/>
        <s v="Ethiopia"/>
        <s v="Fiji"/>
        <s v="Gabon"/>
        <s v="Georgia"/>
        <s v="Ghana"/>
        <s v="Guinea"/>
        <s v="Gambia"/>
        <s v="Guinea-Bissau"/>
        <s v="Equatorial Guinea"/>
        <s v="Guatemala"/>
        <s v="Guyana"/>
        <s v="Honduras"/>
        <s v="Haiti"/>
        <s v="Indonesia"/>
        <s v="India"/>
        <s v="Iran (Islamic Republic)"/>
        <s v="Jamaica"/>
        <s v="Kazakhstan"/>
        <s v="Kenya"/>
        <s v="Kyrgyzstan"/>
        <s v="Cambodia"/>
        <s v="Lao (Peoples Democratic Republic)"/>
        <s v="Liberia"/>
        <s v="Sri Lanka"/>
        <s v="Lesotho"/>
        <s v="Morocco"/>
        <s v="Moldova"/>
        <s v="Madagascar"/>
        <s v="Mali"/>
        <s v="Malawi"/>
        <s v="Myanmar"/>
        <s v="Montenegro"/>
        <s v="Mongolia"/>
        <s v="Mozambique"/>
        <s v="Mauritania"/>
        <s v="Mauritius"/>
        <s v="Malaysia"/>
        <s v="Namibia"/>
        <s v="Nepal"/>
        <s v="Niger"/>
        <s v="Nigeria"/>
        <s v="Nicaragua"/>
        <s v="Pakistan"/>
        <s v="Panama"/>
        <s v="Peru"/>
        <s v="Philippines"/>
        <s v="Papua New Guinea"/>
        <s v="Korea (Democratic Peoples Republic)"/>
        <s v="Paraguay"/>
        <s v="World"/>
        <s v="Africa"/>
        <s v="Southern Asia"/>
        <s v="South-Eastern Asia"/>
        <s v="Kosovo"/>
        <s v="Zanzibar"/>
        <s v="Eastern Africa"/>
        <s v="Americas"/>
        <s v="Caribbean"/>
        <s v="Asia"/>
        <s v="Western Asia"/>
        <s v="Oceania"/>
        <s v="Romania"/>
        <s v="Russian Federation"/>
        <s v="Rwanda"/>
        <s v="Sudan"/>
        <s v="Senegal"/>
        <s v="Solomon Islands"/>
        <s v="Sierra Leone"/>
        <s v="El Salvador"/>
        <s v="Somalia"/>
        <s v="Serbia"/>
        <s v="South Sudan"/>
        <s v="Sao Tome and Principe"/>
        <s v="Suriname"/>
        <s v="Eswatini"/>
        <s v="Chad"/>
        <s v="Togo"/>
        <s v="Thailand"/>
        <s v="Tajikistan"/>
        <s v="Turkmenistan"/>
        <s v="Timor-Leste"/>
        <s v="Tanzania (United Republic)"/>
        <s v="Tunisia"/>
        <s v="Uganda"/>
        <s v="Ukraine"/>
        <s v="Uzbekistan"/>
        <s v="Venezuela"/>
        <s v="Viet Nam"/>
        <s v="Yemen"/>
        <s v="South Africa"/>
        <s v="Zambia"/>
        <s v="Zimbabwe"/>
        <m/>
        <s v="Antigua and Barbuda" u="1"/>
        <s v="Denmark" u="1"/>
        <s v="Germany" u="1"/>
        <s v="Multicountry Asia IHAA" u="1"/>
        <s v="Nauru" u="1"/>
        <s v="Saint Lucia" u="1"/>
        <s v="Switzerland" u="1"/>
        <s v="Multicountry Western Pacific" u="1"/>
        <s v="Multicountry MENA Key Populations" u="1"/>
        <s v="France" u="1"/>
        <s v="Multicountry Southern Africa TIMS" u="1"/>
        <s v="Aruba" u="1"/>
        <s v="Multicountry Southern Africa WHC" u="1"/>
        <s v="Bulgaria" u="1"/>
        <s v="New Zealand" u="1"/>
        <s v="Taiwan" u="1"/>
        <s v="Marshall Islands" u="1"/>
        <s v="Brunei Darussalam" u="1"/>
        <s v="Ireland" u="1"/>
        <s v="Palestine" u="1"/>
        <s v="Multicountry EECA PAS" u="1"/>
        <s v="China" u="1"/>
        <s v="Bahrain" u="1"/>
        <s v="Multicountry Africa ECSA-HC" u="1"/>
        <s v="Italy" u="1"/>
        <s v="Libya" u="1"/>
        <s v="Czechia" u="1"/>
        <s v="Multicountry TB Asia UNDP" u="1"/>
        <s v="Western Sahara" u="1"/>
        <s v="Malta" u="1"/>
        <s v="Canada" u="1"/>
        <s v="Lebanon" u="1"/>
        <s v="Cyprus" u="1"/>
        <s v="Palau" u="1"/>
        <s v="North Macedonia" u="1"/>
        <s v="Samoa" u="1"/>
        <s v="Sweden" u="1"/>
        <s v="Greenland" u="1"/>
        <s v="Sint Maarten (Dutch part)" u="1"/>
        <s v="Jordan" u="1"/>
        <s v="Kuwait" u="1"/>
        <s v="Korea (Republic)" u="1"/>
        <s v="Multicountry Southern Africa MOSASWA" u="1"/>
        <s v="Iceland" u="1"/>
        <s v="Luxembourg" u="1"/>
        <s v="Saudi Arabia" u="1"/>
        <s v="Spain" u="1"/>
        <s v="Latvia" u="1"/>
        <s v="Vanuatu" u="1"/>
        <s v="Qatar" u="1"/>
        <s v="Curacao" u="1"/>
        <s v="Hungary" u="1"/>
        <s v="United States" u="1"/>
        <s v="Slovenia" u="1"/>
        <s v="Multicountry TB Asia TEAM" u="1"/>
        <s v="Iraq" u="1"/>
        <s v="Finland" u="1"/>
        <s v="Multicountry Caribbean MCC" u="1"/>
        <s v="Greece" u="1"/>
        <s v="Multicountry Southern Africa E8" u="1"/>
        <s v="Netherlands" u="1"/>
        <s v="Multicountry Caribbean CARICOM-PANCAP" u="1"/>
        <s v="Multicountry East Asia and Pacific APN" u="1"/>
        <s v="Monaco" u="1"/>
        <s v="Syrian Arab Republic" u="1"/>
        <s v="Grenada" u="1"/>
        <s v="Micronesia (Federated States)" u="1"/>
        <s v="Brazil" u="1"/>
        <s v="Barbados" u="1"/>
        <s v="Poland" u="1"/>
        <s v="Argentina" u="1"/>
        <s v="Israel" u="1"/>
        <s v="Liechtenstein" u="1"/>
        <s v="Portugal" u="1"/>
        <s v="Multicountry Americas ORAS-CONHU" u="1"/>
        <s v="Norway" u="1"/>
        <s v="Niue" u="1"/>
        <s v="Singapore" u="1"/>
        <s v="Multicountry TB WC Africa NTP/SRL" u="1"/>
        <s v="San Marino" u="1"/>
        <s v="Cook Islands" u="1"/>
        <s v="Croatia" u="1"/>
        <s v="Oman" u="1"/>
        <s v="Tuvalu" u="1"/>
        <s v="Belgium" u="1"/>
        <s v="Saint Vincent and Grenadines" u="1"/>
        <s v="Multicountry Southern Africa HIVOS" u="1"/>
        <s v="Uruguay" u="1"/>
        <s v="Australia" u="1"/>
        <s v="Multicountry TB LAC PIH" u="1"/>
        <s v="Multicountry Eastern Africa ANECCA" u="1"/>
        <s v="Estonia" u="1"/>
        <s v="Faeroe Islands" u="1"/>
        <s v="Saint Kitts and Nevis" u="1"/>
        <s v="Andorra" u="1"/>
        <s v="Seychelles" u="1"/>
        <s v="Chile" u="1"/>
        <s v="Multicountry HIV EECA APH" u="1"/>
        <s v="Multicountry HIV Latin America ALEP" u="1"/>
        <s v="Maldives" u="1"/>
        <s v="Mexico" u="1"/>
        <s v="Kiribati" u="1"/>
        <s v="United Arab Emirates" u="1"/>
        <s v="Tokelau" u="1"/>
        <s v="Multicountry EECA IHAU" u="1"/>
        <s v="Tonga" u="1"/>
        <s v="Turkey" u="1"/>
        <s v="Multicountry Middle East MER" u="1"/>
        <s v="Holy See" u="1"/>
        <s v="Multicountry Americas EMMIE" u="1"/>
        <s v="Slovakia" u="1"/>
        <s v="Bosnia and Herzegovina" u="1"/>
        <s v="Dominica" u="1"/>
        <s v="United Kingdom" u="1"/>
        <s v="Austria" u="1"/>
        <s v="Multicountry Eastern Africa IGAD" u="1"/>
        <s v="Japan" u="1"/>
        <s v="Bahamas" u="1"/>
        <s v="Lithuania" u="1"/>
        <s v="Trinidad and Tobago" u="1"/>
        <s v="Multicountry HIV SEA AFAO" u="1"/>
        <s v="Multicountry Southern Africa SADC" u="1"/>
        <s v="Multicountry East Asia and Pacific RAI" u="1"/>
      </sharedItems>
    </cacheField>
    <cacheField name="Currency ID" numFmtId="0">
      <sharedItems containsString="0" containsBlank="1" containsNumber="1" containsInteger="1" minValue="1" maxValue="2"/>
    </cacheField>
    <cacheField name="Currency" numFmtId="0">
      <sharedItems containsBlank="1" count="5">
        <s v="USD"/>
        <s v="EUR"/>
        <m/>
        <s v="Euro" u="1"/>
        <s v="United States Dollar" u="1"/>
      </sharedItems>
    </cacheField>
    <cacheField name="Component ID" numFmtId="0">
      <sharedItems containsString="0" containsBlank="1" containsNumber="1" containsInteger="1" minValue="1" maxValue="6"/>
    </cacheField>
    <cacheField name="Component" numFmtId="0">
      <sharedItems containsBlank="1" count="10">
        <s v="HIV"/>
        <s v="Malaria"/>
        <s v="TB"/>
        <s v="Multi"/>
        <s v="RSSH"/>
        <m/>
        <s v="Multi-Component" u="1"/>
        <s v="HIV/TB" u="1"/>
        <s v="HIV/AIDS" u="1"/>
        <s v="Tuberculosis" u="1"/>
      </sharedItems>
    </cacheField>
    <cacheField name="Organization ID" numFmtId="0">
      <sharedItems containsBlank="1"/>
    </cacheField>
    <cacheField name="PR Organization" numFmtId="0">
      <sharedItems containsBlank="1" count="281">
        <s v="Ministry of Public Health of the Islamic Republic of Afghanistan"/>
        <s v="United Nations Development Programme"/>
        <s v="Ministry of Health of the Republic of Angola"/>
        <s v="World Vision International"/>
        <s v="Ministry of Health of the Republic of Albania"/>
        <s v="Ministry of Health of the Republic of Armenia"/>
        <s v="Ministry of Health of the Republic of Azerbaijan"/>
        <s v="Ministry of Public Health and Fight against AIDS of the Republic of Burundi"/>
        <s v="Secrétariat Exécutif Permanent du Conseil National de Lutte contre le SIDA"/>
        <s v="Plan International, Inc."/>
        <s v="Programme santé de lutte contre le Sida"/>
        <s v="Programme National de Lutte contre le Paludisme de la République du Bénin"/>
        <s v="Conseil National de Lutte contre le VIH/SIDA, la Tuberculose, le Paludisme, les Hépatites, les Infections sexuellement transmissibles et les Epidémies"/>
        <s v="Health System Performance Program"/>
        <s v="National Tuberculosis Programme of the Republic of Benin"/>
        <s v="Initiative Privée et Communautaire pour la Santé et la Riposte au VIH/SIDA  au Burkina Faso (IPC/BF)"/>
        <s v="Secrétariat Permanent du Conseil National de Lutte contre le Sida et les Infections Sexuellement Transmissibles (SP/CNLS-IST)"/>
        <s v="Programme d'Appui au Développement Sanitaire (PADS)"/>
        <s v="International Centre for Diarrhoeal Disease Research, Bangladesh"/>
        <s v="Economic Relations Division, Ministry of Finance of the People's Republic of Bangladesh"/>
        <s v="Save the Children Federation, Inc."/>
        <s v="BRAC"/>
        <s v="Republican Scientific and Practical Center for Medical Technologies, Informatization, Administration and Management of Health"/>
        <s v="Social Security Board"/>
        <s v="Humanist Institute for Co-operation with Developing Countries (Hivos)"/>
        <s v="National Integrated Programme Against Leprosy and Tuberculosis"/>
        <s v="Ministry of Health of the Royal Government of Bhutan"/>
        <s v="African Comprehensive HIV/AIDS Partnerships"/>
        <s v="Botswana-Ministry of Health and Wellness"/>
        <s v="National Coordination of the National AIDS Control Committee of the Government of the Central African Republic (CN-CNLS)"/>
        <s v="The Ministry of Public Heath, Population and the Fight Against HIV/AIDS of the Central African Republic"/>
        <s v="La Croix-Rouge française"/>
        <s v="Alliance Nationale pour la Santé et le Développement en Côte D'Ivoire"/>
        <s v="Ministry of Health, Public Hygiene and Universal Health Coverage of the Republic of Côte d’Ivoire"/>
        <s v="Ministry of Public Health of the Republic of Cameroon"/>
        <s v="Cameroon National Association for Family Welfare"/>
        <s v="Stichting Cordaid"/>
        <s v="Ministry of Health of the Democratic Republic of Congo"/>
        <s v="Population Services International"/>
        <s v="SANRU Asbl"/>
        <s v="Catholic Relief Services - United States Conference of Catholic Bishops"/>
        <s v="Empresa Nacional Promotora del Desarrollo Territorial"/>
        <s v="Association Comorienne pour le Bien-E^tre de la Famille"/>
        <s v="Ministry of Health, Solidarity, Social Protection and Gender Promotion of the Union of the Comoros"/>
        <s v="Programme National de Lutte contre la Tuberculose et la Lepre"/>
        <s v="Coordination Committee of the Fight against AIDS of Cabo Verde"/>
        <s v="Consejo Nacional para el VIH y el SIDA"/>
        <s v="Instituto Dermatológico y Cirugía de Piel ‘Dr. Huberto Bogaert Díaz’"/>
        <s v="Ministry of Public Health and Social Assistance of the Dominican Republic"/>
        <s v="Ministry of Health, Population and Hospital Reform of the People's Democratic Republic of Algeria"/>
        <s v="Corporación Kimirina"/>
        <s v="Ministry of Public Health of the Republic of Ecuador"/>
        <s v="Ministry of Health of the State of Eritrea"/>
        <s v="HIV/AIDS Prevention and Control Office"/>
        <s v="Federal Ministry of Health of the Federal Democratic Republic of Ethiopia"/>
        <s v="United Nations Children's Fund"/>
        <s v="Ministry of Health and Medical Services of the Republic of Fiji"/>
        <s v="Centre de Recherches Médicales de Lambaréné"/>
        <s v="Ministry of Health, Social Welfare and National Solidarity of the Gabonese Republic"/>
        <s v="National Center For Disease Control and Public Health"/>
        <s v="Christian Health Association of Ghana"/>
        <s v="Ministry of Health of the Republic of Ghana"/>
        <s v="West African Program to Combat AIDS and STI"/>
        <s v="AngloGold Ashanti (Ghana) Malaria Control Limited"/>
        <s v="Secrétariat Exécutif du Comité National de Lutte contre le Sida de la République de Guinée"/>
        <s v="The Ministry of Health of the Republic of Guinea"/>
        <s v="ActionAid International The Gambia"/>
        <s v="The National AIDS Secretariat of the Republic of The Gambia"/>
        <s v="Ministry of Health of the Republic of The Gambia"/>
        <s v="National Secretariat to Fight AIDS of Guinea-Bissau"/>
        <s v="Ministry of Health of the Republic of Guinea-Bissau"/>
        <s v="Medical Care Development International"/>
        <s v="Institute of Nutrition of Central America and Panama (INCAP)"/>
        <s v="Inter-American Development Bank"/>
        <s v="Ministry of Health and Social Assistance of the Republic of Guatemala"/>
        <s v="Ministry of Health of the Co-operative Republic of Guyana"/>
        <s v="Cooperative Housing Foundation"/>
        <s v="Ministère de la Santé Publique et de la Population (Unité de Gestion des Projets)"/>
        <s v="Indonesia AIDS Coalition"/>
        <s v="Directorate General of Disease Prevention and Control, Ministry of Health of The Republic of Indonesia"/>
        <s v="Yayasan Spiritia"/>
        <s v="Persatuan Karya Dharma Kesehatan Indonesia (also known as “PERDHAKI”, Association of Voluntary Health Services of Indonesia)"/>
        <s v="Central Board of ‘Aisyiyah"/>
        <s v="Konsorsium Komunitas PENABULU-STPI"/>
        <s v="Plan International (India Chapter)"/>
        <s v="William J. Clinton Foundation"/>
        <s v="India HIV/AIDS Alliance"/>
        <s v="Department of Economic Affairs, Ministry of Finance of India"/>
        <s v="Solidarity and Action Against The HIV Infection in India"/>
        <s v="T.C.I. Foundation"/>
        <s v="Centre for Health Research and Innovation"/>
        <s v="Foundation for Innovative New Diagnostics India"/>
        <s v="International Bank for Reconstruction and Development"/>
        <s v="International Union Against Tuberculosis and Lung Disease"/>
        <s v="Ministry of Health and Wellness,  Jamaica"/>
        <s v="Kazakh scientific center of dermatology and infectious diseases of the Ministry of Health of the Republic of Kazakhstan"/>
        <s v="RSE on REU “National Scientific Center of Phthisiopulmonology of the Republic of  Kazakhstan” of the Ministry of Health of the Republic of  Kazakhstan"/>
        <s v="Kenya Red Cross Society"/>
        <s v="National Treasury of the Republic of Kenya"/>
        <s v="Amref Health Africa"/>
        <s v="Cambodia Ministry of Economy and Finance"/>
        <s v="Ministry of Health of the Lao People's Democratic Republic"/>
        <s v="Ministry of Health and Social Welfare"/>
        <s v="The Family Planning Association of Sri Lanka"/>
        <s v="Ministry of Health of the Democratic Socialist  Republic of Sri Lanka"/>
        <s v="Ministry of Finance of the Kingdom of Lesotho"/>
        <s v="Pact, Inc."/>
        <s v="Ministry of Health of the Kingdom of Morocco"/>
        <s v="Public Institution - Coordination, Implementation and Monitoring Unit of the Health System Projects"/>
        <s v="Center for Health Policies and Studies"/>
        <s v="Sécrétariat Exécutif du Comité National de Lutte Contre le VIH/SIDA de la République de Madagascar"/>
        <s v="Ministry of Public Health of the Republic of Madagascar"/>
        <s v="Office National de Nutrition"/>
        <s v="Association pour Résilience des Communautés vers l’Accès au Développement et à la Santé Plus"/>
        <s v="Ministère de la Santé et du Développement Social de la République du Mali"/>
        <s v="National High Council for the Fight against AIDS"/>
        <s v="The Registered Trustees of the National AIDS Commission Trust of the Republic of Malawi"/>
        <s v="United Nations Office for Project Services"/>
        <s v="Ministry of Health of Montenegro"/>
        <s v="Ministry of Health of Mongolia"/>
        <s v="Ministry of Health of Mozambique"/>
        <s v="Centro de Colaboração em Saúde"/>
        <s v="Fundação para o Desenvolvimento da Comunidade"/>
        <s v="Secrétariat Exécutif National de Lutte contre le SIDA de la République Islamique de Mauritanie"/>
        <s v="Ministry of Health and Wellness"/>
        <s v="Prévention Information Lutte contre le Sida"/>
        <s v="ActionAid International Malawi"/>
        <s v="Ministry of Health of the Republic of Malawi"/>
        <s v="World Vision Malawi"/>
        <s v="Malaysian AIDS Council"/>
        <s v="Ministry of Health and Social Services of Namibia"/>
        <s v="Namibia Network of AIDS Service Organizations"/>
        <s v="The Ministry of Health and Population of Nepal"/>
        <s v="Cellule Nationale de Coordination Technique de la Riposte Nationale au Sida et aux Hépatites"/>
        <s v="Ministry of Public Health, Population and Social Affairs"/>
        <s v="Lagos State Ministry of Health"/>
        <s v="Family Health International (FHI360)"/>
        <s v="National Agency for the Control of AIDS"/>
        <s v="Society For Family Health"/>
        <s v="National Malaria Elimination Programme of the Federal Ministry of Health of the Federal Republic of Nigeria"/>
        <s v="Management Sciences for Health"/>
        <s v="Institute of Human Virology Nigeria"/>
        <s v="National Tuberculosis &amp; Leprosy Control Programme"/>
        <s v="Federación Red NICASALUD"/>
        <s v="Ministry of National Health Services, Regulations and Coordination of Pakistan"/>
        <s v="Nai Zindagi"/>
        <s v="Directorate of Malaria Control, Ministry of National Health Services, Regulations and Coordination of Pakistan"/>
        <s v="Indus Hospital &amp; Health Network"/>
        <s v="Mercy Corps"/>
        <s v="National TB Control Programme Pakistan"/>
        <s v="Socios en Salud sucursal Peru"/>
        <s v="CARE Peru"/>
        <s v="Pathfinder International"/>
        <s v="Pilipinas Shell Foundation, Inc."/>
        <s v="Philippine Business for Social Progress, Inc."/>
        <s v="World Vision (PNG) Trust"/>
        <s v="The Rotary Club of Port Moresby Inc."/>
        <s v="Centro de Información y Recursos para el Desarrollo"/>
        <s v="Alter Vida - Centro de Estudios y Formación para el Ecodesarrollo"/>
        <s v="International Charitable Foundation “Alliance for Public Health”"/>
        <s v="Australian Federation Of AIDS Organisations Limited"/>
        <s v="Frontline AIDS"/>
        <s v="Community Development Fund"/>
        <s v="Ministry of Health of the Revolutionary Government of Zanzibar"/>
        <s v="African Network for the Care of Children Affected by HIV/AIDS"/>
        <s v="Southern African Development Community Secretariat"/>
        <s v="SADC Malaria Elimination Eight Secretariat"/>
        <s v="Lubombo Spatial Development Initiative 2 NPC"/>
        <s v="East, Central and Southern Africa Health Community"/>
        <s v="Intergovernmental Authority on Development"/>
        <s v="Wits Health Consortium (Pty) Ltd"/>
        <s v="Caribbean Community Secretariat"/>
        <s v="Organismo Andino de Salud - Convenio Hipólito Unanue"/>
        <s v="Partners In Health"/>
        <s v="Organisation of Eastern Caribbean States"/>
        <s v="International Organization for Migration"/>
        <s v="Ministry of Health of Romania"/>
        <s v="St. Petersburg charitable fund programs “Humanitarian action”"/>
        <s v="Ministry of Health of the Republic of Rwanda"/>
        <s v="Federal Ministry of Health of the Republic of Sudan"/>
        <s v="Alliance Nationale des Communautés pour la Santé - Sénégal"/>
        <s v="Conseil National de Lutte contre le SIDA de la République du Sénégal"/>
        <s v="Ministry of Health and Social Action of the Republic of Senegal"/>
        <s v="Solomon Islands Ministry of Health and Medical Services"/>
        <s v="National HIV/AIDS Secretariat"/>
        <s v="Ministry of Health and Sanitation of Sierra Leone"/>
        <s v="Ministry of Health of the Republic of El Salvador"/>
        <s v="Plan International El Salvador"/>
        <s v="Ministry of Health, Prevention and Public Hygiene of the Republic of Senegal - AIDS Division"/>
        <s v="Ministry of Health of Republic of Serbia"/>
        <s v="Ministry of Health of Sao Tome and Principe"/>
        <s v="Ministry of Health of the Republic of Suriname"/>
        <s v="Coordinating Assembly of Non Governmental Organisation"/>
        <s v="National Emergency Response Council on HIV and AIDS"/>
        <s v="Association of Social Marketing in Chad (AMASOT)"/>
        <s v="Fonds de soutien aux activités en matière de population et de lutte contre le Sida de la République du Tchad"/>
        <s v="National Union of Diocesan Associations (UNAD)"/>
        <s v="Ministry of Public Health and National Solidarity"/>
        <s v="Primature de la République Togolaise"/>
        <s v="Department of Disease Control, Ministry of Public Health of the Royal Government of Thailand"/>
        <s v="Raks Thai Foundation"/>
        <s v="Republican Center of Tuberculosis Control - Tajikistan"/>
        <s v="Ministry of Health of the Democratic Republic of Timor-Leste"/>
        <s v="Office National de la Famille et de la Population de la République de Tunisie"/>
        <s v="Basic Health Care Directorate"/>
        <s v="Ministry of Finance and Planning of the United Republic of Tanzania"/>
        <s v="The AIDS Support Organisation (Uganda) Limited"/>
        <s v="Ministry of Finance, Planning and Economic Development of the Republic of Uganda"/>
        <s v="Charitable Organization &quot;All-Ukrainian Network of People Living with HIV/AIDS&quot;"/>
        <s v="State Institution &quot;Public Health Center of the Ministry of Health of Ukraine&quot;"/>
        <s v="Republican Center to Fight AIDS"/>
        <s v="Republican Center of State Sanitary-Epidemiological Surveillance of the Republic of Uzbekistan"/>
        <s v="Republican DOTS Centre  Ministry of Health of the Republic of Uzbekistan"/>
        <s v="Republican Specialized Scientific-Practical Medical Center of Phthisiology and Pulmonology"/>
        <s v="Viet Nam Authority of HIV/AIDS Control"/>
        <s v="Viet Nam Union of Science and Technology Associations"/>
        <s v="Viet Nam National Lung Hospital"/>
        <s v="The National Tuberculosis Control Program"/>
        <s v="AIDS Foundation South Africa"/>
        <s v="Beyond Zero NPC"/>
        <s v="Networking HIV, AIDS Community of South Africa NPC"/>
        <s v="National Department of Health of the Republic of South Africa"/>
        <s v="Churches Health Association of Zambia"/>
        <s v="Ministry of Health of the Republic of Zambia"/>
        <s v="The Ministry of Health and Child Care of the Republic of Zimbabwe"/>
        <m/>
        <s v="Not available" u="1"/>
        <s v="Ghana AIDS Commission" u="1"/>
        <s v="Amref Health Africa, Tanzania" u="1"/>
        <s v="Catholic Relief Services, United States Conference of Catholic Bishops" u="1"/>
        <s v="Secrétariat Permanent du Conseil National de Lutte contre le Sida et les IST du Burkina Faso" u="1"/>
        <s v="Catholic Relief Services-United States Conference of Catholic Bishops" u="1"/>
        <s v="United Nations Office for Project Services Head Quarters" u="1"/>
        <s v="Ministry of Health and Indigenous Medical Services of the Democratic Socialist Republic of Sri Lanka" u="1"/>
        <s v="Amref Health Africa in Kenya" u="1"/>
        <s v="Western Cape Government: Health" u="1"/>
        <s v="World Vision International para Nicaragua" u="1"/>
        <s v="Association Comorienne pour le Bien-Être de la Famille" u="1"/>
        <s v="Ministry of Health and Social Welfare of the Republic of Liberia" u="1"/>
        <s v="Ministry of Health and Public Hygiene of the Republic of Côte d'Ivoire - PNLS" u="1"/>
        <s v="Indonesia Planned Parenthood Association" u="1"/>
        <s v="Humanist Institute for Co-operation with Developing Countries" u="1"/>
        <s v="Initiative Privée et Communautaire contre le VIH/SIDA au Burkina Faso" u="1"/>
        <s v="Caribbean Community (CARICOM)" u="1"/>
        <s v="Public Institution - Coordination, Implementation and Monitoring Unit of the Health  System Projects" u="1"/>
        <s v="UNICEF Ethiopia" u="1"/>
        <s v="Ministry of Health and Wellness, Jamaica" u="1"/>
        <s v="Ministry of Health and Quality of Life (implementing through the National AIDS Secretariat) of the Republic of Mauritius" u="1"/>
        <s v="Ministry of Health of the Republic of Honduras" u="1"/>
        <s v="Association For Reproductive And Family Health" u="1"/>
        <s v="Botswana-Ministry of Health" u="1"/>
        <s v="World Vision Somalia" u="1"/>
        <s v="National Executive Secretariat for fight against Aids of the Islamic Republic of Mauritania" u="1"/>
        <s v="Ministry of Public Health of Niger" u="1"/>
        <s v="Republican DOTS Centre Ministry of Health of the Republic of Uzbekistan" u="1"/>
        <s v="The Indus Hospital" u="1"/>
        <s v="KwaZulu Natal Provincial Treasury" u="1"/>
        <s v="Ministry of Health and Public Hygiene of the Republic of Côte d'Ivoire - PNLT" u="1"/>
        <s v="Programme d'Appui au Développement Sanitaire du Burkina Faso" u="1"/>
        <s v="Kheth'Impilo AIDS Free Living" u="1"/>
        <s v="Ministry of Health, Solidarity and Gender Promotion of the Union of the Comoros" u="1"/>
        <s v="Ministry of Health and Social Protection of the Republic of Albania" u="1"/>
        <s v="Ministry of Health and Population of the Democratic Republic of Congo" u="1"/>
        <s v="Ministry of Public Health of the Co-operative Republic Republic of Guyana" u="1"/>
        <s v="Ministry of Health of the Republic of Botswana" u="1"/>
        <s v="CARE INTERNATIONAL CAMEROON" u="1"/>
        <s v="RSE on REU “National Scientific Center of Phthisiopulmonology of the Republic of Kazakhstan” of the Ministry of Health of the Republic of Kazakhstan" u="1"/>
        <s v="Pact Lesotho" u="1"/>
        <s v="World Vision Mozambique" u="1"/>
        <s v="Ministry of Public Health Chad" u="1"/>
        <s v="Networking HIV and AIDS Community of Southern Africa NPC" u="1"/>
        <s v="Instituto de Nutrición de Centro América y Panamá (INCAP)" u="1"/>
        <s v="Ministry of Health and Population of the Government of the Republic of Congo" u="1"/>
        <s v="NA" u="1"/>
        <s v="William J Clinton Foundation" u="1"/>
        <s v="The Ministry of Health of the Republic of Mali" u="1"/>
        <s v="The Ministry of Public Health of the Republic of Guinea" u="1"/>
        <s v="Ministry of Health and Public Hygiene of the Republic of Côte d'Ivoire - PNLP" u="1"/>
        <s v="World Vision International (CAR Branch office)" u="1"/>
        <s v="Ministry of Health and Social Welfare of the Republic of Gambia" u="1"/>
        <s v="Programme National contre la Tuberculose de la République du Bénin" u="1"/>
      </sharedItems>
    </cacheField>
    <cacheField name="GOSGrantID" numFmtId="0">
      <sharedItems containsBlank="1"/>
    </cacheField>
    <cacheField name="GrantName" numFmtId="0">
      <sharedItems containsBlank="1" count="509">
        <s v="AFG-708-G04-H"/>
        <s v="AFG-H-UNDP"/>
        <s v="AFG-M-UNDP"/>
        <s v="AFG-T-MOPH"/>
        <s v="AFG-T-UNDP"/>
        <s v="AFG-Z-UNDP"/>
        <s v="AGO-911-G05-T"/>
        <s v="AGO-H-UNDP"/>
        <s v="AGO-M-MOH"/>
        <s v="AGO-M-WVI"/>
        <s v="AGO-T-MOH"/>
        <s v="AGO-Z-UNDP"/>
        <s v="ALB-C-MOH"/>
        <s v="ARM-C-MOH"/>
        <s v="ARM-H-MOH"/>
        <s v="AZE-C-MOH"/>
        <s v="AZE-H-MOH"/>
        <s v="AZE-T-MOH"/>
        <s v="BDI-C-UNDP"/>
        <s v="BDI-H-PNLS"/>
        <s v="BDI-M-SEPCNLS"/>
        <s v="BDI-M-UNDP"/>
        <s v="BDI-S-UGADS"/>
        <s v="BDI-T-PNILT"/>
        <s v="BEN-H-PlanBen"/>
        <s v="BEN-H-PSLS"/>
        <s v="BEN-M-PNLP"/>
        <s v="BEN-S-CNLS-TP"/>
        <s v="BEN-S-PRPSS"/>
        <s v="BEN-T-PNT"/>
        <s v="BFA-C-IPC"/>
        <s v="BFA-H-SPCNLS"/>
        <s v="BFA-M-PADS"/>
        <s v="BFA-T-PADS"/>
        <s v="BGD-H-ICDDRB"/>
        <s v="BGD-H-NASP"/>
        <s v="BGD-H-SC"/>
        <s v="BGD-M-BRAC"/>
        <s v="BGD-M-NMCP"/>
        <s v="BGD-T-BRAC"/>
        <s v="BGD-T-NTP"/>
        <s v="BLR-C-RSPCMT"/>
        <s v="BLR-T-RSPCMT"/>
        <s v="BLZ-C-UNDP"/>
        <s v="BLZ-H-SSB"/>
        <s v="BOL-H-HIVOS"/>
        <s v="BOL-M-UNDP"/>
        <s v="BOL-T-UNDP"/>
        <s v="BRN-708-G06-T"/>
        <s v="BRN-809-G07-H"/>
        <s v="BRN-813-G11-H"/>
        <s v="BTN-C-MOH"/>
        <s v="BTN-H-MOH"/>
        <s v="BTN-M-MOH"/>
        <s v="BTN-T-MOH"/>
        <s v="BWA-C-ACHAP"/>
        <s v="BWA-C-BMoH"/>
        <s v="BWA-M-BMOH"/>
        <s v="CAF-708-G05-H"/>
        <s v="CAF-911-G09-T"/>
        <s v="CAF-C-CRF"/>
        <s v="CAF-M-WVI"/>
        <s v="CIV-910-G13-H"/>
        <s v="CIV-C-ACI"/>
        <s v="CIV-H-ACI"/>
        <s v="CIV-H-MOH"/>
        <s v="CIV-M-MOH"/>
        <s v="CIV-M-SCI"/>
        <s v="CIV-S-MOH"/>
        <s v="CIV-T-ACI"/>
        <s v="CIV-T-MOH"/>
        <s v="CMR-011-G11-H"/>
        <s v="CMR-C-CMF"/>
        <s v="CMR-H-CMF"/>
        <s v="CMR-H-MOH"/>
        <s v="CMR-M-MOH"/>
        <s v="CMR-T-MOH"/>
        <s v="COD-C-CORDAID"/>
        <s v="COD-H-CORDAID"/>
        <s v="COD-H-MOH"/>
        <s v="COD-M-MOH"/>
        <s v="COD-M-PSI"/>
        <s v="COD-M-SANRU"/>
        <s v="COD-S-MOH"/>
        <s v="COD-T-MOH"/>
        <s v="COG-C-CRF"/>
        <s v="COG-C-UNDP"/>
        <s v="COG-H-CRF"/>
        <s v="COG-M-CRS"/>
        <s v="COL-H-ENTerritorio"/>
        <s v="COM-810-G03-M"/>
        <s v="COM-910-G04-H"/>
        <s v="COM-C-MOH"/>
        <s v="COM-H-DNLS"/>
        <s v="COM-M-PNLP"/>
        <s v="COM-T-ASCOBEF"/>
        <s v="COM-T-PNLT"/>
        <s v="CPV-Z-CCSSIDA"/>
        <s v="CRI-H-HIVOS"/>
        <s v="CUB-H-UNDP"/>
        <s v="DJI-C-UNDP"/>
        <s v="DJI-M-UNDP"/>
        <s v="DJI-Z-UNDP"/>
        <s v="DOM-H-CONAVIH"/>
        <s v="DOM-H-IDCP"/>
        <s v="DOM-T-MSPAS"/>
        <s v="DZA-H-MOH"/>
        <s v="ECU-H-KIMI"/>
        <s v="ECU-H-MOH"/>
        <s v="EGY-C-UNDP"/>
        <s v="ERI-H-MOH"/>
        <s v="ERI-M-MOH"/>
        <s v="ERI-T-MOH"/>
        <s v="ETH-H-HAPCO"/>
        <s v="ETH-M-FMOH"/>
        <s v="ETH-M-UNICEF"/>
        <s v="ETH-S-FMOH"/>
        <s v="ETH-T-FMOH"/>
        <s v="FJI-T-MHMS"/>
        <s v="GAB-T-CERMEL"/>
        <s v="GAB-T-MSPS"/>
        <s v="GEO-H-NCDC"/>
        <s v="GEO-T-NCDC"/>
        <s v="GHA-C-CHAG"/>
        <s v="GHA-C-MOH"/>
        <s v="GHA-H-WAPCAS"/>
        <s v="GHA-M-AGAMal"/>
        <s v="GHA-M-MOH"/>
        <s v="GIN-C-PLAN"/>
        <s v="GIN-H-CNLS"/>
        <s v="GIN-H-MOH"/>
        <s v="GIN-M-CRS"/>
        <s v="GMB-C-AAITG"/>
        <s v="GMB-C-NAS"/>
        <s v="GMB-H-ActionAid"/>
        <s v="GMB-H-NAS"/>
        <s v="GMB-M-MOH"/>
        <s v="GNB-708-G05-H"/>
        <s v="GNB-C-MOH"/>
        <s v="GNB-H-SNLS"/>
        <s v="GNB-M-UNDP"/>
        <s v="GNB-T-MINSAP"/>
        <s v="GNQ-506-G02-M"/>
        <s v="GTM-H-INCAP"/>
        <s v="GTM-M-IDB"/>
        <s v="GTM-M-MSPAS"/>
        <s v="GTM-T-MSPAS"/>
        <s v="GUY-C-MOH"/>
        <s v="GUY-H-MOH"/>
        <s v="GUY-M-MOH"/>
        <s v="GUY-T-MOH"/>
        <s v="GYA-304-G01-H"/>
        <s v="HND-C-CHF"/>
        <s v="HND-M-CHF"/>
        <s v="HTI-C-PSI"/>
        <s v="HTI-C-WV"/>
        <s v="HTI-M-PSI"/>
        <s v="HTI-M-UNDP"/>
        <s v="HTI-S-UGP"/>
        <s v="IDN-H-IAC"/>
        <s v="IDN-H-MOH"/>
        <s v="IDN-H-SPIRITI"/>
        <s v="IDN-M-MOH"/>
        <s v="IDN-M-PERDHAK"/>
        <s v="IDN-T-AISYIYA"/>
        <s v="IDN-T-MOH"/>
        <s v="IDN-T-PBSTPI"/>
        <s v="IND-C-PLAN"/>
        <s v="IND-C-WJCF"/>
        <s v="IND-H-IHAA"/>
        <s v="IND-H-NACO"/>
        <s v="IND-H-PLAN"/>
        <s v="IND-H-SAATHII"/>
        <s v="IND-M-NVBDCP"/>
        <s v="IND-M-TCIF"/>
        <s v="IND-T-CHRI"/>
        <s v="IND-T-CTD"/>
        <s v="IND-T-FIND"/>
        <s v="IND-T-IBRD"/>
        <s v="IND-T-IUATLD"/>
        <s v="IND-T-WJCF"/>
        <s v="IRN-H-UNDP"/>
        <s v="JAM-H-MOH"/>
        <s v="KAZ-H-RAC"/>
        <s v="KAZ-T-NCTP"/>
        <s v="KEN-H-KRCS"/>
        <s v="KEN-H-TNT"/>
        <s v="KEN-M-AMREF"/>
        <s v="KEN-M-TNT"/>
        <s v="KEN-T-AMREF"/>
        <s v="KEN-T-TNT"/>
        <s v="KGZ-C-UNDP"/>
        <s v="KHM-C-MEF"/>
        <s v="KHM-S-MEF"/>
        <s v="LAO-C-MOH"/>
        <s v="LAO-H-GFMOH"/>
        <s v="LAO-M-GFMOH"/>
        <s v="LAO-T-GFMOH"/>
        <s v="LBR-810-G07-H"/>
        <s v="LBR-C-MOH"/>
        <s v="LBR-C-PLAN"/>
        <s v="LBR-H-PSI"/>
        <s v="LBR-M-MOH"/>
        <s v="LBR-M-PII"/>
        <s v="LBR-T-MOH"/>
        <s v="LKA-H-FPA"/>
        <s v="LKA-H-MOH"/>
        <s v="LKA-M-MOH"/>
        <s v="LKA-S-MOH"/>
        <s v="LKA-T-MOH"/>
        <s v="LSO-C-MOF"/>
        <s v="LSO-C-PACT"/>
        <s v="MAR-C-MOH"/>
        <s v="MAR-H-MOH"/>
        <s v="MAR-S-MOH"/>
        <s v="MAR-T-MOH"/>
        <s v="MDA-C-PCIMU"/>
        <s v="MDA-T-PAS"/>
        <s v="MDG-H-PSI"/>
        <s v="MDG-H-SECNLS"/>
        <s v="MDG-M-MOH"/>
        <s v="MDG-M-PSI"/>
        <s v="MDG-S-MOH"/>
        <s v="MDG-T-CRS"/>
        <s v="MDG-T-ONN"/>
        <s v="MLI-C-ARC"/>
        <s v="MLI-C-MOH"/>
        <s v="MLI-H-HCNLS"/>
        <s v="MLI-H-PLAN"/>
        <s v="MLI-M-CRS"/>
        <s v="MLI-M-PSI"/>
        <s v="MLI-S-MOH"/>
        <s v="MLI-T-CRS"/>
        <s v="MLW-H-NAC"/>
        <s v="MMR-H-SCF"/>
        <s v="MMR-H-UNOPS"/>
        <s v="MMR-T-SCF"/>
        <s v="MMR-T-UNOPS"/>
        <s v="MNE-H-MoH"/>
        <s v="MNG-C-MOH"/>
        <s v="MNG-H-MOH"/>
        <s v="MNG-T-MOH"/>
        <s v="MOZ-708-G07-T"/>
        <s v="MOZ-809-G08-S"/>
        <s v="MOZ-C-CCS"/>
        <s v="MOZ-C-FDC"/>
        <s v="MOZ-H-FDC"/>
        <s v="MOZ-H-MOH"/>
        <s v="MOZ-M-MOH"/>
        <s v="MOZ-M-WV"/>
        <s v="MOZ-T-MOH"/>
        <s v="MRT-H-SENLS"/>
        <s v="MRT-M-SENLS"/>
        <s v="MRT-T-SENLS"/>
        <s v="MRT-Z-SENLS"/>
        <s v="MUS-H-NAS"/>
        <s v="MUS-H-PILS"/>
        <s v="MWI-C-AA"/>
        <s v="MWI-C-MOH"/>
        <s v="MWI-C-WVM"/>
        <s v="MWI-M-MOH"/>
        <s v="MWI-M-WVM"/>
        <s v="MYS-H-MAC"/>
        <s v="NAM-C-MOH"/>
        <s v="NAM-C-NANASO"/>
        <s v="NAM-M-MOH"/>
        <s v="NAM-Z-MOH"/>
        <s v="NEP-H-NCASC"/>
        <s v="NER-H-CNCTRN"/>
        <s v="NER-H-MSP"/>
        <s v="NER-M-CRS"/>
        <s v="NER-T-MSP"/>
        <s v="NER-T-SCF"/>
        <s v="NGA-C-LSMOH"/>
        <s v="NGA-H-FHI360"/>
        <s v="NGA-H-NACA"/>
        <s v="NGA-H-SFHNG"/>
        <s v="NGA-M-CRS"/>
        <s v="NGA-M-NMEP"/>
        <s v="NGA-S-MSH"/>
        <s v="NGA-S-NACA"/>
        <s v="NGA-T-IHVN"/>
        <s v="NGA-T-LSMOH"/>
        <s v="NGA-T-NTBLCP"/>
        <s v="NIC-C-WVI"/>
        <s v="NIC-H-WVI"/>
        <s v="NIC-M-REDNICA"/>
        <s v="NIC-T-WVI"/>
        <s v="NMB-202-G07-H"/>
        <s v="NPL-H-SCF"/>
        <s v="NPL-M-SCF"/>
        <s v="NPL-T-SCF"/>
        <s v="PAK-H-NACP"/>
        <s v="PAK-H-NZT"/>
        <s v="PAK-H-UNDP"/>
        <s v="PAK-M-DOMC"/>
        <s v="PAK-M-TIH"/>
        <s v="PAK-T-MC"/>
        <s v="PAK-T-NTP"/>
        <s v="PAK-T-TIH"/>
        <s v="PAN-C-UNDP"/>
        <s v="PER-C-SES"/>
        <s v="PER-H-CARE"/>
        <s v="PER-H-PATH"/>
        <s v="PER-T-SES"/>
        <s v="PHL-H-PSFI"/>
        <s v="PHL-H-SC"/>
        <s v="PHL-M-PSFI"/>
        <s v="PHL-T-PBSP"/>
        <s v="PNG-C-WV"/>
        <s v="PNG-M-RAM"/>
        <s v="PRK-Z-UNICEF"/>
        <s v="PRY-H-CIRD"/>
        <s v="PRY-T-AV"/>
        <s v="QMZ-C-APH"/>
        <s v="QMZ-H-AFAO"/>
        <s v="QMZ-H-AUA"/>
        <s v="QMZ-H-FA"/>
        <s v="QMZ-T-PAS"/>
        <s v="QMZ-T-PNT"/>
        <s v="QMZ-T-UNDP"/>
        <s v="QMZ-T-UNOPS"/>
        <s v="QNA-C-CDF"/>
        <s v="QNA-H-CDF"/>
        <s v="QNA-T-CDF"/>
        <s v="QNB-C-MOH"/>
        <s v="QNB-M-MoH"/>
        <s v="QPA-H-ANECCA"/>
        <s v="QPA-H-HIVOS"/>
        <s v="QPA-H-SADC"/>
        <s v="QPA-M-E8S"/>
        <s v="QPA-M-LSDI"/>
        <s v="QPA-T-ECSA"/>
        <s v="QPA-T-IGAD"/>
        <s v="QPA-T-TIMS"/>
        <s v="QPA-T-WHC"/>
        <s v="QRA-H-CARICOM"/>
        <s v="QRA-H-HIVOS2"/>
        <s v="QRA-M-IDB"/>
        <s v="QRA-T-ORAS"/>
        <s v="QRA-T-PIH"/>
        <s v="QRB-C-OECS"/>
        <s v="QSA-H-AFAO"/>
        <s v="QSA-H-IHAA"/>
        <s v="QSA-H-SCF"/>
        <s v="QSD-T-UNDP"/>
        <s v="QSE-M-UNOPS"/>
        <s v="QSE-T-IOM"/>
        <s v="QSF-Z-IOM"/>
        <s v="QUA-C-UNDP"/>
        <s v="QUA-M-UNDP"/>
        <s v="ROU-T-MOH"/>
        <s v="RUS-H-HAF"/>
        <s v="RWA-C-MOH"/>
        <s v="RWA-H-MOH"/>
        <s v="RWA-M-MOH"/>
        <s v="RWA-T-MOH"/>
        <s v="SDN-H-UNDP"/>
        <s v="SDN-M-MOH"/>
        <s v="SDN-M-UNDP"/>
        <s v="SDN-S-FMOH"/>
        <s v="SDN-T-UNDP"/>
        <s v="SEN-H-ANCS"/>
        <s v="SEN-H-CNLS"/>
        <s v="SEN-M-PNLP"/>
        <s v="SEN-S-MOH"/>
        <s v="SEN-Z-MOH"/>
        <s v="SEN-Z-PLAN"/>
        <s v="SLB-C-MOH"/>
        <s v="SLB-M-MHMS"/>
        <s v="SLB-T-MOH"/>
        <s v="SLE-H-NAS"/>
        <s v="SLE-M-CRS"/>
        <s v="SLE-M-MOHS"/>
        <s v="SLE-Z-CRS"/>
        <s v="SLE-Z-MOHS"/>
        <s v="SLV-C-MOH"/>
        <s v="SLV-H-MOH"/>
        <s v="SLV-H-PLAN"/>
        <s v="SLV-T-MOH"/>
        <s v="SNG-H-DLSI"/>
        <s v="SOM-H-UNICEF"/>
        <s v="SOM-M-UNICEF"/>
        <s v="SOM-T-WV"/>
        <s v="SRB-H-MOH"/>
        <s v="SSD-C-UNDP"/>
        <s v="SSD-H-UNDP"/>
        <s v="SSD-M-PSI"/>
        <s v="SSD-M-UNICEF"/>
        <s v="SSD-T-UNDP"/>
        <s v="STP-Z-MOH"/>
        <s v="STP-Z-UNDP"/>
        <s v="SUD-011-G15-H"/>
        <s v="SUD-011-G16-M"/>
        <s v="SUD-708-G10-M"/>
        <s v="SUD-T-UNDP"/>
        <s v="SUR-C-MOH"/>
        <s v="SUR-H-MOH"/>
        <s v="SUR-M-MoH"/>
        <s v="SWZ-C-CANGO"/>
        <s v="SWZ-C-NERCHA"/>
        <s v="SWZ-H-CANGO"/>
        <s v="SWZ-H-NERCHA"/>
        <s v="SWZ-M-NERCHA"/>
        <s v="SWZ-T-NERCHA"/>
        <s v="TCD-810-G04-H"/>
        <s v="TCD-810-G05-H"/>
        <s v="TCD-810-G06-H"/>
        <s v="TCD-810-G07-T"/>
        <s v="TCD-C-MOH"/>
        <s v="TCD-H-FOSAP"/>
        <s v="TCD-H-MOH"/>
        <s v="TCD-M-MOH"/>
        <s v="TCD-M-UNDP"/>
        <s v="TCD-T-FOSAP"/>
        <s v="TCD-T-MOH"/>
        <s v="TCD-T13-G09-M"/>
        <s v="TGO-H-PMT"/>
        <s v="TGO-M-PMT"/>
        <s v="TGO-T-PMT"/>
        <s v="THA-C-DDC"/>
        <s v="THA-C-RTF"/>
        <s v="TJK-C-UNDP"/>
        <s v="TJK-H-UNDP"/>
        <s v="TJK-T-RCTC"/>
        <s v="TKM-T-UNDP"/>
        <s v="TLS-H-MOH"/>
        <s v="TLS-M-MOH"/>
        <s v="TLS-T-MOH"/>
        <s v="TNZ-405-G06-H"/>
        <s v="TUN-607-G01-H"/>
        <s v="TUN-810-G02-T"/>
        <s v="TUN-H-ONFP"/>
        <s v="TZA-C-Amref"/>
        <s v="TZA-C-STC"/>
        <s v="TZA-H-MOFP"/>
        <s v="TZA-M-MOFP"/>
        <s v="TZA-T-MOFP"/>
        <s v="UGA-C-TASO"/>
        <s v="UGA-H-MoFPED"/>
        <s v="UGA-M-MoFPED"/>
        <s v="UGA-M-TASO"/>
        <s v="UGA-S-TASO"/>
        <s v="UGA-T-MoFPED"/>
        <s v="UGD-708-G07-H"/>
        <s v="UKR-C-AUA"/>
        <s v="UKR-C-AUN"/>
        <s v="UKR-C-PHC"/>
        <s v="UZB-C-RAC"/>
        <s v="UZB-H-RAC"/>
        <s v="UZB-M-RCSSES"/>
        <s v="UZB-T-RDC"/>
        <s v="UZB-T-RSSPMCPhP"/>
        <s v="VEN-M-UNDP"/>
        <s v="VNM-H-VAAC"/>
        <s v="VNM-H-VUSTA"/>
        <s v="VNM-T-NTP"/>
        <s v="YEM-911-G07-T"/>
        <s v="ZAF-C-AFSA"/>
        <s v="ZAF-C-BZ"/>
        <s v="ZAF-C-NACOSA"/>
        <s v="ZAF-C-NDOH"/>
        <s v="ZAM-H-UNDP"/>
        <s v="ZAR-911-G13-T"/>
        <s v="ZAR-M-MOH"/>
        <s v="ZMB-C-CHAZ"/>
        <s v="ZMB-C-MOH"/>
        <s v="ZMB-M-CHAZ"/>
        <s v="ZMB-M-MOH"/>
        <s v="ZWE-H-UNDP"/>
        <s v="ZWE-M-MOHCC"/>
        <s v="ZWE-T-MOHCC"/>
        <m/>
        <s v="NGR-506-G04-M" u="1"/>
        <s v="TZA-T-MOF" u="1"/>
        <s v="SLV-M-MOH" u="1"/>
        <s v="NEP-T-NTC" u="1"/>
        <s v="GHA-T-MOH" u="1"/>
        <s v="GEO-C-NCDC" u="1"/>
        <s v="ZAF-C-KHETH" u="1"/>
        <s v="COG-T-MSP" u="1"/>
        <s v="HND-T-UAFCE" u="1"/>
        <s v="NGA-T-ARFH" u="1"/>
        <s v="HND-H-CHF" u="1"/>
        <s v="BUR-809-G08-M" u="1"/>
        <s v="PAK-S-HPSIU" u="1"/>
        <s v="NGR-506-G05-T" u="1"/>
        <s v="IDN-T-IBRD" u="1"/>
        <s v="BDI-M-PNILP" u="1"/>
        <s v="BOL-C-UNDP" u="1"/>
        <s v="LBR-M-CRS" u="1"/>
        <s v="NA" u="1"/>
        <s v="ZAF-C-KZN" u="1"/>
        <s v="IND-H-IPPA" u="1"/>
        <s v="Not available" u="1"/>
        <s v="GMB-M-CRS" u="1"/>
        <s v="MAL-405-G02-H" u="1"/>
        <s v="UKR-C-UNICEF" u="1"/>
        <s v="BLR-C-UNDP" u="1"/>
        <s v="MAL-809-G08-H" u="1"/>
        <s v="NEP-M-EDCD" u="1"/>
        <s v="GHA-H-GAC" u="1"/>
        <s v="TZA-H-MOF" u="1"/>
        <s v="ZAF-C-WCDOH" u="1"/>
        <s v="COD-H-SANRU" u="1"/>
        <s v="GHA-H-MOH" u="1"/>
        <s v="CMR-C-CARE Cameroon" u="1"/>
        <s v="SNG-T-PNT" u="1"/>
        <s v="ZAR-S-MOH" u="1"/>
      </sharedItems>
    </cacheField>
    <cacheField name="Group of Country name" numFmtId="0">
      <sharedItems containsBlank="1"/>
    </cacheField>
    <cacheField name="Group of country ID" numFmtId="0">
      <sharedItems containsBlank="1"/>
    </cacheField>
    <cacheField name="Combi" numFmtId="0" formula="Country&amp;Component&amp;'PR Organization'"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x v="0"/>
    <s v="7.1 Procurement agent and handling fees"/>
  </r>
  <r>
    <x v="0"/>
    <x v="0"/>
    <x v="0"/>
    <s v="7.2 Freight and insurance costs (Health products)"/>
  </r>
  <r>
    <x v="0"/>
    <x v="0"/>
    <x v="0"/>
    <s v="7.3 Warehouse and Storage Costs"/>
  </r>
  <r>
    <x v="0"/>
    <x v="0"/>
    <x v="0"/>
    <s v="7.4 In-country distribution costs"/>
  </r>
  <r>
    <x v="0"/>
    <x v="0"/>
    <x v="0"/>
    <s v="7.5 Quality assurance and quality control costs (QA/QC)"/>
  </r>
  <r>
    <x v="0"/>
    <x v="0"/>
    <x v="0"/>
    <s v="7.6 PSM Customs Clearance"/>
  </r>
  <r>
    <x v="0"/>
    <x v="0"/>
    <x v="0"/>
    <s v="7.7 Other PSM costs"/>
  </r>
  <r>
    <x v="0"/>
    <x v="0"/>
    <x v="1"/>
    <s v="7.1 Procurement agent and handling fees"/>
  </r>
  <r>
    <x v="0"/>
    <x v="0"/>
    <x v="1"/>
    <s v="7.2 Freight and insurance costs (Health products)"/>
  </r>
  <r>
    <x v="0"/>
    <x v="0"/>
    <x v="1"/>
    <s v="7.3 Warehouse and Storage Costs"/>
  </r>
  <r>
    <x v="0"/>
    <x v="0"/>
    <x v="1"/>
    <s v="7.4 In-country distribution costs"/>
  </r>
  <r>
    <x v="0"/>
    <x v="0"/>
    <x v="1"/>
    <s v="7.5 Quality assurance and quality control costs (QA/QC)"/>
  </r>
  <r>
    <x v="0"/>
    <x v="0"/>
    <x v="1"/>
    <s v="7.6 PSM Customs Clearance"/>
  </r>
  <r>
    <x v="0"/>
    <x v="0"/>
    <x v="1"/>
    <s v="7.7 Other PSM costs"/>
  </r>
  <r>
    <x v="0"/>
    <x v="0"/>
    <x v="2"/>
    <s v="7.1 Procurement agent and handling fees"/>
  </r>
  <r>
    <x v="0"/>
    <x v="0"/>
    <x v="2"/>
    <s v="7.2 Freight and insurance costs (Health products)"/>
  </r>
  <r>
    <x v="0"/>
    <x v="0"/>
    <x v="2"/>
    <s v="7.3 Warehouse and Storage Costs"/>
  </r>
  <r>
    <x v="0"/>
    <x v="0"/>
    <x v="2"/>
    <s v="7.4 In-country distribution costs"/>
  </r>
  <r>
    <x v="0"/>
    <x v="0"/>
    <x v="2"/>
    <s v="7.5 Quality assurance and quality control costs (QA/QC)"/>
  </r>
  <r>
    <x v="0"/>
    <x v="0"/>
    <x v="2"/>
    <s v="7.6 PSM Customs Clearance"/>
  </r>
  <r>
    <x v="0"/>
    <x v="0"/>
    <x v="2"/>
    <s v="7.7 Other PSM costs"/>
  </r>
  <r>
    <x v="0"/>
    <x v="0"/>
    <x v="3"/>
    <s v="7.1 Procurement agent and handling fees"/>
  </r>
  <r>
    <x v="0"/>
    <x v="0"/>
    <x v="3"/>
    <s v="7.2 Freight and insurance costs (Health products)"/>
  </r>
  <r>
    <x v="0"/>
    <x v="0"/>
    <x v="3"/>
    <s v="7.3 Warehouse and Storage Costs"/>
  </r>
  <r>
    <x v="0"/>
    <x v="0"/>
    <x v="3"/>
    <s v="7.4 In-country distribution costs"/>
  </r>
  <r>
    <x v="0"/>
    <x v="0"/>
    <x v="3"/>
    <s v="7.5 Quality assurance and quality control costs (QA/QC)"/>
  </r>
  <r>
    <x v="0"/>
    <x v="0"/>
    <x v="3"/>
    <s v="7.6 PSM Customs Clearance"/>
  </r>
  <r>
    <x v="0"/>
    <x v="0"/>
    <x v="3"/>
    <s v="7.7 Other PSM costs"/>
  </r>
  <r>
    <x v="0"/>
    <x v="0"/>
    <x v="4"/>
    <s v="7.1 Procurement agent and handling fees"/>
  </r>
  <r>
    <x v="0"/>
    <x v="0"/>
    <x v="4"/>
    <s v="7.2 Freight and insurance costs (Health products)"/>
  </r>
  <r>
    <x v="0"/>
    <x v="0"/>
    <x v="4"/>
    <s v="7.3 Warehouse and Storage Costs"/>
  </r>
  <r>
    <x v="0"/>
    <x v="0"/>
    <x v="4"/>
    <s v="7.4 In-country distribution costs"/>
  </r>
  <r>
    <x v="0"/>
    <x v="0"/>
    <x v="4"/>
    <s v="7.5 Quality assurance and quality control costs (QA/QC)"/>
  </r>
  <r>
    <x v="0"/>
    <x v="0"/>
    <x v="4"/>
    <s v="7.6 PSM Customs Clearance"/>
  </r>
  <r>
    <x v="0"/>
    <x v="0"/>
    <x v="4"/>
    <s v="7.7 Other PSM costs"/>
  </r>
  <r>
    <x v="0"/>
    <x v="0"/>
    <x v="5"/>
    <s v="7.1 Procurement agent and handling fees"/>
  </r>
  <r>
    <x v="0"/>
    <x v="0"/>
    <x v="5"/>
    <s v="7.2 Freight and insurance costs (Health products)"/>
  </r>
  <r>
    <x v="0"/>
    <x v="0"/>
    <x v="5"/>
    <s v="7.3 Warehouse and Storage Costs"/>
  </r>
  <r>
    <x v="0"/>
    <x v="0"/>
    <x v="5"/>
    <s v="7.4 In-country distribution costs"/>
  </r>
  <r>
    <x v="0"/>
    <x v="0"/>
    <x v="5"/>
    <s v="7.5 Quality assurance and quality control costs (QA/QC)"/>
  </r>
  <r>
    <x v="0"/>
    <x v="0"/>
    <x v="5"/>
    <s v="7.6 PSM Customs Clearance"/>
  </r>
  <r>
    <x v="0"/>
    <x v="0"/>
    <x v="5"/>
    <s v="7.7 Other PSM cost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
  <r>
    <x v="0"/>
    <x v="0"/>
    <x v="0"/>
    <s v="7.3 Warehouse and Storage Costs"/>
  </r>
  <r>
    <x v="0"/>
    <x v="0"/>
    <x v="0"/>
    <s v="7.4 in-country distribution costs"/>
  </r>
  <r>
    <x v="0"/>
    <x v="0"/>
    <x v="0"/>
    <s v="7.6 PSM Customs Clearance"/>
  </r>
  <r>
    <x v="0"/>
    <x v="0"/>
    <x v="1"/>
    <s v="7.3 Warehouse and Storage Costs"/>
  </r>
  <r>
    <x v="0"/>
    <x v="0"/>
    <x v="1"/>
    <s v="7.4 in-country distribution costs"/>
  </r>
  <r>
    <x v="0"/>
    <x v="0"/>
    <x v="1"/>
    <s v="7.6 PSM Customs Clearance"/>
  </r>
  <r>
    <x v="0"/>
    <x v="0"/>
    <x v="2"/>
    <s v="7.3 Warehouse and Storage Costs"/>
  </r>
  <r>
    <x v="0"/>
    <x v="0"/>
    <x v="2"/>
    <s v="7.4 in-country distribution costs"/>
  </r>
  <r>
    <x v="0"/>
    <x v="0"/>
    <x v="2"/>
    <s v="7.6 PSM Customs Clearance"/>
  </r>
  <r>
    <x v="0"/>
    <x v="0"/>
    <x v="3"/>
    <s v="7.3 Warehouse and Storage Costs"/>
  </r>
  <r>
    <x v="0"/>
    <x v="0"/>
    <x v="3"/>
    <s v="7.4 in-country distribution costs"/>
  </r>
  <r>
    <x v="0"/>
    <x v="0"/>
    <x v="3"/>
    <s v="7.6 PSM Customs Clearance"/>
  </r>
  <r>
    <x v="0"/>
    <x v="0"/>
    <x v="4"/>
    <s v="7.3 Warehouse and Storage Costs"/>
  </r>
  <r>
    <x v="0"/>
    <x v="0"/>
    <x v="4"/>
    <s v="7.4 in-country distribution costs"/>
  </r>
  <r>
    <x v="0"/>
    <x v="0"/>
    <x v="4"/>
    <s v="7.6 PSM Customs Clearance"/>
  </r>
  <r>
    <x v="0"/>
    <x v="0"/>
    <x v="5"/>
    <s v="7.3 Warehouse and Storage Costs"/>
  </r>
  <r>
    <x v="0"/>
    <x v="0"/>
    <x v="5"/>
    <s v="7.4 in-country distribution costs"/>
  </r>
  <r>
    <x v="0"/>
    <x v="0"/>
    <x v="5"/>
    <s v="7.6 PSM Customs Clearance"/>
  </r>
  <r>
    <x v="0"/>
    <x v="0"/>
    <x v="6"/>
    <s v="7.3 Warehouse and Storage Costs"/>
  </r>
  <r>
    <x v="0"/>
    <x v="0"/>
    <x v="6"/>
    <s v="7.4 in-country distribution costs"/>
  </r>
  <r>
    <x v="0"/>
    <x v="0"/>
    <x v="6"/>
    <s v="7.6 PSM Customs Clearance"/>
  </r>
  <r>
    <x v="0"/>
    <x v="0"/>
    <x v="7"/>
    <s v="7.3 Warehouse and Storage Costs"/>
  </r>
  <r>
    <x v="0"/>
    <x v="0"/>
    <x v="7"/>
    <s v="7.4 in-country distribution costs"/>
  </r>
  <r>
    <x v="0"/>
    <x v="0"/>
    <x v="7"/>
    <s v="7.6 PSM Customs Clearance"/>
  </r>
  <r>
    <x v="0"/>
    <x v="0"/>
    <x v="8"/>
    <s v="7.3 Warehouse and Storage Costs"/>
  </r>
  <r>
    <x v="0"/>
    <x v="0"/>
    <x v="8"/>
    <s v="7.4 in-country distribution costs"/>
  </r>
  <r>
    <x v="0"/>
    <x v="0"/>
    <x v="8"/>
    <s v="7.6 PSM Customs Clearance"/>
  </r>
  <r>
    <x v="0"/>
    <x v="1"/>
    <x v="9"/>
    <s v="7.3 Warehouse and Storage Costs"/>
  </r>
  <r>
    <x v="0"/>
    <x v="1"/>
    <x v="9"/>
    <s v="7.4 in-country distribution costs"/>
  </r>
  <r>
    <x v="0"/>
    <x v="1"/>
    <x v="9"/>
    <s v="7.6 PSM Customs Clearance"/>
  </r>
  <r>
    <x v="0"/>
    <x v="1"/>
    <x v="10"/>
    <s v="7.3 Warehouse and Storage Costs"/>
  </r>
  <r>
    <x v="0"/>
    <x v="1"/>
    <x v="10"/>
    <s v="7.4 in-country distribution costs"/>
  </r>
  <r>
    <x v="0"/>
    <x v="1"/>
    <x v="10"/>
    <s v="7.6 PSM Customs Clearance"/>
  </r>
  <r>
    <x v="0"/>
    <x v="1"/>
    <x v="11"/>
    <s v="7.3 Warehouse and Storage Costs"/>
  </r>
  <r>
    <x v="0"/>
    <x v="1"/>
    <x v="11"/>
    <s v="7.4 in-country distribution costs"/>
  </r>
  <r>
    <x v="0"/>
    <x v="1"/>
    <x v="11"/>
    <s v="7.6 PSM Customs Clearance"/>
  </r>
  <r>
    <x v="0"/>
    <x v="1"/>
    <x v="12"/>
    <s v="7.3 Warehouse and Storage Costs"/>
  </r>
  <r>
    <x v="0"/>
    <x v="1"/>
    <x v="12"/>
    <s v="7.4 in-country distribution costs"/>
  </r>
  <r>
    <x v="0"/>
    <x v="1"/>
    <x v="12"/>
    <s v="7.6 PSM Customs Clearance"/>
  </r>
  <r>
    <x v="0"/>
    <x v="2"/>
    <x v="13"/>
    <s v="7.3 Warehouse and Storage Costs"/>
  </r>
  <r>
    <x v="0"/>
    <x v="2"/>
    <x v="13"/>
    <s v="7.4 in-country distribution costs"/>
  </r>
  <r>
    <x v="0"/>
    <x v="2"/>
    <x v="13"/>
    <s v="7.6 PSM Customs Clearance"/>
  </r>
  <r>
    <x v="0"/>
    <x v="2"/>
    <x v="14"/>
    <s v="7.3 Warehouse and Storage Costs"/>
  </r>
  <r>
    <x v="0"/>
    <x v="2"/>
    <x v="14"/>
    <s v="7.4 in-country distribution costs"/>
  </r>
  <r>
    <x v="0"/>
    <x v="2"/>
    <x v="14"/>
    <s v="7.6 PSM Customs Clearance"/>
  </r>
  <r>
    <x v="0"/>
    <x v="2"/>
    <x v="15"/>
    <s v="7.3 Warehouse and Storage Costs"/>
  </r>
  <r>
    <x v="0"/>
    <x v="2"/>
    <x v="15"/>
    <s v="7.4 in-country distribution costs"/>
  </r>
  <r>
    <x v="0"/>
    <x v="2"/>
    <x v="15"/>
    <s v="7.6 PSM Customs Clearance"/>
  </r>
  <r>
    <x v="0"/>
    <x v="2"/>
    <x v="16"/>
    <s v="7.3 Warehouse and Storage Costs"/>
  </r>
  <r>
    <x v="0"/>
    <x v="2"/>
    <x v="16"/>
    <s v="7.4 in-country distribution costs"/>
  </r>
  <r>
    <x v="0"/>
    <x v="2"/>
    <x v="16"/>
    <s v="7.6 PSM Customs Clearance"/>
  </r>
  <r>
    <x v="0"/>
    <x v="2"/>
    <x v="17"/>
    <s v="7.3 Warehouse and Storage Costs"/>
  </r>
  <r>
    <x v="0"/>
    <x v="2"/>
    <x v="17"/>
    <s v="7.4 in-country distribution costs"/>
  </r>
  <r>
    <x v="0"/>
    <x v="2"/>
    <x v="17"/>
    <s v="7.6 PSM Customs Clearance"/>
  </r>
  <r>
    <x v="0"/>
    <x v="3"/>
    <x v="18"/>
    <s v="7.3 Warehouse and Storage Costs"/>
  </r>
  <r>
    <x v="0"/>
    <x v="3"/>
    <x v="18"/>
    <s v="7.4 in-country distribution costs"/>
  </r>
  <r>
    <x v="0"/>
    <x v="3"/>
    <x v="18"/>
    <s v="7.6 PSM Customs Clearance"/>
  </r>
  <r>
    <x v="0"/>
    <x v="3"/>
    <x v="19"/>
    <s v="7.3 Warehouse and Storage Costs"/>
  </r>
  <r>
    <x v="0"/>
    <x v="3"/>
    <x v="19"/>
    <s v="7.4 in-country distribution costs"/>
  </r>
  <r>
    <x v="0"/>
    <x v="3"/>
    <x v="19"/>
    <s v="7.6 PSM Customs Clearance"/>
  </r>
  <r>
    <x v="0"/>
    <x v="3"/>
    <x v="20"/>
    <s v="7.3 Warehouse and Storage Costs"/>
  </r>
  <r>
    <x v="0"/>
    <x v="3"/>
    <x v="20"/>
    <s v="7.4 in-country distribution costs"/>
  </r>
  <r>
    <x v="0"/>
    <x v="3"/>
    <x v="20"/>
    <s v="7.6 PSM Customs Clearance"/>
  </r>
  <r>
    <x v="0"/>
    <x v="4"/>
    <x v="21"/>
    <s v="7.3 Warehouse and Storage Costs"/>
  </r>
  <r>
    <x v="0"/>
    <x v="4"/>
    <x v="21"/>
    <s v="7.4 in-country distribution costs"/>
  </r>
  <r>
    <x v="0"/>
    <x v="4"/>
    <x v="21"/>
    <s v="7.6 PSM Customs Clearance"/>
  </r>
  <r>
    <x v="0"/>
    <x v="4"/>
    <x v="22"/>
    <s v="7.3 Warehouse and Storage Costs"/>
  </r>
  <r>
    <x v="0"/>
    <x v="4"/>
    <x v="22"/>
    <s v="7.4 in-country distribution costs"/>
  </r>
  <r>
    <x v="0"/>
    <x v="4"/>
    <x v="22"/>
    <s v="7.6 PSM Customs Clearance"/>
  </r>
  <r>
    <x v="0"/>
    <x v="4"/>
    <x v="23"/>
    <s v="7.3 Warehouse and Storage Costs"/>
  </r>
  <r>
    <x v="0"/>
    <x v="4"/>
    <x v="23"/>
    <s v="7.4 in-country distribution costs"/>
  </r>
  <r>
    <x v="0"/>
    <x v="4"/>
    <x v="23"/>
    <s v="7.6 PSM Customs Clearance"/>
  </r>
  <r>
    <x v="0"/>
    <x v="5"/>
    <x v="24"/>
    <s v="7.3 Warehouse and Storage Costs"/>
  </r>
  <r>
    <x v="0"/>
    <x v="5"/>
    <x v="24"/>
    <s v="7.4 in-country distribution costs"/>
  </r>
  <r>
    <x v="0"/>
    <x v="5"/>
    <x v="24"/>
    <s v="7.6 PSM Customs Clearance"/>
  </r>
  <r>
    <x v="0"/>
    <x v="5"/>
    <x v="25"/>
    <s v="7.3 Warehouse and Storage Costs"/>
  </r>
  <r>
    <x v="0"/>
    <x v="5"/>
    <x v="25"/>
    <s v="7.4 in-country distribution costs"/>
  </r>
  <r>
    <x v="0"/>
    <x v="5"/>
    <x v="25"/>
    <s v="7.6 PSM Customs Clearance"/>
  </r>
  <r>
    <x v="0"/>
    <x v="5"/>
    <x v="26"/>
    <s v="7.3 Warehouse and Storage Costs"/>
  </r>
  <r>
    <x v="0"/>
    <x v="5"/>
    <x v="26"/>
    <s v="7.4 in-country distribution costs"/>
  </r>
  <r>
    <x v="0"/>
    <x v="5"/>
    <x v="26"/>
    <s v="7.6 PSM Customs Clearance"/>
  </r>
  <r>
    <x v="0"/>
    <x v="6"/>
    <x v="27"/>
    <s v="7.3 Warehouse and Storage Costs"/>
  </r>
  <r>
    <x v="0"/>
    <x v="6"/>
    <x v="27"/>
    <s v="7.4 in-country distribution costs"/>
  </r>
  <r>
    <x v="0"/>
    <x v="6"/>
    <x v="27"/>
    <s v="7.6 PSM Customs Clearance"/>
  </r>
  <r>
    <x v="0"/>
    <x v="6"/>
    <x v="28"/>
    <s v="7.3 Warehouse and Storage Costs"/>
  </r>
  <r>
    <x v="0"/>
    <x v="6"/>
    <x v="28"/>
    <s v="7.4 in-country distribution costs"/>
  </r>
  <r>
    <x v="0"/>
    <x v="6"/>
    <x v="28"/>
    <s v="7.6 PSM Customs Clearance"/>
  </r>
  <r>
    <x v="0"/>
    <x v="6"/>
    <x v="29"/>
    <s v="7.3 Warehouse and Storage Costs"/>
  </r>
  <r>
    <x v="0"/>
    <x v="6"/>
    <x v="29"/>
    <s v="7.4 in-country distribution costs"/>
  </r>
  <r>
    <x v="0"/>
    <x v="6"/>
    <x v="29"/>
    <s v="7.6 PSM Customs Clearance"/>
  </r>
  <r>
    <x v="0"/>
    <x v="6"/>
    <x v="30"/>
    <s v="7.3 Warehouse and Storage Costs"/>
  </r>
  <r>
    <x v="0"/>
    <x v="6"/>
    <x v="30"/>
    <s v="7.4 in-country distribution costs"/>
  </r>
  <r>
    <x v="0"/>
    <x v="6"/>
    <x v="30"/>
    <s v="7.6 PSM Customs Clearance"/>
  </r>
  <r>
    <x v="0"/>
    <x v="6"/>
    <x v="31"/>
    <s v="7.3 Warehouse and Storage Costs"/>
  </r>
  <r>
    <x v="0"/>
    <x v="6"/>
    <x v="31"/>
    <s v="7.4 in-country distribution costs"/>
  </r>
  <r>
    <x v="0"/>
    <x v="6"/>
    <x v="31"/>
    <s v="7.6 PSM Customs Clearance"/>
  </r>
  <r>
    <x v="0"/>
    <x v="7"/>
    <x v="32"/>
    <s v="7.3 Warehouse and Storage Costs"/>
  </r>
  <r>
    <x v="0"/>
    <x v="7"/>
    <x v="32"/>
    <s v="7.4 in-country distribution costs"/>
  </r>
  <r>
    <x v="0"/>
    <x v="7"/>
    <x v="32"/>
    <s v="7.6 PSM Customs Clearance"/>
  </r>
  <r>
    <x v="0"/>
    <x v="7"/>
    <x v="33"/>
    <s v="7.3 Warehouse and Storage Costs"/>
  </r>
  <r>
    <x v="0"/>
    <x v="7"/>
    <x v="33"/>
    <s v="7.4 in-country distribution costs"/>
  </r>
  <r>
    <x v="0"/>
    <x v="7"/>
    <x v="33"/>
    <s v="7.6 PSM Customs Clearance"/>
  </r>
  <r>
    <x v="0"/>
    <x v="7"/>
    <x v="34"/>
    <s v="7.3 Warehouse and Storage Costs"/>
  </r>
  <r>
    <x v="0"/>
    <x v="7"/>
    <x v="34"/>
    <s v="7.4 in-country distribution costs"/>
  </r>
  <r>
    <x v="0"/>
    <x v="7"/>
    <x v="34"/>
    <s v="7.6 PSM Customs Clearance"/>
  </r>
  <r>
    <x v="0"/>
    <x v="8"/>
    <x v="35"/>
    <s v="7.3 Warehouse and Storage Costs"/>
  </r>
  <r>
    <x v="0"/>
    <x v="8"/>
    <x v="35"/>
    <s v="7.4 in-country distribution costs"/>
  </r>
  <r>
    <x v="0"/>
    <x v="8"/>
    <x v="35"/>
    <s v="7.6 PSM Customs Clearance"/>
  </r>
  <r>
    <x v="0"/>
    <x v="8"/>
    <x v="36"/>
    <s v="7.3 Warehouse and Storage Costs"/>
  </r>
  <r>
    <x v="0"/>
    <x v="8"/>
    <x v="36"/>
    <s v="7.4 in-country distribution costs"/>
  </r>
  <r>
    <x v="0"/>
    <x v="8"/>
    <x v="36"/>
    <s v="7.6 PSM Customs Clearance"/>
  </r>
  <r>
    <x v="0"/>
    <x v="8"/>
    <x v="37"/>
    <s v="7.3 Warehouse and Storage Costs"/>
  </r>
  <r>
    <x v="0"/>
    <x v="8"/>
    <x v="37"/>
    <s v="7.4 in-country distribution costs"/>
  </r>
  <r>
    <x v="0"/>
    <x v="8"/>
    <x v="37"/>
    <s v="7.6 PSM Customs Clearance"/>
  </r>
  <r>
    <x v="0"/>
    <x v="9"/>
    <x v="38"/>
    <s v="7.3 Warehouse and Storage Costs"/>
  </r>
  <r>
    <x v="0"/>
    <x v="9"/>
    <x v="38"/>
    <s v="7.4 in-country distribution costs"/>
  </r>
  <r>
    <x v="0"/>
    <x v="9"/>
    <x v="38"/>
    <s v="7.6 PSM Customs Clearance"/>
  </r>
  <r>
    <x v="0"/>
    <x v="9"/>
    <x v="39"/>
    <s v="7.3 Warehouse and Storage Costs"/>
  </r>
  <r>
    <x v="0"/>
    <x v="9"/>
    <x v="39"/>
    <s v="7.4 in-country distribution costs"/>
  </r>
  <r>
    <x v="0"/>
    <x v="9"/>
    <x v="39"/>
    <s v="7.6 PSM Customs Clearance"/>
  </r>
  <r>
    <x v="0"/>
    <x v="10"/>
    <x v="40"/>
    <s v="7.3 Warehouse and Storage Costs"/>
  </r>
  <r>
    <x v="0"/>
    <x v="10"/>
    <x v="40"/>
    <s v="7.4 in-country distribution costs"/>
  </r>
  <r>
    <x v="0"/>
    <x v="10"/>
    <x v="40"/>
    <s v="7.6 PSM Customs Clearance"/>
  </r>
  <r>
    <x v="0"/>
    <x v="10"/>
    <x v="41"/>
    <s v="7.3 Warehouse and Storage Costs"/>
  </r>
  <r>
    <x v="0"/>
    <x v="10"/>
    <x v="41"/>
    <s v="7.4 in-country distribution costs"/>
  </r>
  <r>
    <x v="0"/>
    <x v="10"/>
    <x v="41"/>
    <s v="7.6 PSM Customs Clearance"/>
  </r>
  <r>
    <x v="0"/>
    <x v="10"/>
    <x v="42"/>
    <s v="7.3 Warehouse and Storage Costs"/>
  </r>
  <r>
    <x v="0"/>
    <x v="10"/>
    <x v="42"/>
    <s v="7.4 in-country distribution costs"/>
  </r>
  <r>
    <x v="0"/>
    <x v="10"/>
    <x v="42"/>
    <s v="7.6 PSM Customs Clearance"/>
  </r>
  <r>
    <x v="0"/>
    <x v="10"/>
    <x v="43"/>
    <s v="7.3 Warehouse and Storage Costs"/>
  </r>
  <r>
    <x v="0"/>
    <x v="10"/>
    <x v="43"/>
    <s v="7.4 in-country distribution costs"/>
  </r>
  <r>
    <x v="0"/>
    <x v="10"/>
    <x v="43"/>
    <s v="7.6 PSM Customs Clearance"/>
  </r>
  <r>
    <x v="0"/>
    <x v="10"/>
    <x v="44"/>
    <s v="7.3 Warehouse and Storage Costs"/>
  </r>
  <r>
    <x v="0"/>
    <x v="10"/>
    <x v="44"/>
    <s v="7.4 in-country distribution costs"/>
  </r>
  <r>
    <x v="0"/>
    <x v="10"/>
    <x v="44"/>
    <s v="7.6 PSM Customs Clearance"/>
  </r>
  <r>
    <x v="0"/>
    <x v="10"/>
    <x v="45"/>
    <s v="7.3 Warehouse and Storage Costs"/>
  </r>
  <r>
    <x v="0"/>
    <x v="10"/>
    <x v="45"/>
    <s v="7.4 in-country distribution costs"/>
  </r>
  <r>
    <x v="0"/>
    <x v="10"/>
    <x v="45"/>
    <s v="7.6 PSM Customs Clearance"/>
  </r>
  <r>
    <x v="1"/>
    <x v="11"/>
    <x v="46"/>
    <s v="7.3 Warehouse and Storage Costs"/>
  </r>
  <r>
    <x v="1"/>
    <x v="11"/>
    <x v="46"/>
    <s v="7.4 in-country distribution costs"/>
  </r>
  <r>
    <x v="1"/>
    <x v="11"/>
    <x v="46"/>
    <s v="7.6 PSM Customs Clearance"/>
  </r>
  <r>
    <x v="1"/>
    <x v="11"/>
    <x v="47"/>
    <s v="7.3 Warehouse and Storage Costs"/>
  </r>
  <r>
    <x v="1"/>
    <x v="11"/>
    <x v="47"/>
    <s v="7.4 in-country distribution costs"/>
  </r>
  <r>
    <x v="1"/>
    <x v="11"/>
    <x v="47"/>
    <s v="7.6 PSM Customs Clearance"/>
  </r>
  <r>
    <x v="1"/>
    <x v="11"/>
    <x v="48"/>
    <s v="7.3 Warehouse and Storage Costs"/>
  </r>
  <r>
    <x v="1"/>
    <x v="11"/>
    <x v="48"/>
    <s v="7.4 in-country distribution costs"/>
  </r>
  <r>
    <x v="1"/>
    <x v="11"/>
    <x v="48"/>
    <s v="7.6 PSM Customs Clearance"/>
  </r>
  <r>
    <x v="1"/>
    <x v="11"/>
    <x v="49"/>
    <s v="7.3 Warehouse and Storage Costs"/>
  </r>
  <r>
    <x v="1"/>
    <x v="11"/>
    <x v="49"/>
    <s v="7.4 in-country distribution costs"/>
  </r>
  <r>
    <x v="1"/>
    <x v="11"/>
    <x v="49"/>
    <s v="7.6 PSM Customs Clearance"/>
  </r>
  <r>
    <x v="1"/>
    <x v="11"/>
    <x v="50"/>
    <s v="7.3 Warehouse and Storage Costs"/>
  </r>
  <r>
    <x v="1"/>
    <x v="11"/>
    <x v="50"/>
    <s v="7.4 in-country distribution costs"/>
  </r>
  <r>
    <x v="1"/>
    <x v="11"/>
    <x v="50"/>
    <s v="7.6 PSM Customs Clearance"/>
  </r>
  <r>
    <x v="1"/>
    <x v="11"/>
    <x v="51"/>
    <s v="7.3 Warehouse and Storage Costs"/>
  </r>
  <r>
    <x v="1"/>
    <x v="11"/>
    <x v="51"/>
    <s v="7.4 in-country distribution costs"/>
  </r>
  <r>
    <x v="1"/>
    <x v="11"/>
    <x v="51"/>
    <s v="7.6 PSM Customs Clearance"/>
  </r>
  <r>
    <x v="1"/>
    <x v="12"/>
    <x v="52"/>
    <s v="7.3 Warehouse and Storage Costs"/>
  </r>
  <r>
    <x v="1"/>
    <x v="12"/>
    <x v="52"/>
    <s v="7.4 in-country distribution costs"/>
  </r>
  <r>
    <x v="1"/>
    <x v="12"/>
    <x v="52"/>
    <s v="7.6 PSM Customs Clearance"/>
  </r>
  <r>
    <x v="1"/>
    <x v="12"/>
    <x v="53"/>
    <s v="7.3 Warehouse and Storage Costs"/>
  </r>
  <r>
    <x v="1"/>
    <x v="12"/>
    <x v="53"/>
    <s v="7.4 in-country distribution costs"/>
  </r>
  <r>
    <x v="1"/>
    <x v="12"/>
    <x v="53"/>
    <s v="7.6 PSM Customs Clearance"/>
  </r>
  <r>
    <x v="1"/>
    <x v="12"/>
    <x v="54"/>
    <s v="7.3 Warehouse and Storage Costs"/>
  </r>
  <r>
    <x v="1"/>
    <x v="12"/>
    <x v="54"/>
    <s v="7.4 in-country distribution costs"/>
  </r>
  <r>
    <x v="1"/>
    <x v="12"/>
    <x v="54"/>
    <s v="7.6 PSM Customs Clearance"/>
  </r>
  <r>
    <x v="1"/>
    <x v="12"/>
    <x v="55"/>
    <s v="7.3 Warehouse and Storage Costs"/>
  </r>
  <r>
    <x v="1"/>
    <x v="12"/>
    <x v="55"/>
    <s v="7.4 in-country distribution costs"/>
  </r>
  <r>
    <x v="1"/>
    <x v="12"/>
    <x v="55"/>
    <s v="7.6 PSM Customs Clearance"/>
  </r>
  <r>
    <x v="1"/>
    <x v="12"/>
    <x v="56"/>
    <s v="7.3 Warehouse and Storage Costs"/>
  </r>
  <r>
    <x v="1"/>
    <x v="12"/>
    <x v="56"/>
    <s v="7.4 in-country distribution costs"/>
  </r>
  <r>
    <x v="1"/>
    <x v="12"/>
    <x v="56"/>
    <s v="7.6 PSM Customs Clearance"/>
  </r>
  <r>
    <x v="1"/>
    <x v="12"/>
    <x v="57"/>
    <s v="7.3 Warehouse and Storage Costs"/>
  </r>
  <r>
    <x v="1"/>
    <x v="12"/>
    <x v="57"/>
    <s v="7.4 in-country distribution costs"/>
  </r>
  <r>
    <x v="1"/>
    <x v="12"/>
    <x v="57"/>
    <s v="7.6 PSM Customs Clearance"/>
  </r>
  <r>
    <x v="1"/>
    <x v="13"/>
    <x v="58"/>
    <s v="7.3 Warehouse and Storage Costs"/>
  </r>
  <r>
    <x v="1"/>
    <x v="13"/>
    <x v="58"/>
    <s v="7.4 in-country distribution costs"/>
  </r>
  <r>
    <x v="1"/>
    <x v="13"/>
    <x v="58"/>
    <s v="7.6 PSM Customs Clearance"/>
  </r>
  <r>
    <x v="1"/>
    <x v="13"/>
    <x v="59"/>
    <s v="7.3 Warehouse and Storage Costs"/>
  </r>
  <r>
    <x v="1"/>
    <x v="13"/>
    <x v="59"/>
    <s v="7.4 in-country distribution costs"/>
  </r>
  <r>
    <x v="1"/>
    <x v="13"/>
    <x v="59"/>
    <s v="7.6 PSM Customs Clearance"/>
  </r>
  <r>
    <x v="1"/>
    <x v="13"/>
    <x v="60"/>
    <s v="7.3 Warehouse and Storage Costs"/>
  </r>
  <r>
    <x v="1"/>
    <x v="13"/>
    <x v="60"/>
    <s v="7.4 in-country distribution costs"/>
  </r>
  <r>
    <x v="1"/>
    <x v="13"/>
    <x v="60"/>
    <s v="7.6 PSM Customs Clearance"/>
  </r>
  <r>
    <x v="1"/>
    <x v="13"/>
    <x v="61"/>
    <s v="7.3 Warehouse and Storage Costs"/>
  </r>
  <r>
    <x v="1"/>
    <x v="13"/>
    <x v="61"/>
    <s v="7.4 in-country distribution costs"/>
  </r>
  <r>
    <x v="1"/>
    <x v="13"/>
    <x v="61"/>
    <s v="7.6 PSM Customs Clearance"/>
  </r>
  <r>
    <x v="1"/>
    <x v="13"/>
    <x v="62"/>
    <s v="7.3 Warehouse and Storage Costs"/>
  </r>
  <r>
    <x v="1"/>
    <x v="13"/>
    <x v="62"/>
    <s v="7.4 in-country distribution costs"/>
  </r>
  <r>
    <x v="1"/>
    <x v="13"/>
    <x v="62"/>
    <s v="7.6 PSM Customs Clearance"/>
  </r>
  <r>
    <x v="2"/>
    <x v="14"/>
    <x v="63"/>
    <s v="7.3 Warehouse and Storage Costs"/>
  </r>
  <r>
    <x v="2"/>
    <x v="14"/>
    <x v="63"/>
    <s v="7.4 in-country distribution costs"/>
  </r>
  <r>
    <x v="2"/>
    <x v="14"/>
    <x v="63"/>
    <s v="7.6 PSM Customs Clearance"/>
  </r>
  <r>
    <x v="2"/>
    <x v="15"/>
    <x v="64"/>
    <s v="7.3 Warehouse and Storage Costs"/>
  </r>
  <r>
    <x v="2"/>
    <x v="15"/>
    <x v="64"/>
    <s v="7.4 in-country distribution costs"/>
  </r>
  <r>
    <x v="2"/>
    <x v="15"/>
    <x v="64"/>
    <s v="7.6 PSM Customs Clearance"/>
  </r>
  <r>
    <x v="2"/>
    <x v="15"/>
    <x v="65"/>
    <s v="7.3 Warehouse and Storage Costs"/>
  </r>
  <r>
    <x v="2"/>
    <x v="15"/>
    <x v="65"/>
    <s v="7.4 in-country distribution costs"/>
  </r>
  <r>
    <x v="2"/>
    <x v="15"/>
    <x v="65"/>
    <s v="7.6 PSM Customs Clearance"/>
  </r>
  <r>
    <x v="2"/>
    <x v="16"/>
    <x v="66"/>
    <s v="7.3 Warehouse and Storage Costs"/>
  </r>
  <r>
    <x v="2"/>
    <x v="16"/>
    <x v="66"/>
    <s v="7.4 in-country distribution costs"/>
  </r>
  <r>
    <x v="2"/>
    <x v="16"/>
    <x v="66"/>
    <s v="7.6 PSM Customs Clearance"/>
  </r>
  <r>
    <x v="2"/>
    <x v="16"/>
    <x v="67"/>
    <s v="7.3 Warehouse and Storage Costs"/>
  </r>
  <r>
    <x v="2"/>
    <x v="16"/>
    <x v="67"/>
    <s v="7.4 in-country distribution costs"/>
  </r>
  <r>
    <x v="2"/>
    <x v="16"/>
    <x v="67"/>
    <s v="7.6 PSM Customs Clearance"/>
  </r>
  <r>
    <x v="2"/>
    <x v="16"/>
    <x v="68"/>
    <s v="7.3 Warehouse and Storage Costs"/>
  </r>
  <r>
    <x v="2"/>
    <x v="16"/>
    <x v="68"/>
    <s v="7.4 in-country distribution costs"/>
  </r>
  <r>
    <x v="2"/>
    <x v="16"/>
    <x v="68"/>
    <s v="7.6 PSM Customs Clearance"/>
  </r>
  <r>
    <x v="2"/>
    <x v="16"/>
    <x v="69"/>
    <s v="7.3 Warehouse and Storage Costs"/>
  </r>
  <r>
    <x v="2"/>
    <x v="16"/>
    <x v="69"/>
    <s v="7.4 in-country distribution costs"/>
  </r>
  <r>
    <x v="2"/>
    <x v="16"/>
    <x v="69"/>
    <s v="7.6 PSM Customs Clearance"/>
  </r>
  <r>
    <x v="2"/>
    <x v="16"/>
    <x v="70"/>
    <s v="7.3 Warehouse and Storage Costs"/>
  </r>
  <r>
    <x v="2"/>
    <x v="16"/>
    <x v="70"/>
    <s v="7.4 in-country distribution costs"/>
  </r>
  <r>
    <x v="2"/>
    <x v="16"/>
    <x v="70"/>
    <s v="7.6 PSM Customs Clearance"/>
  </r>
  <r>
    <x v="2"/>
    <x v="16"/>
    <x v="71"/>
    <s v="7.3 Warehouse and Storage Costs"/>
  </r>
  <r>
    <x v="2"/>
    <x v="16"/>
    <x v="71"/>
    <s v="7.4 in-country distribution costs"/>
  </r>
  <r>
    <x v="2"/>
    <x v="16"/>
    <x v="71"/>
    <s v="7.6 PSM Customs Clearance"/>
  </r>
  <r>
    <x v="2"/>
    <x v="17"/>
    <x v="72"/>
    <s v="7.3 Warehouse and Storage Costs"/>
  </r>
  <r>
    <x v="2"/>
    <x v="17"/>
    <x v="72"/>
    <s v="7.4 in-country distribution costs"/>
  </r>
  <r>
    <x v="2"/>
    <x v="17"/>
    <x v="72"/>
    <s v="7.6 PSM Customs Clearance"/>
  </r>
  <r>
    <x v="2"/>
    <x v="17"/>
    <x v="73"/>
    <s v="7.3 Warehouse and Storage Costs"/>
  </r>
  <r>
    <x v="2"/>
    <x v="17"/>
    <x v="73"/>
    <s v="7.4 in-country distribution costs"/>
  </r>
  <r>
    <x v="2"/>
    <x v="17"/>
    <x v="73"/>
    <s v="7.6 PSM Customs Clearance"/>
  </r>
  <r>
    <x v="2"/>
    <x v="18"/>
    <x v="74"/>
    <s v="7.3 Warehouse and Storage Costs"/>
  </r>
  <r>
    <x v="2"/>
    <x v="18"/>
    <x v="74"/>
    <s v="7.4 in-country distribution costs"/>
  </r>
  <r>
    <x v="2"/>
    <x v="18"/>
    <x v="74"/>
    <s v="7.6 PSM Customs Clearance"/>
  </r>
  <r>
    <x v="2"/>
    <x v="18"/>
    <x v="75"/>
    <s v="7.3 Warehouse and Storage Costs"/>
  </r>
  <r>
    <x v="2"/>
    <x v="18"/>
    <x v="75"/>
    <s v="7.4 in-country distribution costs"/>
  </r>
  <r>
    <x v="2"/>
    <x v="18"/>
    <x v="75"/>
    <s v="7.6 PSM Customs Clearance"/>
  </r>
  <r>
    <x v="2"/>
    <x v="9"/>
    <x v="38"/>
    <s v="7.3 Warehouse and Storage Costs"/>
  </r>
  <r>
    <x v="2"/>
    <x v="9"/>
    <x v="38"/>
    <s v="7.4 in-country distribution costs"/>
  </r>
  <r>
    <x v="2"/>
    <x v="9"/>
    <x v="38"/>
    <s v="7.6 PSM Customs Clearance"/>
  </r>
  <r>
    <x v="2"/>
    <x v="9"/>
    <x v="39"/>
    <s v="7.3 Warehouse and Storage Costs"/>
  </r>
  <r>
    <x v="2"/>
    <x v="9"/>
    <x v="39"/>
    <s v="7.4 in-country distribution costs"/>
  </r>
  <r>
    <x v="2"/>
    <x v="9"/>
    <x v="39"/>
    <s v="7.6 PSM Customs Clearance"/>
  </r>
  <r>
    <x v="2"/>
    <x v="9"/>
    <x v="76"/>
    <s v="7.3 Warehouse and Storage Costs"/>
  </r>
  <r>
    <x v="2"/>
    <x v="9"/>
    <x v="76"/>
    <s v="7.4 in-country distribution costs"/>
  </r>
  <r>
    <x v="2"/>
    <x v="9"/>
    <x v="76"/>
    <s v="7.6 PSM Customs Clearance"/>
  </r>
  <r>
    <x v="3"/>
    <x v="19"/>
    <x v="77"/>
    <m/>
  </r>
  <r>
    <x v="3"/>
    <x v="19"/>
    <x v="77"/>
    <m/>
  </r>
  <r>
    <x v="3"/>
    <x v="19"/>
    <x v="77"/>
    <m/>
  </r>
  <r>
    <x v="3"/>
    <x v="19"/>
    <x v="77"/>
    <m/>
  </r>
  <r>
    <x v="3"/>
    <x v="19"/>
    <x v="77"/>
    <m/>
  </r>
  <r>
    <x v="3"/>
    <x v="19"/>
    <x v="77"/>
    <m/>
  </r>
  <r>
    <x v="3"/>
    <x v="19"/>
    <x v="77"/>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1">
  <r>
    <s v="C19RM 2021"/>
    <x v="0"/>
    <x v="0"/>
    <s v="COVID Ag RDTs"/>
    <x v="0"/>
    <n v="1"/>
    <x v="0"/>
    <x v="0"/>
    <x v="0"/>
    <s v="COVID Tests / Antigen Rapid Diagnostic Test Ag-RDTSARS-CoV-2 Ag Rapid Test kitSARS-CoV-2 - Generic Rapid Antigen Diagnostic Test Kit - 1 test"/>
    <x v="0"/>
    <x v="0"/>
    <s v="5.4 Rapid Diagnostic Tests"/>
    <x v="0"/>
    <s v="Each"/>
    <m/>
  </r>
  <r>
    <s v="C19RM 2021"/>
    <x v="0"/>
    <x v="0"/>
    <s v="COVID Molecular Test (PCR) Equipment"/>
    <x v="1"/>
    <n v="2"/>
    <x v="1"/>
    <x v="1"/>
    <x v="0"/>
    <s v="COVID Molecular Test EquipmentAutomated extractorsBioMerieux EMAG (easyMAG) Equipment"/>
    <x v="0"/>
    <x v="1"/>
    <s v="6.6 Other health equipment"/>
    <x v="0"/>
    <s v="Each"/>
    <m/>
  </r>
  <r>
    <s v="C19RM 2021"/>
    <x v="0"/>
    <x v="0"/>
    <s v="COVID Molecular Test (PCR) Equipment"/>
    <x v="1"/>
    <n v="3"/>
    <x v="1"/>
    <x v="2"/>
    <x v="0"/>
    <s v="COVID Molecular Test EquipmentAutomated extractorsEquipment"/>
    <x v="0"/>
    <x v="1"/>
    <s v="6.6 Other health equipment"/>
    <x v="0"/>
    <s v="Each"/>
    <m/>
  </r>
  <r>
    <s v="C19RM 2021"/>
    <x v="0"/>
    <x v="0"/>
    <s v="COVID Molecular Test (PCR) Equipment"/>
    <x v="1"/>
    <n v="4"/>
    <x v="1"/>
    <x v="3"/>
    <x v="0"/>
    <s v="COVID Molecular Test EquipmentAutomated extractorsKingFisher™ Flex Purification System, KingFisher with 96 Deep-well"/>
    <x v="0"/>
    <x v="2"/>
    <s v="5.8 Other consumables"/>
    <x v="0"/>
    <s v="Pack"/>
    <m/>
  </r>
  <r>
    <s v="C19RM 2021"/>
    <x v="0"/>
    <x v="0"/>
    <s v="COVID Molecular Test (PCR) Equipment"/>
    <x v="1"/>
    <n v="5"/>
    <x v="1"/>
    <x v="4"/>
    <x v="0"/>
    <s v="COVID Molecular Test EquipmentAutomated extractorsQiagen QIAsymphony SP Equipment"/>
    <x v="0"/>
    <x v="1"/>
    <s v="6.6 Other health equipment"/>
    <x v="0"/>
    <s v="Each"/>
    <m/>
  </r>
  <r>
    <s v="C19RM 2021"/>
    <x v="0"/>
    <x v="0"/>
    <s v="COVID Molecular Test (PCR) Equipment"/>
    <x v="1"/>
    <n v="6"/>
    <x v="1"/>
    <x v="5"/>
    <x v="0"/>
    <s v="COVID Molecular Test EquipmentAutomated extractorsRoche MagNA pure Equipment"/>
    <x v="0"/>
    <x v="1"/>
    <s v="6.6 Other health equipment"/>
    <x v="0"/>
    <s v="Each"/>
    <m/>
  </r>
  <r>
    <s v="C19RM 2021"/>
    <x v="0"/>
    <x v="0"/>
    <s v="COVID Molecular Test (PCR) Equipment"/>
    <x v="1"/>
    <n v="7"/>
    <x v="1"/>
    <x v="6"/>
    <x v="0"/>
    <s v="COVID Molecular Test EquipmentAutomated extractorsSpare parts and accessories"/>
    <x v="0"/>
    <x v="1"/>
    <s v="6.6 Other health equipment"/>
    <x v="0"/>
    <s v="Each"/>
    <m/>
  </r>
  <r>
    <s v="C19RM 2021"/>
    <x v="0"/>
    <x v="0"/>
    <s v="COVID Molecular Test (PCR) Equipment"/>
    <x v="1"/>
    <n v="8"/>
    <x v="1"/>
    <x v="7"/>
    <x v="0"/>
    <s v="COVID Molecular Test EquipmentAutomated extractorsWarranty, maintenance and service"/>
    <x v="0"/>
    <x v="3"/>
    <s v="6.5 Maintenance and service costs"/>
    <x v="0"/>
    <s v="Each"/>
    <m/>
  </r>
  <r>
    <s v="C19RM 2021"/>
    <x v="0"/>
    <x v="0"/>
    <s v="COVID Molecular Test (PCR) Equipment"/>
    <x v="1"/>
    <n v="9"/>
    <x v="2"/>
    <x v="2"/>
    <x v="0"/>
    <s v="COVID Molecular Test EquipmentCOVID Equipment - OtherEquipment"/>
    <x v="0"/>
    <x v="1"/>
    <s v="6.6 Other health equipment"/>
    <x v="0"/>
    <s v="Each"/>
    <m/>
  </r>
  <r>
    <s v="C19RM 2021"/>
    <x v="0"/>
    <x v="0"/>
    <s v="COVID Molecular Test (PCR) Equipment"/>
    <x v="1"/>
    <n v="10"/>
    <x v="2"/>
    <x v="6"/>
    <x v="0"/>
    <s v="COVID Molecular Test EquipmentCOVID Equipment - OtherSpare parts and accessories"/>
    <x v="0"/>
    <x v="1"/>
    <s v="6.6 Other health equipment"/>
    <x v="0"/>
    <s v="Each"/>
    <m/>
  </r>
  <r>
    <s v="C19RM 2021"/>
    <x v="0"/>
    <x v="0"/>
    <s v="COVID Molecular Test (PCR) Equipment"/>
    <x v="1"/>
    <n v="11"/>
    <x v="2"/>
    <x v="7"/>
    <x v="0"/>
    <s v="COVID Molecular Test EquipmentCOVID Equipment - OtherWarranty, maintenance and service"/>
    <x v="0"/>
    <x v="3"/>
    <s v="6.5 Maintenance and service costs"/>
    <x v="0"/>
    <s v="Each"/>
    <m/>
  </r>
  <r>
    <s v="C19RM 2021"/>
    <x v="0"/>
    <x v="0"/>
    <s v="COVID Molecular Test (PCR) Equipment"/>
    <x v="1"/>
    <n v="12"/>
    <x v="3"/>
    <x v="8"/>
    <x v="0"/>
    <s v="COVID Molecular Test EquipmentMagnetic Stand: Manual ExtractionMagnetic Stand for Manual Extraction 96 well magnet stand"/>
    <x v="0"/>
    <x v="1"/>
    <s v="6.6 Other health equipment"/>
    <x v="0"/>
    <s v="Each"/>
    <m/>
  </r>
  <r>
    <s v="C19RM 2021"/>
    <x v="0"/>
    <x v="0"/>
    <s v="COVID Molecular Test (PCR) Equipment"/>
    <x v="1"/>
    <n v="13"/>
    <x v="3"/>
    <x v="6"/>
    <x v="0"/>
    <s v="COVID Molecular Test EquipmentMagnetic Stand: Manual ExtractionSpare parts and accessories"/>
    <x v="0"/>
    <x v="1"/>
    <s v="6.6 Other health equipment"/>
    <x v="0"/>
    <s v="Each"/>
    <m/>
  </r>
  <r>
    <s v="C19RM 2021"/>
    <x v="0"/>
    <x v="0"/>
    <s v="COVID Molecular Test (PCR) Equipment"/>
    <x v="1"/>
    <n v="14"/>
    <x v="3"/>
    <x v="7"/>
    <x v="0"/>
    <s v="COVID Molecular Test EquipmentMagnetic Stand: Manual ExtractionWarranty, maintenance and service"/>
    <x v="0"/>
    <x v="3"/>
    <s v="6.5 Maintenance and service costs"/>
    <x v="0"/>
    <s v="Each"/>
    <m/>
  </r>
  <r>
    <s v="C19RM 2021"/>
    <x v="0"/>
    <x v="0"/>
    <s v="COVID Molecular Test (PCR) Equipment"/>
    <x v="1"/>
    <n v="15"/>
    <x v="4"/>
    <x v="2"/>
    <x v="0"/>
    <s v="COVID Molecular Test EquipmentMagnetic Stand: Manual Extraction - OtherEquipment"/>
    <x v="0"/>
    <x v="1"/>
    <s v="6.6 Other health equipment"/>
    <x v="0"/>
    <s v="Each"/>
    <m/>
  </r>
  <r>
    <s v="C19RM 2021"/>
    <x v="0"/>
    <x v="0"/>
    <s v="COVID Molecular Test (PCR) Equipment"/>
    <x v="1"/>
    <n v="16"/>
    <x v="5"/>
    <x v="2"/>
    <x v="0"/>
    <s v="COVID Molecular Test EquipmentTabletop PCR workstation with UV lightEquipment"/>
    <x v="0"/>
    <x v="1"/>
    <s v="6.6 Other health equipment"/>
    <x v="0"/>
    <s v="Each"/>
    <m/>
  </r>
  <r>
    <s v="C19RM 2021"/>
    <x v="0"/>
    <x v="0"/>
    <s v="COVID Molecular Test (PCR) Equipment"/>
    <x v="1"/>
    <n v="17"/>
    <x v="6"/>
    <x v="9"/>
    <x v="0"/>
    <s v="COVID Molecular Test EquipmentThermocycler, incl. RT-PCR analyserApplied Biosystems 7500 Fast Dx Real Time PCR Systems"/>
    <x v="0"/>
    <x v="1"/>
    <s v="6.6 Other health equipment"/>
    <x v="0"/>
    <s v="Each"/>
    <m/>
  </r>
  <r>
    <s v="C19RM 2021"/>
    <x v="0"/>
    <x v="0"/>
    <s v="COVID Molecular Test (PCR) Equipment"/>
    <x v="1"/>
    <n v="18"/>
    <x v="6"/>
    <x v="10"/>
    <x v="0"/>
    <s v="COVID Molecular Test EquipmentThermocycler, incl. RT-PCR analyserApplied Biosystems 7500 Fast Real Time PCR Systems"/>
    <x v="0"/>
    <x v="1"/>
    <s v="6.6 Other health equipment"/>
    <x v="0"/>
    <s v="Each"/>
    <m/>
  </r>
  <r>
    <s v="C19RM 2021"/>
    <x v="0"/>
    <x v="0"/>
    <s v="COVID Molecular Test (PCR) Equipment"/>
    <x v="1"/>
    <n v="19"/>
    <x v="6"/>
    <x v="11"/>
    <x v="0"/>
    <s v="COVID Molecular Test EquipmentThermocycler, incl. RT-PCR analyserApplied Biosystems™ 7500 Real-Time PCR Instrument"/>
    <x v="0"/>
    <x v="1"/>
    <s v="6.6 Other health equipment"/>
    <x v="0"/>
    <s v="Each"/>
    <m/>
  </r>
  <r>
    <s v="C19RM 2021"/>
    <x v="0"/>
    <x v="0"/>
    <s v="COVID Molecular Test (PCR) Equipment"/>
    <x v="1"/>
    <n v="20"/>
    <x v="6"/>
    <x v="12"/>
    <x v="0"/>
    <s v="COVID Molecular Test EquipmentThermocycler, incl. RT-PCR analyserBioRad CFX96 PCR system"/>
    <x v="0"/>
    <x v="1"/>
    <s v="6.6 Other health equipment"/>
    <x v="0"/>
    <s v="Each"/>
    <m/>
  </r>
  <r>
    <s v="C19RM 2021"/>
    <x v="0"/>
    <x v="0"/>
    <s v="COVID Molecular Test (PCR) Equipment"/>
    <x v="1"/>
    <n v="21"/>
    <x v="6"/>
    <x v="13"/>
    <x v="0"/>
    <s v="COVID Molecular Test EquipmentThermocycler, incl. RT-PCR analyserQiagen Rotor-Gene 5 Plex PCR system"/>
    <x v="0"/>
    <x v="1"/>
    <s v="6.6 Other health equipment"/>
    <x v="0"/>
    <s v="Each"/>
    <m/>
  </r>
  <r>
    <s v="C19RM 2021"/>
    <x v="0"/>
    <x v="0"/>
    <s v="COVID Molecular Test (PCR) Equipment"/>
    <x v="1"/>
    <n v="22"/>
    <x v="6"/>
    <x v="14"/>
    <x v="0"/>
    <s v="COVID Molecular Test EquipmentThermocycler, incl. RT-PCR analyserQuantStudio™ 5 Real-Time PCR System, 384-well"/>
    <x v="0"/>
    <x v="2"/>
    <s v="5.8 Other consumables"/>
    <x v="0"/>
    <s v="Pack"/>
    <m/>
  </r>
  <r>
    <s v="C19RM 2021"/>
    <x v="0"/>
    <x v="0"/>
    <s v="COVID Molecular Test (PCR) Equipment"/>
    <x v="1"/>
    <n v="23"/>
    <x v="6"/>
    <x v="15"/>
    <x v="0"/>
    <s v="COVID Molecular Test EquipmentThermocycler, incl. RT-PCR analyserQuantStudio™ 5 Real-Time PCR System, 96-well, 0.1 mL"/>
    <x v="0"/>
    <x v="2"/>
    <s v="5.8 Other consumables"/>
    <x v="0"/>
    <s v="Pack"/>
    <m/>
  </r>
  <r>
    <s v="C19RM 2021"/>
    <x v="0"/>
    <x v="0"/>
    <s v="COVID Molecular Test (PCR) Equipment"/>
    <x v="1"/>
    <n v="24"/>
    <x v="6"/>
    <x v="16"/>
    <x v="0"/>
    <s v="COVID Molecular Test EquipmentThermocycler, incl. RT-PCR analyserQuantStudio™ 5 Real-Time PCR System, 96-well, 0.2 mL"/>
    <x v="0"/>
    <x v="2"/>
    <s v="5.8 Other consumables"/>
    <x v="0"/>
    <s v="Pack"/>
    <m/>
  </r>
  <r>
    <s v="C19RM 2021"/>
    <x v="0"/>
    <x v="0"/>
    <s v="COVID Molecular Test (PCR) Equipment"/>
    <x v="1"/>
    <n v="25"/>
    <x v="6"/>
    <x v="17"/>
    <x v="0"/>
    <s v="COVID Molecular Test EquipmentThermocycler, incl. RT-PCR analyserRoche LightCycler 480 PCR system"/>
    <x v="0"/>
    <x v="1"/>
    <s v="6.6 Other health equipment"/>
    <x v="0"/>
    <s v="Each"/>
    <m/>
  </r>
  <r>
    <s v="C19RM 2021"/>
    <x v="0"/>
    <x v="0"/>
    <s v="COVID Molecular Test (PCR) Equipment"/>
    <x v="1"/>
    <n v="26"/>
    <x v="6"/>
    <x v="18"/>
    <x v="0"/>
    <s v="COVID Molecular Test EquipmentThermocycler, incl. RT-PCR analyserSLAN-96P PCR system"/>
    <x v="0"/>
    <x v="1"/>
    <s v="6.6 Other health equipment"/>
    <x v="0"/>
    <s v="Each"/>
    <m/>
  </r>
  <r>
    <s v="C19RM 2021"/>
    <x v="0"/>
    <x v="0"/>
    <s v="COVID Molecular Test (PCR) Equipment"/>
    <x v="1"/>
    <n v="27"/>
    <x v="7"/>
    <x v="2"/>
    <x v="0"/>
    <s v="COVID Molecular Test EquipmentThermocycler, incl. RT-PCR analyser - OtherEquipment"/>
    <x v="0"/>
    <x v="1"/>
    <s v="6.6 Other health equipment"/>
    <x v="0"/>
    <s v="Each"/>
    <m/>
  </r>
  <r>
    <s v="C19RM 2021"/>
    <x v="0"/>
    <x v="0"/>
    <s v="COVID Molecular Test (PCR) Equipment"/>
    <x v="1"/>
    <n v="28"/>
    <x v="7"/>
    <x v="6"/>
    <x v="0"/>
    <s v="COVID Molecular Test EquipmentThermocycler, incl. RT-PCR analyser - OtherSpare parts and accessories"/>
    <x v="0"/>
    <x v="1"/>
    <s v="6.6 Other health equipment"/>
    <x v="0"/>
    <s v="Each"/>
    <m/>
  </r>
  <r>
    <s v="C19RM 2021"/>
    <x v="0"/>
    <x v="0"/>
    <s v="COVID Molecular Test (PCR) Equipment"/>
    <x v="1"/>
    <n v="29"/>
    <x v="7"/>
    <x v="7"/>
    <x v="0"/>
    <s v="COVID Molecular Test EquipmentThermocycler, incl. RT-PCR analyser - OtherWarranty, maintenance and service"/>
    <x v="0"/>
    <x v="3"/>
    <s v="6.5 Maintenance and service costs"/>
    <x v="0"/>
    <s v="Each"/>
    <m/>
  </r>
  <r>
    <s v="C19RM 2021"/>
    <x v="0"/>
    <x v="0"/>
    <s v="COVID Molecular Test (PCR) Equipment"/>
    <x v="1"/>
    <n v="30"/>
    <x v="8"/>
    <x v="6"/>
    <x v="0"/>
    <s v="COVID Molecular Test EquipmentUV crosslinkerSpare parts and accessories"/>
    <x v="0"/>
    <x v="1"/>
    <s v="6.6 Other health equipment"/>
    <x v="0"/>
    <s v="Each"/>
    <m/>
  </r>
  <r>
    <s v="C19RM 2021"/>
    <x v="0"/>
    <x v="0"/>
    <s v="COVID Molecular Test (PCR) Equipment"/>
    <x v="1"/>
    <n v="31"/>
    <x v="9"/>
    <x v="6"/>
    <x v="0"/>
    <s v="COVID Molecular Test EquipmentUV transilluminator 312nmSpare parts and accessories"/>
    <x v="0"/>
    <x v="1"/>
    <s v="6.6 Other health equipment"/>
    <x v="0"/>
    <s v="Each"/>
    <m/>
  </r>
  <r>
    <s v="C19RM 2021"/>
    <x v="0"/>
    <x v="0"/>
    <s v="COVID Molecular Test (PCR) Equipment"/>
    <x v="1"/>
    <n v="32"/>
    <x v="10"/>
    <x v="6"/>
    <x v="0"/>
    <s v="COVID Molecular Test EquipmentUV transilluminator 365nmSpare parts and accessories"/>
    <x v="0"/>
    <x v="1"/>
    <s v="6.6 Other health equipment"/>
    <x v="0"/>
    <s v="Each"/>
    <m/>
  </r>
  <r>
    <s v="C19RM 2021"/>
    <x v="0"/>
    <x v="0"/>
    <s v="COVID Molecular Test (PCR) Equipment"/>
    <x v="2"/>
    <n v="33"/>
    <x v="11"/>
    <x v="19"/>
    <x v="0"/>
    <s v="GeneXpert - Equipment for C19RMGeneXpert: EquipmentGeneXpert 1-module Edge with tablet, barcode reader and auxiliary batteries"/>
    <x v="0"/>
    <x v="4"/>
    <s v="6.4 Dummy"/>
    <x v="0"/>
    <s v="Each"/>
    <m/>
  </r>
  <r>
    <s v="C19RM 2021"/>
    <x v="0"/>
    <x v="0"/>
    <s v="COVID Molecular Test (PCR) Equipment"/>
    <x v="2"/>
    <n v="34"/>
    <x v="11"/>
    <x v="20"/>
    <x v="0"/>
    <s v="GeneXpert - Equipment for C19RMGeneXpert: EquipmentGeneXpert IV-2 modules with desktop computer and barcode reader"/>
    <x v="0"/>
    <x v="4"/>
    <s v="6.4 Dummy"/>
    <x v="0"/>
    <s v="Each"/>
    <m/>
  </r>
  <r>
    <s v="C19RM 2021"/>
    <x v="0"/>
    <x v="0"/>
    <s v="COVID Molecular Test (PCR) Equipment"/>
    <x v="2"/>
    <n v="35"/>
    <x v="11"/>
    <x v="21"/>
    <x v="0"/>
    <s v="GeneXpert - Equipment for C19RMGeneXpert: EquipmentGeneXpert IV-2 modules with laptop computer and barcode reader"/>
    <x v="0"/>
    <x v="4"/>
    <s v="6.4 Dummy"/>
    <x v="0"/>
    <s v="Each"/>
    <m/>
  </r>
  <r>
    <s v="C19RM 2021"/>
    <x v="0"/>
    <x v="0"/>
    <s v="COVID Molecular Test (PCR) Equipment"/>
    <x v="2"/>
    <n v="36"/>
    <x v="11"/>
    <x v="22"/>
    <x v="0"/>
    <s v="GeneXpert - Equipment for C19RMGeneXpert: EquipmentGeneXpert IV-4 modules with desktop computer and barcode reader"/>
    <x v="0"/>
    <x v="4"/>
    <s v="6.4 Dummy"/>
    <x v="0"/>
    <s v="Each"/>
    <m/>
  </r>
  <r>
    <s v="C19RM 2021"/>
    <x v="0"/>
    <x v="0"/>
    <s v="COVID Molecular Test (PCR) Equipment"/>
    <x v="2"/>
    <n v="37"/>
    <x v="11"/>
    <x v="23"/>
    <x v="0"/>
    <s v="GeneXpert - Equipment for C19RMGeneXpert: EquipmentGeneXpert IV-4 modules with laptop computer and barcode reader"/>
    <x v="0"/>
    <x v="4"/>
    <s v="6.4 Dummy"/>
    <x v="0"/>
    <s v="Each"/>
    <m/>
  </r>
  <r>
    <s v="C19RM 2021"/>
    <x v="0"/>
    <x v="0"/>
    <s v="COVID Molecular Test (PCR) Equipment"/>
    <x v="2"/>
    <n v="38"/>
    <x v="11"/>
    <x v="24"/>
    <x v="0"/>
    <s v="GeneXpert - Equipment for C19RMGeneXpert: EquipmentGeneXpert XVI-16 modules with desktop computer and barcode reader"/>
    <x v="0"/>
    <x v="4"/>
    <s v="6.4 Dummy"/>
    <x v="0"/>
    <s v="Each"/>
    <m/>
  </r>
  <r>
    <s v="C19RM 2021"/>
    <x v="0"/>
    <x v="0"/>
    <s v="COVID Molecular Test (PCR) Equipment"/>
    <x v="2"/>
    <n v="39"/>
    <x v="11"/>
    <x v="25"/>
    <x v="0"/>
    <s v="GeneXpert - Equipment for C19RMGeneXpert: EquipmentGeneXpert XVI-16 modules with laptop computer and barcode reader"/>
    <x v="0"/>
    <x v="4"/>
    <s v="6.4 Dummy"/>
    <x v="0"/>
    <s v="Each"/>
    <m/>
  </r>
  <r>
    <s v="C19RM 2021"/>
    <x v="0"/>
    <x v="0"/>
    <s v="COVID Molecular Test (PCR) Equipment"/>
    <x v="2"/>
    <n v="40"/>
    <x v="11"/>
    <x v="6"/>
    <x v="0"/>
    <s v="GeneXpert - Equipment for C19RMGeneXpert: EquipmentSpare parts and accessories"/>
    <x v="0"/>
    <x v="4"/>
    <s v="6.4 Dummy"/>
    <x v="0"/>
    <s v="Each"/>
    <m/>
  </r>
  <r>
    <s v="C19RM 2021"/>
    <x v="0"/>
    <x v="0"/>
    <s v="COVID Molecular Test (PCR) Equipment"/>
    <x v="2"/>
    <n v="41"/>
    <x v="11"/>
    <x v="7"/>
    <x v="0"/>
    <s v="GeneXpert - Equipment for C19RMGeneXpert: EquipmentWarranty, maintenance and service"/>
    <x v="0"/>
    <x v="3"/>
    <s v="6.5 Maintenance and service costs"/>
    <x v="0"/>
    <s v="Each"/>
    <m/>
  </r>
  <r>
    <s v="C19RM 2021"/>
    <x v="0"/>
    <x v="0"/>
    <s v="COVID Molecular Test (PCR) Equipment"/>
    <x v="3"/>
    <n v="42"/>
    <x v="12"/>
    <x v="2"/>
    <x v="0"/>
    <s v="OTHER NEAR POC for C19RMOTHER NEAR POCEquipment"/>
    <x v="0"/>
    <x v="1"/>
    <s v="6.6 Other health equipment"/>
    <x v="0"/>
    <s v="Each"/>
    <m/>
  </r>
  <r>
    <s v="C19RM 2021"/>
    <x v="0"/>
    <x v="0"/>
    <s v="COVID Molecular Test (PCR) Equipment"/>
    <x v="3"/>
    <n v="43"/>
    <x v="12"/>
    <x v="6"/>
    <x v="0"/>
    <s v="OTHER NEAR POC for C19RMOTHER NEAR POCSpare parts and accessories"/>
    <x v="0"/>
    <x v="1"/>
    <s v="6.6 Other health equipment"/>
    <x v="0"/>
    <s v="Each"/>
    <m/>
  </r>
  <r>
    <s v="C19RM 2021"/>
    <x v="0"/>
    <x v="0"/>
    <s v="COVID Molecular Test (PCR) Equipment"/>
    <x v="3"/>
    <n v="44"/>
    <x v="12"/>
    <x v="7"/>
    <x v="0"/>
    <s v="OTHER NEAR POC for C19RMOTHER NEAR POCWarranty, maintenance and service"/>
    <x v="0"/>
    <x v="3"/>
    <s v="6.5 Maintenance and service costs"/>
    <x v="0"/>
    <s v="Each"/>
    <m/>
  </r>
  <r>
    <s v="C19RM 2021"/>
    <x v="0"/>
    <x v="0"/>
    <s v="COVID Molecular Test (PCR) Equipment"/>
    <x v="4"/>
    <n v="45"/>
    <x v="13"/>
    <x v="2"/>
    <x v="0"/>
    <s v="TrueNat for C19RMTruelab Uno DxEquipment"/>
    <x v="0"/>
    <x v="4"/>
    <s v="6.4 Dummy"/>
    <x v="0"/>
    <s v="Each"/>
    <m/>
  </r>
  <r>
    <s v="C19RM 2021"/>
    <x v="0"/>
    <x v="0"/>
    <s v="COVID Molecular Test (PCR) Equipment"/>
    <x v="4"/>
    <n v="46"/>
    <x v="13"/>
    <x v="6"/>
    <x v="0"/>
    <s v="TrueNat for C19RMTruelab Uno DxSpare parts and accessories"/>
    <x v="0"/>
    <x v="4"/>
    <s v="6.4 Dummy"/>
    <x v="0"/>
    <s v="Each"/>
    <m/>
  </r>
  <r>
    <s v="C19RM 2021"/>
    <x v="0"/>
    <x v="0"/>
    <s v="COVID Molecular Test (PCR) Equipment"/>
    <x v="4"/>
    <n v="47"/>
    <x v="13"/>
    <x v="7"/>
    <x v="0"/>
    <s v="TrueNat for C19RMTruelab Uno DxWarranty, maintenance and service"/>
    <x v="0"/>
    <x v="3"/>
    <s v="6.5 Maintenance and service costs"/>
    <x v="0"/>
    <s v="Each"/>
    <m/>
  </r>
  <r>
    <s v="C19RM 2021"/>
    <x v="0"/>
    <x v="0"/>
    <s v="COVID Molecular Test (PCR) Equipment"/>
    <x v="4"/>
    <n v="48"/>
    <x v="14"/>
    <x v="2"/>
    <x v="0"/>
    <s v="TrueNat for C19RMTrueprepEquipment"/>
    <x v="0"/>
    <x v="4"/>
    <s v="6.4 Dummy"/>
    <x v="0"/>
    <s v="Each"/>
    <m/>
  </r>
  <r>
    <s v="C19RM 2021"/>
    <x v="0"/>
    <x v="0"/>
    <s v="COVID Molecular Test (PCR) Equipment"/>
    <x v="4"/>
    <n v="49"/>
    <x v="14"/>
    <x v="6"/>
    <x v="0"/>
    <s v="TrueNat for C19RMTrueprepSpare parts and accessories"/>
    <x v="0"/>
    <x v="4"/>
    <s v="6.4 Dummy"/>
    <x v="0"/>
    <s v="Each"/>
    <m/>
  </r>
  <r>
    <s v="C19RM 2021"/>
    <x v="0"/>
    <x v="0"/>
    <s v="COVID Molecular Test (PCR) Equipment"/>
    <x v="4"/>
    <n v="50"/>
    <x v="14"/>
    <x v="7"/>
    <x v="0"/>
    <s v="TrueNat for C19RMTrueprepWarranty, maintenance and service"/>
    <x v="0"/>
    <x v="3"/>
    <s v="6.5 Maintenance and service costs"/>
    <x v="0"/>
    <s v="Each"/>
    <m/>
  </r>
  <r>
    <s v="C19RM 2021"/>
    <x v="0"/>
    <x v="0"/>
    <s v="COVID PCR Diagnostics reagents &amp; consumables"/>
    <x v="5"/>
    <n v="51"/>
    <x v="15"/>
    <x v="26"/>
    <x v="0"/>
    <s v="COVID Diagnostics reagents &amp; consumablesCOVID Tests / Diagnostic ConsumablesCepheid Xpert Nasopharyngeal swab collection kit 100"/>
    <x v="0"/>
    <x v="2"/>
    <s v="5.8 Other consumables"/>
    <x v="0"/>
    <s v="Pack"/>
    <m/>
  </r>
  <r>
    <s v="C19RM 2021"/>
    <x v="0"/>
    <x v="0"/>
    <s v="COVID PCR Diagnostics reagents &amp; consumables"/>
    <x v="5"/>
    <n v="52"/>
    <x v="15"/>
    <x v="27"/>
    <x v="0"/>
    <s v="COVID Diagnostics reagents &amp; consumablesCOVID Tests / Diagnostic ConsumablesExtraction consumables (e.g. deep-well plate, microplate)"/>
    <x v="0"/>
    <x v="2"/>
    <s v="5.8 Other consumables"/>
    <x v="0"/>
    <s v="Pack"/>
    <m/>
  </r>
  <r>
    <s v="C19RM 2021"/>
    <x v="0"/>
    <x v="0"/>
    <s v="COVID PCR Diagnostics reagents &amp; consumables"/>
    <x v="5"/>
    <n v="53"/>
    <x v="15"/>
    <x v="28"/>
    <x v="0"/>
    <s v="COVID Diagnostics reagents &amp; consumablesCOVID Tests / Diagnostic ConsumablesFiltered Pipette Tips Sterile, 0.1-10 µl, 30 mm, Racked, 960 pieces, box"/>
    <x v="0"/>
    <x v="2"/>
    <s v="5.8 Other consumables"/>
    <x v="0"/>
    <s v="Pack"/>
    <m/>
  </r>
  <r>
    <s v="C19RM 2021"/>
    <x v="0"/>
    <x v="0"/>
    <s v="COVID PCR Diagnostics reagents &amp; consumables"/>
    <x v="5"/>
    <n v="54"/>
    <x v="15"/>
    <x v="29"/>
    <x v="0"/>
    <s v="COVID Diagnostics reagents &amp; consumablesCOVID Tests / Diagnostic ConsumablesFiltered Pipette Tips Sterile, 100-1000 µl, 66 mm, Racked, 960 pieces, box"/>
    <x v="0"/>
    <x v="2"/>
    <s v="5.8 Other consumables"/>
    <x v="0"/>
    <s v="Pack"/>
    <m/>
  </r>
  <r>
    <s v="C19RM 2021"/>
    <x v="0"/>
    <x v="0"/>
    <s v="COVID PCR Diagnostics reagents &amp; consumables"/>
    <x v="5"/>
    <n v="55"/>
    <x v="15"/>
    <x v="30"/>
    <x v="0"/>
    <s v="COVID Diagnostics reagents &amp; consumablesCOVID Tests / Diagnostic ConsumablesFiltered Pipette Tips Sterile, 20-200 µl, 30 mm, Racked, 960 pieces, box"/>
    <x v="0"/>
    <x v="2"/>
    <s v="5.8 Other consumables"/>
    <x v="0"/>
    <s v="Pack"/>
    <m/>
  </r>
  <r>
    <s v="C19RM 2021"/>
    <x v="0"/>
    <x v="0"/>
    <s v="COVID PCR Diagnostics reagents &amp; consumables"/>
    <x v="5"/>
    <n v="56"/>
    <x v="15"/>
    <x v="31"/>
    <x v="0"/>
    <s v="COVID Diagnostics reagents &amp; consumablesCOVID Tests / Diagnostic ConsumablesFiltered Pipette Tips Sterile, 2-30 µl, 51 mm, Racked, 960 pieces, box"/>
    <x v="0"/>
    <x v="2"/>
    <s v="5.8 Other consumables"/>
    <x v="0"/>
    <s v="Pack"/>
    <m/>
  </r>
  <r>
    <s v="C19RM 2021"/>
    <x v="0"/>
    <x v="0"/>
    <s v="COVID PCR Diagnostics reagents &amp; consumables"/>
    <x v="5"/>
    <n v="57"/>
    <x v="15"/>
    <x v="32"/>
    <x v="0"/>
    <s v="COVID Diagnostics reagents &amp; consumablesCOVID Tests / Diagnostic ConsumablesOther consumables - Enter details in Comments"/>
    <x v="0"/>
    <x v="2"/>
    <s v="5.8 Other consumables"/>
    <x v="0"/>
    <s v="Pack"/>
    <m/>
  </r>
  <r>
    <s v="C19RM 2021"/>
    <x v="0"/>
    <x v="0"/>
    <s v="COVID PCR Diagnostics reagents &amp; consumables"/>
    <x v="5"/>
    <n v="58"/>
    <x v="15"/>
    <x v="33"/>
    <x v="0"/>
    <s v="COVID Diagnostics reagents &amp; consumablesCOVID Tests / Diagnostic ConsumablesSample collection kit: swab"/>
    <x v="0"/>
    <x v="2"/>
    <s v="5.8 Other consumables"/>
    <x v="0"/>
    <s v="Pack"/>
    <m/>
  </r>
  <r>
    <s v="C19RM 2021"/>
    <x v="0"/>
    <x v="0"/>
    <s v="COVID PCR Diagnostics reagents &amp; consumables"/>
    <x v="5"/>
    <n v="59"/>
    <x v="15"/>
    <x v="34"/>
    <x v="0"/>
    <s v="COVID Diagnostics reagents &amp; consumablesCOVID Tests / Diagnostic ConsumablesSample collection kit: swab and viral transport medium"/>
    <x v="0"/>
    <x v="2"/>
    <s v="5.8 Other consumables"/>
    <x v="0"/>
    <s v="Pack"/>
    <m/>
  </r>
  <r>
    <s v="C19RM 2021"/>
    <x v="0"/>
    <x v="0"/>
    <s v="COVID PCR Diagnostics reagents &amp; consumables"/>
    <x v="5"/>
    <n v="60"/>
    <x v="15"/>
    <x v="35"/>
    <x v="0"/>
    <s v="COVID Diagnostics reagents &amp; consumablesCOVID Tests / Diagnostic ConsumablesSample collection kit: viral transport medium"/>
    <x v="0"/>
    <x v="2"/>
    <s v="5.8 Other consumables"/>
    <x v="0"/>
    <s v="Pack"/>
    <m/>
  </r>
  <r>
    <s v="C19RM 2021"/>
    <x v="0"/>
    <x v="0"/>
    <s v="COVID PCR Diagnostics reagents &amp; consumables"/>
    <x v="5"/>
    <n v="61"/>
    <x v="15"/>
    <x v="36"/>
    <x v="0"/>
    <s v="COVID Diagnostics reagents &amp; consumablesCOVID Tests / Diagnostic ConsumablesSample collection: Triple packaging boxes for transport"/>
    <x v="0"/>
    <x v="2"/>
    <s v="5.8 Other consumables"/>
    <x v="0"/>
    <s v="Each"/>
    <m/>
  </r>
  <r>
    <s v="C19RM 2021"/>
    <x v="0"/>
    <x v="0"/>
    <s v="COVID PCR Diagnostics reagents &amp; consumables"/>
    <x v="5"/>
    <n v="62"/>
    <x v="16"/>
    <x v="37"/>
    <x v="0"/>
    <s v="COVID Diagnostics reagents &amp; consumablesCOVID Tests / Diagnostic Reagents &amp; CartridgesAbbott RealTime SARS-CoV-2 RT-PCR Kit 96 tests"/>
    <x v="0"/>
    <x v="5"/>
    <s v="5.6 Other laboratory reagents, test kits and consumables"/>
    <x v="0"/>
    <s v="Pack"/>
    <m/>
  </r>
  <r>
    <s v="C19RM 2021"/>
    <x v="0"/>
    <x v="0"/>
    <s v="COVID PCR Diagnostics reagents &amp; consumables"/>
    <x v="5"/>
    <n v="63"/>
    <x v="16"/>
    <x v="38"/>
    <x v="0"/>
    <s v="COVID Diagnostics reagents &amp; consumablesCOVID Tests / Diagnostic Reagents &amp; CartridgesBGI Real-time fluorescent RT-PCR kit for detecting 2019- nCoV"/>
    <x v="0"/>
    <x v="5"/>
    <s v="5.6 Other laboratory reagents, test kits and consumables"/>
    <x v="0"/>
    <s v="Pack"/>
    <m/>
  </r>
  <r>
    <s v="C19RM 2021"/>
    <x v="0"/>
    <x v="0"/>
    <s v="COVID PCR Diagnostics reagents &amp; consumables"/>
    <x v="5"/>
    <n v="64"/>
    <x v="16"/>
    <x v="39"/>
    <x v="0"/>
    <s v="COVID Diagnostics reagents &amp; consumablesCOVID Tests / Diagnostic Reagents &amp; CartridgesCepheid Xpert® Xpress SARS-CoV-2 10 tests"/>
    <x v="0"/>
    <x v="5"/>
    <s v="5.6 Other laboratory reagents, test kits and consumables"/>
    <x v="0"/>
    <s v="Pack"/>
    <m/>
  </r>
  <r>
    <s v="C19RM 2021"/>
    <x v="0"/>
    <x v="0"/>
    <s v="COVID PCR Diagnostics reagents &amp; consumables"/>
    <x v="5"/>
    <n v="65"/>
    <x v="16"/>
    <x v="40"/>
    <x v="0"/>
    <s v="COVID Diagnostics reagents &amp; consumablesCOVID Tests / Diagnostic Reagents &amp; CartridgesHologic Aptima SARS-CoV-2 assay"/>
    <x v="0"/>
    <x v="5"/>
    <s v="5.6 Other laboratory reagents, test kits and consumables"/>
    <x v="0"/>
    <s v="Pack"/>
    <m/>
  </r>
  <r>
    <s v="C19RM 2021"/>
    <x v="0"/>
    <x v="0"/>
    <s v="COVID PCR Diagnostics reagents &amp; consumables"/>
    <x v="5"/>
    <n v="66"/>
    <x v="16"/>
    <x v="41"/>
    <x v="0"/>
    <s v="COVID Diagnostics reagents &amp; consumablesCOVID Tests / Diagnostic Reagents &amp; CartridgesOther automated tests - please specify in the comments column"/>
    <x v="0"/>
    <x v="5"/>
    <s v="5.6 Other laboratory reagents, test kits and consumables"/>
    <x v="0"/>
    <s v="Pack"/>
    <m/>
  </r>
  <r>
    <s v="C19RM 2021"/>
    <x v="0"/>
    <x v="0"/>
    <s v="COVID PCR Diagnostics reagents &amp; consumables"/>
    <x v="5"/>
    <n v="67"/>
    <x v="16"/>
    <x v="42"/>
    <x v="0"/>
    <s v="COVID Diagnostics reagents &amp; consumablesCOVID Tests / Diagnostic Reagents &amp; CartridgesOther manual tests - please specify in the comments column"/>
    <x v="0"/>
    <x v="5"/>
    <s v="5.6 Other laboratory reagents, test kits and consumables"/>
    <x v="0"/>
    <s v="Pack"/>
    <m/>
  </r>
  <r>
    <s v="C19RM 2021"/>
    <x v="0"/>
    <x v="0"/>
    <s v="COVID PCR Diagnostics reagents &amp; consumables"/>
    <x v="5"/>
    <n v="68"/>
    <x v="16"/>
    <x v="43"/>
    <x v="0"/>
    <s v="COVID Diagnostics reagents &amp; consumablesCOVID Tests / Diagnostic Reagents &amp; CartridgesQiagen QIAamp Viral RNA extraction kit"/>
    <x v="0"/>
    <x v="5"/>
    <s v="5.6 Other laboratory reagents, test kits and consumables"/>
    <x v="0"/>
    <s v="Pack"/>
    <m/>
  </r>
  <r>
    <s v="C19RM 2021"/>
    <x v="0"/>
    <x v="0"/>
    <s v="COVID PCR Diagnostics reagents &amp; consumables"/>
    <x v="5"/>
    <n v="69"/>
    <x v="16"/>
    <x v="44"/>
    <x v="0"/>
    <s v="COVID Diagnostics reagents &amp; consumablesCOVID Tests / Diagnostic Reagents &amp; CartridgesRoche Cobas SARS-CoV-2 RT-PCR Kit 96 tests"/>
    <x v="0"/>
    <x v="5"/>
    <s v="5.6 Other laboratory reagents, test kits and consumables"/>
    <x v="0"/>
    <s v="Pack"/>
    <m/>
  </r>
  <r>
    <s v="C19RM 2021"/>
    <x v="0"/>
    <x v="0"/>
    <s v="COVID PCR Diagnostics reagents &amp; consumables"/>
    <x v="5"/>
    <n v="70"/>
    <x v="16"/>
    <x v="45"/>
    <x v="0"/>
    <s v="COVID Diagnostics reagents &amp; consumablesCOVID Tests / Diagnostic Reagents &amp; CartridgesThermo Fisher MagMAX Viral/Pathogen Nucleic Acid Isolation Kit"/>
    <x v="0"/>
    <x v="5"/>
    <s v="5.6 Other laboratory reagents, test kits and consumables"/>
    <x v="0"/>
    <s v="Pack"/>
    <m/>
  </r>
  <r>
    <s v="C19RM 2021"/>
    <x v="0"/>
    <x v="0"/>
    <s v="COVID PCR Diagnostics reagents &amp; consumables"/>
    <x v="5"/>
    <n v="71"/>
    <x v="16"/>
    <x v="46"/>
    <x v="0"/>
    <s v="COVID Diagnostics reagents &amp; consumablesCOVID Tests / Diagnostic Reagents &amp; CartridgesThermo Fisher TaqPath COVID-19 CE-IVD RT-PCR Kit"/>
    <x v="0"/>
    <x v="5"/>
    <s v="5.6 Other laboratory reagents, test kits and consumables"/>
    <x v="0"/>
    <s v="Pack"/>
    <m/>
  </r>
  <r>
    <s v="C19RM 2021"/>
    <x v="0"/>
    <x v="1"/>
    <s v="COVID Medical Oxygen Consumables"/>
    <x v="6"/>
    <n v="76"/>
    <x v="17"/>
    <x v="47"/>
    <x v="0"/>
    <s v="Medical Oxygen - consumablesAirwayNasopharyngeal airway"/>
    <x v="0"/>
    <x v="6"/>
    <s v="5.12 Medical Oxygen"/>
    <x v="0"/>
    <s v="Each"/>
    <m/>
  </r>
  <r>
    <s v="C19RM 2021"/>
    <x v="0"/>
    <x v="1"/>
    <s v="COVID Medical Oxygen Consumables"/>
    <x v="6"/>
    <n v="77"/>
    <x v="17"/>
    <x v="48"/>
    <x v="0"/>
    <s v="Medical Oxygen - consumablesAirwayOropharyngeal airway,Guedel, sterile,single-use"/>
    <x v="0"/>
    <x v="6"/>
    <s v="5.12 Medical Oxygen"/>
    <x v="0"/>
    <s v="Each"/>
    <m/>
  </r>
  <r>
    <s v="C19RM 2021"/>
    <x v="0"/>
    <x v="1"/>
    <s v="COVID Medical Oxygen Consumables"/>
    <x v="6"/>
    <n v="78"/>
    <x v="18"/>
    <x v="49"/>
    <x v="0"/>
    <s v="Medical Oxygen - consumablesCO2 detectorColorimetric end tidal CO2 detector"/>
    <x v="0"/>
    <x v="6"/>
    <s v="5.12 Medical Oxygen"/>
    <x v="0"/>
    <s v="Each"/>
    <m/>
  </r>
  <r>
    <s v="C19RM 2021"/>
    <x v="0"/>
    <x v="1"/>
    <s v="COVID Medical Oxygen Consumables"/>
    <x v="6"/>
    <n v="79"/>
    <x v="19"/>
    <x v="50"/>
    <x v="0"/>
    <s v="Medical Oxygen - consumablesCricothyrotomySet, emergency, 6 mm, sterile, single use"/>
    <x v="0"/>
    <x v="6"/>
    <s v="5.12 Medical Oxygen"/>
    <x v="0"/>
    <s v="Each"/>
    <m/>
  </r>
  <r>
    <s v="C19RM 2021"/>
    <x v="0"/>
    <x v="1"/>
    <s v="COVID Medical Oxygen Consumables"/>
    <x v="6"/>
    <n v="80"/>
    <x v="20"/>
    <x v="51"/>
    <x v="0"/>
    <s v="Medical Oxygen - consumablesEndotracheal tubeEndotracheal tube (specify in comments with cuff, without cuff)"/>
    <x v="0"/>
    <x v="6"/>
    <s v="5.12 Medical Oxygen"/>
    <x v="0"/>
    <s v="Each"/>
    <m/>
  </r>
  <r>
    <s v="C19RM 2021"/>
    <x v="0"/>
    <x v="1"/>
    <s v="COVID Medical Oxygen Consumables"/>
    <x v="6"/>
    <n v="81"/>
    <x v="20"/>
    <x v="52"/>
    <x v="0"/>
    <s v="Medical Oxygen - consumablesEndotracheal tubeEndotracheal tube introducer (specify in comments Bougie or Stylet)"/>
    <x v="0"/>
    <x v="6"/>
    <s v="5.12 Medical Oxygen"/>
    <x v="0"/>
    <s v="Each"/>
    <m/>
  </r>
  <r>
    <s v="C19RM 2021"/>
    <x v="0"/>
    <x v="1"/>
    <s v="COVID Medical Oxygen Consumables"/>
    <x v="6"/>
    <n v="82"/>
    <x v="21"/>
    <x v="53"/>
    <x v="0"/>
    <s v="Medical Oxygen - consumablesFlow spitterFlow splitter, for oxygen concentrator, 5 flowmeters, range 0.125 – 2 l/m"/>
    <x v="0"/>
    <x v="6"/>
    <s v="5.12 Medical Oxygen"/>
    <x v="0"/>
    <s v="Each"/>
    <m/>
  </r>
  <r>
    <s v="C19RM 2021"/>
    <x v="0"/>
    <x v="1"/>
    <s v="COVID Medical Oxygen Consumables"/>
    <x v="6"/>
    <n v="83"/>
    <x v="22"/>
    <x v="54"/>
    <x v="0"/>
    <s v="Medical Oxygen - consumablesFlowmeter, medical O2, Gas CylinderThorpe tube, pressure-compensated, with pressure regulator &amp; pressure-reducing valve, Barbed green “Christmas tree” connector to connect to tubing/patient delivery device"/>
    <x v="0"/>
    <x v="6"/>
    <s v="5.12 Medical Oxygen"/>
    <x v="0"/>
    <s v="Each"/>
    <m/>
  </r>
  <r>
    <s v="C19RM 2021"/>
    <x v="0"/>
    <x v="1"/>
    <s v="COVID Medical Oxygen Consumables"/>
    <x v="6"/>
    <n v="84"/>
    <x v="22"/>
    <x v="55"/>
    <x v="0"/>
    <s v="Medical Oxygen - consumablesFlowmeter, medical O2, Gas CylinderThorpe tube, pressure-compensated, with pressure regulator &amp; pressure-reducing valve, DISS female/male connector (or other) &amp; adapter to connect with humidifier"/>
    <x v="0"/>
    <x v="6"/>
    <s v="5.12 Medical Oxygen"/>
    <x v="0"/>
    <s v="Each"/>
    <m/>
  </r>
  <r>
    <s v="C19RM 2021"/>
    <x v="0"/>
    <x v="1"/>
    <s v="COVID Medical Oxygen Consumables"/>
    <x v="6"/>
    <n v="85"/>
    <x v="22"/>
    <x v="56"/>
    <x v="0"/>
    <s v="Medical Oxygen - consumablesFlowmeter, medical O2, Gas CylinderThorpe tube, pressure-compensated, with pressure regulator &amp; pressure-reducing valve, DISS female/male connector (or other) &amp; adapter to connect with regulator"/>
    <x v="0"/>
    <x v="6"/>
    <s v="5.12 Medical Oxygen"/>
    <x v="0"/>
    <s v="Each"/>
    <m/>
  </r>
  <r>
    <s v="C19RM 2021"/>
    <x v="0"/>
    <x v="1"/>
    <s v="COVID Medical Oxygen Consumables"/>
    <x v="6"/>
    <n v="86"/>
    <x v="23"/>
    <x v="57"/>
    <x v="0"/>
    <s v="Medical Oxygen - consumablesFlowmeter, medical O2, Terminal (wall) UnitThorpe tube, pressure-compensated, with pressure regulator, Barbed green “Christmas tree” connector to connect to tubing/patient delivery device"/>
    <x v="0"/>
    <x v="6"/>
    <s v="5.12 Medical Oxygen"/>
    <x v="0"/>
    <s v="Each"/>
    <m/>
  </r>
  <r>
    <s v="C19RM 2021"/>
    <x v="0"/>
    <x v="1"/>
    <s v="COVID Medical Oxygen Consumables"/>
    <x v="6"/>
    <n v="87"/>
    <x v="23"/>
    <x v="58"/>
    <x v="0"/>
    <s v="Medical Oxygen - consumablesFlowmeter, medical O2, Terminal (wall) UnitThorpe tube, pressure-compensated, with pressure regulator, DISS female/male connector (or other) &amp; adapter to connect with humidifier"/>
    <x v="0"/>
    <x v="6"/>
    <s v="5.12 Medical Oxygen"/>
    <x v="0"/>
    <s v="Each"/>
    <m/>
  </r>
  <r>
    <s v="C19RM 2021"/>
    <x v="0"/>
    <x v="1"/>
    <s v="COVID Medical Oxygen Consumables"/>
    <x v="6"/>
    <n v="88"/>
    <x v="23"/>
    <x v="59"/>
    <x v="0"/>
    <s v="Medical Oxygen - consumablesFlowmeter, medical O2, Terminal (wall) UnitThorpe tube, pressure-compensated, with pressure regulator, DISS female/male connector (or other) &amp; adapter to connect with regulator"/>
    <x v="0"/>
    <x v="6"/>
    <s v="5.12 Medical Oxygen"/>
    <x v="0"/>
    <s v="Each"/>
    <m/>
  </r>
  <r>
    <s v="C19RM 2021"/>
    <x v="0"/>
    <x v="1"/>
    <s v="COVID Medical Oxygen Consumables"/>
    <x v="6"/>
    <n v="89"/>
    <x v="24"/>
    <x v="60"/>
    <x v="0"/>
    <s v="Medical Oxygen - consumablesHumidifierHumidifier, non-heated, reusable"/>
    <x v="0"/>
    <x v="6"/>
    <s v="5.12 Medical Oxygen"/>
    <x v="0"/>
    <s v="Each"/>
    <m/>
  </r>
  <r>
    <s v="C19RM 2021"/>
    <x v="0"/>
    <x v="1"/>
    <s v="COVID Medical Oxygen Consumables"/>
    <x v="6"/>
    <n v="90"/>
    <x v="25"/>
    <x v="61"/>
    <x v="0"/>
    <s v="Medical Oxygen - consumablesInfusion giving setInfusion giving sets for adult and pediatric use with IV catheters and scalp vein sets (all size)"/>
    <x v="0"/>
    <x v="6"/>
    <s v="5.12 Medical Oxygen"/>
    <x v="0"/>
    <s v="Each"/>
    <m/>
  </r>
  <r>
    <s v="C19RM 2021"/>
    <x v="0"/>
    <x v="1"/>
    <s v="COVID Medical Oxygen Consumables"/>
    <x v="6"/>
    <n v="91"/>
    <x v="26"/>
    <x v="62"/>
    <x v="0"/>
    <s v="Medical Oxygen - consumablesLaryngoscopeLaryngoscope – adult/child"/>
    <x v="0"/>
    <x v="6"/>
    <s v="5.12 Medical Oxygen"/>
    <x v="0"/>
    <s v="Each"/>
    <m/>
  </r>
  <r>
    <s v="C19RM 2021"/>
    <x v="0"/>
    <x v="1"/>
    <s v="COVID Medical Oxygen Consumables"/>
    <x v="6"/>
    <n v="92"/>
    <x v="26"/>
    <x v="63"/>
    <x v="0"/>
    <s v="Medical Oxygen - consumablesLaryngoscopeLaryngoscope – neonate"/>
    <x v="0"/>
    <x v="6"/>
    <s v="5.12 Medical Oxygen"/>
    <x v="0"/>
    <s v="Each"/>
    <m/>
  </r>
  <r>
    <s v="C19RM 2021"/>
    <x v="0"/>
    <x v="1"/>
    <s v="COVID Medical Oxygen Consumables"/>
    <x v="6"/>
    <n v="93"/>
    <x v="27"/>
    <x v="64"/>
    <x v="0"/>
    <s v="Medical Oxygen - consumablesNasal CannulaHigh flow with tubing &amp; patient interfaces, with accessories"/>
    <x v="0"/>
    <x v="6"/>
    <s v="5.12 Medical Oxygen"/>
    <x v="0"/>
    <s v="Each"/>
    <m/>
  </r>
  <r>
    <s v="C19RM 2021"/>
    <x v="0"/>
    <x v="1"/>
    <s v="COVID Medical Oxygen Consumables"/>
    <x v="6"/>
    <n v="94"/>
    <x v="28"/>
    <x v="65"/>
    <x v="0"/>
    <s v="Medical Oxygen - consumablesNasal CatheterHigh flow with tubing &amp; adapters, lubricated, non-sterile"/>
    <x v="0"/>
    <x v="6"/>
    <s v="5.12 Medical Oxygen"/>
    <x v="0"/>
    <s v="Each"/>
    <m/>
  </r>
  <r>
    <s v="C19RM 2021"/>
    <x v="0"/>
    <x v="1"/>
    <s v="COVID Medical Oxygen Consumables"/>
    <x v="6"/>
    <n v="95"/>
    <x v="29"/>
    <x v="66"/>
    <x v="0"/>
    <s v="Medical Oxygen - consumablesNasal prongProngs, nasal, Oxygen, adult, single use"/>
    <x v="0"/>
    <x v="6"/>
    <s v="5.12 Medical Oxygen"/>
    <x v="0"/>
    <s v="Each"/>
    <m/>
  </r>
  <r>
    <s v="C19RM 2021"/>
    <x v="0"/>
    <x v="1"/>
    <s v="COVID Medical Oxygen Consumables"/>
    <x v="6"/>
    <n v="96"/>
    <x v="29"/>
    <x v="67"/>
    <x v="0"/>
    <s v="Medical Oxygen - consumablesNasal prongProngs, nasal, Oxygen, child, single use"/>
    <x v="0"/>
    <x v="6"/>
    <s v="5.12 Medical Oxygen"/>
    <x v="0"/>
    <s v="Each"/>
    <m/>
  </r>
  <r>
    <s v="C19RM 2021"/>
    <x v="0"/>
    <x v="1"/>
    <s v="COVID Medical Oxygen Consumables"/>
    <x v="6"/>
    <n v="97"/>
    <x v="29"/>
    <x v="68"/>
    <x v="0"/>
    <s v="Medical Oxygen - consumablesNasal prongProngs, nasal, Oxygen, neonate, single use"/>
    <x v="0"/>
    <x v="6"/>
    <s v="5.12 Medical Oxygen"/>
    <x v="0"/>
    <s v="Each"/>
    <m/>
  </r>
  <r>
    <s v="C19RM 2021"/>
    <x v="0"/>
    <x v="1"/>
    <s v="COVID Medical Oxygen Consumables"/>
    <x v="6"/>
    <n v="98"/>
    <x v="30"/>
    <x v="69"/>
    <x v="0"/>
    <s v="Medical Oxygen - consumablesOtherOther - Enter details in Comments"/>
    <x v="0"/>
    <x v="6"/>
    <s v="5.12 Medical Oxygen"/>
    <x v="0"/>
    <s v="Each"/>
    <m/>
  </r>
  <r>
    <s v="C19RM 2021"/>
    <x v="0"/>
    <x v="1"/>
    <s v="COVID Medical Oxygen Consumables"/>
    <x v="6"/>
    <n v="99"/>
    <x v="31"/>
    <x v="70"/>
    <x v="0"/>
    <s v="Medical Oxygen - consumablesOxygen maskOxygen mask with connection tube, reservoir bag and value, adult, single use"/>
    <x v="0"/>
    <x v="6"/>
    <s v="5.12 Medical Oxygen"/>
    <x v="0"/>
    <s v="Each"/>
    <m/>
  </r>
  <r>
    <s v="C19RM 2021"/>
    <x v="0"/>
    <x v="1"/>
    <s v="COVID Medical Oxygen Consumables"/>
    <x v="6"/>
    <n v="100"/>
    <x v="31"/>
    <x v="71"/>
    <x v="0"/>
    <s v="Medical Oxygen - consumablesOxygen maskOxygen mask with connection tube, reservoir bag and value, child, single use"/>
    <x v="0"/>
    <x v="6"/>
    <s v="5.12 Medical Oxygen"/>
    <x v="0"/>
    <s v="Each"/>
    <m/>
  </r>
  <r>
    <s v="C19RM 2021"/>
    <x v="0"/>
    <x v="1"/>
    <s v="COVID Medical Oxygen Consumables"/>
    <x v="6"/>
    <n v="101"/>
    <x v="31"/>
    <x v="72"/>
    <x v="0"/>
    <s v="Medical Oxygen - consumablesOxygen maskVenturi mask with percent O2 Lock and tubing, adult"/>
    <x v="0"/>
    <x v="6"/>
    <s v="5.12 Medical Oxygen"/>
    <x v="0"/>
    <s v="Each"/>
    <m/>
  </r>
  <r>
    <s v="C19RM 2021"/>
    <x v="0"/>
    <x v="1"/>
    <s v="COVID Medical Oxygen Consumables"/>
    <x v="6"/>
    <n v="102"/>
    <x v="31"/>
    <x v="73"/>
    <x v="0"/>
    <s v="Medical Oxygen - consumablesOxygen maskVenturi mask with percent O2 Lock and tubing, child"/>
    <x v="0"/>
    <x v="6"/>
    <s v="5.12 Medical Oxygen"/>
    <x v="0"/>
    <s v="Each"/>
    <m/>
  </r>
  <r>
    <s v="C19RM 2021"/>
    <x v="0"/>
    <x v="1"/>
    <s v="COVID Medical Oxygen Consumables"/>
    <x v="6"/>
    <n v="103"/>
    <x v="32"/>
    <x v="74"/>
    <x v="0"/>
    <s v="Medical Oxygen - consumablesPulse oximeter probesHandheld pulse oximeter probes, adult"/>
    <x v="0"/>
    <x v="6"/>
    <s v="5.12 Medical Oxygen"/>
    <x v="0"/>
    <s v="Each"/>
    <m/>
  </r>
  <r>
    <s v="C19RM 2021"/>
    <x v="0"/>
    <x v="1"/>
    <s v="COVID Medical Oxygen Consumables"/>
    <x v="6"/>
    <n v="104"/>
    <x v="32"/>
    <x v="75"/>
    <x v="0"/>
    <s v="Medical Oxygen - consumablesPulse oximeter probesHandheld pulse oximeter probes, neonatal"/>
    <x v="0"/>
    <x v="6"/>
    <s v="5.12 Medical Oxygen"/>
    <x v="0"/>
    <s v="Each"/>
    <m/>
  </r>
  <r>
    <s v="C19RM 2021"/>
    <x v="0"/>
    <x v="1"/>
    <s v="COVID Medical Oxygen Consumables"/>
    <x v="6"/>
    <n v="105"/>
    <x v="32"/>
    <x v="76"/>
    <x v="0"/>
    <s v="Medical Oxygen - consumablesPulse oximeter probesHandheld pulse oximeter probes, pediatric"/>
    <x v="0"/>
    <x v="6"/>
    <s v="5.12 Medical Oxygen"/>
    <x v="0"/>
    <s v="Each"/>
    <m/>
  </r>
  <r>
    <s v="C19RM 2021"/>
    <x v="0"/>
    <x v="1"/>
    <s v="COVID Medical Oxygen Consumables"/>
    <x v="6"/>
    <n v="106"/>
    <x v="32"/>
    <x v="77"/>
    <x v="0"/>
    <s v="Medical Oxygen - consumablesPulse oximeter probesTabletop pulse oximeter probes, adult"/>
    <x v="0"/>
    <x v="6"/>
    <s v="5.12 Medical Oxygen"/>
    <x v="0"/>
    <s v="Each"/>
    <m/>
  </r>
  <r>
    <s v="C19RM 2021"/>
    <x v="0"/>
    <x v="1"/>
    <s v="COVID Medical Oxygen Consumables"/>
    <x v="6"/>
    <n v="107"/>
    <x v="32"/>
    <x v="78"/>
    <x v="0"/>
    <s v="Medical Oxygen - consumablesPulse oximeter probesTabletop pulse oximeter probes, neonatal"/>
    <x v="0"/>
    <x v="6"/>
    <s v="5.12 Medical Oxygen"/>
    <x v="0"/>
    <s v="Each"/>
    <m/>
  </r>
  <r>
    <s v="C19RM 2021"/>
    <x v="0"/>
    <x v="1"/>
    <s v="COVID Medical Oxygen Consumables"/>
    <x v="6"/>
    <n v="108"/>
    <x v="32"/>
    <x v="79"/>
    <x v="0"/>
    <s v="Medical Oxygen - consumablesPulse oximeter probesTabletop pulse oximeter probes, pediatric"/>
    <x v="0"/>
    <x v="6"/>
    <s v="5.12 Medical Oxygen"/>
    <x v="0"/>
    <s v="Each"/>
    <m/>
  </r>
  <r>
    <s v="C19RM 2021"/>
    <x v="0"/>
    <x v="1"/>
    <s v="COVID Medical Oxygen Consumables"/>
    <x v="6"/>
    <n v="109"/>
    <x v="33"/>
    <x v="80"/>
    <x v="0"/>
    <s v="Medical Oxygen - consumablesResuscitatorResuscitator, adult"/>
    <x v="0"/>
    <x v="6"/>
    <s v="5.12 Medical Oxygen"/>
    <x v="0"/>
    <s v="Each"/>
    <m/>
  </r>
  <r>
    <s v="C19RM 2021"/>
    <x v="0"/>
    <x v="1"/>
    <s v="COVID Medical Oxygen Consumables"/>
    <x v="6"/>
    <n v="110"/>
    <x v="33"/>
    <x v="81"/>
    <x v="0"/>
    <s v="Medical Oxygen - consumablesResuscitatorResuscitator, child"/>
    <x v="0"/>
    <x v="6"/>
    <s v="5.12 Medical Oxygen"/>
    <x v="0"/>
    <s v="Each"/>
    <m/>
  </r>
  <r>
    <s v="C19RM 2021"/>
    <x v="0"/>
    <x v="1"/>
    <s v="COVID Medical Oxygen Consumables"/>
    <x v="6"/>
    <n v="111"/>
    <x v="34"/>
    <x v="82"/>
    <x v="0"/>
    <s v="Medical Oxygen - consumablesSuction deviceSuction devices (Electrical recommend)"/>
    <x v="0"/>
    <x v="6"/>
    <s v="5.12 Medical Oxygen"/>
    <x v="0"/>
    <s v="Each"/>
    <m/>
  </r>
  <r>
    <s v="C19RM 2021"/>
    <x v="0"/>
    <x v="1"/>
    <s v="COVID Medical Oxygen Consumables"/>
    <x v="6"/>
    <n v="112"/>
    <x v="35"/>
    <x v="83"/>
    <x v="0"/>
    <s v="Medical Oxygen - consumablesTubingOxygen administration tubing, non-sterile"/>
    <x v="0"/>
    <x v="6"/>
    <s v="5.12 Medical Oxygen"/>
    <x v="0"/>
    <s v="Each"/>
    <m/>
  </r>
  <r>
    <s v="C19RM 2021"/>
    <x v="0"/>
    <x v="1"/>
    <s v="COVID Medical Oxygen Consumables"/>
    <x v="6"/>
    <n v="113"/>
    <x v="35"/>
    <x v="84"/>
    <x v="0"/>
    <s v="Medical Oxygen - consumablesTubingSuction tubing, silicone, non-sterile"/>
    <x v="0"/>
    <x v="6"/>
    <s v="5.12 Medical Oxygen"/>
    <x v="0"/>
    <s v="Each"/>
    <m/>
  </r>
  <r>
    <s v="C19RM 2021"/>
    <x v="0"/>
    <x v="1"/>
    <s v="COVID Medical Oxygen Equipment"/>
    <x v="7"/>
    <n v="114"/>
    <x v="36"/>
    <x v="6"/>
    <x v="0"/>
    <s v="Medical Oxygen - equipmentCOVID EquipmentSpare parts and accessories"/>
    <x v="0"/>
    <x v="7"/>
    <s v="6.7 Medical Oxygen - Equipment"/>
    <x v="0"/>
    <s v="Each"/>
    <m/>
  </r>
  <r>
    <s v="C19RM 2021"/>
    <x v="0"/>
    <x v="1"/>
    <s v="COVID Medical Oxygen Equipment"/>
    <x v="7"/>
    <n v="115"/>
    <x v="36"/>
    <x v="7"/>
    <x v="0"/>
    <s v="Medical Oxygen - equipmentCOVID EquipmentWarranty, maintenance and service"/>
    <x v="0"/>
    <x v="3"/>
    <s v="6.5 Maintenance and service costs"/>
    <x v="0"/>
    <s v="Each"/>
    <m/>
  </r>
  <r>
    <s v="C19RM 2021"/>
    <x v="0"/>
    <x v="1"/>
    <s v="COVID Medical Oxygen Equipment"/>
    <x v="7"/>
    <n v="116"/>
    <x v="37"/>
    <x v="85"/>
    <x v="0"/>
    <s v="Medical Oxygen - equipmentMechanical ventilationPatient ventilator, for critical / intensive care, for adult &amp; paediatric, with breathing circuits &amp; patient interface"/>
    <x v="0"/>
    <x v="7"/>
    <s v="6.7 Medical Oxygen - Equipment"/>
    <x v="0"/>
    <s v="Each"/>
    <m/>
  </r>
  <r>
    <s v="C19RM 2021"/>
    <x v="0"/>
    <x v="1"/>
    <s v="COVID Medical Oxygen Equipment"/>
    <x v="7"/>
    <n v="117"/>
    <x v="37"/>
    <x v="86"/>
    <x v="0"/>
    <s v="Medical Oxygen - equipmentMechanical ventilationPatient ventilator, for transport, for adult &amp; paediatric, with breathing circuits &amp; patient interface"/>
    <x v="0"/>
    <x v="7"/>
    <s v="6.7 Medical Oxygen - Equipment"/>
    <x v="0"/>
    <s v="Each"/>
    <m/>
  </r>
  <r>
    <s v="C19RM 2021"/>
    <x v="0"/>
    <x v="1"/>
    <s v="COVID Medical Oxygen Equipment"/>
    <x v="7"/>
    <n v="118"/>
    <x v="38"/>
    <x v="87"/>
    <x v="0"/>
    <s v="Medical Oxygen - equipmentNon-invasive ventilationBiPAP, with tubing &amp; patient interfaces, with accessories"/>
    <x v="0"/>
    <x v="7"/>
    <s v="6.7 Medical Oxygen - Equipment"/>
    <x v="0"/>
    <s v="Each"/>
    <m/>
  </r>
  <r>
    <s v="C19RM 2021"/>
    <x v="0"/>
    <x v="1"/>
    <s v="COVID Medical Oxygen Equipment"/>
    <x v="7"/>
    <n v="119"/>
    <x v="38"/>
    <x v="88"/>
    <x v="0"/>
    <s v="Medical Oxygen - equipmentNon-invasive ventilationCPAP, with tubing and patient interfaces, adult &amp; paediatric, with accessories"/>
    <x v="0"/>
    <x v="7"/>
    <s v="6.7 Medical Oxygen - Equipment"/>
    <x v="0"/>
    <s v="Each"/>
    <m/>
  </r>
  <r>
    <s v="C19RM 2021"/>
    <x v="0"/>
    <x v="1"/>
    <s v="COVID Medical Oxygen Equipment"/>
    <x v="7"/>
    <n v="120"/>
    <x v="38"/>
    <x v="89"/>
    <x v="0"/>
    <s v="Medical Oxygen - equipmentNon-invasive ventilationHigh-Flow Nasal Cannula (HFNC) Oxygen Therapy Devices"/>
    <x v="0"/>
    <x v="7"/>
    <s v="6.7 Medical Oxygen - Equipment"/>
    <x v="0"/>
    <s v="Each"/>
    <m/>
  </r>
  <r>
    <s v="C19RM 2021"/>
    <x v="0"/>
    <x v="1"/>
    <s v="COVID Medical Oxygen Equipment"/>
    <x v="7"/>
    <n v="121"/>
    <x v="39"/>
    <x v="90"/>
    <x v="0"/>
    <s v="Medical Oxygen - equipmentOxygen analyserElectrochemical, battery-powered, handheld"/>
    <x v="0"/>
    <x v="7"/>
    <s v="6.7 Medical Oxygen - Equipment"/>
    <x v="0"/>
    <s v="Each"/>
    <m/>
  </r>
  <r>
    <s v="C19RM 2021"/>
    <x v="0"/>
    <x v="1"/>
    <s v="COVID Medical Oxygen Equipment"/>
    <x v="7"/>
    <n v="122"/>
    <x v="39"/>
    <x v="91"/>
    <x v="0"/>
    <s v="Medical Oxygen - equipmentOxygen analyserUltrasonic, battery-powered, handheld"/>
    <x v="0"/>
    <x v="7"/>
    <s v="6.7 Medical Oxygen - Equipment"/>
    <x v="0"/>
    <s v="Each"/>
    <m/>
  </r>
  <r>
    <s v="C19RM 2021"/>
    <x v="0"/>
    <x v="1"/>
    <s v="COVID Medical Oxygen Equipment"/>
    <x v="7"/>
    <n v="123"/>
    <x v="40"/>
    <x v="92"/>
    <x v="0"/>
    <s v="Medical Oxygen - equipmentOxygen concentratorOxygen concentrator, portable, with accessories"/>
    <x v="0"/>
    <x v="7"/>
    <s v="6.7 Medical Oxygen - Equipment"/>
    <x v="0"/>
    <s v="Each"/>
    <m/>
  </r>
  <r>
    <s v="C19RM 2021"/>
    <x v="0"/>
    <x v="1"/>
    <s v="COVID Medical Oxygen Equipment"/>
    <x v="7"/>
    <n v="124"/>
    <x v="40"/>
    <x v="93"/>
    <x v="0"/>
    <s v="Medical Oxygen - equipmentOxygen concentratorOxygen concentrator, stationary/bedside, with accessories"/>
    <x v="0"/>
    <x v="7"/>
    <s v="6.7 Medical Oxygen - Equipment"/>
    <x v="0"/>
    <s v="Each"/>
    <m/>
  </r>
  <r>
    <s v="C19RM 2021"/>
    <x v="0"/>
    <x v="1"/>
    <s v="COVID Medical Oxygen Equipment"/>
    <x v="7"/>
    <n v="125"/>
    <x v="40"/>
    <x v="6"/>
    <x v="0"/>
    <s v="Medical Oxygen - equipmentOxygen concentratorSpare parts and accessories"/>
    <x v="0"/>
    <x v="7"/>
    <s v="6.7 Medical Oxygen - Equipment"/>
    <x v="0"/>
    <s v="Each"/>
    <m/>
  </r>
  <r>
    <s v="C19RM 2021"/>
    <x v="0"/>
    <x v="1"/>
    <s v="COVID Medical Oxygen Equipment"/>
    <x v="7"/>
    <n v="126"/>
    <x v="40"/>
    <x v="7"/>
    <x v="0"/>
    <s v="Medical Oxygen - equipmentOxygen concentratorWarranty, maintenance and service"/>
    <x v="0"/>
    <x v="3"/>
    <s v="6.5 Maintenance and service costs"/>
    <x v="0"/>
    <s v="Each"/>
    <m/>
  </r>
  <r>
    <s v="C19RM 2021"/>
    <x v="0"/>
    <x v="1"/>
    <s v="COVID Medical Oxygen Equipment"/>
    <x v="7"/>
    <n v="127"/>
    <x v="41"/>
    <x v="94"/>
    <x v="0"/>
    <s v="Medical Oxygen - equipmentPulse oximeterOxygen saturation monitor, portable fingertip, battery-powered"/>
    <x v="0"/>
    <x v="7"/>
    <s v="6.7 Medical Oxygen - Equipment"/>
    <x v="0"/>
    <s v="Each"/>
    <m/>
  </r>
  <r>
    <s v="C19RM 2021"/>
    <x v="0"/>
    <x v="1"/>
    <s v="COVID Medical Oxygen Equipment"/>
    <x v="7"/>
    <n v="128"/>
    <x v="41"/>
    <x v="95"/>
    <x v="0"/>
    <s v="Medical Oxygen - equipmentPulse oximeterOxygen saturation monitor, portable handheld, battery-powered, with cables &amp; sensor"/>
    <x v="0"/>
    <x v="7"/>
    <s v="6.7 Medical Oxygen - Equipment"/>
    <x v="0"/>
    <s v="Each"/>
    <m/>
  </r>
  <r>
    <s v="C19RM 2021"/>
    <x v="0"/>
    <x v="1"/>
    <s v="COVID Medical Oxygen Equipment"/>
    <x v="7"/>
    <n v="129"/>
    <x v="41"/>
    <x v="96"/>
    <x v="0"/>
    <s v="Medical Oxygen - equipmentPulse oximeterOxygen saturation monitor, tabletop, AC-powered, with cables &amp; sensor"/>
    <x v="0"/>
    <x v="7"/>
    <s v="6.7 Medical Oxygen - Equipment"/>
    <x v="0"/>
    <s v="Each"/>
    <m/>
  </r>
  <r>
    <s v="C19RM 2021"/>
    <x v="0"/>
    <x v="1"/>
    <s v="COVID Medical Oxygen Equipment"/>
    <x v="7"/>
    <n v="130"/>
    <x v="42"/>
    <x v="97"/>
    <x v="0"/>
    <s v="Medical Oxygen - equipmentSurge suppressorSurge protector device, with multiple protected output sockets, hospital grade"/>
    <x v="0"/>
    <x v="7"/>
    <s v="6.7 Medical Oxygen - Equipment"/>
    <x v="0"/>
    <s v="Each"/>
    <m/>
  </r>
  <r>
    <s v="C19RM 2021"/>
    <x v="0"/>
    <x v="1"/>
    <s v="COVID Medical Oxygen Equipment"/>
    <x v="7"/>
    <n v="131"/>
    <x v="43"/>
    <x v="98"/>
    <x v="0"/>
    <s v="Medical Oxygen - equipmentVoltage stabilizerElectronic, microprocessor controlled voltage stabilizer, with voltage monitor"/>
    <x v="0"/>
    <x v="7"/>
    <s v="6.7 Medical Oxygen - Equipment"/>
    <x v="0"/>
    <s v="Each"/>
    <m/>
  </r>
  <r>
    <s v="C19RM 2021"/>
    <x v="0"/>
    <x v="1"/>
    <s v="COVID Medical Oxygen Liquid &amp; Gas"/>
    <x v="8"/>
    <n v="72"/>
    <x v="44"/>
    <x v="99"/>
    <x v="0"/>
    <s v="Medical Oxygen Liquid &amp; GasMedical gas cylinder, portableCompressed oxygen or compressed medical air, with valves and regulators."/>
    <x v="0"/>
    <x v="6"/>
    <s v="5.12 Medical Oxygen"/>
    <x v="0"/>
    <s v="Pack"/>
    <m/>
  </r>
  <r>
    <s v="C19RM 2021"/>
    <x v="0"/>
    <x v="1"/>
    <s v="COVID Medical Oxygen Liquid &amp; Gas"/>
    <x v="8"/>
    <n v="73"/>
    <x v="45"/>
    <x v="100"/>
    <x v="0"/>
    <s v="Medical Oxygen Liquid &amp; GasOxygen plantPressure Swing Adsorption (PSA) Oxygen Generator Plants"/>
    <x v="0"/>
    <x v="6"/>
    <s v="5.12 Medical Oxygen"/>
    <x v="0"/>
    <s v="Pack"/>
    <m/>
  </r>
  <r>
    <s v="C19RM 2021"/>
    <x v="0"/>
    <x v="1"/>
    <s v="COVID Medical Oxygen Liquid &amp; Gas"/>
    <x v="8"/>
    <n v="74"/>
    <x v="45"/>
    <x v="6"/>
    <x v="0"/>
    <s v="Medical Oxygen Liquid &amp; GasOxygen plantSpare parts and accessories"/>
    <x v="0"/>
    <x v="6"/>
    <s v="5.12 Medical Oxygen"/>
    <x v="0"/>
    <s v="Pack"/>
    <m/>
  </r>
  <r>
    <s v="C19RM 2021"/>
    <x v="0"/>
    <x v="1"/>
    <s v="COVID Medical Oxygen Liquid &amp; Gas"/>
    <x v="8"/>
    <n v="75"/>
    <x v="45"/>
    <x v="7"/>
    <x v="0"/>
    <s v="Medical Oxygen Liquid &amp; GasOxygen plantWarranty, maintenance and service"/>
    <x v="0"/>
    <x v="3"/>
    <s v="6.5 Maintenance and service costs"/>
    <x v="0"/>
    <s v="Pack"/>
    <m/>
  </r>
  <r>
    <s v="C19RM 2021"/>
    <x v="0"/>
    <x v="1"/>
    <s v="COVID Supportive Hospital Equipment"/>
    <x v="9"/>
    <n v="132"/>
    <x v="46"/>
    <x v="101"/>
    <x v="0"/>
    <s v="Other Health EquipmentBlood Gas AnalyserPortable, with cartridges and control solutions"/>
    <x v="0"/>
    <x v="1"/>
    <s v="6.6 Other health equipment"/>
    <x v="0"/>
    <s v="Each"/>
    <m/>
  </r>
  <r>
    <s v="C19RM 2021"/>
    <x v="0"/>
    <x v="1"/>
    <s v="COVID Supportive Hospital Equipment"/>
    <x v="9"/>
    <n v="133"/>
    <x v="47"/>
    <x v="2"/>
    <x v="0"/>
    <s v="Other Health EquipmentElectrocardiogram (ECG) digital monitor and recorderEquipment"/>
    <x v="0"/>
    <x v="1"/>
    <s v="6.6 Other health equipment"/>
    <x v="0"/>
    <s v="Each"/>
    <m/>
  </r>
  <r>
    <s v="C19RM 2021"/>
    <x v="0"/>
    <x v="1"/>
    <s v="COVID Supportive Hospital Equipment"/>
    <x v="9"/>
    <n v="134"/>
    <x v="47"/>
    <x v="6"/>
    <x v="0"/>
    <s v="Other Health EquipmentElectrocardiogram (ECG) digital monitor and recorderSpare parts and accessories"/>
    <x v="0"/>
    <x v="1"/>
    <s v="6.6 Other health equipment"/>
    <x v="0"/>
    <s v="Each"/>
    <m/>
  </r>
  <r>
    <s v="C19RM 2021"/>
    <x v="0"/>
    <x v="1"/>
    <s v="COVID Supportive Hospital Equipment"/>
    <x v="9"/>
    <n v="135"/>
    <x v="47"/>
    <x v="7"/>
    <x v="0"/>
    <s v="Other Health EquipmentElectrocardiogram (ECG) digital monitor and recorderWarranty, maintenance and service"/>
    <x v="0"/>
    <x v="3"/>
    <s v="6.5 Maintenance and service costs"/>
    <x v="0"/>
    <s v="Each"/>
    <m/>
  </r>
  <r>
    <s v="C19RM 2021"/>
    <x v="0"/>
    <x v="1"/>
    <s v="COVID Supportive Hospital Equipment"/>
    <x v="9"/>
    <n v="136"/>
    <x v="48"/>
    <x v="102"/>
    <x v="0"/>
    <s v="Other Health EquipmentElectronic drop counterElectronic drop counter, IV fluids"/>
    <x v="0"/>
    <x v="1"/>
    <s v="6.6 Other health equipment"/>
    <x v="0"/>
    <s v="Each"/>
    <m/>
  </r>
  <r>
    <s v="C19RM 2021"/>
    <x v="0"/>
    <x v="1"/>
    <s v="COVID Supportive Hospital Equipment"/>
    <x v="9"/>
    <n v="137"/>
    <x v="49"/>
    <x v="103"/>
    <x v="0"/>
    <s v="Other Health EquipmentInfusion pumpInfusion pump, with accessories"/>
    <x v="0"/>
    <x v="1"/>
    <s v="6.6 Other health equipment"/>
    <x v="0"/>
    <s v="Each"/>
    <m/>
  </r>
  <r>
    <s v="C19RM 2021"/>
    <x v="0"/>
    <x v="1"/>
    <s v="COVID Supportive Hospital Equipment"/>
    <x v="9"/>
    <n v="138"/>
    <x v="50"/>
    <x v="104"/>
    <x v="0"/>
    <s v="Other Health EquipmentPatient monitorPatient monitor, multiparametric with EKG/ECG"/>
    <x v="0"/>
    <x v="1"/>
    <s v="6.6 Other health equipment"/>
    <x v="0"/>
    <s v="Each"/>
    <m/>
  </r>
  <r>
    <s v="C19RM 2021"/>
    <x v="0"/>
    <x v="1"/>
    <s v="COVID Supportive Hospital Equipment"/>
    <x v="9"/>
    <n v="139"/>
    <x v="50"/>
    <x v="105"/>
    <x v="0"/>
    <s v="Other Health EquipmentPatient monitorPatient monitor, multiparametric without EKG/ECG"/>
    <x v="0"/>
    <x v="1"/>
    <s v="6.6 Other health equipment"/>
    <x v="0"/>
    <s v="Each"/>
    <m/>
  </r>
  <r>
    <s v="C19RM 2021"/>
    <x v="0"/>
    <x v="1"/>
    <s v="COVID Supportive Hospital Equipment"/>
    <x v="9"/>
    <n v="140"/>
    <x v="51"/>
    <x v="106"/>
    <x v="0"/>
    <s v="Other Health EquipmentThermometerNon-contact infrared thermometer"/>
    <x v="0"/>
    <x v="1"/>
    <s v="6.6 Other health equipment"/>
    <x v="0"/>
    <s v="Each"/>
    <m/>
  </r>
  <r>
    <s v="C19RM 2021"/>
    <x v="0"/>
    <x v="1"/>
    <s v="COVID Supportive Hospital Equipment"/>
    <x v="9"/>
    <n v="141"/>
    <x v="51"/>
    <x v="107"/>
    <x v="0"/>
    <s v="Other Health EquipmentThermometerThermometer, clinical, non-cntct, incl bat"/>
    <x v="0"/>
    <x v="1"/>
    <s v="6.6 Other health equipment"/>
    <x v="0"/>
    <s v="Each"/>
    <m/>
  </r>
  <r>
    <s v="C19RM 2021"/>
    <x v="0"/>
    <x v="1"/>
    <s v="COVID Supportive Hospital Equipment"/>
    <x v="9"/>
    <n v="142"/>
    <x v="52"/>
    <x v="108"/>
    <x v="0"/>
    <s v="Other Health EquipmentUltrasoundPortable, w/linear and phased array cardiac transducer (5.0-7.5 MHz), w/trolley"/>
    <x v="0"/>
    <x v="1"/>
    <s v="6.6 Other health equipment"/>
    <x v="0"/>
    <s v="Each"/>
    <m/>
  </r>
  <r>
    <s v="C19RM 2021"/>
    <x v="0"/>
    <x v="1"/>
    <s v="COVID Supportive Hospital Equipment"/>
    <x v="9"/>
    <n v="143"/>
    <x v="53"/>
    <x v="2"/>
    <x v="0"/>
    <s v="Other Health EquipmentUPS unitsEquipment"/>
    <x v="0"/>
    <x v="1"/>
    <s v="6.6 Other health equipment"/>
    <x v="0"/>
    <s v="Each"/>
    <m/>
  </r>
  <r>
    <s v="C19RM 2021"/>
    <x v="0"/>
    <x v="1"/>
    <s v="COVID Supportive Hospital Equipment"/>
    <x v="9"/>
    <n v="144"/>
    <x v="53"/>
    <x v="6"/>
    <x v="0"/>
    <s v="Other Health EquipmentUPS unitsSpare parts and accessories"/>
    <x v="0"/>
    <x v="1"/>
    <s v="6.6 Other health equipment"/>
    <x v="0"/>
    <s v="Each"/>
    <m/>
  </r>
  <r>
    <s v="C19RM 2021"/>
    <x v="0"/>
    <x v="1"/>
    <s v="COVID Supportive Hospital Equipment"/>
    <x v="9"/>
    <n v="145"/>
    <x v="53"/>
    <x v="7"/>
    <x v="0"/>
    <s v="Other Health EquipmentUPS unitsWarranty, maintenance and service"/>
    <x v="0"/>
    <x v="3"/>
    <s v="6.5 Maintenance and service costs"/>
    <x v="0"/>
    <s v="Each"/>
    <m/>
  </r>
  <r>
    <s v="C19RM 2021"/>
    <x v="0"/>
    <x v="1"/>
    <s v="COVID Supportive Hospital Equipment"/>
    <x v="9"/>
    <n v="146"/>
    <x v="54"/>
    <x v="109"/>
    <x v="0"/>
    <s v="Other Health EquipmentX-ray: EquipmentDarkroom Automatic X-ray Film processor"/>
    <x v="0"/>
    <x v="1"/>
    <s v="6.6 Other health equipment"/>
    <x v="0"/>
    <s v="Each"/>
    <m/>
  </r>
  <r>
    <s v="C19RM 2021"/>
    <x v="0"/>
    <x v="1"/>
    <s v="COVID Supportive Hospital Equipment"/>
    <x v="9"/>
    <n v="147"/>
    <x v="54"/>
    <x v="110"/>
    <x v="0"/>
    <s v="Other Health EquipmentX-ray: EquipmentDaylight Automatic X-ray Film Processor"/>
    <x v="0"/>
    <x v="1"/>
    <s v="6.6 Other health equipment"/>
    <x v="0"/>
    <s v="Each"/>
    <m/>
  </r>
  <r>
    <s v="C19RM 2021"/>
    <x v="0"/>
    <x v="1"/>
    <s v="COVID Supportive Hospital Equipment"/>
    <x v="9"/>
    <n v="148"/>
    <x v="54"/>
    <x v="111"/>
    <x v="0"/>
    <s v="Other Health EquipmentX-ray: EquipmentMobile basic diagnostic x-ray system, analogue"/>
    <x v="0"/>
    <x v="1"/>
    <s v="6.6 Other health equipment"/>
    <x v="0"/>
    <s v="Each"/>
    <m/>
  </r>
  <r>
    <s v="C19RM 2021"/>
    <x v="0"/>
    <x v="1"/>
    <s v="COVID Supportive Hospital Equipment"/>
    <x v="9"/>
    <n v="149"/>
    <x v="54"/>
    <x v="112"/>
    <x v="0"/>
    <s v="Other Health EquipmentX-ray: EquipmentMobile basic diagnostic x-ray system, digital"/>
    <x v="0"/>
    <x v="1"/>
    <s v="6.6 Other health equipment"/>
    <x v="0"/>
    <s v="Each"/>
    <m/>
  </r>
  <r>
    <s v="C19RM 2021"/>
    <x v="0"/>
    <x v="1"/>
    <s v="COVID Supportive Hospital Equipment"/>
    <x v="9"/>
    <n v="150"/>
    <x v="54"/>
    <x v="113"/>
    <x v="0"/>
    <s v="Other Health EquipmentX-ray: EquipmentMobile flouroscopic x-ray system, analogue"/>
    <x v="0"/>
    <x v="1"/>
    <s v="6.6 Other health equipment"/>
    <x v="0"/>
    <s v="Each"/>
    <m/>
  </r>
  <r>
    <s v="C19RM 2021"/>
    <x v="0"/>
    <x v="1"/>
    <s v="COVID Supportive Hospital Equipment"/>
    <x v="9"/>
    <n v="151"/>
    <x v="54"/>
    <x v="114"/>
    <x v="0"/>
    <s v="Other Health EquipmentX-ray: EquipmentMobile flouroscopic x-ray system, digital"/>
    <x v="0"/>
    <x v="1"/>
    <s v="6.6 Other health equipment"/>
    <x v="0"/>
    <s v="Each"/>
    <m/>
  </r>
  <r>
    <s v="C19RM 2021"/>
    <x v="0"/>
    <x v="1"/>
    <s v="COVID Supportive Hospital Equipment"/>
    <x v="9"/>
    <n v="152"/>
    <x v="54"/>
    <x v="115"/>
    <x v="0"/>
    <s v="Other Health EquipmentX-ray: EquipmentOther type"/>
    <x v="0"/>
    <x v="1"/>
    <s v="6.6 Other health equipment"/>
    <x v="0"/>
    <s v="Each"/>
    <m/>
  </r>
  <r>
    <s v="C19RM 2021"/>
    <x v="0"/>
    <x v="1"/>
    <s v="COVID Supportive Hospital Equipment"/>
    <x v="9"/>
    <n v="153"/>
    <x v="54"/>
    <x v="116"/>
    <x v="0"/>
    <s v="Other Health EquipmentX-ray: EquipmentRadiographic film view box, non-powered"/>
    <x v="0"/>
    <x v="1"/>
    <s v="6.6 Other health equipment"/>
    <x v="0"/>
    <s v="Each"/>
    <m/>
  </r>
  <r>
    <s v="C19RM 2021"/>
    <x v="0"/>
    <x v="1"/>
    <s v="COVID Supportive Hospital Equipment"/>
    <x v="9"/>
    <n v="154"/>
    <x v="54"/>
    <x v="6"/>
    <x v="0"/>
    <s v="Other Health EquipmentX-ray: EquipmentSpare parts and accessories"/>
    <x v="0"/>
    <x v="1"/>
    <s v="6.6 Other health equipment"/>
    <x v="0"/>
    <s v="Each"/>
    <m/>
  </r>
  <r>
    <s v="C19RM 2021"/>
    <x v="0"/>
    <x v="1"/>
    <s v="COVID Supportive Hospital Equipment"/>
    <x v="9"/>
    <n v="155"/>
    <x v="54"/>
    <x v="7"/>
    <x v="0"/>
    <s v="Other Health EquipmentX-ray: EquipmentWarranty, maintenance and service"/>
    <x v="0"/>
    <x v="3"/>
    <s v="6.5 Maintenance and service costs"/>
    <x v="0"/>
    <s v="Each"/>
    <m/>
  </r>
  <r>
    <s v="C19RM 2021"/>
    <x v="0"/>
    <x v="2"/>
    <s v="COVID Disinfectants"/>
    <x v="10"/>
    <n v="156"/>
    <x v="55"/>
    <x v="117"/>
    <x v="0"/>
    <s v="DisinfectantsAlcohol-based hand rubSolution: 80% v/v ethanol; 75% v/v isopropyl alcohol"/>
    <x v="0"/>
    <x v="2"/>
    <s v="5.8 Other consumables"/>
    <x v="0"/>
    <s v="Pack"/>
    <m/>
  </r>
  <r>
    <s v="C19RM 2021"/>
    <x v="0"/>
    <x v="2"/>
    <s v="COVID Disinfectants"/>
    <x v="10"/>
    <n v="157"/>
    <x v="56"/>
    <x v="118"/>
    <x v="0"/>
    <s v="DisinfectantsChlorhexidineSolution: 5% (digluconate) for dilution"/>
    <x v="0"/>
    <x v="2"/>
    <s v="5.8 Other consumables"/>
    <x v="0"/>
    <s v="Pack"/>
    <m/>
  </r>
  <r>
    <s v="C19RM 2021"/>
    <x v="0"/>
    <x v="2"/>
    <s v="COVID Disinfectants"/>
    <x v="10"/>
    <n v="158"/>
    <x v="57"/>
    <x v="119"/>
    <x v="0"/>
    <s v="DisinfectantsChlorineNaDCC, granules, 1kg, 65 to 70% + measurement spoon"/>
    <x v="0"/>
    <x v="2"/>
    <s v="5.8 Other consumables"/>
    <x v="0"/>
    <s v="Pack"/>
    <m/>
  </r>
  <r>
    <s v="C19RM 2021"/>
    <x v="0"/>
    <x v="2"/>
    <s v="COVID Disinfectants"/>
    <x v="10"/>
    <n v="159"/>
    <x v="58"/>
    <x v="120"/>
    <x v="0"/>
    <s v="DisinfectantsHand wash (liquid)Enter details in Comments"/>
    <x v="0"/>
    <x v="2"/>
    <s v="5.8 Other consumables"/>
    <x v="0"/>
    <s v="Each"/>
    <m/>
  </r>
  <r>
    <s v="C19RM 2021"/>
    <x v="0"/>
    <x v="2"/>
    <s v="COVID Disinfectants"/>
    <x v="10"/>
    <n v="160"/>
    <x v="59"/>
    <x v="120"/>
    <x v="0"/>
    <s v="DisinfectantsSoapEnter details in Comments"/>
    <x v="0"/>
    <x v="2"/>
    <s v="5.8 Other consumables"/>
    <x v="0"/>
    <s v="Each"/>
    <m/>
  </r>
  <r>
    <s v="C19RM 2021"/>
    <x v="0"/>
    <x v="2"/>
    <s v="COVID PPE"/>
    <x v="11"/>
    <n v="161"/>
    <x v="60"/>
    <x v="121"/>
    <x v="0"/>
    <s v="COVID PPE coreApronApron Reusable, 100"/>
    <x v="0"/>
    <x v="8"/>
    <s v="5.11 PPE"/>
    <x v="0"/>
    <s v="Pack"/>
    <m/>
  </r>
  <r>
    <s v="C19RM 2021"/>
    <x v="0"/>
    <x v="2"/>
    <s v="COVID PPE"/>
    <x v="11"/>
    <n v="162"/>
    <x v="61"/>
    <x v="122"/>
    <x v="0"/>
    <s v="COVID PPE coreFaceshieldFaceshield Reusable"/>
    <x v="0"/>
    <x v="8"/>
    <s v="5.11 PPE"/>
    <x v="0"/>
    <s v="Each"/>
    <m/>
  </r>
  <r>
    <s v="C19RM 2021"/>
    <x v="0"/>
    <x v="2"/>
    <s v="COVID PPE"/>
    <x v="11"/>
    <n v="163"/>
    <x v="61"/>
    <x v="123"/>
    <x v="0"/>
    <s v="COVID PPE coreFaceshieldFaceshield Single-use, disposable"/>
    <x v="0"/>
    <x v="8"/>
    <s v="5.11 PPE"/>
    <x v="0"/>
    <s v="Each"/>
    <m/>
  </r>
  <r>
    <s v="C19RM 2021"/>
    <x v="0"/>
    <x v="2"/>
    <s v="COVID PPE"/>
    <x v="11"/>
    <n v="164"/>
    <x v="62"/>
    <x v="124"/>
    <x v="0"/>
    <s v="COVID PPE coreGlovesGloves, Examination - Latex - non-sterile, single-use, disposable, powder-free 100"/>
    <x v="0"/>
    <x v="8"/>
    <s v="5.11 PPE"/>
    <x v="0"/>
    <s v="Pack"/>
    <m/>
  </r>
  <r>
    <s v="C19RM 2021"/>
    <x v="0"/>
    <x v="2"/>
    <s v="COVID PPE"/>
    <x v="11"/>
    <n v="165"/>
    <x v="62"/>
    <x v="125"/>
    <x v="0"/>
    <s v="COVID PPE coreGlovesGloves, Examination - Nitrile - non-sterile, single-use, disposable, powder-free100"/>
    <x v="0"/>
    <x v="8"/>
    <s v="5.11 PPE"/>
    <x v="0"/>
    <s v="Pack"/>
    <m/>
  </r>
  <r>
    <s v="C19RM 2021"/>
    <x v="0"/>
    <x v="2"/>
    <s v="COVID PPE"/>
    <x v="11"/>
    <n v="166"/>
    <x v="62"/>
    <x v="126"/>
    <x v="0"/>
    <s v="COVID PPE coreGlovesGloves, Surgical - sterile, single-use, disposable, powder-free pair"/>
    <x v="0"/>
    <x v="8"/>
    <s v="5.11 PPE"/>
    <x v="0"/>
    <s v="Each"/>
    <m/>
  </r>
  <r>
    <s v="C19RM 2021"/>
    <x v="0"/>
    <x v="2"/>
    <s v="COVID PPE"/>
    <x v="11"/>
    <n v="167"/>
    <x v="63"/>
    <x v="127"/>
    <x v="0"/>
    <s v="COVID PPE coreGogglesGoggles, protective, indirect side-ventilation"/>
    <x v="0"/>
    <x v="8"/>
    <s v="5.11 PPE"/>
    <x v="0"/>
    <s v="Each"/>
    <m/>
  </r>
  <r>
    <s v="C19RM 2021"/>
    <x v="0"/>
    <x v="2"/>
    <s v="COVID PPE"/>
    <x v="11"/>
    <n v="168"/>
    <x v="64"/>
    <x v="128"/>
    <x v="0"/>
    <s v="COVID PPE coreGownsGown, Isolation, non-woven, disposable, pack 10"/>
    <x v="0"/>
    <x v="8"/>
    <s v="5.11 PPE"/>
    <x v="0"/>
    <s v="Pack"/>
    <m/>
  </r>
  <r>
    <s v="C19RM 2021"/>
    <x v="0"/>
    <x v="2"/>
    <s v="COVID PPE"/>
    <x v="11"/>
    <n v="169"/>
    <x v="64"/>
    <x v="129"/>
    <x v="0"/>
    <s v="COVID PPE coreGownsGown, Surgical sterile, single-use, disposable, standard perfusion"/>
    <x v="0"/>
    <x v="8"/>
    <s v="5.11 PPE"/>
    <x v="0"/>
    <s v="Each"/>
    <m/>
  </r>
  <r>
    <s v="C19RM 2021"/>
    <x v="0"/>
    <x v="2"/>
    <s v="COVID PPE"/>
    <x v="11"/>
    <n v="170"/>
    <x v="65"/>
    <x v="130"/>
    <x v="0"/>
    <s v="COVID PPE coreMasksMask, Medical, Type I, single-use, disposable 50"/>
    <x v="0"/>
    <x v="8"/>
    <s v="5.11 PPE"/>
    <x v="0"/>
    <s v="Pack"/>
    <m/>
  </r>
  <r>
    <s v="C19RM 2021"/>
    <x v="0"/>
    <x v="2"/>
    <s v="COVID PPE"/>
    <x v="11"/>
    <n v="171"/>
    <x v="65"/>
    <x v="131"/>
    <x v="0"/>
    <s v="COVID PPE coreMasksMask, Surgical, Type II (non-fluid resistant), single-use, disposable 50"/>
    <x v="0"/>
    <x v="8"/>
    <s v="5.11 PPE"/>
    <x v="0"/>
    <s v="Pack"/>
    <m/>
  </r>
  <r>
    <s v="C19RM 2021"/>
    <x v="0"/>
    <x v="2"/>
    <s v="COVID PPE"/>
    <x v="11"/>
    <n v="172"/>
    <x v="65"/>
    <x v="132"/>
    <x v="0"/>
    <s v="COVID PPE coreMasksMask, Surgical, Type IIR (fluid resistant), single-use, disposable 50"/>
    <x v="0"/>
    <x v="8"/>
    <s v="5.11 PPE"/>
    <x v="0"/>
    <s v="Pack"/>
    <m/>
  </r>
  <r>
    <s v="C19RM 2021"/>
    <x v="0"/>
    <x v="2"/>
    <s v="COVID PPE"/>
    <x v="11"/>
    <n v="173"/>
    <x v="66"/>
    <x v="133"/>
    <x v="0"/>
    <s v="COVID PPE coreRespiratorAirflow (fit-test) test set"/>
    <x v="0"/>
    <x v="8"/>
    <s v="5.11 PPE"/>
    <x v="0"/>
    <s v="Pack"/>
    <m/>
  </r>
  <r>
    <s v="C19RM 2021"/>
    <x v="0"/>
    <x v="2"/>
    <s v="COVID PPE"/>
    <x v="11"/>
    <n v="174"/>
    <x v="66"/>
    <x v="134"/>
    <x v="0"/>
    <s v="COVID PPE coreRespiratorRefill for airflow test set"/>
    <x v="0"/>
    <x v="8"/>
    <s v="5.11 PPE"/>
    <x v="0"/>
    <s v="Pack"/>
    <m/>
  </r>
  <r>
    <s v="C19RM 2021"/>
    <x v="0"/>
    <x v="2"/>
    <s v="COVID PPE"/>
    <x v="11"/>
    <n v="175"/>
    <x v="66"/>
    <x v="135"/>
    <x v="0"/>
    <s v="COVID PPE coreRespiratorRespirator, High-filt, FPP2/N95, non-sterile each"/>
    <x v="0"/>
    <x v="8"/>
    <s v="5.11 PPE"/>
    <x v="0"/>
    <s v="Each"/>
    <m/>
  </r>
  <r>
    <s v="C19RM 2021"/>
    <x v="0"/>
    <x v="2"/>
    <s v="COVID PPE"/>
    <x v="11"/>
    <n v="176"/>
    <x v="66"/>
    <x v="136"/>
    <x v="0"/>
    <s v="COVID PPE coreRespiratorRespirator, High-filt, FPP3, non-sterile each"/>
    <x v="0"/>
    <x v="8"/>
    <s v="5.11 PPE"/>
    <x v="0"/>
    <s v="Each"/>
    <m/>
  </r>
  <r>
    <s v="C19RM 2021"/>
    <x v="0"/>
    <x v="2"/>
    <s v="COVID PPE"/>
    <x v="11"/>
    <n v="177"/>
    <x v="66"/>
    <x v="137"/>
    <x v="0"/>
    <s v="COVID PPE coreRespiratorSurgical Respirator, High-filt, FPP2/N95, sterile each"/>
    <x v="0"/>
    <x v="8"/>
    <s v="5.11 PPE"/>
    <x v="0"/>
    <s v="Each"/>
    <m/>
  </r>
  <r>
    <s v="C19RM 2021"/>
    <x v="0"/>
    <x v="2"/>
    <s v="COVID PPE"/>
    <x v="11"/>
    <n v="178"/>
    <x v="67"/>
    <x v="138"/>
    <x v="0"/>
    <s v="COVID PPE coreScrubsPants"/>
    <x v="0"/>
    <x v="8"/>
    <s v="5.11 PPE"/>
    <x v="0"/>
    <s v="Each"/>
    <m/>
  </r>
  <r>
    <s v="C19RM 2021"/>
    <x v="0"/>
    <x v="2"/>
    <s v="COVID PPE"/>
    <x v="11"/>
    <n v="179"/>
    <x v="67"/>
    <x v="139"/>
    <x v="0"/>
    <s v="COVID PPE coreScrubsTops"/>
    <x v="0"/>
    <x v="8"/>
    <s v="5.11 PPE"/>
    <x v="0"/>
    <s v="Each"/>
    <m/>
  </r>
  <r>
    <s v="C19RM 2021"/>
    <x v="0"/>
    <x v="2"/>
    <s v="COVID PPE"/>
    <x v="12"/>
    <n v="180"/>
    <x v="60"/>
    <x v="140"/>
    <x v="0"/>
    <s v="COVID PPE: otherApronApron Single-use, disposable 100"/>
    <x v="0"/>
    <x v="8"/>
    <s v="5.11 PPE"/>
    <x v="0"/>
    <s v="Pack"/>
    <m/>
  </r>
  <r>
    <s v="C19RM 2021"/>
    <x v="0"/>
    <x v="2"/>
    <s v="COVID PPE"/>
    <x v="12"/>
    <n v="181"/>
    <x v="68"/>
    <x v="141"/>
    <x v="0"/>
    <s v="COVID PPE: otherBootcoverBootcover, anti-skid, elasticated, pair"/>
    <x v="0"/>
    <x v="8"/>
    <s v="5.11 PPE"/>
    <x v="0"/>
    <s v="Each"/>
    <m/>
  </r>
  <r>
    <s v="C19RM 2021"/>
    <x v="0"/>
    <x v="2"/>
    <s v="COVID PPE"/>
    <x v="12"/>
    <n v="182"/>
    <x v="69"/>
    <x v="142"/>
    <x v="0"/>
    <s v="COVID PPE: otherBootsBoots, rubber/PVC, reusable, pair"/>
    <x v="0"/>
    <x v="8"/>
    <s v="5.11 PPE"/>
    <x v="0"/>
    <s v="Each"/>
    <m/>
  </r>
  <r>
    <s v="C19RM 2021"/>
    <x v="0"/>
    <x v="2"/>
    <s v="COVID PPE"/>
    <x v="12"/>
    <n v="183"/>
    <x v="70"/>
    <x v="143"/>
    <x v="0"/>
    <s v="COVID PPE: otherCoverallCoverall, Protection, CatIII, Type 6b"/>
    <x v="0"/>
    <x v="8"/>
    <s v="5.11 PPE"/>
    <x v="0"/>
    <s v="Each"/>
    <m/>
  </r>
  <r>
    <s v="C19RM 2021"/>
    <x v="0"/>
    <x v="2"/>
    <s v="COVID PPE"/>
    <x v="12"/>
    <n v="184"/>
    <x v="71"/>
    <x v="144"/>
    <x v="0"/>
    <s v="COVID PPE: otherHeavy-duty apronApron, protection, plastic, reusable"/>
    <x v="0"/>
    <x v="8"/>
    <s v="5.11 PPE"/>
    <x v="0"/>
    <s v="Each"/>
    <m/>
  </r>
  <r>
    <s v="C19RM 2021"/>
    <x v="0"/>
    <x v="2"/>
    <s v="COVID PPE"/>
    <x v="12"/>
    <n v="185"/>
    <x v="72"/>
    <x v="145"/>
    <x v="0"/>
    <s v="COVID PPE: otherHeavy-duty glovesGloves, Heavy-duty, rubber/nitrile, pair"/>
    <x v="0"/>
    <x v="8"/>
    <s v="5.11 PPE"/>
    <x v="0"/>
    <s v="Each"/>
    <m/>
  </r>
  <r>
    <s v="C19RM 2021"/>
    <x v="0"/>
    <x v="2"/>
    <s v="COVID PPE"/>
    <x v="12"/>
    <n v="186"/>
    <x v="73"/>
    <x v="69"/>
    <x v="0"/>
    <s v="COVID PPE: otherOther COVID consumablesOther - Enter details in Comments"/>
    <x v="0"/>
    <x v="8"/>
    <s v="5.11 PPE"/>
    <x v="0"/>
    <s v="Pack"/>
    <m/>
  </r>
  <r>
    <s v="C19RM 2021"/>
    <x v="0"/>
    <x v="2"/>
    <s v="COVID PPE"/>
    <x v="12"/>
    <n v="187"/>
    <x v="74"/>
    <x v="146"/>
    <x v="0"/>
    <s v="COVID PPE: otherSurgical capCap, surgical, bouffant, non-woven, box 100"/>
    <x v="0"/>
    <x v="8"/>
    <s v="5.11 PPE"/>
    <x v="0"/>
    <s v="Pack"/>
    <m/>
  </r>
  <r>
    <s v="C19RM 2021"/>
    <x v="0"/>
    <x v="3"/>
    <s v="COVID General Laboratory Equipment"/>
    <x v="13"/>
    <n v="188"/>
    <x v="75"/>
    <x v="2"/>
    <x v="0"/>
    <s v="Laboratory EquipmentAutoclave for laboratoryEquipment"/>
    <x v="0"/>
    <x v="1"/>
    <s v="6.6 Other health equipment"/>
    <x v="0"/>
    <s v="Each"/>
    <m/>
  </r>
  <r>
    <s v="C19RM 2021"/>
    <x v="0"/>
    <x v="3"/>
    <s v="COVID General Laboratory Equipment"/>
    <x v="13"/>
    <n v="189"/>
    <x v="75"/>
    <x v="6"/>
    <x v="0"/>
    <s v="Laboratory EquipmentAutoclave for laboratorySpare parts and accessories"/>
    <x v="0"/>
    <x v="1"/>
    <s v="6.6 Other health equipment"/>
    <x v="0"/>
    <s v="Each"/>
    <m/>
  </r>
  <r>
    <s v="C19RM 2021"/>
    <x v="0"/>
    <x v="3"/>
    <s v="COVID General Laboratory Equipment"/>
    <x v="13"/>
    <n v="190"/>
    <x v="75"/>
    <x v="7"/>
    <x v="0"/>
    <s v="Laboratory EquipmentAutoclave for laboratoryWarranty, maintenance and service"/>
    <x v="0"/>
    <x v="3"/>
    <s v="6.5 Maintenance and service costs"/>
    <x v="0"/>
    <s v="Each"/>
    <m/>
  </r>
  <r>
    <s v="C19RM 2021"/>
    <x v="0"/>
    <x v="3"/>
    <s v="COVID General Laboratory Equipment"/>
    <x v="13"/>
    <n v="227"/>
    <x v="76"/>
    <x v="147"/>
    <x v="0"/>
    <s v="Laboratory EquipmentBi-directional testingGeneXpert MTB/RIF Cartridge 10"/>
    <x v="0"/>
    <x v="0"/>
    <s v="5.4 Rapid Diagnostic Tests"/>
    <x v="0"/>
    <s v="Pack"/>
    <m/>
  </r>
  <r>
    <s v="C19RM 2021"/>
    <x v="0"/>
    <x v="3"/>
    <s v="COVID General Laboratory Equipment"/>
    <x v="13"/>
    <n v="228"/>
    <x v="76"/>
    <x v="148"/>
    <x v="0"/>
    <s v="Laboratory EquipmentBi-directional testingGeneXpert MTB/RIF Cartridge 50"/>
    <x v="0"/>
    <x v="0"/>
    <s v="5.4 Rapid Diagnostic Tests"/>
    <x v="0"/>
    <s v="Pack"/>
    <m/>
  </r>
  <r>
    <s v="C19RM 2021"/>
    <x v="0"/>
    <x v="3"/>
    <s v="COVID General Laboratory Equipment"/>
    <x v="13"/>
    <n v="229"/>
    <x v="76"/>
    <x v="149"/>
    <x v="0"/>
    <s v="Laboratory EquipmentBi-directional testingGeneXpert MTB/RIF ULTRA Cartridge 10"/>
    <x v="0"/>
    <x v="0"/>
    <s v="5.4 Rapid Diagnostic Tests"/>
    <x v="0"/>
    <s v="Pack"/>
    <m/>
  </r>
  <r>
    <s v="C19RM 2021"/>
    <x v="0"/>
    <x v="3"/>
    <s v="COVID General Laboratory Equipment"/>
    <x v="13"/>
    <n v="230"/>
    <x v="76"/>
    <x v="150"/>
    <x v="0"/>
    <s v="Laboratory EquipmentBi-directional testingGeneXpert MTB/RIF ULTRA Cartridge 50"/>
    <x v="0"/>
    <x v="0"/>
    <s v="5.4 Rapid Diagnostic Tests"/>
    <x v="0"/>
    <s v="Pack"/>
    <m/>
  </r>
  <r>
    <s v="C19RM 2021"/>
    <x v="0"/>
    <x v="3"/>
    <s v="COVID General Laboratory Equipment"/>
    <x v="13"/>
    <n v="231"/>
    <x v="76"/>
    <x v="151"/>
    <x v="0"/>
    <s v="Laboratory EquipmentBi-directional testingGeneXpert MTB/XDR Cartridge 10"/>
    <x v="0"/>
    <x v="0"/>
    <s v="5.4 Rapid Diagnostic Tests"/>
    <x v="0"/>
    <s v="Pack"/>
    <m/>
  </r>
  <r>
    <s v="C19RM 2021"/>
    <x v="0"/>
    <x v="3"/>
    <s v="COVID General Laboratory Equipment"/>
    <x v="13"/>
    <n v="232"/>
    <x v="76"/>
    <x v="152"/>
    <x v="0"/>
    <s v="Laboratory EquipmentBi-directional testingTruenat MTB 20 tests"/>
    <x v="0"/>
    <x v="0"/>
    <s v="5.4 Rapid Diagnostic Tests"/>
    <x v="0"/>
    <s v="Pack"/>
    <m/>
  </r>
  <r>
    <s v="C19RM 2021"/>
    <x v="0"/>
    <x v="3"/>
    <s v="COVID General Laboratory Equipment"/>
    <x v="13"/>
    <n v="233"/>
    <x v="76"/>
    <x v="153"/>
    <x v="0"/>
    <s v="Laboratory EquipmentBi-directional testingTruenat MTB Plus 20 tests"/>
    <x v="0"/>
    <x v="0"/>
    <s v="5.4 Rapid Diagnostic Tests"/>
    <x v="0"/>
    <s v="Pack"/>
    <m/>
  </r>
  <r>
    <s v="C19RM 2021"/>
    <x v="0"/>
    <x v="3"/>
    <s v="COVID General Laboratory Equipment"/>
    <x v="13"/>
    <n v="234"/>
    <x v="76"/>
    <x v="154"/>
    <x v="0"/>
    <s v="Laboratory EquipmentBi-directional testingTruenat MTB-RIF Dx 20 tests"/>
    <x v="0"/>
    <x v="0"/>
    <s v="5.4 Rapid Diagnostic Tests"/>
    <x v="0"/>
    <s v="Pack"/>
    <m/>
  </r>
  <r>
    <s v="C19RM 2021"/>
    <x v="0"/>
    <x v="3"/>
    <s v="COVID General Laboratory Equipment"/>
    <x v="13"/>
    <n v="191"/>
    <x v="77"/>
    <x v="2"/>
    <x v="0"/>
    <s v="Laboratory EquipmentBiological Safety Cabinet BSL IIEquipment"/>
    <x v="0"/>
    <x v="1"/>
    <s v="6.6 Other health equipment"/>
    <x v="0"/>
    <s v="Each"/>
    <m/>
  </r>
  <r>
    <s v="C19RM 2021"/>
    <x v="0"/>
    <x v="3"/>
    <s v="COVID General Laboratory Equipment"/>
    <x v="13"/>
    <n v="192"/>
    <x v="77"/>
    <x v="6"/>
    <x v="0"/>
    <s v="Laboratory EquipmentBiological Safety Cabinet BSL IISpare parts and accessories"/>
    <x v="0"/>
    <x v="1"/>
    <s v="6.6 Other health equipment"/>
    <x v="0"/>
    <s v="Each"/>
    <m/>
  </r>
  <r>
    <s v="C19RM 2021"/>
    <x v="0"/>
    <x v="3"/>
    <s v="COVID General Laboratory Equipment"/>
    <x v="13"/>
    <n v="193"/>
    <x v="77"/>
    <x v="7"/>
    <x v="0"/>
    <s v="Laboratory EquipmentBiological Safety Cabinet BSL IIWarranty, maintenance and service"/>
    <x v="0"/>
    <x v="3"/>
    <s v="6.5 Maintenance and service costs"/>
    <x v="0"/>
    <s v="Each"/>
    <m/>
  </r>
  <r>
    <s v="C19RM 2021"/>
    <x v="0"/>
    <x v="3"/>
    <s v="COVID General Laboratory Equipment"/>
    <x v="13"/>
    <n v="194"/>
    <x v="78"/>
    <x v="2"/>
    <x v="0"/>
    <s v="Laboratory EquipmentCentrifugesEquipment"/>
    <x v="0"/>
    <x v="1"/>
    <s v="6.6 Other health equipment"/>
    <x v="0"/>
    <s v="Each"/>
    <m/>
  </r>
  <r>
    <s v="C19RM 2021"/>
    <x v="0"/>
    <x v="3"/>
    <s v="COVID General Laboratory Equipment"/>
    <x v="13"/>
    <n v="195"/>
    <x v="78"/>
    <x v="6"/>
    <x v="0"/>
    <s v="Laboratory EquipmentCentrifugesSpare parts and accessories"/>
    <x v="0"/>
    <x v="1"/>
    <s v="6.6 Other health equipment"/>
    <x v="0"/>
    <s v="Each"/>
    <m/>
  </r>
  <r>
    <s v="C19RM 2021"/>
    <x v="0"/>
    <x v="3"/>
    <s v="COVID General Laboratory Equipment"/>
    <x v="13"/>
    <n v="196"/>
    <x v="78"/>
    <x v="7"/>
    <x v="0"/>
    <s v="Laboratory EquipmentCentrifugesWarranty, maintenance and service"/>
    <x v="0"/>
    <x v="3"/>
    <s v="6.5 Maintenance and service costs"/>
    <x v="0"/>
    <s v="Each"/>
    <m/>
  </r>
  <r>
    <s v="C19RM 2021"/>
    <x v="0"/>
    <x v="3"/>
    <s v="COVID General Laboratory Equipment"/>
    <x v="13"/>
    <n v="197"/>
    <x v="79"/>
    <x v="2"/>
    <x v="0"/>
    <s v="Laboratory EquipmentEquipment: otherEquipment"/>
    <x v="0"/>
    <x v="1"/>
    <s v="6.6 Other health equipment"/>
    <x v="0"/>
    <s v="Each"/>
    <m/>
  </r>
  <r>
    <s v="C19RM 2021"/>
    <x v="0"/>
    <x v="3"/>
    <s v="COVID General Laboratory Equipment"/>
    <x v="13"/>
    <n v="198"/>
    <x v="79"/>
    <x v="6"/>
    <x v="0"/>
    <s v="Laboratory EquipmentEquipment: otherSpare parts and accessories"/>
    <x v="0"/>
    <x v="1"/>
    <s v="6.6 Other health equipment"/>
    <x v="0"/>
    <s v="Each"/>
    <m/>
  </r>
  <r>
    <s v="C19RM 2021"/>
    <x v="0"/>
    <x v="3"/>
    <s v="COVID General Laboratory Equipment"/>
    <x v="13"/>
    <n v="199"/>
    <x v="79"/>
    <x v="7"/>
    <x v="0"/>
    <s v="Laboratory EquipmentEquipment: otherWarranty, maintenance and service"/>
    <x v="0"/>
    <x v="3"/>
    <s v="6.5 Maintenance and service costs"/>
    <x v="0"/>
    <s v="Each"/>
    <m/>
  </r>
  <r>
    <s v="C19RM 2021"/>
    <x v="0"/>
    <x v="3"/>
    <s v="COVID General Laboratory Equipment"/>
    <x v="13"/>
    <n v="200"/>
    <x v="80"/>
    <x v="2"/>
    <x v="0"/>
    <s v="Laboratory EquipmentGlove boxEquipment"/>
    <x v="0"/>
    <x v="1"/>
    <s v="6.6 Other health equipment"/>
    <x v="0"/>
    <s v="Each"/>
    <m/>
  </r>
  <r>
    <s v="C19RM 2021"/>
    <x v="0"/>
    <x v="3"/>
    <s v="COVID General Laboratory Equipment"/>
    <x v="13"/>
    <n v="201"/>
    <x v="80"/>
    <x v="6"/>
    <x v="0"/>
    <s v="Laboratory EquipmentGlove boxSpare parts and accessories"/>
    <x v="0"/>
    <x v="1"/>
    <s v="6.6 Other health equipment"/>
    <x v="0"/>
    <s v="Each"/>
    <m/>
  </r>
  <r>
    <s v="C19RM 2021"/>
    <x v="0"/>
    <x v="3"/>
    <s v="COVID General Laboratory Equipment"/>
    <x v="13"/>
    <n v="202"/>
    <x v="80"/>
    <x v="7"/>
    <x v="0"/>
    <s v="Laboratory EquipmentGlove boxWarranty, maintenance and service"/>
    <x v="0"/>
    <x v="3"/>
    <s v="6.5 Maintenance and service costs"/>
    <x v="0"/>
    <s v="Each"/>
    <m/>
  </r>
  <r>
    <s v="C19RM 2021"/>
    <x v="0"/>
    <x v="3"/>
    <s v="COVID General Laboratory Equipment"/>
    <x v="13"/>
    <n v="203"/>
    <x v="81"/>
    <x v="2"/>
    <x v="0"/>
    <s v="Laboratory EquipmentIncubatorEquipment"/>
    <x v="0"/>
    <x v="1"/>
    <s v="6.6 Other health equipment"/>
    <x v="0"/>
    <s v="Each"/>
    <m/>
  </r>
  <r>
    <s v="C19RM 2021"/>
    <x v="0"/>
    <x v="3"/>
    <s v="COVID General Laboratory Equipment"/>
    <x v="13"/>
    <n v="204"/>
    <x v="81"/>
    <x v="6"/>
    <x v="0"/>
    <s v="Laboratory EquipmentIncubatorSpare parts and accessories"/>
    <x v="0"/>
    <x v="1"/>
    <s v="6.6 Other health equipment"/>
    <x v="0"/>
    <s v="Each"/>
    <m/>
  </r>
  <r>
    <s v="C19RM 2021"/>
    <x v="0"/>
    <x v="3"/>
    <s v="COVID General Laboratory Equipment"/>
    <x v="13"/>
    <n v="205"/>
    <x v="81"/>
    <x v="7"/>
    <x v="0"/>
    <s v="Laboratory EquipmentIncubatorWarranty, maintenance and service"/>
    <x v="0"/>
    <x v="3"/>
    <s v="6.5 Maintenance and service costs"/>
    <x v="0"/>
    <s v="Each"/>
    <m/>
  </r>
  <r>
    <s v="C19RM 2021"/>
    <x v="0"/>
    <x v="3"/>
    <s v="COVID General Laboratory Equipment"/>
    <x v="13"/>
    <n v="206"/>
    <x v="82"/>
    <x v="2"/>
    <x v="0"/>
    <s v="Laboratory EquipmentLaboratory freezerEquipment"/>
    <x v="0"/>
    <x v="1"/>
    <s v="6.6 Other health equipment"/>
    <x v="0"/>
    <s v="Each"/>
    <m/>
  </r>
  <r>
    <s v="C19RM 2021"/>
    <x v="0"/>
    <x v="3"/>
    <s v="COVID General Laboratory Equipment"/>
    <x v="13"/>
    <n v="207"/>
    <x v="82"/>
    <x v="6"/>
    <x v="0"/>
    <s v="Laboratory EquipmentLaboratory freezerSpare parts and accessories"/>
    <x v="0"/>
    <x v="1"/>
    <s v="6.6 Other health equipment"/>
    <x v="0"/>
    <s v="Each"/>
    <m/>
  </r>
  <r>
    <s v="C19RM 2021"/>
    <x v="0"/>
    <x v="3"/>
    <s v="COVID General Laboratory Equipment"/>
    <x v="13"/>
    <n v="208"/>
    <x v="82"/>
    <x v="7"/>
    <x v="0"/>
    <s v="Laboratory EquipmentLaboratory freezerWarranty, maintenance and service"/>
    <x v="0"/>
    <x v="3"/>
    <s v="6.5 Maintenance and service costs"/>
    <x v="0"/>
    <s v="Each"/>
    <m/>
  </r>
  <r>
    <s v="C19RM 2021"/>
    <x v="0"/>
    <x v="3"/>
    <s v="COVID General Laboratory Equipment"/>
    <x v="13"/>
    <n v="209"/>
    <x v="83"/>
    <x v="2"/>
    <x v="0"/>
    <s v="Laboratory EquipmentLaboratory freezer - ultra lowEquipment"/>
    <x v="0"/>
    <x v="1"/>
    <s v="6.6 Other health equipment"/>
    <x v="0"/>
    <s v="Each"/>
    <m/>
  </r>
  <r>
    <s v="C19RM 2021"/>
    <x v="0"/>
    <x v="3"/>
    <s v="COVID General Laboratory Equipment"/>
    <x v="13"/>
    <n v="210"/>
    <x v="83"/>
    <x v="6"/>
    <x v="0"/>
    <s v="Laboratory EquipmentLaboratory freezer - ultra lowSpare parts and accessories"/>
    <x v="0"/>
    <x v="1"/>
    <s v="6.6 Other health equipment"/>
    <x v="0"/>
    <s v="Each"/>
    <m/>
  </r>
  <r>
    <s v="C19RM 2021"/>
    <x v="0"/>
    <x v="3"/>
    <s v="COVID General Laboratory Equipment"/>
    <x v="13"/>
    <n v="211"/>
    <x v="83"/>
    <x v="7"/>
    <x v="0"/>
    <s v="Laboratory EquipmentLaboratory freezer - ultra lowWarranty, maintenance and service"/>
    <x v="0"/>
    <x v="3"/>
    <s v="6.5 Maintenance and service costs"/>
    <x v="0"/>
    <s v="Each"/>
    <m/>
  </r>
  <r>
    <s v="C19RM 2021"/>
    <x v="0"/>
    <x v="3"/>
    <s v="COVID General Laboratory Equipment"/>
    <x v="13"/>
    <n v="212"/>
    <x v="84"/>
    <x v="2"/>
    <x v="0"/>
    <s v="Laboratory EquipmentLaboratory refrigeratorEquipment"/>
    <x v="0"/>
    <x v="1"/>
    <s v="6.6 Other health equipment"/>
    <x v="0"/>
    <s v="Each"/>
    <m/>
  </r>
  <r>
    <s v="C19RM 2021"/>
    <x v="0"/>
    <x v="3"/>
    <s v="COVID General Laboratory Equipment"/>
    <x v="13"/>
    <n v="213"/>
    <x v="84"/>
    <x v="6"/>
    <x v="0"/>
    <s v="Laboratory EquipmentLaboratory refrigeratorSpare parts and accessories"/>
    <x v="0"/>
    <x v="1"/>
    <s v="6.6 Other health equipment"/>
    <x v="0"/>
    <s v="Each"/>
    <m/>
  </r>
  <r>
    <s v="C19RM 2021"/>
    <x v="0"/>
    <x v="3"/>
    <s v="COVID General Laboratory Equipment"/>
    <x v="13"/>
    <n v="214"/>
    <x v="84"/>
    <x v="7"/>
    <x v="0"/>
    <s v="Laboratory EquipmentLaboratory refrigeratorWarranty, maintenance and service"/>
    <x v="0"/>
    <x v="3"/>
    <s v="6.5 Maintenance and service costs"/>
    <x v="0"/>
    <s v="Each"/>
    <m/>
  </r>
  <r>
    <s v="C19RM 2021"/>
    <x v="0"/>
    <x v="3"/>
    <s v="COVID General Laboratory Equipment"/>
    <x v="13"/>
    <n v="215"/>
    <x v="85"/>
    <x v="2"/>
    <x v="0"/>
    <s v="Laboratory EquipmentMicrocentrifugeEquipment"/>
    <x v="0"/>
    <x v="1"/>
    <s v="6.6 Other health equipment"/>
    <x v="0"/>
    <s v="Each"/>
    <m/>
  </r>
  <r>
    <s v="C19RM 2021"/>
    <x v="0"/>
    <x v="3"/>
    <s v="COVID General Laboratory Equipment"/>
    <x v="13"/>
    <n v="216"/>
    <x v="85"/>
    <x v="6"/>
    <x v="0"/>
    <s v="Laboratory EquipmentMicrocentrifugeSpare parts and accessories"/>
    <x v="0"/>
    <x v="1"/>
    <s v="6.6 Other health equipment"/>
    <x v="0"/>
    <s v="Each"/>
    <m/>
  </r>
  <r>
    <s v="C19RM 2021"/>
    <x v="0"/>
    <x v="3"/>
    <s v="COVID General Laboratory Equipment"/>
    <x v="13"/>
    <n v="217"/>
    <x v="85"/>
    <x v="7"/>
    <x v="0"/>
    <s v="Laboratory EquipmentMicrocentrifugeWarranty, maintenance and service"/>
    <x v="0"/>
    <x v="3"/>
    <s v="6.5 Maintenance and service costs"/>
    <x v="0"/>
    <s v="Each"/>
    <m/>
  </r>
  <r>
    <s v="C19RM 2021"/>
    <x v="0"/>
    <x v="3"/>
    <s v="COVID General Laboratory Equipment"/>
    <x v="13"/>
    <n v="218"/>
    <x v="86"/>
    <x v="2"/>
    <x v="0"/>
    <s v="Laboratory EquipmentRefrigerated bench top centrifugeEquipment"/>
    <x v="0"/>
    <x v="1"/>
    <s v="6.6 Other health equipment"/>
    <x v="0"/>
    <s v="Each"/>
    <m/>
  </r>
  <r>
    <s v="C19RM 2021"/>
    <x v="0"/>
    <x v="3"/>
    <s v="COVID General Laboratory Equipment"/>
    <x v="13"/>
    <n v="219"/>
    <x v="86"/>
    <x v="6"/>
    <x v="0"/>
    <s v="Laboratory EquipmentRefrigerated bench top centrifugeSpare parts and accessories"/>
    <x v="0"/>
    <x v="1"/>
    <s v="6.6 Other health equipment"/>
    <x v="0"/>
    <s v="Each"/>
    <m/>
  </r>
  <r>
    <s v="C19RM 2021"/>
    <x v="0"/>
    <x v="3"/>
    <s v="COVID General Laboratory Equipment"/>
    <x v="13"/>
    <n v="220"/>
    <x v="86"/>
    <x v="7"/>
    <x v="0"/>
    <s v="Laboratory EquipmentRefrigerated bench top centrifugeWarranty, maintenance and service"/>
    <x v="0"/>
    <x v="3"/>
    <s v="6.5 Maintenance and service costs"/>
    <x v="0"/>
    <s v="Each"/>
    <m/>
  </r>
  <r>
    <s v="C19RM 2021"/>
    <x v="0"/>
    <x v="3"/>
    <s v="COVID General Laboratory Equipment"/>
    <x v="13"/>
    <n v="221"/>
    <x v="87"/>
    <x v="2"/>
    <x v="0"/>
    <s v="Laboratory EquipmentThermoblockEquipment"/>
    <x v="0"/>
    <x v="1"/>
    <s v="6.6 Other health equipment"/>
    <x v="0"/>
    <s v="Each"/>
    <m/>
  </r>
  <r>
    <s v="C19RM 2021"/>
    <x v="0"/>
    <x v="3"/>
    <s v="COVID General Laboratory Equipment"/>
    <x v="13"/>
    <n v="222"/>
    <x v="87"/>
    <x v="6"/>
    <x v="0"/>
    <s v="Laboratory EquipmentThermoblockSpare parts and accessories"/>
    <x v="0"/>
    <x v="1"/>
    <s v="6.6 Other health equipment"/>
    <x v="0"/>
    <s v="Each"/>
    <m/>
  </r>
  <r>
    <s v="C19RM 2021"/>
    <x v="0"/>
    <x v="3"/>
    <s v="COVID General Laboratory Equipment"/>
    <x v="13"/>
    <n v="223"/>
    <x v="87"/>
    <x v="7"/>
    <x v="0"/>
    <s v="Laboratory EquipmentThermoblockWarranty, maintenance and service"/>
    <x v="0"/>
    <x v="3"/>
    <s v="6.5 Maintenance and service costs"/>
    <x v="0"/>
    <s v="Each"/>
    <m/>
  </r>
  <r>
    <s v="C19RM 2021"/>
    <x v="0"/>
    <x v="3"/>
    <s v="COVID General Laboratory Equipment"/>
    <x v="13"/>
    <n v="224"/>
    <x v="88"/>
    <x v="2"/>
    <x v="0"/>
    <s v="Laboratory EquipmentVortexEquipment"/>
    <x v="0"/>
    <x v="1"/>
    <s v="6.6 Other health equipment"/>
    <x v="0"/>
    <s v="Each"/>
    <m/>
  </r>
  <r>
    <s v="C19RM 2021"/>
    <x v="0"/>
    <x v="3"/>
    <s v="COVID General Laboratory Equipment"/>
    <x v="13"/>
    <n v="225"/>
    <x v="88"/>
    <x v="6"/>
    <x v="0"/>
    <s v="Laboratory EquipmentVortexSpare parts and accessories"/>
    <x v="0"/>
    <x v="1"/>
    <s v="6.6 Other health equipment"/>
    <x v="0"/>
    <s v="Each"/>
    <m/>
  </r>
  <r>
    <s v="C19RM 2021"/>
    <x v="0"/>
    <x v="3"/>
    <s v="COVID General Laboratory Equipment"/>
    <x v="13"/>
    <n v="226"/>
    <x v="88"/>
    <x v="7"/>
    <x v="0"/>
    <s v="Laboratory EquipmentVortexWarranty, maintenance and service"/>
    <x v="0"/>
    <x v="3"/>
    <s v="6.5 Maintenance and service costs"/>
    <x v="0"/>
    <s v="Each"/>
    <m/>
  </r>
  <r>
    <s v="C19RM 2021"/>
    <x v="0"/>
    <x v="4"/>
    <s v="Cold Chain Consumables"/>
    <x v="14"/>
    <n v="235"/>
    <x v="89"/>
    <x v="155"/>
    <x v="0"/>
    <s v="Cold Chain ConsumablesCold BoxCold box, Large, Long range, vaccine storage capacity"/>
    <x v="0"/>
    <x v="2"/>
    <s v="5.8 Other consumables"/>
    <x v="0"/>
    <s v="Each"/>
    <m/>
  </r>
  <r>
    <s v="C19RM 2021"/>
    <x v="0"/>
    <x v="4"/>
    <s v="Cold Chain Consumables"/>
    <x v="14"/>
    <n v="236"/>
    <x v="90"/>
    <x v="156"/>
    <x v="0"/>
    <s v="Cold Chain ConsumablesData loggerMulti-use data logger"/>
    <x v="0"/>
    <x v="2"/>
    <s v="5.8 Other consumables"/>
    <x v="0"/>
    <s v="Each"/>
    <m/>
  </r>
  <r>
    <s v="C19RM 2021"/>
    <x v="0"/>
    <x v="4"/>
    <s v="Cold Chain Consumables"/>
    <x v="14"/>
    <n v="237"/>
    <x v="91"/>
    <x v="157"/>
    <x v="0"/>
    <s v="Cold Chain ConsumablesIcepackIcepack"/>
    <x v="0"/>
    <x v="2"/>
    <s v="5.8 Other consumables"/>
    <x v="0"/>
    <s v="Each"/>
    <m/>
  </r>
  <r>
    <s v="C19RM 2021"/>
    <x v="0"/>
    <x v="4"/>
    <s v="Cold Chain Consumables"/>
    <x v="14"/>
    <n v="238"/>
    <x v="92"/>
    <x v="158"/>
    <x v="0"/>
    <s v="Cold Chain ConsumablesRemote Temperature Monitoring SystemConfigured for real-time monitoring of vaccine storage conditions"/>
    <x v="0"/>
    <x v="2"/>
    <s v="5.8 Other consumables"/>
    <x v="0"/>
    <s v="Each"/>
    <m/>
  </r>
  <r>
    <s v="C19RM 2021"/>
    <x v="0"/>
    <x v="4"/>
    <s v="Cold Chain Consumables"/>
    <x v="14"/>
    <n v="239"/>
    <x v="93"/>
    <x v="159"/>
    <x v="0"/>
    <s v="Cold Chain ConsumablesVaccine carrierVaccine carrier,Large, Long range vaccine storage capacity"/>
    <x v="0"/>
    <x v="2"/>
    <s v="5.8 Other consumables"/>
    <x v="0"/>
    <s v="Each"/>
    <m/>
  </r>
  <r>
    <s v="C19RM 2021"/>
    <x v="0"/>
    <x v="4"/>
    <s v="Cold Chain Equipment"/>
    <x v="15"/>
    <n v="240"/>
    <x v="94"/>
    <x v="2"/>
    <x v="0"/>
    <s v="Cold Chain EquipmentVaccine Combined Refrigerator &amp; FreezerEquipment"/>
    <x v="0"/>
    <x v="1"/>
    <s v="6.6 Other health equipment"/>
    <x v="0"/>
    <s v="Each"/>
    <m/>
  </r>
  <r>
    <s v="C19RM 2021"/>
    <x v="0"/>
    <x v="4"/>
    <s v="Cold Chain Equipment"/>
    <x v="15"/>
    <n v="241"/>
    <x v="94"/>
    <x v="6"/>
    <x v="0"/>
    <s v="Cold Chain EquipmentVaccine Combined Refrigerator &amp; FreezerSpare parts and accessories"/>
    <x v="0"/>
    <x v="1"/>
    <s v="6.6 Other health equipment"/>
    <x v="0"/>
    <s v="Each"/>
    <m/>
  </r>
  <r>
    <s v="C19RM 2021"/>
    <x v="0"/>
    <x v="4"/>
    <s v="Cold Chain Equipment"/>
    <x v="15"/>
    <n v="242"/>
    <x v="94"/>
    <x v="7"/>
    <x v="0"/>
    <s v="Cold Chain EquipmentVaccine Combined Refrigerator &amp; FreezerWarranty, maintenance and service"/>
    <x v="0"/>
    <x v="3"/>
    <s v="6.5 Maintenance and service costs"/>
    <x v="0"/>
    <s v="Each"/>
    <m/>
  </r>
  <r>
    <s v="C19RM 2021"/>
    <x v="0"/>
    <x v="4"/>
    <s v="Cold Chain Equipment"/>
    <x v="15"/>
    <n v="243"/>
    <x v="95"/>
    <x v="2"/>
    <x v="0"/>
    <s v="Cold Chain EquipmentVaccine freezerEquipment"/>
    <x v="0"/>
    <x v="1"/>
    <s v="6.6 Other health equipment"/>
    <x v="0"/>
    <s v="Each"/>
    <m/>
  </r>
  <r>
    <s v="C19RM 2021"/>
    <x v="0"/>
    <x v="4"/>
    <s v="Cold Chain Equipment"/>
    <x v="15"/>
    <n v="244"/>
    <x v="95"/>
    <x v="6"/>
    <x v="0"/>
    <s v="Cold Chain EquipmentVaccine freezerSpare parts and accessories"/>
    <x v="0"/>
    <x v="1"/>
    <s v="6.6 Other health equipment"/>
    <x v="0"/>
    <s v="Each"/>
    <m/>
  </r>
  <r>
    <s v="C19RM 2021"/>
    <x v="0"/>
    <x v="4"/>
    <s v="Cold Chain Equipment"/>
    <x v="15"/>
    <n v="245"/>
    <x v="95"/>
    <x v="7"/>
    <x v="0"/>
    <s v="Cold Chain EquipmentVaccine freezerWarranty, maintenance and service"/>
    <x v="0"/>
    <x v="3"/>
    <s v="6.5 Maintenance and service costs"/>
    <x v="0"/>
    <s v="Each"/>
    <m/>
  </r>
  <r>
    <s v="C19RM 2021"/>
    <x v="0"/>
    <x v="4"/>
    <s v="Cold Chain Equipment"/>
    <x v="15"/>
    <n v="246"/>
    <x v="96"/>
    <x v="2"/>
    <x v="0"/>
    <s v="Cold Chain EquipmentVaccine refrigeratorEquipment"/>
    <x v="0"/>
    <x v="1"/>
    <s v="6.6 Other health equipment"/>
    <x v="0"/>
    <s v="Each"/>
    <m/>
  </r>
  <r>
    <s v="C19RM 2021"/>
    <x v="0"/>
    <x v="4"/>
    <s v="Cold Chain Equipment"/>
    <x v="15"/>
    <n v="247"/>
    <x v="96"/>
    <x v="6"/>
    <x v="0"/>
    <s v="Cold Chain EquipmentVaccine refrigeratorSpare parts and accessories"/>
    <x v="0"/>
    <x v="1"/>
    <s v="6.6 Other health equipment"/>
    <x v="0"/>
    <s v="Each"/>
    <m/>
  </r>
  <r>
    <s v="C19RM 2021"/>
    <x v="0"/>
    <x v="4"/>
    <s v="Cold Chain Equipment"/>
    <x v="15"/>
    <n v="248"/>
    <x v="96"/>
    <x v="7"/>
    <x v="0"/>
    <s v="Cold Chain EquipmentVaccine refrigeratorWarranty, maintenance and service"/>
    <x v="0"/>
    <x v="3"/>
    <s v="6.5 Maintenance and service costs"/>
    <x v="0"/>
    <s v="Each"/>
    <m/>
  </r>
  <r>
    <s v="C19RM 2021"/>
    <x v="0"/>
    <x v="4"/>
    <s v="Waste management"/>
    <x v="16"/>
    <n v="250"/>
    <x v="97"/>
    <x v="160"/>
    <x v="0"/>
    <s v="Waste management for C19RMWaste management supplies: ConsumablesBag, biohazard, refuse, autoclav., min. 30 liters"/>
    <x v="0"/>
    <x v="2"/>
    <s v="5.8 Other consumables"/>
    <x v="0"/>
    <s v="Pack"/>
    <m/>
  </r>
  <r>
    <s v="C19RM 2021"/>
    <x v="0"/>
    <x v="4"/>
    <s v="Waste management"/>
    <x v="16"/>
    <n v="251"/>
    <x v="97"/>
    <x v="161"/>
    <x v="0"/>
    <s v="Waste management for C19RMWaste management supplies: ConsumablesBag,biohazard, Other - Enter details in Comments"/>
    <x v="0"/>
    <x v="2"/>
    <s v="5.8 Other consumables"/>
    <x v="0"/>
    <s v="Pack"/>
    <m/>
  </r>
  <r>
    <s v="C19RM 2021"/>
    <x v="0"/>
    <x v="4"/>
    <s v="Waste management"/>
    <x v="16"/>
    <n v="252"/>
    <x v="97"/>
    <x v="162"/>
    <x v="0"/>
    <s v="Waste management for C19RMWaste management supplies: ConsumablesBag,biohazard,red,100L,box/100"/>
    <x v="0"/>
    <x v="2"/>
    <s v="5.8 Other consumables"/>
    <x v="0"/>
    <s v="Pack"/>
    <m/>
  </r>
  <r>
    <s v="C19RM 2021"/>
    <x v="0"/>
    <x v="4"/>
    <s v="Waste management"/>
    <x v="16"/>
    <n v="253"/>
    <x v="97"/>
    <x v="163"/>
    <x v="0"/>
    <s v="Waste management for C19RMWaste management supplies: ConsumablesContainer, sharps, leak-resistant, with lid"/>
    <x v="0"/>
    <x v="2"/>
    <s v="5.8 Other consumables"/>
    <x v="0"/>
    <s v="Each"/>
    <m/>
  </r>
  <r>
    <s v="C19RM 2021"/>
    <x v="0"/>
    <x v="4"/>
    <s v="Waste management"/>
    <x v="16"/>
    <n v="254"/>
    <x v="97"/>
    <x v="69"/>
    <x v="0"/>
    <s v="Waste management for C19RMWaste management supplies: ConsumablesOther - Enter details in Comments"/>
    <x v="0"/>
    <x v="2"/>
    <s v="5.8 Other consumables"/>
    <x v="0"/>
    <s v="Pack"/>
    <m/>
  </r>
  <r>
    <s v="C19RM 2021"/>
    <x v="0"/>
    <x v="4"/>
    <s v="Waste management"/>
    <x v="16"/>
    <n v="255"/>
    <x v="98"/>
    <x v="69"/>
    <x v="0"/>
    <s v="Waste management for C19RMWaste management supplies: ReagentsOther - Enter details in Comments"/>
    <x v="0"/>
    <x v="5"/>
    <s v="5.6 Other laboratory reagents, test kits and consumables"/>
    <x v="0"/>
    <s v="Pack"/>
    <m/>
  </r>
  <r>
    <s v="C19RM 2021"/>
    <x v="0"/>
    <x v="4"/>
    <s v="Waste management"/>
    <x v="16"/>
    <n v="256"/>
    <x v="99"/>
    <x v="2"/>
    <x v="0"/>
    <s v="Waste management for C19RMWaste management: AutoclaveEquipment"/>
    <x v="0"/>
    <x v="1"/>
    <s v="6.6 Other health equipment"/>
    <x v="0"/>
    <s v="Each"/>
    <m/>
  </r>
  <r>
    <s v="C19RM 2021"/>
    <x v="0"/>
    <x v="4"/>
    <s v="Waste management"/>
    <x v="16"/>
    <n v="257"/>
    <x v="99"/>
    <x v="6"/>
    <x v="0"/>
    <s v="Waste management for C19RMWaste management: AutoclaveSpare parts and accessories"/>
    <x v="0"/>
    <x v="1"/>
    <s v="6.6 Other health equipment"/>
    <x v="0"/>
    <s v="Each"/>
    <m/>
  </r>
  <r>
    <s v="C19RM 2021"/>
    <x v="0"/>
    <x v="4"/>
    <s v="Waste management"/>
    <x v="16"/>
    <n v="258"/>
    <x v="99"/>
    <x v="7"/>
    <x v="0"/>
    <s v="Waste management for C19RMWaste management: AutoclaveWarranty, maintenance and service"/>
    <x v="0"/>
    <x v="3"/>
    <s v="6.5 Maintenance and service costs"/>
    <x v="0"/>
    <s v="Each"/>
    <m/>
  </r>
  <r>
    <s v="C19RM 2021"/>
    <x v="0"/>
    <x v="4"/>
    <s v="Waste management"/>
    <x v="16"/>
    <n v="259"/>
    <x v="100"/>
    <x v="2"/>
    <x v="0"/>
    <s v="Waste management for C19RMWaste management: Incinerator, general wasteEquipment"/>
    <x v="0"/>
    <x v="1"/>
    <s v="6.6 Other health equipment"/>
    <x v="0"/>
    <s v="Each"/>
    <m/>
  </r>
  <r>
    <s v="C19RM 2021"/>
    <x v="0"/>
    <x v="4"/>
    <s v="Waste management"/>
    <x v="16"/>
    <n v="260"/>
    <x v="100"/>
    <x v="6"/>
    <x v="0"/>
    <s v="Waste management for C19RMWaste management: Incinerator, general wasteSpare parts and accessories"/>
    <x v="0"/>
    <x v="1"/>
    <s v="6.6 Other health equipment"/>
    <x v="0"/>
    <s v="Each"/>
    <m/>
  </r>
  <r>
    <s v="C19RM 2021"/>
    <x v="0"/>
    <x v="4"/>
    <s v="Waste management"/>
    <x v="16"/>
    <n v="261"/>
    <x v="100"/>
    <x v="7"/>
    <x v="0"/>
    <s v="Waste management for C19RMWaste management: Incinerator, general wasteWarranty, maintenance and service"/>
    <x v="0"/>
    <x v="3"/>
    <s v="6.5 Maintenance and service costs"/>
    <x v="0"/>
    <s v="Each"/>
    <m/>
  </r>
  <r>
    <s v="C19RM 2021"/>
    <x v="0"/>
    <x v="4"/>
    <s v="Waste management"/>
    <x v="16"/>
    <n v="262"/>
    <x v="101"/>
    <x v="2"/>
    <x v="0"/>
    <s v="Waste management for C19RMWaste management: Incinerator, medical wasteEquipment"/>
    <x v="0"/>
    <x v="1"/>
    <s v="6.6 Other health equipment"/>
    <x v="0"/>
    <s v="Each"/>
    <m/>
  </r>
  <r>
    <s v="C19RM 2021"/>
    <x v="0"/>
    <x v="4"/>
    <s v="Waste management"/>
    <x v="16"/>
    <n v="263"/>
    <x v="101"/>
    <x v="6"/>
    <x v="0"/>
    <s v="Waste management for C19RMWaste management: Incinerator, medical wasteSpare parts and accessories"/>
    <x v="0"/>
    <x v="1"/>
    <s v="6.6 Other health equipment"/>
    <x v="0"/>
    <s v="Each"/>
    <m/>
  </r>
  <r>
    <s v="C19RM 2021"/>
    <x v="0"/>
    <x v="4"/>
    <s v="Waste management"/>
    <x v="16"/>
    <n v="264"/>
    <x v="101"/>
    <x v="7"/>
    <x v="0"/>
    <s v="Waste management for C19RMWaste management: Incinerator, medical wasteWarranty, maintenance and service"/>
    <x v="0"/>
    <x v="3"/>
    <s v="6.5 Maintenance and service costs"/>
    <x v="0"/>
    <s v="Each"/>
    <m/>
  </r>
  <r>
    <s v="C19RM 2021"/>
    <x v="0"/>
    <x v="4"/>
    <s v="Waste management"/>
    <x v="16"/>
    <n v="265"/>
    <x v="102"/>
    <x v="2"/>
    <x v="0"/>
    <s v="Waste management for C19RMWaste management: Other equipmentEquipment"/>
    <x v="0"/>
    <x v="1"/>
    <s v="6.6 Other health equipment"/>
    <x v="0"/>
    <s v="Each"/>
    <m/>
  </r>
  <r>
    <s v="C19RM 2021"/>
    <x v="0"/>
    <x v="4"/>
    <s v="Waste management"/>
    <x v="16"/>
    <n v="266"/>
    <x v="102"/>
    <x v="6"/>
    <x v="0"/>
    <s v="Waste management for C19RMWaste management: Other equipmentSpare parts and accessories"/>
    <x v="0"/>
    <x v="1"/>
    <s v="6.6 Other health equipment"/>
    <x v="0"/>
    <s v="Each"/>
    <m/>
  </r>
  <r>
    <s v="C19RM 2021"/>
    <x v="0"/>
    <x v="4"/>
    <s v="Waste management"/>
    <x v="16"/>
    <n v="267"/>
    <x v="102"/>
    <x v="7"/>
    <x v="0"/>
    <s v="Waste management for C19RMWaste management: Other equipmentWarranty, maintenance and service"/>
    <x v="0"/>
    <x v="3"/>
    <s v="6.5 Maintenance and service costs"/>
    <x v="0"/>
    <s v="Each"/>
    <m/>
  </r>
  <r>
    <s v="C19RM 2021"/>
    <x v="0"/>
    <x v="4"/>
    <s v="Waste management"/>
    <x v="16"/>
    <n v="249"/>
    <x v="103"/>
    <x v="164"/>
    <x v="0"/>
    <s v="Waste management for C19RMWaste management:Service ContractsService Contracts"/>
    <x v="0"/>
    <x v="3"/>
    <s v="6.5 Maintenance and service costs"/>
    <x v="0"/>
    <s v="Each"/>
    <m/>
  </r>
  <r>
    <s v="C19RM 2021"/>
    <x v="0"/>
    <x v="5"/>
    <s v="COVID Ab RDTs &amp; Sequencing"/>
    <x v="17"/>
    <n v="268"/>
    <x v="104"/>
    <x v="165"/>
    <x v="0"/>
    <s v="COVID Tests / Antibody Rapid Diagnostic Test Ab-RDTSARS-CoV-2 Ab Rapid Test kitSARS-CoV-2 - Generic Rapid Antibody Diagnostic Test Kit - 1 test"/>
    <x v="0"/>
    <x v="0"/>
    <s v="5.4 Rapid Diagnostic Tests"/>
    <x v="0"/>
    <s v="Each"/>
    <m/>
  </r>
  <r>
    <s v="C19RM 2021"/>
    <x v="0"/>
    <x v="5"/>
    <s v="COVID Ab RDTs &amp; Sequencing"/>
    <x v="18"/>
    <n v="269"/>
    <x v="105"/>
    <x v="120"/>
    <x v="0"/>
    <s v="Genomic surveillance / sequencingReagents for sequencingEnter details in Comments"/>
    <x v="0"/>
    <x v="5"/>
    <s v="5.6 Other laboratory reagents, test kits and consumables"/>
    <x v="0"/>
    <s v="Each"/>
    <m/>
  </r>
  <r>
    <s v="C19RM 2021"/>
    <x v="0"/>
    <x v="5"/>
    <s v="COVID Ab RDTs &amp; Sequencing"/>
    <x v="18"/>
    <n v="270"/>
    <x v="106"/>
    <x v="163"/>
    <x v="0"/>
    <s v="Genomic surveillance / sequencingSample CollectionContainer, sharps, leak-resistant, with lid"/>
    <x v="0"/>
    <x v="2"/>
    <s v="5.8 Other consumables"/>
    <x v="0"/>
    <s v="Each"/>
    <m/>
  </r>
  <r>
    <s v="C19RM 2021"/>
    <x v="0"/>
    <x v="5"/>
    <s v="COVID Ab RDTs &amp; Sequencing"/>
    <x v="18"/>
    <n v="271"/>
    <x v="106"/>
    <x v="166"/>
    <x v="0"/>
    <s v="Genomic surveillance / sequencingSample CollectionNeedles and Syringes"/>
    <x v="0"/>
    <x v="2"/>
    <s v="5.8 Other consumables"/>
    <x v="0"/>
    <s v="Each"/>
    <m/>
  </r>
  <r>
    <s v="C19RM 2021"/>
    <x v="0"/>
    <x v="5"/>
    <s v="COVID Ab RDTs &amp; Sequencing"/>
    <x v="18"/>
    <n v="272"/>
    <x v="106"/>
    <x v="34"/>
    <x v="0"/>
    <s v="Genomic surveillance / sequencingSample CollectionSample collection kit: swab and viral transport medium"/>
    <x v="0"/>
    <x v="2"/>
    <s v="5.8 Other consumables"/>
    <x v="0"/>
    <s v="Each"/>
    <m/>
  </r>
  <r>
    <s v="C19RM 2021"/>
    <x v="0"/>
    <x v="5"/>
    <s v="COVID Ab RDTs &amp; Sequencing"/>
    <x v="18"/>
    <n v="273"/>
    <x v="106"/>
    <x v="167"/>
    <x v="0"/>
    <s v="Genomic surveillance / sequencingSample CollectionTriple packaging boxes for transport"/>
    <x v="0"/>
    <x v="2"/>
    <s v="5.8 Other consumables"/>
    <x v="0"/>
    <s v="Each"/>
    <m/>
  </r>
  <r>
    <s v="C19RM 2021"/>
    <x v="0"/>
    <x v="5"/>
    <s v="COVID Ab RDTs &amp; Sequencing"/>
    <x v="18"/>
    <n v="274"/>
    <x v="107"/>
    <x v="2"/>
    <x v="0"/>
    <s v="Genomic surveillance / sequencingSequencing analyzersEquipment"/>
    <x v="0"/>
    <x v="1"/>
    <s v="6.6 Other health equipment"/>
    <x v="0"/>
    <s v="Each"/>
    <m/>
  </r>
  <r>
    <s v="C19RM 2021"/>
    <x v="0"/>
    <x v="5"/>
    <s v="COVID Ab RDTs &amp; Sequencing"/>
    <x v="18"/>
    <n v="275"/>
    <x v="107"/>
    <x v="6"/>
    <x v="0"/>
    <s v="Genomic surveillance / sequencingSequencing analyzersSpare parts and accessories"/>
    <x v="0"/>
    <x v="1"/>
    <s v="6.6 Other health equipment"/>
    <x v="0"/>
    <s v="Each"/>
    <m/>
  </r>
  <r>
    <s v="C19RM 2021"/>
    <x v="0"/>
    <x v="5"/>
    <s v="COVID Ab RDTs &amp; Sequencing"/>
    <x v="18"/>
    <n v="276"/>
    <x v="107"/>
    <x v="7"/>
    <x v="0"/>
    <s v="Genomic surveillance / sequencingSequencing analyzersWarranty, maintenance and service"/>
    <x v="0"/>
    <x v="3"/>
    <s v="6.5 Maintenance and service costs"/>
    <x v="0"/>
    <s v="Each"/>
    <m/>
  </r>
  <r>
    <s v="C19RM 2021"/>
    <x v="1"/>
    <x v="0"/>
    <s v="COVID Pharma"/>
    <x v="19"/>
    <n v="277"/>
    <x v="108"/>
    <x v="168"/>
    <x v="0"/>
    <s v="COVID Existing/Repurposed MedicinesDalteparin SodiumSingle dose subcutaneous injection, each"/>
    <x v="0"/>
    <x v="9"/>
    <s v="4.8 Existing COVID-19 medicines"/>
    <x v="0"/>
    <s v="Pack"/>
    <m/>
  </r>
  <r>
    <s v="C19RM 2021"/>
    <x v="1"/>
    <x v="0"/>
    <s v="COVID Pharma"/>
    <x v="19"/>
    <n v="278"/>
    <x v="109"/>
    <x v="169"/>
    <x v="0"/>
    <s v="COVID Existing/Repurposed MedicinesDexamethasone0.5mg 1000"/>
    <x v="0"/>
    <x v="9"/>
    <s v="4.8 Existing COVID-19 medicines"/>
    <x v="0"/>
    <s v="Pack"/>
    <m/>
  </r>
  <r>
    <s v="C19RM 2021"/>
    <x v="1"/>
    <x v="0"/>
    <s v="COVID Pharma"/>
    <x v="19"/>
    <n v="279"/>
    <x v="109"/>
    <x v="170"/>
    <x v="0"/>
    <s v="COVID Existing/Repurposed MedicinesDexamethasone4mg tablet 100"/>
    <x v="0"/>
    <x v="9"/>
    <s v="4.8 Existing COVID-19 medicines"/>
    <x v="0"/>
    <s v="Pack"/>
    <m/>
  </r>
  <r>
    <s v="C19RM 2021"/>
    <x v="1"/>
    <x v="0"/>
    <s v="COVID Pharma"/>
    <x v="19"/>
    <n v="280"/>
    <x v="109"/>
    <x v="171"/>
    <x v="0"/>
    <s v="COVID Existing/Repurposed MedicinesDexamethasone4mg/ml vial 1ml ampoule 50"/>
    <x v="0"/>
    <x v="9"/>
    <s v="4.8 Existing COVID-19 medicines"/>
    <x v="0"/>
    <s v="Pack"/>
    <m/>
  </r>
  <r>
    <s v="C19RM 2021"/>
    <x v="1"/>
    <x v="0"/>
    <s v="COVID Pharma"/>
    <x v="19"/>
    <n v="281"/>
    <x v="109"/>
    <x v="172"/>
    <x v="0"/>
    <s v="COVID Existing/Repurposed MedicinesDexamethasone5mg/ml 1ml ampoule 100"/>
    <x v="0"/>
    <x v="9"/>
    <s v="4.8 Existing COVID-19 medicines"/>
    <x v="0"/>
    <s v="Pack"/>
    <m/>
  </r>
  <r>
    <s v="C19RM 2021"/>
    <x v="1"/>
    <x v="0"/>
    <s v="COVID Pharma"/>
    <x v="19"/>
    <n v="282"/>
    <x v="110"/>
    <x v="168"/>
    <x v="0"/>
    <s v="COVID Existing/Repurposed MedicinesEnoxaparin SodiumSingle dose subcutaneous injection, each"/>
    <x v="0"/>
    <x v="9"/>
    <s v="4.8 Existing COVID-19 medicines"/>
    <x v="0"/>
    <s v="Each"/>
    <m/>
  </r>
  <r>
    <s v="C19RM 2021"/>
    <x v="1"/>
    <x v="0"/>
    <s v="COVID Pharma"/>
    <x v="19"/>
    <n v="283"/>
    <x v="111"/>
    <x v="173"/>
    <x v="0"/>
    <s v="COVID Existing/Repurposed MedicinesHeparin sodium solution for injection5000 IU/ml, 5ml vial, box of 10 vials"/>
    <x v="0"/>
    <x v="9"/>
    <s v="4.8 Existing COVID-19 medicines"/>
    <x v="0"/>
    <s v="Pack"/>
    <m/>
  </r>
  <r>
    <s v="C19RM 2021"/>
    <x v="1"/>
    <x v="0"/>
    <s v="COVID Pharma"/>
    <x v="19"/>
    <n v="284"/>
    <x v="112"/>
    <x v="69"/>
    <x v="0"/>
    <s v="COVID Existing/Repurposed MedicinesOther AnticoagulantsOther - Enter details in Comments"/>
    <x v="0"/>
    <x v="9"/>
    <s v="4.8 Existing COVID-19 medicines"/>
    <x v="0"/>
    <s v="Pack"/>
    <m/>
  </r>
  <r>
    <s v="C19RM 2021"/>
    <x v="1"/>
    <x v="0"/>
    <s v="COVID Pharma"/>
    <x v="19"/>
    <n v="285"/>
    <x v="113"/>
    <x v="69"/>
    <x v="0"/>
    <s v="COVID Existing/Repurposed MedicinesOther SteroidsOther - Enter details in Comments"/>
    <x v="0"/>
    <x v="9"/>
    <s v="4.8 Existing COVID-19 medicines"/>
    <x v="0"/>
    <s v="Pack"/>
    <m/>
  </r>
  <r>
    <s v="C19RM 2021"/>
    <x v="1"/>
    <x v="0"/>
    <s v="COVID Pharma"/>
    <x v="20"/>
    <n v="286"/>
    <x v="114"/>
    <x v="120"/>
    <x v="0"/>
    <s v="COVID Novel MedicinesNew MedicinesEnter details in Comments"/>
    <x v="0"/>
    <x v="10"/>
    <s v="4.9 Novel COVID-19 medicines"/>
    <x v="0"/>
    <s v="Pack"/>
    <m/>
  </r>
  <r>
    <s v="C19RM 2021"/>
    <x v="1"/>
    <x v="0"/>
    <s v="COVID Pharma"/>
    <x v="21"/>
    <n v="287"/>
    <x v="115"/>
    <x v="174"/>
    <x v="0"/>
    <s v="COVID Other MedicinesCompound sodium lactate solution (Ringer's lactate)1000ml"/>
    <x v="0"/>
    <x v="11"/>
    <s v="4.7 Other medicines"/>
    <x v="0"/>
    <s v="Each"/>
    <m/>
  </r>
  <r>
    <s v="C19RM 2021"/>
    <x v="1"/>
    <x v="0"/>
    <s v="COVID Pharma"/>
    <x v="21"/>
    <n v="288"/>
    <x v="115"/>
    <x v="175"/>
    <x v="0"/>
    <s v="COVID Other MedicinesCompound sodium lactate solution (Ringer's lactate)500ml"/>
    <x v="0"/>
    <x v="11"/>
    <s v="4.7 Other medicines"/>
    <x v="0"/>
    <s v="Each"/>
    <m/>
  </r>
  <r>
    <s v="C19RM 2021"/>
    <x v="1"/>
    <x v="0"/>
    <s v="COVID Pharma"/>
    <x v="21"/>
    <n v="289"/>
    <x v="116"/>
    <x v="69"/>
    <x v="0"/>
    <s v="COVID Other MedicinesOther essential medicinesOther - Enter details in Comments"/>
    <x v="0"/>
    <x v="11"/>
    <s v="4.7 Other medicines"/>
    <x v="0"/>
    <s v="Pack"/>
    <m/>
  </r>
  <r>
    <s v="C19RM 2021"/>
    <x v="1"/>
    <x v="0"/>
    <s v="COVID Pharma"/>
    <x v="21"/>
    <n v="290"/>
    <x v="117"/>
    <x v="176"/>
    <x v="0"/>
    <s v="COVID Other MedicinesParacetamol120mg/5ml oral solution 60ml - 140 bottles"/>
    <x v="0"/>
    <x v="11"/>
    <s v="4.7 Other medicines"/>
    <x v="0"/>
    <s v="Pack"/>
    <m/>
  </r>
  <r>
    <s v="C19RM 2021"/>
    <x v="1"/>
    <x v="0"/>
    <s v="COVID Pharma"/>
    <x v="21"/>
    <n v="291"/>
    <x v="117"/>
    <x v="177"/>
    <x v="0"/>
    <s v="COVID Other MedicinesParacetamol500mg tablet 1000"/>
    <x v="0"/>
    <x v="11"/>
    <s v="4.7 Other medicines"/>
    <x v="0"/>
    <s v="Pack"/>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2">
  <r>
    <n v="151"/>
    <x v="0"/>
    <n v="1"/>
    <x v="0"/>
    <n v="1"/>
    <x v="0"/>
    <s v="0013600000xoEGkAAM"/>
    <x v="0"/>
    <s v="a1E360000012HAgEAM"/>
    <x v="0"/>
    <m/>
    <m/>
  </r>
  <r>
    <n v="151"/>
    <x v="0"/>
    <n v="1"/>
    <x v="0"/>
    <n v="1"/>
    <x v="0"/>
    <s v="0013600000xoEKGAA2"/>
    <x v="1"/>
    <s v="a1E360000012HAZEA2"/>
    <x v="1"/>
    <m/>
    <m/>
  </r>
  <r>
    <n v="151"/>
    <x v="0"/>
    <n v="1"/>
    <x v="0"/>
    <n v="3"/>
    <x v="1"/>
    <s v="0013600000xoEKGAA2"/>
    <x v="1"/>
    <s v="a1E360000012HAaEAM"/>
    <x v="2"/>
    <m/>
    <m/>
  </r>
  <r>
    <n v="151"/>
    <x v="0"/>
    <n v="1"/>
    <x v="0"/>
    <n v="2"/>
    <x v="2"/>
    <s v="0013600000xoEGkAAM"/>
    <x v="0"/>
    <s v="a1E360000012HAcEAM"/>
    <x v="3"/>
    <m/>
    <m/>
  </r>
  <r>
    <n v="151"/>
    <x v="0"/>
    <n v="1"/>
    <x v="0"/>
    <n v="2"/>
    <x v="2"/>
    <s v="0013600000xoEKGAA2"/>
    <x v="1"/>
    <s v="a1E360000012HAdEAM"/>
    <x v="4"/>
    <m/>
    <m/>
  </r>
  <r>
    <n v="151"/>
    <x v="0"/>
    <n v="1"/>
    <x v="0"/>
    <n v="5"/>
    <x v="3"/>
    <s v="0013600000xoEKGAA2"/>
    <x v="1"/>
    <s v="a1E3p00000CmBwUEAV"/>
    <x v="5"/>
    <m/>
    <m/>
  </r>
  <r>
    <n v="43"/>
    <x v="1"/>
    <n v="1"/>
    <x v="0"/>
    <n v="2"/>
    <x v="2"/>
    <s v="0013600000xoEFmAAM"/>
    <x v="2"/>
    <s v="a1E360000012HdaEAE"/>
    <x v="6"/>
    <m/>
    <m/>
  </r>
  <r>
    <n v="43"/>
    <x v="1"/>
    <n v="1"/>
    <x v="0"/>
    <n v="1"/>
    <x v="0"/>
    <s v="0013600000xoEItAAM"/>
    <x v="1"/>
    <s v="a1E36000001hEfeEAE"/>
    <x v="7"/>
    <m/>
    <m/>
  </r>
  <r>
    <n v="43"/>
    <x v="1"/>
    <n v="1"/>
    <x v="0"/>
    <n v="3"/>
    <x v="1"/>
    <s v="0013600000xoEFmAAM"/>
    <x v="2"/>
    <s v="a1E360000012HdZEAU"/>
    <x v="8"/>
    <m/>
    <m/>
  </r>
  <r>
    <n v="43"/>
    <x v="1"/>
    <n v="1"/>
    <x v="0"/>
    <n v="3"/>
    <x v="1"/>
    <s v="0013600000xoEKFAA2"/>
    <x v="3"/>
    <s v="a1E36000001jMiFEAU"/>
    <x v="9"/>
    <m/>
    <m/>
  </r>
  <r>
    <n v="43"/>
    <x v="1"/>
    <n v="1"/>
    <x v="0"/>
    <n v="2"/>
    <x v="2"/>
    <s v="0013600000xoEFmAAM"/>
    <x v="2"/>
    <s v="a1E36000001jMiGEAU"/>
    <x v="10"/>
    <m/>
    <m/>
  </r>
  <r>
    <n v="43"/>
    <x v="1"/>
    <n v="1"/>
    <x v="0"/>
    <n v="5"/>
    <x v="3"/>
    <s v="0013600000xoEItAAM"/>
    <x v="1"/>
    <s v="a1E3p000004rFZuEAM"/>
    <x v="11"/>
    <m/>
    <m/>
  </r>
  <r>
    <n v="198"/>
    <x v="2"/>
    <n v="1"/>
    <x v="0"/>
    <n v="4"/>
    <x v="3"/>
    <s v="0013600000xoEDnAAM"/>
    <x v="4"/>
    <s v="a1E36000001jMi3EAE"/>
    <x v="12"/>
    <m/>
    <m/>
  </r>
  <r>
    <n v="160"/>
    <x v="3"/>
    <n v="1"/>
    <x v="0"/>
    <n v="4"/>
    <x v="3"/>
    <s v="0013600000xoEHJAA2"/>
    <x v="5"/>
    <s v="a1E360000064ikPEAQ"/>
    <x v="13"/>
    <m/>
    <m/>
  </r>
  <r>
    <n v="160"/>
    <x v="3"/>
    <n v="1"/>
    <x v="0"/>
    <n v="1"/>
    <x v="0"/>
    <s v="0013600000xoEHJAA2"/>
    <x v="5"/>
    <s v="a1E360000012HhzEAE"/>
    <x v="14"/>
    <m/>
    <m/>
  </r>
  <r>
    <n v="161"/>
    <x v="4"/>
    <n v="1"/>
    <x v="0"/>
    <n v="4"/>
    <x v="3"/>
    <s v="0013600000xoEHXAA2"/>
    <x v="6"/>
    <s v="a1E3p00000B9bHUEAZ"/>
    <x v="15"/>
    <m/>
    <m/>
  </r>
  <r>
    <n v="161"/>
    <x v="4"/>
    <n v="1"/>
    <x v="0"/>
    <n v="1"/>
    <x v="0"/>
    <s v="0013600000xoEHXAA2"/>
    <x v="6"/>
    <s v="a1E360000012Hi0EAE"/>
    <x v="16"/>
    <m/>
    <m/>
  </r>
  <r>
    <n v="161"/>
    <x v="4"/>
    <n v="1"/>
    <x v="0"/>
    <n v="2"/>
    <x v="2"/>
    <s v="0013600000xoEHXAA2"/>
    <x v="6"/>
    <s v="a1E360000012Hi1EAE"/>
    <x v="17"/>
    <m/>
    <m/>
  </r>
  <r>
    <n v="24"/>
    <x v="5"/>
    <n v="1"/>
    <x v="0"/>
    <n v="4"/>
    <x v="3"/>
    <s v="0013600001JFguUAAT"/>
    <x v="1"/>
    <s v="a1E36000004IHFDEA4"/>
    <x v="18"/>
    <m/>
    <m/>
  </r>
  <r>
    <n v="24"/>
    <x v="5"/>
    <n v="1"/>
    <x v="0"/>
    <n v="1"/>
    <x v="0"/>
    <s v="0013600000xoEKmAAM"/>
    <x v="7"/>
    <s v="a1E360000012HcnEAE"/>
    <x v="19"/>
    <m/>
    <m/>
  </r>
  <r>
    <n v="24"/>
    <x v="5"/>
    <n v="1"/>
    <x v="0"/>
    <n v="3"/>
    <x v="1"/>
    <s v="0013600000xoEIWAA2"/>
    <x v="8"/>
    <s v="a1E360000012HcjEAE"/>
    <x v="20"/>
    <m/>
    <m/>
  </r>
  <r>
    <n v="24"/>
    <x v="5"/>
    <n v="1"/>
    <x v="0"/>
    <n v="3"/>
    <x v="1"/>
    <s v="0013600001JFguUAAT"/>
    <x v="1"/>
    <s v="a1E36000004IHDgEAO"/>
    <x v="21"/>
    <m/>
    <m/>
  </r>
  <r>
    <n v="24"/>
    <x v="5"/>
    <n v="1"/>
    <x v="0"/>
    <n v="6"/>
    <x v="4"/>
    <s v="0013600000xoEDLAA2"/>
    <x v="7"/>
    <s v="a1E3p00000Cck1uEAB"/>
    <x v="22"/>
    <m/>
    <m/>
  </r>
  <r>
    <n v="24"/>
    <x v="5"/>
    <n v="1"/>
    <x v="0"/>
    <n v="2"/>
    <x v="2"/>
    <s v="0013600000xoEKnAAM"/>
    <x v="7"/>
    <s v="a1E360000012HcoEAE"/>
    <x v="23"/>
    <m/>
    <m/>
  </r>
  <r>
    <n v="64"/>
    <x v="6"/>
    <n v="2"/>
    <x v="1"/>
    <n v="1"/>
    <x v="0"/>
    <s v="0013600000xoEHAAA2"/>
    <x v="9"/>
    <s v="a1E360000012HepEAE"/>
    <x v="24"/>
    <m/>
    <m/>
  </r>
  <r>
    <n v="64"/>
    <x v="6"/>
    <n v="2"/>
    <x v="1"/>
    <n v="1"/>
    <x v="0"/>
    <s v="0013600000xoEGoAAM"/>
    <x v="10"/>
    <s v="a1E360000012HelEAE"/>
    <x v="25"/>
    <m/>
    <m/>
  </r>
  <r>
    <n v="64"/>
    <x v="6"/>
    <n v="2"/>
    <x v="1"/>
    <n v="3"/>
    <x v="1"/>
    <s v="0013600000xoEKkAAM"/>
    <x v="11"/>
    <s v="a1E360000012HesEAE"/>
    <x v="26"/>
    <m/>
    <m/>
  </r>
  <r>
    <n v="64"/>
    <x v="6"/>
    <n v="2"/>
    <x v="1"/>
    <n v="6"/>
    <x v="4"/>
    <s v="0013600001xf7DgAAI"/>
    <x v="12"/>
    <s v="a1E1R00000JjSfjUAF"/>
    <x v="27"/>
    <m/>
    <m/>
  </r>
  <r>
    <n v="64"/>
    <x v="6"/>
    <n v="2"/>
    <x v="1"/>
    <n v="6"/>
    <x v="4"/>
    <s v="0013600000xoEJNAA2"/>
    <x v="13"/>
    <s v="a1E360000012HerEAE"/>
    <x v="28"/>
    <m/>
    <m/>
  </r>
  <r>
    <n v="64"/>
    <x v="6"/>
    <n v="2"/>
    <x v="1"/>
    <n v="2"/>
    <x v="2"/>
    <s v="0013600000xoEF9AAM"/>
    <x v="14"/>
    <s v="a1E360000012HeoEAE"/>
    <x v="29"/>
    <s v="Multicountry Asia IHAA"/>
    <s v="a49360000005CUi"/>
  </r>
  <r>
    <n v="65"/>
    <x v="7"/>
    <n v="2"/>
    <x v="1"/>
    <n v="4"/>
    <x v="3"/>
    <s v="0013600000xoEGcAAM"/>
    <x v="15"/>
    <s v="a1E360000012HevEAE"/>
    <x v="30"/>
    <s v="Multicountry HIV SEA AFAO"/>
    <s v="a4936000000ws6L"/>
  </r>
  <r>
    <n v="65"/>
    <x v="7"/>
    <n v="2"/>
    <x v="1"/>
    <n v="1"/>
    <x v="0"/>
    <s v="0013600000xoEGhAAM"/>
    <x v="16"/>
    <s v="a1E360000012HexEAE"/>
    <x v="31"/>
    <m/>
    <m/>
  </r>
  <r>
    <n v="65"/>
    <x v="7"/>
    <n v="2"/>
    <x v="1"/>
    <n v="3"/>
    <x v="1"/>
    <s v="0013600000xoEFFAA2"/>
    <x v="17"/>
    <s v="a1E360000012HezEAE"/>
    <x v="32"/>
    <m/>
    <m/>
  </r>
  <r>
    <n v="65"/>
    <x v="7"/>
    <n v="2"/>
    <x v="1"/>
    <n v="2"/>
    <x v="2"/>
    <s v="0013600000xoEFFAA2"/>
    <x v="17"/>
    <s v="a1E360000012HeuEAE"/>
    <x v="33"/>
    <m/>
    <m/>
  </r>
  <r>
    <n v="152"/>
    <x v="8"/>
    <n v="1"/>
    <x v="0"/>
    <n v="1"/>
    <x v="0"/>
    <s v="0013600000xoEHvAAM"/>
    <x v="18"/>
    <s v="a1E360000012HAlEAM"/>
    <x v="34"/>
    <m/>
    <m/>
  </r>
  <r>
    <n v="152"/>
    <x v="8"/>
    <n v="1"/>
    <x v="0"/>
    <n v="1"/>
    <x v="0"/>
    <s v="0013600000xoEGSAA2"/>
    <x v="19"/>
    <s v="a1E360000012HAmEAM"/>
    <x v="35"/>
    <m/>
    <m/>
  </r>
  <r>
    <n v="152"/>
    <x v="8"/>
    <n v="1"/>
    <x v="0"/>
    <n v="1"/>
    <x v="0"/>
    <s v="0013600000xoEKAAA2"/>
    <x v="20"/>
    <s v="a1E360000012HAnEAM"/>
    <x v="36"/>
    <m/>
    <m/>
  </r>
  <r>
    <n v="152"/>
    <x v="8"/>
    <n v="1"/>
    <x v="0"/>
    <n v="3"/>
    <x v="1"/>
    <s v="0013600000xoEFdAAM"/>
    <x v="21"/>
    <s v="a1E360000012HAhEAM"/>
    <x v="37"/>
    <m/>
    <m/>
  </r>
  <r>
    <n v="152"/>
    <x v="8"/>
    <n v="1"/>
    <x v="0"/>
    <n v="3"/>
    <x v="1"/>
    <s v="0013600000xoEGSAA2"/>
    <x v="19"/>
    <s v="a1E360000012HAiEAM"/>
    <x v="38"/>
    <m/>
    <m/>
  </r>
  <r>
    <n v="152"/>
    <x v="8"/>
    <n v="1"/>
    <x v="0"/>
    <n v="2"/>
    <x v="2"/>
    <s v="0013600000xoEFdAAM"/>
    <x v="21"/>
    <s v="a1E360000012HAkEAM"/>
    <x v="39"/>
    <m/>
    <m/>
  </r>
  <r>
    <n v="152"/>
    <x v="8"/>
    <n v="1"/>
    <x v="0"/>
    <n v="2"/>
    <x v="2"/>
    <s v="0013600000xoEGSAA2"/>
    <x v="19"/>
    <s v="a1E360000012HAjEAM"/>
    <x v="40"/>
    <m/>
    <m/>
  </r>
  <r>
    <n v="178"/>
    <x v="9"/>
    <n v="1"/>
    <x v="0"/>
    <n v="4"/>
    <x v="3"/>
    <s v="0013600000xoEKjAAM"/>
    <x v="22"/>
    <s v="a1E360000064os5EAA"/>
    <x v="41"/>
    <m/>
    <m/>
  </r>
  <r>
    <n v="178"/>
    <x v="9"/>
    <n v="1"/>
    <x v="0"/>
    <n v="2"/>
    <x v="2"/>
    <s v="0013600000xoEKjAAM"/>
    <x v="22"/>
    <s v="a1E360000012HiJEAU"/>
    <x v="42"/>
    <m/>
    <m/>
  </r>
  <r>
    <n v="80"/>
    <x v="10"/>
    <n v="1"/>
    <x v="0"/>
    <n v="4"/>
    <x v="3"/>
    <s v="0013600000xoEJ5AAM"/>
    <x v="1"/>
    <s v="a1E360000012HfyEAE"/>
    <x v="43"/>
    <m/>
    <m/>
  </r>
  <r>
    <n v="80"/>
    <x v="10"/>
    <n v="1"/>
    <x v="0"/>
    <n v="1"/>
    <x v="0"/>
    <s v="0013p00002Aw3wxAAB"/>
    <x v="23"/>
    <s v="a1E3p00000DsVQOEA3"/>
    <x v="44"/>
    <m/>
    <m/>
  </r>
  <r>
    <n v="93"/>
    <x v="11"/>
    <n v="1"/>
    <x v="0"/>
    <n v="1"/>
    <x v="0"/>
    <s v="0013600000xoEGvAAM"/>
    <x v="24"/>
    <s v="a1E36000001jMj5EAE"/>
    <x v="45"/>
    <m/>
    <m/>
  </r>
  <r>
    <n v="93"/>
    <x v="11"/>
    <n v="1"/>
    <x v="0"/>
    <n v="3"/>
    <x v="1"/>
    <s v="0013600000xoEImAAM"/>
    <x v="1"/>
    <s v="a1E360000012HgGEAU"/>
    <x v="46"/>
    <m/>
    <m/>
  </r>
  <r>
    <n v="93"/>
    <x v="11"/>
    <n v="1"/>
    <x v="0"/>
    <n v="2"/>
    <x v="2"/>
    <s v="0013600000xoEImAAM"/>
    <x v="1"/>
    <s v="a1E36000001jMj6EAE"/>
    <x v="47"/>
    <m/>
    <m/>
  </r>
  <r>
    <n v="24"/>
    <x v="5"/>
    <n v="1"/>
    <x v="0"/>
    <n v="2"/>
    <x v="2"/>
    <s v="0013600000xoEHzAAM"/>
    <x v="25"/>
    <s v="a1E360000012HceEAE"/>
    <x v="48"/>
    <m/>
    <m/>
  </r>
  <r>
    <n v="24"/>
    <x v="5"/>
    <n v="1"/>
    <x v="0"/>
    <n v="1"/>
    <x v="0"/>
    <s v="0013600000xoEIWAA2"/>
    <x v="8"/>
    <s v="a1E360000012HcfEAE"/>
    <x v="49"/>
    <m/>
    <m/>
  </r>
  <r>
    <n v="24"/>
    <x v="5"/>
    <n v="1"/>
    <x v="0"/>
    <n v="1"/>
    <x v="0"/>
    <s v="0013600000xoEIWAA2"/>
    <x v="8"/>
    <s v="a1E360000012HciEAE"/>
    <x v="50"/>
    <m/>
    <m/>
  </r>
  <r>
    <n v="153"/>
    <x v="12"/>
    <n v="1"/>
    <x v="0"/>
    <n v="4"/>
    <x v="3"/>
    <s v="0013600000xoEHnAAM"/>
    <x v="26"/>
    <s v="a1E3p00000BwT2kEAF"/>
    <x v="51"/>
    <m/>
    <m/>
  </r>
  <r>
    <n v="153"/>
    <x v="12"/>
    <n v="1"/>
    <x v="0"/>
    <n v="1"/>
    <x v="0"/>
    <s v="0013600000xoEHnAAM"/>
    <x v="26"/>
    <s v="a1E360000012HhREAU"/>
    <x v="52"/>
    <m/>
    <m/>
  </r>
  <r>
    <n v="153"/>
    <x v="12"/>
    <n v="1"/>
    <x v="0"/>
    <n v="3"/>
    <x v="1"/>
    <s v="0013600000xoEHnAAM"/>
    <x v="26"/>
    <s v="a1E360000012HhSEAU"/>
    <x v="53"/>
    <m/>
    <m/>
  </r>
  <r>
    <n v="153"/>
    <x v="12"/>
    <n v="1"/>
    <x v="0"/>
    <n v="2"/>
    <x v="2"/>
    <s v="0013600000xoEHnAAM"/>
    <x v="26"/>
    <s v="a1E360000012HhTEAU"/>
    <x v="54"/>
    <m/>
    <m/>
  </r>
  <r>
    <n v="59"/>
    <x v="13"/>
    <n v="1"/>
    <x v="0"/>
    <n v="4"/>
    <x v="3"/>
    <s v="0013600000xoEKgAAM"/>
    <x v="27"/>
    <s v="a1E360000012HeLEAU"/>
    <x v="55"/>
    <m/>
    <m/>
  </r>
  <r>
    <n v="59"/>
    <x v="13"/>
    <n v="1"/>
    <x v="0"/>
    <n v="4"/>
    <x v="3"/>
    <s v="0013600000xoEFnAAM"/>
    <x v="28"/>
    <s v="a1E360000012HeKEAU"/>
    <x v="56"/>
    <m/>
    <m/>
  </r>
  <r>
    <n v="59"/>
    <x v="13"/>
    <n v="1"/>
    <x v="0"/>
    <n v="3"/>
    <x v="1"/>
    <s v="0013600000xoEFnAAM"/>
    <x v="28"/>
    <s v="a1E360000012HeMEAU"/>
    <x v="57"/>
    <m/>
    <m/>
  </r>
  <r>
    <n v="45"/>
    <x v="14"/>
    <n v="1"/>
    <x v="0"/>
    <n v="1"/>
    <x v="0"/>
    <s v="0013600001W9HLbAAN"/>
    <x v="29"/>
    <s v="a1E36000001jMk0EAE"/>
    <x v="58"/>
    <m/>
    <m/>
  </r>
  <r>
    <n v="45"/>
    <x v="14"/>
    <n v="2"/>
    <x v="1"/>
    <n v="2"/>
    <x v="2"/>
    <s v="0013600000xoEFPAA2"/>
    <x v="30"/>
    <s v="a1E360000012HdlEAE"/>
    <x v="59"/>
    <m/>
    <m/>
  </r>
  <r>
    <n v="45"/>
    <x v="14"/>
    <n v="2"/>
    <x v="1"/>
    <n v="4"/>
    <x v="3"/>
    <s v="0013600000xoEHDAA2"/>
    <x v="31"/>
    <s v="a1E36000002wRptEAE"/>
    <x v="60"/>
    <m/>
    <m/>
  </r>
  <r>
    <n v="45"/>
    <x v="14"/>
    <n v="2"/>
    <x v="1"/>
    <n v="3"/>
    <x v="1"/>
    <s v="0013600001NZNvvAAH"/>
    <x v="3"/>
    <s v="a1E36000004ITGkEAO"/>
    <x v="61"/>
    <m/>
    <m/>
  </r>
  <r>
    <n v="67"/>
    <x v="15"/>
    <n v="2"/>
    <x v="1"/>
    <n v="1"/>
    <x v="0"/>
    <s v="0013600000xoEFVAA2"/>
    <x v="32"/>
    <s v="a1E360000012Hf5EAE"/>
    <x v="62"/>
    <m/>
    <m/>
  </r>
  <r>
    <n v="67"/>
    <x v="15"/>
    <n v="2"/>
    <x v="1"/>
    <n v="4"/>
    <x v="3"/>
    <s v="0013600000xoEFVAA2"/>
    <x v="32"/>
    <s v="a1E3p00000B9kGpEAJ"/>
    <x v="63"/>
    <m/>
    <m/>
  </r>
  <r>
    <n v="67"/>
    <x v="15"/>
    <n v="2"/>
    <x v="1"/>
    <n v="1"/>
    <x v="0"/>
    <s v="0013600000xoEFVAA2"/>
    <x v="32"/>
    <s v="a1E36000004IzYPEA0"/>
    <x v="64"/>
    <m/>
    <m/>
  </r>
  <r>
    <n v="67"/>
    <x v="15"/>
    <n v="2"/>
    <x v="1"/>
    <n v="1"/>
    <x v="0"/>
    <s v="0013600000xoEDKAA2"/>
    <x v="33"/>
    <s v="a1E36000002wTIhEAM"/>
    <x v="65"/>
    <m/>
    <m/>
  </r>
  <r>
    <n v="67"/>
    <x v="15"/>
    <n v="2"/>
    <x v="1"/>
    <n v="3"/>
    <x v="1"/>
    <s v="0013600000xoEKZAA2"/>
    <x v="33"/>
    <s v="a1E360000012Hf4EAE"/>
    <x v="66"/>
    <m/>
    <m/>
  </r>
  <r>
    <n v="67"/>
    <x v="15"/>
    <n v="2"/>
    <x v="1"/>
    <n v="3"/>
    <x v="1"/>
    <s v="0013600000xoEKAAA2"/>
    <x v="20"/>
    <s v="a1E360000012Hf2EAE"/>
    <x v="67"/>
    <m/>
    <m/>
  </r>
  <r>
    <n v="67"/>
    <x v="15"/>
    <n v="2"/>
    <x v="1"/>
    <n v="6"/>
    <x v="4"/>
    <s v="0013p00001xm0UaAAI"/>
    <x v="33"/>
    <s v="a1E3p00000BgksjEAB"/>
    <x v="68"/>
    <m/>
    <m/>
  </r>
  <r>
    <n v="67"/>
    <x v="15"/>
    <n v="2"/>
    <x v="1"/>
    <n v="2"/>
    <x v="2"/>
    <s v="0013600000xoEFVAA2"/>
    <x v="32"/>
    <s v="a1E360000012Hf3EAE"/>
    <x v="69"/>
    <m/>
    <m/>
  </r>
  <r>
    <n v="67"/>
    <x v="15"/>
    <n v="2"/>
    <x v="1"/>
    <n v="2"/>
    <x v="2"/>
    <s v="0013600000xoEKpAAM"/>
    <x v="33"/>
    <s v="a1E360000012Hf7EAE"/>
    <x v="70"/>
    <m/>
    <m/>
  </r>
  <r>
    <n v="44"/>
    <x v="16"/>
    <n v="2"/>
    <x v="1"/>
    <n v="1"/>
    <x v="0"/>
    <s v="0013600000xoEGyAAM"/>
    <x v="34"/>
    <s v="a1E36000001jMjmEAE"/>
    <x v="71"/>
    <m/>
    <m/>
  </r>
  <r>
    <n v="44"/>
    <x v="16"/>
    <n v="2"/>
    <x v="1"/>
    <n v="4"/>
    <x v="3"/>
    <s v="0013600000xoEGbAAM"/>
    <x v="35"/>
    <s v="a1E3p00000B9ndcEAB"/>
    <x v="72"/>
    <m/>
    <m/>
  </r>
  <r>
    <n v="44"/>
    <x v="16"/>
    <n v="2"/>
    <x v="1"/>
    <n v="1"/>
    <x v="0"/>
    <s v="0013600000xoEGbAAM"/>
    <x v="35"/>
    <s v="a1E360000012HdfEAE"/>
    <x v="73"/>
    <m/>
    <m/>
  </r>
  <r>
    <n v="44"/>
    <x v="16"/>
    <n v="2"/>
    <x v="1"/>
    <n v="1"/>
    <x v="0"/>
    <s v="0013600000xoEGyAAM"/>
    <x v="34"/>
    <s v="a1E360000012HdgEAE"/>
    <x v="74"/>
    <m/>
    <m/>
  </r>
  <r>
    <n v="44"/>
    <x v="16"/>
    <n v="2"/>
    <x v="1"/>
    <n v="3"/>
    <x v="1"/>
    <s v="0013600000xoEGzAAM"/>
    <x v="34"/>
    <s v="a1E360000012HdeEAE"/>
    <x v="75"/>
    <m/>
    <m/>
  </r>
  <r>
    <n v="44"/>
    <x v="16"/>
    <n v="2"/>
    <x v="1"/>
    <n v="2"/>
    <x v="2"/>
    <s v="0013600000xoEH0AAM"/>
    <x v="34"/>
    <s v="a1E360000012HdhEAE"/>
    <x v="76"/>
    <m/>
    <m/>
  </r>
  <r>
    <n v="48"/>
    <x v="17"/>
    <n v="1"/>
    <x v="0"/>
    <n v="4"/>
    <x v="3"/>
    <s v="0013600000xoEGRAA2"/>
    <x v="36"/>
    <s v="a1E36000002w2RgEAI"/>
    <x v="77"/>
    <m/>
    <m/>
  </r>
  <r>
    <n v="48"/>
    <x v="17"/>
    <n v="1"/>
    <x v="0"/>
    <n v="1"/>
    <x v="0"/>
    <s v="0013600000xoEGRAA2"/>
    <x v="36"/>
    <s v="a1E360000012He0EAE"/>
    <x v="78"/>
    <m/>
    <m/>
  </r>
  <r>
    <n v="48"/>
    <x v="17"/>
    <n v="1"/>
    <x v="0"/>
    <n v="1"/>
    <x v="0"/>
    <s v="0013600000xoEKRAA2"/>
    <x v="37"/>
    <s v="a1E360000012He6EAE"/>
    <x v="79"/>
    <m/>
    <m/>
  </r>
  <r>
    <n v="48"/>
    <x v="17"/>
    <n v="1"/>
    <x v="0"/>
    <n v="3"/>
    <x v="1"/>
    <s v="0013600000xoEKRAA2"/>
    <x v="37"/>
    <s v="a1E360000012He3EAE"/>
    <x v="80"/>
    <m/>
    <m/>
  </r>
  <r>
    <n v="48"/>
    <x v="17"/>
    <n v="1"/>
    <x v="0"/>
    <n v="3"/>
    <x v="1"/>
    <s v="0013600000xoEIOAA2"/>
    <x v="38"/>
    <s v="a1E360000012He4EAE"/>
    <x v="81"/>
    <m/>
    <m/>
  </r>
  <r>
    <n v="48"/>
    <x v="17"/>
    <n v="1"/>
    <x v="0"/>
    <n v="3"/>
    <x v="1"/>
    <s v="0013600000xoEHNAA2"/>
    <x v="39"/>
    <s v="a1E360000012HdzEAE"/>
    <x v="82"/>
    <m/>
    <m/>
  </r>
  <r>
    <n v="48"/>
    <x v="17"/>
    <n v="1"/>
    <x v="0"/>
    <n v="6"/>
    <x v="4"/>
    <s v="0013600000xoEKRAA2"/>
    <x v="37"/>
    <s v="a1E360000012HdyEAE"/>
    <x v="83"/>
    <s v="Multicountry Caribbean MCC"/>
    <s v="a49360000005CUg"/>
  </r>
  <r>
    <n v="48"/>
    <x v="17"/>
    <n v="1"/>
    <x v="0"/>
    <n v="2"/>
    <x v="2"/>
    <s v="0013600000xoEKRAA2"/>
    <x v="37"/>
    <s v="a1E360000012He5EAE"/>
    <x v="84"/>
    <m/>
    <m/>
  </r>
  <r>
    <n v="47"/>
    <x v="18"/>
    <n v="2"/>
    <x v="1"/>
    <n v="4"/>
    <x v="3"/>
    <s v="0013600000xoEHDAA2"/>
    <x v="31"/>
    <s v="a1E36000002wRs9EAE"/>
    <x v="85"/>
    <m/>
    <m/>
  </r>
  <r>
    <n v="47"/>
    <x v="18"/>
    <n v="2"/>
    <x v="1"/>
    <n v="4"/>
    <x v="3"/>
    <s v="0013p00001xmaXgAAI"/>
    <x v="1"/>
    <s v="a1E3p00000BgmoDEAR"/>
    <x v="86"/>
    <m/>
    <m/>
  </r>
  <r>
    <n v="47"/>
    <x v="18"/>
    <n v="2"/>
    <x v="1"/>
    <n v="1"/>
    <x v="0"/>
    <s v="0013600000xoEHDAA2"/>
    <x v="31"/>
    <s v="a1E360000012HdtEAE"/>
    <x v="87"/>
    <m/>
    <m/>
  </r>
  <r>
    <n v="47"/>
    <x v="18"/>
    <n v="2"/>
    <x v="1"/>
    <n v="3"/>
    <x v="1"/>
    <s v="0013600001WCJorAAH"/>
    <x v="40"/>
    <s v="a1E36000004J5PuEAK"/>
    <x v="88"/>
    <m/>
    <m/>
  </r>
  <r>
    <n v="96"/>
    <x v="19"/>
    <n v="1"/>
    <x v="0"/>
    <n v="1"/>
    <x v="0"/>
    <s v="0013600000xoEFHAA2"/>
    <x v="41"/>
    <s v="a1E360000012HgNEAU"/>
    <x v="89"/>
    <m/>
    <m/>
  </r>
  <r>
    <n v="25"/>
    <x v="20"/>
    <n v="2"/>
    <x v="1"/>
    <n v="3"/>
    <x v="1"/>
    <s v="0013600000xoEFWAA2"/>
    <x v="42"/>
    <s v="a1E360000012HcsEAE"/>
    <x v="90"/>
    <m/>
    <m/>
  </r>
  <r>
    <n v="25"/>
    <x v="20"/>
    <n v="2"/>
    <x v="1"/>
    <n v="1"/>
    <x v="0"/>
    <s v="0013600000xoEGZAA2"/>
    <x v="43"/>
    <s v="a1E360000012HctEAE"/>
    <x v="91"/>
    <m/>
    <m/>
  </r>
  <r>
    <n v="25"/>
    <x v="20"/>
    <n v="2"/>
    <x v="1"/>
    <n v="4"/>
    <x v="3"/>
    <s v="0013600000xoEGZAA2"/>
    <x v="43"/>
    <s v="a1E3p00000DttuuEAB"/>
    <x v="92"/>
    <m/>
    <m/>
  </r>
  <r>
    <n v="25"/>
    <x v="20"/>
    <n v="2"/>
    <x v="1"/>
    <n v="1"/>
    <x v="0"/>
    <s v="0013600000xoEGZAA2"/>
    <x v="43"/>
    <s v="a1E360000012HcqEAE"/>
    <x v="93"/>
    <m/>
    <m/>
  </r>
  <r>
    <n v="25"/>
    <x v="20"/>
    <n v="2"/>
    <x v="1"/>
    <n v="3"/>
    <x v="1"/>
    <s v="0013600000xoEKrAAM"/>
    <x v="43"/>
    <s v="a1E360000012HcpEAE"/>
    <x v="94"/>
    <m/>
    <m/>
  </r>
  <r>
    <n v="25"/>
    <x v="20"/>
    <n v="2"/>
    <x v="1"/>
    <n v="2"/>
    <x v="2"/>
    <s v="0013600000xoEFWAA2"/>
    <x v="42"/>
    <s v="a1E360000012HcrEAE"/>
    <x v="95"/>
    <m/>
    <m/>
  </r>
  <r>
    <n v="25"/>
    <x v="20"/>
    <n v="2"/>
    <x v="1"/>
    <n v="2"/>
    <x v="2"/>
    <s v="0013600001u3a7BAAQ"/>
    <x v="44"/>
    <s v="a1E3600000GB1fDEAT"/>
    <x v="96"/>
    <m/>
    <m/>
  </r>
  <r>
    <n v="66"/>
    <x v="21"/>
    <n v="2"/>
    <x v="1"/>
    <n v="5"/>
    <x v="3"/>
    <s v="0013600000xoEEgAAM"/>
    <x v="45"/>
    <s v="a1E36000002vm73EAA"/>
    <x v="97"/>
    <m/>
    <m/>
  </r>
  <r>
    <n v="81"/>
    <x v="22"/>
    <n v="1"/>
    <x v="0"/>
    <n v="1"/>
    <x v="0"/>
    <s v="0013600000xoEDMAA2"/>
    <x v="24"/>
    <s v="a1E360000012HfzEAE"/>
    <x v="98"/>
    <m/>
    <m/>
  </r>
  <r>
    <n v="113"/>
    <x v="23"/>
    <n v="1"/>
    <x v="0"/>
    <n v="1"/>
    <x v="0"/>
    <s v="0013600000xoEInAAM"/>
    <x v="1"/>
    <s v="a1E360000012HghEAE"/>
    <x v="99"/>
    <m/>
    <m/>
  </r>
  <r>
    <n v="26"/>
    <x v="24"/>
    <n v="1"/>
    <x v="0"/>
    <n v="4"/>
    <x v="3"/>
    <s v="0013600000xoEJAAA2"/>
    <x v="1"/>
    <s v="a1E360000012HcxEAE"/>
    <x v="100"/>
    <m/>
    <m/>
  </r>
  <r>
    <n v="26"/>
    <x v="24"/>
    <n v="1"/>
    <x v="0"/>
    <n v="3"/>
    <x v="1"/>
    <s v="0013600000xoEJAAA2"/>
    <x v="1"/>
    <s v="a1E360000012HcwEAE"/>
    <x v="101"/>
    <m/>
    <m/>
  </r>
  <r>
    <n v="26"/>
    <x v="24"/>
    <n v="1"/>
    <x v="0"/>
    <n v="5"/>
    <x v="3"/>
    <s v="0013600000xoEJAAA2"/>
    <x v="1"/>
    <s v="a1E3p00000BglFbEAJ"/>
    <x v="102"/>
    <m/>
    <m/>
  </r>
  <r>
    <n v="115"/>
    <x v="25"/>
    <n v="1"/>
    <x v="0"/>
    <n v="1"/>
    <x v="0"/>
    <s v="0013600000xoEGNAA2"/>
    <x v="46"/>
    <s v="a1E360000012HgiEAE"/>
    <x v="103"/>
    <m/>
    <m/>
  </r>
  <r>
    <n v="115"/>
    <x v="25"/>
    <n v="1"/>
    <x v="0"/>
    <n v="1"/>
    <x v="0"/>
    <s v="0013600000xoEH5AAM"/>
    <x v="47"/>
    <s v="a1E360000012HgjEAE"/>
    <x v="104"/>
    <m/>
    <m/>
  </r>
  <r>
    <n v="115"/>
    <x v="25"/>
    <n v="1"/>
    <x v="0"/>
    <n v="2"/>
    <x v="2"/>
    <s v="0013600000xoEGKAA2"/>
    <x v="48"/>
    <s v="a1E360000012HgkEAE"/>
    <x v="105"/>
    <m/>
    <m/>
  </r>
  <r>
    <n v="52"/>
    <x v="26"/>
    <n v="1"/>
    <x v="0"/>
    <n v="1"/>
    <x v="0"/>
    <s v="00136000011OffxAAC"/>
    <x v="49"/>
    <s v="a1E36000001jMi5EAE"/>
    <x v="106"/>
    <m/>
    <m/>
  </r>
  <r>
    <n v="97"/>
    <x v="27"/>
    <n v="1"/>
    <x v="0"/>
    <n v="1"/>
    <x v="0"/>
    <s v="0013600000xoEGQAA2"/>
    <x v="50"/>
    <s v="a1E36000001jMlGEAU"/>
    <x v="107"/>
    <m/>
    <m/>
  </r>
  <r>
    <n v="97"/>
    <x v="27"/>
    <n v="1"/>
    <x v="0"/>
    <n v="1"/>
    <x v="0"/>
    <s v="0013600000xoEJFAA2"/>
    <x v="51"/>
    <s v="a1E36000002vj5cEAA"/>
    <x v="108"/>
    <m/>
    <m/>
  </r>
  <r>
    <n v="53"/>
    <x v="28"/>
    <n v="1"/>
    <x v="0"/>
    <n v="4"/>
    <x v="3"/>
    <s v="0011R000021Gk69QAC"/>
    <x v="1"/>
    <s v="a1E1R00000FpYIFUA3"/>
    <x v="109"/>
    <m/>
    <m/>
  </r>
  <r>
    <n v="27"/>
    <x v="29"/>
    <n v="1"/>
    <x v="0"/>
    <n v="1"/>
    <x v="0"/>
    <s v="0013600000xoEHdAAM"/>
    <x v="52"/>
    <s v="a1E360000012H8vEAE"/>
    <x v="110"/>
    <m/>
    <m/>
  </r>
  <r>
    <n v="27"/>
    <x v="29"/>
    <n v="1"/>
    <x v="0"/>
    <n v="3"/>
    <x v="1"/>
    <s v="0013600000xoEHdAAM"/>
    <x v="52"/>
    <s v="a1E360000012H8uEAE"/>
    <x v="111"/>
    <m/>
    <m/>
  </r>
  <r>
    <n v="27"/>
    <x v="29"/>
    <n v="1"/>
    <x v="0"/>
    <n v="2"/>
    <x v="2"/>
    <s v="0013600000xoEHdAAM"/>
    <x v="52"/>
    <s v="a1E360000012H8wEAE"/>
    <x v="112"/>
    <m/>
    <m/>
  </r>
  <r>
    <n v="28"/>
    <x v="30"/>
    <n v="1"/>
    <x v="0"/>
    <n v="1"/>
    <x v="0"/>
    <s v="0013600000xoEHsAAM"/>
    <x v="53"/>
    <s v="a1E360000012Hd3EAE"/>
    <x v="113"/>
    <m/>
    <m/>
  </r>
  <r>
    <n v="28"/>
    <x v="30"/>
    <n v="1"/>
    <x v="0"/>
    <n v="3"/>
    <x v="1"/>
    <s v="0013600000xoEHiAAM"/>
    <x v="54"/>
    <s v="a1E360000012Hd1EAE"/>
    <x v="114"/>
    <m/>
    <m/>
  </r>
  <r>
    <n v="28"/>
    <x v="30"/>
    <n v="1"/>
    <x v="0"/>
    <n v="3"/>
    <x v="1"/>
    <s v="0011R00002FW6goQAD"/>
    <x v="55"/>
    <s v="a1E1R00000Dm7W4UAJ"/>
    <x v="115"/>
    <m/>
    <m/>
  </r>
  <r>
    <n v="28"/>
    <x v="30"/>
    <n v="1"/>
    <x v="0"/>
    <n v="6"/>
    <x v="4"/>
    <s v="0013600000xoEHiAAM"/>
    <x v="54"/>
    <s v="a1E360000012Hd2EAE"/>
    <x v="116"/>
    <m/>
    <m/>
  </r>
  <r>
    <n v="28"/>
    <x v="30"/>
    <n v="1"/>
    <x v="0"/>
    <n v="2"/>
    <x v="2"/>
    <s v="0013600000xoEHiAAM"/>
    <x v="54"/>
    <s v="a1E360000012HcyEAE"/>
    <x v="117"/>
    <m/>
    <m/>
  </r>
  <r>
    <n v="224"/>
    <x v="31"/>
    <n v="1"/>
    <x v="0"/>
    <n v="2"/>
    <x v="2"/>
    <s v="0013600000xoEFiAAM"/>
    <x v="56"/>
    <s v="a1E360000012HibEAE"/>
    <x v="118"/>
    <m/>
    <m/>
  </r>
  <r>
    <n v="50"/>
    <x v="32"/>
    <n v="2"/>
    <x v="1"/>
    <n v="2"/>
    <x v="2"/>
    <s v="0013600001ahvPjAAI"/>
    <x v="57"/>
    <s v="a1E360000061xBdEAI"/>
    <x v="119"/>
    <m/>
    <m/>
  </r>
  <r>
    <n v="50"/>
    <x v="32"/>
    <n v="2"/>
    <x v="1"/>
    <n v="2"/>
    <x v="2"/>
    <s v="0013600000xoEGUAA2"/>
    <x v="58"/>
    <s v="a1E360000012He8EAE"/>
    <x v="120"/>
    <m/>
    <m/>
  </r>
  <r>
    <n v="164"/>
    <x v="33"/>
    <n v="1"/>
    <x v="0"/>
    <n v="1"/>
    <x v="0"/>
    <s v="0013600000xoEJJAA2"/>
    <x v="59"/>
    <s v="a1E360000012Hi7EAE"/>
    <x v="121"/>
    <m/>
    <m/>
  </r>
  <r>
    <n v="164"/>
    <x v="33"/>
    <n v="1"/>
    <x v="0"/>
    <n v="2"/>
    <x v="2"/>
    <s v="0013600000xoEJJAA2"/>
    <x v="59"/>
    <s v="a1E360000012Hi5EAE"/>
    <x v="122"/>
    <m/>
    <m/>
  </r>
  <r>
    <n v="69"/>
    <x v="34"/>
    <n v="1"/>
    <x v="0"/>
    <n v="4"/>
    <x v="3"/>
    <s v="0013p00001xm0UfAAI"/>
    <x v="60"/>
    <s v="a1E3p00000BgksFEAR"/>
    <x v="123"/>
    <m/>
    <m/>
  </r>
  <r>
    <n v="69"/>
    <x v="34"/>
    <n v="1"/>
    <x v="0"/>
    <n v="4"/>
    <x v="3"/>
    <s v="0013600000xoEHmAAM"/>
    <x v="61"/>
    <s v="a1E36000002wQO2EAM"/>
    <x v="124"/>
    <m/>
    <m/>
  </r>
  <r>
    <n v="69"/>
    <x v="34"/>
    <n v="1"/>
    <x v="0"/>
    <n v="1"/>
    <x v="0"/>
    <s v="0013600001GqA8CAAV"/>
    <x v="62"/>
    <s v="a1E36000002wQJsEAM"/>
    <x v="125"/>
    <m/>
    <m/>
  </r>
  <r>
    <n v="69"/>
    <x v="34"/>
    <n v="1"/>
    <x v="0"/>
    <n v="3"/>
    <x v="1"/>
    <s v="0013600000xoEFQAA2"/>
    <x v="63"/>
    <s v="a1E360000012H9sEAE"/>
    <x v="126"/>
    <m/>
    <m/>
  </r>
  <r>
    <n v="69"/>
    <x v="34"/>
    <n v="1"/>
    <x v="0"/>
    <n v="3"/>
    <x v="1"/>
    <s v="0013600000xoEHmAAM"/>
    <x v="61"/>
    <s v="a1E360000012H9tEAE"/>
    <x v="127"/>
    <m/>
    <m/>
  </r>
  <r>
    <n v="70"/>
    <x v="35"/>
    <n v="1"/>
    <x v="0"/>
    <n v="4"/>
    <x v="3"/>
    <s v="0013600000xoEDmAAM"/>
    <x v="9"/>
    <s v="a1E36000002wgmqEAA"/>
    <x v="128"/>
    <m/>
    <m/>
  </r>
  <r>
    <n v="70"/>
    <x v="35"/>
    <n v="1"/>
    <x v="0"/>
    <n v="1"/>
    <x v="0"/>
    <s v="0013600000xoEHLAA2"/>
    <x v="64"/>
    <s v="a1E360000012HfGEAU"/>
    <x v="129"/>
    <m/>
    <m/>
  </r>
  <r>
    <n v="70"/>
    <x v="35"/>
    <n v="1"/>
    <x v="0"/>
    <n v="1"/>
    <x v="0"/>
    <s v="0013600000xoEHoAAM"/>
    <x v="65"/>
    <s v="a1E36000002waeLEAQ"/>
    <x v="130"/>
    <m/>
    <m/>
  </r>
  <r>
    <n v="70"/>
    <x v="35"/>
    <n v="1"/>
    <x v="0"/>
    <n v="3"/>
    <x v="1"/>
    <s v="0013600000xoEG1AAM"/>
    <x v="40"/>
    <s v="a1E360000012HfFEAU"/>
    <x v="131"/>
    <m/>
    <m/>
  </r>
  <r>
    <n v="68"/>
    <x v="36"/>
    <n v="1"/>
    <x v="0"/>
    <n v="4"/>
    <x v="3"/>
    <s v="0013600000xoEFEAA2"/>
    <x v="66"/>
    <s v="a1E36000002w6WCEAY"/>
    <x v="132"/>
    <m/>
    <m/>
  </r>
  <r>
    <n v="68"/>
    <x v="36"/>
    <n v="1"/>
    <x v="0"/>
    <n v="4"/>
    <x v="3"/>
    <s v="0013600000xoEGsAAM"/>
    <x v="67"/>
    <s v="a1E36000002vvY5EAI"/>
    <x v="133"/>
    <s v="Multicountry Eastern Africa IGAD"/>
    <s v="a49360000005CUS"/>
  </r>
  <r>
    <n v="68"/>
    <x v="36"/>
    <n v="1"/>
    <x v="0"/>
    <n v="1"/>
    <x v="0"/>
    <s v="0013600000xoEFEAA2"/>
    <x v="66"/>
    <s v="a1E360000012HfDEAU"/>
    <x v="134"/>
    <m/>
    <m/>
  </r>
  <r>
    <n v="68"/>
    <x v="36"/>
    <n v="1"/>
    <x v="0"/>
    <n v="1"/>
    <x v="0"/>
    <s v="0013600000xoEGsAAM"/>
    <x v="67"/>
    <s v="a1E360000012HfEEAU"/>
    <x v="135"/>
    <m/>
    <m/>
  </r>
  <r>
    <n v="68"/>
    <x v="36"/>
    <n v="1"/>
    <x v="0"/>
    <n v="3"/>
    <x v="1"/>
    <s v="0013600000xoEFlAAM"/>
    <x v="68"/>
    <s v="a1E360000012HfBEAU"/>
    <x v="136"/>
    <m/>
    <m/>
  </r>
  <r>
    <n v="71"/>
    <x v="37"/>
    <n v="1"/>
    <x v="0"/>
    <n v="1"/>
    <x v="0"/>
    <s v="0013600000xoEGtAAM"/>
    <x v="69"/>
    <s v="a1E360000012HfLEAU"/>
    <x v="137"/>
    <m/>
    <m/>
  </r>
  <r>
    <n v="71"/>
    <x v="37"/>
    <n v="2"/>
    <x v="1"/>
    <n v="4"/>
    <x v="3"/>
    <s v="0013600000xoEFJAA2"/>
    <x v="70"/>
    <s v="a1E36000002vvPHEAY"/>
    <x v="138"/>
    <m/>
    <m/>
  </r>
  <r>
    <n v="71"/>
    <x v="37"/>
    <n v="2"/>
    <x v="1"/>
    <n v="1"/>
    <x v="0"/>
    <s v="0013600000xoEGtAAM"/>
    <x v="69"/>
    <s v="a1E36000001jMmZEAU"/>
    <x v="139"/>
    <m/>
    <m/>
  </r>
  <r>
    <n v="71"/>
    <x v="37"/>
    <n v="2"/>
    <x v="1"/>
    <n v="3"/>
    <x v="1"/>
    <s v="0013600000xoEIsAAM"/>
    <x v="1"/>
    <s v="a1E360000012HfNEAU"/>
    <x v="140"/>
    <m/>
    <m/>
  </r>
  <r>
    <n v="71"/>
    <x v="37"/>
    <n v="2"/>
    <x v="1"/>
    <n v="2"/>
    <x v="2"/>
    <s v="0013600000xoEFJAA2"/>
    <x v="70"/>
    <s v="a1E360000012HfKEAU"/>
    <x v="141"/>
    <m/>
    <m/>
  </r>
  <r>
    <n v="49"/>
    <x v="38"/>
    <n v="1"/>
    <x v="0"/>
    <n v="3"/>
    <x v="1"/>
    <s v="GFS_Vendor_26308"/>
    <x v="71"/>
    <s v="a1E36000001jMlVEAU"/>
    <x v="142"/>
    <m/>
    <m/>
  </r>
  <r>
    <n v="83"/>
    <x v="39"/>
    <n v="1"/>
    <x v="0"/>
    <n v="1"/>
    <x v="0"/>
    <s v="0013600001iYePSAA0"/>
    <x v="72"/>
    <s v="a1E360000063VDLEA2"/>
    <x v="143"/>
    <m/>
    <m/>
  </r>
  <r>
    <n v="83"/>
    <x v="39"/>
    <n v="1"/>
    <x v="0"/>
    <n v="3"/>
    <x v="1"/>
    <s v="0013600001aJHD7AAO"/>
    <x v="73"/>
    <s v="a1E3p00000Bxf46EAB"/>
    <x v="144"/>
    <m/>
    <m/>
  </r>
  <r>
    <n v="83"/>
    <x v="39"/>
    <n v="1"/>
    <x v="0"/>
    <n v="3"/>
    <x v="1"/>
    <s v="0013600000xoEHIAA2"/>
    <x v="74"/>
    <s v="a1E360000012Hg5EAE"/>
    <x v="145"/>
    <m/>
    <m/>
  </r>
  <r>
    <n v="83"/>
    <x v="39"/>
    <n v="1"/>
    <x v="0"/>
    <n v="2"/>
    <x v="2"/>
    <s v="0013600000xoEHIAA2"/>
    <x v="74"/>
    <s v="a1E360000012Hg7EAE"/>
    <x v="146"/>
    <m/>
    <m/>
  </r>
  <r>
    <n v="100"/>
    <x v="40"/>
    <n v="1"/>
    <x v="0"/>
    <n v="4"/>
    <x v="3"/>
    <s v="0013600000xoEJCAA2"/>
    <x v="75"/>
    <s v="a1E3p00000CwU7OEAV"/>
    <x v="147"/>
    <m/>
    <m/>
  </r>
  <r>
    <n v="100"/>
    <x v="40"/>
    <n v="1"/>
    <x v="0"/>
    <n v="1"/>
    <x v="0"/>
    <s v="0013600000xoEJCAA2"/>
    <x v="75"/>
    <s v="a1E36000002vdqMEAQ"/>
    <x v="148"/>
    <m/>
    <m/>
  </r>
  <r>
    <n v="100"/>
    <x v="40"/>
    <n v="1"/>
    <x v="0"/>
    <n v="3"/>
    <x v="1"/>
    <s v="0013600000xoEJCAA2"/>
    <x v="75"/>
    <s v="a1E360000012HgWEAU"/>
    <x v="149"/>
    <m/>
    <m/>
  </r>
  <r>
    <n v="100"/>
    <x v="40"/>
    <n v="1"/>
    <x v="0"/>
    <n v="2"/>
    <x v="2"/>
    <s v="0013600000xoEJCAA2"/>
    <x v="75"/>
    <s v="a1E360000012HgXEAU"/>
    <x v="150"/>
    <m/>
    <m/>
  </r>
  <r>
    <n v="100"/>
    <x v="40"/>
    <n v="1"/>
    <x v="0"/>
    <n v="1"/>
    <x v="0"/>
    <s v="0013600000xoEJCAA2"/>
    <x v="75"/>
    <s v="a1E360000012HgUEAU"/>
    <x v="151"/>
    <m/>
    <m/>
  </r>
  <r>
    <n v="84"/>
    <x v="41"/>
    <n v="1"/>
    <x v="0"/>
    <n v="4"/>
    <x v="3"/>
    <s v="0013600000xoEGOAA2"/>
    <x v="76"/>
    <s v="a1E1R00000HyiUXUAZ"/>
    <x v="152"/>
    <m/>
    <m/>
  </r>
  <r>
    <n v="84"/>
    <x v="41"/>
    <n v="1"/>
    <x v="0"/>
    <n v="3"/>
    <x v="1"/>
    <s v="0013600000xoEGOAA2"/>
    <x v="76"/>
    <s v="a1E360000012Hg8EAE"/>
    <x v="153"/>
    <m/>
    <m/>
  </r>
  <r>
    <n v="118"/>
    <x v="42"/>
    <n v="1"/>
    <x v="0"/>
    <n v="4"/>
    <x v="3"/>
    <s v="0013600000xoEIOAA2"/>
    <x v="38"/>
    <s v="a1E360000012HglEAE"/>
    <x v="154"/>
    <m/>
    <m/>
  </r>
  <r>
    <n v="118"/>
    <x v="42"/>
    <n v="1"/>
    <x v="0"/>
    <n v="4"/>
    <x v="3"/>
    <s v="0013p00002118kkAAA"/>
    <x v="3"/>
    <s v="a1E3p00000BxfpaEAB"/>
    <x v="155"/>
    <m/>
    <m/>
  </r>
  <r>
    <n v="118"/>
    <x v="42"/>
    <n v="1"/>
    <x v="0"/>
    <n v="3"/>
    <x v="1"/>
    <s v="0013600000xoEIOAA2"/>
    <x v="38"/>
    <s v="a1E360000012HgmEAE"/>
    <x v="156"/>
    <m/>
    <m/>
  </r>
  <r>
    <n v="118"/>
    <x v="42"/>
    <n v="1"/>
    <x v="0"/>
    <n v="3"/>
    <x v="1"/>
    <s v="0013600000xoEJ3AAM"/>
    <x v="1"/>
    <s v="a1E3p00000B9eUyEAJ"/>
    <x v="157"/>
    <m/>
    <m/>
  </r>
  <r>
    <n v="118"/>
    <x v="42"/>
    <n v="1"/>
    <x v="0"/>
    <n v="6"/>
    <x v="4"/>
    <s v="0013p00001rYAiOAAW"/>
    <x v="77"/>
    <s v="a1E3p00000B9eEbEAJ"/>
    <x v="158"/>
    <m/>
    <m/>
  </r>
  <r>
    <n v="142"/>
    <x v="43"/>
    <n v="1"/>
    <x v="0"/>
    <n v="1"/>
    <x v="0"/>
    <s v="0013600001GqOkCAAV"/>
    <x v="78"/>
    <s v="a1E3p00000DXtYAEA1"/>
    <x v="159"/>
    <m/>
    <m/>
  </r>
  <r>
    <n v="142"/>
    <x v="43"/>
    <n v="1"/>
    <x v="0"/>
    <n v="1"/>
    <x v="0"/>
    <s v="0013600000xoEF4AAM"/>
    <x v="79"/>
    <s v="a1E360000012HAEEA2"/>
    <x v="160"/>
    <m/>
    <m/>
  </r>
  <r>
    <n v="142"/>
    <x v="43"/>
    <n v="1"/>
    <x v="0"/>
    <n v="1"/>
    <x v="0"/>
    <s v="0013600000xoEKhAAM"/>
    <x v="80"/>
    <s v="a1E360000012HACEA2"/>
    <x v="161"/>
    <m/>
    <m/>
  </r>
  <r>
    <n v="142"/>
    <x v="43"/>
    <n v="1"/>
    <x v="0"/>
    <n v="3"/>
    <x v="1"/>
    <s v="0013600000xoEF4AAM"/>
    <x v="79"/>
    <s v="a1E360000012HAGEA2"/>
    <x v="162"/>
    <m/>
    <m/>
  </r>
  <r>
    <n v="142"/>
    <x v="43"/>
    <n v="1"/>
    <x v="0"/>
    <n v="3"/>
    <x v="1"/>
    <s v="0013600000xoEGCAA2"/>
    <x v="81"/>
    <s v="a1E360000012HABEA2"/>
    <x v="163"/>
    <m/>
    <m/>
  </r>
  <r>
    <n v="142"/>
    <x v="43"/>
    <n v="1"/>
    <x v="0"/>
    <n v="2"/>
    <x v="2"/>
    <s v="0013600000xoEEfAAM"/>
    <x v="82"/>
    <s v="a1E360000012HAHEA2"/>
    <x v="164"/>
    <m/>
    <m/>
  </r>
  <r>
    <n v="142"/>
    <x v="43"/>
    <n v="1"/>
    <x v="0"/>
    <n v="2"/>
    <x v="2"/>
    <s v="0013600000xoEF4AAM"/>
    <x v="79"/>
    <s v="a1E360000012HAIEA2"/>
    <x v="165"/>
    <m/>
    <m/>
  </r>
  <r>
    <n v="142"/>
    <x v="43"/>
    <n v="1"/>
    <x v="0"/>
    <n v="2"/>
    <x v="2"/>
    <s v="0013p00001xm4zfAAA"/>
    <x v="83"/>
    <s v="a1E3p00000BgkseEAB"/>
    <x v="166"/>
    <m/>
    <m/>
  </r>
  <r>
    <n v="154"/>
    <x v="44"/>
    <n v="1"/>
    <x v="0"/>
    <n v="4"/>
    <x v="3"/>
    <s v="0013600000xoEKTAA2"/>
    <x v="84"/>
    <s v="a1E3p00000BvyWnEAJ"/>
    <x v="167"/>
    <m/>
    <m/>
  </r>
  <r>
    <n v="154"/>
    <x v="44"/>
    <n v="1"/>
    <x v="0"/>
    <n v="4"/>
    <x v="3"/>
    <s v="0013600001ElqLxAAJ"/>
    <x v="85"/>
    <s v="a1E36000002wG2qEAE"/>
    <x v="168"/>
    <m/>
    <m/>
  </r>
  <r>
    <n v="154"/>
    <x v="44"/>
    <n v="1"/>
    <x v="0"/>
    <n v="1"/>
    <x v="0"/>
    <s v="0013600000xoEH2AAM"/>
    <x v="86"/>
    <s v="a1E360000012HhdEAE"/>
    <x v="169"/>
    <m/>
    <m/>
  </r>
  <r>
    <n v="154"/>
    <x v="44"/>
    <n v="1"/>
    <x v="0"/>
    <n v="1"/>
    <x v="0"/>
    <s v="0013600000xoEHcAAM"/>
    <x v="87"/>
    <s v="a1E360000012HhWEAU"/>
    <x v="170"/>
    <m/>
    <m/>
  </r>
  <r>
    <n v="154"/>
    <x v="44"/>
    <n v="1"/>
    <x v="0"/>
    <n v="1"/>
    <x v="0"/>
    <s v="0013600000xoEKTAA2"/>
    <x v="84"/>
    <s v="a1E360000012HhUEAU"/>
    <x v="171"/>
    <m/>
    <m/>
  </r>
  <r>
    <n v="154"/>
    <x v="44"/>
    <n v="1"/>
    <x v="0"/>
    <n v="1"/>
    <x v="0"/>
    <s v="0013600000xoEKYAA2"/>
    <x v="88"/>
    <s v="a1E360000012HhVEAU"/>
    <x v="172"/>
    <m/>
    <m/>
  </r>
  <r>
    <n v="154"/>
    <x v="44"/>
    <n v="1"/>
    <x v="0"/>
    <n v="3"/>
    <x v="1"/>
    <s v="0013600000xoEHeAAM"/>
    <x v="87"/>
    <s v="a1E360000012HhXEAU"/>
    <x v="173"/>
    <m/>
    <m/>
  </r>
  <r>
    <n v="154"/>
    <x v="44"/>
    <n v="1"/>
    <x v="0"/>
    <n v="3"/>
    <x v="1"/>
    <s v="0013p0000211WcwAAE"/>
    <x v="89"/>
    <s v="a1E3p00000BxVcBEAV"/>
    <x v="174"/>
    <m/>
    <m/>
  </r>
  <r>
    <n v="154"/>
    <x v="44"/>
    <n v="1"/>
    <x v="0"/>
    <n v="2"/>
    <x v="2"/>
    <s v="0013600001NTuggAAD"/>
    <x v="90"/>
    <s v="a1E36000004IT07EAG"/>
    <x v="175"/>
    <m/>
    <m/>
  </r>
  <r>
    <n v="154"/>
    <x v="44"/>
    <n v="1"/>
    <x v="0"/>
    <n v="2"/>
    <x v="2"/>
    <s v="0013600000xoEHbAAM"/>
    <x v="87"/>
    <s v="a1E360000012HhcEAE"/>
    <x v="176"/>
    <m/>
    <m/>
  </r>
  <r>
    <n v="154"/>
    <x v="44"/>
    <n v="1"/>
    <x v="0"/>
    <n v="2"/>
    <x v="2"/>
    <s v="0013600001Nab8fAAB"/>
    <x v="91"/>
    <s v="a1E36000004IToSEAW"/>
    <x v="177"/>
    <m/>
    <m/>
  </r>
  <r>
    <n v="154"/>
    <x v="44"/>
    <n v="1"/>
    <x v="0"/>
    <n v="2"/>
    <x v="2"/>
    <s v="0011R000027ljyOQAQ"/>
    <x v="92"/>
    <s v="a1E1R00000HyQDrUAN"/>
    <x v="178"/>
    <m/>
    <m/>
  </r>
  <r>
    <n v="154"/>
    <x v="44"/>
    <n v="1"/>
    <x v="0"/>
    <n v="2"/>
    <x v="2"/>
    <s v="0013600000xoEFUAA2"/>
    <x v="93"/>
    <s v="a1E360000012HhaEAE"/>
    <x v="179"/>
    <m/>
    <m/>
  </r>
  <r>
    <n v="154"/>
    <x v="44"/>
    <n v="1"/>
    <x v="0"/>
    <n v="2"/>
    <x v="2"/>
    <s v="0013600001ElqLxAAJ"/>
    <x v="85"/>
    <s v="a1E3p00000BvyWdEAJ"/>
    <x v="180"/>
    <m/>
    <m/>
  </r>
  <r>
    <n v="155"/>
    <x v="45"/>
    <n v="1"/>
    <x v="0"/>
    <n v="1"/>
    <x v="0"/>
    <s v="0013600000xoEJ4AAM"/>
    <x v="1"/>
    <s v="a1E360000012HhhEAE"/>
    <x v="181"/>
    <m/>
    <m/>
  </r>
  <r>
    <n v="119"/>
    <x v="46"/>
    <n v="1"/>
    <x v="0"/>
    <n v="1"/>
    <x v="0"/>
    <s v="0013600000xoEIEAA2"/>
    <x v="94"/>
    <s v="a1E360000012HgrEAE"/>
    <x v="182"/>
    <m/>
    <m/>
  </r>
  <r>
    <n v="130"/>
    <x v="47"/>
    <n v="1"/>
    <x v="0"/>
    <n v="1"/>
    <x v="0"/>
    <s v="0013600000xoEIZAA2"/>
    <x v="95"/>
    <s v="a1E360000012HguEAE"/>
    <x v="183"/>
    <m/>
    <m/>
  </r>
  <r>
    <n v="130"/>
    <x v="47"/>
    <n v="1"/>
    <x v="0"/>
    <n v="2"/>
    <x v="2"/>
    <s v="0013600000xoEFqAAM"/>
    <x v="96"/>
    <s v="a1E36000001jMnlEAE"/>
    <x v="184"/>
    <m/>
    <m/>
  </r>
  <r>
    <n v="29"/>
    <x v="48"/>
    <n v="1"/>
    <x v="0"/>
    <n v="1"/>
    <x v="0"/>
    <s v="0013600000xoEGgAAM"/>
    <x v="97"/>
    <s v="a1E360000012Hd6EAE"/>
    <x v="185"/>
    <m/>
    <m/>
  </r>
  <r>
    <n v="29"/>
    <x v="48"/>
    <n v="1"/>
    <x v="0"/>
    <n v="1"/>
    <x v="0"/>
    <s v="0013600000xoEHxAAM"/>
    <x v="98"/>
    <s v="a1E360000012Hd7EAE"/>
    <x v="186"/>
    <m/>
    <m/>
  </r>
  <r>
    <n v="29"/>
    <x v="48"/>
    <n v="1"/>
    <x v="0"/>
    <n v="3"/>
    <x v="1"/>
    <s v="0013600000xoEFLAA2"/>
    <x v="99"/>
    <s v="a1E360000012Hd4EAE"/>
    <x v="187"/>
    <m/>
    <m/>
  </r>
  <r>
    <n v="29"/>
    <x v="48"/>
    <n v="1"/>
    <x v="0"/>
    <n v="3"/>
    <x v="1"/>
    <s v="0013600000xoEHxAAM"/>
    <x v="98"/>
    <s v="a1E360000012Hd5EAE"/>
    <x v="188"/>
    <m/>
    <m/>
  </r>
  <r>
    <n v="29"/>
    <x v="48"/>
    <n v="1"/>
    <x v="0"/>
    <n v="2"/>
    <x v="2"/>
    <s v="0013600000xoEFLAA2"/>
    <x v="99"/>
    <s v="a1E360000012Hd8EAE"/>
    <x v="189"/>
    <m/>
    <m/>
  </r>
  <r>
    <n v="29"/>
    <x v="48"/>
    <n v="1"/>
    <x v="0"/>
    <n v="2"/>
    <x v="2"/>
    <s v="0013600000xoEHxAAM"/>
    <x v="98"/>
    <s v="a1E360000012Hd9EAE"/>
    <x v="190"/>
    <m/>
    <m/>
  </r>
  <r>
    <n v="131"/>
    <x v="49"/>
    <n v="1"/>
    <x v="0"/>
    <n v="4"/>
    <x v="3"/>
    <s v="0013600000xoEIwAAM"/>
    <x v="1"/>
    <s v="a1E360000012HgzEAE"/>
    <x v="191"/>
    <m/>
    <m/>
  </r>
  <r>
    <n v="141"/>
    <x v="50"/>
    <n v="1"/>
    <x v="0"/>
    <n v="4"/>
    <x v="3"/>
    <s v="0013600001ElqOHAAZ"/>
    <x v="100"/>
    <s v="a1E36000002wGNSEA2"/>
    <x v="192"/>
    <m/>
    <m/>
  </r>
  <r>
    <n v="141"/>
    <x v="50"/>
    <n v="1"/>
    <x v="0"/>
    <n v="6"/>
    <x v="4"/>
    <s v="0013600001ElqOHAAZ"/>
    <x v="100"/>
    <s v="a1E3p00000B9hgqEAB"/>
    <x v="193"/>
    <m/>
    <m/>
  </r>
  <r>
    <n v="143"/>
    <x v="51"/>
    <n v="1"/>
    <x v="0"/>
    <n v="4"/>
    <x v="3"/>
    <s v="0013600000xoEHUAA2"/>
    <x v="101"/>
    <s v="a1E3p00000B9ZrSEAV"/>
    <x v="194"/>
    <m/>
    <m/>
  </r>
  <r>
    <n v="143"/>
    <x v="51"/>
    <n v="1"/>
    <x v="0"/>
    <n v="1"/>
    <x v="0"/>
    <s v="0013600000xoEHUAA2"/>
    <x v="101"/>
    <s v="a1E360000012HhHEAU"/>
    <x v="195"/>
    <m/>
    <m/>
  </r>
  <r>
    <n v="143"/>
    <x v="51"/>
    <n v="1"/>
    <x v="0"/>
    <n v="3"/>
    <x v="1"/>
    <s v="0013600000xoEHUAA2"/>
    <x v="101"/>
    <s v="a1E360000012HhJEAU"/>
    <x v="196"/>
    <m/>
    <m/>
  </r>
  <r>
    <n v="143"/>
    <x v="51"/>
    <n v="1"/>
    <x v="0"/>
    <n v="2"/>
    <x v="2"/>
    <s v="0013600000xoEHUAA2"/>
    <x v="101"/>
    <s v="a1E360000012HhGEAU"/>
    <x v="197"/>
    <m/>
    <m/>
  </r>
  <r>
    <n v="72"/>
    <x v="52"/>
    <n v="1"/>
    <x v="0"/>
    <n v="1"/>
    <x v="0"/>
    <s v="0013600000xoEI2AAM"/>
    <x v="102"/>
    <s v="a1E360000012H9yEAE"/>
    <x v="198"/>
    <m/>
    <m/>
  </r>
  <r>
    <n v="72"/>
    <x v="52"/>
    <n v="1"/>
    <x v="0"/>
    <n v="4"/>
    <x v="3"/>
    <s v="0013600000xoEI2AAM"/>
    <x v="102"/>
    <s v="a1E360000012H9zEAE"/>
    <x v="199"/>
    <m/>
    <m/>
  </r>
  <r>
    <n v="72"/>
    <x v="52"/>
    <n v="1"/>
    <x v="0"/>
    <n v="4"/>
    <x v="3"/>
    <s v="0013600000xoEH8AAM"/>
    <x v="9"/>
    <s v="a1E3p00000B9hgvEAB"/>
    <x v="200"/>
    <m/>
    <m/>
  </r>
  <r>
    <n v="72"/>
    <x v="52"/>
    <n v="1"/>
    <x v="0"/>
    <n v="1"/>
    <x v="0"/>
    <s v="0013600000xoEIOAA2"/>
    <x v="38"/>
    <s v="a1E360000012HA0EAM"/>
    <x v="201"/>
    <m/>
    <m/>
  </r>
  <r>
    <n v="72"/>
    <x v="52"/>
    <n v="1"/>
    <x v="0"/>
    <n v="3"/>
    <x v="1"/>
    <s v="0013600000xoEI2AAM"/>
    <x v="102"/>
    <s v="a1E360000012H9wEAE"/>
    <x v="202"/>
    <m/>
    <m/>
  </r>
  <r>
    <n v="72"/>
    <x v="52"/>
    <n v="1"/>
    <x v="0"/>
    <n v="3"/>
    <x v="1"/>
    <s v="0013600000xoEH8AAM"/>
    <x v="9"/>
    <s v="a1E360000012H9vEAE"/>
    <x v="203"/>
    <m/>
    <m/>
  </r>
  <r>
    <n v="72"/>
    <x v="52"/>
    <n v="1"/>
    <x v="0"/>
    <n v="2"/>
    <x v="2"/>
    <s v="0013600000xoEI2AAM"/>
    <x v="102"/>
    <s v="a1E360000012H9xEAE"/>
    <x v="204"/>
    <m/>
    <m/>
  </r>
  <r>
    <n v="159"/>
    <x v="53"/>
    <n v="1"/>
    <x v="0"/>
    <n v="1"/>
    <x v="0"/>
    <s v="0013600000xoEFfAAM"/>
    <x v="103"/>
    <s v="a1E360000012HhoEAE"/>
    <x v="205"/>
    <m/>
    <m/>
  </r>
  <r>
    <n v="159"/>
    <x v="53"/>
    <n v="1"/>
    <x v="0"/>
    <n v="1"/>
    <x v="0"/>
    <s v="0013600000xoEFkAAM"/>
    <x v="104"/>
    <s v="a1E360000012HhpEAE"/>
    <x v="206"/>
    <m/>
    <m/>
  </r>
  <r>
    <n v="159"/>
    <x v="53"/>
    <n v="1"/>
    <x v="0"/>
    <n v="3"/>
    <x v="1"/>
    <s v="0013600000xoEFkAAM"/>
    <x v="104"/>
    <s v="a1E360000012HhrEAE"/>
    <x v="207"/>
    <m/>
    <m/>
  </r>
  <r>
    <n v="159"/>
    <x v="53"/>
    <n v="1"/>
    <x v="0"/>
    <n v="6"/>
    <x v="4"/>
    <s v="0013600000xoEFkAAM"/>
    <x v="104"/>
    <s v="a1E3p00000BwXBOEA3"/>
    <x v="208"/>
    <m/>
    <m/>
  </r>
  <r>
    <n v="159"/>
    <x v="53"/>
    <n v="1"/>
    <x v="0"/>
    <n v="2"/>
    <x v="2"/>
    <s v="0013600000xoEFkAAM"/>
    <x v="104"/>
    <s v="a1E360000012HhqEAE"/>
    <x v="209"/>
    <m/>
    <m/>
  </r>
  <r>
    <n v="60"/>
    <x v="54"/>
    <n v="1"/>
    <x v="0"/>
    <n v="4"/>
    <x v="3"/>
    <s v="0013600000xoEHqAAM"/>
    <x v="105"/>
    <s v="a1E360000012HeOEAU"/>
    <x v="210"/>
    <m/>
    <m/>
  </r>
  <r>
    <n v="60"/>
    <x v="54"/>
    <n v="1"/>
    <x v="0"/>
    <n v="4"/>
    <x v="3"/>
    <s v="0013600000xoEKLAA2"/>
    <x v="106"/>
    <s v="a1E360000012HePEAU"/>
    <x v="211"/>
    <m/>
    <m/>
  </r>
  <r>
    <n v="55"/>
    <x v="55"/>
    <n v="2"/>
    <x v="1"/>
    <n v="4"/>
    <x v="3"/>
    <s v="0013600000xoEHSAA2"/>
    <x v="107"/>
    <s v="a1E3p00000B9oNAEAZ"/>
    <x v="212"/>
    <m/>
    <m/>
  </r>
  <r>
    <n v="55"/>
    <x v="55"/>
    <n v="2"/>
    <x v="1"/>
    <n v="1"/>
    <x v="0"/>
    <s v="0013600000xoEHSAA2"/>
    <x v="107"/>
    <s v="a1E36000004ImtrEAC"/>
    <x v="213"/>
    <m/>
    <m/>
  </r>
  <r>
    <n v="55"/>
    <x v="55"/>
    <n v="2"/>
    <x v="1"/>
    <n v="6"/>
    <x v="4"/>
    <s v="0013600000xoEHSAA2"/>
    <x v="107"/>
    <s v="a1E36000001jMpYEAU"/>
    <x v="214"/>
    <m/>
    <m/>
  </r>
  <r>
    <n v="55"/>
    <x v="55"/>
    <n v="2"/>
    <x v="1"/>
    <n v="2"/>
    <x v="2"/>
    <s v="0013600000xoEHSAA2"/>
    <x v="107"/>
    <s v="a1E36000004ImuQEAS"/>
    <x v="215"/>
    <m/>
    <m/>
  </r>
  <r>
    <n v="183"/>
    <x v="56"/>
    <n v="2"/>
    <x v="1"/>
    <n v="4"/>
    <x v="3"/>
    <s v="0013600000xoEHCAA2"/>
    <x v="108"/>
    <s v="a1E36000002wfkdEAA"/>
    <x v="216"/>
    <m/>
    <m/>
  </r>
  <r>
    <n v="183"/>
    <x v="56"/>
    <n v="2"/>
    <x v="1"/>
    <n v="2"/>
    <x v="2"/>
    <s v="0013600000xoEGDAA2"/>
    <x v="109"/>
    <s v="a1E360000012HiOEAU"/>
    <x v="217"/>
    <m/>
    <m/>
  </r>
  <r>
    <n v="30"/>
    <x v="57"/>
    <n v="1"/>
    <x v="0"/>
    <n v="1"/>
    <x v="0"/>
    <s v="0013600000xoEIOAA2"/>
    <x v="38"/>
    <s v="a1E36000001jMobEAE"/>
    <x v="218"/>
    <m/>
    <m/>
  </r>
  <r>
    <n v="30"/>
    <x v="57"/>
    <n v="1"/>
    <x v="0"/>
    <n v="1"/>
    <x v="0"/>
    <s v="0013600000xoEHPAA2"/>
    <x v="110"/>
    <s v="a1E36000001jMocEAE"/>
    <x v="219"/>
    <m/>
    <m/>
  </r>
  <r>
    <n v="30"/>
    <x v="57"/>
    <n v="1"/>
    <x v="0"/>
    <n v="3"/>
    <x v="1"/>
    <s v="0013600000xoEKyAAM"/>
    <x v="111"/>
    <s v="a1E36000001jModEAE"/>
    <x v="220"/>
    <m/>
    <m/>
  </r>
  <r>
    <n v="30"/>
    <x v="57"/>
    <n v="1"/>
    <x v="0"/>
    <n v="3"/>
    <x v="1"/>
    <s v="0013600000xoEIOAA2"/>
    <x v="38"/>
    <s v="a1E360000012HdIEAU"/>
    <x v="221"/>
    <m/>
    <m/>
  </r>
  <r>
    <n v="30"/>
    <x v="57"/>
    <n v="1"/>
    <x v="0"/>
    <n v="6"/>
    <x v="4"/>
    <s v="0013600000xoEKyAAM"/>
    <x v="111"/>
    <s v="a1E3p00000BwOc0EAF"/>
    <x v="222"/>
    <m/>
    <m/>
  </r>
  <r>
    <n v="30"/>
    <x v="57"/>
    <n v="1"/>
    <x v="0"/>
    <n v="2"/>
    <x v="2"/>
    <s v="0013600001WCJorAAH"/>
    <x v="40"/>
    <s v="a1E3p00000B9o0YEAR"/>
    <x v="223"/>
    <m/>
    <m/>
  </r>
  <r>
    <n v="30"/>
    <x v="57"/>
    <n v="1"/>
    <x v="0"/>
    <n v="2"/>
    <x v="2"/>
    <s v="0013600000xoEFwAAM"/>
    <x v="112"/>
    <s v="a1E360000012HdJEAU"/>
    <x v="224"/>
    <m/>
    <m/>
  </r>
  <r>
    <n v="73"/>
    <x v="58"/>
    <n v="2"/>
    <x v="1"/>
    <n v="4"/>
    <x v="3"/>
    <s v="0013p00001xm0UkAAI"/>
    <x v="113"/>
    <s v="a1E3p00000BgksKEAR"/>
    <x v="225"/>
    <m/>
    <m/>
  </r>
  <r>
    <n v="73"/>
    <x v="58"/>
    <n v="2"/>
    <x v="1"/>
    <n v="4"/>
    <x v="3"/>
    <s v="0013600000xoEHuAAM"/>
    <x v="114"/>
    <s v="a1E3p00000BgjvHEAR"/>
    <x v="226"/>
    <m/>
    <m/>
  </r>
  <r>
    <n v="73"/>
    <x v="58"/>
    <n v="2"/>
    <x v="1"/>
    <n v="1"/>
    <x v="0"/>
    <s v="0013600000xoEGuAAM"/>
    <x v="115"/>
    <s v="a1E36000002w2yVEAQ"/>
    <x v="227"/>
    <m/>
    <m/>
  </r>
  <r>
    <n v="73"/>
    <x v="58"/>
    <n v="2"/>
    <x v="1"/>
    <n v="1"/>
    <x v="0"/>
    <s v="0013600000xoEJHAA2"/>
    <x v="9"/>
    <s v="a1E36000001jMowEAE"/>
    <x v="228"/>
    <m/>
    <m/>
  </r>
  <r>
    <n v="73"/>
    <x v="58"/>
    <n v="2"/>
    <x v="1"/>
    <n v="3"/>
    <x v="1"/>
    <s v="0013600000xoEG5AAM"/>
    <x v="40"/>
    <s v="a1E3p00000DZ645EAD"/>
    <x v="229"/>
    <m/>
    <m/>
  </r>
  <r>
    <n v="73"/>
    <x v="58"/>
    <n v="2"/>
    <x v="1"/>
    <n v="3"/>
    <x v="1"/>
    <s v="0013600000xoEIOAA2"/>
    <x v="38"/>
    <s v="a1E360000012HfTEAU"/>
    <x v="230"/>
    <m/>
    <m/>
  </r>
  <r>
    <n v="73"/>
    <x v="58"/>
    <n v="2"/>
    <x v="1"/>
    <n v="6"/>
    <x v="4"/>
    <s v="0013600000xoEHuAAM"/>
    <x v="114"/>
    <s v="a1E3p00000BgjvREAR"/>
    <x v="231"/>
    <m/>
    <m/>
  </r>
  <r>
    <n v="73"/>
    <x v="58"/>
    <n v="2"/>
    <x v="1"/>
    <n v="2"/>
    <x v="2"/>
    <s v="0013600000xoEG5AAM"/>
    <x v="40"/>
    <s v="a1E360000012HfPEAU"/>
    <x v="232"/>
    <m/>
    <m/>
  </r>
  <r>
    <n v="31"/>
    <x v="59"/>
    <n v="1"/>
    <x v="0"/>
    <n v="1"/>
    <x v="0"/>
    <s v="0013600000xoEIYAA2"/>
    <x v="116"/>
    <s v="a1E360000012H95EAE"/>
    <x v="233"/>
    <m/>
    <m/>
  </r>
  <r>
    <n v="145"/>
    <x v="60"/>
    <n v="1"/>
    <x v="0"/>
    <n v="1"/>
    <x v="0"/>
    <s v="0013600000xoEKAAA2"/>
    <x v="20"/>
    <s v="a1E360000012HAPEA2"/>
    <x v="234"/>
    <m/>
    <m/>
  </r>
  <r>
    <n v="145"/>
    <x v="60"/>
    <n v="1"/>
    <x v="0"/>
    <n v="1"/>
    <x v="0"/>
    <s v="0013600000xoEIfAAM"/>
    <x v="117"/>
    <s v="a1E360000012HAOEA2"/>
    <x v="235"/>
    <m/>
    <m/>
  </r>
  <r>
    <n v="145"/>
    <x v="60"/>
    <n v="1"/>
    <x v="0"/>
    <n v="2"/>
    <x v="2"/>
    <s v="0013600000xoEKAAA2"/>
    <x v="20"/>
    <s v="a1E360000012HALEA2"/>
    <x v="236"/>
    <m/>
    <m/>
  </r>
  <r>
    <n v="145"/>
    <x v="60"/>
    <n v="1"/>
    <x v="0"/>
    <n v="2"/>
    <x v="2"/>
    <s v="0013600000xoEIfAAM"/>
    <x v="117"/>
    <s v="a1E360000012HAKEA2"/>
    <x v="237"/>
    <m/>
    <m/>
  </r>
  <r>
    <n v="246"/>
    <x v="61"/>
    <n v="2"/>
    <x v="1"/>
    <n v="1"/>
    <x v="0"/>
    <s v="0013600001j0U7mAAE"/>
    <x v="118"/>
    <s v="a1E360000063PWnEAM"/>
    <x v="238"/>
    <m/>
    <m/>
  </r>
  <r>
    <n v="139"/>
    <x v="62"/>
    <n v="1"/>
    <x v="0"/>
    <n v="4"/>
    <x v="3"/>
    <s v="0013600000xoEIFAA2"/>
    <x v="119"/>
    <s v="a1E3p00000B9Z3vEAF"/>
    <x v="239"/>
    <m/>
    <m/>
  </r>
  <r>
    <n v="139"/>
    <x v="62"/>
    <n v="1"/>
    <x v="0"/>
    <n v="1"/>
    <x v="0"/>
    <s v="0013600000xoEIFAA2"/>
    <x v="119"/>
    <s v="a1E360000012HhDEAU"/>
    <x v="240"/>
    <m/>
    <m/>
  </r>
  <r>
    <n v="139"/>
    <x v="62"/>
    <n v="1"/>
    <x v="0"/>
    <n v="2"/>
    <x v="2"/>
    <s v="0013600000xoEIFAA2"/>
    <x v="119"/>
    <s v="a1E360000012HhFEAU"/>
    <x v="241"/>
    <m/>
    <m/>
  </r>
  <r>
    <n v="34"/>
    <x v="63"/>
    <n v="1"/>
    <x v="0"/>
    <n v="2"/>
    <x v="2"/>
    <s v="0013600000xoEHtAAM"/>
    <x v="120"/>
    <s v="a1E36000001jMphEAE"/>
    <x v="242"/>
    <m/>
    <m/>
  </r>
  <r>
    <n v="34"/>
    <x v="63"/>
    <n v="1"/>
    <x v="0"/>
    <n v="6"/>
    <x v="4"/>
    <s v="0013600000xoEHtAAM"/>
    <x v="120"/>
    <s v="a1E360000012H9BEAU"/>
    <x v="243"/>
    <m/>
    <m/>
  </r>
  <r>
    <n v="34"/>
    <x v="63"/>
    <n v="1"/>
    <x v="0"/>
    <n v="4"/>
    <x v="3"/>
    <s v="0013600001HymulAAB"/>
    <x v="121"/>
    <s v="a1E36000002weX1EAI"/>
    <x v="244"/>
    <m/>
    <m/>
  </r>
  <r>
    <n v="34"/>
    <x v="63"/>
    <n v="1"/>
    <x v="0"/>
    <n v="4"/>
    <x v="3"/>
    <s v="0013600000xoEGmAAM"/>
    <x v="122"/>
    <s v="a1E360000012H96EAE"/>
    <x v="245"/>
    <m/>
    <m/>
  </r>
  <r>
    <n v="34"/>
    <x v="63"/>
    <n v="1"/>
    <x v="0"/>
    <n v="1"/>
    <x v="0"/>
    <s v="0013600000xoEGmAAM"/>
    <x v="122"/>
    <s v="a1E36000004Id4QEAS"/>
    <x v="246"/>
    <m/>
    <m/>
  </r>
  <r>
    <n v="34"/>
    <x v="63"/>
    <n v="1"/>
    <x v="0"/>
    <n v="1"/>
    <x v="0"/>
    <s v="0013600000xoEHtAAM"/>
    <x v="120"/>
    <s v="a1E360000012H97EAE"/>
    <x v="247"/>
    <m/>
    <m/>
  </r>
  <r>
    <n v="34"/>
    <x v="63"/>
    <n v="1"/>
    <x v="0"/>
    <n v="3"/>
    <x v="1"/>
    <s v="0013600000xoEHtAAM"/>
    <x v="120"/>
    <s v="a1E360000012H99EAE"/>
    <x v="248"/>
    <m/>
    <m/>
  </r>
  <r>
    <n v="34"/>
    <x v="63"/>
    <n v="1"/>
    <x v="0"/>
    <n v="3"/>
    <x v="1"/>
    <s v="0013600000xoEFaAAM"/>
    <x v="3"/>
    <s v="a1E360000012H9AEAU"/>
    <x v="249"/>
    <m/>
    <m/>
  </r>
  <r>
    <n v="34"/>
    <x v="63"/>
    <n v="1"/>
    <x v="0"/>
    <n v="2"/>
    <x v="2"/>
    <s v="0013600000xoEHtAAM"/>
    <x v="120"/>
    <s v="a1E360000012H98EAE"/>
    <x v="250"/>
    <m/>
    <m/>
  </r>
  <r>
    <n v="74"/>
    <x v="64"/>
    <n v="1"/>
    <x v="0"/>
    <n v="1"/>
    <x v="0"/>
    <s v="0013600000xoEHQAA2"/>
    <x v="123"/>
    <s v="a1E36000001hEfyEAE"/>
    <x v="251"/>
    <m/>
    <m/>
  </r>
  <r>
    <n v="74"/>
    <x v="64"/>
    <n v="1"/>
    <x v="0"/>
    <n v="3"/>
    <x v="1"/>
    <s v="0013600000xoEHQAA2"/>
    <x v="123"/>
    <s v="a1E36000001hEg3EAE"/>
    <x v="252"/>
    <m/>
    <m/>
  </r>
  <r>
    <n v="74"/>
    <x v="64"/>
    <n v="1"/>
    <x v="0"/>
    <n v="2"/>
    <x v="2"/>
    <s v="0013600000xoEHQAA2"/>
    <x v="123"/>
    <s v="a1E36000001jMp9EAE"/>
    <x v="253"/>
    <m/>
    <m/>
  </r>
  <r>
    <n v="74"/>
    <x v="64"/>
    <n v="1"/>
    <x v="0"/>
    <n v="5"/>
    <x v="3"/>
    <s v="0013600000xoEHQAA2"/>
    <x v="123"/>
    <s v="a1E1R0000060d30UAA"/>
    <x v="254"/>
    <m/>
    <m/>
  </r>
  <r>
    <n v="32"/>
    <x v="65"/>
    <n v="1"/>
    <x v="0"/>
    <n v="1"/>
    <x v="0"/>
    <s v="0013600000xoEGfAAM"/>
    <x v="124"/>
    <s v="a1E360000012HdKEAU"/>
    <x v="255"/>
    <m/>
    <m/>
  </r>
  <r>
    <n v="32"/>
    <x v="65"/>
    <n v="1"/>
    <x v="0"/>
    <n v="1"/>
    <x v="0"/>
    <s v="0013600000xoEGdAAM"/>
    <x v="125"/>
    <s v="a1E360000012HdLEAU"/>
    <x v="256"/>
    <m/>
    <m/>
  </r>
  <r>
    <n v="31"/>
    <x v="59"/>
    <n v="1"/>
    <x v="0"/>
    <n v="4"/>
    <x v="3"/>
    <s v="0013600000xoEKfAAM"/>
    <x v="126"/>
    <s v="a1E360000012H91EAE"/>
    <x v="257"/>
    <m/>
    <m/>
  </r>
  <r>
    <n v="31"/>
    <x v="59"/>
    <n v="1"/>
    <x v="0"/>
    <n v="4"/>
    <x v="3"/>
    <s v="0013600000xoEHpAAM"/>
    <x v="127"/>
    <s v="a1E360000012H92EAE"/>
    <x v="258"/>
    <m/>
    <m/>
  </r>
  <r>
    <n v="31"/>
    <x v="59"/>
    <n v="1"/>
    <x v="0"/>
    <n v="4"/>
    <x v="3"/>
    <s v="0013600000xoEKdAAM"/>
    <x v="128"/>
    <s v="a1E3p00000B9fEWEAZ"/>
    <x v="259"/>
    <m/>
    <m/>
  </r>
  <r>
    <n v="31"/>
    <x v="59"/>
    <n v="1"/>
    <x v="0"/>
    <n v="3"/>
    <x v="1"/>
    <s v="0013600000xoEHpAAM"/>
    <x v="127"/>
    <s v="a1E360000012H90EAE"/>
    <x v="260"/>
    <m/>
    <m/>
  </r>
  <r>
    <n v="31"/>
    <x v="59"/>
    <n v="1"/>
    <x v="0"/>
    <n v="3"/>
    <x v="1"/>
    <s v="0013600000xoEKdAAM"/>
    <x v="128"/>
    <s v="a1E360000012H8zEAE"/>
    <x v="261"/>
    <m/>
    <m/>
  </r>
  <r>
    <n v="144"/>
    <x v="66"/>
    <n v="1"/>
    <x v="0"/>
    <n v="1"/>
    <x v="0"/>
    <s v="0013600000xoEFcAAM"/>
    <x v="129"/>
    <s v="a1E360000012HhKEAU"/>
    <x v="262"/>
    <m/>
    <m/>
  </r>
  <r>
    <n v="61"/>
    <x v="67"/>
    <n v="1"/>
    <x v="0"/>
    <n v="4"/>
    <x v="3"/>
    <s v="0013600000xoEI9AAM"/>
    <x v="130"/>
    <s v="a1E36000002weWwEAI"/>
    <x v="263"/>
    <m/>
    <m/>
  </r>
  <r>
    <n v="61"/>
    <x v="67"/>
    <n v="1"/>
    <x v="0"/>
    <n v="4"/>
    <x v="3"/>
    <s v="0013600000xoEFuAAM"/>
    <x v="131"/>
    <s v="a1E36000004ImoEEAS"/>
    <x v="264"/>
    <m/>
    <m/>
  </r>
  <r>
    <n v="61"/>
    <x v="67"/>
    <n v="1"/>
    <x v="0"/>
    <n v="3"/>
    <x v="1"/>
    <s v="0013600000xoEI9AAM"/>
    <x v="130"/>
    <s v="a1E36000004J2cuEAC"/>
    <x v="265"/>
    <m/>
    <m/>
  </r>
  <r>
    <n v="61"/>
    <x v="67"/>
    <n v="1"/>
    <x v="0"/>
    <n v="5"/>
    <x v="3"/>
    <s v="0013600000xoEI9AAM"/>
    <x v="130"/>
    <s v="a1E3p00000B9cMMEAZ"/>
    <x v="266"/>
    <m/>
    <m/>
  </r>
  <r>
    <n v="157"/>
    <x v="68"/>
    <n v="1"/>
    <x v="0"/>
    <n v="1"/>
    <x v="0"/>
    <s v="0013600000xoEI5AAM"/>
    <x v="132"/>
    <s v="a1E360000012HhmEAE"/>
    <x v="267"/>
    <m/>
    <m/>
  </r>
  <r>
    <n v="75"/>
    <x v="69"/>
    <n v="2"/>
    <x v="1"/>
    <n v="1"/>
    <x v="0"/>
    <s v="0013600000xoEGXAA2"/>
    <x v="133"/>
    <s v="a1E360000012HfaEAE"/>
    <x v="268"/>
    <m/>
    <m/>
  </r>
  <r>
    <n v="75"/>
    <x v="69"/>
    <n v="2"/>
    <x v="1"/>
    <n v="1"/>
    <x v="0"/>
    <s v="0013600001ps9TGAAY"/>
    <x v="134"/>
    <s v="a1E3p00000B9jprEAB"/>
    <x v="269"/>
    <m/>
    <m/>
  </r>
  <r>
    <n v="75"/>
    <x v="69"/>
    <n v="2"/>
    <x v="1"/>
    <n v="3"/>
    <x v="1"/>
    <s v="0013600000xoEG0AAM"/>
    <x v="40"/>
    <s v="a1E360000012HfYEAU"/>
    <x v="270"/>
    <m/>
    <m/>
  </r>
  <r>
    <n v="75"/>
    <x v="69"/>
    <n v="2"/>
    <x v="1"/>
    <n v="2"/>
    <x v="2"/>
    <s v="0013600001ps9TGAAY"/>
    <x v="134"/>
    <s v="a1E360000064vkFEAQ"/>
    <x v="271"/>
    <m/>
    <m/>
  </r>
  <r>
    <n v="75"/>
    <x v="69"/>
    <n v="2"/>
    <x v="1"/>
    <n v="2"/>
    <x v="2"/>
    <s v="0013600000xoEKAAA2"/>
    <x v="20"/>
    <s v="a1E360000012HfZEAU"/>
    <x v="272"/>
    <m/>
    <m/>
  </r>
  <r>
    <n v="76"/>
    <x v="70"/>
    <n v="1"/>
    <x v="0"/>
    <n v="4"/>
    <x v="3"/>
    <s v="00136000011OffyAAC"/>
    <x v="135"/>
    <s v="a1E3600000657xFEAQ"/>
    <x v="273"/>
    <m/>
    <m/>
  </r>
  <r>
    <n v="76"/>
    <x v="70"/>
    <n v="1"/>
    <x v="0"/>
    <n v="1"/>
    <x v="0"/>
    <s v="00136000011Ofg0AAC"/>
    <x v="136"/>
    <s v="a1E36000001jrzmEAA"/>
    <x v="274"/>
    <m/>
    <m/>
  </r>
  <r>
    <n v="76"/>
    <x v="70"/>
    <n v="1"/>
    <x v="0"/>
    <n v="1"/>
    <x v="0"/>
    <s v="0013600000xoEFxAAM"/>
    <x v="137"/>
    <s v="a1E360000012HfeEAE"/>
    <x v="275"/>
    <m/>
    <m/>
  </r>
  <r>
    <n v="76"/>
    <x v="70"/>
    <n v="1"/>
    <x v="0"/>
    <n v="1"/>
    <x v="0"/>
    <s v="0013600000xoEIcAAM"/>
    <x v="138"/>
    <s v="a1E360000012HffEAE"/>
    <x v="276"/>
    <m/>
    <m/>
  </r>
  <r>
    <n v="76"/>
    <x v="70"/>
    <n v="1"/>
    <x v="0"/>
    <n v="3"/>
    <x v="1"/>
    <s v="0013600001K9jAFAAZ"/>
    <x v="40"/>
    <s v="a1E36000002w6s5EAA"/>
    <x v="277"/>
    <m/>
    <m/>
  </r>
  <r>
    <n v="76"/>
    <x v="70"/>
    <n v="1"/>
    <x v="0"/>
    <n v="3"/>
    <x v="1"/>
    <s v="0013600000xoEG7AAM"/>
    <x v="139"/>
    <s v="a1E360000012HfbEAE"/>
    <x v="278"/>
    <m/>
    <m/>
  </r>
  <r>
    <n v="76"/>
    <x v="70"/>
    <n v="1"/>
    <x v="0"/>
    <n v="6"/>
    <x v="4"/>
    <s v="0013600001xdJKHAA2"/>
    <x v="140"/>
    <s v="a1E1R00000FoYyYUAV"/>
    <x v="279"/>
    <m/>
    <m/>
  </r>
  <r>
    <n v="76"/>
    <x v="70"/>
    <n v="1"/>
    <x v="0"/>
    <n v="6"/>
    <x v="4"/>
    <s v="0013600000xoEFxAAM"/>
    <x v="137"/>
    <s v="a1E3p00000Bx6LnEAJ"/>
    <x v="280"/>
    <m/>
    <m/>
  </r>
  <r>
    <n v="76"/>
    <x v="70"/>
    <n v="1"/>
    <x v="0"/>
    <n v="2"/>
    <x v="2"/>
    <s v="0013600000xoEI7AAM"/>
    <x v="141"/>
    <s v="a1E360000012HfiEAE"/>
    <x v="281"/>
    <m/>
    <m/>
  </r>
  <r>
    <n v="76"/>
    <x v="70"/>
    <n v="1"/>
    <x v="0"/>
    <n v="2"/>
    <x v="2"/>
    <s v="00136000011OffyAAC"/>
    <x v="135"/>
    <s v="a1E3p00000B9eVwEAJ"/>
    <x v="282"/>
    <m/>
    <m/>
  </r>
  <r>
    <n v="76"/>
    <x v="70"/>
    <n v="1"/>
    <x v="0"/>
    <n v="2"/>
    <x v="2"/>
    <s v="0013600001tPZubAAG"/>
    <x v="142"/>
    <s v="a1E360000065aJFEAY"/>
    <x v="283"/>
    <m/>
    <m/>
  </r>
  <r>
    <n v="86"/>
    <x v="71"/>
    <n v="1"/>
    <x v="0"/>
    <n v="4"/>
    <x v="3"/>
    <s v="0011R00002BH5sUQAT"/>
    <x v="3"/>
    <s v="a1E3p00000CxZ7JEAV"/>
    <x v="284"/>
    <m/>
    <m/>
  </r>
  <r>
    <n v="86"/>
    <x v="71"/>
    <n v="1"/>
    <x v="0"/>
    <n v="1"/>
    <x v="0"/>
    <s v="0011R00002BH5sUQAT"/>
    <x v="3"/>
    <s v="a1E1R00000616MgUAI"/>
    <x v="285"/>
    <m/>
    <m/>
  </r>
  <r>
    <n v="86"/>
    <x v="71"/>
    <n v="1"/>
    <x v="0"/>
    <n v="3"/>
    <x v="1"/>
    <s v="0013600000xoEGjAAM"/>
    <x v="143"/>
    <s v="a1E360000012HgBEAU"/>
    <x v="286"/>
    <m/>
    <m/>
  </r>
  <r>
    <n v="86"/>
    <x v="71"/>
    <n v="1"/>
    <x v="0"/>
    <n v="2"/>
    <x v="2"/>
    <s v="0011R00002BH5sUQAT"/>
    <x v="3"/>
    <s v="a1E1R00000616MvUAI"/>
    <x v="287"/>
    <m/>
    <m/>
  </r>
  <r>
    <n v="61"/>
    <x v="67"/>
    <n v="1"/>
    <x v="0"/>
    <n v="1"/>
    <x v="0"/>
    <s v="0013600000xoEFuAAM"/>
    <x v="131"/>
    <s v="a1E360000012HeUEAU"/>
    <x v="288"/>
    <m/>
    <m/>
  </r>
  <r>
    <n v="157"/>
    <x v="68"/>
    <n v="1"/>
    <x v="0"/>
    <n v="1"/>
    <x v="0"/>
    <s v="0013600000xoEKAAA2"/>
    <x v="20"/>
    <s v="a1E360000012HhlEAE"/>
    <x v="289"/>
    <m/>
    <m/>
  </r>
  <r>
    <n v="157"/>
    <x v="68"/>
    <n v="1"/>
    <x v="0"/>
    <n v="3"/>
    <x v="1"/>
    <s v="0013600000xoEKAAA2"/>
    <x v="20"/>
    <s v="a1E360000012HhjEAE"/>
    <x v="290"/>
    <m/>
    <m/>
  </r>
  <r>
    <n v="157"/>
    <x v="68"/>
    <n v="1"/>
    <x v="0"/>
    <n v="2"/>
    <x v="2"/>
    <s v="0013600000xoEKAAA2"/>
    <x v="20"/>
    <s v="a1E360000012HhiEAE"/>
    <x v="291"/>
    <m/>
    <m/>
  </r>
  <r>
    <n v="158"/>
    <x v="72"/>
    <n v="1"/>
    <x v="0"/>
    <n v="1"/>
    <x v="0"/>
    <s v="0013600000xoEDOAA2"/>
    <x v="144"/>
    <s v="a1E360000012HAqEAM"/>
    <x v="292"/>
    <m/>
    <m/>
  </r>
  <r>
    <n v="158"/>
    <x v="72"/>
    <n v="1"/>
    <x v="0"/>
    <n v="1"/>
    <x v="0"/>
    <s v="0013600000xoEFsAAM"/>
    <x v="145"/>
    <s v="a1E360000012HArEAM"/>
    <x v="293"/>
    <m/>
    <m/>
  </r>
  <r>
    <n v="158"/>
    <x v="72"/>
    <n v="1"/>
    <x v="0"/>
    <n v="1"/>
    <x v="0"/>
    <s v="0013p000026ynO5AAI"/>
    <x v="1"/>
    <s v="a1E3p00000Cbw6zEAB"/>
    <x v="294"/>
    <m/>
    <m/>
  </r>
  <r>
    <n v="158"/>
    <x v="72"/>
    <n v="1"/>
    <x v="0"/>
    <n v="3"/>
    <x v="1"/>
    <s v="0013600000xoEGTAA2"/>
    <x v="146"/>
    <s v="a1E360000012HAoEAM"/>
    <x v="295"/>
    <m/>
    <m/>
  </r>
  <r>
    <n v="158"/>
    <x v="72"/>
    <n v="1"/>
    <x v="0"/>
    <n v="3"/>
    <x v="1"/>
    <s v="0013600000xoEKuAAM"/>
    <x v="147"/>
    <s v="a1E360000012HAuEAM"/>
    <x v="296"/>
    <m/>
    <m/>
  </r>
  <r>
    <n v="158"/>
    <x v="72"/>
    <n v="1"/>
    <x v="0"/>
    <n v="2"/>
    <x v="2"/>
    <s v="0013600000xoEFbAAM"/>
    <x v="148"/>
    <s v="a1E360000012HAsEAM"/>
    <x v="297"/>
    <m/>
    <m/>
  </r>
  <r>
    <n v="158"/>
    <x v="72"/>
    <n v="1"/>
    <x v="0"/>
    <n v="2"/>
    <x v="2"/>
    <s v="0013600000xoEFtAAM"/>
    <x v="149"/>
    <s v="a1E360000012HAtEAM"/>
    <x v="298"/>
    <m/>
    <m/>
  </r>
  <r>
    <n v="158"/>
    <x v="72"/>
    <n v="1"/>
    <x v="0"/>
    <n v="2"/>
    <x v="2"/>
    <s v="0013600000xoEKuAAM"/>
    <x v="147"/>
    <s v="a1E360000012HAvEAM"/>
    <x v="299"/>
    <m/>
    <m/>
  </r>
  <r>
    <n v="87"/>
    <x v="73"/>
    <n v="1"/>
    <x v="0"/>
    <n v="4"/>
    <x v="3"/>
    <s v="0013600000xoEIiAAM"/>
    <x v="1"/>
    <s v="a1E360000012HgFEAU"/>
    <x v="300"/>
    <m/>
    <m/>
  </r>
  <r>
    <n v="102"/>
    <x v="74"/>
    <n v="1"/>
    <x v="0"/>
    <n v="4"/>
    <x v="3"/>
    <s v="0013600000xoEL0AAM"/>
    <x v="150"/>
    <s v="a1E3p00000EhpGXEAZ"/>
    <x v="301"/>
    <m/>
    <m/>
  </r>
  <r>
    <n v="102"/>
    <x v="74"/>
    <n v="1"/>
    <x v="0"/>
    <n v="1"/>
    <x v="0"/>
    <s v="0013600001x4RneAAE"/>
    <x v="151"/>
    <s v="a1E3600000FnlsZEAR"/>
    <x v="302"/>
    <m/>
    <m/>
  </r>
  <r>
    <n v="102"/>
    <x v="74"/>
    <n v="1"/>
    <x v="0"/>
    <n v="1"/>
    <x v="0"/>
    <s v="0013600000xoEFBAA2"/>
    <x v="152"/>
    <s v="a1E36000001hEg8EAE"/>
    <x v="303"/>
    <m/>
    <m/>
  </r>
  <r>
    <n v="102"/>
    <x v="74"/>
    <n v="1"/>
    <x v="0"/>
    <n v="2"/>
    <x v="2"/>
    <s v="0013600000xoEL0AAM"/>
    <x v="150"/>
    <s v="a1E36000001hEgDEAU"/>
    <x v="304"/>
    <m/>
    <m/>
  </r>
  <r>
    <n v="146"/>
    <x v="75"/>
    <n v="1"/>
    <x v="0"/>
    <n v="1"/>
    <x v="0"/>
    <s v="0013600000xoEGEAA2"/>
    <x v="153"/>
    <s v="a1E3p000004raELEAY"/>
    <x v="305"/>
    <m/>
    <m/>
  </r>
  <r>
    <n v="146"/>
    <x v="75"/>
    <n v="1"/>
    <x v="0"/>
    <n v="1"/>
    <x v="0"/>
    <s v="0013600000xoEKAAA2"/>
    <x v="20"/>
    <s v="a1E360000012HASEA2"/>
    <x v="306"/>
    <m/>
    <m/>
  </r>
  <r>
    <n v="146"/>
    <x v="75"/>
    <n v="1"/>
    <x v="0"/>
    <n v="3"/>
    <x v="1"/>
    <s v="0013600000xoEGEAA2"/>
    <x v="153"/>
    <s v="a1E360000012HATEA2"/>
    <x v="307"/>
    <m/>
    <m/>
  </r>
  <r>
    <n v="146"/>
    <x v="75"/>
    <n v="1"/>
    <x v="0"/>
    <n v="2"/>
    <x v="2"/>
    <s v="0013600000xoEFCAA2"/>
    <x v="154"/>
    <s v="a1E360000012HAREA2"/>
    <x v="308"/>
    <m/>
    <m/>
  </r>
  <r>
    <n v="226"/>
    <x v="76"/>
    <n v="1"/>
    <x v="0"/>
    <n v="4"/>
    <x v="3"/>
    <s v="0013600000xoEKJAA2"/>
    <x v="155"/>
    <s v="a1E36000002wbwNEAQ"/>
    <x v="309"/>
    <m/>
    <m/>
  </r>
  <r>
    <n v="226"/>
    <x v="76"/>
    <n v="1"/>
    <x v="0"/>
    <n v="3"/>
    <x v="1"/>
    <s v="0013600000xoEIbAAM"/>
    <x v="156"/>
    <s v="a1E360000012HB6EAM"/>
    <x v="310"/>
    <m/>
    <m/>
  </r>
  <r>
    <n v="136"/>
    <x v="77"/>
    <n v="1"/>
    <x v="0"/>
    <n v="5"/>
    <x v="3"/>
    <s v="0013600000xoEHWAA2"/>
    <x v="55"/>
    <s v="a1E1R00000DlmwGUAR"/>
    <x v="311"/>
    <m/>
    <m/>
  </r>
  <r>
    <n v="101"/>
    <x v="78"/>
    <n v="1"/>
    <x v="0"/>
    <n v="1"/>
    <x v="0"/>
    <s v="0013600000xoEGnAAM"/>
    <x v="157"/>
    <s v="a1E360000012HgZEAU"/>
    <x v="312"/>
    <m/>
    <m/>
  </r>
  <r>
    <n v="101"/>
    <x v="78"/>
    <n v="1"/>
    <x v="0"/>
    <n v="2"/>
    <x v="2"/>
    <s v="0013600000xoEEjAAM"/>
    <x v="158"/>
    <s v="a1E360000012HgbEAE"/>
    <x v="313"/>
    <m/>
    <m/>
  </r>
  <r>
    <n v="291"/>
    <x v="79"/>
    <n v="1"/>
    <x v="0"/>
    <n v="4"/>
    <x v="3"/>
    <s v="0013600000xoEHGAA2"/>
    <x v="159"/>
    <s v="a1E36000001jMuOEAU"/>
    <x v="314"/>
    <m/>
    <m/>
  </r>
  <r>
    <n v="291"/>
    <x v="79"/>
    <n v="1"/>
    <x v="0"/>
    <n v="1"/>
    <x v="0"/>
    <s v="0013600000xoEDpAAM"/>
    <x v="160"/>
    <s v="a1E3600000GBjV1EAL"/>
    <x v="315"/>
    <m/>
    <m/>
  </r>
  <r>
    <n v="291"/>
    <x v="79"/>
    <n v="1"/>
    <x v="0"/>
    <n v="1"/>
    <x v="0"/>
    <s v="0013600000xoEHGAA2"/>
    <x v="159"/>
    <s v="a1E360000065RKxEAM"/>
    <x v="316"/>
    <m/>
    <m/>
  </r>
  <r>
    <n v="291"/>
    <x v="79"/>
    <n v="1"/>
    <x v="0"/>
    <n v="1"/>
    <x v="0"/>
    <s v="0013600001ptLEBAA2"/>
    <x v="161"/>
    <s v="a1E360000064xuPEAQ"/>
    <x v="317"/>
    <s v="Multicountry Western Pacific"/>
    <s v="a49360000005CUt"/>
  </r>
  <r>
    <n v="291"/>
    <x v="79"/>
    <n v="1"/>
    <x v="0"/>
    <n v="2"/>
    <x v="2"/>
    <s v="0013600000xoEGDAA2"/>
    <x v="109"/>
    <s v="a1E360000012Hj9EAE"/>
    <x v="318"/>
    <s v="Multicountry Western Pacific"/>
    <s v="a49360000005CUt"/>
  </r>
  <r>
    <n v="265"/>
    <x v="80"/>
    <n v="2"/>
    <x v="1"/>
    <n v="2"/>
    <x v="2"/>
    <s v="0013600000xoEF9AAM"/>
    <x v="14"/>
    <s v="a1E3600000655wOEAQ"/>
    <x v="319"/>
    <m/>
    <m/>
  </r>
  <r>
    <n v="282"/>
    <x v="81"/>
    <n v="1"/>
    <x v="0"/>
    <n v="2"/>
    <x v="2"/>
    <s v="0013600000xoEJDAA2"/>
    <x v="1"/>
    <s v="a1E360000064zH2EAI"/>
    <x v="320"/>
    <m/>
    <m/>
  </r>
  <r>
    <n v="281"/>
    <x v="82"/>
    <n v="1"/>
    <x v="0"/>
    <n v="2"/>
    <x v="2"/>
    <s v="0013600000xoEIfAAM"/>
    <x v="117"/>
    <s v="a1E360000064xvwEAA"/>
    <x v="321"/>
    <m/>
    <m/>
  </r>
  <r>
    <n v="243"/>
    <x v="83"/>
    <n v="2"/>
    <x v="1"/>
    <n v="4"/>
    <x v="3"/>
    <s v="0013600000xoEGaAAM"/>
    <x v="162"/>
    <s v="a1E3p00000CE7cjEAD"/>
    <x v="322"/>
    <m/>
    <m/>
  </r>
  <r>
    <n v="243"/>
    <x v="83"/>
    <n v="2"/>
    <x v="1"/>
    <n v="1"/>
    <x v="0"/>
    <s v="0013600000xoEGaAAM"/>
    <x v="162"/>
    <s v="a1E36000001hEftEAE"/>
    <x v="323"/>
    <m/>
    <m/>
  </r>
  <r>
    <n v="243"/>
    <x v="83"/>
    <n v="2"/>
    <x v="1"/>
    <n v="2"/>
    <x v="2"/>
    <s v="0013600000xoEGaAAM"/>
    <x v="162"/>
    <s v="a1E360000012HifEAE"/>
    <x v="324"/>
    <m/>
    <m/>
  </r>
  <r>
    <n v="244"/>
    <x v="84"/>
    <n v="1"/>
    <x v="0"/>
    <n v="4"/>
    <x v="3"/>
    <s v="0013600000xoEIAAA2"/>
    <x v="163"/>
    <s v="a1E360000012HijEAE"/>
    <x v="325"/>
    <m/>
    <m/>
  </r>
  <r>
    <n v="244"/>
    <x v="84"/>
    <n v="1"/>
    <x v="0"/>
    <n v="3"/>
    <x v="1"/>
    <s v="0013600000xoEIAAA2"/>
    <x v="163"/>
    <s v="a1E360000012HiiEAE"/>
    <x v="326"/>
    <m/>
    <m/>
  </r>
  <r>
    <n v="265"/>
    <x v="80"/>
    <n v="1"/>
    <x v="0"/>
    <n v="1"/>
    <x v="0"/>
    <s v="0013600000xoEKCAA2"/>
    <x v="164"/>
    <s v="a1E360000012HiwEAE"/>
    <x v="327"/>
    <m/>
    <m/>
  </r>
  <r>
    <n v="265"/>
    <x v="80"/>
    <n v="1"/>
    <x v="0"/>
    <n v="1"/>
    <x v="0"/>
    <s v="0013600000xoEGvAAM"/>
    <x v="24"/>
    <s v="a1E360000012Hj0EAE"/>
    <x v="328"/>
    <m/>
    <m/>
  </r>
  <r>
    <n v="265"/>
    <x v="80"/>
    <n v="1"/>
    <x v="0"/>
    <n v="1"/>
    <x v="0"/>
    <s v="0013600000xoEHTAA2"/>
    <x v="165"/>
    <s v="a1E360000012HiuEAE"/>
    <x v="329"/>
    <m/>
    <m/>
  </r>
  <r>
    <n v="265"/>
    <x v="80"/>
    <n v="1"/>
    <x v="0"/>
    <n v="3"/>
    <x v="1"/>
    <s v="0013600000xoEKUAA2"/>
    <x v="166"/>
    <s v="a1E360000012HivEAE"/>
    <x v="330"/>
    <m/>
    <m/>
  </r>
  <r>
    <n v="265"/>
    <x v="80"/>
    <n v="1"/>
    <x v="0"/>
    <n v="3"/>
    <x v="1"/>
    <s v="00136000011OffwAAC"/>
    <x v="167"/>
    <s v="a1E36000001jMydEAE"/>
    <x v="331"/>
    <m/>
    <m/>
  </r>
  <r>
    <n v="265"/>
    <x v="80"/>
    <n v="1"/>
    <x v="0"/>
    <n v="2"/>
    <x v="2"/>
    <s v="0013600000xoEKbAAM"/>
    <x v="168"/>
    <s v="a1E360000012HizEAE"/>
    <x v="332"/>
    <m/>
    <m/>
  </r>
  <r>
    <n v="270"/>
    <x v="85"/>
    <n v="1"/>
    <x v="0"/>
    <n v="2"/>
    <x v="2"/>
    <s v="0013600000xoEDgAAM"/>
    <x v="169"/>
    <s v="a1E36000006537BEAQ"/>
    <x v="333"/>
    <m/>
    <m/>
  </r>
  <r>
    <n v="265"/>
    <x v="80"/>
    <n v="1"/>
    <x v="0"/>
    <n v="2"/>
    <x v="2"/>
    <s v="0013600000xoEKbAAM"/>
    <x v="168"/>
    <s v="a1E3p00000CwBYHEA3"/>
    <x v="334"/>
    <m/>
    <m/>
  </r>
  <r>
    <n v="265"/>
    <x v="80"/>
    <n v="1"/>
    <x v="0"/>
    <n v="2"/>
    <x v="2"/>
    <s v="0013600000xoEKSAA2"/>
    <x v="170"/>
    <s v="a1E360000012HixEAE"/>
    <x v="335"/>
    <m/>
    <m/>
  </r>
  <r>
    <n v="266"/>
    <x v="86"/>
    <n v="1"/>
    <x v="0"/>
    <n v="1"/>
    <x v="0"/>
    <s v="0013600000xoEHYAA2"/>
    <x v="171"/>
    <s v="a1E36000001jMiBEAU"/>
    <x v="336"/>
    <m/>
    <m/>
  </r>
  <r>
    <n v="266"/>
    <x v="86"/>
    <n v="1"/>
    <x v="0"/>
    <n v="1"/>
    <x v="0"/>
    <s v="0013600000xoEDMAA2"/>
    <x v="24"/>
    <s v="a1E1R0000060ADYUA2"/>
    <x v="337"/>
    <m/>
    <m/>
  </r>
  <r>
    <n v="266"/>
    <x v="86"/>
    <n v="1"/>
    <x v="0"/>
    <n v="3"/>
    <x v="1"/>
    <s v="0013600001aJHD7AAO"/>
    <x v="73"/>
    <s v="a1E360000061vVMEAY"/>
    <x v="338"/>
    <m/>
    <m/>
  </r>
  <r>
    <n v="266"/>
    <x v="86"/>
    <n v="1"/>
    <x v="0"/>
    <n v="2"/>
    <x v="2"/>
    <s v="0013600000xoEDiAAM"/>
    <x v="172"/>
    <s v="a1E36000001jMyeEAE"/>
    <x v="339"/>
    <m/>
    <m/>
  </r>
  <r>
    <n v="266"/>
    <x v="86"/>
    <n v="1"/>
    <x v="0"/>
    <n v="2"/>
    <x v="2"/>
    <s v="0011R0000251W7YQAU"/>
    <x v="173"/>
    <s v="a1E1R00000JhthBUAR"/>
    <x v="340"/>
    <m/>
    <m/>
  </r>
  <r>
    <n v="278"/>
    <x v="87"/>
    <n v="1"/>
    <x v="0"/>
    <n v="4"/>
    <x v="3"/>
    <s v="0013600000xoEKxAAM"/>
    <x v="174"/>
    <s v="a1E360000012Hj7EAE"/>
    <x v="341"/>
    <m/>
    <m/>
  </r>
  <r>
    <n v="267"/>
    <x v="88"/>
    <n v="1"/>
    <x v="0"/>
    <n v="1"/>
    <x v="0"/>
    <s v="0013600000xoEDpAAM"/>
    <x v="160"/>
    <s v="a1E3p00000EjbFfEAJ"/>
    <x v="342"/>
    <m/>
    <m/>
  </r>
  <r>
    <n v="267"/>
    <x v="88"/>
    <n v="1"/>
    <x v="0"/>
    <n v="1"/>
    <x v="0"/>
    <s v="0013600000xoEH2AAM"/>
    <x v="86"/>
    <s v="a1E36000001jMiPEAU"/>
    <x v="343"/>
    <m/>
    <m/>
  </r>
  <r>
    <n v="291"/>
    <x v="79"/>
    <n v="1"/>
    <x v="0"/>
    <n v="1"/>
    <x v="0"/>
    <s v="0013600000xoEKAAA2"/>
    <x v="20"/>
    <s v="a1E36000002w2wUEAQ"/>
    <x v="344"/>
    <m/>
    <m/>
  </r>
  <r>
    <n v="282"/>
    <x v="81"/>
    <n v="1"/>
    <x v="0"/>
    <n v="2"/>
    <x v="2"/>
    <s v="0013600000xoEKGAA2"/>
    <x v="1"/>
    <s v="a1E3p00000DtKxsEAF"/>
    <x v="345"/>
    <m/>
    <m/>
  </r>
  <r>
    <n v="281"/>
    <x v="82"/>
    <n v="1"/>
    <x v="0"/>
    <n v="3"/>
    <x v="1"/>
    <s v="0013600000xoEIfAAM"/>
    <x v="117"/>
    <s v="a1E360000012HBDEA2"/>
    <x v="346"/>
    <m/>
    <m/>
  </r>
  <r>
    <n v="281"/>
    <x v="82"/>
    <n v="1"/>
    <x v="0"/>
    <n v="2"/>
    <x v="2"/>
    <s v="0013p00002AvwskAAB"/>
    <x v="175"/>
    <s v="a1E3p00000Dt0q4EAB"/>
    <x v="347"/>
    <m/>
    <m/>
  </r>
  <r>
    <n v="260"/>
    <x v="89"/>
    <n v="1"/>
    <x v="0"/>
    <n v="5"/>
    <x v="3"/>
    <s v="0013600000xoEKHAA2"/>
    <x v="175"/>
    <s v="a1E36000001jMuLEAU"/>
    <x v="348"/>
    <m/>
    <m/>
  </r>
  <r>
    <n v="269"/>
    <x v="90"/>
    <n v="1"/>
    <x v="0"/>
    <n v="4"/>
    <x v="3"/>
    <s v="0013600000xoEKQAA2"/>
    <x v="1"/>
    <s v="a1E360000012Hj3EAE"/>
    <x v="349"/>
    <m/>
    <m/>
  </r>
  <r>
    <n v="269"/>
    <x v="90"/>
    <n v="1"/>
    <x v="0"/>
    <n v="3"/>
    <x v="1"/>
    <s v="0013600000xoEKQAA2"/>
    <x v="1"/>
    <s v="a1E360000012HieEAE"/>
    <x v="350"/>
    <m/>
    <m/>
  </r>
  <r>
    <n v="184"/>
    <x v="91"/>
    <n v="2"/>
    <x v="1"/>
    <n v="2"/>
    <x v="2"/>
    <s v="0013600001pqloFAAQ"/>
    <x v="176"/>
    <s v="a1E360000064yt9EAA"/>
    <x v="351"/>
    <m/>
    <m/>
  </r>
  <r>
    <n v="185"/>
    <x v="92"/>
    <n v="1"/>
    <x v="0"/>
    <n v="1"/>
    <x v="0"/>
    <s v="0013p000025wIK7AAM"/>
    <x v="177"/>
    <s v="a1E3p00000CEXnCEAX"/>
    <x v="352"/>
    <m/>
    <m/>
  </r>
  <r>
    <n v="36"/>
    <x v="93"/>
    <n v="1"/>
    <x v="0"/>
    <n v="4"/>
    <x v="3"/>
    <s v="0013600000xoEIHAA2"/>
    <x v="178"/>
    <s v="a1E3p00000B9o0JEAR"/>
    <x v="353"/>
    <m/>
    <m/>
  </r>
  <r>
    <n v="36"/>
    <x v="93"/>
    <n v="1"/>
    <x v="0"/>
    <n v="1"/>
    <x v="0"/>
    <s v="0013600000xoEIHAA2"/>
    <x v="178"/>
    <s v="a1E360000012HdNEAU"/>
    <x v="354"/>
    <m/>
    <m/>
  </r>
  <r>
    <n v="36"/>
    <x v="93"/>
    <n v="1"/>
    <x v="0"/>
    <n v="3"/>
    <x v="1"/>
    <s v="0013600000xoEIHAA2"/>
    <x v="178"/>
    <s v="a1E360000012HdOEAU"/>
    <x v="355"/>
    <m/>
    <m/>
  </r>
  <r>
    <n v="36"/>
    <x v="93"/>
    <n v="1"/>
    <x v="0"/>
    <n v="2"/>
    <x v="2"/>
    <s v="0013600000xoEIHAA2"/>
    <x v="178"/>
    <s v="a1E360000012HdMEAU"/>
    <x v="356"/>
    <m/>
    <m/>
  </r>
  <r>
    <n v="56"/>
    <x v="94"/>
    <n v="1"/>
    <x v="0"/>
    <n v="1"/>
    <x v="0"/>
    <s v="0013600000xoEIyAAM"/>
    <x v="1"/>
    <s v="a1E360000012H9aEAE"/>
    <x v="357"/>
    <m/>
    <m/>
  </r>
  <r>
    <n v="56"/>
    <x v="94"/>
    <n v="1"/>
    <x v="0"/>
    <n v="3"/>
    <x v="1"/>
    <s v="0013600000xoEKVAA2"/>
    <x v="179"/>
    <s v="a1E36000004IPGHEA4"/>
    <x v="358"/>
    <m/>
    <m/>
  </r>
  <r>
    <n v="56"/>
    <x v="94"/>
    <n v="1"/>
    <x v="0"/>
    <n v="3"/>
    <x v="1"/>
    <s v="0013600000xoEIyAAM"/>
    <x v="1"/>
    <s v="a1E360000012H9bEAE"/>
    <x v="359"/>
    <m/>
    <m/>
  </r>
  <r>
    <n v="56"/>
    <x v="94"/>
    <n v="1"/>
    <x v="0"/>
    <n v="6"/>
    <x v="4"/>
    <s v="0013600000xoEKVAA2"/>
    <x v="179"/>
    <s v="a1E360000012H9dEAE"/>
    <x v="360"/>
    <m/>
    <m/>
  </r>
  <r>
    <n v="56"/>
    <x v="94"/>
    <n v="1"/>
    <x v="0"/>
    <n v="2"/>
    <x v="2"/>
    <s v="0013600000xoEIyAAM"/>
    <x v="1"/>
    <s v="a1E360000012H9cEAE"/>
    <x v="361"/>
    <m/>
    <m/>
  </r>
  <r>
    <n v="77"/>
    <x v="95"/>
    <n v="2"/>
    <x v="1"/>
    <n v="1"/>
    <x v="0"/>
    <s v="0013600000xoEFNAA2"/>
    <x v="180"/>
    <s v="a1E360000012HfmEAE"/>
    <x v="362"/>
    <m/>
    <m/>
  </r>
  <r>
    <n v="77"/>
    <x v="95"/>
    <n v="2"/>
    <x v="1"/>
    <n v="1"/>
    <x v="0"/>
    <s v="0013600000xoEGqAAM"/>
    <x v="181"/>
    <s v="a1E360000012HflEAE"/>
    <x v="363"/>
    <m/>
    <m/>
  </r>
  <r>
    <n v="77"/>
    <x v="95"/>
    <n v="2"/>
    <x v="1"/>
    <n v="3"/>
    <x v="1"/>
    <s v="0013600000xoEHHAA2"/>
    <x v="182"/>
    <s v="a1E360000012HfpEAE"/>
    <x v="364"/>
    <m/>
    <m/>
  </r>
  <r>
    <n v="77"/>
    <x v="95"/>
    <n v="2"/>
    <x v="1"/>
    <n v="6"/>
    <x v="4"/>
    <s v="0013600000xoEHHAA2"/>
    <x v="182"/>
    <s v="a1E360000012HfqEAE"/>
    <x v="365"/>
    <m/>
    <m/>
  </r>
  <r>
    <n v="77"/>
    <x v="95"/>
    <n v="2"/>
    <x v="1"/>
    <n v="5"/>
    <x v="3"/>
    <s v="0013600000xoEHHAA2"/>
    <x v="182"/>
    <s v="a1E36000004IxWSEA0"/>
    <x v="366"/>
    <m/>
    <m/>
  </r>
  <r>
    <n v="77"/>
    <x v="95"/>
    <n v="2"/>
    <x v="1"/>
    <n v="5"/>
    <x v="3"/>
    <s v="0013600000xoEH9AAM"/>
    <x v="9"/>
    <s v="a1E3p00000BgjvgEAB"/>
    <x v="367"/>
    <m/>
    <m/>
  </r>
  <r>
    <n v="227"/>
    <x v="96"/>
    <n v="1"/>
    <x v="0"/>
    <n v="4"/>
    <x v="3"/>
    <s v="0013600000xoEKKAA2"/>
    <x v="183"/>
    <s v="a1E36000002w6WvEAI"/>
    <x v="368"/>
    <m/>
    <m/>
  </r>
  <r>
    <n v="227"/>
    <x v="96"/>
    <n v="1"/>
    <x v="0"/>
    <n v="3"/>
    <x v="1"/>
    <s v="0013600000xoEKKAA2"/>
    <x v="183"/>
    <s v="a1E360000012HicEAE"/>
    <x v="369"/>
    <m/>
    <m/>
  </r>
  <r>
    <n v="227"/>
    <x v="96"/>
    <n v="1"/>
    <x v="0"/>
    <n v="2"/>
    <x v="2"/>
    <s v="0013600000xoEKKAA2"/>
    <x v="183"/>
    <s v="a1E3p00000BgjvMEAR"/>
    <x v="370"/>
    <m/>
    <m/>
  </r>
  <r>
    <n v="78"/>
    <x v="97"/>
    <n v="1"/>
    <x v="0"/>
    <n v="1"/>
    <x v="0"/>
    <s v="0013600000xoEHMAA2"/>
    <x v="184"/>
    <s v="a1E360000012HA2EAM"/>
    <x v="371"/>
    <m/>
    <m/>
  </r>
  <r>
    <n v="78"/>
    <x v="97"/>
    <n v="1"/>
    <x v="0"/>
    <n v="3"/>
    <x v="1"/>
    <s v="0013600000xoEG2AAM"/>
    <x v="40"/>
    <s v="a1E360000012HA4EAM"/>
    <x v="372"/>
    <m/>
    <m/>
  </r>
  <r>
    <n v="78"/>
    <x v="97"/>
    <n v="1"/>
    <x v="0"/>
    <n v="3"/>
    <x v="1"/>
    <s v="0013600000xoEFeAAM"/>
    <x v="185"/>
    <s v="a1E360000012HA5EAM"/>
    <x v="373"/>
    <s v="Multicountry TB Asia TEAM"/>
    <s v="a4936000000wr4O"/>
  </r>
  <r>
    <n v="78"/>
    <x v="97"/>
    <n v="1"/>
    <x v="0"/>
    <n v="5"/>
    <x v="3"/>
    <s v="0013600000xoEG2AAM"/>
    <x v="40"/>
    <s v="a1E3p00000BwLgfEAF"/>
    <x v="374"/>
    <s v="Multicountry TB Asia TEAM"/>
    <s v="a4936000000wr4O"/>
  </r>
  <r>
    <n v="78"/>
    <x v="97"/>
    <n v="1"/>
    <x v="0"/>
    <n v="5"/>
    <x v="3"/>
    <s v="0013600000xoEFeAAM"/>
    <x v="185"/>
    <s v="a1E360000012HA1EAM"/>
    <x v="375"/>
    <s v="Multicountry East Asia and Pacific RAI"/>
    <s v="a49360000005CUm"/>
  </r>
  <r>
    <n v="82"/>
    <x v="98"/>
    <n v="1"/>
    <x v="0"/>
    <n v="4"/>
    <x v="3"/>
    <s v="0013600000xoEFgAAM"/>
    <x v="186"/>
    <s v="a1E3p00000CcOVOEA3"/>
    <x v="376"/>
    <s v="Multicountry TB Asia UNDP"/>
    <s v="a4936000000wr1t"/>
  </r>
  <r>
    <n v="82"/>
    <x v="98"/>
    <n v="1"/>
    <x v="0"/>
    <n v="1"/>
    <x v="0"/>
    <s v="0013600000xoEFgAAM"/>
    <x v="186"/>
    <s v="a1E360000012Hg2EAE"/>
    <x v="377"/>
    <s v="Multicountry TB Asia UNDP"/>
    <s v="a4936000000wr1t"/>
  </r>
  <r>
    <n v="82"/>
    <x v="98"/>
    <n v="1"/>
    <x v="0"/>
    <n v="1"/>
    <x v="0"/>
    <s v="0013p00002BdLbvAAF"/>
    <x v="187"/>
    <s v="a1E360000012Hg3EAE"/>
    <x v="378"/>
    <m/>
    <m/>
  </r>
  <r>
    <n v="82"/>
    <x v="98"/>
    <n v="1"/>
    <x v="0"/>
    <n v="2"/>
    <x v="2"/>
    <s v="0013600000xoEFgAAM"/>
    <x v="186"/>
    <s v="a1E360000012Hg0EAE"/>
    <x v="379"/>
    <m/>
    <m/>
  </r>
  <r>
    <n v="77"/>
    <x v="95"/>
    <n v="2"/>
    <x v="1"/>
    <n v="1"/>
    <x v="0"/>
    <s v="0013600000xoEGWAA2"/>
    <x v="188"/>
    <s v="a1E360000012HfnEAE"/>
    <x v="380"/>
    <m/>
    <m/>
  </r>
  <r>
    <n v="38"/>
    <x v="99"/>
    <n v="1"/>
    <x v="0"/>
    <n v="1"/>
    <x v="0"/>
    <s v="0013600000xoEHWAA2"/>
    <x v="55"/>
    <s v="a1E360000012H9CEAU"/>
    <x v="381"/>
    <m/>
    <m/>
  </r>
  <r>
    <n v="38"/>
    <x v="99"/>
    <n v="1"/>
    <x v="0"/>
    <n v="3"/>
    <x v="1"/>
    <s v="0013600000xoEHWAA2"/>
    <x v="55"/>
    <s v="a1E360000012H9DEAU"/>
    <x v="382"/>
    <m/>
    <m/>
  </r>
  <r>
    <n v="38"/>
    <x v="99"/>
    <n v="1"/>
    <x v="0"/>
    <n v="2"/>
    <x v="2"/>
    <s v="0013600000xoEIgAAM"/>
    <x v="3"/>
    <s v="a1E360000012H9EEAU"/>
    <x v="383"/>
    <m/>
    <m/>
  </r>
  <r>
    <n v="245"/>
    <x v="100"/>
    <n v="2"/>
    <x v="1"/>
    <n v="1"/>
    <x v="0"/>
    <s v="0013600001omovqAAA"/>
    <x v="189"/>
    <s v="a1E360000064hzhEAA"/>
    <x v="384"/>
    <m/>
    <m/>
  </r>
  <r>
    <n v="247"/>
    <x v="101"/>
    <n v="1"/>
    <x v="0"/>
    <n v="4"/>
    <x v="3"/>
    <s v="0013600000xoEIuAAM"/>
    <x v="1"/>
    <s v="a1E3p00000B9lVoEAJ"/>
    <x v="385"/>
    <m/>
    <m/>
  </r>
  <r>
    <n v="247"/>
    <x v="101"/>
    <n v="1"/>
    <x v="0"/>
    <n v="1"/>
    <x v="0"/>
    <s v="0013600000xoEIuAAM"/>
    <x v="1"/>
    <s v="a1E360000012HBBEA2"/>
    <x v="386"/>
    <m/>
    <m/>
  </r>
  <r>
    <n v="247"/>
    <x v="101"/>
    <n v="1"/>
    <x v="0"/>
    <n v="3"/>
    <x v="1"/>
    <s v="0013600000xoEIOAA2"/>
    <x v="38"/>
    <s v="a1E360000012HBAEA2"/>
    <x v="387"/>
    <m/>
    <m/>
  </r>
  <r>
    <n v="247"/>
    <x v="101"/>
    <n v="1"/>
    <x v="0"/>
    <n v="3"/>
    <x v="1"/>
    <s v="0013600000xoEHWAA2"/>
    <x v="55"/>
    <s v="a1E3p00000CbsnvEAB"/>
    <x v="388"/>
    <m/>
    <m/>
  </r>
  <r>
    <n v="247"/>
    <x v="101"/>
    <n v="1"/>
    <x v="0"/>
    <n v="2"/>
    <x v="2"/>
    <s v="0013600000xoEIuAAM"/>
    <x v="1"/>
    <s v="a1E360000012HBCEA2"/>
    <x v="389"/>
    <m/>
    <m/>
  </r>
  <r>
    <n v="51"/>
    <x v="102"/>
    <n v="2"/>
    <x v="1"/>
    <n v="5"/>
    <x v="3"/>
    <s v="0013p00001xm3STAAY"/>
    <x v="190"/>
    <s v="a1E3p00000BgksZEAR"/>
    <x v="390"/>
    <m/>
    <m/>
  </r>
  <r>
    <n v="51"/>
    <x v="102"/>
    <n v="2"/>
    <x v="1"/>
    <n v="5"/>
    <x v="3"/>
    <s v="0013600000xoEIjAAM"/>
    <x v="1"/>
    <s v="a1E36000002wbtQEAQ"/>
    <x v="391"/>
    <m/>
    <m/>
  </r>
  <r>
    <n v="56"/>
    <x v="94"/>
    <n v="1"/>
    <x v="0"/>
    <n v="1"/>
    <x v="0"/>
    <s v="0013600000xoEIyAAM"/>
    <x v="1"/>
    <s v="a1E36000001jMsYEAU"/>
    <x v="392"/>
    <m/>
    <m/>
  </r>
  <r>
    <n v="56"/>
    <x v="94"/>
    <n v="1"/>
    <x v="0"/>
    <n v="3"/>
    <x v="1"/>
    <s v="0013600000xoEIyAAM"/>
    <x v="1"/>
    <s v="a1E36000001jMsZEAU"/>
    <x v="393"/>
    <m/>
    <m/>
  </r>
  <r>
    <n v="56"/>
    <x v="94"/>
    <n v="1"/>
    <x v="0"/>
    <n v="3"/>
    <x v="1"/>
    <s v="0013600000xoEIyAAM"/>
    <x v="1"/>
    <s v="a1E36000001jMsdEAE"/>
    <x v="394"/>
    <m/>
    <m/>
  </r>
  <r>
    <n v="56"/>
    <x v="94"/>
    <n v="1"/>
    <x v="0"/>
    <n v="2"/>
    <x v="2"/>
    <s v="0013600000xoEIyAAM"/>
    <x v="1"/>
    <s v="a1E360000012H9ZEAU"/>
    <x v="395"/>
    <m/>
    <m/>
  </r>
  <r>
    <n v="103"/>
    <x v="103"/>
    <n v="1"/>
    <x v="0"/>
    <n v="4"/>
    <x v="3"/>
    <s v="0013600000xoEHaAAM"/>
    <x v="191"/>
    <s v="a1E360000012HggEAE"/>
    <x v="396"/>
    <m/>
    <m/>
  </r>
  <r>
    <n v="103"/>
    <x v="103"/>
    <n v="1"/>
    <x v="0"/>
    <n v="1"/>
    <x v="0"/>
    <s v="0013600000xoEHaAAM"/>
    <x v="191"/>
    <s v="a1E3p00000CwU7TEAV"/>
    <x v="397"/>
    <m/>
    <m/>
  </r>
  <r>
    <n v="103"/>
    <x v="103"/>
    <n v="1"/>
    <x v="0"/>
    <n v="3"/>
    <x v="1"/>
    <s v="0013600000xoEHaAAM"/>
    <x v="191"/>
    <s v="a1E360000012HgfEAE"/>
    <x v="398"/>
    <m/>
    <m/>
  </r>
  <r>
    <n v="63"/>
    <x v="104"/>
    <n v="1"/>
    <x v="0"/>
    <n v="4"/>
    <x v="3"/>
    <s v="0013600000xoEKPAA2"/>
    <x v="192"/>
    <s v="a1E36000004InOaEAK"/>
    <x v="399"/>
    <m/>
    <m/>
  </r>
  <r>
    <n v="63"/>
    <x v="104"/>
    <n v="1"/>
    <x v="0"/>
    <n v="4"/>
    <x v="3"/>
    <s v="0013600000xoEISAA2"/>
    <x v="193"/>
    <s v="a1E36000004InNwEAK"/>
    <x v="400"/>
    <m/>
    <m/>
  </r>
  <r>
    <n v="63"/>
    <x v="104"/>
    <n v="1"/>
    <x v="0"/>
    <n v="1"/>
    <x v="0"/>
    <s v="0013600000xoEKPAA2"/>
    <x v="192"/>
    <s v="a1E360000012H9jEAE"/>
    <x v="401"/>
    <m/>
    <m/>
  </r>
  <r>
    <n v="63"/>
    <x v="104"/>
    <n v="1"/>
    <x v="0"/>
    <n v="1"/>
    <x v="0"/>
    <s v="0013600000xoEISAA2"/>
    <x v="193"/>
    <s v="a1E360000012H9kEAE"/>
    <x v="402"/>
    <m/>
    <m/>
  </r>
  <r>
    <n v="63"/>
    <x v="104"/>
    <n v="1"/>
    <x v="0"/>
    <n v="3"/>
    <x v="1"/>
    <s v="0013600000xoEISAA2"/>
    <x v="193"/>
    <s v="a1E360000012H9eEAE"/>
    <x v="403"/>
    <m/>
    <m/>
  </r>
  <r>
    <n v="63"/>
    <x v="104"/>
    <n v="1"/>
    <x v="0"/>
    <n v="2"/>
    <x v="2"/>
    <s v="0013600000xoEISAA2"/>
    <x v="193"/>
    <s v="a1E360000012H9lEAE"/>
    <x v="404"/>
    <m/>
    <m/>
  </r>
  <r>
    <n v="46"/>
    <x v="105"/>
    <n v="2"/>
    <x v="1"/>
    <n v="1"/>
    <x v="0"/>
    <s v="GIS_625"/>
    <x v="194"/>
    <s v="a1E36000001jMk7EAE"/>
    <x v="405"/>
    <m/>
    <m/>
  </r>
  <r>
    <n v="46"/>
    <x v="105"/>
    <n v="2"/>
    <x v="1"/>
    <n v="1"/>
    <x v="0"/>
    <s v="0013600000xoEHgAAM"/>
    <x v="195"/>
    <s v="a1E360000012HdoEAE"/>
    <x v="406"/>
    <m/>
    <m/>
  </r>
  <r>
    <n v="46"/>
    <x v="105"/>
    <n v="2"/>
    <x v="1"/>
    <n v="1"/>
    <x v="0"/>
    <s v="GFS_Vendor_26364"/>
    <x v="196"/>
    <s v="a1E36000001jMk8EAE"/>
    <x v="407"/>
    <m/>
    <m/>
  </r>
  <r>
    <n v="46"/>
    <x v="105"/>
    <n v="2"/>
    <x v="1"/>
    <n v="2"/>
    <x v="2"/>
    <s v="0013600000xoEHgAAM"/>
    <x v="195"/>
    <s v="a1E360000012HdpEAE"/>
    <x v="408"/>
    <m/>
    <m/>
  </r>
  <r>
    <n v="46"/>
    <x v="105"/>
    <n v="2"/>
    <x v="1"/>
    <n v="4"/>
    <x v="3"/>
    <s v="0011R000022Xlq0QAC"/>
    <x v="197"/>
    <s v="a1E3p00000DaJJLEA3"/>
    <x v="409"/>
    <m/>
    <m/>
  </r>
  <r>
    <n v="46"/>
    <x v="105"/>
    <n v="2"/>
    <x v="1"/>
    <n v="1"/>
    <x v="0"/>
    <s v="0013600000xoEHgAAM"/>
    <x v="195"/>
    <s v="a1E360000012HdqEAE"/>
    <x v="410"/>
    <m/>
    <m/>
  </r>
  <r>
    <n v="46"/>
    <x v="105"/>
    <n v="2"/>
    <x v="1"/>
    <n v="1"/>
    <x v="0"/>
    <s v="0011R000022Xlq0QAC"/>
    <x v="197"/>
    <s v="a1E1R00000Jh4iHUAR"/>
    <x v="411"/>
    <m/>
    <m/>
  </r>
  <r>
    <n v="46"/>
    <x v="105"/>
    <n v="2"/>
    <x v="1"/>
    <n v="3"/>
    <x v="1"/>
    <s v="0011R000022Xlq0QAC"/>
    <x v="197"/>
    <s v="a1E3p00000CzDA1EAN"/>
    <x v="412"/>
    <m/>
    <m/>
  </r>
  <r>
    <n v="46"/>
    <x v="105"/>
    <n v="2"/>
    <x v="1"/>
    <n v="3"/>
    <x v="1"/>
    <s v="0013600000xoEJ9AAM"/>
    <x v="1"/>
    <s v="a1E360000012HdnEAE"/>
    <x v="413"/>
    <m/>
    <m/>
  </r>
  <r>
    <n v="46"/>
    <x v="105"/>
    <n v="2"/>
    <x v="1"/>
    <n v="2"/>
    <x v="2"/>
    <s v="0013600000xoEHgAAM"/>
    <x v="195"/>
    <s v="a1E360000012HdrEAE"/>
    <x v="414"/>
    <m/>
    <m/>
  </r>
  <r>
    <n v="46"/>
    <x v="105"/>
    <n v="2"/>
    <x v="1"/>
    <n v="2"/>
    <x v="2"/>
    <s v="0011R000022Xlq0QAC"/>
    <x v="197"/>
    <s v="a1E1R00000Jh4TvUAJ"/>
    <x v="415"/>
    <m/>
    <m/>
  </r>
  <r>
    <n v="46"/>
    <x v="105"/>
    <n v="2"/>
    <x v="1"/>
    <n v="3"/>
    <x v="1"/>
    <s v="0013600000xoEHgAAM"/>
    <x v="195"/>
    <s v="a1E36000001jMk6EAE"/>
    <x v="416"/>
    <m/>
    <m/>
  </r>
  <r>
    <n v="79"/>
    <x v="106"/>
    <n v="2"/>
    <x v="1"/>
    <n v="1"/>
    <x v="0"/>
    <s v="0013600000xoEKXAA2"/>
    <x v="198"/>
    <s v="a1E360000012HfwEAE"/>
    <x v="417"/>
    <m/>
    <m/>
  </r>
  <r>
    <n v="79"/>
    <x v="106"/>
    <n v="2"/>
    <x v="1"/>
    <n v="3"/>
    <x v="1"/>
    <s v="0013600000xoEKXAA2"/>
    <x v="198"/>
    <s v="a1E360000012HfvEAE"/>
    <x v="418"/>
    <m/>
    <m/>
  </r>
  <r>
    <n v="79"/>
    <x v="106"/>
    <n v="2"/>
    <x v="1"/>
    <n v="2"/>
    <x v="2"/>
    <s v="0013600000xoEKXAA2"/>
    <x v="198"/>
    <s v="a1E360000012HfxEAE"/>
    <x v="419"/>
    <m/>
    <m/>
  </r>
  <r>
    <n v="148"/>
    <x v="107"/>
    <n v="1"/>
    <x v="0"/>
    <n v="4"/>
    <x v="3"/>
    <s v="0013600000xoEGLAA2"/>
    <x v="199"/>
    <s v="a1E360000012HhLEAU"/>
    <x v="420"/>
    <m/>
    <m/>
  </r>
  <r>
    <n v="148"/>
    <x v="107"/>
    <n v="1"/>
    <x v="0"/>
    <n v="4"/>
    <x v="3"/>
    <s v="0013600000xoEGIAA2"/>
    <x v="200"/>
    <s v="a1E360000012HhMEAU"/>
    <x v="421"/>
    <m/>
    <m/>
  </r>
  <r>
    <n v="132"/>
    <x v="108"/>
    <n v="1"/>
    <x v="0"/>
    <n v="4"/>
    <x v="3"/>
    <s v="0013600000xoEJ2AAM"/>
    <x v="1"/>
    <s v="a1E3p00000B9icqEAB"/>
    <x v="422"/>
    <m/>
    <m/>
  </r>
  <r>
    <n v="132"/>
    <x v="108"/>
    <n v="1"/>
    <x v="0"/>
    <n v="1"/>
    <x v="0"/>
    <s v="0013600000xoEJ2AAM"/>
    <x v="1"/>
    <s v="a1E360000012Hh2EAE"/>
    <x v="423"/>
    <m/>
    <m/>
  </r>
  <r>
    <n v="132"/>
    <x v="108"/>
    <n v="1"/>
    <x v="0"/>
    <n v="2"/>
    <x v="2"/>
    <s v="0013600000xoEKeAAM"/>
    <x v="201"/>
    <s v="a1E360000012Hh1EAE"/>
    <x v="424"/>
    <m/>
    <m/>
  </r>
  <r>
    <n v="133"/>
    <x v="109"/>
    <n v="1"/>
    <x v="0"/>
    <n v="2"/>
    <x v="2"/>
    <s v="0013600000xoEIxAAM"/>
    <x v="1"/>
    <s v="a1E360000012Hh5EAE"/>
    <x v="425"/>
    <m/>
    <m/>
  </r>
  <r>
    <n v="149"/>
    <x v="110"/>
    <n v="1"/>
    <x v="0"/>
    <n v="1"/>
    <x v="0"/>
    <s v="0013600000xoEIeAAM"/>
    <x v="202"/>
    <s v="a1E360000012HhOEAU"/>
    <x v="426"/>
    <m/>
    <m/>
  </r>
  <r>
    <n v="149"/>
    <x v="110"/>
    <n v="1"/>
    <x v="0"/>
    <n v="3"/>
    <x v="1"/>
    <s v="0013600000xoEIeAAM"/>
    <x v="202"/>
    <s v="a1E360000012HhPEAU"/>
    <x v="427"/>
    <m/>
    <m/>
  </r>
  <r>
    <n v="149"/>
    <x v="110"/>
    <n v="1"/>
    <x v="0"/>
    <n v="2"/>
    <x v="2"/>
    <s v="0013600000xoEIeAAM"/>
    <x v="202"/>
    <s v="a1E360000012HhQEAU"/>
    <x v="428"/>
    <m/>
    <m/>
  </r>
  <r>
    <n v="40"/>
    <x v="111"/>
    <n v="1"/>
    <x v="0"/>
    <n v="1"/>
    <x v="0"/>
    <s v="0013600000xoEIOAA2"/>
    <x v="38"/>
    <s v="a1E360000012HdVEAU"/>
    <x v="429"/>
    <m/>
    <m/>
  </r>
  <r>
    <n v="57"/>
    <x v="112"/>
    <n v="1"/>
    <x v="0"/>
    <n v="1"/>
    <x v="0"/>
    <s v="0013600000xoEG8AAM"/>
    <x v="203"/>
    <s v="a1E360000012HeHEAU"/>
    <x v="430"/>
    <m/>
    <m/>
  </r>
  <r>
    <n v="57"/>
    <x v="112"/>
    <n v="1"/>
    <x v="0"/>
    <n v="2"/>
    <x v="2"/>
    <s v="0013600000xoEIBAA2"/>
    <x v="204"/>
    <s v="a1E360000012HeIEAU"/>
    <x v="431"/>
    <m/>
    <m/>
  </r>
  <r>
    <n v="57"/>
    <x v="112"/>
    <n v="1"/>
    <x v="0"/>
    <n v="1"/>
    <x v="0"/>
    <s v="0013600000xoEG8AAM"/>
    <x v="203"/>
    <s v="a1E360000012HeGEAU"/>
    <x v="432"/>
    <m/>
    <m/>
  </r>
  <r>
    <n v="40"/>
    <x v="111"/>
    <n v="1"/>
    <x v="0"/>
    <n v="4"/>
    <x v="3"/>
    <s v="0013600001IbBhRAAV"/>
    <x v="99"/>
    <s v="a1E36000004ITnPEAW"/>
    <x v="433"/>
    <m/>
    <m/>
  </r>
  <r>
    <n v="40"/>
    <x v="111"/>
    <n v="1"/>
    <x v="0"/>
    <n v="4"/>
    <x v="3"/>
    <s v="0013600000xoEKAAA2"/>
    <x v="20"/>
    <s v="a1E360000012HdPEAU"/>
    <x v="434"/>
    <s v="Multicountry Middle East MER"/>
    <s v="a49360000005CUY"/>
  </r>
  <r>
    <n v="40"/>
    <x v="111"/>
    <n v="1"/>
    <x v="0"/>
    <n v="1"/>
    <x v="0"/>
    <s v="0013600000xoEHrAAM"/>
    <x v="205"/>
    <s v="a1E360000012HdREAU"/>
    <x v="435"/>
    <s v="Multicountry East Asia and Pacific APN"/>
    <s v="a49360000005CUS"/>
  </r>
  <r>
    <n v="40"/>
    <x v="111"/>
    <n v="1"/>
    <x v="0"/>
    <n v="3"/>
    <x v="1"/>
    <s v="0013600000xoEHrAAM"/>
    <x v="205"/>
    <s v="a1E360000012HdXEAU"/>
    <x v="436"/>
    <s v="Multicountry EECA PAS"/>
    <s v="a49360000005CUk"/>
  </r>
  <r>
    <n v="40"/>
    <x v="111"/>
    <n v="1"/>
    <x v="0"/>
    <n v="2"/>
    <x v="2"/>
    <s v="0013600000xoEHrAAM"/>
    <x v="205"/>
    <s v="a1E360000012HdSEAU"/>
    <x v="437"/>
    <s v="Multicountry MENA Key Populations"/>
    <s v="a4936000000wr4E"/>
  </r>
  <r>
    <n v="39"/>
    <x v="113"/>
    <n v="1"/>
    <x v="0"/>
    <n v="4"/>
    <x v="3"/>
    <s v="0013600000xoEGeAAM"/>
    <x v="206"/>
    <s v="a1E360000012H9KEAU"/>
    <x v="438"/>
    <s v="Multicountry EECA IHAU"/>
    <s v="a49360000005CUZ"/>
  </r>
  <r>
    <n v="39"/>
    <x v="113"/>
    <n v="1"/>
    <x v="0"/>
    <n v="1"/>
    <x v="0"/>
    <s v="0013600000xoEI0AAM"/>
    <x v="207"/>
    <s v="a1E360000012H9JEAU"/>
    <x v="439"/>
    <s v="Multicountry HIV EECA APH"/>
    <s v="a4936000000wr1y"/>
  </r>
  <r>
    <n v="39"/>
    <x v="113"/>
    <n v="1"/>
    <x v="0"/>
    <n v="3"/>
    <x v="1"/>
    <s v="0013600000xoEI0AAM"/>
    <x v="207"/>
    <s v="a1E360000012H9HEAU"/>
    <x v="440"/>
    <s v="Multicountry HIV SEA AFAO"/>
    <s v="a4936000000ws6L"/>
  </r>
  <r>
    <n v="39"/>
    <x v="113"/>
    <n v="1"/>
    <x v="0"/>
    <n v="3"/>
    <x v="1"/>
    <s v="0013600000xoEGeAAM"/>
    <x v="206"/>
    <s v="a1E360000012H9IEAU"/>
    <x v="441"/>
    <m/>
    <m/>
  </r>
  <r>
    <n v="39"/>
    <x v="113"/>
    <n v="1"/>
    <x v="0"/>
    <n v="6"/>
    <x v="4"/>
    <s v="0013600000xoEGeAAM"/>
    <x v="206"/>
    <s v="a1E360000012H9MEAU"/>
    <x v="442"/>
    <m/>
    <m/>
  </r>
  <r>
    <n v="39"/>
    <x v="113"/>
    <n v="1"/>
    <x v="0"/>
    <n v="2"/>
    <x v="2"/>
    <s v="0013600000xoEI0AAM"/>
    <x v="207"/>
    <s v="a1E360000012H9FEAU"/>
    <x v="443"/>
    <m/>
    <m/>
  </r>
  <r>
    <n v="39"/>
    <x v="113"/>
    <n v="1"/>
    <x v="0"/>
    <n v="1"/>
    <x v="0"/>
    <s v="0013600000xoEI0AAM"/>
    <x v="207"/>
    <s v="a1E360000012H9GEAU"/>
    <x v="444"/>
    <m/>
    <m/>
  </r>
  <r>
    <n v="187"/>
    <x v="114"/>
    <n v="1"/>
    <x v="0"/>
    <n v="4"/>
    <x v="3"/>
    <s v="0013600000xoEHGAA2"/>
    <x v="159"/>
    <s v="a1E360000012HiUEAU"/>
    <x v="445"/>
    <m/>
    <m/>
  </r>
  <r>
    <n v="187"/>
    <x v="114"/>
    <n v="1"/>
    <x v="0"/>
    <n v="4"/>
    <x v="3"/>
    <s v="0013600000xoEFOAA2"/>
    <x v="208"/>
    <s v="a1E360000012HiVEAU"/>
    <x v="446"/>
    <m/>
    <m/>
  </r>
  <r>
    <n v="187"/>
    <x v="114"/>
    <n v="1"/>
    <x v="0"/>
    <n v="4"/>
    <x v="3"/>
    <s v="0013600000xoEHhAAM"/>
    <x v="209"/>
    <s v="a1E360000012HiWEAU"/>
    <x v="447"/>
    <m/>
    <m/>
  </r>
  <r>
    <n v="134"/>
    <x v="115"/>
    <n v="1"/>
    <x v="0"/>
    <n v="4"/>
    <x v="3"/>
    <s v="0013600000xoEKzAAM"/>
    <x v="210"/>
    <s v="a1E3p00000CEoUmEAL"/>
    <x v="448"/>
    <m/>
    <m/>
  </r>
  <r>
    <n v="134"/>
    <x v="115"/>
    <n v="1"/>
    <x v="0"/>
    <n v="1"/>
    <x v="0"/>
    <s v="0013600000xoEKzAAM"/>
    <x v="210"/>
    <s v="a1E36000001hEgNEAU"/>
    <x v="449"/>
    <m/>
    <m/>
  </r>
  <r>
    <n v="134"/>
    <x v="115"/>
    <n v="1"/>
    <x v="0"/>
    <n v="3"/>
    <x v="1"/>
    <s v="0013600000xoEIaAAM"/>
    <x v="211"/>
    <s v="a1E360000012Hh6EAE"/>
    <x v="450"/>
    <m/>
    <m/>
  </r>
  <r>
    <n v="134"/>
    <x v="115"/>
    <n v="1"/>
    <x v="0"/>
    <n v="2"/>
    <x v="2"/>
    <s v="0013600000xoEI1AAM"/>
    <x v="212"/>
    <s v="a1E360000012Hh7EAE"/>
    <x v="451"/>
    <m/>
    <m/>
  </r>
  <r>
    <n v="134"/>
    <x v="115"/>
    <n v="1"/>
    <x v="0"/>
    <n v="2"/>
    <x v="2"/>
    <s v="0011R00002AIPnkQAH"/>
    <x v="213"/>
    <s v="a1E3p00000BvyVQEAZ"/>
    <x v="452"/>
    <m/>
    <m/>
  </r>
  <r>
    <n v="105"/>
    <x v="116"/>
    <n v="1"/>
    <x v="0"/>
    <n v="3"/>
    <x v="1"/>
    <s v="0013p00001xlqRvAAI"/>
    <x v="1"/>
    <s v="a1E3p00000BgkYKEAZ"/>
    <x v="453"/>
    <m/>
    <m/>
  </r>
  <r>
    <n v="150"/>
    <x v="117"/>
    <n v="1"/>
    <x v="0"/>
    <n v="1"/>
    <x v="0"/>
    <s v="0013600000xoEF7AAM"/>
    <x v="214"/>
    <s v="a1E360000012HAVEA2"/>
    <x v="454"/>
    <m/>
    <m/>
  </r>
  <r>
    <n v="150"/>
    <x v="117"/>
    <n v="1"/>
    <x v="0"/>
    <n v="1"/>
    <x v="0"/>
    <s v="0013600000xoEKNAA2"/>
    <x v="215"/>
    <s v="a1E360000012HAWEA2"/>
    <x v="455"/>
    <m/>
    <m/>
  </r>
  <r>
    <n v="150"/>
    <x v="117"/>
    <n v="1"/>
    <x v="0"/>
    <n v="2"/>
    <x v="2"/>
    <s v="0013600000xoEKMAA2"/>
    <x v="216"/>
    <s v="a1E360000012HAXEA2"/>
    <x v="456"/>
    <m/>
    <m/>
  </r>
  <r>
    <n v="177"/>
    <x v="118"/>
    <n v="1"/>
    <x v="0"/>
    <n v="2"/>
    <x v="2"/>
    <s v="0013600000xoEHyAAM"/>
    <x v="217"/>
    <s v="a1E360000012HiGEAU"/>
    <x v="457"/>
    <m/>
    <m/>
  </r>
  <r>
    <n v="62"/>
    <x v="119"/>
    <n v="1"/>
    <x v="0"/>
    <n v="4"/>
    <x v="3"/>
    <s v="0013600000xoEKsAAM"/>
    <x v="218"/>
    <s v="a1E360000012HegEAE"/>
    <x v="458"/>
    <m/>
    <m/>
  </r>
  <r>
    <n v="62"/>
    <x v="119"/>
    <n v="1"/>
    <x v="0"/>
    <n v="4"/>
    <x v="3"/>
    <s v="0011R00001zlHnFQAU"/>
    <x v="219"/>
    <s v="a1E1R00000FoiwDUAR"/>
    <x v="459"/>
    <m/>
    <m/>
  </r>
  <r>
    <n v="62"/>
    <x v="119"/>
    <n v="1"/>
    <x v="0"/>
    <n v="4"/>
    <x v="3"/>
    <s v="0013600000xoEGBAA2"/>
    <x v="220"/>
    <s v="a1E360000012HefEAE"/>
    <x v="460"/>
    <m/>
    <m/>
  </r>
  <r>
    <n v="62"/>
    <x v="119"/>
    <n v="1"/>
    <x v="0"/>
    <n v="4"/>
    <x v="3"/>
    <s v="0013600000xoEIRAA2"/>
    <x v="221"/>
    <s v="a1E360000012HejEAE"/>
    <x v="461"/>
    <m/>
    <m/>
  </r>
  <r>
    <n v="41"/>
    <x v="120"/>
    <n v="1"/>
    <x v="0"/>
    <n v="1"/>
    <x v="0"/>
    <s v="0013600000xoEIvAAM"/>
    <x v="1"/>
    <s v="a1E360000012H9PEAU"/>
    <x v="462"/>
    <m/>
    <m/>
  </r>
  <r>
    <n v="48"/>
    <x v="17"/>
    <n v="1"/>
    <x v="0"/>
    <n v="2"/>
    <x v="2"/>
    <s v="0013600000xoEKRAA2"/>
    <x v="37"/>
    <s v="a1E36000001jMkiEAE"/>
    <x v="463"/>
    <m/>
    <m/>
  </r>
  <r>
    <n v="48"/>
    <x v="17"/>
    <n v="1"/>
    <x v="0"/>
    <n v="3"/>
    <x v="1"/>
    <s v="0013600000xoEKRAA2"/>
    <x v="37"/>
    <s v="a1E36000001jMkgEAE"/>
    <x v="464"/>
    <m/>
    <m/>
  </r>
  <r>
    <n v="41"/>
    <x v="120"/>
    <n v="1"/>
    <x v="0"/>
    <n v="4"/>
    <x v="3"/>
    <s v="0013600000xoEHZAA2"/>
    <x v="222"/>
    <s v="a1E360000012H9SEAU"/>
    <x v="465"/>
    <m/>
    <m/>
  </r>
  <r>
    <n v="41"/>
    <x v="120"/>
    <n v="1"/>
    <x v="0"/>
    <n v="4"/>
    <x v="3"/>
    <s v="0013600000xoEFpAAM"/>
    <x v="223"/>
    <s v="a1E360000012H9QEAU"/>
    <x v="466"/>
    <m/>
    <m/>
  </r>
  <r>
    <n v="41"/>
    <x v="120"/>
    <n v="1"/>
    <x v="0"/>
    <n v="3"/>
    <x v="1"/>
    <s v="0013600000xoEHZAA2"/>
    <x v="222"/>
    <s v="a1E360000012H9TEAU"/>
    <x v="467"/>
    <m/>
    <m/>
  </r>
  <r>
    <n v="41"/>
    <x v="120"/>
    <n v="1"/>
    <x v="0"/>
    <n v="3"/>
    <x v="1"/>
    <s v="0013600000xoEFpAAM"/>
    <x v="223"/>
    <s v="a1E360000012H9REAU"/>
    <x v="468"/>
    <m/>
    <m/>
  </r>
  <r>
    <n v="42"/>
    <x v="121"/>
    <n v="1"/>
    <x v="0"/>
    <n v="1"/>
    <x v="0"/>
    <s v="0013600000xoEIlAAM"/>
    <x v="1"/>
    <s v="a1E360000012H9WEAU"/>
    <x v="469"/>
    <m/>
    <m/>
  </r>
  <r>
    <n v="42"/>
    <x v="121"/>
    <n v="1"/>
    <x v="0"/>
    <n v="3"/>
    <x v="1"/>
    <s v="0013600000xoEI4AAM"/>
    <x v="224"/>
    <s v="a1E360000012H9UEAU"/>
    <x v="470"/>
    <m/>
    <m/>
  </r>
  <r>
    <n v="42"/>
    <x v="121"/>
    <n v="1"/>
    <x v="0"/>
    <n v="2"/>
    <x v="2"/>
    <s v="0013600000xoEI4AAM"/>
    <x v="224"/>
    <s v="a1E360000012H9VEAU"/>
    <x v="471"/>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r>
    <m/>
    <x v="122"/>
    <m/>
    <x v="2"/>
    <m/>
    <x v="5"/>
    <m/>
    <x v="225"/>
    <m/>
    <x v="472"/>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1D38550-73D4-40DB-9BAB-EAAD19F14C9E}" name="PivotTable8" cacheId="261" applyNumberFormats="0" applyBorderFormats="0" applyFontFormats="0" applyPatternFormats="0" applyAlignmentFormats="0" applyWidthHeightFormats="1" dataCaption="Values" updatedVersion="8" minRefreshableVersion="3" preserveFormatting="0" rowGrandTotals="0" itemPrintTitles="1" createdVersion="6" indent="0" compact="0" compactData="0" gridDropZones="1" multipleFieldFilters="0">
  <location ref="C11:O14" firstHeaderRow="2" firstDataRow="2" firstDataCol="7"/>
  <pivotFields count="16">
    <pivotField compact="0" outline="0" showAll="0"/>
    <pivotField axis="axisRow" compact="0" outline="0" showAll="0" defaultSubtotal="0">
      <items count="29">
        <item x="0"/>
        <item m="1" x="8"/>
        <item x="1"/>
        <item m="1" x="9"/>
        <item m="1" x="3"/>
        <item m="1" x="22"/>
        <item m="1" x="12"/>
        <item m="1" x="26"/>
        <item m="1" x="13"/>
        <item m="1" x="14"/>
        <item m="1" x="27"/>
        <item m="1" x="24"/>
        <item m="1" x="11"/>
        <item m="1" x="6"/>
        <item m="1" x="17"/>
        <item m="1" x="5"/>
        <item m="1" x="21"/>
        <item m="1" x="19"/>
        <item m="1" x="7"/>
        <item m="1" x="4"/>
        <item m="1" x="18"/>
        <item m="1" x="15"/>
        <item m="1" x="23"/>
        <item m="1" x="25"/>
        <item m="1" x="28"/>
        <item m="1" x="10"/>
        <item m="1" x="16"/>
        <item m="1" x="20"/>
        <item m="1" x="2"/>
      </items>
      <extLst>
        <ext xmlns:x14="http://schemas.microsoft.com/office/spreadsheetml/2009/9/main" uri="{2946ED86-A175-432a-8AC1-64E0C546D7DE}">
          <x14:pivotField fillDownLabels="1"/>
        </ext>
      </extLst>
    </pivotField>
    <pivotField axis="axisRow" compact="0" outline="0" showAll="0" defaultSubtotal="0">
      <items count="7">
        <item x="0"/>
        <item x="1"/>
        <item x="2"/>
        <item x="3"/>
        <item x="4"/>
        <item x="5"/>
        <item m="1" x="6"/>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435">
        <item m="1" x="157"/>
        <item m="1" x="355"/>
        <item m="1" x="293"/>
        <item m="1" x="250"/>
        <item m="1" x="186"/>
        <item m="1" x="283"/>
        <item m="1" x="111"/>
        <item m="1" x="349"/>
        <item m="1" x="165"/>
        <item m="1" x="278"/>
        <item m="1" x="190"/>
        <item m="1" x="193"/>
        <item m="1" x="46"/>
        <item m="1" x="316"/>
        <item m="1" x="364"/>
        <item m="1" x="337"/>
        <item m="1" x="280"/>
        <item m="1" x="241"/>
        <item m="1" x="119"/>
        <item m="1" x="328"/>
        <item m="1" x="393"/>
        <item m="1" x="178"/>
        <item m="1" x="91"/>
        <item m="1" x="131"/>
        <item m="1" x="378"/>
        <item m="1" x="49"/>
        <item m="1" x="354"/>
        <item m="1" x="161"/>
        <item m="1" x="398"/>
        <item m="1" x="433"/>
        <item m="1" x="334"/>
        <item m="1" x="231"/>
        <item x="14"/>
        <item x="15"/>
        <item m="1" x="343"/>
        <item m="1" x="29"/>
        <item m="1" x="308"/>
        <item m="1" x="272"/>
        <item m="1" x="164"/>
        <item m="1" x="181"/>
        <item m="1" x="417"/>
        <item m="1" x="367"/>
        <item m="1" x="414"/>
        <item x="5"/>
        <item m="1" x="237"/>
        <item x="19"/>
        <item x="1"/>
        <item x="20"/>
        <item x="21"/>
        <item m="1" x="116"/>
        <item m="1" x="219"/>
        <item x="11"/>
        <item x="12"/>
        <item x="17"/>
        <item x="0"/>
        <item m="1" x="85"/>
        <item m="1" x="199"/>
        <item m="1" x="371"/>
        <item m="1" x="431"/>
        <item x="10"/>
        <item m="1" x="210"/>
        <item m="1" x="422"/>
        <item m="1" x="225"/>
        <item m="1" x="403"/>
        <item m="1" x="257"/>
        <item m="1" x="95"/>
        <item m="1" x="369"/>
        <item m="1" x="66"/>
        <item m="1" x="194"/>
        <item m="1" x="303"/>
        <item m="1" x="104"/>
        <item m="1" x="135"/>
        <item m="1" x="24"/>
        <item m="1" x="239"/>
        <item m="1" x="323"/>
        <item m="1" x="270"/>
        <item m="1" x="112"/>
        <item m="1" x="419"/>
        <item m="1" x="38"/>
        <item m="1" x="408"/>
        <item m="1" x="40"/>
        <item x="2"/>
        <item x="18"/>
        <item m="1" x="35"/>
        <item m="1" x="423"/>
        <item m="1" x="122"/>
        <item m="1" x="87"/>
        <item m="1" x="370"/>
        <item m="1" x="235"/>
        <item m="1" x="136"/>
        <item m="1" x="352"/>
        <item m="1" x="179"/>
        <item m="1" x="22"/>
        <item m="1" x="78"/>
        <item m="1" x="216"/>
        <item m="1" x="321"/>
        <item m="1" x="148"/>
        <item m="1" x="322"/>
        <item m="1" x="59"/>
        <item m="1" x="94"/>
        <item m="1" x="374"/>
        <item m="1" x="415"/>
        <item m="1" x="188"/>
        <item m="1" x="424"/>
        <item m="1" x="68"/>
        <item m="1" x="191"/>
        <item m="1" x="236"/>
        <item m="1" x="297"/>
        <item m="1" x="232"/>
        <item m="1" x="103"/>
        <item m="1" x="324"/>
        <item m="1" x="140"/>
        <item m="1" x="375"/>
        <item m="1" x="124"/>
        <item m="1" x="108"/>
        <item m="1" x="134"/>
        <item m="1" x="97"/>
        <item m="1" x="430"/>
        <item m="1" x="220"/>
        <item m="1" x="224"/>
        <item m="1" x="306"/>
        <item m="1" x="212"/>
        <item m="1" x="309"/>
        <item m="1" x="173"/>
        <item m="1" x="208"/>
        <item m="1" x="332"/>
        <item m="1" x="214"/>
        <item m="1" x="72"/>
        <item m="1" x="282"/>
        <item m="1" x="222"/>
        <item m="1" x="366"/>
        <item m="1" x="65"/>
        <item m="1" x="50"/>
        <item m="1" x="67"/>
        <item m="1" x="275"/>
        <item m="1" x="36"/>
        <item m="1" x="245"/>
        <item m="1" x="56"/>
        <item m="1" x="372"/>
        <item m="1" x="57"/>
        <item m="1" x="404"/>
        <item m="1" x="86"/>
        <item m="1" x="180"/>
        <item m="1" x="211"/>
        <item m="1" x="61"/>
        <item m="1" x="92"/>
        <item m="1" x="147"/>
        <item m="1" x="325"/>
        <item m="1" x="133"/>
        <item m="1" x="281"/>
        <item m="1" x="266"/>
        <item m="1" x="427"/>
        <item x="13"/>
        <item m="1" x="83"/>
        <item m="1" x="150"/>
        <item m="1" x="234"/>
        <item m="1" x="396"/>
        <item m="1" x="77"/>
        <item m="1" x="269"/>
        <item m="1" x="54"/>
        <item m="1" x="169"/>
        <item m="1" x="288"/>
        <item m="1" x="170"/>
        <item m="1" x="171"/>
        <item m="1" x="379"/>
        <item m="1" x="405"/>
        <item m="1" x="115"/>
        <item m="1" x="300"/>
        <item m="1" x="226"/>
        <item m="1" x="182"/>
        <item m="1" x="363"/>
        <item m="1" x="410"/>
        <item m="1" x="227"/>
        <item m="1" x="183"/>
        <item m="1" x="109"/>
        <item m="1" x="96"/>
        <item m="1" x="207"/>
        <item m="1" x="184"/>
        <item m="1" x="268"/>
        <item m="1" x="228"/>
        <item m="1" x="350"/>
        <item m="1" x="123"/>
        <item m="1" x="256"/>
        <item m="1" x="286"/>
        <item m="1" x="74"/>
        <item m="1" x="33"/>
        <item m="1" x="81"/>
        <item m="1" x="151"/>
        <item m="1" x="113"/>
        <item m="1" x="406"/>
        <item m="1" x="51"/>
        <item m="1" x="329"/>
        <item m="1" x="138"/>
        <item m="1" x="25"/>
        <item m="1" x="400"/>
        <item m="1" x="273"/>
        <item m="1" x="58"/>
        <item m="1" x="411"/>
        <item m="1" x="229"/>
        <item m="1" x="362"/>
        <item m="1" x="376"/>
        <item m="1" x="149"/>
        <item m="1" x="296"/>
        <item m="1" x="142"/>
        <item m="1" x="126"/>
        <item m="1" x="358"/>
        <item m="1" x="407"/>
        <item m="1" x="330"/>
        <item m="1" x="238"/>
        <item m="1" x="217"/>
        <item m="1" x="301"/>
        <item m="1" x="201"/>
        <item m="1" x="373"/>
        <item m="1" x="160"/>
        <item m="1" x="377"/>
        <item m="1" x="381"/>
        <item m="1" x="209"/>
        <item x="6"/>
        <item x="7"/>
        <item m="1" x="202"/>
        <item x="8"/>
        <item m="1" x="311"/>
        <item m="1" x="41"/>
        <item m="1" x="310"/>
        <item m="1" x="189"/>
        <item m="1" x="304"/>
        <item m="1" x="315"/>
        <item m="1" x="132"/>
        <item m="1" x="168"/>
        <item m="1" x="416"/>
        <item m="1" x="271"/>
        <item m="1" x="335"/>
        <item m="1" x="336"/>
        <item m="1" x="230"/>
        <item m="1" x="267"/>
        <item m="1" x="215"/>
        <item m="1" x="102"/>
        <item m="1" x="255"/>
        <item m="1" x="333"/>
        <item m="1" x="341"/>
        <item m="1" x="353"/>
        <item m="1" x="52"/>
        <item m="1" x="391"/>
        <item m="1" x="197"/>
        <item m="1" x="130"/>
        <item m="1" x="279"/>
        <item m="1" x="312"/>
        <item m="1" x="32"/>
        <item m="1" x="205"/>
        <item m="1" x="251"/>
        <item m="1" x="187"/>
        <item m="1" x="154"/>
        <item m="1" x="84"/>
        <item m="1" x="26"/>
        <item m="1" x="340"/>
        <item m="1" x="326"/>
        <item m="1" x="145"/>
        <item m="1" x="175"/>
        <item m="1" x="307"/>
        <item m="1" x="198"/>
        <item m="1" x="313"/>
        <item m="1" x="380"/>
        <item m="1" x="45"/>
        <item m="1" x="177"/>
        <item m="1" x="262"/>
        <item m="1" x="110"/>
        <item m="1" x="98"/>
        <item m="1" x="153"/>
        <item m="1" x="295"/>
        <item m="1" x="206"/>
        <item m="1" x="382"/>
        <item m="1" x="155"/>
        <item m="1" x="27"/>
        <item m="1" x="345"/>
        <item m="1" x="346"/>
        <item m="1" x="144"/>
        <item m="1" x="388"/>
        <item m="1" x="298"/>
        <item m="1" x="172"/>
        <item m="1" x="327"/>
        <item m="1" x="221"/>
        <item m="1" x="73"/>
        <item m="1" x="118"/>
        <item m="1" x="39"/>
        <item m="1" x="289"/>
        <item m="1" x="176"/>
        <item m="1" x="203"/>
        <item m="1" x="107"/>
        <item m="1" x="359"/>
        <item m="1" x="99"/>
        <item m="1" x="128"/>
        <item m="1" x="347"/>
        <item m="1" x="360"/>
        <item m="1" x="89"/>
        <item m="1" x="129"/>
        <item m="1" x="195"/>
        <item m="1" x="348"/>
        <item m="1" x="432"/>
        <item m="1" x="53"/>
        <item m="1" x="361"/>
        <item m="1" x="100"/>
        <item m="1" x="90"/>
        <item m="1" x="264"/>
        <item m="1" x="317"/>
        <item m="1" x="88"/>
        <item m="1" x="412"/>
        <item m="1" x="143"/>
        <item m="1" x="425"/>
        <item x="9"/>
        <item m="1" x="402"/>
        <item m="1" x="200"/>
        <item m="1" x="285"/>
        <item m="1" x="299"/>
        <item m="1" x="385"/>
        <item m="1" x="23"/>
        <item x="3"/>
        <item m="1" x="318"/>
        <item m="1" x="185"/>
        <item m="1" x="260"/>
        <item m="1" x="394"/>
        <item m="1" x="42"/>
        <item m="1" x="55"/>
        <item m="1" x="383"/>
        <item m="1" x="302"/>
        <item m="1" x="137"/>
        <item m="1" x="249"/>
        <item m="1" x="196"/>
        <item m="1" x="105"/>
        <item m="1" x="43"/>
        <item m="1" x="79"/>
        <item m="1" x="146"/>
        <item m="1" x="125"/>
        <item m="1" x="331"/>
        <item m="1" x="34"/>
        <item m="1" x="69"/>
        <item m="1" x="167"/>
        <item m="1" x="60"/>
        <item m="1" x="37"/>
        <item m="1" x="356"/>
        <item m="1" x="305"/>
        <item m="1" x="101"/>
        <item m="1" x="276"/>
        <item m="1" x="294"/>
        <item m="1" x="163"/>
        <item m="1" x="258"/>
        <item m="1" x="421"/>
        <item m="1" x="218"/>
        <item m="1" x="252"/>
        <item m="1" x="70"/>
        <item m="1" x="247"/>
        <item m="1" x="204"/>
        <item m="1" x="395"/>
        <item m="1" x="413"/>
        <item m="1" x="263"/>
        <item m="1" x="342"/>
        <item m="1" x="397"/>
        <item m="1" x="62"/>
        <item m="1" x="426"/>
        <item m="1" x="152"/>
        <item m="1" x="261"/>
        <item m="1" x="429"/>
        <item m="1" x="351"/>
        <item m="1" x="254"/>
        <item m="1" x="156"/>
        <item m="1" x="223"/>
        <item m="1" x="159"/>
        <item m="1" x="320"/>
        <item m="1" x="174"/>
        <item m="1" x="390"/>
        <item m="1" x="434"/>
        <item m="1" x="242"/>
        <item m="1" x="368"/>
        <item m="1" x="339"/>
        <item m="1" x="244"/>
        <item m="1" x="365"/>
        <item m="1" x="287"/>
        <item m="1" x="259"/>
        <item m="1" x="418"/>
        <item m="1" x="274"/>
        <item m="1" x="139"/>
        <item m="1" x="420"/>
        <item m="1" x="75"/>
        <item m="1" x="120"/>
        <item m="1" x="80"/>
        <item m="1" x="162"/>
        <item m="1" x="30"/>
        <item m="1" x="401"/>
        <item m="1" x="291"/>
        <item m="1" x="319"/>
        <item m="1" x="389"/>
        <item m="1" x="117"/>
        <item m="1" x="127"/>
        <item m="1" x="192"/>
        <item m="1" x="248"/>
        <item m="1" x="106"/>
        <item m="1" x="64"/>
        <item m="1" x="277"/>
        <item m="1" x="246"/>
        <item m="1" x="31"/>
        <item m="1" x="428"/>
        <item m="1" x="213"/>
        <item m="1" x="240"/>
        <item m="1" x="338"/>
        <item m="1" x="409"/>
        <item m="1" x="399"/>
        <item m="1" x="292"/>
        <item m="1" x="357"/>
        <item x="4"/>
        <item m="1" x="386"/>
        <item m="1" x="265"/>
        <item m="1" x="76"/>
        <item m="1" x="384"/>
        <item m="1" x="44"/>
        <item m="1" x="158"/>
        <item m="1" x="82"/>
        <item m="1" x="243"/>
        <item m="1" x="166"/>
        <item x="16"/>
        <item m="1" x="284"/>
        <item m="1" x="114"/>
        <item m="1" x="141"/>
        <item m="1" x="233"/>
        <item m="1" x="253"/>
        <item m="1" x="47"/>
        <item m="1" x="63"/>
        <item m="1" x="48"/>
        <item m="1" x="392"/>
        <item m="1" x="121"/>
        <item m="1" x="93"/>
        <item m="1" x="71"/>
        <item m="1" x="344"/>
        <item m="1" x="290"/>
        <item m="1" x="387"/>
        <item m="1" x="314"/>
        <item m="1" x="28"/>
      </items>
      <extLst>
        <ext xmlns:x14="http://schemas.microsoft.com/office/spreadsheetml/2009/9/main" uri="{2946ED86-A175-432a-8AC1-64E0C546D7DE}">
          <x14:pivotField fillDownLabels="1"/>
        </ext>
      </extLst>
    </pivotField>
    <pivotField compact="0" outline="0" showAll="0"/>
    <pivotField compact="0" outline="0"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x="76"/>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893"/>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t="default"/>
      </items>
    </pivotField>
    <pivotField compact="0" outline="0" showAll="0">
      <items count="1348">
        <item m="1" x="494"/>
        <item m="1" x="1141"/>
        <item m="1" x="1147"/>
        <item m="1" x="1205"/>
        <item m="1" x="781"/>
        <item x="169"/>
        <item m="1" x="716"/>
        <item m="1" x="563"/>
        <item m="1" x="682"/>
        <item m="1" x="1002"/>
        <item m="1" x="1097"/>
        <item m="1" x="518"/>
        <item m="1" x="538"/>
        <item m="1" x="585"/>
        <item m="1" x="491"/>
        <item m="1" x="459"/>
        <item m="1" x="1247"/>
        <item m="1" x="892"/>
        <item m="1" x="825"/>
        <item m="1" x="339"/>
        <item m="1" x="730"/>
        <item m="1" x="1187"/>
        <item m="1" x="688"/>
        <item m="1" x="722"/>
        <item m="1" x="1031"/>
        <item m="1" x="356"/>
        <item m="1" x="1175"/>
        <item m="1" x="791"/>
        <item m="1" x="588"/>
        <item m="1" x="977"/>
        <item m="1" x="1148"/>
        <item m="1" x="353"/>
        <item m="1" x="1062"/>
        <item m="1" x="877"/>
        <item m="1" x="615"/>
        <item m="1" x="990"/>
        <item m="1" x="1283"/>
        <item m="1" x="1307"/>
        <item m="1" x="614"/>
        <item m="1" x="193"/>
        <item m="1" x="385"/>
        <item m="1" x="215"/>
        <item m="1" x="712"/>
        <item m="1" x="700"/>
        <item m="1" x="1223"/>
        <item m="1" x="754"/>
        <item m="1" x="927"/>
        <item m="1" x="530"/>
        <item x="174"/>
        <item m="1" x="1008"/>
        <item m="1" x="227"/>
        <item m="1" x="295"/>
        <item m="1" x="1273"/>
        <item m="1" x="1216"/>
        <item m="1" x="949"/>
        <item m="1" x="1217"/>
        <item m="1" x="1326"/>
        <item m="1" x="493"/>
        <item m="1" x="786"/>
        <item m="1" x="753"/>
        <item m="1" x="1305"/>
        <item m="1" x="379"/>
        <item m="1" x="907"/>
        <item m="1" x="617"/>
        <item m="1" x="1061"/>
        <item m="1" x="813"/>
        <item m="1" x="1322"/>
        <item m="1" x="885"/>
        <item m="1" x="942"/>
        <item m="1" x="886"/>
        <item m="1" x="887"/>
        <item m="1" x="442"/>
        <item m="1" x="392"/>
        <item m="1" x="273"/>
        <item m="1" x="1214"/>
        <item m="1" x="387"/>
        <item m="1" x="422"/>
        <item m="1" x="660"/>
        <item m="1" x="433"/>
        <item m="1" x="821"/>
        <item m="1" x="1032"/>
        <item m="1" x="508"/>
        <item m="1" x="633"/>
        <item m="1" x="1255"/>
        <item m="1" x="1261"/>
        <item m="1" x="272"/>
        <item m="1" x="405"/>
        <item m="1" x="1285"/>
        <item m="1" x="974"/>
        <item m="1" x="773"/>
        <item m="1" x="900"/>
        <item x="176"/>
        <item m="1" x="1330"/>
        <item m="1" x="375"/>
        <item m="1" x="430"/>
        <item m="1" x="951"/>
        <item m="1" x="1005"/>
        <item m="1" x="1198"/>
        <item m="1" x="703"/>
        <item m="1" x="898"/>
        <item m="1" x="362"/>
        <item m="1" x="736"/>
        <item m="1" x="642"/>
        <item m="1" x="842"/>
        <item m="1" x="671"/>
        <item m="1" x="844"/>
        <item m="1" x="677"/>
        <item m="1" x="679"/>
        <item m="1" x="881"/>
        <item m="1" x="599"/>
        <item m="1" x="715"/>
        <item m="1" x="1311"/>
        <item m="1" x="609"/>
        <item m="1" x="432"/>
        <item m="1" x="1160"/>
        <item m="1" x="645"/>
        <item m="1" x="812"/>
        <item m="1" x="543"/>
        <item m="1" x="504"/>
        <item m="1" x="486"/>
        <item m="1" x="675"/>
        <item m="1" x="1085"/>
        <item m="1" x="1064"/>
        <item m="1" x="769"/>
        <item m="1" x="752"/>
        <item m="1" x="452"/>
        <item m="1" x="595"/>
        <item m="1" x="968"/>
        <item m="1" x="457"/>
        <item m="1" x="632"/>
        <item m="1" x="857"/>
        <item m="1" x="577"/>
        <item m="1" x="1342"/>
        <item m="1" x="1108"/>
        <item m="1" x="661"/>
        <item m="1" x="549"/>
        <item m="1" x="224"/>
        <item m="1" x="797"/>
        <item m="1" x="689"/>
        <item m="1" x="425"/>
        <item m="1" x="735"/>
        <item m="1" x="1244"/>
        <item m="1" x="1156"/>
        <item m="1" x="180"/>
        <item m="1" x="1181"/>
        <item m="1" x="367"/>
        <item m="1" x="759"/>
        <item m="1" x="928"/>
        <item m="1" x="412"/>
        <item m="1" x="429"/>
        <item m="1" x="1245"/>
        <item m="1" x="328"/>
        <item m="1" x="790"/>
        <item m="1" x="910"/>
        <item m="1" x="1098"/>
        <item m="1" x="911"/>
        <item m="1" x="212"/>
        <item m="1" x="1206"/>
        <item m="1" x="976"/>
        <item m="1" x="1001"/>
        <item m="1" x="746"/>
        <item m="1" x="836"/>
        <item m="1" x="184"/>
        <item m="1" x="1200"/>
        <item m="1" x="777"/>
        <item m="1" x="1260"/>
        <item m="1" x="271"/>
        <item m="1" x="404"/>
        <item m="1" x="1329"/>
        <item m="1" x="957"/>
        <item m="1" x="827"/>
        <item m="1" x="917"/>
        <item m="1" x="294"/>
        <item m="1" x="444"/>
        <item m="1" x="743"/>
        <item m="1" x="1006"/>
        <item m="1" x="708"/>
        <item m="1" x="378"/>
        <item m="1" x="309"/>
        <item m="1" x="1155"/>
        <item m="1" x="903"/>
        <item m="1" x="246"/>
        <item m="1" x="575"/>
        <item m="1" x="626"/>
        <item m="1" x="1297"/>
        <item m="1" x="313"/>
        <item m="1" x="551"/>
        <item m="1" x="1298"/>
        <item m="1" x="1299"/>
        <item m="1" x="1300"/>
        <item m="1" x="552"/>
        <item m="1" x="1253"/>
        <item m="1" x="802"/>
        <item m="1" x="217"/>
        <item m="1" x="216"/>
        <item m="1" x="1310"/>
        <item m="1" x="926"/>
        <item m="1" x="1046"/>
        <item m="1" x="631"/>
        <item m="1" x="1014"/>
        <item m="1" x="398"/>
        <item m="1" x="460"/>
        <item m="1" x="939"/>
        <item m="1" x="962"/>
        <item m="1" x="726"/>
        <item m="1" x="401"/>
        <item m="1" x="1117"/>
        <item m="1" x="1203"/>
        <item m="1" x="194"/>
        <item m="1" x="1034"/>
        <item m="1" x="380"/>
        <item m="1" x="397"/>
        <item m="1" x="1041"/>
        <item m="1" x="860"/>
        <item m="1" x="1228"/>
        <item m="1" x="582"/>
        <item m="1" x="636"/>
        <item m="1" x="1280"/>
        <item m="1" x="796"/>
        <item m="1" x="1306"/>
        <item m="1" x="996"/>
        <item m="1" x="1168"/>
        <item m="1" x="970"/>
        <item m="1" x="1044"/>
        <item m="1" x="242"/>
        <item m="1" x="190"/>
        <item m="1" x="522"/>
        <item m="1" x="1324"/>
        <item m="1" x="1315"/>
        <item m="1" x="778"/>
        <item m="1" x="792"/>
        <item m="1" x="400"/>
        <item m="1" x="702"/>
        <item m="1" x="771"/>
        <item m="1" x="972"/>
        <item m="1" x="1052"/>
        <item x="170"/>
        <item x="171"/>
        <item m="1" x="1296"/>
        <item m="1" x="656"/>
        <item m="1" x="369"/>
        <item m="1" x="858"/>
        <item m="1" x="1096"/>
        <item m="1" x="573"/>
        <item m="1" x="820"/>
        <item m="1" x="651"/>
        <item m="1" x="780"/>
        <item m="1" x="1018"/>
        <item m="1" x="267"/>
        <item m="1" x="254"/>
        <item x="173"/>
        <item m="1" x="201"/>
        <item m="1" x="393"/>
        <item m="1" x="471"/>
        <item m="1" x="809"/>
        <item x="177"/>
        <item x="175"/>
        <item m="1" x="472"/>
        <item m="1" x="789"/>
        <item m="1" x="818"/>
        <item m="1" x="697"/>
        <item m="1" x="421"/>
        <item m="1" x="218"/>
        <item m="1" x="1215"/>
        <item m="1" x="426"/>
        <item m="1" x="490"/>
        <item m="1" x="453"/>
        <item m="1" x="296"/>
        <item m="1" x="1313"/>
        <item x="172"/>
        <item m="1" x="487"/>
        <item m="1" x="620"/>
        <item m="1" x="607"/>
        <item m="1" x="621"/>
        <item m="1" x="622"/>
        <item m="1" x="1250"/>
        <item m="1" x="188"/>
        <item m="1" x="1043"/>
        <item m="1" x="1232"/>
        <item m="1" x="732"/>
        <item m="1" x="733"/>
        <item m="1" x="1051"/>
        <item m="1" x="210"/>
        <item m="1" x="1317"/>
        <item m="1" x="484"/>
        <item m="1" x="449"/>
        <item m="1" x="1039"/>
        <item m="1" x="213"/>
        <item m="1" x="1212"/>
        <item m="1" x="1086"/>
        <item m="1" x="678"/>
        <item m="1" x="849"/>
        <item m="1" x="238"/>
        <item m="1" x="527"/>
        <item m="1" x="774"/>
        <item m="1" x="1243"/>
        <item m="1" x="523"/>
        <item m="1" x="191"/>
        <item m="1" x="192"/>
        <item m="1" x="959"/>
        <item m="1" x="205"/>
        <item m="1" x="711"/>
        <item m="1" x="445"/>
        <item m="1" x="638"/>
        <item m="1" x="824"/>
        <item m="1" x="322"/>
        <item m="1" x="535"/>
        <item m="1" x="690"/>
        <item m="1" x="691"/>
        <item m="1" x="663"/>
        <item m="1" x="684"/>
        <item m="1" x="548"/>
        <item m="1" x="233"/>
        <item m="1" x="1211"/>
        <item m="1" x="189"/>
        <item m="1" x="467"/>
        <item m="1" x="482"/>
        <item x="37"/>
        <item m="1" x="749"/>
        <item m="1" x="564"/>
        <item m="1" x="787"/>
        <item m="1" x="1178"/>
        <item m="1" x="1065"/>
        <item m="1" x="208"/>
        <item m="1" x="446"/>
        <item m="1" x="390"/>
        <item m="1" x="304"/>
        <item m="1" x="359"/>
        <item m="1" x="1173"/>
        <item m="1" x="1312"/>
        <item m="1" x="476"/>
        <item m="1" x="739"/>
        <item x="133"/>
        <item m="1" x="469"/>
        <item m="1" x="1176"/>
        <item m="1" x="1279"/>
        <item m="1" x="869"/>
        <item m="1" x="975"/>
        <item m="1" x="1150"/>
        <item m="1" x="1153"/>
        <item m="1" x="1036"/>
        <item m="1" x="1209"/>
        <item m="1" x="500"/>
        <item m="1" x="916"/>
        <item m="1" x="1035"/>
        <item m="1" x="1038"/>
        <item m="1" x="368"/>
        <item m="1" x="417"/>
        <item m="1" x="436"/>
        <item m="1" x="1100"/>
        <item m="1" x="925"/>
        <item x="9"/>
        <item x="10"/>
        <item x="11"/>
        <item x="121"/>
        <item x="140"/>
        <item x="144"/>
        <item m="1" x="1294"/>
        <item m="1" x="376"/>
        <item m="1" x="520"/>
        <item m="1" x="1303"/>
        <item m="1" x="316"/>
        <item m="1" x="377"/>
        <item m="1" x="521"/>
        <item m="1" x="1304"/>
        <item m="1" x="317"/>
        <item m="1" x="890"/>
        <item m="1" x="1344"/>
        <item m="1" x="592"/>
        <item m="1" x="723"/>
        <item m="1" x="1112"/>
        <item m="1" x="991"/>
        <item m="1" x="1104"/>
        <item m="1" x="958"/>
        <item m="1" x="1129"/>
        <item m="1" x="570"/>
        <item m="1" x="1262"/>
        <item m="1" x="1013"/>
        <item m="1" x="641"/>
        <item m="1" x="439"/>
        <item m="1" x="226"/>
        <item x="160"/>
        <item x="161"/>
        <item x="162"/>
        <item m="1" x="954"/>
        <item m="1" x="443"/>
        <item m="1" x="315"/>
        <item m="1" x="994"/>
        <item m="1" x="848"/>
        <item m="1" x="411"/>
        <item m="1" x="465"/>
        <item m="1" x="1188"/>
        <item x="38"/>
        <item m="1" x="1202"/>
        <item m="1" x="1029"/>
        <item m="1" x="1196"/>
        <item m="1" x="625"/>
        <item m="1" x="611"/>
        <item m="1" x="709"/>
        <item m="1" x="237"/>
        <item x="1"/>
        <item m="1" x="1088"/>
        <item m="1" x="265"/>
        <item m="1" x="266"/>
        <item m="1" x="544"/>
        <item m="1" x="371"/>
        <item m="1" x="370"/>
        <item m="1" x="1140"/>
        <item m="1" x="1191"/>
        <item m="1" x="284"/>
        <item m="1" x="988"/>
        <item m="1" x="692"/>
        <item x="12"/>
        <item m="1" x="225"/>
        <item m="1" x="461"/>
        <item x="87"/>
        <item m="1" x="314"/>
        <item x="141"/>
        <item m="1" x="1157"/>
        <item x="142"/>
        <item m="1" x="613"/>
        <item m="1" x="1113"/>
        <item m="1" x="554"/>
        <item m="1" x="718"/>
        <item m="1" x="695"/>
        <item m="1" x="1130"/>
        <item m="1" x="817"/>
        <item m="1" x="1025"/>
        <item m="1" x="1053"/>
        <item m="1" x="236"/>
        <item m="1" x="1274"/>
        <item m="1" x="466"/>
        <item m="1" x="1101"/>
        <item m="1" x="257"/>
        <item m="1" x="1102"/>
        <item m="1" x="1103"/>
        <item m="1" x="1092"/>
        <item m="1" x="745"/>
        <item m="1" x="748"/>
        <item m="1" x="956"/>
        <item m="1" x="1019"/>
        <item m="1" x="963"/>
        <item m="1" x="263"/>
        <item m="1" x="519"/>
        <item m="1" x="299"/>
        <item m="1" x="914"/>
        <item x="146"/>
        <item m="1" x="1266"/>
        <item m="1" x="1220"/>
        <item m="1" x="1231"/>
        <item m="1" x="1227"/>
        <item m="1" x="232"/>
        <item m="1" x="541"/>
        <item m="1" x="768"/>
        <item m="1" x="1167"/>
        <item m="1" x="423"/>
        <item m="1" x="542"/>
        <item m="1" x="868"/>
        <item m="1" x="297"/>
        <item m="1" x="501"/>
        <item m="1" x="556"/>
        <item m="1" x="966"/>
        <item m="1" x="993"/>
        <item m="1" x="569"/>
        <item m="1" x="354"/>
        <item m="1" x="706"/>
        <item m="1" x="906"/>
        <item m="1" x="1183"/>
        <item m="1" x="761"/>
        <item m="1" x="1210"/>
        <item m="1" x="305"/>
        <item m="1" x="361"/>
        <item m="1" x="750"/>
        <item m="1" x="1151"/>
        <item m="1" x="639"/>
        <item m="1" x="462"/>
        <item m="1" x="998"/>
        <item m="1" x="207"/>
        <item m="1" x="1047"/>
        <item x="26"/>
        <item x="39"/>
        <item m="1" x="1142"/>
        <item m="1" x="1143"/>
        <item m="1" x="1144"/>
        <item m="1" x="1257"/>
        <item m="1" x="202"/>
        <item m="1" x="657"/>
        <item m="1" x="922"/>
        <item m="1" x="918"/>
        <item m="1" x="662"/>
        <item m="1" x="496"/>
        <item m="1" x="333"/>
        <item m="1" x="1333"/>
        <item m="1" x="628"/>
        <item m="1" x="293"/>
        <item m="1" x="281"/>
        <item m="1" x="282"/>
        <item m="1" x="1119"/>
        <item m="1" x="358"/>
        <item m="1" x="204"/>
        <item m="1" x="600"/>
        <item m="1" x="550"/>
        <item m="1" x="547"/>
        <item m="1" x="391"/>
        <item m="1" x="1026"/>
        <item m="1" x="872"/>
        <item m="1" x="1286"/>
        <item m="1" x="1027"/>
        <item m="1" x="873"/>
        <item m="1" x="597"/>
        <item m="1" x="891"/>
        <item m="1" x="1287"/>
        <item m="1" x="598"/>
        <item m="1" x="243"/>
        <item m="1" x="856"/>
        <item x="155"/>
        <item x="49"/>
        <item x="99"/>
        <item x="158"/>
        <item m="1" x="979"/>
        <item m="1" x="249"/>
        <item x="163"/>
        <item m="1" x="762"/>
        <item m="1" x="1334"/>
        <item m="1" x="1089"/>
        <item m="1" x="1235"/>
        <item m="1" x="1110"/>
        <item m="1" x="822"/>
        <item m="1" x="1090"/>
        <item m="1" x="1236"/>
        <item m="1" x="330"/>
        <item m="1" x="220"/>
        <item m="1" x="800"/>
        <item m="1" x="1237"/>
        <item m="1" x="331"/>
        <item m="1" x="1195"/>
        <item m="1" x="1335"/>
        <item m="1" x="1238"/>
        <item m="1" x="221"/>
        <item m="1" x="1239"/>
        <item m="1" x="1240"/>
        <item m="1" x="239"/>
        <item m="1" x="255"/>
        <item m="1" x="882"/>
        <item m="1" x="181"/>
        <item m="1" x="1336"/>
        <item m="1" x="557"/>
        <item m="1" x="1252"/>
        <item m="1" x="470"/>
        <item m="1" x="629"/>
        <item m="1" x="240"/>
        <item m="1" x="1337"/>
        <item m="1" x="196"/>
        <item m="1" x="256"/>
        <item m="1" x="1241"/>
        <item m="1" x="1338"/>
        <item m="1" x="1242"/>
        <item m="1" x="241"/>
        <item m="1" x="940"/>
        <item m="1" x="182"/>
        <item m="1" x="1339"/>
        <item m="1" x="558"/>
        <item m="1" x="649"/>
        <item m="1" x="960"/>
        <item m="1" x="222"/>
        <item m="1" x="183"/>
        <item m="1" x="1340"/>
        <item m="1" x="559"/>
        <item m="1" x="219"/>
        <item m="1" x="583"/>
        <item m="1" x="1066"/>
        <item m="1" x="1289"/>
        <item m="1" x="795"/>
        <item x="143"/>
        <item x="88"/>
        <item m="1" x="1256"/>
        <item m="1" x="624"/>
        <item m="1" x="799"/>
        <item m="1" x="826"/>
        <item m="1" x="823"/>
        <item m="1" x="664"/>
        <item m="1" x="915"/>
        <item x="109"/>
        <item x="110"/>
        <item m="1" x="839"/>
        <item m="1" x="290"/>
        <item m="1" x="1291"/>
        <item m="1" x="889"/>
        <item m="1" x="586"/>
        <item m="1" x="1165"/>
        <item m="1" x="1033"/>
        <item m="1" x="1037"/>
        <item m="1" x="200"/>
        <item m="1" x="301"/>
        <item m="1" x="576"/>
        <item m="1" x="819"/>
        <item m="1" x="326"/>
        <item m="1" x="497"/>
        <item m="1" x="498"/>
        <item m="1" x="602"/>
        <item m="1" x="1263"/>
        <item m="1" x="865"/>
        <item m="1" x="866"/>
        <item m="1" x="1284"/>
        <item m="1" x="604"/>
        <item m="1" x="1295"/>
        <item m="1" x="793"/>
        <item m="1" x="1040"/>
        <item m="1" x="1009"/>
        <item m="1" x="1115"/>
        <item m="1" x="1125"/>
        <item m="1" x="277"/>
        <item m="1" x="435"/>
        <item m="1" x="946"/>
        <item m="1" x="480"/>
        <item m="1" x="384"/>
        <item m="1" x="278"/>
        <item m="1" x="658"/>
        <item m="1" x="515"/>
        <item m="1" x="203"/>
        <item m="1" x="1186"/>
        <item m="1" x="248"/>
        <item m="1" x="1122"/>
        <item m="1" x="610"/>
        <item m="1" x="669"/>
        <item m="1" x="980"/>
        <item m="1" x="537"/>
        <item m="1" x="731"/>
        <item m="1" x="579"/>
        <item m="1" x="345"/>
        <item m="1" x="883"/>
        <item m="1" x="468"/>
        <item m="1" x="1264"/>
        <item m="1" x="1272"/>
        <item m="1" x="1258"/>
        <item x="90"/>
        <item m="1" x="513"/>
        <item x="102"/>
        <item x="98"/>
        <item m="1" x="999"/>
        <item m="1" x="1021"/>
        <item m="1" x="1185"/>
        <item m="1" x="463"/>
        <item m="1" x="507"/>
        <item x="51"/>
        <item x="52"/>
        <item m="1" x="1070"/>
        <item x="120"/>
        <item x="2"/>
        <item m="1" x="360"/>
        <item m="1" x="517"/>
        <item m="1" x="587"/>
        <item m="1" x="1134"/>
        <item m="1" x="929"/>
        <item m="1" x="744"/>
        <item m="1" x="978"/>
        <item x="27"/>
        <item m="1" x="938"/>
        <item x="122"/>
        <item x="123"/>
        <item m="1" x="1000"/>
        <item x="28"/>
        <item x="29"/>
        <item x="30"/>
        <item x="31"/>
        <item m="1" x="1012"/>
        <item m="1" x="937"/>
        <item x="53"/>
        <item m="1" x="427"/>
        <item m="1" x="525"/>
        <item m="1" x="672"/>
        <item m="1" x="234"/>
        <item m="1" x="1099"/>
        <item m="1" x="1057"/>
        <item m="1" x="875"/>
        <item m="1" x="694"/>
        <item m="1" x="833"/>
        <item m="1" x="1316"/>
        <item m="1" x="593"/>
        <item m="1" x="1174"/>
        <item m="1" x="509"/>
        <item m="1" x="653"/>
        <item m="1" x="365"/>
        <item m="1" x="913"/>
        <item x="19"/>
        <item x="20"/>
        <item x="21"/>
        <item m="1" x="965"/>
        <item m="1" x="413"/>
        <item m="1" x="1345"/>
        <item x="22"/>
        <item x="23"/>
        <item m="1" x="414"/>
        <item x="147"/>
        <item x="148"/>
        <item x="149"/>
        <item x="150"/>
        <item x="151"/>
        <item m="1" x="492"/>
        <item m="1" x="606"/>
        <item x="24"/>
        <item x="25"/>
        <item m="1" x="308"/>
        <item m="1" x="285"/>
        <item m="1" x="245"/>
        <item m="1" x="1158"/>
        <item m="1" x="627"/>
        <item m="1" x="303"/>
        <item m="1" x="756"/>
        <item m="1" x="1069"/>
        <item m="1" x="395"/>
        <item x="124"/>
        <item x="125"/>
        <item x="145"/>
        <item x="126"/>
        <item m="1" x="455"/>
        <item m="1" x="209"/>
        <item m="1" x="1054"/>
        <item m="1" x="794"/>
        <item m="1" x="944"/>
        <item x="127"/>
        <item x="128"/>
        <item x="129"/>
        <item m="1" x="1346"/>
        <item m="1" x="1248"/>
        <item m="1" x="1146"/>
        <item m="1" x="431"/>
        <item m="1" x="199"/>
        <item m="1" x="659"/>
        <item m="1" x="286"/>
        <item m="1" x="806"/>
        <item x="74"/>
        <item x="75"/>
        <item x="76"/>
        <item m="1" x="458"/>
        <item m="1" x="895"/>
        <item x="65"/>
        <item x="64"/>
        <item m="1" x="776"/>
        <item m="1" x="526"/>
        <item x="89"/>
        <item m="1" x="950"/>
        <item x="40"/>
        <item m="1" x="264"/>
        <item m="1" x="311"/>
        <item m="1" x="720"/>
        <item m="1" x="250"/>
        <item m="1" x="1132"/>
        <item x="60"/>
        <item m="1" x="1189"/>
        <item m="1" x="758"/>
        <item m="1" x="693"/>
        <item x="157"/>
        <item m="1" x="804"/>
        <item m="1" x="619"/>
        <item m="1" x="1010"/>
        <item m="1" x="300"/>
        <item m="1" x="325"/>
        <item m="1" x="1219"/>
        <item m="1" x="416"/>
        <item m="1" x="306"/>
        <item m="1" x="342"/>
        <item m="1" x="1327"/>
        <item x="61"/>
        <item m="1" x="187"/>
        <item x="103"/>
        <item m="1" x="1221"/>
        <item m="1" x="605"/>
        <item m="1" x="539"/>
        <item m="1" x="1020"/>
        <item m="1" x="1109"/>
        <item m="1" x="859"/>
        <item m="1" x="899"/>
        <item m="1" x="919"/>
        <item m="1" x="948"/>
        <item m="1" x="734"/>
        <item m="1" x="1011"/>
        <item m="1" x="319"/>
        <item m="1" x="840"/>
        <item m="1" x="807"/>
        <item m="1" x="850"/>
        <item m="1" x="601"/>
        <item m="1" x="1166"/>
        <item m="1" x="1224"/>
        <item m="1" x="841"/>
        <item m="1" x="835"/>
        <item m="1" x="854"/>
        <item m="1" x="1213"/>
        <item m="1" x="673"/>
        <item m="1" x="546"/>
        <item m="1" x="961"/>
        <item x="3"/>
        <item m="1" x="567"/>
        <item m="1" x="838"/>
        <item m="1" x="247"/>
        <item m="1" x="779"/>
        <item m="1" x="479"/>
        <item m="1" x="324"/>
        <item m="1" x="589"/>
        <item m="1" x="302"/>
        <item m="1" x="279"/>
        <item m="1" x="280"/>
        <item m="1" x="687"/>
        <item m="1" x="665"/>
        <item x="62"/>
        <item x="63"/>
        <item m="1" x="704"/>
        <item m="1" x="724"/>
        <item m="1" x="681"/>
        <item m="1" x="1060"/>
        <item m="1" x="808"/>
        <item m="1" x="894"/>
        <item m="1" x="464"/>
        <item m="1" x="388"/>
        <item m="1" x="1071"/>
        <item m="1" x="981"/>
        <item m="1" x="251"/>
        <item m="1" x="292"/>
        <item m="1" x="766"/>
        <item m="1" x="560"/>
        <item m="1" x="568"/>
        <item m="1" x="760"/>
        <item m="1" x="984"/>
        <item x="8"/>
        <item m="1" x="648"/>
        <item m="1" x="357"/>
        <item m="1" x="531"/>
        <item m="1" x="845"/>
        <item x="130"/>
        <item x="131"/>
        <item x="132"/>
        <item m="1" x="783"/>
        <item m="1" x="1320"/>
        <item m="1" x="420"/>
        <item m="1" x="635"/>
        <item m="1" x="1082"/>
        <item x="111"/>
        <item x="112"/>
        <item x="113"/>
        <item x="114"/>
        <item m="1" x="815"/>
        <item m="1" x="346"/>
        <item m="1" x="1171"/>
        <item m="1" x="473"/>
        <item m="1" x="555"/>
        <item x="156"/>
        <item m="1" x="717"/>
        <item m="1" x="396"/>
        <item m="1" x="831"/>
        <item m="1" x="1145"/>
        <item m="1" x="244"/>
        <item m="1" x="580"/>
        <item m="1" x="852"/>
        <item x="119"/>
        <item m="1" x="646"/>
        <item x="47"/>
        <item x="166"/>
        <item x="106"/>
        <item m="1" x="1197"/>
        <item m="1" x="503"/>
        <item m="1" x="757"/>
        <item m="1" x="437"/>
        <item m="1" x="647"/>
        <item m="1" x="1290"/>
        <item m="1" x="524"/>
        <item m="1" x="1218"/>
        <item m="1" x="870"/>
        <item m="1" x="871"/>
        <item m="1" x="1022"/>
        <item m="1" x="714"/>
        <item m="1" x="230"/>
        <item m="1" x="770"/>
        <item x="48"/>
        <item x="69"/>
        <item x="41"/>
        <item x="32"/>
        <item x="42"/>
        <item x="115"/>
        <item m="1" x="729"/>
        <item x="83"/>
        <item x="92"/>
        <item x="93"/>
        <item x="70"/>
        <item x="71"/>
        <item x="94"/>
        <item x="95"/>
        <item x="96"/>
        <item m="1" x="707"/>
        <item m="1" x="283"/>
        <item m="1" x="1048"/>
        <item m="1" x="955"/>
        <item m="1" x="510"/>
        <item m="1" x="705"/>
        <item m="1" x="1208"/>
        <item m="1" x="1164"/>
        <item m="1" x="1302"/>
        <item m="1" x="941"/>
        <item m="1" x="1072"/>
        <item m="1" x="329"/>
        <item m="1" x="594"/>
        <item m="1" x="884"/>
        <item m="1" x="415"/>
        <item m="1" x="1194"/>
        <item m="1" x="728"/>
        <item m="1" x="186"/>
        <item m="1" x="905"/>
        <item m="1" x="1267"/>
        <item m="1" x="1045"/>
        <item m="1" x="179"/>
        <item m="1" x="327"/>
        <item m="1" x="505"/>
        <item m="1" x="488"/>
        <item m="1" x="1328"/>
        <item m="1" x="351"/>
        <item m="1" x="320"/>
        <item m="1" x="386"/>
        <item m="1" x="1265"/>
        <item m="1" x="511"/>
        <item m="1" x="1225"/>
        <item m="1" x="381"/>
        <item m="1" x="228"/>
        <item m="1" x="1199"/>
        <item m="1" x="1067"/>
        <item m="1" x="1081"/>
        <item m="1" x="1149"/>
        <item m="1" x="798"/>
        <item m="1" x="683"/>
        <item m="1" x="1276"/>
        <item m="1" x="502"/>
        <item m="1" x="1016"/>
        <item m="1" x="742"/>
        <item m="1" x="834"/>
        <item m="1" x="1259"/>
        <item m="1" x="1268"/>
        <item m="1" x="676"/>
        <item m="1" x="534"/>
        <item m="1" x="1275"/>
        <item m="1" x="1204"/>
        <item m="1" x="1121"/>
        <item m="1" x="229"/>
        <item m="1" x="719"/>
        <item m="1" x="644"/>
        <item m="1" x="666"/>
        <item m="1" x="571"/>
        <item m="1" x="1162"/>
        <item m="1" x="1139"/>
        <item m="1" x="751"/>
        <item m="1" x="936"/>
        <item m="1" x="612"/>
        <item m="1" x="1114"/>
        <item m="1" x="686"/>
        <item m="1" x="1229"/>
        <item m="1" x="450"/>
        <item m="1" x="1030"/>
        <item m="1" x="318"/>
        <item m="1" x="1095"/>
        <item m="1" x="1341"/>
        <item m="1" x="197"/>
        <item m="1" x="1343"/>
        <item m="1" x="591"/>
        <item m="1" x="618"/>
        <item m="1" x="634"/>
        <item m="1" x="389"/>
        <item m="1" x="478"/>
        <item m="1" x="710"/>
        <item m="1" x="355"/>
        <item m="1" x="528"/>
        <item m="1" x="532"/>
        <item m="1" x="499"/>
        <item m="1" x="514"/>
        <item m="1" x="992"/>
        <item m="1" x="934"/>
        <item m="1" x="1055"/>
        <item m="1" x="310"/>
        <item m="1" x="341"/>
        <item m="1" x="699"/>
        <item m="1" x="1233"/>
        <item m="1" x="235"/>
        <item m="1" x="334"/>
        <item m="1" x="312"/>
        <item m="1" x="1003"/>
        <item m="1" x="832"/>
        <item m="1" x="867"/>
        <item m="1" x="630"/>
        <item m="1" x="348"/>
        <item m="1" x="434"/>
        <item m="1" x="574"/>
        <item m="1" x="1073"/>
        <item m="1" x="253"/>
        <item m="1" x="1222"/>
        <item m="1" x="1234"/>
        <item m="1" x="782"/>
        <item m="1" x="259"/>
        <item m="1" x="1076"/>
        <item m="1" x="407"/>
        <item m="1" x="211"/>
        <item m="1" x="1246"/>
        <item m="1" x="374"/>
        <item m="1" x="1226"/>
        <item m="1" x="654"/>
        <item m="1" x="1271"/>
        <item m="1" x="667"/>
        <item m="1" x="616"/>
        <item m="1" x="394"/>
        <item m="1" x="337"/>
        <item m="1" x="1207"/>
        <item m="1" x="1080"/>
        <item m="1" x="332"/>
        <item m="1" x="1083"/>
        <item m="1" x="1004"/>
        <item m="1" x="851"/>
        <item m="1" x="1269"/>
        <item m="1" x="545"/>
        <item m="1" x="1282"/>
        <item m="1" x="888"/>
        <item m="1" x="698"/>
        <item m="1" x="291"/>
        <item m="1" x="347"/>
        <item m="1" x="1190"/>
        <item m="1" x="1277"/>
        <item m="1" x="680"/>
        <item m="1" x="1068"/>
        <item m="1" x="1270"/>
        <item m="1" x="1007"/>
        <item m="1" x="953"/>
        <item m="1" x="336"/>
        <item m="1" x="1116"/>
        <item m="1" x="1319"/>
        <item m="1" x="801"/>
        <item m="1" x="1154"/>
        <item m="1" x="298"/>
        <item m="1" x="747"/>
        <item m="1" x="755"/>
        <item m="1" x="1179"/>
        <item m="1" x="1118"/>
        <item m="1" x="185"/>
        <item m="1" x="893"/>
        <item m="1" x="408"/>
        <item m="1" x="596"/>
        <item m="1" x="409"/>
        <item m="1" x="652"/>
        <item m="1" x="565"/>
        <item x="138"/>
        <item m="1" x="214"/>
        <item m="1" x="529"/>
        <item m="1" x="540"/>
        <item x="104"/>
        <item x="105"/>
        <item x="85"/>
        <item x="86"/>
        <item m="1" x="623"/>
        <item m="1" x="1075"/>
        <item m="1" x="584"/>
        <item m="1" x="983"/>
        <item m="1" x="1059"/>
        <item m="1" x="909"/>
        <item m="1" x="737"/>
        <item m="1" x="738"/>
        <item m="1" x="828"/>
        <item m="1" x="935"/>
        <item m="1" x="803"/>
        <item m="1" x="1017"/>
        <item m="1" x="933"/>
        <item m="1" x="987"/>
        <item m="1" x="195"/>
        <item m="1" x="562"/>
        <item m="1" x="1192"/>
        <item m="1" x="512"/>
        <item m="1" x="964"/>
        <item m="1" x="967"/>
        <item m="1" x="763"/>
        <item m="1" x="340"/>
        <item m="1" x="982"/>
        <item m="1" x="1074"/>
        <item m="1" x="912"/>
        <item x="108"/>
        <item x="101"/>
        <item x="100"/>
        <item m="1" x="307"/>
        <item m="1" x="1050"/>
        <item m="1" x="1152"/>
        <item m="1" x="578"/>
        <item m="1" x="561"/>
        <item m="1" x="1281"/>
        <item m="1" x="816"/>
        <item x="66"/>
        <item x="67"/>
        <item x="68"/>
        <item m="1" x="1201"/>
        <item m="1" x="930"/>
        <item m="1" x="971"/>
        <item m="1" x="650"/>
        <item m="1" x="897"/>
        <item m="1" x="1136"/>
        <item m="1" x="1028"/>
        <item m="1" x="1309"/>
        <item m="1" x="1180"/>
        <item m="1" x="902"/>
        <item m="1" x="973"/>
        <item m="1" x="1135"/>
        <item m="1" x="399"/>
        <item m="1" x="855"/>
        <item x="43"/>
        <item x="4"/>
        <item x="13"/>
        <item m="1" x="260"/>
        <item m="1" x="441"/>
        <item m="1" x="261"/>
        <item m="1" x="985"/>
        <item m="1" x="1301"/>
        <item m="1" x="1288"/>
        <item x="14"/>
        <item x="15"/>
        <item x="16"/>
        <item m="1" x="1331"/>
        <item x="116"/>
        <item m="1" x="1172"/>
        <item m="1" x="989"/>
        <item m="1" x="637"/>
        <item m="1" x="713"/>
        <item m="1" x="603"/>
        <item m="1" x="1120"/>
        <item m="1" x="901"/>
        <item m="1" x="1042"/>
        <item m="1" x="268"/>
        <item m="1" x="349"/>
        <item m="1" x="335"/>
        <item m="1" x="269"/>
        <item x="134"/>
        <item m="1" x="495"/>
        <item m="1" x="685"/>
        <item x="135"/>
        <item x="136"/>
        <item x="80"/>
        <item x="81"/>
        <item m="1" x="1318"/>
        <item m="1" x="1182"/>
        <item m="1" x="969"/>
        <item m="1" x="995"/>
        <item m="1" x="1163"/>
        <item m="1" x="1126"/>
        <item m="1" x="474"/>
        <item m="1" x="475"/>
        <item m="1" x="805"/>
        <item m="1" x="1077"/>
        <item m="1" x="424"/>
        <item m="1" x="674"/>
        <item m="1" x="1314"/>
        <item x="44"/>
        <item x="17"/>
        <item x="5"/>
        <item m="1" x="847"/>
        <item m="1" x="418"/>
        <item m="1" x="811"/>
        <item m="1" x="553"/>
        <item m="1" x="485"/>
        <item m="1" x="725"/>
        <item m="1" x="402"/>
        <item m="1" x="1184"/>
        <item m="1" x="343"/>
        <item m="1" x="696"/>
        <item m="1" x="1308"/>
        <item x="33"/>
        <item x="34"/>
        <item x="35"/>
        <item x="36"/>
        <item x="165"/>
        <item x="0"/>
        <item m="1" x="1193"/>
        <item m="1" x="1249"/>
        <item m="1" x="945"/>
        <item m="1" x="1123"/>
        <item m="1" x="986"/>
        <item m="1" x="1161"/>
        <item m="1" x="321"/>
        <item m="1" x="1131"/>
        <item m="1" x="1107"/>
        <item m="1" x="931"/>
        <item m="1" x="932"/>
        <item m="1" x="655"/>
        <item m="1" x="1084"/>
        <item x="164"/>
        <item x="50"/>
        <item m="1" x="372"/>
        <item m="1" x="373"/>
        <item m="1" x="767"/>
        <item m="1" x="1159"/>
        <item m="1" x="997"/>
        <item m="1" x="727"/>
        <item x="168"/>
        <item m="1" x="364"/>
        <item m="1" x="406"/>
        <item x="18"/>
        <item m="1" x="252"/>
        <item m="1" x="920"/>
        <item x="118"/>
        <item x="117"/>
        <item x="6"/>
        <item m="1" x="1323"/>
        <item m="1" x="908"/>
        <item m="1" x="1106"/>
        <item m="1" x="1127"/>
        <item m="1" x="814"/>
        <item m="1" x="1128"/>
        <item m="1" x="403"/>
        <item m="1" x="1137"/>
        <item m="1" x="1138"/>
        <item m="1" x="846"/>
        <item m="1" x="1169"/>
        <item m="1" x="206"/>
        <item m="1" x="643"/>
        <item m="1" x="876"/>
        <item m="1" x="701"/>
        <item m="1" x="382"/>
        <item m="1" x="837"/>
        <item m="1" x="1124"/>
        <item m="1" x="784"/>
        <item x="82"/>
        <item x="84"/>
        <item m="1" x="289"/>
        <item m="1" x="829"/>
        <item m="1" x="350"/>
        <item m="1" x="921"/>
        <item m="1" x="952"/>
        <item m="1" x="1230"/>
        <item x="97"/>
        <item x="137"/>
        <item m="1" x="608"/>
        <item m="1" x="440"/>
        <item m="1" x="1094"/>
        <item m="1" x="481"/>
        <item m="1" x="1278"/>
        <item m="1" x="516"/>
        <item m="1" x="456"/>
        <item m="1" x="1170"/>
        <item m="1" x="454"/>
        <item m="1" x="862"/>
        <item m="1" x="863"/>
        <item m="1" x="864"/>
        <item m="1" x="740"/>
        <item m="1" x="590"/>
        <item m="1" x="904"/>
        <item x="77"/>
        <item x="78"/>
        <item x="79"/>
        <item m="1" x="258"/>
        <item m="1" x="287"/>
        <item m="1" x="947"/>
        <item m="1" x="830"/>
        <item m="1" x="1325"/>
        <item m="1" x="785"/>
        <item m="1" x="533"/>
        <item m="1" x="536"/>
        <item m="1" x="383"/>
        <item m="1" x="483"/>
        <item x="45"/>
        <item x="46"/>
        <item x="107"/>
        <item m="1" x="1056"/>
        <item x="54"/>
        <item x="55"/>
        <item x="56"/>
        <item x="57"/>
        <item x="58"/>
        <item x="59"/>
        <item m="1" x="668"/>
        <item m="1" x="670"/>
        <item x="139"/>
        <item m="1" x="1133"/>
        <item m="1" x="438"/>
        <item m="1" x="477"/>
        <item m="1" x="566"/>
        <item m="1" x="741"/>
        <item m="1" x="1091"/>
        <item m="1" x="1093"/>
        <item m="1" x="1254"/>
        <item m="1" x="223"/>
        <item x="167"/>
        <item m="1" x="366"/>
        <item x="152"/>
        <item x="153"/>
        <item x="154"/>
        <item m="1" x="231"/>
        <item m="1" x="1293"/>
        <item m="1" x="775"/>
        <item m="1" x="489"/>
        <item m="1" x="874"/>
        <item x="91"/>
        <item m="1" x="896"/>
        <item m="1" x="288"/>
        <item m="1" x="270"/>
        <item m="1" x="772"/>
        <item m="1" x="1024"/>
        <item m="1" x="1177"/>
        <item m="1" x="788"/>
        <item m="1" x="198"/>
        <item m="1" x="344"/>
        <item m="1" x="810"/>
        <item m="1" x="1049"/>
        <item x="159"/>
        <item m="1" x="1105"/>
        <item x="72"/>
        <item x="73"/>
        <item m="1" x="363"/>
        <item m="1" x="1063"/>
        <item m="1" x="1111"/>
        <item x="7"/>
        <item m="1" x="572"/>
        <item m="1" x="853"/>
        <item m="1" x="1015"/>
        <item m="1" x="1332"/>
        <item m="1" x="352"/>
        <item m="1" x="764"/>
        <item m="1" x="843"/>
        <item m="1" x="274"/>
        <item m="1" x="721"/>
        <item m="1" x="275"/>
        <item m="1" x="1023"/>
        <item m="1" x="276"/>
        <item m="1" x="1058"/>
        <item m="1" x="878"/>
        <item m="1" x="879"/>
        <item m="1" x="880"/>
        <item m="1" x="1292"/>
        <item m="1" x="640"/>
        <item m="1" x="419"/>
        <item m="1" x="338"/>
        <item m="1" x="428"/>
        <item m="1" x="1251"/>
        <item m="1" x="451"/>
        <item m="1" x="1321"/>
        <item m="1" x="262"/>
        <item m="1" x="923"/>
        <item m="1" x="924"/>
        <item m="1" x="861"/>
        <item m="1" x="765"/>
        <item m="1" x="1078"/>
        <item m="1" x="1087"/>
        <item m="1" x="323"/>
        <item m="1" x="410"/>
        <item m="1" x="1079"/>
        <item m="1" x="943"/>
        <item m="1" x="506"/>
        <item m="1" x="447"/>
        <item m="1" x="448"/>
        <item m="1" x="581"/>
        <item m="1" x="178"/>
        <item t="default"/>
      </items>
    </pivotField>
    <pivotField axis="axisRow" compact="0" outline="0" showAll="0" defaultSubtotal="0">
      <items count="2">
        <item x="0"/>
        <item m="1" x="1"/>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280">
        <item x="0"/>
        <item m="1" x="217"/>
        <item m="1" x="23"/>
        <item m="1" x="136"/>
        <item m="1" x="34"/>
        <item m="1" x="223"/>
        <item m="1" x="257"/>
        <item m="1" x="91"/>
        <item m="1" x="29"/>
        <item m="1" x="35"/>
        <item m="1" x="39"/>
        <item m="1" x="251"/>
        <item m="1" x="88"/>
        <item m="1" x="266"/>
        <item m="1" x="100"/>
        <item m="1" x="227"/>
        <item m="1" x="156"/>
        <item m="1" x="208"/>
        <item m="1" x="258"/>
        <item m="1" x="277"/>
        <item m="1" x="108"/>
        <item m="1" x="76"/>
        <item m="1" x="1"/>
        <item m="1" x="197"/>
        <item m="1" x="128"/>
        <item m="1" x="233"/>
        <item m="1" x="246"/>
        <item m="1" x="30"/>
        <item m="1" x="153"/>
        <item m="1" x="13"/>
        <item m="1" x="270"/>
        <item m="1" x="140"/>
        <item m="1" x="19"/>
        <item m="1" x="183"/>
        <item m="1" x="198"/>
        <item m="1" x="184"/>
        <item m="1" x="202"/>
        <item m="1" x="150"/>
        <item m="1" x="146"/>
        <item m="1" x="205"/>
        <item m="1" x="67"/>
        <item m="1" x="187"/>
        <item m="1" x="116"/>
        <item m="1" x="14"/>
        <item m="1" x="199"/>
        <item m="1" x="44"/>
        <item m="1" x="45"/>
        <item m="1" x="72"/>
        <item m="1" x="96"/>
        <item m="1" x="92"/>
        <item m="1" x="271"/>
        <item m="1" x="203"/>
        <item m="1" x="101"/>
        <item m="1" x="176"/>
        <item m="1" x="252"/>
        <item m="1" x="137"/>
        <item m="1" x="180"/>
        <item m="1" x="120"/>
        <item m="1" x="64"/>
        <item m="1" x="219"/>
        <item m="1" x="24"/>
        <item m="1" x="230"/>
        <item m="1" x="237"/>
        <item m="1" x="169"/>
        <item m="1" x="8"/>
        <item m="1" x="272"/>
        <item m="1" x="9"/>
        <item m="1" x="163"/>
        <item m="1" x="47"/>
        <item m="1" x="20"/>
        <item m="1" x="181"/>
        <item m="1" x="36"/>
        <item m="1" x="214"/>
        <item m="1" x="228"/>
        <item m="1" x="55"/>
        <item m="1" x="191"/>
        <item m="1" x="73"/>
        <item m="1" x="74"/>
        <item m="1" x="93"/>
        <item m="1" x="25"/>
        <item m="1" x="235"/>
        <item m="1" x="103"/>
        <item m="1" x="41"/>
        <item m="1" x="242"/>
        <item m="1" x="192"/>
        <item m="1" x="117"/>
        <item m="1" x="273"/>
        <item m="1" x="10"/>
        <item m="1" x="141"/>
        <item m="1" x="26"/>
        <item m="1" x="185"/>
        <item m="1" x="32"/>
        <item m="1" x="48"/>
        <item m="1" x="189"/>
        <item m="1" x="144"/>
        <item m="1" x="77"/>
        <item m="1" x="94"/>
        <item m="1" x="138"/>
        <item m="1" x="130"/>
        <item m="1" x="264"/>
        <item m="1" x="27"/>
        <item m="1" x="255"/>
        <item m="1" x="105"/>
        <item m="1" x="42"/>
        <item m="1" x="53"/>
        <item m="1" x="49"/>
        <item m="1" x="37"/>
        <item m="1" x="232"/>
        <item m="1" x="6"/>
        <item m="1" x="154"/>
        <item m="1" x="43"/>
        <item m="1" x="21"/>
        <item m="1" x="124"/>
        <item m="1" x="166"/>
        <item m="1" x="57"/>
        <item m="1" x="151"/>
        <item m="1" x="226"/>
        <item m="1" x="268"/>
        <item m="1" x="210"/>
        <item m="1" x="204"/>
        <item m="1" x="2"/>
        <item m="1" x="115"/>
        <item m="1" x="84"/>
        <item m="1" x="80"/>
        <item m="1" x="98"/>
        <item m="1" x="224"/>
        <item m="1" x="263"/>
        <item m="1" x="129"/>
        <item m="1" x="133"/>
        <item m="1" x="234"/>
        <item m="1" x="86"/>
        <item m="1" x="68"/>
        <item m="1" x="109"/>
        <item m="1" x="276"/>
        <item m="1" x="164"/>
        <item m="1" x="111"/>
        <item m="1" x="225"/>
        <item m="1" x="254"/>
        <item m="1" x="247"/>
        <item m="1" x="175"/>
        <item m="1" x="179"/>
        <item m="1" x="244"/>
        <item m="1" x="79"/>
        <item m="1" x="3"/>
        <item m="1" x="186"/>
        <item m="1" x="212"/>
        <item m="1" x="236"/>
        <item m="1" x="229"/>
        <item m="1" x="278"/>
        <item m="1" x="165"/>
        <item m="1" x="240"/>
        <item m="1" x="200"/>
        <item m="1" x="157"/>
        <item m="1" x="211"/>
        <item m="1" x="274"/>
        <item m="1" x="193"/>
        <item m="1" x="253"/>
        <item m="1" x="209"/>
        <item m="1" x="62"/>
        <item m="1" x="260"/>
        <item m="1" x="256"/>
        <item m="1" x="139"/>
        <item m="1" x="82"/>
        <item m="1" x="38"/>
        <item m="1" x="106"/>
        <item m="1" x="221"/>
        <item m="1" x="51"/>
        <item m="1" x="194"/>
        <item m="1" x="112"/>
        <item m="1" x="28"/>
        <item m="1" x="90"/>
        <item m="1" x="81"/>
        <item m="1" x="61"/>
        <item m="1" x="15"/>
        <item m="1" x="238"/>
        <item m="1" x="78"/>
        <item m="1" x="148"/>
        <item m="1" x="213"/>
        <item m="1" x="172"/>
        <item m="1" x="161"/>
        <item m="1" x="11"/>
        <item m="1" x="160"/>
        <item m="1" x="22"/>
        <item m="1" x="16"/>
        <item m="1" x="155"/>
        <item m="1" x="159"/>
        <item m="1" x="239"/>
        <item m="1" x="182"/>
        <item m="1" x="66"/>
        <item m="1" x="134"/>
        <item m="1" x="69"/>
        <item m="1" x="231"/>
        <item m="1" x="54"/>
        <item m="1" x="132"/>
        <item m="1" x="12"/>
        <item m="1" x="122"/>
        <item m="1" x="216"/>
        <item m="1" x="222"/>
        <item m="1" x="149"/>
        <item m="1" x="63"/>
        <item m="1" x="118"/>
        <item m="1" x="152"/>
        <item m="1" x="250"/>
        <item m="1" x="162"/>
        <item m="1" x="114"/>
        <item m="1" x="127"/>
        <item m="1" x="59"/>
        <item m="1" x="135"/>
        <item m="1" x="83"/>
        <item m="1" x="195"/>
        <item m="1" x="7"/>
        <item m="1" x="126"/>
        <item m="1" x="71"/>
        <item m="1" x="168"/>
        <item m="1" x="196"/>
        <item m="1" x="107"/>
        <item m="1" x="206"/>
        <item m="1" x="158"/>
        <item m="1" x="113"/>
        <item m="1" x="174"/>
        <item m="1" x="261"/>
        <item m="1" x="275"/>
        <item m="1" x="190"/>
        <item m="1" x="267"/>
        <item m="1" x="75"/>
        <item m="1" x="119"/>
        <item m="1" x="40"/>
        <item m="1" x="265"/>
        <item m="1" x="52"/>
        <item m="1" x="207"/>
        <item m="1" x="18"/>
        <item m="1" x="262"/>
        <item m="1" x="102"/>
        <item m="1" x="46"/>
        <item m="1" x="243"/>
        <item m="1" x="89"/>
        <item m="1" x="218"/>
        <item m="1" x="249"/>
        <item m="1" x="131"/>
        <item m="1" x="142"/>
        <item m="1" x="173"/>
        <item m="1" x="58"/>
        <item m="1" x="245"/>
        <item m="1" x="143"/>
        <item m="1" x="167"/>
        <item m="1" x="269"/>
        <item m="1" x="17"/>
        <item m="1" x="56"/>
        <item m="1" x="104"/>
        <item m="1" x="125"/>
        <item m="1" x="4"/>
        <item m="1" x="60"/>
        <item m="1" x="65"/>
        <item m="1" x="31"/>
        <item m="1" x="97"/>
        <item m="1" x="170"/>
        <item m="1" x="50"/>
        <item m="1" x="145"/>
        <item m="1" x="87"/>
        <item m="1" x="178"/>
        <item m="1" x="241"/>
        <item m="1" x="279"/>
        <item m="1" x="201"/>
        <item m="1" x="123"/>
        <item m="1" x="220"/>
        <item m="1" x="215"/>
        <item m="1" x="5"/>
        <item m="1" x="188"/>
        <item m="1" x="177"/>
        <item m="1" x="248"/>
        <item m="1" x="110"/>
        <item m="1" x="95"/>
        <item m="1" x="99"/>
        <item m="1" x="259"/>
        <item m="1" x="171"/>
        <item m="1" x="33"/>
        <item m="1" x="147"/>
        <item m="1" x="121"/>
        <item m="1" x="85"/>
        <item m="1" x="70"/>
      </items>
      <extLst>
        <ext xmlns:x14="http://schemas.microsoft.com/office/spreadsheetml/2009/9/main" uri="{2946ED86-A175-432a-8AC1-64E0C546D7DE}">
          <x14:pivotField fillDownLabels="1"/>
        </ext>
      </extLst>
    </pivotField>
    <pivotField axis="axisRow" compact="0" outline="0" showAll="0">
      <items count="30">
        <item m="1" x="12"/>
        <item m="1" x="28"/>
        <item m="1" x="13"/>
        <item m="1" x="16"/>
        <item m="1" x="15"/>
        <item m="1" x="17"/>
        <item x="11"/>
        <item m="1" x="19"/>
        <item x="8"/>
        <item m="1" x="14"/>
        <item m="1" x="18"/>
        <item m="1" x="20"/>
        <item x="0"/>
        <item m="1" x="21"/>
        <item x="5"/>
        <item m="1" x="22"/>
        <item x="2"/>
        <item m="1" x="23"/>
        <item m="1" x="27"/>
        <item m="1" x="24"/>
        <item x="3"/>
        <item x="1"/>
        <item m="1" x="25"/>
        <item m="1" x="26"/>
        <item x="4"/>
        <item x="6"/>
        <item x="7"/>
        <item x="9"/>
        <item x="10"/>
        <item t="default"/>
      </items>
    </pivotField>
    <pivotField compact="0" outline="0" showAll="0"/>
    <pivotField name="Lead Time" axis="axisRow" compact="0" outline="0" showAll="0" defaultSubtotal="0">
      <items count="5">
        <item m="1" x="1"/>
        <item m="1" x="3"/>
        <item m="1" x="4"/>
        <item x="0"/>
        <item m="1" x="2"/>
      </items>
      <extLst>
        <ext xmlns:x14="http://schemas.microsoft.com/office/spreadsheetml/2009/9/main" uri="{2946ED86-A175-432a-8AC1-64E0C546D7DE}">
          <x14:pivotField fillDownLabels="1"/>
        </ext>
      </extLst>
    </pivotField>
    <pivotField compact="0" outline="0" showAll="0"/>
    <pivotField compact="0" outline="0" showAll="0"/>
  </pivotFields>
  <rowFields count="7">
    <field x="1"/>
    <field x="2"/>
    <field x="4"/>
    <field x="8"/>
    <field x="10"/>
    <field x="13"/>
    <field x="11"/>
  </rowFields>
  <rowItems count="2">
    <i>
      <x/>
      <x v="3"/>
      <x v="152"/>
      <x/>
      <x/>
      <x v="3"/>
      <x v="20"/>
    </i>
    <i r="6">
      <x v="21"/>
    </i>
  </rowItems>
  <colItems count="1">
    <i/>
  </colItems>
  <pivotTableStyleInfo name="PivotStyleLight20"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16809516-DC1B-4826-9A71-7E7CE95E1C07}" name="PivotTable1" cacheId="259"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I4:AK10" firstHeaderRow="1" firstDataRow="1" firstDataCol="3"/>
  <pivotFields count="4">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0"/>
    <field x="1"/>
    <field x="2"/>
  </rowFields>
  <rowItems count="6">
    <i>
      <x/>
      <x/>
      <x/>
    </i>
    <i r="2">
      <x v="1"/>
    </i>
    <i r="2">
      <x v="2"/>
    </i>
    <i r="2">
      <x v="3"/>
    </i>
    <i r="2">
      <x v="4"/>
    </i>
    <i r="2">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B5C12B2-17F9-477E-9600-41DDE786FB08}" name="PivotTable10" cacheId="261" applyNumberFormats="0" applyBorderFormats="0" applyFontFormats="0" applyPatternFormats="0" applyAlignmentFormats="0" applyWidthHeightFormats="1" dataCaption="Values" updatedVersion="8" minRefreshableVersion="3" preserveFormatting="0" itemPrintTitles="1" createdVersion="6" indent="0" compact="0" compactData="0" multipleFieldFilters="0">
  <location ref="Q21" firstHeaderRow="0" firstDataRow="0" firstDataCol="0" rowPageCount="1" colPageCount="1"/>
  <pivotFields count="16">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compact="0" outline="0"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x="76"/>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893"/>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t="default"/>
      </items>
    </pivotField>
    <pivotField axis="axisPage" compact="0" outline="0" multipleItemSelectionAllowed="1" showAll="0">
      <items count="1348">
        <item m="1" x="494"/>
        <item h="1" m="1" x="1141"/>
        <item h="1" m="1" x="1147"/>
        <item h="1" m="1" x="1205"/>
        <item h="1" m="1" x="781"/>
        <item h="1" m="1" x="716"/>
        <item h="1" m="1" x="563"/>
        <item h="1" m="1" x="682"/>
        <item h="1" m="1" x="1002"/>
        <item h="1" m="1" x="1097"/>
        <item h="1" m="1" x="518"/>
        <item h="1" m="1" x="538"/>
        <item h="1" m="1" x="585"/>
        <item h="1" m="1" x="491"/>
        <item h="1" m="1" x="459"/>
        <item h="1" m="1" x="1247"/>
        <item h="1" m="1" x="892"/>
        <item h="1" m="1" x="825"/>
        <item h="1" m="1" x="339"/>
        <item h="1" m="1" x="730"/>
        <item h="1" m="1" x="1187"/>
        <item h="1" m="1" x="688"/>
        <item h="1" m="1" x="722"/>
        <item h="1" m="1" x="1031"/>
        <item h="1" m="1" x="356"/>
        <item h="1" m="1" x="1175"/>
        <item h="1" m="1" x="791"/>
        <item h="1" m="1" x="588"/>
        <item h="1" m="1" x="977"/>
        <item h="1" m="1" x="1148"/>
        <item h="1" m="1" x="353"/>
        <item h="1" m="1" x="1062"/>
        <item h="1" m="1" x="877"/>
        <item h="1" m="1" x="615"/>
        <item h="1" m="1" x="990"/>
        <item h="1" m="1" x="1283"/>
        <item h="1" m="1" x="1307"/>
        <item h="1" m="1" x="614"/>
        <item h="1" m="1" x="193"/>
        <item h="1" m="1" x="385"/>
        <item h="1" m="1" x="215"/>
        <item h="1" m="1" x="712"/>
        <item h="1" m="1" x="700"/>
        <item h="1" m="1" x="1223"/>
        <item h="1" m="1" x="754"/>
        <item h="1" m="1" x="927"/>
        <item h="1" m="1" x="530"/>
        <item h="1" m="1" x="1008"/>
        <item h="1" m="1" x="227"/>
        <item h="1" m="1" x="295"/>
        <item h="1" m="1" x="1273"/>
        <item h="1" m="1" x="1216"/>
        <item h="1" m="1" x="949"/>
        <item h="1" m="1" x="1217"/>
        <item h="1" m="1" x="1326"/>
        <item h="1" m="1" x="493"/>
        <item h="1" m="1" x="786"/>
        <item h="1" m="1" x="753"/>
        <item h="1" m="1" x="1305"/>
        <item h="1" m="1" x="379"/>
        <item h="1" m="1" x="907"/>
        <item h="1" m="1" x="617"/>
        <item h="1" m="1" x="1061"/>
        <item h="1" m="1" x="813"/>
        <item h="1" m="1" x="1322"/>
        <item h="1" m="1" x="885"/>
        <item h="1" m="1" x="942"/>
        <item h="1" m="1" x="886"/>
        <item h="1" m="1" x="887"/>
        <item h="1" m="1" x="442"/>
        <item h="1" m="1" x="392"/>
        <item h="1" m="1" x="273"/>
        <item h="1" m="1" x="1214"/>
        <item h="1" m="1" x="387"/>
        <item h="1" m="1" x="422"/>
        <item h="1" m="1" x="660"/>
        <item h="1" m="1" x="433"/>
        <item h="1" m="1" x="821"/>
        <item h="1" m="1" x="1032"/>
        <item h="1" m="1" x="508"/>
        <item h="1" m="1" x="633"/>
        <item h="1" m="1" x="1255"/>
        <item h="1" m="1" x="1261"/>
        <item h="1" m="1" x="272"/>
        <item h="1" m="1" x="405"/>
        <item h="1" m="1" x="1285"/>
        <item h="1" m="1" x="974"/>
        <item h="1" m="1" x="773"/>
        <item h="1" m="1" x="900"/>
        <item h="1" m="1" x="1330"/>
        <item h="1" m="1" x="375"/>
        <item h="1" m="1" x="430"/>
        <item h="1" m="1" x="951"/>
        <item h="1" m="1" x="1005"/>
        <item h="1" m="1" x="1198"/>
        <item h="1" m="1" x="703"/>
        <item h="1" m="1" x="898"/>
        <item h="1" m="1" x="362"/>
        <item h="1" m="1" x="736"/>
        <item h="1" m="1" x="642"/>
        <item h="1" m="1" x="842"/>
        <item h="1" m="1" x="671"/>
        <item h="1" m="1" x="844"/>
        <item h="1" m="1" x="677"/>
        <item h="1" m="1" x="679"/>
        <item h="1" m="1" x="881"/>
        <item h="1" m="1" x="599"/>
        <item h="1" m="1" x="715"/>
        <item h="1" m="1" x="1311"/>
        <item h="1" m="1" x="609"/>
        <item h="1" m="1" x="432"/>
        <item h="1" m="1" x="1160"/>
        <item h="1" m="1" x="645"/>
        <item h="1" m="1" x="812"/>
        <item h="1" m="1" x="543"/>
        <item h="1" m="1" x="504"/>
        <item h="1" m="1" x="486"/>
        <item h="1" m="1" x="675"/>
        <item h="1" m="1" x="1085"/>
        <item h="1" m="1" x="1064"/>
        <item h="1" m="1" x="769"/>
        <item h="1" m="1" x="752"/>
        <item h="1" m="1" x="452"/>
        <item h="1" m="1" x="595"/>
        <item h="1" m="1" x="968"/>
        <item h="1" m="1" x="457"/>
        <item h="1" m="1" x="632"/>
        <item h="1" m="1" x="857"/>
        <item h="1" m="1" x="577"/>
        <item h="1" m="1" x="1342"/>
        <item h="1" m="1" x="1108"/>
        <item h="1" m="1" x="661"/>
        <item h="1" m="1" x="549"/>
        <item h="1" m="1" x="224"/>
        <item h="1" m="1" x="797"/>
        <item h="1" m="1" x="689"/>
        <item h="1" m="1" x="425"/>
        <item h="1" m="1" x="735"/>
        <item h="1" m="1" x="1244"/>
        <item h="1" m="1" x="1156"/>
        <item h="1" m="1" x="180"/>
        <item h="1" m="1" x="1181"/>
        <item h="1" m="1" x="367"/>
        <item h="1" m="1" x="759"/>
        <item h="1" m="1" x="928"/>
        <item h="1" m="1" x="412"/>
        <item h="1" m="1" x="429"/>
        <item h="1" m="1" x="1245"/>
        <item h="1" m="1" x="328"/>
        <item h="1" m="1" x="790"/>
        <item h="1" m="1" x="910"/>
        <item h="1" m="1" x="1098"/>
        <item h="1" m="1" x="911"/>
        <item h="1" m="1" x="212"/>
        <item h="1" m="1" x="1206"/>
        <item h="1" m="1" x="976"/>
        <item h="1" m="1" x="1001"/>
        <item h="1" m="1" x="746"/>
        <item h="1" m="1" x="836"/>
        <item h="1" m="1" x="184"/>
        <item h="1" m="1" x="1200"/>
        <item h="1" m="1" x="777"/>
        <item h="1" m="1" x="1260"/>
        <item h="1" m="1" x="271"/>
        <item h="1" m="1" x="404"/>
        <item h="1" m="1" x="1329"/>
        <item h="1" m="1" x="957"/>
        <item h="1" m="1" x="827"/>
        <item h="1" m="1" x="917"/>
        <item h="1" m="1" x="294"/>
        <item h="1" m="1" x="444"/>
        <item h="1" m="1" x="743"/>
        <item h="1" m="1" x="1006"/>
        <item h="1" m="1" x="708"/>
        <item h="1" m="1" x="378"/>
        <item h="1" m="1" x="309"/>
        <item h="1" m="1" x="1155"/>
        <item h="1" m="1" x="903"/>
        <item h="1" m="1" x="246"/>
        <item h="1" m="1" x="575"/>
        <item h="1" m="1" x="626"/>
        <item h="1" m="1" x="1297"/>
        <item h="1" m="1" x="313"/>
        <item h="1" m="1" x="551"/>
        <item h="1" m="1" x="1298"/>
        <item h="1" m="1" x="1299"/>
        <item h="1" m="1" x="1300"/>
        <item h="1" m="1" x="552"/>
        <item h="1" m="1" x="1253"/>
        <item h="1" m="1" x="802"/>
        <item h="1" m="1" x="217"/>
        <item h="1" m="1" x="216"/>
        <item h="1" m="1" x="1310"/>
        <item h="1" m="1" x="926"/>
        <item h="1" m="1" x="1046"/>
        <item h="1" m="1" x="631"/>
        <item h="1" m="1" x="1014"/>
        <item h="1" m="1" x="398"/>
        <item h="1" m="1" x="460"/>
        <item h="1" m="1" x="939"/>
        <item h="1" m="1" x="962"/>
        <item h="1" m="1" x="726"/>
        <item h="1" m="1" x="401"/>
        <item h="1" m="1" x="1117"/>
        <item h="1" m="1" x="1203"/>
        <item h="1" m="1" x="194"/>
        <item h="1" m="1" x="1034"/>
        <item h="1" m="1" x="380"/>
        <item h="1" m="1" x="397"/>
        <item h="1" m="1" x="1041"/>
        <item h="1" m="1" x="860"/>
        <item h="1" m="1" x="1228"/>
        <item h="1" m="1" x="582"/>
        <item h="1" m="1" x="636"/>
        <item h="1" m="1" x="1280"/>
        <item h="1" m="1" x="796"/>
        <item h="1" m="1" x="1306"/>
        <item h="1" m="1" x="996"/>
        <item h="1" m="1" x="1168"/>
        <item h="1" m="1" x="970"/>
        <item h="1" m="1" x="1044"/>
        <item h="1" m="1" x="242"/>
        <item h="1" m="1" x="190"/>
        <item h="1" m="1" x="522"/>
        <item h="1" m="1" x="1324"/>
        <item h="1" m="1" x="1315"/>
        <item h="1" m="1" x="778"/>
        <item h="1" m="1" x="792"/>
        <item h="1" m="1" x="400"/>
        <item h="1" m="1" x="702"/>
        <item h="1" m="1" x="771"/>
        <item h="1" m="1" x="972"/>
        <item h="1" m="1" x="1052"/>
        <item h="1" m="1" x="1296"/>
        <item h="1" m="1" x="656"/>
        <item h="1" m="1" x="369"/>
        <item h="1" m="1" x="858"/>
        <item h="1" m="1" x="1096"/>
        <item h="1" m="1" x="573"/>
        <item h="1" m="1" x="820"/>
        <item h="1" m="1" x="651"/>
        <item h="1" m="1" x="780"/>
        <item h="1" m="1" x="1018"/>
        <item h="1" m="1" x="267"/>
        <item h="1" m="1" x="254"/>
        <item h="1" m="1" x="201"/>
        <item h="1" m="1" x="393"/>
        <item h="1" m="1" x="471"/>
        <item h="1" m="1" x="809"/>
        <item h="1" m="1" x="472"/>
        <item h="1" m="1" x="789"/>
        <item h="1" m="1" x="818"/>
        <item h="1" m="1" x="697"/>
        <item h="1" m="1" x="421"/>
        <item h="1" m="1" x="218"/>
        <item h="1" m="1" x="1215"/>
        <item h="1" m="1" x="426"/>
        <item h="1" m="1" x="490"/>
        <item h="1" m="1" x="453"/>
        <item h="1" m="1" x="296"/>
        <item h="1" m="1" x="1313"/>
        <item h="1" m="1" x="487"/>
        <item h="1" m="1" x="620"/>
        <item h="1" m="1" x="607"/>
        <item h="1" m="1" x="621"/>
        <item h="1" m="1" x="622"/>
        <item h="1" m="1" x="1250"/>
        <item h="1" m="1" x="188"/>
        <item h="1" m="1" x="1043"/>
        <item h="1" m="1" x="1232"/>
        <item h="1" m="1" x="732"/>
        <item h="1" m="1" x="733"/>
        <item h="1" m="1" x="1051"/>
        <item h="1" m="1" x="210"/>
        <item h="1" m="1" x="1317"/>
        <item h="1" m="1" x="484"/>
        <item h="1" m="1" x="449"/>
        <item h="1" m="1" x="1039"/>
        <item h="1" m="1" x="213"/>
        <item h="1" m="1" x="1212"/>
        <item h="1" m="1" x="1086"/>
        <item h="1" m="1" x="678"/>
        <item h="1" m="1" x="849"/>
        <item h="1" m="1" x="238"/>
        <item h="1" m="1" x="527"/>
        <item h="1" m="1" x="774"/>
        <item h="1" m="1" x="1243"/>
        <item h="1" m="1" x="523"/>
        <item h="1" m="1" x="191"/>
        <item h="1" m="1" x="192"/>
        <item h="1" m="1" x="959"/>
        <item h="1" m="1" x="205"/>
        <item h="1" m="1" x="711"/>
        <item h="1" m="1" x="445"/>
        <item h="1" m="1" x="638"/>
        <item h="1" m="1" x="824"/>
        <item h="1" m="1" x="322"/>
        <item h="1" m="1" x="535"/>
        <item h="1" m="1" x="690"/>
        <item h="1" m="1" x="691"/>
        <item h="1" m="1" x="663"/>
        <item h="1" m="1" x="684"/>
        <item h="1" m="1" x="548"/>
        <item h="1" m="1" x="233"/>
        <item h="1" m="1" x="1211"/>
        <item h="1" m="1" x="189"/>
        <item h="1" m="1" x="467"/>
        <item h="1" m="1" x="482"/>
        <item h="1" m="1" x="749"/>
        <item h="1" m="1" x="564"/>
        <item h="1" m="1" x="787"/>
        <item h="1" m="1" x="1178"/>
        <item h="1" m="1" x="1065"/>
        <item h="1" m="1" x="208"/>
        <item h="1" m="1" x="446"/>
        <item h="1" m="1" x="390"/>
        <item h="1" m="1" x="304"/>
        <item h="1" m="1" x="359"/>
        <item h="1" m="1" x="1173"/>
        <item h="1" m="1" x="1312"/>
        <item h="1" m="1" x="476"/>
        <item h="1" m="1" x="739"/>
        <item h="1" m="1" x="469"/>
        <item h="1" m="1" x="1176"/>
        <item h="1" m="1" x="1279"/>
        <item h="1" m="1" x="869"/>
        <item h="1" m="1" x="975"/>
        <item h="1" m="1" x="1150"/>
        <item h="1" m="1" x="1153"/>
        <item h="1" m="1" x="1036"/>
        <item h="1" m="1" x="1209"/>
        <item h="1" m="1" x="500"/>
        <item h="1" m="1" x="916"/>
        <item h="1" m="1" x="1035"/>
        <item h="1" m="1" x="1038"/>
        <item h="1" m="1" x="368"/>
        <item h="1" m="1" x="417"/>
        <item h="1" m="1" x="436"/>
        <item h="1" m="1" x="1100"/>
        <item h="1" m="1" x="925"/>
        <item h="1" m="1" x="1294"/>
        <item h="1" m="1" x="376"/>
        <item h="1" m="1" x="520"/>
        <item h="1" m="1" x="1303"/>
        <item h="1" m="1" x="316"/>
        <item h="1" m="1" x="377"/>
        <item h="1" m="1" x="521"/>
        <item h="1" m="1" x="1304"/>
        <item h="1" m="1" x="317"/>
        <item h="1" m="1" x="890"/>
        <item h="1" m="1" x="1344"/>
        <item h="1" m="1" x="592"/>
        <item h="1" m="1" x="723"/>
        <item h="1" m="1" x="1112"/>
        <item h="1" m="1" x="991"/>
        <item h="1" m="1" x="1104"/>
        <item h="1" m="1" x="958"/>
        <item h="1" m="1" x="1129"/>
        <item h="1" m="1" x="570"/>
        <item h="1" m="1" x="1262"/>
        <item h="1" m="1" x="1013"/>
        <item h="1" m="1" x="641"/>
        <item h="1" m="1" x="439"/>
        <item h="1" m="1" x="226"/>
        <item h="1" m="1" x="954"/>
        <item h="1" m="1" x="443"/>
        <item h="1" m="1" x="315"/>
        <item h="1" m="1" x="994"/>
        <item h="1" m="1" x="848"/>
        <item h="1" m="1" x="411"/>
        <item h="1" m="1" x="465"/>
        <item h="1" m="1" x="1188"/>
        <item h="1" m="1" x="1202"/>
        <item h="1" m="1" x="1029"/>
        <item h="1" m="1" x="1196"/>
        <item h="1" m="1" x="625"/>
        <item h="1" m="1" x="611"/>
        <item h="1" m="1" x="709"/>
        <item h="1" m="1" x="237"/>
        <item h="1" m="1" x="1088"/>
        <item h="1" m="1" x="265"/>
        <item h="1" m="1" x="266"/>
        <item h="1" m="1" x="544"/>
        <item h="1" m="1" x="371"/>
        <item h="1" m="1" x="370"/>
        <item h="1" m="1" x="1140"/>
        <item h="1" m="1" x="1191"/>
        <item h="1" m="1" x="284"/>
        <item h="1" m="1" x="988"/>
        <item h="1" m="1" x="692"/>
        <item h="1" m="1" x="225"/>
        <item h="1" m="1" x="461"/>
        <item h="1" m="1" x="314"/>
        <item h="1" m="1" x="1157"/>
        <item h="1" m="1" x="613"/>
        <item h="1" m="1" x="1113"/>
        <item h="1" m="1" x="554"/>
        <item h="1" m="1" x="718"/>
        <item h="1" m="1" x="695"/>
        <item h="1" m="1" x="1130"/>
        <item h="1" m="1" x="817"/>
        <item h="1" m="1" x="1025"/>
        <item h="1" m="1" x="1053"/>
        <item h="1" m="1" x="236"/>
        <item h="1" m="1" x="1274"/>
        <item h="1" m="1" x="466"/>
        <item h="1" m="1" x="1101"/>
        <item h="1" m="1" x="257"/>
        <item h="1" m="1" x="1102"/>
        <item h="1" m="1" x="1103"/>
        <item h="1" m="1" x="1092"/>
        <item h="1" m="1" x="745"/>
        <item h="1" m="1" x="748"/>
        <item h="1" m="1" x="956"/>
        <item h="1" m="1" x="1019"/>
        <item h="1" m="1" x="963"/>
        <item h="1" m="1" x="263"/>
        <item h="1" m="1" x="519"/>
        <item h="1" m="1" x="299"/>
        <item h="1" m="1" x="914"/>
        <item h="1" m="1" x="1266"/>
        <item h="1" m="1" x="1220"/>
        <item h="1" m="1" x="1231"/>
        <item h="1" m="1" x="1227"/>
        <item h="1" m="1" x="232"/>
        <item h="1" m="1" x="541"/>
        <item h="1" m="1" x="768"/>
        <item h="1" m="1" x="1167"/>
        <item h="1" m="1" x="423"/>
        <item h="1" m="1" x="542"/>
        <item h="1" m="1" x="868"/>
        <item h="1" m="1" x="297"/>
        <item h="1" m="1" x="501"/>
        <item h="1" m="1" x="556"/>
        <item h="1" m="1" x="966"/>
        <item h="1" m="1" x="993"/>
        <item h="1" m="1" x="569"/>
        <item h="1" m="1" x="354"/>
        <item h="1" m="1" x="706"/>
        <item h="1" m="1" x="906"/>
        <item h="1" m="1" x="1183"/>
        <item h="1" m="1" x="761"/>
        <item h="1" m="1" x="1210"/>
        <item h="1" m="1" x="305"/>
        <item h="1" m="1" x="361"/>
        <item h="1" m="1" x="750"/>
        <item h="1" m="1" x="1151"/>
        <item h="1" m="1" x="639"/>
        <item h="1" m="1" x="462"/>
        <item h="1" m="1" x="998"/>
        <item h="1" m="1" x="207"/>
        <item h="1" m="1" x="1047"/>
        <item h="1" m="1" x="1142"/>
        <item h="1" m="1" x="1143"/>
        <item h="1" m="1" x="1144"/>
        <item h="1" m="1" x="1257"/>
        <item h="1" m="1" x="202"/>
        <item h="1" m="1" x="657"/>
        <item h="1" m="1" x="922"/>
        <item h="1" m="1" x="918"/>
        <item h="1" m="1" x="662"/>
        <item h="1" m="1" x="496"/>
        <item h="1" m="1" x="333"/>
        <item h="1" m="1" x="1333"/>
        <item h="1" m="1" x="628"/>
        <item h="1" m="1" x="293"/>
        <item h="1" m="1" x="281"/>
        <item h="1" m="1" x="282"/>
        <item h="1" m="1" x="1119"/>
        <item h="1" m="1" x="358"/>
        <item h="1" m="1" x="204"/>
        <item h="1" m="1" x="600"/>
        <item h="1" m="1" x="550"/>
        <item h="1" m="1" x="547"/>
        <item h="1" m="1" x="391"/>
        <item h="1" m="1" x="1026"/>
        <item h="1" m="1" x="872"/>
        <item h="1" m="1" x="1286"/>
        <item h="1" m="1" x="1027"/>
        <item h="1" m="1" x="873"/>
        <item h="1" m="1" x="597"/>
        <item h="1" m="1" x="891"/>
        <item h="1" m="1" x="1287"/>
        <item h="1" m="1" x="598"/>
        <item h="1" m="1" x="243"/>
        <item h="1" m="1" x="856"/>
        <item h="1" m="1" x="979"/>
        <item h="1" m="1" x="249"/>
        <item h="1" m="1" x="762"/>
        <item h="1" m="1" x="1334"/>
        <item h="1" m="1" x="1089"/>
        <item h="1" m="1" x="1235"/>
        <item h="1" m="1" x="1110"/>
        <item h="1" m="1" x="822"/>
        <item h="1" m="1" x="1090"/>
        <item h="1" m="1" x="1236"/>
        <item h="1" m="1" x="330"/>
        <item h="1" m="1" x="220"/>
        <item h="1" m="1" x="800"/>
        <item h="1" m="1" x="1237"/>
        <item h="1" m="1" x="331"/>
        <item h="1" m="1" x="1195"/>
        <item h="1" m="1" x="1335"/>
        <item h="1" m="1" x="1238"/>
        <item h="1" m="1" x="221"/>
        <item h="1" m="1" x="1239"/>
        <item h="1" m="1" x="1240"/>
        <item h="1" m="1" x="239"/>
        <item h="1" m="1" x="255"/>
        <item h="1" m="1" x="882"/>
        <item h="1" m="1" x="181"/>
        <item h="1" m="1" x="1336"/>
        <item h="1" m="1" x="557"/>
        <item h="1" m="1" x="1252"/>
        <item h="1" m="1" x="470"/>
        <item h="1" m="1" x="629"/>
        <item h="1" m="1" x="240"/>
        <item h="1" m="1" x="1337"/>
        <item h="1" m="1" x="196"/>
        <item h="1" m="1" x="256"/>
        <item h="1" m="1" x="1241"/>
        <item h="1" m="1" x="1338"/>
        <item h="1" m="1" x="1242"/>
        <item h="1" m="1" x="241"/>
        <item h="1" m="1" x="940"/>
        <item h="1" m="1" x="182"/>
        <item h="1" m="1" x="1339"/>
        <item h="1" m="1" x="558"/>
        <item h="1" m="1" x="649"/>
        <item h="1" m="1" x="960"/>
        <item h="1" m="1" x="222"/>
        <item h="1" m="1" x="183"/>
        <item h="1" m="1" x="1340"/>
        <item h="1" m="1" x="559"/>
        <item h="1" m="1" x="219"/>
        <item h="1" m="1" x="583"/>
        <item h="1" m="1" x="1066"/>
        <item h="1" m="1" x="1289"/>
        <item h="1" m="1" x="795"/>
        <item h="1" m="1" x="1256"/>
        <item h="1" m="1" x="624"/>
        <item h="1" m="1" x="799"/>
        <item h="1" m="1" x="826"/>
        <item h="1" m="1" x="823"/>
        <item h="1" m="1" x="664"/>
        <item h="1" m="1" x="915"/>
        <item h="1" m="1" x="839"/>
        <item h="1" m="1" x="290"/>
        <item h="1" m="1" x="1291"/>
        <item h="1" m="1" x="889"/>
        <item h="1" m="1" x="586"/>
        <item h="1" m="1" x="1165"/>
        <item h="1" m="1" x="1033"/>
        <item h="1" m="1" x="1037"/>
        <item h="1" m="1" x="200"/>
        <item h="1" m="1" x="301"/>
        <item h="1" m="1" x="576"/>
        <item h="1" m="1" x="819"/>
        <item h="1" m="1" x="326"/>
        <item h="1" m="1" x="497"/>
        <item h="1" m="1" x="498"/>
        <item h="1" m="1" x="602"/>
        <item h="1" m="1" x="1263"/>
        <item h="1" m="1" x="865"/>
        <item h="1" m="1" x="866"/>
        <item h="1" m="1" x="1284"/>
        <item h="1" m="1" x="604"/>
        <item h="1" m="1" x="1295"/>
        <item h="1" m="1" x="793"/>
        <item h="1" m="1" x="1040"/>
        <item h="1" m="1" x="1009"/>
        <item h="1" m="1" x="1115"/>
        <item h="1" m="1" x="1125"/>
        <item h="1" m="1" x="277"/>
        <item h="1" m="1" x="435"/>
        <item h="1" m="1" x="946"/>
        <item h="1" m="1" x="480"/>
        <item h="1" m="1" x="384"/>
        <item h="1" m="1" x="278"/>
        <item h="1" m="1" x="658"/>
        <item h="1" m="1" x="515"/>
        <item h="1" m="1" x="203"/>
        <item h="1" m="1" x="1186"/>
        <item h="1" m="1" x="248"/>
        <item h="1" m="1" x="1122"/>
        <item h="1" m="1" x="610"/>
        <item h="1" m="1" x="669"/>
        <item h="1" m="1" x="980"/>
        <item h="1" m="1" x="537"/>
        <item h="1" m="1" x="731"/>
        <item h="1" m="1" x="579"/>
        <item h="1" m="1" x="345"/>
        <item h="1" m="1" x="883"/>
        <item h="1" m="1" x="468"/>
        <item h="1" m="1" x="1264"/>
        <item h="1" m="1" x="1272"/>
        <item h="1" m="1" x="1258"/>
        <item h="1" m="1" x="513"/>
        <item h="1" m="1" x="999"/>
        <item h="1" m="1" x="1021"/>
        <item h="1" m="1" x="1185"/>
        <item h="1" m="1" x="463"/>
        <item h="1" m="1" x="507"/>
        <item h="1" m="1" x="1070"/>
        <item x="120"/>
        <item x="2"/>
        <item h="1" m="1" x="360"/>
        <item h="1" m="1" x="517"/>
        <item h="1" m="1" x="587"/>
        <item h="1" m="1" x="1134"/>
        <item h="1" m="1" x="929"/>
        <item h="1" m="1" x="744"/>
        <item h="1" m="1" x="978"/>
        <item h="1" m="1" x="938"/>
        <item h="1" m="1" x="1000"/>
        <item h="1" m="1" x="1012"/>
        <item h="1" m="1" x="937"/>
        <item h="1" m="1" x="427"/>
        <item h="1" m="1" x="525"/>
        <item h="1" m="1" x="672"/>
        <item h="1" m="1" x="234"/>
        <item h="1" m="1" x="1099"/>
        <item h="1" m="1" x="1057"/>
        <item h="1" m="1" x="875"/>
        <item h="1" m="1" x="694"/>
        <item h="1" m="1" x="833"/>
        <item h="1" m="1" x="1316"/>
        <item h="1" m="1" x="593"/>
        <item h="1" m="1" x="1174"/>
        <item h="1" m="1" x="509"/>
        <item h="1" m="1" x="653"/>
        <item h="1" m="1" x="365"/>
        <item h="1" m="1" x="913"/>
        <item h="1" m="1" x="965"/>
        <item h="1" m="1" x="413"/>
        <item h="1" m="1" x="1345"/>
        <item h="1" m="1" x="414"/>
        <item h="1" m="1" x="492"/>
        <item h="1" m="1" x="606"/>
        <item h="1" m="1" x="308"/>
        <item h="1" m="1" x="285"/>
        <item h="1" m="1" x="245"/>
        <item h="1" m="1" x="1158"/>
        <item h="1" m="1" x="627"/>
        <item h="1" m="1" x="303"/>
        <item h="1" m="1" x="756"/>
        <item h="1" m="1" x="1069"/>
        <item h="1" m="1" x="395"/>
        <item h="1" m="1" x="455"/>
        <item h="1" m="1" x="209"/>
        <item h="1" m="1" x="1054"/>
        <item h="1" m="1" x="794"/>
        <item h="1" m="1" x="944"/>
        <item h="1" m="1" x="1346"/>
        <item h="1" m="1" x="1248"/>
        <item h="1" m="1" x="1146"/>
        <item h="1" m="1" x="431"/>
        <item h="1" m="1" x="199"/>
        <item h="1" m="1" x="659"/>
        <item h="1" m="1" x="286"/>
        <item h="1" m="1" x="806"/>
        <item h="1" m="1" x="458"/>
        <item h="1" m="1" x="895"/>
        <item h="1" m="1" x="776"/>
        <item h="1" m="1" x="526"/>
        <item h="1" m="1" x="950"/>
        <item h="1" m="1" x="264"/>
        <item h="1" m="1" x="311"/>
        <item h="1" m="1" x="720"/>
        <item h="1" m="1" x="250"/>
        <item h="1" m="1" x="1132"/>
        <item h="1" m="1" x="1189"/>
        <item h="1" m="1" x="758"/>
        <item h="1" m="1" x="693"/>
        <item h="1" m="1" x="804"/>
        <item h="1" m="1" x="619"/>
        <item h="1" m="1" x="1010"/>
        <item h="1" m="1" x="300"/>
        <item h="1" m="1" x="325"/>
        <item h="1" m="1" x="1219"/>
        <item h="1" m="1" x="416"/>
        <item h="1" m="1" x="306"/>
        <item h="1" m="1" x="342"/>
        <item h="1" m="1" x="1327"/>
        <item h="1" m="1" x="187"/>
        <item h="1" m="1" x="1221"/>
        <item h="1" m="1" x="605"/>
        <item h="1" m="1" x="539"/>
        <item h="1" m="1" x="1020"/>
        <item h="1" m="1" x="1109"/>
        <item h="1" m="1" x="859"/>
        <item h="1" m="1" x="899"/>
        <item h="1" m="1" x="919"/>
        <item h="1" m="1" x="948"/>
        <item h="1" m="1" x="734"/>
        <item h="1" m="1" x="1011"/>
        <item h="1" m="1" x="319"/>
        <item h="1" m="1" x="840"/>
        <item h="1" m="1" x="807"/>
        <item h="1" m="1" x="850"/>
        <item h="1" m="1" x="601"/>
        <item h="1" m="1" x="1166"/>
        <item h="1" m="1" x="1224"/>
        <item h="1" m="1" x="841"/>
        <item h="1" m="1" x="835"/>
        <item h="1" m="1" x="854"/>
        <item h="1" m="1" x="1213"/>
        <item h="1" m="1" x="673"/>
        <item h="1" m="1" x="546"/>
        <item h="1" m="1" x="961"/>
        <item h="1" m="1" x="567"/>
        <item h="1" m="1" x="838"/>
        <item h="1" m="1" x="247"/>
        <item h="1" m="1" x="779"/>
        <item h="1" m="1" x="479"/>
        <item h="1" m="1" x="324"/>
        <item h="1" m="1" x="589"/>
        <item h="1" m="1" x="302"/>
        <item h="1" m="1" x="279"/>
        <item h="1" m="1" x="280"/>
        <item h="1" m="1" x="687"/>
        <item h="1" m="1" x="665"/>
        <item h="1" m="1" x="704"/>
        <item h="1" m="1" x="724"/>
        <item h="1" m="1" x="681"/>
        <item h="1" m="1" x="1060"/>
        <item h="1" m="1" x="808"/>
        <item h="1" m="1" x="894"/>
        <item h="1" m="1" x="464"/>
        <item h="1" m="1" x="388"/>
        <item h="1" m="1" x="1071"/>
        <item h="1" m="1" x="981"/>
        <item h="1" m="1" x="251"/>
        <item h="1" m="1" x="292"/>
        <item h="1" m="1" x="766"/>
        <item h="1" m="1" x="560"/>
        <item h="1" m="1" x="568"/>
        <item h="1" m="1" x="760"/>
        <item h="1" m="1" x="984"/>
        <item x="8"/>
        <item h="1" m="1" x="648"/>
        <item h="1" m="1" x="357"/>
        <item h="1" m="1" x="531"/>
        <item h="1" m="1" x="845"/>
        <item h="1" m="1" x="783"/>
        <item h="1" m="1" x="1320"/>
        <item h="1" m="1" x="420"/>
        <item h="1" m="1" x="635"/>
        <item h="1" m="1" x="1082"/>
        <item h="1" m="1" x="815"/>
        <item h="1" m="1" x="346"/>
        <item h="1" m="1" x="1171"/>
        <item h="1" m="1" x="473"/>
        <item h="1" m="1" x="555"/>
        <item h="1" m="1" x="717"/>
        <item h="1" m="1" x="396"/>
        <item h="1" m="1" x="831"/>
        <item h="1" m="1" x="1145"/>
        <item h="1" m="1" x="244"/>
        <item h="1" m="1" x="580"/>
        <item h="1" m="1" x="852"/>
        <item h="1" m="1" x="646"/>
        <item h="1" m="1" x="1197"/>
        <item h="1" m="1" x="503"/>
        <item h="1" m="1" x="757"/>
        <item h="1" m="1" x="437"/>
        <item h="1" m="1" x="647"/>
        <item h="1" m="1" x="1290"/>
        <item h="1" m="1" x="524"/>
        <item h="1" m="1" x="1218"/>
        <item h="1" m="1" x="870"/>
        <item h="1" m="1" x="871"/>
        <item h="1" m="1" x="1022"/>
        <item h="1" m="1" x="714"/>
        <item h="1" m="1" x="230"/>
        <item h="1" m="1" x="770"/>
        <item h="1" m="1" x="729"/>
        <item h="1" m="1" x="707"/>
        <item h="1" m="1" x="283"/>
        <item h="1" m="1" x="1048"/>
        <item h="1" m="1" x="955"/>
        <item h="1" m="1" x="510"/>
        <item h="1" m="1" x="705"/>
        <item h="1" m="1" x="1208"/>
        <item h="1" m="1" x="1164"/>
        <item h="1" m="1" x="1302"/>
        <item h="1" m="1" x="941"/>
        <item h="1" m="1" x="1072"/>
        <item h="1" m="1" x="329"/>
        <item h="1" m="1" x="594"/>
        <item h="1" m="1" x="884"/>
        <item h="1" m="1" x="415"/>
        <item h="1" m="1" x="1194"/>
        <item h="1" m="1" x="728"/>
        <item h="1" m="1" x="186"/>
        <item h="1" m="1" x="905"/>
        <item h="1" m="1" x="1267"/>
        <item h="1" m="1" x="1045"/>
        <item h="1" m="1" x="179"/>
        <item h="1" m="1" x="327"/>
        <item h="1" m="1" x="505"/>
        <item h="1" m="1" x="488"/>
        <item h="1" m="1" x="1328"/>
        <item h="1" m="1" x="351"/>
        <item h="1" m="1" x="320"/>
        <item h="1" m="1" x="386"/>
        <item h="1" m="1" x="1265"/>
        <item h="1" m="1" x="511"/>
        <item h="1" m="1" x="1225"/>
        <item h="1" m="1" x="381"/>
        <item h="1" m="1" x="228"/>
        <item h="1" m="1" x="1199"/>
        <item h="1" m="1" x="1067"/>
        <item h="1" m="1" x="1081"/>
        <item h="1" m="1" x="1149"/>
        <item h="1" m="1" x="798"/>
        <item h="1" m="1" x="683"/>
        <item h="1" m="1" x="1276"/>
        <item h="1" m="1" x="502"/>
        <item h="1" m="1" x="1016"/>
        <item h="1" m="1" x="742"/>
        <item h="1" m="1" x="834"/>
        <item h="1" m="1" x="1259"/>
        <item h="1" m="1" x="1268"/>
        <item h="1" m="1" x="676"/>
        <item h="1" m="1" x="534"/>
        <item h="1" m="1" x="1275"/>
        <item h="1" m="1" x="1204"/>
        <item h="1" m="1" x="1121"/>
        <item h="1" m="1" x="229"/>
        <item h="1" m="1" x="719"/>
        <item h="1" m="1" x="644"/>
        <item h="1" m="1" x="666"/>
        <item h="1" m="1" x="571"/>
        <item h="1" m="1" x="1162"/>
        <item h="1" m="1" x="1139"/>
        <item h="1" m="1" x="751"/>
        <item h="1" m="1" x="936"/>
        <item h="1" m="1" x="612"/>
        <item h="1" m="1" x="1114"/>
        <item h="1" m="1" x="686"/>
        <item h="1" m="1" x="1229"/>
        <item h="1" m="1" x="450"/>
        <item h="1" m="1" x="1030"/>
        <item h="1" m="1" x="318"/>
        <item h="1" m="1" x="1095"/>
        <item h="1" m="1" x="1341"/>
        <item h="1" m="1" x="197"/>
        <item h="1" m="1" x="1343"/>
        <item h="1" m="1" x="591"/>
        <item h="1" m="1" x="618"/>
        <item h="1" m="1" x="634"/>
        <item h="1" m="1" x="389"/>
        <item h="1" m="1" x="478"/>
        <item h="1" m="1" x="710"/>
        <item h="1" m="1" x="355"/>
        <item h="1" m="1" x="528"/>
        <item h="1" m="1" x="532"/>
        <item h="1" m="1" x="499"/>
        <item h="1" m="1" x="514"/>
        <item h="1" m="1" x="992"/>
        <item h="1" m="1" x="934"/>
        <item h="1" m="1" x="1055"/>
        <item h="1" m="1" x="310"/>
        <item h="1" m="1" x="341"/>
        <item h="1" m="1" x="699"/>
        <item h="1" m="1" x="1233"/>
        <item h="1" m="1" x="235"/>
        <item h="1" m="1" x="334"/>
        <item h="1" m="1" x="312"/>
        <item h="1" m="1" x="1003"/>
        <item h="1" m="1" x="832"/>
        <item h="1" m="1" x="867"/>
        <item h="1" m="1" x="630"/>
        <item h="1" m="1" x="348"/>
        <item h="1" m="1" x="434"/>
        <item h="1" m="1" x="574"/>
        <item h="1" m="1" x="1073"/>
        <item h="1" m="1" x="253"/>
        <item h="1" m="1" x="1222"/>
        <item h="1" m="1" x="1234"/>
        <item h="1" m="1" x="782"/>
        <item h="1" m="1" x="259"/>
        <item h="1" m="1" x="1076"/>
        <item h="1" m="1" x="407"/>
        <item h="1" m="1" x="211"/>
        <item h="1" m="1" x="1246"/>
        <item h="1" m="1" x="374"/>
        <item h="1" m="1" x="1226"/>
        <item h="1" m="1" x="654"/>
        <item h="1" m="1" x="1271"/>
        <item h="1" m="1" x="667"/>
        <item h="1" m="1" x="616"/>
        <item h="1" m="1" x="394"/>
        <item h="1" m="1" x="337"/>
        <item h="1" m="1" x="1207"/>
        <item h="1" m="1" x="1080"/>
        <item h="1" m="1" x="332"/>
        <item h="1" m="1" x="1083"/>
        <item h="1" m="1" x="1004"/>
        <item h="1" m="1" x="851"/>
        <item h="1" m="1" x="1269"/>
        <item h="1" m="1" x="545"/>
        <item h="1" m="1" x="1282"/>
        <item h="1" m="1" x="888"/>
        <item h="1" m="1" x="698"/>
        <item h="1" m="1" x="291"/>
        <item h="1" m="1" x="347"/>
        <item h="1" m="1" x="1190"/>
        <item h="1" m="1" x="1277"/>
        <item h="1" m="1" x="680"/>
        <item h="1" m="1" x="1068"/>
        <item h="1" m="1" x="1270"/>
        <item h="1" m="1" x="1007"/>
        <item h="1" m="1" x="953"/>
        <item h="1" m="1" x="336"/>
        <item h="1" m="1" x="1116"/>
        <item h="1" m="1" x="1319"/>
        <item h="1" m="1" x="801"/>
        <item h="1" m="1" x="1154"/>
        <item h="1" m="1" x="298"/>
        <item h="1" m="1" x="747"/>
        <item h="1" m="1" x="755"/>
        <item h="1" m="1" x="1179"/>
        <item h="1" m="1" x="1118"/>
        <item h="1" m="1" x="185"/>
        <item h="1" m="1" x="893"/>
        <item h="1" m="1" x="408"/>
        <item h="1" m="1" x="596"/>
        <item h="1" m="1" x="409"/>
        <item h="1" m="1" x="652"/>
        <item h="1" m="1" x="565"/>
        <item h="1" m="1" x="214"/>
        <item h="1" m="1" x="529"/>
        <item h="1" m="1" x="540"/>
        <item h="1" m="1" x="623"/>
        <item h="1" m="1" x="1075"/>
        <item h="1" m="1" x="584"/>
        <item h="1" m="1" x="983"/>
        <item h="1" m="1" x="1059"/>
        <item h="1" m="1" x="909"/>
        <item h="1" m="1" x="737"/>
        <item h="1" m="1" x="738"/>
        <item h="1" m="1" x="828"/>
        <item h="1" m="1" x="935"/>
        <item h="1" m="1" x="803"/>
        <item h="1" m="1" x="1017"/>
        <item h="1" m="1" x="933"/>
        <item h="1" m="1" x="987"/>
        <item h="1" m="1" x="195"/>
        <item h="1" m="1" x="562"/>
        <item h="1" m="1" x="1192"/>
        <item h="1" m="1" x="512"/>
        <item h="1" m="1" x="964"/>
        <item h="1" m="1" x="967"/>
        <item h="1" m="1" x="763"/>
        <item h="1" m="1" x="340"/>
        <item h="1" m="1" x="982"/>
        <item h="1" m="1" x="1074"/>
        <item h="1" m="1" x="912"/>
        <item x="101"/>
        <item h="1" m="1" x="307"/>
        <item h="1" m="1" x="1050"/>
        <item h="1" m="1" x="1152"/>
        <item h="1" m="1" x="578"/>
        <item h="1" m="1" x="561"/>
        <item h="1" m="1" x="1281"/>
        <item h="1" m="1" x="816"/>
        <item h="1" m="1" x="1201"/>
        <item h="1" m="1" x="930"/>
        <item h="1" m="1" x="971"/>
        <item h="1" m="1" x="650"/>
        <item h="1" m="1" x="897"/>
        <item h="1" m="1" x="1136"/>
        <item h="1" m="1" x="1028"/>
        <item h="1" m="1" x="1309"/>
        <item h="1" m="1" x="1180"/>
        <item h="1" m="1" x="902"/>
        <item h="1" m="1" x="973"/>
        <item h="1" m="1" x="1135"/>
        <item h="1" m="1" x="399"/>
        <item h="1" m="1" x="855"/>
        <item h="1" m="1" x="260"/>
        <item h="1" m="1" x="441"/>
        <item h="1" m="1" x="261"/>
        <item h="1" m="1" x="985"/>
        <item h="1" m="1" x="1301"/>
        <item h="1" m="1" x="1288"/>
        <item h="1" m="1" x="1331"/>
        <item h="1" m="1" x="1172"/>
        <item h="1" m="1" x="989"/>
        <item h="1" m="1" x="637"/>
        <item h="1" m="1" x="713"/>
        <item h="1" m="1" x="603"/>
        <item h="1" m="1" x="1120"/>
        <item h="1" m="1" x="901"/>
        <item h="1" m="1" x="1042"/>
        <item h="1" m="1" x="268"/>
        <item h="1" m="1" x="349"/>
        <item h="1" m="1" x="335"/>
        <item h="1" m="1" x="269"/>
        <item h="1" m="1" x="495"/>
        <item h="1" m="1" x="685"/>
        <item h="1" m="1" x="1318"/>
        <item h="1" m="1" x="1182"/>
        <item h="1" m="1" x="969"/>
        <item h="1" m="1" x="995"/>
        <item h="1" m="1" x="1163"/>
        <item h="1" m="1" x="1126"/>
        <item h="1" m="1" x="474"/>
        <item h="1" m="1" x="475"/>
        <item h="1" m="1" x="805"/>
        <item h="1" m="1" x="1077"/>
        <item h="1" m="1" x="424"/>
        <item h="1" m="1" x="674"/>
        <item h="1" m="1" x="1314"/>
        <item h="1" m="1" x="847"/>
        <item h="1" m="1" x="418"/>
        <item h="1" m="1" x="811"/>
        <item h="1" m="1" x="553"/>
        <item h="1" m="1" x="485"/>
        <item h="1" m="1" x="725"/>
        <item h="1" m="1" x="402"/>
        <item h="1" m="1" x="1184"/>
        <item h="1" m="1" x="343"/>
        <item h="1" m="1" x="696"/>
        <item h="1" m="1" x="1308"/>
        <item h="1" m="1" x="1193"/>
        <item h="1" m="1" x="1249"/>
        <item h="1" m="1" x="945"/>
        <item h="1" m="1" x="1123"/>
        <item h="1" m="1" x="986"/>
        <item h="1" m="1" x="1161"/>
        <item h="1" m="1" x="321"/>
        <item h="1" m="1" x="1131"/>
        <item h="1" m="1" x="1107"/>
        <item h="1" m="1" x="931"/>
        <item h="1" m="1" x="932"/>
        <item h="1" m="1" x="655"/>
        <item h="1" m="1" x="1084"/>
        <item h="1" m="1" x="372"/>
        <item h="1" m="1" x="373"/>
        <item h="1" m="1" x="767"/>
        <item h="1" m="1" x="1159"/>
        <item h="1" m="1" x="997"/>
        <item h="1" m="1" x="727"/>
        <item h="1" m="1" x="364"/>
        <item h="1" m="1" x="406"/>
        <item h="1" m="1" x="252"/>
        <item h="1" m="1" x="920"/>
        <item h="1" m="1" x="1323"/>
        <item h="1" m="1" x="908"/>
        <item h="1" m="1" x="1106"/>
        <item h="1" m="1" x="1127"/>
        <item h="1" m="1" x="814"/>
        <item h="1" m="1" x="1128"/>
        <item h="1" m="1" x="403"/>
        <item h="1" m="1" x="1137"/>
        <item h="1" m="1" x="1138"/>
        <item h="1" m="1" x="846"/>
        <item h="1" m="1" x="1169"/>
        <item h="1" m="1" x="206"/>
        <item h="1" m="1" x="643"/>
        <item h="1" m="1" x="876"/>
        <item h="1" m="1" x="701"/>
        <item h="1" m="1" x="382"/>
        <item h="1" m="1" x="837"/>
        <item h="1" m="1" x="1124"/>
        <item h="1" m="1" x="784"/>
        <item h="1" m="1" x="289"/>
        <item h="1" m="1" x="829"/>
        <item h="1" m="1" x="350"/>
        <item h="1" m="1" x="921"/>
        <item h="1" m="1" x="952"/>
        <item h="1" m="1" x="1230"/>
        <item h="1" m="1" x="608"/>
        <item h="1" m="1" x="440"/>
        <item h="1" m="1" x="1094"/>
        <item h="1" m="1" x="481"/>
        <item h="1" m="1" x="1278"/>
        <item h="1" m="1" x="516"/>
        <item h="1" m="1" x="456"/>
        <item h="1" m="1" x="1170"/>
        <item h="1" m="1" x="454"/>
        <item h="1" m="1" x="862"/>
        <item h="1" m="1" x="863"/>
        <item h="1" m="1" x="864"/>
        <item h="1" m="1" x="740"/>
        <item h="1" m="1" x="590"/>
        <item h="1" m="1" x="904"/>
        <item h="1" m="1" x="258"/>
        <item h="1" m="1" x="287"/>
        <item h="1" m="1" x="947"/>
        <item h="1" m="1" x="830"/>
        <item h="1" m="1" x="1325"/>
        <item h="1" m="1" x="785"/>
        <item h="1" m="1" x="533"/>
        <item h="1" m="1" x="536"/>
        <item h="1" m="1" x="383"/>
        <item h="1" m="1" x="483"/>
        <item h="1" m="1" x="1056"/>
        <item h="1" m="1" x="668"/>
        <item h="1" m="1" x="670"/>
        <item h="1" m="1" x="1133"/>
        <item h="1" m="1" x="438"/>
        <item h="1" m="1" x="477"/>
        <item h="1" m="1" x="566"/>
        <item h="1" m="1" x="741"/>
        <item h="1" m="1" x="1091"/>
        <item h="1" m="1" x="1093"/>
        <item h="1" m="1" x="1254"/>
        <item h="1" m="1" x="223"/>
        <item h="1" m="1" x="366"/>
        <item h="1" m="1" x="231"/>
        <item h="1" m="1" x="1293"/>
        <item h="1" m="1" x="775"/>
        <item h="1" m="1" x="489"/>
        <item h="1" m="1" x="874"/>
        <item h="1" m="1" x="896"/>
        <item h="1" m="1" x="288"/>
        <item h="1" m="1" x="270"/>
        <item h="1" m="1" x="772"/>
        <item h="1" m="1" x="1024"/>
        <item h="1" m="1" x="1177"/>
        <item h="1" m="1" x="788"/>
        <item h="1" m="1" x="198"/>
        <item h="1" m="1" x="344"/>
        <item h="1" m="1" x="810"/>
        <item h="1" m="1" x="1049"/>
        <item h="1" m="1" x="1105"/>
        <item h="1" m="1" x="363"/>
        <item h="1" m="1" x="1063"/>
        <item h="1" m="1" x="1111"/>
        <item h="1" m="1" x="572"/>
        <item h="1" m="1" x="853"/>
        <item h="1" m="1" x="1015"/>
        <item h="1" m="1" x="1332"/>
        <item h="1" m="1" x="352"/>
        <item h="1" m="1" x="764"/>
        <item h="1" m="1" x="843"/>
        <item h="1" m="1" x="274"/>
        <item h="1" m="1" x="721"/>
        <item h="1" m="1" x="275"/>
        <item h="1" m="1" x="1023"/>
        <item h="1" m="1" x="276"/>
        <item h="1" m="1" x="1058"/>
        <item h="1" m="1" x="878"/>
        <item h="1" m="1" x="879"/>
        <item h="1" m="1" x="880"/>
        <item h="1" m="1" x="1292"/>
        <item h="1" m="1" x="640"/>
        <item h="1" m="1" x="419"/>
        <item h="1" m="1" x="338"/>
        <item h="1" m="1" x="428"/>
        <item h="1" m="1" x="1251"/>
        <item h="1" m="1" x="451"/>
        <item h="1" m="1" x="1321"/>
        <item h="1" m="1" x="262"/>
        <item h="1" m="1" x="923"/>
        <item h="1" m="1" x="924"/>
        <item h="1" m="1" x="861"/>
        <item h="1" m="1" x="765"/>
        <item h="1" m="1" x="1078"/>
        <item h="1" m="1" x="1087"/>
        <item h="1" m="1" x="323"/>
        <item h="1" m="1" x="410"/>
        <item h="1" m="1" x="1079"/>
        <item h="1" m="1" x="943"/>
        <item h="1" m="1" x="506"/>
        <item h="1" m="1" x="447"/>
        <item h="1" m="1" x="448"/>
        <item h="1" m="1" x="581"/>
        <item m="1" x="178"/>
        <item x="0"/>
        <item x="1"/>
        <item x="3"/>
        <item x="4"/>
        <item x="5"/>
        <item x="6"/>
        <item x="7"/>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2"/>
        <item x="103"/>
        <item x="104"/>
        <item x="105"/>
        <item x="106"/>
        <item x="107"/>
        <item x="108"/>
        <item x="109"/>
        <item x="110"/>
        <item x="111"/>
        <item x="112"/>
        <item x="113"/>
        <item x="114"/>
        <item x="115"/>
        <item x="116"/>
        <item x="117"/>
        <item x="118"/>
        <item x="119"/>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pageFields count="1">
    <pageField fld="7"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1C2794-EB31-4675-B51A-BFE7C77C68EE}" name="PivotTable9" cacheId="261" applyNumberFormats="0" applyBorderFormats="0" applyFontFormats="0" applyPatternFormats="0" applyAlignmentFormats="0" applyWidthHeightFormats="1" dataCaption="Values" updatedVersion="8" minRefreshableVersion="3" preserveFormatting="0" itemPrintTitles="1" createdVersion="6" indent="0" compact="0" compactData="0" multipleFieldFilters="0">
  <location ref="Q10" firstHeaderRow="0" firstDataRow="0" firstDataCol="0" rowPageCount="1" colPageCount="1"/>
  <pivotFields count="16">
    <pivotField compact="0" outline="0" showAll="0"/>
    <pivotField compact="0" outline="0" showAll="0" defaultSubtotal="0"/>
    <pivotField compact="0" outline="0" showAll="0" defaultSubtotal="0"/>
    <pivotField compact="0" outline="0" showAll="0"/>
    <pivotField compact="0" outline="0" showAll="0" defaultSubtotal="0"/>
    <pivotField compact="0" outline="0" showAll="0"/>
    <pivotField axis="axisPage" compact="0" outline="0" multipleItemSelectionAllowed="1" showAll="0">
      <items count="2311">
        <item h="1" m="1" x="1245"/>
        <item h="1" m="1" x="415"/>
        <item h="1" m="1" x="865"/>
        <item h="1" m="1" x="757"/>
        <item h="1" m="1" x="1730"/>
        <item h="1" m="1" x="1828"/>
        <item h="1" m="1" x="794"/>
        <item h="1" m="1" x="1872"/>
        <item h="1" m="1" x="1803"/>
        <item h="1" m="1" x="979"/>
        <item h="1" m="1" x="1435"/>
        <item h="1" m="1" x="289"/>
        <item h="1" m="1" x="1670"/>
        <item h="1" m="1" x="584"/>
        <item h="1" m="1" x="1671"/>
        <item h="1" m="1" x="1271"/>
        <item h="1" m="1" x="1362"/>
        <item h="1" m="1" x="780"/>
        <item h="1" m="1" x="688"/>
        <item h="1" m="1" x="689"/>
        <item h="1" m="1" x="1756"/>
        <item h="1" m="1" x="644"/>
        <item h="1" m="1" x="1757"/>
        <item h="1" m="1" x="1345"/>
        <item h="1" m="1" x="578"/>
        <item h="1" m="1" x="1437"/>
        <item h="1" m="1" x="730"/>
        <item h="1" m="1" x="1205"/>
        <item h="1" m="1" x="1568"/>
        <item h="1" m="1" x="2050"/>
        <item h="1" m="1" x="257"/>
        <item h="1" m="1" x="1102"/>
        <item h="1" m="1" x="870"/>
        <item h="1" m="1" x="270"/>
        <item h="1" m="1" x="1956"/>
        <item h="1" m="1" x="1016"/>
        <item h="1" m="1" x="513"/>
        <item h="1" m="1" x="708"/>
        <item h="1" m="1" x="1234"/>
        <item h="1" m="1" x="1235"/>
        <item h="1" m="1" x="1236"/>
        <item h="1" m="1" x="1237"/>
        <item h="1" m="1" x="1371"/>
        <item h="1" m="1" x="1674"/>
        <item h="1" m="1" x="2100"/>
        <item h="1" m="1" x="287"/>
        <item h="1" m="1" x="1043"/>
        <item h="1" m="1" x="761"/>
        <item h="1" m="1" x="1469"/>
        <item h="1" m="1" x="1633"/>
        <item h="1" m="1" x="2253"/>
        <item h="1" m="1" x="1317"/>
        <item h="1" m="1" x="1890"/>
        <item h="1" m="1" x="290"/>
        <item h="1" m="1" x="431"/>
        <item h="1" m="1" x="499"/>
        <item h="1" m="1" x="1099"/>
        <item h="1" m="1" x="1262"/>
        <item h="1" m="1" x="1829"/>
        <item h="1" m="1" x="1285"/>
        <item h="1" m="1" x="987"/>
        <item h="1" m="1" x="775"/>
        <item h="1" m="1" x="878"/>
        <item h="1" m="1" x="532"/>
        <item h="1" m="1" x="2302"/>
        <item h="1" m="1" x="1460"/>
        <item h="1" m="1" x="178"/>
        <item h="1" m="1" x="1333"/>
        <item h="1" m="1" x="2085"/>
        <item h="1" m="1" x="200"/>
        <item h="1" m="1" x="1422"/>
        <item h="1" m="1" x="2185"/>
        <item h="1" m="1" x="2248"/>
        <item h="1" m="1" x="2158"/>
        <item h="1" m="1" x="230"/>
        <item h="1" m="1" x="1763"/>
        <item h="1" m="1" x="1742"/>
        <item h="1" m="1" x="531"/>
        <item h="1" m="1" x="1880"/>
        <item h="1" x="17"/>
        <item h="1" m="1" x="736"/>
        <item h="1" m="1" x="1706"/>
        <item h="1" x="55"/>
        <item h="1" m="1" x="1386"/>
        <item h="1" m="1" x="856"/>
        <item h="1" m="1" x="341"/>
        <item h="1" m="1" x="1019"/>
        <item h="1" m="1" x="1560"/>
        <item h="1" m="1" x="1482"/>
        <item h="1" m="1" x="686"/>
        <item h="1" m="1" x="701"/>
        <item h="1" m="1" x="1352"/>
        <item h="1" m="1" x="2123"/>
        <item h="1" m="1" x="1172"/>
        <item h="1" m="1" x="1729"/>
        <item h="1" m="1" x="2172"/>
        <item h="1" m="1" x="1609"/>
        <item h="1" m="1" x="1142"/>
        <item h="1" m="1" x="2245"/>
        <item h="1" m="1" x="1092"/>
        <item h="1" m="1" x="1761"/>
        <item h="1" m="1" x="183"/>
        <item h="1" m="1" x="244"/>
        <item h="1" m="1" x="1064"/>
        <item h="1" m="1" x="1638"/>
        <item h="1" m="1" x="2088"/>
        <item h="1" m="1" x="494"/>
        <item h="1" m="1" x="530"/>
        <item h="1" m="1" x="263"/>
        <item h="1" m="1" x="2070"/>
        <item h="1" m="1" x="562"/>
        <item h="1" m="1" x="1645"/>
        <item h="1" m="1" x="264"/>
        <item h="1" m="1" x="1663"/>
        <item h="1" m="1" x="1664"/>
        <item h="1" m="1" x="880"/>
        <item h="1" m="1" x="881"/>
        <item h="1" m="1" x="2151"/>
        <item h="1" m="1" x="2209"/>
        <item h="1" m="1" x="2094"/>
        <item h="1" m="1" x="795"/>
        <item h="1" m="1" x="922"/>
        <item h="1" m="1" x="335"/>
        <item h="1" m="1" x="1701"/>
        <item h="1" m="1" x="336"/>
        <item h="1" m="1" x="1702"/>
        <item h="1" m="1" x="520"/>
        <item h="1" m="1" x="623"/>
        <item h="1" m="1" x="2084"/>
        <item h="1" m="1" x="1171"/>
        <item h="1" m="1" x="400"/>
        <item h="1" m="1" x="826"/>
        <item h="1" m="1" x="827"/>
        <item h="1" m="1" x="1391"/>
        <item h="1" m="1" x="1466"/>
        <item h="1" m="1" x="1536"/>
        <item h="1" m="1" x="2275"/>
        <item h="1" m="1" x="1526"/>
        <item h="1" m="1" x="1214"/>
        <item h="1" m="1" x="975"/>
        <item h="1" m="1" x="1750"/>
        <item h="1" m="1" x="745"/>
        <item h="1" m="1" x="590"/>
        <item h="1" m="1" x="295"/>
        <item h="1" m="1" x="154"/>
        <item h="1" m="1" x="351"/>
        <item h="1" m="1" x="170"/>
        <item h="1" m="1" x="1764"/>
        <item h="1" m="1" x="887"/>
        <item h="1" m="1" x="1960"/>
        <item h="1" x="60"/>
        <item h="1" m="1" x="567"/>
        <item h="1" m="1" x="228"/>
        <item h="1" m="1" x="1585"/>
        <item h="1" m="1" x="959"/>
        <item h="1" m="1" x="917"/>
        <item h="1" m="1" x="282"/>
        <item h="1" m="1" x="1001"/>
        <item h="1" m="1" x="271"/>
        <item h="1" m="1" x="1454"/>
        <item h="1" m="1" x="1908"/>
        <item h="1" m="1" x="2239"/>
        <item h="1" m="1" x="1530"/>
        <item h="1" m="1" x="337"/>
        <item h="1" m="1" x="1473"/>
        <item h="1" m="1" x="1487"/>
        <item h="1" m="1" x="338"/>
        <item h="1" m="1" x="1474"/>
        <item h="1" m="1" x="2153"/>
        <item h="1" m="1" x="1443"/>
        <item h="1" m="1" x="1475"/>
        <item h="1" m="1" x="1398"/>
        <item h="1" m="1" x="1476"/>
        <item h="1" m="1" x="678"/>
        <item h="1" m="1" x="840"/>
        <item h="1" m="1" x="1070"/>
        <item h="1" m="1" x="280"/>
        <item h="1" m="1" x="971"/>
        <item h="1" m="1" x="2255"/>
        <item h="1" m="1" x="2027"/>
        <item h="1" m="1" x="927"/>
        <item h="1" m="1" x="1074"/>
        <item h="1" m="1" x="1885"/>
        <item h="1" m="1" x="1075"/>
        <item h="1" m="1" x="1886"/>
        <item h="1" m="1" x="1515"/>
        <item h="1" m="1" x="1992"/>
        <item h="1" m="1" x="315"/>
        <item h="1" m="1" x="354"/>
        <item h="1" m="1" x="1844"/>
        <item h="1" m="1" x="1518"/>
        <item h="1" m="1" x="2231"/>
        <item h="1" m="1" x="848"/>
        <item h="1" m="1" x="1720"/>
        <item h="1" m="1" x="1887"/>
        <item h="1" m="1" x="1814"/>
        <item h="1" m="1" x="2246"/>
        <item h="1" m="1" x="1477"/>
        <item h="1" m="1" x="1227"/>
        <item h="1" m="1" x="815"/>
        <item h="1" m="1" x="1991"/>
        <item h="1" m="1" x="2049"/>
        <item h="1" m="1" x="1441"/>
        <item h="1" m="1" x="1190"/>
        <item h="1" m="1" x="2082"/>
        <item h="1" m="1" x="1779"/>
        <item h="1" m="1" x="1841"/>
        <item h="1" m="1" x="1053"/>
        <item h="1" m="1" x="548"/>
        <item h="1" m="1" x="549"/>
        <item h="1" m="1" x="550"/>
        <item h="1" m="1" x="551"/>
        <item h="1" m="1" x="2258"/>
        <item h="1" m="1" x="241"/>
        <item h="1" m="1" x="2303"/>
        <item h="1" m="1" x="1506"/>
        <item h="1" m="1" x="1930"/>
        <item h="1" m="1" x="892"/>
        <item h="1" m="1" x="1931"/>
        <item h="1" m="1" x="928"/>
        <item h="1" m="1" x="1188"/>
        <item h="1" m="1" x="1402"/>
        <item h="1" m="1" x="1655"/>
        <item h="1" m="1" x="184"/>
        <item h="1" m="1" x="535"/>
        <item h="1" m="1" x="1489"/>
        <item h="1" m="1" x="303"/>
        <item h="1" x="75"/>
        <item h="1" m="1" x="579"/>
        <item h="1" m="1" x="717"/>
        <item h="1" m="1" x="1870"/>
        <item h="1" m="1" x="1370"/>
        <item h="1" m="1" x="242"/>
        <item h="1" m="1" x="888"/>
        <item h="1" m="1" x="1450"/>
        <item h="1" x="1"/>
        <item h="1" m="1" x="526"/>
        <item h="1" m="1" x="1118"/>
        <item h="1" m="1" x="948"/>
        <item h="1" m="1" x="949"/>
        <item h="1" m="1" x="805"/>
        <item h="1" m="1" x="1117"/>
        <item h="1" m="1" x="1492"/>
        <item h="1" m="1" x="1853"/>
        <item h="1" m="1" x="1820"/>
        <item h="1" m="1" x="2165"/>
        <item h="1" m="1" x="1969"/>
        <item h="1" m="1" x="2095"/>
        <item h="1" m="1" x="1804"/>
        <item h="1" m="1" x="1486"/>
        <item h="1" m="1" x="573"/>
        <item h="1" m="1" x="2045"/>
        <item h="1" m="1" x="2055"/>
        <item h="1" m="1" x="1138"/>
        <item h="1" m="1" x="722"/>
        <item h="1" m="1" x="1390"/>
        <item h="1" m="1" x="262"/>
        <item h="1" m="1" x="2288"/>
        <item h="1" m="1" x="2283"/>
        <item h="1" m="1" x="629"/>
        <item h="1" m="1" x="139"/>
        <item h="1" m="1" x="2279"/>
        <item h="1" m="1" x="2241"/>
        <item h="1" m="1" x="2273"/>
        <item h="1" m="1" x="606"/>
        <item h="1" m="1" x="1112"/>
        <item h="1" m="1" x="398"/>
        <item h="1" m="1" x="474"/>
        <item h="1" m="1" x="161"/>
        <item h="1" m="1" x="134"/>
        <item h="1" m="1" x="938"/>
        <item h="1" m="1" x="1934"/>
        <item h="1" m="1" x="2056"/>
        <item h="1" m="1" x="2112"/>
        <item h="1" m="1" x="2225"/>
        <item h="1" m="1" x="420"/>
        <item h="1" m="1" x="1801"/>
        <item h="1" m="1" x="1089"/>
        <item h="1" m="1" x="1296"/>
        <item h="1" m="1" x="645"/>
        <item h="1" m="1" x="442"/>
        <item h="1" m="1" x="159"/>
        <item h="1" m="1" x="1738"/>
        <item h="1" m="1" x="339"/>
        <item h="1" m="1" x="1139"/>
        <item h="1" m="1" x="1037"/>
        <item h="1" m="1" x="1698"/>
        <item h="1" m="1" x="2196"/>
        <item h="1" m="1" x="1562"/>
        <item h="1" m="1" x="1833"/>
        <item h="1" m="1" x="1532"/>
        <item h="1" m="1" x="1266"/>
        <item h="1" m="1" x="197"/>
        <item h="1" m="1" x="1584"/>
        <item h="1" m="1" x="631"/>
        <item h="1" m="1" x="1305"/>
        <item h="1" m="1" x="694"/>
        <item h="1" m="1" x="1330"/>
        <item h="1" m="1" x="1590"/>
        <item h="1" m="1" x="130"/>
        <item h="1" m="1" x="1462"/>
        <item h="1" m="1" x="793"/>
        <item h="1" m="1" x="1503"/>
        <item h="1" m="1" x="2280"/>
        <item h="1" m="1" x="1182"/>
        <item h="1" m="1" x="1219"/>
        <item h="1" m="1" x="545"/>
        <item h="1" m="1" x="1465"/>
        <item h="1" m="1" x="1875"/>
        <item h="1" m="1" x="425"/>
        <item h="1" m="1" x="1607"/>
        <item h="1" m="1" x="923"/>
        <item h="1" m="1" x="1144"/>
        <item h="1" m="1" x="334"/>
        <item h="1" m="1" x="285"/>
        <item h="1" m="1" x="958"/>
        <item h="1" m="1" x="359"/>
        <item h="1" m="1" x="1557"/>
        <item h="1" m="1" x="293"/>
        <item h="1" m="1" x="2267"/>
        <item h="1" m="1" x="647"/>
        <item h="1" m="1" x="2263"/>
        <item h="1" m="1" x="615"/>
        <item h="1" m="1" x="1636"/>
        <item h="1" m="1" x="951"/>
        <item h="1" m="1" x="863"/>
        <item h="1" m="1" x="2043"/>
        <item h="1" m="1" x="1721"/>
        <item h="1" m="1" x="613"/>
        <item h="1" m="1" x="188"/>
        <item h="1" m="1" x="1338"/>
        <item h="1" m="1" x="1082"/>
        <item h="1" m="1" x="1932"/>
        <item h="1" m="1" x="2278"/>
        <item h="1" m="1" x="1537"/>
        <item h="1" m="1" x="1910"/>
        <item h="1" m="1" x="208"/>
        <item h="1" m="1" x="203"/>
        <item h="1" m="1" x="1748"/>
        <item h="1" m="1" x="604"/>
        <item h="1" m="1" x="2024"/>
        <item h="1" m="1" x="182"/>
        <item h="1" m="1" x="536"/>
        <item h="1" m="1" x="727"/>
        <item h="1" m="1" x="1159"/>
        <item h="1" m="1" x="935"/>
        <item h="1" m="1" x="1843"/>
        <item h="1" m="1" x="2044"/>
        <item h="1" m="1" x="461"/>
        <item h="1" m="1" x="991"/>
        <item h="1" m="1" x="1967"/>
        <item h="1" m="1" x="1404"/>
        <item h="1" m="1" x="913"/>
        <item h="1" m="1" x="1339"/>
        <item h="1" m="1" x="2059"/>
        <item h="1" m="1" x="460"/>
        <item h="1" m="1" x="626"/>
        <item h="1" m="1" x="1892"/>
        <item h="1" m="1" x="2016"/>
        <item h="1" m="1" x="1124"/>
        <item h="1" m="1" x="247"/>
        <item h="1" m="1" x="986"/>
        <item h="1" m="1" x="406"/>
        <item h="1" x="77"/>
        <item h="1" m="1" x="1332"/>
        <item h="1" m="1" x="1403"/>
        <item h="1" m="1" x="1881"/>
        <item h="1" m="1" x="2087"/>
        <item h="1" m="1" x="718"/>
        <item h="1" m="1" x="824"/>
        <item h="1" m="1" x="190"/>
        <item h="1" m="1" x="796"/>
        <item h="1" m="1" x="1964"/>
        <item h="1" m="1" x="1020"/>
        <item h="1" m="1" x="941"/>
        <item h="1" m="1" x="1855"/>
        <item h="1" x="46"/>
        <item h="1" m="1" x="143"/>
        <item h="1" x="68"/>
        <item h="1" m="1" x="296"/>
        <item h="1" x="69"/>
        <item h="1" m="1" x="1226"/>
        <item h="1" m="1" x="772"/>
        <item h="1" m="1" x="1459"/>
        <item h="1" m="1" x="1430"/>
        <item h="1" m="1" x="1600"/>
        <item h="1" m="1" x="135"/>
        <item h="1" m="1" x="1913"/>
        <item h="1" m="1" x="841"/>
        <item h="1" m="1" x="1255"/>
        <item h="1" m="1" x="697"/>
        <item h="1" m="1" x="1256"/>
        <item h="1" m="1" x="1689"/>
        <item h="1" m="1" x="320"/>
        <item h="1" m="1" x="544"/>
        <item h="1" m="1" x="966"/>
        <item h="1" m="1" x="902"/>
        <item h="1" m="1" x="278"/>
        <item h="1" m="1" x="899"/>
        <item h="1" m="1" x="1440"/>
        <item h="1" m="1" x="1510"/>
        <item h="1" m="1" x="265"/>
        <item h="1" m="1" x="251"/>
        <item h="1" m="1" x="2001"/>
        <item h="1" m="1" x="853"/>
        <item h="1" m="1" x="1414"/>
        <item h="1" m="1" x="2052"/>
        <item h="1" m="1" x="751"/>
        <item h="1" m="1" x="752"/>
        <item h="1" m="1" x="179"/>
        <item h="1" m="1" x="1056"/>
        <item h="1" m="1" x="1094"/>
        <item h="1" m="1" x="505"/>
        <item h="1" m="1" x="2058"/>
        <item h="1" x="78"/>
        <item h="1" m="1" x="306"/>
        <item h="1" m="1" x="1816"/>
        <item h="1" m="1" x="286"/>
        <item h="1" m="1" x="926"/>
        <item h="1" m="1" x="1531"/>
        <item h="1" m="1" x="1467"/>
        <item h="1" m="1" x="1351"/>
        <item h="1" m="1" x="1377"/>
        <item h="1" m="1" x="213"/>
        <item h="1" x="56"/>
        <item h="1" m="1" x="477"/>
        <item h="1" m="1" x="783"/>
        <item h="1" m="1" x="2116"/>
        <item h="1" x="57"/>
        <item h="1" m="1" x="605"/>
        <item h="1" m="1" x="983"/>
        <item h="1" m="1" x="1145"/>
        <item h="1" m="1" x="1658"/>
        <item h="1" m="1" x="1314"/>
        <item h="1" m="1" x="744"/>
        <item h="1" m="1" x="1136"/>
        <item h="1" m="1" x="1904"/>
        <item h="1" m="1" x="1050"/>
        <item h="1" m="1" x="463"/>
        <item h="1" m="1" x="464"/>
        <item h="1" m="1" x="1011"/>
        <item h="1" m="1" x="2163"/>
        <item h="1" m="1" x="659"/>
        <item h="1" m="1" x="1525"/>
        <item h="1" m="1" x="1644"/>
        <item h="1" m="1" x="1329"/>
        <item h="1" m="1" x="1331"/>
        <item h="1" m="1" x="1045"/>
        <item h="1" m="1" x="778"/>
        <item h="1" m="1" x="1342"/>
        <item h="1" m="1" x="1424"/>
        <item h="1" m="1" x="1727"/>
        <item h="1" m="1" x="1926"/>
        <item h="1" m="1" x="446"/>
        <item h="1" m="1" x="1753"/>
        <item h="1" m="1" x="459"/>
        <item h="1" m="1" x="646"/>
        <item h="1" m="1" x="1782"/>
        <item h="1" m="1" x="2168"/>
        <item h="1" x="18"/>
        <item h="1" m="1" x="1823"/>
        <item h="1" m="1" x="367"/>
        <item h="1" m="1" x="253"/>
        <item h="1" m="1" x="1478"/>
        <item h="1" m="1" x="1647"/>
        <item h="1" x="89"/>
        <item h="1" m="1" x="1581"/>
        <item h="1" m="1" x="1927"/>
        <item h="1" m="1" x="1788"/>
        <item h="1" m="1" x="186"/>
        <item h="1" m="1" x="687"/>
        <item h="1" x="115"/>
        <item h="1" m="1" x="1446"/>
        <item h="1" m="1" x="436"/>
        <item h="1" m="1" x="540"/>
        <item h="1" m="1" x="908"/>
        <item h="1" m="1" x="214"/>
        <item h="1" m="1" x="662"/>
        <item h="1" m="1" x="537"/>
        <item h="1" m="1" x="2057"/>
        <item h="1" m="1" x="489"/>
        <item h="1" m="1" x="925"/>
        <item h="1" m="1" x="1396"/>
        <item h="1" m="1" x="2118"/>
        <item h="1" m="1" x="1561"/>
        <item h="1" m="1" x="1583"/>
        <item h="1" m="1" x="1928"/>
        <item h="1" m="1" x="2025"/>
        <item h="1" m="1" x="601"/>
        <item h="1" m="1" x="1114"/>
        <item h="1" m="1" x="1287"/>
        <item h="1" m="1" x="1067"/>
        <item h="1" m="1" x="1699"/>
        <item h="1" m="1" x="1919"/>
        <item h="1" m="1" x="861"/>
        <item h="1" x="70"/>
        <item h="1" m="1" x="2146"/>
        <item h="1" x="36"/>
        <item h="1" x="2"/>
        <item h="1" x="15"/>
        <item h="1" x="16"/>
        <item h="1" m="1" x="1673"/>
        <item h="1" m="1" x="259"/>
        <item h="1" m="1" x="1622"/>
        <item h="1" m="1" x="953"/>
        <item h="1" x="19"/>
        <item h="1" m="1" x="821"/>
        <item h="1" m="1" x="1918"/>
        <item h="1" m="1" x="2162"/>
        <item h="1" m="1" x="546"/>
        <item h="1" m="1" x="1995"/>
        <item h="1" m="1" x="2191"/>
        <item h="1" m="1" x="2081"/>
        <item h="1" m="1" x="2210"/>
        <item h="1" m="1" x="1012"/>
        <item h="1" m="1" x="124"/>
        <item h="1" m="1" x="1789"/>
        <item h="1" m="1" x="1790"/>
        <item h="1" m="1" x="1146"/>
        <item h="1" m="1" x="1382"/>
        <item h="1" m="1" x="1383"/>
        <item h="1" m="1" x="1384"/>
        <item h="1" x="108"/>
        <item h="1" m="1" x="1728"/>
        <item h="1" m="1" x="2164"/>
        <item h="1" m="1" x="964"/>
        <item h="1" m="1" x="1842"/>
        <item h="1" m="1" x="1230"/>
        <item h="1" m="1" x="1231"/>
        <item h="1" m="1" x="1232"/>
        <item h="1" m="1" x="566"/>
        <item h="1" m="1" x="1199"/>
        <item h="1" m="1" x="2032"/>
        <item h="1" m="1" x="1783"/>
        <item h="1" m="1" x="2031"/>
        <item h="1" x="90"/>
        <item h="1" m="1" x="151"/>
        <item h="1" m="1" x="1295"/>
        <item h="1" m="1" x="434"/>
        <item h="1" m="1" x="851"/>
        <item h="1" m="1" x="447"/>
        <item h="1" m="1" x="1577"/>
        <item h="1" m="1" x="1323"/>
        <item h="1" m="1" x="1324"/>
        <item h="1" m="1" x="1819"/>
        <item h="1" m="1" x="2077"/>
        <item h="1" m="1" x="1974"/>
        <item h="1" m="1" x="482"/>
        <item h="1" m="1" x="1442"/>
        <item h="1" m="1" x="1480"/>
        <item h="1" m="1" x="1493"/>
        <item h="1" m="1" x="1316"/>
        <item h="1" m="1" x="361"/>
        <item h="1" m="1" x="1418"/>
        <item h="1" m="1" x="820"/>
        <item h="1" m="1" x="1962"/>
        <item h="1" m="1" x="348"/>
        <item h="1" m="1" x="329"/>
        <item h="1" m="1" x="570"/>
        <item h="1" m="1" x="807"/>
        <item h="1" m="1" x="754"/>
        <item h="1" x="109"/>
        <item h="1" m="1" x="246"/>
        <item h="1" m="1" x="2222"/>
        <item h="1" m="1" x="2223"/>
        <item h="1" m="1" x="1957"/>
        <item h="1" m="1" x="2099"/>
        <item h="1" m="1" x="608"/>
        <item h="1" m="1" x="1825"/>
        <item h="1" m="1" x="524"/>
        <item h="1" m="1" x="215"/>
        <item h="1" m="1" x="950"/>
        <item h="1" m="1" x="2004"/>
        <item h="1" m="1" x="1592"/>
        <item h="1" m="1" x="1570"/>
        <item h="1" m="1" x="1470"/>
        <item h="1" m="1" x="2193"/>
        <item h="1" m="1" x="1713"/>
        <item h="1" m="1" x="2202"/>
        <item h="1" m="1" x="333"/>
        <item h="1" m="1" x="786"/>
        <item h="1" m="1" x="787"/>
        <item h="1" m="1" x="788"/>
        <item h="1" m="1" x="1308"/>
        <item h="1" m="1" x="1309"/>
        <item h="1" m="1" x="1681"/>
        <item h="1" m="1" x="1416"/>
        <item h="1" m="1" x="842"/>
        <item h="1" m="1" x="2292"/>
        <item h="1" m="1" x="1034"/>
        <item h="1" m="1" x="449"/>
        <item h="1" m="1" x="256"/>
        <item h="1" m="1" x="326"/>
        <item h="1" m="1" x="2012"/>
        <item h="1" m="1" x="1211"/>
        <item h="1" m="1" x="373"/>
        <item h="1" m="1" x="989"/>
        <item h="1" m="1" x="1427"/>
        <item h="1" m="1" x="157"/>
        <item h="1" m="1" x="2237"/>
        <item h="1" m="1" x="433"/>
        <item h="1" m="1" x="528"/>
        <item h="1" m="1" x="1740"/>
        <item h="1" m="1" x="1104"/>
        <item h="1" m="1" x="1724"/>
        <item h="1" m="1" x="1668"/>
        <item h="1" m="1" x="1725"/>
        <item h="1" m="1" x="1677"/>
        <item h="1" m="1" x="669"/>
        <item h="1" m="1" x="1980"/>
        <item h="1" m="1" x="1610"/>
        <item h="1" m="1" x="1611"/>
        <item h="1" m="1" x="667"/>
        <item h="1" m="1" x="2011"/>
        <item h="1" m="1" x="1047"/>
        <item h="1" m="1" x="883"/>
        <item h="1" m="1" x="960"/>
        <item h="1" m="1" x="467"/>
        <item h="1" m="1" x="1608"/>
        <item h="1" m="1" x="1479"/>
        <item h="1" m="1" x="812"/>
        <item h="1" m="1" x="1420"/>
        <item h="1" m="1" x="462"/>
        <item h="1" m="1" x="910"/>
        <item h="1" m="1" x="389"/>
        <item h="1" m="1" x="2003"/>
        <item h="1" m="1" x="1494"/>
        <item h="1" m="1" x="1359"/>
        <item h="1" m="1" x="2037"/>
        <item h="1" m="1" x="1751"/>
        <item h="1" m="1" x="1026"/>
        <item h="1" m="1" x="1246"/>
        <item h="1" m="1" x="1358"/>
        <item h="1" m="1" x="1504"/>
        <item h="1" m="1" x="1620"/>
        <item h="1" m="1" x="1769"/>
        <item h="1" m="1" x="1896"/>
        <item h="1" m="1" x="2038"/>
        <item h="1" m="1" x="2167"/>
        <item h="1" m="1" x="120"/>
        <item h="1" m="1" x="249"/>
        <item h="1" m="1" x="391"/>
        <item h="1" m="1" x="1254"/>
        <item h="1" m="1" x="1365"/>
        <item h="1" m="1" x="1509"/>
        <item h="1" m="1" x="1627"/>
        <item h="1" m="1" x="1781"/>
        <item h="1" m="1" x="1899"/>
        <item h="1" m="1" x="2041"/>
        <item h="1" m="1" x="2169"/>
        <item h="1" m="1" x="129"/>
        <item h="1" m="1" x="252"/>
        <item h="1" m="1" x="399"/>
        <item h="1" m="1" x="1260"/>
        <item h="1" m="1" x="1368"/>
        <item h="1" m="1" x="1516"/>
        <item h="1" m="1" x="1630"/>
        <item h="1" m="1" x="1263"/>
        <item h="1" m="1" x="1267"/>
        <item h="1" m="1" x="1272"/>
        <item h="1" m="1" x="1277"/>
        <item h="1" m="1" x="1282"/>
        <item h="1" m="1" x="1288"/>
        <item h="1" m="1" x="1293"/>
        <item h="1" m="1" x="2113"/>
        <item h="1" m="1" x="127"/>
        <item h="1" m="1" x="133"/>
        <item h="1" m="1" x="137"/>
        <item h="1" m="1" x="138"/>
        <item h="1" m="1" x="142"/>
        <item h="1" m="1" x="146"/>
        <item h="1" m="1" x="150"/>
        <item h="1" m="1" x="155"/>
        <item h="1" m="1" x="156"/>
        <item h="1" m="1" x="163"/>
        <item h="1" m="1" x="993"/>
        <item h="1" m="1" x="1197"/>
        <item h="1" m="1" x="1208"/>
        <item h="1" m="1" x="1216"/>
        <item h="1" m="1" x="1220"/>
        <item h="1" m="1" x="1222"/>
        <item h="1" m="1" x="1228"/>
        <item h="1" m="1" x="1233"/>
        <item h="1" m="1" x="1239"/>
        <item h="1" m="1" x="1244"/>
        <item h="1" m="1" x="1251"/>
        <item h="1" m="1" x="2072"/>
        <item h="1" m="1" x="2266"/>
        <item h="1" m="1" x="2271"/>
        <item h="1" m="1" x="2277"/>
        <item h="1" m="1" x="2286"/>
        <item h="1" m="1" x="2291"/>
        <item h="1" m="1" x="2301"/>
        <item h="1" m="1" x="2306"/>
        <item h="1" m="1" x="2308"/>
        <item h="1" m="1" x="123"/>
        <item h="1" m="1" x="131"/>
        <item h="1" m="1" x="969"/>
        <item h="1" m="1" x="1158"/>
        <item h="1" m="1" x="1163"/>
        <item h="1" m="1" x="1168"/>
        <item h="1" m="1" x="1175"/>
        <item h="1" m="1" x="1180"/>
        <item h="1" m="1" x="1184"/>
        <item h="1" m="1" x="1189"/>
        <item h="1" m="1" x="1192"/>
        <item h="1" m="1" x="1196"/>
        <item h="1" m="1" x="1206"/>
        <item h="1" m="1" x="2036"/>
        <item h="1" m="1" x="2221"/>
        <item h="1" m="1" x="2228"/>
        <item h="1" m="1" x="2235"/>
        <item h="1" m="1" x="2238"/>
        <item h="1" m="1" x="2243"/>
        <item h="1" m="1" x="2247"/>
        <item h="1" m="1" x="2254"/>
        <item h="1" m="1" x="2259"/>
        <item h="1" m="1" x="2264"/>
        <item h="1" m="1" x="2269"/>
        <item h="1" m="1" x="933"/>
        <item h="1" m="1" x="1123"/>
        <item h="1" m="1" x="1127"/>
        <item h="1" m="1" x="1130"/>
        <item h="1" m="1" x="1135"/>
        <item h="1" m="1" x="1140"/>
        <item h="1" m="1" x="1143"/>
        <item h="1" m="1" x="1149"/>
        <item h="1" m="1" x="1154"/>
        <item h="1" m="1" x="1157"/>
        <item h="1" m="1" x="1162"/>
        <item h="1" m="1" x="1994"/>
        <item h="1" m="1" x="2194"/>
        <item h="1" m="1" x="2195"/>
        <item h="1" m="1" x="2200"/>
        <item h="1" m="1" x="2205"/>
        <item h="1" m="1" x="2207"/>
        <item h="1" m="1" x="2212"/>
        <item h="1" m="1" x="2214"/>
        <item h="1" m="1" x="2217"/>
        <item h="1" m="1" x="2220"/>
        <item h="1" m="1" x="2226"/>
        <item h="1" m="1" x="905"/>
        <item h="1" m="1" x="1083"/>
        <item h="1" m="1" x="1085"/>
        <item h="1" m="1" x="1088"/>
        <item h="1" m="1" x="1098"/>
        <item h="1" m="1" x="1101"/>
        <item h="1" m="1" x="1105"/>
        <item h="1" m="1" x="1111"/>
        <item h="1" m="1" x="1115"/>
        <item h="1" m="1" x="1121"/>
        <item h="1" m="1" x="1126"/>
        <item h="1" m="1" x="897"/>
        <item h="1" m="1" x="411"/>
        <item h="1" m="1" x="412"/>
        <item h="1" m="1" x="690"/>
        <item h="1" m="1" x="2192"/>
        <item h="1" m="1" x="691"/>
        <item h="1" m="1" x="1810"/>
        <item h="1" m="1" x="1291"/>
        <item h="1" m="1" x="797"/>
        <item h="1" m="1" x="1650"/>
        <item h="1" m="1" x="1651"/>
        <item h="1" m="1" x="364"/>
        <item h="1" m="1" x="2020"/>
        <item h="1" m="1" x="2293"/>
        <item h="1" x="47"/>
        <item h="1" m="1" x="176"/>
        <item h="1" m="1" x="1924"/>
        <item h="1" x="48"/>
        <item h="1" m="1" x="1378"/>
        <item h="1" m="1" x="715"/>
        <item h="1" m="1" x="970"/>
        <item h="1" m="1" x="132"/>
        <item h="1" m="1" x="1965"/>
        <item h="1" m="1" x="1356"/>
        <item h="1" m="1" x="668"/>
        <item h="1" m="1" x="1707"/>
        <item h="1" m="1" x="1258"/>
        <item h="1" m="1" x="1400"/>
        <item h="1" x="20"/>
        <item h="1" x="110"/>
        <item h="1" m="1" x="1895"/>
        <item h="1" m="1" x="1413"/>
        <item h="1" m="1" x="1659"/>
        <item h="1" m="1" x="740"/>
        <item h="1" m="1" x="1548"/>
        <item h="1" m="1" x="343"/>
        <item h="1" m="1" x="1401"/>
        <item h="1" m="1" x="819"/>
        <item x="79"/>
        <item h="1" m="1" x="706"/>
        <item h="1" m="1" x="1871"/>
        <item h="1" m="1" x="371"/>
        <item h="1" m="1" x="372"/>
        <item h="1" m="1" x="1848"/>
        <item h="1" m="1" x="918"/>
        <item h="1" m="1" x="758"/>
        <item h="1" m="1" x="1666"/>
        <item h="1" m="1" x="454"/>
        <item h="1" m="1" x="750"/>
        <item h="1" m="1" x="1006"/>
        <item h="1" m="1" x="1007"/>
        <item h="1" m="1" x="1376"/>
        <item h="1" m="1" x="1912"/>
        <item h="1" m="1" x="1008"/>
        <item h="1" m="1" x="1009"/>
        <item h="1" m="1" x="1635"/>
        <item h="1" m="1" x="864"/>
        <item h="1" m="1" x="1971"/>
        <item h="1" m="1" x="1800"/>
        <item h="1" m="1" x="1177"/>
        <item h="1" m="1" x="273"/>
        <item h="1" m="1" x="943"/>
        <item h="1" m="1" x="1209"/>
        <item h="1" m="1" x="1210"/>
        <item h="1" m="1" x="269"/>
        <item h="1" m="1" x="857"/>
        <item h="1" m="1" x="836"/>
        <item h="1" m="1" x="451"/>
        <item h="1" m="1" x="382"/>
        <item h="1" m="1" x="1023"/>
        <item h="1" m="1" x="1024"/>
        <item h="1" m="1" x="276"/>
        <item h="1" m="1" x="876"/>
        <item h="1" m="1" x="1484"/>
        <item h="1" m="1" x="931"/>
        <item h="1" m="1" x="2242"/>
        <item h="1" m="1" x="118"/>
        <item h="1" m="1" x="2124"/>
        <item h="1" m="1" x="1224"/>
        <item h="1" x="61"/>
        <item h="1" m="1" x="423"/>
        <item h="1" m="1" x="673"/>
        <item h="1" m="1" x="521"/>
        <item h="1" m="1" x="2240"/>
        <item h="1" m="1" x="929"/>
        <item h="1" m="1" x="1624"/>
        <item h="1" m="1" x="2166"/>
        <item h="1" m="1" x="845"/>
        <item h="1" m="1" x="1392"/>
        <item h="1" m="1" x="1265"/>
        <item h="1" m="1" x="2215"/>
        <item h="1" m="1" x="1312"/>
        <item h="1" m="1" x="417"/>
        <item h="1" m="1" x="1847"/>
        <item h="1" m="1" x="1249"/>
        <item h="1" m="1" x="1109"/>
        <item h="1" m="1" x="1322"/>
        <item h="1" m="1" x="660"/>
        <item h="1" m="1" x="685"/>
        <item h="1" m="1" x="2022"/>
        <item h="1" m="1" x="1409"/>
        <item h="1" m="1" x="2244"/>
        <item h="1" m="1" x="695"/>
        <item h="1" m="1" x="1458"/>
        <item h="1" m="1" x="648"/>
        <item h="1" m="1" x="879"/>
        <item h="1" m="1" x="533"/>
        <item h="1" m="1" x="1039"/>
        <item h="1" m="1" x="350"/>
        <item h="1" m="1" x="539"/>
        <item h="1" m="1" x="1806"/>
        <item h="1" m="1" x="770"/>
        <item h="1" m="1" x="349"/>
        <item h="1" m="1" x="254"/>
        <item h="1" m="1" x="967"/>
        <item h="1" m="1" x="493"/>
        <item h="1" m="1" x="209"/>
        <item h="1" x="21"/>
        <item h="1" x="22"/>
        <item h="1" x="23"/>
        <item h="1" m="1" x="828"/>
        <item h="1" m="1" x="1903"/>
        <item h="1" m="1" x="2030"/>
        <item h="1" m="1" x="1591"/>
        <item h="1" m="1" x="476"/>
        <item h="1" m="1" x="237"/>
        <item h="1" m="1" x="977"/>
        <item h="1" m="1" x="2175"/>
        <item h="1" m="1" x="1259"/>
        <item h="1" m="1" x="1850"/>
        <item h="1" m="1" x="267"/>
        <item h="1" m="1" x="1997"/>
        <item h="1" m="1" x="1444"/>
        <item h="1" m="1" x="593"/>
        <item h="1" m="1" x="305"/>
        <item h="1" m="1" x="936"/>
        <item h="1" m="1" x="1544"/>
        <item h="1" m="1" x="728"/>
        <item h="1" m="1" x="1279"/>
        <item h="1" m="1" x="1072"/>
        <item h="1" m="1" x="1084"/>
        <item h="1" m="1" x="1594"/>
        <item h="1" m="1" x="390"/>
        <item h="1" m="1" x="473"/>
        <item h="1" m="1" x="1634"/>
        <item h="1" m="1" x="1108"/>
        <item h="1" m="1" x="1541"/>
        <item h="1" m="1" x="2002"/>
        <item h="1" m="1" x="671"/>
        <item h="1" m="1" x="1176"/>
        <item h="1" m="1" x="1911"/>
        <item h="1" m="1" x="1091"/>
        <item h="1" m="1" x="1656"/>
        <item h="1" m="1" x="1040"/>
        <item h="1" m="1" x="1794"/>
        <item h="1" m="1" x="2227"/>
        <item h="1" m="1" x="1357"/>
        <item h="1" m="1" x="618"/>
        <item h="1" m="1" x="1571"/>
        <item h="1" m="1" x="1360"/>
        <item h="1" m="1" x="1320"/>
        <item h="1" m="1" x="2000"/>
        <item h="1" m="1" x="128"/>
        <item h="1" m="1" x="860"/>
        <item h="1" m="1" x="1173"/>
        <item h="1" m="1" x="1095"/>
        <item h="1" m="1" x="1632"/>
        <item h="1" m="1" x="713"/>
        <item h="1" m="1" x="961"/>
        <item h="1" m="1" x="962"/>
        <item h="1" m="1" x="1174"/>
        <item h="1" m="1" x="1218"/>
        <item h="1" m="1" x="1096"/>
        <item h="1" m="1" x="1097"/>
        <item h="1" m="1" x="1947"/>
        <item h="1" m="1" x="2111"/>
        <item h="1" m="1" x="997"/>
        <item h="1" m="1" x="1826"/>
        <item h="1" m="1" x="937"/>
        <item h="1" m="1" x="141"/>
        <item h="1" m="1" x="709"/>
        <item h="1" m="1" x="2216"/>
        <item h="1" m="1" x="1948"/>
        <item h="1" m="1" x="2219"/>
        <item h="1" m="1" x="1815"/>
        <item h="1" m="1" x="956"/>
        <item h="1" m="1" x="445"/>
        <item h="1" m="1" x="1166"/>
        <item h="1" m="1" x="458"/>
        <item h="1" x="11"/>
        <item h="1" m="1" x="1156"/>
        <item h="1" m="1" x="719"/>
        <item h="1" m="1" x="1000"/>
        <item h="1" m="1" x="2186"/>
        <item h="1" m="1" x="2234"/>
        <item h="1" m="1" x="2276"/>
        <item h="1" m="1" x="982"/>
        <item h="1" m="1" x="1242"/>
        <item h="1" m="1" x="825"/>
        <item h="1" m="1" x="511"/>
        <item h="1" m="1" x="2294"/>
        <item h="1" m="1" x="1445"/>
        <item h="1" m="1" x="1916"/>
        <item h="1" m="1" x="2233"/>
        <item h="1" m="1" x="1860"/>
        <item h="1" m="1" x="1491"/>
        <item h="1" m="1" x="509"/>
        <item h="1" m="1" x="642"/>
        <item h="1" m="1" x="2008"/>
        <item h="1" m="1" x="1936"/>
        <item h="1" m="1" x="650"/>
        <item h="1" m="1" x="1986"/>
        <item h="1" m="1" x="229"/>
        <item h="1" m="1" x="1415"/>
        <item h="1" x="80"/>
        <item h="1" x="62"/>
        <item h="1" m="1" x="1090"/>
        <item h="1" m="1" x="2061"/>
        <item h="1" m="1" x="357"/>
        <item h="1" m="1" x="556"/>
        <item h="1" m="1" x="1772"/>
        <item h="1" m="1" x="835"/>
        <item h="1" x="63"/>
        <item h="1" m="1" x="327"/>
        <item h="1" m="1" x="307"/>
        <item h="1" m="1" x="199"/>
        <item h="1" m="1" x="1499"/>
        <item h="1" m="1" x="1711"/>
        <item h="1" x="64"/>
        <item h="1" m="1" x="1694"/>
        <item h="1" m="1" x="1556"/>
        <item h="1" m="1" x="1042"/>
        <item h="1" m="1" x="1031"/>
        <item h="1" m="1" x="764"/>
        <item h="1" m="1" x="1399"/>
        <item h="1" m="1" x="448"/>
        <item h="1" m="1" x="1032"/>
        <item h="1" m="1" x="1712"/>
        <item h="1" m="1" x="444"/>
        <item h="1" m="1" x="211"/>
        <item h="1" m="1" x="1522"/>
        <item h="1" x="58"/>
        <item h="1" m="1" x="976"/>
        <item h="1" m="1" x="762"/>
        <item h="1" m="1" x="1549"/>
        <item h="1" m="1" x="952"/>
        <item h="1" m="1" x="2134"/>
        <item h="1" m="1" x="1054"/>
        <item h="1" m="1" x="1015"/>
        <item h="1" m="1" x="234"/>
        <item h="1" m="1" x="140"/>
        <item h="1" m="1" x="984"/>
        <item h="1" m="1" x="1048"/>
        <item h="1" m="1" x="779"/>
        <item h="1" m="1" x="681"/>
        <item h="1" m="1" x="1596"/>
        <item h="1" x="71"/>
        <item h="1" x="72"/>
        <item h="1" m="1" x="1307"/>
        <item h="1" m="1" x="2093"/>
        <item h="1" m="1" x="992"/>
        <item h="1" m="1" x="1857"/>
        <item h="1" m="1" x="198"/>
        <item h="1" m="1" x="194"/>
        <item h="1" m="1" x="325"/>
        <item h="1" m="1" x="1106"/>
        <item h="1" m="1" x="1049"/>
        <item h="1" m="1" x="898"/>
        <item h="1" x="111"/>
        <item h="1" m="1" x="1868"/>
        <item h="1" m="1" x="580"/>
        <item h="1" m="1" x="1879"/>
        <item h="1" m="1" x="1010"/>
        <item h="1" m="1" x="591"/>
        <item h="1" m="1" x="490"/>
        <item h="1" m="1" x="1303"/>
        <item h="1" m="1" x="1523"/>
        <item h="1" m="1" x="1553"/>
        <item h="1" m="1" x="1640"/>
        <item h="1" m="1" x="748"/>
        <item h="1" m="1" x="1614"/>
        <item h="1" m="1" x="2152"/>
        <item h="1" m="1" x="1743"/>
        <item h="1" m="1" x="1744"/>
        <item h="1" m="1" x="435"/>
        <item h="1" m="1" x="1766"/>
        <item h="1" m="1" x="1998"/>
        <item h="1" m="1" x="702"/>
        <item h="1" m="1" x="1521"/>
        <item h="1" m="1" x="2173"/>
        <item h="1" m="1" x="1649"/>
        <item h="1" m="1" x="274"/>
        <item h="1" m="1" x="1483"/>
        <item h="1" m="1" x="294"/>
        <item h="1" m="1" x="356"/>
        <item h="1" m="1" x="196"/>
        <item h="1" m="1" x="1629"/>
        <item h="1" m="1" x="1617"/>
        <item h="1" m="1" x="1281"/>
        <item h="1" m="1" x="1387"/>
        <item h="1" m="1" x="1131"/>
        <item h="1" m="1" x="1768"/>
        <item h="1" m="1" x="838"/>
        <item h="1" m="1" x="1765"/>
        <item h="1" m="1" x="831"/>
        <item h="1" m="1" x="1215"/>
        <item h="1" m="1" x="160"/>
        <item h="1" m="1" x="1520"/>
        <item h="1" m="1" x="1988"/>
        <item h="1" m="1" x="443"/>
        <item h="1" m="1" x="2102"/>
        <item h="1" m="1" x="347"/>
        <item h="1" m="1" x="693"/>
        <item h="1" m="1" x="1954"/>
        <item h="1" m="1" x="1406"/>
        <item h="1" m="1" x="2179"/>
        <item h="1" m="1" x="676"/>
        <item h="1" m="1" x="874"/>
        <item h="1" m="1" x="1709"/>
        <item h="1" m="1" x="981"/>
        <item h="1" m="1" x="2282"/>
        <item h="1" m="1" x="369"/>
        <item h="1" m="1" x="2270"/>
        <item h="1" m="1" x="370"/>
        <item h="1" m="1" x="340"/>
        <item h="1" m="1" x="424"/>
        <item h="1" m="1" x="2069"/>
        <item h="1" m="1" x="1502"/>
        <item h="1" m="1" x="640"/>
        <item h="1" m="1" x="731"/>
        <item h="1" m="1" x="558"/>
        <item h="1" m="1" x="868"/>
        <item h="1" m="1" x="195"/>
        <item h="1" m="1" x="1719"/>
        <item h="1" m="1" x="1770"/>
        <item h="1" m="1" x="283"/>
        <item h="1" m="1" x="854"/>
        <item h="1" m="1" x="427"/>
        <item h="1" m="1" x="1618"/>
        <item h="1" m="1" x="1695"/>
        <item h="1" m="1" x="441"/>
        <item h="1" m="1" x="1797"/>
        <item h="1" m="1" x="404"/>
        <item h="1" m="1" x="272"/>
        <item h="1" m="1" x="1341"/>
        <item h="1" m="1" x="818"/>
        <item h="1" m="1" x="2257"/>
        <item h="1" m="1" x="1832"/>
        <item h="1" m="1" x="345"/>
        <item h="1" m="1" x="2250"/>
        <item h="1" m="1" x="479"/>
        <item h="1" m="1" x="1680"/>
        <item h="1" m="1" x="1038"/>
        <item h="1" m="1" x="331"/>
        <item h="1" m="1" x="1421"/>
        <item h="1" m="1" x="2107"/>
        <item h="1" m="1" x="302"/>
        <item h="1" m="1" x="466"/>
        <item h="1" m="1" x="2150"/>
        <item h="1" m="1" x="784"/>
        <item h="1" m="1" x="1786"/>
        <item h="1" m="1" x="2126"/>
        <item h="1" m="1" x="235"/>
        <item h="1" m="1" x="664"/>
        <item h="1" m="1" x="330"/>
        <item h="1" m="1" x="1129"/>
        <item h="1" m="1" x="220"/>
        <item h="1" m="1" x="1945"/>
        <item h="1" x="24"/>
        <item h="1" m="1" x="699"/>
        <item h="1" m="1" x="1976"/>
        <item h="1" m="1" x="2137"/>
        <item h="1" m="1" x="1151"/>
        <item h="1" m="1" x="1780"/>
        <item h="1" m="1" x="2184"/>
        <item h="1" m="1" x="1759"/>
        <item h="1" m="1" x="408"/>
        <item h="1" m="1" x="386"/>
        <item h="1" m="1" x="409"/>
        <item h="1" m="1" x="1675"/>
        <item h="1" x="91"/>
        <item h="1" m="1" x="496"/>
        <item h="1" m="1" x="204"/>
        <item h="1" m="1" x="1878"/>
        <item h="1" m="1" x="1684"/>
        <item h="1" m="1" x="808"/>
        <item h="1" m="1" x="1464"/>
        <item h="1" m="1" x="201"/>
        <item h="1" m="1" x="1247"/>
        <item h="1" m="1" x="1535"/>
        <item h="1" m="1" x="1423"/>
        <item h="1" m="1" x="921"/>
        <item h="1" m="1" x="1979"/>
        <item h="1" m="1" x="901"/>
        <item h="1" m="1" x="1528"/>
        <item h="1" x="81"/>
        <item h="1" m="1" x="1170"/>
        <item h="1" x="25"/>
        <item h="1" x="49"/>
        <item h="1" m="1" x="362"/>
        <item h="1" m="1" x="394"/>
        <item h="1" m="1" x="1731"/>
        <item h="1" m="1" x="1527"/>
        <item h="1" m="1" x="1984"/>
        <item h="1" m="1" x="1093"/>
        <item h="1" m="1" x="769"/>
        <item h="1" m="1" x="1221"/>
        <item h="1" m="1" x="1128"/>
        <item h="1" m="1" x="1601"/>
        <item h="1" m="1" x="1355"/>
        <item h="1" m="1" x="162"/>
        <item h="1" m="1" x="1901"/>
        <item h="1" m="1" x="1597"/>
        <item h="1" m="1" x="896"/>
        <item h="1" m="1" x="622"/>
        <item h="1" m="1" x="1615"/>
        <item h="1" m="1" x="822"/>
        <item h="1" m="1" x="1660"/>
        <item h="1" m="1" x="258"/>
        <item h="1" m="1" x="2229"/>
        <item h="1" m="1" x="1381"/>
        <item h="1" m="1" x="1602"/>
        <item h="1" m="1" x="1845"/>
        <item h="1" m="1" x="2268"/>
        <item h="1" m="1" x="1164"/>
        <item h="1" m="1" x="165"/>
        <item h="1" m="1" x="1455"/>
        <item h="1" m="1" x="2091"/>
        <item h="1" m="1" x="656"/>
        <item h="1" m="1" x="657"/>
        <item h="1" m="1" x="658"/>
        <item h="1" m="1" x="1238"/>
        <item h="1" m="1" x="2170"/>
        <item h="1" m="1" x="1690"/>
        <item h="1" m="1" x="1631"/>
        <item h="1" m="1" x="2296"/>
        <item h="1" m="1" x="1275"/>
        <item h="1" m="1" x="148"/>
        <item h="1" m="1" x="1150"/>
        <item h="1" m="1" x="912"/>
        <item h="1" m="1" x="478"/>
        <item h="1" m="1" x="1229"/>
        <item h="1" m="1" x="1817"/>
        <item h="1" m="1" x="2023"/>
        <item h="1" m="1" x="1488"/>
        <item h="1" m="1" x="833"/>
        <item h="1" m="1" x="1367"/>
        <item h="1" m="1" x="1813"/>
        <item h="1" m="1" x="1575"/>
        <item h="1" m="1" x="1501"/>
        <item h="1" m="1" x="1375"/>
        <item h="1" m="1" x="510"/>
        <item h="1" m="1" x="2190"/>
        <item h="1" m="1" x="225"/>
        <item h="1" m="1" x="1858"/>
        <item h="1" m="1" x="173"/>
        <item h="1" m="1" x="2281"/>
        <item h="1" m="1" x="2048"/>
        <item h="1" m="1" x="498"/>
        <item h="1" m="1" x="721"/>
        <item h="1" m="1" x="735"/>
        <item h="1" m="1" x="844"/>
        <item h="1" m="1" x="422"/>
        <item h="1" m="1" x="457"/>
        <item h="1" x="82"/>
        <item h="1" x="83"/>
        <item h="1" m="1" x="1657"/>
        <item h="1" m="1" x="1822"/>
        <item h="1" x="84"/>
        <item h="1" m="1" x="710"/>
        <item h="1" m="1" x="1152"/>
        <item h="1" m="1" x="1327"/>
        <item h="1" m="1" x="1052"/>
        <item h="1" m="1" x="393"/>
        <item h="1" m="1" x="2262"/>
        <item h="1" m="1" x="1325"/>
        <item h="1" m="1" x="1326"/>
        <item h="1" m="1" x="519"/>
        <item h="1" m="1" x="300"/>
        <item h="1" m="1" x="703"/>
        <item h="1" m="1" x="1071"/>
        <item h="1" m="1" x="1374"/>
        <item h="1" m="1" x="2101"/>
        <item h="1" m="1" x="1212"/>
        <item h="1" m="1" x="1685"/>
        <item h="1" m="1" x="440"/>
        <item h="1" m="1" x="1762"/>
        <item h="1" m="1" x="816"/>
        <item h="1" m="1" x="202"/>
        <item h="1" m="1" x="1113"/>
        <item h="1" m="1" x="803"/>
        <item h="1" m="1" x="1025"/>
        <item h="1" m="1" x="1953"/>
        <item h="1" m="1" x="1133"/>
        <item h="1" m="1" x="1436"/>
        <item h="1" m="1" x="804"/>
        <item h="1" m="1" x="1397"/>
        <item h="1" m="1" x="617"/>
        <item h="1" m="1" x="1033"/>
        <item h="1" m="1" x="2021"/>
        <item h="1" m="1" x="2120"/>
        <item h="1" m="1" x="1110"/>
        <item h="1" m="1" x="634"/>
        <item h="1" m="1" x="940"/>
        <item h="1" m="1" x="714"/>
        <item h="1" m="1" x="2098"/>
        <item h="1" m="1" x="2183"/>
        <item h="1" x="26"/>
        <item h="1" m="1" x="1866"/>
        <item h="1" m="1" x="1661"/>
        <item h="1" m="1" x="1505"/>
        <item h="1" m="1" x="589"/>
        <item h="1" m="1" x="632"/>
        <item h="1" m="1" x="1996"/>
        <item h="1" m="1" x="1862"/>
        <item h="1" m="1" x="1925"/>
        <item h="1" m="1" x="2130"/>
        <item h="1" m="1" x="568"/>
        <item h="1" m="1" x="1065"/>
        <item h="1" m="1" x="1533"/>
        <item h="1" m="1" x="932"/>
        <item h="1" m="1" x="2047"/>
        <item h="1" m="1" x="1920"/>
        <item h="1" m="1" x="1552"/>
        <item h="1" m="1" x="610"/>
        <item h="1" m="1" x="611"/>
        <item h="1" m="1" x="2141"/>
        <item h="1" m="1" x="1335"/>
        <item h="1" m="1" x="1975"/>
        <item h="1" m="1" x="945"/>
        <item h="1" m="1" x="465"/>
        <item h="1" m="1" x="309"/>
        <item h="1" m="1" x="677"/>
        <item h="1" m="1" x="684"/>
        <item h="1" m="1" x="2160"/>
        <item h="1" m="1" x="1598"/>
        <item h="1" m="1" x="1628"/>
        <item h="1" m="1" x="1539"/>
        <item h="1" m="1" x="2180"/>
        <item h="1" m="1" x="172"/>
        <item h="1" m="1" x="1849"/>
        <item h="1" m="1" x="1705"/>
        <item h="1" m="1" x="2155"/>
        <item h="1" m="1" x="755"/>
        <item h="1" m="1" x="1580"/>
        <item h="1" m="1" x="250"/>
        <item h="1" m="1" x="1405"/>
        <item h="1" m="1" x="1718"/>
        <item h="1" m="1" x="654"/>
        <item h="1" m="1" x="1874"/>
        <item h="1" m="1" x="1551"/>
        <item h="1" m="1" x="2272"/>
        <item h="1" m="1" x="696"/>
        <item h="1" m="1" x="555"/>
        <item h="1" m="1" x="1498"/>
        <item h="1" m="1" x="2289"/>
        <item h="1" m="1" x="2290"/>
        <item h="1" m="1" x="2089"/>
        <item h="1" m="1" x="542"/>
        <item h="1" m="1" x="243"/>
        <item h="1" m="1" x="955"/>
        <item h="1" m="1" x="1122"/>
        <item h="1" m="1" x="1877"/>
        <item h="1" m="1" x="2080"/>
        <item h="1" m="1" x="1200"/>
        <item h="1" m="1" x="1981"/>
        <item h="1" m="1" x="1982"/>
        <item h="1" m="1" x="310"/>
        <item h="1" m="1" x="311"/>
        <item h="1" m="1" x="312"/>
        <item h="1" m="1" x="1201"/>
        <item h="1" m="1" x="313"/>
        <item h="1" m="1" x="1202"/>
        <item h="1" m="1" x="1648"/>
        <item h="1" m="1" x="1310"/>
        <item h="1" m="1" x="559"/>
        <item h="1" m="1" x="1955"/>
        <item h="1" m="1" x="1672"/>
        <item h="1" m="1" x="1784"/>
        <item h="1" x="3"/>
        <item h="1" x="4"/>
        <item h="1" m="1" x="2092"/>
        <item h="1" m="1" x="353"/>
        <item h="1" m="1" x="2034"/>
        <item h="1" m="1" x="1456"/>
        <item h="1" m="1" x="711"/>
        <item h="1" m="1" x="1496"/>
        <item h="1" m="1" x="1572"/>
        <item h="1" m="1" x="2304"/>
        <item h="1" m="1" x="1626"/>
        <item h="1" m="1" x="1941"/>
        <item h="1" m="1" x="1907"/>
        <item h="1" m="1" x="732"/>
        <item h="1" m="1" x="1433"/>
        <item h="1" m="1" x="1827"/>
        <item h="1" m="1" x="817"/>
        <item h="1" m="1" x="1340"/>
        <item h="1" m="1" x="1057"/>
        <item h="1" m="1" x="2161"/>
        <item h="1" m="1" x="972"/>
        <item h="1" m="1" x="260"/>
        <item h="1" m="1" x="2083"/>
        <item h="1" m="1" x="1425"/>
        <item h="1" m="1" x="2015"/>
        <item h="1" m="1" x="1426"/>
        <item h="1" m="1" x="2067"/>
        <item h="1" m="1" x="2103"/>
        <item h="1" m="1" x="2274"/>
        <item h="1" m="1" x="939"/>
        <item h="1" m="1" x="1799"/>
        <item h="1" m="1" x="1353"/>
        <item h="1" m="1" x="166"/>
        <item h="1" m="1" x="1388"/>
        <item h="1" m="1" x="789"/>
        <item h="1" m="1" x="2187"/>
        <item h="1" m="1" x="2224"/>
        <item h="1" m="1" x="288"/>
        <item h="1" m="1" x="1963"/>
        <item h="1" m="1" x="193"/>
        <item h="1" m="1" x="324"/>
        <item h="1" m="1" x="2096"/>
        <item h="1" m="1" x="167"/>
        <item h="1" m="1" x="790"/>
        <item h="1" m="1" x="410"/>
        <item h="1" m="1" x="507"/>
        <item h="1" m="1" x="534"/>
        <item h="1" m="1" x="1321"/>
        <item h="1" m="1" x="1252"/>
        <item h="1" m="1" x="1771"/>
        <item h="1" m="1" x="2309"/>
        <item h="1" m="1" x="514"/>
        <item h="1" m="1" x="1346"/>
        <item h="1" m="1" x="1834"/>
        <item h="1" m="1" x="1451"/>
        <item h="1" m="1" x="2261"/>
        <item h="1" m="1" x="1349"/>
        <item h="1" m="1" x="1741"/>
        <item h="1" m="1" x="222"/>
        <item h="1" m="1" x="1835"/>
        <item h="1" m="1" x="543"/>
        <item h="1" m="1" x="419"/>
        <item h="1" m="1" x="2285"/>
        <item h="1" m="1" x="1347"/>
        <item h="1" m="1" x="1452"/>
        <item h="1" m="1" x="515"/>
        <item h="1" m="1" x="2300"/>
        <item h="1" m="1" x="1348"/>
        <item h="1" m="1" x="426"/>
        <item h="1" m="1" x="1774"/>
        <item h="1" m="1" x="1453"/>
        <item h="1" m="1" x="894"/>
        <item h="1" m="1" x="2287"/>
        <item h="1" m="1" x="223"/>
        <item h="1" m="1" x="2121"/>
        <item h="1" m="1" x="636"/>
        <item h="1" m="1" x="946"/>
        <item h="1" m="1" x="1775"/>
        <item h="1" m="1" x="1836"/>
        <item h="1" m="1" x="1837"/>
        <item h="1" m="1" x="2131"/>
        <item h="1" m="1" x="1306"/>
        <item h="1" m="1" x="145"/>
        <item h="1" m="1" x="1319"/>
        <item h="1" m="1" x="1914"/>
        <item h="1" m="1" x="397"/>
        <item h="1" m="1" x="649"/>
        <item h="1" x="65"/>
        <item h="1" m="1" x="2144"/>
        <item h="1" m="1" x="2009"/>
        <item h="1" x="37"/>
        <item h="1" x="44"/>
        <item h="1" m="1" x="1207"/>
        <item h="1" m="1" x="2136"/>
        <item h="1" m="1" x="2138"/>
        <item h="1" m="1" x="304"/>
        <item h="1" m="1" x="1081"/>
        <item h="1" m="1" x="1497"/>
        <item h="1" m="1" x="2140"/>
        <item h="1" m="1" x="1587"/>
        <item h="1" m="1" x="1240"/>
        <item h="1" m="1" x="380"/>
        <item h="1" m="1" x="782"/>
        <item h="1" m="1" x="1683"/>
        <item h="1" m="1" x="1461"/>
        <item h="1" m="1" x="890"/>
        <item h="1" m="1" x="1732"/>
        <item h="1" m="1" x="538"/>
        <item h="1" m="1" x="891"/>
        <item h="1" m="1" x="1429"/>
        <item h="1" m="1" x="1120"/>
        <item h="1" m="1" x="1363"/>
        <item h="1" m="1" x="1776"/>
        <item h="1" m="1" x="1682"/>
        <item h="1" m="1" x="1792"/>
        <item h="1" m="1" x="575"/>
        <item h="1" m="1" x="1745"/>
        <item h="1" m="1" x="2295"/>
        <item h="1" m="1" x="665"/>
        <item h="1" m="1" x="470"/>
        <item h="1" m="1" x="1261"/>
        <item h="1" m="1" x="674"/>
        <item h="1" m="1" x="675"/>
        <item h="1" m="1" x="472"/>
        <item h="1" m="1" x="885"/>
        <item h="1" m="1" x="988"/>
        <item h="1" m="1" x="1517"/>
        <item h="1" m="1" x="1543"/>
        <item h="1" m="1" x="191"/>
        <item h="1" m="1" x="1889"/>
        <item h="1" x="85"/>
        <item h="1" m="1" x="450"/>
        <item h="1" m="1" x="814"/>
        <item h="1" m="1" x="627"/>
        <item h="1" m="1" x="915"/>
        <item h="1" m="1" x="679"/>
        <item h="1" m="1" x="1898"/>
        <item h="1" m="1" x="767"/>
        <item h="1" m="1" x="802"/>
        <item h="1" m="1" x="872"/>
        <item h="1" m="1" x="1752"/>
        <item h="1" m="1" x="455"/>
        <item h="1" m="1" x="1269"/>
        <item h="1" m="1" x="1888"/>
        <item h="1" m="1" x="122"/>
        <item h="1" m="1" x="1447"/>
        <item h="1" m="1" x="2054"/>
        <item h="1" m="1" x="344"/>
        <item h="1" m="1" x="1785"/>
        <item h="1" m="1" x="375"/>
        <item h="1" m="1" x="564"/>
        <item h="1" m="1" x="1573"/>
        <item h="1" m="1" x="583"/>
        <item h="1" m="1" x="985"/>
        <item h="1" m="1" x="1289"/>
        <item h="1" m="1" x="1809"/>
        <item h="1" m="1" x="1693"/>
        <item h="1" m="1" x="895"/>
        <item h="1" m="1" x="2028"/>
        <item h="1" m="1" x="1840"/>
        <item h="1" m="1" x="231"/>
        <item h="1" m="1" x="175"/>
        <item h="1" m="1" x="850"/>
        <item h="1" m="1" x="2177"/>
        <item h="1" m="1" x="1873"/>
        <item h="1" m="1" x="1755"/>
        <item h="1" m="1" x="232"/>
        <item h="1" m="1" x="1468"/>
        <item h="1" m="1" x="1795"/>
        <item h="1" m="1" x="2125"/>
        <item h="1" m="1" x="616"/>
        <item h="1" m="1" x="624"/>
        <item h="1" m="1" x="965"/>
        <item h="1" m="1" x="741"/>
        <item h="1" m="1" x="452"/>
        <item h="1" m="1" x="1704"/>
        <item h="1" m="1" x="641"/>
        <item h="1" m="1" x="1134"/>
        <item h="1" m="1" x="1361"/>
        <item h="1" m="1" x="2117"/>
        <item h="1" m="1" x="1589"/>
        <item h="1" m="1" x="603"/>
        <item h="1" m="1" x="1935"/>
        <item h="1" m="1" x="599"/>
        <item h="1" m="1" x="1022"/>
        <item h="1" m="1" x="1046"/>
        <item h="1" m="1" x="1514"/>
        <item h="1" m="1" x="1161"/>
        <item h="1" m="1" x="1354"/>
        <item h="1" m="1" x="2108"/>
        <item h="1" m="1" x="1013"/>
        <item h="1" m="1" x="1328"/>
        <item h="1" m="1" x="299"/>
        <item h="1" m="1" x="541"/>
        <item h="1" m="1" x="1217"/>
        <item h="1" m="1" x="1760"/>
        <item h="1" m="1" x="1132"/>
        <item h="1" m="1" x="1068"/>
        <item h="1" m="1" x="1882"/>
        <item h="1" m="1" x="418"/>
        <item h="1" m="1" x="994"/>
        <item h="1" m="1" x="1372"/>
        <item h="1" m="1" x="405"/>
        <item h="1" m="1" x="1746"/>
        <item h="1" m="1" x="1434"/>
        <item h="1" m="1" x="365"/>
        <item h="1" m="1" x="643"/>
        <item h="1" m="1" x="995"/>
        <item h="1" m="1" x="1697"/>
        <item h="1" m="1" x="2119"/>
        <item h="1" m="1" x="1805"/>
        <item h="1" m="1" x="2305"/>
        <item h="1" m="1" x="518"/>
        <item h="1" m="1" x="2090"/>
        <item h="1" m="1" x="554"/>
        <item h="1" m="1" x="753"/>
        <item h="1" x="27"/>
        <item h="1" x="28"/>
        <item h="1" x="29"/>
        <item h="1" m="1" x="2148"/>
        <item h="1" m="1" x="1708"/>
        <item h="1" m="1" x="569"/>
        <item h="1" m="1" x="1637"/>
        <item h="1" m="1" x="594"/>
        <item h="1" m="1" x="181"/>
        <item h="1" m="1" x="2298"/>
        <item h="1" m="1" x="602"/>
        <item h="1" m="1" x="2178"/>
        <item h="1" m="1" x="317"/>
        <item h="1" m="1" x="705"/>
        <item h="1" m="1" x="619"/>
        <item h="1" m="1" x="1379"/>
        <item h="1" m="1" x="1961"/>
        <item h="1" x="114"/>
        <item h="1" m="1" x="1973"/>
        <item h="1" m="1" x="1079"/>
        <item h="1" m="1" x="1942"/>
        <item h="1" x="38"/>
        <item h="1" m="1" x="227"/>
        <item h="1" m="1" x="1734"/>
        <item h="1" m="1" x="800"/>
        <item h="1" m="1" x="884"/>
        <item h="1" m="1" x="1613"/>
        <item h="1" m="1" x="1547"/>
        <item h="1" m="1" x="2157"/>
        <item h="1" m="1" x="672"/>
        <item h="1" m="1" x="832"/>
        <item h="1" m="1" x="158"/>
        <item h="1" m="1" x="1276"/>
        <item h="1" m="1" x="1153"/>
        <item h="1" m="1" x="308"/>
        <item h="1" m="1" x="314"/>
        <item h="1" m="1" x="785"/>
        <item h="1" m="1" x="1061"/>
        <item h="1" m="1" x="747"/>
        <item h="1" m="1" x="547"/>
        <item h="1" m="1" x="322"/>
        <item h="1" m="1" x="1915"/>
        <item h="1" m="1" x="585"/>
        <item h="1" m="1" x="1972"/>
        <item h="1" m="1" x="2122"/>
        <item h="1" m="1" x="1290"/>
        <item h="1" x="30"/>
        <item h="1" m="1" x="1569"/>
        <item h="1" x="112"/>
        <item h="1" m="1" x="475"/>
        <item h="1" m="1" x="763"/>
        <item h="1" m="1" x="637"/>
        <item h="1" m="1" x="2076"/>
        <item h="1" m="1" x="1778"/>
        <item h="1" m="1" x="889"/>
        <item h="1" x="73"/>
        <item h="1" x="116"/>
        <item h="1" m="1" x="1294"/>
        <item h="1" m="1" x="2208"/>
        <item h="1" m="1" x="574"/>
        <item h="1" m="1" x="366"/>
        <item h="1" m="1" x="1395"/>
        <item h="1" m="1" x="609"/>
        <item h="1" m="1" x="1563"/>
        <item h="1" m="1" x="468"/>
        <item h="1" m="1" x="1854"/>
        <item h="1" m="1" x="529"/>
        <item h="1" x="12"/>
        <item h="1" m="1" x="429"/>
        <item h="1" m="1" x="316"/>
        <item h="1" m="1" x="342"/>
        <item h="1" m="1" x="1717"/>
        <item h="1" m="1" x="187"/>
        <item h="1" m="1" x="924"/>
        <item h="1" x="113"/>
        <item h="1" m="1" x="852"/>
        <item h="1" m="1" x="1625"/>
        <item h="1" m="1" x="255"/>
        <item h="1" m="1" x="871"/>
        <item h="1" m="1" x="279"/>
        <item h="1" m="1" x="1060"/>
        <item h="1" m="1" x="1519"/>
        <item h="1" x="39"/>
        <item h="1" x="40"/>
        <item h="1" x="31"/>
        <item h="1" x="45"/>
        <item h="1" m="1" x="1710"/>
        <item h="1" m="1" x="1798"/>
        <item h="1" m="1" x="374"/>
        <item h="1" m="1" x="653"/>
        <item h="1" m="1" x="1041"/>
        <item h="1" m="1" x="1411"/>
        <item h="1" m="1" x="2182"/>
        <item h="1" x="117"/>
        <item h="1" m="1" x="724"/>
        <item h="1" m="1" x="205"/>
        <item h="1" m="1" x="1137"/>
        <item h="1" m="1" x="916"/>
        <item h="1" m="1" x="219"/>
        <item h="1" m="1" x="886"/>
        <item h="1" m="1" x="495"/>
        <item h="1" m="1" x="206"/>
        <item h="1" m="1" x="486"/>
        <item h="1" m="1" x="756"/>
        <item h="1" m="1" x="2211"/>
        <item h="1" x="50"/>
        <item h="1" m="1" x="1369"/>
        <item h="1" m="1" x="379"/>
        <item h="1" m="1" x="903"/>
        <item h="1" m="1" x="1278"/>
        <item h="1" m="1" x="1066"/>
        <item h="1" m="1" x="749"/>
        <item h="1" m="1" x="1417"/>
        <item h="1" m="1" x="2129"/>
        <item h="1" m="1" x="484"/>
        <item h="1" m="1" x="607"/>
        <item h="1" m="1" x="2110"/>
        <item h="1" m="1" x="268"/>
        <item h="1" m="1" x="126"/>
        <item h="1" m="1" x="1141"/>
        <item h="1" m="1" x="592"/>
        <item h="1" m="1" x="469"/>
        <item h="1" m="1" x="1268"/>
        <item h="1" m="1" x="1407"/>
        <item h="1" m="1" x="1063"/>
        <item h="1" m="1" x="1198"/>
        <item h="1" m="1" x="1983"/>
        <item h="1" m="1" x="1654"/>
        <item h="1" m="1" x="1653"/>
        <item h="1" m="1" x="525"/>
        <item h="1" m="1" x="248"/>
        <item h="1" m="1" x="2074"/>
        <item h="1" m="1" x="2127"/>
        <item h="1" m="1" x="614"/>
        <item h="1" m="1" x="1977"/>
        <item h="1" m="1" x="1051"/>
        <item h="1" m="1" x="1014"/>
        <item h="1" m="1" x="598"/>
        <item h="1" m="1" x="403"/>
        <item h="1" m="1" x="1579"/>
        <item h="1" m="1" x="284"/>
        <item h="1" m="1" x="1540"/>
        <item h="1" m="1" x="1593"/>
        <item h="1" m="1" x="1641"/>
        <item h="1" m="1" x="801"/>
        <item h="1" m="1" x="595"/>
        <item h="1" m="1" x="716"/>
        <item h="1" m="1" x="2236"/>
        <item h="1" m="1" x="1747"/>
        <item h="1" m="1" x="811"/>
        <item h="1" m="1" x="625"/>
        <item h="1" m="1" x="1793"/>
        <item h="1" m="1" x="1943"/>
        <item h="1" m="1" x="947"/>
        <item h="1" m="1" x="920"/>
        <item h="1" m="1" x="177"/>
        <item h="1" m="1" x="1004"/>
        <item h="1" m="1" x="1431"/>
        <item h="1" m="1" x="1366"/>
        <item h="1" m="1" x="2132"/>
        <item h="1" m="1" x="149"/>
        <item h="1" m="1" x="781"/>
        <item h="1" m="1" x="875"/>
        <item h="1" m="1" x="1950"/>
        <item h="1" m="1" x="1716"/>
        <item h="1" m="1" x="1900"/>
        <item h="1" m="1" x="321"/>
        <item h="1" m="1" x="581"/>
        <item h="1" m="1" x="1160"/>
        <item h="1" m="1" x="261"/>
        <item h="1" m="1" x="771"/>
        <item h="1" m="1" x="742"/>
        <item h="1" m="1" x="1077"/>
        <item h="1" m="1" x="1078"/>
        <item h="1" m="1" x="830"/>
        <item h="1" m="1" x="1257"/>
        <item h="1" m="1" x="2218"/>
        <item h="1" m="1" x="862"/>
        <item h="1" m="1" x="1428"/>
        <item h="1" m="1" x="1691"/>
        <item h="1" m="1" x="1604"/>
        <item h="1" m="1" x="1336"/>
        <item h="1" m="1" x="192"/>
        <item h="1" m="1" x="2051"/>
        <item h="1" m="1" x="2035"/>
        <item h="1" x="41"/>
        <item h="1" x="32"/>
        <item h="1" m="1" x="2188"/>
        <item h="1" m="1" x="2040"/>
        <item h="1" m="1" x="1703"/>
        <item h="1" m="1" x="1027"/>
        <item h="1" m="1" x="407"/>
        <item h="1" m="1" x="437"/>
        <item h="1" m="1" x="438"/>
        <item h="1" m="1" x="847"/>
        <item h="1" m="1" x="2019"/>
        <item h="1" m="1" x="1929"/>
        <item h="1" m="1" x="147"/>
        <item h="1" m="1" x="552"/>
        <item h="1" m="1" x="1178"/>
        <item h="1" m="1" x="553"/>
        <item h="1" m="1" x="1179"/>
        <item h="1" m="1" x="2145"/>
        <item h="1" m="1" x="1002"/>
        <item h="1" m="1" x="1003"/>
        <item h="1" m="1" x="2033"/>
        <item h="1" m="1" x="576"/>
        <item h="1" m="1" x="806"/>
        <item h="1" m="1" x="1839"/>
        <item h="1" m="1" x="392"/>
        <item h="1" m="1" x="600"/>
        <item h="1" m="1" x="1909"/>
        <item h="1" m="1" x="2053"/>
        <item h="1" m="1" x="1623"/>
        <item h="1" m="1" x="378"/>
        <item h="1" m="1" x="2106"/>
        <item h="1" m="1" x="1865"/>
        <item h="1" m="1" x="557"/>
        <item h="1" m="1" x="882"/>
        <item h="1" m="1" x="1726"/>
        <item h="1" m="1" x="2066"/>
        <item h="1" m="1" x="1864"/>
        <item h="1" m="1" x="1558"/>
        <item h="1" m="1" x="1564"/>
        <item h="1" m="1" x="1565"/>
        <item h="1" m="1" x="1595"/>
        <item h="1" m="1" x="1566"/>
        <item h="1" m="1" x="292"/>
        <item h="1" m="1" x="1642"/>
        <item h="1" m="1" x="2149"/>
        <item h="1" m="1" x="1457"/>
        <item h="1" m="1" x="2128"/>
        <item h="1" m="1" x="1005"/>
        <item h="1" m="1" x="1946"/>
        <item h="1" m="1" x="508"/>
        <item h="1" m="1" x="144"/>
        <item h="1" m="1" x="1824"/>
        <item h="1" m="1" x="651"/>
        <item h="1" m="1" x="1439"/>
        <item h="1" m="1" x="421"/>
        <item h="1" m="1" x="661"/>
        <item h="1" m="1" x="638"/>
        <item h="1" m="1" x="2115"/>
        <item h="1" m="1" x="2006"/>
        <item h="1" m="1" x="2013"/>
        <item h="1" m="1" x="2046"/>
        <item h="1" m="1" x="2307"/>
        <item h="1" m="1" x="2213"/>
        <item h="1" m="1" x="743"/>
        <item h="1" m="1" x="904"/>
        <item h="1" m="1" x="792"/>
        <item h="1" m="1" x="1155"/>
        <item h="1" m="1" x="1603"/>
        <item h="1" m="1" x="1852"/>
        <item h="1" m="1" x="1937"/>
        <item h="1" m="1" x="1076"/>
        <item h="1" x="105"/>
        <item h="1" m="1" x="480"/>
        <item h="1" x="86"/>
        <item h="1" m="1" x="1808"/>
        <item h="1" m="1" x="2029"/>
        <item h="1" m="1" x="125"/>
        <item h="1" m="1" x="1389"/>
        <item h="1" x="92"/>
        <item h="1" x="66"/>
        <item h="1" x="33"/>
        <item h="1" m="1" x="402"/>
        <item h="1" m="1" x="2147"/>
        <item h="1" m="1" x="1735"/>
        <item h="1" m="1" x="1490"/>
        <item h="1" m="1" x="858"/>
        <item h="1" m="1" x="776"/>
        <item h="1" m="1" x="849"/>
        <item h="1" m="1" x="739"/>
        <item h="1" m="1" x="1148"/>
        <item h="1" m="1" x="859"/>
        <item h="1" m="1" x="777"/>
        <item h="1" m="1" x="1485"/>
        <item h="1" m="1" x="413"/>
        <item h="1" m="1" x="414"/>
        <item h="1" m="1" x="428"/>
        <item h="1" m="1" x="978"/>
        <item h="1" m="1" x="1586"/>
        <item h="1" m="1" x="980"/>
        <item h="1" m="1" x="297"/>
        <item h="1" m="1" x="298"/>
        <item h="1" m="1" x="2189"/>
        <item h="1" m="1" x="216"/>
        <item h="1" m="1" x="655"/>
        <item h="1" m="1" x="217"/>
        <item h="1" m="1" x="245"/>
        <item h="1" m="1" x="737"/>
        <item h="1" m="1" x="2005"/>
        <item h="1" m="1" x="1922"/>
        <item h="1" m="1" x="1669"/>
        <item h="1" m="1" x="1250"/>
        <item h="1" m="1" x="1100"/>
        <item h="1" m="1" x="760"/>
        <item h="1" m="1" x="877"/>
        <item h="1" m="1" x="328"/>
        <item h="1" m="1" x="1906"/>
        <item h="1" m="1" x="565"/>
        <item h="1" m="1" x="1380"/>
        <item h="1" m="1" x="1103"/>
        <item h="1" m="1" x="277"/>
        <item h="1" m="1" x="2251"/>
        <item h="1" m="1" x="180"/>
        <item h="1" m="1" x="2198"/>
        <item h="1" m="1" x="2064"/>
        <item h="1" m="1" x="1191"/>
        <item h="1" m="1" x="768"/>
        <item h="1" m="1" x="1767"/>
        <item h="1" m="1" x="1831"/>
        <item h="1" m="1" x="798"/>
        <item h="1" m="1" x="1448"/>
        <item h="1" m="1" x="1692"/>
        <item h="1" m="1" x="2114"/>
        <item h="1" m="1" x="1897"/>
        <item h="1" m="1" x="954"/>
        <item h="1" m="1" x="1035"/>
        <item h="1" m="1" x="682"/>
        <item h="1" m="1" x="990"/>
        <item h="1" m="1" x="799"/>
        <item h="1" m="1" x="2252"/>
        <item h="1" m="1" x="563"/>
        <item h="1" m="1" x="670"/>
        <item h="1" m="1" x="481"/>
        <item h="1" m="1" x="1993"/>
        <item h="1" m="1" x="368"/>
        <item h="1" m="1" x="582"/>
        <item h="1" m="1" x="1554"/>
        <item h="1" m="1" x="1185"/>
        <item h="1" m="1" x="1125"/>
        <item h="1" m="1" x="1665"/>
        <item h="1" x="106"/>
        <item h="1" m="1" x="1147"/>
        <item h="1" m="1" x="221"/>
        <item h="1" m="1" x="996"/>
        <item h="1" m="1" x="453"/>
        <item h="1" x="104"/>
        <item h="1" x="0"/>
        <item h="1" x="67"/>
        <item h="1" m="1" x="839"/>
        <item h="1" m="1" x="512"/>
        <item h="1" m="1" x="2174"/>
        <item h="1" m="1" x="1438"/>
        <item h="1" m="1" x="212"/>
        <item h="1" m="1" x="497"/>
        <item h="1" m="1" x="1507"/>
        <item h="1" m="1" x="843"/>
        <item h="1" m="1" x="998"/>
        <item h="1" x="107"/>
        <item h="1" m="1" x="720"/>
        <item h="1" m="1" x="121"/>
        <item h="1" m="1" x="416"/>
        <item h="1" m="1" x="723"/>
        <item h="1" m="1" x="1949"/>
        <item h="1" m="1" x="1616"/>
        <item h="1" m="1" x="1412"/>
        <item h="1" m="1" x="291"/>
        <item h="1" m="1" x="2230"/>
        <item h="1" m="1" x="1876"/>
        <item h="1" m="1" x="1183"/>
        <item h="1" m="1" x="1344"/>
        <item h="1" m="1" x="1241"/>
        <item h="1" m="1" x="2105"/>
        <item h="1" m="1" x="456"/>
        <item h="1" m="1" x="1861"/>
        <item h="1" m="1" x="1194"/>
        <item h="1" m="1" x="1318"/>
        <item h="1" m="1" x="2071"/>
        <item h="1" m="1" x="1893"/>
        <item h="1" m="1" x="1894"/>
        <item h="1" m="1" x="2199"/>
        <item h="1" m="1" x="332"/>
        <item h="1" m="1" x="491"/>
        <item h="1" m="1" x="174"/>
        <item h="1" m="1" x="855"/>
        <item h="1" x="59"/>
        <item h="1" m="1" x="942"/>
        <item h="1" m="1" x="1749"/>
        <item h="1" m="1" x="1274"/>
        <item h="1" m="1" x="1578"/>
        <item h="1" m="1" x="1021"/>
        <item h="1" m="1" x="909"/>
        <item h="1" m="1" x="1696"/>
        <item h="1" m="1" x="1966"/>
        <item h="1" m="1" x="1606"/>
        <item h="1" m="1" x="810"/>
        <item h="1" m="1" x="501"/>
        <item h="1" m="1" x="944"/>
        <item h="1" m="1" x="1302"/>
        <item h="1" m="1" x="1059"/>
        <item h="1" m="1" x="704"/>
        <item h="1" m="1" x="1686"/>
        <item h="1" m="1" x="2073"/>
        <item h="1" m="1" x="1284"/>
        <item h="1" m="1" x="136"/>
        <item h="1" m="1" x="1559"/>
        <item h="1" m="1" x="692"/>
        <item h="1" m="1" x="1791"/>
        <item h="1" m="1" x="1167"/>
        <item h="1" m="1" x="377"/>
        <item h="1" m="1" x="1944"/>
        <item h="1" m="1" x="1987"/>
        <item h="1" m="1" x="1364"/>
        <item h="1" m="1" x="666"/>
        <item h="1" m="1" x="1534"/>
        <item h="1" m="1" x="527"/>
        <item h="1" m="1" x="829"/>
        <item h="1" m="1" x="516"/>
        <item h="1" m="1" x="233"/>
        <item h="1" m="1" x="2017"/>
        <item h="1" m="1" x="597"/>
        <item h="1" m="1" x="738"/>
        <item h="1" m="1" x="571"/>
        <item h="1" m="1" x="471"/>
        <item h="1" m="1" x="1777"/>
        <item h="1" m="1" x="1739"/>
        <item h="1" m="1" x="612"/>
        <item h="1" m="1" x="2204"/>
        <item h="1" m="1" x="900"/>
        <item h="1" m="1" x="1863"/>
        <item h="1" m="1" x="1546"/>
        <item h="1" m="1" x="729"/>
        <item h="1" m="1" x="2014"/>
        <item h="1" m="1" x="358"/>
        <item h="1" m="1" x="1643"/>
        <item h="1" m="1" x="2018"/>
        <item h="1" m="1" x="1018"/>
        <item h="1" m="1" x="588"/>
        <item h="1" m="1" x="1169"/>
        <item h="1" m="1" x="1337"/>
        <item h="1" m="1" x="911"/>
        <item h="1" m="1" x="2109"/>
        <item h="1" m="1" x="218"/>
        <item h="1" m="1" x="1818"/>
        <item h="1" m="1" x="1481"/>
        <item h="1" m="1" x="2135"/>
        <item h="1" m="1" x="2133"/>
        <item h="1" m="1" x="683"/>
        <item h="1" m="1" x="1181"/>
        <item h="1" m="1" x="1723"/>
        <item h="1" m="1" x="2142"/>
        <item h="1" x="34"/>
        <item h="1" m="1" x="846"/>
        <item h="1" m="1" x="1970"/>
        <item h="1" m="1" x="1639"/>
        <item h="1" m="1" x="1959"/>
        <item h="1" m="1" x="663"/>
        <item h="1" m="1" x="1410"/>
        <item h="1" m="1" x="1513"/>
        <item h="1" m="1" x="1989"/>
        <item h="1" m="1" x="1350"/>
        <item h="1" m="1" x="1990"/>
        <item h="1" m="1" x="1679"/>
        <item h="1" m="1" x="1223"/>
        <item h="1" m="1" x="2143"/>
        <item h="1" m="1" x="522"/>
        <item h="1" m="1" x="628"/>
        <item h="1" m="1" x="2297"/>
        <item h="1" m="1" x="1270"/>
        <item h="1" x="42"/>
        <item h="1" x="74"/>
        <item h="1" m="1" x="1213"/>
        <item h="1" m="1" x="355"/>
        <item h="1" m="1" x="387"/>
        <item h="1" m="1" x="388"/>
        <item h="1" m="1" x="700"/>
        <item h="1" m="1" x="1203"/>
        <item h="1" m="1" x="766"/>
        <item h="1" m="1" x="914"/>
        <item h="1" m="1" x="823"/>
        <item h="1" m="1" x="502"/>
        <item h="1" m="1" x="1802"/>
        <item h="1" m="1" x="240"/>
        <item h="1" m="1" x="401"/>
        <item h="1" m="1" x="2079"/>
        <item h="1" m="1" x="2201"/>
        <item h="1" m="1" x="1283"/>
        <item h="1" m="1" x="765"/>
        <item h="1" m="1" x="1193"/>
        <item h="1" m="1" x="1830"/>
        <item h="1" m="1" x="2060"/>
        <item h="1" m="1" x="1028"/>
        <item h="1" m="1" x="485"/>
        <item h="1" m="1" x="561"/>
        <item h="1" m="1" x="236"/>
        <item h="1" m="1" x="395"/>
        <item h="1" m="1" x="2176"/>
        <item h="1" m="1" x="586"/>
        <item h="1" m="1" x="1508"/>
        <item h="1" m="1" x="1086"/>
        <item h="1" m="1" x="1938"/>
        <item h="1" m="1" x="1867"/>
        <item h="1" m="1" x="934"/>
        <item h="1" m="1" x="1715"/>
        <item h="1" m="1" x="1754"/>
        <item h="1" m="1" x="226"/>
        <item h="1" m="1" x="281"/>
        <item h="1" m="1" x="1939"/>
        <item h="1" m="1" x="1471"/>
        <item h="1" m="1" x="746"/>
        <item h="1" m="1" x="1315"/>
        <item h="1" m="1" x="1812"/>
        <item h="1" m="1" x="1343"/>
        <item h="1" m="1" x="1678"/>
        <item h="1" m="1" x="620"/>
        <item h="1" m="1" x="1253"/>
        <item h="1" m="1" x="1298"/>
        <item h="1" m="1" x="2086"/>
        <item h="1" m="1" x="707"/>
        <item h="1" m="1" x="1264"/>
        <item h="1" m="1" x="1280"/>
        <item h="1" m="1" x="1555"/>
        <item h="1" m="1" x="712"/>
        <item h="1" m="1" x="1923"/>
        <item h="1" m="1" x="2068"/>
        <item h="1" m="1" x="1567"/>
        <item h="1" m="1" x="2139"/>
        <item h="1" m="1" x="439"/>
        <item h="1" m="1" x="834"/>
        <item h="1" m="1" x="168"/>
        <item h="1" m="1" x="1588"/>
        <item h="1" m="1" x="1605"/>
        <item h="1" m="1" x="385"/>
        <item h="1" m="1" x="2171"/>
        <item h="1" m="1" x="1029"/>
        <item h="1" m="1" x="1652"/>
        <item h="1" m="1" x="504"/>
        <item h="1" x="5"/>
        <item h="1" m="1" x="968"/>
        <item h="1" m="1" x="963"/>
        <item h="1" m="1" x="1676"/>
        <item h="1" m="1" x="733"/>
        <item h="1" m="1" x="999"/>
        <item h="1" m="1" x="726"/>
        <item h="1" m="1" x="1017"/>
        <item h="1" m="1" x="1891"/>
        <item h="1" m="1" x="1419"/>
        <item h="1" m="1" x="1807"/>
        <item h="1" m="1" x="2075"/>
        <item h="1" m="1" x="930"/>
        <item h="1" m="1" x="1940"/>
        <item h="1" m="1" x="1055"/>
        <item h="1" m="1" x="734"/>
        <item h="1" m="1" x="523"/>
        <item h="1" m="1" x="1107"/>
        <item h="1" m="1" x="1030"/>
        <item h="1" m="1" x="1574"/>
        <item h="1" m="1" x="1851"/>
        <item h="1" m="1" x="483"/>
        <item h="1" m="1" x="1687"/>
        <item h="1" m="1" x="1524"/>
        <item h="1" m="1" x="376"/>
        <item h="1" m="1" x="381"/>
        <item h="1" m="1" x="2062"/>
        <item h="1" m="1" x="1119"/>
        <item h="1" m="1" x="1292"/>
        <item h="1" m="1" x="1905"/>
        <item h="1" m="1" x="1688"/>
        <item h="1" m="1" x="1958"/>
        <item h="1" x="87"/>
        <item h="1" m="1" x="2042"/>
        <item h="1" m="1" x="383"/>
        <item h="1" m="1" x="1758"/>
        <item h="1" x="6"/>
        <item h="1" x="7"/>
        <item h="1" m="1" x="1087"/>
        <item h="1" m="1" x="1619"/>
        <item h="1" m="1" x="1787"/>
        <item h="1" m="1" x="1195"/>
        <item h="1" m="1" x="352"/>
        <item h="1" m="1" x="1186"/>
        <item h="1" m="1" x="2010"/>
        <item h="1" m="1" x="560"/>
        <item h="1" m="1" x="1978"/>
        <item h="1" m="1" x="639"/>
        <item h="1" m="1" x="1301"/>
        <item h="1" m="1" x="1917"/>
        <item h="1" m="1" x="1334"/>
        <item h="1" m="1" x="1985"/>
        <item h="1" m="1" x="266"/>
        <item h="1" m="1" x="1999"/>
        <item h="1" m="1" x="487"/>
        <item h="1" m="1" x="1187"/>
        <item h="1" m="1" x="2007"/>
        <item h="1" m="1" x="698"/>
        <item h="1" m="1" x="363"/>
        <item h="1" m="1" x="1204"/>
        <item h="1" m="1" x="1225"/>
        <item h="1" m="1" x="2159"/>
        <item h="1" m="1" x="503"/>
        <item h="1" m="1" x="725"/>
        <item h="1" m="1" x="2104"/>
        <item h="1" m="1" x="1662"/>
        <item h="1" m="1" x="2156"/>
        <item h="1" m="1" x="210"/>
        <item h="1" m="1" x="869"/>
        <item h="1" x="51"/>
        <item h="1" m="1" x="1576"/>
        <item h="1" m="1" x="577"/>
        <item h="1" m="1" x="384"/>
        <item h="1" m="1" x="680"/>
        <item h="1" m="1" x="517"/>
        <item h="1" m="1" x="652"/>
        <item h="1" m="1" x="1073"/>
        <item h="1" m="1" x="185"/>
        <item h="1" m="1" x="500"/>
        <item h="1" m="1" x="346"/>
        <item h="1" m="1" x="1529"/>
        <item h="1" m="1" x="1069"/>
        <item h="1" m="1" x="1394"/>
        <item h="1" m="1" x="1838"/>
        <item h="1" m="1" x="2097"/>
        <item h="1" m="1" x="1385"/>
        <item h="1" m="1" x="596"/>
        <item h="1" m="1" x="239"/>
        <item h="1" m="1" x="1846"/>
        <item h="1" m="1" x="866"/>
        <item h="1" m="1" x="152"/>
        <item h="1" x="13"/>
        <item h="1" m="1" x="2256"/>
        <item h="1" m="1" x="2232"/>
        <item h="1" m="1" x="1165"/>
        <item h="1" m="1" x="1036"/>
        <item h="1" m="1" x="1667"/>
        <item h="1" m="1" x="1811"/>
        <item h="1" m="1" x="633"/>
        <item h="1" m="1" x="1495"/>
        <item h="1" m="1" x="1304"/>
        <item h="1" m="1" x="2249"/>
        <item h="1" m="1" x="1884"/>
        <item h="1" x="14"/>
        <item h="1" m="1" x="1273"/>
        <item h="1" m="1" x="906"/>
        <item h="1" m="1" x="635"/>
        <item h="1" x="35"/>
        <item h="1" x="52"/>
        <item h="1" m="1" x="1408"/>
        <item h="1" m="1" x="2203"/>
        <item h="1" m="1" x="2026"/>
        <item h="1" m="1" x="2154"/>
        <item h="1" x="53"/>
        <item h="1" m="1" x="2284"/>
        <item h="1" m="1" x="1859"/>
        <item h="1" m="1" x="2181"/>
        <item h="1" x="8"/>
        <item h="1" m="1" x="630"/>
        <item h="1" m="1" x="506"/>
        <item h="1" x="9"/>
        <item h="1" x="10"/>
        <item h="1" m="1" x="1582"/>
        <item h="1" m="1" x="1297"/>
        <item h="1" x="93"/>
        <item h="1" x="94"/>
        <item h="1" x="95"/>
        <item h="1" x="96"/>
        <item h="1" m="1" x="1714"/>
        <item h="1" m="1" x="1463"/>
        <item h="1" m="1" x="1821"/>
        <item h="1" m="1" x="974"/>
        <item h="1" m="1" x="759"/>
        <item h="1" m="1" x="2197"/>
        <item h="1" m="1" x="396"/>
        <item h="1" m="1" x="791"/>
        <item h="1" m="1" x="1612"/>
        <item h="1" m="1" x="1599"/>
        <item h="1" m="1" x="2260"/>
        <item h="1" m="1" x="275"/>
        <item h="1" m="1" x="1933"/>
        <item h="1" m="1" x="1883"/>
        <item h="1" m="1" x="1856"/>
        <item h="1" m="1" x="1700"/>
        <item h="1" m="1" x="2078"/>
        <item h="1" m="1" x="1062"/>
        <item h="1" m="1" x="1080"/>
        <item h="1" m="1" x="488"/>
        <item h="1" m="1" x="1449"/>
        <item h="1" m="1" x="587"/>
        <item h="1" x="43"/>
        <item h="1" m="1" x="164"/>
        <item h="1" x="88"/>
        <item h="1" m="1" x="1500"/>
        <item h="1" m="1" x="919"/>
        <item h="1" m="1" x="323"/>
        <item h="1" m="1" x="319"/>
        <item h="1" m="1" x="1286"/>
        <item h="1" m="1" x="360"/>
        <item h="1" x="97"/>
        <item h="1" x="98"/>
        <item h="1" m="1" x="1550"/>
        <item h="1" m="1" x="2039"/>
        <item h="1" x="99"/>
        <item h="1" x="100"/>
        <item h="1" x="101"/>
        <item h="1" x="102"/>
        <item h="1" x="103"/>
        <item h="1" m="1" x="1545"/>
        <item h="1" m="1" x="207"/>
        <item h="1" m="1" x="1511"/>
        <item h="1" m="1" x="1512"/>
        <item h="1" m="1" x="171"/>
        <item h="1" m="1" x="1733"/>
        <item h="1" m="1" x="907"/>
        <item h="1" m="1" x="1472"/>
        <item h="1" m="1" x="1921"/>
        <item h="1" m="1" x="238"/>
        <item h="1" m="1" x="1393"/>
        <item h="1" m="1" x="1796"/>
        <item h="1" m="1" x="1058"/>
        <item h="1" m="1" x="1313"/>
        <item h="1" m="1" x="1722"/>
        <item h="1" m="1" x="837"/>
        <item h="1" m="1" x="1116"/>
        <item h="1" m="1" x="1432"/>
        <item h="1" m="1" x="189"/>
        <item h="1" m="1" x="1736"/>
        <item h="1" m="1" x="1951"/>
        <item h="1" m="1" x="1737"/>
        <item h="1" m="1" x="1952"/>
        <item h="1" m="1" x="957"/>
        <item h="1" m="1" x="1243"/>
        <item h="1" m="1" x="813"/>
        <item h="1" m="1" x="1299"/>
        <item h="1" m="1" x="809"/>
        <item h="1" m="1" x="1300"/>
        <item h="1" m="1" x="430"/>
        <item h="1" m="1" x="169"/>
        <item h="1" m="1" x="1968"/>
        <item h="1" m="1" x="492"/>
        <item h="1" m="1" x="2206"/>
        <item h="1" m="1" x="621"/>
        <item h="1" m="1" x="2299"/>
        <item h="1" m="1" x="2265"/>
        <item h="1" m="1" x="2065"/>
        <item h="1" m="1" x="1248"/>
        <item h="1" m="1" x="1621"/>
        <item h="1" x="54"/>
        <item h="1" m="1" x="572"/>
        <item h="1" m="1" x="1311"/>
        <item h="1" m="1" x="318"/>
        <item h="1" m="1" x="1538"/>
        <item h="1" m="1" x="1773"/>
        <item h="1" m="1" x="1902"/>
        <item h="1" m="1" x="1542"/>
        <item h="1" m="1" x="2063"/>
        <item h="1" m="1" x="973"/>
        <item h="1" m="1" x="1044"/>
        <item h="1" m="1" x="1869"/>
        <item h="1" m="1" x="224"/>
        <item h="1" m="1" x="301"/>
        <item h="1" m="1" x="773"/>
        <item h="1" m="1" x="774"/>
        <item h="1" m="1" x="153"/>
        <item h="1" m="1" x="1646"/>
        <item h="1" m="1" x="867"/>
        <item h="1" m="1" x="1373"/>
        <item h="1" m="1" x="873"/>
        <item h="1" m="1" x="432"/>
        <item h="1" m="1" x="119"/>
        <item h="1" m="1" x="893"/>
        <item h="1" x="7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pageFields count="1">
    <pageField fld="6"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8E829F1-7806-42B2-8F07-4F3B69360EF4}" name="PivotTable4" cacheId="2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AU2:AX476" firstHeaderRow="1" firstDataRow="1" firstDataCol="4"/>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0"/>
        <item x="80"/>
        <item x="2"/>
        <item x="26"/>
        <item x="86"/>
        <item m="1" x="217"/>
        <item x="1"/>
        <item m="1" x="123"/>
        <item m="1" x="193"/>
        <item x="3"/>
        <item m="1" x="134"/>
        <item x="88"/>
        <item m="1" x="211"/>
        <item m="1" x="237"/>
        <item x="4"/>
        <item m="1" x="240"/>
        <item m="1" x="145"/>
        <item x="8"/>
        <item m="1" x="191"/>
        <item x="9"/>
        <item m="1" x="207"/>
        <item x="10"/>
        <item x="6"/>
        <item x="12"/>
        <item x="11"/>
        <item m="1" x="234"/>
        <item x="13"/>
        <item m="1" x="190"/>
        <item m="1" x="140"/>
        <item m="1" x="136"/>
        <item x="7"/>
        <item x="5"/>
        <item x="21"/>
        <item x="50"/>
        <item x="16"/>
        <item m="1" x="153"/>
        <item x="87"/>
        <item x="14"/>
        <item x="105"/>
        <item m="1" x="219"/>
        <item m="1" x="144"/>
        <item x="19"/>
        <item x="20"/>
        <item x="18"/>
        <item x="17"/>
        <item m="1" x="203"/>
        <item x="22"/>
        <item x="15"/>
        <item m="1" x="204"/>
        <item x="23"/>
        <item m="1" x="173"/>
        <item m="1" x="155"/>
        <item m="1" x="149"/>
        <item m="1" x="124"/>
        <item x="24"/>
        <item m="1" x="235"/>
        <item x="25"/>
        <item x="85"/>
        <item x="27"/>
        <item x="28"/>
        <item x="98"/>
        <item x="38"/>
        <item x="29"/>
        <item m="1" x="214"/>
        <item x="104"/>
        <item x="30"/>
        <item m="1" x="215"/>
        <item x="31"/>
        <item m="1" x="179"/>
        <item m="1" x="132"/>
        <item x="32"/>
        <item x="36"/>
        <item x="33"/>
        <item m="1" x="125"/>
        <item x="34"/>
        <item m="1" x="181"/>
        <item m="1" x="160"/>
        <item m="1" x="188"/>
        <item x="39"/>
        <item x="35"/>
        <item x="37"/>
        <item x="40"/>
        <item x="42"/>
        <item m="1" x="231"/>
        <item x="41"/>
        <item m="1" x="174"/>
        <item m="1" x="166"/>
        <item x="44"/>
        <item x="43"/>
        <item x="45"/>
        <item m="1" x="178"/>
        <item m="1" x="141"/>
        <item m="1" x="194"/>
        <item m="1" x="147"/>
        <item x="46"/>
        <item m="1" x="239"/>
        <item m="1" x="162"/>
        <item x="47"/>
        <item x="48"/>
        <item m="1" x="224"/>
        <item x="77"/>
        <item m="1" x="164"/>
        <item x="83"/>
        <item m="1" x="163"/>
        <item x="49"/>
        <item x="51"/>
        <item m="1" x="170"/>
        <item m="1" x="154"/>
        <item x="54"/>
        <item x="52"/>
        <item m="1" x="148"/>
        <item m="1" x="195"/>
        <item m="1" x="241"/>
        <item m="1" x="167"/>
        <item x="57"/>
        <item x="59"/>
        <item x="66"/>
        <item m="1" x="222"/>
        <item x="58"/>
        <item m="1" x="152"/>
        <item m="1" x="139"/>
        <item x="64"/>
        <item x="65"/>
        <item m="1" x="223"/>
        <item m="1" x="189"/>
        <item x="56"/>
        <item m="1" x="186"/>
        <item x="62"/>
        <item x="61"/>
        <item x="55"/>
        <item x="63"/>
        <item m="1" x="146"/>
        <item m="1" x="232"/>
        <item m="1" x="197"/>
        <item m="1" x="126"/>
        <item m="1" x="184"/>
        <item m="1" x="180"/>
        <item m="1" x="185"/>
        <item m="1" x="245"/>
        <item m="1" x="213"/>
        <item m="1" x="238"/>
        <item m="1" x="227"/>
        <item m="1" x="143"/>
        <item m="1" x="220"/>
        <item m="1" x="221"/>
        <item m="1" x="243"/>
        <item m="1" x="131"/>
        <item m="1" x="230"/>
        <item m="1" x="182"/>
        <item m="1" x="209"/>
        <item m="1" x="165"/>
        <item m="1" x="244"/>
        <item m="1" x="133"/>
        <item m="1" x="135"/>
        <item m="1" x="177"/>
        <item m="1" x="150"/>
        <item m="1" x="212"/>
        <item m="1" x="201"/>
        <item m="1" x="130"/>
        <item x="60"/>
        <item x="67"/>
        <item m="1" x="127"/>
        <item x="68"/>
        <item m="1" x="183"/>
        <item m="1" x="137"/>
        <item x="71"/>
        <item x="69"/>
        <item x="70"/>
        <item m="1" x="199"/>
        <item m="1" x="157"/>
        <item m="1" x="198"/>
        <item x="90"/>
        <item m="1" x="205"/>
        <item x="72"/>
        <item m="1" x="156"/>
        <item m="1" x="142"/>
        <item x="73"/>
        <item x="76"/>
        <item x="78"/>
        <item x="74"/>
        <item x="75"/>
        <item m="1" x="192"/>
        <item m="1" x="196"/>
        <item m="1" x="172"/>
        <item x="91"/>
        <item x="92"/>
        <item x="93"/>
        <item m="1" x="216"/>
        <item m="1" x="128"/>
        <item m="1" x="208"/>
        <item m="1" x="158"/>
        <item m="1" x="202"/>
        <item x="102"/>
        <item m="1" x="168"/>
        <item x="95"/>
        <item x="100"/>
        <item m="1" x="218"/>
        <item x="97"/>
        <item m="1" x="200"/>
        <item m="1" x="161"/>
        <item m="1" x="233"/>
        <item m="1" x="176"/>
        <item x="96"/>
        <item x="99"/>
        <item x="119"/>
        <item x="101"/>
        <item x="82"/>
        <item x="81"/>
        <item m="1" x="169"/>
        <item x="53"/>
        <item x="94"/>
        <item x="103"/>
        <item m="1" x="159"/>
        <item m="1" x="129"/>
        <item m="1" x="187"/>
        <item m="1" x="138"/>
        <item x="108"/>
        <item x="111"/>
        <item x="107"/>
        <item x="110"/>
        <item x="106"/>
        <item m="1" x="226"/>
        <item m="1" x="228"/>
        <item m="1" x="242"/>
        <item x="112"/>
        <item m="1" x="229"/>
        <item x="109"/>
        <item m="1" x="206"/>
        <item x="113"/>
        <item x="114"/>
        <item m="1" x="225"/>
        <item m="1" x="236"/>
        <item m="1" x="175"/>
        <item m="1" x="210"/>
        <item x="115"/>
        <item m="1" x="171"/>
        <item x="116"/>
        <item x="117"/>
        <item x="89"/>
        <item m="1" x="151"/>
        <item x="79"/>
        <item x="118"/>
        <item x="120"/>
        <item x="84"/>
        <item x="121"/>
        <item x="1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sd="0" x="2"/>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
        <item x="0"/>
        <item m="1" x="8"/>
        <item m="1" x="7"/>
        <item x="1"/>
        <item x="3"/>
        <item m="1" x="6"/>
        <item x="4"/>
        <item x="2"/>
        <item m="1" x="9"/>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9">
        <item x="0"/>
        <item x="1"/>
        <item x="2"/>
        <item x="3"/>
        <item x="4"/>
        <item x="6"/>
        <item x="7"/>
        <item x="8"/>
        <item x="9"/>
        <item x="10"/>
        <item x="11"/>
        <item x="12"/>
        <item x="13"/>
        <item x="14"/>
        <item x="15"/>
        <item x="16"/>
        <item x="17"/>
        <item x="18"/>
        <item x="19"/>
        <item m="1" x="488"/>
        <item x="20"/>
        <item x="21"/>
        <item x="23"/>
        <item x="24"/>
        <item x="25"/>
        <item x="26"/>
        <item x="27"/>
        <item x="28"/>
        <item x="29"/>
        <item x="30"/>
        <item x="31"/>
        <item x="32"/>
        <item x="33"/>
        <item x="34"/>
        <item x="35"/>
        <item x="36"/>
        <item x="37"/>
        <item x="38"/>
        <item x="39"/>
        <item x="40"/>
        <item x="41"/>
        <item x="42"/>
        <item x="43"/>
        <item x="45"/>
        <item x="46"/>
        <item x="47"/>
        <item x="48"/>
        <item x="49"/>
        <item x="50"/>
        <item x="52"/>
        <item x="53"/>
        <item x="54"/>
        <item m="1" x="484"/>
        <item x="55"/>
        <item x="56"/>
        <item x="57"/>
        <item x="58"/>
        <item x="59"/>
        <item x="60"/>
        <item x="61"/>
        <item x="62"/>
        <item x="63"/>
        <item x="64"/>
        <item x="65"/>
        <item x="66"/>
        <item x="67"/>
        <item x="69"/>
        <item x="70"/>
        <item x="71"/>
        <item x="72"/>
        <item x="73"/>
        <item x="74"/>
        <item x="75"/>
        <item x="76"/>
        <item x="77"/>
        <item x="78"/>
        <item x="79"/>
        <item m="1" x="504"/>
        <item x="80"/>
        <item x="81"/>
        <item x="82"/>
        <item x="84"/>
        <item x="85"/>
        <item x="87"/>
        <item x="88"/>
        <item m="1" x="480"/>
        <item x="89"/>
        <item x="90"/>
        <item x="91"/>
        <item x="93"/>
        <item x="94"/>
        <item x="95"/>
        <item x="96"/>
        <item x="97"/>
        <item x="98"/>
        <item x="99"/>
        <item x="100"/>
        <item x="101"/>
        <item x="103"/>
        <item x="104"/>
        <item x="105"/>
        <item x="106"/>
        <item x="107"/>
        <item x="108"/>
        <item x="109"/>
        <item x="110"/>
        <item x="111"/>
        <item x="112"/>
        <item x="113"/>
        <item x="114"/>
        <item x="115"/>
        <item x="116"/>
        <item x="117"/>
        <item x="118"/>
        <item x="119"/>
        <item x="120"/>
        <item x="121"/>
        <item x="122"/>
        <item x="124"/>
        <item m="1" x="501"/>
        <item m="1" x="505"/>
        <item x="125"/>
        <item x="126"/>
        <item x="127"/>
        <item m="1" x="477"/>
        <item x="128"/>
        <item x="129"/>
        <item x="130"/>
        <item x="131"/>
        <item x="132"/>
        <item x="133"/>
        <item x="134"/>
        <item x="135"/>
        <item m="1" x="495"/>
        <item x="136"/>
        <item x="137"/>
        <item x="138"/>
        <item x="139"/>
        <item x="140"/>
        <item x="141"/>
        <item x="142"/>
        <item x="143"/>
        <item x="145"/>
        <item x="146"/>
        <item x="148"/>
        <item x="149"/>
        <item x="150"/>
        <item x="151"/>
        <item x="152"/>
        <item m="1" x="483"/>
        <item x="153"/>
        <item m="1" x="481"/>
        <item x="154"/>
        <item x="155"/>
        <item x="156"/>
        <item x="157"/>
        <item x="158"/>
        <item x="160"/>
        <item x="161"/>
        <item x="162"/>
        <item x="163"/>
        <item x="164"/>
        <item x="165"/>
        <item x="168"/>
        <item x="169"/>
        <item m="1" x="493"/>
        <item x="170"/>
        <item x="171"/>
        <item x="172"/>
        <item x="173"/>
        <item x="175"/>
        <item x="176"/>
        <item x="177"/>
        <item x="178"/>
        <item x="179"/>
        <item x="181"/>
        <item x="182"/>
        <item x="183"/>
        <item x="184"/>
        <item x="185"/>
        <item x="186"/>
        <item x="187"/>
        <item x="188"/>
        <item x="189"/>
        <item x="190"/>
        <item x="191"/>
        <item x="192"/>
        <item x="193"/>
        <item x="194"/>
        <item x="195"/>
        <item x="196"/>
        <item x="197"/>
        <item x="198"/>
        <item x="199"/>
        <item x="200"/>
        <item x="201"/>
        <item x="202"/>
        <item x="203"/>
        <item x="204"/>
        <item x="205"/>
        <item x="206"/>
        <item x="207"/>
        <item x="209"/>
        <item x="210"/>
        <item x="211"/>
        <item m="1" x="496"/>
        <item m="1" x="499"/>
        <item x="212"/>
        <item x="213"/>
        <item x="214"/>
        <item x="215"/>
        <item x="216"/>
        <item x="217"/>
        <item x="218"/>
        <item x="219"/>
        <item x="220"/>
        <item x="221"/>
        <item x="223"/>
        <item x="224"/>
        <item x="226"/>
        <item x="227"/>
        <item x="228"/>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m="1" x="500"/>
        <item m="1" x="476"/>
        <item x="268"/>
        <item x="269"/>
        <item x="270"/>
        <item x="271"/>
        <item x="272"/>
        <item x="273"/>
        <item x="274"/>
        <item x="275"/>
        <item x="276"/>
        <item x="277"/>
        <item x="278"/>
        <item x="279"/>
        <item m="1" x="482"/>
        <item x="281"/>
        <item x="282"/>
        <item x="283"/>
        <item m="1" x="473"/>
        <item m="1" x="486"/>
        <item x="285"/>
        <item x="286"/>
        <item x="287"/>
        <item x="288"/>
        <item x="289"/>
        <item x="290"/>
        <item x="291"/>
        <item x="292"/>
        <item x="293"/>
        <item x="295"/>
        <item x="296"/>
        <item m="1" x="485"/>
        <item x="297"/>
        <item x="298"/>
        <item x="299"/>
        <item x="300"/>
        <item x="302"/>
        <item x="303"/>
        <item x="304"/>
        <item x="305"/>
        <item x="306"/>
        <item x="307"/>
        <item x="308"/>
        <item x="309"/>
        <item x="310"/>
        <item x="311"/>
        <item x="312"/>
        <item x="313"/>
        <item x="323"/>
        <item x="324"/>
        <item x="325"/>
        <item x="326"/>
        <item x="351"/>
        <item x="353"/>
        <item x="354"/>
        <item x="355"/>
        <item x="356"/>
        <item x="357"/>
        <item x="358"/>
        <item x="359"/>
        <item x="360"/>
        <item x="361"/>
        <item x="362"/>
        <item x="363"/>
        <item x="364"/>
        <item x="365"/>
        <item x="366"/>
        <item x="368"/>
        <item x="369"/>
        <item x="370"/>
        <item x="371"/>
        <item x="372"/>
        <item x="373"/>
        <item x="375"/>
        <item x="377"/>
        <item m="1" x="475"/>
        <item x="379"/>
        <item x="380"/>
        <item m="1" x="507"/>
        <item x="381"/>
        <item x="382"/>
        <item x="383"/>
        <item x="384"/>
        <item x="385"/>
        <item x="386"/>
        <item x="387"/>
        <item x="389"/>
        <item x="391"/>
        <item x="392"/>
        <item x="393"/>
        <item x="394"/>
        <item x="395"/>
        <item x="396"/>
        <item x="398"/>
        <item x="399"/>
        <item x="400"/>
        <item x="401"/>
        <item x="402"/>
        <item x="403"/>
        <item x="404"/>
        <item x="405"/>
        <item x="406"/>
        <item x="407"/>
        <item x="408"/>
        <item x="410"/>
        <item x="411"/>
        <item x="413"/>
        <item x="416"/>
        <item x="414"/>
        <item x="415"/>
        <item x="417"/>
        <item x="418"/>
        <item x="419"/>
        <item x="420"/>
        <item x="421"/>
        <item x="422"/>
        <item x="423"/>
        <item x="424"/>
        <item x="425"/>
        <item x="426"/>
        <item x="427"/>
        <item x="428"/>
        <item x="429"/>
        <item x="430"/>
        <item x="431"/>
        <item x="432"/>
        <item x="433"/>
        <item x="434"/>
        <item m="1" x="502"/>
        <item x="436"/>
        <item m="1" x="474"/>
        <item x="438"/>
        <item x="439"/>
        <item x="440"/>
        <item x="441"/>
        <item x="442"/>
        <item x="443"/>
        <item x="445"/>
        <item x="446"/>
        <item x="447"/>
        <item x="449"/>
        <item x="450"/>
        <item x="451"/>
        <item x="454"/>
        <item x="455"/>
        <item x="456"/>
        <item x="457"/>
        <item x="458"/>
        <item x="459"/>
        <item m="1" x="479"/>
        <item m="1" x="492"/>
        <item x="460"/>
        <item x="461"/>
        <item m="1" x="503"/>
        <item x="462"/>
        <item x="463"/>
        <item x="464"/>
        <item m="1" x="508"/>
        <item x="465"/>
        <item x="466"/>
        <item x="467"/>
        <item x="468"/>
        <item x="469"/>
        <item x="470"/>
        <item x="471"/>
        <item x="472"/>
        <item m="1" x="494"/>
        <item m="1" x="491"/>
        <item x="5"/>
        <item x="327"/>
        <item x="329"/>
        <item x="332"/>
        <item x="330"/>
        <item x="334"/>
        <item x="319"/>
        <item x="331"/>
        <item x="335"/>
        <item x="328"/>
        <item x="337"/>
        <item x="338"/>
        <item x="339"/>
        <item x="340"/>
        <item x="336"/>
        <item x="343"/>
        <item x="342"/>
        <item m="1" x="498"/>
        <item x="44"/>
        <item x="51"/>
        <item m="1" x="489"/>
        <item x="22"/>
        <item m="1" x="506"/>
        <item x="341"/>
        <item x="412"/>
        <item x="409"/>
        <item x="92"/>
        <item x="86"/>
        <item x="83"/>
        <item x="68"/>
        <item x="102"/>
        <item x="333"/>
        <item x="376"/>
        <item x="378"/>
        <item m="1" x="478"/>
        <item x="123"/>
        <item x="144"/>
        <item x="147"/>
        <item x="180"/>
        <item x="167"/>
        <item x="174"/>
        <item x="166"/>
        <item x="159"/>
        <item m="1" x="487"/>
        <item x="322"/>
        <item m="1" x="490"/>
        <item x="222"/>
        <item x="225"/>
        <item x="229"/>
        <item x="284"/>
        <item x="280"/>
        <item x="350"/>
        <item x="349"/>
        <item x="294"/>
        <item x="301"/>
        <item x="352"/>
        <item x="390"/>
        <item x="367"/>
        <item x="374"/>
        <item x="388"/>
        <item x="347"/>
        <item x="321"/>
        <item x="346"/>
        <item x="320"/>
        <item x="345"/>
        <item x="208"/>
        <item x="397"/>
        <item x="435"/>
        <item x="437"/>
        <item x="444"/>
        <item m="1" x="497"/>
        <item x="452"/>
        <item x="448"/>
        <item x="453"/>
        <item x="348"/>
        <item x="344"/>
        <item x="318"/>
        <item x="317"/>
        <item x="314"/>
        <item x="316"/>
        <item x="3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
    <field x="5"/>
    <field x="3"/>
    <field x="9"/>
  </rowFields>
  <rowItems count="474">
    <i>
      <x/>
      <x/>
      <x v="1"/>
      <x/>
    </i>
    <i r="3">
      <x v="1"/>
    </i>
    <i r="1">
      <x v="3"/>
      <x v="1"/>
      <x v="2"/>
    </i>
    <i r="1">
      <x v="4"/>
      <x v="1"/>
      <x v="428"/>
    </i>
    <i r="1">
      <x v="7"/>
      <x v="1"/>
      <x v="3"/>
    </i>
    <i r="3">
      <x v="4"/>
    </i>
    <i>
      <x v="1"/>
      <x/>
      <x v="1"/>
      <x v="429"/>
    </i>
    <i r="3">
      <x v="430"/>
    </i>
    <i r="3">
      <x v="437"/>
    </i>
    <i r="1">
      <x v="3"/>
      <x v="1"/>
      <x v="432"/>
    </i>
    <i r="3">
      <x v="435"/>
    </i>
    <i r="1">
      <x v="7"/>
      <x/>
      <x v="434"/>
    </i>
    <i r="2">
      <x v="1"/>
      <x v="431"/>
    </i>
    <i r="3">
      <x v="433"/>
    </i>
    <i r="3">
      <x v="436"/>
    </i>
    <i>
      <x v="2"/>
      <x v="4"/>
      <x v="1"/>
      <x v="11"/>
    </i>
    <i>
      <x v="3"/>
      <x/>
      <x v="1"/>
      <x v="101"/>
    </i>
    <i>
      <x v="4"/>
      <x/>
      <x v="1"/>
      <x v="438"/>
    </i>
    <i r="3">
      <x v="442"/>
    </i>
    <i r="1">
      <x v="3"/>
      <x v="1"/>
      <x v="439"/>
    </i>
    <i r="1">
      <x v="7"/>
      <x v="1"/>
      <x v="440"/>
    </i>
    <i r="3">
      <x v="441"/>
    </i>
    <i>
      <x v="6"/>
      <x/>
      <x v="1"/>
      <x v="6"/>
    </i>
    <i r="1">
      <x v="3"/>
      <x v="1"/>
      <x v="7"/>
    </i>
    <i r="3">
      <x v="8"/>
    </i>
    <i r="1">
      <x v="4"/>
      <x v="1"/>
      <x v="10"/>
    </i>
    <i r="1">
      <x v="7"/>
      <x v="1"/>
      <x v="5"/>
    </i>
    <i r="3">
      <x v="9"/>
    </i>
    <i>
      <x v="9"/>
      <x/>
      <x v="1"/>
      <x v="13"/>
    </i>
    <i r="1">
      <x v="4"/>
      <x v="1"/>
      <x v="12"/>
    </i>
    <i>
      <x v="11"/>
      <x/>
      <x v="1"/>
      <x v="443"/>
    </i>
    <i r="3">
      <x v="444"/>
    </i>
    <i>
      <x v="14"/>
      <x/>
      <x v="1"/>
      <x v="15"/>
    </i>
    <i r="1">
      <x v="4"/>
      <x v="1"/>
      <x v="14"/>
    </i>
    <i r="1">
      <x v="7"/>
      <x v="1"/>
      <x v="16"/>
    </i>
    <i>
      <x v="17"/>
      <x/>
      <x v="1"/>
      <x v="33"/>
    </i>
    <i r="3">
      <x v="34"/>
    </i>
    <i r="3">
      <x v="35"/>
    </i>
    <i r="1">
      <x v="3"/>
      <x v="1"/>
      <x v="36"/>
    </i>
    <i r="3">
      <x v="37"/>
    </i>
    <i r="1">
      <x v="7"/>
      <x v="1"/>
      <x v="38"/>
    </i>
    <i r="3">
      <x v="39"/>
    </i>
    <i>
      <x v="19"/>
      <x v="4"/>
      <x v="1"/>
      <x v="40"/>
    </i>
    <i r="1">
      <x v="7"/>
      <x v="1"/>
      <x v="41"/>
    </i>
    <i>
      <x v="21"/>
      <x/>
      <x v="1"/>
      <x v="446"/>
    </i>
    <i r="1">
      <x v="4"/>
      <x v="1"/>
      <x v="42"/>
    </i>
    <i>
      <x v="22"/>
      <x/>
      <x/>
      <x v="23"/>
    </i>
    <i r="3">
      <x v="24"/>
    </i>
    <i r="1">
      <x v="3"/>
      <x/>
      <x v="25"/>
    </i>
    <i r="1">
      <x v="6"/>
      <x/>
      <x v="26"/>
    </i>
    <i r="3">
      <x v="27"/>
    </i>
    <i r="1">
      <x v="7"/>
      <x/>
      <x v="28"/>
    </i>
    <i>
      <x v="23"/>
      <x/>
      <x v="1"/>
      <x v="49"/>
    </i>
    <i r="1">
      <x v="3"/>
      <x v="1"/>
      <x v="50"/>
    </i>
    <i r="1">
      <x v="4"/>
      <x v="1"/>
      <x v="447"/>
    </i>
    <i r="1">
      <x v="7"/>
      <x v="1"/>
      <x v="51"/>
    </i>
    <i>
      <x v="24"/>
      <x/>
      <x v="1"/>
      <x v="43"/>
    </i>
    <i r="1">
      <x v="3"/>
      <x v="1"/>
      <x v="44"/>
    </i>
    <i r="1">
      <x v="7"/>
      <x v="1"/>
      <x v="45"/>
    </i>
    <i>
      <x v="26"/>
      <x v="3"/>
      <x v="1"/>
      <x v="55"/>
    </i>
    <i r="1">
      <x v="4"/>
      <x v="1"/>
      <x v="53"/>
    </i>
    <i r="3">
      <x v="54"/>
    </i>
    <i>
      <x v="30"/>
      <x/>
      <x/>
      <x v="30"/>
    </i>
    <i r="1">
      <x v="3"/>
      <x/>
      <x v="31"/>
    </i>
    <i r="1">
      <x v="4"/>
      <x/>
      <x v="29"/>
    </i>
    <i r="1">
      <x v="7"/>
      <x/>
      <x v="32"/>
    </i>
    <i>
      <x v="31"/>
      <x/>
      <x v="1"/>
      <x v="18"/>
    </i>
    <i r="3">
      <x v="47"/>
    </i>
    <i r="3">
      <x v="48"/>
    </i>
    <i r="1">
      <x v="3"/>
      <x v="1"/>
      <x v="20"/>
    </i>
    <i r="3">
      <x v="21"/>
    </i>
    <i r="1">
      <x v="4"/>
      <x v="1"/>
      <x v="17"/>
    </i>
    <i r="1">
      <x v="6"/>
      <x v="1"/>
      <x v="449"/>
    </i>
    <i r="1">
      <x v="7"/>
      <x v="1"/>
      <x v="22"/>
    </i>
    <i r="3">
      <x v="46"/>
    </i>
    <i>
      <x v="32"/>
      <x v="4"/>
      <x/>
      <x v="93"/>
    </i>
    <i>
      <x v="33"/>
      <x v="4"/>
      <x v="1"/>
      <x v="186"/>
    </i>
    <i r="1">
      <x v="6"/>
      <x v="1"/>
      <x v="187"/>
    </i>
    <i>
      <x v="34"/>
      <x/>
      <x/>
      <x v="68"/>
    </i>
    <i r="3">
      <x v="70"/>
    </i>
    <i r="3">
      <x v="71"/>
    </i>
    <i r="1">
      <x v="3"/>
      <x/>
      <x v="72"/>
    </i>
    <i r="1">
      <x v="4"/>
      <x/>
      <x v="69"/>
    </i>
    <i r="1">
      <x v="7"/>
      <x/>
      <x v="73"/>
    </i>
    <i>
      <x v="36"/>
      <x v="4"/>
      <x v="1"/>
      <x v="451"/>
    </i>
    <i>
      <x v="37"/>
      <x/>
      <x v="1"/>
      <x v="56"/>
    </i>
    <i r="1">
      <x v="3"/>
      <x/>
      <x v="59"/>
    </i>
    <i r="1">
      <x v="4"/>
      <x/>
      <x v="58"/>
    </i>
    <i r="1">
      <x v="7"/>
      <x/>
      <x v="57"/>
    </i>
    <i>
      <x v="38"/>
      <x/>
      <x/>
      <x v="360"/>
    </i>
    <i r="3">
      <x v="361"/>
    </i>
    <i r="3">
      <x v="362"/>
    </i>
    <i r="3">
      <x v="364"/>
    </i>
    <i r="3">
      <x v="365"/>
    </i>
    <i r="1">
      <x v="3"/>
      <x/>
      <x v="366"/>
    </i>
    <i r="3">
      <x v="367"/>
    </i>
    <i r="3">
      <x v="452"/>
    </i>
    <i r="1">
      <x v="4"/>
      <x/>
      <x v="453"/>
    </i>
    <i r="1">
      <x v="7"/>
      <x/>
      <x v="363"/>
    </i>
    <i r="3">
      <x v="368"/>
    </i>
    <i r="3">
      <x v="369"/>
    </i>
    <i>
      <x v="41"/>
      <x/>
      <x v="1"/>
      <x v="86"/>
    </i>
    <i>
      <x v="42"/>
      <x/>
      <x/>
      <x v="88"/>
    </i>
    <i r="3">
      <x v="89"/>
    </i>
    <i r="1">
      <x v="3"/>
      <x/>
      <x v="87"/>
    </i>
    <i r="3">
      <x v="90"/>
    </i>
    <i r="1">
      <x v="4"/>
      <x/>
      <x v="454"/>
    </i>
    <i r="1">
      <x v="7"/>
      <x/>
      <x v="91"/>
    </i>
    <i r="3">
      <x v="92"/>
    </i>
    <i>
      <x v="43"/>
      <x/>
      <x/>
      <x v="83"/>
    </i>
    <i r="1">
      <x v="3"/>
      <x/>
      <x v="84"/>
    </i>
    <i r="1">
      <x v="4"/>
      <x/>
      <x v="82"/>
    </i>
    <i r="3">
      <x v="455"/>
    </i>
    <i>
      <x v="44"/>
      <x/>
      <x v="1"/>
      <x v="75"/>
    </i>
    <i r="3">
      <x v="76"/>
    </i>
    <i r="1">
      <x v="3"/>
      <x v="1"/>
      <x v="78"/>
    </i>
    <i r="3">
      <x v="79"/>
    </i>
    <i r="3">
      <x v="80"/>
    </i>
    <i r="3">
      <x v="416"/>
    </i>
    <i r="1">
      <x v="4"/>
      <x v="1"/>
      <x v="74"/>
    </i>
    <i r="1">
      <x v="6"/>
      <x v="1"/>
      <x v="456"/>
    </i>
    <i r="1">
      <x v="7"/>
      <x v="1"/>
      <x v="81"/>
    </i>
    <i r="3">
      <x v="415"/>
    </i>
    <i>
      <x v="46"/>
      <x/>
      <x v="1"/>
      <x v="94"/>
    </i>
    <i>
      <x v="47"/>
      <x/>
      <x/>
      <x v="60"/>
    </i>
    <i r="3">
      <x v="62"/>
    </i>
    <i r="3">
      <x v="63"/>
    </i>
    <i r="1">
      <x v="3"/>
      <x/>
      <x v="64"/>
    </i>
    <i r="3">
      <x v="65"/>
    </i>
    <i r="1">
      <x v="4"/>
      <x/>
      <x v="61"/>
    </i>
    <i r="1">
      <x v="6"/>
      <x/>
      <x v="457"/>
    </i>
    <i r="1">
      <x v="7"/>
      <x/>
      <x v="66"/>
    </i>
    <i r="3">
      <x v="67"/>
    </i>
    <i>
      <x v="49"/>
      <x/>
      <x v="1"/>
      <x v="95"/>
    </i>
    <i>
      <x v="54"/>
      <x v="3"/>
      <x v="1"/>
      <x v="97"/>
    </i>
    <i r="1">
      <x v="4"/>
      <x v="1"/>
      <x v="96"/>
    </i>
    <i r="3">
      <x v="458"/>
    </i>
    <i>
      <x v="56"/>
      <x/>
      <x v="1"/>
      <x v="98"/>
    </i>
    <i r="3">
      <x v="99"/>
    </i>
    <i r="1">
      <x v="7"/>
      <x v="1"/>
      <x v="100"/>
    </i>
    <i>
      <x v="57"/>
      <x v="7"/>
      <x v="1"/>
      <x v="459"/>
    </i>
    <i>
      <x v="58"/>
      <x/>
      <x v="1"/>
      <x v="102"/>
    </i>
    <i r="3">
      <x v="103"/>
    </i>
    <i>
      <x v="59"/>
      <x v="4"/>
      <x v="1"/>
      <x v="104"/>
    </i>
    <i>
      <x v="60"/>
      <x/>
      <x v="1"/>
      <x v="334"/>
    </i>
    <i r="3">
      <x v="461"/>
    </i>
    <i r="1">
      <x v="4"/>
      <x v="1"/>
      <x v="460"/>
    </i>
    <i r="1">
      <x v="7"/>
      <x v="1"/>
      <x v="336"/>
    </i>
    <i>
      <x v="61"/>
      <x v="3"/>
      <x v="1"/>
      <x v="140"/>
    </i>
    <i>
      <x v="62"/>
      <x/>
      <x v="1"/>
      <x v="105"/>
    </i>
    <i r="1">
      <x v="3"/>
      <x v="1"/>
      <x v="106"/>
    </i>
    <i r="1">
      <x v="7"/>
      <x v="1"/>
      <x v="107"/>
    </i>
    <i>
      <x v="64"/>
      <x/>
      <x v="1"/>
      <x v="356"/>
    </i>
    <i r="3">
      <x v="357"/>
    </i>
    <i r="1">
      <x v="3"/>
      <x v="1"/>
      <x v="358"/>
    </i>
    <i r="1">
      <x v="4"/>
      <x v="1"/>
      <x v="354"/>
    </i>
    <i r="3">
      <x v="355"/>
    </i>
    <i r="1">
      <x v="7"/>
      <x v="1"/>
      <x v="359"/>
    </i>
    <i>
      <x v="65"/>
      <x/>
      <x v="1"/>
      <x v="108"/>
    </i>
    <i r="1">
      <x v="3"/>
      <x v="1"/>
      <x v="109"/>
    </i>
    <i r="3">
      <x v="110"/>
    </i>
    <i r="1">
      <x v="6"/>
      <x v="1"/>
      <x v="111"/>
    </i>
    <i r="1">
      <x v="7"/>
      <x v="1"/>
      <x v="112"/>
    </i>
    <i>
      <x v="67"/>
      <x v="7"/>
      <x v="1"/>
      <x v="113"/>
    </i>
    <i>
      <x v="70"/>
      <x v="7"/>
      <x/>
      <x v="114"/>
    </i>
    <i r="3">
      <x v="115"/>
    </i>
    <i>
      <x v="71"/>
      <x/>
      <x v="1"/>
      <x v="131"/>
    </i>
    <i r="3">
      <x v="132"/>
    </i>
    <i r="1">
      <x v="3"/>
      <x v="1"/>
      <x v="134"/>
    </i>
    <i r="1">
      <x v="4"/>
      <x v="1"/>
      <x v="129"/>
    </i>
    <i r="3">
      <x v="130"/>
    </i>
    <i>
      <x v="72"/>
      <x/>
      <x v="1"/>
      <x v="116"/>
    </i>
    <i r="1">
      <x v="7"/>
      <x v="1"/>
      <x v="117"/>
    </i>
    <i>
      <x v="74"/>
      <x/>
      <x v="1"/>
      <x v="121"/>
    </i>
    <i r="1">
      <x v="3"/>
      <x v="1"/>
      <x v="122"/>
    </i>
    <i r="3">
      <x v="123"/>
    </i>
    <i r="1">
      <x v="4"/>
      <x v="1"/>
      <x v="118"/>
    </i>
    <i r="3">
      <x v="463"/>
    </i>
    <i>
      <x v="78"/>
      <x/>
      <x v="1"/>
      <x v="141"/>
    </i>
    <i r="1">
      <x v="3"/>
      <x v="1"/>
      <x v="142"/>
    </i>
    <i r="3">
      <x v="464"/>
    </i>
    <i r="1">
      <x v="7"/>
      <x v="1"/>
      <x v="143"/>
    </i>
    <i>
      <x v="79"/>
      <x/>
      <x v="1"/>
      <x v="126"/>
    </i>
    <i r="3">
      <x v="127"/>
    </i>
    <i r="1">
      <x v="3"/>
      <x v="1"/>
      <x v="128"/>
    </i>
    <i r="1">
      <x v="4"/>
      <x v="1"/>
      <x v="125"/>
    </i>
    <i>
      <x v="80"/>
      <x/>
      <x/>
      <x v="137"/>
    </i>
    <i r="2">
      <x v="1"/>
      <x v="135"/>
    </i>
    <i r="1">
      <x v="3"/>
      <x/>
      <x v="138"/>
    </i>
    <i r="1">
      <x v="4"/>
      <x/>
      <x v="136"/>
    </i>
    <i r="1">
      <x v="7"/>
      <x/>
      <x v="139"/>
    </i>
    <i>
      <x v="81"/>
      <x/>
      <x v="1"/>
      <x v="144"/>
    </i>
    <i r="3">
      <x v="147"/>
    </i>
    <i r="1">
      <x v="3"/>
      <x v="1"/>
      <x v="145"/>
    </i>
    <i r="1">
      <x v="4"/>
      <x v="1"/>
      <x v="465"/>
    </i>
    <i r="1">
      <x v="7"/>
      <x v="1"/>
      <x v="146"/>
    </i>
    <i>
      <x v="82"/>
      <x v="3"/>
      <x v="1"/>
      <x v="154"/>
    </i>
    <i r="3">
      <x v="155"/>
    </i>
    <i r="1">
      <x v="4"/>
      <x v="1"/>
      <x v="152"/>
    </i>
    <i r="3">
      <x v="153"/>
    </i>
    <i r="1">
      <x v="6"/>
      <x v="1"/>
      <x v="156"/>
    </i>
    <i>
      <x v="84"/>
      <x v="3"/>
      <x v="1"/>
      <x v="150"/>
    </i>
    <i r="1">
      <x v="4"/>
      <x v="1"/>
      <x v="148"/>
    </i>
    <i>
      <x v="87"/>
      <x/>
      <x v="1"/>
      <x v="164"/>
    </i>
    <i r="3">
      <x v="166"/>
    </i>
    <i r="3">
      <x v="167"/>
    </i>
    <i r="3">
      <x v="168"/>
    </i>
    <i r="1">
      <x v="3"/>
      <x v="1"/>
      <x v="169"/>
    </i>
    <i r="3">
      <x v="468"/>
    </i>
    <i r="1">
      <x v="4"/>
      <x v="1"/>
      <x v="163"/>
    </i>
    <i r="3">
      <x v="467"/>
    </i>
    <i r="1">
      <x v="7"/>
      <x v="1"/>
      <x v="170"/>
    </i>
    <i r="3">
      <x v="171"/>
    </i>
    <i r="3">
      <x v="172"/>
    </i>
    <i r="3">
      <x v="173"/>
    </i>
    <i r="3">
      <x v="174"/>
    </i>
    <i r="3">
      <x v="466"/>
    </i>
    <i>
      <x v="88"/>
      <x/>
      <x v="1"/>
      <x v="157"/>
    </i>
    <i r="3">
      <x v="158"/>
    </i>
    <i r="3">
      <x v="470"/>
    </i>
    <i r="1">
      <x v="3"/>
      <x v="1"/>
      <x v="159"/>
    </i>
    <i r="3">
      <x v="160"/>
    </i>
    <i r="1">
      <x v="7"/>
      <x v="1"/>
      <x v="161"/>
    </i>
    <i r="3">
      <x v="162"/>
    </i>
    <i r="3">
      <x v="469"/>
    </i>
    <i>
      <x v="89"/>
      <x/>
      <x v="1"/>
      <x v="175"/>
    </i>
    <i>
      <x v="94"/>
      <x/>
      <x v="1"/>
      <x v="176"/>
    </i>
    <i>
      <x v="97"/>
      <x/>
      <x v="1"/>
      <x v="177"/>
    </i>
    <i r="1">
      <x v="7"/>
      <x v="1"/>
      <x v="178"/>
    </i>
    <i>
      <x v="98"/>
      <x/>
      <x v="1"/>
      <x v="179"/>
    </i>
    <i r="3">
      <x v="180"/>
    </i>
    <i r="1">
      <x v="3"/>
      <x v="1"/>
      <x v="181"/>
    </i>
    <i r="3">
      <x v="182"/>
    </i>
    <i r="1">
      <x v="7"/>
      <x v="1"/>
      <x v="183"/>
    </i>
    <i r="3">
      <x v="184"/>
    </i>
    <i>
      <x v="100"/>
      <x v="4"/>
      <x v="1"/>
      <x v="305"/>
    </i>
    <i>
      <x v="102"/>
      <x/>
      <x/>
      <x v="308"/>
    </i>
    <i r="1">
      <x v="4"/>
      <x/>
      <x v="472"/>
    </i>
    <i r="1">
      <x v="7"/>
      <x/>
      <x v="309"/>
    </i>
    <i>
      <x v="104"/>
      <x v="4"/>
      <x v="1"/>
      <x v="185"/>
    </i>
    <i>
      <x v="105"/>
      <x/>
      <x v="1"/>
      <x v="189"/>
    </i>
    <i r="1">
      <x v="3"/>
      <x v="1"/>
      <x v="190"/>
    </i>
    <i r="1">
      <x v="4"/>
      <x v="1"/>
      <x v="188"/>
    </i>
    <i r="1">
      <x v="7"/>
      <x v="1"/>
      <x v="191"/>
    </i>
    <i>
      <x v="108"/>
      <x v="4"/>
      <x v="1"/>
      <x v="203"/>
    </i>
    <i r="3">
      <x v="204"/>
    </i>
    <i>
      <x v="109"/>
      <x/>
      <x v="1"/>
      <x v="192"/>
    </i>
    <i r="3">
      <x v="195"/>
    </i>
    <i r="1">
      <x v="3"/>
      <x v="1"/>
      <x v="196"/>
    </i>
    <i r="3">
      <x v="197"/>
    </i>
    <i r="1">
      <x v="4"/>
      <x v="1"/>
      <x v="193"/>
    </i>
    <i r="3">
      <x v="194"/>
    </i>
    <i r="1">
      <x v="7"/>
      <x v="1"/>
      <x v="198"/>
    </i>
    <i>
      <x v="114"/>
      <x/>
      <x v="1"/>
      <x v="213"/>
    </i>
    <i r="3">
      <x v="214"/>
    </i>
    <i r="1">
      <x v="3"/>
      <x v="1"/>
      <x v="215"/>
    </i>
    <i r="3">
      <x v="216"/>
    </i>
    <i r="1">
      <x v="6"/>
      <x v="1"/>
      <x v="474"/>
    </i>
    <i r="1">
      <x v="7"/>
      <x v="1"/>
      <x v="217"/>
    </i>
    <i r="3">
      <x v="218"/>
    </i>
    <i>
      <x v="115"/>
      <x/>
      <x v="1"/>
      <x v="225"/>
    </i>
    <i r="1">
      <x v="3"/>
      <x v="1"/>
      <x v="252"/>
    </i>
    <i r="3">
      <x v="253"/>
    </i>
    <i r="1">
      <x v="4"/>
      <x v="1"/>
      <x v="249"/>
    </i>
    <i r="3">
      <x v="250"/>
    </i>
    <i r="3">
      <x v="251"/>
    </i>
    <i>
      <x v="116"/>
      <x/>
      <x v="1"/>
      <x v="254"/>
    </i>
    <i>
      <x v="118"/>
      <x/>
      <x/>
      <x v="220"/>
    </i>
    <i r="3">
      <x v="221"/>
    </i>
    <i r="1">
      <x v="3"/>
      <x/>
      <x v="222"/>
    </i>
    <i r="3">
      <x v="476"/>
    </i>
    <i r="1">
      <x v="4"/>
      <x/>
      <x v="219"/>
    </i>
    <i r="3">
      <x v="475"/>
    </i>
    <i r="1">
      <x v="6"/>
      <x/>
      <x v="223"/>
    </i>
    <i r="1">
      <x v="7"/>
      <x/>
      <x v="224"/>
    </i>
    <i>
      <x v="121"/>
      <x/>
      <x v="1"/>
      <x v="243"/>
    </i>
    <i r="1">
      <x v="3"/>
      <x v="1"/>
      <x v="244"/>
    </i>
    <i r="1">
      <x v="4"/>
      <x v="1"/>
      <x v="246"/>
    </i>
    <i r="1">
      <x v="7"/>
      <x v="1"/>
      <x v="245"/>
    </i>
    <i>
      <x v="122"/>
      <x/>
      <x v="1"/>
      <x v="247"/>
    </i>
    <i r="3">
      <x v="248"/>
    </i>
    <i>
      <x v="125"/>
      <x v="4"/>
      <x/>
      <x v="211"/>
    </i>
    <i r="1">
      <x v="7"/>
      <x/>
      <x v="212"/>
    </i>
    <i>
      <x v="127"/>
      <x/>
      <x v="1"/>
      <x v="232"/>
    </i>
    <i r="1">
      <x v="4"/>
      <x v="1"/>
      <x v="231"/>
    </i>
    <i r="1">
      <x v="7"/>
      <x v="1"/>
      <x v="233"/>
    </i>
    <i>
      <x v="128"/>
      <x/>
      <x/>
      <x v="230"/>
    </i>
    <i>
      <x v="129"/>
      <x/>
      <x/>
      <x v="208"/>
    </i>
    <i r="1">
      <x v="4"/>
      <x/>
      <x v="207"/>
    </i>
    <i r="1">
      <x v="6"/>
      <x/>
      <x v="209"/>
    </i>
    <i r="1">
      <x v="7"/>
      <x/>
      <x v="210"/>
    </i>
    <i>
      <x v="130"/>
      <x/>
      <x v="1"/>
      <x v="238"/>
    </i>
    <i r="3">
      <x v="239"/>
    </i>
    <i r="1">
      <x v="3"/>
      <x v="1"/>
      <x v="240"/>
    </i>
    <i r="3">
      <x v="241"/>
    </i>
    <i r="1">
      <x v="4"/>
      <x v="1"/>
      <x v="236"/>
    </i>
    <i r="3">
      <x v="237"/>
    </i>
    <i r="1">
      <x v="6"/>
      <x v="1"/>
      <x v="235"/>
    </i>
    <i r="1">
      <x v="7"/>
      <x v="1"/>
      <x v="234"/>
    </i>
    <i r="3">
      <x v="242"/>
    </i>
    <i>
      <x v="159"/>
      <x/>
      <x v="1"/>
      <x v="226"/>
    </i>
    <i r="3">
      <x v="227"/>
    </i>
    <i r="1">
      <x v="7"/>
      <x v="1"/>
      <x v="228"/>
    </i>
    <i r="3">
      <x v="229"/>
    </i>
    <i>
      <x v="160"/>
      <x/>
      <x v="1"/>
      <x v="283"/>
    </i>
    <i r="1">
      <x v="3"/>
      <x v="1"/>
      <x v="257"/>
    </i>
    <i r="1">
      <x v="4"/>
      <x v="1"/>
      <x v="255"/>
    </i>
    <i r="3">
      <x v="256"/>
    </i>
    <i r="3">
      <x v="258"/>
    </i>
    <i>
      <x v="162"/>
      <x/>
      <x v="1"/>
      <x v="259"/>
    </i>
    <i r="3">
      <x v="284"/>
    </i>
    <i r="1">
      <x v="3"/>
      <x v="1"/>
      <x v="285"/>
    </i>
    <i r="1">
      <x v="7"/>
      <x v="1"/>
      <x v="286"/>
    </i>
    <i>
      <x v="165"/>
      <x/>
      <x v="1"/>
      <x v="280"/>
    </i>
    <i r="1">
      <x v="3"/>
      <x v="1"/>
      <x v="281"/>
    </i>
    <i r="1">
      <x v="4"/>
      <x v="1"/>
      <x v="477"/>
    </i>
    <i r="1">
      <x v="7"/>
      <x v="1"/>
      <x v="282"/>
    </i>
    <i>
      <x v="166"/>
      <x/>
      <x/>
      <x v="262"/>
    </i>
    <i r="3">
      <x v="263"/>
    </i>
    <i r="1">
      <x v="3"/>
      <x/>
      <x v="264"/>
    </i>
    <i r="1">
      <x v="7"/>
      <x/>
      <x v="265"/>
    </i>
    <i r="3">
      <x v="266"/>
    </i>
    <i>
      <x v="167"/>
      <x/>
      <x v="1"/>
      <x v="268"/>
    </i>
    <i r="3">
      <x v="269"/>
    </i>
    <i r="3">
      <x v="270"/>
    </i>
    <i r="1">
      <x v="3"/>
      <x v="1"/>
      <x v="271"/>
    </i>
    <i r="3">
      <x v="272"/>
    </i>
    <i r="1">
      <x v="4"/>
      <x v="1"/>
      <x v="267"/>
    </i>
    <i r="1">
      <x v="6"/>
      <x v="1"/>
      <x v="273"/>
    </i>
    <i r="3">
      <x v="478"/>
    </i>
    <i r="1">
      <x v="7"/>
      <x v="1"/>
      <x v="275"/>
    </i>
    <i r="3">
      <x v="276"/>
    </i>
    <i r="3">
      <x v="277"/>
    </i>
    <i>
      <x v="171"/>
      <x v="3"/>
      <x v="1"/>
      <x v="479"/>
    </i>
    <i r="1">
      <x v="4"/>
      <x v="1"/>
      <x v="480"/>
    </i>
    <i>
      <x v="173"/>
      <x/>
      <x v="1"/>
      <x v="287"/>
    </i>
    <i r="3">
      <x v="288"/>
    </i>
    <i r="3">
      <x v="481"/>
    </i>
    <i r="1">
      <x v="3"/>
      <x v="1"/>
      <x v="289"/>
    </i>
    <i r="3">
      <x v="290"/>
    </i>
    <i r="1">
      <x v="7"/>
      <x v="1"/>
      <x v="292"/>
    </i>
    <i r="3">
      <x v="293"/>
    </i>
    <i r="3">
      <x v="294"/>
    </i>
    <i>
      <x v="176"/>
      <x v="4"/>
      <x v="1"/>
      <x v="295"/>
    </i>
    <i>
      <x v="177"/>
      <x v="3"/>
      <x v="1"/>
      <x v="304"/>
    </i>
    <i r="1">
      <x v="4"/>
      <x v="1"/>
      <x v="303"/>
    </i>
    <i>
      <x v="178"/>
      <x/>
      <x v="1"/>
      <x v="306"/>
    </i>
    <i r="1">
      <x v="7"/>
      <x v="1"/>
      <x v="307"/>
    </i>
    <i>
      <x v="179"/>
      <x/>
      <x v="1"/>
      <x v="296"/>
    </i>
    <i r="3">
      <x v="297"/>
    </i>
    <i r="1">
      <x v="4"/>
      <x v="1"/>
      <x v="482"/>
    </i>
    <i r="1">
      <x v="7"/>
      <x v="1"/>
      <x v="298"/>
    </i>
    <i>
      <x v="180"/>
      <x/>
      <x v="1"/>
      <x v="299"/>
    </i>
    <i r="3">
      <x v="300"/>
    </i>
    <i r="1">
      <x v="3"/>
      <x v="1"/>
      <x v="301"/>
    </i>
    <i r="1">
      <x v="7"/>
      <x v="1"/>
      <x v="302"/>
    </i>
    <i>
      <x v="184"/>
      <x v="7"/>
      <x/>
      <x v="312"/>
    </i>
    <i>
      <x v="185"/>
      <x/>
      <x v="1"/>
      <x v="483"/>
    </i>
    <i>
      <x v="186"/>
      <x/>
      <x v="1"/>
      <x v="314"/>
    </i>
    <i r="1">
      <x v="3"/>
      <x v="1"/>
      <x v="315"/>
    </i>
    <i r="1">
      <x v="4"/>
      <x v="1"/>
      <x v="313"/>
    </i>
    <i r="1">
      <x v="7"/>
      <x v="1"/>
      <x v="316"/>
    </i>
    <i>
      <x v="192"/>
      <x v="4"/>
      <x/>
      <x v="347"/>
    </i>
    <i r="3">
      <x v="484"/>
    </i>
    <i>
      <x v="194"/>
      <x/>
      <x/>
      <x v="322"/>
    </i>
    <i r="3">
      <x v="323"/>
    </i>
    <i r="3">
      <x v="337"/>
    </i>
    <i r="1">
      <x v="3"/>
      <x/>
      <x v="324"/>
    </i>
    <i r="1">
      <x v="4"/>
      <x/>
      <x v="326"/>
    </i>
    <i r="3">
      <x v="485"/>
    </i>
    <i r="1">
      <x v="6"/>
      <x/>
      <x v="325"/>
    </i>
    <i>
      <x v="195"/>
      <x/>
      <x/>
      <x v="342"/>
    </i>
    <i>
      <x v="197"/>
      <x/>
      <x v="1"/>
      <x v="330"/>
    </i>
    <i r="1">
      <x v="3"/>
      <x v="1"/>
      <x v="331"/>
    </i>
    <i r="3">
      <x v="332"/>
    </i>
    <i r="1">
      <x v="4"/>
      <x v="1"/>
      <x v="333"/>
    </i>
    <i r="3">
      <x v="486"/>
    </i>
    <i>
      <x v="202"/>
      <x v="3"/>
      <x v="1"/>
      <x v="328"/>
    </i>
    <i r="1">
      <x v="4"/>
      <x v="1"/>
      <x v="327"/>
    </i>
    <i r="1">
      <x v="7"/>
      <x v="1"/>
      <x v="329"/>
    </i>
    <i>
      <x v="203"/>
      <x/>
      <x v="1"/>
      <x v="339"/>
    </i>
    <i r="1">
      <x v="3"/>
      <x v="1"/>
      <x v="340"/>
    </i>
    <i r="1">
      <x v="7"/>
      <x v="1"/>
      <x v="341"/>
    </i>
    <i>
      <x v="204"/>
      <x v="4"/>
      <x v="1"/>
      <x v="407"/>
    </i>
    <i r="3">
      <x v="408"/>
    </i>
    <i r="3">
      <x v="411"/>
    </i>
    <i r="3">
      <x v="412"/>
    </i>
    <i>
      <x v="205"/>
      <x/>
      <x v="1"/>
      <x v="344"/>
    </i>
    <i r="1">
      <x v="3"/>
      <x v="1"/>
      <x v="345"/>
    </i>
    <i r="3">
      <x v="487"/>
    </i>
    <i r="1">
      <x v="4"/>
      <x v="1"/>
      <x v="343"/>
    </i>
    <i r="1">
      <x v="7"/>
      <x v="1"/>
      <x v="346"/>
    </i>
    <i>
      <x v="206"/>
      <x v="3"/>
      <x v="1"/>
      <x v="490"/>
    </i>
    <i r="1">
      <x v="7"/>
      <x v="1"/>
      <x v="488"/>
    </i>
    <i r="3">
      <x v="489"/>
    </i>
    <i>
      <x v="207"/>
      <x v="7"/>
      <x v="1"/>
      <x v="491"/>
    </i>
    <i r="3">
      <x v="492"/>
    </i>
    <i>
      <x v="209"/>
      <x/>
      <x v="1"/>
      <x v="199"/>
    </i>
    <i r="3">
      <x v="200"/>
    </i>
    <i r="1">
      <x v="3"/>
      <x v="1"/>
      <x v="201"/>
    </i>
    <i r="1">
      <x v="6"/>
      <x v="1"/>
      <x v="493"/>
    </i>
    <i r="1">
      <x v="7"/>
      <x v="1"/>
      <x v="202"/>
    </i>
    <i>
      <x v="210"/>
      <x/>
      <x v="1"/>
      <x v="317"/>
    </i>
    <i r="3">
      <x v="348"/>
    </i>
    <i r="1">
      <x v="3"/>
      <x v="1"/>
      <x v="318"/>
    </i>
    <i r="3">
      <x v="319"/>
    </i>
    <i r="3">
      <x v="349"/>
    </i>
    <i r="3">
      <x v="350"/>
    </i>
    <i r="1">
      <x v="6"/>
      <x v="1"/>
      <x v="320"/>
    </i>
    <i r="1">
      <x v="7"/>
      <x v="1"/>
      <x v="321"/>
    </i>
    <i r="3">
      <x v="351"/>
    </i>
    <i>
      <x v="211"/>
      <x/>
      <x v="1"/>
      <x v="494"/>
    </i>
    <i r="1">
      <x v="3"/>
      <x v="1"/>
      <x v="353"/>
    </i>
    <i r="1">
      <x v="4"/>
      <x v="1"/>
      <x v="352"/>
    </i>
    <i>
      <x v="216"/>
      <x/>
      <x v="1"/>
      <x v="376"/>
    </i>
    <i r="1">
      <x v="4"/>
      <x v="1"/>
      <x v="375"/>
    </i>
    <i r="1">
      <x v="7"/>
      <x v="1"/>
      <x v="377"/>
    </i>
    <i>
      <x v="217"/>
      <x/>
      <x v="1"/>
      <x v="382"/>
    </i>
    <i r="3">
      <x v="495"/>
    </i>
    <i r="1">
      <x v="3"/>
      <x v="1"/>
      <x v="389"/>
    </i>
    <i r="1">
      <x v="4"/>
      <x v="1"/>
      <x v="386"/>
    </i>
    <i r="3">
      <x v="387"/>
    </i>
    <i r="1">
      <x v="7"/>
      <x v="1"/>
      <x v="496"/>
    </i>
    <i>
      <x v="218"/>
      <x v="4"/>
      <x v="1"/>
      <x v="373"/>
    </i>
    <i r="3">
      <x v="374"/>
    </i>
    <i>
      <x v="219"/>
      <x/>
      <x v="1"/>
      <x v="379"/>
    </i>
    <i r="1">
      <x v="3"/>
      <x v="1"/>
      <x v="380"/>
    </i>
    <i r="1">
      <x v="7"/>
      <x v="1"/>
      <x v="381"/>
    </i>
    <i>
      <x v="220"/>
      <x/>
      <x/>
      <x v="370"/>
    </i>
    <i r="1">
      <x v="3"/>
      <x/>
      <x v="371"/>
    </i>
    <i r="1">
      <x v="7"/>
      <x/>
      <x v="372"/>
    </i>
    <i>
      <x v="224"/>
      <x/>
      <x v="1"/>
      <x v="383"/>
    </i>
    <i r="3">
      <x v="385"/>
    </i>
    <i r="1">
      <x v="7"/>
      <x v="1"/>
      <x v="384"/>
    </i>
    <i>
      <x v="226"/>
      <x v="7"/>
      <x v="1"/>
      <x v="378"/>
    </i>
    <i>
      <x v="228"/>
      <x/>
      <x v="1"/>
      <x v="392"/>
    </i>
    <i r="3">
      <x v="497"/>
    </i>
    <i r="1">
      <x v="3"/>
      <x v="1"/>
      <x v="393"/>
    </i>
    <i r="3">
      <x v="394"/>
    </i>
    <i r="1">
      <x v="4"/>
      <x v="1"/>
      <x v="391"/>
    </i>
    <i r="1">
      <x v="6"/>
      <x v="1"/>
      <x v="395"/>
    </i>
    <i r="1">
      <x v="7"/>
      <x v="1"/>
      <x v="396"/>
    </i>
    <i>
      <x v="229"/>
      <x v="4"/>
      <x v="1"/>
      <x v="397"/>
    </i>
    <i r="3">
      <x v="398"/>
    </i>
    <i r="3">
      <x v="399"/>
    </i>
    <i>
      <x v="234"/>
      <x/>
      <x v="1"/>
      <x v="400"/>
    </i>
    <i r="1">
      <x v="3"/>
      <x v="1"/>
      <x v="401"/>
    </i>
    <i r="1">
      <x v="4"/>
      <x v="1"/>
      <x v="500"/>
    </i>
    <i r="1">
      <x v="7"/>
      <x v="1"/>
      <x v="402"/>
    </i>
    <i r="3">
      <x v="499"/>
    </i>
    <i>
      <x v="236"/>
      <x v="3"/>
      <x v="1"/>
      <x v="501"/>
    </i>
    <i>
      <x v="237"/>
      <x/>
      <x v="1"/>
      <x v="403"/>
    </i>
    <i r="3">
      <x v="404"/>
    </i>
    <i r="1">
      <x v="7"/>
      <x v="1"/>
      <x v="405"/>
    </i>
    <i>
      <x v="238"/>
      <x v="4"/>
      <x v="1"/>
      <x v="502"/>
    </i>
    <i>
      <x v="240"/>
      <x/>
      <x v="1"/>
      <x v="503"/>
    </i>
    <i r="3">
      <x v="505"/>
    </i>
    <i r="3">
      <x v="507"/>
    </i>
    <i r="3">
      <x v="508"/>
    </i>
    <i r="1">
      <x v="4"/>
      <x v="1"/>
      <x v="506"/>
    </i>
    <i r="1">
      <x v="7"/>
      <x v="1"/>
      <x v="504"/>
    </i>
    <i>
      <x v="241"/>
      <x v="7"/>
      <x v="1"/>
      <x v="406"/>
    </i>
    <i>
      <x v="242"/>
      <x/>
      <x v="1"/>
      <x v="414"/>
    </i>
    <i r="1">
      <x v="3"/>
      <x v="1"/>
      <x v="420"/>
    </i>
    <i r="3">
      <x v="421"/>
    </i>
    <i r="1">
      <x v="4"/>
      <x v="1"/>
      <x v="418"/>
    </i>
    <i r="3">
      <x v="419"/>
    </i>
    <i>
      <x v="243"/>
      <x v="3"/>
      <x v="1"/>
      <x v="311"/>
    </i>
    <i r="1">
      <x v="4"/>
      <x v="1"/>
      <x v="310"/>
    </i>
    <i>
      <x v="244"/>
      <x/>
      <x v="1"/>
      <x v="422"/>
    </i>
    <i r="1">
      <x v="3"/>
      <x v="1"/>
      <x v="423"/>
    </i>
    <i r="1">
      <x v="7"/>
      <x v="1"/>
      <x v="424"/>
    </i>
    <i>
      <x v="245"/>
      <x v="9"/>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1B0F369-560C-43D2-8B5B-10E88ADA9CAF}" name="PivotTable3" cacheId="2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Y2:Z476"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0"/>
        <item x="80"/>
        <item x="2"/>
        <item x="26"/>
        <item x="86"/>
        <item m="1" x="217"/>
        <item x="1"/>
        <item m="1" x="123"/>
        <item m="1" x="193"/>
        <item x="3"/>
        <item m="1" x="134"/>
        <item x="88"/>
        <item m="1" x="211"/>
        <item m="1" x="237"/>
        <item x="4"/>
        <item m="1" x="240"/>
        <item m="1" x="145"/>
        <item x="8"/>
        <item m="1" x="191"/>
        <item x="9"/>
        <item m="1" x="207"/>
        <item x="10"/>
        <item x="6"/>
        <item x="12"/>
        <item x="11"/>
        <item m="1" x="234"/>
        <item x="13"/>
        <item m="1" x="190"/>
        <item m="1" x="140"/>
        <item m="1" x="136"/>
        <item x="7"/>
        <item x="5"/>
        <item x="21"/>
        <item x="50"/>
        <item x="16"/>
        <item m="1" x="153"/>
        <item x="87"/>
        <item x="14"/>
        <item x="105"/>
        <item m="1" x="219"/>
        <item m="1" x="144"/>
        <item x="19"/>
        <item x="20"/>
        <item x="18"/>
        <item x="17"/>
        <item m="1" x="203"/>
        <item x="22"/>
        <item x="15"/>
        <item m="1" x="204"/>
        <item x="23"/>
        <item m="1" x="173"/>
        <item m="1" x="155"/>
        <item m="1" x="149"/>
        <item m="1" x="124"/>
        <item x="24"/>
        <item m="1" x="235"/>
        <item x="25"/>
        <item x="85"/>
        <item x="27"/>
        <item x="28"/>
        <item x="98"/>
        <item x="38"/>
        <item x="29"/>
        <item m="1" x="214"/>
        <item x="104"/>
        <item x="30"/>
        <item m="1" x="215"/>
        <item x="31"/>
        <item m="1" x="179"/>
        <item m="1" x="132"/>
        <item x="32"/>
        <item x="36"/>
        <item x="33"/>
        <item m="1" x="125"/>
        <item x="34"/>
        <item m="1" x="181"/>
        <item m="1" x="160"/>
        <item m="1" x="188"/>
        <item x="39"/>
        <item x="35"/>
        <item x="37"/>
        <item x="40"/>
        <item x="42"/>
        <item m="1" x="231"/>
        <item x="41"/>
        <item m="1" x="174"/>
        <item m="1" x="166"/>
        <item x="44"/>
        <item x="43"/>
        <item x="45"/>
        <item m="1" x="178"/>
        <item m="1" x="141"/>
        <item m="1" x="194"/>
        <item m="1" x="147"/>
        <item x="46"/>
        <item m="1" x="239"/>
        <item m="1" x="162"/>
        <item x="47"/>
        <item x="48"/>
        <item m="1" x="224"/>
        <item x="77"/>
        <item m="1" x="164"/>
        <item x="83"/>
        <item m="1" x="163"/>
        <item x="49"/>
        <item x="51"/>
        <item m="1" x="170"/>
        <item m="1" x="154"/>
        <item x="54"/>
        <item x="52"/>
        <item m="1" x="148"/>
        <item m="1" x="195"/>
        <item m="1" x="241"/>
        <item m="1" x="167"/>
        <item x="57"/>
        <item x="59"/>
        <item x="66"/>
        <item m="1" x="222"/>
        <item x="58"/>
        <item m="1" x="152"/>
        <item m="1" x="139"/>
        <item x="64"/>
        <item x="65"/>
        <item m="1" x="223"/>
        <item m="1" x="189"/>
        <item x="56"/>
        <item m="1" x="186"/>
        <item x="62"/>
        <item x="61"/>
        <item x="55"/>
        <item x="63"/>
        <item m="1" x="146"/>
        <item m="1" x="232"/>
        <item m="1" x="197"/>
        <item m="1" x="126"/>
        <item m="1" x="184"/>
        <item m="1" x="180"/>
        <item m="1" x="185"/>
        <item m="1" x="245"/>
        <item m="1" x="213"/>
        <item m="1" x="238"/>
        <item m="1" x="227"/>
        <item m="1" x="143"/>
        <item m="1" x="220"/>
        <item m="1" x="221"/>
        <item m="1" x="243"/>
        <item m="1" x="131"/>
        <item m="1" x="230"/>
        <item m="1" x="182"/>
        <item m="1" x="209"/>
        <item m="1" x="165"/>
        <item m="1" x="244"/>
        <item m="1" x="133"/>
        <item m="1" x="135"/>
        <item m="1" x="177"/>
        <item m="1" x="150"/>
        <item m="1" x="212"/>
        <item m="1" x="201"/>
        <item m="1" x="130"/>
        <item x="60"/>
        <item x="67"/>
        <item m="1" x="127"/>
        <item x="68"/>
        <item m="1" x="183"/>
        <item m="1" x="137"/>
        <item x="71"/>
        <item x="69"/>
        <item x="70"/>
        <item m="1" x="199"/>
        <item m="1" x="157"/>
        <item m="1" x="198"/>
        <item x="90"/>
        <item m="1" x="205"/>
        <item x="72"/>
        <item m="1" x="156"/>
        <item m="1" x="142"/>
        <item x="73"/>
        <item x="76"/>
        <item x="78"/>
        <item x="74"/>
        <item x="75"/>
        <item m="1" x="192"/>
        <item m="1" x="196"/>
        <item m="1" x="172"/>
        <item x="91"/>
        <item x="92"/>
        <item x="93"/>
        <item m="1" x="216"/>
        <item m="1" x="128"/>
        <item m="1" x="208"/>
        <item m="1" x="158"/>
        <item m="1" x="202"/>
        <item x="102"/>
        <item m="1" x="168"/>
        <item x="95"/>
        <item x="100"/>
        <item m="1" x="218"/>
        <item x="97"/>
        <item m="1" x="200"/>
        <item m="1" x="161"/>
        <item m="1" x="233"/>
        <item m="1" x="176"/>
        <item x="96"/>
        <item x="99"/>
        <item x="119"/>
        <item x="101"/>
        <item x="82"/>
        <item x="81"/>
        <item m="1" x="169"/>
        <item x="53"/>
        <item x="94"/>
        <item x="103"/>
        <item m="1" x="159"/>
        <item m="1" x="129"/>
        <item m="1" x="187"/>
        <item m="1" x="138"/>
        <item x="108"/>
        <item x="111"/>
        <item x="107"/>
        <item x="110"/>
        <item x="106"/>
        <item m="1" x="226"/>
        <item m="1" x="228"/>
        <item m="1" x="242"/>
        <item x="112"/>
        <item m="1" x="229"/>
        <item x="109"/>
        <item m="1" x="206"/>
        <item x="113"/>
        <item x="114"/>
        <item m="1" x="225"/>
        <item m="1" x="236"/>
        <item m="1" x="175"/>
        <item m="1" x="210"/>
        <item x="115"/>
        <item m="1" x="171"/>
        <item x="116"/>
        <item x="117"/>
        <item x="89"/>
        <item m="1" x="151"/>
        <item x="79"/>
        <item x="118"/>
        <item x="120"/>
        <item x="84"/>
        <item x="121"/>
        <item x="1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9">
        <item x="0"/>
        <item x="1"/>
        <item x="2"/>
        <item x="3"/>
        <item x="4"/>
        <item x="6"/>
        <item x="7"/>
        <item x="8"/>
        <item x="9"/>
        <item x="10"/>
        <item x="11"/>
        <item x="12"/>
        <item x="13"/>
        <item x="14"/>
        <item x="15"/>
        <item x="16"/>
        <item x="17"/>
        <item x="18"/>
        <item x="19"/>
        <item m="1" x="488"/>
        <item x="20"/>
        <item x="21"/>
        <item x="23"/>
        <item x="24"/>
        <item x="25"/>
        <item x="26"/>
        <item x="27"/>
        <item x="28"/>
        <item x="29"/>
        <item x="30"/>
        <item x="31"/>
        <item x="32"/>
        <item x="33"/>
        <item x="34"/>
        <item x="35"/>
        <item x="36"/>
        <item x="37"/>
        <item x="38"/>
        <item x="39"/>
        <item x="40"/>
        <item x="41"/>
        <item x="42"/>
        <item x="43"/>
        <item x="45"/>
        <item x="46"/>
        <item x="47"/>
        <item x="48"/>
        <item x="49"/>
        <item x="50"/>
        <item x="52"/>
        <item x="53"/>
        <item x="54"/>
        <item m="1" x="484"/>
        <item x="55"/>
        <item x="56"/>
        <item x="57"/>
        <item x="58"/>
        <item x="59"/>
        <item x="60"/>
        <item x="61"/>
        <item x="62"/>
        <item x="63"/>
        <item x="64"/>
        <item x="65"/>
        <item x="66"/>
        <item x="67"/>
        <item x="69"/>
        <item x="70"/>
        <item x="71"/>
        <item x="72"/>
        <item x="73"/>
        <item x="74"/>
        <item x="75"/>
        <item x="76"/>
        <item x="77"/>
        <item x="78"/>
        <item x="79"/>
        <item m="1" x="504"/>
        <item x="80"/>
        <item x="81"/>
        <item x="82"/>
        <item x="84"/>
        <item x="85"/>
        <item x="87"/>
        <item x="88"/>
        <item m="1" x="480"/>
        <item x="89"/>
        <item x="90"/>
        <item x="91"/>
        <item x="93"/>
        <item x="94"/>
        <item x="95"/>
        <item x="96"/>
        <item x="97"/>
        <item x="98"/>
        <item x="99"/>
        <item x="100"/>
        <item x="101"/>
        <item x="103"/>
        <item x="104"/>
        <item x="105"/>
        <item x="106"/>
        <item x="107"/>
        <item x="108"/>
        <item x="109"/>
        <item x="110"/>
        <item x="111"/>
        <item x="112"/>
        <item x="113"/>
        <item x="114"/>
        <item x="115"/>
        <item x="116"/>
        <item x="117"/>
        <item x="118"/>
        <item x="119"/>
        <item x="120"/>
        <item x="121"/>
        <item x="122"/>
        <item x="124"/>
        <item m="1" x="501"/>
        <item m="1" x="505"/>
        <item x="125"/>
        <item x="126"/>
        <item x="127"/>
        <item m="1" x="477"/>
        <item x="128"/>
        <item x="129"/>
        <item x="130"/>
        <item x="131"/>
        <item x="132"/>
        <item x="133"/>
        <item x="134"/>
        <item x="135"/>
        <item m="1" x="495"/>
        <item x="136"/>
        <item x="137"/>
        <item x="138"/>
        <item x="139"/>
        <item x="140"/>
        <item x="141"/>
        <item x="142"/>
        <item x="143"/>
        <item x="145"/>
        <item x="146"/>
        <item x="148"/>
        <item x="149"/>
        <item x="150"/>
        <item x="151"/>
        <item x="152"/>
        <item m="1" x="483"/>
        <item x="153"/>
        <item m="1" x="481"/>
        <item x="154"/>
        <item x="155"/>
        <item x="156"/>
        <item x="157"/>
        <item x="158"/>
        <item x="160"/>
        <item x="161"/>
        <item x="162"/>
        <item x="163"/>
        <item x="164"/>
        <item x="165"/>
        <item x="168"/>
        <item x="169"/>
        <item m="1" x="493"/>
        <item x="170"/>
        <item x="171"/>
        <item x="172"/>
        <item x="173"/>
        <item x="175"/>
        <item x="176"/>
        <item x="177"/>
        <item x="178"/>
        <item x="179"/>
        <item x="181"/>
        <item x="182"/>
        <item x="183"/>
        <item x="184"/>
        <item x="185"/>
        <item x="186"/>
        <item x="187"/>
        <item x="188"/>
        <item x="189"/>
        <item x="190"/>
        <item x="191"/>
        <item x="192"/>
        <item x="193"/>
        <item x="194"/>
        <item x="195"/>
        <item x="196"/>
        <item x="197"/>
        <item x="198"/>
        <item x="199"/>
        <item x="200"/>
        <item x="201"/>
        <item x="202"/>
        <item x="203"/>
        <item x="204"/>
        <item x="205"/>
        <item x="206"/>
        <item x="207"/>
        <item x="209"/>
        <item x="210"/>
        <item x="211"/>
        <item m="1" x="496"/>
        <item m="1" x="499"/>
        <item x="212"/>
        <item x="213"/>
        <item x="214"/>
        <item x="215"/>
        <item x="216"/>
        <item x="217"/>
        <item x="218"/>
        <item x="219"/>
        <item x="220"/>
        <item x="221"/>
        <item x="223"/>
        <item x="224"/>
        <item x="226"/>
        <item x="227"/>
        <item x="228"/>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m="1" x="500"/>
        <item m="1" x="476"/>
        <item x="268"/>
        <item x="269"/>
        <item x="270"/>
        <item x="271"/>
        <item x="272"/>
        <item x="273"/>
        <item x="274"/>
        <item x="275"/>
        <item x="276"/>
        <item x="277"/>
        <item x="278"/>
        <item x="279"/>
        <item m="1" x="482"/>
        <item x="281"/>
        <item x="282"/>
        <item x="283"/>
        <item m="1" x="473"/>
        <item m="1" x="486"/>
        <item x="285"/>
        <item x="286"/>
        <item x="287"/>
        <item x="288"/>
        <item x="289"/>
        <item x="290"/>
        <item x="291"/>
        <item x="292"/>
        <item x="293"/>
        <item x="295"/>
        <item x="296"/>
        <item m="1" x="485"/>
        <item x="297"/>
        <item x="298"/>
        <item x="299"/>
        <item x="300"/>
        <item x="302"/>
        <item x="303"/>
        <item x="304"/>
        <item x="305"/>
        <item x="306"/>
        <item x="307"/>
        <item x="308"/>
        <item x="309"/>
        <item x="310"/>
        <item x="311"/>
        <item x="312"/>
        <item x="313"/>
        <item x="323"/>
        <item x="324"/>
        <item x="325"/>
        <item x="326"/>
        <item x="351"/>
        <item x="353"/>
        <item x="354"/>
        <item x="355"/>
        <item x="356"/>
        <item x="357"/>
        <item x="358"/>
        <item x="359"/>
        <item x="360"/>
        <item x="361"/>
        <item x="362"/>
        <item x="363"/>
        <item x="364"/>
        <item x="365"/>
        <item x="366"/>
        <item x="368"/>
        <item x="369"/>
        <item x="370"/>
        <item x="371"/>
        <item x="372"/>
        <item x="373"/>
        <item x="375"/>
        <item x="377"/>
        <item m="1" x="475"/>
        <item x="379"/>
        <item x="380"/>
        <item m="1" x="507"/>
        <item x="381"/>
        <item x="382"/>
        <item x="383"/>
        <item x="384"/>
        <item x="385"/>
        <item x="386"/>
        <item x="387"/>
        <item x="389"/>
        <item x="391"/>
        <item x="392"/>
        <item x="393"/>
        <item x="394"/>
        <item x="395"/>
        <item x="396"/>
        <item x="398"/>
        <item x="399"/>
        <item x="400"/>
        <item x="401"/>
        <item x="402"/>
        <item x="403"/>
        <item x="404"/>
        <item x="405"/>
        <item x="406"/>
        <item x="407"/>
        <item x="408"/>
        <item x="410"/>
        <item x="411"/>
        <item x="413"/>
        <item x="416"/>
        <item x="414"/>
        <item x="415"/>
        <item x="417"/>
        <item x="418"/>
        <item x="419"/>
        <item x="420"/>
        <item x="421"/>
        <item x="422"/>
        <item x="423"/>
        <item x="424"/>
        <item x="425"/>
        <item x="426"/>
        <item x="427"/>
        <item x="428"/>
        <item x="429"/>
        <item x="430"/>
        <item x="431"/>
        <item x="432"/>
        <item x="433"/>
        <item x="434"/>
        <item m="1" x="502"/>
        <item x="436"/>
        <item m="1" x="474"/>
        <item x="438"/>
        <item x="439"/>
        <item x="440"/>
        <item x="441"/>
        <item x="442"/>
        <item x="443"/>
        <item x="445"/>
        <item x="446"/>
        <item x="447"/>
        <item x="449"/>
        <item x="450"/>
        <item x="451"/>
        <item x="454"/>
        <item x="455"/>
        <item x="456"/>
        <item x="457"/>
        <item x="458"/>
        <item x="459"/>
        <item m="1" x="479"/>
        <item m="1" x="492"/>
        <item x="460"/>
        <item x="461"/>
        <item m="1" x="503"/>
        <item x="462"/>
        <item x="463"/>
        <item x="464"/>
        <item m="1" x="508"/>
        <item x="465"/>
        <item x="466"/>
        <item x="467"/>
        <item x="468"/>
        <item x="469"/>
        <item x="470"/>
        <item x="471"/>
        <item x="472"/>
        <item m="1" x="494"/>
        <item m="1" x="491"/>
        <item x="5"/>
        <item x="327"/>
        <item x="329"/>
        <item x="332"/>
        <item x="330"/>
        <item x="334"/>
        <item x="319"/>
        <item x="331"/>
        <item x="335"/>
        <item x="328"/>
        <item x="337"/>
        <item x="338"/>
        <item x="339"/>
        <item x="340"/>
        <item x="336"/>
        <item x="343"/>
        <item x="342"/>
        <item m="1" x="498"/>
        <item x="44"/>
        <item x="51"/>
        <item m="1" x="489"/>
        <item x="22"/>
        <item m="1" x="506"/>
        <item x="341"/>
        <item x="412"/>
        <item x="409"/>
        <item x="92"/>
        <item x="86"/>
        <item x="83"/>
        <item x="68"/>
        <item x="102"/>
        <item x="333"/>
        <item x="376"/>
        <item x="378"/>
        <item m="1" x="478"/>
        <item x="123"/>
        <item x="144"/>
        <item x="147"/>
        <item x="180"/>
        <item x="167"/>
        <item x="174"/>
        <item x="166"/>
        <item x="159"/>
        <item m="1" x="487"/>
        <item x="322"/>
        <item m="1" x="490"/>
        <item x="222"/>
        <item x="225"/>
        <item x="229"/>
        <item x="284"/>
        <item x="280"/>
        <item x="350"/>
        <item x="349"/>
        <item x="294"/>
        <item x="301"/>
        <item x="352"/>
        <item x="390"/>
        <item x="367"/>
        <item x="374"/>
        <item x="388"/>
        <item x="347"/>
        <item x="321"/>
        <item x="346"/>
        <item x="320"/>
        <item x="345"/>
        <item x="208"/>
        <item x="397"/>
        <item x="435"/>
        <item x="437"/>
        <item x="444"/>
        <item m="1" x="497"/>
        <item x="452"/>
        <item x="448"/>
        <item x="453"/>
        <item x="348"/>
        <item x="344"/>
        <item x="318"/>
        <item x="317"/>
        <item x="314"/>
        <item x="316"/>
        <item x="3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9"/>
  </rowFields>
  <rowItems count="474">
    <i>
      <x/>
      <x/>
    </i>
    <i r="1">
      <x v="1"/>
    </i>
    <i r="1">
      <x v="2"/>
    </i>
    <i r="1">
      <x v="3"/>
    </i>
    <i r="1">
      <x v="4"/>
    </i>
    <i r="1">
      <x v="428"/>
    </i>
    <i>
      <x v="1"/>
      <x v="429"/>
    </i>
    <i r="1">
      <x v="430"/>
    </i>
    <i r="1">
      <x v="431"/>
    </i>
    <i r="1">
      <x v="432"/>
    </i>
    <i r="1">
      <x v="433"/>
    </i>
    <i r="1">
      <x v="434"/>
    </i>
    <i r="1">
      <x v="435"/>
    </i>
    <i r="1">
      <x v="436"/>
    </i>
    <i r="1">
      <x v="437"/>
    </i>
    <i>
      <x v="2"/>
      <x v="11"/>
    </i>
    <i>
      <x v="3"/>
      <x v="101"/>
    </i>
    <i>
      <x v="4"/>
      <x v="438"/>
    </i>
    <i r="1">
      <x v="439"/>
    </i>
    <i r="1">
      <x v="440"/>
    </i>
    <i r="1">
      <x v="441"/>
    </i>
    <i r="1">
      <x v="442"/>
    </i>
    <i>
      <x v="6"/>
      <x v="5"/>
    </i>
    <i r="1">
      <x v="6"/>
    </i>
    <i r="1">
      <x v="7"/>
    </i>
    <i r="1">
      <x v="8"/>
    </i>
    <i r="1">
      <x v="9"/>
    </i>
    <i r="1">
      <x v="10"/>
    </i>
    <i>
      <x v="9"/>
      <x v="12"/>
    </i>
    <i r="1">
      <x v="13"/>
    </i>
    <i>
      <x v="11"/>
      <x v="443"/>
    </i>
    <i r="1">
      <x v="444"/>
    </i>
    <i>
      <x v="14"/>
      <x v="14"/>
    </i>
    <i r="1">
      <x v="15"/>
    </i>
    <i r="1">
      <x v="16"/>
    </i>
    <i>
      <x v="17"/>
      <x v="33"/>
    </i>
    <i r="1">
      <x v="34"/>
    </i>
    <i r="1">
      <x v="35"/>
    </i>
    <i r="1">
      <x v="36"/>
    </i>
    <i r="1">
      <x v="37"/>
    </i>
    <i r="1">
      <x v="38"/>
    </i>
    <i r="1">
      <x v="39"/>
    </i>
    <i>
      <x v="19"/>
      <x v="40"/>
    </i>
    <i r="1">
      <x v="41"/>
    </i>
    <i>
      <x v="21"/>
      <x v="42"/>
    </i>
    <i r="1">
      <x v="446"/>
    </i>
    <i>
      <x v="22"/>
      <x v="23"/>
    </i>
    <i r="1">
      <x v="24"/>
    </i>
    <i r="1">
      <x v="25"/>
    </i>
    <i r="1">
      <x v="26"/>
    </i>
    <i r="1">
      <x v="27"/>
    </i>
    <i r="1">
      <x v="28"/>
    </i>
    <i>
      <x v="23"/>
      <x v="49"/>
    </i>
    <i r="1">
      <x v="50"/>
    </i>
    <i r="1">
      <x v="51"/>
    </i>
    <i r="1">
      <x v="447"/>
    </i>
    <i>
      <x v="24"/>
      <x v="43"/>
    </i>
    <i r="1">
      <x v="44"/>
    </i>
    <i r="1">
      <x v="45"/>
    </i>
    <i>
      <x v="26"/>
      <x v="53"/>
    </i>
    <i r="1">
      <x v="54"/>
    </i>
    <i r="1">
      <x v="55"/>
    </i>
    <i>
      <x v="30"/>
      <x v="29"/>
    </i>
    <i r="1">
      <x v="30"/>
    </i>
    <i r="1">
      <x v="31"/>
    </i>
    <i r="1">
      <x v="32"/>
    </i>
    <i>
      <x v="31"/>
      <x v="17"/>
    </i>
    <i r="1">
      <x v="18"/>
    </i>
    <i r="1">
      <x v="20"/>
    </i>
    <i r="1">
      <x v="21"/>
    </i>
    <i r="1">
      <x v="22"/>
    </i>
    <i r="1">
      <x v="46"/>
    </i>
    <i r="1">
      <x v="47"/>
    </i>
    <i r="1">
      <x v="48"/>
    </i>
    <i r="1">
      <x v="449"/>
    </i>
    <i>
      <x v="32"/>
      <x v="93"/>
    </i>
    <i>
      <x v="33"/>
      <x v="186"/>
    </i>
    <i r="1">
      <x v="187"/>
    </i>
    <i>
      <x v="34"/>
      <x v="68"/>
    </i>
    <i r="1">
      <x v="69"/>
    </i>
    <i r="1">
      <x v="70"/>
    </i>
    <i r="1">
      <x v="71"/>
    </i>
    <i r="1">
      <x v="72"/>
    </i>
    <i r="1">
      <x v="73"/>
    </i>
    <i>
      <x v="36"/>
      <x v="451"/>
    </i>
    <i>
      <x v="37"/>
      <x v="56"/>
    </i>
    <i r="1">
      <x v="57"/>
    </i>
    <i r="1">
      <x v="58"/>
    </i>
    <i r="1">
      <x v="59"/>
    </i>
    <i>
      <x v="38"/>
      <x v="360"/>
    </i>
    <i r="1">
      <x v="361"/>
    </i>
    <i r="1">
      <x v="362"/>
    </i>
    <i r="1">
      <x v="363"/>
    </i>
    <i r="1">
      <x v="364"/>
    </i>
    <i r="1">
      <x v="365"/>
    </i>
    <i r="1">
      <x v="366"/>
    </i>
    <i r="1">
      <x v="367"/>
    </i>
    <i r="1">
      <x v="368"/>
    </i>
    <i r="1">
      <x v="369"/>
    </i>
    <i r="1">
      <x v="452"/>
    </i>
    <i r="1">
      <x v="453"/>
    </i>
    <i>
      <x v="41"/>
      <x v="86"/>
    </i>
    <i>
      <x v="42"/>
      <x v="87"/>
    </i>
    <i r="1">
      <x v="88"/>
    </i>
    <i r="1">
      <x v="89"/>
    </i>
    <i r="1">
      <x v="90"/>
    </i>
    <i r="1">
      <x v="91"/>
    </i>
    <i r="1">
      <x v="92"/>
    </i>
    <i r="1">
      <x v="454"/>
    </i>
    <i>
      <x v="43"/>
      <x v="82"/>
    </i>
    <i r="1">
      <x v="83"/>
    </i>
    <i r="1">
      <x v="84"/>
    </i>
    <i r="1">
      <x v="455"/>
    </i>
    <i>
      <x v="44"/>
      <x v="74"/>
    </i>
    <i r="1">
      <x v="75"/>
    </i>
    <i r="1">
      <x v="76"/>
    </i>
    <i r="1">
      <x v="78"/>
    </i>
    <i r="1">
      <x v="79"/>
    </i>
    <i r="1">
      <x v="80"/>
    </i>
    <i r="1">
      <x v="81"/>
    </i>
    <i r="1">
      <x v="415"/>
    </i>
    <i r="1">
      <x v="416"/>
    </i>
    <i r="1">
      <x v="456"/>
    </i>
    <i>
      <x v="46"/>
      <x v="94"/>
    </i>
    <i>
      <x v="47"/>
      <x v="60"/>
    </i>
    <i r="1">
      <x v="61"/>
    </i>
    <i r="1">
      <x v="62"/>
    </i>
    <i r="1">
      <x v="63"/>
    </i>
    <i r="1">
      <x v="64"/>
    </i>
    <i r="1">
      <x v="65"/>
    </i>
    <i r="1">
      <x v="66"/>
    </i>
    <i r="1">
      <x v="67"/>
    </i>
    <i r="1">
      <x v="457"/>
    </i>
    <i>
      <x v="49"/>
      <x v="95"/>
    </i>
    <i>
      <x v="54"/>
      <x v="96"/>
    </i>
    <i r="1">
      <x v="97"/>
    </i>
    <i r="1">
      <x v="458"/>
    </i>
    <i>
      <x v="56"/>
      <x v="98"/>
    </i>
    <i r="1">
      <x v="99"/>
    </i>
    <i r="1">
      <x v="100"/>
    </i>
    <i>
      <x v="57"/>
      <x v="459"/>
    </i>
    <i>
      <x v="58"/>
      <x v="102"/>
    </i>
    <i r="1">
      <x v="103"/>
    </i>
    <i>
      <x v="59"/>
      <x v="104"/>
    </i>
    <i>
      <x v="60"/>
      <x v="334"/>
    </i>
    <i r="1">
      <x v="336"/>
    </i>
    <i r="1">
      <x v="460"/>
    </i>
    <i r="1">
      <x v="461"/>
    </i>
    <i>
      <x v="61"/>
      <x v="140"/>
    </i>
    <i>
      <x v="62"/>
      <x v="105"/>
    </i>
    <i r="1">
      <x v="106"/>
    </i>
    <i r="1">
      <x v="107"/>
    </i>
    <i>
      <x v="64"/>
      <x v="354"/>
    </i>
    <i r="1">
      <x v="355"/>
    </i>
    <i r="1">
      <x v="356"/>
    </i>
    <i r="1">
      <x v="357"/>
    </i>
    <i r="1">
      <x v="358"/>
    </i>
    <i r="1">
      <x v="359"/>
    </i>
    <i>
      <x v="65"/>
      <x v="108"/>
    </i>
    <i r="1">
      <x v="109"/>
    </i>
    <i r="1">
      <x v="110"/>
    </i>
    <i r="1">
      <x v="111"/>
    </i>
    <i r="1">
      <x v="112"/>
    </i>
    <i>
      <x v="67"/>
      <x v="113"/>
    </i>
    <i>
      <x v="70"/>
      <x v="114"/>
    </i>
    <i r="1">
      <x v="115"/>
    </i>
    <i>
      <x v="71"/>
      <x v="129"/>
    </i>
    <i r="1">
      <x v="130"/>
    </i>
    <i r="1">
      <x v="131"/>
    </i>
    <i r="1">
      <x v="132"/>
    </i>
    <i r="1">
      <x v="134"/>
    </i>
    <i>
      <x v="72"/>
      <x v="116"/>
    </i>
    <i r="1">
      <x v="117"/>
    </i>
    <i>
      <x v="74"/>
      <x v="118"/>
    </i>
    <i r="1">
      <x v="121"/>
    </i>
    <i r="1">
      <x v="122"/>
    </i>
    <i r="1">
      <x v="123"/>
    </i>
    <i r="1">
      <x v="463"/>
    </i>
    <i>
      <x v="78"/>
      <x v="141"/>
    </i>
    <i r="1">
      <x v="142"/>
    </i>
    <i r="1">
      <x v="143"/>
    </i>
    <i r="1">
      <x v="464"/>
    </i>
    <i>
      <x v="79"/>
      <x v="125"/>
    </i>
    <i r="1">
      <x v="126"/>
    </i>
    <i r="1">
      <x v="127"/>
    </i>
    <i r="1">
      <x v="128"/>
    </i>
    <i>
      <x v="80"/>
      <x v="135"/>
    </i>
    <i r="1">
      <x v="136"/>
    </i>
    <i r="1">
      <x v="137"/>
    </i>
    <i r="1">
      <x v="138"/>
    </i>
    <i r="1">
      <x v="139"/>
    </i>
    <i>
      <x v="81"/>
      <x v="144"/>
    </i>
    <i r="1">
      <x v="145"/>
    </i>
    <i r="1">
      <x v="146"/>
    </i>
    <i r="1">
      <x v="147"/>
    </i>
    <i r="1">
      <x v="465"/>
    </i>
    <i>
      <x v="82"/>
      <x v="152"/>
    </i>
    <i r="1">
      <x v="153"/>
    </i>
    <i r="1">
      <x v="154"/>
    </i>
    <i r="1">
      <x v="155"/>
    </i>
    <i r="1">
      <x v="156"/>
    </i>
    <i>
      <x v="84"/>
      <x v="148"/>
    </i>
    <i r="1">
      <x v="150"/>
    </i>
    <i>
      <x v="87"/>
      <x v="163"/>
    </i>
    <i r="1">
      <x v="164"/>
    </i>
    <i r="1">
      <x v="166"/>
    </i>
    <i r="1">
      <x v="167"/>
    </i>
    <i r="1">
      <x v="168"/>
    </i>
    <i r="1">
      <x v="169"/>
    </i>
    <i r="1">
      <x v="170"/>
    </i>
    <i r="1">
      <x v="171"/>
    </i>
    <i r="1">
      <x v="172"/>
    </i>
    <i r="1">
      <x v="173"/>
    </i>
    <i r="1">
      <x v="174"/>
    </i>
    <i r="1">
      <x v="466"/>
    </i>
    <i r="1">
      <x v="467"/>
    </i>
    <i r="1">
      <x v="468"/>
    </i>
    <i>
      <x v="88"/>
      <x v="157"/>
    </i>
    <i r="1">
      <x v="158"/>
    </i>
    <i r="1">
      <x v="159"/>
    </i>
    <i r="1">
      <x v="160"/>
    </i>
    <i r="1">
      <x v="161"/>
    </i>
    <i r="1">
      <x v="162"/>
    </i>
    <i r="1">
      <x v="469"/>
    </i>
    <i r="1">
      <x v="470"/>
    </i>
    <i>
      <x v="89"/>
      <x v="175"/>
    </i>
    <i>
      <x v="94"/>
      <x v="176"/>
    </i>
    <i>
      <x v="97"/>
      <x v="177"/>
    </i>
    <i r="1">
      <x v="178"/>
    </i>
    <i>
      <x v="98"/>
      <x v="179"/>
    </i>
    <i r="1">
      <x v="180"/>
    </i>
    <i r="1">
      <x v="181"/>
    </i>
    <i r="1">
      <x v="182"/>
    </i>
    <i r="1">
      <x v="183"/>
    </i>
    <i r="1">
      <x v="184"/>
    </i>
    <i>
      <x v="100"/>
      <x v="305"/>
    </i>
    <i>
      <x v="102"/>
      <x v="308"/>
    </i>
    <i r="1">
      <x v="309"/>
    </i>
    <i r="1">
      <x v="472"/>
    </i>
    <i>
      <x v="104"/>
      <x v="185"/>
    </i>
    <i>
      <x v="105"/>
      <x v="188"/>
    </i>
    <i r="1">
      <x v="189"/>
    </i>
    <i r="1">
      <x v="190"/>
    </i>
    <i r="1">
      <x v="191"/>
    </i>
    <i>
      <x v="108"/>
      <x v="203"/>
    </i>
    <i r="1">
      <x v="204"/>
    </i>
    <i>
      <x v="109"/>
      <x v="192"/>
    </i>
    <i r="1">
      <x v="193"/>
    </i>
    <i r="1">
      <x v="194"/>
    </i>
    <i r="1">
      <x v="195"/>
    </i>
    <i r="1">
      <x v="196"/>
    </i>
    <i r="1">
      <x v="197"/>
    </i>
    <i r="1">
      <x v="198"/>
    </i>
    <i>
      <x v="114"/>
      <x v="213"/>
    </i>
    <i r="1">
      <x v="214"/>
    </i>
    <i r="1">
      <x v="215"/>
    </i>
    <i r="1">
      <x v="216"/>
    </i>
    <i r="1">
      <x v="217"/>
    </i>
    <i r="1">
      <x v="218"/>
    </i>
    <i r="1">
      <x v="474"/>
    </i>
    <i>
      <x v="115"/>
      <x v="225"/>
    </i>
    <i r="1">
      <x v="249"/>
    </i>
    <i r="1">
      <x v="250"/>
    </i>
    <i r="1">
      <x v="251"/>
    </i>
    <i r="1">
      <x v="252"/>
    </i>
    <i r="1">
      <x v="253"/>
    </i>
    <i>
      <x v="116"/>
      <x v="254"/>
    </i>
    <i>
      <x v="118"/>
      <x v="219"/>
    </i>
    <i r="1">
      <x v="220"/>
    </i>
    <i r="1">
      <x v="221"/>
    </i>
    <i r="1">
      <x v="222"/>
    </i>
    <i r="1">
      <x v="223"/>
    </i>
    <i r="1">
      <x v="224"/>
    </i>
    <i r="1">
      <x v="475"/>
    </i>
    <i r="1">
      <x v="476"/>
    </i>
    <i>
      <x v="121"/>
      <x v="243"/>
    </i>
    <i r="1">
      <x v="244"/>
    </i>
    <i r="1">
      <x v="245"/>
    </i>
    <i r="1">
      <x v="246"/>
    </i>
    <i>
      <x v="122"/>
      <x v="247"/>
    </i>
    <i r="1">
      <x v="248"/>
    </i>
    <i>
      <x v="125"/>
      <x v="211"/>
    </i>
    <i r="1">
      <x v="212"/>
    </i>
    <i>
      <x v="127"/>
      <x v="231"/>
    </i>
    <i r="1">
      <x v="232"/>
    </i>
    <i r="1">
      <x v="233"/>
    </i>
    <i>
      <x v="128"/>
      <x v="230"/>
    </i>
    <i>
      <x v="129"/>
      <x v="207"/>
    </i>
    <i r="1">
      <x v="208"/>
    </i>
    <i r="1">
      <x v="209"/>
    </i>
    <i r="1">
      <x v="210"/>
    </i>
    <i>
      <x v="130"/>
      <x v="234"/>
    </i>
    <i r="1">
      <x v="235"/>
    </i>
    <i r="1">
      <x v="236"/>
    </i>
    <i r="1">
      <x v="237"/>
    </i>
    <i r="1">
      <x v="238"/>
    </i>
    <i r="1">
      <x v="239"/>
    </i>
    <i r="1">
      <x v="240"/>
    </i>
    <i r="1">
      <x v="241"/>
    </i>
    <i r="1">
      <x v="242"/>
    </i>
    <i>
      <x v="159"/>
      <x v="226"/>
    </i>
    <i r="1">
      <x v="227"/>
    </i>
    <i r="1">
      <x v="228"/>
    </i>
    <i r="1">
      <x v="229"/>
    </i>
    <i>
      <x v="160"/>
      <x v="255"/>
    </i>
    <i r="1">
      <x v="256"/>
    </i>
    <i r="1">
      <x v="257"/>
    </i>
    <i r="1">
      <x v="258"/>
    </i>
    <i r="1">
      <x v="283"/>
    </i>
    <i>
      <x v="162"/>
      <x v="259"/>
    </i>
    <i r="1">
      <x v="284"/>
    </i>
    <i r="1">
      <x v="285"/>
    </i>
    <i r="1">
      <x v="286"/>
    </i>
    <i>
      <x v="165"/>
      <x v="280"/>
    </i>
    <i r="1">
      <x v="281"/>
    </i>
    <i r="1">
      <x v="282"/>
    </i>
    <i r="1">
      <x v="477"/>
    </i>
    <i>
      <x v="166"/>
      <x v="262"/>
    </i>
    <i r="1">
      <x v="263"/>
    </i>
    <i r="1">
      <x v="264"/>
    </i>
    <i r="1">
      <x v="265"/>
    </i>
    <i r="1">
      <x v="266"/>
    </i>
    <i>
      <x v="167"/>
      <x v="267"/>
    </i>
    <i r="1">
      <x v="268"/>
    </i>
    <i r="1">
      <x v="269"/>
    </i>
    <i r="1">
      <x v="270"/>
    </i>
    <i r="1">
      <x v="271"/>
    </i>
    <i r="1">
      <x v="272"/>
    </i>
    <i r="1">
      <x v="273"/>
    </i>
    <i r="1">
      <x v="275"/>
    </i>
    <i r="1">
      <x v="276"/>
    </i>
    <i r="1">
      <x v="277"/>
    </i>
    <i r="1">
      <x v="478"/>
    </i>
    <i>
      <x v="171"/>
      <x v="479"/>
    </i>
    <i r="1">
      <x v="480"/>
    </i>
    <i>
      <x v="173"/>
      <x v="287"/>
    </i>
    <i r="1">
      <x v="288"/>
    </i>
    <i r="1">
      <x v="289"/>
    </i>
    <i r="1">
      <x v="290"/>
    </i>
    <i r="1">
      <x v="292"/>
    </i>
    <i r="1">
      <x v="293"/>
    </i>
    <i r="1">
      <x v="294"/>
    </i>
    <i r="1">
      <x v="481"/>
    </i>
    <i>
      <x v="176"/>
      <x v="295"/>
    </i>
    <i>
      <x v="177"/>
      <x v="303"/>
    </i>
    <i r="1">
      <x v="304"/>
    </i>
    <i>
      <x v="178"/>
      <x v="306"/>
    </i>
    <i r="1">
      <x v="307"/>
    </i>
    <i>
      <x v="179"/>
      <x v="296"/>
    </i>
    <i r="1">
      <x v="297"/>
    </i>
    <i r="1">
      <x v="298"/>
    </i>
    <i r="1">
      <x v="482"/>
    </i>
    <i>
      <x v="180"/>
      <x v="299"/>
    </i>
    <i r="1">
      <x v="300"/>
    </i>
    <i r="1">
      <x v="301"/>
    </i>
    <i r="1">
      <x v="302"/>
    </i>
    <i>
      <x v="184"/>
      <x v="312"/>
    </i>
    <i>
      <x v="185"/>
      <x v="483"/>
    </i>
    <i>
      <x v="186"/>
      <x v="313"/>
    </i>
    <i r="1">
      <x v="314"/>
    </i>
    <i r="1">
      <x v="315"/>
    </i>
    <i r="1">
      <x v="316"/>
    </i>
    <i>
      <x v="192"/>
      <x v="347"/>
    </i>
    <i r="1">
      <x v="484"/>
    </i>
    <i>
      <x v="194"/>
      <x v="322"/>
    </i>
    <i r="1">
      <x v="323"/>
    </i>
    <i r="1">
      <x v="324"/>
    </i>
    <i r="1">
      <x v="325"/>
    </i>
    <i r="1">
      <x v="326"/>
    </i>
    <i r="1">
      <x v="337"/>
    </i>
    <i r="1">
      <x v="485"/>
    </i>
    <i>
      <x v="195"/>
      <x v="342"/>
    </i>
    <i>
      <x v="197"/>
      <x v="330"/>
    </i>
    <i r="1">
      <x v="331"/>
    </i>
    <i r="1">
      <x v="332"/>
    </i>
    <i r="1">
      <x v="333"/>
    </i>
    <i r="1">
      <x v="486"/>
    </i>
    <i>
      <x v="202"/>
      <x v="327"/>
    </i>
    <i r="1">
      <x v="328"/>
    </i>
    <i r="1">
      <x v="329"/>
    </i>
    <i>
      <x v="203"/>
      <x v="339"/>
    </i>
    <i r="1">
      <x v="340"/>
    </i>
    <i r="1">
      <x v="341"/>
    </i>
    <i>
      <x v="204"/>
      <x v="407"/>
    </i>
    <i r="1">
      <x v="408"/>
    </i>
    <i r="1">
      <x v="411"/>
    </i>
    <i r="1">
      <x v="412"/>
    </i>
    <i>
      <x v="205"/>
      <x v="343"/>
    </i>
    <i r="1">
      <x v="344"/>
    </i>
    <i r="1">
      <x v="345"/>
    </i>
    <i r="1">
      <x v="346"/>
    </i>
    <i r="1">
      <x v="487"/>
    </i>
    <i>
      <x v="206"/>
      <x v="488"/>
    </i>
    <i r="1">
      <x v="489"/>
    </i>
    <i r="1">
      <x v="490"/>
    </i>
    <i>
      <x v="207"/>
      <x v="491"/>
    </i>
    <i r="1">
      <x v="492"/>
    </i>
    <i>
      <x v="209"/>
      <x v="199"/>
    </i>
    <i r="1">
      <x v="200"/>
    </i>
    <i r="1">
      <x v="201"/>
    </i>
    <i r="1">
      <x v="202"/>
    </i>
    <i r="1">
      <x v="493"/>
    </i>
    <i>
      <x v="210"/>
      <x v="317"/>
    </i>
    <i r="1">
      <x v="318"/>
    </i>
    <i r="1">
      <x v="319"/>
    </i>
    <i r="1">
      <x v="320"/>
    </i>
    <i r="1">
      <x v="321"/>
    </i>
    <i r="1">
      <x v="348"/>
    </i>
    <i r="1">
      <x v="349"/>
    </i>
    <i r="1">
      <x v="350"/>
    </i>
    <i r="1">
      <x v="351"/>
    </i>
    <i>
      <x v="211"/>
      <x v="352"/>
    </i>
    <i r="1">
      <x v="353"/>
    </i>
    <i r="1">
      <x v="494"/>
    </i>
    <i>
      <x v="216"/>
      <x v="375"/>
    </i>
    <i r="1">
      <x v="376"/>
    </i>
    <i r="1">
      <x v="377"/>
    </i>
    <i>
      <x v="217"/>
      <x v="382"/>
    </i>
    <i r="1">
      <x v="386"/>
    </i>
    <i r="1">
      <x v="387"/>
    </i>
    <i r="1">
      <x v="389"/>
    </i>
    <i r="1">
      <x v="495"/>
    </i>
    <i r="1">
      <x v="496"/>
    </i>
    <i>
      <x v="218"/>
      <x v="373"/>
    </i>
    <i r="1">
      <x v="374"/>
    </i>
    <i>
      <x v="219"/>
      <x v="379"/>
    </i>
    <i r="1">
      <x v="380"/>
    </i>
    <i r="1">
      <x v="381"/>
    </i>
    <i>
      <x v="220"/>
      <x v="370"/>
    </i>
    <i r="1">
      <x v="371"/>
    </i>
    <i r="1">
      <x v="372"/>
    </i>
    <i>
      <x v="224"/>
      <x v="383"/>
    </i>
    <i r="1">
      <x v="384"/>
    </i>
    <i r="1">
      <x v="385"/>
    </i>
    <i>
      <x v="226"/>
      <x v="378"/>
    </i>
    <i>
      <x v="228"/>
      <x v="391"/>
    </i>
    <i r="1">
      <x v="392"/>
    </i>
    <i r="1">
      <x v="393"/>
    </i>
    <i r="1">
      <x v="394"/>
    </i>
    <i r="1">
      <x v="395"/>
    </i>
    <i r="1">
      <x v="396"/>
    </i>
    <i r="1">
      <x v="497"/>
    </i>
    <i>
      <x v="229"/>
      <x v="397"/>
    </i>
    <i r="1">
      <x v="398"/>
    </i>
    <i r="1">
      <x v="399"/>
    </i>
    <i>
      <x v="234"/>
      <x v="400"/>
    </i>
    <i r="1">
      <x v="401"/>
    </i>
    <i r="1">
      <x v="402"/>
    </i>
    <i r="1">
      <x v="499"/>
    </i>
    <i r="1">
      <x v="500"/>
    </i>
    <i>
      <x v="236"/>
      <x v="501"/>
    </i>
    <i>
      <x v="237"/>
      <x v="403"/>
    </i>
    <i r="1">
      <x v="404"/>
    </i>
    <i r="1">
      <x v="405"/>
    </i>
    <i>
      <x v="238"/>
      <x v="502"/>
    </i>
    <i>
      <x v="240"/>
      <x v="503"/>
    </i>
    <i r="1">
      <x v="504"/>
    </i>
    <i r="1">
      <x v="505"/>
    </i>
    <i r="1">
      <x v="506"/>
    </i>
    <i r="1">
      <x v="507"/>
    </i>
    <i r="1">
      <x v="508"/>
    </i>
    <i>
      <x v="241"/>
      <x v="406"/>
    </i>
    <i>
      <x v="242"/>
      <x v="414"/>
    </i>
    <i r="1">
      <x v="418"/>
    </i>
    <i r="1">
      <x v="419"/>
    </i>
    <i r="1">
      <x v="420"/>
    </i>
    <i r="1">
      <x v="421"/>
    </i>
    <i>
      <x v="243"/>
      <x v="310"/>
    </i>
    <i r="1">
      <x v="311"/>
    </i>
    <i>
      <x v="244"/>
      <x v="422"/>
    </i>
    <i r="1">
      <x v="423"/>
    </i>
    <i r="1">
      <x v="424"/>
    </i>
    <i>
      <x v="245"/>
      <x v="42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69D3FFC-1FA5-4953-BD80-F8980A6404AF}" name="PivotTable2" cacheId="2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AB2:AC476"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1">
        <item x="126"/>
        <item x="66"/>
        <item x="27"/>
        <item x="164"/>
        <item x="218"/>
        <item x="180"/>
        <item x="32"/>
        <item x="158"/>
        <item x="99"/>
        <item m="1" x="234"/>
        <item m="1" x="228"/>
        <item x="63"/>
        <item x="42"/>
        <item m="1" x="237"/>
        <item m="1" x="249"/>
        <item x="194"/>
        <item x="113"/>
        <item x="160"/>
        <item x="204"/>
        <item x="219"/>
        <item m="1" x="250"/>
        <item x="28"/>
        <item x="21"/>
        <item x="100"/>
        <item x="35"/>
        <item m="1" x="265"/>
        <item x="151"/>
        <item m="1" x="243"/>
        <item x="171"/>
        <item x="40"/>
        <item m="1" x="229"/>
        <item m="1" x="231"/>
        <item x="133"/>
        <item x="109"/>
        <item x="82"/>
        <item x="57"/>
        <item x="90"/>
        <item x="121"/>
        <item x="157"/>
        <item x="208"/>
        <item x="60"/>
        <item x="222"/>
        <item x="162"/>
        <item x="181"/>
        <item x="12"/>
        <item x="46"/>
        <item x="76"/>
        <item x="192"/>
        <item x="45"/>
        <item x="50"/>
        <item x="199"/>
        <item x="87"/>
        <item x="79"/>
        <item x="146"/>
        <item x="168"/>
        <item x="19"/>
        <item x="41"/>
        <item x="136"/>
        <item x="143"/>
        <item x="54"/>
        <item x="179"/>
        <item x="195"/>
        <item x="91"/>
        <item x="161"/>
        <item x="122"/>
        <item m="1" x="227"/>
        <item x="13"/>
        <item x="53"/>
        <item m="1" x="241"/>
        <item x="24"/>
        <item x="86"/>
        <item x="78"/>
        <item m="1" x="240"/>
        <item x="147"/>
        <item m="1" x="242"/>
        <item x="15"/>
        <item x="141"/>
        <item x="72"/>
        <item m="1" x="271"/>
        <item x="47"/>
        <item x="73"/>
        <item x="169"/>
        <item x="92"/>
        <item x="18"/>
        <item x="159"/>
        <item x="175"/>
        <item x="93"/>
        <item x="95"/>
        <item x="97"/>
        <item m="1" x="259"/>
        <item x="83"/>
        <item m="1" x="256"/>
        <item x="31"/>
        <item x="135"/>
        <item x="167"/>
        <item x="129"/>
        <item x="140"/>
        <item x="71"/>
        <item x="148"/>
        <item x="114"/>
        <item x="77"/>
        <item x="205"/>
        <item x="105"/>
        <item x="207"/>
        <item m="1" x="233"/>
        <item x="56"/>
        <item m="1" x="262"/>
        <item m="1" x="272"/>
        <item m="1" x="277"/>
        <item m="1" x="239"/>
        <item m="1" x="257"/>
        <item m="1" x="247"/>
        <item x="185"/>
        <item x="182"/>
        <item x="74"/>
        <item m="1" x="261"/>
        <item x="130"/>
        <item x="102"/>
        <item m="1" x="279"/>
        <item m="1" x="238"/>
        <item x="124"/>
        <item x="94"/>
        <item m="1" x="246"/>
        <item x="119"/>
        <item x="118"/>
        <item x="120"/>
        <item x="189"/>
        <item x="176"/>
        <item x="190"/>
        <item x="75"/>
        <item x="37"/>
        <item x="202"/>
        <item x="104"/>
        <item x="107"/>
        <item x="101"/>
        <item x="4"/>
        <item x="2"/>
        <item x="5"/>
        <item x="6"/>
        <item m="1" x="264"/>
        <item x="186"/>
        <item x="61"/>
        <item x="70"/>
        <item m="1" x="248"/>
        <item x="127"/>
        <item x="178"/>
        <item x="191"/>
        <item x="68"/>
        <item x="223"/>
        <item x="163"/>
        <item x="26"/>
        <item x="52"/>
        <item x="49"/>
        <item x="188"/>
        <item x="33"/>
        <item x="58"/>
        <item m="1" x="260"/>
        <item x="43"/>
        <item x="144"/>
        <item x="7"/>
        <item x="197"/>
        <item x="48"/>
        <item m="1" x="269"/>
        <item m="1" x="253"/>
        <item m="1" x="263"/>
        <item x="0"/>
        <item x="34"/>
        <item x="51"/>
        <item x="111"/>
        <item x="134"/>
        <item m="1" x="273"/>
        <item x="145"/>
        <item x="131"/>
        <item x="137"/>
        <item x="59"/>
        <item x="29"/>
        <item x="221"/>
        <item x="193"/>
        <item m="1" x="252"/>
        <item x="115"/>
        <item x="184"/>
        <item x="25"/>
        <item x="139"/>
        <item x="69"/>
        <item x="149"/>
        <item x="98"/>
        <item x="142"/>
        <item x="14"/>
        <item x="196"/>
        <item m="1" x="270"/>
        <item x="220"/>
        <item m="1" x="226"/>
        <item x="203"/>
        <item x="112"/>
        <item x="174"/>
        <item x="172"/>
        <item m="1" x="267"/>
        <item x="106"/>
        <item x="173"/>
        <item x="152"/>
        <item x="81"/>
        <item x="154"/>
        <item x="153"/>
        <item x="84"/>
        <item x="187"/>
        <item x="9"/>
        <item x="38"/>
        <item x="125"/>
        <item x="198"/>
        <item x="17"/>
        <item m="1" x="258"/>
        <item m="1" x="280"/>
        <item x="44"/>
        <item x="11"/>
        <item x="10"/>
        <item m="1" x="244"/>
        <item x="108"/>
        <item x="200"/>
        <item x="211"/>
        <item x="201"/>
        <item x="210"/>
        <item x="212"/>
        <item m="1" x="254"/>
        <item x="22"/>
        <item x="213"/>
        <item x="96"/>
        <item m="1" x="266"/>
        <item x="166"/>
        <item x="39"/>
        <item x="20"/>
        <item x="64"/>
        <item x="110"/>
        <item x="123"/>
        <item x="8"/>
        <item x="16"/>
        <item m="1" x="230"/>
        <item x="23"/>
        <item x="138"/>
        <item x="150"/>
        <item x="88"/>
        <item x="183"/>
        <item x="165"/>
        <item x="177"/>
        <item x="209"/>
        <item x="36"/>
        <item x="89"/>
        <item x="206"/>
        <item x="103"/>
        <item m="1" x="255"/>
        <item x="224"/>
        <item x="132"/>
        <item x="65"/>
        <item m="1" x="275"/>
        <item m="1" x="276"/>
        <item x="30"/>
        <item x="67"/>
        <item x="217"/>
        <item x="116"/>
        <item x="156"/>
        <item m="1" x="245"/>
        <item x="55"/>
        <item x="1"/>
        <item x="117"/>
        <item m="1" x="232"/>
        <item x="214"/>
        <item x="216"/>
        <item x="215"/>
        <item x="62"/>
        <item m="1" x="235"/>
        <item m="1" x="274"/>
        <item x="85"/>
        <item x="170"/>
        <item x="155"/>
        <item x="3"/>
        <item m="1" x="278"/>
        <item m="1" x="236"/>
        <item x="128"/>
        <item m="1" x="268"/>
        <item m="1" x="251"/>
        <item x="80"/>
        <item x="22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9">
        <item x="0"/>
        <item x="1"/>
        <item x="2"/>
        <item x="3"/>
        <item x="4"/>
        <item x="6"/>
        <item x="7"/>
        <item x="8"/>
        <item x="9"/>
        <item x="10"/>
        <item x="11"/>
        <item x="12"/>
        <item x="13"/>
        <item x="14"/>
        <item x="15"/>
        <item x="16"/>
        <item x="17"/>
        <item x="18"/>
        <item x="19"/>
        <item m="1" x="488"/>
        <item x="20"/>
        <item x="21"/>
        <item x="23"/>
        <item x="24"/>
        <item x="25"/>
        <item x="26"/>
        <item x="27"/>
        <item x="28"/>
        <item x="29"/>
        <item x="30"/>
        <item x="31"/>
        <item x="32"/>
        <item x="33"/>
        <item x="34"/>
        <item x="35"/>
        <item x="36"/>
        <item x="37"/>
        <item x="38"/>
        <item x="39"/>
        <item x="40"/>
        <item x="41"/>
        <item x="42"/>
        <item x="43"/>
        <item x="45"/>
        <item x="46"/>
        <item x="47"/>
        <item x="48"/>
        <item x="49"/>
        <item x="50"/>
        <item x="52"/>
        <item x="53"/>
        <item x="54"/>
        <item m="1" x="484"/>
        <item x="55"/>
        <item x="56"/>
        <item x="57"/>
        <item x="58"/>
        <item x="59"/>
        <item x="60"/>
        <item x="61"/>
        <item x="62"/>
        <item x="63"/>
        <item x="64"/>
        <item x="65"/>
        <item x="66"/>
        <item x="67"/>
        <item x="69"/>
        <item x="70"/>
        <item x="71"/>
        <item x="72"/>
        <item x="73"/>
        <item x="74"/>
        <item x="75"/>
        <item x="76"/>
        <item x="77"/>
        <item x="78"/>
        <item x="79"/>
        <item m="1" x="504"/>
        <item x="80"/>
        <item x="81"/>
        <item x="82"/>
        <item x="84"/>
        <item x="85"/>
        <item x="87"/>
        <item x="88"/>
        <item m="1" x="480"/>
        <item x="89"/>
        <item x="90"/>
        <item x="91"/>
        <item x="93"/>
        <item x="94"/>
        <item x="95"/>
        <item x="96"/>
        <item x="97"/>
        <item x="98"/>
        <item x="99"/>
        <item x="100"/>
        <item x="101"/>
        <item x="103"/>
        <item x="104"/>
        <item x="105"/>
        <item x="106"/>
        <item x="107"/>
        <item x="108"/>
        <item x="109"/>
        <item x="110"/>
        <item x="111"/>
        <item x="112"/>
        <item x="113"/>
        <item x="114"/>
        <item x="115"/>
        <item x="116"/>
        <item x="117"/>
        <item x="118"/>
        <item x="119"/>
        <item x="120"/>
        <item x="121"/>
        <item x="122"/>
        <item x="124"/>
        <item m="1" x="501"/>
        <item m="1" x="505"/>
        <item x="125"/>
        <item x="126"/>
        <item x="127"/>
        <item m="1" x="477"/>
        <item x="128"/>
        <item x="129"/>
        <item x="130"/>
        <item x="131"/>
        <item x="132"/>
        <item x="133"/>
        <item x="134"/>
        <item x="135"/>
        <item m="1" x="495"/>
        <item x="136"/>
        <item x="137"/>
        <item x="138"/>
        <item x="139"/>
        <item x="140"/>
        <item x="141"/>
        <item x="142"/>
        <item x="143"/>
        <item x="145"/>
        <item x="146"/>
        <item x="148"/>
        <item x="149"/>
        <item x="150"/>
        <item x="151"/>
        <item x="152"/>
        <item m="1" x="483"/>
        <item x="153"/>
        <item m="1" x="481"/>
        <item x="154"/>
        <item x="155"/>
        <item x="156"/>
        <item x="157"/>
        <item x="158"/>
        <item x="160"/>
        <item x="161"/>
        <item x="162"/>
        <item x="163"/>
        <item x="164"/>
        <item x="165"/>
        <item x="168"/>
        <item x="169"/>
        <item m="1" x="493"/>
        <item x="170"/>
        <item x="171"/>
        <item x="172"/>
        <item x="173"/>
        <item x="175"/>
        <item x="176"/>
        <item x="177"/>
        <item x="178"/>
        <item x="179"/>
        <item x="181"/>
        <item x="182"/>
        <item x="183"/>
        <item x="184"/>
        <item x="185"/>
        <item x="186"/>
        <item x="187"/>
        <item x="188"/>
        <item x="189"/>
        <item x="190"/>
        <item x="191"/>
        <item x="192"/>
        <item x="193"/>
        <item x="194"/>
        <item x="195"/>
        <item x="196"/>
        <item x="197"/>
        <item x="198"/>
        <item x="199"/>
        <item x="200"/>
        <item x="201"/>
        <item x="202"/>
        <item x="203"/>
        <item x="204"/>
        <item x="205"/>
        <item x="206"/>
        <item x="207"/>
        <item x="209"/>
        <item x="210"/>
        <item x="211"/>
        <item m="1" x="496"/>
        <item m="1" x="499"/>
        <item x="212"/>
        <item x="213"/>
        <item x="214"/>
        <item x="215"/>
        <item x="216"/>
        <item x="217"/>
        <item x="218"/>
        <item x="219"/>
        <item x="220"/>
        <item x="221"/>
        <item x="223"/>
        <item x="224"/>
        <item x="226"/>
        <item x="227"/>
        <item x="228"/>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m="1" x="500"/>
        <item m="1" x="476"/>
        <item x="268"/>
        <item x="269"/>
        <item x="270"/>
        <item x="271"/>
        <item x="272"/>
        <item x="273"/>
        <item x="274"/>
        <item x="275"/>
        <item x="276"/>
        <item x="277"/>
        <item x="278"/>
        <item x="279"/>
        <item m="1" x="482"/>
        <item x="281"/>
        <item x="282"/>
        <item x="283"/>
        <item m="1" x="473"/>
        <item m="1" x="486"/>
        <item x="285"/>
        <item x="286"/>
        <item x="287"/>
        <item x="288"/>
        <item x="289"/>
        <item x="290"/>
        <item x="291"/>
        <item x="292"/>
        <item x="293"/>
        <item x="295"/>
        <item x="296"/>
        <item m="1" x="485"/>
        <item x="297"/>
        <item x="298"/>
        <item x="299"/>
        <item x="300"/>
        <item x="302"/>
        <item x="303"/>
        <item x="304"/>
        <item x="305"/>
        <item x="306"/>
        <item x="307"/>
        <item x="308"/>
        <item x="309"/>
        <item x="310"/>
        <item x="311"/>
        <item x="312"/>
        <item x="313"/>
        <item x="323"/>
        <item x="324"/>
        <item x="325"/>
        <item x="326"/>
        <item x="351"/>
        <item x="353"/>
        <item x="354"/>
        <item x="355"/>
        <item x="356"/>
        <item x="357"/>
        <item x="358"/>
        <item x="359"/>
        <item x="360"/>
        <item x="361"/>
        <item x="362"/>
        <item x="363"/>
        <item x="364"/>
        <item x="365"/>
        <item x="366"/>
        <item x="368"/>
        <item x="369"/>
        <item x="370"/>
        <item x="371"/>
        <item x="372"/>
        <item x="373"/>
        <item x="375"/>
        <item x="377"/>
        <item m="1" x="475"/>
        <item x="379"/>
        <item x="380"/>
        <item m="1" x="507"/>
        <item x="381"/>
        <item x="382"/>
        <item x="383"/>
        <item x="384"/>
        <item x="385"/>
        <item x="386"/>
        <item x="387"/>
        <item x="389"/>
        <item x="391"/>
        <item x="392"/>
        <item x="393"/>
        <item x="394"/>
        <item x="395"/>
        <item x="396"/>
        <item x="398"/>
        <item x="399"/>
        <item x="400"/>
        <item x="401"/>
        <item x="402"/>
        <item x="403"/>
        <item x="404"/>
        <item x="405"/>
        <item x="406"/>
        <item x="407"/>
        <item x="408"/>
        <item x="410"/>
        <item x="411"/>
        <item x="413"/>
        <item x="416"/>
        <item x="414"/>
        <item x="415"/>
        <item x="417"/>
        <item x="418"/>
        <item x="419"/>
        <item x="420"/>
        <item x="421"/>
        <item x="422"/>
        <item x="423"/>
        <item x="424"/>
        <item x="425"/>
        <item x="426"/>
        <item x="427"/>
        <item x="428"/>
        <item x="429"/>
        <item x="430"/>
        <item x="431"/>
        <item x="432"/>
        <item x="433"/>
        <item x="434"/>
        <item m="1" x="502"/>
        <item x="436"/>
        <item m="1" x="474"/>
        <item x="438"/>
        <item x="439"/>
        <item x="440"/>
        <item x="441"/>
        <item x="442"/>
        <item x="443"/>
        <item x="445"/>
        <item x="446"/>
        <item x="447"/>
        <item x="449"/>
        <item x="450"/>
        <item x="451"/>
        <item x="454"/>
        <item x="455"/>
        <item x="456"/>
        <item x="457"/>
        <item x="458"/>
        <item x="459"/>
        <item m="1" x="479"/>
        <item m="1" x="492"/>
        <item x="460"/>
        <item x="461"/>
        <item m="1" x="503"/>
        <item x="462"/>
        <item x="463"/>
        <item x="464"/>
        <item m="1" x="508"/>
        <item x="465"/>
        <item x="466"/>
        <item x="467"/>
        <item x="468"/>
        <item x="469"/>
        <item x="470"/>
        <item x="471"/>
        <item x="472"/>
        <item m="1" x="494"/>
        <item m="1" x="491"/>
        <item x="5"/>
        <item x="327"/>
        <item x="329"/>
        <item x="332"/>
        <item x="330"/>
        <item x="334"/>
        <item x="319"/>
        <item x="331"/>
        <item x="335"/>
        <item x="328"/>
        <item x="337"/>
        <item x="338"/>
        <item x="339"/>
        <item x="340"/>
        <item x="336"/>
        <item x="343"/>
        <item x="342"/>
        <item m="1" x="498"/>
        <item x="44"/>
        <item x="51"/>
        <item m="1" x="489"/>
        <item x="22"/>
        <item m="1" x="506"/>
        <item x="341"/>
        <item x="412"/>
        <item x="409"/>
        <item x="92"/>
        <item x="86"/>
        <item x="83"/>
        <item x="68"/>
        <item x="102"/>
        <item x="333"/>
        <item x="376"/>
        <item x="378"/>
        <item m="1" x="478"/>
        <item x="123"/>
        <item x="144"/>
        <item x="147"/>
        <item x="180"/>
        <item x="167"/>
        <item x="174"/>
        <item x="166"/>
        <item x="159"/>
        <item m="1" x="487"/>
        <item x="322"/>
        <item m="1" x="490"/>
        <item x="222"/>
        <item x="225"/>
        <item x="229"/>
        <item x="284"/>
        <item x="280"/>
        <item x="350"/>
        <item x="349"/>
        <item x="294"/>
        <item x="301"/>
        <item x="352"/>
        <item x="390"/>
        <item x="367"/>
        <item x="374"/>
        <item x="388"/>
        <item x="347"/>
        <item x="321"/>
        <item x="346"/>
        <item x="320"/>
        <item x="345"/>
        <item x="208"/>
        <item x="397"/>
        <item x="435"/>
        <item x="437"/>
        <item x="444"/>
        <item m="1" x="497"/>
        <item x="452"/>
        <item x="448"/>
        <item x="453"/>
        <item x="348"/>
        <item x="344"/>
        <item x="318"/>
        <item x="317"/>
        <item x="314"/>
        <item x="316"/>
        <item x="315"/>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9"/>
    <field x="7"/>
  </rowFields>
  <rowItems count="474">
    <i>
      <x/>
      <x v="165"/>
    </i>
    <i>
      <x v="1"/>
      <x v="261"/>
    </i>
    <i>
      <x v="2"/>
      <x v="261"/>
    </i>
    <i>
      <x v="3"/>
      <x v="165"/>
    </i>
    <i>
      <x v="4"/>
      <x v="261"/>
    </i>
    <i>
      <x v="5"/>
      <x v="136"/>
    </i>
    <i>
      <x v="6"/>
      <x v="261"/>
    </i>
    <i>
      <x v="7"/>
      <x v="136"/>
    </i>
    <i>
      <x v="8"/>
      <x v="273"/>
    </i>
    <i>
      <x v="9"/>
      <x v="136"/>
    </i>
    <i>
      <x v="10"/>
      <x v="261"/>
    </i>
    <i>
      <x v="11"/>
      <x v="135"/>
    </i>
    <i>
      <x v="12"/>
      <x v="137"/>
    </i>
    <i>
      <x v="13"/>
      <x v="137"/>
    </i>
    <i>
      <x v="14"/>
      <x v="138"/>
    </i>
    <i>
      <x v="15"/>
      <x v="138"/>
    </i>
    <i>
      <x v="16"/>
      <x v="138"/>
    </i>
    <i>
      <x v="17"/>
      <x v="261"/>
    </i>
    <i>
      <x v="18"/>
      <x v="159"/>
    </i>
    <i>
      <x v="20"/>
      <x v="233"/>
    </i>
    <i>
      <x v="21"/>
      <x v="261"/>
    </i>
    <i>
      <x v="22"/>
      <x v="159"/>
    </i>
    <i>
      <x v="23"/>
      <x v="205"/>
    </i>
    <i>
      <x v="24"/>
      <x v="214"/>
    </i>
    <i>
      <x v="25"/>
      <x v="213"/>
    </i>
    <i>
      <x v="26"/>
      <x v="44"/>
    </i>
    <i>
      <x v="27"/>
      <x v="66"/>
    </i>
    <i>
      <x v="28"/>
      <x v="187"/>
    </i>
    <i>
      <x v="29"/>
      <x v="75"/>
    </i>
    <i>
      <x v="30"/>
      <x v="234"/>
    </i>
    <i>
      <x v="31"/>
      <x v="209"/>
    </i>
    <i>
      <x v="32"/>
      <x v="209"/>
    </i>
    <i>
      <x v="33"/>
      <x v="83"/>
    </i>
    <i>
      <x v="34"/>
      <x v="55"/>
    </i>
    <i>
      <x v="35"/>
      <x v="229"/>
    </i>
    <i>
      <x v="36"/>
      <x v="22"/>
    </i>
    <i>
      <x v="37"/>
      <x v="55"/>
    </i>
    <i>
      <x v="38"/>
      <x v="22"/>
    </i>
    <i>
      <x v="39"/>
      <x v="55"/>
    </i>
    <i>
      <x v="40"/>
      <x v="223"/>
    </i>
    <i>
      <x v="41"/>
      <x v="223"/>
    </i>
    <i>
      <x v="42"/>
      <x v="261"/>
    </i>
    <i>
      <x v="43"/>
      <x v="69"/>
    </i>
    <i>
      <x v="44"/>
      <x v="261"/>
    </i>
    <i>
      <x v="45"/>
      <x v="261"/>
    </i>
    <i>
      <x v="46"/>
      <x v="181"/>
    </i>
    <i>
      <x v="47"/>
      <x v="233"/>
    </i>
    <i>
      <x v="48"/>
      <x v="233"/>
    </i>
    <i>
      <x v="49"/>
      <x v="150"/>
    </i>
    <i>
      <x v="50"/>
      <x v="150"/>
    </i>
    <i>
      <x v="51"/>
      <x v="150"/>
    </i>
    <i>
      <x v="53"/>
      <x v="2"/>
    </i>
    <i>
      <x v="54"/>
      <x v="21"/>
    </i>
    <i>
      <x v="55"/>
      <x v="21"/>
    </i>
    <i>
      <x v="56"/>
      <x v="175"/>
    </i>
    <i>
      <x v="57"/>
      <x v="254"/>
    </i>
    <i>
      <x v="58"/>
      <x v="92"/>
    </i>
    <i>
      <x v="59"/>
      <x v="273"/>
    </i>
    <i>
      <x v="60"/>
      <x v="6"/>
    </i>
    <i>
      <x v="61"/>
      <x v="6"/>
    </i>
    <i>
      <x v="62"/>
      <x v="6"/>
    </i>
    <i>
      <x v="63"/>
      <x v="154"/>
    </i>
    <i>
      <x v="64"/>
      <x v="154"/>
    </i>
    <i>
      <x v="65"/>
      <x v="229"/>
    </i>
    <i>
      <x v="66"/>
      <x v="6"/>
    </i>
    <i>
      <x v="67"/>
      <x v="154"/>
    </i>
    <i>
      <x v="68"/>
      <x v="166"/>
    </i>
    <i>
      <x v="69"/>
      <x v="24"/>
    </i>
    <i>
      <x v="70"/>
      <x v="24"/>
    </i>
    <i>
      <x v="71"/>
      <x v="166"/>
    </i>
    <i>
      <x v="72"/>
      <x v="166"/>
    </i>
    <i>
      <x v="73"/>
      <x v="166"/>
    </i>
    <i>
      <x v="74"/>
      <x v="244"/>
    </i>
    <i>
      <x v="75"/>
      <x v="244"/>
    </i>
    <i>
      <x v="76"/>
      <x v="130"/>
    </i>
    <i>
      <x v="78"/>
      <x v="130"/>
    </i>
    <i>
      <x v="79"/>
      <x v="206"/>
    </i>
    <i>
      <x v="80"/>
      <x v="228"/>
    </i>
    <i>
      <x v="81"/>
      <x v="130"/>
    </i>
    <i>
      <x v="82"/>
      <x v="92"/>
    </i>
    <i>
      <x v="83"/>
      <x v="92"/>
    </i>
    <i>
      <x v="84"/>
      <x v="29"/>
    </i>
    <i>
      <x v="86"/>
      <x v="56"/>
    </i>
    <i>
      <x v="87"/>
      <x v="12"/>
    </i>
    <i>
      <x v="88"/>
      <x v="157"/>
    </i>
    <i>
      <x v="89"/>
      <x v="157"/>
    </i>
    <i>
      <x v="90"/>
      <x v="157"/>
    </i>
    <i>
      <x v="91"/>
      <x v="12"/>
    </i>
    <i>
      <x v="92"/>
      <x v="212"/>
    </i>
    <i>
      <x v="93"/>
      <x v="48"/>
    </i>
    <i>
      <x v="94"/>
      <x v="69"/>
    </i>
    <i>
      <x v="95"/>
      <x v="261"/>
    </i>
    <i>
      <x v="96"/>
      <x v="261"/>
    </i>
    <i>
      <x v="97"/>
      <x v="261"/>
    </i>
    <i>
      <x v="98"/>
      <x v="45"/>
    </i>
    <i>
      <x v="99"/>
      <x v="79"/>
    </i>
    <i>
      <x v="100"/>
      <x v="161"/>
    </i>
    <i>
      <x v="101"/>
      <x v="152"/>
    </i>
    <i>
      <x v="102"/>
      <x v="49"/>
    </i>
    <i>
      <x v="103"/>
      <x v="167"/>
    </i>
    <i>
      <x v="104"/>
      <x v="261"/>
    </i>
    <i>
      <x v="105"/>
      <x v="151"/>
    </i>
    <i>
      <x v="106"/>
      <x v="151"/>
    </i>
    <i>
      <x v="107"/>
      <x v="151"/>
    </i>
    <i>
      <x v="108"/>
      <x v="67"/>
    </i>
    <i>
      <x v="109"/>
      <x v="59"/>
    </i>
    <i>
      <x v="110"/>
      <x v="260"/>
    </i>
    <i>
      <x v="111"/>
      <x v="59"/>
    </i>
    <i>
      <x v="112"/>
      <x v="59"/>
    </i>
    <i>
      <x v="113"/>
      <x v="105"/>
    </i>
    <i>
      <x v="114"/>
      <x v="35"/>
    </i>
    <i>
      <x v="115"/>
      <x v="155"/>
    </i>
    <i>
      <x v="116"/>
      <x v="174"/>
    </i>
    <i>
      <x v="117"/>
      <x v="174"/>
    </i>
    <i>
      <x v="118"/>
      <x v="141"/>
    </i>
    <i>
      <x v="121"/>
      <x v="267"/>
    </i>
    <i>
      <x v="122"/>
      <x v="11"/>
    </i>
    <i>
      <x v="123"/>
      <x v="141"/>
    </i>
    <i>
      <x v="125"/>
      <x v="205"/>
    </i>
    <i>
      <x v="126"/>
      <x v="230"/>
    </i>
    <i>
      <x v="127"/>
      <x v="251"/>
    </i>
    <i>
      <x v="128"/>
      <x v="29"/>
    </i>
    <i>
      <x v="129"/>
      <x v="1"/>
    </i>
    <i>
      <x v="130"/>
      <x v="255"/>
    </i>
    <i>
      <x v="131"/>
      <x v="1"/>
    </i>
    <i>
      <x v="132"/>
      <x v="255"/>
    </i>
    <i>
      <x v="134"/>
      <x v="147"/>
    </i>
    <i>
      <x v="135"/>
      <x v="183"/>
    </i>
    <i>
      <x v="136"/>
      <x v="142"/>
    </i>
    <i>
      <x v="137"/>
      <x v="183"/>
    </i>
    <i>
      <x v="138"/>
      <x v="261"/>
    </i>
    <i>
      <x v="139"/>
      <x v="142"/>
    </i>
    <i>
      <x v="140"/>
      <x v="97"/>
    </i>
    <i>
      <x v="141"/>
      <x v="77"/>
    </i>
    <i>
      <x v="142"/>
      <x v="114"/>
    </i>
    <i>
      <x v="143"/>
      <x v="114"/>
    </i>
    <i>
      <x v="144"/>
      <x v="129"/>
    </i>
    <i>
      <x v="145"/>
      <x v="129"/>
    </i>
    <i>
      <x v="146"/>
      <x v="129"/>
    </i>
    <i>
      <x v="147"/>
      <x v="129"/>
    </i>
    <i>
      <x v="148"/>
      <x v="46"/>
    </i>
    <i>
      <x v="150"/>
      <x v="46"/>
    </i>
    <i>
      <x v="152"/>
      <x v="206"/>
    </i>
    <i>
      <x v="153"/>
      <x v="273"/>
    </i>
    <i>
      <x v="154"/>
      <x v="206"/>
    </i>
    <i>
      <x v="155"/>
      <x v="261"/>
    </i>
    <i>
      <x v="156"/>
      <x v="100"/>
    </i>
    <i>
      <x v="157"/>
      <x v="52"/>
    </i>
    <i>
      <x v="158"/>
      <x v="279"/>
    </i>
    <i>
      <x v="159"/>
      <x v="52"/>
    </i>
    <i>
      <x v="160"/>
      <x v="200"/>
    </i>
    <i>
      <x v="161"/>
      <x v="34"/>
    </i>
    <i>
      <x v="162"/>
      <x v="52"/>
    </i>
    <i>
      <x v="163"/>
      <x v="270"/>
    </i>
    <i>
      <x v="164"/>
      <x v="70"/>
    </i>
    <i>
      <x v="166"/>
      <x v="51"/>
    </i>
    <i>
      <x v="167"/>
      <x v="203"/>
    </i>
    <i>
      <x v="168"/>
      <x v="239"/>
    </i>
    <i>
      <x v="169"/>
      <x v="51"/>
    </i>
    <i>
      <x v="170"/>
      <x v="36"/>
    </i>
    <i>
      <x v="171"/>
      <x v="51"/>
    </i>
    <i>
      <x v="172"/>
      <x v="62"/>
    </i>
    <i>
      <x v="173"/>
      <x v="82"/>
    </i>
    <i>
      <x v="174"/>
      <x v="86"/>
    </i>
    <i>
      <x v="175"/>
      <x v="261"/>
    </i>
    <i>
      <x v="176"/>
      <x v="121"/>
    </i>
    <i>
      <x v="177"/>
      <x v="87"/>
    </i>
    <i>
      <x v="178"/>
      <x v="225"/>
    </i>
    <i>
      <x v="179"/>
      <x v="88"/>
    </i>
    <i>
      <x v="180"/>
      <x v="185"/>
    </i>
    <i>
      <x v="181"/>
      <x v="8"/>
    </i>
    <i>
      <x v="182"/>
      <x v="185"/>
    </i>
    <i>
      <x v="183"/>
      <x v="8"/>
    </i>
    <i>
      <x v="184"/>
      <x v="185"/>
    </i>
    <i>
      <x v="185"/>
      <x v="261"/>
    </i>
    <i>
      <x v="186"/>
      <x v="23"/>
    </i>
    <i>
      <x v="187"/>
      <x v="23"/>
    </i>
    <i>
      <x v="188"/>
      <x v="134"/>
    </i>
    <i>
      <x v="189"/>
      <x v="134"/>
    </i>
    <i>
      <x v="190"/>
      <x v="134"/>
    </i>
    <i>
      <x v="191"/>
      <x v="134"/>
    </i>
    <i>
      <x v="192"/>
      <x v="117"/>
    </i>
    <i>
      <x v="193"/>
      <x v="117"/>
    </i>
    <i>
      <x v="194"/>
      <x v="205"/>
    </i>
    <i>
      <x v="195"/>
      <x v="206"/>
    </i>
    <i>
      <x v="196"/>
      <x v="117"/>
    </i>
    <i>
      <x v="197"/>
      <x v="205"/>
    </i>
    <i>
      <x v="198"/>
      <x v="117"/>
    </i>
    <i>
      <x v="199"/>
      <x v="247"/>
    </i>
    <i>
      <x v="200"/>
      <x v="132"/>
    </i>
    <i>
      <x v="201"/>
      <x v="132"/>
    </i>
    <i>
      <x v="202"/>
      <x v="132"/>
    </i>
    <i>
      <x v="203"/>
      <x v="102"/>
    </i>
    <i>
      <x v="204"/>
      <x v="197"/>
    </i>
    <i>
      <x v="207"/>
      <x v="133"/>
    </i>
    <i>
      <x v="208"/>
      <x v="133"/>
    </i>
    <i>
      <x v="209"/>
      <x v="133"/>
    </i>
    <i>
      <x v="210"/>
      <x v="133"/>
    </i>
    <i>
      <x v="211"/>
      <x v="216"/>
    </i>
    <i>
      <x v="212"/>
      <x v="33"/>
    </i>
    <i>
      <x v="213"/>
      <x v="206"/>
    </i>
    <i>
      <x v="214"/>
      <x v="231"/>
    </i>
    <i>
      <x v="215"/>
      <x v="168"/>
    </i>
    <i>
      <x v="216"/>
      <x v="206"/>
    </i>
    <i>
      <x v="217"/>
      <x v="29"/>
    </i>
    <i>
      <x v="218"/>
      <x v="193"/>
    </i>
    <i>
      <x v="219"/>
      <x v="99"/>
    </i>
    <i>
      <x v="220"/>
      <x v="179"/>
    </i>
    <i>
      <x v="221"/>
      <x v="205"/>
    </i>
    <i>
      <x v="222"/>
      <x v="206"/>
    </i>
    <i>
      <x v="223"/>
      <x v="99"/>
    </i>
    <i>
      <x v="224"/>
      <x v="29"/>
    </i>
    <i>
      <x v="225"/>
      <x v="257"/>
    </i>
    <i>
      <x v="226"/>
      <x v="229"/>
    </i>
    <i>
      <x v="227"/>
      <x v="262"/>
    </i>
    <i>
      <x v="228"/>
      <x v="229"/>
    </i>
    <i>
      <x v="229"/>
      <x v="262"/>
    </i>
    <i>
      <x v="230"/>
      <x v="124"/>
    </i>
    <i>
      <x v="231"/>
      <x v="123"/>
    </i>
    <i>
      <x v="232"/>
      <x v="123"/>
    </i>
    <i>
      <x v="233"/>
      <x v="123"/>
    </i>
    <i>
      <x v="234"/>
      <x v="125"/>
    </i>
    <i>
      <x v="235"/>
      <x v="125"/>
    </i>
    <i>
      <x v="236"/>
      <x v="37"/>
    </i>
    <i>
      <x v="237"/>
      <x v="64"/>
    </i>
    <i>
      <x v="238"/>
      <x v="64"/>
    </i>
    <i>
      <x v="239"/>
      <x v="125"/>
    </i>
    <i>
      <x v="240"/>
      <x v="125"/>
    </i>
    <i>
      <x v="241"/>
      <x v="273"/>
    </i>
    <i>
      <x v="242"/>
      <x v="125"/>
    </i>
    <i>
      <x v="243"/>
      <x v="232"/>
    </i>
    <i>
      <x v="244"/>
      <x v="232"/>
    </i>
    <i>
      <x v="245"/>
      <x v="232"/>
    </i>
    <i>
      <x v="246"/>
      <x v="232"/>
    </i>
    <i>
      <x v="247"/>
      <x v="120"/>
    </i>
    <i>
      <x v="248"/>
      <x v="207"/>
    </i>
    <i>
      <x v="249"/>
      <x/>
    </i>
    <i>
      <x v="250"/>
      <x v="144"/>
    </i>
    <i>
      <x v="251"/>
      <x v="276"/>
    </i>
    <i>
      <x v="252"/>
      <x v="144"/>
    </i>
    <i>
      <x v="253"/>
      <x v="276"/>
    </i>
    <i>
      <x v="254"/>
      <x v="95"/>
    </i>
    <i>
      <x v="255"/>
      <x v="116"/>
    </i>
    <i>
      <x v="256"/>
      <x v="172"/>
    </i>
    <i>
      <x v="257"/>
      <x v="116"/>
    </i>
    <i>
      <x v="258"/>
      <x v="116"/>
    </i>
    <i>
      <x v="259"/>
      <x v="250"/>
    </i>
    <i>
      <x v="262"/>
      <x v="32"/>
    </i>
    <i>
      <x v="263"/>
      <x v="169"/>
    </i>
    <i>
      <x v="264"/>
      <x v="29"/>
    </i>
    <i>
      <x v="265"/>
      <x v="169"/>
    </i>
    <i>
      <x v="266"/>
      <x v="229"/>
    </i>
    <i>
      <x v="267"/>
      <x v="93"/>
    </i>
    <i>
      <x v="268"/>
      <x v="57"/>
    </i>
    <i>
      <x v="269"/>
      <x v="173"/>
    </i>
    <i>
      <x v="270"/>
      <x v="237"/>
    </i>
    <i>
      <x v="271"/>
      <x v="29"/>
    </i>
    <i>
      <x v="272"/>
      <x v="182"/>
    </i>
    <i>
      <x v="273"/>
      <x v="96"/>
    </i>
    <i>
      <x v="275"/>
      <x v="76"/>
    </i>
    <i>
      <x v="276"/>
      <x v="93"/>
    </i>
    <i>
      <x v="277"/>
      <x v="186"/>
    </i>
    <i>
      <x v="280"/>
      <x v="273"/>
    </i>
    <i>
      <x v="281"/>
      <x v="58"/>
    </i>
    <i>
      <x v="282"/>
      <x v="273"/>
    </i>
    <i>
      <x v="283"/>
      <x v="172"/>
    </i>
    <i>
      <x v="284"/>
      <x v="229"/>
    </i>
    <i>
      <x v="285"/>
      <x v="229"/>
    </i>
    <i>
      <x v="286"/>
      <x v="229"/>
    </i>
    <i>
      <x v="287"/>
      <x v="158"/>
    </i>
    <i>
      <x v="288"/>
      <x v="171"/>
    </i>
    <i>
      <x v="289"/>
      <x v="53"/>
    </i>
    <i>
      <x v="290"/>
      <x v="73"/>
    </i>
    <i>
      <x v="292"/>
      <x v="98"/>
    </i>
    <i>
      <x v="293"/>
      <x v="184"/>
    </i>
    <i>
      <x v="294"/>
      <x v="73"/>
    </i>
    <i>
      <x v="295"/>
      <x v="261"/>
    </i>
    <i>
      <x v="296"/>
      <x v="26"/>
    </i>
    <i>
      <x v="297"/>
      <x v="199"/>
    </i>
    <i>
      <x v="298"/>
      <x v="238"/>
    </i>
    <i>
      <x v="299"/>
      <x v="202"/>
    </i>
    <i>
      <x v="300"/>
      <x v="229"/>
    </i>
    <i>
      <x v="301"/>
      <x v="202"/>
    </i>
    <i>
      <x v="302"/>
      <x v="201"/>
    </i>
    <i>
      <x v="303"/>
      <x v="272"/>
    </i>
    <i>
      <x v="304"/>
      <x v="258"/>
    </i>
    <i>
      <x v="305"/>
      <x v="260"/>
    </i>
    <i>
      <x v="306"/>
      <x v="38"/>
    </i>
    <i>
      <x v="307"/>
      <x v="7"/>
    </i>
    <i>
      <x v="308"/>
      <x v="42"/>
    </i>
    <i>
      <x v="309"/>
      <x v="42"/>
    </i>
    <i>
      <x v="310"/>
      <x v="149"/>
    </i>
    <i>
      <x v="311"/>
      <x v="149"/>
    </i>
    <i>
      <x v="312"/>
      <x v="127"/>
    </i>
    <i>
      <x v="313"/>
      <x v="145"/>
    </i>
    <i>
      <x v="314"/>
      <x v="145"/>
    </i>
    <i>
      <x v="315"/>
      <x v="145"/>
    </i>
    <i>
      <x v="316"/>
      <x v="145"/>
    </i>
    <i>
      <x v="317"/>
      <x v="261"/>
    </i>
    <i>
      <x v="318"/>
      <x v="60"/>
    </i>
    <i>
      <x v="319"/>
      <x v="261"/>
    </i>
    <i>
      <x v="320"/>
      <x v="60"/>
    </i>
    <i>
      <x v="321"/>
      <x v="261"/>
    </i>
    <i>
      <x v="322"/>
      <x v="5"/>
    </i>
    <i>
      <x v="323"/>
      <x v="43"/>
    </i>
    <i>
      <x v="324"/>
      <x v="113"/>
    </i>
    <i>
      <x v="325"/>
      <x v="113"/>
    </i>
    <i>
      <x v="326"/>
      <x v="113"/>
    </i>
    <i>
      <x v="327"/>
      <x v="240"/>
    </i>
    <i>
      <x v="328"/>
      <x v="240"/>
    </i>
    <i>
      <x v="329"/>
      <x v="240"/>
    </i>
    <i>
      <x v="330"/>
      <x v="180"/>
    </i>
    <i>
      <x v="331"/>
      <x v="29"/>
    </i>
    <i>
      <x v="332"/>
      <x v="112"/>
    </i>
    <i>
      <x v="333"/>
      <x v="112"/>
    </i>
    <i>
      <x v="334"/>
      <x v="140"/>
    </i>
    <i>
      <x v="336"/>
      <x v="140"/>
    </i>
    <i>
      <x v="337"/>
      <x v="153"/>
    </i>
    <i>
      <x v="339"/>
      <x v="260"/>
    </i>
    <i>
      <x v="340"/>
      <x v="260"/>
    </i>
    <i>
      <x v="341"/>
      <x v="273"/>
    </i>
    <i>
      <x v="342"/>
      <x v="126"/>
    </i>
    <i>
      <x v="343"/>
      <x v="261"/>
    </i>
    <i>
      <x v="344"/>
      <x v="261"/>
    </i>
    <i>
      <x v="345"/>
      <x v="206"/>
    </i>
    <i>
      <x v="346"/>
      <x v="261"/>
    </i>
    <i>
      <x v="347"/>
      <x v="261"/>
    </i>
    <i>
      <x v="348"/>
      <x v="261"/>
    </i>
    <i>
      <x v="349"/>
      <x v="261"/>
    </i>
    <i>
      <x v="350"/>
      <x v="261"/>
    </i>
    <i>
      <x v="351"/>
      <x v="261"/>
    </i>
    <i>
      <x v="352"/>
      <x v="146"/>
    </i>
    <i>
      <x v="353"/>
      <x v="146"/>
    </i>
    <i>
      <x v="354"/>
      <x v="47"/>
    </i>
    <i>
      <x v="355"/>
      <x v="177"/>
    </i>
    <i>
      <x v="356"/>
      <x v="47"/>
    </i>
    <i>
      <x v="357"/>
      <x v="177"/>
    </i>
    <i>
      <x v="358"/>
      <x v="177"/>
    </i>
    <i>
      <x v="359"/>
      <x v="177"/>
    </i>
    <i>
      <x v="360"/>
      <x v="15"/>
    </i>
    <i>
      <x v="361"/>
      <x v="61"/>
    </i>
    <i>
      <x v="362"/>
      <x v="188"/>
    </i>
    <i>
      <x v="363"/>
      <x v="61"/>
    </i>
    <i>
      <x v="364"/>
      <x v="61"/>
    </i>
    <i>
      <x v="365"/>
      <x v="160"/>
    </i>
    <i>
      <x v="366"/>
      <x v="261"/>
    </i>
    <i>
      <x v="367"/>
      <x v="61"/>
    </i>
    <i>
      <x v="368"/>
      <x v="61"/>
    </i>
    <i>
      <x v="369"/>
      <x v="160"/>
    </i>
    <i>
      <x v="370"/>
      <x v="208"/>
    </i>
    <i>
      <x v="371"/>
      <x v="208"/>
    </i>
    <i>
      <x v="372"/>
      <x v="208"/>
    </i>
    <i>
      <x v="373"/>
      <x v="50"/>
    </i>
    <i>
      <x v="374"/>
      <x v="217"/>
    </i>
    <i>
      <x v="375"/>
      <x v="261"/>
    </i>
    <i>
      <x v="376"/>
      <x v="261"/>
    </i>
    <i>
      <x v="377"/>
      <x v="219"/>
    </i>
    <i>
      <x v="378"/>
      <x v="261"/>
    </i>
    <i>
      <x v="379"/>
      <x v="131"/>
    </i>
    <i>
      <x v="380"/>
      <x v="131"/>
    </i>
    <i>
      <x v="381"/>
      <x v="131"/>
    </i>
    <i>
      <x v="382"/>
      <x v="206"/>
    </i>
    <i>
      <x v="383"/>
      <x v="192"/>
    </i>
    <i>
      <x v="384"/>
      <x v="18"/>
    </i>
    <i>
      <x v="385"/>
      <x v="192"/>
    </i>
    <i>
      <x v="386"/>
      <x v="8"/>
    </i>
    <i>
      <x v="387"/>
      <x v="229"/>
    </i>
    <i>
      <x v="389"/>
      <x v="101"/>
    </i>
    <i>
      <x v="391"/>
      <x v="246"/>
    </i>
    <i>
      <x v="392"/>
      <x v="103"/>
    </i>
    <i>
      <x v="393"/>
      <x v="103"/>
    </i>
    <i>
      <x v="394"/>
      <x v="246"/>
    </i>
    <i>
      <x v="395"/>
      <x v="246"/>
    </i>
    <i>
      <x v="396"/>
      <x v="103"/>
    </i>
    <i>
      <x v="397"/>
      <x v="84"/>
    </i>
    <i>
      <x v="398"/>
      <x v="39"/>
    </i>
    <i>
      <x v="399"/>
      <x v="243"/>
    </i>
    <i>
      <x v="400"/>
      <x v="220"/>
    </i>
    <i>
      <x v="401"/>
      <x v="218"/>
    </i>
    <i>
      <x v="402"/>
      <x v="221"/>
    </i>
    <i>
      <x v="403"/>
      <x v="264"/>
    </i>
    <i>
      <x v="404"/>
      <x v="266"/>
    </i>
    <i>
      <x v="405"/>
      <x v="265"/>
    </i>
    <i>
      <x v="406"/>
      <x v="256"/>
    </i>
    <i>
      <x v="407"/>
      <x v="4"/>
    </i>
    <i>
      <x v="408"/>
      <x v="19"/>
    </i>
    <i>
      <x v="411"/>
      <x v="190"/>
    </i>
    <i>
      <x v="412"/>
      <x v="176"/>
    </i>
    <i>
      <x v="414"/>
      <x v="261"/>
    </i>
    <i>
      <x v="415"/>
      <x v="130"/>
    </i>
    <i>
      <x v="416"/>
      <x v="130"/>
    </i>
    <i>
      <x v="418"/>
      <x v="41"/>
    </i>
    <i>
      <x v="419"/>
      <x v="148"/>
    </i>
    <i>
      <x v="420"/>
      <x v="41"/>
    </i>
    <i>
      <x v="421"/>
      <x v="148"/>
    </i>
    <i>
      <x v="422"/>
      <x v="261"/>
    </i>
    <i>
      <x v="423"/>
      <x v="249"/>
    </i>
    <i>
      <x v="424"/>
      <x v="249"/>
    </i>
    <i>
      <x v="425"/>
      <x v="280"/>
    </i>
    <i>
      <x v="428"/>
      <x v="261"/>
    </i>
    <i>
      <x v="429"/>
      <x v="3"/>
    </i>
    <i>
      <x v="430"/>
      <x v="241"/>
    </i>
    <i>
      <x v="431"/>
      <x v="54"/>
    </i>
    <i>
      <x v="432"/>
      <x v="227"/>
    </i>
    <i>
      <x v="433"/>
      <x v="54"/>
    </i>
    <i>
      <x v="434"/>
      <x v="187"/>
    </i>
    <i>
      <x v="435"/>
      <x v="94"/>
    </i>
    <i>
      <x v="436"/>
      <x v="271"/>
    </i>
    <i>
      <x v="437"/>
      <x v="69"/>
    </i>
    <i>
      <x v="438"/>
      <x v="69"/>
    </i>
    <i>
      <x v="439"/>
      <x v="80"/>
    </i>
    <i>
      <x v="440"/>
      <x v="195"/>
    </i>
    <i>
      <x v="441"/>
      <x v="198"/>
    </i>
    <i>
      <x v="442"/>
      <x v="28"/>
    </i>
    <i>
      <x v="443"/>
      <x v="70"/>
    </i>
    <i>
      <x v="444"/>
      <x v="17"/>
    </i>
    <i>
      <x v="446"/>
      <x v="236"/>
    </i>
    <i>
      <x v="447"/>
      <x v="150"/>
    </i>
    <i>
      <x v="449"/>
      <x v="159"/>
    </i>
    <i>
      <x v="451"/>
      <x v="194"/>
    </i>
    <i>
      <x v="452"/>
      <x v="160"/>
    </i>
    <i>
      <x v="453"/>
      <x v="160"/>
    </i>
    <i>
      <x v="454"/>
      <x v="157"/>
    </i>
    <i>
      <x v="455"/>
      <x v="261"/>
    </i>
    <i>
      <x v="456"/>
      <x v="130"/>
    </i>
    <i>
      <x v="457"/>
      <x v="154"/>
    </i>
    <i>
      <x v="458"/>
      <x v="261"/>
    </i>
    <i>
      <x v="459"/>
      <x v="81"/>
    </i>
    <i>
      <x v="460"/>
      <x v="140"/>
    </i>
    <i>
      <x v="461"/>
      <x v="204"/>
    </i>
    <i>
      <x v="463"/>
      <x v="40"/>
    </i>
    <i>
      <x v="464"/>
      <x v="80"/>
    </i>
    <i>
      <x v="465"/>
      <x v="129"/>
    </i>
    <i>
      <x v="466"/>
      <x v="270"/>
    </i>
    <i>
      <x v="467"/>
      <x v="203"/>
    </i>
    <i>
      <x v="468"/>
      <x v="245"/>
    </i>
    <i>
      <x v="469"/>
      <x v="90"/>
    </i>
    <i>
      <x v="470"/>
      <x v="71"/>
    </i>
    <i>
      <x v="472"/>
      <x v="42"/>
    </i>
    <i>
      <x v="474"/>
      <x v="168"/>
    </i>
    <i>
      <x v="475"/>
      <x v="16"/>
    </i>
    <i>
      <x v="476"/>
      <x v="29"/>
    </i>
    <i>
      <x v="477"/>
      <x v="273"/>
    </i>
    <i>
      <x v="478"/>
      <x v="173"/>
    </i>
    <i>
      <x v="479"/>
      <x v="261"/>
    </i>
    <i>
      <x v="480"/>
      <x v="261"/>
    </i>
    <i>
      <x v="481"/>
      <x v="261"/>
    </i>
    <i>
      <x v="482"/>
      <x v="238"/>
    </i>
    <i>
      <x v="483"/>
      <x v="242"/>
    </i>
    <i>
      <x v="484"/>
      <x v="128"/>
    </i>
    <i>
      <x v="485"/>
      <x v="205"/>
    </i>
    <i>
      <x v="486"/>
      <x v="29"/>
    </i>
    <i>
      <x v="487"/>
      <x v="260"/>
    </i>
    <i>
      <x v="488"/>
      <x v="85"/>
    </i>
    <i>
      <x v="489"/>
      <x v="262"/>
    </i>
    <i>
      <x v="490"/>
      <x v="262"/>
    </i>
    <i>
      <x v="491"/>
      <x v="261"/>
    </i>
    <i>
      <x v="492"/>
      <x v="261"/>
    </i>
    <i>
      <x v="493"/>
      <x v="132"/>
    </i>
    <i>
      <x v="494"/>
      <x v="146"/>
    </i>
    <i>
      <x v="495"/>
      <x v="101"/>
    </i>
    <i>
      <x v="496"/>
      <x v="101"/>
    </i>
    <i>
      <x v="497"/>
      <x v="103"/>
    </i>
    <i>
      <x v="499"/>
      <x v="224"/>
    </i>
    <i>
      <x v="500"/>
      <x v="220"/>
    </i>
    <i>
      <x v="501"/>
      <x v="261"/>
    </i>
    <i>
      <x v="502"/>
      <x v="85"/>
    </i>
    <i>
      <x v="503"/>
      <x v="229"/>
    </i>
    <i>
      <x v="504"/>
      <x v="33"/>
    </i>
    <i>
      <x v="505"/>
      <x v="63"/>
    </i>
    <i>
      <x v="506"/>
      <x v="84"/>
    </i>
    <i>
      <x v="507"/>
      <x v="84"/>
    </i>
    <i>
      <x v="508"/>
      <x v="17"/>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E727C90-B26E-4C59-9BFC-777125B8AC4C}" name="PivotTable1" cacheId="262" applyNumberFormats="0" applyBorderFormats="0" applyFontFormats="0" applyPatternFormats="0" applyAlignmentFormats="0" applyWidthHeightFormats="1" dataCaption="Values" updatedVersion="8" minRefreshableVersion="3" useAutoFormatting="1" itemPrintTitles="1" createdVersion="6" indent="0" compact="0" compactData="0" multipleFieldFilters="0">
  <location ref="T2:U129" firstHeaderRow="1" firstDataRow="1" firstDataCol="2"/>
  <pivotFields count="13">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6">
        <item x="0"/>
        <item x="80"/>
        <item x="2"/>
        <item x="26"/>
        <item x="86"/>
        <item m="1" x="217"/>
        <item x="1"/>
        <item m="1" x="123"/>
        <item m="1" x="193"/>
        <item x="3"/>
        <item m="1" x="134"/>
        <item x="88"/>
        <item m="1" x="211"/>
        <item m="1" x="237"/>
        <item x="4"/>
        <item m="1" x="240"/>
        <item m="1" x="145"/>
        <item x="8"/>
        <item m="1" x="191"/>
        <item x="9"/>
        <item m="1" x="207"/>
        <item x="10"/>
        <item x="6"/>
        <item x="12"/>
        <item x="11"/>
        <item m="1" x="234"/>
        <item x="13"/>
        <item m="1" x="190"/>
        <item m="1" x="140"/>
        <item m="1" x="136"/>
        <item x="7"/>
        <item x="5"/>
        <item x="21"/>
        <item x="50"/>
        <item x="16"/>
        <item m="1" x="153"/>
        <item x="87"/>
        <item x="14"/>
        <item x="105"/>
        <item m="1" x="219"/>
        <item m="1" x="144"/>
        <item x="19"/>
        <item x="20"/>
        <item x="18"/>
        <item x="17"/>
        <item m="1" x="203"/>
        <item x="22"/>
        <item x="15"/>
        <item m="1" x="204"/>
        <item x="23"/>
        <item m="1" x="173"/>
        <item m="1" x="155"/>
        <item m="1" x="149"/>
        <item m="1" x="124"/>
        <item x="24"/>
        <item m="1" x="235"/>
        <item x="25"/>
        <item x="85"/>
        <item x="27"/>
        <item x="28"/>
        <item x="98"/>
        <item x="38"/>
        <item x="29"/>
        <item m="1" x="214"/>
        <item x="104"/>
        <item x="30"/>
        <item m="1" x="215"/>
        <item x="31"/>
        <item m="1" x="179"/>
        <item m="1" x="132"/>
        <item x="32"/>
        <item x="36"/>
        <item x="33"/>
        <item m="1" x="125"/>
        <item x="34"/>
        <item m="1" x="181"/>
        <item m="1" x="160"/>
        <item m="1" x="188"/>
        <item x="39"/>
        <item x="35"/>
        <item x="37"/>
        <item x="40"/>
        <item x="42"/>
        <item m="1" x="231"/>
        <item x="41"/>
        <item m="1" x="174"/>
        <item m="1" x="166"/>
        <item x="44"/>
        <item x="43"/>
        <item x="45"/>
        <item m="1" x="178"/>
        <item m="1" x="141"/>
        <item m="1" x="194"/>
        <item m="1" x="147"/>
        <item x="46"/>
        <item m="1" x="239"/>
        <item m="1" x="162"/>
        <item x="47"/>
        <item x="48"/>
        <item m="1" x="224"/>
        <item x="77"/>
        <item m="1" x="164"/>
        <item x="83"/>
        <item m="1" x="163"/>
        <item x="49"/>
        <item x="51"/>
        <item m="1" x="170"/>
        <item m="1" x="154"/>
        <item x="54"/>
        <item x="52"/>
        <item m="1" x="148"/>
        <item m="1" x="195"/>
        <item m="1" x="241"/>
        <item m="1" x="167"/>
        <item x="57"/>
        <item x="59"/>
        <item x="66"/>
        <item m="1" x="222"/>
        <item x="58"/>
        <item m="1" x="152"/>
        <item m="1" x="139"/>
        <item x="64"/>
        <item x="65"/>
        <item m="1" x="223"/>
        <item m="1" x="189"/>
        <item x="56"/>
        <item m="1" x="186"/>
        <item x="62"/>
        <item x="61"/>
        <item x="55"/>
        <item x="63"/>
        <item m="1" x="146"/>
        <item m="1" x="232"/>
        <item m="1" x="197"/>
        <item m="1" x="126"/>
        <item m="1" x="184"/>
        <item m="1" x="180"/>
        <item m="1" x="185"/>
        <item m="1" x="245"/>
        <item m="1" x="213"/>
        <item m="1" x="238"/>
        <item m="1" x="227"/>
        <item m="1" x="143"/>
        <item m="1" x="220"/>
        <item m="1" x="221"/>
        <item m="1" x="243"/>
        <item m="1" x="131"/>
        <item m="1" x="230"/>
        <item m="1" x="182"/>
        <item m="1" x="209"/>
        <item m="1" x="165"/>
        <item m="1" x="244"/>
        <item m="1" x="133"/>
        <item m="1" x="135"/>
        <item m="1" x="177"/>
        <item m="1" x="150"/>
        <item m="1" x="212"/>
        <item m="1" x="201"/>
        <item m="1" x="130"/>
        <item x="60"/>
        <item x="67"/>
        <item m="1" x="127"/>
        <item x="68"/>
        <item m="1" x="183"/>
        <item m="1" x="137"/>
        <item x="71"/>
        <item x="69"/>
        <item x="70"/>
        <item m="1" x="199"/>
        <item m="1" x="157"/>
        <item m="1" x="198"/>
        <item x="90"/>
        <item m="1" x="205"/>
        <item x="72"/>
        <item m="1" x="156"/>
        <item m="1" x="142"/>
        <item x="73"/>
        <item x="76"/>
        <item x="78"/>
        <item x="74"/>
        <item x="75"/>
        <item m="1" x="192"/>
        <item m="1" x="196"/>
        <item m="1" x="172"/>
        <item x="91"/>
        <item x="92"/>
        <item x="93"/>
        <item m="1" x="216"/>
        <item m="1" x="128"/>
        <item m="1" x="208"/>
        <item m="1" x="158"/>
        <item m="1" x="202"/>
        <item x="102"/>
        <item m="1" x="168"/>
        <item x="95"/>
        <item x="100"/>
        <item m="1" x="218"/>
        <item x="97"/>
        <item m="1" x="200"/>
        <item m="1" x="161"/>
        <item m="1" x="233"/>
        <item m="1" x="176"/>
        <item x="96"/>
        <item x="99"/>
        <item x="119"/>
        <item x="101"/>
        <item x="82"/>
        <item x="81"/>
        <item m="1" x="169"/>
        <item x="53"/>
        <item x="94"/>
        <item x="103"/>
        <item m="1" x="159"/>
        <item m="1" x="129"/>
        <item m="1" x="187"/>
        <item m="1" x="138"/>
        <item x="108"/>
        <item x="111"/>
        <item x="107"/>
        <item x="110"/>
        <item x="106"/>
        <item m="1" x="226"/>
        <item m="1" x="228"/>
        <item m="1" x="242"/>
        <item x="112"/>
        <item m="1" x="229"/>
        <item x="109"/>
        <item m="1" x="206"/>
        <item x="113"/>
        <item x="114"/>
        <item m="1" x="225"/>
        <item m="1" x="236"/>
        <item m="1" x="175"/>
        <item m="1" x="210"/>
        <item x="115"/>
        <item m="1" x="171"/>
        <item x="116"/>
        <item x="117"/>
        <item x="89"/>
        <item m="1" x="151"/>
        <item x="79"/>
        <item x="118"/>
        <item x="120"/>
        <item x="84"/>
        <item x="121"/>
        <item x="1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1"/>
        <item x="0"/>
        <item x="2"/>
        <item m="1" x="4"/>
        <item m="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sortType="ascending"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
    <field x="3"/>
  </rowFields>
  <rowItems count="127">
    <i>
      <x/>
      <x v="1"/>
    </i>
    <i>
      <x v="1"/>
      <x/>
    </i>
    <i r="1">
      <x v="1"/>
    </i>
    <i>
      <x v="2"/>
      <x v="1"/>
    </i>
    <i>
      <x v="3"/>
      <x v="1"/>
    </i>
    <i>
      <x v="4"/>
      <x v="1"/>
    </i>
    <i>
      <x v="6"/>
      <x v="1"/>
    </i>
    <i>
      <x v="9"/>
      <x v="1"/>
    </i>
    <i>
      <x v="11"/>
      <x v="1"/>
    </i>
    <i>
      <x v="14"/>
      <x v="1"/>
    </i>
    <i>
      <x v="17"/>
      <x v="1"/>
    </i>
    <i>
      <x v="19"/>
      <x v="1"/>
    </i>
    <i>
      <x v="21"/>
      <x v="1"/>
    </i>
    <i>
      <x v="22"/>
      <x/>
    </i>
    <i>
      <x v="23"/>
      <x v="1"/>
    </i>
    <i>
      <x v="24"/>
      <x v="1"/>
    </i>
    <i>
      <x v="26"/>
      <x v="1"/>
    </i>
    <i>
      <x v="30"/>
      <x/>
    </i>
    <i>
      <x v="31"/>
      <x v="1"/>
    </i>
    <i>
      <x v="32"/>
      <x/>
    </i>
    <i>
      <x v="33"/>
      <x v="1"/>
    </i>
    <i>
      <x v="34"/>
      <x/>
    </i>
    <i>
      <x v="36"/>
      <x v="1"/>
    </i>
    <i>
      <x v="37"/>
      <x/>
    </i>
    <i r="1">
      <x v="1"/>
    </i>
    <i>
      <x v="38"/>
      <x/>
    </i>
    <i>
      <x v="41"/>
      <x v="1"/>
    </i>
    <i>
      <x v="42"/>
      <x/>
    </i>
    <i>
      <x v="43"/>
      <x/>
    </i>
    <i>
      <x v="44"/>
      <x v="1"/>
    </i>
    <i>
      <x v="46"/>
      <x v="1"/>
    </i>
    <i>
      <x v="47"/>
      <x/>
    </i>
    <i>
      <x v="49"/>
      <x v="1"/>
    </i>
    <i>
      <x v="54"/>
      <x v="1"/>
    </i>
    <i>
      <x v="56"/>
      <x v="1"/>
    </i>
    <i>
      <x v="57"/>
      <x v="1"/>
    </i>
    <i>
      <x v="58"/>
      <x v="1"/>
    </i>
    <i>
      <x v="59"/>
      <x v="1"/>
    </i>
    <i>
      <x v="60"/>
      <x v="1"/>
    </i>
    <i>
      <x v="61"/>
      <x v="1"/>
    </i>
    <i>
      <x v="62"/>
      <x v="1"/>
    </i>
    <i>
      <x v="64"/>
      <x v="1"/>
    </i>
    <i>
      <x v="65"/>
      <x v="1"/>
    </i>
    <i>
      <x v="67"/>
      <x v="1"/>
    </i>
    <i>
      <x v="70"/>
      <x/>
    </i>
    <i>
      <x v="71"/>
      <x v="1"/>
    </i>
    <i>
      <x v="72"/>
      <x v="1"/>
    </i>
    <i>
      <x v="74"/>
      <x v="1"/>
    </i>
    <i>
      <x v="78"/>
      <x v="1"/>
    </i>
    <i>
      <x v="79"/>
      <x v="1"/>
    </i>
    <i>
      <x v="80"/>
      <x/>
    </i>
    <i r="1">
      <x v="1"/>
    </i>
    <i>
      <x v="81"/>
      <x v="1"/>
    </i>
    <i>
      <x v="82"/>
      <x v="1"/>
    </i>
    <i>
      <x v="84"/>
      <x v="1"/>
    </i>
    <i>
      <x v="87"/>
      <x v="1"/>
    </i>
    <i>
      <x v="88"/>
      <x v="1"/>
    </i>
    <i>
      <x v="89"/>
      <x v="1"/>
    </i>
    <i>
      <x v="94"/>
      <x v="1"/>
    </i>
    <i>
      <x v="97"/>
      <x v="1"/>
    </i>
    <i>
      <x v="98"/>
      <x v="1"/>
    </i>
    <i>
      <x v="100"/>
      <x v="1"/>
    </i>
    <i>
      <x v="102"/>
      <x/>
    </i>
    <i>
      <x v="104"/>
      <x v="1"/>
    </i>
    <i>
      <x v="105"/>
      <x v="1"/>
    </i>
    <i>
      <x v="108"/>
      <x v="1"/>
    </i>
    <i>
      <x v="109"/>
      <x v="1"/>
    </i>
    <i>
      <x v="114"/>
      <x v="1"/>
    </i>
    <i>
      <x v="115"/>
      <x v="1"/>
    </i>
    <i>
      <x v="116"/>
      <x v="1"/>
    </i>
    <i>
      <x v="118"/>
      <x/>
    </i>
    <i>
      <x v="121"/>
      <x v="1"/>
    </i>
    <i>
      <x v="122"/>
      <x v="1"/>
    </i>
    <i>
      <x v="125"/>
      <x/>
    </i>
    <i>
      <x v="127"/>
      <x v="1"/>
    </i>
    <i>
      <x v="128"/>
      <x/>
    </i>
    <i>
      <x v="129"/>
      <x/>
    </i>
    <i>
      <x v="130"/>
      <x v="1"/>
    </i>
    <i>
      <x v="159"/>
      <x v="1"/>
    </i>
    <i>
      <x v="160"/>
      <x v="1"/>
    </i>
    <i>
      <x v="162"/>
      <x v="1"/>
    </i>
    <i>
      <x v="165"/>
      <x v="1"/>
    </i>
    <i>
      <x v="166"/>
      <x/>
    </i>
    <i>
      <x v="167"/>
      <x v="1"/>
    </i>
    <i>
      <x v="171"/>
      <x v="1"/>
    </i>
    <i>
      <x v="173"/>
      <x v="1"/>
    </i>
    <i>
      <x v="176"/>
      <x v="1"/>
    </i>
    <i>
      <x v="177"/>
      <x v="1"/>
    </i>
    <i>
      <x v="178"/>
      <x v="1"/>
    </i>
    <i>
      <x v="179"/>
      <x v="1"/>
    </i>
    <i>
      <x v="180"/>
      <x v="1"/>
    </i>
    <i>
      <x v="184"/>
      <x/>
    </i>
    <i>
      <x v="185"/>
      <x v="1"/>
    </i>
    <i>
      <x v="186"/>
      <x v="1"/>
    </i>
    <i>
      <x v="192"/>
      <x/>
    </i>
    <i>
      <x v="194"/>
      <x/>
    </i>
    <i>
      <x v="195"/>
      <x/>
    </i>
    <i>
      <x v="197"/>
      <x v="1"/>
    </i>
    <i>
      <x v="202"/>
      <x v="1"/>
    </i>
    <i>
      <x v="203"/>
      <x v="1"/>
    </i>
    <i>
      <x v="204"/>
      <x v="1"/>
    </i>
    <i>
      <x v="205"/>
      <x v="1"/>
    </i>
    <i>
      <x v="206"/>
      <x v="1"/>
    </i>
    <i>
      <x v="207"/>
      <x v="1"/>
    </i>
    <i>
      <x v="209"/>
      <x v="1"/>
    </i>
    <i>
      <x v="210"/>
      <x v="1"/>
    </i>
    <i>
      <x v="211"/>
      <x v="1"/>
    </i>
    <i>
      <x v="216"/>
      <x v="1"/>
    </i>
    <i>
      <x v="217"/>
      <x v="1"/>
    </i>
    <i>
      <x v="218"/>
      <x v="1"/>
    </i>
    <i>
      <x v="219"/>
      <x v="1"/>
    </i>
    <i>
      <x v="220"/>
      <x/>
    </i>
    <i>
      <x v="224"/>
      <x v="1"/>
    </i>
    <i>
      <x v="226"/>
      <x v="1"/>
    </i>
    <i>
      <x v="228"/>
      <x v="1"/>
    </i>
    <i>
      <x v="229"/>
      <x v="1"/>
    </i>
    <i>
      <x v="234"/>
      <x v="1"/>
    </i>
    <i>
      <x v="236"/>
      <x v="1"/>
    </i>
    <i>
      <x v="237"/>
      <x v="1"/>
    </i>
    <i>
      <x v="238"/>
      <x v="1"/>
    </i>
    <i>
      <x v="240"/>
      <x v="1"/>
    </i>
    <i>
      <x v="241"/>
      <x v="1"/>
    </i>
    <i>
      <x v="242"/>
      <x v="1"/>
    </i>
    <i>
      <x v="243"/>
      <x v="1"/>
    </i>
    <i>
      <x v="244"/>
      <x v="1"/>
    </i>
    <i>
      <x v="245"/>
      <x v="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2" cacheId="261" applyNumberFormats="0" applyBorderFormats="0" applyFontFormats="0" applyPatternFormats="0" applyAlignmentFormats="0" applyWidthHeightFormats="1" dataCaption="Values" updatedVersion="8" minRefreshableVersion="3" useAutoFormatting="1" rowGrandTotals="0" itemPrintTitles="1" createdVersion="6" indent="0" compact="0" compactData="0" multipleFieldFilters="0">
  <location ref="X2:AA121" firstHeaderRow="1" firstDataRow="1" firstDataCol="4"/>
  <pivotFields count="16">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9">
        <item x="0"/>
        <item m="1" x="8"/>
        <item x="1"/>
        <item m="1" x="9"/>
        <item m="1" x="3"/>
        <item m="1" x="22"/>
        <item m="1" x="12"/>
        <item m="1" x="26"/>
        <item m="1" x="13"/>
        <item m="1" x="14"/>
        <item m="1" x="27"/>
        <item m="1" x="24"/>
        <item m="1" x="11"/>
        <item m="1" x="6"/>
        <item m="1" x="17"/>
        <item m="1" x="5"/>
        <item m="1" x="21"/>
        <item m="1" x="19"/>
        <item m="1" x="7"/>
        <item m="1" x="4"/>
        <item m="1" x="18"/>
        <item m="1" x="15"/>
        <item m="1" x="23"/>
        <item m="1" x="25"/>
        <item m="1" x="28"/>
        <item m="1" x="10"/>
        <item m="1" x="16"/>
        <item m="1" x="20"/>
        <item m="1" x="2"/>
      </items>
      <extLst>
        <ext xmlns:x14="http://schemas.microsoft.com/office/spreadsheetml/2009/9/main" uri="{2946ED86-A175-432a-8AC1-64E0C546D7DE}">
          <x14:pivotField fillDownLabels="1"/>
        </ext>
      </extLst>
    </pivotField>
    <pivotField axis="axisRow" compact="0" outline="0" showAll="0" sortType="ascending" defaultSubtotal="0">
      <items count="7">
        <item x="0"/>
        <item x="1"/>
        <item x="2"/>
        <item x="3"/>
        <item x="4"/>
        <item x="5"/>
        <item m="1" x="6"/>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435">
        <item m="1" x="157"/>
        <item m="1" x="355"/>
        <item m="1" x="293"/>
        <item m="1" x="250"/>
        <item m="1" x="186"/>
        <item m="1" x="283"/>
        <item m="1" x="111"/>
        <item m="1" x="349"/>
        <item m="1" x="165"/>
        <item m="1" x="278"/>
        <item m="1" x="190"/>
        <item m="1" x="193"/>
        <item m="1" x="46"/>
        <item m="1" x="316"/>
        <item m="1" x="364"/>
        <item m="1" x="337"/>
        <item m="1" x="280"/>
        <item m="1" x="241"/>
        <item m="1" x="119"/>
        <item m="1" x="328"/>
        <item m="1" x="393"/>
        <item m="1" x="178"/>
        <item m="1" x="91"/>
        <item m="1" x="131"/>
        <item m="1" x="378"/>
        <item m="1" x="49"/>
        <item m="1" x="354"/>
        <item m="1" x="161"/>
        <item m="1" x="398"/>
        <item m="1" x="433"/>
        <item m="1" x="334"/>
        <item m="1" x="231"/>
        <item x="14"/>
        <item x="15"/>
        <item m="1" x="343"/>
        <item m="1" x="29"/>
        <item m="1" x="308"/>
        <item m="1" x="272"/>
        <item m="1" x="164"/>
        <item m="1" x="181"/>
        <item m="1" x="417"/>
        <item m="1" x="367"/>
        <item m="1" x="414"/>
        <item x="5"/>
        <item m="1" x="237"/>
        <item x="19"/>
        <item x="1"/>
        <item x="20"/>
        <item x="21"/>
        <item m="1" x="116"/>
        <item m="1" x="219"/>
        <item x="11"/>
        <item x="12"/>
        <item x="17"/>
        <item x="0"/>
        <item m="1" x="85"/>
        <item m="1" x="199"/>
        <item m="1" x="371"/>
        <item m="1" x="431"/>
        <item x="10"/>
        <item m="1" x="210"/>
        <item m="1" x="422"/>
        <item m="1" x="225"/>
        <item m="1" x="403"/>
        <item m="1" x="257"/>
        <item m="1" x="95"/>
        <item m="1" x="369"/>
        <item m="1" x="66"/>
        <item m="1" x="194"/>
        <item m="1" x="303"/>
        <item m="1" x="104"/>
        <item m="1" x="135"/>
        <item m="1" x="24"/>
        <item m="1" x="239"/>
        <item m="1" x="323"/>
        <item m="1" x="270"/>
        <item m="1" x="112"/>
        <item m="1" x="419"/>
        <item m="1" x="38"/>
        <item m="1" x="408"/>
        <item m="1" x="40"/>
        <item x="2"/>
        <item x="18"/>
        <item m="1" x="35"/>
        <item m="1" x="423"/>
        <item m="1" x="122"/>
        <item m="1" x="87"/>
        <item m="1" x="370"/>
        <item m="1" x="235"/>
        <item m="1" x="136"/>
        <item m="1" x="352"/>
        <item m="1" x="179"/>
        <item m="1" x="22"/>
        <item m="1" x="78"/>
        <item m="1" x="216"/>
        <item m="1" x="321"/>
        <item m="1" x="148"/>
        <item m="1" x="322"/>
        <item m="1" x="59"/>
        <item m="1" x="94"/>
        <item m="1" x="374"/>
        <item m="1" x="415"/>
        <item m="1" x="188"/>
        <item m="1" x="424"/>
        <item m="1" x="68"/>
        <item m="1" x="191"/>
        <item m="1" x="236"/>
        <item m="1" x="297"/>
        <item m="1" x="232"/>
        <item m="1" x="103"/>
        <item m="1" x="324"/>
        <item m="1" x="140"/>
        <item m="1" x="375"/>
        <item m="1" x="124"/>
        <item m="1" x="108"/>
        <item m="1" x="134"/>
        <item m="1" x="97"/>
        <item m="1" x="430"/>
        <item m="1" x="220"/>
        <item m="1" x="224"/>
        <item m="1" x="306"/>
        <item m="1" x="212"/>
        <item m="1" x="309"/>
        <item m="1" x="173"/>
        <item m="1" x="208"/>
        <item m="1" x="332"/>
        <item m="1" x="214"/>
        <item m="1" x="72"/>
        <item m="1" x="282"/>
        <item m="1" x="222"/>
        <item m="1" x="366"/>
        <item m="1" x="65"/>
        <item m="1" x="50"/>
        <item m="1" x="67"/>
        <item m="1" x="275"/>
        <item m="1" x="36"/>
        <item m="1" x="245"/>
        <item m="1" x="56"/>
        <item m="1" x="372"/>
        <item m="1" x="57"/>
        <item m="1" x="404"/>
        <item m="1" x="86"/>
        <item m="1" x="180"/>
        <item m="1" x="211"/>
        <item m="1" x="61"/>
        <item m="1" x="92"/>
        <item m="1" x="147"/>
        <item m="1" x="325"/>
        <item m="1" x="133"/>
        <item m="1" x="281"/>
        <item m="1" x="266"/>
        <item m="1" x="427"/>
        <item x="13"/>
        <item m="1" x="83"/>
        <item m="1" x="150"/>
        <item m="1" x="234"/>
        <item m="1" x="396"/>
        <item m="1" x="77"/>
        <item m="1" x="269"/>
        <item m="1" x="54"/>
        <item m="1" x="169"/>
        <item m="1" x="288"/>
        <item m="1" x="170"/>
        <item m="1" x="171"/>
        <item m="1" x="379"/>
        <item m="1" x="405"/>
        <item m="1" x="115"/>
        <item m="1" x="300"/>
        <item m="1" x="226"/>
        <item m="1" x="182"/>
        <item m="1" x="363"/>
        <item m="1" x="410"/>
        <item m="1" x="227"/>
        <item m="1" x="183"/>
        <item m="1" x="109"/>
        <item m="1" x="96"/>
        <item m="1" x="207"/>
        <item m="1" x="184"/>
        <item m="1" x="268"/>
        <item m="1" x="228"/>
        <item m="1" x="350"/>
        <item m="1" x="123"/>
        <item m="1" x="256"/>
        <item m="1" x="286"/>
        <item m="1" x="74"/>
        <item m="1" x="33"/>
        <item m="1" x="81"/>
        <item m="1" x="151"/>
        <item m="1" x="113"/>
        <item m="1" x="406"/>
        <item m="1" x="51"/>
        <item m="1" x="329"/>
        <item m="1" x="138"/>
        <item m="1" x="25"/>
        <item m="1" x="400"/>
        <item m="1" x="273"/>
        <item m="1" x="58"/>
        <item m="1" x="411"/>
        <item m="1" x="229"/>
        <item m="1" x="362"/>
        <item m="1" x="376"/>
        <item m="1" x="149"/>
        <item m="1" x="296"/>
        <item m="1" x="142"/>
        <item m="1" x="126"/>
        <item m="1" x="358"/>
        <item m="1" x="407"/>
        <item m="1" x="330"/>
        <item m="1" x="238"/>
        <item m="1" x="217"/>
        <item m="1" x="301"/>
        <item m="1" x="201"/>
        <item m="1" x="373"/>
        <item m="1" x="160"/>
        <item m="1" x="377"/>
        <item m="1" x="381"/>
        <item m="1" x="209"/>
        <item x="6"/>
        <item x="7"/>
        <item m="1" x="202"/>
        <item x="8"/>
        <item m="1" x="311"/>
        <item m="1" x="41"/>
        <item m="1" x="310"/>
        <item m="1" x="189"/>
        <item m="1" x="304"/>
        <item m="1" x="315"/>
        <item m="1" x="132"/>
        <item m="1" x="168"/>
        <item m="1" x="416"/>
        <item m="1" x="271"/>
        <item m="1" x="335"/>
        <item m="1" x="336"/>
        <item m="1" x="230"/>
        <item m="1" x="267"/>
        <item m="1" x="215"/>
        <item m="1" x="102"/>
        <item m="1" x="255"/>
        <item m="1" x="333"/>
        <item m="1" x="341"/>
        <item m="1" x="353"/>
        <item m="1" x="52"/>
        <item m="1" x="391"/>
        <item m="1" x="197"/>
        <item m="1" x="130"/>
        <item m="1" x="279"/>
        <item m="1" x="312"/>
        <item m="1" x="32"/>
        <item m="1" x="205"/>
        <item m="1" x="251"/>
        <item m="1" x="187"/>
        <item m="1" x="154"/>
        <item m="1" x="84"/>
        <item m="1" x="26"/>
        <item m="1" x="340"/>
        <item m="1" x="326"/>
        <item m="1" x="145"/>
        <item m="1" x="175"/>
        <item m="1" x="307"/>
        <item m="1" x="198"/>
        <item m="1" x="313"/>
        <item m="1" x="380"/>
        <item m="1" x="45"/>
        <item m="1" x="177"/>
        <item m="1" x="262"/>
        <item m="1" x="110"/>
        <item m="1" x="98"/>
        <item m="1" x="153"/>
        <item m="1" x="295"/>
        <item m="1" x="206"/>
        <item m="1" x="382"/>
        <item m="1" x="155"/>
        <item m="1" x="27"/>
        <item m="1" x="345"/>
        <item m="1" x="346"/>
        <item m="1" x="144"/>
        <item m="1" x="388"/>
        <item m="1" x="298"/>
        <item m="1" x="172"/>
        <item m="1" x="327"/>
        <item m="1" x="221"/>
        <item m="1" x="73"/>
        <item m="1" x="118"/>
        <item m="1" x="39"/>
        <item m="1" x="289"/>
        <item m="1" x="176"/>
        <item m="1" x="203"/>
        <item m="1" x="107"/>
        <item m="1" x="359"/>
        <item m="1" x="99"/>
        <item m="1" x="128"/>
        <item m="1" x="347"/>
        <item m="1" x="360"/>
        <item m="1" x="89"/>
        <item m="1" x="129"/>
        <item m="1" x="195"/>
        <item m="1" x="348"/>
        <item m="1" x="432"/>
        <item m="1" x="53"/>
        <item m="1" x="361"/>
        <item m="1" x="100"/>
        <item m="1" x="90"/>
        <item m="1" x="264"/>
        <item m="1" x="317"/>
        <item m="1" x="88"/>
        <item m="1" x="412"/>
        <item m="1" x="143"/>
        <item m="1" x="425"/>
        <item x="9"/>
        <item m="1" x="402"/>
        <item m="1" x="200"/>
        <item m="1" x="285"/>
        <item m="1" x="299"/>
        <item m="1" x="385"/>
        <item m="1" x="23"/>
        <item x="3"/>
        <item m="1" x="318"/>
        <item m="1" x="185"/>
        <item m="1" x="260"/>
        <item m="1" x="394"/>
        <item m="1" x="42"/>
        <item m="1" x="55"/>
        <item m="1" x="383"/>
        <item m="1" x="302"/>
        <item m="1" x="137"/>
        <item m="1" x="249"/>
        <item m="1" x="196"/>
        <item m="1" x="105"/>
        <item m="1" x="43"/>
        <item m="1" x="79"/>
        <item m="1" x="146"/>
        <item m="1" x="125"/>
        <item m="1" x="331"/>
        <item m="1" x="34"/>
        <item m="1" x="69"/>
        <item m="1" x="167"/>
        <item m="1" x="60"/>
        <item m="1" x="37"/>
        <item m="1" x="356"/>
        <item m="1" x="305"/>
        <item m="1" x="101"/>
        <item m="1" x="276"/>
        <item m="1" x="294"/>
        <item m="1" x="163"/>
        <item m="1" x="258"/>
        <item m="1" x="421"/>
        <item m="1" x="218"/>
        <item m="1" x="252"/>
        <item m="1" x="70"/>
        <item m="1" x="247"/>
        <item m="1" x="204"/>
        <item m="1" x="395"/>
        <item m="1" x="413"/>
        <item m="1" x="263"/>
        <item m="1" x="342"/>
        <item m="1" x="397"/>
        <item m="1" x="62"/>
        <item m="1" x="426"/>
        <item m="1" x="152"/>
        <item m="1" x="261"/>
        <item m="1" x="429"/>
        <item m="1" x="351"/>
        <item m="1" x="254"/>
        <item m="1" x="156"/>
        <item m="1" x="223"/>
        <item m="1" x="159"/>
        <item m="1" x="320"/>
        <item m="1" x="174"/>
        <item m="1" x="390"/>
        <item m="1" x="434"/>
        <item m="1" x="242"/>
        <item m="1" x="368"/>
        <item m="1" x="339"/>
        <item m="1" x="244"/>
        <item m="1" x="365"/>
        <item m="1" x="287"/>
        <item m="1" x="259"/>
        <item m="1" x="418"/>
        <item m="1" x="274"/>
        <item m="1" x="139"/>
        <item m="1" x="420"/>
        <item m="1" x="75"/>
        <item m="1" x="120"/>
        <item m="1" x="80"/>
        <item m="1" x="162"/>
        <item m="1" x="30"/>
        <item m="1" x="401"/>
        <item m="1" x="291"/>
        <item m="1" x="319"/>
        <item m="1" x="389"/>
        <item m="1" x="117"/>
        <item m="1" x="127"/>
        <item m="1" x="192"/>
        <item m="1" x="248"/>
        <item m="1" x="106"/>
        <item m="1" x="64"/>
        <item m="1" x="277"/>
        <item m="1" x="246"/>
        <item m="1" x="31"/>
        <item m="1" x="428"/>
        <item m="1" x="213"/>
        <item m="1" x="240"/>
        <item m="1" x="338"/>
        <item m="1" x="409"/>
        <item m="1" x="399"/>
        <item m="1" x="292"/>
        <item m="1" x="357"/>
        <item x="4"/>
        <item m="1" x="386"/>
        <item m="1" x="265"/>
        <item m="1" x="76"/>
        <item m="1" x="384"/>
        <item m="1" x="44"/>
        <item m="1" x="158"/>
        <item m="1" x="82"/>
        <item m="1" x="243"/>
        <item m="1" x="166"/>
        <item x="16"/>
        <item m="1" x="284"/>
        <item m="1" x="114"/>
        <item m="1" x="141"/>
        <item m="1" x="233"/>
        <item m="1" x="253"/>
        <item m="1" x="47"/>
        <item m="1" x="63"/>
        <item m="1" x="48"/>
        <item m="1" x="392"/>
        <item m="1" x="121"/>
        <item m="1" x="93"/>
        <item m="1" x="71"/>
        <item m="1" x="344"/>
        <item m="1" x="290"/>
        <item m="1" x="387"/>
        <item m="1" x="314"/>
        <item m="1" x="2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defaultSubtotal="0">
      <items count="2310">
        <item m="1" x="1245"/>
        <item m="1" x="415"/>
        <item m="1" x="865"/>
        <item m="1" x="757"/>
        <item m="1" x="1730"/>
        <item m="1" x="1828"/>
        <item m="1" x="794"/>
        <item m="1" x="1872"/>
        <item m="1" x="1803"/>
        <item m="1" x="979"/>
        <item m="1" x="1435"/>
        <item m="1" x="289"/>
        <item m="1" x="1670"/>
        <item m="1" x="584"/>
        <item m="1" x="1671"/>
        <item m="1" x="1271"/>
        <item m="1" x="1362"/>
        <item m="1" x="780"/>
        <item m="1" x="688"/>
        <item m="1" x="689"/>
        <item m="1" x="1756"/>
        <item m="1" x="644"/>
        <item m="1" x="1757"/>
        <item m="1" x="1345"/>
        <item m="1" x="578"/>
        <item m="1" x="1437"/>
        <item m="1" x="730"/>
        <item m="1" x="1205"/>
        <item m="1" x="1568"/>
        <item m="1" x="2050"/>
        <item m="1" x="257"/>
        <item m="1" x="1102"/>
        <item m="1" x="870"/>
        <item m="1" x="270"/>
        <item m="1" x="1956"/>
        <item m="1" x="1016"/>
        <item m="1" x="513"/>
        <item m="1" x="708"/>
        <item m="1" x="1234"/>
        <item m="1" x="1235"/>
        <item m="1" x="1236"/>
        <item m="1" x="1237"/>
        <item m="1" x="1371"/>
        <item m="1" x="1674"/>
        <item m="1" x="2100"/>
        <item m="1" x="287"/>
        <item m="1" x="1043"/>
        <item m="1" x="761"/>
        <item m="1" x="1469"/>
        <item m="1" x="1633"/>
        <item m="1" x="2253"/>
        <item m="1" x="1317"/>
        <item m="1" x="1890"/>
        <item m="1" x="290"/>
        <item m="1" x="431"/>
        <item m="1" x="499"/>
        <item m="1" x="1099"/>
        <item m="1" x="1262"/>
        <item m="1" x="1829"/>
        <item m="1" x="1285"/>
        <item m="1" x="987"/>
        <item m="1" x="775"/>
        <item m="1" x="878"/>
        <item m="1" x="532"/>
        <item m="1" x="2302"/>
        <item m="1" x="1460"/>
        <item m="1" x="178"/>
        <item m="1" x="1333"/>
        <item m="1" x="2085"/>
        <item m="1" x="200"/>
        <item m="1" x="1422"/>
        <item m="1" x="2185"/>
        <item m="1" x="2248"/>
        <item m="1" x="2158"/>
        <item m="1" x="230"/>
        <item m="1" x="1763"/>
        <item m="1" x="1742"/>
        <item m="1" x="531"/>
        <item m="1" x="1880"/>
        <item x="17"/>
        <item m="1" x="736"/>
        <item m="1" x="1706"/>
        <item x="55"/>
        <item m="1" x="1386"/>
        <item m="1" x="856"/>
        <item m="1" x="341"/>
        <item m="1" x="1019"/>
        <item m="1" x="1560"/>
        <item m="1" x="1482"/>
        <item m="1" x="686"/>
        <item m="1" x="701"/>
        <item m="1" x="1352"/>
        <item m="1" x="2123"/>
        <item m="1" x="1172"/>
        <item m="1" x="1729"/>
        <item m="1" x="2172"/>
        <item m="1" x="1609"/>
        <item m="1" x="1142"/>
        <item m="1" x="2245"/>
        <item m="1" x="1092"/>
        <item m="1" x="1761"/>
        <item m="1" x="183"/>
        <item m="1" x="244"/>
        <item m="1" x="1064"/>
        <item m="1" x="1638"/>
        <item m="1" x="2088"/>
        <item m="1" x="494"/>
        <item m="1" x="530"/>
        <item m="1" x="263"/>
        <item m="1" x="2070"/>
        <item m="1" x="562"/>
        <item m="1" x="1645"/>
        <item m="1" x="264"/>
        <item m="1" x="1663"/>
        <item m="1" x="1664"/>
        <item m="1" x="880"/>
        <item m="1" x="881"/>
        <item m="1" x="2151"/>
        <item m="1" x="2209"/>
        <item m="1" x="2094"/>
        <item m="1" x="795"/>
        <item m="1" x="922"/>
        <item m="1" x="335"/>
        <item m="1" x="1701"/>
        <item m="1" x="336"/>
        <item m="1" x="1702"/>
        <item m="1" x="520"/>
        <item m="1" x="623"/>
        <item m="1" x="2084"/>
        <item m="1" x="1171"/>
        <item m="1" x="400"/>
        <item m="1" x="826"/>
        <item m="1" x="827"/>
        <item m="1" x="1391"/>
        <item m="1" x="1466"/>
        <item m="1" x="1536"/>
        <item m="1" x="2275"/>
        <item m="1" x="1526"/>
        <item m="1" x="1214"/>
        <item m="1" x="975"/>
        <item m="1" x="1750"/>
        <item m="1" x="745"/>
        <item m="1" x="590"/>
        <item m="1" x="295"/>
        <item m="1" x="154"/>
        <item m="1" x="351"/>
        <item m="1" x="170"/>
        <item m="1" x="1764"/>
        <item m="1" x="887"/>
        <item m="1" x="1960"/>
        <item x="60"/>
        <item m="1" x="567"/>
        <item m="1" x="228"/>
        <item m="1" x="1585"/>
        <item m="1" x="959"/>
        <item m="1" x="917"/>
        <item m="1" x="282"/>
        <item m="1" x="1001"/>
        <item m="1" x="271"/>
        <item m="1" x="1454"/>
        <item m="1" x="1908"/>
        <item m="1" x="2239"/>
        <item m="1" x="1530"/>
        <item m="1" x="337"/>
        <item m="1" x="1473"/>
        <item m="1" x="1487"/>
        <item m="1" x="338"/>
        <item m="1" x="1474"/>
        <item m="1" x="2153"/>
        <item m="1" x="1443"/>
        <item m="1" x="1475"/>
        <item m="1" x="1398"/>
        <item m="1" x="1476"/>
        <item m="1" x="678"/>
        <item m="1" x="840"/>
        <item m="1" x="1070"/>
        <item m="1" x="280"/>
        <item m="1" x="971"/>
        <item m="1" x="2255"/>
        <item m="1" x="2027"/>
        <item m="1" x="927"/>
        <item m="1" x="1074"/>
        <item m="1" x="1885"/>
        <item m="1" x="1075"/>
        <item m="1" x="1886"/>
        <item m="1" x="1515"/>
        <item m="1" x="1992"/>
        <item m="1" x="315"/>
        <item m="1" x="354"/>
        <item m="1" x="1844"/>
        <item m="1" x="1518"/>
        <item m="1" x="2231"/>
        <item m="1" x="848"/>
        <item m="1" x="1720"/>
        <item m="1" x="1887"/>
        <item m="1" x="1814"/>
        <item m="1" x="2246"/>
        <item m="1" x="1477"/>
        <item m="1" x="1227"/>
        <item m="1" x="815"/>
        <item m="1" x="1991"/>
        <item m="1" x="2049"/>
        <item m="1" x="1441"/>
        <item m="1" x="1190"/>
        <item m="1" x="2082"/>
        <item m="1" x="1779"/>
        <item m="1" x="1841"/>
        <item m="1" x="1053"/>
        <item m="1" x="548"/>
        <item m="1" x="549"/>
        <item m="1" x="550"/>
        <item m="1" x="551"/>
        <item m="1" x="2258"/>
        <item m="1" x="241"/>
        <item m="1" x="2303"/>
        <item m="1" x="1506"/>
        <item m="1" x="1930"/>
        <item m="1" x="892"/>
        <item m="1" x="1931"/>
        <item m="1" x="928"/>
        <item m="1" x="1188"/>
        <item m="1" x="1402"/>
        <item m="1" x="1655"/>
        <item m="1" x="184"/>
        <item m="1" x="535"/>
        <item m="1" x="1489"/>
        <item m="1" x="303"/>
        <item x="75"/>
        <item m="1" x="579"/>
        <item m="1" x="717"/>
        <item m="1" x="1870"/>
        <item m="1" x="1370"/>
        <item m="1" x="242"/>
        <item m="1" x="888"/>
        <item m="1" x="1450"/>
        <item x="1"/>
        <item m="1" x="526"/>
        <item m="1" x="1118"/>
        <item m="1" x="948"/>
        <item m="1" x="949"/>
        <item m="1" x="805"/>
        <item m="1" x="1117"/>
        <item m="1" x="1492"/>
        <item m="1" x="1853"/>
        <item m="1" x="1820"/>
        <item m="1" x="2165"/>
        <item m="1" x="1969"/>
        <item m="1" x="2095"/>
        <item m="1" x="1804"/>
        <item m="1" x="1486"/>
        <item m="1" x="573"/>
        <item m="1" x="2045"/>
        <item m="1" x="2055"/>
        <item m="1" x="1138"/>
        <item m="1" x="722"/>
        <item m="1" x="1390"/>
        <item m="1" x="262"/>
        <item m="1" x="2288"/>
        <item m="1" x="2283"/>
        <item m="1" x="629"/>
        <item m="1" x="139"/>
        <item m="1" x="2279"/>
        <item m="1" x="2241"/>
        <item m="1" x="2273"/>
        <item m="1" x="606"/>
        <item m="1" x="1112"/>
        <item m="1" x="398"/>
        <item m="1" x="474"/>
        <item m="1" x="161"/>
        <item m="1" x="134"/>
        <item m="1" x="938"/>
        <item m="1" x="1934"/>
        <item m="1" x="2056"/>
        <item m="1" x="2112"/>
        <item m="1" x="2225"/>
        <item m="1" x="420"/>
        <item m="1" x="1801"/>
        <item m="1" x="1089"/>
        <item m="1" x="1296"/>
        <item m="1" x="645"/>
        <item m="1" x="442"/>
        <item m="1" x="159"/>
        <item m="1" x="1738"/>
        <item m="1" x="339"/>
        <item m="1" x="1139"/>
        <item m="1" x="1037"/>
        <item m="1" x="1698"/>
        <item m="1" x="2196"/>
        <item m="1" x="1562"/>
        <item m="1" x="1833"/>
        <item m="1" x="1532"/>
        <item m="1" x="1266"/>
        <item m="1" x="197"/>
        <item m="1" x="1584"/>
        <item m="1" x="631"/>
        <item m="1" x="1305"/>
        <item m="1" x="694"/>
        <item m="1" x="1330"/>
        <item m="1" x="1590"/>
        <item m="1" x="130"/>
        <item m="1" x="1462"/>
        <item m="1" x="793"/>
        <item m="1" x="1503"/>
        <item m="1" x="2280"/>
        <item m="1" x="1182"/>
        <item m="1" x="1219"/>
        <item m="1" x="545"/>
        <item m="1" x="1465"/>
        <item m="1" x="1875"/>
        <item m="1" x="425"/>
        <item m="1" x="1607"/>
        <item m="1" x="923"/>
        <item m="1" x="1144"/>
        <item m="1" x="334"/>
        <item m="1" x="285"/>
        <item m="1" x="958"/>
        <item m="1" x="359"/>
        <item m="1" x="1557"/>
        <item m="1" x="293"/>
        <item m="1" x="2267"/>
        <item m="1" x="647"/>
        <item m="1" x="2263"/>
        <item m="1" x="615"/>
        <item m="1" x="1636"/>
        <item m="1" x="951"/>
        <item m="1" x="863"/>
        <item m="1" x="2043"/>
        <item m="1" x="1721"/>
        <item m="1" x="613"/>
        <item m="1" x="188"/>
        <item m="1" x="1338"/>
        <item m="1" x="1082"/>
        <item m="1" x="1932"/>
        <item m="1" x="2278"/>
        <item m="1" x="1537"/>
        <item m="1" x="1910"/>
        <item m="1" x="208"/>
        <item m="1" x="203"/>
        <item m="1" x="1748"/>
        <item m="1" x="604"/>
        <item m="1" x="2024"/>
        <item m="1" x="182"/>
        <item m="1" x="536"/>
        <item m="1" x="727"/>
        <item m="1" x="1159"/>
        <item m="1" x="935"/>
        <item m="1" x="1843"/>
        <item m="1" x="2044"/>
        <item m="1" x="461"/>
        <item m="1" x="991"/>
        <item m="1" x="1967"/>
        <item m="1" x="1404"/>
        <item m="1" x="913"/>
        <item m="1" x="1339"/>
        <item x="76"/>
        <item m="1" x="2059"/>
        <item m="1" x="460"/>
        <item m="1" x="626"/>
        <item m="1" x="1892"/>
        <item m="1" x="2016"/>
        <item m="1" x="1124"/>
        <item m="1" x="247"/>
        <item m="1" x="986"/>
        <item m="1" x="406"/>
        <item x="77"/>
        <item m="1" x="1332"/>
        <item m="1" x="1403"/>
        <item m="1" x="1881"/>
        <item m="1" x="2087"/>
        <item m="1" x="718"/>
        <item m="1" x="824"/>
        <item m="1" x="190"/>
        <item m="1" x="796"/>
        <item m="1" x="1964"/>
        <item m="1" x="1020"/>
        <item m="1" x="941"/>
        <item m="1" x="1855"/>
        <item x="46"/>
        <item m="1" x="143"/>
        <item x="68"/>
        <item m="1" x="296"/>
        <item x="69"/>
        <item m="1" x="1226"/>
        <item m="1" x="772"/>
        <item m="1" x="1459"/>
        <item m="1" x="1430"/>
        <item m="1" x="1600"/>
        <item m="1" x="135"/>
        <item m="1" x="1913"/>
        <item m="1" x="841"/>
        <item m="1" x="1255"/>
        <item m="1" x="697"/>
        <item m="1" x="1256"/>
        <item m="1" x="1689"/>
        <item m="1" x="320"/>
        <item m="1" x="544"/>
        <item m="1" x="966"/>
        <item m="1" x="902"/>
        <item m="1" x="278"/>
        <item m="1" x="899"/>
        <item m="1" x="1440"/>
        <item m="1" x="1510"/>
        <item m="1" x="265"/>
        <item m="1" x="251"/>
        <item m="1" x="2001"/>
        <item m="1" x="853"/>
        <item m="1" x="1414"/>
        <item m="1" x="2052"/>
        <item m="1" x="751"/>
        <item m="1" x="752"/>
        <item m="1" x="179"/>
        <item m="1" x="1056"/>
        <item m="1" x="1094"/>
        <item m="1" x="505"/>
        <item m="1" x="2058"/>
        <item x="78"/>
        <item m="1" x="306"/>
        <item m="1" x="1816"/>
        <item m="1" x="286"/>
        <item m="1" x="926"/>
        <item m="1" x="1531"/>
        <item m="1" x="1467"/>
        <item m="1" x="1351"/>
        <item m="1" x="1377"/>
        <item m="1" x="213"/>
        <item x="56"/>
        <item m="1" x="477"/>
        <item m="1" x="783"/>
        <item m="1" x="2116"/>
        <item x="57"/>
        <item m="1" x="605"/>
        <item m="1" x="983"/>
        <item m="1" x="1145"/>
        <item m="1" x="1658"/>
        <item m="1" x="1314"/>
        <item m="1" x="744"/>
        <item m="1" x="1136"/>
        <item m="1" x="1904"/>
        <item m="1" x="1050"/>
        <item m="1" x="463"/>
        <item m="1" x="464"/>
        <item m="1" x="1011"/>
        <item m="1" x="2163"/>
        <item m="1" x="659"/>
        <item m="1" x="1525"/>
        <item m="1" x="1644"/>
        <item m="1" x="1329"/>
        <item m="1" x="1331"/>
        <item m="1" x="1045"/>
        <item m="1" x="778"/>
        <item m="1" x="1342"/>
        <item m="1" x="1424"/>
        <item m="1" x="1727"/>
        <item m="1" x="1926"/>
        <item m="1" x="446"/>
        <item m="1" x="1753"/>
        <item m="1" x="459"/>
        <item m="1" x="646"/>
        <item m="1" x="1782"/>
        <item m="1" x="2168"/>
        <item x="18"/>
        <item m="1" x="1823"/>
        <item m="1" x="367"/>
        <item m="1" x="253"/>
        <item m="1" x="1478"/>
        <item m="1" x="1647"/>
        <item x="89"/>
        <item m="1" x="1581"/>
        <item m="1" x="1927"/>
        <item m="1" x="1788"/>
        <item m="1" x="186"/>
        <item m="1" x="687"/>
        <item x="115"/>
        <item m="1" x="1446"/>
        <item m="1" x="436"/>
        <item m="1" x="540"/>
        <item m="1" x="908"/>
        <item m="1" x="214"/>
        <item m="1" x="662"/>
        <item m="1" x="537"/>
        <item m="1" x="2057"/>
        <item m="1" x="489"/>
        <item m="1" x="925"/>
        <item m="1" x="1396"/>
        <item m="1" x="2118"/>
        <item m="1" x="1561"/>
        <item m="1" x="1583"/>
        <item m="1" x="1928"/>
        <item m="1" x="2025"/>
        <item m="1" x="601"/>
        <item m="1" x="1114"/>
        <item m="1" x="1287"/>
        <item m="1" x="1067"/>
        <item m="1" x="1699"/>
        <item m="1" x="1919"/>
        <item m="1" x="861"/>
        <item x="70"/>
        <item m="1" x="2146"/>
        <item x="36"/>
        <item x="2"/>
        <item x="15"/>
        <item x="16"/>
        <item m="1" x="1673"/>
        <item m="1" x="259"/>
        <item m="1" x="1622"/>
        <item m="1" x="953"/>
        <item x="19"/>
        <item m="1" x="821"/>
        <item m="1" x="1918"/>
        <item m="1" x="2162"/>
        <item m="1" x="546"/>
        <item m="1" x="1995"/>
        <item m="1" x="2191"/>
        <item m="1" x="2081"/>
        <item m="1" x="2210"/>
        <item m="1" x="1012"/>
        <item m="1" x="124"/>
        <item m="1" x="1789"/>
        <item m="1" x="1790"/>
        <item m="1" x="1146"/>
        <item m="1" x="1382"/>
        <item m="1" x="1383"/>
        <item m="1" x="1384"/>
        <item x="108"/>
        <item m="1" x="1728"/>
        <item m="1" x="2164"/>
        <item m="1" x="964"/>
        <item m="1" x="1842"/>
        <item m="1" x="1230"/>
        <item m="1" x="1231"/>
        <item m="1" x="1232"/>
        <item m="1" x="566"/>
        <item m="1" x="1199"/>
        <item m="1" x="2032"/>
        <item m="1" x="1783"/>
        <item m="1" x="2031"/>
        <item x="90"/>
        <item m="1" x="151"/>
        <item m="1" x="1295"/>
        <item m="1" x="434"/>
        <item m="1" x="851"/>
        <item m="1" x="447"/>
        <item m="1" x="1577"/>
        <item m="1" x="1323"/>
        <item m="1" x="1324"/>
        <item m="1" x="1819"/>
        <item m="1" x="2077"/>
        <item m="1" x="1974"/>
        <item m="1" x="482"/>
        <item m="1" x="1442"/>
        <item m="1" x="1480"/>
        <item m="1" x="1493"/>
        <item m="1" x="1316"/>
        <item m="1" x="361"/>
        <item m="1" x="1418"/>
        <item m="1" x="820"/>
        <item m="1" x="1962"/>
        <item m="1" x="348"/>
        <item m="1" x="329"/>
        <item m="1" x="570"/>
        <item m="1" x="807"/>
        <item m="1" x="754"/>
        <item x="109"/>
        <item m="1" x="246"/>
        <item m="1" x="2222"/>
        <item m="1" x="2223"/>
        <item m="1" x="1957"/>
        <item m="1" x="2099"/>
        <item m="1" x="608"/>
        <item m="1" x="1825"/>
        <item m="1" x="524"/>
        <item m="1" x="215"/>
        <item m="1" x="950"/>
        <item m="1" x="2004"/>
        <item m="1" x="1592"/>
        <item m="1" x="1570"/>
        <item m="1" x="1470"/>
        <item m="1" x="2193"/>
        <item m="1" x="1713"/>
        <item m="1" x="2202"/>
        <item m="1" x="333"/>
        <item m="1" x="786"/>
        <item m="1" x="787"/>
        <item m="1" x="788"/>
        <item m="1" x="1308"/>
        <item m="1" x="1309"/>
        <item m="1" x="1681"/>
        <item m="1" x="1416"/>
        <item m="1" x="842"/>
        <item m="1" x="2292"/>
        <item m="1" x="1034"/>
        <item m="1" x="449"/>
        <item m="1" x="256"/>
        <item m="1" x="326"/>
        <item m="1" x="2012"/>
        <item m="1" x="1211"/>
        <item m="1" x="373"/>
        <item m="1" x="989"/>
        <item m="1" x="1427"/>
        <item m="1" x="157"/>
        <item m="1" x="2237"/>
        <item m="1" x="433"/>
        <item m="1" x="528"/>
        <item m="1" x="1740"/>
        <item m="1" x="1104"/>
        <item m="1" x="1724"/>
        <item m="1" x="1668"/>
        <item m="1" x="1725"/>
        <item m="1" x="1677"/>
        <item m="1" x="669"/>
        <item m="1" x="1980"/>
        <item m="1" x="1610"/>
        <item m="1" x="1611"/>
        <item m="1" x="667"/>
        <item m="1" x="2011"/>
        <item m="1" x="1047"/>
        <item m="1" x="883"/>
        <item m="1" x="960"/>
        <item m="1" x="467"/>
        <item m="1" x="1608"/>
        <item m="1" x="1479"/>
        <item m="1" x="812"/>
        <item m="1" x="1420"/>
        <item m="1" x="462"/>
        <item m="1" x="910"/>
        <item m="1" x="389"/>
        <item m="1" x="2003"/>
        <item m="1" x="1494"/>
        <item m="1" x="1359"/>
        <item m="1" x="2037"/>
        <item m="1" x="1751"/>
        <item m="1" x="1026"/>
        <item m="1" x="1246"/>
        <item m="1" x="1358"/>
        <item m="1" x="1504"/>
        <item m="1" x="1620"/>
        <item m="1" x="1769"/>
        <item m="1" x="1896"/>
        <item m="1" x="2038"/>
        <item m="1" x="2167"/>
        <item m="1" x="120"/>
        <item m="1" x="249"/>
        <item m="1" x="391"/>
        <item m="1" x="1254"/>
        <item m="1" x="1365"/>
        <item m="1" x="1509"/>
        <item m="1" x="1627"/>
        <item m="1" x="1781"/>
        <item m="1" x="1899"/>
        <item m="1" x="2041"/>
        <item m="1" x="2169"/>
        <item m="1" x="129"/>
        <item m="1" x="252"/>
        <item m="1" x="399"/>
        <item m="1" x="1260"/>
        <item m="1" x="1368"/>
        <item m="1" x="1516"/>
        <item m="1" x="1630"/>
        <item m="1" x="1263"/>
        <item m="1" x="1267"/>
        <item m="1" x="1272"/>
        <item m="1" x="1277"/>
        <item m="1" x="1282"/>
        <item m="1" x="1288"/>
        <item m="1" x="1293"/>
        <item m="1" x="2113"/>
        <item m="1" x="127"/>
        <item m="1" x="133"/>
        <item m="1" x="137"/>
        <item m="1" x="138"/>
        <item m="1" x="142"/>
        <item m="1" x="146"/>
        <item m="1" x="150"/>
        <item m="1" x="155"/>
        <item m="1" x="156"/>
        <item m="1" x="163"/>
        <item m="1" x="993"/>
        <item m="1" x="1197"/>
        <item m="1" x="1208"/>
        <item m="1" x="1216"/>
        <item m="1" x="1220"/>
        <item m="1" x="1222"/>
        <item m="1" x="1228"/>
        <item m="1" x="1233"/>
        <item m="1" x="1239"/>
        <item m="1" x="1244"/>
        <item m="1" x="1251"/>
        <item m="1" x="2072"/>
        <item m="1" x="2266"/>
        <item m="1" x="2271"/>
        <item m="1" x="2277"/>
        <item m="1" x="2286"/>
        <item m="1" x="2291"/>
        <item m="1" x="2301"/>
        <item m="1" x="2306"/>
        <item m="1" x="2308"/>
        <item m="1" x="123"/>
        <item m="1" x="131"/>
        <item m="1" x="969"/>
        <item m="1" x="1158"/>
        <item m="1" x="1163"/>
        <item m="1" x="1168"/>
        <item m="1" x="1175"/>
        <item m="1" x="1180"/>
        <item m="1" x="1184"/>
        <item m="1" x="1189"/>
        <item m="1" x="1192"/>
        <item m="1" x="1196"/>
        <item m="1" x="1206"/>
        <item m="1" x="2036"/>
        <item m="1" x="2221"/>
        <item m="1" x="2228"/>
        <item m="1" x="2235"/>
        <item m="1" x="2238"/>
        <item m="1" x="2243"/>
        <item m="1" x="2247"/>
        <item m="1" x="2254"/>
        <item m="1" x="2259"/>
        <item m="1" x="2264"/>
        <item m="1" x="2269"/>
        <item m="1" x="933"/>
        <item m="1" x="1123"/>
        <item m="1" x="1127"/>
        <item m="1" x="1130"/>
        <item m="1" x="1135"/>
        <item m="1" x="1140"/>
        <item m="1" x="1143"/>
        <item m="1" x="1149"/>
        <item m="1" x="1154"/>
        <item m="1" x="1157"/>
        <item m="1" x="1162"/>
        <item m="1" x="1994"/>
        <item m="1" x="2194"/>
        <item m="1" x="2195"/>
        <item m="1" x="2200"/>
        <item m="1" x="2205"/>
        <item m="1" x="2207"/>
        <item m="1" x="2212"/>
        <item m="1" x="2214"/>
        <item m="1" x="2217"/>
        <item m="1" x="2220"/>
        <item m="1" x="2226"/>
        <item m="1" x="905"/>
        <item m="1" x="1083"/>
        <item m="1" x="1085"/>
        <item m="1" x="1088"/>
        <item m="1" x="1098"/>
        <item m="1" x="1101"/>
        <item m="1" x="1105"/>
        <item m="1" x="1111"/>
        <item m="1" x="1115"/>
        <item m="1" x="1121"/>
        <item m="1" x="1126"/>
        <item m="1" x="897"/>
        <item m="1" x="411"/>
        <item m="1" x="412"/>
        <item m="1" x="690"/>
        <item m="1" x="2192"/>
        <item m="1" x="691"/>
        <item m="1" x="1810"/>
        <item m="1" x="1291"/>
        <item m="1" x="797"/>
        <item m="1" x="1650"/>
        <item m="1" x="1651"/>
        <item m="1" x="364"/>
        <item m="1" x="2020"/>
        <item m="1" x="2293"/>
        <item x="47"/>
        <item m="1" x="176"/>
        <item m="1" x="1924"/>
        <item x="48"/>
        <item m="1" x="1378"/>
        <item m="1" x="715"/>
        <item m="1" x="970"/>
        <item m="1" x="132"/>
        <item m="1" x="1965"/>
        <item m="1" x="1356"/>
        <item m="1" x="668"/>
        <item m="1" x="1707"/>
        <item m="1" x="1258"/>
        <item m="1" x="1400"/>
        <item x="20"/>
        <item x="110"/>
        <item m="1" x="1895"/>
        <item m="1" x="1413"/>
        <item m="1" x="1659"/>
        <item m="1" x="740"/>
        <item m="1" x="1548"/>
        <item m="1" x="343"/>
        <item m="1" x="1401"/>
        <item m="1" x="819"/>
        <item x="79"/>
        <item m="1" x="706"/>
        <item m="1" x="1871"/>
        <item m="1" x="371"/>
        <item m="1" x="372"/>
        <item m="1" x="1848"/>
        <item m="1" x="918"/>
        <item m="1" x="758"/>
        <item m="1" x="1666"/>
        <item m="1" x="454"/>
        <item m="1" x="750"/>
        <item m="1" x="1006"/>
        <item m="1" x="1007"/>
        <item m="1" x="1376"/>
        <item m="1" x="1912"/>
        <item m="1" x="1008"/>
        <item m="1" x="1009"/>
        <item m="1" x="1635"/>
        <item m="1" x="864"/>
        <item m="1" x="1971"/>
        <item m="1" x="1800"/>
        <item m="1" x="1177"/>
        <item m="1" x="273"/>
        <item m="1" x="943"/>
        <item m="1" x="1209"/>
        <item m="1" x="1210"/>
        <item m="1" x="269"/>
        <item m="1" x="857"/>
        <item m="1" x="836"/>
        <item m="1" x="451"/>
        <item m="1" x="382"/>
        <item m="1" x="1023"/>
        <item m="1" x="1024"/>
        <item m="1" x="276"/>
        <item m="1" x="876"/>
        <item m="1" x="1484"/>
        <item m="1" x="931"/>
        <item m="1" x="2242"/>
        <item m="1" x="118"/>
        <item m="1" x="2124"/>
        <item m="1" x="1224"/>
        <item x="61"/>
        <item m="1" x="423"/>
        <item m="1" x="673"/>
        <item m="1" x="521"/>
        <item m="1" x="2240"/>
        <item m="1" x="929"/>
        <item m="1" x="1624"/>
        <item m="1" x="2166"/>
        <item m="1" x="845"/>
        <item m="1" x="1392"/>
        <item m="1" x="1265"/>
        <item m="1" x="2215"/>
        <item m="1" x="1312"/>
        <item m="1" x="417"/>
        <item m="1" x="1847"/>
        <item m="1" x="1249"/>
        <item m="1" x="1109"/>
        <item m="1" x="1322"/>
        <item m="1" x="660"/>
        <item m="1" x="685"/>
        <item m="1" x="2022"/>
        <item m="1" x="1409"/>
        <item m="1" x="2244"/>
        <item m="1" x="695"/>
        <item m="1" x="1458"/>
        <item m="1" x="648"/>
        <item m="1" x="879"/>
        <item m="1" x="533"/>
        <item m="1" x="1039"/>
        <item m="1" x="350"/>
        <item m="1" x="539"/>
        <item m="1" x="1806"/>
        <item m="1" x="770"/>
        <item m="1" x="349"/>
        <item m="1" x="254"/>
        <item m="1" x="967"/>
        <item m="1" x="493"/>
        <item m="1" x="209"/>
        <item x="21"/>
        <item x="22"/>
        <item x="23"/>
        <item m="1" x="828"/>
        <item m="1" x="1903"/>
        <item m="1" x="2030"/>
        <item m="1" x="1591"/>
        <item m="1" x="476"/>
        <item m="1" x="237"/>
        <item m="1" x="977"/>
        <item m="1" x="2175"/>
        <item m="1" x="1259"/>
        <item m="1" x="1850"/>
        <item m="1" x="267"/>
        <item m="1" x="1997"/>
        <item m="1" x="1444"/>
        <item m="1" x="593"/>
        <item m="1" x="305"/>
        <item m="1" x="936"/>
        <item m="1" x="1544"/>
        <item m="1" x="728"/>
        <item m="1" x="1279"/>
        <item m="1" x="1072"/>
        <item m="1" x="1084"/>
        <item m="1" x="1594"/>
        <item m="1" x="390"/>
        <item m="1" x="473"/>
        <item m="1" x="1634"/>
        <item m="1" x="1108"/>
        <item m="1" x="1541"/>
        <item m="1" x="2002"/>
        <item m="1" x="671"/>
        <item m="1" x="1176"/>
        <item m="1" x="1911"/>
        <item m="1" x="1091"/>
        <item m="1" x="1656"/>
        <item m="1" x="1040"/>
        <item m="1" x="1794"/>
        <item m="1" x="2227"/>
        <item m="1" x="1357"/>
        <item m="1" x="618"/>
        <item m="1" x="1571"/>
        <item m="1" x="1360"/>
        <item m="1" x="1320"/>
        <item m="1" x="2000"/>
        <item m="1" x="128"/>
        <item m="1" x="860"/>
        <item m="1" x="1173"/>
        <item m="1" x="1095"/>
        <item m="1" x="1632"/>
        <item m="1" x="713"/>
        <item m="1" x="961"/>
        <item m="1" x="962"/>
        <item m="1" x="1174"/>
        <item m="1" x="1218"/>
        <item m="1" x="1096"/>
        <item m="1" x="1097"/>
        <item m="1" x="1947"/>
        <item m="1" x="2111"/>
        <item m="1" x="997"/>
        <item m="1" x="1826"/>
        <item m="1" x="937"/>
        <item m="1" x="141"/>
        <item m="1" x="709"/>
        <item m="1" x="2216"/>
        <item m="1" x="1948"/>
        <item m="1" x="2219"/>
        <item m="1" x="1815"/>
        <item m="1" x="956"/>
        <item m="1" x="445"/>
        <item m="1" x="1166"/>
        <item m="1" x="458"/>
        <item x="11"/>
        <item m="1" x="1156"/>
        <item m="1" x="719"/>
        <item m="1" x="1000"/>
        <item m="1" x="2186"/>
        <item m="1" x="2234"/>
        <item m="1" x="2276"/>
        <item m="1" x="982"/>
        <item m="1" x="1242"/>
        <item m="1" x="825"/>
        <item m="1" x="511"/>
        <item m="1" x="2294"/>
        <item m="1" x="1445"/>
        <item m="1" x="1916"/>
        <item m="1" x="2233"/>
        <item m="1" x="1860"/>
        <item m="1" x="1491"/>
        <item m="1" x="509"/>
        <item m="1" x="642"/>
        <item m="1" x="2008"/>
        <item m="1" x="1936"/>
        <item m="1" x="650"/>
        <item m="1" x="1986"/>
        <item m="1" x="229"/>
        <item m="1" x="1415"/>
        <item x="80"/>
        <item x="62"/>
        <item m="1" x="1090"/>
        <item m="1" x="2061"/>
        <item m="1" x="357"/>
        <item m="1" x="556"/>
        <item m="1" x="1772"/>
        <item m="1" x="835"/>
        <item x="63"/>
        <item m="1" x="327"/>
        <item m="1" x="307"/>
        <item m="1" x="199"/>
        <item m="1" x="1499"/>
        <item m="1" x="1711"/>
        <item x="64"/>
        <item m="1" x="1694"/>
        <item m="1" x="1556"/>
        <item m="1" x="1042"/>
        <item m="1" x="1031"/>
        <item m="1" x="764"/>
        <item m="1" x="1399"/>
        <item m="1" x="448"/>
        <item m="1" x="1032"/>
        <item m="1" x="1712"/>
        <item m="1" x="444"/>
        <item m="1" x="211"/>
        <item m="1" x="1522"/>
        <item x="58"/>
        <item m="1" x="976"/>
        <item m="1" x="762"/>
        <item m="1" x="1549"/>
        <item m="1" x="952"/>
        <item m="1" x="2134"/>
        <item m="1" x="1054"/>
        <item m="1" x="1015"/>
        <item m="1" x="234"/>
        <item m="1" x="140"/>
        <item m="1" x="984"/>
        <item m="1" x="1048"/>
        <item m="1" x="779"/>
        <item m="1" x="681"/>
        <item m="1" x="1596"/>
        <item x="71"/>
        <item x="72"/>
        <item m="1" x="1307"/>
        <item m="1" x="2093"/>
        <item m="1" x="992"/>
        <item m="1" x="1857"/>
        <item m="1" x="198"/>
        <item m="1" x="194"/>
        <item m="1" x="325"/>
        <item m="1" x="1106"/>
        <item m="1" x="1049"/>
        <item m="1" x="898"/>
        <item x="111"/>
        <item m="1" x="1868"/>
        <item m="1" x="580"/>
        <item m="1" x="1879"/>
        <item m="1" x="1010"/>
        <item m="1" x="591"/>
        <item m="1" x="490"/>
        <item m="1" x="1303"/>
        <item m="1" x="1523"/>
        <item m="1" x="1553"/>
        <item m="1" x="1640"/>
        <item m="1" x="748"/>
        <item m="1" x="1614"/>
        <item m="1" x="2152"/>
        <item m="1" x="1743"/>
        <item m="1" x="1744"/>
        <item m="1" x="435"/>
        <item m="1" x="1766"/>
        <item m="1" x="1998"/>
        <item m="1" x="702"/>
        <item m="1" x="1521"/>
        <item m="1" x="2173"/>
        <item m="1" x="1649"/>
        <item m="1" x="274"/>
        <item m="1" x="1483"/>
        <item m="1" x="294"/>
        <item m="1" x="356"/>
        <item m="1" x="196"/>
        <item m="1" x="1629"/>
        <item m="1" x="1617"/>
        <item m="1" x="1281"/>
        <item m="1" x="1387"/>
        <item m="1" x="1131"/>
        <item m="1" x="1768"/>
        <item m="1" x="838"/>
        <item m="1" x="1765"/>
        <item m="1" x="831"/>
        <item m="1" x="1215"/>
        <item m="1" x="160"/>
        <item m="1" x="1520"/>
        <item m="1" x="1988"/>
        <item m="1" x="443"/>
        <item m="1" x="2102"/>
        <item m="1" x="347"/>
        <item m="1" x="693"/>
        <item m="1" x="1954"/>
        <item m="1" x="1406"/>
        <item m="1" x="2179"/>
        <item m="1" x="676"/>
        <item m="1" x="874"/>
        <item m="1" x="1709"/>
        <item m="1" x="981"/>
        <item m="1" x="2282"/>
        <item m="1" x="369"/>
        <item m="1" x="2270"/>
        <item m="1" x="370"/>
        <item m="1" x="340"/>
        <item m="1" x="424"/>
        <item m="1" x="2069"/>
        <item m="1" x="1502"/>
        <item m="1" x="640"/>
        <item m="1" x="731"/>
        <item m="1" x="558"/>
        <item m="1" x="868"/>
        <item m="1" x="195"/>
        <item m="1" x="1719"/>
        <item m="1" x="1770"/>
        <item m="1" x="283"/>
        <item m="1" x="854"/>
        <item m="1" x="427"/>
        <item m="1" x="1618"/>
        <item m="1" x="1695"/>
        <item m="1" x="441"/>
        <item m="1" x="1797"/>
        <item m="1" x="404"/>
        <item m="1" x="272"/>
        <item m="1" x="1341"/>
        <item m="1" x="818"/>
        <item m="1" x="2257"/>
        <item m="1" x="1832"/>
        <item m="1" x="345"/>
        <item m="1" x="2250"/>
        <item m="1" x="479"/>
        <item m="1" x="1680"/>
        <item m="1" x="1038"/>
        <item m="1" x="331"/>
        <item m="1" x="1421"/>
        <item m="1" x="2107"/>
        <item m="1" x="302"/>
        <item m="1" x="466"/>
        <item m="1" x="2150"/>
        <item m="1" x="784"/>
        <item m="1" x="1786"/>
        <item m="1" x="2126"/>
        <item m="1" x="235"/>
        <item m="1" x="664"/>
        <item m="1" x="330"/>
        <item m="1" x="1129"/>
        <item m="1" x="220"/>
        <item m="1" x="1945"/>
        <item x="24"/>
        <item m="1" x="699"/>
        <item m="1" x="1976"/>
        <item m="1" x="2137"/>
        <item m="1" x="1151"/>
        <item m="1" x="1780"/>
        <item m="1" x="2184"/>
        <item m="1" x="1759"/>
        <item m="1" x="408"/>
        <item m="1" x="386"/>
        <item m="1" x="409"/>
        <item m="1" x="1675"/>
        <item x="91"/>
        <item m="1" x="496"/>
        <item m="1" x="204"/>
        <item m="1" x="1878"/>
        <item m="1" x="1684"/>
        <item m="1" x="808"/>
        <item m="1" x="1464"/>
        <item m="1" x="201"/>
        <item m="1" x="1247"/>
        <item m="1" x="1535"/>
        <item m="1" x="1423"/>
        <item m="1" x="921"/>
        <item m="1" x="1979"/>
        <item m="1" x="901"/>
        <item m="1" x="1528"/>
        <item x="81"/>
        <item m="1" x="1170"/>
        <item x="25"/>
        <item x="49"/>
        <item m="1" x="362"/>
        <item m="1" x="394"/>
        <item m="1" x="1731"/>
        <item m="1" x="1527"/>
        <item m="1" x="1984"/>
        <item m="1" x="1093"/>
        <item m="1" x="769"/>
        <item m="1" x="1221"/>
        <item m="1" x="1128"/>
        <item m="1" x="1601"/>
        <item m="1" x="1355"/>
        <item m="1" x="162"/>
        <item m="1" x="1901"/>
        <item m="1" x="1597"/>
        <item m="1" x="896"/>
        <item m="1" x="622"/>
        <item m="1" x="1615"/>
        <item m="1" x="822"/>
        <item m="1" x="1660"/>
        <item m="1" x="258"/>
        <item m="1" x="2229"/>
        <item m="1" x="1381"/>
        <item m="1" x="1602"/>
        <item m="1" x="1845"/>
        <item m="1" x="2268"/>
        <item m="1" x="1164"/>
        <item m="1" x="165"/>
        <item m="1" x="1455"/>
        <item m="1" x="2091"/>
        <item m="1" x="656"/>
        <item m="1" x="657"/>
        <item m="1" x="658"/>
        <item m="1" x="1238"/>
        <item m="1" x="2170"/>
        <item m="1" x="1690"/>
        <item m="1" x="1631"/>
        <item m="1" x="2296"/>
        <item m="1" x="1275"/>
        <item m="1" x="148"/>
        <item m="1" x="1150"/>
        <item m="1" x="912"/>
        <item m="1" x="478"/>
        <item m="1" x="1229"/>
        <item m="1" x="1817"/>
        <item m="1" x="2023"/>
        <item m="1" x="1488"/>
        <item m="1" x="833"/>
        <item m="1" x="1367"/>
        <item m="1" x="1813"/>
        <item m="1" x="1575"/>
        <item m="1" x="1501"/>
        <item m="1" x="1375"/>
        <item m="1" x="510"/>
        <item m="1" x="2190"/>
        <item m="1" x="225"/>
        <item m="1" x="1858"/>
        <item m="1" x="173"/>
        <item m="1" x="2281"/>
        <item m="1" x="2048"/>
        <item m="1" x="498"/>
        <item m="1" x="721"/>
        <item m="1" x="735"/>
        <item m="1" x="844"/>
        <item m="1" x="422"/>
        <item m="1" x="457"/>
        <item x="82"/>
        <item x="83"/>
        <item m="1" x="1657"/>
        <item m="1" x="1822"/>
        <item x="84"/>
        <item m="1" x="710"/>
        <item m="1" x="1152"/>
        <item m="1" x="1327"/>
        <item m="1" x="1052"/>
        <item m="1" x="393"/>
        <item m="1" x="2262"/>
        <item m="1" x="1325"/>
        <item m="1" x="1326"/>
        <item m="1" x="519"/>
        <item m="1" x="300"/>
        <item m="1" x="703"/>
        <item m="1" x="1071"/>
        <item m="1" x="1374"/>
        <item m="1" x="2101"/>
        <item m="1" x="1212"/>
        <item m="1" x="1685"/>
        <item m="1" x="440"/>
        <item m="1" x="1762"/>
        <item m="1" x="816"/>
        <item m="1" x="202"/>
        <item m="1" x="1113"/>
        <item m="1" x="803"/>
        <item m="1" x="1025"/>
        <item m="1" x="1953"/>
        <item m="1" x="1133"/>
        <item m="1" x="1436"/>
        <item m="1" x="804"/>
        <item m="1" x="1397"/>
        <item m="1" x="617"/>
        <item m="1" x="1033"/>
        <item m="1" x="2021"/>
        <item m="1" x="2120"/>
        <item m="1" x="1110"/>
        <item m="1" x="634"/>
        <item m="1" x="940"/>
        <item m="1" x="714"/>
        <item m="1" x="2098"/>
        <item m="1" x="2183"/>
        <item x="26"/>
        <item m="1" x="1866"/>
        <item m="1" x="1661"/>
        <item m="1" x="1505"/>
        <item m="1" x="589"/>
        <item m="1" x="632"/>
        <item m="1" x="1996"/>
        <item m="1" x="1862"/>
        <item m="1" x="1925"/>
        <item m="1" x="2130"/>
        <item m="1" x="568"/>
        <item m="1" x="1065"/>
        <item m="1" x="1533"/>
        <item m="1" x="932"/>
        <item m="1" x="2047"/>
        <item m="1" x="1920"/>
        <item m="1" x="1552"/>
        <item m="1" x="610"/>
        <item m="1" x="611"/>
        <item m="1" x="2141"/>
        <item m="1" x="1335"/>
        <item m="1" x="1975"/>
        <item m="1" x="945"/>
        <item m="1" x="465"/>
        <item m="1" x="309"/>
        <item m="1" x="677"/>
        <item m="1" x="684"/>
        <item m="1" x="2160"/>
        <item m="1" x="1598"/>
        <item m="1" x="1628"/>
        <item m="1" x="1539"/>
        <item m="1" x="2180"/>
        <item m="1" x="172"/>
        <item m="1" x="1849"/>
        <item m="1" x="1705"/>
        <item m="1" x="2155"/>
        <item m="1" x="755"/>
        <item m="1" x="1580"/>
        <item m="1" x="250"/>
        <item m="1" x="1405"/>
        <item m="1" x="1718"/>
        <item m="1" x="654"/>
        <item m="1" x="1874"/>
        <item m="1" x="1551"/>
        <item m="1" x="2272"/>
        <item m="1" x="696"/>
        <item m="1" x="555"/>
        <item m="1" x="1498"/>
        <item m="1" x="2289"/>
        <item m="1" x="2290"/>
        <item m="1" x="2089"/>
        <item m="1" x="542"/>
        <item m="1" x="243"/>
        <item m="1" x="955"/>
        <item m="1" x="1122"/>
        <item m="1" x="1877"/>
        <item m="1" x="2080"/>
        <item m="1" x="1200"/>
        <item m="1" x="1981"/>
        <item m="1" x="1982"/>
        <item m="1" x="310"/>
        <item m="1" x="311"/>
        <item m="1" x="312"/>
        <item m="1" x="1201"/>
        <item m="1" x="313"/>
        <item m="1" x="1202"/>
        <item m="1" x="1648"/>
        <item m="1" x="1310"/>
        <item m="1" x="559"/>
        <item m="1" x="1955"/>
        <item m="1" x="1672"/>
        <item m="1" x="1784"/>
        <item x="3"/>
        <item x="4"/>
        <item m="1" x="2092"/>
        <item m="1" x="353"/>
        <item m="1" x="2034"/>
        <item m="1" x="1456"/>
        <item m="1" x="711"/>
        <item m="1" x="1496"/>
        <item m="1" x="1572"/>
        <item m="1" x="2304"/>
        <item m="1" x="1626"/>
        <item m="1" x="1941"/>
        <item m="1" x="1907"/>
        <item m="1" x="732"/>
        <item m="1" x="1433"/>
        <item m="1" x="1827"/>
        <item m="1" x="817"/>
        <item m="1" x="1340"/>
        <item m="1" x="1057"/>
        <item m="1" x="2161"/>
        <item m="1" x="972"/>
        <item m="1" x="260"/>
        <item m="1" x="2083"/>
        <item m="1" x="1425"/>
        <item m="1" x="2015"/>
        <item m="1" x="1426"/>
        <item m="1" x="2067"/>
        <item m="1" x="2103"/>
        <item m="1" x="2274"/>
        <item m="1" x="939"/>
        <item m="1" x="1799"/>
        <item m="1" x="1353"/>
        <item m="1" x="166"/>
        <item m="1" x="1388"/>
        <item m="1" x="789"/>
        <item m="1" x="2187"/>
        <item m="1" x="2224"/>
        <item m="1" x="288"/>
        <item m="1" x="1963"/>
        <item m="1" x="193"/>
        <item m="1" x="324"/>
        <item m="1" x="2096"/>
        <item m="1" x="167"/>
        <item m="1" x="790"/>
        <item m="1" x="410"/>
        <item m="1" x="507"/>
        <item m="1" x="534"/>
        <item m="1" x="1321"/>
        <item m="1" x="1252"/>
        <item m="1" x="1771"/>
        <item m="1" x="2309"/>
        <item m="1" x="514"/>
        <item m="1" x="1346"/>
        <item m="1" x="1834"/>
        <item m="1" x="1451"/>
        <item m="1" x="893"/>
        <item m="1" x="2261"/>
        <item m="1" x="1349"/>
        <item m="1" x="1741"/>
        <item m="1" x="222"/>
        <item m="1" x="1835"/>
        <item m="1" x="543"/>
        <item m="1" x="419"/>
        <item m="1" x="2285"/>
        <item m="1" x="1347"/>
        <item m="1" x="1452"/>
        <item m="1" x="515"/>
        <item m="1" x="2300"/>
        <item m="1" x="1348"/>
        <item m="1" x="426"/>
        <item m="1" x="1774"/>
        <item m="1" x="1453"/>
        <item m="1" x="894"/>
        <item m="1" x="2287"/>
        <item m="1" x="223"/>
        <item m="1" x="2121"/>
        <item m="1" x="636"/>
        <item m="1" x="946"/>
        <item m="1" x="1775"/>
        <item m="1" x="1836"/>
        <item m="1" x="1837"/>
        <item m="1" x="2131"/>
        <item m="1" x="1306"/>
        <item m="1" x="145"/>
        <item m="1" x="1319"/>
        <item m="1" x="1914"/>
        <item m="1" x="397"/>
        <item m="1" x="649"/>
        <item x="65"/>
        <item m="1" x="2144"/>
        <item m="1" x="2009"/>
        <item x="37"/>
        <item x="44"/>
        <item m="1" x="1207"/>
        <item m="1" x="2136"/>
        <item m="1" x="2138"/>
        <item m="1" x="304"/>
        <item m="1" x="1081"/>
        <item m="1" x="1497"/>
        <item m="1" x="2140"/>
        <item m="1" x="1587"/>
        <item m="1" x="1240"/>
        <item m="1" x="380"/>
        <item m="1" x="782"/>
        <item m="1" x="1683"/>
        <item m="1" x="1461"/>
        <item m="1" x="890"/>
        <item m="1" x="1732"/>
        <item m="1" x="538"/>
        <item m="1" x="891"/>
        <item m="1" x="1429"/>
        <item m="1" x="1120"/>
        <item m="1" x="1363"/>
        <item m="1" x="1776"/>
        <item m="1" x="1682"/>
        <item m="1" x="1792"/>
        <item m="1" x="575"/>
        <item m="1" x="1745"/>
        <item m="1" x="2295"/>
        <item m="1" x="665"/>
        <item m="1" x="470"/>
        <item m="1" x="1261"/>
        <item m="1" x="674"/>
        <item m="1" x="675"/>
        <item m="1" x="472"/>
        <item m="1" x="885"/>
        <item m="1" x="988"/>
        <item m="1" x="1517"/>
        <item m="1" x="1543"/>
        <item m="1" x="191"/>
        <item m="1" x="1889"/>
        <item x="85"/>
        <item m="1" x="450"/>
        <item m="1" x="814"/>
        <item m="1" x="627"/>
        <item m="1" x="915"/>
        <item m="1" x="679"/>
        <item m="1" x="1898"/>
        <item m="1" x="767"/>
        <item m="1" x="802"/>
        <item m="1" x="872"/>
        <item m="1" x="1752"/>
        <item m="1" x="455"/>
        <item m="1" x="1269"/>
        <item m="1" x="1888"/>
        <item m="1" x="122"/>
        <item m="1" x="1447"/>
        <item m="1" x="2054"/>
        <item m="1" x="344"/>
        <item m="1" x="1785"/>
        <item m="1" x="375"/>
        <item m="1" x="564"/>
        <item m="1" x="1573"/>
        <item m="1" x="583"/>
        <item m="1" x="985"/>
        <item m="1" x="1289"/>
        <item m="1" x="1809"/>
        <item m="1" x="1693"/>
        <item m="1" x="895"/>
        <item m="1" x="2028"/>
        <item m="1" x="1840"/>
        <item m="1" x="231"/>
        <item m="1" x="175"/>
        <item m="1" x="850"/>
        <item m="1" x="2177"/>
        <item m="1" x="1873"/>
        <item m="1" x="1755"/>
        <item m="1" x="232"/>
        <item m="1" x="1468"/>
        <item m="1" x="1795"/>
        <item m="1" x="2125"/>
        <item m="1" x="616"/>
        <item m="1" x="624"/>
        <item m="1" x="965"/>
        <item m="1" x="741"/>
        <item m="1" x="452"/>
        <item m="1" x="1704"/>
        <item m="1" x="641"/>
        <item m="1" x="1134"/>
        <item m="1" x="1361"/>
        <item m="1" x="2117"/>
        <item m="1" x="1589"/>
        <item m="1" x="603"/>
        <item m="1" x="1935"/>
        <item m="1" x="599"/>
        <item m="1" x="1022"/>
        <item m="1" x="1046"/>
        <item m="1" x="1514"/>
        <item m="1" x="1161"/>
        <item m="1" x="1354"/>
        <item m="1" x="2108"/>
        <item m="1" x="1013"/>
        <item m="1" x="1328"/>
        <item m="1" x="299"/>
        <item m="1" x="541"/>
        <item m="1" x="1217"/>
        <item m="1" x="1760"/>
        <item m="1" x="1132"/>
        <item m="1" x="1068"/>
        <item m="1" x="1882"/>
        <item m="1" x="418"/>
        <item m="1" x="994"/>
        <item m="1" x="1372"/>
        <item m="1" x="405"/>
        <item m="1" x="1746"/>
        <item m="1" x="1434"/>
        <item m="1" x="365"/>
        <item m="1" x="643"/>
        <item m="1" x="995"/>
        <item m="1" x="1697"/>
        <item m="1" x="2119"/>
        <item m="1" x="1805"/>
        <item m="1" x="2305"/>
        <item m="1" x="518"/>
        <item m="1" x="2090"/>
        <item m="1" x="554"/>
        <item m="1" x="753"/>
        <item x="27"/>
        <item x="28"/>
        <item x="29"/>
        <item m="1" x="2148"/>
        <item m="1" x="1708"/>
        <item m="1" x="569"/>
        <item m="1" x="1637"/>
        <item m="1" x="594"/>
        <item m="1" x="181"/>
        <item m="1" x="2298"/>
        <item m="1" x="602"/>
        <item m="1" x="2178"/>
        <item m="1" x="317"/>
        <item m="1" x="705"/>
        <item m="1" x="619"/>
        <item m="1" x="1379"/>
        <item m="1" x="1961"/>
        <item x="114"/>
        <item m="1" x="1973"/>
        <item m="1" x="1079"/>
        <item m="1" x="1942"/>
        <item x="38"/>
        <item m="1" x="227"/>
        <item m="1" x="1734"/>
        <item m="1" x="800"/>
        <item m="1" x="884"/>
        <item m="1" x="1613"/>
        <item m="1" x="1547"/>
        <item m="1" x="2157"/>
        <item m="1" x="672"/>
        <item m="1" x="832"/>
        <item m="1" x="158"/>
        <item m="1" x="1276"/>
        <item m="1" x="1153"/>
        <item m="1" x="308"/>
        <item m="1" x="314"/>
        <item m="1" x="785"/>
        <item m="1" x="1061"/>
        <item m="1" x="747"/>
        <item m="1" x="547"/>
        <item m="1" x="322"/>
        <item m="1" x="1915"/>
        <item m="1" x="585"/>
        <item m="1" x="1972"/>
        <item m="1" x="2122"/>
        <item m="1" x="1290"/>
        <item x="30"/>
        <item m="1" x="1569"/>
        <item x="112"/>
        <item m="1" x="475"/>
        <item m="1" x="763"/>
        <item m="1" x="637"/>
        <item m="1" x="2076"/>
        <item m="1" x="1778"/>
        <item m="1" x="889"/>
        <item x="73"/>
        <item x="116"/>
        <item m="1" x="1294"/>
        <item m="1" x="2208"/>
        <item m="1" x="574"/>
        <item m="1" x="366"/>
        <item m="1" x="1395"/>
        <item m="1" x="609"/>
        <item m="1" x="1563"/>
        <item m="1" x="468"/>
        <item m="1" x="1854"/>
        <item m="1" x="529"/>
        <item x="12"/>
        <item m="1" x="429"/>
        <item m="1" x="316"/>
        <item m="1" x="342"/>
        <item m="1" x="1717"/>
        <item m="1" x="187"/>
        <item m="1" x="924"/>
        <item x="113"/>
        <item m="1" x="852"/>
        <item m="1" x="1625"/>
        <item m="1" x="255"/>
        <item m="1" x="871"/>
        <item m="1" x="279"/>
        <item m="1" x="1060"/>
        <item m="1" x="1519"/>
        <item x="39"/>
        <item x="40"/>
        <item x="31"/>
        <item x="45"/>
        <item m="1" x="1710"/>
        <item m="1" x="1798"/>
        <item m="1" x="374"/>
        <item m="1" x="653"/>
        <item m="1" x="1041"/>
        <item m="1" x="1411"/>
        <item m="1" x="2182"/>
        <item x="117"/>
        <item m="1" x="724"/>
        <item m="1" x="205"/>
        <item m="1" x="1137"/>
        <item m="1" x="916"/>
        <item m="1" x="219"/>
        <item m="1" x="886"/>
        <item m="1" x="495"/>
        <item m="1" x="206"/>
        <item m="1" x="486"/>
        <item m="1" x="756"/>
        <item m="1" x="2211"/>
        <item x="50"/>
        <item m="1" x="1369"/>
        <item m="1" x="379"/>
        <item m="1" x="903"/>
        <item m="1" x="1278"/>
        <item m="1" x="1066"/>
        <item m="1" x="749"/>
        <item m="1" x="1417"/>
        <item m="1" x="2129"/>
        <item m="1" x="484"/>
        <item m="1" x="607"/>
        <item m="1" x="2110"/>
        <item m="1" x="268"/>
        <item m="1" x="126"/>
        <item m="1" x="1141"/>
        <item m="1" x="592"/>
        <item m="1" x="469"/>
        <item m="1" x="1268"/>
        <item m="1" x="1407"/>
        <item m="1" x="1063"/>
        <item m="1" x="1198"/>
        <item m="1" x="1983"/>
        <item m="1" x="1654"/>
        <item m="1" x="1653"/>
        <item m="1" x="525"/>
        <item m="1" x="248"/>
        <item m="1" x="2074"/>
        <item m="1" x="2127"/>
        <item m="1" x="614"/>
        <item m="1" x="1977"/>
        <item m="1" x="1051"/>
        <item m="1" x="1014"/>
        <item m="1" x="598"/>
        <item m="1" x="403"/>
        <item m="1" x="1579"/>
        <item m="1" x="284"/>
        <item m="1" x="1540"/>
        <item m="1" x="1593"/>
        <item m="1" x="1641"/>
        <item m="1" x="801"/>
        <item m="1" x="595"/>
        <item m="1" x="716"/>
        <item m="1" x="2236"/>
        <item m="1" x="1747"/>
        <item m="1" x="811"/>
        <item m="1" x="625"/>
        <item m="1" x="1793"/>
        <item m="1" x="1943"/>
        <item m="1" x="947"/>
        <item m="1" x="920"/>
        <item m="1" x="177"/>
        <item m="1" x="1004"/>
        <item m="1" x="1431"/>
        <item m="1" x="1366"/>
        <item m="1" x="2132"/>
        <item m="1" x="149"/>
        <item m="1" x="781"/>
        <item m="1" x="875"/>
        <item m="1" x="1950"/>
        <item m="1" x="1716"/>
        <item m="1" x="1900"/>
        <item m="1" x="321"/>
        <item m="1" x="581"/>
        <item m="1" x="1160"/>
        <item m="1" x="261"/>
        <item m="1" x="771"/>
        <item m="1" x="742"/>
        <item m="1" x="1077"/>
        <item m="1" x="1078"/>
        <item m="1" x="830"/>
        <item m="1" x="1257"/>
        <item m="1" x="2218"/>
        <item m="1" x="862"/>
        <item m="1" x="1428"/>
        <item m="1" x="1691"/>
        <item m="1" x="1604"/>
        <item m="1" x="1336"/>
        <item m="1" x="192"/>
        <item m="1" x="2051"/>
        <item m="1" x="2035"/>
        <item x="41"/>
        <item x="32"/>
        <item m="1" x="2188"/>
        <item m="1" x="2040"/>
        <item m="1" x="1703"/>
        <item m="1" x="1027"/>
        <item m="1" x="407"/>
        <item m="1" x="437"/>
        <item m="1" x="438"/>
        <item m="1" x="847"/>
        <item m="1" x="2019"/>
        <item m="1" x="1929"/>
        <item m="1" x="147"/>
        <item m="1" x="552"/>
        <item m="1" x="1178"/>
        <item m="1" x="553"/>
        <item m="1" x="1179"/>
        <item m="1" x="2145"/>
        <item m="1" x="1002"/>
        <item m="1" x="1003"/>
        <item m="1" x="2033"/>
        <item m="1" x="576"/>
        <item m="1" x="806"/>
        <item m="1" x="1839"/>
        <item m="1" x="392"/>
        <item m="1" x="600"/>
        <item m="1" x="1909"/>
        <item m="1" x="2053"/>
        <item m="1" x="1623"/>
        <item m="1" x="378"/>
        <item m="1" x="2106"/>
        <item m="1" x="1865"/>
        <item m="1" x="557"/>
        <item m="1" x="882"/>
        <item m="1" x="1726"/>
        <item m="1" x="2066"/>
        <item m="1" x="1864"/>
        <item m="1" x="1558"/>
        <item m="1" x="1564"/>
        <item m="1" x="1565"/>
        <item m="1" x="1595"/>
        <item m="1" x="1566"/>
        <item m="1" x="292"/>
        <item m="1" x="1642"/>
        <item m="1" x="2149"/>
        <item m="1" x="1457"/>
        <item m="1" x="2128"/>
        <item m="1" x="1005"/>
        <item m="1" x="1946"/>
        <item m="1" x="508"/>
        <item m="1" x="144"/>
        <item m="1" x="1824"/>
        <item m="1" x="651"/>
        <item m="1" x="1439"/>
        <item m="1" x="421"/>
        <item m="1" x="661"/>
        <item m="1" x="638"/>
        <item m="1" x="2115"/>
        <item m="1" x="2006"/>
        <item m="1" x="2013"/>
        <item m="1" x="2046"/>
        <item m="1" x="2307"/>
        <item m="1" x="2213"/>
        <item m="1" x="743"/>
        <item m="1" x="904"/>
        <item m="1" x="792"/>
        <item m="1" x="1155"/>
        <item m="1" x="1603"/>
        <item m="1" x="1852"/>
        <item m="1" x="1937"/>
        <item m="1" x="1076"/>
        <item x="105"/>
        <item m="1" x="480"/>
        <item x="86"/>
        <item m="1" x="1808"/>
        <item m="1" x="2029"/>
        <item m="1" x="125"/>
        <item m="1" x="1389"/>
        <item x="92"/>
        <item x="66"/>
        <item x="33"/>
        <item m="1" x="402"/>
        <item m="1" x="2147"/>
        <item m="1" x="1735"/>
        <item m="1" x="1490"/>
        <item m="1" x="858"/>
        <item m="1" x="776"/>
        <item m="1" x="849"/>
        <item m="1" x="739"/>
        <item m="1" x="1148"/>
        <item m="1" x="859"/>
        <item m="1" x="777"/>
        <item m="1" x="1485"/>
        <item m="1" x="413"/>
        <item m="1" x="414"/>
        <item m="1" x="428"/>
        <item m="1" x="978"/>
        <item m="1" x="1586"/>
        <item m="1" x="980"/>
        <item m="1" x="297"/>
        <item m="1" x="298"/>
        <item m="1" x="2189"/>
        <item m="1" x="216"/>
        <item m="1" x="655"/>
        <item m="1" x="217"/>
        <item m="1" x="245"/>
        <item m="1" x="737"/>
        <item m="1" x="2005"/>
        <item m="1" x="1922"/>
        <item m="1" x="1669"/>
        <item m="1" x="1250"/>
        <item m="1" x="1100"/>
        <item m="1" x="760"/>
        <item m="1" x="877"/>
        <item m="1" x="328"/>
        <item m="1" x="1906"/>
        <item m="1" x="565"/>
        <item m="1" x="1380"/>
        <item m="1" x="1103"/>
        <item m="1" x="277"/>
        <item m="1" x="2251"/>
        <item m="1" x="180"/>
        <item m="1" x="2198"/>
        <item m="1" x="2064"/>
        <item m="1" x="1191"/>
        <item m="1" x="768"/>
        <item m="1" x="1767"/>
        <item m="1" x="1831"/>
        <item m="1" x="798"/>
        <item m="1" x="1448"/>
        <item m="1" x="1692"/>
        <item m="1" x="2114"/>
        <item m="1" x="1897"/>
        <item m="1" x="954"/>
        <item m="1" x="1035"/>
        <item m="1" x="682"/>
        <item m="1" x="990"/>
        <item m="1" x="799"/>
        <item m="1" x="2252"/>
        <item m="1" x="563"/>
        <item m="1" x="670"/>
        <item m="1" x="481"/>
        <item m="1" x="1993"/>
        <item m="1" x="368"/>
        <item m="1" x="582"/>
        <item m="1" x="1554"/>
        <item m="1" x="1185"/>
        <item m="1" x="1125"/>
        <item m="1" x="1665"/>
        <item x="106"/>
        <item m="1" x="1147"/>
        <item m="1" x="221"/>
        <item m="1" x="996"/>
        <item m="1" x="453"/>
        <item x="104"/>
        <item x="0"/>
        <item x="67"/>
        <item m="1" x="839"/>
        <item m="1" x="512"/>
        <item m="1" x="2174"/>
        <item m="1" x="1438"/>
        <item m="1" x="212"/>
        <item m="1" x="497"/>
        <item m="1" x="1507"/>
        <item m="1" x="843"/>
        <item m="1" x="998"/>
        <item x="107"/>
        <item m="1" x="720"/>
        <item m="1" x="121"/>
        <item m="1" x="416"/>
        <item m="1" x="723"/>
        <item m="1" x="1949"/>
        <item m="1" x="1616"/>
        <item m="1" x="1412"/>
        <item m="1" x="291"/>
        <item m="1" x="2230"/>
        <item m="1" x="1876"/>
        <item m="1" x="1183"/>
        <item m="1" x="1344"/>
        <item m="1" x="1241"/>
        <item m="1" x="2105"/>
        <item m="1" x="456"/>
        <item m="1" x="1861"/>
        <item m="1" x="1194"/>
        <item m="1" x="1318"/>
        <item m="1" x="2071"/>
        <item m="1" x="1893"/>
        <item m="1" x="1894"/>
        <item m="1" x="2199"/>
        <item m="1" x="332"/>
        <item m="1" x="491"/>
        <item m="1" x="174"/>
        <item m="1" x="855"/>
        <item x="59"/>
        <item m="1" x="942"/>
        <item m="1" x="1749"/>
        <item m="1" x="1274"/>
        <item m="1" x="1578"/>
        <item m="1" x="1021"/>
        <item m="1" x="909"/>
        <item m="1" x="1696"/>
        <item m="1" x="1966"/>
        <item m="1" x="1606"/>
        <item m="1" x="810"/>
        <item m="1" x="501"/>
        <item m="1" x="944"/>
        <item m="1" x="1302"/>
        <item m="1" x="1059"/>
        <item m="1" x="704"/>
        <item m="1" x="1686"/>
        <item m="1" x="2073"/>
        <item m="1" x="1284"/>
        <item m="1" x="136"/>
        <item m="1" x="1559"/>
        <item m="1" x="692"/>
        <item m="1" x="1791"/>
        <item m="1" x="1167"/>
        <item m="1" x="377"/>
        <item m="1" x="1944"/>
        <item m="1" x="1987"/>
        <item m="1" x="1364"/>
        <item m="1" x="666"/>
        <item m="1" x="1534"/>
        <item m="1" x="527"/>
        <item m="1" x="829"/>
        <item m="1" x="516"/>
        <item m="1" x="233"/>
        <item m="1" x="2017"/>
        <item m="1" x="597"/>
        <item m="1" x="738"/>
        <item m="1" x="571"/>
        <item m="1" x="471"/>
        <item m="1" x="1777"/>
        <item m="1" x="1739"/>
        <item m="1" x="612"/>
        <item m="1" x="2204"/>
        <item m="1" x="900"/>
        <item m="1" x="1863"/>
        <item m="1" x="1546"/>
        <item m="1" x="729"/>
        <item m="1" x="2014"/>
        <item m="1" x="358"/>
        <item m="1" x="1643"/>
        <item m="1" x="2018"/>
        <item m="1" x="1018"/>
        <item m="1" x="588"/>
        <item m="1" x="1169"/>
        <item m="1" x="1337"/>
        <item m="1" x="911"/>
        <item m="1" x="2109"/>
        <item m="1" x="218"/>
        <item m="1" x="1818"/>
        <item m="1" x="1481"/>
        <item m="1" x="2135"/>
        <item m="1" x="2133"/>
        <item m="1" x="683"/>
        <item m="1" x="1181"/>
        <item m="1" x="1723"/>
        <item m="1" x="2142"/>
        <item x="34"/>
        <item m="1" x="846"/>
        <item m="1" x="1970"/>
        <item m="1" x="1639"/>
        <item m="1" x="1959"/>
        <item m="1" x="663"/>
        <item m="1" x="1410"/>
        <item m="1" x="1513"/>
        <item m="1" x="1989"/>
        <item m="1" x="1350"/>
        <item m="1" x="1990"/>
        <item m="1" x="1679"/>
        <item m="1" x="1223"/>
        <item m="1" x="2143"/>
        <item m="1" x="522"/>
        <item m="1" x="628"/>
        <item m="1" x="2297"/>
        <item m="1" x="1270"/>
        <item x="42"/>
        <item x="74"/>
        <item m="1" x="1213"/>
        <item m="1" x="355"/>
        <item m="1" x="387"/>
        <item m="1" x="388"/>
        <item m="1" x="700"/>
        <item m="1" x="1203"/>
        <item m="1" x="766"/>
        <item m="1" x="914"/>
        <item m="1" x="823"/>
        <item m="1" x="502"/>
        <item m="1" x="1802"/>
        <item m="1" x="240"/>
        <item m="1" x="401"/>
        <item m="1" x="2079"/>
        <item m="1" x="2201"/>
        <item m="1" x="1283"/>
        <item m="1" x="765"/>
        <item m="1" x="1193"/>
        <item m="1" x="1830"/>
        <item m="1" x="2060"/>
        <item m="1" x="1028"/>
        <item m="1" x="485"/>
        <item m="1" x="561"/>
        <item m="1" x="236"/>
        <item m="1" x="395"/>
        <item m="1" x="2176"/>
        <item m="1" x="586"/>
        <item m="1" x="1508"/>
        <item m="1" x="1086"/>
        <item m="1" x="1938"/>
        <item m="1" x="1867"/>
        <item m="1" x="934"/>
        <item m="1" x="1715"/>
        <item m="1" x="1754"/>
        <item m="1" x="226"/>
        <item m="1" x="281"/>
        <item m="1" x="1939"/>
        <item m="1" x="1471"/>
        <item m="1" x="746"/>
        <item m="1" x="1315"/>
        <item m="1" x="1812"/>
        <item m="1" x="1343"/>
        <item m="1" x="1678"/>
        <item m="1" x="620"/>
        <item m="1" x="1253"/>
        <item m="1" x="1298"/>
        <item m="1" x="2086"/>
        <item m="1" x="707"/>
        <item m="1" x="1264"/>
        <item m="1" x="1280"/>
        <item m="1" x="1555"/>
        <item m="1" x="712"/>
        <item m="1" x="1923"/>
        <item m="1" x="2068"/>
        <item m="1" x="1567"/>
        <item m="1" x="2139"/>
        <item m="1" x="439"/>
        <item m="1" x="834"/>
        <item m="1" x="168"/>
        <item m="1" x="1588"/>
        <item m="1" x="1605"/>
        <item m="1" x="385"/>
        <item m="1" x="2171"/>
        <item m="1" x="1029"/>
        <item m="1" x="1652"/>
        <item m="1" x="504"/>
        <item x="5"/>
        <item m="1" x="968"/>
        <item m="1" x="963"/>
        <item m="1" x="1676"/>
        <item m="1" x="733"/>
        <item m="1" x="999"/>
        <item m="1" x="726"/>
        <item m="1" x="1017"/>
        <item m="1" x="1891"/>
        <item m="1" x="1419"/>
        <item m="1" x="1807"/>
        <item m="1" x="2075"/>
        <item m="1" x="930"/>
        <item m="1" x="1940"/>
        <item m="1" x="1055"/>
        <item m="1" x="734"/>
        <item m="1" x="523"/>
        <item m="1" x="1107"/>
        <item m="1" x="1030"/>
        <item m="1" x="1574"/>
        <item m="1" x="1851"/>
        <item m="1" x="483"/>
        <item m="1" x="1687"/>
        <item m="1" x="1524"/>
        <item m="1" x="376"/>
        <item m="1" x="381"/>
        <item m="1" x="2062"/>
        <item m="1" x="1119"/>
        <item m="1" x="1292"/>
        <item m="1" x="1905"/>
        <item m="1" x="1688"/>
        <item m="1" x="1958"/>
        <item x="87"/>
        <item m="1" x="2042"/>
        <item m="1" x="383"/>
        <item m="1" x="1758"/>
        <item x="6"/>
        <item x="7"/>
        <item m="1" x="1087"/>
        <item m="1" x="1619"/>
        <item m="1" x="1787"/>
        <item m="1" x="1195"/>
        <item m="1" x="352"/>
        <item m="1" x="1186"/>
        <item m="1" x="2010"/>
        <item m="1" x="560"/>
        <item m="1" x="1978"/>
        <item m="1" x="639"/>
        <item m="1" x="1301"/>
        <item m="1" x="1917"/>
        <item m="1" x="1334"/>
        <item m="1" x="1985"/>
        <item m="1" x="266"/>
        <item m="1" x="1999"/>
        <item m="1" x="487"/>
        <item m="1" x="1187"/>
        <item m="1" x="2007"/>
        <item m="1" x="698"/>
        <item m="1" x="363"/>
        <item m="1" x="1204"/>
        <item m="1" x="1225"/>
        <item m="1" x="2159"/>
        <item m="1" x="503"/>
        <item m="1" x="725"/>
        <item m="1" x="2104"/>
        <item m="1" x="1662"/>
        <item m="1" x="2156"/>
        <item m="1" x="210"/>
        <item m="1" x="869"/>
        <item x="51"/>
        <item m="1" x="1576"/>
        <item m="1" x="577"/>
        <item m="1" x="384"/>
        <item m="1" x="680"/>
        <item m="1" x="517"/>
        <item m="1" x="652"/>
        <item m="1" x="1073"/>
        <item m="1" x="185"/>
        <item m="1" x="500"/>
        <item m="1" x="346"/>
        <item m="1" x="1529"/>
        <item m="1" x="1069"/>
        <item m="1" x="1394"/>
        <item m="1" x="1838"/>
        <item m="1" x="2097"/>
        <item m="1" x="1385"/>
        <item m="1" x="596"/>
        <item m="1" x="239"/>
        <item m="1" x="1846"/>
        <item m="1" x="866"/>
        <item m="1" x="152"/>
        <item x="13"/>
        <item m="1" x="2256"/>
        <item m="1" x="2232"/>
        <item m="1" x="1165"/>
        <item m="1" x="1036"/>
        <item m="1" x="1667"/>
        <item m="1" x="1811"/>
        <item m="1" x="633"/>
        <item m="1" x="1495"/>
        <item m="1" x="1304"/>
        <item m="1" x="2249"/>
        <item m="1" x="1884"/>
        <item x="14"/>
        <item m="1" x="1273"/>
        <item m="1" x="906"/>
        <item m="1" x="635"/>
        <item x="35"/>
        <item x="52"/>
        <item m="1" x="1408"/>
        <item m="1" x="2203"/>
        <item m="1" x="2026"/>
        <item m="1" x="2154"/>
        <item x="53"/>
        <item m="1" x="2284"/>
        <item m="1" x="1859"/>
        <item m="1" x="2181"/>
        <item x="8"/>
        <item m="1" x="630"/>
        <item m="1" x="506"/>
        <item x="9"/>
        <item x="10"/>
        <item m="1" x="1582"/>
        <item m="1" x="1297"/>
        <item x="93"/>
        <item x="94"/>
        <item x="95"/>
        <item x="96"/>
        <item m="1" x="1714"/>
        <item m="1" x="1463"/>
        <item m="1" x="1821"/>
        <item m="1" x="974"/>
        <item m="1" x="759"/>
        <item m="1" x="2197"/>
        <item m="1" x="396"/>
        <item m="1" x="791"/>
        <item m="1" x="1612"/>
        <item m="1" x="1599"/>
        <item m="1" x="2260"/>
        <item m="1" x="275"/>
        <item m="1" x="1933"/>
        <item m="1" x="1883"/>
        <item m="1" x="1856"/>
        <item m="1" x="1700"/>
        <item m="1" x="2078"/>
        <item m="1" x="1062"/>
        <item m="1" x="1080"/>
        <item m="1" x="488"/>
        <item m="1" x="1449"/>
        <item m="1" x="587"/>
        <item x="43"/>
        <item m="1" x="164"/>
        <item x="88"/>
        <item m="1" x="1500"/>
        <item m="1" x="919"/>
        <item m="1" x="323"/>
        <item m="1" x="319"/>
        <item m="1" x="1286"/>
        <item m="1" x="360"/>
        <item x="97"/>
        <item x="98"/>
        <item m="1" x="1550"/>
        <item m="1" x="2039"/>
        <item x="99"/>
        <item x="100"/>
        <item x="101"/>
        <item x="102"/>
        <item x="103"/>
        <item m="1" x="1545"/>
        <item m="1" x="207"/>
        <item m="1" x="1511"/>
        <item m="1" x="1512"/>
        <item m="1" x="171"/>
        <item m="1" x="1733"/>
        <item m="1" x="907"/>
        <item m="1" x="1472"/>
        <item m="1" x="1921"/>
        <item m="1" x="238"/>
        <item m="1" x="1393"/>
        <item m="1" x="1796"/>
        <item m="1" x="1058"/>
        <item m="1" x="1313"/>
        <item m="1" x="1722"/>
        <item m="1" x="837"/>
        <item m="1" x="1116"/>
        <item m="1" x="1432"/>
        <item m="1" x="189"/>
        <item m="1" x="1736"/>
        <item m="1" x="1951"/>
        <item m="1" x="1737"/>
        <item m="1" x="1952"/>
        <item m="1" x="957"/>
        <item m="1" x="1243"/>
        <item m="1" x="813"/>
        <item m="1" x="1299"/>
        <item m="1" x="809"/>
        <item m="1" x="1300"/>
        <item m="1" x="430"/>
        <item m="1" x="169"/>
        <item m="1" x="1968"/>
        <item m="1" x="492"/>
        <item m="1" x="2206"/>
        <item m="1" x="621"/>
        <item m="1" x="2299"/>
        <item m="1" x="2265"/>
        <item m="1" x="2065"/>
        <item m="1" x="1248"/>
        <item m="1" x="1621"/>
        <item x="54"/>
        <item m="1" x="572"/>
        <item m="1" x="1311"/>
        <item m="1" x="318"/>
        <item m="1" x="1538"/>
        <item m="1" x="1773"/>
        <item m="1" x="1902"/>
        <item m="1" x="1542"/>
        <item m="1" x="2063"/>
        <item m="1" x="973"/>
        <item m="1" x="1044"/>
        <item m="1" x="1869"/>
        <item m="1" x="224"/>
        <item m="1" x="301"/>
        <item m="1" x="773"/>
        <item m="1" x="774"/>
        <item m="1" x="153"/>
        <item m="1" x="1646"/>
        <item m="1" x="867"/>
        <item m="1" x="1373"/>
        <item m="1" x="873"/>
        <item m="1" x="432"/>
        <item m="1" x="119"/>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4"/>
    <field x="6"/>
  </rowFields>
  <rowItems count="119">
    <i>
      <x/>
      <x/>
      <x v="43"/>
      <x v="500"/>
    </i>
    <i r="3">
      <x v="501"/>
    </i>
    <i r="2">
      <x v="46"/>
      <x v="235"/>
    </i>
    <i r="3">
      <x v="499"/>
    </i>
    <i r="3">
      <x v="1332"/>
    </i>
    <i r="3">
      <x v="1333"/>
    </i>
    <i r="3">
      <x v="2079"/>
    </i>
    <i r="3">
      <x v="2115"/>
    </i>
    <i r="3">
      <x v="2116"/>
    </i>
    <i r="3">
      <x v="2196"/>
    </i>
    <i r="3">
      <x v="2199"/>
    </i>
    <i r="3">
      <x v="2200"/>
    </i>
    <i r="2">
      <x v="54"/>
      <x v="1889"/>
    </i>
    <i r="2">
      <x v="81"/>
      <x v="942"/>
    </i>
    <i r="2">
      <x v="315"/>
      <x v="1616"/>
    </i>
    <i r="2">
      <x v="407"/>
      <x v="2170"/>
    </i>
    <i r="3">
      <x v="2182"/>
    </i>
    <i r="1">
      <x v="1"/>
      <x v="217"/>
      <x v="79"/>
    </i>
    <i r="3">
      <x v="460"/>
    </i>
    <i r="3">
      <x v="506"/>
    </i>
    <i r="3">
      <x v="781"/>
    </i>
    <i r="3">
      <x v="870"/>
    </i>
    <i r="3">
      <x v="871"/>
    </i>
    <i r="3">
      <x v="872"/>
    </i>
    <i r="3">
      <x v="1121"/>
    </i>
    <i r="3">
      <x v="1150"/>
    </i>
    <i r="3">
      <x v="1260"/>
    </i>
    <i r="3">
      <x v="1549"/>
    </i>
    <i r="3">
      <x v="1550"/>
    </i>
    <i r="3">
      <x v="1551"/>
    </i>
    <i r="3">
      <x v="1595"/>
    </i>
    <i r="3">
      <x v="1633"/>
    </i>
    <i r="3">
      <x v="1735"/>
    </i>
    <i r="3">
      <x v="1814"/>
    </i>
    <i r="3">
      <x v="1993"/>
    </i>
    <i r="3">
      <x v="2186"/>
    </i>
    <i r="2">
      <x v="218"/>
      <x v="498"/>
    </i>
    <i r="3">
      <x v="1423"/>
    </i>
    <i r="3">
      <x v="1570"/>
    </i>
    <i r="3">
      <x v="1631"/>
    </i>
    <i r="3">
      <x v="1632"/>
    </i>
    <i r="3">
      <x v="1734"/>
    </i>
    <i r="3">
      <x v="2011"/>
    </i>
    <i r="3">
      <x v="2229"/>
    </i>
    <i r="2">
      <x v="220"/>
      <x v="1424"/>
    </i>
    <i r="3">
      <x v="1634"/>
    </i>
    <i r="2">
      <x v="308"/>
      <x v="377"/>
    </i>
    <i r="3">
      <x v="767"/>
    </i>
    <i r="3">
      <x v="770"/>
    </i>
    <i r="3">
      <x v="1151"/>
    </i>
    <i r="3">
      <x v="1654"/>
    </i>
    <i r="3">
      <x v="2148"/>
    </i>
    <i r="3">
      <x v="2187"/>
    </i>
    <i r="3">
      <x v="2192"/>
    </i>
    <i r="3">
      <x v="2287"/>
    </i>
    <i r="1">
      <x v="2"/>
      <x v="51"/>
      <x v="150"/>
    </i>
    <i r="3">
      <x v="832"/>
    </i>
    <i r="3">
      <x v="968"/>
    </i>
    <i r="3">
      <x v="975"/>
    </i>
    <i r="3">
      <x v="981"/>
    </i>
    <i r="3">
      <x v="1420"/>
    </i>
    <i r="3">
      <x v="1813"/>
    </i>
    <i r="3">
      <x v="1890"/>
    </i>
    <i r="2">
      <x v="52"/>
      <x v="150"/>
    </i>
    <i r="3">
      <x v="379"/>
    </i>
    <i r="3">
      <x v="381"/>
    </i>
    <i r="3">
      <x v="496"/>
    </i>
    <i r="3">
      <x v="1009"/>
    </i>
    <i r="3">
      <x v="1010"/>
    </i>
    <i r="3">
      <x v="1604"/>
    </i>
    <i r="3">
      <x v="2012"/>
    </i>
    <i r="2">
      <x v="59"/>
      <x v="82"/>
    </i>
    <i r="3">
      <x v="425"/>
    </i>
    <i r="3">
      <x v="429"/>
    </i>
    <i r="3">
      <x v="994"/>
    </i>
    <i r="3">
      <x v="1927"/>
    </i>
    <i r="1">
      <x v="3"/>
      <x v="152"/>
      <x v="227"/>
    </i>
    <i r="3">
      <x v="354"/>
    </i>
    <i r="3">
      <x v="364"/>
    </i>
    <i r="3">
      <x v="415"/>
    </i>
    <i r="3">
      <x v="791"/>
    </i>
    <i r="3">
      <x v="967"/>
    </i>
    <i r="3">
      <x v="1148"/>
    </i>
    <i r="3">
      <x v="1217"/>
    </i>
    <i r="3">
      <x v="1218"/>
    </i>
    <i r="3">
      <x v="1221"/>
    </i>
    <i r="3">
      <x v="1463"/>
    </i>
    <i r="3">
      <x v="1807"/>
    </i>
    <i r="3">
      <x v="2111"/>
    </i>
    <i r="3">
      <x v="2231"/>
    </i>
    <i r="1">
      <x v="4"/>
      <x v="32"/>
      <x v="466"/>
    </i>
    <i r="3">
      <x v="536"/>
    </i>
    <i r="3">
      <x v="1133"/>
    </i>
    <i r="3">
      <x v="1812"/>
    </i>
    <i r="3">
      <x v="2203"/>
    </i>
    <i r="2">
      <x v="33"/>
      <x v="2204"/>
    </i>
    <i r="3">
      <x v="2205"/>
    </i>
    <i r="3">
      <x v="2206"/>
    </i>
    <i r="2">
      <x v="417"/>
      <x v="2238"/>
    </i>
    <i r="3">
      <x v="2239"/>
    </i>
    <i r="3">
      <x v="2242"/>
    </i>
    <i r="3">
      <x v="2243"/>
    </i>
    <i r="3">
      <x v="2244"/>
    </i>
    <i r="3">
      <x v="2245"/>
    </i>
    <i r="3">
      <x v="2246"/>
    </i>
    <i r="1">
      <x v="5"/>
      <x v="53"/>
      <x v="1888"/>
    </i>
    <i r="2">
      <x v="82"/>
      <x v="1805"/>
    </i>
    <i r="3">
      <x v="1883"/>
    </i>
    <i r="3">
      <x v="1900"/>
    </i>
    <i>
      <x v="2"/>
      <x/>
      <x v="45"/>
      <x v="523"/>
    </i>
    <i r="3">
      <x v="562"/>
    </i>
    <i r="3">
      <x v="782"/>
    </i>
    <i r="3">
      <x v="1021"/>
    </i>
    <i r="3">
      <x v="1597"/>
    </i>
    <i r="3">
      <x v="1623"/>
    </i>
    <i r="2">
      <x v="47"/>
      <x v="1566"/>
    </i>
    <i r="2">
      <x v="48"/>
      <x v="472"/>
    </i>
    <i r="3">
      <x v="1605"/>
    </i>
    <i r="3">
      <x v="1642"/>
    </i>
  </rowItems>
  <colItems count="1">
    <i/>
  </colItems>
  <formats count="346">
    <format dxfId="381">
      <pivotArea type="all" dataOnly="0" outline="0" fieldPosition="0"/>
    </format>
    <format dxfId="380">
      <pivotArea field="1" type="button" dataOnly="0" labelOnly="1" outline="0" axis="axisRow" fieldPosition="0"/>
    </format>
    <format dxfId="379">
      <pivotArea field="2" type="button" dataOnly="0" labelOnly="1" outline="0" axis="axisRow" fieldPosition="1"/>
    </format>
    <format dxfId="378">
      <pivotArea field="4" type="button" dataOnly="0" labelOnly="1" outline="0" axis="axisRow" fieldPosition="2"/>
    </format>
    <format dxfId="377">
      <pivotArea dataOnly="0" labelOnly="1" outline="0" fieldPosition="0">
        <references count="1">
          <reference field="1" count="0"/>
        </references>
      </pivotArea>
    </format>
    <format dxfId="376">
      <pivotArea dataOnly="0" labelOnly="1" grandRow="1" outline="0" fieldPosition="0"/>
    </format>
    <format dxfId="375">
      <pivotArea dataOnly="0" labelOnly="1" outline="0" fieldPosition="0">
        <references count="2">
          <reference field="1" count="1" selected="0">
            <x v="3"/>
          </reference>
          <reference field="2" count="1">
            <x v="0"/>
          </reference>
        </references>
      </pivotArea>
    </format>
    <format dxfId="374">
      <pivotArea dataOnly="0" labelOnly="1" outline="0" fieldPosition="0">
        <references count="2">
          <reference field="1" count="1" selected="0">
            <x v="11"/>
          </reference>
          <reference field="2" count="3">
            <x v="1"/>
            <x v="2"/>
            <x v="3"/>
          </reference>
        </references>
      </pivotArea>
    </format>
    <format dxfId="373">
      <pivotArea dataOnly="0" labelOnly="1" outline="0" fieldPosition="0">
        <references count="2">
          <reference field="1" count="1" selected="0">
            <x v="13"/>
          </reference>
          <reference field="2" count="2">
            <x v="0"/>
            <x v="1"/>
          </reference>
        </references>
      </pivotArea>
    </format>
    <format dxfId="372">
      <pivotArea dataOnly="0" labelOnly="1" outline="0" fieldPosition="0">
        <references count="2">
          <reference field="1" count="1" selected="0">
            <x v="17"/>
          </reference>
          <reference field="2" count="4">
            <x v="0"/>
            <x v="1"/>
            <x v="2"/>
            <x v="3"/>
          </reference>
        </references>
      </pivotArea>
    </format>
    <format dxfId="371">
      <pivotArea dataOnly="0" labelOnly="1" outline="0" fieldPosition="0">
        <references count="2">
          <reference field="1" count="1" selected="0">
            <x v="19"/>
          </reference>
          <reference field="2" count="2">
            <x v="0"/>
            <x v="1"/>
          </reference>
        </references>
      </pivotArea>
    </format>
    <format dxfId="370">
      <pivotArea dataOnly="0" labelOnly="1" outline="0" fieldPosition="0">
        <references count="2">
          <reference field="1" count="1" selected="0">
            <x v="24"/>
          </reference>
          <reference field="2" count="4">
            <x v="0"/>
            <x v="1"/>
            <x v="2"/>
            <x v="3"/>
          </reference>
        </references>
      </pivotArea>
    </format>
    <format dxfId="369">
      <pivotArea dataOnly="0" labelOnly="1" outline="0" fieldPosition="0">
        <references count="2">
          <reference field="1" count="1" selected="0">
            <x v="26"/>
          </reference>
          <reference field="2" count="4">
            <x v="0"/>
            <x v="1"/>
            <x v="2"/>
            <x v="3"/>
          </reference>
        </references>
      </pivotArea>
    </format>
    <format dxfId="368">
      <pivotArea dataOnly="0" labelOnly="1" outline="0" fieldPosition="0">
        <references count="3">
          <reference field="1" count="1" selected="0">
            <x v="3"/>
          </reference>
          <reference field="2" count="1" selected="0">
            <x v="0"/>
          </reference>
          <reference field="4" count="4">
            <x v="42"/>
            <x v="44"/>
            <x v="49"/>
            <x v="50"/>
          </reference>
        </references>
      </pivotArea>
    </format>
    <format dxfId="367">
      <pivotArea dataOnly="0" labelOnly="1" outline="0" fieldPosition="0">
        <references count="3">
          <reference field="1" count="1" selected="0">
            <x v="9"/>
          </reference>
          <reference field="2" count="1" selected="0">
            <x v="0"/>
          </reference>
          <reference field="4" count="5">
            <x v="79"/>
            <x v="153"/>
            <x v="401"/>
            <x v="408"/>
            <x v="418"/>
          </reference>
        </references>
      </pivotArea>
    </format>
    <format dxfId="366">
      <pivotArea dataOnly="0" labelOnly="1" outline="0" fieldPosition="0">
        <references count="3">
          <reference field="1" count="1" selected="0">
            <x v="11"/>
          </reference>
          <reference field="2" count="1" selected="0">
            <x v="0"/>
          </reference>
          <reference field="4" count="2">
            <x v="34"/>
            <x v="157"/>
          </reference>
        </references>
      </pivotArea>
    </format>
    <format dxfId="365">
      <pivotArea dataOnly="0" labelOnly="1" outline="0" fieldPosition="0">
        <references count="3">
          <reference field="1" count="1" selected="0">
            <x v="11"/>
          </reference>
          <reference field="2" count="1" selected="0">
            <x v="1"/>
          </reference>
          <reference field="4" count="3">
            <x v="331"/>
            <x v="334"/>
            <x v="336"/>
          </reference>
        </references>
      </pivotArea>
    </format>
    <format dxfId="364">
      <pivotArea dataOnly="0" labelOnly="1" outline="0" fieldPosition="0">
        <references count="3">
          <reference field="1" count="1" selected="0">
            <x v="11"/>
          </reference>
          <reference field="2" count="1" selected="0">
            <x v="2"/>
          </reference>
          <reference field="4" count="1">
            <x v="110"/>
          </reference>
        </references>
      </pivotArea>
    </format>
    <format dxfId="363">
      <pivotArea dataOnly="0" labelOnly="1" outline="0" fieldPosition="0">
        <references count="3">
          <reference field="1" count="1" selected="0">
            <x v="11"/>
          </reference>
          <reference field="2" count="1" selected="0">
            <x v="3"/>
          </reference>
          <reference field="4" count="4">
            <x v="38"/>
            <x v="103"/>
            <x v="311"/>
            <x v="419"/>
          </reference>
        </references>
      </pivotArea>
    </format>
    <format dxfId="362">
      <pivotArea dataOnly="0" labelOnly="1" outline="0" fieldPosition="0">
        <references count="3">
          <reference field="1" count="1" selected="0">
            <x v="13"/>
          </reference>
          <reference field="2" count="1" selected="0">
            <x v="0"/>
          </reference>
          <reference field="4" count="2">
            <x v="17"/>
            <x v="307"/>
          </reference>
        </references>
      </pivotArea>
    </format>
    <format dxfId="361">
      <pivotArea dataOnly="0" labelOnly="1" outline="0" fieldPosition="0">
        <references count="3">
          <reference field="1" count="1" selected="0">
            <x v="13"/>
          </reference>
          <reference field="2" count="1" selected="0">
            <x v="1"/>
          </reference>
          <reference field="4" count="2">
            <x v="305"/>
            <x v="354"/>
          </reference>
        </references>
      </pivotArea>
    </format>
    <format dxfId="360">
      <pivotArea dataOnly="0" labelOnly="1" outline="0" fieldPosition="0">
        <references count="3">
          <reference field="1" count="1" selected="0">
            <x v="17"/>
          </reference>
          <reference field="2" count="1" selected="0">
            <x v="0"/>
          </reference>
          <reference field="4" count="1">
            <x v="170"/>
          </reference>
        </references>
      </pivotArea>
    </format>
    <format dxfId="359">
      <pivotArea dataOnly="0" labelOnly="1" outline="0" fieldPosition="0">
        <references count="3">
          <reference field="1" count="1" selected="0">
            <x v="17"/>
          </reference>
          <reference field="2" count="1" selected="0">
            <x v="1"/>
          </reference>
          <reference field="4" count="1">
            <x v="333"/>
          </reference>
        </references>
      </pivotArea>
    </format>
    <format dxfId="358">
      <pivotArea dataOnly="0" labelOnly="1" outline="0" fieldPosition="0">
        <references count="3">
          <reference field="1" count="1" selected="0">
            <x v="17"/>
          </reference>
          <reference field="2" count="1" selected="0">
            <x v="2"/>
          </reference>
          <reference field="4" count="4">
            <x v="149"/>
            <x v="155"/>
            <x v="156"/>
            <x v="337"/>
          </reference>
        </references>
      </pivotArea>
    </format>
    <format dxfId="357">
      <pivotArea dataOnly="0" labelOnly="1" outline="0" fieldPosition="0">
        <references count="3">
          <reference field="1" count="1" selected="0">
            <x v="17"/>
          </reference>
          <reference field="2" count="1" selected="0">
            <x v="3"/>
          </reference>
          <reference field="4" count="4">
            <x v="158"/>
            <x v="168"/>
            <x v="169"/>
            <x v="420"/>
          </reference>
        </references>
      </pivotArea>
    </format>
    <format dxfId="356">
      <pivotArea dataOnly="0" labelOnly="1" outline="0" fieldPosition="0">
        <references count="3">
          <reference field="1" count="1" selected="0">
            <x v="19"/>
          </reference>
          <reference field="2" count="1" selected="0">
            <x v="0"/>
          </reference>
          <reference field="4" count="1">
            <x v="9"/>
          </reference>
        </references>
      </pivotArea>
    </format>
    <format dxfId="355">
      <pivotArea dataOnly="0" labelOnly="1" outline="0" fieldPosition="0">
        <references count="3">
          <reference field="1" count="1" selected="0">
            <x v="19"/>
          </reference>
          <reference field="2" count="1" selected="0">
            <x v="1"/>
          </reference>
          <reference field="4" count="1">
            <x v="8"/>
          </reference>
        </references>
      </pivotArea>
    </format>
    <format dxfId="354">
      <pivotArea dataOnly="0" labelOnly="1" outline="0" fieldPosition="0">
        <references count="3">
          <reference field="1" count="1" selected="0">
            <x v="24"/>
          </reference>
          <reference field="2" count="1" selected="0">
            <x v="0"/>
          </reference>
          <reference field="4" count="1">
            <x v="357"/>
          </reference>
        </references>
      </pivotArea>
    </format>
    <format dxfId="353">
      <pivotArea dataOnly="0" labelOnly="1" outline="0" fieldPosition="0">
        <references count="3">
          <reference field="1" count="1" selected="0">
            <x v="24"/>
          </reference>
          <reference field="2" count="1" selected="0">
            <x v="1"/>
          </reference>
          <reference field="4" count="4">
            <x v="80"/>
            <x v="335"/>
            <x v="402"/>
            <x v="409"/>
          </reference>
        </references>
      </pivotArea>
    </format>
    <format dxfId="352">
      <pivotArea dataOnly="0" labelOnly="1" outline="0" fieldPosition="0">
        <references count="3">
          <reference field="1" count="1" selected="0">
            <x v="24"/>
          </reference>
          <reference field="2" count="1" selected="0">
            <x v="2"/>
          </reference>
          <reference field="4" count="1">
            <x v="58"/>
          </reference>
        </references>
      </pivotArea>
    </format>
    <format dxfId="351">
      <pivotArea dataOnly="0" labelOnly="1" outline="0" fieldPosition="0">
        <references count="3">
          <reference field="1" count="1" selected="0">
            <x v="24"/>
          </reference>
          <reference field="2" count="1" selected="0">
            <x v="3"/>
          </reference>
          <reference field="4" count="6">
            <x v="39"/>
            <x v="154"/>
            <x v="309"/>
            <x v="312"/>
            <x v="332"/>
            <x v="421"/>
          </reference>
        </references>
      </pivotArea>
    </format>
    <format dxfId="350">
      <pivotArea dataOnly="0" labelOnly="1" outline="0" fieldPosition="0">
        <references count="3">
          <reference field="1" count="1" selected="0">
            <x v="26"/>
          </reference>
          <reference field="2" count="1" selected="0">
            <x v="0"/>
          </reference>
          <reference field="4" count="1">
            <x v="356"/>
          </reference>
        </references>
      </pivotArea>
    </format>
    <format dxfId="349">
      <pivotArea dataOnly="0" labelOnly="1" outline="0" fieldPosition="0">
        <references count="3">
          <reference field="1" count="1" selected="0">
            <x v="26"/>
          </reference>
          <reference field="2" count="1" selected="0">
            <x v="1"/>
          </reference>
          <reference field="4" count="1">
            <x v="355"/>
          </reference>
        </references>
      </pivotArea>
    </format>
    <format dxfId="348">
      <pivotArea dataOnly="0" labelOnly="1" outline="0" fieldPosition="0">
        <references count="3">
          <reference field="1" count="1" selected="0">
            <x v="26"/>
          </reference>
          <reference field="2" count="1" selected="0">
            <x v="2"/>
          </reference>
          <reference field="4" count="1">
            <x v="351"/>
          </reference>
        </references>
      </pivotArea>
    </format>
    <format dxfId="347">
      <pivotArea dataOnly="0" labelOnly="1" outline="0" fieldPosition="0">
        <references count="3">
          <reference field="1" count="1" selected="0">
            <x v="26"/>
          </reference>
          <reference field="2" count="1" selected="0">
            <x v="3"/>
          </reference>
          <reference field="4" count="1">
            <x v="306"/>
          </reference>
        </references>
      </pivotArea>
    </format>
    <format dxfId="346">
      <pivotArea type="all" dataOnly="0" outline="0" fieldPosition="0"/>
    </format>
    <format dxfId="345">
      <pivotArea field="1" type="button" dataOnly="0" labelOnly="1" outline="0" axis="axisRow" fieldPosition="0"/>
    </format>
    <format dxfId="344">
      <pivotArea field="2" type="button" dataOnly="0" labelOnly="1" outline="0" axis="axisRow" fieldPosition="1"/>
    </format>
    <format dxfId="343">
      <pivotArea field="4" type="button" dataOnly="0" labelOnly="1" outline="0" axis="axisRow" fieldPosition="2"/>
    </format>
    <format dxfId="342">
      <pivotArea dataOnly="0" labelOnly="1" outline="0" fieldPosition="0">
        <references count="1">
          <reference field="1" count="0"/>
        </references>
      </pivotArea>
    </format>
    <format dxfId="341">
      <pivotArea dataOnly="0" labelOnly="1" grandRow="1" outline="0" fieldPosition="0"/>
    </format>
    <format dxfId="340">
      <pivotArea dataOnly="0" labelOnly="1" outline="0" fieldPosition="0">
        <references count="2">
          <reference field="1" count="1" selected="0">
            <x v="3"/>
          </reference>
          <reference field="2" count="1">
            <x v="0"/>
          </reference>
        </references>
      </pivotArea>
    </format>
    <format dxfId="339">
      <pivotArea dataOnly="0" labelOnly="1" outline="0" fieldPosition="0">
        <references count="2">
          <reference field="1" count="1" selected="0">
            <x v="11"/>
          </reference>
          <reference field="2" count="3">
            <x v="1"/>
            <x v="2"/>
            <x v="3"/>
          </reference>
        </references>
      </pivotArea>
    </format>
    <format dxfId="338">
      <pivotArea dataOnly="0" labelOnly="1" outline="0" fieldPosition="0">
        <references count="2">
          <reference field="1" count="1" selected="0">
            <x v="13"/>
          </reference>
          <reference field="2" count="2">
            <x v="0"/>
            <x v="1"/>
          </reference>
        </references>
      </pivotArea>
    </format>
    <format dxfId="337">
      <pivotArea dataOnly="0" labelOnly="1" outline="0" fieldPosition="0">
        <references count="2">
          <reference field="1" count="1" selected="0">
            <x v="17"/>
          </reference>
          <reference field="2" count="4">
            <x v="0"/>
            <x v="1"/>
            <x v="2"/>
            <x v="3"/>
          </reference>
        </references>
      </pivotArea>
    </format>
    <format dxfId="336">
      <pivotArea dataOnly="0" labelOnly="1" outline="0" fieldPosition="0">
        <references count="2">
          <reference field="1" count="1" selected="0">
            <x v="19"/>
          </reference>
          <reference field="2" count="2">
            <x v="0"/>
            <x v="1"/>
          </reference>
        </references>
      </pivotArea>
    </format>
    <format dxfId="335">
      <pivotArea dataOnly="0" labelOnly="1" outline="0" fieldPosition="0">
        <references count="2">
          <reference field="1" count="1" selected="0">
            <x v="24"/>
          </reference>
          <reference field="2" count="4">
            <x v="0"/>
            <x v="1"/>
            <x v="2"/>
            <x v="3"/>
          </reference>
        </references>
      </pivotArea>
    </format>
    <format dxfId="334">
      <pivotArea dataOnly="0" labelOnly="1" outline="0" fieldPosition="0">
        <references count="2">
          <reference field="1" count="1" selected="0">
            <x v="26"/>
          </reference>
          <reference field="2" count="4">
            <x v="0"/>
            <x v="1"/>
            <x v="2"/>
            <x v="3"/>
          </reference>
        </references>
      </pivotArea>
    </format>
    <format dxfId="333">
      <pivotArea dataOnly="0" labelOnly="1" outline="0" fieldPosition="0">
        <references count="3">
          <reference field="1" count="1" selected="0">
            <x v="3"/>
          </reference>
          <reference field="2" count="1" selected="0">
            <x v="0"/>
          </reference>
          <reference field="4" count="4">
            <x v="42"/>
            <x v="44"/>
            <x v="49"/>
            <x v="50"/>
          </reference>
        </references>
      </pivotArea>
    </format>
    <format dxfId="332">
      <pivotArea dataOnly="0" labelOnly="1" outline="0" fieldPosition="0">
        <references count="3">
          <reference field="1" count="1" selected="0">
            <x v="9"/>
          </reference>
          <reference field="2" count="1" selected="0">
            <x v="0"/>
          </reference>
          <reference field="4" count="5">
            <x v="79"/>
            <x v="153"/>
            <x v="401"/>
            <x v="408"/>
            <x v="418"/>
          </reference>
        </references>
      </pivotArea>
    </format>
    <format dxfId="331">
      <pivotArea dataOnly="0" labelOnly="1" outline="0" fieldPosition="0">
        <references count="3">
          <reference field="1" count="1" selected="0">
            <x v="11"/>
          </reference>
          <reference field="2" count="1" selected="0">
            <x v="0"/>
          </reference>
          <reference field="4" count="2">
            <x v="34"/>
            <x v="157"/>
          </reference>
        </references>
      </pivotArea>
    </format>
    <format dxfId="330">
      <pivotArea dataOnly="0" labelOnly="1" outline="0" fieldPosition="0">
        <references count="3">
          <reference field="1" count="1" selected="0">
            <x v="11"/>
          </reference>
          <reference field="2" count="1" selected="0">
            <x v="1"/>
          </reference>
          <reference field="4" count="3">
            <x v="331"/>
            <x v="334"/>
            <x v="336"/>
          </reference>
        </references>
      </pivotArea>
    </format>
    <format dxfId="329">
      <pivotArea dataOnly="0" labelOnly="1" outline="0" fieldPosition="0">
        <references count="3">
          <reference field="1" count="1" selected="0">
            <x v="11"/>
          </reference>
          <reference field="2" count="1" selected="0">
            <x v="2"/>
          </reference>
          <reference field="4" count="1">
            <x v="110"/>
          </reference>
        </references>
      </pivotArea>
    </format>
    <format dxfId="328">
      <pivotArea dataOnly="0" labelOnly="1" outline="0" fieldPosition="0">
        <references count="3">
          <reference field="1" count="1" selected="0">
            <x v="11"/>
          </reference>
          <reference field="2" count="1" selected="0">
            <x v="3"/>
          </reference>
          <reference field="4" count="4">
            <x v="38"/>
            <x v="103"/>
            <x v="311"/>
            <x v="419"/>
          </reference>
        </references>
      </pivotArea>
    </format>
    <format dxfId="327">
      <pivotArea dataOnly="0" labelOnly="1" outline="0" fieldPosition="0">
        <references count="3">
          <reference field="1" count="1" selected="0">
            <x v="13"/>
          </reference>
          <reference field="2" count="1" selected="0">
            <x v="0"/>
          </reference>
          <reference field="4" count="2">
            <x v="17"/>
            <x v="307"/>
          </reference>
        </references>
      </pivotArea>
    </format>
    <format dxfId="326">
      <pivotArea dataOnly="0" labelOnly="1" outline="0" fieldPosition="0">
        <references count="3">
          <reference field="1" count="1" selected="0">
            <x v="13"/>
          </reference>
          <reference field="2" count="1" selected="0">
            <x v="1"/>
          </reference>
          <reference field="4" count="2">
            <x v="305"/>
            <x v="354"/>
          </reference>
        </references>
      </pivotArea>
    </format>
    <format dxfId="325">
      <pivotArea dataOnly="0" labelOnly="1" outline="0" fieldPosition="0">
        <references count="3">
          <reference field="1" count="1" selected="0">
            <x v="17"/>
          </reference>
          <reference field="2" count="1" selected="0">
            <x v="0"/>
          </reference>
          <reference field="4" count="1">
            <x v="170"/>
          </reference>
        </references>
      </pivotArea>
    </format>
    <format dxfId="324">
      <pivotArea dataOnly="0" labelOnly="1" outline="0" fieldPosition="0">
        <references count="3">
          <reference field="1" count="1" selected="0">
            <x v="17"/>
          </reference>
          <reference field="2" count="1" selected="0">
            <x v="1"/>
          </reference>
          <reference field="4" count="1">
            <x v="333"/>
          </reference>
        </references>
      </pivotArea>
    </format>
    <format dxfId="323">
      <pivotArea dataOnly="0" labelOnly="1" outline="0" fieldPosition="0">
        <references count="3">
          <reference field="1" count="1" selected="0">
            <x v="17"/>
          </reference>
          <reference field="2" count="1" selected="0">
            <x v="2"/>
          </reference>
          <reference field="4" count="4">
            <x v="149"/>
            <x v="155"/>
            <x v="156"/>
            <x v="337"/>
          </reference>
        </references>
      </pivotArea>
    </format>
    <format dxfId="322">
      <pivotArea dataOnly="0" labelOnly="1" outline="0" fieldPosition="0">
        <references count="3">
          <reference field="1" count="1" selected="0">
            <x v="17"/>
          </reference>
          <reference field="2" count="1" selected="0">
            <x v="3"/>
          </reference>
          <reference field="4" count="4">
            <x v="158"/>
            <x v="168"/>
            <x v="169"/>
            <x v="420"/>
          </reference>
        </references>
      </pivotArea>
    </format>
    <format dxfId="321">
      <pivotArea dataOnly="0" labelOnly="1" outline="0" fieldPosition="0">
        <references count="3">
          <reference field="1" count="1" selected="0">
            <x v="19"/>
          </reference>
          <reference field="2" count="1" selected="0">
            <x v="0"/>
          </reference>
          <reference field="4" count="1">
            <x v="9"/>
          </reference>
        </references>
      </pivotArea>
    </format>
    <format dxfId="320">
      <pivotArea dataOnly="0" labelOnly="1" outline="0" fieldPosition="0">
        <references count="3">
          <reference field="1" count="1" selected="0">
            <x v="19"/>
          </reference>
          <reference field="2" count="1" selected="0">
            <x v="1"/>
          </reference>
          <reference field="4" count="1">
            <x v="8"/>
          </reference>
        </references>
      </pivotArea>
    </format>
    <format dxfId="319">
      <pivotArea dataOnly="0" labelOnly="1" outline="0" fieldPosition="0">
        <references count="3">
          <reference field="1" count="1" selected="0">
            <x v="24"/>
          </reference>
          <reference field="2" count="1" selected="0">
            <x v="0"/>
          </reference>
          <reference field="4" count="1">
            <x v="357"/>
          </reference>
        </references>
      </pivotArea>
    </format>
    <format dxfId="318">
      <pivotArea dataOnly="0" labelOnly="1" outline="0" fieldPosition="0">
        <references count="3">
          <reference field="1" count="1" selected="0">
            <x v="24"/>
          </reference>
          <reference field="2" count="1" selected="0">
            <x v="1"/>
          </reference>
          <reference field="4" count="4">
            <x v="80"/>
            <x v="335"/>
            <x v="402"/>
            <x v="409"/>
          </reference>
        </references>
      </pivotArea>
    </format>
    <format dxfId="317">
      <pivotArea dataOnly="0" labelOnly="1" outline="0" fieldPosition="0">
        <references count="3">
          <reference field="1" count="1" selected="0">
            <x v="24"/>
          </reference>
          <reference field="2" count="1" selected="0">
            <x v="2"/>
          </reference>
          <reference field="4" count="1">
            <x v="58"/>
          </reference>
        </references>
      </pivotArea>
    </format>
    <format dxfId="316">
      <pivotArea dataOnly="0" labelOnly="1" outline="0" fieldPosition="0">
        <references count="3">
          <reference field="1" count="1" selected="0">
            <x v="24"/>
          </reference>
          <reference field="2" count="1" selected="0">
            <x v="3"/>
          </reference>
          <reference field="4" count="6">
            <x v="39"/>
            <x v="154"/>
            <x v="309"/>
            <x v="312"/>
            <x v="332"/>
            <x v="421"/>
          </reference>
        </references>
      </pivotArea>
    </format>
    <format dxfId="315">
      <pivotArea dataOnly="0" labelOnly="1" outline="0" fieldPosition="0">
        <references count="3">
          <reference field="1" count="1" selected="0">
            <x v="26"/>
          </reference>
          <reference field="2" count="1" selected="0">
            <x v="0"/>
          </reference>
          <reference field="4" count="1">
            <x v="356"/>
          </reference>
        </references>
      </pivotArea>
    </format>
    <format dxfId="314">
      <pivotArea dataOnly="0" labelOnly="1" outline="0" fieldPosition="0">
        <references count="3">
          <reference field="1" count="1" selected="0">
            <x v="26"/>
          </reference>
          <reference field="2" count="1" selected="0">
            <x v="1"/>
          </reference>
          <reference field="4" count="1">
            <x v="355"/>
          </reference>
        </references>
      </pivotArea>
    </format>
    <format dxfId="313">
      <pivotArea dataOnly="0" labelOnly="1" outline="0" fieldPosition="0">
        <references count="3">
          <reference field="1" count="1" selected="0">
            <x v="26"/>
          </reference>
          <reference field="2" count="1" selected="0">
            <x v="2"/>
          </reference>
          <reference field="4" count="1">
            <x v="351"/>
          </reference>
        </references>
      </pivotArea>
    </format>
    <format dxfId="312">
      <pivotArea dataOnly="0" labelOnly="1" outline="0" fieldPosition="0">
        <references count="3">
          <reference field="1" count="1" selected="0">
            <x v="26"/>
          </reference>
          <reference field="2" count="1" selected="0">
            <x v="3"/>
          </reference>
          <reference field="4" count="1">
            <x v="306"/>
          </reference>
        </references>
      </pivotArea>
    </format>
    <format dxfId="311">
      <pivotArea dataOnly="0" labelOnly="1" outline="0" fieldPosition="0">
        <references count="4">
          <reference field="1" count="1" selected="0">
            <x v="15"/>
          </reference>
          <reference field="2" count="1" selected="0">
            <x v="0"/>
          </reference>
          <reference field="4" count="1" selected="0">
            <x v="10"/>
          </reference>
          <reference field="6" count="1">
            <x v="1671"/>
          </reference>
        </references>
      </pivotArea>
    </format>
    <format dxfId="310">
      <pivotArea dataOnly="0" labelOnly="1" outline="0" fieldPosition="0">
        <references count="4">
          <reference field="1" count="1" selected="0">
            <x v="8"/>
          </reference>
          <reference field="2" count="1" selected="0">
            <x v="3"/>
          </reference>
          <reference field="4" count="1" selected="0">
            <x v="319"/>
          </reference>
          <reference field="6" count="1">
            <x v="610"/>
          </reference>
        </references>
      </pivotArea>
    </format>
    <format dxfId="309">
      <pivotArea dataOnly="0" labelOnly="1" outline="0" fieldPosition="0">
        <references count="4">
          <reference field="1" count="1" selected="0">
            <x v="8"/>
          </reference>
          <reference field="2" count="1" selected="0">
            <x v="3"/>
          </reference>
          <reference field="4" count="1" selected="0">
            <x v="319"/>
          </reference>
          <reference field="6" count="1">
            <x v="610"/>
          </reference>
        </references>
      </pivotArea>
    </format>
    <format dxfId="308">
      <pivotArea dataOnly="0" labelOnly="1" outline="0" fieldPosition="0">
        <references count="1">
          <reference field="1" count="0"/>
        </references>
      </pivotArea>
    </format>
    <format dxfId="307">
      <pivotArea dataOnly="0" labelOnly="1" outline="0" fieldPosition="0">
        <references count="2">
          <reference field="1" count="1" selected="0">
            <x v="8"/>
          </reference>
          <reference field="2" count="4">
            <x v="0"/>
            <x v="1"/>
            <x v="2"/>
            <x v="3"/>
          </reference>
        </references>
      </pivotArea>
    </format>
    <format dxfId="306">
      <pivotArea dataOnly="0" labelOnly="1" outline="0" fieldPosition="0">
        <references count="2">
          <reference field="1" count="1" selected="0">
            <x v="10"/>
          </reference>
          <reference field="2" count="6">
            <x v="0"/>
            <x v="1"/>
            <x v="2"/>
            <x v="3"/>
            <x v="4"/>
            <x v="5"/>
          </reference>
        </references>
      </pivotArea>
    </format>
    <format dxfId="305">
      <pivotArea dataOnly="0" labelOnly="1" outline="0" fieldPosition="0">
        <references count="2">
          <reference field="1" count="1" selected="0">
            <x v="15"/>
          </reference>
          <reference field="2" count="4">
            <x v="0"/>
            <x v="1"/>
            <x v="2"/>
            <x v="3"/>
          </reference>
        </references>
      </pivotArea>
    </format>
    <format dxfId="304">
      <pivotArea dataOnly="0" labelOnly="1" outline="0" fieldPosition="0">
        <references count="2">
          <reference field="1" count="1" selected="0">
            <x v="18"/>
          </reference>
          <reference field="2" count="6">
            <x v="0"/>
            <x v="1"/>
            <x v="2"/>
            <x v="3"/>
            <x v="4"/>
            <x v="5"/>
          </reference>
        </references>
      </pivotArea>
    </format>
    <format dxfId="303">
      <pivotArea dataOnly="0" labelOnly="1" outline="0" fieldPosition="0">
        <references count="2">
          <reference field="1" count="1" selected="0">
            <x v="20"/>
          </reference>
          <reference field="2" count="4">
            <x v="0"/>
            <x v="1"/>
            <x v="2"/>
            <x v="3"/>
          </reference>
        </references>
      </pivotArea>
    </format>
    <format dxfId="302">
      <pivotArea dataOnly="0" labelOnly="1" outline="0" fieldPosition="0">
        <references count="2">
          <reference field="1" count="1" selected="0">
            <x v="25"/>
          </reference>
          <reference field="2" count="7">
            <x v="0"/>
            <x v="1"/>
            <x v="2"/>
            <x v="3"/>
            <x v="4"/>
            <x v="5"/>
            <x v="6"/>
          </reference>
        </references>
      </pivotArea>
    </format>
    <format dxfId="301">
      <pivotArea dataOnly="0" labelOnly="1" outline="0" fieldPosition="0">
        <references count="3">
          <reference field="1" count="1" selected="0">
            <x v="8"/>
          </reference>
          <reference field="2" count="1" selected="0">
            <x v="0"/>
          </reference>
          <reference field="4" count="7">
            <x v="18"/>
            <x v="19"/>
            <x v="20"/>
            <x v="86"/>
            <x v="87"/>
            <x v="88"/>
            <x v="90"/>
          </reference>
        </references>
      </pivotArea>
    </format>
    <format dxfId="300">
      <pivotArea dataOnly="0" labelOnly="1" outline="0" fieldPosition="0">
        <references count="3">
          <reference field="1" count="1" selected="0">
            <x v="8"/>
          </reference>
          <reference field="2" count="1" selected="0">
            <x v="1"/>
          </reference>
          <reference field="4" count="2">
            <x v="21"/>
            <x v="22"/>
          </reference>
        </references>
      </pivotArea>
    </format>
    <format dxfId="299">
      <pivotArea dataOnly="0" labelOnly="1" outline="0" fieldPosition="0">
        <references count="3">
          <reference field="1" count="1" selected="0">
            <x v="8"/>
          </reference>
          <reference field="2" count="1" selected="0">
            <x v="2"/>
          </reference>
          <reference field="4" count="2">
            <x v="224"/>
            <x v="227"/>
          </reference>
        </references>
      </pivotArea>
    </format>
    <format dxfId="298">
      <pivotArea dataOnly="0" labelOnly="1" outline="0" fieldPosition="0">
        <references count="3">
          <reference field="1" count="1" selected="0">
            <x v="8"/>
          </reference>
          <reference field="2" count="1" selected="0">
            <x v="3"/>
          </reference>
          <reference field="4" count="7">
            <x v="225"/>
            <x v="226"/>
            <x v="228"/>
            <x v="229"/>
            <x v="230"/>
            <x v="319"/>
            <x v="410"/>
          </reference>
        </references>
      </pivotArea>
    </format>
    <format dxfId="297">
      <pivotArea dataOnly="0" labelOnly="1" outline="0" fieldPosition="0">
        <references count="3">
          <reference field="1" count="1" selected="0">
            <x v="10"/>
          </reference>
          <reference field="2" count="1" selected="0">
            <x v="0"/>
          </reference>
          <reference field="4" count="24">
            <x v="35"/>
            <x v="70"/>
            <x v="85"/>
            <x v="89"/>
            <x v="92"/>
            <x v="93"/>
            <x v="131"/>
            <x v="132"/>
            <x v="133"/>
            <x v="157"/>
            <x v="216"/>
            <x v="234"/>
            <x v="235"/>
            <x v="238"/>
            <x v="239"/>
            <x v="240"/>
            <x v="245"/>
            <x v="257"/>
            <x v="317"/>
            <x v="328"/>
            <x v="344"/>
            <x v="404"/>
            <x v="405"/>
            <x v="416"/>
          </reference>
        </references>
      </pivotArea>
    </format>
    <format dxfId="296">
      <pivotArea dataOnly="0" labelOnly="1" outline="0" fieldPosition="0">
        <references count="3">
          <reference field="1" count="1" selected="0">
            <x v="10"/>
          </reference>
          <reference field="2" count="1" selected="0">
            <x v="1"/>
          </reference>
          <reference field="4" count="4">
            <x v="64"/>
            <x v="94"/>
            <x v="105"/>
            <x v="108"/>
          </reference>
        </references>
      </pivotArea>
    </format>
    <format dxfId="295">
      <pivotArea dataOnly="0" labelOnly="1" outline="0" fieldPosition="0">
        <references count="3">
          <reference field="1" count="1" selected="0">
            <x v="10"/>
          </reference>
          <reference field="2" count="1" selected="0">
            <x v="2"/>
          </reference>
          <reference field="4" count="5">
            <x v="72"/>
            <x v="75"/>
            <x v="77"/>
            <x v="320"/>
            <x v="403"/>
          </reference>
        </references>
      </pivotArea>
    </format>
    <format dxfId="294">
      <pivotArea dataOnly="0" labelOnly="1" outline="0" fieldPosition="0">
        <references count="3">
          <reference field="1" count="1" selected="0">
            <x v="10"/>
          </reference>
          <reference field="2" count="1" selected="0">
            <x v="3"/>
          </reference>
          <reference field="4" count="24">
            <x v="65"/>
            <x v="111"/>
            <x v="113"/>
            <x v="115"/>
            <x v="116"/>
            <x v="119"/>
            <x v="120"/>
            <x v="121"/>
            <x v="123"/>
            <x v="126"/>
            <x v="128"/>
            <x v="134"/>
            <x v="236"/>
            <x v="237"/>
            <x v="241"/>
            <x v="242"/>
            <x v="243"/>
            <x v="249"/>
            <x v="250"/>
            <x v="251"/>
            <x v="339"/>
            <x v="341"/>
            <x v="413"/>
            <x v="415"/>
          </reference>
        </references>
      </pivotArea>
    </format>
    <format dxfId="293">
      <pivotArea dataOnly="0" labelOnly="1" outline="0" fieldPosition="0">
        <references count="3">
          <reference field="1" count="1" selected="0">
            <x v="10"/>
          </reference>
          <reference field="2" count="1" selected="0">
            <x v="4"/>
          </reference>
          <reference field="4" count="20">
            <x v="7"/>
            <x v="24"/>
            <x v="26"/>
            <x v="28"/>
            <x v="30"/>
            <x v="40"/>
            <x v="69"/>
            <x v="71"/>
            <x v="73"/>
            <x v="76"/>
            <x v="83"/>
            <x v="112"/>
            <x v="231"/>
            <x v="248"/>
            <x v="290"/>
            <x v="291"/>
            <x v="292"/>
            <x v="293"/>
            <x v="340"/>
            <x v="342"/>
          </reference>
        </references>
      </pivotArea>
    </format>
    <format dxfId="292">
      <pivotArea dataOnly="0" labelOnly="1" outline="0" fieldPosition="0">
        <references count="3">
          <reference field="1" count="1" selected="0">
            <x v="10"/>
          </reference>
          <reference field="2" count="1" selected="0">
            <x v="5"/>
          </reference>
          <reference field="4" count="18">
            <x v="55"/>
            <x v="97"/>
            <x v="98"/>
            <x v="99"/>
            <x v="100"/>
            <x v="101"/>
            <x v="102"/>
            <x v="114"/>
            <x v="117"/>
            <x v="118"/>
            <x v="246"/>
            <x v="253"/>
            <x v="255"/>
            <x v="374"/>
            <x v="422"/>
            <x v="423"/>
            <x v="424"/>
            <x v="429"/>
          </reference>
        </references>
      </pivotArea>
    </format>
    <format dxfId="291">
      <pivotArea dataOnly="0" labelOnly="1" outline="0" fieldPosition="0">
        <references count="3">
          <reference field="1" count="1" selected="0">
            <x v="15"/>
          </reference>
          <reference field="2" count="1" selected="0">
            <x v="0"/>
          </reference>
          <reference field="4" count="2">
            <x v="10"/>
            <x v="13"/>
          </reference>
        </references>
      </pivotArea>
    </format>
    <format dxfId="290">
      <pivotArea dataOnly="0" labelOnly="1" outline="0" fieldPosition="0">
        <references count="3">
          <reference field="1" count="1" selected="0">
            <x v="15"/>
          </reference>
          <reference field="2" count="1" selected="0">
            <x v="1"/>
          </reference>
          <reference field="4" count="1">
            <x v="12"/>
          </reference>
        </references>
      </pivotArea>
    </format>
    <format dxfId="289">
      <pivotArea dataOnly="0" labelOnly="1" outline="0" fieldPosition="0">
        <references count="3">
          <reference field="1" count="1" selected="0">
            <x v="15"/>
          </reference>
          <reference field="2" count="1" selected="0">
            <x v="2"/>
          </reference>
          <reference field="4" count="2">
            <x v="130"/>
            <x v="314"/>
          </reference>
        </references>
      </pivotArea>
    </format>
    <format dxfId="288">
      <pivotArea dataOnly="0" labelOnly="1" outline="0" fieldPosition="0">
        <references count="3">
          <reference field="1" count="1" selected="0">
            <x v="15"/>
          </reference>
          <reference field="2" count="1" selected="0">
            <x v="3"/>
          </reference>
          <reference field="4" count="1">
            <x v="11"/>
          </reference>
        </references>
      </pivotArea>
    </format>
    <format dxfId="287">
      <pivotArea dataOnly="0" labelOnly="1" outline="0" fieldPosition="0">
        <references count="3">
          <reference field="1" count="1" selected="0">
            <x v="18"/>
          </reference>
          <reference field="2" count="1" selected="0">
            <x v="0"/>
          </reference>
          <reference field="4" count="6">
            <x v="171"/>
            <x v="172"/>
            <x v="173"/>
            <x v="176"/>
            <x v="178"/>
            <x v="333"/>
          </reference>
        </references>
      </pivotArea>
    </format>
    <format dxfId="286">
      <pivotArea dataOnly="0" labelOnly="1" outline="0" fieldPosition="0">
        <references count="3">
          <reference field="1" count="1" selected="0">
            <x v="18"/>
          </reference>
          <reference field="2" count="1" selected="0">
            <x v="1"/>
          </reference>
          <reference field="4" count="2">
            <x v="150"/>
            <x v="151"/>
          </reference>
        </references>
      </pivotArea>
    </format>
    <format dxfId="285">
      <pivotArea dataOnly="0" labelOnly="1" outline="0" fieldPosition="0">
        <references count="3">
          <reference field="1" count="1" selected="0">
            <x v="18"/>
          </reference>
          <reference field="2" count="1" selected="0">
            <x v="2"/>
          </reference>
          <reference field="4" count="6">
            <x v="68"/>
            <x v="316"/>
            <x v="323"/>
            <x v="325"/>
            <x v="327"/>
            <x v="330"/>
          </reference>
        </references>
      </pivotArea>
    </format>
    <format dxfId="284">
      <pivotArea dataOnly="0" labelOnly="1" outline="0" fieldPosition="0">
        <references count="3">
          <reference field="1" count="1" selected="0">
            <x v="18"/>
          </reference>
          <reference field="2" count="1" selected="0">
            <x v="3"/>
          </reference>
          <reference field="4" count="2">
            <x v="37"/>
            <x v="326"/>
          </reference>
        </references>
      </pivotArea>
    </format>
    <format dxfId="283">
      <pivotArea dataOnly="0" labelOnly="1" outline="0" fieldPosition="0">
        <references count="3">
          <reference field="1" count="1" selected="0">
            <x v="18"/>
          </reference>
          <reference field="2" count="1" selected="0">
            <x v="4"/>
          </reference>
          <reference field="4" count="6">
            <x v="181"/>
            <x v="182"/>
            <x v="184"/>
            <x v="185"/>
            <x v="186"/>
            <x v="187"/>
          </reference>
        </references>
      </pivotArea>
    </format>
    <format dxfId="282">
      <pivotArea dataOnly="0" labelOnly="1" outline="0" fieldPosition="0">
        <references count="3">
          <reference field="1" count="1" selected="0">
            <x v="18"/>
          </reference>
          <reference field="2" count="1" selected="0">
            <x v="5"/>
          </reference>
          <reference field="4" count="28">
            <x v="36"/>
            <x v="129"/>
            <x v="162"/>
            <x v="163"/>
            <x v="164"/>
            <x v="165"/>
            <x v="166"/>
            <x v="167"/>
            <x v="180"/>
            <x v="193"/>
            <x v="194"/>
            <x v="195"/>
            <x v="196"/>
            <x v="197"/>
            <x v="198"/>
            <x v="200"/>
            <x v="201"/>
            <x v="202"/>
            <x v="205"/>
            <x v="206"/>
            <x v="207"/>
            <x v="208"/>
            <x v="209"/>
            <x v="210"/>
            <x v="211"/>
            <x v="212"/>
            <x v="213"/>
            <x v="215"/>
          </reference>
        </references>
      </pivotArea>
    </format>
    <format dxfId="281">
      <pivotArea dataOnly="0" labelOnly="1" outline="0" fieldPosition="0">
        <references count="3">
          <reference field="1" count="1" selected="0">
            <x v="20"/>
          </reference>
          <reference field="2" count="1" selected="0">
            <x v="0"/>
          </reference>
          <reference field="4" count="1">
            <x v="63"/>
          </reference>
        </references>
      </pivotArea>
    </format>
    <format dxfId="280">
      <pivotArea dataOnly="0" labelOnly="1" outline="0" fieldPosition="0">
        <references count="3">
          <reference field="1" count="1" selected="0">
            <x v="20"/>
          </reference>
          <reference field="2" count="1" selected="0">
            <x v="1"/>
          </reference>
          <reference field="4" count="1">
            <x v="60"/>
          </reference>
        </references>
      </pivotArea>
    </format>
    <format dxfId="279">
      <pivotArea dataOnly="0" labelOnly="1" outline="0" fieldPosition="0">
        <references count="3">
          <reference field="1" count="1" selected="0">
            <x v="20"/>
          </reference>
          <reference field="2" count="1" selected="0">
            <x v="2"/>
          </reference>
          <reference field="4" count="2">
            <x v="352"/>
            <x v="353"/>
          </reference>
        </references>
      </pivotArea>
    </format>
    <format dxfId="278">
      <pivotArea dataOnly="0" labelOnly="1" outline="0" fieldPosition="0">
        <references count="3">
          <reference field="1" count="1" selected="0">
            <x v="20"/>
          </reference>
          <reference field="2" count="1" selected="0">
            <x v="3"/>
          </reference>
          <reference field="4" count="1">
            <x v="318"/>
          </reference>
        </references>
      </pivotArea>
    </format>
    <format dxfId="277">
      <pivotArea dataOnly="0" labelOnly="1" outline="0" fieldPosition="0">
        <references count="3">
          <reference field="1" count="1" selected="0">
            <x v="25"/>
          </reference>
          <reference field="2" count="1" selected="0">
            <x v="0"/>
          </reference>
          <reference field="4" count="5">
            <x v="358"/>
            <x v="360"/>
            <x v="362"/>
            <x v="364"/>
            <x v="366"/>
          </reference>
        </references>
      </pivotArea>
    </format>
    <format dxfId="276">
      <pivotArea dataOnly="0" labelOnly="1" outline="0" fieldPosition="0">
        <references count="3">
          <reference field="1" count="1" selected="0">
            <x v="25"/>
          </reference>
          <reference field="2" count="1" selected="0">
            <x v="1"/>
          </reference>
          <reference field="4" count="13">
            <x v="232"/>
            <x v="259"/>
            <x v="260"/>
            <x v="261"/>
            <x v="269"/>
            <x v="271"/>
            <x v="272"/>
            <x v="279"/>
            <x v="285"/>
            <x v="294"/>
            <x v="296"/>
            <x v="299"/>
            <x v="301"/>
          </reference>
        </references>
      </pivotArea>
    </format>
    <format dxfId="275">
      <pivotArea dataOnly="0" labelOnly="1" outline="0" fieldPosition="0">
        <references count="3">
          <reference field="1" count="1" selected="0">
            <x v="25"/>
          </reference>
          <reference field="2" count="1" selected="0">
            <x v="2"/>
          </reference>
          <reference field="4" count="6">
            <x v="348"/>
            <x v="350"/>
            <x v="371"/>
            <x v="373"/>
            <x v="379"/>
            <x v="381"/>
          </reference>
        </references>
      </pivotArea>
    </format>
    <format dxfId="274">
      <pivotArea dataOnly="0" labelOnly="1" outline="0" fieldPosition="0">
        <references count="3">
          <reference field="1" count="1" selected="0">
            <x v="25"/>
          </reference>
          <reference field="2" count="1" selected="0">
            <x v="3"/>
          </reference>
          <reference field="4" count="2">
            <x v="368"/>
            <x v="369"/>
          </reference>
        </references>
      </pivotArea>
    </format>
    <format dxfId="273">
      <pivotArea dataOnly="0" labelOnly="1" outline="0" fieldPosition="0">
        <references count="3">
          <reference field="1" count="1" selected="0">
            <x v="25"/>
          </reference>
          <reference field="2" count="1" selected="0">
            <x v="4"/>
          </reference>
          <reference field="4" count="4">
            <x v="426"/>
            <x v="428"/>
            <x v="431"/>
            <x v="433"/>
          </reference>
        </references>
      </pivotArea>
    </format>
    <format dxfId="272">
      <pivotArea dataOnly="0" labelOnly="1" outline="0" fieldPosition="0">
        <references count="3">
          <reference field="1" count="1" selected="0">
            <x v="25"/>
          </reference>
          <reference field="2" count="1" selected="0">
            <x v="5"/>
          </reference>
          <reference field="4" count="20">
            <x v="57"/>
            <x v="331"/>
            <x v="335"/>
            <x v="377"/>
            <x v="382"/>
            <x v="383"/>
            <x v="386"/>
            <x v="387"/>
            <x v="388"/>
            <x v="389"/>
            <x v="390"/>
            <x v="391"/>
            <x v="392"/>
            <x v="393"/>
            <x v="395"/>
            <x v="396"/>
            <x v="397"/>
            <x v="398"/>
            <x v="399"/>
            <x v="400"/>
          </reference>
        </references>
      </pivotArea>
    </format>
    <format dxfId="271">
      <pivotArea dataOnly="0" labelOnly="1" outline="0" fieldPosition="0">
        <references count="3">
          <reference field="1" count="1" selected="0">
            <x v="25"/>
          </reference>
          <reference field="2" count="1" selected="0">
            <x v="6"/>
          </reference>
          <reference field="4" count="11">
            <x v="61"/>
            <x v="62"/>
            <x v="135"/>
            <x v="138"/>
            <x v="140"/>
            <x v="142"/>
            <x v="144"/>
            <x v="146"/>
            <x v="148"/>
            <x v="384"/>
            <x v="394"/>
          </reference>
        </references>
      </pivotArea>
    </format>
    <format dxfId="270">
      <pivotArea dataOnly="0" labelOnly="1" outline="0" fieldPosition="0">
        <references count="4">
          <reference field="1" count="1" selected="0">
            <x v="8"/>
          </reference>
          <reference field="2" count="1" selected="0">
            <x v="0"/>
          </reference>
          <reference field="4" count="1" selected="0">
            <x v="18"/>
          </reference>
          <reference field="6" count="1">
            <x v="631"/>
          </reference>
        </references>
      </pivotArea>
    </format>
    <format dxfId="269">
      <pivotArea dataOnly="0" labelOnly="1" outline="0" fieldPosition="0">
        <references count="4">
          <reference field="1" count="1" selected="0">
            <x v="8"/>
          </reference>
          <reference field="2" count="1" selected="0">
            <x v="0"/>
          </reference>
          <reference field="4" count="1" selected="0">
            <x v="19"/>
          </reference>
          <reference field="6" count="3">
            <x v="665"/>
            <x v="779"/>
            <x v="1232"/>
          </reference>
        </references>
      </pivotArea>
    </format>
    <format dxfId="268">
      <pivotArea dataOnly="0" labelOnly="1" outline="0" fieldPosition="0">
        <references count="4">
          <reference field="1" count="1" selected="0">
            <x v="8"/>
          </reference>
          <reference field="2" count="1" selected="0">
            <x v="0"/>
          </reference>
          <reference field="4" count="1" selected="0">
            <x v="20"/>
          </reference>
          <reference field="6" count="2">
            <x v="676"/>
            <x v="1562"/>
          </reference>
        </references>
      </pivotArea>
    </format>
    <format dxfId="267">
      <pivotArea dataOnly="0" labelOnly="1" outline="0" fieldPosition="0">
        <references count="4">
          <reference field="1" count="1" selected="0">
            <x v="8"/>
          </reference>
          <reference field="2" count="1" selected="0">
            <x v="0"/>
          </reference>
          <reference field="4" count="1" selected="0">
            <x v="86"/>
          </reference>
          <reference field="6" count="2">
            <x v="720"/>
            <x v="1629"/>
          </reference>
        </references>
      </pivotArea>
    </format>
    <format dxfId="266">
      <pivotArea dataOnly="0" labelOnly="1" outline="0" fieldPosition="0">
        <references count="4">
          <reference field="1" count="1" selected="0">
            <x v="8"/>
          </reference>
          <reference field="2" count="1" selected="0">
            <x v="0"/>
          </reference>
          <reference field="4" count="1" selected="0">
            <x v="87"/>
          </reference>
          <reference field="6" count="1">
            <x v="687"/>
          </reference>
        </references>
      </pivotArea>
    </format>
    <format dxfId="265">
      <pivotArea dataOnly="0" labelOnly="1" outline="0" fieldPosition="0">
        <references count="4">
          <reference field="1" count="1" selected="0">
            <x v="8"/>
          </reference>
          <reference field="2" count="1" selected="0">
            <x v="0"/>
          </reference>
          <reference field="4" count="1" selected="0">
            <x v="88"/>
          </reference>
          <reference field="6" count="1">
            <x v="698"/>
          </reference>
        </references>
      </pivotArea>
    </format>
    <format dxfId="264">
      <pivotArea dataOnly="0" labelOnly="1" outline="0" fieldPosition="0">
        <references count="4">
          <reference field="1" count="1" selected="0">
            <x v="8"/>
          </reference>
          <reference field="2" count="1" selected="0">
            <x v="0"/>
          </reference>
          <reference field="4" count="1" selected="0">
            <x v="90"/>
          </reference>
          <reference field="6" count="1">
            <x v="709"/>
          </reference>
        </references>
      </pivotArea>
    </format>
    <format dxfId="263">
      <pivotArea dataOnly="0" labelOnly="1" outline="0" fieldPosition="0">
        <references count="4">
          <reference field="1" count="1" selected="0">
            <x v="8"/>
          </reference>
          <reference field="2" count="1" selected="0">
            <x v="1"/>
          </reference>
          <reference field="4" count="1" selected="0">
            <x v="21"/>
          </reference>
          <reference field="6" count="4">
            <x v="30"/>
            <x v="207"/>
            <x v="731"/>
            <x v="2296"/>
          </reference>
        </references>
      </pivotArea>
    </format>
    <format dxfId="262">
      <pivotArea dataOnly="0" labelOnly="1" outline="0" fieldPosition="0">
        <references count="4">
          <reference field="1" count="1" selected="0">
            <x v="8"/>
          </reference>
          <reference field="2" count="1" selected="0">
            <x v="1"/>
          </reference>
          <reference field="4" count="1" selected="0">
            <x v="22"/>
          </reference>
          <reference field="6" count="2">
            <x v="30"/>
            <x v="742"/>
          </reference>
        </references>
      </pivotArea>
    </format>
    <format dxfId="261">
      <pivotArea dataOnly="0" labelOnly="1" outline="0" fieldPosition="0">
        <references count="4">
          <reference field="1" count="1" selected="0">
            <x v="8"/>
          </reference>
          <reference field="2" count="1" selected="0">
            <x v="2"/>
          </reference>
          <reference field="4" count="1" selected="0">
            <x v="224"/>
          </reference>
          <reference field="6" count="1">
            <x v="632"/>
          </reference>
        </references>
      </pivotArea>
    </format>
    <format dxfId="260">
      <pivotArea dataOnly="0" labelOnly="1" outline="0" fieldPosition="0">
        <references count="4">
          <reference field="1" count="1" selected="0">
            <x v="8"/>
          </reference>
          <reference field="2" count="1" selected="0">
            <x v="2"/>
          </reference>
          <reference field="4" count="1" selected="0">
            <x v="227"/>
          </reference>
          <reference field="6" count="1">
            <x v="643"/>
          </reference>
        </references>
      </pivotArea>
    </format>
    <format dxfId="259">
      <pivotArea dataOnly="0" labelOnly="1" outline="0" fieldPosition="0">
        <references count="4">
          <reference field="1" count="1" selected="0">
            <x v="8"/>
          </reference>
          <reference field="2" count="1" selected="0">
            <x v="3"/>
          </reference>
          <reference field="4" count="1" selected="0">
            <x v="225"/>
          </reference>
          <reference field="6" count="2">
            <x v="659"/>
            <x v="783"/>
          </reference>
        </references>
      </pivotArea>
    </format>
    <format dxfId="258">
      <pivotArea dataOnly="0" labelOnly="1" outline="0" fieldPosition="0">
        <references count="4">
          <reference field="1" count="1" selected="0">
            <x v="8"/>
          </reference>
          <reference field="2" count="1" selected="0">
            <x v="3"/>
          </reference>
          <reference field="4" count="1" selected="0">
            <x v="226"/>
          </reference>
          <reference field="6" count="2">
            <x v="660"/>
            <x v="1941"/>
          </reference>
        </references>
      </pivotArea>
    </format>
    <format dxfId="257">
      <pivotArea dataOnly="0" labelOnly="1" outline="0" fieldPosition="0">
        <references count="4">
          <reference field="1" count="1" selected="0">
            <x v="8"/>
          </reference>
          <reference field="2" count="1" selected="0">
            <x v="3"/>
          </reference>
          <reference field="4" count="1" selected="0">
            <x v="228"/>
          </reference>
          <reference field="6" count="1">
            <x v="654"/>
          </reference>
        </references>
      </pivotArea>
    </format>
    <format dxfId="256">
      <pivotArea dataOnly="0" labelOnly="1" outline="0" fieldPosition="0">
        <references count="4">
          <reference field="1" count="1" selected="0">
            <x v="8"/>
          </reference>
          <reference field="2" count="1" selected="0">
            <x v="3"/>
          </reference>
          <reference field="4" count="1" selected="0">
            <x v="229"/>
          </reference>
          <reference field="6" count="2">
            <x v="66"/>
            <x v="663"/>
          </reference>
        </references>
      </pivotArea>
    </format>
    <format dxfId="255">
      <pivotArea dataOnly="0" labelOnly="1" outline="0" fieldPosition="0">
        <references count="4">
          <reference field="1" count="1" selected="0">
            <x v="8"/>
          </reference>
          <reference field="2" count="1" selected="0">
            <x v="3"/>
          </reference>
          <reference field="4" count="1" selected="0">
            <x v="230"/>
          </reference>
          <reference field="6" count="2">
            <x v="662"/>
            <x v="1829"/>
          </reference>
        </references>
      </pivotArea>
    </format>
    <format dxfId="254">
      <pivotArea dataOnly="0" labelOnly="1" outline="0" fieldPosition="0">
        <references count="4">
          <reference field="1" count="1" selected="0">
            <x v="8"/>
          </reference>
          <reference field="2" count="1" selected="0">
            <x v="3"/>
          </reference>
          <reference field="4" count="1" selected="0">
            <x v="319"/>
          </reference>
          <reference field="6" count="2">
            <x v="658"/>
            <x v="2307"/>
          </reference>
        </references>
      </pivotArea>
    </format>
    <format dxfId="253">
      <pivotArea dataOnly="0" labelOnly="1" outline="0" fieldPosition="0">
        <references count="4">
          <reference field="1" count="1" selected="0">
            <x v="8"/>
          </reference>
          <reference field="2" count="1" selected="0">
            <x v="3"/>
          </reference>
          <reference field="4" count="1" selected="0">
            <x v="410"/>
          </reference>
          <reference field="6" count="1">
            <x v="661"/>
          </reference>
        </references>
      </pivotArea>
    </format>
    <format dxfId="252">
      <pivotArea dataOnly="0" labelOnly="1" outline="0" fieldPosition="0">
        <references count="4">
          <reference field="1" count="1" selected="0">
            <x v="10"/>
          </reference>
          <reference field="2" count="1" selected="0">
            <x v="0"/>
          </reference>
          <reference field="4" count="1" selected="0">
            <x v="35"/>
          </reference>
          <reference field="6" count="2">
            <x v="485"/>
            <x v="663"/>
          </reference>
        </references>
      </pivotArea>
    </format>
    <format dxfId="251">
      <pivotArea dataOnly="0" labelOnly="1" outline="0" fieldPosition="0">
        <references count="4">
          <reference field="1" count="1" selected="0">
            <x v="10"/>
          </reference>
          <reference field="2" count="1" selected="0">
            <x v="0"/>
          </reference>
          <reference field="4" count="1" selected="0">
            <x v="70"/>
          </reference>
          <reference field="6" count="2">
            <x v="665"/>
            <x v="834"/>
          </reference>
        </references>
      </pivotArea>
    </format>
    <format dxfId="250">
      <pivotArea dataOnly="0" labelOnly="1" outline="0" fieldPosition="0">
        <references count="4">
          <reference field="1" count="1" selected="0">
            <x v="10"/>
          </reference>
          <reference field="2" count="1" selected="0">
            <x v="0"/>
          </reference>
          <reference field="4" count="1" selected="0">
            <x v="85"/>
          </reference>
          <reference field="6" count="1">
            <x v="687"/>
          </reference>
        </references>
      </pivotArea>
    </format>
    <format dxfId="249">
      <pivotArea dataOnly="0" labelOnly="1" outline="0" fieldPosition="0">
        <references count="4">
          <reference field="1" count="1" selected="0">
            <x v="10"/>
          </reference>
          <reference field="2" count="1" selected="0">
            <x v="0"/>
          </reference>
          <reference field="4" count="1" selected="0">
            <x v="89"/>
          </reference>
          <reference field="6" count="1">
            <x v="676"/>
          </reference>
        </references>
      </pivotArea>
    </format>
    <format dxfId="248">
      <pivotArea dataOnly="0" labelOnly="1" outline="0" fieldPosition="0">
        <references count="4">
          <reference field="1" count="1" selected="0">
            <x v="10"/>
          </reference>
          <reference field="2" count="1" selected="0">
            <x v="0"/>
          </reference>
          <reference field="4" count="1" selected="0">
            <x v="92"/>
          </reference>
          <reference field="6" count="2">
            <x v="668"/>
            <x v="1792"/>
          </reference>
        </references>
      </pivotArea>
    </format>
    <format dxfId="247">
      <pivotArea dataOnly="0" labelOnly="1" outline="0" fieldPosition="0">
        <references count="4">
          <reference field="1" count="1" selected="0">
            <x v="10"/>
          </reference>
          <reference field="2" count="1" selected="0">
            <x v="0"/>
          </reference>
          <reference field="4" count="1" selected="0">
            <x v="93"/>
          </reference>
          <reference field="6" count="2">
            <x v="669"/>
            <x v="1793"/>
          </reference>
        </references>
      </pivotArea>
    </format>
    <format dxfId="246">
      <pivotArea dataOnly="0" labelOnly="1" outline="0" fieldPosition="0">
        <references count="4">
          <reference field="1" count="1" selected="0">
            <x v="10"/>
          </reference>
          <reference field="2" count="1" selected="0">
            <x v="0"/>
          </reference>
          <reference field="4" count="1" selected="0">
            <x v="131"/>
          </reference>
          <reference field="6" count="1">
            <x v="698"/>
          </reference>
        </references>
      </pivotArea>
    </format>
    <format dxfId="245">
      <pivotArea dataOnly="0" labelOnly="1" outline="0" fieldPosition="0">
        <references count="4">
          <reference field="1" count="1" selected="0">
            <x v="10"/>
          </reference>
          <reference field="2" count="1" selected="0">
            <x v="0"/>
          </reference>
          <reference field="4" count="1" selected="0">
            <x v="132"/>
          </reference>
          <reference field="6" count="1">
            <x v="731"/>
          </reference>
        </references>
      </pivotArea>
    </format>
    <format dxfId="244">
      <pivotArea dataOnly="0" labelOnly="1" outline="0" fieldPosition="0">
        <references count="4">
          <reference field="1" count="1" selected="0">
            <x v="10"/>
          </reference>
          <reference field="2" count="1" selected="0">
            <x v="0"/>
          </reference>
          <reference field="4" count="1" selected="0">
            <x v="133"/>
          </reference>
          <reference field="6" count="1">
            <x v="742"/>
          </reference>
        </references>
      </pivotArea>
    </format>
    <format dxfId="243">
      <pivotArea dataOnly="0" labelOnly="1" outline="0" fieldPosition="0">
        <references count="4">
          <reference field="1" count="1" selected="0">
            <x v="10"/>
          </reference>
          <reference field="2" count="1" selected="0">
            <x v="0"/>
          </reference>
          <reference field="4" count="1" selected="0">
            <x v="157"/>
          </reference>
          <reference field="6" count="2">
            <x v="632"/>
            <x v="1316"/>
          </reference>
        </references>
      </pivotArea>
    </format>
    <format dxfId="242">
      <pivotArea dataOnly="0" labelOnly="1" outline="0" fieldPosition="0">
        <references count="4">
          <reference field="1" count="1" selected="0">
            <x v="10"/>
          </reference>
          <reference field="2" count="1" selected="0">
            <x v="0"/>
          </reference>
          <reference field="4" count="1" selected="0">
            <x v="216"/>
          </reference>
          <reference field="6" count="2">
            <x v="631"/>
            <x v="1382"/>
          </reference>
        </references>
      </pivotArea>
    </format>
    <format dxfId="241">
      <pivotArea dataOnly="0" labelOnly="1" outline="0" fieldPosition="0">
        <references count="4">
          <reference field="1" count="1" selected="0">
            <x v="10"/>
          </reference>
          <reference field="2" count="1" selected="0">
            <x v="0"/>
          </reference>
          <reference field="4" count="1" selected="0">
            <x v="234"/>
          </reference>
          <reference field="6" count="1">
            <x v="654"/>
          </reference>
        </references>
      </pivotArea>
    </format>
    <format dxfId="240">
      <pivotArea dataOnly="0" labelOnly="1" outline="0" fieldPosition="0">
        <references count="4">
          <reference field="1" count="1" selected="0">
            <x v="10"/>
          </reference>
          <reference field="2" count="1" selected="0">
            <x v="0"/>
          </reference>
          <reference field="4" count="1" selected="0">
            <x v="235"/>
          </reference>
          <reference field="6" count="1">
            <x v="658"/>
          </reference>
        </references>
      </pivotArea>
    </format>
    <format dxfId="239">
      <pivotArea dataOnly="0" labelOnly="1" outline="0" fieldPosition="0">
        <references count="4">
          <reference field="1" count="1" selected="0">
            <x v="10"/>
          </reference>
          <reference field="2" count="1" selected="0">
            <x v="0"/>
          </reference>
          <reference field="4" count="1" selected="0">
            <x v="238"/>
          </reference>
          <reference field="6" count="1">
            <x v="659"/>
          </reference>
        </references>
      </pivotArea>
    </format>
    <format dxfId="238">
      <pivotArea dataOnly="0" labelOnly="1" outline="0" fieldPosition="0">
        <references count="4">
          <reference field="1" count="1" selected="0">
            <x v="10"/>
          </reference>
          <reference field="2" count="1" selected="0">
            <x v="0"/>
          </reference>
          <reference field="4" count="1" selected="0">
            <x v="239"/>
          </reference>
          <reference field="6" count="1">
            <x v="661"/>
          </reference>
        </references>
      </pivotArea>
    </format>
    <format dxfId="237">
      <pivotArea dataOnly="0" labelOnly="1" outline="0" fieldPosition="0">
        <references count="4">
          <reference field="1" count="1" selected="0">
            <x v="10"/>
          </reference>
          <reference field="2" count="1" selected="0">
            <x v="0"/>
          </reference>
          <reference field="4" count="1" selected="0">
            <x v="240"/>
          </reference>
          <reference field="6" count="1">
            <x v="662"/>
          </reference>
        </references>
      </pivotArea>
    </format>
    <format dxfId="236">
      <pivotArea dataOnly="0" labelOnly="1" outline="0" fieldPosition="0">
        <references count="4">
          <reference field="1" count="1" selected="0">
            <x v="10"/>
          </reference>
          <reference field="2" count="1" selected="0">
            <x v="0"/>
          </reference>
          <reference field="4" count="1" selected="0">
            <x v="245"/>
          </reference>
          <reference field="6" count="1">
            <x v="643"/>
          </reference>
        </references>
      </pivotArea>
    </format>
    <format dxfId="235">
      <pivotArea dataOnly="0" labelOnly="1" outline="0" fieldPosition="0">
        <references count="4">
          <reference field="1" count="1" selected="0">
            <x v="10"/>
          </reference>
          <reference field="2" count="1" selected="0">
            <x v="0"/>
          </reference>
          <reference field="4" count="1" selected="0">
            <x v="257"/>
          </reference>
          <reference field="6" count="1">
            <x v="660"/>
          </reference>
        </references>
      </pivotArea>
    </format>
    <format dxfId="234">
      <pivotArea dataOnly="0" labelOnly="1" outline="0" fieldPosition="0">
        <references count="4">
          <reference field="1" count="1" selected="0">
            <x v="10"/>
          </reference>
          <reference field="2" count="1" selected="0">
            <x v="0"/>
          </reference>
          <reference field="4" count="1" selected="0">
            <x v="317"/>
          </reference>
          <reference field="6" count="2">
            <x v="667"/>
            <x v="1791"/>
          </reference>
        </references>
      </pivotArea>
    </format>
    <format dxfId="233">
      <pivotArea dataOnly="0" labelOnly="1" outline="0" fieldPosition="0">
        <references count="4">
          <reference field="1" count="1" selected="0">
            <x v="10"/>
          </reference>
          <reference field="2" count="1" selected="0">
            <x v="0"/>
          </reference>
          <reference field="4" count="1" selected="0">
            <x v="328"/>
          </reference>
          <reference field="6" count="1">
            <x v="666"/>
          </reference>
        </references>
      </pivotArea>
    </format>
    <format dxfId="232">
      <pivotArea dataOnly="0" labelOnly="1" outline="0" fieldPosition="0">
        <references count="4">
          <reference field="1" count="1" selected="0">
            <x v="10"/>
          </reference>
          <reference field="2" count="1" selected="0">
            <x v="0"/>
          </reference>
          <reference field="4" count="1" selected="0">
            <x v="344"/>
          </reference>
          <reference field="6" count="2">
            <x v="670"/>
            <x v="1797"/>
          </reference>
        </references>
      </pivotArea>
    </format>
    <format dxfId="231">
      <pivotArea dataOnly="0" labelOnly="1" outline="0" fieldPosition="0">
        <references count="4">
          <reference field="1" count="1" selected="0">
            <x v="10"/>
          </reference>
          <reference field="2" count="1" selected="0">
            <x v="0"/>
          </reference>
          <reference field="4" count="1" selected="0">
            <x v="404"/>
          </reference>
          <reference field="6" count="1">
            <x v="709"/>
          </reference>
        </references>
      </pivotArea>
    </format>
    <format dxfId="230">
      <pivotArea dataOnly="0" labelOnly="1" outline="0" fieldPosition="0">
        <references count="4">
          <reference field="1" count="1" selected="0">
            <x v="10"/>
          </reference>
          <reference field="2" count="1" selected="0">
            <x v="0"/>
          </reference>
          <reference field="4" count="1" selected="0">
            <x v="405"/>
          </reference>
          <reference field="6" count="1">
            <x v="720"/>
          </reference>
        </references>
      </pivotArea>
    </format>
    <format dxfId="229">
      <pivotArea dataOnly="0" labelOnly="1" outline="0" fieldPosition="0">
        <references count="4">
          <reference field="1" count="1" selected="0">
            <x v="10"/>
          </reference>
          <reference field="2" count="1" selected="0">
            <x v="0"/>
          </reference>
          <reference field="4" count="1" selected="0">
            <x v="416"/>
          </reference>
          <reference field="6" count="1">
            <x v="664"/>
          </reference>
        </references>
      </pivotArea>
    </format>
    <format dxfId="228">
      <pivotArea dataOnly="0" labelOnly="1" outline="0" fieldPosition="0">
        <references count="4">
          <reference field="1" count="1" selected="0">
            <x v="10"/>
          </reference>
          <reference field="2" count="1" selected="0">
            <x v="1"/>
          </reference>
          <reference field="4" count="1" selected="0">
            <x v="64"/>
          </reference>
          <reference field="6" count="1">
            <x v="673"/>
          </reference>
        </references>
      </pivotArea>
    </format>
    <format dxfId="227">
      <pivotArea dataOnly="0" labelOnly="1" outline="0" fieldPosition="0">
        <references count="4">
          <reference field="1" count="1" selected="0">
            <x v="10"/>
          </reference>
          <reference field="2" count="1" selected="0">
            <x v="1"/>
          </reference>
          <reference field="4" count="1" selected="0">
            <x v="94"/>
          </reference>
          <reference field="6" count="2">
            <x v="672"/>
            <x v="1794"/>
          </reference>
        </references>
      </pivotArea>
    </format>
    <format dxfId="226">
      <pivotArea dataOnly="0" labelOnly="1" outline="0" fieldPosition="0">
        <references count="4">
          <reference field="1" count="1" selected="0">
            <x v="10"/>
          </reference>
          <reference field="2" count="1" selected="0">
            <x v="1"/>
          </reference>
          <reference field="4" count="1" selected="0">
            <x v="105"/>
          </reference>
          <reference field="6" count="2">
            <x v="671"/>
            <x v="1794"/>
          </reference>
        </references>
      </pivotArea>
    </format>
    <format dxfId="225">
      <pivotArea dataOnly="0" labelOnly="1" outline="0" fieldPosition="0">
        <references count="4">
          <reference field="1" count="1" selected="0">
            <x v="10"/>
          </reference>
          <reference field="2" count="1" selected="0">
            <x v="1"/>
          </reference>
          <reference field="4" count="1" selected="0">
            <x v="108"/>
          </reference>
          <reference field="6" count="2">
            <x v="86"/>
            <x v="674"/>
          </reference>
        </references>
      </pivotArea>
    </format>
    <format dxfId="224">
      <pivotArea dataOnly="0" labelOnly="1" outline="0" fieldPosition="0">
        <references count="4">
          <reference field="1" count="1" selected="0">
            <x v="10"/>
          </reference>
          <reference field="2" count="1" selected="0">
            <x v="2"/>
          </reference>
          <reference field="4" count="1" selected="0">
            <x v="72"/>
          </reference>
          <reference field="6" count="2">
            <x v="675"/>
            <x v="2061"/>
          </reference>
        </references>
      </pivotArea>
    </format>
    <format dxfId="223">
      <pivotArea dataOnly="0" labelOnly="1" outline="0" fieldPosition="0">
        <references count="4">
          <reference field="1" count="1" selected="0">
            <x v="10"/>
          </reference>
          <reference field="2" count="1" selected="0">
            <x v="2"/>
          </reference>
          <reference field="4" count="1" selected="0">
            <x v="75"/>
          </reference>
          <reference field="6" count="1">
            <x v="678"/>
          </reference>
        </references>
      </pivotArea>
    </format>
    <format dxfId="222">
      <pivotArea dataOnly="0" labelOnly="1" outline="0" fieldPosition="0">
        <references count="4">
          <reference field="1" count="1" selected="0">
            <x v="10"/>
          </reference>
          <reference field="2" count="1" selected="0">
            <x v="2"/>
          </reference>
          <reference field="4" count="1" selected="0">
            <x v="77"/>
          </reference>
          <reference field="6" count="1">
            <x v="680"/>
          </reference>
        </references>
      </pivotArea>
    </format>
    <format dxfId="221">
      <pivotArea dataOnly="0" labelOnly="1" outline="0" fieldPosition="0">
        <references count="4">
          <reference field="1" count="1" selected="0">
            <x v="10"/>
          </reference>
          <reference field="2" count="1" selected="0">
            <x v="2"/>
          </reference>
          <reference field="4" count="1" selected="0">
            <x v="320"/>
          </reference>
          <reference field="6" count="1">
            <x v="679"/>
          </reference>
        </references>
      </pivotArea>
    </format>
    <format dxfId="220">
      <pivotArea dataOnly="0" labelOnly="1" outline="0" fieldPosition="0">
        <references count="4">
          <reference field="1" count="1" selected="0">
            <x v="10"/>
          </reference>
          <reference field="2" count="1" selected="0">
            <x v="2"/>
          </reference>
          <reference field="4" count="1" selected="0">
            <x v="403"/>
          </reference>
          <reference field="6" count="1">
            <x v="677"/>
          </reference>
        </references>
      </pivotArea>
    </format>
    <format dxfId="219">
      <pivotArea dataOnly="0" labelOnly="1" outline="0" fieldPosition="0">
        <references count="4">
          <reference field="1" count="1" selected="0">
            <x v="10"/>
          </reference>
          <reference field="2" count="1" selected="0">
            <x v="3"/>
          </reference>
          <reference field="4" count="1" selected="0">
            <x v="65"/>
          </reference>
          <reference field="6" count="2">
            <x v="681"/>
            <x v="1083"/>
          </reference>
        </references>
      </pivotArea>
    </format>
    <format dxfId="218">
      <pivotArea dataOnly="0" labelOnly="1" outline="0" fieldPosition="0">
        <references count="4">
          <reference field="1" count="1" selected="0">
            <x v="10"/>
          </reference>
          <reference field="2" count="1" selected="0">
            <x v="3"/>
          </reference>
          <reference field="4" count="1" selected="0">
            <x v="111"/>
          </reference>
          <reference field="6" count="1">
            <x v="684"/>
          </reference>
        </references>
      </pivotArea>
    </format>
    <format dxfId="217">
      <pivotArea dataOnly="0" labelOnly="1" outline="0" fieldPosition="0">
        <references count="4">
          <reference field="1" count="1" selected="0">
            <x v="10"/>
          </reference>
          <reference field="2" count="1" selected="0">
            <x v="3"/>
          </reference>
          <reference field="4" count="1" selected="0">
            <x v="113"/>
          </reference>
          <reference field="6" count="1">
            <x v="693"/>
          </reference>
        </references>
      </pivotArea>
    </format>
    <format dxfId="216">
      <pivotArea dataOnly="0" labelOnly="1" outline="0" fieldPosition="0">
        <references count="4">
          <reference field="1" count="1" selected="0">
            <x v="10"/>
          </reference>
          <reference field="2" count="1" selected="0">
            <x v="3"/>
          </reference>
          <reference field="4" count="1" selected="0">
            <x v="115"/>
          </reference>
          <reference field="6" count="2">
            <x v="482"/>
            <x v="683"/>
          </reference>
        </references>
      </pivotArea>
    </format>
    <format dxfId="215">
      <pivotArea dataOnly="0" labelOnly="1" outline="0" fieldPosition="0">
        <references count="4">
          <reference field="1" count="1" selected="0">
            <x v="10"/>
          </reference>
          <reference field="2" count="1" selected="0">
            <x v="3"/>
          </reference>
          <reference field="4" count="1" selected="0">
            <x v="116"/>
          </reference>
          <reference field="6" count="1">
            <x v="692"/>
          </reference>
        </references>
      </pivotArea>
    </format>
    <format dxfId="214">
      <pivotArea dataOnly="0" labelOnly="1" outline="0" fieldPosition="0">
        <references count="4">
          <reference field="1" count="1" selected="0">
            <x v="10"/>
          </reference>
          <reference field="2" count="1" selected="0">
            <x v="3"/>
          </reference>
          <reference field="4" count="1" selected="0">
            <x v="119"/>
          </reference>
          <reference field="6" count="1">
            <x v="686"/>
          </reference>
        </references>
      </pivotArea>
    </format>
    <format dxfId="213">
      <pivotArea dataOnly="0" labelOnly="1" outline="0" fieldPosition="0">
        <references count="4">
          <reference field="1" count="1" selected="0">
            <x v="10"/>
          </reference>
          <reference field="2" count="1" selected="0">
            <x v="3"/>
          </reference>
          <reference field="4" count="1" selected="0">
            <x v="120"/>
          </reference>
          <reference field="6" count="1">
            <x v="695"/>
          </reference>
        </references>
      </pivotArea>
    </format>
    <format dxfId="212">
      <pivotArea dataOnly="0" labelOnly="1" outline="0" fieldPosition="0">
        <references count="4">
          <reference field="1" count="1" selected="0">
            <x v="10"/>
          </reference>
          <reference field="2" count="1" selected="0">
            <x v="3"/>
          </reference>
          <reference field="4" count="1" selected="0">
            <x v="121"/>
          </reference>
          <reference field="6" count="1">
            <x v="688"/>
          </reference>
        </references>
      </pivotArea>
    </format>
    <format dxfId="211">
      <pivotArea dataOnly="0" labelOnly="1" outline="0" fieldPosition="0">
        <references count="4">
          <reference field="1" count="1" selected="0">
            <x v="10"/>
          </reference>
          <reference field="2" count="1" selected="0">
            <x v="3"/>
          </reference>
          <reference field="4" count="1" selected="0">
            <x v="123"/>
          </reference>
          <reference field="6" count="1">
            <x v="694"/>
          </reference>
        </references>
      </pivotArea>
    </format>
    <format dxfId="210">
      <pivotArea dataOnly="0" labelOnly="1" outline="0" fieldPosition="0">
        <references count="4">
          <reference field="1" count="1" selected="0">
            <x v="10"/>
          </reference>
          <reference field="2" count="1" selected="0">
            <x v="3"/>
          </reference>
          <reference field="4" count="1" selected="0">
            <x v="126"/>
          </reference>
          <reference field="6" count="2">
            <x v="685"/>
            <x v="2239"/>
          </reference>
        </references>
      </pivotArea>
    </format>
    <format dxfId="209">
      <pivotArea dataOnly="0" labelOnly="1" outline="0" fieldPosition="0">
        <references count="4">
          <reference field="1" count="1" selected="0">
            <x v="10"/>
          </reference>
          <reference field="2" count="1" selected="0">
            <x v="3"/>
          </reference>
          <reference field="4" count="1" selected="0">
            <x v="128"/>
          </reference>
          <reference field="6" count="2">
            <x v="300"/>
            <x v="690"/>
          </reference>
        </references>
      </pivotArea>
    </format>
    <format dxfId="208">
      <pivotArea dataOnly="0" labelOnly="1" outline="0" fieldPosition="0">
        <references count="4">
          <reference field="1" count="1" selected="0">
            <x v="10"/>
          </reference>
          <reference field="2" count="1" selected="0">
            <x v="3"/>
          </reference>
          <reference field="4" count="1" selected="0">
            <x v="134"/>
          </reference>
          <reference field="6" count="1">
            <x v="691"/>
          </reference>
        </references>
      </pivotArea>
    </format>
    <format dxfId="207">
      <pivotArea dataOnly="0" labelOnly="1" outline="0" fieldPosition="0">
        <references count="4">
          <reference field="1" count="1" selected="0">
            <x v="10"/>
          </reference>
          <reference field="2" count="1" selected="0">
            <x v="3"/>
          </reference>
          <reference field="4" count="1" selected="0">
            <x v="236"/>
          </reference>
          <reference field="6" count="1">
            <x v="700"/>
          </reference>
        </references>
      </pivotArea>
    </format>
    <format dxfId="206">
      <pivotArea dataOnly="0" labelOnly="1" outline="0" fieldPosition="0">
        <references count="4">
          <reference field="1" count="1" selected="0">
            <x v="10"/>
          </reference>
          <reference field="2" count="1" selected="0">
            <x v="3"/>
          </reference>
          <reference field="4" count="1" selected="0">
            <x v="237"/>
          </reference>
          <reference field="6" count="1">
            <x v="701"/>
          </reference>
        </references>
      </pivotArea>
    </format>
    <format dxfId="205">
      <pivotArea dataOnly="0" labelOnly="1" outline="0" fieldPosition="0">
        <references count="4">
          <reference field="1" count="1" selected="0">
            <x v="10"/>
          </reference>
          <reference field="2" count="1" selected="0">
            <x v="3"/>
          </reference>
          <reference field="4" count="1" selected="0">
            <x v="241"/>
          </reference>
          <reference field="6" count="1">
            <x v="696"/>
          </reference>
        </references>
      </pivotArea>
    </format>
    <format dxfId="204">
      <pivotArea dataOnly="0" labelOnly="1" outline="0" fieldPosition="0">
        <references count="4">
          <reference field="1" count="1" selected="0">
            <x v="10"/>
          </reference>
          <reference field="2" count="1" selected="0">
            <x v="3"/>
          </reference>
          <reference field="4" count="1" selected="0">
            <x v="242"/>
          </reference>
          <reference field="6" count="1">
            <x v="697"/>
          </reference>
        </references>
      </pivotArea>
    </format>
    <format dxfId="203">
      <pivotArea dataOnly="0" labelOnly="1" outline="0" fieldPosition="0">
        <references count="4">
          <reference field="1" count="1" selected="0">
            <x v="10"/>
          </reference>
          <reference field="2" count="1" selected="0">
            <x v="3"/>
          </reference>
          <reference field="4" count="1" selected="0">
            <x v="243"/>
          </reference>
          <reference field="6" count="1">
            <x v="705"/>
          </reference>
        </references>
      </pivotArea>
    </format>
    <format dxfId="202">
      <pivotArea dataOnly="0" labelOnly="1" outline="0" fieldPosition="0">
        <references count="4">
          <reference field="1" count="1" selected="0">
            <x v="10"/>
          </reference>
          <reference field="2" count="1" selected="0">
            <x v="3"/>
          </reference>
          <reference field="4" count="1" selected="0">
            <x v="249"/>
          </reference>
          <reference field="6" count="1">
            <x v="702"/>
          </reference>
        </references>
      </pivotArea>
    </format>
    <format dxfId="201">
      <pivotArea dataOnly="0" labelOnly="1" outline="0" fieldPosition="0">
        <references count="4">
          <reference field="1" count="1" selected="0">
            <x v="10"/>
          </reference>
          <reference field="2" count="1" selected="0">
            <x v="3"/>
          </reference>
          <reference field="4" count="1" selected="0">
            <x v="250"/>
          </reference>
          <reference field="6" count="1">
            <x v="703"/>
          </reference>
        </references>
      </pivotArea>
    </format>
    <format dxfId="200">
      <pivotArea dataOnly="0" labelOnly="1" outline="0" fieldPosition="0">
        <references count="4">
          <reference field="1" count="1" selected="0">
            <x v="10"/>
          </reference>
          <reference field="2" count="1" selected="0">
            <x v="3"/>
          </reference>
          <reference field="4" count="1" selected="0">
            <x v="251"/>
          </reference>
          <reference field="6" count="1">
            <x v="704"/>
          </reference>
        </references>
      </pivotArea>
    </format>
    <format dxfId="199">
      <pivotArea dataOnly="0" labelOnly="1" outline="0" fieldPosition="0">
        <references count="4">
          <reference field="1" count="1" selected="0">
            <x v="10"/>
          </reference>
          <reference field="2" count="1" selected="0">
            <x v="3"/>
          </reference>
          <reference field="4" count="1" selected="0">
            <x v="339"/>
          </reference>
          <reference field="6" count="1">
            <x v="689"/>
          </reference>
        </references>
      </pivotArea>
    </format>
    <format dxfId="198">
      <pivotArea dataOnly="0" labelOnly="1" outline="0" fieldPosition="0">
        <references count="4">
          <reference field="1" count="1" selected="0">
            <x v="10"/>
          </reference>
          <reference field="2" count="1" selected="0">
            <x v="3"/>
          </reference>
          <reference field="4" count="1" selected="0">
            <x v="341"/>
          </reference>
          <reference field="6" count="1">
            <x v="699"/>
          </reference>
        </references>
      </pivotArea>
    </format>
    <format dxfId="197">
      <pivotArea dataOnly="0" labelOnly="1" outline="0" fieldPosition="0">
        <references count="4">
          <reference field="1" count="1" selected="0">
            <x v="10"/>
          </reference>
          <reference field="2" count="1" selected="0">
            <x v="3"/>
          </reference>
          <reference field="4" count="1" selected="0">
            <x v="413"/>
          </reference>
          <reference field="6" count="2">
            <x v="682"/>
            <x v="1093"/>
          </reference>
        </references>
      </pivotArea>
    </format>
    <format dxfId="196">
      <pivotArea dataOnly="0" labelOnly="1" outline="0" fieldPosition="0">
        <references count="4">
          <reference field="1" count="1" selected="0">
            <x v="10"/>
          </reference>
          <reference field="2" count="1" selected="0">
            <x v="3"/>
          </reference>
          <reference field="4" count="1" selected="0">
            <x v="415"/>
          </reference>
          <reference field="6" count="1">
            <x v="706"/>
          </reference>
        </references>
      </pivotArea>
    </format>
    <format dxfId="195">
      <pivotArea dataOnly="0" labelOnly="1" outline="0" fieldPosition="0">
        <references count="4">
          <reference field="1" count="1" selected="0">
            <x v="10"/>
          </reference>
          <reference field="2" count="1" selected="0">
            <x v="4"/>
          </reference>
          <reference field="4" count="1" selected="0">
            <x v="7"/>
          </reference>
          <reference field="6" count="1">
            <x v="726"/>
          </reference>
        </references>
      </pivotArea>
    </format>
    <format dxfId="194">
      <pivotArea dataOnly="0" labelOnly="1" outline="0" fieldPosition="0">
        <references count="4">
          <reference field="1" count="1" selected="0">
            <x v="10"/>
          </reference>
          <reference field="2" count="1" selected="0">
            <x v="4"/>
          </reference>
          <reference field="4" count="1" selected="0">
            <x v="24"/>
          </reference>
          <reference field="6" count="2">
            <x v="716"/>
            <x v="1015"/>
          </reference>
        </references>
      </pivotArea>
    </format>
    <format dxfId="193">
      <pivotArea dataOnly="0" labelOnly="1" outline="0" fieldPosition="0">
        <references count="4">
          <reference field="1" count="1" selected="0">
            <x v="10"/>
          </reference>
          <reference field="2" count="1" selected="0">
            <x v="4"/>
          </reference>
          <reference field="4" count="1" selected="0">
            <x v="26"/>
          </reference>
          <reference field="6" count="1">
            <x v="717"/>
          </reference>
        </references>
      </pivotArea>
    </format>
    <format dxfId="192">
      <pivotArea dataOnly="0" labelOnly="1" outline="0" fieldPosition="0">
        <references count="4">
          <reference field="1" count="1" selected="0">
            <x v="10"/>
          </reference>
          <reference field="2" count="1" selected="0">
            <x v="4"/>
          </reference>
          <reference field="4" count="1" selected="0">
            <x v="28"/>
          </reference>
          <reference field="6" count="1">
            <x v="718"/>
          </reference>
        </references>
      </pivotArea>
    </format>
    <format dxfId="191">
      <pivotArea dataOnly="0" labelOnly="1" outline="0" fieldPosition="0">
        <references count="4">
          <reference field="1" count="1" selected="0">
            <x v="10"/>
          </reference>
          <reference field="2" count="1" selected="0">
            <x v="4"/>
          </reference>
          <reference field="4" count="1" selected="0">
            <x v="30"/>
          </reference>
          <reference field="6" count="2">
            <x v="363"/>
            <x v="719"/>
          </reference>
        </references>
      </pivotArea>
    </format>
    <format dxfId="190">
      <pivotArea dataOnly="0" labelOnly="1" outline="0" fieldPosition="0">
        <references count="4">
          <reference field="1" count="1" selected="0">
            <x v="10"/>
          </reference>
          <reference field="2" count="1" selected="0">
            <x v="4"/>
          </reference>
          <reference field="4" count="1" selected="0">
            <x v="40"/>
          </reference>
          <reference field="6" count="1">
            <x v="721"/>
          </reference>
        </references>
      </pivotArea>
    </format>
    <format dxfId="189">
      <pivotArea dataOnly="0" labelOnly="1" outline="0" fieldPosition="0">
        <references count="4">
          <reference field="1" count="1" selected="0">
            <x v="10"/>
          </reference>
          <reference field="2" count="1" selected="0">
            <x v="4"/>
          </reference>
          <reference field="4" count="1" selected="0">
            <x v="69"/>
          </reference>
          <reference field="6" count="1">
            <x v="727"/>
          </reference>
        </references>
      </pivotArea>
    </format>
    <format dxfId="188">
      <pivotArea dataOnly="0" labelOnly="1" outline="0" fieldPosition="0">
        <references count="4">
          <reference field="1" count="1" selected="0">
            <x v="10"/>
          </reference>
          <reference field="2" count="1" selected="0">
            <x v="4"/>
          </reference>
          <reference field="4" count="1" selected="0">
            <x v="71"/>
          </reference>
          <reference field="6" count="1">
            <x v="723"/>
          </reference>
        </references>
      </pivotArea>
    </format>
    <format dxfId="187">
      <pivotArea dataOnly="0" labelOnly="1" outline="0" fieldPosition="0">
        <references count="4">
          <reference field="1" count="1" selected="0">
            <x v="10"/>
          </reference>
          <reference field="2" count="1" selected="0">
            <x v="4"/>
          </reference>
          <reference field="4" count="1" selected="0">
            <x v="73"/>
          </reference>
          <reference field="6" count="1">
            <x v="714"/>
          </reference>
        </references>
      </pivotArea>
    </format>
    <format dxfId="186">
      <pivotArea dataOnly="0" labelOnly="1" outline="0" fieldPosition="0">
        <references count="4">
          <reference field="1" count="1" selected="0">
            <x v="10"/>
          </reference>
          <reference field="2" count="1" selected="0">
            <x v="4"/>
          </reference>
          <reference field="4" count="1" selected="0">
            <x v="76"/>
          </reference>
          <reference field="6" count="1">
            <x v="724"/>
          </reference>
        </references>
      </pivotArea>
    </format>
    <format dxfId="185">
      <pivotArea dataOnly="0" labelOnly="1" outline="0" fieldPosition="0">
        <references count="4">
          <reference field="1" count="1" selected="0">
            <x v="10"/>
          </reference>
          <reference field="2" count="1" selected="0">
            <x v="4"/>
          </reference>
          <reference field="4" count="1" selected="0">
            <x v="83"/>
          </reference>
          <reference field="6" count="1">
            <x v="722"/>
          </reference>
        </references>
      </pivotArea>
    </format>
    <format dxfId="184">
      <pivotArea dataOnly="0" labelOnly="1" outline="0" fieldPosition="0">
        <references count="4">
          <reference field="1" count="1" selected="0">
            <x v="10"/>
          </reference>
          <reference field="2" count="1" selected="0">
            <x v="4"/>
          </reference>
          <reference field="4" count="1" selected="0">
            <x v="112"/>
          </reference>
          <reference field="6" count="2">
            <x v="725"/>
            <x v="1221"/>
          </reference>
        </references>
      </pivotArea>
    </format>
    <format dxfId="183">
      <pivotArea dataOnly="0" labelOnly="1" outline="0" fieldPosition="0">
        <references count="4">
          <reference field="1" count="1" selected="0">
            <x v="10"/>
          </reference>
          <reference field="2" count="1" selected="0">
            <x v="4"/>
          </reference>
          <reference field="4" count="1" selected="0">
            <x v="231"/>
          </reference>
          <reference field="6" count="2">
            <x v="711"/>
            <x v="942"/>
          </reference>
        </references>
      </pivotArea>
    </format>
    <format dxfId="182">
      <pivotArea dataOnly="0" labelOnly="1" outline="0" fieldPosition="0">
        <references count="4">
          <reference field="1" count="1" selected="0">
            <x v="10"/>
          </reference>
          <reference field="2" count="1" selected="0">
            <x v="4"/>
          </reference>
          <reference field="4" count="1" selected="0">
            <x v="248"/>
          </reference>
          <reference field="6" count="2">
            <x v="713"/>
            <x v="942"/>
          </reference>
        </references>
      </pivotArea>
    </format>
    <format dxfId="181">
      <pivotArea dataOnly="0" labelOnly="1" outline="0" fieldPosition="0">
        <references count="4">
          <reference field="1" count="1" selected="0">
            <x v="10"/>
          </reference>
          <reference field="2" count="1" selected="0">
            <x v="4"/>
          </reference>
          <reference field="4" count="1" selected="0">
            <x v="290"/>
          </reference>
          <reference field="6" count="1">
            <x v="712"/>
          </reference>
        </references>
      </pivotArea>
    </format>
    <format dxfId="180">
      <pivotArea dataOnly="0" labelOnly="1" outline="0" fieldPosition="0">
        <references count="4">
          <reference field="1" count="1" selected="0">
            <x v="10"/>
          </reference>
          <reference field="2" count="1" selected="0">
            <x v="4"/>
          </reference>
          <reference field="4" count="1" selected="0">
            <x v="291"/>
          </reference>
          <reference field="6" count="1">
            <x v="710"/>
          </reference>
        </references>
      </pivotArea>
    </format>
    <format dxfId="179">
      <pivotArea dataOnly="0" labelOnly="1" outline="0" fieldPosition="0">
        <references count="4">
          <reference field="1" count="1" selected="0">
            <x v="10"/>
          </reference>
          <reference field="2" count="1" selected="0">
            <x v="4"/>
          </reference>
          <reference field="4" count="1" selected="0">
            <x v="292"/>
          </reference>
          <reference field="6" count="1">
            <x v="708"/>
          </reference>
        </references>
      </pivotArea>
    </format>
    <format dxfId="178">
      <pivotArea dataOnly="0" labelOnly="1" outline="0" fieldPosition="0">
        <references count="4">
          <reference field="1" count="1" selected="0">
            <x v="10"/>
          </reference>
          <reference field="2" count="1" selected="0">
            <x v="4"/>
          </reference>
          <reference field="4" count="1" selected="0">
            <x v="293"/>
          </reference>
          <reference field="6" count="2">
            <x v="707"/>
            <x v="2182"/>
          </reference>
        </references>
      </pivotArea>
    </format>
    <format dxfId="177">
      <pivotArea dataOnly="0" labelOnly="1" outline="0" fieldPosition="0">
        <references count="4">
          <reference field="1" count="1" selected="0">
            <x v="10"/>
          </reference>
          <reference field="2" count="1" selected="0">
            <x v="4"/>
          </reference>
          <reference field="4" count="1" selected="0">
            <x v="340"/>
          </reference>
          <reference field="6" count="2">
            <x v="597"/>
            <x v="715"/>
          </reference>
        </references>
      </pivotArea>
    </format>
    <format dxfId="176">
      <pivotArea dataOnly="0" labelOnly="1" outline="0" fieldPosition="0">
        <references count="4">
          <reference field="1" count="1" selected="0">
            <x v="10"/>
          </reference>
          <reference field="2" count="1" selected="0">
            <x v="4"/>
          </reference>
          <reference field="4" count="1" selected="0">
            <x v="342"/>
          </reference>
          <reference field="6" count="2">
            <x v="597"/>
            <x v="728"/>
          </reference>
        </references>
      </pivotArea>
    </format>
    <format dxfId="175">
      <pivotArea dataOnly="0" labelOnly="1" outline="0" fieldPosition="0">
        <references count="4">
          <reference field="1" count="1" selected="0">
            <x v="10"/>
          </reference>
          <reference field="2" count="1" selected="0">
            <x v="5"/>
          </reference>
          <reference field="4" count="1" selected="0">
            <x v="55"/>
          </reference>
          <reference field="6" count="1">
            <x v="730"/>
          </reference>
        </references>
      </pivotArea>
    </format>
    <format dxfId="174">
      <pivotArea dataOnly="0" labelOnly="1" outline="0" fieldPosition="0">
        <references count="4">
          <reference field="1" count="1" selected="0">
            <x v="10"/>
          </reference>
          <reference field="2" count="1" selected="0">
            <x v="5"/>
          </reference>
          <reference field="4" count="1" selected="0">
            <x v="97"/>
          </reference>
          <reference field="6" count="2">
            <x v="150"/>
            <x v="738"/>
          </reference>
        </references>
      </pivotArea>
    </format>
    <format dxfId="173">
      <pivotArea dataOnly="0" labelOnly="1" outline="0" fieldPosition="0">
        <references count="4">
          <reference field="1" count="1" selected="0">
            <x v="10"/>
          </reference>
          <reference field="2" count="1" selected="0">
            <x v="5"/>
          </reference>
          <reference field="4" count="1" selected="0">
            <x v="98"/>
          </reference>
          <reference field="6" count="1">
            <x v="739"/>
          </reference>
        </references>
      </pivotArea>
    </format>
    <format dxfId="172">
      <pivotArea dataOnly="0" labelOnly="1" outline="0" fieldPosition="0">
        <references count="4">
          <reference field="1" count="1" selected="0">
            <x v="10"/>
          </reference>
          <reference field="2" count="1" selected="0">
            <x v="5"/>
          </reference>
          <reference field="4" count="1" selected="0">
            <x v="99"/>
          </reference>
          <reference field="6" count="1">
            <x v="740"/>
          </reference>
        </references>
      </pivotArea>
    </format>
    <format dxfId="171">
      <pivotArea dataOnly="0" labelOnly="1" outline="0" fieldPosition="0">
        <references count="4">
          <reference field="1" count="1" selected="0">
            <x v="10"/>
          </reference>
          <reference field="2" count="1" selected="0">
            <x v="5"/>
          </reference>
          <reference field="4" count="1" selected="0">
            <x v="100"/>
          </reference>
          <reference field="6" count="1">
            <x v="735"/>
          </reference>
        </references>
      </pivotArea>
    </format>
    <format dxfId="170">
      <pivotArea dataOnly="0" labelOnly="1" outline="0" fieldPosition="0">
        <references count="4">
          <reference field="1" count="1" selected="0">
            <x v="10"/>
          </reference>
          <reference field="2" count="1" selected="0">
            <x v="5"/>
          </reference>
          <reference field="4" count="1" selected="0">
            <x v="101"/>
          </reference>
          <reference field="6" count="1">
            <x v="747"/>
          </reference>
        </references>
      </pivotArea>
    </format>
    <format dxfId="169">
      <pivotArea dataOnly="0" labelOnly="1" outline="0" fieldPosition="0">
        <references count="4">
          <reference field="1" count="1" selected="0">
            <x v="10"/>
          </reference>
          <reference field="2" count="1" selected="0">
            <x v="5"/>
          </reference>
          <reference field="4" count="1" selected="0">
            <x v="102"/>
          </reference>
          <reference field="6" count="1">
            <x v="741"/>
          </reference>
        </references>
      </pivotArea>
    </format>
    <format dxfId="168">
      <pivotArea dataOnly="0" labelOnly="1" outline="0" fieldPosition="0">
        <references count="4">
          <reference field="1" count="1" selected="0">
            <x v="10"/>
          </reference>
          <reference field="2" count="1" selected="0">
            <x v="5"/>
          </reference>
          <reference field="4" count="1" selected="0">
            <x v="114"/>
          </reference>
          <reference field="6" count="2">
            <x v="743"/>
            <x v="2245"/>
          </reference>
        </references>
      </pivotArea>
    </format>
    <format dxfId="167">
      <pivotArea dataOnly="0" labelOnly="1" outline="0" fieldPosition="0">
        <references count="4">
          <reference field="1" count="1" selected="0">
            <x v="10"/>
          </reference>
          <reference field="2" count="1" selected="0">
            <x v="5"/>
          </reference>
          <reference field="4" count="1" selected="0">
            <x v="117"/>
          </reference>
          <reference field="6" count="2">
            <x v="736"/>
            <x v="2245"/>
          </reference>
        </references>
      </pivotArea>
    </format>
    <format dxfId="166">
      <pivotArea dataOnly="0" labelOnly="1" outline="0" fieldPosition="0">
        <references count="4">
          <reference field="1" count="1" selected="0">
            <x v="10"/>
          </reference>
          <reference field="2" count="1" selected="0">
            <x v="5"/>
          </reference>
          <reference field="4" count="1" selected="0">
            <x v="118"/>
          </reference>
          <reference field="6" count="2">
            <x v="227"/>
            <x v="744"/>
          </reference>
        </references>
      </pivotArea>
    </format>
    <format dxfId="165">
      <pivotArea dataOnly="0" labelOnly="1" outline="0" fieldPosition="0">
        <references count="4">
          <reference field="1" count="1" selected="0">
            <x v="10"/>
          </reference>
          <reference field="2" count="1" selected="0">
            <x v="5"/>
          </reference>
          <reference field="4" count="1" selected="0">
            <x v="246"/>
          </reference>
          <reference field="6" count="1">
            <x v="733"/>
          </reference>
        </references>
      </pivotArea>
    </format>
    <format dxfId="164">
      <pivotArea dataOnly="0" labelOnly="1" outline="0" fieldPosition="0">
        <references count="4">
          <reference field="1" count="1" selected="0">
            <x v="10"/>
          </reference>
          <reference field="2" count="1" selected="0">
            <x v="5"/>
          </reference>
          <reference field="4" count="1" selected="0">
            <x v="253"/>
          </reference>
          <reference field="6" count="2">
            <x v="734"/>
            <x v="2093"/>
          </reference>
        </references>
      </pivotArea>
    </format>
    <format dxfId="163">
      <pivotArea dataOnly="0" labelOnly="1" outline="0" fieldPosition="0">
        <references count="4">
          <reference field="1" count="1" selected="0">
            <x v="10"/>
          </reference>
          <reference field="2" count="1" selected="0">
            <x v="5"/>
          </reference>
          <reference field="4" count="1" selected="0">
            <x v="255"/>
          </reference>
          <reference field="6" count="1">
            <x v="732"/>
          </reference>
        </references>
      </pivotArea>
    </format>
    <format dxfId="162">
      <pivotArea dataOnly="0" labelOnly="1" outline="0" fieldPosition="0">
        <references count="4">
          <reference field="1" count="1" selected="0">
            <x v="10"/>
          </reference>
          <reference field="2" count="1" selected="0">
            <x v="5"/>
          </reference>
          <reference field="4" count="1" selected="0">
            <x v="374"/>
          </reference>
          <reference field="6" count="2">
            <x v="748"/>
            <x v="909"/>
          </reference>
        </references>
      </pivotArea>
    </format>
    <format dxfId="161">
      <pivotArea dataOnly="0" labelOnly="1" outline="0" fieldPosition="0">
        <references count="4">
          <reference field="1" count="1" selected="0">
            <x v="10"/>
          </reference>
          <reference field="2" count="1" selected="0">
            <x v="5"/>
          </reference>
          <reference field="4" count="1" selected="0">
            <x v="422"/>
          </reference>
          <reference field="6" count="1">
            <x v="729"/>
          </reference>
        </references>
      </pivotArea>
    </format>
    <format dxfId="160">
      <pivotArea dataOnly="0" labelOnly="1" outline="0" fieldPosition="0">
        <references count="4">
          <reference field="1" count="1" selected="0">
            <x v="10"/>
          </reference>
          <reference field="2" count="1" selected="0">
            <x v="5"/>
          </reference>
          <reference field="4" count="1" selected="0">
            <x v="423"/>
          </reference>
          <reference field="6" count="1">
            <x v="745"/>
          </reference>
        </references>
      </pivotArea>
    </format>
    <format dxfId="159">
      <pivotArea dataOnly="0" labelOnly="1" outline="0" fieldPosition="0">
        <references count="4">
          <reference field="1" count="1" selected="0">
            <x v="10"/>
          </reference>
          <reference field="2" count="1" selected="0">
            <x v="5"/>
          </reference>
          <reference field="4" count="1" selected="0">
            <x v="424"/>
          </reference>
          <reference field="6" count="1">
            <x v="746"/>
          </reference>
        </references>
      </pivotArea>
    </format>
    <format dxfId="158">
      <pivotArea dataOnly="0" labelOnly="1" outline="0" fieldPosition="0">
        <references count="4">
          <reference field="1" count="1" selected="0">
            <x v="10"/>
          </reference>
          <reference field="2" count="1" selected="0">
            <x v="5"/>
          </reference>
          <reference field="4" count="1" selected="0">
            <x v="429"/>
          </reference>
          <reference field="6" count="1">
            <x v="737"/>
          </reference>
        </references>
      </pivotArea>
    </format>
    <format dxfId="157">
      <pivotArea dataOnly="0" labelOnly="1" outline="0" fieldPosition="0">
        <references count="4">
          <reference field="1" count="1" selected="0">
            <x v="15"/>
          </reference>
          <reference field="2" count="1" selected="0">
            <x v="0"/>
          </reference>
          <reference field="4" count="1" selected="0">
            <x v="10"/>
          </reference>
          <reference field="6" count="2">
            <x v="117"/>
            <x v="631"/>
          </reference>
        </references>
      </pivotArea>
    </format>
    <format dxfId="156">
      <pivotArea dataOnly="0" labelOnly="1" outline="0" fieldPosition="0">
        <references count="4">
          <reference field="1" count="1" selected="0">
            <x v="15"/>
          </reference>
          <reference field="2" count="1" selected="0">
            <x v="0"/>
          </reference>
          <reference field="4" count="1" selected="0">
            <x v="13"/>
          </reference>
          <reference field="6" count="2">
            <x v="665"/>
            <x v="1671"/>
          </reference>
        </references>
      </pivotArea>
    </format>
    <format dxfId="155">
      <pivotArea dataOnly="0" labelOnly="1" outline="0" fieldPosition="0">
        <references count="4">
          <reference field="1" count="1" selected="0">
            <x v="15"/>
          </reference>
          <reference field="2" count="1" selected="0">
            <x v="1"/>
          </reference>
          <reference field="4" count="1" selected="0">
            <x v="12"/>
          </reference>
          <reference field="6" count="2">
            <x v="117"/>
            <x v="676"/>
          </reference>
        </references>
      </pivotArea>
    </format>
    <format dxfId="154">
      <pivotArea dataOnly="0" labelOnly="1" outline="0" fieldPosition="0">
        <references count="4">
          <reference field="1" count="1" selected="0">
            <x v="15"/>
          </reference>
          <reference field="2" count="1" selected="0">
            <x v="2"/>
          </reference>
          <reference field="4" count="1" selected="0">
            <x v="130"/>
          </reference>
          <reference field="6" count="1">
            <x v="698"/>
          </reference>
        </references>
      </pivotArea>
    </format>
    <format dxfId="153">
      <pivotArea dataOnly="0" labelOnly="1" outline="0" fieldPosition="0">
        <references count="4">
          <reference field="1" count="1" selected="0">
            <x v="15"/>
          </reference>
          <reference field="2" count="1" selected="0">
            <x v="2"/>
          </reference>
          <reference field="4" count="1" selected="0">
            <x v="314"/>
          </reference>
          <reference field="6" count="1">
            <x v="687"/>
          </reference>
        </references>
      </pivotArea>
    </format>
    <format dxfId="152">
      <pivotArea dataOnly="0" labelOnly="1" outline="0" fieldPosition="0">
        <references count="4">
          <reference field="1" count="1" selected="0">
            <x v="15"/>
          </reference>
          <reference field="2" count="1" selected="0">
            <x v="3"/>
          </reference>
          <reference field="4" count="1" selected="0">
            <x v="11"/>
          </reference>
          <reference field="6" count="2">
            <x v="709"/>
            <x v="1766"/>
          </reference>
        </references>
      </pivotArea>
    </format>
    <format dxfId="151">
      <pivotArea dataOnly="0" labelOnly="1" outline="0" fieldPosition="0">
        <references count="4">
          <reference field="1" count="1" selected="0">
            <x v="18"/>
          </reference>
          <reference field="2" count="1" selected="0">
            <x v="0"/>
          </reference>
          <reference field="4" count="1" selected="0">
            <x v="171"/>
          </reference>
          <reference field="6" count="2">
            <x v="676"/>
            <x v="1477"/>
          </reference>
        </references>
      </pivotArea>
    </format>
    <format dxfId="150">
      <pivotArea dataOnly="0" labelOnly="1" outline="0" fieldPosition="0">
        <references count="4">
          <reference field="1" count="1" selected="0">
            <x v="18"/>
          </reference>
          <reference field="2" count="1" selected="0">
            <x v="0"/>
          </reference>
          <reference field="4" count="1" selected="0">
            <x v="172"/>
          </reference>
          <reference field="6" count="2">
            <x v="687"/>
            <x v="1473"/>
          </reference>
        </references>
      </pivotArea>
    </format>
    <format dxfId="149">
      <pivotArea dataOnly="0" labelOnly="1" outline="0" fieldPosition="0">
        <references count="4">
          <reference field="1" count="1" selected="0">
            <x v="18"/>
          </reference>
          <reference field="2" count="1" selected="0">
            <x v="0"/>
          </reference>
          <reference field="4" count="1" selected="0">
            <x v="173"/>
          </reference>
          <reference field="6" count="2">
            <x v="665"/>
            <x v="1477"/>
          </reference>
        </references>
      </pivotArea>
    </format>
    <format dxfId="148">
      <pivotArea dataOnly="0" labelOnly="1" outline="0" fieldPosition="0">
        <references count="4">
          <reference field="1" count="1" selected="0">
            <x v="18"/>
          </reference>
          <reference field="2" count="1" selected="0">
            <x v="0"/>
          </reference>
          <reference field="4" count="1" selected="0">
            <x v="176"/>
          </reference>
          <reference field="6" count="1">
            <x v="709"/>
          </reference>
        </references>
      </pivotArea>
    </format>
    <format dxfId="147">
      <pivotArea dataOnly="0" labelOnly="1" outline="0" fieldPosition="0">
        <references count="4">
          <reference field="1" count="1" selected="0">
            <x v="18"/>
          </reference>
          <reference field="2" count="1" selected="0">
            <x v="0"/>
          </reference>
          <reference field="4" count="1" selected="0">
            <x v="178"/>
          </reference>
          <reference field="6" count="1">
            <x v="698"/>
          </reference>
        </references>
      </pivotArea>
    </format>
    <format dxfId="146">
      <pivotArea dataOnly="0" labelOnly="1" outline="0" fieldPosition="0">
        <references count="4">
          <reference field="1" count="1" selected="0">
            <x v="18"/>
          </reference>
          <reference field="2" count="1" selected="0">
            <x v="0"/>
          </reference>
          <reference field="4" count="1" selected="0">
            <x v="333"/>
          </reference>
          <reference field="6" count="2">
            <x v="631"/>
            <x v="1796"/>
          </reference>
        </references>
      </pivotArea>
    </format>
    <format dxfId="145">
      <pivotArea dataOnly="0" labelOnly="1" outline="0" fieldPosition="0">
        <references count="4">
          <reference field="1" count="1" selected="0">
            <x v="18"/>
          </reference>
          <reference field="2" count="1" selected="0">
            <x v="1"/>
          </reference>
          <reference field="4" count="1" selected="0">
            <x v="150"/>
          </reference>
          <reference field="6" count="2">
            <x v="731"/>
            <x v="1300"/>
          </reference>
        </references>
      </pivotArea>
    </format>
    <format dxfId="144">
      <pivotArea dataOnly="0" labelOnly="1" outline="0" fieldPosition="0">
        <references count="4">
          <reference field="1" count="1" selected="0">
            <x v="18"/>
          </reference>
          <reference field="2" count="1" selected="0">
            <x v="1"/>
          </reference>
          <reference field="4" count="1" selected="0">
            <x v="151"/>
          </reference>
          <reference field="6" count="2">
            <x v="720"/>
            <x v="1299"/>
          </reference>
        </references>
      </pivotArea>
    </format>
    <format dxfId="143">
      <pivotArea dataOnly="0" labelOnly="1" outline="0" fieldPosition="0">
        <references count="4">
          <reference field="1" count="1" selected="0">
            <x v="18"/>
          </reference>
          <reference field="2" count="1" selected="0">
            <x v="2"/>
          </reference>
          <reference field="4" count="1" selected="0">
            <x v="68"/>
          </reference>
          <reference field="6" count="2">
            <x v="676"/>
            <x v="1175"/>
          </reference>
        </references>
      </pivotArea>
    </format>
    <format dxfId="142">
      <pivotArea dataOnly="0" labelOnly="1" outline="0" fieldPosition="0">
        <references count="4">
          <reference field="1" count="1" selected="0">
            <x v="18"/>
          </reference>
          <reference field="2" count="1" selected="0">
            <x v="2"/>
          </reference>
          <reference field="4" count="1" selected="0">
            <x v="316"/>
          </reference>
          <reference field="6" count="2">
            <x v="632"/>
            <x v="2214"/>
          </reference>
        </references>
      </pivotArea>
    </format>
    <format dxfId="141">
      <pivotArea dataOnly="0" labelOnly="1" outline="0" fieldPosition="0">
        <references count="4">
          <reference field="1" count="1" selected="0">
            <x v="18"/>
          </reference>
          <reference field="2" count="1" selected="0">
            <x v="2"/>
          </reference>
          <reference field="4" count="1" selected="0">
            <x v="323"/>
          </reference>
          <reference field="6" count="1">
            <x v="665"/>
          </reference>
        </references>
      </pivotArea>
    </format>
    <format dxfId="140">
      <pivotArea dataOnly="0" labelOnly="1" outline="0" fieldPosition="0">
        <references count="4">
          <reference field="1" count="1" selected="0">
            <x v="18"/>
          </reference>
          <reference field="2" count="1" selected="0">
            <x v="2"/>
          </reference>
          <reference field="4" count="1" selected="0">
            <x v="325"/>
          </reference>
          <reference field="6" count="1">
            <x v="687"/>
          </reference>
        </references>
      </pivotArea>
    </format>
    <format dxfId="139">
      <pivotArea dataOnly="0" labelOnly="1" outline="0" fieldPosition="0">
        <references count="4">
          <reference field="1" count="1" selected="0">
            <x v="18"/>
          </reference>
          <reference field="2" count="1" selected="0">
            <x v="2"/>
          </reference>
          <reference field="4" count="1" selected="0">
            <x v="327"/>
          </reference>
          <reference field="6" count="2">
            <x v="742"/>
            <x v="1177"/>
          </reference>
        </references>
      </pivotArea>
    </format>
    <format dxfId="138">
      <pivotArea dataOnly="0" labelOnly="1" outline="0" fieldPosition="0">
        <references count="4">
          <reference field="1" count="1" selected="0">
            <x v="18"/>
          </reference>
          <reference field="2" count="1" selected="0">
            <x v="2"/>
          </reference>
          <reference field="4" count="1" selected="0">
            <x v="330"/>
          </reference>
          <reference field="6" count="2">
            <x v="631"/>
            <x v="1420"/>
          </reference>
        </references>
      </pivotArea>
    </format>
    <format dxfId="137">
      <pivotArea dataOnly="0" labelOnly="1" outline="0" fieldPosition="0">
        <references count="4">
          <reference field="1" count="1" selected="0">
            <x v="18"/>
          </reference>
          <reference field="2" count="1" selected="0">
            <x v="3"/>
          </reference>
          <reference field="4" count="1" selected="0">
            <x v="37"/>
          </reference>
          <reference field="6" count="1">
            <x v="709"/>
          </reference>
        </references>
      </pivotArea>
    </format>
    <format dxfId="136">
      <pivotArea dataOnly="0" labelOnly="1" outline="0" fieldPosition="0">
        <references count="4">
          <reference field="1" count="1" selected="0">
            <x v="18"/>
          </reference>
          <reference field="2" count="1" selected="0">
            <x v="3"/>
          </reference>
          <reference field="4" count="1" selected="0">
            <x v="326"/>
          </reference>
          <reference field="6" count="1">
            <x v="698"/>
          </reference>
        </references>
      </pivotArea>
    </format>
    <format dxfId="135">
      <pivotArea dataOnly="0" labelOnly="1" outline="0" fieldPosition="0">
        <references count="4">
          <reference field="1" count="1" selected="0">
            <x v="18"/>
          </reference>
          <reference field="2" count="1" selected="0">
            <x v="4"/>
          </reference>
          <reference field="4" count="1" selected="0">
            <x v="181"/>
          </reference>
          <reference field="6" count="1">
            <x v="742"/>
          </reference>
        </references>
      </pivotArea>
    </format>
    <format dxfId="134">
      <pivotArea dataOnly="0" labelOnly="1" outline="0" fieldPosition="0">
        <references count="4">
          <reference field="1" count="1" selected="0">
            <x v="18"/>
          </reference>
          <reference field="2" count="1" selected="0">
            <x v="4"/>
          </reference>
          <reference field="4" count="1" selected="0">
            <x v="182"/>
          </reference>
          <reference field="6" count="2">
            <x v="597"/>
            <x v="631"/>
          </reference>
        </references>
      </pivotArea>
    </format>
    <format dxfId="133">
      <pivotArea dataOnly="0" labelOnly="1" outline="0" fieldPosition="0">
        <references count="4">
          <reference field="1" count="1" selected="0">
            <x v="18"/>
          </reference>
          <reference field="2" count="1" selected="0">
            <x v="4"/>
          </reference>
          <reference field="4" count="1" selected="0">
            <x v="184"/>
          </reference>
          <reference field="6" count="1">
            <x v="632"/>
          </reference>
        </references>
      </pivotArea>
    </format>
    <format dxfId="132">
      <pivotArea dataOnly="0" labelOnly="1" outline="0" fieldPosition="0">
        <references count="4">
          <reference field="1" count="1" selected="0">
            <x v="18"/>
          </reference>
          <reference field="2" count="1" selected="0">
            <x v="4"/>
          </reference>
          <reference field="4" count="1" selected="0">
            <x v="185"/>
          </reference>
          <reference field="6" count="1">
            <x v="720"/>
          </reference>
        </references>
      </pivotArea>
    </format>
    <format dxfId="131">
      <pivotArea dataOnly="0" labelOnly="1" outline="0" fieldPosition="0">
        <references count="4">
          <reference field="1" count="1" selected="0">
            <x v="18"/>
          </reference>
          <reference field="2" count="1" selected="0">
            <x v="4"/>
          </reference>
          <reference field="4" count="1" selected="0">
            <x v="186"/>
          </reference>
          <reference field="6" count="1">
            <x v="731"/>
          </reference>
        </references>
      </pivotArea>
    </format>
    <format dxfId="130">
      <pivotArea dataOnly="0" labelOnly="1" outline="0" fieldPosition="0">
        <references count="4">
          <reference field="1" count="1" selected="0">
            <x v="18"/>
          </reference>
          <reference field="2" count="1" selected="0">
            <x v="4"/>
          </reference>
          <reference field="4" count="1" selected="0">
            <x v="187"/>
          </reference>
          <reference field="6" count="2">
            <x v="665"/>
            <x v="791"/>
          </reference>
        </references>
      </pivotArea>
    </format>
    <format dxfId="129">
      <pivotArea dataOnly="0" labelOnly="1" outline="0" fieldPosition="0">
        <references count="4">
          <reference field="1" count="1" selected="0">
            <x v="18"/>
          </reference>
          <reference field="2" count="1" selected="0">
            <x v="5"/>
          </reference>
          <reference field="4" count="1" selected="0">
            <x v="36"/>
          </reference>
          <reference field="6" count="1">
            <x v="709"/>
          </reference>
        </references>
      </pivotArea>
    </format>
    <format dxfId="128">
      <pivotArea dataOnly="0" labelOnly="1" outline="0" fieldPosition="0">
        <references count="4">
          <reference field="1" count="1" selected="0">
            <x v="18"/>
          </reference>
          <reference field="2" count="1" selected="0">
            <x v="5"/>
          </reference>
          <reference field="4" count="1" selected="0">
            <x v="129"/>
          </reference>
          <reference field="6" count="1">
            <x v="698"/>
          </reference>
        </references>
      </pivotArea>
    </format>
    <format dxfId="127">
      <pivotArea dataOnly="0" labelOnly="1" outline="0" fieldPosition="0">
        <references count="4">
          <reference field="1" count="1" selected="0">
            <x v="18"/>
          </reference>
          <reference field="2" count="1" selected="0">
            <x v="5"/>
          </reference>
          <reference field="4" count="1" selected="0">
            <x v="162"/>
          </reference>
          <reference field="6" count="1">
            <x v="676"/>
          </reference>
        </references>
      </pivotArea>
    </format>
    <format dxfId="126">
      <pivotArea dataOnly="0" labelOnly="1" outline="0" fieldPosition="0">
        <references count="4">
          <reference field="1" count="1" selected="0">
            <x v="18"/>
          </reference>
          <reference field="2" count="1" selected="0">
            <x v="5"/>
          </reference>
          <reference field="4" count="1" selected="0">
            <x v="163"/>
          </reference>
          <reference field="6" count="1">
            <x v="687"/>
          </reference>
        </references>
      </pivotArea>
    </format>
    <format dxfId="125">
      <pivotArea dataOnly="0" labelOnly="1" outline="0" fieldPosition="0">
        <references count="4">
          <reference field="1" count="1" selected="0">
            <x v="18"/>
          </reference>
          <reference field="2" count="1" selected="0">
            <x v="5"/>
          </reference>
          <reference field="4" count="1" selected="0">
            <x v="164"/>
          </reference>
          <reference field="6" count="1">
            <x v="665"/>
          </reference>
        </references>
      </pivotArea>
    </format>
    <format dxfId="124">
      <pivotArea dataOnly="0" labelOnly="1" outline="0" fieldPosition="0">
        <references count="4">
          <reference field="1" count="1" selected="0">
            <x v="18"/>
          </reference>
          <reference field="2" count="1" selected="0">
            <x v="5"/>
          </reference>
          <reference field="4" count="1" selected="0">
            <x v="165"/>
          </reference>
          <reference field="6" count="1">
            <x v="742"/>
          </reference>
        </references>
      </pivotArea>
    </format>
    <format dxfId="123">
      <pivotArea dataOnly="0" labelOnly="1" outline="0" fieldPosition="0">
        <references count="4">
          <reference field="1" count="1" selected="0">
            <x v="18"/>
          </reference>
          <reference field="2" count="1" selected="0">
            <x v="5"/>
          </reference>
          <reference field="4" count="1" selected="0">
            <x v="166"/>
          </reference>
          <reference field="6" count="2">
            <x v="150"/>
            <x v="676"/>
          </reference>
        </references>
      </pivotArea>
    </format>
    <format dxfId="122">
      <pivotArea dataOnly="0" labelOnly="1" outline="0" fieldPosition="0">
        <references count="4">
          <reference field="1" count="1" selected="0">
            <x v="18"/>
          </reference>
          <reference field="2" count="1" selected="0">
            <x v="5"/>
          </reference>
          <reference field="4" count="1" selected="0">
            <x v="167"/>
          </reference>
          <reference field="6" count="2">
            <x v="676"/>
            <x v="1813"/>
          </reference>
        </references>
      </pivotArea>
    </format>
    <format dxfId="121">
      <pivotArea dataOnly="0" labelOnly="1" outline="0" fieldPosition="0">
        <references count="4">
          <reference field="1" count="1" selected="0">
            <x v="18"/>
          </reference>
          <reference field="2" count="1" selected="0">
            <x v="5"/>
          </reference>
          <reference field="4" count="1" selected="0">
            <x v="180"/>
          </reference>
          <reference field="6" count="1">
            <x v="720"/>
          </reference>
        </references>
      </pivotArea>
    </format>
    <format dxfId="120">
      <pivotArea dataOnly="0" labelOnly="1" outline="0" fieldPosition="0">
        <references count="4">
          <reference field="1" count="1" selected="0">
            <x v="18"/>
          </reference>
          <reference field="2" count="1" selected="0">
            <x v="5"/>
          </reference>
          <reference field="4" count="1" selected="0">
            <x v="193"/>
          </reference>
          <reference field="6" count="2">
            <x v="234"/>
            <x v="698"/>
          </reference>
        </references>
      </pivotArea>
    </format>
    <format dxfId="119">
      <pivotArea dataOnly="0" labelOnly="1" outline="0" fieldPosition="0">
        <references count="4">
          <reference field="1" count="1" selected="0">
            <x v="18"/>
          </reference>
          <reference field="2" count="1" selected="0">
            <x v="5"/>
          </reference>
          <reference field="4" count="1" selected="0">
            <x v="194"/>
          </reference>
          <reference field="6" count="1">
            <x v="709"/>
          </reference>
        </references>
      </pivotArea>
    </format>
    <format dxfId="118">
      <pivotArea dataOnly="0" labelOnly="1" outline="0" fieldPosition="0">
        <references count="4">
          <reference field="1" count="1" selected="0">
            <x v="18"/>
          </reference>
          <reference field="2" count="1" selected="0">
            <x v="5"/>
          </reference>
          <reference field="4" count="1" selected="0">
            <x v="195"/>
          </reference>
          <reference field="6" count="1">
            <x v="720"/>
          </reference>
        </references>
      </pivotArea>
    </format>
    <format dxfId="117">
      <pivotArea dataOnly="0" labelOnly="1" outline="0" fieldPosition="0">
        <references count="4">
          <reference field="1" count="1" selected="0">
            <x v="18"/>
          </reference>
          <reference field="2" count="1" selected="0">
            <x v="5"/>
          </reference>
          <reference field="4" count="1" selected="0">
            <x v="196"/>
          </reference>
          <reference field="6" count="1">
            <x v="731"/>
          </reference>
        </references>
      </pivotArea>
    </format>
    <format dxfId="116">
      <pivotArea dataOnly="0" labelOnly="1" outline="0" fieldPosition="0">
        <references count="4">
          <reference field="1" count="1" selected="0">
            <x v="18"/>
          </reference>
          <reference field="2" count="1" selected="0">
            <x v="5"/>
          </reference>
          <reference field="4" count="1" selected="0">
            <x v="197"/>
          </reference>
          <reference field="6" count="1">
            <x v="742"/>
          </reference>
        </references>
      </pivotArea>
    </format>
    <format dxfId="115">
      <pivotArea dataOnly="0" labelOnly="1" outline="0" fieldPosition="0">
        <references count="4">
          <reference field="1" count="1" selected="0">
            <x v="18"/>
          </reference>
          <reference field="2" count="1" selected="0">
            <x v="5"/>
          </reference>
          <reference field="4" count="1" selected="0">
            <x v="198"/>
          </reference>
          <reference field="6" count="1">
            <x v="742"/>
          </reference>
        </references>
      </pivotArea>
    </format>
    <format dxfId="114">
      <pivotArea dataOnly="0" labelOnly="1" outline="0" fieldPosition="0">
        <references count="4">
          <reference field="1" count="1" selected="0">
            <x v="18"/>
          </reference>
          <reference field="2" count="1" selected="0">
            <x v="5"/>
          </reference>
          <reference field="4" count="1" selected="0">
            <x v="200"/>
          </reference>
          <reference field="6" count="1">
            <x v="687"/>
          </reference>
        </references>
      </pivotArea>
    </format>
    <format dxfId="113">
      <pivotArea dataOnly="0" labelOnly="1" outline="0" fieldPosition="0">
        <references count="4">
          <reference field="1" count="1" selected="0">
            <x v="18"/>
          </reference>
          <reference field="2" count="1" selected="0">
            <x v="5"/>
          </reference>
          <reference field="4" count="1" selected="0">
            <x v="201"/>
          </reference>
          <reference field="6" count="2">
            <x v="632"/>
            <x v="900"/>
          </reference>
        </references>
      </pivotArea>
    </format>
    <format dxfId="112">
      <pivotArea dataOnly="0" labelOnly="1" outline="0" fieldPosition="0">
        <references count="4">
          <reference field="1" count="1" selected="0">
            <x v="18"/>
          </reference>
          <reference field="2" count="1" selected="0">
            <x v="5"/>
          </reference>
          <reference field="4" count="1" selected="0">
            <x v="202"/>
          </reference>
          <reference field="6" count="1">
            <x v="709"/>
          </reference>
        </references>
      </pivotArea>
    </format>
    <format dxfId="111">
      <pivotArea dataOnly="0" labelOnly="1" outline="0" fieldPosition="0">
        <references count="4">
          <reference field="1" count="1" selected="0">
            <x v="18"/>
          </reference>
          <reference field="2" count="1" selected="0">
            <x v="5"/>
          </reference>
          <reference field="4" count="1" selected="0">
            <x v="205"/>
          </reference>
          <reference field="6" count="2">
            <x v="227"/>
            <x v="632"/>
          </reference>
        </references>
      </pivotArea>
    </format>
    <format dxfId="110">
      <pivotArea dataOnly="0" labelOnly="1" outline="0" fieldPosition="0">
        <references count="4">
          <reference field="1" count="1" selected="0">
            <x v="18"/>
          </reference>
          <reference field="2" count="1" selected="0">
            <x v="5"/>
          </reference>
          <reference field="4" count="1" selected="0">
            <x v="206"/>
          </reference>
          <reference field="6" count="1">
            <x v="731"/>
          </reference>
        </references>
      </pivotArea>
    </format>
    <format dxfId="109">
      <pivotArea dataOnly="0" labelOnly="1" outline="0" fieldPosition="0">
        <references count="4">
          <reference field="1" count="1" selected="0">
            <x v="18"/>
          </reference>
          <reference field="2" count="1" selected="0">
            <x v="5"/>
          </reference>
          <reference field="4" count="1" selected="0">
            <x v="207"/>
          </reference>
          <reference field="6" count="1">
            <x v="698"/>
          </reference>
        </references>
      </pivotArea>
    </format>
    <format dxfId="108">
      <pivotArea dataOnly="0" labelOnly="1" outline="0" fieldPosition="0">
        <references count="4">
          <reference field="1" count="1" selected="0">
            <x v="18"/>
          </reference>
          <reference field="2" count="1" selected="0">
            <x v="5"/>
          </reference>
          <reference field="4" count="1" selected="0">
            <x v="208"/>
          </reference>
          <reference field="6" count="1">
            <x v="731"/>
          </reference>
        </references>
      </pivotArea>
    </format>
    <format dxfId="107">
      <pivotArea dataOnly="0" labelOnly="1" outline="0" fieldPosition="0">
        <references count="4">
          <reference field="1" count="1" selected="0">
            <x v="18"/>
          </reference>
          <reference field="2" count="1" selected="0">
            <x v="5"/>
          </reference>
          <reference field="4" count="1" selected="0">
            <x v="209"/>
          </reference>
          <reference field="6" count="1">
            <x v="687"/>
          </reference>
        </references>
      </pivotArea>
    </format>
    <format dxfId="106">
      <pivotArea dataOnly="0" labelOnly="1" outline="0" fieldPosition="0">
        <references count="4">
          <reference field="1" count="1" selected="0">
            <x v="18"/>
          </reference>
          <reference field="2" count="1" selected="0">
            <x v="5"/>
          </reference>
          <reference field="4" count="1" selected="0">
            <x v="210"/>
          </reference>
          <reference field="6" count="2">
            <x v="631"/>
            <x v="2245"/>
          </reference>
        </references>
      </pivotArea>
    </format>
    <format dxfId="105">
      <pivotArea dataOnly="0" labelOnly="1" outline="0" fieldPosition="0">
        <references count="4">
          <reference field="1" count="1" selected="0">
            <x v="18"/>
          </reference>
          <reference field="2" count="1" selected="0">
            <x v="5"/>
          </reference>
          <reference field="4" count="1" selected="0">
            <x v="211"/>
          </reference>
          <reference field="6" count="1">
            <x v="631"/>
          </reference>
        </references>
      </pivotArea>
    </format>
    <format dxfId="104">
      <pivotArea dataOnly="0" labelOnly="1" outline="0" fieldPosition="0">
        <references count="4">
          <reference field="1" count="1" selected="0">
            <x v="18"/>
          </reference>
          <reference field="2" count="1" selected="0">
            <x v="5"/>
          </reference>
          <reference field="4" count="1" selected="0">
            <x v="212"/>
          </reference>
          <reference field="6" count="1">
            <x v="720"/>
          </reference>
        </references>
      </pivotArea>
    </format>
    <format dxfId="103">
      <pivotArea dataOnly="0" labelOnly="1" outline="0" fieldPosition="0">
        <references count="4">
          <reference field="1" count="1" selected="0">
            <x v="18"/>
          </reference>
          <reference field="2" count="1" selected="0">
            <x v="5"/>
          </reference>
          <reference field="4" count="1" selected="0">
            <x v="213"/>
          </reference>
          <reference field="6" count="1">
            <x v="665"/>
          </reference>
        </references>
      </pivotArea>
    </format>
    <format dxfId="102">
      <pivotArea dataOnly="0" labelOnly="1" outline="0" fieldPosition="0">
        <references count="4">
          <reference field="1" count="1" selected="0">
            <x v="18"/>
          </reference>
          <reference field="2" count="1" selected="0">
            <x v="5"/>
          </reference>
          <reference field="4" count="1" selected="0">
            <x v="215"/>
          </reference>
          <reference field="6" count="1">
            <x v="632"/>
          </reference>
        </references>
      </pivotArea>
    </format>
    <format dxfId="101">
      <pivotArea dataOnly="0" labelOnly="1" outline="0" fieldPosition="0">
        <references count="4">
          <reference field="1" count="1" selected="0">
            <x v="20"/>
          </reference>
          <reference field="2" count="1" selected="0">
            <x v="0"/>
          </reference>
          <reference field="4" count="1" selected="0">
            <x v="63"/>
          </reference>
          <reference field="6" count="1">
            <x v="631"/>
          </reference>
        </references>
      </pivotArea>
    </format>
    <format dxfId="100">
      <pivotArea dataOnly="0" labelOnly="1" outline="0" fieldPosition="0">
        <references count="4">
          <reference field="1" count="1" selected="0">
            <x v="20"/>
          </reference>
          <reference field="2" count="1" selected="0">
            <x v="1"/>
          </reference>
          <reference field="4" count="1" selected="0">
            <x v="60"/>
          </reference>
          <reference field="6" count="1">
            <x v="665"/>
          </reference>
        </references>
      </pivotArea>
    </format>
    <format dxfId="99">
      <pivotArea dataOnly="0" labelOnly="1" outline="0" fieldPosition="0">
        <references count="4">
          <reference field="1" count="1" selected="0">
            <x v="20"/>
          </reference>
          <reference field="2" count="1" selected="0">
            <x v="2"/>
          </reference>
          <reference field="4" count="1" selected="0">
            <x v="352"/>
          </reference>
          <reference field="6" count="1">
            <x v="687"/>
          </reference>
        </references>
      </pivotArea>
    </format>
    <format dxfId="98">
      <pivotArea dataOnly="0" labelOnly="1" outline="0" fieldPosition="0">
        <references count="4">
          <reference field="1" count="1" selected="0">
            <x v="20"/>
          </reference>
          <reference field="2" count="1" selected="0">
            <x v="2"/>
          </reference>
          <reference field="4" count="1" selected="0">
            <x v="353"/>
          </reference>
          <reference field="6" count="1">
            <x v="676"/>
          </reference>
        </references>
      </pivotArea>
    </format>
    <format dxfId="97">
      <pivotArea dataOnly="0" labelOnly="1" outline="0" fieldPosition="0">
        <references count="4">
          <reference field="1" count="1" selected="0">
            <x v="20"/>
          </reference>
          <reference field="2" count="1" selected="0">
            <x v="3"/>
          </reference>
          <reference field="4" count="1" selected="0">
            <x v="318"/>
          </reference>
          <reference field="6" count="1">
            <x v="698"/>
          </reference>
        </references>
      </pivotArea>
    </format>
    <format dxfId="96">
      <pivotArea dataOnly="0" labelOnly="1" outline="0" fieldPosition="0">
        <references count="4">
          <reference field="1" count="1" selected="0">
            <x v="25"/>
          </reference>
          <reference field="2" count="1" selected="0">
            <x v="0"/>
          </reference>
          <reference field="4" count="1" selected="0">
            <x v="358"/>
          </reference>
          <reference field="6" count="1">
            <x v="665"/>
          </reference>
        </references>
      </pivotArea>
    </format>
    <format dxfId="95">
      <pivotArea dataOnly="0" labelOnly="1" outline="0" fieldPosition="0">
        <references count="4">
          <reference field="1" count="1" selected="0">
            <x v="25"/>
          </reference>
          <reference field="2" count="1" selected="0">
            <x v="0"/>
          </reference>
          <reference field="4" count="1" selected="0">
            <x v="360"/>
          </reference>
          <reference field="6" count="1">
            <x v="676"/>
          </reference>
        </references>
      </pivotArea>
    </format>
    <format dxfId="94">
      <pivotArea dataOnly="0" labelOnly="1" outline="0" fieldPosition="0">
        <references count="4">
          <reference field="1" count="1" selected="0">
            <x v="25"/>
          </reference>
          <reference field="2" count="1" selected="0">
            <x v="0"/>
          </reference>
          <reference field="4" count="1" selected="0">
            <x v="362"/>
          </reference>
          <reference field="6" count="1">
            <x v="698"/>
          </reference>
        </references>
      </pivotArea>
    </format>
    <format dxfId="93">
      <pivotArea dataOnly="0" labelOnly="1" outline="0" fieldPosition="0">
        <references count="4">
          <reference field="1" count="1" selected="0">
            <x v="25"/>
          </reference>
          <reference field="2" count="1" selected="0">
            <x v="0"/>
          </reference>
          <reference field="4" count="1" selected="0">
            <x v="364"/>
          </reference>
          <reference field="6" count="1">
            <x v="631"/>
          </reference>
        </references>
      </pivotArea>
    </format>
    <format dxfId="92">
      <pivotArea dataOnly="0" labelOnly="1" outline="0" fieldPosition="0">
        <references count="4">
          <reference field="1" count="1" selected="0">
            <x v="25"/>
          </reference>
          <reference field="2" count="1" selected="0">
            <x v="0"/>
          </reference>
          <reference field="4" count="1" selected="0">
            <x v="366"/>
          </reference>
          <reference field="6" count="1">
            <x v="687"/>
          </reference>
        </references>
      </pivotArea>
    </format>
    <format dxfId="91">
      <pivotArea dataOnly="0" labelOnly="1" outline="0" fieldPosition="0">
        <references count="4">
          <reference field="1" count="1" selected="0">
            <x v="25"/>
          </reference>
          <reference field="2" count="1" selected="0">
            <x v="1"/>
          </reference>
          <reference field="4" count="1" selected="0">
            <x v="232"/>
          </reference>
          <reference field="6" count="1">
            <x v="720"/>
          </reference>
        </references>
      </pivotArea>
    </format>
    <format dxfId="90">
      <pivotArea dataOnly="0" labelOnly="1" outline="0" fieldPosition="0">
        <references count="4">
          <reference field="1" count="1" selected="0">
            <x v="25"/>
          </reference>
          <reference field="2" count="1" selected="0">
            <x v="1"/>
          </reference>
          <reference field="4" count="1" selected="0">
            <x v="259"/>
          </reference>
          <reference field="6" count="1">
            <x v="632"/>
          </reference>
        </references>
      </pivotArea>
    </format>
    <format dxfId="89">
      <pivotArea dataOnly="0" labelOnly="1" outline="0" fieldPosition="0">
        <references count="4">
          <reference field="1" count="1" selected="0">
            <x v="25"/>
          </reference>
          <reference field="2" count="1" selected="0">
            <x v="1"/>
          </reference>
          <reference field="4" count="1" selected="0">
            <x v="260"/>
          </reference>
          <reference field="6" count="1">
            <x v="720"/>
          </reference>
        </references>
      </pivotArea>
    </format>
    <format dxfId="88">
      <pivotArea dataOnly="0" labelOnly="1" outline="0" fieldPosition="0">
        <references count="4">
          <reference field="1" count="1" selected="0">
            <x v="25"/>
          </reference>
          <reference field="2" count="1" selected="0">
            <x v="1"/>
          </reference>
          <reference field="4" count="1" selected="0">
            <x v="261"/>
          </reference>
          <reference field="6" count="1">
            <x v="631"/>
          </reference>
        </references>
      </pivotArea>
    </format>
    <format dxfId="87">
      <pivotArea dataOnly="0" labelOnly="1" outline="0" fieldPosition="0">
        <references count="4">
          <reference field="1" count="1" selected="0">
            <x v="25"/>
          </reference>
          <reference field="2" count="1" selected="0">
            <x v="1"/>
          </reference>
          <reference field="4" count="1" selected="0">
            <x v="269"/>
          </reference>
          <reference field="6" count="1">
            <x v="665"/>
          </reference>
        </references>
      </pivotArea>
    </format>
    <format dxfId="86">
      <pivotArea dataOnly="0" labelOnly="1" outline="0" fieldPosition="0">
        <references count="4">
          <reference field="1" count="1" selected="0">
            <x v="25"/>
          </reference>
          <reference field="2" count="1" selected="0">
            <x v="1"/>
          </reference>
          <reference field="4" count="1" selected="0">
            <x v="271"/>
          </reference>
          <reference field="6" count="1">
            <x v="742"/>
          </reference>
        </references>
      </pivotArea>
    </format>
    <format dxfId="85">
      <pivotArea dataOnly="0" labelOnly="1" outline="0" fieldPosition="0">
        <references count="4">
          <reference field="1" count="1" selected="0">
            <x v="25"/>
          </reference>
          <reference field="2" count="1" selected="0">
            <x v="1"/>
          </reference>
          <reference field="4" count="1" selected="0">
            <x v="272"/>
          </reference>
          <reference field="6" count="1">
            <x v="731"/>
          </reference>
        </references>
      </pivotArea>
    </format>
    <format dxfId="84">
      <pivotArea dataOnly="0" labelOnly="1" outline="0" fieldPosition="0">
        <references count="4">
          <reference field="1" count="1" selected="0">
            <x v="25"/>
          </reference>
          <reference field="2" count="1" selected="0">
            <x v="1"/>
          </reference>
          <reference field="4" count="1" selected="0">
            <x v="279"/>
          </reference>
          <reference field="6" count="1">
            <x v="709"/>
          </reference>
        </references>
      </pivotArea>
    </format>
    <format dxfId="83">
      <pivotArea dataOnly="0" labelOnly="1" outline="0" fieldPosition="0">
        <references count="4">
          <reference field="1" count="1" selected="0">
            <x v="25"/>
          </reference>
          <reference field="2" count="1" selected="0">
            <x v="1"/>
          </reference>
          <reference field="4" count="1" selected="0">
            <x v="285"/>
          </reference>
          <reference field="6" count="1">
            <x v="676"/>
          </reference>
        </references>
      </pivotArea>
    </format>
    <format dxfId="82">
      <pivotArea dataOnly="0" labelOnly="1" outline="0" fieldPosition="0">
        <references count="4">
          <reference field="1" count="1" selected="0">
            <x v="25"/>
          </reference>
          <reference field="2" count="1" selected="0">
            <x v="1"/>
          </reference>
          <reference field="4" count="1" selected="0">
            <x v="294"/>
          </reference>
          <reference field="6" count="1">
            <x v="731"/>
          </reference>
        </references>
      </pivotArea>
    </format>
    <format dxfId="81">
      <pivotArea dataOnly="0" labelOnly="1" outline="0" fieldPosition="0">
        <references count="4">
          <reference field="1" count="1" selected="0">
            <x v="25"/>
          </reference>
          <reference field="2" count="1" selected="0">
            <x v="1"/>
          </reference>
          <reference field="4" count="1" selected="0">
            <x v="296"/>
          </reference>
          <reference field="6" count="1">
            <x v="709"/>
          </reference>
        </references>
      </pivotArea>
    </format>
    <format dxfId="80">
      <pivotArea dataOnly="0" labelOnly="1" outline="0" fieldPosition="0">
        <references count="4">
          <reference field="1" count="1" selected="0">
            <x v="25"/>
          </reference>
          <reference field="2" count="1" selected="0">
            <x v="1"/>
          </reference>
          <reference field="4" count="1" selected="0">
            <x v="299"/>
          </reference>
          <reference field="6" count="1">
            <x v="698"/>
          </reference>
        </references>
      </pivotArea>
    </format>
    <format dxfId="79">
      <pivotArea dataOnly="0" labelOnly="1" outline="0" fieldPosition="0">
        <references count="4">
          <reference field="1" count="1" selected="0">
            <x v="25"/>
          </reference>
          <reference field="2" count="1" selected="0">
            <x v="1"/>
          </reference>
          <reference field="4" count="1" selected="0">
            <x v="301"/>
          </reference>
          <reference field="6" count="1">
            <x v="687"/>
          </reference>
        </references>
      </pivotArea>
    </format>
    <format dxfId="78">
      <pivotArea dataOnly="0" labelOnly="1" outline="0" fieldPosition="0">
        <references count="4">
          <reference field="1" count="1" selected="0">
            <x v="25"/>
          </reference>
          <reference field="2" count="1" selected="0">
            <x v="2"/>
          </reference>
          <reference field="4" count="1" selected="0">
            <x v="348"/>
          </reference>
          <reference field="6" count="1">
            <x v="665"/>
          </reference>
        </references>
      </pivotArea>
    </format>
    <format dxfId="77">
      <pivotArea dataOnly="0" labelOnly="1" outline="0" fieldPosition="0">
        <references count="4">
          <reference field="1" count="1" selected="0">
            <x v="25"/>
          </reference>
          <reference field="2" count="1" selected="0">
            <x v="2"/>
          </reference>
          <reference field="4" count="1" selected="0">
            <x v="350"/>
          </reference>
          <reference field="6" count="1">
            <x v="632"/>
          </reference>
        </references>
      </pivotArea>
    </format>
    <format dxfId="76">
      <pivotArea dataOnly="0" labelOnly="1" outline="0" fieldPosition="0">
        <references count="4">
          <reference field="1" count="1" selected="0">
            <x v="25"/>
          </reference>
          <reference field="2" count="1" selected="0">
            <x v="2"/>
          </reference>
          <reference field="4" count="1" selected="0">
            <x v="371"/>
          </reference>
          <reference field="6" count="1">
            <x v="631"/>
          </reference>
        </references>
      </pivotArea>
    </format>
    <format dxfId="75">
      <pivotArea dataOnly="0" labelOnly="1" outline="0" fieldPosition="0">
        <references count="4">
          <reference field="1" count="1" selected="0">
            <x v="25"/>
          </reference>
          <reference field="2" count="1" selected="0">
            <x v="2"/>
          </reference>
          <reference field="4" count="1" selected="0">
            <x v="373"/>
          </reference>
          <reference field="6" count="1">
            <x v="742"/>
          </reference>
        </references>
      </pivotArea>
    </format>
    <format dxfId="74">
      <pivotArea dataOnly="0" labelOnly="1" outline="0" fieldPosition="0">
        <references count="4">
          <reference field="1" count="1" selected="0">
            <x v="25"/>
          </reference>
          <reference field="2" count="1" selected="0">
            <x v="2"/>
          </reference>
          <reference field="4" count="1" selected="0">
            <x v="379"/>
          </reference>
          <reference field="6" count="1">
            <x v="676"/>
          </reference>
        </references>
      </pivotArea>
    </format>
    <format dxfId="73">
      <pivotArea dataOnly="0" labelOnly="1" outline="0" fieldPosition="0">
        <references count="4">
          <reference field="1" count="1" selected="0">
            <x v="25"/>
          </reference>
          <reference field="2" count="1" selected="0">
            <x v="2"/>
          </reference>
          <reference field="4" count="1" selected="0">
            <x v="381"/>
          </reference>
          <reference field="6" count="1">
            <x v="687"/>
          </reference>
        </references>
      </pivotArea>
    </format>
    <format dxfId="72">
      <pivotArea dataOnly="0" labelOnly="1" outline="0" fieldPosition="0">
        <references count="4">
          <reference field="1" count="1" selected="0">
            <x v="25"/>
          </reference>
          <reference field="2" count="1" selected="0">
            <x v="3"/>
          </reference>
          <reference field="4" count="1" selected="0">
            <x v="368"/>
          </reference>
          <reference field="6" count="1">
            <x v="709"/>
          </reference>
        </references>
      </pivotArea>
    </format>
    <format dxfId="71">
      <pivotArea dataOnly="0" labelOnly="1" outline="0" fieldPosition="0">
        <references count="4">
          <reference field="1" count="1" selected="0">
            <x v="25"/>
          </reference>
          <reference field="2" count="1" selected="0">
            <x v="3"/>
          </reference>
          <reference field="4" count="1" selected="0">
            <x v="369"/>
          </reference>
          <reference field="6" count="1">
            <x v="698"/>
          </reference>
        </references>
      </pivotArea>
    </format>
    <format dxfId="70">
      <pivotArea dataOnly="0" labelOnly="1" outline="0" fieldPosition="0">
        <references count="4">
          <reference field="1" count="1" selected="0">
            <x v="25"/>
          </reference>
          <reference field="2" count="1" selected="0">
            <x v="4"/>
          </reference>
          <reference field="4" count="1" selected="0">
            <x v="426"/>
          </reference>
          <reference field="6" count="1">
            <x v="720"/>
          </reference>
        </references>
      </pivotArea>
    </format>
    <format dxfId="69">
      <pivotArea dataOnly="0" labelOnly="1" outline="0" fieldPosition="0">
        <references count="4">
          <reference field="1" count="1" selected="0">
            <x v="25"/>
          </reference>
          <reference field="2" count="1" selected="0">
            <x v="4"/>
          </reference>
          <reference field="4" count="1" selected="0">
            <x v="428"/>
          </reference>
          <reference field="6" count="1">
            <x v="742"/>
          </reference>
        </references>
      </pivotArea>
    </format>
    <format dxfId="68">
      <pivotArea dataOnly="0" labelOnly="1" outline="0" fieldPosition="0">
        <references count="4">
          <reference field="1" count="1" selected="0">
            <x v="25"/>
          </reference>
          <reference field="2" count="1" selected="0">
            <x v="4"/>
          </reference>
          <reference field="4" count="1" selected="0">
            <x v="431"/>
          </reference>
          <reference field="6" count="1">
            <x v="731"/>
          </reference>
        </references>
      </pivotArea>
    </format>
    <format dxfId="67">
      <pivotArea dataOnly="0" labelOnly="1" outline="0" fieldPosition="0">
        <references count="4">
          <reference field="1" count="1" selected="0">
            <x v="25"/>
          </reference>
          <reference field="2" count="1" selected="0">
            <x v="4"/>
          </reference>
          <reference field="4" count="1" selected="0">
            <x v="433"/>
          </reference>
          <reference field="6" count="1">
            <x v="632"/>
          </reference>
        </references>
      </pivotArea>
    </format>
    <format dxfId="66">
      <pivotArea dataOnly="0" labelOnly="1" outline="0" fieldPosition="0">
        <references count="4">
          <reference field="1" count="1" selected="0">
            <x v="25"/>
          </reference>
          <reference field="2" count="1" selected="0">
            <x v="5"/>
          </reference>
          <reference field="4" count="1" selected="0">
            <x v="57"/>
          </reference>
          <reference field="6" count="1">
            <x v="720"/>
          </reference>
        </references>
      </pivotArea>
    </format>
    <format dxfId="65">
      <pivotArea dataOnly="0" labelOnly="1" outline="0" fieldPosition="0">
        <references count="4">
          <reference field="1" count="1" selected="0">
            <x v="25"/>
          </reference>
          <reference field="2" count="1" selected="0">
            <x v="5"/>
          </reference>
          <reference field="4" count="1" selected="0">
            <x v="331"/>
          </reference>
          <reference field="6" count="1">
            <x v="631"/>
          </reference>
        </references>
      </pivotArea>
    </format>
    <format dxfId="64">
      <pivotArea dataOnly="0" labelOnly="1" outline="0" fieldPosition="0">
        <references count="4">
          <reference field="1" count="1" selected="0">
            <x v="25"/>
          </reference>
          <reference field="2" count="1" selected="0">
            <x v="5"/>
          </reference>
          <reference field="4" count="1" selected="0">
            <x v="335"/>
          </reference>
          <reference field="6" count="1">
            <x v="665"/>
          </reference>
        </references>
      </pivotArea>
    </format>
    <format dxfId="63">
      <pivotArea dataOnly="0" labelOnly="1" outline="0" fieldPosition="0">
        <references count="4">
          <reference field="1" count="1" selected="0">
            <x v="25"/>
          </reference>
          <reference field="2" count="1" selected="0">
            <x v="5"/>
          </reference>
          <reference field="4" count="1" selected="0">
            <x v="377"/>
          </reference>
          <reference field="6" count="1">
            <x v="720"/>
          </reference>
        </references>
      </pivotArea>
    </format>
    <format dxfId="62">
      <pivotArea dataOnly="0" labelOnly="1" outline="0" fieldPosition="0">
        <references count="4">
          <reference field="1" count="1" selected="0">
            <x v="25"/>
          </reference>
          <reference field="2" count="1" selected="0">
            <x v="5"/>
          </reference>
          <reference field="4" count="1" selected="0">
            <x v="382"/>
          </reference>
          <reference field="6" count="1">
            <x v="742"/>
          </reference>
        </references>
      </pivotArea>
    </format>
    <format dxfId="61">
      <pivotArea dataOnly="0" labelOnly="1" outline="0" fieldPosition="0">
        <references count="4">
          <reference field="1" count="1" selected="0">
            <x v="25"/>
          </reference>
          <reference field="2" count="1" selected="0">
            <x v="5"/>
          </reference>
          <reference field="4" count="1" selected="0">
            <x v="383"/>
          </reference>
          <reference field="6" count="1">
            <x v="742"/>
          </reference>
        </references>
      </pivotArea>
    </format>
    <format dxfId="60">
      <pivotArea dataOnly="0" labelOnly="1" outline="0" fieldPosition="0">
        <references count="4">
          <reference field="1" count="1" selected="0">
            <x v="25"/>
          </reference>
          <reference field="2" count="1" selected="0">
            <x v="5"/>
          </reference>
          <reference field="4" count="1" selected="0">
            <x v="386"/>
          </reference>
          <reference field="6" count="1">
            <x v="632"/>
          </reference>
        </references>
      </pivotArea>
    </format>
    <format dxfId="59">
      <pivotArea dataOnly="0" labelOnly="1" outline="0" fieldPosition="0">
        <references count="4">
          <reference field="1" count="1" selected="0">
            <x v="25"/>
          </reference>
          <reference field="2" count="1" selected="0">
            <x v="5"/>
          </reference>
          <reference field="4" count="1" selected="0">
            <x v="387"/>
          </reference>
          <reference field="6" count="1">
            <x v="709"/>
          </reference>
        </references>
      </pivotArea>
    </format>
    <format dxfId="58">
      <pivotArea dataOnly="0" labelOnly="1" outline="0" fieldPosition="0">
        <references count="4">
          <reference field="1" count="1" selected="0">
            <x v="25"/>
          </reference>
          <reference field="2" count="1" selected="0">
            <x v="5"/>
          </reference>
          <reference field="4" count="1" selected="0">
            <x v="388"/>
          </reference>
          <reference field="6" count="1">
            <x v="731"/>
          </reference>
        </references>
      </pivotArea>
    </format>
    <format dxfId="57">
      <pivotArea dataOnly="0" labelOnly="1" outline="0" fieldPosition="0">
        <references count="4">
          <reference field="1" count="1" selected="0">
            <x v="25"/>
          </reference>
          <reference field="2" count="1" selected="0">
            <x v="5"/>
          </reference>
          <reference field="4" count="1" selected="0">
            <x v="389"/>
          </reference>
          <reference field="6" count="1">
            <x v="687"/>
          </reference>
        </references>
      </pivotArea>
    </format>
    <format dxfId="56">
      <pivotArea dataOnly="0" labelOnly="1" outline="0" fieldPosition="0">
        <references count="4">
          <reference field="1" count="1" selected="0">
            <x v="25"/>
          </reference>
          <reference field="2" count="1" selected="0">
            <x v="5"/>
          </reference>
          <reference field="4" count="1" selected="0">
            <x v="390"/>
          </reference>
          <reference field="6" count="1">
            <x v="687"/>
          </reference>
        </references>
      </pivotArea>
    </format>
    <format dxfId="55">
      <pivotArea dataOnly="0" labelOnly="1" outline="0" fieldPosition="0">
        <references count="4">
          <reference field="1" count="1" selected="0">
            <x v="25"/>
          </reference>
          <reference field="2" count="1" selected="0">
            <x v="5"/>
          </reference>
          <reference field="4" count="1" selected="0">
            <x v="391"/>
          </reference>
          <reference field="6" count="1">
            <x v="731"/>
          </reference>
        </references>
      </pivotArea>
    </format>
    <format dxfId="54">
      <pivotArea dataOnly="0" labelOnly="1" outline="0" fieldPosition="0">
        <references count="4">
          <reference field="1" count="1" selected="0">
            <x v="25"/>
          </reference>
          <reference field="2" count="1" selected="0">
            <x v="5"/>
          </reference>
          <reference field="4" count="1" selected="0">
            <x v="392"/>
          </reference>
          <reference field="6" count="1">
            <x v="676"/>
          </reference>
        </references>
      </pivotArea>
    </format>
    <format dxfId="53">
      <pivotArea dataOnly="0" labelOnly="1" outline="0" fieldPosition="0">
        <references count="4">
          <reference field="1" count="1" selected="0">
            <x v="25"/>
          </reference>
          <reference field="2" count="1" selected="0">
            <x v="5"/>
          </reference>
          <reference field="4" count="1" selected="0">
            <x v="393"/>
          </reference>
          <reference field="6" count="1">
            <x v="676"/>
          </reference>
        </references>
      </pivotArea>
    </format>
    <format dxfId="52">
      <pivotArea dataOnly="0" labelOnly="1" outline="0" fieldPosition="0">
        <references count="4">
          <reference field="1" count="1" selected="0">
            <x v="25"/>
          </reference>
          <reference field="2" count="1" selected="0">
            <x v="5"/>
          </reference>
          <reference field="4" count="1" selected="0">
            <x v="395"/>
          </reference>
          <reference field="6" count="1">
            <x v="698"/>
          </reference>
        </references>
      </pivotArea>
    </format>
    <format dxfId="51">
      <pivotArea dataOnly="0" labelOnly="1" outline="0" fieldPosition="0">
        <references count="4">
          <reference field="1" count="1" selected="0">
            <x v="25"/>
          </reference>
          <reference field="2" count="1" selected="0">
            <x v="5"/>
          </reference>
          <reference field="4" count="1" selected="0">
            <x v="396"/>
          </reference>
          <reference field="6" count="1">
            <x v="631"/>
          </reference>
        </references>
      </pivotArea>
    </format>
    <format dxfId="50">
      <pivotArea dataOnly="0" labelOnly="1" outline="0" fieldPosition="0">
        <references count="4">
          <reference field="1" count="1" selected="0">
            <x v="25"/>
          </reference>
          <reference field="2" count="1" selected="0">
            <x v="5"/>
          </reference>
          <reference field="4" count="1" selected="0">
            <x v="397"/>
          </reference>
          <reference field="6" count="1">
            <x v="698"/>
          </reference>
        </references>
      </pivotArea>
    </format>
    <format dxfId="49">
      <pivotArea dataOnly="0" labelOnly="1" outline="0" fieldPosition="0">
        <references count="4">
          <reference field="1" count="1" selected="0">
            <x v="25"/>
          </reference>
          <reference field="2" count="1" selected="0">
            <x v="5"/>
          </reference>
          <reference field="4" count="1" selected="0">
            <x v="398"/>
          </reference>
          <reference field="6" count="1">
            <x v="665"/>
          </reference>
        </references>
      </pivotArea>
    </format>
    <format dxfId="48">
      <pivotArea dataOnly="0" labelOnly="1" outline="0" fieldPosition="0">
        <references count="4">
          <reference field="1" count="1" selected="0">
            <x v="25"/>
          </reference>
          <reference field="2" count="1" selected="0">
            <x v="5"/>
          </reference>
          <reference field="4" count="1" selected="0">
            <x v="399"/>
          </reference>
          <reference field="6" count="1">
            <x v="709"/>
          </reference>
        </references>
      </pivotArea>
    </format>
    <format dxfId="47">
      <pivotArea dataOnly="0" labelOnly="1" outline="0" fieldPosition="0">
        <references count="4">
          <reference field="1" count="1" selected="0">
            <x v="25"/>
          </reference>
          <reference field="2" count="1" selected="0">
            <x v="5"/>
          </reference>
          <reference field="4" count="1" selected="0">
            <x v="400"/>
          </reference>
          <reference field="6" count="1">
            <x v="632"/>
          </reference>
        </references>
      </pivotArea>
    </format>
    <format dxfId="46">
      <pivotArea dataOnly="0" labelOnly="1" outline="0" fieldPosition="0">
        <references count="4">
          <reference field="1" count="1" selected="0">
            <x v="25"/>
          </reference>
          <reference field="2" count="1" selected="0">
            <x v="6"/>
          </reference>
          <reference field="4" count="1" selected="0">
            <x v="61"/>
          </reference>
          <reference field="6" count="1">
            <x v="698"/>
          </reference>
        </references>
      </pivotArea>
    </format>
    <format dxfId="45">
      <pivotArea dataOnly="0" labelOnly="1" outline="0" fieldPosition="0">
        <references count="4">
          <reference field="1" count="1" selected="0">
            <x v="25"/>
          </reference>
          <reference field="2" count="1" selected="0">
            <x v="6"/>
          </reference>
          <reference field="4" count="1" selected="0">
            <x v="62"/>
          </reference>
          <reference field="6" count="1">
            <x v="742"/>
          </reference>
        </references>
      </pivotArea>
    </format>
    <format dxfId="44">
      <pivotArea dataOnly="0" labelOnly="1" outline="0" fieldPosition="0">
        <references count="4">
          <reference field="1" count="1" selected="0">
            <x v="25"/>
          </reference>
          <reference field="2" count="1" selected="0">
            <x v="6"/>
          </reference>
          <reference field="4" count="1" selected="0">
            <x v="135"/>
          </reference>
          <reference field="6" count="1">
            <x v="665"/>
          </reference>
        </references>
      </pivotArea>
    </format>
    <format dxfId="43">
      <pivotArea dataOnly="0" labelOnly="1" outline="0" fieldPosition="0">
        <references count="4">
          <reference field="1" count="1" selected="0">
            <x v="25"/>
          </reference>
          <reference field="2" count="1" selected="0">
            <x v="6"/>
          </reference>
          <reference field="4" count="1" selected="0">
            <x v="138"/>
          </reference>
          <reference field="6" count="1">
            <x v="720"/>
          </reference>
        </references>
      </pivotArea>
    </format>
    <format dxfId="42">
      <pivotArea dataOnly="0" labelOnly="1" outline="0" fieldPosition="0">
        <references count="4">
          <reference field="1" count="1" selected="0">
            <x v="25"/>
          </reference>
          <reference field="2" count="1" selected="0">
            <x v="6"/>
          </reference>
          <reference field="4" count="1" selected="0">
            <x v="140"/>
          </reference>
          <reference field="6" count="1">
            <x v="709"/>
          </reference>
        </references>
      </pivotArea>
    </format>
    <format dxfId="41">
      <pivotArea dataOnly="0" labelOnly="1" outline="0" fieldPosition="0">
        <references count="4">
          <reference field="1" count="1" selected="0">
            <x v="25"/>
          </reference>
          <reference field="2" count="1" selected="0">
            <x v="6"/>
          </reference>
          <reference field="4" count="1" selected="0">
            <x v="142"/>
          </reference>
          <reference field="6" count="1">
            <x v="632"/>
          </reference>
        </references>
      </pivotArea>
    </format>
    <format dxfId="40">
      <pivotArea dataOnly="0" labelOnly="1" outline="0" fieldPosition="0">
        <references count="4">
          <reference field="1" count="1" selected="0">
            <x v="25"/>
          </reference>
          <reference field="2" count="1" selected="0">
            <x v="6"/>
          </reference>
          <reference field="4" count="1" selected="0">
            <x v="144"/>
          </reference>
          <reference field="6" count="1">
            <x v="731"/>
          </reference>
        </references>
      </pivotArea>
    </format>
    <format dxfId="39">
      <pivotArea dataOnly="0" labelOnly="1" outline="0" fieldPosition="0">
        <references count="4">
          <reference field="1" count="1" selected="0">
            <x v="25"/>
          </reference>
          <reference field="2" count="1" selected="0">
            <x v="6"/>
          </reference>
          <reference field="4" count="1" selected="0">
            <x v="146"/>
          </reference>
          <reference field="6" count="1">
            <x v="631"/>
          </reference>
        </references>
      </pivotArea>
    </format>
    <format dxfId="38">
      <pivotArea dataOnly="0" labelOnly="1" outline="0" fieldPosition="0">
        <references count="4">
          <reference field="1" count="1" selected="0">
            <x v="25"/>
          </reference>
          <reference field="2" count="1" selected="0">
            <x v="6"/>
          </reference>
          <reference field="4" count="1" selected="0">
            <x v="148"/>
          </reference>
          <reference field="6" count="1">
            <x v="631"/>
          </reference>
        </references>
      </pivotArea>
    </format>
    <format dxfId="37">
      <pivotArea dataOnly="0" labelOnly="1" outline="0" fieldPosition="0">
        <references count="4">
          <reference field="1" count="1" selected="0">
            <x v="25"/>
          </reference>
          <reference field="2" count="1" selected="0">
            <x v="6"/>
          </reference>
          <reference field="4" count="1" selected="0">
            <x v="384"/>
          </reference>
          <reference field="6" count="1">
            <x v="687"/>
          </reference>
        </references>
      </pivotArea>
    </format>
    <format dxfId="36">
      <pivotArea dataOnly="0" labelOnly="1" outline="0" fieldPosition="0">
        <references count="4">
          <reference field="1" count="1" selected="0">
            <x v="25"/>
          </reference>
          <reference field="2" count="1" selected="0">
            <x v="6"/>
          </reference>
          <reference field="4" count="1" selected="0">
            <x v="394"/>
          </reference>
          <reference field="6" count="1">
            <x v="67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D556F98-D3AD-46FF-97E1-EA25DCC734DF}" name="PivotTable1" cacheId="260" applyNumberFormats="0" applyBorderFormats="0" applyFontFormats="0" applyPatternFormats="0" applyAlignmentFormats="0" applyWidthHeightFormats="1" dataCaption="Values" updatedVersion="8" minRefreshableVersion="3" useAutoFormatting="1" rowGrandTotals="0" colGrandTotals="0" itemPrintTitles="1" createdVersion="7" indent="0" compact="0" compactData="0" multipleFieldFilters="0">
  <location ref="AI4:AK84" firstHeaderRow="1" firstDataRow="1" firstDataCol="3"/>
  <pivotFields count="4">
    <pivotField axis="axisRow" compact="0" outline="0" showAll="0" defaultSubtotal="0">
      <items count="4">
        <item x="0"/>
        <item x="1"/>
        <item x="3"/>
        <item x="2"/>
      </items>
      <extLst>
        <ext xmlns:x14="http://schemas.microsoft.com/office/spreadsheetml/2009/9/main" uri="{2946ED86-A175-432a-8AC1-64E0C546D7DE}">
          <x14:pivotField fillDownLabels="1"/>
        </ext>
      </extLst>
    </pivotField>
    <pivotField axis="axisRow" compact="0" outline="0" showAll="0" defaultSubtotal="0">
      <items count="26">
        <item x="13"/>
        <item x="0"/>
        <item x="1"/>
        <item m="1" x="25"/>
        <item x="3"/>
        <item x="4"/>
        <item x="5"/>
        <item x="6"/>
        <item x="7"/>
        <item m="1" x="21"/>
        <item x="12"/>
        <item x="9"/>
        <item x="10"/>
        <item x="11"/>
        <item x="19"/>
        <item x="14"/>
        <item m="1" x="23"/>
        <item m="1" x="20"/>
        <item m="1" x="22"/>
        <item x="18"/>
        <item x="2"/>
        <item x="8"/>
        <item x="15"/>
        <item x="16"/>
        <item m="1" x="24"/>
        <item x="17"/>
      </items>
      <extLst>
        <ext xmlns:x14="http://schemas.microsoft.com/office/spreadsheetml/2009/9/main" uri="{2946ED86-A175-432a-8AC1-64E0C546D7DE}">
          <x14:pivotField fillDownLabels="1"/>
        </ext>
      </extLst>
    </pivotField>
    <pivotField axis="axisRow" compact="0" outline="0" showAll="0" defaultSubtotal="0">
      <items count="107">
        <item m="1" x="99"/>
        <item x="1"/>
        <item x="2"/>
        <item x="13"/>
        <item x="14"/>
        <item x="18"/>
        <item x="21"/>
        <item x="24"/>
        <item x="27"/>
        <item x="32"/>
        <item m="1" x="104"/>
        <item x="40"/>
        <item x="9"/>
        <item x="62"/>
        <item m="1" x="86"/>
        <item m="1" x="90"/>
        <item m="1" x="95"/>
        <item x="58"/>
        <item x="41"/>
        <item x="42"/>
        <item x="51"/>
        <item m="1" x="80"/>
        <item m="1" x="103"/>
        <item m="1" x="81"/>
        <item m="1" x="98"/>
        <item m="1" x="97"/>
        <item x="59"/>
        <item x="43"/>
        <item x="10"/>
        <item x="61"/>
        <item x="52"/>
        <item x="56"/>
        <item m="1" x="93"/>
        <item x="28"/>
        <item x="29"/>
        <item x="53"/>
        <item m="1" x="85"/>
        <item x="11"/>
        <item x="15"/>
        <item x="16"/>
        <item x="19"/>
        <item x="22"/>
        <item x="25"/>
        <item x="30"/>
        <item x="33"/>
        <item m="1" x="89"/>
        <item x="12"/>
        <item x="60"/>
        <item m="1" x="101"/>
        <item m="1" x="91"/>
        <item x="7"/>
        <item x="8"/>
        <item x="17"/>
        <item x="20"/>
        <item x="23"/>
        <item x="26"/>
        <item x="31"/>
        <item x="34"/>
        <item m="1" x="96"/>
        <item x="38"/>
        <item x="39"/>
        <item x="44"/>
        <item m="1" x="106"/>
        <item x="77"/>
        <item m="1" x="94"/>
        <item x="63"/>
        <item m="1" x="78"/>
        <item m="1" x="83"/>
        <item m="1" x="82"/>
        <item x="67"/>
        <item m="1" x="84"/>
        <item x="69"/>
        <item x="70"/>
        <item m="1" x="87"/>
        <item x="72"/>
        <item x="73"/>
        <item m="1" x="79"/>
        <item m="1" x="88"/>
        <item m="1" x="105"/>
        <item m="1" x="102"/>
        <item x="76"/>
        <item m="1" x="92"/>
        <item x="45"/>
        <item x="46"/>
        <item x="47"/>
        <item x="48"/>
        <item x="49"/>
        <item x="50"/>
        <item x="54"/>
        <item x="55"/>
        <item x="57"/>
        <item x="64"/>
        <item x="65"/>
        <item x="66"/>
        <item x="68"/>
        <item x="71"/>
        <item x="75"/>
        <item m="1" x="100"/>
        <item x="3"/>
        <item x="4"/>
        <item x="5"/>
        <item x="35"/>
        <item x="36"/>
        <item x="37"/>
        <item x="0"/>
        <item x="6"/>
        <item x="7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0"/>
    <field x="1"/>
    <field x="2"/>
  </rowFields>
  <rowItems count="80">
    <i>
      <x/>
      <x v="1"/>
      <x v="1"/>
    </i>
    <i r="2">
      <x v="2"/>
    </i>
    <i r="2">
      <x v="50"/>
    </i>
    <i r="2">
      <x v="51"/>
    </i>
    <i r="2">
      <x v="98"/>
    </i>
    <i r="2">
      <x v="99"/>
    </i>
    <i r="2">
      <x v="100"/>
    </i>
    <i r="2">
      <x v="104"/>
    </i>
    <i r="2">
      <x v="105"/>
    </i>
    <i r="1">
      <x v="2"/>
      <x v="12"/>
    </i>
    <i r="2">
      <x v="28"/>
    </i>
    <i r="2">
      <x v="37"/>
    </i>
    <i r="2">
      <x v="46"/>
    </i>
    <i r="1">
      <x v="4"/>
      <x v="5"/>
    </i>
    <i r="2">
      <x v="40"/>
    </i>
    <i r="2">
      <x v="53"/>
    </i>
    <i r="1">
      <x v="5"/>
      <x v="6"/>
    </i>
    <i r="2">
      <x v="41"/>
    </i>
    <i r="2">
      <x v="54"/>
    </i>
    <i r="1">
      <x v="6"/>
      <x v="7"/>
    </i>
    <i r="2">
      <x v="42"/>
    </i>
    <i r="2">
      <x v="55"/>
    </i>
    <i r="1">
      <x v="7"/>
      <x v="8"/>
    </i>
    <i r="2">
      <x v="33"/>
    </i>
    <i r="2">
      <x v="34"/>
    </i>
    <i r="2">
      <x v="43"/>
    </i>
    <i r="2">
      <x v="56"/>
    </i>
    <i r="1">
      <x v="8"/>
      <x v="9"/>
    </i>
    <i r="2">
      <x v="44"/>
    </i>
    <i r="2">
      <x v="57"/>
    </i>
    <i r="1">
      <x v="11"/>
      <x v="59"/>
    </i>
    <i r="2">
      <x v="60"/>
    </i>
    <i r="1">
      <x v="12"/>
      <x v="11"/>
    </i>
    <i r="2">
      <x v="18"/>
    </i>
    <i r="2">
      <x v="19"/>
    </i>
    <i r="2">
      <x v="27"/>
    </i>
    <i r="2">
      <x v="61"/>
    </i>
    <i r="2">
      <x v="82"/>
    </i>
    <i r="1">
      <x v="20"/>
      <x v="3"/>
    </i>
    <i r="2">
      <x v="4"/>
    </i>
    <i r="2">
      <x v="38"/>
    </i>
    <i r="2">
      <x v="39"/>
    </i>
    <i r="2">
      <x v="52"/>
    </i>
    <i r="1">
      <x v="21"/>
      <x v="101"/>
    </i>
    <i r="2">
      <x v="102"/>
    </i>
    <i r="2">
      <x v="103"/>
    </i>
    <i>
      <x v="1"/>
      <x/>
      <x v="13"/>
    </i>
    <i r="2">
      <x v="17"/>
    </i>
    <i r="2">
      <x v="26"/>
    </i>
    <i r="2">
      <x v="29"/>
    </i>
    <i r="2">
      <x v="47"/>
    </i>
    <i r="1">
      <x v="10"/>
      <x v="30"/>
    </i>
    <i r="2">
      <x v="31"/>
    </i>
    <i r="2">
      <x v="35"/>
    </i>
    <i r="2">
      <x v="88"/>
    </i>
    <i r="2">
      <x v="89"/>
    </i>
    <i r="2">
      <x v="90"/>
    </i>
    <i r="1">
      <x v="13"/>
      <x v="20"/>
    </i>
    <i r="2">
      <x v="83"/>
    </i>
    <i r="2">
      <x v="84"/>
    </i>
    <i r="2">
      <x v="85"/>
    </i>
    <i r="2">
      <x v="86"/>
    </i>
    <i r="2">
      <x v="87"/>
    </i>
    <i>
      <x v="2"/>
      <x v="14"/>
      <x v="63"/>
    </i>
    <i>
      <x v="3"/>
      <x v="11"/>
      <x v="59"/>
    </i>
    <i r="2">
      <x v="60"/>
    </i>
    <i r="2">
      <x v="80"/>
    </i>
    <i r="1">
      <x v="15"/>
      <x v="65"/>
    </i>
    <i r="1">
      <x v="19"/>
      <x v="96"/>
    </i>
    <i r="2">
      <x v="106"/>
    </i>
    <i r="1">
      <x v="22"/>
      <x v="91"/>
    </i>
    <i r="2">
      <x v="92"/>
    </i>
    <i r="1">
      <x v="23"/>
      <x v="69"/>
    </i>
    <i r="2">
      <x v="71"/>
    </i>
    <i r="2">
      <x v="72"/>
    </i>
    <i r="2">
      <x v="93"/>
    </i>
    <i r="2">
      <x v="94"/>
    </i>
    <i r="2">
      <x v="95"/>
    </i>
    <i r="1">
      <x v="25"/>
      <x v="74"/>
    </i>
    <i r="2">
      <x v="7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ach1" xr10:uid="{84199B16-D838-4E4D-AC3F-501A348BCE6C}" sourceName="Each">
  <pivotTables>
    <pivotTable tabId="127" name="PivotTable8"/>
    <pivotTable tabId="127" name="PivotTable10"/>
    <pivotTable tabId="127" name="PivotTable9"/>
  </pivotTables>
  <data>
    <tabular pivotCacheId="1349328981" showMissing="0">
      <items count="2310">
        <i x="17"/>
        <i x="55"/>
        <i x="60"/>
        <i x="75"/>
        <i x="1"/>
        <i x="76"/>
        <i x="77"/>
        <i x="46"/>
        <i x="68"/>
        <i x="69"/>
        <i x="78"/>
        <i x="56"/>
        <i x="57"/>
        <i x="18"/>
        <i x="89"/>
        <i x="115"/>
        <i x="70"/>
        <i x="36"/>
        <i x="2"/>
        <i x="15"/>
        <i x="16"/>
        <i x="19"/>
        <i x="108"/>
        <i x="90"/>
        <i x="109"/>
        <i x="47"/>
        <i x="48"/>
        <i x="20"/>
        <i x="110"/>
        <i x="79" s="1"/>
        <i x="61"/>
        <i x="21"/>
        <i x="22"/>
        <i x="23"/>
        <i x="11"/>
        <i x="80"/>
        <i x="62"/>
        <i x="63"/>
        <i x="64"/>
        <i x="58"/>
        <i x="71"/>
        <i x="72"/>
        <i x="111"/>
        <i x="24"/>
        <i x="91"/>
        <i x="81"/>
        <i x="25"/>
        <i x="49"/>
        <i x="82"/>
        <i x="83"/>
        <i x="84"/>
        <i x="26"/>
        <i x="3"/>
        <i x="4"/>
        <i x="65"/>
        <i x="37"/>
        <i x="44"/>
        <i x="85"/>
        <i x="27"/>
        <i x="28"/>
        <i x="29"/>
        <i x="114"/>
        <i x="38"/>
        <i x="30"/>
        <i x="112"/>
        <i x="73"/>
        <i x="116"/>
        <i x="12"/>
        <i x="113"/>
        <i x="39"/>
        <i x="40"/>
        <i x="31"/>
        <i x="45"/>
        <i x="117"/>
        <i x="50"/>
        <i x="41"/>
        <i x="32"/>
        <i x="105"/>
        <i x="86"/>
        <i x="92"/>
        <i x="66"/>
        <i x="33"/>
        <i x="106"/>
        <i x="104"/>
        <i x="0"/>
        <i x="67"/>
        <i x="107"/>
        <i x="59"/>
        <i x="34"/>
        <i x="42"/>
        <i x="74"/>
        <i x="5"/>
        <i x="87"/>
        <i x="6"/>
        <i x="7"/>
        <i x="51"/>
        <i x="13"/>
        <i x="14"/>
        <i x="35"/>
        <i x="52"/>
        <i x="53"/>
        <i x="8"/>
        <i x="9"/>
        <i x="10"/>
        <i x="93"/>
        <i x="94"/>
        <i x="95"/>
        <i x="96"/>
        <i x="43"/>
        <i x="88"/>
        <i x="97"/>
        <i x="98"/>
        <i x="99"/>
        <i x="100"/>
        <i x="101"/>
        <i x="102"/>
        <i x="103"/>
        <i x="54"/>
        <i x="1245" nd="1"/>
        <i x="415" nd="1"/>
        <i x="865" nd="1"/>
        <i x="757" nd="1"/>
        <i x="1730" nd="1"/>
        <i x="1828" nd="1"/>
        <i x="794" nd="1"/>
        <i x="1872" nd="1"/>
        <i x="1803" nd="1"/>
        <i x="979" nd="1"/>
        <i x="1435" nd="1"/>
        <i x="289" nd="1"/>
        <i x="1670" nd="1"/>
        <i x="584" nd="1"/>
        <i x="1671" nd="1"/>
        <i x="1271" nd="1"/>
        <i x="1362" nd="1"/>
        <i x="780" nd="1"/>
        <i x="688" nd="1"/>
        <i x="689" nd="1"/>
        <i x="1756" nd="1"/>
        <i x="644" nd="1"/>
        <i x="1757" nd="1"/>
        <i x="1345" nd="1"/>
        <i x="578" nd="1"/>
        <i x="1437" nd="1"/>
        <i x="730" nd="1"/>
        <i x="1205" nd="1"/>
        <i x="1568" nd="1"/>
        <i x="2050" nd="1"/>
        <i x="257" nd="1"/>
        <i x="1102" nd="1"/>
        <i x="870" nd="1"/>
        <i x="270" nd="1"/>
        <i x="1956" nd="1"/>
        <i x="1016" nd="1"/>
        <i x="513" nd="1"/>
        <i x="708" nd="1"/>
        <i x="1234" nd="1"/>
        <i x="1235" nd="1"/>
        <i x="1236" nd="1"/>
        <i x="1237" nd="1"/>
        <i x="1371" nd="1"/>
        <i x="1674" nd="1"/>
        <i x="2100" nd="1"/>
        <i x="287" nd="1"/>
        <i x="1043" nd="1"/>
        <i x="761" nd="1"/>
        <i x="1469" nd="1"/>
        <i x="1633" nd="1"/>
        <i x="2253" nd="1"/>
        <i x="1317" nd="1"/>
        <i x="1890" nd="1"/>
        <i x="290" nd="1"/>
        <i x="431" nd="1"/>
        <i x="499" nd="1"/>
        <i x="1099" nd="1"/>
        <i x="1262" nd="1"/>
        <i x="1829" nd="1"/>
        <i x="1285" nd="1"/>
        <i x="987" nd="1"/>
        <i x="775" nd="1"/>
        <i x="878" nd="1"/>
        <i x="532" nd="1"/>
        <i x="2302" nd="1"/>
        <i x="1460" nd="1"/>
        <i x="178" nd="1"/>
        <i x="1333" nd="1"/>
        <i x="2085" nd="1"/>
        <i x="200" nd="1"/>
        <i x="1422" nd="1"/>
        <i x="2185" nd="1"/>
        <i x="2248" nd="1"/>
        <i x="2158" nd="1"/>
        <i x="230" nd="1"/>
        <i x="1763" nd="1"/>
        <i x="1742" nd="1"/>
        <i x="531" nd="1"/>
        <i x="1880" nd="1"/>
        <i x="736" nd="1"/>
        <i x="1706" nd="1"/>
        <i x="1386" nd="1"/>
        <i x="856" nd="1"/>
        <i x="341" nd="1"/>
        <i x="1019" nd="1"/>
        <i x="1560" nd="1"/>
        <i x="1482" nd="1"/>
        <i x="686" nd="1"/>
        <i x="701" nd="1"/>
        <i x="1352" nd="1"/>
        <i x="2123" nd="1"/>
        <i x="1172" nd="1"/>
        <i x="1729" nd="1"/>
        <i x="2172" nd="1"/>
        <i x="1609" nd="1"/>
        <i x="1142" nd="1"/>
        <i x="2245" nd="1"/>
        <i x="1092" nd="1"/>
        <i x="1761" nd="1"/>
        <i x="183" nd="1"/>
        <i x="244" nd="1"/>
        <i x="1064" nd="1"/>
        <i x="1638" nd="1"/>
        <i x="2088" nd="1"/>
        <i x="494" nd="1"/>
        <i x="530" nd="1"/>
        <i x="263" nd="1"/>
        <i x="2070" nd="1"/>
        <i x="562" nd="1"/>
        <i x="1645" nd="1"/>
        <i x="264" nd="1"/>
        <i x="1663" nd="1"/>
        <i x="1664" nd="1"/>
        <i x="880" nd="1"/>
        <i x="881" nd="1"/>
        <i x="2151" nd="1"/>
        <i x="2209" nd="1"/>
        <i x="2094" nd="1"/>
        <i x="795" nd="1"/>
        <i x="922" nd="1"/>
        <i x="335" nd="1"/>
        <i x="1701" nd="1"/>
        <i x="336" nd="1"/>
        <i x="1702" nd="1"/>
        <i x="520" nd="1"/>
        <i x="623" nd="1"/>
        <i x="2084" nd="1"/>
        <i x="1171" nd="1"/>
        <i x="400" nd="1"/>
        <i x="826" nd="1"/>
        <i x="827" nd="1"/>
        <i x="1391" nd="1"/>
        <i x="1466" nd="1"/>
        <i x="1536" nd="1"/>
        <i x="2275" nd="1"/>
        <i x="1526" nd="1"/>
        <i x="1214" nd="1"/>
        <i x="975" nd="1"/>
        <i x="1750" nd="1"/>
        <i x="745" nd="1"/>
        <i x="590" nd="1"/>
        <i x="295" nd="1"/>
        <i x="154" nd="1"/>
        <i x="351" nd="1"/>
        <i x="170" nd="1"/>
        <i x="1764" nd="1"/>
        <i x="887" nd="1"/>
        <i x="1960" nd="1"/>
        <i x="567" nd="1"/>
        <i x="228" nd="1"/>
        <i x="1585" nd="1"/>
        <i x="959" nd="1"/>
        <i x="917" nd="1"/>
        <i x="282" nd="1"/>
        <i x="1001" nd="1"/>
        <i x="271" nd="1"/>
        <i x="1454" nd="1"/>
        <i x="1908" nd="1"/>
        <i x="2239" nd="1"/>
        <i x="1530" nd="1"/>
        <i x="337" nd="1"/>
        <i x="1473" nd="1"/>
        <i x="1487" nd="1"/>
        <i x="338" nd="1"/>
        <i x="1474" nd="1"/>
        <i x="2153" nd="1"/>
        <i x="1443" nd="1"/>
        <i x="1475" nd="1"/>
        <i x="1398" nd="1"/>
        <i x="1476" nd="1"/>
        <i x="678" nd="1"/>
        <i x="840" nd="1"/>
        <i x="1070" nd="1"/>
        <i x="280" nd="1"/>
        <i x="971" nd="1"/>
        <i x="2255" nd="1"/>
        <i x="2027" nd="1"/>
        <i x="927" nd="1"/>
        <i x="1074" nd="1"/>
        <i x="1885" nd="1"/>
        <i x="1075" nd="1"/>
        <i x="1886" nd="1"/>
        <i x="1515" nd="1"/>
        <i x="1992" nd="1"/>
        <i x="315" nd="1"/>
        <i x="354" nd="1"/>
        <i x="1844" nd="1"/>
        <i x="1518" nd="1"/>
        <i x="2231" nd="1"/>
        <i x="848" nd="1"/>
        <i x="1720" nd="1"/>
        <i x="1887" nd="1"/>
        <i x="1814" nd="1"/>
        <i x="2246" nd="1"/>
        <i x="1477" nd="1"/>
        <i x="1227" nd="1"/>
        <i x="815" nd="1"/>
        <i x="1991" nd="1"/>
        <i x="2049" nd="1"/>
        <i x="1441" nd="1"/>
        <i x="1190" nd="1"/>
        <i x="2082" nd="1"/>
        <i x="1779" nd="1"/>
        <i x="1841" nd="1"/>
        <i x="1053" nd="1"/>
        <i x="548" nd="1"/>
        <i x="549" nd="1"/>
        <i x="550" nd="1"/>
        <i x="551" nd="1"/>
        <i x="2258" nd="1"/>
        <i x="241" nd="1"/>
        <i x="2303" nd="1"/>
        <i x="1506" nd="1"/>
        <i x="1930" nd="1"/>
        <i x="892" nd="1"/>
        <i x="1931" nd="1"/>
        <i x="928" nd="1"/>
        <i x="1188" nd="1"/>
        <i x="1402" nd="1"/>
        <i x="1655" nd="1"/>
        <i x="184" nd="1"/>
        <i x="535" nd="1"/>
        <i x="1489" nd="1"/>
        <i x="303" nd="1"/>
        <i x="579" nd="1"/>
        <i x="717" nd="1"/>
        <i x="1870" nd="1"/>
        <i x="1370" nd="1"/>
        <i x="242" nd="1"/>
        <i x="888" nd="1"/>
        <i x="1450" nd="1"/>
        <i x="526" nd="1"/>
        <i x="1118" nd="1"/>
        <i x="948" nd="1"/>
        <i x="949" nd="1"/>
        <i x="805" nd="1"/>
        <i x="1117" nd="1"/>
        <i x="1492" nd="1"/>
        <i x="1853" nd="1"/>
        <i x="1820" nd="1"/>
        <i x="2165" nd="1"/>
        <i x="1969" nd="1"/>
        <i x="2095" nd="1"/>
        <i x="1804" nd="1"/>
        <i x="1486" nd="1"/>
        <i x="573" nd="1"/>
        <i x="2045" nd="1"/>
        <i x="2055" nd="1"/>
        <i x="1138" nd="1"/>
        <i x="722" nd="1"/>
        <i x="1390" nd="1"/>
        <i x="262" nd="1"/>
        <i x="2288" nd="1"/>
        <i x="2283" nd="1"/>
        <i x="629" nd="1"/>
        <i x="139" nd="1"/>
        <i x="2279" nd="1"/>
        <i x="2241" nd="1"/>
        <i x="2273" nd="1"/>
        <i x="606" nd="1"/>
        <i x="1112" nd="1"/>
        <i x="398" nd="1"/>
        <i x="474" nd="1"/>
        <i x="161" nd="1"/>
        <i x="134" nd="1"/>
        <i x="938" nd="1"/>
        <i x="1934" nd="1"/>
        <i x="2056" nd="1"/>
        <i x="2112" nd="1"/>
        <i x="2225" nd="1"/>
        <i x="420" nd="1"/>
        <i x="1801" nd="1"/>
        <i x="1089" nd="1"/>
        <i x="1296" nd="1"/>
        <i x="645" nd="1"/>
        <i x="442" nd="1"/>
        <i x="159" nd="1"/>
        <i x="1738" nd="1"/>
        <i x="339" nd="1"/>
        <i x="1139" nd="1"/>
        <i x="1037" nd="1"/>
        <i x="1698" nd="1"/>
        <i x="2196" nd="1"/>
        <i x="1562" nd="1"/>
        <i x="1833" nd="1"/>
        <i x="1532" nd="1"/>
        <i x="1266" nd="1"/>
        <i x="197" nd="1"/>
        <i x="1584" nd="1"/>
        <i x="631" nd="1"/>
        <i x="1305" nd="1"/>
        <i x="694" nd="1"/>
        <i x="1330" nd="1"/>
        <i x="1590" nd="1"/>
        <i x="130" nd="1"/>
        <i x="1462" nd="1"/>
        <i x="793" nd="1"/>
        <i x="1503" nd="1"/>
        <i x="2280" nd="1"/>
        <i x="1182" nd="1"/>
        <i x="1219" nd="1"/>
        <i x="545" nd="1"/>
        <i x="1465" nd="1"/>
        <i x="1875" nd="1"/>
        <i x="425" nd="1"/>
        <i x="1607" nd="1"/>
        <i x="923" nd="1"/>
        <i x="1144" nd="1"/>
        <i x="334" nd="1"/>
        <i x="285" nd="1"/>
        <i x="958" nd="1"/>
        <i x="359" nd="1"/>
        <i x="1557" nd="1"/>
        <i x="293" nd="1"/>
        <i x="2267" nd="1"/>
        <i x="647" nd="1"/>
        <i x="2263" nd="1"/>
        <i x="615" nd="1"/>
        <i x="1636" nd="1"/>
        <i x="951" nd="1"/>
        <i x="863" nd="1"/>
        <i x="2043" nd="1"/>
        <i x="1721" nd="1"/>
        <i x="613" nd="1"/>
        <i x="188" nd="1"/>
        <i x="1338" nd="1"/>
        <i x="1082" nd="1"/>
        <i x="1932" nd="1"/>
        <i x="2278" nd="1"/>
        <i x="1537" nd="1"/>
        <i x="1910" nd="1"/>
        <i x="208" nd="1"/>
        <i x="203" nd="1"/>
        <i x="1748" nd="1"/>
        <i x="604" nd="1"/>
        <i x="2024" nd="1"/>
        <i x="182" nd="1"/>
        <i x="536" nd="1"/>
        <i x="727" nd="1"/>
        <i x="1159" nd="1"/>
        <i x="935" nd="1"/>
        <i x="1843" nd="1"/>
        <i x="2044" nd="1"/>
        <i x="461" nd="1"/>
        <i x="991" nd="1"/>
        <i x="1967" nd="1"/>
        <i x="1404" nd="1"/>
        <i x="913" nd="1"/>
        <i x="1339" nd="1"/>
        <i x="2059" nd="1"/>
        <i x="460" nd="1"/>
        <i x="626" nd="1"/>
        <i x="1892" nd="1"/>
        <i x="2016" nd="1"/>
        <i x="1124" nd="1"/>
        <i x="247" nd="1"/>
        <i x="986" nd="1"/>
        <i x="406" nd="1"/>
        <i x="1332" nd="1"/>
        <i x="1403" nd="1"/>
        <i x="1881" nd="1"/>
        <i x="2087" nd="1"/>
        <i x="718" nd="1"/>
        <i x="824" nd="1"/>
        <i x="190" nd="1"/>
        <i x="796" nd="1"/>
        <i x="1964" nd="1"/>
        <i x="1020" nd="1"/>
        <i x="941" nd="1"/>
        <i x="1855" nd="1"/>
        <i x="143" nd="1"/>
        <i x="296" nd="1"/>
        <i x="1226" nd="1"/>
        <i x="772" nd="1"/>
        <i x="1459" nd="1"/>
        <i x="1430" nd="1"/>
        <i x="1600" nd="1"/>
        <i x="135" nd="1"/>
        <i x="1913" nd="1"/>
        <i x="841" nd="1"/>
        <i x="1255" nd="1"/>
        <i x="697" nd="1"/>
        <i x="1256" nd="1"/>
        <i x="1689" nd="1"/>
        <i x="320" nd="1"/>
        <i x="544" nd="1"/>
        <i x="966" nd="1"/>
        <i x="902" nd="1"/>
        <i x="278" nd="1"/>
        <i x="899" nd="1"/>
        <i x="1440" nd="1"/>
        <i x="1510" nd="1"/>
        <i x="265" nd="1"/>
        <i x="251" nd="1"/>
        <i x="2001" nd="1"/>
        <i x="853" nd="1"/>
        <i x="1414" nd="1"/>
        <i x="2052" nd="1"/>
        <i x="751" nd="1"/>
        <i x="752" nd="1"/>
        <i x="179" nd="1"/>
        <i x="1056" nd="1"/>
        <i x="1094" nd="1"/>
        <i x="505" nd="1"/>
        <i x="2058" nd="1"/>
        <i x="306" nd="1"/>
        <i x="1816" nd="1"/>
        <i x="286" nd="1"/>
        <i x="926" nd="1"/>
        <i x="1531" nd="1"/>
        <i x="1467" nd="1"/>
        <i x="1351" nd="1"/>
        <i x="1377" nd="1"/>
        <i x="213" nd="1"/>
        <i x="477" nd="1"/>
        <i x="783" nd="1"/>
        <i x="2116" nd="1"/>
        <i x="605" nd="1"/>
        <i x="983" nd="1"/>
        <i x="1145" nd="1"/>
        <i x="1658" nd="1"/>
        <i x="1314" nd="1"/>
        <i x="744" nd="1"/>
        <i x="1136" nd="1"/>
        <i x="1904" nd="1"/>
        <i x="1050" nd="1"/>
        <i x="463" nd="1"/>
        <i x="464" nd="1"/>
        <i x="1011" nd="1"/>
        <i x="2163" nd="1"/>
        <i x="659" nd="1"/>
        <i x="1525" nd="1"/>
        <i x="1644" nd="1"/>
        <i x="1329" nd="1"/>
        <i x="1331" nd="1"/>
        <i x="1045" nd="1"/>
        <i x="778" nd="1"/>
        <i x="1342" nd="1"/>
        <i x="1424" nd="1"/>
        <i x="1727" nd="1"/>
        <i x="1926" nd="1"/>
        <i x="446" nd="1"/>
        <i x="1753" nd="1"/>
        <i x="459" nd="1"/>
        <i x="646" nd="1"/>
        <i x="1782" nd="1"/>
        <i x="2168" nd="1"/>
        <i x="1823" nd="1"/>
        <i x="367" nd="1"/>
        <i x="253" nd="1"/>
        <i x="1478" nd="1"/>
        <i x="1647" nd="1"/>
        <i x="1581" nd="1"/>
        <i x="1927" nd="1"/>
        <i x="1788" nd="1"/>
        <i x="186" nd="1"/>
        <i x="687" nd="1"/>
        <i x="1446" nd="1"/>
        <i x="436" nd="1"/>
        <i x="540" nd="1"/>
        <i x="908" nd="1"/>
        <i x="214" nd="1"/>
        <i x="662" nd="1"/>
        <i x="537" nd="1"/>
        <i x="2057" nd="1"/>
        <i x="489" nd="1"/>
        <i x="925" nd="1"/>
        <i x="1396" nd="1"/>
        <i x="2118" nd="1"/>
        <i x="1561" nd="1"/>
        <i x="1583" nd="1"/>
        <i x="1928" nd="1"/>
        <i x="2025" nd="1"/>
        <i x="601" nd="1"/>
        <i x="1114" nd="1"/>
        <i x="1287" nd="1"/>
        <i x="1067" nd="1"/>
        <i x="1699" nd="1"/>
        <i x="1919" nd="1"/>
        <i x="861" nd="1"/>
        <i x="2146" nd="1"/>
        <i x="1673" nd="1"/>
        <i x="259" nd="1"/>
        <i x="1622" nd="1"/>
        <i x="953" nd="1"/>
        <i x="821" nd="1"/>
        <i x="1918" nd="1"/>
        <i x="2162" nd="1"/>
        <i x="546" nd="1"/>
        <i x="1995" nd="1"/>
        <i x="2191" nd="1"/>
        <i x="2081" nd="1"/>
        <i x="2210" nd="1"/>
        <i x="1012" nd="1"/>
        <i x="124" nd="1"/>
        <i x="1789" nd="1"/>
        <i x="1790" nd="1"/>
        <i x="1146" nd="1"/>
        <i x="1382" nd="1"/>
        <i x="1383" nd="1"/>
        <i x="1384" nd="1"/>
        <i x="1728" nd="1"/>
        <i x="2164" nd="1"/>
        <i x="964" nd="1"/>
        <i x="1842" nd="1"/>
        <i x="1230" nd="1"/>
        <i x="1231" nd="1"/>
        <i x="1232" nd="1"/>
        <i x="566" nd="1"/>
        <i x="1199" nd="1"/>
        <i x="2032" nd="1"/>
        <i x="1783" nd="1"/>
        <i x="2031" nd="1"/>
        <i x="151" nd="1"/>
        <i x="1295" nd="1"/>
        <i x="434" nd="1"/>
        <i x="851" nd="1"/>
        <i x="447" nd="1"/>
        <i x="1577" nd="1"/>
        <i x="1323" nd="1"/>
        <i x="1324" nd="1"/>
        <i x="1819" nd="1"/>
        <i x="2077" nd="1"/>
        <i x="1974" nd="1"/>
        <i x="482" nd="1"/>
        <i x="1442" nd="1"/>
        <i x="1480" nd="1"/>
        <i x="1493" nd="1"/>
        <i x="1316" nd="1"/>
        <i x="361" nd="1"/>
        <i x="1418" nd="1"/>
        <i x="820" nd="1"/>
        <i x="1962" nd="1"/>
        <i x="348" nd="1"/>
        <i x="329" nd="1"/>
        <i x="570" nd="1"/>
        <i x="807" nd="1"/>
        <i x="754" nd="1"/>
        <i x="246" nd="1"/>
        <i x="2222" nd="1"/>
        <i x="2223" nd="1"/>
        <i x="1957" nd="1"/>
        <i x="2099" nd="1"/>
        <i x="608" nd="1"/>
        <i x="1825" nd="1"/>
        <i x="524" nd="1"/>
        <i x="215" nd="1"/>
        <i x="950" nd="1"/>
        <i x="2004" nd="1"/>
        <i x="1592" nd="1"/>
        <i x="1570" nd="1"/>
        <i x="1470" nd="1"/>
        <i x="2193" nd="1"/>
        <i x="1713" nd="1"/>
        <i x="2202" nd="1"/>
        <i x="333" nd="1"/>
        <i x="786" nd="1"/>
        <i x="787" nd="1"/>
        <i x="788" nd="1"/>
        <i x="1308" nd="1"/>
        <i x="1309" nd="1"/>
        <i x="1681" nd="1"/>
        <i x="1416" nd="1"/>
        <i x="842" nd="1"/>
        <i x="2292" nd="1"/>
        <i x="1034" nd="1"/>
        <i x="449" nd="1"/>
        <i x="256" nd="1"/>
        <i x="326" nd="1"/>
        <i x="2012" nd="1"/>
        <i x="1211" nd="1"/>
        <i x="373" nd="1"/>
        <i x="989" nd="1"/>
        <i x="1427" nd="1"/>
        <i x="157" nd="1"/>
        <i x="2237" nd="1"/>
        <i x="433" nd="1"/>
        <i x="528" nd="1"/>
        <i x="1740" nd="1"/>
        <i x="1104" nd="1"/>
        <i x="1724" nd="1"/>
        <i x="1668" nd="1"/>
        <i x="1725" nd="1"/>
        <i x="1677" nd="1"/>
        <i x="669" nd="1"/>
        <i x="1980" nd="1"/>
        <i x="1610" nd="1"/>
        <i x="1611" nd="1"/>
        <i x="667" nd="1"/>
        <i x="2011" nd="1"/>
        <i x="1047" nd="1"/>
        <i x="883" nd="1"/>
        <i x="960" nd="1"/>
        <i x="467" nd="1"/>
        <i x="1608" nd="1"/>
        <i x="1479" nd="1"/>
        <i x="812" nd="1"/>
        <i x="1420" nd="1"/>
        <i x="462" nd="1"/>
        <i x="910" nd="1"/>
        <i x="389" nd="1"/>
        <i x="2003" nd="1"/>
        <i x="1494" nd="1"/>
        <i x="1359" nd="1"/>
        <i x="2037" nd="1"/>
        <i x="1751" nd="1"/>
        <i x="1026" nd="1"/>
        <i x="1246" nd="1"/>
        <i x="1358" nd="1"/>
        <i x="1504" nd="1"/>
        <i x="1620" nd="1"/>
        <i x="1769" nd="1"/>
        <i x="1896" nd="1"/>
        <i x="2038" nd="1"/>
        <i x="2167" nd="1"/>
        <i x="120" nd="1"/>
        <i x="249" nd="1"/>
        <i x="391" nd="1"/>
        <i x="1254" nd="1"/>
        <i x="1365" nd="1"/>
        <i x="1509" nd="1"/>
        <i x="1627" nd="1"/>
        <i x="1781" nd="1"/>
        <i x="1899" nd="1"/>
        <i x="2041" nd="1"/>
        <i x="2169" nd="1"/>
        <i x="129" nd="1"/>
        <i x="252" nd="1"/>
        <i x="399" nd="1"/>
        <i x="1260" nd="1"/>
        <i x="1368" nd="1"/>
        <i x="1516" nd="1"/>
        <i x="1630" nd="1"/>
        <i x="1263" nd="1"/>
        <i x="1267" nd="1"/>
        <i x="1272" nd="1"/>
        <i x="1277" nd="1"/>
        <i x="1282" nd="1"/>
        <i x="1288" nd="1"/>
        <i x="1293" nd="1"/>
        <i x="2113" nd="1"/>
        <i x="127" nd="1"/>
        <i x="133" nd="1"/>
        <i x="137" nd="1"/>
        <i x="138" nd="1"/>
        <i x="142" nd="1"/>
        <i x="146" nd="1"/>
        <i x="150" nd="1"/>
        <i x="155" nd="1"/>
        <i x="156" nd="1"/>
        <i x="163" nd="1"/>
        <i x="993" nd="1"/>
        <i x="1197" nd="1"/>
        <i x="1208" nd="1"/>
        <i x="1216" nd="1"/>
        <i x="1220" nd="1"/>
        <i x="1222" nd="1"/>
        <i x="1228" nd="1"/>
        <i x="1233" nd="1"/>
        <i x="1239" nd="1"/>
        <i x="1244" nd="1"/>
        <i x="1251" nd="1"/>
        <i x="2072" nd="1"/>
        <i x="2266" nd="1"/>
        <i x="2271" nd="1"/>
        <i x="2277" nd="1"/>
        <i x="2286" nd="1"/>
        <i x="2291" nd="1"/>
        <i x="2301" nd="1"/>
        <i x="2306" nd="1"/>
        <i x="2308" nd="1"/>
        <i x="123" nd="1"/>
        <i x="131" nd="1"/>
        <i x="969" nd="1"/>
        <i x="1158" nd="1"/>
        <i x="1163" nd="1"/>
        <i x="1168" nd="1"/>
        <i x="1175" nd="1"/>
        <i x="1180" nd="1"/>
        <i x="1184" nd="1"/>
        <i x="1189" nd="1"/>
        <i x="1192" nd="1"/>
        <i x="1196" nd="1"/>
        <i x="1206" nd="1"/>
        <i x="2036" nd="1"/>
        <i x="2221" nd="1"/>
        <i x="2228" nd="1"/>
        <i x="2235" nd="1"/>
        <i x="2238" nd="1"/>
        <i x="2243" nd="1"/>
        <i x="2247" nd="1"/>
        <i x="2254" nd="1"/>
        <i x="2259" nd="1"/>
        <i x="2264" nd="1"/>
        <i x="2269" nd="1"/>
        <i x="933" nd="1"/>
        <i x="1123" nd="1"/>
        <i x="1127" nd="1"/>
        <i x="1130" nd="1"/>
        <i x="1135" nd="1"/>
        <i x="1140" nd="1"/>
        <i x="1143" nd="1"/>
        <i x="1149" nd="1"/>
        <i x="1154" nd="1"/>
        <i x="1157" nd="1"/>
        <i x="1162" nd="1"/>
        <i x="1994" nd="1"/>
        <i x="2194" nd="1"/>
        <i x="2195" nd="1"/>
        <i x="2200" nd="1"/>
        <i x="2205" nd="1"/>
        <i x="2207" nd="1"/>
        <i x="2212" nd="1"/>
        <i x="2214" nd="1"/>
        <i x="2217" nd="1"/>
        <i x="2220" nd="1"/>
        <i x="2226" nd="1"/>
        <i x="905" nd="1"/>
        <i x="1083" nd="1"/>
        <i x="1085" nd="1"/>
        <i x="1088" nd="1"/>
        <i x="1098" nd="1"/>
        <i x="1101" nd="1"/>
        <i x="1105" nd="1"/>
        <i x="1111" nd="1"/>
        <i x="1115" nd="1"/>
        <i x="1121" nd="1"/>
        <i x="1126" nd="1"/>
        <i x="897" nd="1"/>
        <i x="411" nd="1"/>
        <i x="412" nd="1"/>
        <i x="690" nd="1"/>
        <i x="2192" nd="1"/>
        <i x="691" nd="1"/>
        <i x="1810" nd="1"/>
        <i x="1291" nd="1"/>
        <i x="797" nd="1"/>
        <i x="1650" nd="1"/>
        <i x="1651" nd="1"/>
        <i x="364" nd="1"/>
        <i x="2020" nd="1"/>
        <i x="2293" nd="1"/>
        <i x="176" nd="1"/>
        <i x="1924" nd="1"/>
        <i x="1378" nd="1"/>
        <i x="715" nd="1"/>
        <i x="970" nd="1"/>
        <i x="132" nd="1"/>
        <i x="1965" nd="1"/>
        <i x="1356" nd="1"/>
        <i x="668" nd="1"/>
        <i x="1707" nd="1"/>
        <i x="1258" nd="1"/>
        <i x="1400" nd="1"/>
        <i x="1895" nd="1"/>
        <i x="1413" nd="1"/>
        <i x="1659" nd="1"/>
        <i x="740" nd="1"/>
        <i x="1548" nd="1"/>
        <i x="343" nd="1"/>
        <i x="1401" nd="1"/>
        <i x="819" nd="1"/>
        <i x="706" nd="1"/>
        <i x="1871" nd="1"/>
        <i x="371" nd="1"/>
        <i x="372" nd="1"/>
        <i x="1848" nd="1"/>
        <i x="918" nd="1"/>
        <i x="758" nd="1"/>
        <i x="1666" nd="1"/>
        <i x="454" nd="1"/>
        <i x="750" nd="1"/>
        <i x="1006" nd="1"/>
        <i x="1007" nd="1"/>
        <i x="1376" nd="1"/>
        <i x="1912" nd="1"/>
        <i x="1008" nd="1"/>
        <i x="1009" nd="1"/>
        <i x="1635" nd="1"/>
        <i x="864" nd="1"/>
        <i x="1971" nd="1"/>
        <i x="1800" nd="1"/>
        <i x="1177" nd="1"/>
        <i x="273" nd="1"/>
        <i x="943" nd="1"/>
        <i x="1209" nd="1"/>
        <i x="1210" nd="1"/>
        <i x="269" nd="1"/>
        <i x="857" nd="1"/>
        <i x="836" nd="1"/>
        <i x="451" nd="1"/>
        <i x="382" nd="1"/>
        <i x="1023" nd="1"/>
        <i x="1024" nd="1"/>
        <i x="276" nd="1"/>
        <i x="876" nd="1"/>
        <i x="1484" nd="1"/>
        <i x="931" nd="1"/>
        <i x="2242" nd="1"/>
        <i x="118" nd="1"/>
        <i x="2124" nd="1"/>
        <i x="1224" nd="1"/>
        <i x="423" nd="1"/>
        <i x="673" nd="1"/>
        <i x="521" nd="1"/>
        <i x="2240" nd="1"/>
        <i x="929" nd="1"/>
        <i x="1624" nd="1"/>
        <i x="2166" nd="1"/>
        <i x="845" nd="1"/>
        <i x="1392" nd="1"/>
        <i x="1265" nd="1"/>
        <i x="2215" nd="1"/>
        <i x="1312" nd="1"/>
        <i x="417" nd="1"/>
        <i x="1847" nd="1"/>
        <i x="1249" nd="1"/>
        <i x="1109" nd="1"/>
        <i x="1322" nd="1"/>
        <i x="660" nd="1"/>
        <i x="685" nd="1"/>
        <i x="2022" nd="1"/>
        <i x="1409" nd="1"/>
        <i x="2244" nd="1"/>
        <i x="695" nd="1"/>
        <i x="1458" nd="1"/>
        <i x="648" nd="1"/>
        <i x="879" nd="1"/>
        <i x="533" nd="1"/>
        <i x="1039" nd="1"/>
        <i x="350" nd="1"/>
        <i x="539" nd="1"/>
        <i x="1806" nd="1"/>
        <i x="770" nd="1"/>
        <i x="349" nd="1"/>
        <i x="254" nd="1"/>
        <i x="967" nd="1"/>
        <i x="493" nd="1"/>
        <i x="209" nd="1"/>
        <i x="828" nd="1"/>
        <i x="1903" nd="1"/>
        <i x="2030" nd="1"/>
        <i x="1591" nd="1"/>
        <i x="476" nd="1"/>
        <i x="237" nd="1"/>
        <i x="977" nd="1"/>
        <i x="2175" nd="1"/>
        <i x="1259" nd="1"/>
        <i x="1850" nd="1"/>
        <i x="267" nd="1"/>
        <i x="1997" nd="1"/>
        <i x="1444" nd="1"/>
        <i x="593" nd="1"/>
        <i x="305" nd="1"/>
        <i x="936" nd="1"/>
        <i x="1544" nd="1"/>
        <i x="728" nd="1"/>
        <i x="1279" nd="1"/>
        <i x="1072" nd="1"/>
        <i x="1084" nd="1"/>
        <i x="1594" nd="1"/>
        <i x="390" nd="1"/>
        <i x="473" nd="1"/>
        <i x="1634" nd="1"/>
        <i x="1108" nd="1"/>
        <i x="1541" nd="1"/>
        <i x="2002" nd="1"/>
        <i x="671" nd="1"/>
        <i x="1176" nd="1"/>
        <i x="1911" nd="1"/>
        <i x="1091" nd="1"/>
        <i x="1656" nd="1"/>
        <i x="1040" nd="1"/>
        <i x="1794" nd="1"/>
        <i x="2227" nd="1"/>
        <i x="1357" nd="1"/>
        <i x="618" nd="1"/>
        <i x="1571" nd="1"/>
        <i x="1360" nd="1"/>
        <i x="1320" nd="1"/>
        <i x="2000" nd="1"/>
        <i x="128" nd="1"/>
        <i x="860" nd="1"/>
        <i x="1173" nd="1"/>
        <i x="1095" nd="1"/>
        <i x="1632" nd="1"/>
        <i x="713" nd="1"/>
        <i x="961" nd="1"/>
        <i x="962" nd="1"/>
        <i x="1174" nd="1"/>
        <i x="1218" nd="1"/>
        <i x="1096" nd="1"/>
        <i x="1097" nd="1"/>
        <i x="1947" nd="1"/>
        <i x="2111" nd="1"/>
        <i x="997" nd="1"/>
        <i x="1826" nd="1"/>
        <i x="937" nd="1"/>
        <i x="141" nd="1"/>
        <i x="709" nd="1"/>
        <i x="2216" nd="1"/>
        <i x="1948" nd="1"/>
        <i x="2219" nd="1"/>
        <i x="1815" nd="1"/>
        <i x="956" nd="1"/>
        <i x="445" nd="1"/>
        <i x="1166" nd="1"/>
        <i x="458" nd="1"/>
        <i x="1156" nd="1"/>
        <i x="719" nd="1"/>
        <i x="1000" nd="1"/>
        <i x="2186" nd="1"/>
        <i x="2234" nd="1"/>
        <i x="2276" nd="1"/>
        <i x="982" nd="1"/>
        <i x="1242" nd="1"/>
        <i x="825" nd="1"/>
        <i x="511" nd="1"/>
        <i x="2294" nd="1"/>
        <i x="1445" nd="1"/>
        <i x="1916" nd="1"/>
        <i x="2233" nd="1"/>
        <i x="1860" nd="1"/>
        <i x="1491" nd="1"/>
        <i x="509" nd="1"/>
        <i x="642" nd="1"/>
        <i x="2008" nd="1"/>
        <i x="1936" nd="1"/>
        <i x="650" nd="1"/>
        <i x="1986" nd="1"/>
        <i x="229" nd="1"/>
        <i x="1415" nd="1"/>
        <i x="1090" nd="1"/>
        <i x="2061" nd="1"/>
        <i x="357" nd="1"/>
        <i x="556" nd="1"/>
        <i x="1772" nd="1"/>
        <i x="835" nd="1"/>
        <i x="327" nd="1"/>
        <i x="307" nd="1"/>
        <i x="199" nd="1"/>
        <i x="1499" nd="1"/>
        <i x="1711" nd="1"/>
        <i x="1694" nd="1"/>
        <i x="1556" nd="1"/>
        <i x="1042" nd="1"/>
        <i x="1031" nd="1"/>
        <i x="764" nd="1"/>
        <i x="1399" nd="1"/>
        <i x="448" nd="1"/>
        <i x="1032" nd="1"/>
        <i x="1712" nd="1"/>
        <i x="444" nd="1"/>
        <i x="211" nd="1"/>
        <i x="1522" nd="1"/>
        <i x="976" nd="1"/>
        <i x="762" nd="1"/>
        <i x="1549" nd="1"/>
        <i x="952" nd="1"/>
        <i x="2134" nd="1"/>
        <i x="1054" nd="1"/>
        <i x="1015" nd="1"/>
        <i x="234" nd="1"/>
        <i x="140" nd="1"/>
        <i x="984" nd="1"/>
        <i x="1048" nd="1"/>
        <i x="779" nd="1"/>
        <i x="681" nd="1"/>
        <i x="1596" nd="1"/>
        <i x="1307" nd="1"/>
        <i x="2093" nd="1"/>
        <i x="992" nd="1"/>
        <i x="1857" nd="1"/>
        <i x="198" nd="1"/>
        <i x="194" nd="1"/>
        <i x="325" nd="1"/>
        <i x="1106" nd="1"/>
        <i x="1049" nd="1"/>
        <i x="898" nd="1"/>
        <i x="1868" nd="1"/>
        <i x="580" nd="1"/>
        <i x="1879" nd="1"/>
        <i x="1010" nd="1"/>
        <i x="591" nd="1"/>
        <i x="490" nd="1"/>
        <i x="1303" nd="1"/>
        <i x="1523" nd="1"/>
        <i x="1553" nd="1"/>
        <i x="1640" nd="1"/>
        <i x="748" nd="1"/>
        <i x="1614" nd="1"/>
        <i x="2152" nd="1"/>
        <i x="1743" nd="1"/>
        <i x="1744" nd="1"/>
        <i x="435" nd="1"/>
        <i x="1766" nd="1"/>
        <i x="1998" nd="1"/>
        <i x="702" nd="1"/>
        <i x="1521" nd="1"/>
        <i x="2173" nd="1"/>
        <i x="1649" nd="1"/>
        <i x="274" nd="1"/>
        <i x="1483" nd="1"/>
        <i x="294" nd="1"/>
        <i x="356" nd="1"/>
        <i x="196" nd="1"/>
        <i x="1629" nd="1"/>
        <i x="1617" nd="1"/>
        <i x="1281" nd="1"/>
        <i x="1387" nd="1"/>
        <i x="1131" nd="1"/>
        <i x="1768" nd="1"/>
        <i x="838" nd="1"/>
        <i x="1765" nd="1"/>
        <i x="831" nd="1"/>
        <i x="1215" nd="1"/>
        <i x="160" nd="1"/>
        <i x="1520" nd="1"/>
        <i x="1988" nd="1"/>
        <i x="443" nd="1"/>
        <i x="2102" nd="1"/>
        <i x="347" nd="1"/>
        <i x="693" nd="1"/>
        <i x="1954" nd="1"/>
        <i x="1406" nd="1"/>
        <i x="2179" nd="1"/>
        <i x="676" nd="1"/>
        <i x="874" nd="1"/>
        <i x="1709" nd="1"/>
        <i x="981" nd="1"/>
        <i x="2282" nd="1"/>
        <i x="369" nd="1"/>
        <i x="2270" nd="1"/>
        <i x="370" nd="1"/>
        <i x="340" nd="1"/>
        <i x="424" nd="1"/>
        <i x="2069" nd="1"/>
        <i x="1502" nd="1"/>
        <i x="640" nd="1"/>
        <i x="731" nd="1"/>
        <i x="558" nd="1"/>
        <i x="868" nd="1"/>
        <i x="195" nd="1"/>
        <i x="1719" nd="1"/>
        <i x="1770" nd="1"/>
        <i x="283" nd="1"/>
        <i x="854" nd="1"/>
        <i x="427" nd="1"/>
        <i x="1618" nd="1"/>
        <i x="1695" nd="1"/>
        <i x="441" nd="1"/>
        <i x="1797" nd="1"/>
        <i x="404" nd="1"/>
        <i x="272" nd="1"/>
        <i x="1341" nd="1"/>
        <i x="818" nd="1"/>
        <i x="2257" nd="1"/>
        <i x="1832" nd="1"/>
        <i x="345" nd="1"/>
        <i x="2250" nd="1"/>
        <i x="479" nd="1"/>
        <i x="1680" nd="1"/>
        <i x="1038" nd="1"/>
        <i x="331" nd="1"/>
        <i x="1421" nd="1"/>
        <i x="2107" nd="1"/>
        <i x="302" nd="1"/>
        <i x="466" nd="1"/>
        <i x="2150" nd="1"/>
        <i x="784" nd="1"/>
        <i x="1786" nd="1"/>
        <i x="2126" nd="1"/>
        <i x="235" nd="1"/>
        <i x="664" nd="1"/>
        <i x="330" nd="1"/>
        <i x="1129" nd="1"/>
        <i x="220" nd="1"/>
        <i x="1945" nd="1"/>
        <i x="699" nd="1"/>
        <i x="1976" nd="1"/>
        <i x="2137" nd="1"/>
        <i x="1151" nd="1"/>
        <i x="1780" nd="1"/>
        <i x="2184" nd="1"/>
        <i x="1759" nd="1"/>
        <i x="408" nd="1"/>
        <i x="386" nd="1"/>
        <i x="409" nd="1"/>
        <i x="1675" nd="1"/>
        <i x="496" nd="1"/>
        <i x="204" nd="1"/>
        <i x="1878" nd="1"/>
        <i x="1684" nd="1"/>
        <i x="808" nd="1"/>
        <i x="1464" nd="1"/>
        <i x="201" nd="1"/>
        <i x="1247" nd="1"/>
        <i x="1535" nd="1"/>
        <i x="1423" nd="1"/>
        <i x="921" nd="1"/>
        <i x="1979" nd="1"/>
        <i x="901" nd="1"/>
        <i x="1528" nd="1"/>
        <i x="1170" nd="1"/>
        <i x="362" nd="1"/>
        <i x="394" nd="1"/>
        <i x="1731" nd="1"/>
        <i x="1527" nd="1"/>
        <i x="1984" nd="1"/>
        <i x="1093" nd="1"/>
        <i x="769" nd="1"/>
        <i x="1221" nd="1"/>
        <i x="1128" nd="1"/>
        <i x="1601" nd="1"/>
        <i x="1355" nd="1"/>
        <i x="162" nd="1"/>
        <i x="1901" nd="1"/>
        <i x="1597" nd="1"/>
        <i x="896" nd="1"/>
        <i x="622" nd="1"/>
        <i x="1615" nd="1"/>
        <i x="822" nd="1"/>
        <i x="1660" nd="1"/>
        <i x="258" nd="1"/>
        <i x="2229" nd="1"/>
        <i x="1381" nd="1"/>
        <i x="1602" nd="1"/>
        <i x="1845" nd="1"/>
        <i x="2268" nd="1"/>
        <i x="1164" nd="1"/>
        <i x="165" nd="1"/>
        <i x="1455" nd="1"/>
        <i x="2091" nd="1"/>
        <i x="656" nd="1"/>
        <i x="657" nd="1"/>
        <i x="658" nd="1"/>
        <i x="1238" nd="1"/>
        <i x="2170" nd="1"/>
        <i x="1690" nd="1"/>
        <i x="1631" nd="1"/>
        <i x="2296" nd="1"/>
        <i x="1275" nd="1"/>
        <i x="148" nd="1"/>
        <i x="1150" nd="1"/>
        <i x="912" nd="1"/>
        <i x="478" nd="1"/>
        <i x="1229" nd="1"/>
        <i x="1817" nd="1"/>
        <i x="2023" nd="1"/>
        <i x="1488" nd="1"/>
        <i x="833" nd="1"/>
        <i x="1367" nd="1"/>
        <i x="1813" nd="1"/>
        <i x="1575" nd="1"/>
        <i x="1501" nd="1"/>
        <i x="1375" nd="1"/>
        <i x="510" nd="1"/>
        <i x="2190" nd="1"/>
        <i x="225" nd="1"/>
        <i x="1858" nd="1"/>
        <i x="173" nd="1"/>
        <i x="2281" nd="1"/>
        <i x="2048" nd="1"/>
        <i x="498" nd="1"/>
        <i x="721" nd="1"/>
        <i x="735" nd="1"/>
        <i x="844" nd="1"/>
        <i x="422" nd="1"/>
        <i x="457" nd="1"/>
        <i x="1657" nd="1"/>
        <i x="1822" nd="1"/>
        <i x="710" nd="1"/>
        <i x="1152" nd="1"/>
        <i x="1327" nd="1"/>
        <i x="1052" nd="1"/>
        <i x="393" nd="1"/>
        <i x="2262" nd="1"/>
        <i x="1325" nd="1"/>
        <i x="1326" nd="1"/>
        <i x="519" nd="1"/>
        <i x="300" nd="1"/>
        <i x="703" nd="1"/>
        <i x="1071" nd="1"/>
        <i x="1374" nd="1"/>
        <i x="2101" nd="1"/>
        <i x="1212" nd="1"/>
        <i x="1685" nd="1"/>
        <i x="440" nd="1"/>
        <i x="1762" nd="1"/>
        <i x="816" nd="1"/>
        <i x="202" nd="1"/>
        <i x="1113" nd="1"/>
        <i x="803" nd="1"/>
        <i x="1025" nd="1"/>
        <i x="1953" nd="1"/>
        <i x="1133" nd="1"/>
        <i x="1436" nd="1"/>
        <i x="804" nd="1"/>
        <i x="1397" nd="1"/>
        <i x="617" nd="1"/>
        <i x="1033" nd="1"/>
        <i x="2021" nd="1"/>
        <i x="2120" nd="1"/>
        <i x="1110" nd="1"/>
        <i x="634" nd="1"/>
        <i x="940" nd="1"/>
        <i x="714" nd="1"/>
        <i x="2098" nd="1"/>
        <i x="2183" nd="1"/>
        <i x="1866" nd="1"/>
        <i x="1661" nd="1"/>
        <i x="1505" nd="1"/>
        <i x="589" nd="1"/>
        <i x="632" nd="1"/>
        <i x="1996" nd="1"/>
        <i x="1862" nd="1"/>
        <i x="1925" nd="1"/>
        <i x="2130" nd="1"/>
        <i x="568" nd="1"/>
        <i x="1065" nd="1"/>
        <i x="1533" nd="1"/>
        <i x="932" nd="1"/>
        <i x="2047" nd="1"/>
        <i x="1920" nd="1"/>
        <i x="1552" nd="1"/>
        <i x="610" nd="1"/>
        <i x="611" nd="1"/>
        <i x="2141" nd="1"/>
        <i x="1335" nd="1"/>
        <i x="1975" nd="1"/>
        <i x="945" nd="1"/>
        <i x="465" nd="1"/>
        <i x="309" nd="1"/>
        <i x="677" nd="1"/>
        <i x="684" nd="1"/>
        <i x="2160" nd="1"/>
        <i x="1598" nd="1"/>
        <i x="1628" nd="1"/>
        <i x="1539" nd="1"/>
        <i x="2180" nd="1"/>
        <i x="172" nd="1"/>
        <i x="1849" nd="1"/>
        <i x="1705" nd="1"/>
        <i x="2155" nd="1"/>
        <i x="755" nd="1"/>
        <i x="1580" nd="1"/>
        <i x="250" nd="1"/>
        <i x="1405" nd="1"/>
        <i x="1718" nd="1"/>
        <i x="654" nd="1"/>
        <i x="1874" nd="1"/>
        <i x="1551" nd="1"/>
        <i x="2272" nd="1"/>
        <i x="696" nd="1"/>
        <i x="555" nd="1"/>
        <i x="1498" nd="1"/>
        <i x="2289" nd="1"/>
        <i x="2290" nd="1"/>
        <i x="2089" nd="1"/>
        <i x="542" nd="1"/>
        <i x="243" nd="1"/>
        <i x="955" nd="1"/>
        <i x="1122" nd="1"/>
        <i x="1877" nd="1"/>
        <i x="2080" nd="1"/>
        <i x="1200" nd="1"/>
        <i x="1981" nd="1"/>
        <i x="1982" nd="1"/>
        <i x="310" nd="1"/>
        <i x="311" nd="1"/>
        <i x="312" nd="1"/>
        <i x="1201" nd="1"/>
        <i x="313" nd="1"/>
        <i x="1202" nd="1"/>
        <i x="1648" nd="1"/>
        <i x="1310" nd="1"/>
        <i x="559" nd="1"/>
        <i x="1955" nd="1"/>
        <i x="1672" nd="1"/>
        <i x="1784" nd="1"/>
        <i x="2092" nd="1"/>
        <i x="353" nd="1"/>
        <i x="2034" nd="1"/>
        <i x="1456" nd="1"/>
        <i x="711" nd="1"/>
        <i x="1496" nd="1"/>
        <i x="1572" nd="1"/>
        <i x="2304" nd="1"/>
        <i x="1626" nd="1"/>
        <i x="1941" nd="1"/>
        <i x="1907" nd="1"/>
        <i x="732" nd="1"/>
        <i x="1433" nd="1"/>
        <i x="1827" nd="1"/>
        <i x="817" nd="1"/>
        <i x="1340" nd="1"/>
        <i x="1057" nd="1"/>
        <i x="2161" nd="1"/>
        <i x="972" nd="1"/>
        <i x="260" nd="1"/>
        <i x="2083" nd="1"/>
        <i x="1425" nd="1"/>
        <i x="2015" nd="1"/>
        <i x="1426" nd="1"/>
        <i x="2067" nd="1"/>
        <i x="2103" nd="1"/>
        <i x="2274" nd="1"/>
        <i x="939" nd="1"/>
        <i x="1799" nd="1"/>
        <i x="1353" nd="1"/>
        <i x="166" nd="1"/>
        <i x="1388" nd="1"/>
        <i x="789" nd="1"/>
        <i x="2187" nd="1"/>
        <i x="2224" nd="1"/>
        <i x="288" nd="1"/>
        <i x="1963" nd="1"/>
        <i x="193" nd="1"/>
        <i x="324" nd="1"/>
        <i x="2096" nd="1"/>
        <i x="167" nd="1"/>
        <i x="790" nd="1"/>
        <i x="410" nd="1"/>
        <i x="507" nd="1"/>
        <i x="534" nd="1"/>
        <i x="1321" nd="1"/>
        <i x="1252" nd="1"/>
        <i x="1771" nd="1"/>
        <i x="2309" nd="1"/>
        <i x="514" nd="1"/>
        <i x="1346" nd="1"/>
        <i x="1834" nd="1"/>
        <i x="1451" nd="1"/>
        <i x="893" nd="1"/>
        <i x="2261" nd="1"/>
        <i x="1349" nd="1"/>
        <i x="1741" nd="1"/>
        <i x="222" nd="1"/>
        <i x="1835" nd="1"/>
        <i x="543" nd="1"/>
        <i x="419" nd="1"/>
        <i x="2285" nd="1"/>
        <i x="1347" nd="1"/>
        <i x="1452" nd="1"/>
        <i x="515" nd="1"/>
        <i x="2300" nd="1"/>
        <i x="1348" nd="1"/>
        <i x="426" nd="1"/>
        <i x="1774" nd="1"/>
        <i x="1453" nd="1"/>
        <i x="894" nd="1"/>
        <i x="2287" nd="1"/>
        <i x="223" nd="1"/>
        <i x="2121" nd="1"/>
        <i x="636" nd="1"/>
        <i x="946" nd="1"/>
        <i x="1775" nd="1"/>
        <i x="1836" nd="1"/>
        <i x="1837" nd="1"/>
        <i x="2131" nd="1"/>
        <i x="1306" nd="1"/>
        <i x="145" nd="1"/>
        <i x="1319" nd="1"/>
        <i x="1914" nd="1"/>
        <i x="397" nd="1"/>
        <i x="649" nd="1"/>
        <i x="2144" nd="1"/>
        <i x="2009" nd="1"/>
        <i x="1207" nd="1"/>
        <i x="2136" nd="1"/>
        <i x="2138" nd="1"/>
        <i x="304" nd="1"/>
        <i x="1081" nd="1"/>
        <i x="1497" nd="1"/>
        <i x="2140" nd="1"/>
        <i x="1587" nd="1"/>
        <i x="1240" nd="1"/>
        <i x="380" nd="1"/>
        <i x="782" nd="1"/>
        <i x="1683" nd="1"/>
        <i x="1461" nd="1"/>
        <i x="890" nd="1"/>
        <i x="1732" nd="1"/>
        <i x="538" nd="1"/>
        <i x="891" nd="1"/>
        <i x="1429" nd="1"/>
        <i x="1120" nd="1"/>
        <i x="1363" nd="1"/>
        <i x="1776" nd="1"/>
        <i x="1682" nd="1"/>
        <i x="1792" nd="1"/>
        <i x="575" nd="1"/>
        <i x="1745" nd="1"/>
        <i x="2295" nd="1"/>
        <i x="665" nd="1"/>
        <i x="470" nd="1"/>
        <i x="1261" nd="1"/>
        <i x="674" nd="1"/>
        <i x="675" nd="1"/>
        <i x="472" nd="1"/>
        <i x="885" nd="1"/>
        <i x="988" nd="1"/>
        <i x="1517" nd="1"/>
        <i x="1543" nd="1"/>
        <i x="191" nd="1"/>
        <i x="1889" nd="1"/>
        <i x="450" nd="1"/>
        <i x="814" nd="1"/>
        <i x="627" nd="1"/>
        <i x="915" nd="1"/>
        <i x="679" nd="1"/>
        <i x="1898" nd="1"/>
        <i x="767" nd="1"/>
        <i x="802" nd="1"/>
        <i x="872" nd="1"/>
        <i x="1752" nd="1"/>
        <i x="455" nd="1"/>
        <i x="1269" nd="1"/>
        <i x="1888" nd="1"/>
        <i x="122" nd="1"/>
        <i x="1447" nd="1"/>
        <i x="2054" nd="1"/>
        <i x="344" nd="1"/>
        <i x="1785" nd="1"/>
        <i x="375" nd="1"/>
        <i x="564" nd="1"/>
        <i x="1573" nd="1"/>
        <i x="583" nd="1"/>
        <i x="985" nd="1"/>
        <i x="1289" nd="1"/>
        <i x="1809" nd="1"/>
        <i x="1693" nd="1"/>
        <i x="895" nd="1"/>
        <i x="2028" nd="1"/>
        <i x="1840" nd="1"/>
        <i x="231" nd="1"/>
        <i x="175" nd="1"/>
        <i x="850" nd="1"/>
        <i x="2177" nd="1"/>
        <i x="1873" nd="1"/>
        <i x="1755" nd="1"/>
        <i x="232" nd="1"/>
        <i x="1468" nd="1"/>
        <i x="1795" nd="1"/>
        <i x="2125" nd="1"/>
        <i x="616" nd="1"/>
        <i x="624" nd="1"/>
        <i x="965" nd="1"/>
        <i x="741" nd="1"/>
        <i x="452" nd="1"/>
        <i x="1704" nd="1"/>
        <i x="641" nd="1"/>
        <i x="1134" nd="1"/>
        <i x="1361" nd="1"/>
        <i x="2117" nd="1"/>
        <i x="1589" nd="1"/>
        <i x="603" nd="1"/>
        <i x="1935" nd="1"/>
        <i x="599" nd="1"/>
        <i x="1022" nd="1"/>
        <i x="1046" nd="1"/>
        <i x="1514" nd="1"/>
        <i x="1161" nd="1"/>
        <i x="1354" nd="1"/>
        <i x="2108" nd="1"/>
        <i x="1013" nd="1"/>
        <i x="1328" nd="1"/>
        <i x="299" nd="1"/>
        <i x="541" nd="1"/>
        <i x="1217" nd="1"/>
        <i x="1760" nd="1"/>
        <i x="1132" nd="1"/>
        <i x="1068" nd="1"/>
        <i x="1882" nd="1"/>
        <i x="418" nd="1"/>
        <i x="994" nd="1"/>
        <i x="1372" nd="1"/>
        <i x="405" nd="1"/>
        <i x="1746" nd="1"/>
        <i x="1434" nd="1"/>
        <i x="365" nd="1"/>
        <i x="643" nd="1"/>
        <i x="995" nd="1"/>
        <i x="1697" nd="1"/>
        <i x="2119" nd="1"/>
        <i x="1805" nd="1"/>
        <i x="2305" nd="1"/>
        <i x="518" nd="1"/>
        <i x="2090" nd="1"/>
        <i x="554" nd="1"/>
        <i x="753" nd="1"/>
        <i x="2148" nd="1"/>
        <i x="1708" nd="1"/>
        <i x="569" nd="1"/>
        <i x="1637" nd="1"/>
        <i x="594" nd="1"/>
        <i x="181" nd="1"/>
        <i x="2298" nd="1"/>
        <i x="602" nd="1"/>
        <i x="2178" nd="1"/>
        <i x="317" nd="1"/>
        <i x="705" nd="1"/>
        <i x="619" nd="1"/>
        <i x="1379" nd="1"/>
        <i x="1961" nd="1"/>
        <i x="1973" nd="1"/>
        <i x="1079" nd="1"/>
        <i x="1942" nd="1"/>
        <i x="227" nd="1"/>
        <i x="1734" nd="1"/>
        <i x="800" nd="1"/>
        <i x="884" nd="1"/>
        <i x="1613" nd="1"/>
        <i x="1547" nd="1"/>
        <i x="2157" nd="1"/>
        <i x="672" nd="1"/>
        <i x="832" nd="1"/>
        <i x="158" nd="1"/>
        <i x="1276" nd="1"/>
        <i x="1153" nd="1"/>
        <i x="308" nd="1"/>
        <i x="314" nd="1"/>
        <i x="785" nd="1"/>
        <i x="1061" nd="1"/>
        <i x="747" nd="1"/>
        <i x="547" nd="1"/>
        <i x="322" nd="1"/>
        <i x="1915" nd="1"/>
        <i x="585" nd="1"/>
        <i x="1972" nd="1"/>
        <i x="2122" nd="1"/>
        <i x="1290" nd="1"/>
        <i x="1569" nd="1"/>
        <i x="475" nd="1"/>
        <i x="763" nd="1"/>
        <i x="637" nd="1"/>
        <i x="2076" nd="1"/>
        <i x="1778" nd="1"/>
        <i x="889" nd="1"/>
        <i x="1294" nd="1"/>
        <i x="2208" nd="1"/>
        <i x="574" nd="1"/>
        <i x="366" nd="1"/>
        <i x="1395" nd="1"/>
        <i x="609" nd="1"/>
        <i x="1563" nd="1"/>
        <i x="468" nd="1"/>
        <i x="1854" nd="1"/>
        <i x="529" nd="1"/>
        <i x="429" nd="1"/>
        <i x="316" nd="1"/>
        <i x="342" nd="1"/>
        <i x="1717" nd="1"/>
        <i x="187" nd="1"/>
        <i x="924" nd="1"/>
        <i x="852" nd="1"/>
        <i x="1625" nd="1"/>
        <i x="255" nd="1"/>
        <i x="871" nd="1"/>
        <i x="279" nd="1"/>
        <i x="1060" nd="1"/>
        <i x="1519" nd="1"/>
        <i x="1710" nd="1"/>
        <i x="1798" nd="1"/>
        <i x="374" nd="1"/>
        <i x="653" nd="1"/>
        <i x="1041" nd="1"/>
        <i x="1411" nd="1"/>
        <i x="2182" nd="1"/>
        <i x="724" nd="1"/>
        <i x="205" nd="1"/>
        <i x="1137" nd="1"/>
        <i x="916" nd="1"/>
        <i x="219" nd="1"/>
        <i x="886" nd="1"/>
        <i x="495" nd="1"/>
        <i x="206" nd="1"/>
        <i x="486" nd="1"/>
        <i x="756" nd="1"/>
        <i x="2211" nd="1"/>
        <i x="1369" nd="1"/>
        <i x="379" nd="1"/>
        <i x="903" nd="1"/>
        <i x="1278" nd="1"/>
        <i x="1066" nd="1"/>
        <i x="749" nd="1"/>
        <i x="1417" nd="1"/>
        <i x="2129" nd="1"/>
        <i x="484" nd="1"/>
        <i x="607" nd="1"/>
        <i x="2110" nd="1"/>
        <i x="268" nd="1"/>
        <i x="126" nd="1"/>
        <i x="1141" nd="1"/>
        <i x="592" nd="1"/>
        <i x="469" nd="1"/>
        <i x="1268" nd="1"/>
        <i x="1407" nd="1"/>
        <i x="1063" nd="1"/>
        <i x="1198" nd="1"/>
        <i x="1983" nd="1"/>
        <i x="1654" nd="1"/>
        <i x="1653" nd="1"/>
        <i x="525" nd="1"/>
        <i x="248" nd="1"/>
        <i x="2074" nd="1"/>
        <i x="2127" nd="1"/>
        <i x="614" nd="1"/>
        <i x="1977" nd="1"/>
        <i x="1051" nd="1"/>
        <i x="1014" nd="1"/>
        <i x="598" nd="1"/>
        <i x="403" nd="1"/>
        <i x="1579" nd="1"/>
        <i x="284" nd="1"/>
        <i x="1540" nd="1"/>
        <i x="1593" nd="1"/>
        <i x="1641" nd="1"/>
        <i x="801" nd="1"/>
        <i x="595" nd="1"/>
        <i x="716" nd="1"/>
        <i x="2236" nd="1"/>
        <i x="1747" nd="1"/>
        <i x="811" nd="1"/>
        <i x="625" nd="1"/>
        <i x="1793" nd="1"/>
        <i x="1943" nd="1"/>
        <i x="947" nd="1"/>
        <i x="920" nd="1"/>
        <i x="177" nd="1"/>
        <i x="1004" nd="1"/>
        <i x="1431" nd="1"/>
        <i x="1366" nd="1"/>
        <i x="2132" nd="1"/>
        <i x="149" nd="1"/>
        <i x="781" nd="1"/>
        <i x="875" nd="1"/>
        <i x="1950" nd="1"/>
        <i x="1716" nd="1"/>
        <i x="1900" nd="1"/>
        <i x="321" nd="1"/>
        <i x="581" nd="1"/>
        <i x="1160" nd="1"/>
        <i x="261" nd="1"/>
        <i x="771" nd="1"/>
        <i x="742" nd="1"/>
        <i x="1077" nd="1"/>
        <i x="1078" nd="1"/>
        <i x="830" nd="1"/>
        <i x="1257" nd="1"/>
        <i x="2218" nd="1"/>
        <i x="862" nd="1"/>
        <i x="1428" nd="1"/>
        <i x="1691" nd="1"/>
        <i x="1604" nd="1"/>
        <i x="1336" nd="1"/>
        <i x="192" nd="1"/>
        <i x="2051" nd="1"/>
        <i x="2035" nd="1"/>
        <i x="2188" nd="1"/>
        <i x="2040" nd="1"/>
        <i x="1703" nd="1"/>
        <i x="1027" nd="1"/>
        <i x="407" nd="1"/>
        <i x="437" nd="1"/>
        <i x="438" nd="1"/>
        <i x="847" nd="1"/>
        <i x="2019" nd="1"/>
        <i x="1929" nd="1"/>
        <i x="147" nd="1"/>
        <i x="552" nd="1"/>
        <i x="1178" nd="1"/>
        <i x="553" nd="1"/>
        <i x="1179" nd="1"/>
        <i x="2145" nd="1"/>
        <i x="1002" nd="1"/>
        <i x="1003" nd="1"/>
        <i x="2033" nd="1"/>
        <i x="576" nd="1"/>
        <i x="806" nd="1"/>
        <i x="1839" nd="1"/>
        <i x="392" nd="1"/>
        <i x="600" nd="1"/>
        <i x="1909" nd="1"/>
        <i x="2053" nd="1"/>
        <i x="1623" nd="1"/>
        <i x="378" nd="1"/>
        <i x="2106" nd="1"/>
        <i x="1865" nd="1"/>
        <i x="557" nd="1"/>
        <i x="882" nd="1"/>
        <i x="1726" nd="1"/>
        <i x="2066" nd="1"/>
        <i x="1864" nd="1"/>
        <i x="1558" nd="1"/>
        <i x="1564" nd="1"/>
        <i x="1565" nd="1"/>
        <i x="1595" nd="1"/>
        <i x="1566" nd="1"/>
        <i x="292" nd="1"/>
        <i x="1642" nd="1"/>
        <i x="2149" nd="1"/>
        <i x="1457" nd="1"/>
        <i x="2128" nd="1"/>
        <i x="1005" nd="1"/>
        <i x="1946" nd="1"/>
        <i x="508" nd="1"/>
        <i x="144" nd="1"/>
        <i x="1824" nd="1"/>
        <i x="651" nd="1"/>
        <i x="1439" nd="1"/>
        <i x="421" nd="1"/>
        <i x="661" nd="1"/>
        <i x="638" nd="1"/>
        <i x="2115" nd="1"/>
        <i x="2006" nd="1"/>
        <i x="2013" nd="1"/>
        <i x="2046" nd="1"/>
        <i x="2307" nd="1"/>
        <i x="2213" nd="1"/>
        <i x="743" nd="1"/>
        <i x="904" nd="1"/>
        <i x="792" nd="1"/>
        <i x="1155" nd="1"/>
        <i x="1603" nd="1"/>
        <i x="1852" nd="1"/>
        <i x="1937" nd="1"/>
        <i x="1076" nd="1"/>
        <i x="480" nd="1"/>
        <i x="1808" nd="1"/>
        <i x="2029" nd="1"/>
        <i x="125" nd="1"/>
        <i x="1389" nd="1"/>
        <i x="402" nd="1"/>
        <i x="2147" nd="1"/>
        <i x="1735" nd="1"/>
        <i x="1490" nd="1"/>
        <i x="858" nd="1"/>
        <i x="776" nd="1"/>
        <i x="849" nd="1"/>
        <i x="739" nd="1"/>
        <i x="1148" nd="1"/>
        <i x="859" nd="1"/>
        <i x="777" nd="1"/>
        <i x="1485" nd="1"/>
        <i x="413" nd="1"/>
        <i x="414" nd="1"/>
        <i x="428" nd="1"/>
        <i x="978" nd="1"/>
        <i x="1586" nd="1"/>
        <i x="980" nd="1"/>
        <i x="297" nd="1"/>
        <i x="298" nd="1"/>
        <i x="2189" nd="1"/>
        <i x="216" nd="1"/>
        <i x="655" nd="1"/>
        <i x="217" nd="1"/>
        <i x="245" nd="1"/>
        <i x="737" nd="1"/>
        <i x="2005" nd="1"/>
        <i x="1922" nd="1"/>
        <i x="1669" nd="1"/>
        <i x="1250" nd="1"/>
        <i x="1100" nd="1"/>
        <i x="760" nd="1"/>
        <i x="877" nd="1"/>
        <i x="328" nd="1"/>
        <i x="1906" nd="1"/>
        <i x="565" nd="1"/>
        <i x="1380" nd="1"/>
        <i x="1103" nd="1"/>
        <i x="277" nd="1"/>
        <i x="2251" nd="1"/>
        <i x="180" nd="1"/>
        <i x="2198" nd="1"/>
        <i x="2064" nd="1"/>
        <i x="1191" nd="1"/>
        <i x="768" nd="1"/>
        <i x="1767" nd="1"/>
        <i x="1831" nd="1"/>
        <i x="798" nd="1"/>
        <i x="1448" nd="1"/>
        <i x="1692" nd="1"/>
        <i x="2114" nd="1"/>
        <i x="1897" nd="1"/>
        <i x="954" nd="1"/>
        <i x="1035" nd="1"/>
        <i x="682" nd="1"/>
        <i x="990" nd="1"/>
        <i x="799" nd="1"/>
        <i x="2252" nd="1"/>
        <i x="563" nd="1"/>
        <i x="670" nd="1"/>
        <i x="481" nd="1"/>
        <i x="1993" nd="1"/>
        <i x="368" nd="1"/>
        <i x="582" nd="1"/>
        <i x="1554" nd="1"/>
        <i x="1185" nd="1"/>
        <i x="1125" nd="1"/>
        <i x="1665" nd="1"/>
        <i x="1147" nd="1"/>
        <i x="221" nd="1"/>
        <i x="996" nd="1"/>
        <i x="453" nd="1"/>
        <i x="839" nd="1"/>
        <i x="512" nd="1"/>
        <i x="2174" nd="1"/>
        <i x="1438" nd="1"/>
        <i x="212" nd="1"/>
        <i x="497" nd="1"/>
        <i x="1507" nd="1"/>
        <i x="843" nd="1"/>
        <i x="998" nd="1"/>
        <i x="720" nd="1"/>
        <i x="121" nd="1"/>
        <i x="416" nd="1"/>
        <i x="723" nd="1"/>
        <i x="1949" nd="1"/>
        <i x="1616" nd="1"/>
        <i x="1412" nd="1"/>
        <i x="291" nd="1"/>
        <i x="2230" nd="1"/>
        <i x="1876" nd="1"/>
        <i x="1183" nd="1"/>
        <i x="1344" nd="1"/>
        <i x="1241" nd="1"/>
        <i x="2105" nd="1"/>
        <i x="456" nd="1"/>
        <i x="1861" nd="1"/>
        <i x="1194" nd="1"/>
        <i x="1318" nd="1"/>
        <i x="2071" nd="1"/>
        <i x="1893" nd="1"/>
        <i x="1894" nd="1"/>
        <i x="2199" nd="1"/>
        <i x="332" nd="1"/>
        <i x="491" nd="1"/>
        <i x="174" nd="1"/>
        <i x="855" nd="1"/>
        <i x="942" nd="1"/>
        <i x="1749" nd="1"/>
        <i x="1274" nd="1"/>
        <i x="1578" nd="1"/>
        <i x="1021" nd="1"/>
        <i x="909" nd="1"/>
        <i x="1696" nd="1"/>
        <i x="1966" nd="1"/>
        <i x="1606" nd="1"/>
        <i x="810" nd="1"/>
        <i x="501" nd="1"/>
        <i x="944" nd="1"/>
        <i x="1302" nd="1"/>
        <i x="1059" nd="1"/>
        <i x="704" nd="1"/>
        <i x="1686" nd="1"/>
        <i x="2073" nd="1"/>
        <i x="1284" nd="1"/>
        <i x="136" nd="1"/>
        <i x="1559" nd="1"/>
        <i x="692" nd="1"/>
        <i x="1791" nd="1"/>
        <i x="1167" nd="1"/>
        <i x="377" nd="1"/>
        <i x="1944" nd="1"/>
        <i x="1987" nd="1"/>
        <i x="1364" nd="1"/>
        <i x="666" nd="1"/>
        <i x="1534" nd="1"/>
        <i x="527" nd="1"/>
        <i x="829" nd="1"/>
        <i x="516" nd="1"/>
        <i x="233" nd="1"/>
        <i x="2017" nd="1"/>
        <i x="597" nd="1"/>
        <i x="738" nd="1"/>
        <i x="571" nd="1"/>
        <i x="471" nd="1"/>
        <i x="1777" nd="1"/>
        <i x="1739" nd="1"/>
        <i x="612" nd="1"/>
        <i x="2204" nd="1"/>
        <i x="900" nd="1"/>
        <i x="1863" nd="1"/>
        <i x="1546" nd="1"/>
        <i x="729" nd="1"/>
        <i x="2014" nd="1"/>
        <i x="358" nd="1"/>
        <i x="1643" nd="1"/>
        <i x="2018" nd="1"/>
        <i x="1018" nd="1"/>
        <i x="588" nd="1"/>
        <i x="1169" nd="1"/>
        <i x="1337" nd="1"/>
        <i x="911" nd="1"/>
        <i x="2109" nd="1"/>
        <i x="218" nd="1"/>
        <i x="1818" nd="1"/>
        <i x="1481" nd="1"/>
        <i x="2135" nd="1"/>
        <i x="2133" nd="1"/>
        <i x="683" nd="1"/>
        <i x="1181" nd="1"/>
        <i x="1723" nd="1"/>
        <i x="2142" nd="1"/>
        <i x="846" nd="1"/>
        <i x="1970" nd="1"/>
        <i x="1639" nd="1"/>
        <i x="1959" nd="1"/>
        <i x="663" nd="1"/>
        <i x="1410" nd="1"/>
        <i x="1513" nd="1"/>
        <i x="1989" nd="1"/>
        <i x="1350" nd="1"/>
        <i x="1990" nd="1"/>
        <i x="1679" nd="1"/>
        <i x="1223" nd="1"/>
        <i x="2143" nd="1"/>
        <i x="522" nd="1"/>
        <i x="628" nd="1"/>
        <i x="2297" nd="1"/>
        <i x="1270" nd="1"/>
        <i x="1213" nd="1"/>
        <i x="355" nd="1"/>
        <i x="387" nd="1"/>
        <i x="388" nd="1"/>
        <i x="700" nd="1"/>
        <i x="1203" nd="1"/>
        <i x="766" nd="1"/>
        <i x="914" nd="1"/>
        <i x="823" nd="1"/>
        <i x="502" nd="1"/>
        <i x="1802" nd="1"/>
        <i x="240" nd="1"/>
        <i x="401" nd="1"/>
        <i x="2079" nd="1"/>
        <i x="2201" nd="1"/>
        <i x="1283" nd="1"/>
        <i x="765" nd="1"/>
        <i x="1193" nd="1"/>
        <i x="1830" nd="1"/>
        <i x="2060" nd="1"/>
        <i x="1028" nd="1"/>
        <i x="485" nd="1"/>
        <i x="561" nd="1"/>
        <i x="236" nd="1"/>
        <i x="395" nd="1"/>
        <i x="2176" nd="1"/>
        <i x="586" nd="1"/>
        <i x="1508" nd="1"/>
        <i x="1086" nd="1"/>
        <i x="1938" nd="1"/>
        <i x="1867" nd="1"/>
        <i x="934" nd="1"/>
        <i x="1715" nd="1"/>
        <i x="1754" nd="1"/>
        <i x="226" nd="1"/>
        <i x="281" nd="1"/>
        <i x="1939" nd="1"/>
        <i x="1471" nd="1"/>
        <i x="746" nd="1"/>
        <i x="1315" nd="1"/>
        <i x="1812" nd="1"/>
        <i x="1343" nd="1"/>
        <i x="1678" nd="1"/>
        <i x="620" nd="1"/>
        <i x="1253" nd="1"/>
        <i x="1298" nd="1"/>
        <i x="2086" nd="1"/>
        <i x="707" nd="1"/>
        <i x="1264" nd="1"/>
        <i x="1280" nd="1"/>
        <i x="1555" nd="1"/>
        <i x="712" nd="1"/>
        <i x="1923" nd="1"/>
        <i x="2068" nd="1"/>
        <i x="1567" nd="1"/>
        <i x="2139" nd="1"/>
        <i x="439" nd="1"/>
        <i x="834" nd="1"/>
        <i x="168" nd="1"/>
        <i x="1588" nd="1"/>
        <i x="1605" nd="1"/>
        <i x="385" nd="1"/>
        <i x="2171" nd="1"/>
        <i x="1029" nd="1"/>
        <i x="1652" nd="1"/>
        <i x="504" nd="1"/>
        <i x="968" nd="1"/>
        <i x="963" nd="1"/>
        <i x="1676" nd="1"/>
        <i x="733" nd="1"/>
        <i x="999" nd="1"/>
        <i x="726" nd="1"/>
        <i x="1017" nd="1"/>
        <i x="1891" nd="1"/>
        <i x="1419" nd="1"/>
        <i x="1807" nd="1"/>
        <i x="2075" nd="1"/>
        <i x="930" nd="1"/>
        <i x="1940" nd="1"/>
        <i x="1055" nd="1"/>
        <i x="734" nd="1"/>
        <i x="523" nd="1"/>
        <i x="1107" nd="1"/>
        <i x="1030" nd="1"/>
        <i x="1574" nd="1"/>
        <i x="1851" nd="1"/>
        <i x="483" nd="1"/>
        <i x="1687" nd="1"/>
        <i x="1524" nd="1"/>
        <i x="376" nd="1"/>
        <i x="381" nd="1"/>
        <i x="2062" nd="1"/>
        <i x="1119" nd="1"/>
        <i x="1292" nd="1"/>
        <i x="1905" nd="1"/>
        <i x="1688" nd="1"/>
        <i x="1958" nd="1"/>
        <i x="2042" nd="1"/>
        <i x="383" nd="1"/>
        <i x="1758" nd="1"/>
        <i x="1087" nd="1"/>
        <i x="1619" nd="1"/>
        <i x="1787" nd="1"/>
        <i x="1195" nd="1"/>
        <i x="352" nd="1"/>
        <i x="1186" nd="1"/>
        <i x="2010" nd="1"/>
        <i x="560" nd="1"/>
        <i x="1978" nd="1"/>
        <i x="639" nd="1"/>
        <i x="1301" nd="1"/>
        <i x="1917" nd="1"/>
        <i x="1334" nd="1"/>
        <i x="1985" nd="1"/>
        <i x="266" nd="1"/>
        <i x="1999" nd="1"/>
        <i x="487" nd="1"/>
        <i x="1187" nd="1"/>
        <i x="2007" nd="1"/>
        <i x="698" nd="1"/>
        <i x="363" nd="1"/>
        <i x="1204" nd="1"/>
        <i x="1225" nd="1"/>
        <i x="2159" nd="1"/>
        <i x="503" nd="1"/>
        <i x="725" nd="1"/>
        <i x="2104" nd="1"/>
        <i x="1662" nd="1"/>
        <i x="2156" nd="1"/>
        <i x="210" nd="1"/>
        <i x="869" nd="1"/>
        <i x="1576" nd="1"/>
        <i x="577" nd="1"/>
        <i x="384" nd="1"/>
        <i x="680" nd="1"/>
        <i x="517" nd="1"/>
        <i x="652" nd="1"/>
        <i x="1073" nd="1"/>
        <i x="185" nd="1"/>
        <i x="500" nd="1"/>
        <i x="346" nd="1"/>
        <i x="1529" nd="1"/>
        <i x="1069" nd="1"/>
        <i x="1394" nd="1"/>
        <i x="1838" nd="1"/>
        <i x="2097" nd="1"/>
        <i x="1385" nd="1"/>
        <i x="596" nd="1"/>
        <i x="239" nd="1"/>
        <i x="1846" nd="1"/>
        <i x="866" nd="1"/>
        <i x="152" nd="1"/>
        <i x="2256" nd="1"/>
        <i x="2232" nd="1"/>
        <i x="1165" nd="1"/>
        <i x="1036" nd="1"/>
        <i x="1667" nd="1"/>
        <i x="1811" nd="1"/>
        <i x="633" nd="1"/>
        <i x="1495" nd="1"/>
        <i x="1304" nd="1"/>
        <i x="2249" nd="1"/>
        <i x="1884" nd="1"/>
        <i x="1273" nd="1"/>
        <i x="906" nd="1"/>
        <i x="635" nd="1"/>
        <i x="1408" nd="1"/>
        <i x="2203" nd="1"/>
        <i x="2026" nd="1"/>
        <i x="2154" nd="1"/>
        <i x="2284" nd="1"/>
        <i x="1859" nd="1"/>
        <i x="2181" nd="1"/>
        <i x="630" nd="1"/>
        <i x="506" nd="1"/>
        <i x="1582" nd="1"/>
        <i x="1297" nd="1"/>
        <i x="1714" nd="1"/>
        <i x="1463" nd="1"/>
        <i x="1821" nd="1"/>
        <i x="974" nd="1"/>
        <i x="759" nd="1"/>
        <i x="2197" nd="1"/>
        <i x="396" nd="1"/>
        <i x="791" nd="1"/>
        <i x="1612" nd="1"/>
        <i x="1599" nd="1"/>
        <i x="2260" nd="1"/>
        <i x="275" nd="1"/>
        <i x="1933" nd="1"/>
        <i x="1883" nd="1"/>
        <i x="1856" nd="1"/>
        <i x="1700" nd="1"/>
        <i x="2078" nd="1"/>
        <i x="1062" nd="1"/>
        <i x="1080" nd="1"/>
        <i x="488" nd="1"/>
        <i x="1449" nd="1"/>
        <i x="587" nd="1"/>
        <i x="164" nd="1"/>
        <i x="1500" nd="1"/>
        <i x="919" nd="1"/>
        <i x="323" nd="1"/>
        <i x="319" nd="1"/>
        <i x="1286" nd="1"/>
        <i x="360" nd="1"/>
        <i x="1550" nd="1"/>
        <i x="2039" nd="1"/>
        <i x="1545" nd="1"/>
        <i x="207" nd="1"/>
        <i x="1511" nd="1"/>
        <i x="1512" nd="1"/>
        <i x="171" nd="1"/>
        <i x="1733" nd="1"/>
        <i x="907" nd="1"/>
        <i x="1472" nd="1"/>
        <i x="1921" nd="1"/>
        <i x="238" nd="1"/>
        <i x="1393" nd="1"/>
        <i x="1796" nd="1"/>
        <i x="1058" nd="1"/>
        <i x="1313" nd="1"/>
        <i x="1722" nd="1"/>
        <i x="837" nd="1"/>
        <i x="1116" nd="1"/>
        <i x="1432" nd="1"/>
        <i x="189" nd="1"/>
        <i x="1736" nd="1"/>
        <i x="1951" nd="1"/>
        <i x="1737" nd="1"/>
        <i x="1952" nd="1"/>
        <i x="957" nd="1"/>
        <i x="1243" nd="1"/>
        <i x="813" nd="1"/>
        <i x="1299" nd="1"/>
        <i x="809" nd="1"/>
        <i x="1300" nd="1"/>
        <i x="430" nd="1"/>
        <i x="169" nd="1"/>
        <i x="1968" nd="1"/>
        <i x="492" nd="1"/>
        <i x="2206" nd="1"/>
        <i x="621" nd="1"/>
        <i x="2299" nd="1"/>
        <i x="2265" nd="1"/>
        <i x="2065" nd="1"/>
        <i x="1248" nd="1"/>
        <i x="1621" nd="1"/>
        <i x="572" nd="1"/>
        <i x="1311" nd="1"/>
        <i x="318" nd="1"/>
        <i x="1538" nd="1"/>
        <i x="1773" nd="1"/>
        <i x="1902" nd="1"/>
        <i x="1542" nd="1"/>
        <i x="2063" nd="1"/>
        <i x="973" nd="1"/>
        <i x="1044" nd="1"/>
        <i x="1869" nd="1"/>
        <i x="224" nd="1"/>
        <i x="301" nd="1"/>
        <i x="773" nd="1"/>
        <i x="774" nd="1"/>
        <i x="153" nd="1"/>
        <i x="1646" nd="1"/>
        <i x="867" nd="1"/>
        <i x="1373" nd="1"/>
        <i x="873" nd="1"/>
        <i x="432" nd="1"/>
        <i x="119"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ckaging1" xr10:uid="{19A8BCB2-B3E5-4477-A3B2-22EC6DED5A32}" sourceName="Packaging">
  <pivotTables>
    <pivotTable tabId="127" name="PivotTable8"/>
  </pivotTables>
  <data>
    <tabular pivotCacheId="1349328981" showMissing="0">
      <items count="1347">
        <i x="2" s="1"/>
        <i x="6" s="1"/>
        <i x="7" s="1"/>
        <i x="169" s="1" nd="1"/>
        <i x="174" s="1" nd="1"/>
        <i x="176" s="1" nd="1"/>
        <i x="170" s="1" nd="1"/>
        <i x="171" s="1" nd="1"/>
        <i x="173" s="1" nd="1"/>
        <i x="177" s="1" nd="1"/>
        <i x="175" s="1" nd="1"/>
        <i x="172" s="1" nd="1"/>
        <i x="37" s="1" nd="1"/>
        <i x="133" s="1" nd="1"/>
        <i x="9" s="1" nd="1"/>
        <i x="10" s="1" nd="1"/>
        <i x="11" s="1" nd="1"/>
        <i x="121" s="1" nd="1"/>
        <i x="140" s="1" nd="1"/>
        <i x="144" s="1" nd="1"/>
        <i x="160" s="1" nd="1"/>
        <i x="161" s="1" nd="1"/>
        <i x="162" s="1" nd="1"/>
        <i x="38" s="1" nd="1"/>
        <i x="1" s="1" nd="1"/>
        <i x="12" s="1" nd="1"/>
        <i x="87" s="1" nd="1"/>
        <i x="141" s="1" nd="1"/>
        <i x="142" s="1" nd="1"/>
        <i x="146" s="1" nd="1"/>
        <i x="26" s="1" nd="1"/>
        <i x="39" s="1" nd="1"/>
        <i x="155" s="1" nd="1"/>
        <i x="49" s="1" nd="1"/>
        <i x="99" s="1" nd="1"/>
        <i x="158" s="1" nd="1"/>
        <i x="163" s="1" nd="1"/>
        <i x="143" s="1" nd="1"/>
        <i x="88" s="1" nd="1"/>
        <i x="109" s="1" nd="1"/>
        <i x="110" s="1" nd="1"/>
        <i x="90" s="1" nd="1"/>
        <i x="102" s="1" nd="1"/>
        <i x="98" s="1" nd="1"/>
        <i x="51" s="1" nd="1"/>
        <i x="52" s="1" nd="1"/>
        <i x="120" s="1" nd="1"/>
        <i x="27" s="1" nd="1"/>
        <i x="122" s="1" nd="1"/>
        <i x="123" s="1" nd="1"/>
        <i x="28" s="1" nd="1"/>
        <i x="29" s="1" nd="1"/>
        <i x="30" s="1" nd="1"/>
        <i x="31" s="1" nd="1"/>
        <i x="53" s="1" nd="1"/>
        <i x="19" s="1" nd="1"/>
        <i x="20" s="1" nd="1"/>
        <i x="21" s="1" nd="1"/>
        <i x="22" s="1" nd="1"/>
        <i x="23" s="1" nd="1"/>
        <i x="147" s="1" nd="1"/>
        <i x="148" s="1" nd="1"/>
        <i x="149" s="1" nd="1"/>
        <i x="150" s="1" nd="1"/>
        <i x="151" s="1" nd="1"/>
        <i x="24" s="1" nd="1"/>
        <i x="25" s="1" nd="1"/>
        <i x="124" s="1" nd="1"/>
        <i x="125" s="1" nd="1"/>
        <i x="145" s="1" nd="1"/>
        <i x="126" s="1" nd="1"/>
        <i x="127" s="1" nd="1"/>
        <i x="128" s="1" nd="1"/>
        <i x="129" s="1" nd="1"/>
        <i x="74" s="1" nd="1"/>
        <i x="75" s="1" nd="1"/>
        <i x="76" s="1" nd="1"/>
        <i x="65" s="1" nd="1"/>
        <i x="64" s="1" nd="1"/>
        <i x="89" s="1" nd="1"/>
        <i x="40" s="1" nd="1"/>
        <i x="60" s="1" nd="1"/>
        <i x="157" s="1" nd="1"/>
        <i x="61" s="1" nd="1"/>
        <i x="103" s="1" nd="1"/>
        <i x="3" s="1" nd="1"/>
        <i x="62" s="1" nd="1"/>
        <i x="63" s="1" nd="1"/>
        <i x="8" s="1" nd="1"/>
        <i x="130" s="1" nd="1"/>
        <i x="131" s="1" nd="1"/>
        <i x="132" s="1" nd="1"/>
        <i x="111" s="1" nd="1"/>
        <i x="112" s="1" nd="1"/>
        <i x="113" s="1" nd="1"/>
        <i x="114" s="1" nd="1"/>
        <i x="156" s="1" nd="1"/>
        <i x="119" s="1" nd="1"/>
        <i x="47" s="1" nd="1"/>
        <i x="166" s="1" nd="1"/>
        <i x="106" s="1" nd="1"/>
        <i x="48" s="1" nd="1"/>
        <i x="69" s="1" nd="1"/>
        <i x="41" s="1" nd="1"/>
        <i x="32" s="1" nd="1"/>
        <i x="42" s="1" nd="1"/>
        <i x="115" s="1" nd="1"/>
        <i x="83" s="1" nd="1"/>
        <i x="92" s="1" nd="1"/>
        <i x="93" s="1" nd="1"/>
        <i x="70" s="1" nd="1"/>
        <i x="71" s="1" nd="1"/>
        <i x="94" s="1" nd="1"/>
        <i x="95" s="1" nd="1"/>
        <i x="96" s="1" nd="1"/>
        <i x="138" s="1" nd="1"/>
        <i x="104" s="1" nd="1"/>
        <i x="105" s="1" nd="1"/>
        <i x="85" s="1" nd="1"/>
        <i x="86" s="1" nd="1"/>
        <i x="108" s="1" nd="1"/>
        <i x="101" s="1" nd="1"/>
        <i x="100" s="1" nd="1"/>
        <i x="66" s="1" nd="1"/>
        <i x="67" s="1" nd="1"/>
        <i x="68" s="1" nd="1"/>
        <i x="43" s="1" nd="1"/>
        <i x="4" s="1" nd="1"/>
        <i x="13" s="1" nd="1"/>
        <i x="14" s="1" nd="1"/>
        <i x="15" s="1" nd="1"/>
        <i x="16" s="1" nd="1"/>
        <i x="116" s="1" nd="1"/>
        <i x="134" s="1" nd="1"/>
        <i x="135" s="1" nd="1"/>
        <i x="136" s="1" nd="1"/>
        <i x="80" s="1" nd="1"/>
        <i x="81" s="1" nd="1"/>
        <i x="44" s="1" nd="1"/>
        <i x="17" s="1" nd="1"/>
        <i x="5" s="1" nd="1"/>
        <i x="33" s="1" nd="1"/>
        <i x="34" s="1" nd="1"/>
        <i x="35" s="1" nd="1"/>
        <i x="36" s="1" nd="1"/>
        <i x="165" s="1" nd="1"/>
        <i x="0" s="1" nd="1"/>
        <i x="164" s="1" nd="1"/>
        <i x="50" s="1" nd="1"/>
        <i x="168" s="1" nd="1"/>
        <i x="18" s="1" nd="1"/>
        <i x="118" s="1" nd="1"/>
        <i x="117" s="1" nd="1"/>
        <i x="82" s="1" nd="1"/>
        <i x="84" s="1" nd="1"/>
        <i x="97" s="1" nd="1"/>
        <i x="137" s="1" nd="1"/>
        <i x="77" s="1" nd="1"/>
        <i x="78" s="1" nd="1"/>
        <i x="79" s="1" nd="1"/>
        <i x="45" s="1" nd="1"/>
        <i x="46" s="1" nd="1"/>
        <i x="107" s="1" nd="1"/>
        <i x="54" s="1" nd="1"/>
        <i x="55" s="1" nd="1"/>
        <i x="56" s="1" nd="1"/>
        <i x="57" s="1" nd="1"/>
        <i x="58" s="1" nd="1"/>
        <i x="59" s="1" nd="1"/>
        <i x="139" s="1" nd="1"/>
        <i x="167" s="1" nd="1"/>
        <i x="152" s="1" nd="1"/>
        <i x="153" s="1" nd="1"/>
        <i x="154" s="1" nd="1"/>
        <i x="91" s="1" nd="1"/>
        <i x="159" s="1" nd="1"/>
        <i x="72" s="1" nd="1"/>
        <i x="73" s="1" nd="1"/>
        <i x="494" s="1" nd="1"/>
        <i x="1141" s="1" nd="1"/>
        <i x="1147" s="1" nd="1"/>
        <i x="1205" s="1" nd="1"/>
        <i x="781" s="1" nd="1"/>
        <i x="716" s="1" nd="1"/>
        <i x="563" s="1" nd="1"/>
        <i x="682" s="1" nd="1"/>
        <i x="1002" s="1" nd="1"/>
        <i x="1097" s="1" nd="1"/>
        <i x="518" s="1" nd="1"/>
        <i x="538" s="1" nd="1"/>
        <i x="585" s="1" nd="1"/>
        <i x="491" s="1" nd="1"/>
        <i x="459" s="1" nd="1"/>
        <i x="1247" s="1" nd="1"/>
        <i x="892" s="1" nd="1"/>
        <i x="825" s="1" nd="1"/>
        <i x="339" s="1" nd="1"/>
        <i x="730" s="1" nd="1"/>
        <i x="1187" s="1" nd="1"/>
        <i x="688" s="1" nd="1"/>
        <i x="722" s="1" nd="1"/>
        <i x="1031" s="1" nd="1"/>
        <i x="356" s="1" nd="1"/>
        <i x="1175" s="1" nd="1"/>
        <i x="791" s="1" nd="1"/>
        <i x="588" s="1" nd="1"/>
        <i x="977" s="1" nd="1"/>
        <i x="1148" s="1" nd="1"/>
        <i x="353" s="1" nd="1"/>
        <i x="1062" s="1" nd="1"/>
        <i x="877" s="1" nd="1"/>
        <i x="615" s="1" nd="1"/>
        <i x="990" s="1" nd="1"/>
        <i x="1283" s="1" nd="1"/>
        <i x="1307" s="1" nd="1"/>
        <i x="614" s="1" nd="1"/>
        <i x="193" s="1" nd="1"/>
        <i x="385" s="1" nd="1"/>
        <i x="215" s="1" nd="1"/>
        <i x="712" s="1" nd="1"/>
        <i x="700" s="1" nd="1"/>
        <i x="1223" s="1" nd="1"/>
        <i x="754" s="1" nd="1"/>
        <i x="927" s="1" nd="1"/>
        <i x="530" s="1" nd="1"/>
        <i x="1008" s="1" nd="1"/>
        <i x="227" s="1" nd="1"/>
        <i x="295" s="1" nd="1"/>
        <i x="1273" s="1" nd="1"/>
        <i x="1216" s="1" nd="1"/>
        <i x="949" s="1" nd="1"/>
        <i x="1217" s="1" nd="1"/>
        <i x="1326" s="1" nd="1"/>
        <i x="493" s="1" nd="1"/>
        <i x="786" s="1" nd="1"/>
        <i x="753" s="1" nd="1"/>
        <i x="1305" s="1" nd="1"/>
        <i x="379" s="1" nd="1"/>
        <i x="907" s="1" nd="1"/>
        <i x="617" s="1" nd="1"/>
        <i x="1061" s="1" nd="1"/>
        <i x="813" s="1" nd="1"/>
        <i x="1322" s="1" nd="1"/>
        <i x="885" s="1" nd="1"/>
        <i x="942" s="1" nd="1"/>
        <i x="886" s="1" nd="1"/>
        <i x="887" s="1" nd="1"/>
        <i x="442" s="1" nd="1"/>
        <i x="392" s="1" nd="1"/>
        <i x="273" s="1" nd="1"/>
        <i x="1214" s="1" nd="1"/>
        <i x="387" s="1" nd="1"/>
        <i x="422" s="1" nd="1"/>
        <i x="660" s="1" nd="1"/>
        <i x="433" s="1" nd="1"/>
        <i x="821" s="1" nd="1"/>
        <i x="1032" s="1" nd="1"/>
        <i x="508" s="1" nd="1"/>
        <i x="633" s="1" nd="1"/>
        <i x="1255" s="1" nd="1"/>
        <i x="1261" s="1" nd="1"/>
        <i x="272" s="1" nd="1"/>
        <i x="405" s="1" nd="1"/>
        <i x="1285" s="1" nd="1"/>
        <i x="974" s="1" nd="1"/>
        <i x="773" s="1" nd="1"/>
        <i x="900" s="1" nd="1"/>
        <i x="1330" s="1" nd="1"/>
        <i x="375" s="1" nd="1"/>
        <i x="430" s="1" nd="1"/>
        <i x="951" s="1" nd="1"/>
        <i x="1005" s="1" nd="1"/>
        <i x="1198" s="1" nd="1"/>
        <i x="703" s="1" nd="1"/>
        <i x="898" s="1" nd="1"/>
        <i x="362" s="1" nd="1"/>
        <i x="736" s="1" nd="1"/>
        <i x="642" s="1" nd="1"/>
        <i x="842" s="1" nd="1"/>
        <i x="671" s="1" nd="1"/>
        <i x="844" s="1" nd="1"/>
        <i x="677" s="1" nd="1"/>
        <i x="679" s="1" nd="1"/>
        <i x="881" s="1" nd="1"/>
        <i x="599" s="1" nd="1"/>
        <i x="715" s="1" nd="1"/>
        <i x="1311" s="1" nd="1"/>
        <i x="609" s="1" nd="1"/>
        <i x="432" s="1" nd="1"/>
        <i x="1160" s="1" nd="1"/>
        <i x="645" s="1" nd="1"/>
        <i x="812" s="1" nd="1"/>
        <i x="543" s="1" nd="1"/>
        <i x="504" s="1" nd="1"/>
        <i x="486" s="1" nd="1"/>
        <i x="675" s="1" nd="1"/>
        <i x="1085" s="1" nd="1"/>
        <i x="1064" s="1" nd="1"/>
        <i x="769" s="1" nd="1"/>
        <i x="752" s="1" nd="1"/>
        <i x="452" s="1" nd="1"/>
        <i x="595" s="1" nd="1"/>
        <i x="968" s="1" nd="1"/>
        <i x="457" s="1" nd="1"/>
        <i x="632" s="1" nd="1"/>
        <i x="857" s="1" nd="1"/>
        <i x="577" s="1" nd="1"/>
        <i x="1342" s="1" nd="1"/>
        <i x="1108" s="1" nd="1"/>
        <i x="661" s="1" nd="1"/>
        <i x="549" s="1" nd="1"/>
        <i x="224" s="1" nd="1"/>
        <i x="797" s="1" nd="1"/>
        <i x="689" s="1" nd="1"/>
        <i x="425" s="1" nd="1"/>
        <i x="735" s="1" nd="1"/>
        <i x="1244" s="1" nd="1"/>
        <i x="1156" s="1" nd="1"/>
        <i x="180" s="1" nd="1"/>
        <i x="1181" s="1" nd="1"/>
        <i x="367" s="1" nd="1"/>
        <i x="759" s="1" nd="1"/>
        <i x="928" s="1" nd="1"/>
        <i x="412" s="1" nd="1"/>
        <i x="429" s="1" nd="1"/>
        <i x="1245" s="1" nd="1"/>
        <i x="328" s="1" nd="1"/>
        <i x="790" s="1" nd="1"/>
        <i x="910" s="1" nd="1"/>
        <i x="1098" s="1" nd="1"/>
        <i x="911" s="1" nd="1"/>
        <i x="212" s="1" nd="1"/>
        <i x="1206" s="1" nd="1"/>
        <i x="976" s="1" nd="1"/>
        <i x="1001" s="1" nd="1"/>
        <i x="746" s="1" nd="1"/>
        <i x="836" s="1" nd="1"/>
        <i x="184" s="1" nd="1"/>
        <i x="1200" s="1" nd="1"/>
        <i x="777" s="1" nd="1"/>
        <i x="1260" s="1" nd="1"/>
        <i x="271" s="1" nd="1"/>
        <i x="404" s="1" nd="1"/>
        <i x="1329" s="1" nd="1"/>
        <i x="957" s="1" nd="1"/>
        <i x="827" s="1" nd="1"/>
        <i x="917" s="1" nd="1"/>
        <i x="294" s="1" nd="1"/>
        <i x="444" s="1" nd="1"/>
        <i x="743" s="1" nd="1"/>
        <i x="1006" s="1" nd="1"/>
        <i x="708" s="1" nd="1"/>
        <i x="378" s="1" nd="1"/>
        <i x="309" s="1" nd="1"/>
        <i x="1155" s="1" nd="1"/>
        <i x="903" s="1" nd="1"/>
        <i x="246" s="1" nd="1"/>
        <i x="575" s="1" nd="1"/>
        <i x="626" s="1" nd="1"/>
        <i x="1297" s="1" nd="1"/>
        <i x="313" s="1" nd="1"/>
        <i x="551" s="1" nd="1"/>
        <i x="1298" s="1" nd="1"/>
        <i x="1299" s="1" nd="1"/>
        <i x="1300" s="1" nd="1"/>
        <i x="552" s="1" nd="1"/>
        <i x="1253" s="1" nd="1"/>
        <i x="802" s="1" nd="1"/>
        <i x="217" s="1" nd="1"/>
        <i x="216" s="1" nd="1"/>
        <i x="1310" s="1" nd="1"/>
        <i x="926" s="1" nd="1"/>
        <i x="1046" s="1" nd="1"/>
        <i x="631" s="1" nd="1"/>
        <i x="1014" s="1" nd="1"/>
        <i x="398" s="1" nd="1"/>
        <i x="460" s="1" nd="1"/>
        <i x="939" s="1" nd="1"/>
        <i x="962" s="1" nd="1"/>
        <i x="726" s="1" nd="1"/>
        <i x="401" s="1" nd="1"/>
        <i x="1117" s="1" nd="1"/>
        <i x="1203" s="1" nd="1"/>
        <i x="194" s="1" nd="1"/>
        <i x="1034" s="1" nd="1"/>
        <i x="380" s="1" nd="1"/>
        <i x="397" s="1" nd="1"/>
        <i x="1041" s="1" nd="1"/>
        <i x="860" s="1" nd="1"/>
        <i x="1228" s="1" nd="1"/>
        <i x="582" s="1" nd="1"/>
        <i x="636" s="1" nd="1"/>
        <i x="1280" s="1" nd="1"/>
        <i x="796" s="1" nd="1"/>
        <i x="1306" s="1" nd="1"/>
        <i x="996" s="1" nd="1"/>
        <i x="1168" s="1" nd="1"/>
        <i x="970" s="1" nd="1"/>
        <i x="1044" s="1" nd="1"/>
        <i x="242" s="1" nd="1"/>
        <i x="190" s="1" nd="1"/>
        <i x="522" s="1" nd="1"/>
        <i x="1324" s="1" nd="1"/>
        <i x="1315" s="1" nd="1"/>
        <i x="778" s="1" nd="1"/>
        <i x="792" s="1" nd="1"/>
        <i x="400" s="1" nd="1"/>
        <i x="702" s="1" nd="1"/>
        <i x="771" s="1" nd="1"/>
        <i x="972" s="1" nd="1"/>
        <i x="1052" s="1" nd="1"/>
        <i x="1296" s="1" nd="1"/>
        <i x="656" s="1" nd="1"/>
        <i x="369" s="1" nd="1"/>
        <i x="858" s="1" nd="1"/>
        <i x="1096" s="1" nd="1"/>
        <i x="573" s="1" nd="1"/>
        <i x="820" s="1" nd="1"/>
        <i x="651" s="1" nd="1"/>
        <i x="780" s="1" nd="1"/>
        <i x="1018" s="1" nd="1"/>
        <i x="267" s="1" nd="1"/>
        <i x="254" s="1" nd="1"/>
        <i x="201" s="1" nd="1"/>
        <i x="393" s="1" nd="1"/>
        <i x="471" s="1" nd="1"/>
        <i x="809" s="1" nd="1"/>
        <i x="472" s="1" nd="1"/>
        <i x="789" s="1" nd="1"/>
        <i x="818" s="1" nd="1"/>
        <i x="697" s="1" nd="1"/>
        <i x="421" s="1" nd="1"/>
        <i x="218" s="1" nd="1"/>
        <i x="1215" s="1" nd="1"/>
        <i x="426" s="1" nd="1"/>
        <i x="490" s="1" nd="1"/>
        <i x="453" s="1" nd="1"/>
        <i x="296" s="1" nd="1"/>
        <i x="1313" s="1" nd="1"/>
        <i x="487" s="1" nd="1"/>
        <i x="620" s="1" nd="1"/>
        <i x="607" s="1" nd="1"/>
        <i x="621" s="1" nd="1"/>
        <i x="622" s="1" nd="1"/>
        <i x="1250" s="1" nd="1"/>
        <i x="188" s="1" nd="1"/>
        <i x="1043" s="1" nd="1"/>
        <i x="1232" s="1" nd="1"/>
        <i x="732" s="1" nd="1"/>
        <i x="733" s="1" nd="1"/>
        <i x="1051" s="1" nd="1"/>
        <i x="210" s="1" nd="1"/>
        <i x="1317" s="1" nd="1"/>
        <i x="484" s="1" nd="1"/>
        <i x="449" s="1" nd="1"/>
        <i x="1039" s="1" nd="1"/>
        <i x="213" s="1" nd="1"/>
        <i x="1212" s="1" nd="1"/>
        <i x="1086" s="1" nd="1"/>
        <i x="678" s="1" nd="1"/>
        <i x="849" s="1" nd="1"/>
        <i x="238" s="1" nd="1"/>
        <i x="527" s="1" nd="1"/>
        <i x="774" s="1" nd="1"/>
        <i x="1243" s="1" nd="1"/>
        <i x="523" s="1" nd="1"/>
        <i x="191" s="1" nd="1"/>
        <i x="192" s="1" nd="1"/>
        <i x="959" s="1" nd="1"/>
        <i x="205" s="1" nd="1"/>
        <i x="711" s="1" nd="1"/>
        <i x="445" s="1" nd="1"/>
        <i x="638" s="1" nd="1"/>
        <i x="824" s="1" nd="1"/>
        <i x="322" s="1" nd="1"/>
        <i x="535" s="1" nd="1"/>
        <i x="690" s="1" nd="1"/>
        <i x="691" s="1" nd="1"/>
        <i x="663" s="1" nd="1"/>
        <i x="684" s="1" nd="1"/>
        <i x="548" s="1" nd="1"/>
        <i x="233" s="1" nd="1"/>
        <i x="1211" s="1" nd="1"/>
        <i x="189" s="1" nd="1"/>
        <i x="467" s="1" nd="1"/>
        <i x="482" s="1" nd="1"/>
        <i x="749" s="1" nd="1"/>
        <i x="564" s="1" nd="1"/>
        <i x="787" s="1" nd="1"/>
        <i x="1178" s="1" nd="1"/>
        <i x="1065" s="1" nd="1"/>
        <i x="208" s="1" nd="1"/>
        <i x="446" s="1" nd="1"/>
        <i x="390" s="1" nd="1"/>
        <i x="304" s="1" nd="1"/>
        <i x="359" s="1" nd="1"/>
        <i x="1173" s="1" nd="1"/>
        <i x="1312" s="1" nd="1"/>
        <i x="476" s="1" nd="1"/>
        <i x="739" s="1" nd="1"/>
        <i x="469" s="1" nd="1"/>
        <i x="1176" s="1" nd="1"/>
        <i x="1279" s="1" nd="1"/>
        <i x="869" s="1" nd="1"/>
        <i x="975" s="1" nd="1"/>
        <i x="1150" s="1" nd="1"/>
        <i x="1153" s="1" nd="1"/>
        <i x="1036" s="1" nd="1"/>
        <i x="1209" s="1" nd="1"/>
        <i x="500" s="1" nd="1"/>
        <i x="916" s="1" nd="1"/>
        <i x="1035" s="1" nd="1"/>
        <i x="1038" s="1" nd="1"/>
        <i x="368" s="1" nd="1"/>
        <i x="417" s="1" nd="1"/>
        <i x="436" s="1" nd="1"/>
        <i x="1100" s="1" nd="1"/>
        <i x="925" s="1" nd="1"/>
        <i x="1294" s="1" nd="1"/>
        <i x="376" s="1" nd="1"/>
        <i x="520" s="1" nd="1"/>
        <i x="1303" s="1" nd="1"/>
        <i x="316" s="1" nd="1"/>
        <i x="377" s="1" nd="1"/>
        <i x="521" s="1" nd="1"/>
        <i x="1304" s="1" nd="1"/>
        <i x="317" s="1" nd="1"/>
        <i x="890" s="1" nd="1"/>
        <i x="1344" s="1" nd="1"/>
        <i x="592" s="1" nd="1"/>
        <i x="723" s="1" nd="1"/>
        <i x="1112" s="1" nd="1"/>
        <i x="991" s="1" nd="1"/>
        <i x="1104" s="1" nd="1"/>
        <i x="958" s="1" nd="1"/>
        <i x="1129" s="1" nd="1"/>
        <i x="570" s="1" nd="1"/>
        <i x="1262" s="1" nd="1"/>
        <i x="1013" s="1" nd="1"/>
        <i x="641" s="1" nd="1"/>
        <i x="439" s="1" nd="1"/>
        <i x="226" s="1" nd="1"/>
        <i x="954" s="1" nd="1"/>
        <i x="443" s="1" nd="1"/>
        <i x="315" s="1" nd="1"/>
        <i x="994" s="1" nd="1"/>
        <i x="848" s="1" nd="1"/>
        <i x="411" s="1" nd="1"/>
        <i x="465" s="1" nd="1"/>
        <i x="1188" s="1" nd="1"/>
        <i x="1202" s="1" nd="1"/>
        <i x="1029" s="1" nd="1"/>
        <i x="1196" s="1" nd="1"/>
        <i x="625" s="1" nd="1"/>
        <i x="611" s="1" nd="1"/>
        <i x="709" s="1" nd="1"/>
        <i x="237" s="1" nd="1"/>
        <i x="1088" s="1" nd="1"/>
        <i x="265" s="1" nd="1"/>
        <i x="266" s="1" nd="1"/>
        <i x="544" s="1" nd="1"/>
        <i x="371" s="1" nd="1"/>
        <i x="370" s="1" nd="1"/>
        <i x="1140" s="1" nd="1"/>
        <i x="1191" s="1" nd="1"/>
        <i x="284" s="1" nd="1"/>
        <i x="988" s="1" nd="1"/>
        <i x="692" s="1" nd="1"/>
        <i x="225" s="1" nd="1"/>
        <i x="461" s="1" nd="1"/>
        <i x="314" s="1" nd="1"/>
        <i x="1157" s="1" nd="1"/>
        <i x="613" s="1" nd="1"/>
        <i x="1113" s="1" nd="1"/>
        <i x="554" s="1" nd="1"/>
        <i x="718" s="1" nd="1"/>
        <i x="695" s="1" nd="1"/>
        <i x="1130" s="1" nd="1"/>
        <i x="817" s="1" nd="1"/>
        <i x="1025" s="1" nd="1"/>
        <i x="1053" s="1" nd="1"/>
        <i x="236" s="1" nd="1"/>
        <i x="1274" s="1" nd="1"/>
        <i x="466" s="1" nd="1"/>
        <i x="1101" s="1" nd="1"/>
        <i x="257" s="1" nd="1"/>
        <i x="1102" s="1" nd="1"/>
        <i x="1103" s="1" nd="1"/>
        <i x="1092" s="1" nd="1"/>
        <i x="745" s="1" nd="1"/>
        <i x="748" s="1" nd="1"/>
        <i x="956" s="1" nd="1"/>
        <i x="1019" s="1" nd="1"/>
        <i x="963" s="1" nd="1"/>
        <i x="263" s="1" nd="1"/>
        <i x="519" s="1" nd="1"/>
        <i x="299" s="1" nd="1"/>
        <i x="914" s="1" nd="1"/>
        <i x="1266" s="1" nd="1"/>
        <i x="1220" s="1" nd="1"/>
        <i x="1231" s="1" nd="1"/>
        <i x="1227" s="1" nd="1"/>
        <i x="232" s="1" nd="1"/>
        <i x="541" s="1" nd="1"/>
        <i x="768" s="1" nd="1"/>
        <i x="1167" s="1" nd="1"/>
        <i x="423" s="1" nd="1"/>
        <i x="542" s="1" nd="1"/>
        <i x="868" s="1" nd="1"/>
        <i x="297" s="1" nd="1"/>
        <i x="501" s="1" nd="1"/>
        <i x="556" s="1" nd="1"/>
        <i x="966" s="1" nd="1"/>
        <i x="993" s="1" nd="1"/>
        <i x="569" s="1" nd="1"/>
        <i x="354" s="1" nd="1"/>
        <i x="706" s="1" nd="1"/>
        <i x="906" s="1" nd="1"/>
        <i x="1183" s="1" nd="1"/>
        <i x="761" s="1" nd="1"/>
        <i x="1210" s="1" nd="1"/>
        <i x="305" s="1" nd="1"/>
        <i x="361" s="1" nd="1"/>
        <i x="750" s="1" nd="1"/>
        <i x="1151" s="1" nd="1"/>
        <i x="639" s="1" nd="1"/>
        <i x="462" s="1" nd="1"/>
        <i x="998" s="1" nd="1"/>
        <i x="207" s="1" nd="1"/>
        <i x="1047" s="1" nd="1"/>
        <i x="1142" s="1" nd="1"/>
        <i x="1143" s="1" nd="1"/>
        <i x="1144" s="1" nd="1"/>
        <i x="1257" s="1" nd="1"/>
        <i x="202" s="1" nd="1"/>
        <i x="657" s="1" nd="1"/>
        <i x="922" s="1" nd="1"/>
        <i x="918" s="1" nd="1"/>
        <i x="662" s="1" nd="1"/>
        <i x="496" s="1" nd="1"/>
        <i x="333" s="1" nd="1"/>
        <i x="1333" s="1" nd="1"/>
        <i x="628" s="1" nd="1"/>
        <i x="293" s="1" nd="1"/>
        <i x="281" s="1" nd="1"/>
        <i x="282" s="1" nd="1"/>
        <i x="1119" s="1" nd="1"/>
        <i x="358" s="1" nd="1"/>
        <i x="204" s="1" nd="1"/>
        <i x="600" s="1" nd="1"/>
        <i x="550" s="1" nd="1"/>
        <i x="547" s="1" nd="1"/>
        <i x="391" s="1" nd="1"/>
        <i x="1026" s="1" nd="1"/>
        <i x="872" s="1" nd="1"/>
        <i x="1286" s="1" nd="1"/>
        <i x="1027" s="1" nd="1"/>
        <i x="873" s="1" nd="1"/>
        <i x="597" s="1" nd="1"/>
        <i x="891" s="1" nd="1"/>
        <i x="1287" s="1" nd="1"/>
        <i x="598" s="1" nd="1"/>
        <i x="243" s="1" nd="1"/>
        <i x="856" s="1" nd="1"/>
        <i x="979" s="1" nd="1"/>
        <i x="249" s="1" nd="1"/>
        <i x="762" s="1" nd="1"/>
        <i x="1334" s="1" nd="1"/>
        <i x="1089" s="1" nd="1"/>
        <i x="1235" s="1" nd="1"/>
        <i x="1110" s="1" nd="1"/>
        <i x="822" s="1" nd="1"/>
        <i x="1090" s="1" nd="1"/>
        <i x="1236" s="1" nd="1"/>
        <i x="330" s="1" nd="1"/>
        <i x="220" s="1" nd="1"/>
        <i x="800" s="1" nd="1"/>
        <i x="1237" s="1" nd="1"/>
        <i x="331" s="1" nd="1"/>
        <i x="1195" s="1" nd="1"/>
        <i x="1335" s="1" nd="1"/>
        <i x="1238" s="1" nd="1"/>
        <i x="221" s="1" nd="1"/>
        <i x="1239" s="1" nd="1"/>
        <i x="1240" s="1" nd="1"/>
        <i x="239" s="1" nd="1"/>
        <i x="255" s="1" nd="1"/>
        <i x="882" s="1" nd="1"/>
        <i x="181" s="1" nd="1"/>
        <i x="1336" s="1" nd="1"/>
        <i x="557" s="1" nd="1"/>
        <i x="1252" s="1" nd="1"/>
        <i x="470" s="1" nd="1"/>
        <i x="629" s="1" nd="1"/>
        <i x="240" s="1" nd="1"/>
        <i x="1337" s="1" nd="1"/>
        <i x="196" s="1" nd="1"/>
        <i x="256" s="1" nd="1"/>
        <i x="1241" s="1" nd="1"/>
        <i x="1338" s="1" nd="1"/>
        <i x="1242" s="1" nd="1"/>
        <i x="241" s="1" nd="1"/>
        <i x="940" s="1" nd="1"/>
        <i x="182" s="1" nd="1"/>
        <i x="1339" s="1" nd="1"/>
        <i x="558" s="1" nd="1"/>
        <i x="649" s="1" nd="1"/>
        <i x="960" s="1" nd="1"/>
        <i x="222" s="1" nd="1"/>
        <i x="183" s="1" nd="1"/>
        <i x="1340" s="1" nd="1"/>
        <i x="559" s="1" nd="1"/>
        <i x="219" s="1" nd="1"/>
        <i x="583" s="1" nd="1"/>
        <i x="1066" s="1" nd="1"/>
        <i x="1289" s="1" nd="1"/>
        <i x="795" s="1" nd="1"/>
        <i x="1256" s="1" nd="1"/>
        <i x="624" s="1" nd="1"/>
        <i x="799" s="1" nd="1"/>
        <i x="826" s="1" nd="1"/>
        <i x="823" s="1" nd="1"/>
        <i x="664" s="1" nd="1"/>
        <i x="915" s="1" nd="1"/>
        <i x="839" s="1" nd="1"/>
        <i x="290" s="1" nd="1"/>
        <i x="1291" s="1" nd="1"/>
        <i x="889" s="1" nd="1"/>
        <i x="586" s="1" nd="1"/>
        <i x="1165" s="1" nd="1"/>
        <i x="1033" s="1" nd="1"/>
        <i x="1037" s="1" nd="1"/>
        <i x="200" s="1" nd="1"/>
        <i x="301" s="1" nd="1"/>
        <i x="576" s="1" nd="1"/>
        <i x="819" s="1" nd="1"/>
        <i x="326" s="1" nd="1"/>
        <i x="497" s="1" nd="1"/>
        <i x="498" s="1" nd="1"/>
        <i x="602" s="1" nd="1"/>
        <i x="1263" s="1" nd="1"/>
        <i x="865" s="1" nd="1"/>
        <i x="866" s="1" nd="1"/>
        <i x="1284" s="1" nd="1"/>
        <i x="604" s="1" nd="1"/>
        <i x="1295" s="1" nd="1"/>
        <i x="793" s="1" nd="1"/>
        <i x="1040" s="1" nd="1"/>
        <i x="1009" s="1" nd="1"/>
        <i x="1115" s="1" nd="1"/>
        <i x="1125" s="1" nd="1"/>
        <i x="277" s="1" nd="1"/>
        <i x="435" s="1" nd="1"/>
        <i x="946" s="1" nd="1"/>
        <i x="480" s="1" nd="1"/>
        <i x="384" s="1" nd="1"/>
        <i x="278" s="1" nd="1"/>
        <i x="658" s="1" nd="1"/>
        <i x="515" s="1" nd="1"/>
        <i x="203" s="1" nd="1"/>
        <i x="1186" s="1" nd="1"/>
        <i x="248" s="1" nd="1"/>
        <i x="1122" s="1" nd="1"/>
        <i x="610" s="1" nd="1"/>
        <i x="669" s="1" nd="1"/>
        <i x="980" s="1" nd="1"/>
        <i x="537" s="1" nd="1"/>
        <i x="731" s="1" nd="1"/>
        <i x="579" s="1" nd="1"/>
        <i x="345" s="1" nd="1"/>
        <i x="883" s="1" nd="1"/>
        <i x="468" s="1" nd="1"/>
        <i x="1264" s="1" nd="1"/>
        <i x="1272" s="1" nd="1"/>
        <i x="1258" s="1" nd="1"/>
        <i x="513" s="1" nd="1"/>
        <i x="999" s="1" nd="1"/>
        <i x="1021" s="1" nd="1"/>
        <i x="1185" s="1" nd="1"/>
        <i x="463" s="1" nd="1"/>
        <i x="507" s="1" nd="1"/>
        <i x="1070" s="1" nd="1"/>
        <i x="360" s="1" nd="1"/>
        <i x="517" s="1" nd="1"/>
        <i x="587" s="1" nd="1"/>
        <i x="1134" s="1" nd="1"/>
        <i x="929" s="1" nd="1"/>
        <i x="744" s="1" nd="1"/>
        <i x="978" s="1" nd="1"/>
        <i x="938" s="1" nd="1"/>
        <i x="1000" s="1" nd="1"/>
        <i x="1012" s="1" nd="1"/>
        <i x="937" s="1" nd="1"/>
        <i x="427" s="1" nd="1"/>
        <i x="525" s="1" nd="1"/>
        <i x="672" s="1" nd="1"/>
        <i x="234" s="1" nd="1"/>
        <i x="1099" s="1" nd="1"/>
        <i x="1057" s="1" nd="1"/>
        <i x="875" s="1" nd="1"/>
        <i x="694" s="1" nd="1"/>
        <i x="833" s="1" nd="1"/>
        <i x="1316" s="1" nd="1"/>
        <i x="593" s="1" nd="1"/>
        <i x="1174" s="1" nd="1"/>
        <i x="509" s="1" nd="1"/>
        <i x="653" s="1" nd="1"/>
        <i x="365" s="1" nd="1"/>
        <i x="913" s="1" nd="1"/>
        <i x="965" s="1" nd="1"/>
        <i x="413" s="1" nd="1"/>
        <i x="1345" s="1" nd="1"/>
        <i x="414" s="1" nd="1"/>
        <i x="492" s="1" nd="1"/>
        <i x="606" s="1" nd="1"/>
        <i x="308" s="1" nd="1"/>
        <i x="285" s="1" nd="1"/>
        <i x="245" s="1" nd="1"/>
        <i x="1158" s="1" nd="1"/>
        <i x="627" s="1" nd="1"/>
        <i x="303" s="1" nd="1"/>
        <i x="756" s="1" nd="1"/>
        <i x="1069" s="1" nd="1"/>
        <i x="395" s="1" nd="1"/>
        <i x="455" s="1" nd="1"/>
        <i x="209" s="1" nd="1"/>
        <i x="1054" s="1" nd="1"/>
        <i x="794" s="1" nd="1"/>
        <i x="944" s="1" nd="1"/>
        <i x="1346" s="1" nd="1"/>
        <i x="1248" s="1" nd="1"/>
        <i x="1146" s="1" nd="1"/>
        <i x="431" s="1" nd="1"/>
        <i x="199" s="1" nd="1"/>
        <i x="659" s="1" nd="1"/>
        <i x="286" s="1" nd="1"/>
        <i x="806" s="1" nd="1"/>
        <i x="458" s="1" nd="1"/>
        <i x="895" s="1" nd="1"/>
        <i x="776" s="1" nd="1"/>
        <i x="526" s="1" nd="1"/>
        <i x="950" s="1" nd="1"/>
        <i x="264" s="1" nd="1"/>
        <i x="311" s="1" nd="1"/>
        <i x="720" s="1" nd="1"/>
        <i x="250" s="1" nd="1"/>
        <i x="1132" s="1" nd="1"/>
        <i x="1189" s="1" nd="1"/>
        <i x="758" s="1" nd="1"/>
        <i x="693" s="1" nd="1"/>
        <i x="804" s="1" nd="1"/>
        <i x="619" s="1" nd="1"/>
        <i x="1010" s="1" nd="1"/>
        <i x="300" s="1" nd="1"/>
        <i x="325" s="1" nd="1"/>
        <i x="1219" s="1" nd="1"/>
        <i x="416" s="1" nd="1"/>
        <i x="306" s="1" nd="1"/>
        <i x="342" s="1" nd="1"/>
        <i x="1327" s="1" nd="1"/>
        <i x="187" s="1" nd="1"/>
        <i x="1221" s="1" nd="1"/>
        <i x="605" s="1" nd="1"/>
        <i x="539" s="1" nd="1"/>
        <i x="1020" s="1" nd="1"/>
        <i x="1109" s="1" nd="1"/>
        <i x="859" s="1" nd="1"/>
        <i x="899" s="1" nd="1"/>
        <i x="919" s="1" nd="1"/>
        <i x="948" s="1" nd="1"/>
        <i x="734" s="1" nd="1"/>
        <i x="1011" s="1" nd="1"/>
        <i x="319" s="1" nd="1"/>
        <i x="840" s="1" nd="1"/>
        <i x="807" s="1" nd="1"/>
        <i x="850" s="1" nd="1"/>
        <i x="601" s="1" nd="1"/>
        <i x="1166" s="1" nd="1"/>
        <i x="1224" s="1" nd="1"/>
        <i x="841" s="1" nd="1"/>
        <i x="835" s="1" nd="1"/>
        <i x="854" s="1" nd="1"/>
        <i x="1213" s="1" nd="1"/>
        <i x="673" s="1" nd="1"/>
        <i x="546" s="1" nd="1"/>
        <i x="961" s="1" nd="1"/>
        <i x="567" s="1" nd="1"/>
        <i x="838" s="1" nd="1"/>
        <i x="247" s="1" nd="1"/>
        <i x="779" s="1" nd="1"/>
        <i x="479" s="1" nd="1"/>
        <i x="324" s="1" nd="1"/>
        <i x="589" s="1" nd="1"/>
        <i x="302" s="1" nd="1"/>
        <i x="279" s="1" nd="1"/>
        <i x="280" s="1" nd="1"/>
        <i x="687" s="1" nd="1"/>
        <i x="665" s="1" nd="1"/>
        <i x="704" s="1" nd="1"/>
        <i x="724" s="1" nd="1"/>
        <i x="681" s="1" nd="1"/>
        <i x="1060" s="1" nd="1"/>
        <i x="808" s="1" nd="1"/>
        <i x="894" s="1" nd="1"/>
        <i x="464" s="1" nd="1"/>
        <i x="388" s="1" nd="1"/>
        <i x="1071" s="1" nd="1"/>
        <i x="981" s="1" nd="1"/>
        <i x="251" s="1" nd="1"/>
        <i x="292" s="1" nd="1"/>
        <i x="766" s="1" nd="1"/>
        <i x="560" s="1" nd="1"/>
        <i x="568" s="1" nd="1"/>
        <i x="760" s="1" nd="1"/>
        <i x="984" s="1" nd="1"/>
        <i x="648" s="1" nd="1"/>
        <i x="357" s="1" nd="1"/>
        <i x="531" s="1" nd="1"/>
        <i x="845" s="1" nd="1"/>
        <i x="783" s="1" nd="1"/>
        <i x="1320" s="1" nd="1"/>
        <i x="420" s="1" nd="1"/>
        <i x="635" s="1" nd="1"/>
        <i x="1082" s="1" nd="1"/>
        <i x="815" s="1" nd="1"/>
        <i x="346" s="1" nd="1"/>
        <i x="1171" s="1" nd="1"/>
        <i x="473" s="1" nd="1"/>
        <i x="555" s="1" nd="1"/>
        <i x="717" s="1" nd="1"/>
        <i x="396" s="1" nd="1"/>
        <i x="831" s="1" nd="1"/>
        <i x="1145" s="1" nd="1"/>
        <i x="244" s="1" nd="1"/>
        <i x="580" s="1" nd="1"/>
        <i x="852" s="1" nd="1"/>
        <i x="646" s="1" nd="1"/>
        <i x="1197" s="1" nd="1"/>
        <i x="503" s="1" nd="1"/>
        <i x="757" s="1" nd="1"/>
        <i x="437" s="1" nd="1"/>
        <i x="647" s="1" nd="1"/>
        <i x="1290" s="1" nd="1"/>
        <i x="524" s="1" nd="1"/>
        <i x="1218" s="1" nd="1"/>
        <i x="870" s="1" nd="1"/>
        <i x="871" s="1" nd="1"/>
        <i x="1022" s="1" nd="1"/>
        <i x="714" s="1" nd="1"/>
        <i x="230" s="1" nd="1"/>
        <i x="770" s="1" nd="1"/>
        <i x="729" s="1" nd="1"/>
        <i x="707" s="1" nd="1"/>
        <i x="283" s="1" nd="1"/>
        <i x="1048" s="1" nd="1"/>
        <i x="955" s="1" nd="1"/>
        <i x="510" s="1" nd="1"/>
        <i x="705" s="1" nd="1"/>
        <i x="1208" s="1" nd="1"/>
        <i x="1164" s="1" nd="1"/>
        <i x="1302" s="1" nd="1"/>
        <i x="941" s="1" nd="1"/>
        <i x="1072" s="1" nd="1"/>
        <i x="329" s="1" nd="1"/>
        <i x="594" s="1" nd="1"/>
        <i x="884" s="1" nd="1"/>
        <i x="415" s="1" nd="1"/>
        <i x="1194" s="1" nd="1"/>
        <i x="728" s="1" nd="1"/>
        <i x="186" s="1" nd="1"/>
        <i x="905" s="1" nd="1"/>
        <i x="1267" s="1" nd="1"/>
        <i x="1045" s="1" nd="1"/>
        <i x="179" s="1" nd="1"/>
        <i x="327" s="1" nd="1"/>
        <i x="505" s="1" nd="1"/>
        <i x="488" s="1" nd="1"/>
        <i x="1328" s="1" nd="1"/>
        <i x="351" s="1" nd="1"/>
        <i x="320" s="1" nd="1"/>
        <i x="386" s="1" nd="1"/>
        <i x="1265" s="1" nd="1"/>
        <i x="511" s="1" nd="1"/>
        <i x="1225" s="1" nd="1"/>
        <i x="381" s="1" nd="1"/>
        <i x="228" s="1" nd="1"/>
        <i x="1199" s="1" nd="1"/>
        <i x="1067" s="1" nd="1"/>
        <i x="1081" s="1" nd="1"/>
        <i x="1149" s="1" nd="1"/>
        <i x="798" s="1" nd="1"/>
        <i x="683" s="1" nd="1"/>
        <i x="1276" s="1" nd="1"/>
        <i x="502" s="1" nd="1"/>
        <i x="1016" s="1" nd="1"/>
        <i x="742" s="1" nd="1"/>
        <i x="834" s="1" nd="1"/>
        <i x="1259" s="1" nd="1"/>
        <i x="1268" s="1" nd="1"/>
        <i x="676" s="1" nd="1"/>
        <i x="534" s="1" nd="1"/>
        <i x="1275" s="1" nd="1"/>
        <i x="1204" s="1" nd="1"/>
        <i x="1121" s="1" nd="1"/>
        <i x="229" s="1" nd="1"/>
        <i x="719" s="1" nd="1"/>
        <i x="644" s="1" nd="1"/>
        <i x="666" s="1" nd="1"/>
        <i x="571" s="1" nd="1"/>
        <i x="1162" s="1" nd="1"/>
        <i x="1139" s="1" nd="1"/>
        <i x="751" s="1" nd="1"/>
        <i x="936" s="1" nd="1"/>
        <i x="612" s="1" nd="1"/>
        <i x="1114" s="1" nd="1"/>
        <i x="686" s="1" nd="1"/>
        <i x="1229" s="1" nd="1"/>
        <i x="450" s="1" nd="1"/>
        <i x="1030" s="1" nd="1"/>
        <i x="318" s="1" nd="1"/>
        <i x="1095" s="1" nd="1"/>
        <i x="1341" s="1" nd="1"/>
        <i x="197" s="1" nd="1"/>
        <i x="1343" s="1" nd="1"/>
        <i x="591" s="1" nd="1"/>
        <i x="618" s="1" nd="1"/>
        <i x="634" s="1" nd="1"/>
        <i x="389" s="1" nd="1"/>
        <i x="478" s="1" nd="1"/>
        <i x="710" s="1" nd="1"/>
        <i x="355" s="1" nd="1"/>
        <i x="528" s="1" nd="1"/>
        <i x="532" s="1" nd="1"/>
        <i x="499" s="1" nd="1"/>
        <i x="514" s="1" nd="1"/>
        <i x="992" s="1" nd="1"/>
        <i x="934" s="1" nd="1"/>
        <i x="1055" s="1" nd="1"/>
        <i x="310" s="1" nd="1"/>
        <i x="341" s="1" nd="1"/>
        <i x="699" s="1" nd="1"/>
        <i x="1233" s="1" nd="1"/>
        <i x="235" s="1" nd="1"/>
        <i x="334" s="1" nd="1"/>
        <i x="312" s="1" nd="1"/>
        <i x="1003" s="1" nd="1"/>
        <i x="832" s="1" nd="1"/>
        <i x="867" s="1" nd="1"/>
        <i x="630" s="1" nd="1"/>
        <i x="348" s="1" nd="1"/>
        <i x="434" s="1" nd="1"/>
        <i x="574" s="1" nd="1"/>
        <i x="1073" s="1" nd="1"/>
        <i x="253" s="1" nd="1"/>
        <i x="1222" s="1" nd="1"/>
        <i x="1234" s="1" nd="1"/>
        <i x="782" s="1" nd="1"/>
        <i x="259" s="1" nd="1"/>
        <i x="1076" s="1" nd="1"/>
        <i x="407" s="1" nd="1"/>
        <i x="211" s="1" nd="1"/>
        <i x="1246" s="1" nd="1"/>
        <i x="374" s="1" nd="1"/>
        <i x="1226" s="1" nd="1"/>
        <i x="654" s="1" nd="1"/>
        <i x="1271" s="1" nd="1"/>
        <i x="667" s="1" nd="1"/>
        <i x="616" s="1" nd="1"/>
        <i x="394" s="1" nd="1"/>
        <i x="337" s="1" nd="1"/>
        <i x="1207" s="1" nd="1"/>
        <i x="1080" s="1" nd="1"/>
        <i x="332" s="1" nd="1"/>
        <i x="1083" s="1" nd="1"/>
        <i x="1004" s="1" nd="1"/>
        <i x="851" s="1" nd="1"/>
        <i x="1269" s="1" nd="1"/>
        <i x="545" s="1" nd="1"/>
        <i x="1282" s="1" nd="1"/>
        <i x="888" s="1" nd="1"/>
        <i x="698" s="1" nd="1"/>
        <i x="291" s="1" nd="1"/>
        <i x="347" s="1" nd="1"/>
        <i x="1190" s="1" nd="1"/>
        <i x="1277" s="1" nd="1"/>
        <i x="680" s="1" nd="1"/>
        <i x="1068" s="1" nd="1"/>
        <i x="1270" s="1" nd="1"/>
        <i x="1007" s="1" nd="1"/>
        <i x="953" s="1" nd="1"/>
        <i x="336" s="1" nd="1"/>
        <i x="1116" s="1" nd="1"/>
        <i x="1319" s="1" nd="1"/>
        <i x="801" s="1" nd="1"/>
        <i x="1154" s="1" nd="1"/>
        <i x="298" s="1" nd="1"/>
        <i x="747" s="1" nd="1"/>
        <i x="755" s="1" nd="1"/>
        <i x="1179" s="1" nd="1"/>
        <i x="1118" s="1" nd="1"/>
        <i x="185" s="1" nd="1"/>
        <i x="893" s="1" nd="1"/>
        <i x="408" s="1" nd="1"/>
        <i x="596" s="1" nd="1"/>
        <i x="409" s="1" nd="1"/>
        <i x="652" s="1" nd="1"/>
        <i x="565" s="1" nd="1"/>
        <i x="214" s="1" nd="1"/>
        <i x="529" s="1" nd="1"/>
        <i x="540" s="1" nd="1"/>
        <i x="623" s="1" nd="1"/>
        <i x="1075" s="1" nd="1"/>
        <i x="584" s="1" nd="1"/>
        <i x="983" s="1" nd="1"/>
        <i x="1059" s="1" nd="1"/>
        <i x="909" s="1" nd="1"/>
        <i x="737" s="1" nd="1"/>
        <i x="738" s="1" nd="1"/>
        <i x="828" s="1" nd="1"/>
        <i x="935" s="1" nd="1"/>
        <i x="803" s="1" nd="1"/>
        <i x="1017" s="1" nd="1"/>
        <i x="933" s="1" nd="1"/>
        <i x="987" s="1" nd="1"/>
        <i x="195" s="1" nd="1"/>
        <i x="562" s="1" nd="1"/>
        <i x="1192" s="1" nd="1"/>
        <i x="512" s="1" nd="1"/>
        <i x="964" s="1" nd="1"/>
        <i x="967" s="1" nd="1"/>
        <i x="763" s="1" nd="1"/>
        <i x="340" s="1" nd="1"/>
        <i x="982" s="1" nd="1"/>
        <i x="1074" s="1" nd="1"/>
        <i x="912" s="1" nd="1"/>
        <i x="307" s="1" nd="1"/>
        <i x="1050" s="1" nd="1"/>
        <i x="1152" s="1" nd="1"/>
        <i x="578" s="1" nd="1"/>
        <i x="561" s="1" nd="1"/>
        <i x="1281" s="1" nd="1"/>
        <i x="816" s="1" nd="1"/>
        <i x="1201" s="1" nd="1"/>
        <i x="930" s="1" nd="1"/>
        <i x="971" s="1" nd="1"/>
        <i x="650" s="1" nd="1"/>
        <i x="897" s="1" nd="1"/>
        <i x="1136" s="1" nd="1"/>
        <i x="1028" s="1" nd="1"/>
        <i x="1309" s="1" nd="1"/>
        <i x="1180" s="1" nd="1"/>
        <i x="902" s="1" nd="1"/>
        <i x="973" s="1" nd="1"/>
        <i x="1135" s="1" nd="1"/>
        <i x="399" s="1" nd="1"/>
        <i x="855" s="1" nd="1"/>
        <i x="260" s="1" nd="1"/>
        <i x="441" s="1" nd="1"/>
        <i x="261" s="1" nd="1"/>
        <i x="985" s="1" nd="1"/>
        <i x="1301" s="1" nd="1"/>
        <i x="1288" s="1" nd="1"/>
        <i x="1331" s="1" nd="1"/>
        <i x="1172" s="1" nd="1"/>
        <i x="989" s="1" nd="1"/>
        <i x="637" s="1" nd="1"/>
        <i x="713" s="1" nd="1"/>
        <i x="603" s="1" nd="1"/>
        <i x="1120" s="1" nd="1"/>
        <i x="901" s="1" nd="1"/>
        <i x="1042" s="1" nd="1"/>
        <i x="268" s="1" nd="1"/>
        <i x="349" s="1" nd="1"/>
        <i x="335" s="1" nd="1"/>
        <i x="269" s="1" nd="1"/>
        <i x="495" s="1" nd="1"/>
        <i x="685" s="1" nd="1"/>
        <i x="1318" s="1" nd="1"/>
        <i x="1182" s="1" nd="1"/>
        <i x="969" s="1" nd="1"/>
        <i x="995" s="1" nd="1"/>
        <i x="1163" s="1" nd="1"/>
        <i x="1126" s="1" nd="1"/>
        <i x="474" s="1" nd="1"/>
        <i x="475" s="1" nd="1"/>
        <i x="805" s="1" nd="1"/>
        <i x="1077" s="1" nd="1"/>
        <i x="424" s="1" nd="1"/>
        <i x="674" s="1" nd="1"/>
        <i x="1314" s="1" nd="1"/>
        <i x="847" s="1" nd="1"/>
        <i x="418" s="1" nd="1"/>
        <i x="811" s="1" nd="1"/>
        <i x="553" s="1" nd="1"/>
        <i x="485" s="1" nd="1"/>
        <i x="725" s="1" nd="1"/>
        <i x="402" s="1" nd="1"/>
        <i x="1184" s="1" nd="1"/>
        <i x="343" s="1" nd="1"/>
        <i x="696" s="1" nd="1"/>
        <i x="1308" s="1" nd="1"/>
        <i x="1193" s="1" nd="1"/>
        <i x="1249" s="1" nd="1"/>
        <i x="945" s="1" nd="1"/>
        <i x="1123" s="1" nd="1"/>
        <i x="986" s="1" nd="1"/>
        <i x="1161" s="1" nd="1"/>
        <i x="321" s="1" nd="1"/>
        <i x="1131" s="1" nd="1"/>
        <i x="1107" s="1" nd="1"/>
        <i x="931" s="1" nd="1"/>
        <i x="932" s="1" nd="1"/>
        <i x="655" s="1" nd="1"/>
        <i x="1084" s="1" nd="1"/>
        <i x="372" s="1" nd="1"/>
        <i x="373" s="1" nd="1"/>
        <i x="767" s="1" nd="1"/>
        <i x="1159" s="1" nd="1"/>
        <i x="997" s="1" nd="1"/>
        <i x="727" s="1" nd="1"/>
        <i x="364" s="1" nd="1"/>
        <i x="406" s="1" nd="1"/>
        <i x="252" s="1" nd="1"/>
        <i x="920" s="1" nd="1"/>
        <i x="1323" s="1" nd="1"/>
        <i x="908" s="1" nd="1"/>
        <i x="1106" s="1" nd="1"/>
        <i x="1127" s="1" nd="1"/>
        <i x="814" s="1" nd="1"/>
        <i x="1128" s="1" nd="1"/>
        <i x="403" s="1" nd="1"/>
        <i x="1137" s="1" nd="1"/>
        <i x="1138" s="1" nd="1"/>
        <i x="846" s="1" nd="1"/>
        <i x="1169" s="1" nd="1"/>
        <i x="206" s="1" nd="1"/>
        <i x="643" s="1" nd="1"/>
        <i x="876" s="1" nd="1"/>
        <i x="701" s="1" nd="1"/>
        <i x="382" s="1" nd="1"/>
        <i x="837" s="1" nd="1"/>
        <i x="1124" s="1" nd="1"/>
        <i x="784" s="1" nd="1"/>
        <i x="289" s="1" nd="1"/>
        <i x="829" s="1" nd="1"/>
        <i x="350" s="1" nd="1"/>
        <i x="921" s="1" nd="1"/>
        <i x="952" s="1" nd="1"/>
        <i x="1230" s="1" nd="1"/>
        <i x="608" s="1" nd="1"/>
        <i x="440" s="1" nd="1"/>
        <i x="1094" s="1" nd="1"/>
        <i x="481" s="1" nd="1"/>
        <i x="1278" s="1" nd="1"/>
        <i x="516" s="1" nd="1"/>
        <i x="456" s="1" nd="1"/>
        <i x="1170" s="1" nd="1"/>
        <i x="454" s="1" nd="1"/>
        <i x="862" s="1" nd="1"/>
        <i x="863" s="1" nd="1"/>
        <i x="864" s="1" nd="1"/>
        <i x="740" s="1" nd="1"/>
        <i x="590" s="1" nd="1"/>
        <i x="904" s="1" nd="1"/>
        <i x="258" s="1" nd="1"/>
        <i x="287" s="1" nd="1"/>
        <i x="947" s="1" nd="1"/>
        <i x="830" s="1" nd="1"/>
        <i x="1325" s="1" nd="1"/>
        <i x="785" s="1" nd="1"/>
        <i x="533" s="1" nd="1"/>
        <i x="536" s="1" nd="1"/>
        <i x="383" s="1" nd="1"/>
        <i x="483" s="1" nd="1"/>
        <i x="1056" s="1" nd="1"/>
        <i x="668" s="1" nd="1"/>
        <i x="670" s="1" nd="1"/>
        <i x="1133" s="1" nd="1"/>
        <i x="438" s="1" nd="1"/>
        <i x="477" s="1" nd="1"/>
        <i x="566" s="1" nd="1"/>
        <i x="741" s="1" nd="1"/>
        <i x="1091" s="1" nd="1"/>
        <i x="1093" s="1" nd="1"/>
        <i x="1254" s="1" nd="1"/>
        <i x="223" s="1" nd="1"/>
        <i x="366" s="1" nd="1"/>
        <i x="231" s="1" nd="1"/>
        <i x="1293" s="1" nd="1"/>
        <i x="775" s="1" nd="1"/>
        <i x="489" s="1" nd="1"/>
        <i x="874" s="1" nd="1"/>
        <i x="896" s="1" nd="1"/>
        <i x="288" s="1" nd="1"/>
        <i x="270" s="1" nd="1"/>
        <i x="772" s="1" nd="1"/>
        <i x="1024" s="1" nd="1"/>
        <i x="1177" s="1" nd="1"/>
        <i x="788" s="1" nd="1"/>
        <i x="198" s="1" nd="1"/>
        <i x="344" s="1" nd="1"/>
        <i x="810" s="1" nd="1"/>
        <i x="1049" s="1" nd="1"/>
        <i x="1105" s="1" nd="1"/>
        <i x="363" s="1" nd="1"/>
        <i x="1063" s="1" nd="1"/>
        <i x="1111" s="1" nd="1"/>
        <i x="572" s="1" nd="1"/>
        <i x="853" s="1" nd="1"/>
        <i x="1015" s="1" nd="1"/>
        <i x="1332" s="1" nd="1"/>
        <i x="352" s="1" nd="1"/>
        <i x="764" s="1" nd="1"/>
        <i x="843" s="1" nd="1"/>
        <i x="274" s="1" nd="1"/>
        <i x="721" s="1" nd="1"/>
        <i x="275" s="1" nd="1"/>
        <i x="1023" s="1" nd="1"/>
        <i x="276" s="1" nd="1"/>
        <i x="1058" s="1" nd="1"/>
        <i x="878" s="1" nd="1"/>
        <i x="879" s="1" nd="1"/>
        <i x="880" s="1" nd="1"/>
        <i x="1292" s="1" nd="1"/>
        <i x="640" s="1" nd="1"/>
        <i x="419" s="1" nd="1"/>
        <i x="338" s="1" nd="1"/>
        <i x="428" s="1" nd="1"/>
        <i x="1251" s="1" nd="1"/>
        <i x="451" s="1" nd="1"/>
        <i x="1321" s="1" nd="1"/>
        <i x="262" s="1" nd="1"/>
        <i x="923" s="1" nd="1"/>
        <i x="924" s="1" nd="1"/>
        <i x="861" s="1" nd="1"/>
        <i x="765" s="1" nd="1"/>
        <i x="1078" s="1" nd="1"/>
        <i x="1087" s="1" nd="1"/>
        <i x="323" s="1" nd="1"/>
        <i x="410" s="1" nd="1"/>
        <i x="1079" s="1" nd="1"/>
        <i x="943" s="1" nd="1"/>
        <i x="506" s="1" nd="1"/>
        <i x="447" s="1" nd="1"/>
        <i x="448" s="1" nd="1"/>
        <i x="581" s="1" nd="1"/>
        <i x="17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ach 1" xr10:uid="{13C1CB62-AFEA-4766-8FE2-144316EF8959}" cache="Slicer_Each1" caption="Each" startItem="30" style="SlicerStyleLight1 2" lockedPosition="1" rowHeight="144000"/>
  <slicer name="Packaging 1" xr10:uid="{90869D78-9DB4-46C7-9263-69756F8D2555}" cache="Slicer_Packaging1" caption="Packaging" style="SlicerStyleLight1 2" lockedPosition="1" rowHeight="144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61A34BC-317D-4B4F-92BE-D8B7DCDB001C}" name="Grant" displayName="Grant" ref="A2:L524" totalsRowShown="0" headerRowDxfId="4493">
  <autoFilter ref="A2:L524" xr:uid="{861A34BC-317D-4B4F-92BE-D8B7DCDB001C}"/>
  <tableColumns count="12">
    <tableColumn id="1" xr3:uid="{12440840-BD29-40A5-909B-A6BA8AF5B326}" name="Geography ID"/>
    <tableColumn id="2" xr3:uid="{B5B5BB77-3F04-43A7-A545-84FE58DA9558}" name="Country"/>
    <tableColumn id="3" xr3:uid="{3477482B-37F6-4C45-8986-FA3A77160B32}" name="Currency ID"/>
    <tableColumn id="4" xr3:uid="{2BE0C489-BCA8-46A4-A5FE-87048F063A46}" name="Currency"/>
    <tableColumn id="5" xr3:uid="{80F38573-D936-431F-BDD7-1D10821AC370}" name="Component ID"/>
    <tableColumn id="6" xr3:uid="{7D60E4EE-2E54-4C10-9CDC-11C83DFDD3CF}" name="Component"/>
    <tableColumn id="7" xr3:uid="{275DA2BC-7534-429B-913F-2701C26B3320}" name="Organization ID"/>
    <tableColumn id="8" xr3:uid="{C478B126-5E04-40F0-8E7A-F874EB6AEE08}" name="PR Organization"/>
    <tableColumn id="9" xr3:uid="{C004CE70-FF54-41E0-B07B-DF7FFD1D73A6}" name="GOSGrantID"/>
    <tableColumn id="10" xr3:uid="{7EF75614-DD83-4203-93B6-16E3129546B1}" name="GrantName"/>
    <tableColumn id="11" xr3:uid="{540058F5-115F-4422-AD6E-D7107813C0A2}" name="Group of Country name"/>
    <tableColumn id="12" xr3:uid="{75FB44FE-154E-4FA7-9976-27A54A53E4C5}" name="Group of country ID"/>
  </tableColumns>
  <tableStyleInfo name="Table Style 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PMtbl" displayName="PMtbl" comment="Pls check" ref="A2:P293" totalsRowShown="0" headerRowDxfId="35" dataDxfId="34">
  <autoFilter ref="A2:P293" xr:uid="{00000000-000C-0000-FFFF-FFFF0D000000}"/>
  <sortState xmlns:xlrd2="http://schemas.microsoft.com/office/spreadsheetml/2017/richdata2" ref="A3:P293">
    <sortCondition ref="A3:A293"/>
    <sortCondition ref="B3:B293"/>
    <sortCondition ref="C3:C293"/>
    <sortCondition ref="D3:D293"/>
    <sortCondition ref="E3:E293"/>
    <sortCondition ref="G3:G293"/>
    <sortCondition ref="H3:H293"/>
  </sortState>
  <tableColumns count="16">
    <tableColumn id="1" xr3:uid="{00000000-0010-0000-0D00-000001000000}" name="Component" dataDxfId="33"/>
    <tableColumn id="2" xr3:uid="{00000000-0010-0000-0D00-000002000000}" name="WKst" dataDxfId="32"/>
    <tableColumn id="3" xr3:uid="{00000000-0010-0000-0D00-000003000000}" name="Sec" dataDxfId="31"/>
    <tableColumn id="4" xr3:uid="{00000000-0010-0000-0D00-000004000000}" name="HPM Category" dataDxfId="30"/>
    <tableColumn id="5" xr3:uid="{00000000-0010-0000-0D00-000005000000}" name="Category" dataDxfId="29"/>
    <tableColumn id="13" xr3:uid="{E8ED8538-00C9-444F-A0EB-749A5B178189}" name="PDH Item UID" dataDxfId="28"/>
    <tableColumn id="6" xr3:uid="{00000000-0010-0000-0D00-000006000000}" name="Each" dataDxfId="27"/>
    <tableColumn id="7" xr3:uid="{00000000-0010-0000-0D00-000007000000}" name="Packaging" dataDxfId="26"/>
    <tableColumn id="14" xr3:uid="{4BD9057C-7329-4ED1-B6D4-2C66E1759886}" name="Currency" dataDxfId="25"/>
    <tableColumn id="10" xr3:uid="{33EA8205-D532-40C3-A476-C07F3760D419}" name="UID" dataDxfId="24">
      <calculatedColumnFormula>PMtbl[[#This Row],[Category]]&amp;PMtbl[[#This Row],[Each]]&amp;PMtbl[[#This Row],[Packaging]]</calculatedColumnFormula>
    </tableColumn>
    <tableColumn id="15" xr3:uid="{2FC9ECD1-E79F-4C60-B437-652588928F47}" name="Ref Price" dataDxfId="23"/>
    <tableColumn id="8" xr3:uid="{00000000-0010-0000-0D00-000008000000}" name="Cost Input*" dataDxfId="22"/>
    <tableColumn id="16" xr3:uid="{DED04052-ABEC-44E9-B71F-4283256E3221}" name="Cost Input Finance" dataDxfId="21"/>
    <tableColumn id="12" xr3:uid="{F0B2ABA6-C9AC-4E29-AC82-D17A665619A4}" name="Lead Time( In Quarters)" dataDxfId="20"/>
    <tableColumn id="9" xr3:uid="{00000000-0010-0000-0D00-000009000000}" name="Unit of measure*" dataDxfId="19"/>
    <tableColumn id="11" xr3:uid="{00000000-0010-0000-0D00-00000B000000}" name="Remark" dataDxfId="1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0C89CC-1849-4E57-8ED7-8B956E71575C}" name="Table6" displayName="Table6" ref="AA2:AE239" totalsRowShown="0" headerRowDxfId="15" dataDxfId="14" tableBorderDxfId="13" headerRowCellStyle="Normal 2">
  <autoFilter ref="AA2:AE239" xr:uid="{8945EBEA-38FA-4DC6-BA1A-6DEA61E85741}"/>
  <tableColumns count="5">
    <tableColumn id="1" xr3:uid="{D3078B03-A67B-4262-8DEC-309FA437B9D4}" name="Component" dataDxfId="12"/>
    <tableColumn id="2" xr3:uid="{E8649B15-2BD5-4BF8-9C1C-5499C4B06FE3}" name="Module" dataDxfId="11"/>
    <tableColumn id="3" xr3:uid="{FEA38E96-EF16-45C7-9F63-1E84EBE57BD9}" name="Intervention" dataDxfId="10"/>
    <tableColumn id="4" xr3:uid="{6C7577F5-BBF9-4C81-9AD7-7DAC57A27E2B}" name="Cost Input" dataDxfId="9"/>
    <tableColumn id="5" xr3:uid="{DDAF92B3-B4EE-4AFB-8475-13839CE0F979}" name="UID" dataDxfId="8"/>
  </tableColumns>
  <tableStyleInfo name="TableStyleLight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4B80CA4-FD9C-4AF1-AA6E-5D177FA16F4F}" name="Table611" displayName="Table611" ref="AA2:AE44" totalsRowShown="0" headerRowDxfId="7" dataDxfId="6" tableBorderDxfId="5" headerRowCellStyle="Normal 2">
  <autoFilter ref="AA2:AE44" xr:uid="{8945EBEA-38FA-4DC6-BA1A-6DEA61E85741}"/>
  <tableColumns count="5">
    <tableColumn id="1" xr3:uid="{AB627C53-45B5-43C0-9858-95C03BF1EFE1}" name="Component" dataDxfId="4"/>
    <tableColumn id="2" xr3:uid="{EDC03583-EE30-4C63-9463-69DF98AC114F}" name="Module" dataDxfId="3"/>
    <tableColumn id="3" xr3:uid="{84313207-9833-4869-8101-A4753251BA46}" name="Intervention" dataDxfId="2"/>
    <tableColumn id="4" xr3:uid="{AAC32C4A-34C6-4002-8D96-F48B457DED1C}" name="Cost Input" dataDxfId="1"/>
    <tableColumn id="5" xr3:uid="{A99DF05A-1D87-4A55-8627-5C30853A6DDD}" name="UID" dataDxfId="0"/>
  </tableColumns>
  <tableStyleInfo name="TableStyleLight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14.bin"/><Relationship Id="rId1" Type="http://schemas.openxmlformats.org/officeDocument/2006/relationships/pivotTable" Target="../pivotTables/pivotTable9.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5.bin"/><Relationship Id="rId1" Type="http://schemas.openxmlformats.org/officeDocument/2006/relationships/pivotTable" Target="../pivotTables/pivotTable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table" Target="../tables/table1.xml"/><Relationship Id="rId5" Type="http://schemas.openxmlformats.org/officeDocument/2006/relationships/printerSettings" Target="../printerSettings/printerSettings3.bin"/><Relationship Id="rId4" Type="http://schemas.openxmlformats.org/officeDocument/2006/relationships/pivotTable" Target="../pivotTables/pivotTable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A1260-BE08-41AE-8F29-C3FA821EFCEE}">
  <dimension ref="A1:V22"/>
  <sheetViews>
    <sheetView showGridLines="0" zoomScale="60" zoomScaleNormal="60" workbookViewId="0">
      <selection activeCell="U2" sqref="U2"/>
    </sheetView>
  </sheetViews>
  <sheetFormatPr defaultRowHeight="14.5" x14ac:dyDescent="0.35"/>
  <cols>
    <col min="1" max="1" width="10" customWidth="1"/>
    <col min="2" max="2" width="10.36328125" customWidth="1"/>
    <col min="3" max="3" width="28.1796875" customWidth="1"/>
    <col min="4" max="4" width="9.90625" customWidth="1"/>
    <col min="5" max="5" width="46.1796875" customWidth="1"/>
    <col min="6" max="6" width="13.36328125" bestFit="1" customWidth="1"/>
    <col min="7" max="7" width="15.08984375" customWidth="1"/>
    <col min="8" max="8" width="13.453125" customWidth="1"/>
    <col min="9" max="9" width="15.81640625" customWidth="1"/>
    <col min="10" max="15" width="8.1796875" hidden="1" customWidth="1"/>
    <col min="16" max="16" width="14.1796875" customWidth="1"/>
    <col min="17" max="17" width="43.81640625" customWidth="1"/>
    <col min="18" max="18" width="2.81640625" customWidth="1"/>
    <col min="19" max="19" width="21.54296875" customWidth="1"/>
  </cols>
  <sheetData>
    <row r="1" spans="1:22" ht="51.5" customHeight="1" x14ac:dyDescent="0.6">
      <c r="A1" s="581"/>
      <c r="B1" s="581"/>
      <c r="C1" s="1040" t="s">
        <v>2673</v>
      </c>
      <c r="D1" s="1040"/>
      <c r="E1" s="1040"/>
      <c r="F1" s="1040"/>
      <c r="G1" s="1040"/>
      <c r="H1" s="1040"/>
      <c r="I1" s="1040"/>
      <c r="J1" s="1040"/>
      <c r="K1" s="1040"/>
      <c r="L1" s="1040"/>
      <c r="M1" s="1040"/>
      <c r="N1" s="1040"/>
      <c r="O1" s="1040"/>
      <c r="P1" s="1040"/>
      <c r="Q1" s="1040"/>
      <c r="R1" s="1040"/>
      <c r="S1" s="1040"/>
      <c r="T1" s="591"/>
      <c r="U1" s="420"/>
      <c r="V1" s="420"/>
    </row>
    <row r="2" spans="1:22" ht="74.5" customHeight="1" x14ac:dyDescent="0.35">
      <c r="A2" s="419"/>
      <c r="B2" s="1038" t="s">
        <v>2675</v>
      </c>
      <c r="C2" s="1038"/>
      <c r="D2" s="1038"/>
      <c r="E2" s="1038"/>
      <c r="F2" s="1038"/>
      <c r="G2" s="1038"/>
      <c r="H2" s="1038"/>
      <c r="I2" s="1038"/>
      <c r="J2" s="1038"/>
      <c r="K2" s="1038"/>
      <c r="L2" s="1038"/>
      <c r="M2" s="1038"/>
      <c r="N2" s="1038"/>
      <c r="O2" s="1038"/>
      <c r="P2" s="418"/>
      <c r="Q2" s="418"/>
      <c r="R2" s="418"/>
      <c r="U2" s="588"/>
    </row>
    <row r="3" spans="1:22" ht="10" customHeight="1" x14ac:dyDescent="0.35">
      <c r="U3" s="588"/>
    </row>
    <row r="4" spans="1:22" ht="24.5" customHeight="1" x14ac:dyDescent="0.35">
      <c r="B4" s="1039" t="s">
        <v>2428</v>
      </c>
      <c r="C4" s="1039"/>
      <c r="D4" s="1039"/>
      <c r="E4" s="1039"/>
      <c r="F4" s="1039"/>
      <c r="G4" s="1039"/>
      <c r="H4" s="1039"/>
      <c r="I4" s="1039"/>
      <c r="J4" s="1039"/>
      <c r="K4" s="1039"/>
      <c r="L4" s="1039"/>
      <c r="M4" s="1039"/>
      <c r="N4" s="1039"/>
      <c r="O4" s="1039"/>
      <c r="P4" s="1039"/>
      <c r="Q4" s="1039"/>
      <c r="R4" s="1039"/>
      <c r="S4" s="1039"/>
      <c r="U4" s="588"/>
    </row>
    <row r="5" spans="1:22" ht="9.5" customHeight="1" x14ac:dyDescent="0.35">
      <c r="B5" s="1037"/>
      <c r="C5" s="1037"/>
      <c r="D5" s="1037"/>
      <c r="Q5" s="278"/>
      <c r="R5" s="278"/>
      <c r="U5" s="588"/>
    </row>
    <row r="6" spans="1:22" x14ac:dyDescent="0.35">
      <c r="B6" s="1037"/>
      <c r="C6" s="1037"/>
      <c r="D6" s="1037"/>
      <c r="R6" s="278"/>
    </row>
    <row r="7" spans="1:22" ht="10" customHeight="1" x14ac:dyDescent="0.35"/>
    <row r="8" spans="1:22" ht="16" customHeight="1" x14ac:dyDescent="0.35">
      <c r="Q8" s="321" t="s">
        <v>12</v>
      </c>
      <c r="R8" t="s">
        <v>2963</v>
      </c>
      <c r="S8" s="589" t="s">
        <v>2681</v>
      </c>
    </row>
    <row r="9" spans="1:22" x14ac:dyDescent="0.35">
      <c r="T9" s="590" t="s">
        <v>2676</v>
      </c>
    </row>
    <row r="10" spans="1:22" x14ac:dyDescent="0.35">
      <c r="T10" s="590" t="s">
        <v>2678</v>
      </c>
    </row>
    <row r="11" spans="1:22" x14ac:dyDescent="0.35">
      <c r="T11" s="590" t="s">
        <v>2677</v>
      </c>
    </row>
    <row r="12" spans="1:22" x14ac:dyDescent="0.35">
      <c r="C12" s="321" t="s">
        <v>5</v>
      </c>
      <c r="D12" s="321" t="s">
        <v>6</v>
      </c>
      <c r="E12" s="321" t="s">
        <v>7</v>
      </c>
      <c r="F12" s="321" t="s">
        <v>172</v>
      </c>
      <c r="G12" s="321" t="s">
        <v>174</v>
      </c>
      <c r="H12" s="321" t="s">
        <v>2674</v>
      </c>
      <c r="I12" s="321" t="s">
        <v>9</v>
      </c>
      <c r="T12" s="590" t="s">
        <v>2679</v>
      </c>
    </row>
    <row r="13" spans="1:22" x14ac:dyDescent="0.35">
      <c r="C13" t="s">
        <v>2750</v>
      </c>
      <c r="D13">
        <v>4</v>
      </c>
      <c r="E13" t="s">
        <v>26</v>
      </c>
      <c r="F13" t="s">
        <v>82</v>
      </c>
      <c r="G13">
        <v>0</v>
      </c>
      <c r="H13" t="s">
        <v>185</v>
      </c>
      <c r="I13">
        <v>6.5</v>
      </c>
    </row>
    <row r="14" spans="1:22" x14ac:dyDescent="0.35">
      <c r="C14" t="s">
        <v>2750</v>
      </c>
      <c r="D14">
        <v>4</v>
      </c>
      <c r="E14" t="s">
        <v>26</v>
      </c>
      <c r="F14" t="s">
        <v>82</v>
      </c>
      <c r="G14">
        <v>0</v>
      </c>
      <c r="H14" t="s">
        <v>185</v>
      </c>
      <c r="I14">
        <v>6.6</v>
      </c>
    </row>
    <row r="16" spans="1:22" ht="15.5" x14ac:dyDescent="0.35">
      <c r="P16" s="421"/>
    </row>
    <row r="17" spans="16:20" ht="16" customHeight="1" x14ac:dyDescent="0.35">
      <c r="P17" s="421"/>
    </row>
    <row r="19" spans="16:20" ht="16.5" customHeight="1" x14ac:dyDescent="0.35">
      <c r="Q19" s="321" t="s">
        <v>65</v>
      </c>
      <c r="R19" t="s">
        <v>2726</v>
      </c>
      <c r="S19" s="467" t="s">
        <v>2681</v>
      </c>
    </row>
    <row r="20" spans="16:20" x14ac:dyDescent="0.35">
      <c r="T20" s="590" t="s">
        <v>2680</v>
      </c>
    </row>
    <row r="22" spans="16:20" x14ac:dyDescent="0.35">
      <c r="Q22" s="423"/>
    </row>
  </sheetData>
  <sheetProtection algorithmName="SHA-512" hashValue="VcG5bOfy+IgNqp4TWkUHyxHFAsYuXtI6gtpDXI76n3/xay1GBNO+gSI4DDb7pggZQ5HmflGcl6REi0Gi96Fmmg==" saltValue="zGJRoU518BAGIZ25vwyAEA==" spinCount="100000" sheet="1" selectLockedCells="1" autoFilter="0" pivotTables="0" selectUnlockedCells="1"/>
  <mergeCells count="4">
    <mergeCell ref="B5:D6"/>
    <mergeCell ref="B2:O2"/>
    <mergeCell ref="B4:S4"/>
    <mergeCell ref="C1:S1"/>
  </mergeCells>
  <conditionalFormatting sqref="Q8:R8">
    <cfRule type="expression" dxfId="4579" priority="2">
      <formula>Q8&lt;&gt;""</formula>
    </cfRule>
  </conditionalFormatting>
  <conditionalFormatting sqref="Q19:R19">
    <cfRule type="expression" dxfId="4578" priority="1">
      <formula>Q19&lt;&gt;""</formula>
    </cfRule>
  </conditionalFormatting>
  <pageMargins left="0.7" right="0.7" top="0.75" bottom="0.75" header="0.3" footer="0.3"/>
  <pageSetup orientation="landscape" r:id="rId4"/>
  <drawing r:id="rId5"/>
  <extLst>
    <ext xmlns:x14="http://schemas.microsoft.com/office/spreadsheetml/2009/9/main" uri="{A8765BA9-456A-4dab-B4F3-ACF838C121DE}">
      <x14:slicerList>
        <x14:slicer r:id="rId6"/>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1A12A-944A-4018-907D-22D3ED9C14EC}">
  <dimension ref="A1:O28"/>
  <sheetViews>
    <sheetView topLeftCell="A10" zoomScale="80" zoomScaleNormal="80" workbookViewId="0">
      <selection activeCell="F16" sqref="F16"/>
    </sheetView>
  </sheetViews>
  <sheetFormatPr defaultRowHeight="14.5" x14ac:dyDescent="0.35"/>
  <cols>
    <col min="1" max="1" width="13.1796875" customWidth="1"/>
    <col min="2" max="2" width="16.453125" customWidth="1"/>
    <col min="3" max="3" width="29.90625" customWidth="1"/>
    <col min="4" max="4" width="14.08984375" customWidth="1"/>
    <col min="5" max="5" width="15.08984375" customWidth="1"/>
    <col min="6" max="6" width="12.81640625" customWidth="1"/>
    <col min="7" max="7" width="13.1796875" customWidth="1"/>
    <col min="8" max="8" width="14.6328125" customWidth="1"/>
    <col min="9" max="10" width="13.453125" customWidth="1"/>
    <col min="11" max="11" width="14.08984375" customWidth="1"/>
    <col min="12" max="12" width="13.81640625" customWidth="1"/>
    <col min="13" max="13" width="13.08984375" customWidth="1"/>
    <col min="14" max="14" width="14" customWidth="1"/>
    <col min="15" max="15" width="13.36328125" customWidth="1"/>
  </cols>
  <sheetData>
    <row r="1" spans="1:15" ht="15" thickBot="1" x14ac:dyDescent="0.4"/>
    <row r="2" spans="1:15" ht="15" thickBot="1" x14ac:dyDescent="0.4">
      <c r="D2" s="1282" t="str">
        <f>'C19RM 2021-Lab &amp; Other HPS'!$P$12</f>
        <v>2021</v>
      </c>
      <c r="E2" s="1283"/>
      <c r="F2" s="1283"/>
      <c r="G2" s="1283"/>
      <c r="H2" s="1282" t="str">
        <f>'C19RM 2021-Lab &amp; Other HPS'!$W$12</f>
        <v>2022</v>
      </c>
      <c r="I2" s="1283"/>
      <c r="J2" s="1283"/>
      <c r="K2" s="1283"/>
      <c r="L2" s="1282" t="str">
        <f>'C19RM 2021-Lab &amp; Other HPS'!$AD$12</f>
        <v>2023</v>
      </c>
      <c r="M2" s="1283"/>
      <c r="N2" s="1283"/>
      <c r="O2" s="1284"/>
    </row>
    <row r="3" spans="1:15" x14ac:dyDescent="0.35">
      <c r="A3" s="934" t="s">
        <v>245</v>
      </c>
      <c r="B3" s="934" t="s">
        <v>145</v>
      </c>
      <c r="C3" s="935" t="s">
        <v>616</v>
      </c>
      <c r="D3" s="939" t="s">
        <v>3324</v>
      </c>
      <c r="E3" s="939" t="s">
        <v>3325</v>
      </c>
      <c r="F3" s="939" t="s">
        <v>3326</v>
      </c>
      <c r="G3" s="939" t="s">
        <v>3327</v>
      </c>
      <c r="H3" s="936" t="s">
        <v>3328</v>
      </c>
      <c r="I3" s="936" t="s">
        <v>3329</v>
      </c>
      <c r="J3" s="936" t="s">
        <v>3330</v>
      </c>
      <c r="K3" s="936" t="s">
        <v>3331</v>
      </c>
      <c r="L3" s="936" t="s">
        <v>3332</v>
      </c>
      <c r="M3" s="936" t="s">
        <v>3333</v>
      </c>
      <c r="N3" s="936" t="s">
        <v>3334</v>
      </c>
      <c r="O3" s="936" t="s">
        <v>3335</v>
      </c>
    </row>
    <row r="4" spans="1:15" x14ac:dyDescent="0.35">
      <c r="A4" s="938">
        <v>1</v>
      </c>
      <c r="B4" s="938">
        <v>0</v>
      </c>
      <c r="C4" s="354" t="s">
        <v>179</v>
      </c>
      <c r="D4" s="354" cm="1">
        <f t="array" ref="D4">SUMPRODUCT(('C19RM 2021-Lab &amp; Other HPS'!$BH$14:$BH$113=$C4)*('C19RM 2021-Lab &amp; Other HPS'!$P$14:$P$113)*(('C19RM 2021-Lab &amp; Other HPS'!$Q$14:$Q$113)))</f>
        <v>0</v>
      </c>
      <c r="E4" s="354" cm="1">
        <f t="array" ref="E4">SUMPRODUCT(('C19RM 2021-Lab &amp; Other HPS'!$BH$14:$BH$113=$C4)*('C19RM 2021-Lab &amp; Other HPS'!$P$14:$P$113)*(('C19RM 2021-Lab &amp; Other HPS'!$R$14:$R$113)))</f>
        <v>0</v>
      </c>
      <c r="F4" s="354" cm="1">
        <f t="array" ref="F4">SUMPRODUCT(('C19RM 2021-Lab &amp; Other HPS'!$BH$14:$BH$113=$C4)*('C19RM 2021-Lab &amp; Other HPS'!$P$14:$P$113)*(('C19RM 2021-Lab &amp; Other HPS'!$S$14:$S$113)))</f>
        <v>0</v>
      </c>
      <c r="G4" s="354" cm="1">
        <f t="array" ref="G4">SUMPRODUCT(('C19RM 2021-Lab &amp; Other HPS'!$BH$14:$BH$113=$C4)*('C19RM 2021-Lab &amp; Other HPS'!$P$14:$P$113)*(('C19RM 2021-Lab &amp; Other HPS'!$T$14:$T$113)))</f>
        <v>0</v>
      </c>
      <c r="H4" s="354" cm="1">
        <f t="array" ref="H4">SUMPRODUCT(('C19RM 2021-Lab &amp; Other HPS'!$BH$14:$BH$113=$C4)*('C19RM 2021-Lab &amp; Other HPS'!$W$14:$W$113)*(('C19RM 2021-Lab &amp; Other HPS'!$X$14:$X$113)))</f>
        <v>0</v>
      </c>
      <c r="I4" s="354" cm="1">
        <f t="array" ref="I4">SUMPRODUCT(('C19RM 2021-Lab &amp; Other HPS'!$BH$14:$BH$113=$C4)*('C19RM 2021-Lab &amp; Other HPS'!$W$14:$W$113)*(('C19RM 2021-Lab &amp; Other HPS'!$Y$14:$Y$113)))</f>
        <v>0</v>
      </c>
      <c r="J4" s="354" cm="1">
        <f t="array" ref="J4">SUMPRODUCT(('C19RM 2021-Lab &amp; Other HPS'!$BH$14:$BH$113=$C4)*('C19RM 2021-Lab &amp; Other HPS'!$W$14:$W$113)*(('C19RM 2021-Lab &amp; Other HPS'!$Z$14:$Z$113)))</f>
        <v>0</v>
      </c>
      <c r="K4" s="354" cm="1">
        <f t="array" ref="K4">SUMPRODUCT(('C19RM 2021-Lab &amp; Other HPS'!$BH$14:$BH$113=$C4)*('C19RM 2021-Lab &amp; Other HPS'!$W$14:$W$113)*(('C19RM 2021-Lab &amp; Other HPS'!$AA$14:$AA$113)))</f>
        <v>0</v>
      </c>
      <c r="L4" s="354" cm="1">
        <f t="array" ref="L4">SUMPRODUCT(('C19RM 2021-Lab &amp; Other HPS'!$BH$14:$BH$113=$C4)*('C19RM 2021-Lab &amp; Other HPS'!$AD$14:$AD$113)*(('C19RM 2021-Lab &amp; Other HPS'!$AE$14:$AE$113)))</f>
        <v>0</v>
      </c>
      <c r="M4" s="354" cm="1">
        <f t="array" ref="M4">SUMPRODUCT(('C19RM 2021-Lab &amp; Other HPS'!$BH$14:$BH$113=$C4)*('C19RM 2021-Lab &amp; Other HPS'!$AD$14:$AD$113)*(('C19RM 2021-Lab &amp; Other HPS'!$AF$14:$AF$113)))</f>
        <v>0</v>
      </c>
      <c r="N4" s="354" cm="1">
        <f t="array" ref="N4">SUMPRODUCT(('C19RM 2021-Lab &amp; Other HPS'!$BH$14:$BH$113=$C4)*('C19RM 2021-Lab &amp; Other HPS'!$AD$14:$AD$113)*(('C19RM 2021-Lab &amp; Other HPS'!$AG$14:$AG$113)))</f>
        <v>0</v>
      </c>
      <c r="O4" s="354" cm="1">
        <f t="array" ref="O4">SUMPRODUCT(('C19RM 2021-Lab &amp; Other HPS'!$BH$14:$BH$113=$C4)*('C19RM 2021-Lab &amp; Other HPS'!$AD$14:$AD$113)*(('C19RM 2021-Lab &amp; Other HPS'!$AH$14:$AH$113)))</f>
        <v>0</v>
      </c>
    </row>
    <row r="5" spans="1:15" x14ac:dyDescent="0.35">
      <c r="A5" s="938">
        <v>1</v>
      </c>
      <c r="B5" s="938">
        <v>0</v>
      </c>
      <c r="C5" s="354" t="s">
        <v>180</v>
      </c>
      <c r="D5" s="354" cm="1">
        <f t="array" ref="D5">SUMPRODUCT(('C19RM 2021-Lab &amp; Other HPS'!$BH$14:$BH$113=$C5)*('C19RM 2021-Lab &amp; Other HPS'!$P$14:$P$113)*(('C19RM 2021-Lab &amp; Other HPS'!$Q$14:$Q$113)))</f>
        <v>0</v>
      </c>
      <c r="E5" s="354" cm="1">
        <f t="array" ref="E5">SUMPRODUCT(('C19RM 2021-Lab &amp; Other HPS'!$BH$14:$BH$113=$C5)*('C19RM 2021-Lab &amp; Other HPS'!$P$14:$P$113)*(('C19RM 2021-Lab &amp; Other HPS'!$R$14:$R$113)))</f>
        <v>0</v>
      </c>
      <c r="F5" s="354" cm="1">
        <f t="array" ref="F5">SUMPRODUCT(('C19RM 2021-Lab &amp; Other HPS'!$BH$14:$BH$113=$C5)*('C19RM 2021-Lab &amp; Other HPS'!$P$14:$P$113)*(('C19RM 2021-Lab &amp; Other HPS'!$S$14:$S$113)))</f>
        <v>0</v>
      </c>
      <c r="G5" s="354" cm="1">
        <f t="array" ref="G5">SUMPRODUCT(('C19RM 2021-Lab &amp; Other HPS'!$BH$14:$BH$113=$C5)*('C19RM 2021-Lab &amp; Other HPS'!$P$14:$P$113)*(('C19RM 2021-Lab &amp; Other HPS'!$T$14:$T$113)))</f>
        <v>0</v>
      </c>
      <c r="H5" s="354" cm="1">
        <f t="array" ref="H5">SUMPRODUCT(('C19RM 2021-Lab &amp; Other HPS'!$BH$14:$BH$113=$C5)*('C19RM 2021-Lab &amp; Other HPS'!$W$14:$W$113)*(('C19RM 2021-Lab &amp; Other HPS'!$X$14:$X$113)))</f>
        <v>0</v>
      </c>
      <c r="I5" s="354" cm="1">
        <f t="array" ref="I5">SUMPRODUCT(('C19RM 2021-Lab &amp; Other HPS'!$BH$14:$BH$113=$C5)*('C19RM 2021-Lab &amp; Other HPS'!$W$14:$W$113)*(('C19RM 2021-Lab &amp; Other HPS'!$Y$14:$Y$113)))</f>
        <v>0</v>
      </c>
      <c r="J5" s="354" cm="1">
        <f t="array" ref="J5">SUMPRODUCT(('C19RM 2021-Lab &amp; Other HPS'!$BH$14:$BH$113=$C5)*('C19RM 2021-Lab &amp; Other HPS'!$W$14:$W$113)*(('C19RM 2021-Lab &amp; Other HPS'!$Z$14:$Z$113)))</f>
        <v>0</v>
      </c>
      <c r="K5" s="354" cm="1">
        <f t="array" ref="K5">SUMPRODUCT(('C19RM 2021-Lab &amp; Other HPS'!$BH$14:$BH$113=$C5)*('C19RM 2021-Lab &amp; Other HPS'!$W$14:$W$113)*(('C19RM 2021-Lab &amp; Other HPS'!$AA$14:$AA$113)))</f>
        <v>0</v>
      </c>
      <c r="L5" s="354" cm="1">
        <f t="array" ref="L5">SUMPRODUCT(('C19RM 2021-Lab &amp; Other HPS'!$BH$14:$BH$113=$C5)*('C19RM 2021-Lab &amp; Other HPS'!$AD$14:$AD$113)*(('C19RM 2021-Lab &amp; Other HPS'!$AE$14:$AE$113)))</f>
        <v>0</v>
      </c>
      <c r="M5" s="354" cm="1">
        <f t="array" ref="M5">SUMPRODUCT(('C19RM 2021-Lab &amp; Other HPS'!$BH$14:$BH$113=$C5)*('C19RM 2021-Lab &amp; Other HPS'!$AD$14:$AD$113)*(('C19RM 2021-Lab &amp; Other HPS'!$AF$14:$AF$113)))</f>
        <v>0</v>
      </c>
      <c r="N5" s="354" cm="1">
        <f t="array" ref="N5">SUMPRODUCT(('C19RM 2021-Lab &amp; Other HPS'!$BH$14:$BH$113=$C5)*('C19RM 2021-Lab &amp; Other HPS'!$AD$14:$AD$113)*(('C19RM 2021-Lab &amp; Other HPS'!$AG$14:$AG$113)))</f>
        <v>0</v>
      </c>
      <c r="O5" s="354" cm="1">
        <f t="array" ref="O5">SUMPRODUCT(('C19RM 2021-Lab &amp; Other HPS'!$BH$14:$BH$113=$C5)*('C19RM 2021-Lab &amp; Other HPS'!$AD$14:$AD$113)*(('C19RM 2021-Lab &amp; Other HPS'!$AH$14:$AH$113)))</f>
        <v>0</v>
      </c>
    </row>
    <row r="6" spans="1:15" x14ac:dyDescent="0.35">
      <c r="A6" s="938">
        <v>1</v>
      </c>
      <c r="B6" s="938">
        <v>0</v>
      </c>
      <c r="C6" s="354" t="s">
        <v>181</v>
      </c>
      <c r="D6" s="354" cm="1">
        <f t="array" ref="D6">SUMPRODUCT(('C19RM 2021-Lab &amp; Other HPS'!$BH$14:$BH$113=$C6)*('C19RM 2021-Lab &amp; Other HPS'!$P$14:$P$113)*(('C19RM 2021-Lab &amp; Other HPS'!$Q$14:$Q$113)))</f>
        <v>0</v>
      </c>
      <c r="E6" s="354" cm="1">
        <f t="array" ref="E6">SUMPRODUCT(('C19RM 2021-Lab &amp; Other HPS'!$BH$14:$BH$113=$C6)*('C19RM 2021-Lab &amp; Other HPS'!$P$14:$P$113)*(('C19RM 2021-Lab &amp; Other HPS'!$R$14:$R$113)))</f>
        <v>0</v>
      </c>
      <c r="F6" s="354" cm="1">
        <f t="array" ref="F6">SUMPRODUCT(('C19RM 2021-Lab &amp; Other HPS'!$BH$14:$BH$113=$C6)*('C19RM 2021-Lab &amp; Other HPS'!$P$14:$P$113)*(('C19RM 2021-Lab &amp; Other HPS'!$S$14:$S$113)))</f>
        <v>0</v>
      </c>
      <c r="G6" s="354" cm="1">
        <f t="array" ref="G6">SUMPRODUCT(('C19RM 2021-Lab &amp; Other HPS'!$BH$14:$BH$113=$C6)*('C19RM 2021-Lab &amp; Other HPS'!$P$14:$P$113)*(('C19RM 2021-Lab &amp; Other HPS'!$T$14:$T$113)))</f>
        <v>0</v>
      </c>
      <c r="H6" s="354" cm="1">
        <f t="array" ref="H6">SUMPRODUCT(('C19RM 2021-Lab &amp; Other HPS'!$BH$14:$BH$113=$C6)*('C19RM 2021-Lab &amp; Other HPS'!$W$14:$W$113)*(('C19RM 2021-Lab &amp; Other HPS'!$X$14:$X$113)))</f>
        <v>0</v>
      </c>
      <c r="I6" s="354" cm="1">
        <f t="array" ref="I6">SUMPRODUCT(('C19RM 2021-Lab &amp; Other HPS'!$BH$14:$BH$113=$C6)*('C19RM 2021-Lab &amp; Other HPS'!$W$14:$W$113)*(('C19RM 2021-Lab &amp; Other HPS'!$Y$14:$Y$113)))</f>
        <v>0</v>
      </c>
      <c r="J6" s="354" cm="1">
        <f t="array" ref="J6">SUMPRODUCT(('C19RM 2021-Lab &amp; Other HPS'!$BH$14:$BH$113=$C6)*('C19RM 2021-Lab &amp; Other HPS'!$W$14:$W$113)*(('C19RM 2021-Lab &amp; Other HPS'!$Z$14:$Z$113)))</f>
        <v>0</v>
      </c>
      <c r="K6" s="354" cm="1">
        <f t="array" ref="K6">SUMPRODUCT(('C19RM 2021-Lab &amp; Other HPS'!$BH$14:$BH$113=$C6)*('C19RM 2021-Lab &amp; Other HPS'!$W$14:$W$113)*(('C19RM 2021-Lab &amp; Other HPS'!$AA$14:$AA$113)))</f>
        <v>0</v>
      </c>
      <c r="L6" s="354" cm="1">
        <f t="array" ref="L6">SUMPRODUCT(('C19RM 2021-Lab &amp; Other HPS'!$BH$14:$BH$113=$C6)*('C19RM 2021-Lab &amp; Other HPS'!$AD$14:$AD$113)*(('C19RM 2021-Lab &amp; Other HPS'!$AE$14:$AE$113)))</f>
        <v>0</v>
      </c>
      <c r="M6" s="354" cm="1">
        <f t="array" ref="M6">SUMPRODUCT(('C19RM 2021-Lab &amp; Other HPS'!$BH$14:$BH$113=$C6)*('C19RM 2021-Lab &amp; Other HPS'!$AD$14:$AD$113)*(('C19RM 2021-Lab &amp; Other HPS'!$AF$14:$AF$113)))</f>
        <v>0</v>
      </c>
      <c r="N6" s="354" cm="1">
        <f t="array" ref="N6">SUMPRODUCT(('C19RM 2021-Lab &amp; Other HPS'!$BH$14:$BH$113=$C6)*('C19RM 2021-Lab &amp; Other HPS'!$AD$14:$AD$113)*(('C19RM 2021-Lab &amp; Other HPS'!$AG$14:$AG$113)))</f>
        <v>0</v>
      </c>
      <c r="O6" s="354" cm="1">
        <f t="array" ref="O6">SUMPRODUCT(('C19RM 2021-Lab &amp; Other HPS'!$BH$14:$BH$113=$C6)*('C19RM 2021-Lab &amp; Other HPS'!$AD$14:$AD$113)*(('C19RM 2021-Lab &amp; Other HPS'!$AH$14:$AH$113)))</f>
        <v>0</v>
      </c>
    </row>
    <row r="7" spans="1:15" x14ac:dyDescent="0.35">
      <c r="A7" s="938">
        <v>1</v>
      </c>
      <c r="B7" s="938">
        <v>0</v>
      </c>
      <c r="C7" s="354" t="s">
        <v>3299</v>
      </c>
      <c r="D7" s="354" cm="1">
        <f t="array" ref="D7">SUMPRODUCT(('C19RM 2021-Lab &amp; Other HPS'!$BH$14:$BH$113=$C7)*('C19RM 2021-Lab &amp; Other HPS'!$P$14:$P$113)*(('C19RM 2021-Lab &amp; Other HPS'!$Q$14:$Q$113)))</f>
        <v>0</v>
      </c>
      <c r="E7" s="354" cm="1">
        <f t="array" ref="E7">SUMPRODUCT(('C19RM 2021-Lab &amp; Other HPS'!$BH$14:$BH$113=$C7)*('C19RM 2021-Lab &amp; Other HPS'!$P$14:$P$113)*(('C19RM 2021-Lab &amp; Other HPS'!$R$14:$R$113)))</f>
        <v>0</v>
      </c>
      <c r="F7" s="354" cm="1">
        <f t="array" ref="F7">SUMPRODUCT(('C19RM 2021-Lab &amp; Other HPS'!$BH$14:$BH$113=$C7)*('C19RM 2021-Lab &amp; Other HPS'!$P$14:$P$113)*(('C19RM 2021-Lab &amp; Other HPS'!$S$14:$S$113)))</f>
        <v>0</v>
      </c>
      <c r="G7" s="354" cm="1">
        <f t="array" ref="G7">SUMPRODUCT(('C19RM 2021-Lab &amp; Other HPS'!$BH$14:$BH$113=$C7)*('C19RM 2021-Lab &amp; Other HPS'!$P$14:$P$113)*(('C19RM 2021-Lab &amp; Other HPS'!$T$14:$T$113)))</f>
        <v>0</v>
      </c>
      <c r="H7" s="354" cm="1">
        <f t="array" ref="H7">SUMPRODUCT(('C19RM 2021-Lab &amp; Other HPS'!$BH$14:$BH$113=$C7)*('C19RM 2021-Lab &amp; Other HPS'!$W$14:$W$113)*(('C19RM 2021-Lab &amp; Other HPS'!$X$14:$X$113)))</f>
        <v>0</v>
      </c>
      <c r="I7" s="354" cm="1">
        <f t="array" ref="I7">SUMPRODUCT(('C19RM 2021-Lab &amp; Other HPS'!$BH$14:$BH$113=$C7)*('C19RM 2021-Lab &amp; Other HPS'!$W$14:$W$113)*(('C19RM 2021-Lab &amp; Other HPS'!$Y$14:$Y$113)))</f>
        <v>0</v>
      </c>
      <c r="J7" s="354" cm="1">
        <f t="array" ref="J7">SUMPRODUCT(('C19RM 2021-Lab &amp; Other HPS'!$BH$14:$BH$113=$C7)*('C19RM 2021-Lab &amp; Other HPS'!$W$14:$W$113)*(('C19RM 2021-Lab &amp; Other HPS'!$Z$14:$Z$113)))</f>
        <v>0</v>
      </c>
      <c r="K7" s="354" cm="1">
        <f t="array" ref="K7">SUMPRODUCT(('C19RM 2021-Lab &amp; Other HPS'!$BH$14:$BH$113=$C7)*('C19RM 2021-Lab &amp; Other HPS'!$W$14:$W$113)*(('C19RM 2021-Lab &amp; Other HPS'!$AA$14:$AA$113)))</f>
        <v>0</v>
      </c>
      <c r="L7" s="354" cm="1">
        <f t="array" ref="L7">SUMPRODUCT(('C19RM 2021-Lab &amp; Other HPS'!$BH$14:$BH$113=$C7)*('C19RM 2021-Lab &amp; Other HPS'!$AD$14:$AD$113)*(('C19RM 2021-Lab &amp; Other HPS'!$AE$14:$AE$113)))</f>
        <v>0</v>
      </c>
      <c r="M7" s="354" cm="1">
        <f t="array" ref="M7">SUMPRODUCT(('C19RM 2021-Lab &amp; Other HPS'!$BH$14:$BH$113=$C7)*('C19RM 2021-Lab &amp; Other HPS'!$AD$14:$AD$113)*(('C19RM 2021-Lab &amp; Other HPS'!$AF$14:$AF$113)))</f>
        <v>0</v>
      </c>
      <c r="N7" s="354" cm="1">
        <f t="array" ref="N7">SUMPRODUCT(('C19RM 2021-Lab &amp; Other HPS'!$BH$14:$BH$113=$C7)*('C19RM 2021-Lab &amp; Other HPS'!$AD$14:$AD$113)*(('C19RM 2021-Lab &amp; Other HPS'!$AG$14:$AG$113)))</f>
        <v>0</v>
      </c>
      <c r="O7" s="354" cm="1">
        <f t="array" ref="O7">SUMPRODUCT(('C19RM 2021-Lab &amp; Other HPS'!$BH$14:$BH$113=$C7)*('C19RM 2021-Lab &amp; Other HPS'!$AD$14:$AD$113)*(('C19RM 2021-Lab &amp; Other HPS'!$AH$14:$AH$113)))</f>
        <v>0</v>
      </c>
    </row>
    <row r="8" spans="1:15" x14ac:dyDescent="0.35">
      <c r="A8" s="938">
        <v>1</v>
      </c>
      <c r="B8" s="938">
        <v>0</v>
      </c>
      <c r="C8" s="354" t="s">
        <v>182</v>
      </c>
      <c r="D8" s="354" cm="1">
        <f t="array" ref="D8">SUMPRODUCT(('C19RM 2021-Lab &amp; Other HPS'!$BH$14:$BH$113=$C8)*('C19RM 2021-Lab &amp; Other HPS'!$P$14:$P$113)*(('C19RM 2021-Lab &amp; Other HPS'!$Q$14:$Q$113)))</f>
        <v>0</v>
      </c>
      <c r="E8" s="354" cm="1">
        <f t="array" ref="E8">SUMPRODUCT(('C19RM 2021-Lab &amp; Other HPS'!$BH$14:$BH$113=$C8)*('C19RM 2021-Lab &amp; Other HPS'!$P$14:$P$113)*(('C19RM 2021-Lab &amp; Other HPS'!$R$14:$R$113)))</f>
        <v>0</v>
      </c>
      <c r="F8" s="354" cm="1">
        <f t="array" ref="F8">SUMPRODUCT(('C19RM 2021-Lab &amp; Other HPS'!$BH$14:$BH$113=$C8)*('C19RM 2021-Lab &amp; Other HPS'!$P$14:$P$113)*(('C19RM 2021-Lab &amp; Other HPS'!$S$14:$S$113)))</f>
        <v>0</v>
      </c>
      <c r="G8" s="354" cm="1">
        <f t="array" ref="G8">SUMPRODUCT(('C19RM 2021-Lab &amp; Other HPS'!$BH$14:$BH$113=$C8)*('C19RM 2021-Lab &amp; Other HPS'!$P$14:$P$113)*(('C19RM 2021-Lab &amp; Other HPS'!$T$14:$T$113)))</f>
        <v>0</v>
      </c>
      <c r="H8" s="354" cm="1">
        <f t="array" ref="H8">SUMPRODUCT(('C19RM 2021-Lab &amp; Other HPS'!$BH$14:$BH$113=$C8)*('C19RM 2021-Lab &amp; Other HPS'!$W$14:$W$113)*(('C19RM 2021-Lab &amp; Other HPS'!$X$14:$X$113)))</f>
        <v>0</v>
      </c>
      <c r="I8" s="354" cm="1">
        <f t="array" ref="I8">SUMPRODUCT(('C19RM 2021-Lab &amp; Other HPS'!$BH$14:$BH$113=$C8)*('C19RM 2021-Lab &amp; Other HPS'!$W$14:$W$113)*(('C19RM 2021-Lab &amp; Other HPS'!$Y$14:$Y$113)))</f>
        <v>0</v>
      </c>
      <c r="J8" s="354" cm="1">
        <f t="array" ref="J8">SUMPRODUCT(('C19RM 2021-Lab &amp; Other HPS'!$BH$14:$BH$113=$C8)*('C19RM 2021-Lab &amp; Other HPS'!$W$14:$W$113)*(('C19RM 2021-Lab &amp; Other HPS'!$Z$14:$Z$113)))</f>
        <v>0</v>
      </c>
      <c r="K8" s="354" cm="1">
        <f t="array" ref="K8">SUMPRODUCT(('C19RM 2021-Lab &amp; Other HPS'!$BH$14:$BH$113=$C8)*('C19RM 2021-Lab &amp; Other HPS'!$W$14:$W$113)*(('C19RM 2021-Lab &amp; Other HPS'!$AA$14:$AA$113)))</f>
        <v>0</v>
      </c>
      <c r="L8" s="354" cm="1">
        <f t="array" ref="L8">SUMPRODUCT(('C19RM 2021-Lab &amp; Other HPS'!$BH$14:$BH$113=$C8)*('C19RM 2021-Lab &amp; Other HPS'!$AD$14:$AD$113)*(('C19RM 2021-Lab &amp; Other HPS'!$AE$14:$AE$113)))</f>
        <v>0</v>
      </c>
      <c r="M8" s="354" cm="1">
        <f t="array" ref="M8">SUMPRODUCT(('C19RM 2021-Lab &amp; Other HPS'!$BH$14:$BH$113=$C8)*('C19RM 2021-Lab &amp; Other HPS'!$AD$14:$AD$113)*(('C19RM 2021-Lab &amp; Other HPS'!$AF$14:$AF$113)))</f>
        <v>0</v>
      </c>
      <c r="N8" s="354" cm="1">
        <f t="array" ref="N8">SUMPRODUCT(('C19RM 2021-Lab &amp; Other HPS'!$BH$14:$BH$113=$C8)*('C19RM 2021-Lab &amp; Other HPS'!$AD$14:$AD$113)*(('C19RM 2021-Lab &amp; Other HPS'!$AG$14:$AG$113)))</f>
        <v>0</v>
      </c>
      <c r="O8" s="354" cm="1">
        <f t="array" ref="O8">SUMPRODUCT(('C19RM 2021-Lab &amp; Other HPS'!$BH$14:$BH$113=$C8)*('C19RM 2021-Lab &amp; Other HPS'!$AD$14:$AD$113)*(('C19RM 2021-Lab &amp; Other HPS'!$AH$14:$AH$113)))</f>
        <v>0</v>
      </c>
    </row>
    <row r="9" spans="1:15" x14ac:dyDescent="0.35">
      <c r="A9" s="938">
        <v>1</v>
      </c>
      <c r="B9" s="938">
        <v>0</v>
      </c>
      <c r="C9" s="354" t="s">
        <v>183</v>
      </c>
      <c r="D9" s="354" cm="1">
        <f t="array" ref="D9">SUMPRODUCT(('C19RM 2021-Lab &amp; Other HPS'!$BH$14:$BH$113=$C9)*('C19RM 2021-Lab &amp; Other HPS'!$P$14:$P$113)*(('C19RM 2021-Lab &amp; Other HPS'!$Q$14:$Q$113)))</f>
        <v>0</v>
      </c>
      <c r="E9" s="354" cm="1">
        <f t="array" ref="E9">SUMPRODUCT(('C19RM 2021-Lab &amp; Other HPS'!$BH$14:$BH$113=$C9)*('C19RM 2021-Lab &amp; Other HPS'!$P$14:$P$113)*(('C19RM 2021-Lab &amp; Other HPS'!$R$14:$R$113)))</f>
        <v>0</v>
      </c>
      <c r="F9" s="354" cm="1">
        <f t="array" ref="F9">SUMPRODUCT(('C19RM 2021-Lab &amp; Other HPS'!$BH$14:$BH$113=$C9)*('C19RM 2021-Lab &amp; Other HPS'!$P$14:$P$113)*(('C19RM 2021-Lab &amp; Other HPS'!$S$14:$S$113)))</f>
        <v>0</v>
      </c>
      <c r="G9" s="354" cm="1">
        <f t="array" ref="G9">SUMPRODUCT(('C19RM 2021-Lab &amp; Other HPS'!$BH$14:$BH$113=$C9)*('C19RM 2021-Lab &amp; Other HPS'!$P$14:$P$113)*(('C19RM 2021-Lab &amp; Other HPS'!$T$14:$T$113)))</f>
        <v>0</v>
      </c>
      <c r="H9" s="354" cm="1">
        <f t="array" ref="H9">SUMPRODUCT(('C19RM 2021-Lab &amp; Other HPS'!$BH$14:$BH$113=$C9)*('C19RM 2021-Lab &amp; Other HPS'!$W$14:$W$113)*(('C19RM 2021-Lab &amp; Other HPS'!$X$14:$X$113)))</f>
        <v>0</v>
      </c>
      <c r="I9" s="354" cm="1">
        <f t="array" ref="I9">SUMPRODUCT(('C19RM 2021-Lab &amp; Other HPS'!$BH$14:$BH$113=$C9)*('C19RM 2021-Lab &amp; Other HPS'!$W$14:$W$113)*(('C19RM 2021-Lab &amp; Other HPS'!$Y$14:$Y$113)))</f>
        <v>0</v>
      </c>
      <c r="J9" s="354" cm="1">
        <f t="array" ref="J9">SUMPRODUCT(('C19RM 2021-Lab &amp; Other HPS'!$BH$14:$BH$113=$C9)*('C19RM 2021-Lab &amp; Other HPS'!$W$14:$W$113)*(('C19RM 2021-Lab &amp; Other HPS'!$Z$14:$Z$113)))</f>
        <v>0</v>
      </c>
      <c r="K9" s="354" cm="1">
        <f t="array" ref="K9">SUMPRODUCT(('C19RM 2021-Lab &amp; Other HPS'!$BH$14:$BH$113=$C9)*('C19RM 2021-Lab &amp; Other HPS'!$W$14:$W$113)*(('C19RM 2021-Lab &amp; Other HPS'!$AA$14:$AA$113)))</f>
        <v>0</v>
      </c>
      <c r="L9" s="354" cm="1">
        <f t="array" ref="L9">SUMPRODUCT(('C19RM 2021-Lab &amp; Other HPS'!$BH$14:$BH$113=$C9)*('C19RM 2021-Lab &amp; Other HPS'!$AD$14:$AD$113)*(('C19RM 2021-Lab &amp; Other HPS'!$AE$14:$AE$113)))</f>
        <v>0</v>
      </c>
      <c r="M9" s="354" cm="1">
        <f t="array" ref="M9">SUMPRODUCT(('C19RM 2021-Lab &amp; Other HPS'!$BH$14:$BH$113=$C9)*('C19RM 2021-Lab &amp; Other HPS'!$AD$14:$AD$113)*(('C19RM 2021-Lab &amp; Other HPS'!$AF$14:$AF$113)))</f>
        <v>0</v>
      </c>
      <c r="N9" s="354" cm="1">
        <f t="array" ref="N9">SUMPRODUCT(('C19RM 2021-Lab &amp; Other HPS'!$BH$14:$BH$113=$C9)*('C19RM 2021-Lab &amp; Other HPS'!$AD$14:$AD$113)*(('C19RM 2021-Lab &amp; Other HPS'!$AG$14:$AG$113)))</f>
        <v>0</v>
      </c>
      <c r="O9" s="354" cm="1">
        <f t="array" ref="O9">SUMPRODUCT(('C19RM 2021-Lab &amp; Other HPS'!$BH$14:$BH$113=$C9)*('C19RM 2021-Lab &amp; Other HPS'!$AD$14:$AD$113)*(('C19RM 2021-Lab &amp; Other HPS'!$AH$14:$AH$113)))</f>
        <v>0</v>
      </c>
    </row>
    <row r="10" spans="1:15" x14ac:dyDescent="0.35">
      <c r="A10" s="938">
        <v>2</v>
      </c>
      <c r="B10" s="938">
        <v>0</v>
      </c>
      <c r="C10" s="354" t="s">
        <v>1996</v>
      </c>
      <c r="D10" s="354" cm="1">
        <f t="array" ref="D10">SUMPRODUCT(('C19RM 2021-Lab &amp; Other HPS'!$BH$121:$BH$220=$C10)*('C19RM 2021-Lab &amp; Other HPS'!$P$121:$P$220)*(('C19RM 2021-Lab &amp; Other HPS'!$Q$121:$Q$220)))</f>
        <v>0</v>
      </c>
      <c r="E10" s="354" cm="1">
        <f t="array" ref="E10">SUMPRODUCT(('C19RM 2021-Lab &amp; Other HPS'!$BH$121:$BH$220=$C10)*('C19RM 2021-Lab &amp; Other HPS'!$P$121:$P$220)*(('C19RM 2021-Lab &amp; Other HPS'!$R$121:$R$220)))</f>
        <v>0</v>
      </c>
      <c r="F10" s="354" cm="1">
        <f t="array" ref="F10">SUMPRODUCT(('C19RM 2021-Lab &amp; Other HPS'!$BH$121:$BH$220=$C10)*('C19RM 2021-Lab &amp; Other HPS'!$P$121:$P$220)*(('C19RM 2021-Lab &amp; Other HPS'!$S$121:$S$220)))</f>
        <v>0</v>
      </c>
      <c r="G10" s="354" cm="1">
        <f t="array" ref="G10">SUMPRODUCT(('C19RM 2021-Lab &amp; Other HPS'!$BH$121:$BH$220=$C10)*('C19RM 2021-Lab &amp; Other HPS'!$P$121:$P$220)*(('C19RM 2021-Lab &amp; Other HPS'!$T$121:$T$220)))</f>
        <v>0</v>
      </c>
      <c r="H10" s="354" cm="1">
        <f t="array" ref="H10">SUMPRODUCT(('C19RM 2021-Lab &amp; Other HPS'!$BH$121:$BH$220=$C10)*('C19RM 2021-Lab &amp; Other HPS'!$W$121:$W$220)*(('C19RM 2021-Lab &amp; Other HPS'!$X$121:$X$220)))</f>
        <v>0</v>
      </c>
      <c r="I10" s="354" cm="1">
        <f t="array" ref="I10">SUMPRODUCT(('C19RM 2021-Lab &amp; Other HPS'!$BH$121:$BH$220=$C10)*('C19RM 2021-Lab &amp; Other HPS'!$W$121:$W$220)*(('C19RM 2021-Lab &amp; Other HPS'!$Y$121:$Y$220)))</f>
        <v>0</v>
      </c>
      <c r="J10" s="354" cm="1">
        <f t="array" ref="J10">SUMPRODUCT(('C19RM 2021-Lab &amp; Other HPS'!$BH$121:$BH$220=$C10)*('C19RM 2021-Lab &amp; Other HPS'!$W$121:$W$220)*(('C19RM 2021-Lab &amp; Other HPS'!$Z$121:$Z$220)))</f>
        <v>0</v>
      </c>
      <c r="K10" s="354" cm="1">
        <f t="array" ref="K10">SUMPRODUCT(('C19RM 2021-Lab &amp; Other HPS'!$BH$121:$BH$220=$C10)*('C19RM 2021-Lab &amp; Other HPS'!$W$121:$W$220)*(('C19RM 2021-Lab &amp; Other HPS'!$AA$121:$AA$220)))</f>
        <v>0</v>
      </c>
      <c r="L10" s="354" cm="1">
        <f t="array" ref="L10">SUMPRODUCT(('C19RM 2021-Lab &amp; Other HPS'!$BH$121:$BH$220=$C10)*('C19RM 2021-Lab &amp; Other HPS'!$AD$121:$AD$220)*(('C19RM 2021-Lab &amp; Other HPS'!$AE$121:$AE$220)))</f>
        <v>0</v>
      </c>
      <c r="M10" s="354" cm="1">
        <f t="array" ref="M10">SUMPRODUCT(('C19RM 2021-Lab &amp; Other HPS'!$BH$121:$BH$220=$C10)*('C19RM 2021-Lab &amp; Other HPS'!$AD$121:$AD$220)*(('C19RM 2021-Lab &amp; Other HPS'!$AF$121:$AF$220)))</f>
        <v>0</v>
      </c>
      <c r="N10" s="354" cm="1">
        <f t="array" ref="N10">SUMPRODUCT(('C19RM 2021-Lab &amp; Other HPS'!$BH$121:$BH$220=$C10)*('C19RM 2021-Lab &amp; Other HPS'!$AD$121:$AD$220)*(('C19RM 2021-Lab &amp; Other HPS'!$AG$121:$AG$220)))</f>
        <v>0</v>
      </c>
      <c r="O10" s="354" cm="1">
        <f t="array" ref="O10">SUMPRODUCT(('C19RM 2021-Lab &amp; Other HPS'!$BH$121:$BH$220=$C10)*('C19RM 2021-Lab &amp; Other HPS'!$AD$121:$AD$220)*(('C19RM 2021-Lab &amp; Other HPS'!$AH$121:$AH$220)))</f>
        <v>0</v>
      </c>
    </row>
    <row r="11" spans="1:15" x14ac:dyDescent="0.35">
      <c r="A11" s="938">
        <v>2</v>
      </c>
      <c r="B11" s="938">
        <v>0</v>
      </c>
      <c r="C11" s="354" t="s">
        <v>182</v>
      </c>
      <c r="D11" s="354" cm="1">
        <f t="array" ref="D11">SUMPRODUCT(('C19RM 2021-Lab &amp; Other HPS'!$BH$121:$BH$220=$C11)*('C19RM 2021-Lab &amp; Other HPS'!$P$121:$P$220)*(('C19RM 2021-Lab &amp; Other HPS'!$Q$121:$Q$220)))</f>
        <v>0</v>
      </c>
      <c r="E11" s="354" cm="1">
        <f t="array" ref="E11">SUMPRODUCT(('C19RM 2021-Lab &amp; Other HPS'!$BH$121:$BH$220=$C11)*('C19RM 2021-Lab &amp; Other HPS'!$P$121:$P$220)*(('C19RM 2021-Lab &amp; Other HPS'!$R$121:$R$220)))</f>
        <v>0</v>
      </c>
      <c r="F11" s="354" cm="1">
        <f t="array" ref="F11">SUMPRODUCT(('C19RM 2021-Lab &amp; Other HPS'!$BH$121:$BH$220=$C11)*('C19RM 2021-Lab &amp; Other HPS'!$P$121:$P$220)*(('C19RM 2021-Lab &amp; Other HPS'!$S$121:$S$220)))</f>
        <v>0</v>
      </c>
      <c r="G11" s="354" cm="1">
        <f t="array" ref="G11">SUMPRODUCT(('C19RM 2021-Lab &amp; Other HPS'!$BH$121:$BH$220=$C11)*('C19RM 2021-Lab &amp; Other HPS'!$P$121:$P$220)*(('C19RM 2021-Lab &amp; Other HPS'!$T$121:$T$220)))</f>
        <v>0</v>
      </c>
      <c r="H11" s="354" cm="1">
        <f t="array" ref="H11">SUMPRODUCT(('C19RM 2021-Lab &amp; Other HPS'!$BH$121:$BH$220=$C11)*('C19RM 2021-Lab &amp; Other HPS'!$W$121:$W$220)*(('C19RM 2021-Lab &amp; Other HPS'!$X$121:$X$220)))</f>
        <v>0</v>
      </c>
      <c r="I11" s="354" cm="1">
        <f t="array" ref="I11">SUMPRODUCT(('C19RM 2021-Lab &amp; Other HPS'!$BH$121:$BH$220=$C11)*('C19RM 2021-Lab &amp; Other HPS'!$W$121:$W$220)*(('C19RM 2021-Lab &amp; Other HPS'!$Y$121:$Y$220)))</f>
        <v>0</v>
      </c>
      <c r="J11" s="354" cm="1">
        <f t="array" ref="J11">SUMPRODUCT(('C19RM 2021-Lab &amp; Other HPS'!$BH$121:$BH$220=$C11)*('C19RM 2021-Lab &amp; Other HPS'!$W$121:$W$220)*(('C19RM 2021-Lab &amp; Other HPS'!$Z$121:$Z$220)))</f>
        <v>0</v>
      </c>
      <c r="K11" s="354" cm="1">
        <f t="array" ref="K11">SUMPRODUCT(('C19RM 2021-Lab &amp; Other HPS'!$BH$121:$BH$220=$C11)*('C19RM 2021-Lab &amp; Other HPS'!$W$121:$W$220)*(('C19RM 2021-Lab &amp; Other HPS'!$AA$121:$AA$220)))</f>
        <v>0</v>
      </c>
      <c r="L11" s="354" cm="1">
        <f t="array" ref="L11">SUMPRODUCT(('C19RM 2021-Lab &amp; Other HPS'!$BH$121:$BH$220=$C11)*('C19RM 2021-Lab &amp; Other HPS'!$AD$121:$AD$220)*(('C19RM 2021-Lab &amp; Other HPS'!$AE$121:$AE$220)))</f>
        <v>0</v>
      </c>
      <c r="M11" s="354" cm="1">
        <f t="array" ref="M11">SUMPRODUCT(('C19RM 2021-Lab &amp; Other HPS'!$BH$121:$BH$220=$C11)*('C19RM 2021-Lab &amp; Other HPS'!$AD$121:$AD$220)*(('C19RM 2021-Lab &amp; Other HPS'!$AF$121:$AF$220)))</f>
        <v>0</v>
      </c>
      <c r="N11" s="354" cm="1">
        <f t="array" ref="N11">SUMPRODUCT(('C19RM 2021-Lab &amp; Other HPS'!$BH$121:$BH$220=$C11)*('C19RM 2021-Lab &amp; Other HPS'!$AD$121:$AD$220)*(('C19RM 2021-Lab &amp; Other HPS'!$AG$121:$AG$220)))</f>
        <v>0</v>
      </c>
      <c r="O11" s="354" cm="1">
        <f t="array" ref="O11">SUMPRODUCT(('C19RM 2021-Lab &amp; Other HPS'!$BH$121:$BH$220=$C11)*('C19RM 2021-Lab &amp; Other HPS'!$AD$121:$AD$220)*(('C19RM 2021-Lab &amp; Other HPS'!$AH$121:$AH$220)))</f>
        <v>0</v>
      </c>
    </row>
    <row r="12" spans="1:15" x14ac:dyDescent="0.35">
      <c r="A12" s="938">
        <v>2</v>
      </c>
      <c r="B12" s="938">
        <v>0</v>
      </c>
      <c r="C12" s="354" t="s">
        <v>183</v>
      </c>
      <c r="D12" s="354" cm="1">
        <f t="array" ref="D12">SUMPRODUCT(('C19RM 2021-Lab &amp; Other HPS'!$BH$121:$BH$220=$C12)*('C19RM 2021-Lab &amp; Other HPS'!$P$121:$P$220)*(('C19RM 2021-Lab &amp; Other HPS'!$Q$121:$Q$220)))</f>
        <v>0</v>
      </c>
      <c r="E12" s="354" cm="1">
        <f t="array" ref="E12">SUMPRODUCT(('C19RM 2021-Lab &amp; Other HPS'!$BH$121:$BH$220=$C12)*('C19RM 2021-Lab &amp; Other HPS'!$P$121:$P$220)*(('C19RM 2021-Lab &amp; Other HPS'!$R$121:$R$220)))</f>
        <v>0</v>
      </c>
      <c r="F12" s="354" cm="1">
        <f t="array" ref="F12">SUMPRODUCT(('C19RM 2021-Lab &amp; Other HPS'!$BH$121:$BH$220=$C12)*('C19RM 2021-Lab &amp; Other HPS'!$P$121:$P$220)*(('C19RM 2021-Lab &amp; Other HPS'!$S$121:$S$220)))</f>
        <v>0</v>
      </c>
      <c r="G12" s="354" cm="1">
        <f t="array" ref="G12">SUMPRODUCT(('C19RM 2021-Lab &amp; Other HPS'!$BH$121:$BH$220=$C12)*('C19RM 2021-Lab &amp; Other HPS'!$P$121:$P$220)*(('C19RM 2021-Lab &amp; Other HPS'!$T$121:$T$220)))</f>
        <v>0</v>
      </c>
      <c r="H12" s="354" cm="1">
        <f t="array" ref="H12">SUMPRODUCT(('C19RM 2021-Lab &amp; Other HPS'!$BH$121:$BH$220=$C12)*('C19RM 2021-Lab &amp; Other HPS'!$W$121:$W$220)*(('C19RM 2021-Lab &amp; Other HPS'!$X$121:$X$220)))</f>
        <v>0</v>
      </c>
      <c r="I12" s="354" cm="1">
        <f t="array" ref="I12">SUMPRODUCT(('C19RM 2021-Lab &amp; Other HPS'!$BH$121:$BH$220=$C12)*('C19RM 2021-Lab &amp; Other HPS'!$W$121:$W$220)*(('C19RM 2021-Lab &amp; Other HPS'!$Y$121:$Y$220)))</f>
        <v>0</v>
      </c>
      <c r="J12" s="354" cm="1">
        <f t="array" ref="J12">SUMPRODUCT(('C19RM 2021-Lab &amp; Other HPS'!$BH$121:$BH$220=$C12)*('C19RM 2021-Lab &amp; Other HPS'!$W$121:$W$220)*(('C19RM 2021-Lab &amp; Other HPS'!$Z$121:$Z$220)))</f>
        <v>0</v>
      </c>
      <c r="K12" s="354" cm="1">
        <f t="array" ref="K12">SUMPRODUCT(('C19RM 2021-Lab &amp; Other HPS'!$BH$121:$BH$220=$C12)*('C19RM 2021-Lab &amp; Other HPS'!$W$121:$W$220)*(('C19RM 2021-Lab &amp; Other HPS'!$AA$121:$AA$220)))</f>
        <v>0</v>
      </c>
      <c r="L12" s="354" cm="1">
        <f t="array" ref="L12">SUMPRODUCT(('C19RM 2021-Lab &amp; Other HPS'!$BH$121:$BH$220=$C12)*('C19RM 2021-Lab &amp; Other HPS'!$AD$121:$AD$220)*(('C19RM 2021-Lab &amp; Other HPS'!$AE$121:$AE$220)))</f>
        <v>0</v>
      </c>
      <c r="M12" s="354" cm="1">
        <f t="array" ref="M12">SUMPRODUCT(('C19RM 2021-Lab &amp; Other HPS'!$BH$121:$BH$220=$C12)*('C19RM 2021-Lab &amp; Other HPS'!$AD$121:$AD$220)*(('C19RM 2021-Lab &amp; Other HPS'!$AF$121:$AF$220)))</f>
        <v>0</v>
      </c>
      <c r="N12" s="354" cm="1">
        <f t="array" ref="N12">SUMPRODUCT(('C19RM 2021-Lab &amp; Other HPS'!$BH$121:$BH$220=$C12)*('C19RM 2021-Lab &amp; Other HPS'!$AD$121:$AD$220)*(('C19RM 2021-Lab &amp; Other HPS'!$AG$121:$AG$220)))</f>
        <v>0</v>
      </c>
      <c r="O12" s="354" cm="1">
        <f t="array" ref="O12">SUMPRODUCT(('C19RM 2021-Lab &amp; Other HPS'!$BH$121:$BH$220=$C12)*('C19RM 2021-Lab &amp; Other HPS'!$AD$121:$AD$220)*(('C19RM 2021-Lab &amp; Other HPS'!$AH$121:$AH$220)))</f>
        <v>0</v>
      </c>
    </row>
    <row r="13" spans="1:15" x14ac:dyDescent="0.35">
      <c r="A13" s="938">
        <v>2</v>
      </c>
      <c r="B13" s="938">
        <v>0</v>
      </c>
      <c r="C13" s="354" t="s">
        <v>3300</v>
      </c>
      <c r="D13" s="354" cm="1">
        <f t="array" ref="D13">SUMPRODUCT(('C19RM 2021-Lab &amp; Other HPS'!$BH$121:$BH$220=$C13)*('C19RM 2021-Lab &amp; Other HPS'!$P$121:$P$220)*(('C19RM 2021-Lab &amp; Other HPS'!$Q$121:$Q$220)))</f>
        <v>0</v>
      </c>
      <c r="E13" s="354" cm="1">
        <f t="array" ref="E13">SUMPRODUCT(('C19RM 2021-Lab &amp; Other HPS'!$BH$121:$BH$220=$C13)*('C19RM 2021-Lab &amp; Other HPS'!$P$121:$P$220)*(('C19RM 2021-Lab &amp; Other HPS'!$R$121:$R$220)))</f>
        <v>0</v>
      </c>
      <c r="F13" s="354" cm="1">
        <f t="array" ref="F13">SUMPRODUCT(('C19RM 2021-Lab &amp; Other HPS'!$BH$121:$BH$220=$C13)*('C19RM 2021-Lab &amp; Other HPS'!$P$121:$P$220)*(('C19RM 2021-Lab &amp; Other HPS'!$S$121:$S$220)))</f>
        <v>0</v>
      </c>
      <c r="G13" s="354" cm="1">
        <f t="array" ref="G13">SUMPRODUCT(('C19RM 2021-Lab &amp; Other HPS'!$BH$121:$BH$220=$C13)*('C19RM 2021-Lab &amp; Other HPS'!$P$121:$P$220)*(('C19RM 2021-Lab &amp; Other HPS'!$T$121:$T$220)))</f>
        <v>0</v>
      </c>
      <c r="H13" s="354" cm="1">
        <f t="array" ref="H13">SUMPRODUCT(('C19RM 2021-Lab &amp; Other HPS'!$BH$121:$BH$220=$C13)*('C19RM 2021-Lab &amp; Other HPS'!$W$121:$W$220)*(('C19RM 2021-Lab &amp; Other HPS'!$X$121:$X$220)))</f>
        <v>0</v>
      </c>
      <c r="I13" s="354" cm="1">
        <f t="array" ref="I13">SUMPRODUCT(('C19RM 2021-Lab &amp; Other HPS'!$BH$121:$BH$220=$C13)*('C19RM 2021-Lab &amp; Other HPS'!$W$121:$W$220)*(('C19RM 2021-Lab &amp; Other HPS'!$Y$121:$Y$220)))</f>
        <v>0</v>
      </c>
      <c r="J13" s="354" cm="1">
        <f t="array" ref="J13">SUMPRODUCT(('C19RM 2021-Lab &amp; Other HPS'!$BH$121:$BH$220=$C13)*('C19RM 2021-Lab &amp; Other HPS'!$W$121:$W$220)*(('C19RM 2021-Lab &amp; Other HPS'!$Z$121:$Z$220)))</f>
        <v>0</v>
      </c>
      <c r="K13" s="354" cm="1">
        <f t="array" ref="K13">SUMPRODUCT(('C19RM 2021-Lab &amp; Other HPS'!$BH$121:$BH$220=$C13)*('C19RM 2021-Lab &amp; Other HPS'!$W$121:$W$220)*(('C19RM 2021-Lab &amp; Other HPS'!$AA$121:$AA$220)))</f>
        <v>0</v>
      </c>
      <c r="L13" s="354" cm="1">
        <f t="array" ref="L13">SUMPRODUCT(('C19RM 2021-Lab &amp; Other HPS'!$BH$121:$BH$220=$C13)*('C19RM 2021-Lab &amp; Other HPS'!$AD$121:$AD$220)*(('C19RM 2021-Lab &amp; Other HPS'!$AE$121:$AE$220)))</f>
        <v>0</v>
      </c>
      <c r="M13" s="354" cm="1">
        <f t="array" ref="M13">SUMPRODUCT(('C19RM 2021-Lab &amp; Other HPS'!$BH$121:$BH$220=$C13)*('C19RM 2021-Lab &amp; Other HPS'!$AD$121:$AD$220)*(('C19RM 2021-Lab &amp; Other HPS'!$AF$121:$AF$220)))</f>
        <v>0</v>
      </c>
      <c r="N13" s="354" cm="1">
        <f t="array" ref="N13">SUMPRODUCT(('C19RM 2021-Lab &amp; Other HPS'!$BH$121:$BH$220=$C13)*('C19RM 2021-Lab &amp; Other HPS'!$AD$121:$AD$220)*(('C19RM 2021-Lab &amp; Other HPS'!$AG$121:$AG$220)))</f>
        <v>0</v>
      </c>
      <c r="O13" s="354" cm="1">
        <f t="array" ref="O13">SUMPRODUCT(('C19RM 2021-Lab &amp; Other HPS'!$BH$121:$BH$220=$C13)*('C19RM 2021-Lab &amp; Other HPS'!$AD$121:$AD$220)*(('C19RM 2021-Lab &amp; Other HPS'!$AH$121:$AH$220)))</f>
        <v>0</v>
      </c>
    </row>
    <row r="14" spans="1:15" x14ac:dyDescent="0.35">
      <c r="A14" s="938">
        <v>3</v>
      </c>
      <c r="B14" s="938">
        <v>0</v>
      </c>
      <c r="C14" s="354" t="s">
        <v>184</v>
      </c>
      <c r="D14" s="354" cm="1">
        <f t="array" ref="D14">SUMPRODUCT(('C19RM 2021-Lab &amp; Other HPS'!$BH$228:$BH$327=$C14)*('C19RM 2021-Lab &amp; Other HPS'!$P$228:$P$327)*(('C19RM 2021-Lab &amp; Other HPS'!$Q$228:$Q$327)))</f>
        <v>0</v>
      </c>
      <c r="E14" s="354" cm="1">
        <f t="array" ref="E14">SUMPRODUCT(('C19RM 2021-Lab &amp; Other HPS'!$BH$228:$BH$327=$C14)*('C19RM 2021-Lab &amp; Other HPS'!$P$228:$P$327)*(('C19RM 2021-Lab &amp; Other HPS'!$R$228:$R$327)))</f>
        <v>0</v>
      </c>
      <c r="F14" s="354" cm="1">
        <f t="array" ref="F14">SUMPRODUCT(('C19RM 2021-Lab &amp; Other HPS'!$BH$228:$BH$327=$C14)*('C19RM 2021-Lab &amp; Other HPS'!$P$228:$P$327)*(('C19RM 2021-Lab &amp; Other HPS'!$S$228:$S$327)))</f>
        <v>0</v>
      </c>
      <c r="G14" s="354" cm="1">
        <f t="array" ref="G14">SUMPRODUCT(('C19RM 2021-Lab &amp; Other HPS'!$BH$228:$BH$327=$C14)*('C19RM 2021-Lab &amp; Other HPS'!$P$228:$P$327)*(('C19RM 2021-Lab &amp; Other HPS'!$T$228:$T$327)))</f>
        <v>0</v>
      </c>
      <c r="H14" s="354" cm="1">
        <f t="array" ref="H14">SUMPRODUCT(('C19RM 2021-Lab &amp; Other HPS'!$BH$228:$BH$327=$C14)*('C19RM 2021-Lab &amp; Other HPS'!$W$228:$W$327)*(('C19RM 2021-Lab &amp; Other HPS'!$X$228:$X$327)))</f>
        <v>0</v>
      </c>
      <c r="I14" s="354" cm="1">
        <f t="array" ref="I14">SUMPRODUCT(('C19RM 2021-Lab &amp; Other HPS'!$BH$228:$BH$327=$C14)*('C19RM 2021-Lab &amp; Other HPS'!$W$228:$W$327)*(('C19RM 2021-Lab &amp; Other HPS'!$Y$228:$Y$327)))</f>
        <v>0</v>
      </c>
      <c r="J14" s="354" cm="1">
        <f t="array" ref="J14">SUMPRODUCT(('C19RM 2021-Lab &amp; Other HPS'!$BH$228:$BH$327=$C14)*('C19RM 2021-Lab &amp; Other HPS'!$W$228:$W$327)*(('C19RM 2021-Lab &amp; Other HPS'!$Z$228:$Z$327)))</f>
        <v>0</v>
      </c>
      <c r="K14" s="354" cm="1">
        <f t="array" ref="K14">SUMPRODUCT(('C19RM 2021-Lab &amp; Other HPS'!$BH$228:$BH$327=$C14)*('C19RM 2021-Lab &amp; Other HPS'!$W$228:$W$327)*(('C19RM 2021-Lab &amp; Other HPS'!$AA$228:$AA$327)))</f>
        <v>0</v>
      </c>
      <c r="L14" s="354" cm="1">
        <f t="array" ref="L14">SUMPRODUCT(('C19RM 2021-Lab &amp; Other HPS'!$BH$228:$BH$327=$C14)*('C19RM 2021-Lab &amp; Other HPS'!$AD$228:$AD$327)*(('C19RM 2021-Lab &amp; Other HPS'!$AE$228:$AE$327)))</f>
        <v>0</v>
      </c>
      <c r="M14" s="354" cm="1">
        <f t="array" ref="M14">SUMPRODUCT(('C19RM 2021-Lab &amp; Other HPS'!$BH$228:$BH$327=$C14)*('C19RM 2021-Lab &amp; Other HPS'!$AD$228:$AD$327)*(('C19RM 2021-Lab &amp; Other HPS'!$AF$228:$AF$327)))</f>
        <v>0</v>
      </c>
      <c r="N14" s="354" cm="1">
        <f t="array" ref="N14">SUMPRODUCT(('C19RM 2021-Lab &amp; Other HPS'!$BH$228:$BH$327=$C14)*('C19RM 2021-Lab &amp; Other HPS'!$AD$228:$AD$327)*(('C19RM 2021-Lab &amp; Other HPS'!$AG$228:$AG$327)))</f>
        <v>0</v>
      </c>
      <c r="O14" s="354" cm="1">
        <f t="array" ref="O14">SUMPRODUCT(('C19RM 2021-Lab &amp; Other HPS'!$BH$228:$BH$327=$C14)*('C19RM 2021-Lab &amp; Other HPS'!$AD$228:$AD$327)*(('C19RM 2021-Lab &amp; Other HPS'!$AH$228:$AH$327)))</f>
        <v>0</v>
      </c>
    </row>
    <row r="15" spans="1:15" x14ac:dyDescent="0.35">
      <c r="A15" s="938">
        <v>3</v>
      </c>
      <c r="B15" s="938">
        <v>0</v>
      </c>
      <c r="C15" s="354" t="s">
        <v>181</v>
      </c>
      <c r="D15" s="354" cm="1">
        <f t="array" ref="D15">SUMPRODUCT(('C19RM 2021-Lab &amp; Other HPS'!$BH$228:$BH$327=$C15)*('C19RM 2021-Lab &amp; Other HPS'!$P$228:$P$327)*(('C19RM 2021-Lab &amp; Other HPS'!$Q$228:$Q$327)))</f>
        <v>0</v>
      </c>
      <c r="E15" s="354" cm="1">
        <f t="array" ref="E15">SUMPRODUCT(('C19RM 2021-Lab &amp; Other HPS'!$BH$228:$BH$327=$C15)*('C19RM 2021-Lab &amp; Other HPS'!$P$228:$P$327)*(('C19RM 2021-Lab &amp; Other HPS'!$R$228:$R$327)))</f>
        <v>0</v>
      </c>
      <c r="F15" s="354" cm="1">
        <f t="array" ref="F15">SUMPRODUCT(('C19RM 2021-Lab &amp; Other HPS'!$BH$228:$BH$327=$C15)*('C19RM 2021-Lab &amp; Other HPS'!$P$228:$P$327)*(('C19RM 2021-Lab &amp; Other HPS'!$S$228:$S$327)))</f>
        <v>0</v>
      </c>
      <c r="G15" s="354" cm="1">
        <f t="array" ref="G15">SUMPRODUCT(('C19RM 2021-Lab &amp; Other HPS'!$BH$228:$BH$327=$C15)*('C19RM 2021-Lab &amp; Other HPS'!$P$228:$P$327)*(('C19RM 2021-Lab &amp; Other HPS'!$T$228:$T$327)))</f>
        <v>0</v>
      </c>
      <c r="H15" s="354" cm="1">
        <f t="array" ref="H15">SUMPRODUCT(('C19RM 2021-Lab &amp; Other HPS'!$BH$228:$BH$327=$C15)*('C19RM 2021-Lab &amp; Other HPS'!$W$228:$W$327)*(('C19RM 2021-Lab &amp; Other HPS'!$X$228:$X$327)))</f>
        <v>0</v>
      </c>
      <c r="I15" s="354" cm="1">
        <f t="array" ref="I15">SUMPRODUCT(('C19RM 2021-Lab &amp; Other HPS'!$BH$228:$BH$327=$C15)*('C19RM 2021-Lab &amp; Other HPS'!$W$228:$W$327)*(('C19RM 2021-Lab &amp; Other HPS'!$Y$228:$Y$327)))</f>
        <v>0</v>
      </c>
      <c r="J15" s="354" cm="1">
        <f t="array" ref="J15">SUMPRODUCT(('C19RM 2021-Lab &amp; Other HPS'!$BH$228:$BH$327=$C15)*('C19RM 2021-Lab &amp; Other HPS'!$W$228:$W$327)*(('C19RM 2021-Lab &amp; Other HPS'!$Z$228:$Z$327)))</f>
        <v>0</v>
      </c>
      <c r="K15" s="354" cm="1">
        <f t="array" ref="K15">SUMPRODUCT(('C19RM 2021-Lab &amp; Other HPS'!$BH$228:$BH$327=$C15)*('C19RM 2021-Lab &amp; Other HPS'!$W$228:$W$327)*(('C19RM 2021-Lab &amp; Other HPS'!$AA$228:$AA$327)))</f>
        <v>0</v>
      </c>
      <c r="L15" s="354" cm="1">
        <f t="array" ref="L15">SUMPRODUCT(('C19RM 2021-Lab &amp; Other HPS'!$BH$228:$BH$327=$C15)*('C19RM 2021-Lab &amp; Other HPS'!$AD$228:$AD$327)*(('C19RM 2021-Lab &amp; Other HPS'!$AE$228:$AE$327)))</f>
        <v>0</v>
      </c>
      <c r="M15" s="354" cm="1">
        <f t="array" ref="M15">SUMPRODUCT(('C19RM 2021-Lab &amp; Other HPS'!$BH$228:$BH$327=$C15)*('C19RM 2021-Lab &amp; Other HPS'!$AD$228:$AD$327)*(('C19RM 2021-Lab &amp; Other HPS'!$AF$228:$AF$327)))</f>
        <v>0</v>
      </c>
      <c r="N15" s="354" cm="1">
        <f t="array" ref="N15">SUMPRODUCT(('C19RM 2021-Lab &amp; Other HPS'!$BH$228:$BH$327=$C15)*('C19RM 2021-Lab &amp; Other HPS'!$AD$228:$AD$327)*(('C19RM 2021-Lab &amp; Other HPS'!$AG$228:$AG$327)))</f>
        <v>0</v>
      </c>
      <c r="O15" s="354" cm="1">
        <f t="array" ref="O15">SUMPRODUCT(('C19RM 2021-Lab &amp; Other HPS'!$BH$228:$BH$327=$C15)*('C19RM 2021-Lab &amp; Other HPS'!$AD$228:$AD$327)*(('C19RM 2021-Lab &amp; Other HPS'!$AH$228:$AH$327)))</f>
        <v>0</v>
      </c>
    </row>
    <row r="16" spans="1:15" x14ac:dyDescent="0.35">
      <c r="A16" s="938">
        <v>4</v>
      </c>
      <c r="B16" s="938">
        <v>0</v>
      </c>
      <c r="C16" s="354" t="s">
        <v>179</v>
      </c>
      <c r="D16" s="354" cm="1">
        <f t="array" ref="D16">SUMPRODUCT(('C19RM 2021-Lab &amp; Other HPS'!$BH$336:$BH$435=$C16)*('C19RM 2021-Lab &amp; Other HPS'!$P$336:$P$435)*(('C19RM 2021-Lab &amp; Other HPS'!$Q$336:$Q$435)))</f>
        <v>0</v>
      </c>
      <c r="E16" s="354" cm="1">
        <f t="array" ref="E16">SUMPRODUCT(('C19RM 2021-Lab &amp; Other HPS'!$BH$336:$BH$435=$C16)*('C19RM 2021-Lab &amp; Other HPS'!$P$336:$P$435)*(('C19RM 2021-Lab &amp; Other HPS'!$R$336:$R$435)))</f>
        <v>0</v>
      </c>
      <c r="F16" s="354" cm="1">
        <f t="array" ref="F16">SUMPRODUCT(('C19RM 2021-Lab &amp; Other HPS'!$BH$336:$BH$435=$C16)*('C19RM 2021-Lab &amp; Other HPS'!$P$336:$P$435)*(('C19RM 2021-Lab &amp; Other HPS'!$S$336:$S$435)))</f>
        <v>0</v>
      </c>
      <c r="G16" s="354" cm="1">
        <f t="array" ref="G16">SUMPRODUCT(('C19RM 2021-Lab &amp; Other HPS'!$BH$336:$BH$435=$C16)*('C19RM 2021-Lab &amp; Other HPS'!$P$336:$P$435)*(('C19RM 2021-Lab &amp; Other HPS'!$T$336:$T$435)))</f>
        <v>0</v>
      </c>
      <c r="H16" s="354" cm="1">
        <f t="array" ref="H16">SUMPRODUCT(('C19RM 2021-Lab &amp; Other HPS'!$BH$336:$BH$435=$C16)*('C19RM 2021-Lab &amp; Other HPS'!$W$336:$W$435)*(('C19RM 2021-Lab &amp; Other HPS'!$X$336:$X$435)))</f>
        <v>0</v>
      </c>
      <c r="I16" s="354" cm="1">
        <f t="array" ref="I16">SUMPRODUCT(('C19RM 2021-Lab &amp; Other HPS'!$BH$336:$BH$435=$C16)*('C19RM 2021-Lab &amp; Other HPS'!$W$336:$W$435)*(('C19RM 2021-Lab &amp; Other HPS'!$Y$336:$Y$435)))</f>
        <v>0</v>
      </c>
      <c r="J16" s="354" cm="1">
        <f t="array" ref="J16">SUMPRODUCT(('C19RM 2021-Lab &amp; Other HPS'!$BH$336:$BH$435=$C16)*('C19RM 2021-Lab &amp; Other HPS'!$W$336:$W$435)*(('C19RM 2021-Lab &amp; Other HPS'!$Z$336:$Z$435)))</f>
        <v>0</v>
      </c>
      <c r="K16" s="354" cm="1">
        <f t="array" ref="K16">SUMPRODUCT(('C19RM 2021-Lab &amp; Other HPS'!$BH$336:$BH$435=$C16)*('C19RM 2021-Lab &amp; Other HPS'!$W$336:$W$435)*(('C19RM 2021-Lab &amp; Other HPS'!$AA$336:$AA$435)))</f>
        <v>0</v>
      </c>
      <c r="L16" s="354" cm="1">
        <f t="array" ref="L16">SUMPRODUCT(('C19RM 2021-Lab &amp; Other HPS'!$BH$336:$BH$435=$C16)*('C19RM 2021-Lab &amp; Other HPS'!$AD$336:$AD$435)*(('C19RM 2021-Lab &amp; Other HPS'!$AE$336:$AE$435)))</f>
        <v>0</v>
      </c>
      <c r="M16" s="354" cm="1">
        <f t="array" ref="M16">SUMPRODUCT(('C19RM 2021-Lab &amp; Other HPS'!$BH$336:$BH$435=$C16)*('C19RM 2021-Lab &amp; Other HPS'!$AD$336:$AD$435)*(('C19RM 2021-Lab &amp; Other HPS'!$AF$336:$AF$435)))</f>
        <v>0</v>
      </c>
      <c r="N16" s="354" cm="1">
        <f t="array" ref="N16">SUMPRODUCT(('C19RM 2021-Lab &amp; Other HPS'!$BH$336:$BH$435=$C16)*('C19RM 2021-Lab &amp; Other HPS'!$AD$336:$AD$435)*(('C19RM 2021-Lab &amp; Other HPS'!$AG$336:$AG$435)))</f>
        <v>0</v>
      </c>
      <c r="O16" s="354" cm="1">
        <f t="array" ref="O16">SUMPRODUCT(('C19RM 2021-Lab &amp; Other HPS'!$BH$336:$BH$435=$C16)*('C19RM 2021-Lab &amp; Other HPS'!$AD$336:$AD$435)*(('C19RM 2021-Lab &amp; Other HPS'!$AH$336:$AH$435)))</f>
        <v>0</v>
      </c>
    </row>
    <row r="17" spans="1:15" x14ac:dyDescent="0.35">
      <c r="A17" s="938">
        <v>4</v>
      </c>
      <c r="B17" s="938">
        <v>0</v>
      </c>
      <c r="C17" s="354" t="s">
        <v>182</v>
      </c>
      <c r="D17" s="354" cm="1">
        <f t="array" ref="D17">SUMPRODUCT(('C19RM 2021-Lab &amp; Other HPS'!$BH$336:$BH$435=$C17)*('C19RM 2021-Lab &amp; Other HPS'!$P$336:$P$435)*(('C19RM 2021-Lab &amp; Other HPS'!$Q$336:$Q$435)))</f>
        <v>0</v>
      </c>
      <c r="E17" s="354" cm="1">
        <f t="array" ref="E17">SUMPRODUCT(('C19RM 2021-Lab &amp; Other HPS'!$BH$336:$BH$435=$C17)*('C19RM 2021-Lab &amp; Other HPS'!$P$336:$P$435)*(('C19RM 2021-Lab &amp; Other HPS'!$R$336:$R$435)))</f>
        <v>0</v>
      </c>
      <c r="F17" s="354" cm="1">
        <f t="array" ref="F17">SUMPRODUCT(('C19RM 2021-Lab &amp; Other HPS'!$BH$336:$BH$435=$C17)*('C19RM 2021-Lab &amp; Other HPS'!$P$336:$P$435)*(('C19RM 2021-Lab &amp; Other HPS'!$S$336:$S$435)))</f>
        <v>0</v>
      </c>
      <c r="G17" s="354" cm="1">
        <f t="array" ref="G17">SUMPRODUCT(('C19RM 2021-Lab &amp; Other HPS'!$BH$336:$BH$435=$C17)*('C19RM 2021-Lab &amp; Other HPS'!$P$336:$P$435)*(('C19RM 2021-Lab &amp; Other HPS'!$T$336:$T$435)))</f>
        <v>0</v>
      </c>
      <c r="H17" s="354" cm="1">
        <f t="array" ref="H17">SUMPRODUCT(('C19RM 2021-Lab &amp; Other HPS'!$BH$336:$BH$435=$C17)*('C19RM 2021-Lab &amp; Other HPS'!$W$336:$W$435)*(('C19RM 2021-Lab &amp; Other HPS'!$X$336:$X$435)))</f>
        <v>0</v>
      </c>
      <c r="I17" s="354" cm="1">
        <f t="array" ref="I17">SUMPRODUCT(('C19RM 2021-Lab &amp; Other HPS'!$BH$336:$BH$435=$C17)*('C19RM 2021-Lab &amp; Other HPS'!$W$336:$W$435)*(('C19RM 2021-Lab &amp; Other HPS'!$Y$336:$Y$435)))</f>
        <v>0</v>
      </c>
      <c r="J17" s="354" cm="1">
        <f t="array" ref="J17">SUMPRODUCT(('C19RM 2021-Lab &amp; Other HPS'!$BH$336:$BH$435=$C17)*('C19RM 2021-Lab &amp; Other HPS'!$W$336:$W$435)*(('C19RM 2021-Lab &amp; Other HPS'!$Z$336:$Z$435)))</f>
        <v>0</v>
      </c>
      <c r="K17" s="354" cm="1">
        <f t="array" ref="K17">SUMPRODUCT(('C19RM 2021-Lab &amp; Other HPS'!$BH$336:$BH$435=$C17)*('C19RM 2021-Lab &amp; Other HPS'!$W$336:$W$435)*(('C19RM 2021-Lab &amp; Other HPS'!$AA$336:$AA$435)))</f>
        <v>0</v>
      </c>
      <c r="L17" s="354" cm="1">
        <f t="array" ref="L17">SUMPRODUCT(('C19RM 2021-Lab &amp; Other HPS'!$BH$336:$BH$435=$C17)*('C19RM 2021-Lab &amp; Other HPS'!$AD$336:$AD$435)*(('C19RM 2021-Lab &amp; Other HPS'!$AE$336:$AE$435)))</f>
        <v>0</v>
      </c>
      <c r="M17" s="354" cm="1">
        <f t="array" ref="M17">SUMPRODUCT(('C19RM 2021-Lab &amp; Other HPS'!$BH$336:$BH$435=$C17)*('C19RM 2021-Lab &amp; Other HPS'!$AD$336:$AD$435)*(('C19RM 2021-Lab &amp; Other HPS'!$AF$336:$AF$435)))</f>
        <v>0</v>
      </c>
      <c r="N17" s="354" cm="1">
        <f t="array" ref="N17">SUMPRODUCT(('C19RM 2021-Lab &amp; Other HPS'!$BH$336:$BH$435=$C17)*('C19RM 2021-Lab &amp; Other HPS'!$AD$336:$AD$435)*(('C19RM 2021-Lab &amp; Other HPS'!$AG$336:$AG$435)))</f>
        <v>0</v>
      </c>
      <c r="O17" s="354" cm="1">
        <f t="array" ref="O17">SUMPRODUCT(('C19RM 2021-Lab &amp; Other HPS'!$BH$336:$BH$435=$C17)*('C19RM 2021-Lab &amp; Other HPS'!$AD$336:$AD$435)*(('C19RM 2021-Lab &amp; Other HPS'!$AH$336:$AH$435)))</f>
        <v>0</v>
      </c>
    </row>
    <row r="18" spans="1:15" x14ac:dyDescent="0.35">
      <c r="A18" s="938">
        <v>4</v>
      </c>
      <c r="B18" s="938">
        <v>0</v>
      </c>
      <c r="C18" s="354" t="s">
        <v>183</v>
      </c>
      <c r="D18" s="354" cm="1">
        <f t="array" ref="D18">SUMPRODUCT(('C19RM 2021-Lab &amp; Other HPS'!$BH$336:$BH$435=$C18)*('C19RM 2021-Lab &amp; Other HPS'!$P$336:$P$435)*(('C19RM 2021-Lab &amp; Other HPS'!$Q$336:$Q$435)))</f>
        <v>0</v>
      </c>
      <c r="E18" s="354" cm="1">
        <f t="array" ref="E18">SUMPRODUCT(('C19RM 2021-Lab &amp; Other HPS'!$BH$336:$BH$435=$C18)*('C19RM 2021-Lab &amp; Other HPS'!$P$336:$P$435)*(('C19RM 2021-Lab &amp; Other HPS'!$R$336:$R$435)))</f>
        <v>0</v>
      </c>
      <c r="F18" s="354" cm="1">
        <f t="array" ref="F18">SUMPRODUCT(('C19RM 2021-Lab &amp; Other HPS'!$BH$336:$BH$435=$C18)*('C19RM 2021-Lab &amp; Other HPS'!$P$336:$P$435)*(('C19RM 2021-Lab &amp; Other HPS'!$S$336:$S$435)))</f>
        <v>0</v>
      </c>
      <c r="G18" s="354" cm="1">
        <f t="array" ref="G18">SUMPRODUCT(('C19RM 2021-Lab &amp; Other HPS'!$BH$336:$BH$435=$C18)*('C19RM 2021-Lab &amp; Other HPS'!$P$336:$P$435)*(('C19RM 2021-Lab &amp; Other HPS'!$T$336:$T$435)))</f>
        <v>0</v>
      </c>
      <c r="H18" s="354" cm="1">
        <f t="array" ref="H18">SUMPRODUCT(('C19RM 2021-Lab &amp; Other HPS'!$BH$336:$BH$435=$C18)*('C19RM 2021-Lab &amp; Other HPS'!$W$336:$W$435)*(('C19RM 2021-Lab &amp; Other HPS'!$X$336:$X$435)))</f>
        <v>0</v>
      </c>
      <c r="I18" s="354" cm="1">
        <f t="array" ref="I18">SUMPRODUCT(('C19RM 2021-Lab &amp; Other HPS'!$BH$336:$BH$435=$C18)*('C19RM 2021-Lab &amp; Other HPS'!$W$336:$W$435)*(('C19RM 2021-Lab &amp; Other HPS'!$Y$336:$Y$435)))</f>
        <v>0</v>
      </c>
      <c r="J18" s="354" cm="1">
        <f t="array" ref="J18">SUMPRODUCT(('C19RM 2021-Lab &amp; Other HPS'!$BH$336:$BH$435=$C18)*('C19RM 2021-Lab &amp; Other HPS'!$W$336:$W$435)*(('C19RM 2021-Lab &amp; Other HPS'!$Z$336:$Z$435)))</f>
        <v>0</v>
      </c>
      <c r="K18" s="354" cm="1">
        <f t="array" ref="K18">SUMPRODUCT(('C19RM 2021-Lab &amp; Other HPS'!$BH$336:$BH$435=$C18)*('C19RM 2021-Lab &amp; Other HPS'!$W$336:$W$435)*(('C19RM 2021-Lab &amp; Other HPS'!$AA$336:$AA$435)))</f>
        <v>0</v>
      </c>
      <c r="L18" s="354" cm="1">
        <f t="array" ref="L18">SUMPRODUCT(('C19RM 2021-Lab &amp; Other HPS'!$BH$336:$BH$435=$C18)*('C19RM 2021-Lab &amp; Other HPS'!$AD$336:$AD$435)*(('C19RM 2021-Lab &amp; Other HPS'!$AE$336:$AE$435)))</f>
        <v>0</v>
      </c>
      <c r="M18" s="354" cm="1">
        <f t="array" ref="M18">SUMPRODUCT(('C19RM 2021-Lab &amp; Other HPS'!$BH$336:$BH$435=$C18)*('C19RM 2021-Lab &amp; Other HPS'!$AD$336:$AD$435)*(('C19RM 2021-Lab &amp; Other HPS'!$AF$336:$AF$435)))</f>
        <v>0</v>
      </c>
      <c r="N18" s="354" cm="1">
        <f t="array" ref="N18">SUMPRODUCT(('C19RM 2021-Lab &amp; Other HPS'!$BH$336:$BH$435=$C18)*('C19RM 2021-Lab &amp; Other HPS'!$AD$336:$AD$435)*(('C19RM 2021-Lab &amp; Other HPS'!$AG$336:$AG$435)))</f>
        <v>0</v>
      </c>
      <c r="O18" s="354" cm="1">
        <f t="array" ref="O18">SUMPRODUCT(('C19RM 2021-Lab &amp; Other HPS'!$BH$336:$BH$435=$C18)*('C19RM 2021-Lab &amp; Other HPS'!$AD$336:$AD$435)*(('C19RM 2021-Lab &amp; Other HPS'!$AH$336:$AH$435)))</f>
        <v>0</v>
      </c>
    </row>
    <row r="19" spans="1:15" x14ac:dyDescent="0.35">
      <c r="A19" s="938">
        <v>5</v>
      </c>
      <c r="B19" s="938">
        <v>0</v>
      </c>
      <c r="C19" s="354" t="s">
        <v>180</v>
      </c>
      <c r="D19" s="354" cm="1">
        <f t="array" ref="D19">SUMPRODUCT(('C19RM 2021-Lab &amp; Other HPS'!$BH$443:$BH$542=$C19)*('C19RM 2021-Lab &amp; Other HPS'!$P$443:$P$542)*(('C19RM 2021-Lab &amp; Other HPS'!$Q$443:$Q$542)))</f>
        <v>0</v>
      </c>
      <c r="E19" s="354" cm="1">
        <f t="array" ref="E19">SUMPRODUCT(('C19RM 2021-Lab &amp; Other HPS'!$BH$443:$BH$542=$C19)*('C19RM 2021-Lab &amp; Other HPS'!$P$443:$P$542)*(('C19RM 2021-Lab &amp; Other HPS'!$R$443:$R$542)))</f>
        <v>0</v>
      </c>
      <c r="F19" s="354" cm="1">
        <f t="array" ref="F19">SUMPRODUCT(('C19RM 2021-Lab &amp; Other HPS'!$BH$443:$BH$542=$C19)*('C19RM 2021-Lab &amp; Other HPS'!$P$443:$P$542)*(('C19RM 2021-Lab &amp; Other HPS'!$S$443:$S$542)))</f>
        <v>0</v>
      </c>
      <c r="G19" s="354" cm="1">
        <f t="array" ref="G19">SUMPRODUCT(('C19RM 2021-Lab &amp; Other HPS'!$BH$443:$BH$542=$C19)*('C19RM 2021-Lab &amp; Other HPS'!$P$443:$P$542)*(('C19RM 2021-Lab &amp; Other HPS'!$T$443:$T$542)))</f>
        <v>0</v>
      </c>
      <c r="H19" s="354" cm="1">
        <f t="array" ref="H19">SUMPRODUCT(('C19RM 2021-Lab &amp; Other HPS'!$BH$443:$BH$542=$C19)*('C19RM 2021-Lab &amp; Other HPS'!$W$443:$W$542)*(('C19RM 2021-Lab &amp; Other HPS'!$X$443:$X$542)))</f>
        <v>0</v>
      </c>
      <c r="I19" s="354" cm="1">
        <f t="array" ref="I19">SUMPRODUCT(('C19RM 2021-Lab &amp; Other HPS'!$BH$443:$BH$542=$C19)*('C19RM 2021-Lab &amp; Other HPS'!$W$443:$W$542)*(('C19RM 2021-Lab &amp; Other HPS'!$Y$443:$Y$542)))</f>
        <v>0</v>
      </c>
      <c r="J19" s="354" cm="1">
        <f t="array" ref="J19">SUMPRODUCT(('C19RM 2021-Lab &amp; Other HPS'!$BH$443:$BH$542=$C19)*('C19RM 2021-Lab &amp; Other HPS'!$W$443:$W$542)*(('C19RM 2021-Lab &amp; Other HPS'!$Z$443:$Z$542)))</f>
        <v>0</v>
      </c>
      <c r="K19" s="354" cm="1">
        <f t="array" ref="K19">SUMPRODUCT(('C19RM 2021-Lab &amp; Other HPS'!$BH$443:$BH$542=$C19)*('C19RM 2021-Lab &amp; Other HPS'!$W$443:$W$542)*(('C19RM 2021-Lab &amp; Other HPS'!$AA$443:$AA$542)))</f>
        <v>0</v>
      </c>
      <c r="L19" s="354" cm="1">
        <f t="array" ref="L19">SUMPRODUCT(('C19RM 2021-Lab &amp; Other HPS'!$BH$443:$BH$542=$C19)*('C19RM 2021-Lab &amp; Other HPS'!$AD$443:$AD$542)*(('C19RM 2021-Lab &amp; Other HPS'!$AE$443:$AE$542)))</f>
        <v>0</v>
      </c>
      <c r="M19" s="354" cm="1">
        <f t="array" ref="M19">SUMPRODUCT(('C19RM 2021-Lab &amp; Other HPS'!$BH$443:$BH$542=$C19)*('C19RM 2021-Lab &amp; Other HPS'!$AD$443:$AD$542)*(('C19RM 2021-Lab &amp; Other HPS'!$AF$443:$AF$542)))</f>
        <v>0</v>
      </c>
      <c r="N19" s="354" cm="1">
        <f t="array" ref="N19">SUMPRODUCT(('C19RM 2021-Lab &amp; Other HPS'!$BH$443:$BH$542=$C19)*('C19RM 2021-Lab &amp; Other HPS'!$AD$443:$AD$542)*(('C19RM 2021-Lab &amp; Other HPS'!$AG$443:$AG$542)))</f>
        <v>0</v>
      </c>
      <c r="O19" s="354" cm="1">
        <f t="array" ref="O19">SUMPRODUCT(('C19RM 2021-Lab &amp; Other HPS'!$BH$443:$BH$542=$C19)*('C19RM 2021-Lab &amp; Other HPS'!$AD$443:$AD$542)*(('C19RM 2021-Lab &amp; Other HPS'!$AH$443:$AH$542)))</f>
        <v>0</v>
      </c>
    </row>
    <row r="20" spans="1:15" x14ac:dyDescent="0.35">
      <c r="A20" s="938">
        <v>5</v>
      </c>
      <c r="B20" s="938">
        <v>0</v>
      </c>
      <c r="C20" s="354" t="s">
        <v>181</v>
      </c>
      <c r="D20" s="354" cm="1">
        <f t="array" ref="D20">SUMPRODUCT(('C19RM 2021-Lab &amp; Other HPS'!$BH$443:$BH$542=$C20)*('C19RM 2021-Lab &amp; Other HPS'!$P$443:$P$542)*(('C19RM 2021-Lab &amp; Other HPS'!$Q$443:$Q$542)))</f>
        <v>0</v>
      </c>
      <c r="E20" s="354" cm="1">
        <f t="array" ref="E20">SUMPRODUCT(('C19RM 2021-Lab &amp; Other HPS'!$BH$443:$BH$542=$C20)*('C19RM 2021-Lab &amp; Other HPS'!$P$443:$P$542)*(('C19RM 2021-Lab &amp; Other HPS'!$R$443:$R$542)))</f>
        <v>0</v>
      </c>
      <c r="F20" s="354" cm="1">
        <f t="array" ref="F20">SUMPRODUCT(('C19RM 2021-Lab &amp; Other HPS'!$BH$443:$BH$542=$C20)*('C19RM 2021-Lab &amp; Other HPS'!$P$443:$P$542)*(('C19RM 2021-Lab &amp; Other HPS'!$S$443:$S$542)))</f>
        <v>0</v>
      </c>
      <c r="G20" s="354" cm="1">
        <f t="array" ref="G20">SUMPRODUCT(('C19RM 2021-Lab &amp; Other HPS'!$BH$443:$BH$542=$C20)*('C19RM 2021-Lab &amp; Other HPS'!$P$443:$P$542)*(('C19RM 2021-Lab &amp; Other HPS'!$T$443:$T$542)))</f>
        <v>0</v>
      </c>
      <c r="H20" s="354" cm="1">
        <f t="array" ref="H20">SUMPRODUCT(('C19RM 2021-Lab &amp; Other HPS'!$BH$443:$BH$542=$C20)*('C19RM 2021-Lab &amp; Other HPS'!$W$443:$W$542)*(('C19RM 2021-Lab &amp; Other HPS'!$X$443:$X$542)))</f>
        <v>0</v>
      </c>
      <c r="I20" s="354" cm="1">
        <f t="array" ref="I20">SUMPRODUCT(('C19RM 2021-Lab &amp; Other HPS'!$BH$443:$BH$542=$C20)*('C19RM 2021-Lab &amp; Other HPS'!$W$443:$W$542)*(('C19RM 2021-Lab &amp; Other HPS'!$Y$443:$Y$542)))</f>
        <v>0</v>
      </c>
      <c r="J20" s="354" cm="1">
        <f t="array" ref="J20">SUMPRODUCT(('C19RM 2021-Lab &amp; Other HPS'!$BH$443:$BH$542=$C20)*('C19RM 2021-Lab &amp; Other HPS'!$W$443:$W$542)*(('C19RM 2021-Lab &amp; Other HPS'!$Z$443:$Z$542)))</f>
        <v>0</v>
      </c>
      <c r="K20" s="354" cm="1">
        <f t="array" ref="K20">SUMPRODUCT(('C19RM 2021-Lab &amp; Other HPS'!$BH$443:$BH$542=$C20)*('C19RM 2021-Lab &amp; Other HPS'!$W$443:$W$542)*(('C19RM 2021-Lab &amp; Other HPS'!$AA$443:$AA$542)))</f>
        <v>0</v>
      </c>
      <c r="L20" s="354" cm="1">
        <f t="array" ref="L20">SUMPRODUCT(('C19RM 2021-Lab &amp; Other HPS'!$BH$443:$BH$542=$C20)*('C19RM 2021-Lab &amp; Other HPS'!$AD$443:$AD$542)*(('C19RM 2021-Lab &amp; Other HPS'!$AE$443:$AE$542)))</f>
        <v>0</v>
      </c>
      <c r="M20" s="354" cm="1">
        <f t="array" ref="M20">SUMPRODUCT(('C19RM 2021-Lab &amp; Other HPS'!$BH$443:$BH$542=$C20)*('C19RM 2021-Lab &amp; Other HPS'!$AD$443:$AD$542)*(('C19RM 2021-Lab &amp; Other HPS'!$AF$443:$AF$542)))</f>
        <v>0</v>
      </c>
      <c r="N20" s="354" cm="1">
        <f t="array" ref="N20">SUMPRODUCT(('C19RM 2021-Lab &amp; Other HPS'!$BH$443:$BH$542=$C20)*('C19RM 2021-Lab &amp; Other HPS'!$AD$443:$AD$542)*(('C19RM 2021-Lab &amp; Other HPS'!$AG$443:$AG$542)))</f>
        <v>0</v>
      </c>
      <c r="O20" s="354" cm="1">
        <f t="array" ref="O20">SUMPRODUCT(('C19RM 2021-Lab &amp; Other HPS'!$BH$443:$BH$542=$C20)*('C19RM 2021-Lab &amp; Other HPS'!$AD$443:$AD$542)*(('C19RM 2021-Lab &amp; Other HPS'!$AH$443:$AH$542)))</f>
        <v>0</v>
      </c>
    </row>
    <row r="21" spans="1:15" x14ac:dyDescent="0.35">
      <c r="A21" s="938">
        <v>5</v>
      </c>
      <c r="B21" s="938">
        <v>0</v>
      </c>
      <c r="C21" s="354" t="s">
        <v>182</v>
      </c>
      <c r="D21" s="354" cm="1">
        <f t="array" ref="D21">SUMPRODUCT(('C19RM 2021-Lab &amp; Other HPS'!$BH$443:$BH$542=$C21)*('C19RM 2021-Lab &amp; Other HPS'!$P$443:$P$542)*(('C19RM 2021-Lab &amp; Other HPS'!$Q$443:$Q$542)))</f>
        <v>0</v>
      </c>
      <c r="E21" s="354" cm="1">
        <f t="array" ref="E21">SUMPRODUCT(('C19RM 2021-Lab &amp; Other HPS'!$BH$443:$BH$542=$C21)*('C19RM 2021-Lab &amp; Other HPS'!$P$443:$P$542)*(('C19RM 2021-Lab &amp; Other HPS'!$R$443:$R$542)))</f>
        <v>0</v>
      </c>
      <c r="F21" s="354" cm="1">
        <f t="array" ref="F21">SUMPRODUCT(('C19RM 2021-Lab &amp; Other HPS'!$BH$443:$BH$542=$C21)*('C19RM 2021-Lab &amp; Other HPS'!$P$443:$P$542)*(('C19RM 2021-Lab &amp; Other HPS'!$S$443:$S$542)))</f>
        <v>0</v>
      </c>
      <c r="G21" s="354" cm="1">
        <f t="array" ref="G21">SUMPRODUCT(('C19RM 2021-Lab &amp; Other HPS'!$BH$443:$BH$542=$C21)*('C19RM 2021-Lab &amp; Other HPS'!$P$443:$P$542)*(('C19RM 2021-Lab &amp; Other HPS'!$T$443:$T$542)))</f>
        <v>0</v>
      </c>
      <c r="H21" s="354" cm="1">
        <f t="array" ref="H21">SUMPRODUCT(('C19RM 2021-Lab &amp; Other HPS'!$BH$443:$BH$542=$C21)*('C19RM 2021-Lab &amp; Other HPS'!$W$443:$W$542)*(('C19RM 2021-Lab &amp; Other HPS'!$X$443:$X$542)))</f>
        <v>0</v>
      </c>
      <c r="I21" s="354" cm="1">
        <f t="array" ref="I21">SUMPRODUCT(('C19RM 2021-Lab &amp; Other HPS'!$BH$443:$BH$542=$C21)*('C19RM 2021-Lab &amp; Other HPS'!$W$443:$W$542)*(('C19RM 2021-Lab &amp; Other HPS'!$Y$443:$Y$542)))</f>
        <v>0</v>
      </c>
      <c r="J21" s="354" cm="1">
        <f t="array" ref="J21">SUMPRODUCT(('C19RM 2021-Lab &amp; Other HPS'!$BH$443:$BH$542=$C21)*('C19RM 2021-Lab &amp; Other HPS'!$W$443:$W$542)*(('C19RM 2021-Lab &amp; Other HPS'!$Z$443:$Z$542)))</f>
        <v>0</v>
      </c>
      <c r="K21" s="354" cm="1">
        <f t="array" ref="K21">SUMPRODUCT(('C19RM 2021-Lab &amp; Other HPS'!$BH$443:$BH$542=$C21)*('C19RM 2021-Lab &amp; Other HPS'!$W$443:$W$542)*(('C19RM 2021-Lab &amp; Other HPS'!$AA$443:$AA$542)))</f>
        <v>0</v>
      </c>
      <c r="L21" s="354" cm="1">
        <f t="array" ref="L21">SUMPRODUCT(('C19RM 2021-Lab &amp; Other HPS'!$BH$443:$BH$542=$C21)*('C19RM 2021-Lab &amp; Other HPS'!$AD$443:$AD$542)*(('C19RM 2021-Lab &amp; Other HPS'!$AE$443:$AE$542)))</f>
        <v>0</v>
      </c>
      <c r="M21" s="354" cm="1">
        <f t="array" ref="M21">SUMPRODUCT(('C19RM 2021-Lab &amp; Other HPS'!$BH$443:$BH$542=$C21)*('C19RM 2021-Lab &amp; Other HPS'!$AD$443:$AD$542)*(('C19RM 2021-Lab &amp; Other HPS'!$AF$443:$AF$542)))</f>
        <v>0</v>
      </c>
      <c r="N21" s="354" cm="1">
        <f t="array" ref="N21">SUMPRODUCT(('C19RM 2021-Lab &amp; Other HPS'!$BH$443:$BH$542=$C21)*('C19RM 2021-Lab &amp; Other HPS'!$AD$443:$AD$542)*(('C19RM 2021-Lab &amp; Other HPS'!$AG$443:$AG$542)))</f>
        <v>0</v>
      </c>
      <c r="O21" s="354" cm="1">
        <f t="array" ref="O21">SUMPRODUCT(('C19RM 2021-Lab &amp; Other HPS'!$BH$443:$BH$542=$C21)*('C19RM 2021-Lab &amp; Other HPS'!$AD$443:$AD$542)*(('C19RM 2021-Lab &amp; Other HPS'!$AH$443:$AH$542)))</f>
        <v>0</v>
      </c>
    </row>
    <row r="22" spans="1:15" x14ac:dyDescent="0.35">
      <c r="A22" s="938">
        <v>5</v>
      </c>
      <c r="B22" s="938">
        <v>0</v>
      </c>
      <c r="C22" s="354" t="s">
        <v>183</v>
      </c>
      <c r="D22" s="354" cm="1">
        <f t="array" ref="D22">SUMPRODUCT(('C19RM 2021-Lab &amp; Other HPS'!$BH$443:$BH$542=$C22)*('C19RM 2021-Lab &amp; Other HPS'!$P$443:$P$542)*(('C19RM 2021-Lab &amp; Other HPS'!$Q$443:$Q$542)))</f>
        <v>0</v>
      </c>
      <c r="E22" s="354" cm="1">
        <f t="array" ref="E22">SUMPRODUCT(('C19RM 2021-Lab &amp; Other HPS'!$BH$443:$BH$542=$C22)*('C19RM 2021-Lab &amp; Other HPS'!$P$443:$P$542)*(('C19RM 2021-Lab &amp; Other HPS'!$R$443:$R$542)))</f>
        <v>0</v>
      </c>
      <c r="F22" s="354" cm="1">
        <f t="array" ref="F22">SUMPRODUCT(('C19RM 2021-Lab &amp; Other HPS'!$BH$443:$BH$542=$C22)*('C19RM 2021-Lab &amp; Other HPS'!$P$443:$P$542)*(('C19RM 2021-Lab &amp; Other HPS'!$S$443:$S$542)))</f>
        <v>0</v>
      </c>
      <c r="G22" s="354" cm="1">
        <f t="array" ref="G22">SUMPRODUCT(('C19RM 2021-Lab &amp; Other HPS'!$BH$443:$BH$542=$C22)*('C19RM 2021-Lab &amp; Other HPS'!$P$443:$P$542)*(('C19RM 2021-Lab &amp; Other HPS'!$T$443:$T$542)))</f>
        <v>0</v>
      </c>
      <c r="H22" s="354" cm="1">
        <f t="array" ref="H22">SUMPRODUCT(('C19RM 2021-Lab &amp; Other HPS'!$BH$443:$BH$542=$C22)*('C19RM 2021-Lab &amp; Other HPS'!$W$443:$W$542)*(('C19RM 2021-Lab &amp; Other HPS'!$X$443:$X$542)))</f>
        <v>0</v>
      </c>
      <c r="I22" s="354" cm="1">
        <f t="array" ref="I22">SUMPRODUCT(('C19RM 2021-Lab &amp; Other HPS'!$BH$443:$BH$542=$C22)*('C19RM 2021-Lab &amp; Other HPS'!$W$443:$W$542)*(('C19RM 2021-Lab &amp; Other HPS'!$Y$443:$Y$542)))</f>
        <v>0</v>
      </c>
      <c r="J22" s="354" cm="1">
        <f t="array" ref="J22">SUMPRODUCT(('C19RM 2021-Lab &amp; Other HPS'!$BH$443:$BH$542=$C22)*('C19RM 2021-Lab &amp; Other HPS'!$W$443:$W$542)*(('C19RM 2021-Lab &amp; Other HPS'!$Z$443:$Z$542)))</f>
        <v>0</v>
      </c>
      <c r="K22" s="354" cm="1">
        <f t="array" ref="K22">SUMPRODUCT(('C19RM 2021-Lab &amp; Other HPS'!$BH$443:$BH$542=$C22)*('C19RM 2021-Lab &amp; Other HPS'!$W$443:$W$542)*(('C19RM 2021-Lab &amp; Other HPS'!$AA$443:$AA$542)))</f>
        <v>0</v>
      </c>
      <c r="L22" s="354" cm="1">
        <f t="array" ref="L22">SUMPRODUCT(('C19RM 2021-Lab &amp; Other HPS'!$BH$443:$BH$542=$C22)*('C19RM 2021-Lab &amp; Other HPS'!$AD$443:$AD$542)*(('C19RM 2021-Lab &amp; Other HPS'!$AE$443:$AE$542)))</f>
        <v>0</v>
      </c>
      <c r="M22" s="354" cm="1">
        <f t="array" ref="M22">SUMPRODUCT(('C19RM 2021-Lab &amp; Other HPS'!$BH$443:$BH$542=$C22)*('C19RM 2021-Lab &amp; Other HPS'!$AD$443:$AD$542)*(('C19RM 2021-Lab &amp; Other HPS'!$AF$443:$AF$542)))</f>
        <v>0</v>
      </c>
      <c r="N22" s="354" cm="1">
        <f t="array" ref="N22">SUMPRODUCT(('C19RM 2021-Lab &amp; Other HPS'!$BH$443:$BH$542=$C22)*('C19RM 2021-Lab &amp; Other HPS'!$AD$443:$AD$542)*(('C19RM 2021-Lab &amp; Other HPS'!$AG$443:$AG$542)))</f>
        <v>0</v>
      </c>
      <c r="O22" s="354" cm="1">
        <f t="array" ref="O22">SUMPRODUCT(('C19RM 2021-Lab &amp; Other HPS'!$BH$443:$BH$542=$C22)*('C19RM 2021-Lab &amp; Other HPS'!$AD$443:$AD$542)*(('C19RM 2021-Lab &amp; Other HPS'!$AH$443:$AH$542)))</f>
        <v>0</v>
      </c>
    </row>
    <row r="23" spans="1:15" x14ac:dyDescent="0.35">
      <c r="A23" s="938">
        <v>6</v>
      </c>
      <c r="B23" s="938">
        <v>0</v>
      </c>
      <c r="C23" s="354" t="s">
        <v>179</v>
      </c>
      <c r="D23" s="354" cm="1">
        <f t="array" ref="D23">SUMPRODUCT(('C19RM 2021-Lab &amp; Other HPS'!$BH$550:$BH$649=$C23)*('C19RM 2021-Lab &amp; Other HPS'!$P$550:$P$649)*(('C19RM 2021-Lab &amp; Other HPS'!$Q$550:$Q$649)))</f>
        <v>0</v>
      </c>
      <c r="E23" s="354" cm="1">
        <f t="array" ref="E23">SUMPRODUCT(('C19RM 2021-Lab &amp; Other HPS'!$BH$550:$BH$649=$C23)*('C19RM 2021-Lab &amp; Other HPS'!$P$550:$P$649)*(('C19RM 2021-Lab &amp; Other HPS'!$R$550:$R$649)))</f>
        <v>0</v>
      </c>
      <c r="F23" s="354" cm="1">
        <f t="array" ref="F23">SUMPRODUCT(('C19RM 2021-Lab &amp; Other HPS'!$BH$550:$BH$649=$C23)*('C19RM 2021-Lab &amp; Other HPS'!$P$550:$P$649)*(('C19RM 2021-Lab &amp; Other HPS'!$S$550:$S$649)))</f>
        <v>0</v>
      </c>
      <c r="G23" s="354" cm="1">
        <f t="array" ref="G23">SUMPRODUCT(('C19RM 2021-Lab &amp; Other HPS'!$BH$550:$BH$649=$C23)*('C19RM 2021-Lab &amp; Other HPS'!$P$550:$P$649)*(('C19RM 2021-Lab &amp; Other HPS'!$T$550:$T$649)))</f>
        <v>0</v>
      </c>
      <c r="H23" s="354" cm="1">
        <f t="array" ref="H23">SUMPRODUCT(('C19RM 2021-Lab &amp; Other HPS'!$BH$550:$BH$649=$C23)*('C19RM 2021-Lab &amp; Other HPS'!$W$550:$W$649)*(('C19RM 2021-Lab &amp; Other HPS'!$X$550:$X$649)))</f>
        <v>0</v>
      </c>
      <c r="I23" s="354" cm="1">
        <f t="array" ref="I23">SUMPRODUCT(('C19RM 2021-Lab &amp; Other HPS'!$BH$550:$BH$649=$C23)*('C19RM 2021-Lab &amp; Other HPS'!$W$550:$W$649)*(('C19RM 2021-Lab &amp; Other HPS'!$Y$550:$Y$649)))</f>
        <v>0</v>
      </c>
      <c r="J23" s="354" cm="1">
        <f t="array" ref="J23">SUMPRODUCT(('C19RM 2021-Lab &amp; Other HPS'!$BH$550:$BH$649=$C23)*('C19RM 2021-Lab &amp; Other HPS'!$W$550:$W$649)*(('C19RM 2021-Lab &amp; Other HPS'!$Z$550:$Z$649)))</f>
        <v>0</v>
      </c>
      <c r="K23" s="354" cm="1">
        <f t="array" ref="K23">SUMPRODUCT(('C19RM 2021-Lab &amp; Other HPS'!$BH$550:$BH$649=$C23)*('C19RM 2021-Lab &amp; Other HPS'!$W$550:$W$649)*(('C19RM 2021-Lab &amp; Other HPS'!$AA$550:$AA$649)))</f>
        <v>0</v>
      </c>
      <c r="L23" s="354" cm="1">
        <f t="array" ref="L23">SUMPRODUCT(('C19RM 2021-Lab &amp; Other HPS'!$BH$550:$BH$649=$C23)*('C19RM 2021-Lab &amp; Other HPS'!$AD$550:$AD$649)*(('C19RM 2021-Lab &amp; Other HPS'!$AE$550:$AE$649)))</f>
        <v>0</v>
      </c>
      <c r="M23" s="354" cm="1">
        <f t="array" ref="M23">SUMPRODUCT(('C19RM 2021-Lab &amp; Other HPS'!$BH$550:$BH$649=$C23)*('C19RM 2021-Lab &amp; Other HPS'!$AD$550:$AD$649)*(('C19RM 2021-Lab &amp; Other HPS'!$AF$550:$AF$649)))</f>
        <v>0</v>
      </c>
      <c r="N23" s="354" cm="1">
        <f t="array" ref="N23">SUMPRODUCT(('C19RM 2021-Lab &amp; Other HPS'!$BH$550:$BH$649=$C23)*('C19RM 2021-Lab &amp; Other HPS'!$AD$550:$AD$649)*(('C19RM 2021-Lab &amp; Other HPS'!$AG$550:$AG$649)))</f>
        <v>0</v>
      </c>
      <c r="O23" s="354" cm="1">
        <f t="array" ref="O23">SUMPRODUCT(('C19RM 2021-Lab &amp; Other HPS'!$BH$550:$BH$649=$C23)*('C19RM 2021-Lab &amp; Other HPS'!$AD$550:$AD$649)*(('C19RM 2021-Lab &amp; Other HPS'!$AH$550:$AH$649)))</f>
        <v>0</v>
      </c>
    </row>
    <row r="24" spans="1:15" x14ac:dyDescent="0.35">
      <c r="A24" s="938">
        <v>6</v>
      </c>
      <c r="B24" s="938">
        <v>0</v>
      </c>
      <c r="C24" s="354" t="s">
        <v>180</v>
      </c>
      <c r="D24" s="354" cm="1">
        <f t="array" ref="D24">SUMPRODUCT(('C19RM 2021-Lab &amp; Other HPS'!$BH$550:$BH$649=$C24)*('C19RM 2021-Lab &amp; Other HPS'!$P$550:$P$649)*(('C19RM 2021-Lab &amp; Other HPS'!$Q$550:$Q$649)))</f>
        <v>0</v>
      </c>
      <c r="E24" s="354" cm="1">
        <f t="array" ref="E24">SUMPRODUCT(('C19RM 2021-Lab &amp; Other HPS'!$BH$550:$BH$649=$C24)*('C19RM 2021-Lab &amp; Other HPS'!$P$550:$P$649)*(('C19RM 2021-Lab &amp; Other HPS'!$R$550:$R$649)))</f>
        <v>0</v>
      </c>
      <c r="F24" s="354" cm="1">
        <f t="array" ref="F24">SUMPRODUCT(('C19RM 2021-Lab &amp; Other HPS'!$BH$550:$BH$649=$C24)*('C19RM 2021-Lab &amp; Other HPS'!$P$550:$P$649)*(('C19RM 2021-Lab &amp; Other HPS'!$S$550:$S$649)))</f>
        <v>0</v>
      </c>
      <c r="G24" s="354" cm="1">
        <f t="array" ref="G24">SUMPRODUCT(('C19RM 2021-Lab &amp; Other HPS'!$BH$550:$BH$649=$C24)*('C19RM 2021-Lab &amp; Other HPS'!$P$550:$P$649)*(('C19RM 2021-Lab &amp; Other HPS'!$T$550:$T$649)))</f>
        <v>0</v>
      </c>
      <c r="H24" s="354" cm="1">
        <f t="array" ref="H24">SUMPRODUCT(('C19RM 2021-Lab &amp; Other HPS'!$BH$550:$BH$649=$C24)*('C19RM 2021-Lab &amp; Other HPS'!$W$550:$W$649)*(('C19RM 2021-Lab &amp; Other HPS'!$X$550:$X$649)))</f>
        <v>0</v>
      </c>
      <c r="I24" s="354" cm="1">
        <f t="array" ref="I24">SUMPRODUCT(('C19RM 2021-Lab &amp; Other HPS'!$BH$550:$BH$649=$C24)*('C19RM 2021-Lab &amp; Other HPS'!$W$550:$W$649)*(('C19RM 2021-Lab &amp; Other HPS'!$Y$550:$Y$649)))</f>
        <v>0</v>
      </c>
      <c r="J24" s="354" cm="1">
        <f t="array" ref="J24">SUMPRODUCT(('C19RM 2021-Lab &amp; Other HPS'!$BH$550:$BH$649=$C24)*('C19RM 2021-Lab &amp; Other HPS'!$W$550:$W$649)*(('C19RM 2021-Lab &amp; Other HPS'!$Z$550:$Z$649)))</f>
        <v>0</v>
      </c>
      <c r="K24" s="354" cm="1">
        <f t="array" ref="K24">SUMPRODUCT(('C19RM 2021-Lab &amp; Other HPS'!$BH$550:$BH$649=$C24)*('C19RM 2021-Lab &amp; Other HPS'!$W$550:$W$649)*(('C19RM 2021-Lab &amp; Other HPS'!$AA$550:$AA$649)))</f>
        <v>0</v>
      </c>
      <c r="L24" s="354" cm="1">
        <f t="array" ref="L24">SUMPRODUCT(('C19RM 2021-Lab &amp; Other HPS'!$BH$550:$BH$649=$C24)*('C19RM 2021-Lab &amp; Other HPS'!$AD$550:$AD$649)*(('C19RM 2021-Lab &amp; Other HPS'!$AE$550:$AE$649)))</f>
        <v>0</v>
      </c>
      <c r="M24" s="354" cm="1">
        <f t="array" ref="M24">SUMPRODUCT(('C19RM 2021-Lab &amp; Other HPS'!$BH$550:$BH$649=$C24)*('C19RM 2021-Lab &amp; Other HPS'!$AD$550:$AD$649)*(('C19RM 2021-Lab &amp; Other HPS'!$AF$550:$AF$649)))</f>
        <v>0</v>
      </c>
      <c r="N24" s="354" cm="1">
        <f t="array" ref="N24">SUMPRODUCT(('C19RM 2021-Lab &amp; Other HPS'!$BH$550:$BH$649=$C24)*('C19RM 2021-Lab &amp; Other HPS'!$AD$550:$AD$649)*(('C19RM 2021-Lab &amp; Other HPS'!$AG$550:$AG$649)))</f>
        <v>0</v>
      </c>
      <c r="O24" s="354" cm="1">
        <f t="array" ref="O24">SUMPRODUCT(('C19RM 2021-Lab &amp; Other HPS'!$BH$550:$BH$649=$C24)*('C19RM 2021-Lab &amp; Other HPS'!$AD$550:$AD$649)*(('C19RM 2021-Lab &amp; Other HPS'!$AH$550:$AH$649)))</f>
        <v>0</v>
      </c>
    </row>
    <row r="25" spans="1:15" x14ac:dyDescent="0.35">
      <c r="A25" s="938">
        <v>6</v>
      </c>
      <c r="B25" s="938">
        <v>0</v>
      </c>
      <c r="C25" s="354" t="s">
        <v>181</v>
      </c>
      <c r="D25" s="354" cm="1">
        <f t="array" ref="D25">SUMPRODUCT(('C19RM 2021-Lab &amp; Other HPS'!$BH$550:$BH$649=$C25)*('C19RM 2021-Lab &amp; Other HPS'!$P$550:$P$649)*(('C19RM 2021-Lab &amp; Other HPS'!$Q$550:$Q$649)))</f>
        <v>0</v>
      </c>
      <c r="E25" s="354" cm="1">
        <f t="array" ref="E25">SUMPRODUCT(('C19RM 2021-Lab &amp; Other HPS'!$BH$550:$BH$649=$C25)*('C19RM 2021-Lab &amp; Other HPS'!$P$550:$P$649)*(('C19RM 2021-Lab &amp; Other HPS'!$R$550:$R$649)))</f>
        <v>0</v>
      </c>
      <c r="F25" s="354" cm="1">
        <f t="array" ref="F25">SUMPRODUCT(('C19RM 2021-Lab &amp; Other HPS'!$BH$550:$BH$649=$C25)*('C19RM 2021-Lab &amp; Other HPS'!$P$550:$P$649)*(('C19RM 2021-Lab &amp; Other HPS'!$S$550:$S$649)))</f>
        <v>0</v>
      </c>
      <c r="G25" s="354" cm="1">
        <f t="array" ref="G25">SUMPRODUCT(('C19RM 2021-Lab &amp; Other HPS'!$BH$550:$BH$649=$C25)*('C19RM 2021-Lab &amp; Other HPS'!$P$550:$P$649)*(('C19RM 2021-Lab &amp; Other HPS'!$T$550:$T$649)))</f>
        <v>0</v>
      </c>
      <c r="H25" s="354" cm="1">
        <f t="array" ref="H25">SUMPRODUCT(('C19RM 2021-Lab &amp; Other HPS'!$BH$550:$BH$649=$C25)*('C19RM 2021-Lab &amp; Other HPS'!$W$550:$W$649)*(('C19RM 2021-Lab &amp; Other HPS'!$X$550:$X$649)))</f>
        <v>0</v>
      </c>
      <c r="I25" s="354" cm="1">
        <f t="array" ref="I25">SUMPRODUCT(('C19RM 2021-Lab &amp; Other HPS'!$BH$550:$BH$649=$C25)*('C19RM 2021-Lab &amp; Other HPS'!$W$550:$W$649)*(('C19RM 2021-Lab &amp; Other HPS'!$Y$550:$Y$649)))</f>
        <v>0</v>
      </c>
      <c r="J25" s="354" cm="1">
        <f t="array" ref="J25">SUMPRODUCT(('C19RM 2021-Lab &amp; Other HPS'!$BH$550:$BH$649=$C25)*('C19RM 2021-Lab &amp; Other HPS'!$W$550:$W$649)*(('C19RM 2021-Lab &amp; Other HPS'!$Z$550:$Z$649)))</f>
        <v>0</v>
      </c>
      <c r="K25" s="354" cm="1">
        <f t="array" ref="K25">SUMPRODUCT(('C19RM 2021-Lab &amp; Other HPS'!$BH$550:$BH$649=$C25)*('C19RM 2021-Lab &amp; Other HPS'!$W$550:$W$649)*(('C19RM 2021-Lab &amp; Other HPS'!$AA$550:$AA$649)))</f>
        <v>0</v>
      </c>
      <c r="L25" s="354" cm="1">
        <f t="array" ref="L25">SUMPRODUCT(('C19RM 2021-Lab &amp; Other HPS'!$BH$550:$BH$649=$C25)*('C19RM 2021-Lab &amp; Other HPS'!$AD$550:$AD$649)*(('C19RM 2021-Lab &amp; Other HPS'!$AE$550:$AE$649)))</f>
        <v>0</v>
      </c>
      <c r="M25" s="354" cm="1">
        <f t="array" ref="M25">SUMPRODUCT(('C19RM 2021-Lab &amp; Other HPS'!$BH$550:$BH$649=$C25)*('C19RM 2021-Lab &amp; Other HPS'!$AD$550:$AD$649)*(('C19RM 2021-Lab &amp; Other HPS'!$AF$550:$AF$649)))</f>
        <v>0</v>
      </c>
      <c r="N25" s="354" cm="1">
        <f t="array" ref="N25">SUMPRODUCT(('C19RM 2021-Lab &amp; Other HPS'!$BH$550:$BH$649=$C25)*('C19RM 2021-Lab &amp; Other HPS'!$AD$550:$AD$649)*(('C19RM 2021-Lab &amp; Other HPS'!$AG$550:$AG$649)))</f>
        <v>0</v>
      </c>
      <c r="O25" s="354" cm="1">
        <f t="array" ref="O25">SUMPRODUCT(('C19RM 2021-Lab &amp; Other HPS'!$BH$550:$BH$649=$C25)*('C19RM 2021-Lab &amp; Other HPS'!$AD$550:$AD$649)*(('C19RM 2021-Lab &amp; Other HPS'!$AH$550:$AH$649)))</f>
        <v>0</v>
      </c>
    </row>
    <row r="26" spans="1:15" x14ac:dyDescent="0.35">
      <c r="A26" s="938">
        <v>6</v>
      </c>
      <c r="B26" s="938">
        <v>0</v>
      </c>
      <c r="C26" s="354" t="s">
        <v>182</v>
      </c>
      <c r="D26" s="354" cm="1">
        <f t="array" ref="D26">SUMPRODUCT(('C19RM 2021-Lab &amp; Other HPS'!$BH$550:$BH$649=$C26)*('C19RM 2021-Lab &amp; Other HPS'!$P$550:$P$649)*(('C19RM 2021-Lab &amp; Other HPS'!$Q$550:$Q$649)))</f>
        <v>0</v>
      </c>
      <c r="E26" s="354" cm="1">
        <f t="array" ref="E26">SUMPRODUCT(('C19RM 2021-Lab &amp; Other HPS'!$BH$550:$BH$649=$C26)*('C19RM 2021-Lab &amp; Other HPS'!$P$550:$P$649)*(('C19RM 2021-Lab &amp; Other HPS'!$R$550:$R$649)))</f>
        <v>0</v>
      </c>
      <c r="F26" s="354" cm="1">
        <f t="array" ref="F26">SUMPRODUCT(('C19RM 2021-Lab &amp; Other HPS'!$BH$550:$BH$649=$C26)*('C19RM 2021-Lab &amp; Other HPS'!$P$550:$P$649)*(('C19RM 2021-Lab &amp; Other HPS'!$S$550:$S$649)))</f>
        <v>0</v>
      </c>
      <c r="G26" s="354" cm="1">
        <f t="array" ref="G26">SUMPRODUCT(('C19RM 2021-Lab &amp; Other HPS'!$BH$550:$BH$649=$C26)*('C19RM 2021-Lab &amp; Other HPS'!$P$550:$P$649)*(('C19RM 2021-Lab &amp; Other HPS'!$T$550:$T$649)))</f>
        <v>0</v>
      </c>
      <c r="H26" s="354" cm="1">
        <f t="array" ref="H26">SUMPRODUCT(('C19RM 2021-Lab &amp; Other HPS'!$BH$550:$BH$649=$C26)*('C19RM 2021-Lab &amp; Other HPS'!$W$550:$W$649)*(('C19RM 2021-Lab &amp; Other HPS'!$X$550:$X$649)))</f>
        <v>0</v>
      </c>
      <c r="I26" s="354" cm="1">
        <f t="array" ref="I26">SUMPRODUCT(('C19RM 2021-Lab &amp; Other HPS'!$BH$550:$BH$649=$C26)*('C19RM 2021-Lab &amp; Other HPS'!$W$550:$W$649)*(('C19RM 2021-Lab &amp; Other HPS'!$Y$550:$Y$649)))</f>
        <v>0</v>
      </c>
      <c r="J26" s="354" cm="1">
        <f t="array" ref="J26">SUMPRODUCT(('C19RM 2021-Lab &amp; Other HPS'!$BH$550:$BH$649=$C26)*('C19RM 2021-Lab &amp; Other HPS'!$W$550:$W$649)*(('C19RM 2021-Lab &amp; Other HPS'!$Z$550:$Z$649)))</f>
        <v>0</v>
      </c>
      <c r="K26" s="354" cm="1">
        <f t="array" ref="K26">SUMPRODUCT(('C19RM 2021-Lab &amp; Other HPS'!$BH$550:$BH$649=$C26)*('C19RM 2021-Lab &amp; Other HPS'!$W$550:$W$649)*(('C19RM 2021-Lab &amp; Other HPS'!$AA$550:$AA$649)))</f>
        <v>0</v>
      </c>
      <c r="L26" s="354" cm="1">
        <f t="array" ref="L26">SUMPRODUCT(('C19RM 2021-Lab &amp; Other HPS'!$BH$550:$BH$649=$C26)*('C19RM 2021-Lab &amp; Other HPS'!$AD$550:$AD$649)*(('C19RM 2021-Lab &amp; Other HPS'!$AE$550:$AE$649)))</f>
        <v>0</v>
      </c>
      <c r="M26" s="354" cm="1">
        <f t="array" ref="M26">SUMPRODUCT(('C19RM 2021-Lab &amp; Other HPS'!$BH$550:$BH$649=$C26)*('C19RM 2021-Lab &amp; Other HPS'!$AD$550:$AD$649)*(('C19RM 2021-Lab &amp; Other HPS'!$AF$550:$AF$649)))</f>
        <v>0</v>
      </c>
      <c r="N26" s="354" cm="1">
        <f t="array" ref="N26">SUMPRODUCT(('C19RM 2021-Lab &amp; Other HPS'!$BH$550:$BH$649=$C26)*('C19RM 2021-Lab &amp; Other HPS'!$AD$550:$AD$649)*(('C19RM 2021-Lab &amp; Other HPS'!$AG$550:$AG$649)))</f>
        <v>0</v>
      </c>
      <c r="O26" s="354" cm="1">
        <f t="array" ref="O26">SUMPRODUCT(('C19RM 2021-Lab &amp; Other HPS'!$BH$550:$BH$649=$C26)*('C19RM 2021-Lab &amp; Other HPS'!$AD$550:$AD$649)*(('C19RM 2021-Lab &amp; Other HPS'!$AH$550:$AH$649)))</f>
        <v>0</v>
      </c>
    </row>
    <row r="27" spans="1:15" x14ac:dyDescent="0.35">
      <c r="A27" s="938">
        <v>6</v>
      </c>
      <c r="B27" s="938">
        <v>0</v>
      </c>
      <c r="C27" s="354" t="s">
        <v>183</v>
      </c>
      <c r="D27" s="354" cm="1">
        <f t="array" ref="D27">SUMPRODUCT(('C19RM 2021-Lab &amp; Other HPS'!$BH$550:$BH$649=$C27)*('C19RM 2021-Lab &amp; Other HPS'!$P$550:$P$649)*(('C19RM 2021-Lab &amp; Other HPS'!$Q$550:$Q$649)))</f>
        <v>0</v>
      </c>
      <c r="E27" s="354" cm="1">
        <f t="array" ref="E27">SUMPRODUCT(('C19RM 2021-Lab &amp; Other HPS'!$BH$550:$BH$649=$C27)*('C19RM 2021-Lab &amp; Other HPS'!$P$550:$P$649)*(('C19RM 2021-Lab &amp; Other HPS'!$R$550:$R$649)))</f>
        <v>0</v>
      </c>
      <c r="F27" s="354" cm="1">
        <f t="array" ref="F27">SUMPRODUCT(('C19RM 2021-Lab &amp; Other HPS'!$BH$550:$BH$649=$C27)*('C19RM 2021-Lab &amp; Other HPS'!$P$550:$P$649)*(('C19RM 2021-Lab &amp; Other HPS'!$S$550:$S$649)))</f>
        <v>0</v>
      </c>
      <c r="G27" s="354" cm="1">
        <f t="array" ref="G27">SUMPRODUCT(('C19RM 2021-Lab &amp; Other HPS'!$BH$550:$BH$649=$C27)*('C19RM 2021-Lab &amp; Other HPS'!$P$550:$P$649)*(('C19RM 2021-Lab &amp; Other HPS'!$T$550:$T$649)))</f>
        <v>0</v>
      </c>
      <c r="H27" s="354" cm="1">
        <f t="array" ref="H27">SUMPRODUCT(('C19RM 2021-Lab &amp; Other HPS'!$BH$550:$BH$649=$C27)*('C19RM 2021-Lab &amp; Other HPS'!$W$550:$W$649)*(('C19RM 2021-Lab &amp; Other HPS'!$X$550:$X$649)))</f>
        <v>0</v>
      </c>
      <c r="I27" s="354" cm="1">
        <f t="array" ref="I27">SUMPRODUCT(('C19RM 2021-Lab &amp; Other HPS'!$BH$550:$BH$649=$C27)*('C19RM 2021-Lab &amp; Other HPS'!$W$550:$W$649)*(('C19RM 2021-Lab &amp; Other HPS'!$Y$550:$Y$649)))</f>
        <v>0</v>
      </c>
      <c r="J27" s="354" cm="1">
        <f t="array" ref="J27">SUMPRODUCT(('C19RM 2021-Lab &amp; Other HPS'!$BH$550:$BH$649=$C27)*('C19RM 2021-Lab &amp; Other HPS'!$W$550:$W$649)*(('C19RM 2021-Lab &amp; Other HPS'!$Z$550:$Z$649)))</f>
        <v>0</v>
      </c>
      <c r="K27" s="354" cm="1">
        <f t="array" ref="K27">SUMPRODUCT(('C19RM 2021-Lab &amp; Other HPS'!$BH$550:$BH$649=$C27)*('C19RM 2021-Lab &amp; Other HPS'!$W$550:$W$649)*(('C19RM 2021-Lab &amp; Other HPS'!$AA$550:$AA$649)))</f>
        <v>0</v>
      </c>
      <c r="L27" s="354" cm="1">
        <f t="array" ref="L27">SUMPRODUCT(('C19RM 2021-Lab &amp; Other HPS'!$BH$550:$BH$649=$C27)*('C19RM 2021-Lab &amp; Other HPS'!$AD$550:$AD$649)*(('C19RM 2021-Lab &amp; Other HPS'!$AE$550:$AE$649)))</f>
        <v>0</v>
      </c>
      <c r="M27" s="354" cm="1">
        <f t="array" ref="M27">SUMPRODUCT(('C19RM 2021-Lab &amp; Other HPS'!$BH$550:$BH$649=$C27)*('C19RM 2021-Lab &amp; Other HPS'!$AD$550:$AD$649)*(('C19RM 2021-Lab &amp; Other HPS'!$AF$550:$AF$649)))</f>
        <v>0</v>
      </c>
      <c r="N27" s="354" cm="1">
        <f t="array" ref="N27">SUMPRODUCT(('C19RM 2021-Lab &amp; Other HPS'!$BH$550:$BH$649=$C27)*('C19RM 2021-Lab &amp; Other HPS'!$AD$550:$AD$649)*(('C19RM 2021-Lab &amp; Other HPS'!$AG$550:$AG$649)))</f>
        <v>0</v>
      </c>
      <c r="O27" s="354" cm="1">
        <f t="array" ref="O27">SUMPRODUCT(('C19RM 2021-Lab &amp; Other HPS'!$BH$550:$BH$649=$C27)*('C19RM 2021-Lab &amp; Other HPS'!$AD$550:$AD$649)*(('C19RM 2021-Lab &amp; Other HPS'!$AH$550:$AH$649)))</f>
        <v>0</v>
      </c>
    </row>
    <row r="28" spans="1:15" x14ac:dyDescent="0.35">
      <c r="A28" s="354"/>
      <c r="B28" s="354"/>
      <c r="C28" s="354"/>
      <c r="D28" s="354"/>
      <c r="E28" s="354"/>
      <c r="F28" s="354"/>
      <c r="G28" s="354"/>
      <c r="H28" s="354"/>
      <c r="I28" s="354"/>
      <c r="J28" s="354"/>
      <c r="K28" s="354"/>
      <c r="L28" s="937"/>
      <c r="M28" s="937"/>
      <c r="N28" s="937"/>
    </row>
  </sheetData>
  <mergeCells count="3">
    <mergeCell ref="D2:G2"/>
    <mergeCell ref="H2:K2"/>
    <mergeCell ref="L2:O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B7CBF-9175-4637-BAF5-176A7282B096}">
  <sheetPr>
    <tabColor theme="0" tint="-0.499984740745262"/>
  </sheetPr>
  <dimension ref="A1:CS508"/>
  <sheetViews>
    <sheetView showGridLines="0" zoomScale="60" zoomScaleNormal="60" workbookViewId="0">
      <selection activeCell="Q12" sqref="Q12"/>
    </sheetView>
  </sheetViews>
  <sheetFormatPr defaultColWidth="8.81640625" defaultRowHeight="14.5" x14ac:dyDescent="0.35"/>
  <cols>
    <col min="1" max="1" width="0.36328125" customWidth="1"/>
    <col min="2" max="2" width="0.1796875" customWidth="1"/>
    <col min="3" max="3" width="24.1796875" hidden="1" customWidth="1"/>
    <col min="4" max="4" width="17.453125" customWidth="1"/>
    <col min="5" max="5" width="51.453125" customWidth="1"/>
    <col min="6" max="6" width="21.36328125" style="187" customWidth="1"/>
    <col min="7" max="7" width="12.81640625" customWidth="1"/>
    <col min="8" max="8" width="13" customWidth="1"/>
    <col min="9" max="9" width="13.81640625" customWidth="1"/>
    <col min="10" max="10" width="14" customWidth="1"/>
    <col min="11" max="11" width="16.1796875" customWidth="1"/>
    <col min="12" max="12" width="21.90625" style="187" customWidth="1"/>
    <col min="13" max="13" width="16.1796875" customWidth="1"/>
    <col min="14" max="14" width="12.1796875" customWidth="1"/>
    <col min="15" max="15" width="13.1796875" customWidth="1"/>
    <col min="16" max="16" width="12.1796875" customWidth="1"/>
    <col min="17" max="17" width="14.1796875" customWidth="1"/>
    <col min="18" max="18" width="21.453125" style="187" customWidth="1"/>
    <col min="19" max="21" width="12.1796875" customWidth="1"/>
    <col min="22" max="23" width="14.1796875" customWidth="1"/>
    <col min="24" max="24" width="21.6328125" style="187" customWidth="1"/>
    <col min="25" max="27" width="12.1796875" customWidth="1"/>
    <col min="28" max="29" width="14.1796875" customWidth="1"/>
    <col min="30" max="30" width="21.90625" customWidth="1"/>
    <col min="31" max="35" width="14.1796875" customWidth="1"/>
    <col min="36" max="36" width="20.90625" customWidth="1"/>
    <col min="37" max="40" width="14.1796875" customWidth="1"/>
    <col min="41" max="41" width="15.81640625" customWidth="1"/>
    <col min="42" max="42" width="19.1796875" customWidth="1"/>
    <col min="43" max="43" width="9.6328125" customWidth="1"/>
    <col min="44" max="44" width="16.81640625" style="57" customWidth="1"/>
    <col min="45" max="45" width="9.1796875" hidden="1" customWidth="1"/>
    <col min="46" max="46" width="9.1796875" customWidth="1"/>
    <col min="47" max="47" width="12" customWidth="1"/>
    <col min="48" max="48" width="12" hidden="1" customWidth="1"/>
    <col min="49" max="54" width="10.1796875" hidden="1" customWidth="1"/>
    <col min="55" max="56" width="10.1796875" style="340" hidden="1" customWidth="1"/>
    <col min="57" max="57" width="10.1796875" style="348" hidden="1" customWidth="1"/>
    <col min="58" max="60" width="10.1796875" style="340" hidden="1" customWidth="1"/>
    <col min="61" max="68" width="10.1796875" hidden="1" customWidth="1"/>
    <col min="69" max="97" width="10.1796875" customWidth="1"/>
    <col min="16384" max="16384" width="7.1796875" customWidth="1"/>
  </cols>
  <sheetData>
    <row r="1" spans="2:97" ht="48" customHeight="1" thickBot="1" x14ac:dyDescent="0.4">
      <c r="E1" s="1390" t="s">
        <v>186</v>
      </c>
      <c r="F1" s="1390"/>
      <c r="G1" s="1390"/>
      <c r="H1" s="1390"/>
      <c r="I1" s="1390"/>
      <c r="J1" s="1390"/>
      <c r="K1" s="1390"/>
      <c r="L1" s="1390"/>
      <c r="M1" s="1391"/>
      <c r="N1" s="166">
        <v>2</v>
      </c>
      <c r="O1" s="1392">
        <f>SETUP!$A$2</f>
        <v>2</v>
      </c>
      <c r="P1" s="167"/>
      <c r="Q1" s="5"/>
      <c r="R1" s="5"/>
      <c r="S1" s="5"/>
      <c r="T1" s="5"/>
      <c r="U1" s="5"/>
      <c r="V1" s="5"/>
      <c r="W1" s="5"/>
      <c r="X1" s="5"/>
      <c r="Y1" s="5"/>
      <c r="Z1" s="5"/>
      <c r="AA1" s="5"/>
      <c r="AB1" s="5"/>
      <c r="AC1" s="5"/>
      <c r="AD1" s="5"/>
      <c r="AE1" s="5"/>
      <c r="AF1" s="5"/>
      <c r="AG1" s="5"/>
      <c r="AH1" s="5"/>
      <c r="AI1" s="5"/>
      <c r="AJ1" s="5"/>
      <c r="AK1" s="5"/>
      <c r="AL1" s="5"/>
      <c r="AM1" s="5"/>
      <c r="AN1" s="5"/>
      <c r="AO1" s="5"/>
      <c r="AP1" s="5"/>
      <c r="AQ1" s="5"/>
      <c r="AR1" s="56"/>
      <c r="AS1" s="5"/>
      <c r="AT1" s="5"/>
      <c r="AU1" s="5"/>
      <c r="AV1" s="5"/>
      <c r="AW1" s="5"/>
      <c r="AX1" s="5"/>
      <c r="AY1" s="5"/>
      <c r="AZ1" s="5"/>
      <c r="BA1" s="5"/>
      <c r="BB1" s="5"/>
      <c r="BC1" s="336"/>
      <c r="BD1" s="336"/>
      <c r="BE1" s="337"/>
      <c r="BF1" s="336"/>
      <c r="BG1" s="336"/>
      <c r="BH1" s="336"/>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row>
    <row r="2" spans="2:97" ht="20" customHeight="1" thickBot="1" x14ac:dyDescent="0.4">
      <c r="D2" s="27"/>
      <c r="E2" s="27"/>
      <c r="F2" s="168"/>
      <c r="G2" s="27"/>
      <c r="H2" s="27"/>
      <c r="I2" s="27"/>
      <c r="J2" s="36"/>
      <c r="K2" s="58"/>
      <c r="L2" s="168"/>
      <c r="M2" s="58"/>
      <c r="N2" s="427"/>
      <c r="O2" s="1393"/>
      <c r="P2" s="428"/>
      <c r="Q2" s="28"/>
      <c r="R2" s="168"/>
      <c r="S2" s="5"/>
      <c r="T2" s="5"/>
      <c r="U2" s="5"/>
      <c r="V2" s="5"/>
      <c r="W2" s="5"/>
      <c r="X2" s="168"/>
      <c r="Y2" s="5"/>
      <c r="Z2" s="5"/>
      <c r="AA2" s="5"/>
      <c r="AB2" s="5"/>
      <c r="AC2" s="5"/>
      <c r="AD2" s="5"/>
      <c r="AE2" s="5"/>
      <c r="AF2" s="5"/>
      <c r="AG2" s="5"/>
      <c r="AH2" s="5"/>
      <c r="AI2" s="5"/>
      <c r="AJ2" s="5"/>
      <c r="AK2" s="5"/>
      <c r="AL2" s="5"/>
      <c r="AM2" s="5"/>
      <c r="AN2" s="5"/>
      <c r="AO2" s="5"/>
      <c r="AP2" s="5"/>
      <c r="AQ2" s="5"/>
      <c r="AR2" s="56"/>
      <c r="AS2" s="5"/>
      <c r="AT2" s="5"/>
      <c r="AU2" s="5"/>
      <c r="AV2" s="5"/>
      <c r="AW2" s="5"/>
      <c r="AX2" s="5"/>
      <c r="AY2" s="5"/>
      <c r="AZ2" s="5"/>
      <c r="BA2" s="5"/>
      <c r="BB2" s="5"/>
      <c r="BC2" s="336"/>
      <c r="BD2" s="336"/>
      <c r="BE2" s="337"/>
      <c r="BF2" s="336"/>
      <c r="BG2" s="336"/>
      <c r="BH2" s="336"/>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row>
    <row r="3" spans="2:97" ht="32" customHeight="1" x14ac:dyDescent="0.35">
      <c r="D3" s="688"/>
      <c r="E3" s="1394" t="str">
        <f>VLOOKUP("COUNTRY:",Language!$D$1067:$G$1151,$O$1,FALSE)</f>
        <v>COUNTRY:</v>
      </c>
      <c r="F3" s="1395">
        <f>SETUP!$E$3</f>
        <v>0</v>
      </c>
      <c r="G3" s="477"/>
      <c r="H3" s="1394" t="str">
        <f>VLOOKUP("GRANT NUMBER:",Language!$D$1067:$G$1151,$O$1,FALSE)</f>
        <v>GRANT NUMBER:</v>
      </c>
      <c r="I3" s="1396"/>
      <c r="J3" s="1398">
        <f>SETUP!J3</f>
        <v>0</v>
      </c>
      <c r="K3" s="1399"/>
      <c r="L3" s="1395"/>
      <c r="M3" s="689"/>
      <c r="N3" s="1400" t="str">
        <f>VLOOKUP("GRANT CURRENCY:",Language!$D$3:$G$63,$O$1,FALSE)</f>
        <v xml:space="preserve">GRANT CURRENCY: </v>
      </c>
      <c r="O3" s="1401"/>
      <c r="P3" s="1376">
        <f>SETUP!E7</f>
        <v>0</v>
      </c>
      <c r="Q3" s="1377"/>
      <c r="R3" s="689"/>
      <c r="S3" s="29"/>
      <c r="T3" s="5"/>
      <c r="U3" s="5"/>
      <c r="V3" s="5"/>
      <c r="W3" s="5"/>
      <c r="X3" s="5"/>
      <c r="Y3" s="5"/>
      <c r="Z3" s="5"/>
      <c r="AA3" s="5"/>
      <c r="AB3" s="5"/>
      <c r="AC3" s="5"/>
      <c r="AD3" s="5"/>
      <c r="AE3" s="5"/>
      <c r="AF3" s="5"/>
      <c r="AG3" s="5"/>
      <c r="AH3" s="5"/>
      <c r="AI3" s="5"/>
      <c r="AJ3" s="5"/>
      <c r="AK3" s="5"/>
      <c r="AL3" s="5"/>
      <c r="AM3" s="5"/>
      <c r="AN3" s="5"/>
      <c r="AO3" s="5"/>
      <c r="AP3" s="5"/>
      <c r="AQ3" s="5"/>
      <c r="AR3" s="56"/>
      <c r="AS3" s="5"/>
      <c r="AT3" s="5"/>
      <c r="AU3" s="5"/>
      <c r="AV3" s="5"/>
      <c r="AW3" s="5"/>
      <c r="AX3" s="5"/>
      <c r="AY3" s="5"/>
      <c r="AZ3" s="5"/>
      <c r="BA3" s="5"/>
      <c r="BB3" s="5"/>
      <c r="BC3" s="336"/>
      <c r="BD3" s="336"/>
      <c r="BE3" s="337"/>
      <c r="BF3" s="336"/>
      <c r="BG3" s="336"/>
      <c r="BH3" s="336"/>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row>
    <row r="4" spans="2:97" s="278" customFormat="1" ht="3" customHeight="1" thickBot="1" x14ac:dyDescent="0.4">
      <c r="D4" s="690"/>
      <c r="E4" s="1378"/>
      <c r="F4" s="1380"/>
      <c r="G4" s="691"/>
      <c r="H4" s="1378"/>
      <c r="I4" s="1397"/>
      <c r="J4" s="1279"/>
      <c r="K4" s="1386"/>
      <c r="L4" s="1380"/>
      <c r="M4" s="620"/>
      <c r="N4" s="1402"/>
      <c r="O4" s="1403"/>
      <c r="P4" s="692"/>
      <c r="Q4" s="693"/>
      <c r="R4" s="689"/>
      <c r="S4" s="687"/>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80"/>
      <c r="AS4" s="279"/>
      <c r="AT4" s="279"/>
      <c r="AU4" s="279"/>
      <c r="AV4" s="279"/>
      <c r="AW4" s="279"/>
      <c r="AX4" s="279"/>
      <c r="AY4" s="279"/>
      <c r="AZ4" s="279"/>
      <c r="BA4" s="279"/>
      <c r="BB4" s="279"/>
      <c r="BC4" s="338"/>
      <c r="BD4" s="338"/>
      <c r="BE4" s="339"/>
      <c r="BF4" s="338"/>
      <c r="BG4" s="338"/>
      <c r="BH4" s="338"/>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row>
    <row r="5" spans="2:97" ht="22" customHeight="1" x14ac:dyDescent="0.35">
      <c r="D5" s="688"/>
      <c r="E5" s="1378" t="str">
        <f>VLOOKUP("COMPONENT:",Language!$D$1067:$G$1151,$O$1,FALSE)</f>
        <v>COMPONENT:</v>
      </c>
      <c r="F5" s="1380" t="str">
        <f>SETUP!E9</f>
        <v>C19RM</v>
      </c>
      <c r="G5" s="477"/>
      <c r="H5" s="1382" t="str">
        <f>VLOOKUP("PR: ",Language!$D$1067:$G$1151,$O$1,FALSE)</f>
        <v xml:space="preserve">PR: </v>
      </c>
      <c r="I5" s="1383"/>
      <c r="J5" s="1279" t="str">
        <f ca="1">IF(SETUP!T2=0,"NA",SETUP!T2)</f>
        <v>NA</v>
      </c>
      <c r="K5" s="1386"/>
      <c r="L5" s="1380"/>
      <c r="M5" s="689"/>
      <c r="N5" s="1389"/>
      <c r="O5" s="1389"/>
      <c r="P5" s="689"/>
      <c r="Q5" s="689"/>
      <c r="R5" s="689"/>
      <c r="S5" s="29"/>
      <c r="T5" s="5"/>
      <c r="U5" s="5"/>
      <c r="V5" s="5"/>
      <c r="W5" s="5"/>
      <c r="X5" s="5"/>
      <c r="Y5" s="5"/>
      <c r="Z5" s="5"/>
      <c r="AA5" s="5"/>
      <c r="AB5" s="5"/>
      <c r="AC5" s="5"/>
      <c r="AD5" s="5"/>
      <c r="AE5" s="5"/>
      <c r="AF5" s="5"/>
      <c r="AG5" s="5"/>
      <c r="AH5" s="5"/>
      <c r="AI5" s="5"/>
      <c r="AJ5" s="5"/>
      <c r="AK5" s="5"/>
      <c r="AL5" s="5"/>
      <c r="AM5" s="5"/>
      <c r="AN5" s="5"/>
      <c r="AO5" s="5"/>
      <c r="AP5" s="5"/>
      <c r="AQ5" s="5"/>
      <c r="AR5" s="56"/>
      <c r="AS5" s="5"/>
      <c r="AT5" s="5"/>
      <c r="AU5" s="5"/>
      <c r="AV5" s="5"/>
      <c r="AW5" s="5"/>
      <c r="AX5" s="5"/>
      <c r="AY5" s="5"/>
      <c r="AZ5" s="5"/>
      <c r="BA5" s="5"/>
      <c r="BB5" s="5"/>
      <c r="BC5" s="336"/>
      <c r="BD5" s="336"/>
      <c r="BE5" s="337"/>
      <c r="BF5" s="336"/>
      <c r="BG5" s="336"/>
      <c r="BH5" s="336"/>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row>
    <row r="6" spans="2:97" s="278" customFormat="1" ht="12.65" customHeight="1" thickBot="1" x14ac:dyDescent="0.4">
      <c r="D6" s="690"/>
      <c r="E6" s="1379"/>
      <c r="F6" s="1381"/>
      <c r="G6" s="691"/>
      <c r="H6" s="1384"/>
      <c r="I6" s="1385"/>
      <c r="J6" s="1387"/>
      <c r="K6" s="1388"/>
      <c r="L6" s="1381"/>
      <c r="M6" s="620"/>
      <c r="N6" s="1389"/>
      <c r="O6" s="1389"/>
      <c r="P6" s="620"/>
      <c r="Q6" s="620"/>
      <c r="R6" s="620"/>
      <c r="S6" s="687"/>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80"/>
      <c r="AS6" s="279"/>
      <c r="AT6" s="279"/>
      <c r="AU6" s="279"/>
      <c r="AV6" s="279"/>
      <c r="AW6" s="279"/>
      <c r="AX6" s="279"/>
      <c r="AY6" s="279"/>
      <c r="AZ6" s="279"/>
      <c r="BA6" s="279"/>
      <c r="BB6" s="279"/>
      <c r="BC6" s="338"/>
      <c r="BD6" s="338"/>
      <c r="BE6" s="339"/>
      <c r="BF6" s="338"/>
      <c r="BG6" s="338"/>
      <c r="BH6" s="338"/>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row>
    <row r="7" spans="2:97" ht="40" customHeight="1" x14ac:dyDescent="0.35">
      <c r="D7" s="1365" t="str">
        <f>IF($O$1=2,Language!$E$1584,IF($O$1=3,Language!$F$1584,Language!$G$1584))</f>
        <v>Column F, L, R, X, AD: Reflect indicative percentages (%) per type of health product for each of the seven (7) PSM/HPM Cost Inputs. Review the percentages and adjust them, if necessary. If the grant does not pay for these costs, indicate zero (0). If the grant doesn't use a percentage-based calculation, use the "Fixed Cost-C19RM" worksheet.</v>
      </c>
      <c r="E7" s="1366"/>
      <c r="F7" s="1366"/>
      <c r="G7" s="1366"/>
      <c r="H7" s="1366"/>
      <c r="I7" s="1366"/>
      <c r="J7" s="1366"/>
      <c r="K7" s="1366"/>
      <c r="L7" s="1366"/>
      <c r="M7" s="1366"/>
      <c r="N7" s="1366"/>
      <c r="O7" s="1366"/>
      <c r="P7" s="1366"/>
      <c r="Q7" s="1366"/>
      <c r="R7" s="1367"/>
      <c r="S7" s="28"/>
      <c r="T7" s="28"/>
      <c r="U7" s="28"/>
      <c r="V7" s="5"/>
      <c r="W7" s="5"/>
      <c r="X7" s="169"/>
      <c r="Y7" s="28"/>
      <c r="Z7" s="28"/>
      <c r="AA7" s="28"/>
      <c r="AB7" s="5"/>
      <c r="AC7" s="5"/>
      <c r="AD7" s="5"/>
      <c r="AE7" s="5"/>
      <c r="AF7" s="5"/>
      <c r="AG7" s="5"/>
      <c r="AH7" s="5"/>
      <c r="AI7" s="5"/>
      <c r="AJ7" s="5"/>
      <c r="AK7" s="5"/>
      <c r="AL7" s="5"/>
      <c r="AM7" s="5"/>
      <c r="AN7" s="5"/>
      <c r="AO7" s="5"/>
      <c r="AP7" s="5"/>
      <c r="AQ7" s="5"/>
      <c r="AR7" s="56"/>
      <c r="AS7" s="5"/>
      <c r="AT7" s="5"/>
      <c r="AU7" s="5"/>
      <c r="AV7" s="5"/>
      <c r="AW7" s="5"/>
      <c r="AX7" s="5"/>
      <c r="AY7" s="5"/>
      <c r="AZ7" s="5"/>
      <c r="BA7" s="5"/>
      <c r="BB7" s="5"/>
      <c r="BC7" s="336"/>
      <c r="BD7" s="336"/>
      <c r="BE7" s="337"/>
      <c r="BF7" s="336"/>
      <c r="BG7" s="336"/>
      <c r="BH7" s="336"/>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row>
    <row r="8" spans="2:97" ht="32.5" customHeight="1" x14ac:dyDescent="0.35">
      <c r="D8" s="1368" t="str">
        <f>IF($O$1=2,Language!$E$1585,IF($O$1=3,Language!$F$1585,Language!$G$1585))</f>
        <v>Section 1 - Row 12 to 146 represent the PSM/HPM Costs for getting the products to the country.
Section 2 - Row 176 to 337 represent the PSM/HPM Costs for managing the products in the country.</v>
      </c>
      <c r="E8" s="1369"/>
      <c r="F8" s="1369"/>
      <c r="G8" s="1369"/>
      <c r="H8" s="1369"/>
      <c r="I8" s="1369"/>
      <c r="J8" s="1369"/>
      <c r="K8" s="1369"/>
      <c r="L8" s="1369"/>
      <c r="M8" s="1369"/>
      <c r="N8" s="1369"/>
      <c r="O8" s="1369"/>
      <c r="P8" s="1369"/>
      <c r="Q8" s="1369"/>
      <c r="R8" s="1369"/>
      <c r="S8" s="417"/>
      <c r="T8" s="171"/>
      <c r="U8" s="5"/>
      <c r="V8" s="5"/>
      <c r="W8" s="5"/>
      <c r="X8" s="5"/>
      <c r="Y8" s="5"/>
      <c r="Z8" s="171"/>
      <c r="AA8" s="5"/>
      <c r="AB8" s="5"/>
      <c r="AC8" s="5"/>
      <c r="AD8" s="5"/>
      <c r="AE8" s="5"/>
      <c r="AF8" s="5"/>
      <c r="AG8" s="5"/>
      <c r="AH8" s="5"/>
      <c r="AI8" s="5"/>
      <c r="AJ8" s="5"/>
      <c r="AK8" s="5"/>
      <c r="AL8" s="5"/>
      <c r="AM8" s="5"/>
      <c r="AN8" s="5"/>
      <c r="AO8" s="5"/>
      <c r="AP8" s="5"/>
      <c r="AQ8" s="5"/>
      <c r="AR8" s="56"/>
      <c r="AS8" s="5"/>
      <c r="AT8" s="5"/>
      <c r="AU8" s="5"/>
      <c r="AV8" s="5"/>
      <c r="AW8" s="5"/>
      <c r="AX8" s="5"/>
      <c r="AY8" s="5"/>
      <c r="AZ8" s="5"/>
      <c r="BA8" s="5"/>
      <c r="BB8" s="5"/>
      <c r="BC8" s="336"/>
      <c r="BD8" s="336"/>
      <c r="BE8" s="336"/>
      <c r="BF8" s="336"/>
      <c r="BG8" s="336"/>
      <c r="BH8" s="336"/>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row>
    <row r="9" spans="2:97" ht="13.5" customHeight="1" x14ac:dyDescent="0.35">
      <c r="D9" s="412"/>
      <c r="E9" s="416"/>
      <c r="F9" s="416"/>
      <c r="G9" s="416"/>
      <c r="H9" s="416"/>
      <c r="I9" s="416"/>
      <c r="J9" s="416"/>
      <c r="K9" s="416"/>
      <c r="L9" s="170"/>
      <c r="M9" s="417"/>
      <c r="N9" s="417"/>
      <c r="O9" s="417"/>
      <c r="P9" s="417"/>
      <c r="Q9" s="417"/>
      <c r="R9" s="417"/>
      <c r="S9" s="417"/>
      <c r="T9" s="171"/>
      <c r="U9" s="5"/>
      <c r="V9" s="5"/>
      <c r="W9" s="5"/>
      <c r="X9" s="5"/>
      <c r="Y9" s="5"/>
      <c r="Z9" s="171"/>
      <c r="AA9" s="5"/>
      <c r="AB9" s="5"/>
      <c r="AC9" s="5"/>
      <c r="AD9" s="5"/>
      <c r="AE9" s="5"/>
      <c r="AF9" s="5"/>
      <c r="AG9" s="5"/>
      <c r="AH9" s="5"/>
      <c r="AI9" s="5"/>
      <c r="AJ9" s="5"/>
      <c r="AK9" s="5"/>
      <c r="AL9" s="5"/>
      <c r="AM9" s="5"/>
      <c r="AN9" s="5"/>
      <c r="AO9" s="5"/>
      <c r="AP9" s="5"/>
      <c r="AQ9" s="5"/>
      <c r="AR9" s="56"/>
      <c r="AS9" s="5"/>
      <c r="AT9" s="5"/>
      <c r="AU9" s="5"/>
      <c r="AV9" s="5"/>
      <c r="AW9" s="5"/>
      <c r="AX9" s="5"/>
      <c r="AY9" s="5"/>
      <c r="AZ9" s="5"/>
      <c r="BA9" s="5"/>
      <c r="BB9" s="5"/>
      <c r="BC9" s="336"/>
      <c r="BD9" s="336"/>
      <c r="BE9" s="336"/>
      <c r="BF9" s="336"/>
      <c r="BG9" s="336"/>
      <c r="BH9" s="336"/>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row>
    <row r="10" spans="2:97" ht="16" hidden="1" customHeight="1" x14ac:dyDescent="0.55000000000000004">
      <c r="D10" s="287"/>
      <c r="E10" s="296"/>
      <c r="F10" s="296"/>
      <c r="G10" s="86">
        <v>1</v>
      </c>
      <c r="H10" s="86">
        <v>2</v>
      </c>
      <c r="I10" s="86">
        <v>3</v>
      </c>
      <c r="J10" s="86">
        <v>4</v>
      </c>
      <c r="K10" s="300"/>
      <c r="L10" s="298"/>
      <c r="M10" s="86">
        <v>5</v>
      </c>
      <c r="N10" s="86">
        <v>6</v>
      </c>
      <c r="O10" s="86">
        <v>7</v>
      </c>
      <c r="P10" s="86">
        <v>8</v>
      </c>
      <c r="Q10" s="299"/>
      <c r="R10" s="299"/>
      <c r="S10" s="86">
        <v>9</v>
      </c>
      <c r="T10" s="86">
        <v>10</v>
      </c>
      <c r="U10" s="86">
        <v>11</v>
      </c>
      <c r="V10" s="86">
        <v>12</v>
      </c>
      <c r="W10" s="86"/>
      <c r="X10" s="86"/>
      <c r="Y10" s="86">
        <v>13</v>
      </c>
      <c r="Z10" s="86">
        <v>14</v>
      </c>
      <c r="AA10" s="86">
        <v>15</v>
      </c>
      <c r="AB10" s="86">
        <v>16</v>
      </c>
      <c r="AE10" s="86">
        <v>17</v>
      </c>
      <c r="AF10" s="86">
        <v>18</v>
      </c>
      <c r="AG10" s="86">
        <v>19</v>
      </c>
      <c r="AH10" s="86">
        <v>20</v>
      </c>
      <c r="BE10" s="340"/>
    </row>
    <row r="11" spans="2:97" ht="0.5" customHeight="1" thickBot="1" x14ac:dyDescent="0.4">
      <c r="D11" s="287"/>
      <c r="E11" s="296"/>
      <c r="F11" s="296"/>
      <c r="G11" s="226" t="str">
        <f>IF(G10&lt;=SETUP!$U$18,"Y1",SETUP!$U$20)</f>
        <v>Y1</v>
      </c>
      <c r="H11" s="226" t="str">
        <f>IF(H10&lt;=SETUP!$U$18,"Y1",SETUP!$U$20)</f>
        <v>Y1</v>
      </c>
      <c r="I11" s="226" t="str">
        <f>IF(I10&lt;=SETUP!$U$18,"Y1",SETUP!$U$20)</f>
        <v>Y2</v>
      </c>
      <c r="J11" s="226" t="str">
        <f>IF(SETUP!U18=3,M11,IF(J10&lt;=SETUP!$U$18,"Y1",SETUP!$U$20))</f>
        <v>Y2</v>
      </c>
      <c r="K11" s="301"/>
      <c r="L11" s="170"/>
      <c r="M11" s="226" t="str">
        <f>IF(AND(M10&lt;=SETUP!$V$18,SETUP!$V$18&lt;&gt;""),"Y2",SETUP!$U$21)</f>
        <v>Y2</v>
      </c>
      <c r="N11" s="226" t="str">
        <f>IF(AND(N10&lt;=SETUP!$V$18,SETUP!$V$18&lt;&gt;""),"Y2",SETUP!$U$21)</f>
        <v>Y2</v>
      </c>
      <c r="O11" s="226" t="str">
        <f>IF(AND(O10&lt;=SETUP!$V$18,SETUP!$V$18&lt;&gt;""),"Y2",SETUP!$U$21)</f>
        <v>Y3</v>
      </c>
      <c r="P11" s="226" t="str">
        <f>IF(SETUP!V18=7,S11,IF(AND(P10&lt;=SETUP!$V$18,SETUP!$V$18&lt;&gt;""),"Y2",SETUP!$U$21))</f>
        <v>Y3</v>
      </c>
      <c r="Q11" s="297"/>
      <c r="R11" s="297"/>
      <c r="S11" s="226" t="str">
        <f>IF(AND(S10&lt;=SETUP!$W$18,SETUP!$W$18&lt;&gt;""),"Y3",SETUP!$U$22)</f>
        <v>Y3</v>
      </c>
      <c r="T11" s="226" t="str">
        <f>IF(AND(T10&lt;=SETUP!$W$18,SETUP!$W$18&lt;&gt;""),"Y3",SETUP!$U$22)</f>
        <v>Y3</v>
      </c>
      <c r="U11" s="226" t="str">
        <f>IF(AND(U10&lt;=SETUP!$W$18,SETUP!$W$18&lt;&gt;""),"Y3",SETUP!$U$22)</f>
        <v>Y4</v>
      </c>
      <c r="V11" s="226" t="str">
        <f>IF(SETUP!W18=11,Y11,IF(AND(V10&lt;=SETUP!$W$18,SETUP!$W$18&lt;&gt;""),"Y3",SETUP!$U$22))</f>
        <v>Y4</v>
      </c>
      <c r="W11" s="86"/>
      <c r="X11" s="86"/>
      <c r="Y11" s="226" t="str">
        <f>IF(AND(Y10&lt;=SETUP!X18,SETUP!X18&lt;&gt;""),"Y4",SETUP!$U$23)</f>
        <v>Y4</v>
      </c>
      <c r="Z11" s="226" t="str">
        <f>IF(AND(Z10&lt;=SETUP!X18,SETUP!X18&lt;&gt;""),"Y4",SETUP!$U$23)</f>
        <v>Y4</v>
      </c>
      <c r="AA11" s="226" t="str">
        <f>IF(AND(AA10&lt;=SETUP!X18,SETUP!X18&lt;&gt;""),"Y4",SETUP!$U$23)</f>
        <v>Y5</v>
      </c>
      <c r="AB11" s="226" t="str">
        <f>IF(SETUP!X18=15,'HPM costs-C19RM'!AE11,IF(AND(AB10&lt;=SETUP!X18,SETUP!X18&lt;&gt;""),"Y4",SETUP!$U$23))</f>
        <v>Y5</v>
      </c>
      <c r="AD11" s="226"/>
      <c r="AE11" s="226" t="str">
        <f>IF(AND(AE10&lt;=SETUP!Y18,SETUP!Y18&lt;&gt;""),"Y5",SETUP!$U$24)</f>
        <v>Y5</v>
      </c>
      <c r="AF11" s="226" t="str">
        <f>IF(AND(AF10&lt;=SETUP!Y18,SETUP!Y18&lt;&gt;""),"Y5",SETUP!$U$24)</f>
        <v>Y5</v>
      </c>
      <c r="AG11" s="226" t="str">
        <f>IF(AND(AG10&lt;=SETUP!Y18,SETUP!Y18&lt;&gt;""),"Y5",SETUP!$U$24)</f>
        <v>Y5</v>
      </c>
      <c r="AH11" s="226" t="str">
        <f>IF(AND(AH10&lt;=SETUP!Y18,SETUP!Y18&lt;&gt;""),"Y5",SETUP!$U$24)</f>
        <v>Y5</v>
      </c>
      <c r="BE11" s="340"/>
    </row>
    <row r="12" spans="2:97" ht="23.5" customHeight="1" thickBot="1" x14ac:dyDescent="0.4">
      <c r="D12" s="741">
        <v>1</v>
      </c>
      <c r="E12" s="739"/>
      <c r="F12" s="740"/>
      <c r="G12" s="738"/>
      <c r="H12" s="172"/>
      <c r="J12" s="37"/>
      <c r="K12" s="37"/>
      <c r="L12" s="63"/>
      <c r="M12" s="916"/>
      <c r="N12" s="916"/>
      <c r="O12" s="916"/>
      <c r="P12" s="916"/>
      <c r="Q12" s="37"/>
      <c r="R12" s="63"/>
      <c r="S12" s="916"/>
      <c r="T12" s="916"/>
      <c r="U12" s="916"/>
      <c r="V12" s="916"/>
      <c r="W12" s="37"/>
      <c r="X12" s="63"/>
      <c r="Y12" s="916"/>
      <c r="Z12" s="916"/>
      <c r="AA12" s="916"/>
      <c r="AB12" s="916"/>
      <c r="AC12" s="37"/>
      <c r="AD12" s="37"/>
      <c r="AE12" s="916"/>
      <c r="AF12" s="916"/>
      <c r="AG12" s="916"/>
      <c r="AH12" s="916"/>
      <c r="AI12" s="37"/>
      <c r="AJ12" s="37"/>
      <c r="AK12" s="37"/>
      <c r="AL12" s="37"/>
      <c r="AM12" s="37"/>
      <c r="AN12" s="37"/>
      <c r="AO12" s="37"/>
      <c r="AP12" s="37"/>
      <c r="AQ12" s="37"/>
      <c r="AR12" s="59"/>
      <c r="AS12" s="37"/>
      <c r="AT12" s="37"/>
      <c r="AU12" s="37"/>
      <c r="AV12" s="37"/>
      <c r="AW12" s="37"/>
      <c r="AX12" s="37"/>
      <c r="AY12" s="37"/>
      <c r="AZ12" s="37"/>
      <c r="BA12" s="37"/>
      <c r="BB12" s="37"/>
      <c r="BC12" s="341"/>
      <c r="BD12" s="341"/>
      <c r="BE12" s="341"/>
      <c r="BF12" s="341"/>
      <c r="BG12" s="341"/>
      <c r="BH12" s="341"/>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row>
    <row r="13" spans="2:97" s="173" customFormat="1" ht="25.5" customHeight="1" thickBot="1" x14ac:dyDescent="0.4">
      <c r="B13" s="24"/>
      <c r="C13" s="24"/>
      <c r="D13" s="694" t="s">
        <v>188</v>
      </c>
      <c r="E13" s="694"/>
      <c r="F13" s="1304"/>
      <c r="G13" s="1304"/>
      <c r="H13" s="918"/>
      <c r="L13" s="625"/>
      <c r="M13" s="475"/>
      <c r="N13" s="475"/>
      <c r="O13" s="475"/>
      <c r="P13" s="621"/>
      <c r="Q13" s="475"/>
      <c r="R13" s="625"/>
      <c r="S13" s="621"/>
      <c r="T13" s="621"/>
      <c r="U13" s="621"/>
      <c r="V13" s="621"/>
      <c r="W13" s="621"/>
      <c r="X13" s="446"/>
      <c r="Y13" s="621"/>
      <c r="Z13" s="621"/>
      <c r="AA13" s="621"/>
      <c r="AB13" s="621"/>
      <c r="AC13" s="475"/>
      <c r="AD13" s="475"/>
      <c r="AE13" s="475"/>
      <c r="AF13" s="475"/>
      <c r="AG13" s="475"/>
      <c r="AH13" s="475"/>
      <c r="AI13" s="475"/>
      <c r="AJ13" s="475"/>
      <c r="AK13" s="475"/>
      <c r="AL13" s="475"/>
      <c r="AM13" s="475"/>
      <c r="AN13" s="475"/>
      <c r="AO13" s="475"/>
      <c r="AP13" s="475"/>
      <c r="AQ13" s="475"/>
      <c r="AR13" s="622"/>
      <c r="BC13" s="342"/>
      <c r="BD13" s="342"/>
      <c r="BE13" s="342"/>
      <c r="BF13" s="342"/>
      <c r="BG13" s="342"/>
      <c r="BH13" s="342"/>
    </row>
    <row r="14" spans="2:97" s="89" customFormat="1" ht="14.15" customHeight="1" x14ac:dyDescent="0.3">
      <c r="D14" s="1332" t="str">
        <f>VLOOKUP("Type of health product",Language!$D$1583:$G$1845,$O$1,FALSE)</f>
        <v>Type of health product</v>
      </c>
      <c r="E14" s="1333"/>
      <c r="F14" s="1344" t="str">
        <f>VLOOKUP("Estimated % for PSA fee (7.1)",Language!$D$1583:$G$1845,$O$1,FALSE)</f>
        <v>Estimated % for PSA fee (7.1)</v>
      </c>
      <c r="G14" s="1370" t="str">
        <f>IF(ISBLANK(IMP_ST_DATE),SETUP!$A$3,'Master Data-C19RM'!W2)</f>
        <v>2021</v>
      </c>
      <c r="H14" s="1295"/>
      <c r="I14" s="1295"/>
      <c r="J14" s="1295"/>
      <c r="K14" s="1371"/>
      <c r="L14" s="1374" t="str">
        <f>VLOOKUP("Estimated % for PSA fee (7.1)",Language!$D$1583:$G$1845,$O$1,FALSE)</f>
        <v>Estimated % for PSA fee (7.1)</v>
      </c>
      <c r="M14" s="1295" t="str">
        <f>IF(ISBLANK(IMP_ST_DATE),SETUP!$A$3,'Master Data-C19RM'!W6)</f>
        <v>2022</v>
      </c>
      <c r="N14" s="1295"/>
      <c r="O14" s="1295"/>
      <c r="P14" s="1295"/>
      <c r="Q14" s="1302"/>
      <c r="R14" s="1374" t="str">
        <f>VLOOKUP("Estimated % for PSA fee (7.1)",Language!$D$1583:$G$1845,$O$1,FALSE)</f>
        <v>Estimated % for PSA fee (7.1)</v>
      </c>
      <c r="S14" s="1294" t="str">
        <f>IF(ISBLANK(IMP_ST_DATE),SETUP!$A$3,'Master Data-C19RM'!W10)</f>
        <v>2023</v>
      </c>
      <c r="T14" s="1295"/>
      <c r="U14" s="1295"/>
      <c r="V14" s="1295"/>
      <c r="W14" s="1302"/>
      <c r="X14" s="1344" t="str">
        <f>VLOOKUP("Estimated % for PSA fee (7.1)",Language!$D$1583:$G$1845,$O$1,FALSE)</f>
        <v>Estimated % for PSA fee (7.1)</v>
      </c>
      <c r="Y14" s="1294" t="str">
        <f>IF(ISBLANK(IMP_ST_DATE),SETUP!$A$3,'Master Data-C19RM'!W14)</f>
        <v>2024</v>
      </c>
      <c r="Z14" s="1295"/>
      <c r="AA14" s="1295"/>
      <c r="AB14" s="1295"/>
      <c r="AC14" s="1296"/>
      <c r="AD14" s="1362" t="str">
        <f>VLOOKUP("Estimated % for PSA fee (7.1)",Language!$D$1583:$G$1845,$O$1,FALSE)</f>
        <v>Estimated % for PSA fee (7.1)</v>
      </c>
      <c r="AE14" s="1294" t="str">
        <f>IF(ISBLANK(IMP_ST_DATE),SETUP!$A$3,'Master Data-C19RM'!W18)</f>
        <v>2025</v>
      </c>
      <c r="AF14" s="1295"/>
      <c r="AG14" s="1295"/>
      <c r="AH14" s="1295"/>
      <c r="AI14" s="1296"/>
      <c r="AJ14" s="1362" t="str">
        <f>VLOOKUP("Estimated % for PSA fee (7.1)",Language!$D$1583:$G$1845,$O$1,FALSE)</f>
        <v>Estimated % for PSA fee (7.1)</v>
      </c>
      <c r="AK14" s="1294" t="str">
        <f>IF(ISBLANK(IMP_ST_DATE),SETUP!$A$3,'Master Data-C19RM'!W22)</f>
        <v/>
      </c>
      <c r="AL14" s="1295"/>
      <c r="AM14" s="1295"/>
      <c r="AN14" s="1295"/>
      <c r="AO14" s="1296"/>
      <c r="AP14" s="1300" t="str">
        <f>VLOOKUP("Total grant period",Language!$D$1583:$G$1845,$O$1,FALSE)</f>
        <v>Total grant period</v>
      </c>
      <c r="AQ14" s="1300" t="str">
        <f>VLOOKUP("Finance",Language!$D$1583:$G$1845,$O$1,FALSE)</f>
        <v>Finance</v>
      </c>
      <c r="AR14" s="1310" t="str">
        <f>VLOOKUP("Comments",Language!$D$1583:$G$1845,$O$1,FALSE)</f>
        <v>Comments</v>
      </c>
      <c r="AS14" s="306"/>
      <c r="BC14" s="343"/>
      <c r="BD14" s="343"/>
      <c r="BE14" s="343"/>
      <c r="BF14" s="343"/>
      <c r="BG14" s="343"/>
      <c r="BH14" s="343"/>
    </row>
    <row r="15" spans="2:97" s="89" customFormat="1" ht="15" customHeight="1" thickBot="1" x14ac:dyDescent="0.35">
      <c r="D15" s="1334"/>
      <c r="E15" s="1335"/>
      <c r="F15" s="1345"/>
      <c r="G15" s="1372"/>
      <c r="H15" s="1298"/>
      <c r="I15" s="1298"/>
      <c r="J15" s="1298"/>
      <c r="K15" s="1373"/>
      <c r="L15" s="1375"/>
      <c r="M15" s="1298"/>
      <c r="N15" s="1298"/>
      <c r="O15" s="1298"/>
      <c r="P15" s="1298"/>
      <c r="Q15" s="1303"/>
      <c r="R15" s="1375"/>
      <c r="S15" s="1297"/>
      <c r="T15" s="1298"/>
      <c r="U15" s="1298"/>
      <c r="V15" s="1298"/>
      <c r="W15" s="1303"/>
      <c r="X15" s="1345"/>
      <c r="Y15" s="1297"/>
      <c r="Z15" s="1298"/>
      <c r="AA15" s="1298"/>
      <c r="AB15" s="1298"/>
      <c r="AC15" s="1299"/>
      <c r="AD15" s="1363"/>
      <c r="AE15" s="1297"/>
      <c r="AF15" s="1298"/>
      <c r="AG15" s="1298"/>
      <c r="AH15" s="1298"/>
      <c r="AI15" s="1299"/>
      <c r="AJ15" s="1363"/>
      <c r="AK15" s="1297"/>
      <c r="AL15" s="1298"/>
      <c r="AM15" s="1298"/>
      <c r="AN15" s="1298"/>
      <c r="AO15" s="1299"/>
      <c r="AP15" s="1301"/>
      <c r="AQ15" s="1301"/>
      <c r="AR15" s="1311"/>
      <c r="AS15" s="307"/>
      <c r="BC15" s="343"/>
      <c r="BD15" s="343"/>
      <c r="BE15" s="343"/>
      <c r="BF15" s="343"/>
      <c r="BG15" s="343"/>
      <c r="BH15" s="343"/>
    </row>
    <row r="16" spans="2:97" s="174" customFormat="1" ht="44.5" customHeight="1" thickBot="1" x14ac:dyDescent="0.35">
      <c r="B16" s="209"/>
      <c r="C16" s="209"/>
      <c r="D16" s="1336"/>
      <c r="E16" s="1337"/>
      <c r="F16" s="1343"/>
      <c r="G16" s="695" t="str">
        <f>VLOOKUP("Y1 Q1 cost",Language!$D$1583:$G$1845,$O$1,FALSE)</f>
        <v>Y1 Q1 cost</v>
      </c>
      <c r="H16" s="933" t="str">
        <f>VLOOKUP("Y1 Q2 cost",Language!$D$1583:$G$1845,$O$1,FALSE)</f>
        <v>Y1 Q2 cost</v>
      </c>
      <c r="I16" s="933" t="str">
        <f>VLOOKUP("Y1 Q3 cost",Language!$D$1583:$G$1845,$O$1,FALSE)</f>
        <v>Y1 Q3 cost</v>
      </c>
      <c r="J16" s="933" t="str">
        <f>VLOOKUP("Y1 Q4 cost",Language!$D$1583:$G$1845,$O$1,FALSE)</f>
        <v>Y1 Q4 cost</v>
      </c>
      <c r="K16" s="696" t="str">
        <f>VLOOKUP("Y1 Total cost",Language!$D$1583:$G$1845,$O$1,FALSE)</f>
        <v>Y1 Total cost</v>
      </c>
      <c r="L16" s="1343"/>
      <c r="M16" s="695" t="str">
        <f>VLOOKUP("Y2 Q1 cost",Language!$D$1583:$G$1845,$O$1,FALSE)</f>
        <v>Y2 Q1 cost</v>
      </c>
      <c r="N16" s="933" t="str">
        <f>VLOOKUP("Y2 Q2 cost",Language!$D$1583:$G$1845,$O$1,FALSE)</f>
        <v>Y2 Q2 cost</v>
      </c>
      <c r="O16" s="933" t="str">
        <f>VLOOKUP("Y2 Q3 cost",Language!$D$1583:$G$1845,$O$1,FALSE)</f>
        <v>Y2 Q3 cost</v>
      </c>
      <c r="P16" s="933" t="str">
        <f>VLOOKUP("Y2 Q4 cost",Language!$D$1583:$G$1845,$O$1,FALSE)</f>
        <v>Y2 Q4 cost</v>
      </c>
      <c r="Q16" s="696" t="str">
        <f>VLOOKUP("Y2 Total cost",Language!$D$1583:$G$1845,$O$1,FALSE)</f>
        <v>Y2 Total cost</v>
      </c>
      <c r="R16" s="1361"/>
      <c r="S16" s="695" t="str">
        <f>VLOOKUP("Y3 Q1 cost",Language!$D$1583:$G$1845,$O$1,FALSE)</f>
        <v>Y3 Q1 cost</v>
      </c>
      <c r="T16" s="933" t="str">
        <f>VLOOKUP("Y3 Q2 cost",Language!$D$1583:$G$1845,$O$1,FALSE)</f>
        <v>Y3 Q2 cost</v>
      </c>
      <c r="U16" s="933" t="str">
        <f>VLOOKUP("Y3 Q3 cost",Language!$D$1583:$G$1845,$O$1,FALSE)</f>
        <v>Y3 Q3 cost</v>
      </c>
      <c r="V16" s="933" t="str">
        <f>VLOOKUP("Y3 Q4 cost",Language!$D$1583:$G$1845,$O$1,FALSE)</f>
        <v>Y3 Q4 cost</v>
      </c>
      <c r="W16" s="696" t="str">
        <f>VLOOKUP("Y3 Total cost",Language!$D$1583:$G$1845,$O$1,FALSE)</f>
        <v>Y3 Total cost</v>
      </c>
      <c r="X16" s="1343"/>
      <c r="Y16" s="695" t="str">
        <f>VLOOKUP("Y4 Q1 cost",Language!$D$1583:$G$1845,$O$1,FALSE)</f>
        <v>Y4 Q1 cost</v>
      </c>
      <c r="Z16" s="933" t="str">
        <f>VLOOKUP("Y4 Q2 cost",Language!$D$1583:$G$1845,$O$1,FALSE)</f>
        <v>Y4 Q2 cost</v>
      </c>
      <c r="AA16" s="933" t="str">
        <f>VLOOKUP("Y4 Q3 cost",Language!$D$1583:$G$1845,$O$1,FALSE)</f>
        <v>Y4 Q3 cost</v>
      </c>
      <c r="AB16" s="933" t="str">
        <f>VLOOKUP("Y4 Q4 cost",Language!$D$1583:$G$1845,$O$1,FALSE)</f>
        <v>Y4 Q4 cost</v>
      </c>
      <c r="AC16" s="933" t="str">
        <f>VLOOKUP("Y4 Total cost",Language!$D$1583:$G$1845,$O$1,FALSE)</f>
        <v>Y4 Total cost</v>
      </c>
      <c r="AD16" s="1364"/>
      <c r="AE16" s="933" t="str">
        <f>VLOOKUP("Y5 Q1 cost",Language!$D$1583:$G$1845,$O$1,FALSE)</f>
        <v>Y5 Q1 cost</v>
      </c>
      <c r="AF16" s="933" t="str">
        <f>VLOOKUP("Y5 Q2 cost",Language!$D$1583:$G$1845,$O$1,FALSE)</f>
        <v>Y5 Q2 cost</v>
      </c>
      <c r="AG16" s="933" t="str">
        <f>VLOOKUP("Y5 Q3 cost",Language!$D$1583:$G$1845,$O$1,FALSE)</f>
        <v>Y5 Q3 cost</v>
      </c>
      <c r="AH16" s="933" t="str">
        <f>VLOOKUP("Y5 Q4 cost",Language!$D$1583:$G$1845,$O$1,FALSE)</f>
        <v>Y5 Q4 cost</v>
      </c>
      <c r="AI16" s="933" t="str">
        <f>VLOOKUP("Y5 Total cost",Language!$D$1583:$G$1845,$O$1,FALSE)</f>
        <v>Y5 Total cost</v>
      </c>
      <c r="AJ16" s="1364"/>
      <c r="AK16" s="933" t="str">
        <f>VLOOKUP("Y6 Q1 cost",Language!$D$1583:$G$1845,$O$1,FALSE)</f>
        <v>Y6 Q1 cost</v>
      </c>
      <c r="AL16" s="933" t="str">
        <f>VLOOKUP("Y6 Q2 cost",Language!$D$1583:$G$1845,$O$1,FALSE)</f>
        <v>Y6 Q2 cost</v>
      </c>
      <c r="AM16" s="933" t="str">
        <f>VLOOKUP("Y6 Q3 cost",Language!$D$1583:$G$1845,$O$1,FALSE)</f>
        <v>Y6 Q3 cost</v>
      </c>
      <c r="AN16" s="933" t="str">
        <f>VLOOKUP("Y6 Q4 cost",Language!$D$1583:$G$1845,$O$1,FALSE)</f>
        <v>Y6 Q4 cost</v>
      </c>
      <c r="AO16" s="933" t="str">
        <f>VLOOKUP("Y6 Total cost",Language!$D$1583:$G$1845,$O$1,FALSE)</f>
        <v>Y6 Total cost</v>
      </c>
      <c r="AP16" s="695" t="str">
        <f>VLOOKUP("Total cost",Language!$D$1583:$G$1845,$O$1,FALSE)</f>
        <v>Total cost</v>
      </c>
      <c r="AQ16" s="695" t="str">
        <f>VLOOKUP("Cost input",Language!$D$1583:$G$1845,$O$1,FALSE)</f>
        <v>Cost input</v>
      </c>
      <c r="AR16" s="1312"/>
      <c r="AS16" s="308" t="s">
        <v>212</v>
      </c>
      <c r="BC16" s="344" t="s">
        <v>125</v>
      </c>
      <c r="BD16" s="344" t="s">
        <v>126</v>
      </c>
      <c r="BE16" s="344" t="s">
        <v>127</v>
      </c>
      <c r="BF16" s="344" t="s">
        <v>128</v>
      </c>
      <c r="BG16" s="344" t="s">
        <v>661</v>
      </c>
      <c r="BH16" s="344"/>
      <c r="BI16" s="174" t="s">
        <v>1949</v>
      </c>
      <c r="BK16" s="174" t="s">
        <v>2410</v>
      </c>
      <c r="BL16" s="174" t="s">
        <v>2411</v>
      </c>
    </row>
    <row r="17" spans="1:65" s="89" customFormat="1" ht="15" customHeight="1" thickBot="1" x14ac:dyDescent="0.4">
      <c r="A17" s="89" t="s">
        <v>619</v>
      </c>
      <c r="B17" s="210" t="s">
        <v>695</v>
      </c>
      <c r="C17" s="698" t="s">
        <v>2751</v>
      </c>
      <c r="D17" s="1313" t="s">
        <v>83</v>
      </c>
      <c r="E17" s="1009" t="s">
        <v>32</v>
      </c>
      <c r="F17" s="975">
        <v>0</v>
      </c>
      <c r="G17" s="1029" cm="1">
        <f t="array" ref="G17">$F17*(SUMPRODUCT(('Cashflow Summary C19RM'!$K$5:$K$100&lt;&gt;1)*('Cashflow Summary C19RM'!$D$5:$D$100=E17)*('Cashflow Summary C19RM'!$R$5:$R$100)))</f>
        <v>0</v>
      </c>
      <c r="H17" s="977" cm="1">
        <f t="array" ref="H17">$F17*(SUMPRODUCT(('Cashflow Summary C19RM'!$K$5:$K$100&lt;&gt;1)*('Cashflow Summary C19RM'!$D$5:$D$100=E17)*('Cashflow Summary C19RM'!$S$5:$S$100)))</f>
        <v>0</v>
      </c>
      <c r="I17" s="978" cm="1">
        <f t="array" ref="I17">$F17*(SUMPRODUCT(('Cashflow Summary C19RM'!$K$5:$K$100&lt;&gt;1)*('Cashflow Summary C19RM'!$D$5:$D$100=E17)*('Cashflow Summary C19RM'!$T$5:$T$100)))</f>
        <v>0</v>
      </c>
      <c r="J17" s="978" cm="1">
        <f t="array" ref="J17">$F17*(SUMPRODUCT(('Cashflow Summary C19RM'!$K$5:$K$100&lt;&gt;1)*('Cashflow Summary C19RM'!$D$5:$D$100=E17)*('Cashflow Summary C19RM'!$U$5:$U$100)))</f>
        <v>0</v>
      </c>
      <c r="K17" s="1030">
        <f t="shared" ref="K17:K31" si="0">SUM(G17:J17)</f>
        <v>0</v>
      </c>
      <c r="L17" s="996">
        <f t="shared" ref="L17:L31" si="1">F17</f>
        <v>0</v>
      </c>
      <c r="M17" s="976" cm="1">
        <f t="array" ref="M17">$L17*(SUMPRODUCT(('Cashflow Summary C19RM'!$K$5:$K$100&lt;&gt;1)*('Cashflow Summary C19RM'!$D$5:$D$100=E17)*('Cashflow Summary C19RM'!$V$5:$V$100)))</f>
        <v>0</v>
      </c>
      <c r="N17" s="977" cm="1">
        <f t="array" ref="N17">$L17*(SUMPRODUCT(('Cashflow Summary C19RM'!$K$5:$K$100&lt;&gt;1)*('Cashflow Summary C19RM'!$D$5:$D$100=E17)*('Cashflow Summary C19RM'!$W$5:$W$100)))</f>
        <v>0</v>
      </c>
      <c r="O17" s="978" cm="1">
        <f t="array" ref="O17">$L17*(SUMPRODUCT(('Cashflow Summary C19RM'!$K$5:$K$100&lt;&gt;1)*('Cashflow Summary C19RM'!$D$5:$D$100=E17)*('Cashflow Summary C19RM'!$X$5:$X$100)))</f>
        <v>0</v>
      </c>
      <c r="P17" s="978" cm="1">
        <f t="array" ref="P17">$L17*(SUMPRODUCT(('Cashflow Summary C19RM'!$K$5:$K$100&lt;&gt;1)*('Cashflow Summary C19RM'!$D$5:$D$100=E17)*('Cashflow Summary C19RM'!$Y$5:$Y$100)))</f>
        <v>0</v>
      </c>
      <c r="Q17" s="980">
        <f t="shared" ref="Q17:Q31" si="2">SUM(M17:P17)</f>
        <v>0</v>
      </c>
      <c r="R17" s="981">
        <f t="shared" ref="R17:R31" si="3">F17</f>
        <v>0</v>
      </c>
      <c r="S17" s="976" cm="1">
        <f t="array" ref="S17">$R17*(SUMPRODUCT(('Cashflow Summary C19RM'!$K$5:$K$100&lt;&gt;1)*('Cashflow Summary C19RM'!$D$5:$D$100=E17)*('Cashflow Summary C19RM'!$Z$5:$Z$100)))</f>
        <v>0</v>
      </c>
      <c r="T17" s="977" cm="1">
        <f t="array" ref="T17">$R17*(SUMPRODUCT(('Cashflow Summary C19RM'!$K$5:$K$100&lt;&gt;1)*('Cashflow Summary C19RM'!$D$5:$D$100=E17)*('Cashflow Summary C19RM'!$AA$5:$AA$100)))</f>
        <v>0</v>
      </c>
      <c r="U17" s="978" cm="1">
        <f t="array" ref="U17">$R17*(SUMPRODUCT(('Cashflow Summary C19RM'!$K$5:$K$100&lt;&gt;1)*('Cashflow Summary C19RM'!$D$5:$D$100=E17)*('Cashflow Summary C19RM'!$AB$5:$AB$100)))</f>
        <v>0</v>
      </c>
      <c r="V17" s="978" cm="1">
        <f t="array" ref="V17">$R17*(SUMPRODUCT(('Cashflow Summary C19RM'!$K$5:$K$100&lt;&gt;1)*('Cashflow Summary C19RM'!$D$5:$D$100=E17)*('Cashflow Summary C19RM'!$AC$5:$AC$100)))</f>
        <v>0</v>
      </c>
      <c r="W17" s="982">
        <f t="shared" ref="W17:W31" si="4">SUM(S17:V17)</f>
        <v>0</v>
      </c>
      <c r="X17" s="981">
        <f t="shared" ref="X17:X31" si="5">F17</f>
        <v>0</v>
      </c>
      <c r="Y17" s="976" cm="1">
        <f t="array" ref="Y17">$X17*(SUMPRODUCT(('Cashflow Summary C19RM'!$K$5:$K$100&lt;&gt;1)*('Cashflow Summary C19RM'!$D$5:$D$100=E17)*('Cashflow Summary C19RM'!$AD$5:$AD$100)))</f>
        <v>0</v>
      </c>
      <c r="Z17" s="977" cm="1">
        <f t="array" ref="Z17">$X17*(SUMPRODUCT(('Cashflow Summary C19RM'!$K$5:$K$100&lt;&gt;1)*('Cashflow Summary C19RM'!$D$5:$D$100=E17)*('Cashflow Summary C19RM'!$AE$5:$AE$100)))</f>
        <v>0</v>
      </c>
      <c r="AA17" s="978" cm="1">
        <f t="array" ref="AA17">$X17*(SUMPRODUCT(('Cashflow Summary C19RM'!$K$5:$K$100&lt;&gt;1)*('Cashflow Summary C19RM'!$D$5:$D$100=E17)*('Cashflow Summary C19RM'!$AF$5:$AF$100)))</f>
        <v>0</v>
      </c>
      <c r="AB17" s="978" cm="1">
        <f t="array" ref="AB17">$X17*(SUMPRODUCT(('Cashflow Summary C19RM'!$K$5:$K$100&lt;&gt;1)*('Cashflow Summary C19RM'!$D$5:$D$100=E17)*('Cashflow Summary C19RM'!$AG$5:$AG$100)))</f>
        <v>0</v>
      </c>
      <c r="AC17" s="982">
        <f t="shared" ref="AC17:AC31" si="6">SUM(Y17:AB17)</f>
        <v>0</v>
      </c>
      <c r="AD17" s="981">
        <f t="shared" ref="AD17:AD19" si="7">L17</f>
        <v>0</v>
      </c>
      <c r="AE17" s="725" cm="1">
        <f t="array" ref="AE17">$AD17*(SUMPRODUCT(('Cashflow Summary C19RM'!$K$5:$K$100&lt;&gt;1)*('Cashflow Summary C19RM'!$D$5:$D$100=E17)*('Cashflow Summary C19RM'!$AH$5:$AH$100)))</f>
        <v>0</v>
      </c>
      <c r="AF17" s="976" cm="1">
        <f t="array" ref="AF17">$AD17*(SUMPRODUCT(('Cashflow Summary C19RM'!$K$5:$K$100&lt;&gt;1)*('Cashflow Summary C19RM'!$D$5:$D$100=E17)*('Cashflow Summary C19RM'!$AI$5:$AI$100)))</f>
        <v>0</v>
      </c>
      <c r="AG17" s="976" cm="1">
        <f t="array" ref="AG17">$AD17*(SUMPRODUCT(('Cashflow Summary C19RM'!$K$5:$K$100&lt;&gt;1)*('Cashflow Summary C19RM'!$D$5:$D$100=E17)*('Cashflow Summary C19RM'!$AJ$5:$AJ$100)))</f>
        <v>0</v>
      </c>
      <c r="AH17" s="976" cm="1">
        <f t="array" ref="AH17">$AD17*(SUMPRODUCT(('Cashflow Summary C19RM'!$K$5:$K$100&lt;&gt;1)*('Cashflow Summary C19RM'!$D$5:$D$100=E17)*('Cashflow Summary C19RM'!$AK$5:$AO$100)))</f>
        <v>0</v>
      </c>
      <c r="AI17" s="982">
        <f>SUM(AE17:AH17)</f>
        <v>0</v>
      </c>
      <c r="AJ17" s="983">
        <v>0</v>
      </c>
      <c r="AK17" s="984"/>
      <c r="AL17" s="985"/>
      <c r="AM17" s="985"/>
      <c r="AN17" s="985"/>
      <c r="AO17" s="986"/>
      <c r="AP17" s="982">
        <f>K17+Q17+W17+AC17+AI17</f>
        <v>0</v>
      </c>
      <c r="AQ17" s="987">
        <v>7.1</v>
      </c>
      <c r="AR17" s="988"/>
      <c r="AS17" s="310"/>
      <c r="AV17" s="228">
        <f t="shared" ref="AV17:AV31" si="8">F17</f>
        <v>0</v>
      </c>
      <c r="AW17" s="228">
        <f t="shared" ref="AW17:AW31" si="9">L17</f>
        <v>0</v>
      </c>
      <c r="AX17" s="228">
        <f t="shared" ref="AX17:AX31" si="10">R17</f>
        <v>0</v>
      </c>
      <c r="AY17" s="228">
        <f t="shared" ref="AY17:AY31" si="11">X17</f>
        <v>0</v>
      </c>
      <c r="AZ17" s="228">
        <f t="shared" ref="AZ17:AZ31" si="12">AD17</f>
        <v>0</v>
      </c>
      <c r="BA17" s="228"/>
      <c r="BC17" s="345" cm="1">
        <f t="array" ref="BC17">IF(BM17&gt;=1,0,IFERROR(SUMPRODUCT(($G$11:$AH$11=$BC$16)*($G17:$AH17)),0))</f>
        <v>0</v>
      </c>
      <c r="BD17" s="345" cm="1">
        <f t="array" ref="BD17">IF(BM17&gt;=1,0,IFERROR(SUMPRODUCT(($G$11:$AH$11=$BD$16)*($G17:$AH17)),0))</f>
        <v>0</v>
      </c>
      <c r="BE17" s="345" cm="1">
        <f t="array" ref="BE17">IF(BM17&gt;=1,0,IFERROR(SUMPRODUCT(($G$11:$AH$11=$BE$16)*($G17:$AH17)),0))</f>
        <v>0</v>
      </c>
      <c r="BF17" s="345" cm="1">
        <f t="array" ref="BF17">IF(BM17&gt;=1,0,IFERROR(SUMPRODUCT(($G$11:$AH$11=$BF$16)*($G17:$AH17)),0))</f>
        <v>0</v>
      </c>
      <c r="BG17" s="345" cm="1">
        <f t="array" ref="BG17">IF(BM17&gt;=1,0,IFERROR(SUMPRODUCT(($G$11:$AH$11=$BG$16)*($G17:$AH17)),0))</f>
        <v>0</v>
      </c>
      <c r="BH17" s="345"/>
      <c r="BI17" s="343">
        <f>SUM(BC17:BG17)</f>
        <v>0</v>
      </c>
      <c r="BJ17" s="229" t="s">
        <v>83</v>
      </c>
      <c r="BK17" cm="1">
        <f t="array" ref="BK17">(SUMPRODUCT(('Cashflow Summary C19RM'!$D$5:$D$451=E17)*('Cashflow Summary C19RM'!$BD$5:$BD$451)))</f>
        <v>0</v>
      </c>
      <c r="BL17" cm="1">
        <f t="array" ref="BL17">(SUMPRODUCT((SETUP!$D$20:$D$35=E17)*(SETUP!$R$20:$R$35)))</f>
        <v>0</v>
      </c>
      <c r="BM17" s="89">
        <f t="shared" ref="BM17:BM31" si="13">SUM(BK17:BL17)</f>
        <v>0</v>
      </c>
    </row>
    <row r="18" spans="1:65" s="89" customFormat="1" ht="15" customHeight="1" thickBot="1" x14ac:dyDescent="0.4">
      <c r="A18" s="89" t="s">
        <v>619</v>
      </c>
      <c r="B18" s="210" t="s">
        <v>695</v>
      </c>
      <c r="C18" s="698" t="s">
        <v>2750</v>
      </c>
      <c r="D18" s="1314"/>
      <c r="E18" s="1010" t="s">
        <v>11</v>
      </c>
      <c r="F18" s="706">
        <v>0</v>
      </c>
      <c r="G18" s="1031" cm="1">
        <f t="array" ref="G18">$F18*(SUMPRODUCT(('Cashflow Summary C19RM'!$K$5:$K$100&lt;&gt;1)*('Cashflow Summary C19RM'!$D$5:$D$100=E18)*('Cashflow Summary C19RM'!$R$5:$R$100)))</f>
        <v>0</v>
      </c>
      <c r="H18" s="629" cm="1">
        <f t="array" ref="H18">$F18*(SUMPRODUCT(('Cashflow Summary C19RM'!$K$5:$K$100&lt;&gt;1)*('Cashflow Summary C19RM'!$D$5:$D$100=E18)*('Cashflow Summary C19RM'!$S$5:$S$100)))</f>
        <v>0</v>
      </c>
      <c r="I18" s="630" cm="1">
        <f t="array" ref="I18">$F18*(SUMPRODUCT(('Cashflow Summary C19RM'!$K$5:$K$100&lt;&gt;1)*('Cashflow Summary C19RM'!$D$5:$D$100=E18)*('Cashflow Summary C19RM'!$T$5:$T$100)))</f>
        <v>0</v>
      </c>
      <c r="J18" s="630" cm="1">
        <f t="array" ref="J18">$F18*(SUMPRODUCT(('Cashflow Summary C19RM'!$K$5:$K$100&lt;&gt;1)*('Cashflow Summary C19RM'!$D$5:$D$100=E18)*('Cashflow Summary C19RM'!$U$5:$U$100)))</f>
        <v>0</v>
      </c>
      <c r="K18" s="1032">
        <f t="shared" si="0"/>
        <v>0</v>
      </c>
      <c r="L18" s="697">
        <f t="shared" si="1"/>
        <v>0</v>
      </c>
      <c r="M18" s="630" cm="1">
        <f t="array" ref="M18">$L18*(SUMPRODUCT(('Cashflow Summary C19RM'!$K$5:$K$100&lt;&gt;1)*('Cashflow Summary C19RM'!$D$5:$D$100=E18)*('Cashflow Summary C19RM'!$V$5:$V$100)))</f>
        <v>0</v>
      </c>
      <c r="N18" s="630" cm="1">
        <f t="array" ref="N18">$L18*(SUMPRODUCT(('Cashflow Summary C19RM'!$K$5:$K$100&lt;&gt;1)*('Cashflow Summary C19RM'!$D$5:$D$100=E18)*('Cashflow Summary C19RM'!$W$5:$W$100)))</f>
        <v>0</v>
      </c>
      <c r="O18" s="630" cm="1">
        <f t="array" ref="O18">$L18*(SUMPRODUCT(('Cashflow Summary C19RM'!$K$5:$K$100&lt;&gt;1)*('Cashflow Summary C19RM'!$D$5:$D$100=E18)*('Cashflow Summary C19RM'!$X$5:$X$100)))</f>
        <v>0</v>
      </c>
      <c r="P18" s="630" cm="1">
        <f t="array" ref="P18">$L18*(SUMPRODUCT(('Cashflow Summary C19RM'!$K$5:$K$100&lt;&gt;1)*('Cashflow Summary C19RM'!$D$5:$D$100=E18)*('Cashflow Summary C19RM'!$Y$5:$Y$100)))</f>
        <v>0</v>
      </c>
      <c r="Q18" s="632">
        <f t="shared" si="2"/>
        <v>0</v>
      </c>
      <c r="R18" s="686">
        <f t="shared" si="3"/>
        <v>0</v>
      </c>
      <c r="S18" s="633" cm="1">
        <f t="array" ref="S18">$R18*(SUMPRODUCT(('Cashflow Summary C19RM'!$K$5:$K$100&lt;&gt;1)*('Cashflow Summary C19RM'!$D$5:$D$100=E18)*('Cashflow Summary C19RM'!$Z$5:$Z$100)))</f>
        <v>0</v>
      </c>
      <c r="T18" s="633" cm="1">
        <f t="array" ref="T18">$R18*(SUMPRODUCT(('Cashflow Summary C19RM'!$K$5:$K$100&lt;&gt;1)*('Cashflow Summary C19RM'!$D$5:$D$100=E18)*('Cashflow Summary C19RM'!$AA$5:$AA$100)))</f>
        <v>0</v>
      </c>
      <c r="U18" s="633" cm="1">
        <f t="array" ref="U18">$R18*(SUMPRODUCT(('Cashflow Summary C19RM'!$K$5:$K$100&lt;&gt;1)*('Cashflow Summary C19RM'!$D$5:$D$100=E18)*('Cashflow Summary C19RM'!$AB$5:$AB$100)))</f>
        <v>0</v>
      </c>
      <c r="V18" s="633" cm="1">
        <f t="array" ref="V18">$R18*(SUMPRODUCT(('Cashflow Summary C19RM'!$K$5:$K$100&lt;&gt;1)*('Cashflow Summary C19RM'!$D$5:$D$100=E18)*('Cashflow Summary C19RM'!$AC$5:$AC$100)))</f>
        <v>0</v>
      </c>
      <c r="W18" s="634">
        <f t="shared" si="4"/>
        <v>0</v>
      </c>
      <c r="X18" s="686">
        <f t="shared" si="5"/>
        <v>0</v>
      </c>
      <c r="Y18" s="633" cm="1">
        <f t="array" ref="Y18">$X18*(SUMPRODUCT(('Cashflow Summary C19RM'!$K$5:$K$100&lt;&gt;1)*('Cashflow Summary C19RM'!$D$5:$D$100=E18)*('Cashflow Summary C19RM'!$AD$5:$AD$100)))</f>
        <v>0</v>
      </c>
      <c r="Z18" s="633" cm="1">
        <f t="array" ref="Z18">$X18*(SUMPRODUCT(('Cashflow Summary C19RM'!$K$5:$K$100&lt;&gt;1)*('Cashflow Summary C19RM'!$D$5:$D$100=E18)*('Cashflow Summary C19RM'!$AE$5:$AE$100)))</f>
        <v>0</v>
      </c>
      <c r="AA18" s="633" cm="1">
        <f t="array" ref="AA18">$X18*(SUMPRODUCT(('Cashflow Summary C19RM'!$K$5:$K$100&lt;&gt;1)*('Cashflow Summary C19RM'!$D$5:$D$100=E18)*('Cashflow Summary C19RM'!$AF$5:$AF$100)))</f>
        <v>0</v>
      </c>
      <c r="AB18" s="630" cm="1">
        <f t="array" ref="AB18">$X18*(SUMPRODUCT(('Cashflow Summary C19RM'!$K$5:$K$100&lt;&gt;1)*('Cashflow Summary C19RM'!$D$5:$D$100=E18)*('Cashflow Summary C19RM'!$AG$5:$AG$100)))</f>
        <v>0</v>
      </c>
      <c r="AC18" s="634">
        <f t="shared" si="6"/>
        <v>0</v>
      </c>
      <c r="AD18" s="686">
        <f t="shared" si="7"/>
        <v>0</v>
      </c>
      <c r="AE18" s="628" cm="1">
        <f t="array" ref="AE18">$AD18*(SUMPRODUCT(('Cashflow Summary C19RM'!$K$5:$K$100&lt;&gt;1)*('Cashflow Summary C19RM'!$D$5:$D$100=E18)*('Cashflow Summary C19RM'!$AH$5:$AH$100)))</f>
        <v>0</v>
      </c>
      <c r="AF18" s="633" cm="1">
        <f t="array" ref="AF18">$AD18*(SUMPRODUCT(('Cashflow Summary C19RM'!$K$5:$K$100&lt;&gt;1)*('Cashflow Summary C19RM'!$D$5:$D$100=E18)*('Cashflow Summary C19RM'!$AI$5:$AI$100)))</f>
        <v>0</v>
      </c>
      <c r="AG18" s="633" cm="1">
        <f t="array" ref="AG18">$AD18*(SUMPRODUCT(('Cashflow Summary C19RM'!$K$5:$K$100&lt;&gt;1)*('Cashflow Summary C19RM'!$D$5:$D$100=E18)*('Cashflow Summary C19RM'!$AJ$5:$AJ$100)))</f>
        <v>0</v>
      </c>
      <c r="AH18" s="633" cm="1">
        <f t="array" ref="AH18">$AD18*(SUMPRODUCT(('Cashflow Summary C19RM'!$K$5:$K$100&lt;&gt;1)*('Cashflow Summary C19RM'!$D$5:$D$100=E18)*('Cashflow Summary C19RM'!$AK$5:$AO$100)))</f>
        <v>0</v>
      </c>
      <c r="AI18" s="634">
        <f t="shared" ref="AI18:AI31" si="14">SUM(AE18:AH18)</f>
        <v>0</v>
      </c>
      <c r="AJ18" s="875">
        <v>0</v>
      </c>
      <c r="AK18" s="872"/>
      <c r="AL18" s="873"/>
      <c r="AM18" s="873"/>
      <c r="AN18" s="873"/>
      <c r="AO18" s="874"/>
      <c r="AP18" s="634">
        <f t="shared" ref="AP18:AP31" si="15">K18+Q18+W18+AC18+AI18</f>
        <v>0</v>
      </c>
      <c r="AQ18" s="636">
        <v>7.1</v>
      </c>
      <c r="AR18" s="707"/>
      <c r="AS18" s="310"/>
      <c r="AV18" s="228">
        <f t="shared" si="8"/>
        <v>0</v>
      </c>
      <c r="AW18" s="228">
        <f t="shared" si="9"/>
        <v>0</v>
      </c>
      <c r="AX18" s="228">
        <f t="shared" si="10"/>
        <v>0</v>
      </c>
      <c r="AY18" s="228">
        <f t="shared" si="11"/>
        <v>0</v>
      </c>
      <c r="AZ18" s="228">
        <f t="shared" si="12"/>
        <v>0</v>
      </c>
      <c r="BA18" s="228"/>
      <c r="BC18" s="345" cm="1">
        <f t="array" ref="BC18">IF(BM18&gt;=1,0,IFERROR(SUMPRODUCT(($G$11:$AH$11=$BC$16)*($G18:$AH18)),0))</f>
        <v>0</v>
      </c>
      <c r="BD18" s="345" cm="1">
        <f t="array" ref="BD18">IF(BM18&gt;=1,0,IFERROR(SUMPRODUCT(($G$11:$AH$11=$BD$16)*($G18:$AH18)),0))</f>
        <v>0</v>
      </c>
      <c r="BE18" s="345" cm="1">
        <f t="array" ref="BE18">IF(BM18&gt;=1,0,IFERROR(SUMPRODUCT(($G$11:$AH$11=$BE$16)*($G18:$AH18)),0))</f>
        <v>0</v>
      </c>
      <c r="BF18" s="345" cm="1">
        <f t="array" ref="BF18">IF(BM18&gt;=1,0,IFERROR(SUMPRODUCT(($G$11:$AH$11=$BF$16)*($G18:$AH18)),0))</f>
        <v>0</v>
      </c>
      <c r="BG18" s="345" cm="1">
        <f t="array" ref="BG18">IF(BM18&gt;=1,0,IFERROR(SUMPRODUCT(($G$11:$AH$11=$BG$16)*($G18:$AH18)),0))</f>
        <v>0</v>
      </c>
      <c r="BH18" s="345"/>
      <c r="BI18" s="343">
        <f t="shared" ref="BI18:BI31" si="16">SUM(BC18:BG18)</f>
        <v>0</v>
      </c>
      <c r="BJ18" s="229" t="s">
        <v>83</v>
      </c>
      <c r="BK18" cm="1">
        <f t="array" ref="BK18">(SUMPRODUCT(('Cashflow Summary C19RM'!$D$5:$D$451=E18)*('Cashflow Summary C19RM'!$BD$5:$BD$451)))</f>
        <v>0</v>
      </c>
      <c r="BL18" cm="1">
        <f t="array" ref="BL18">(SUMPRODUCT((SETUP!$D$20:$D$35=E18)*(SETUP!$R$20:$R$35)))</f>
        <v>0</v>
      </c>
      <c r="BM18" s="89">
        <f t="shared" si="13"/>
        <v>0</v>
      </c>
    </row>
    <row r="19" spans="1:65" s="89" customFormat="1" ht="15" customHeight="1" thickBot="1" x14ac:dyDescent="0.4">
      <c r="A19" s="89" t="s">
        <v>619</v>
      </c>
      <c r="B19" s="210" t="s">
        <v>695</v>
      </c>
      <c r="C19" s="699" t="s">
        <v>2750</v>
      </c>
      <c r="D19" s="1314"/>
      <c r="E19" s="1010" t="s">
        <v>15</v>
      </c>
      <c r="F19" s="706">
        <v>0</v>
      </c>
      <c r="G19" s="1031" cm="1">
        <f t="array" ref="G19">$F19*(SUMPRODUCT(('Cashflow Summary C19RM'!$K$5:$K$100&lt;&gt;1)*('Cashflow Summary C19RM'!$D$5:$D$100=E19)*('Cashflow Summary C19RM'!$R$5:$R$100)))</f>
        <v>0</v>
      </c>
      <c r="H19" s="629" cm="1">
        <f t="array" ref="H19">$F19*(SUMPRODUCT(('Cashflow Summary C19RM'!$K$5:$K$100&lt;&gt;1)*('Cashflow Summary C19RM'!$D$5:$D$100=E19)*('Cashflow Summary C19RM'!$S$5:$S$100)))</f>
        <v>0</v>
      </c>
      <c r="I19" s="630" cm="1">
        <f t="array" ref="I19">$F19*(SUMPRODUCT(('Cashflow Summary C19RM'!$K$5:$K$100&lt;&gt;1)*('Cashflow Summary C19RM'!$D$5:$D$100=E19)*('Cashflow Summary C19RM'!$T$5:$T$100)))</f>
        <v>0</v>
      </c>
      <c r="J19" s="630" cm="1">
        <f t="array" ref="J19">$F19*(SUMPRODUCT(('Cashflow Summary C19RM'!$K$5:$K$100&lt;&gt;1)*('Cashflow Summary C19RM'!$D$5:$D$100=E19)*('Cashflow Summary C19RM'!$U$5:$U$100)))</f>
        <v>0</v>
      </c>
      <c r="K19" s="1032">
        <f t="shared" si="0"/>
        <v>0</v>
      </c>
      <c r="L19" s="697">
        <f t="shared" si="1"/>
        <v>0</v>
      </c>
      <c r="M19" s="630" cm="1">
        <f t="array" ref="M19">$L19*(SUMPRODUCT(('Cashflow Summary C19RM'!$K$5:$K$100&lt;&gt;1)*('Cashflow Summary C19RM'!$D$5:$D$100=E19)*('Cashflow Summary C19RM'!$V$5:$V$100)))</f>
        <v>0</v>
      </c>
      <c r="N19" s="630" cm="1">
        <f t="array" ref="N19">$L19*(SUMPRODUCT(('Cashflow Summary C19RM'!$K$5:$K$100&lt;&gt;1)*('Cashflow Summary C19RM'!$D$5:$D$100=E19)*('Cashflow Summary C19RM'!$W$5:$W$100)))</f>
        <v>0</v>
      </c>
      <c r="O19" s="630" cm="1">
        <f t="array" ref="O19">$L19*(SUMPRODUCT(('Cashflow Summary C19RM'!$K$5:$K$100&lt;&gt;1)*('Cashflow Summary C19RM'!$D$5:$D$100=E19)*('Cashflow Summary C19RM'!$X$5:$X$100)))</f>
        <v>0</v>
      </c>
      <c r="P19" s="630" cm="1">
        <f t="array" ref="P19">$L19*(SUMPRODUCT(('Cashflow Summary C19RM'!$K$5:$K$100&lt;&gt;1)*('Cashflow Summary C19RM'!$D$5:$D$100=E19)*('Cashflow Summary C19RM'!$Y$5:$Y$100)))</f>
        <v>0</v>
      </c>
      <c r="Q19" s="632">
        <f t="shared" si="2"/>
        <v>0</v>
      </c>
      <c r="R19" s="686">
        <f t="shared" si="3"/>
        <v>0</v>
      </c>
      <c r="S19" s="633" cm="1">
        <f t="array" ref="S19">$R19*(SUMPRODUCT(('Cashflow Summary C19RM'!$K$5:$K$100&lt;&gt;1)*('Cashflow Summary C19RM'!$D$5:$D$100=E19)*('Cashflow Summary C19RM'!$Z$5:$Z$100)))</f>
        <v>0</v>
      </c>
      <c r="T19" s="633" cm="1">
        <f t="array" ref="T19">$R19*(SUMPRODUCT(('Cashflow Summary C19RM'!$K$5:$K$100&lt;&gt;1)*('Cashflow Summary C19RM'!$D$5:$D$100=E19)*('Cashflow Summary C19RM'!$AA$5:$AA$100)))</f>
        <v>0</v>
      </c>
      <c r="U19" s="633" cm="1">
        <f t="array" ref="U19">$R19*(SUMPRODUCT(('Cashflow Summary C19RM'!$K$5:$K$100&lt;&gt;1)*('Cashflow Summary C19RM'!$D$5:$D$100=E19)*('Cashflow Summary C19RM'!$AB$5:$AB$100)))</f>
        <v>0</v>
      </c>
      <c r="V19" s="633" cm="1">
        <f t="array" ref="V19">$R19*(SUMPRODUCT(('Cashflow Summary C19RM'!$K$5:$K$100&lt;&gt;1)*('Cashflow Summary C19RM'!$D$5:$D$100=E19)*('Cashflow Summary C19RM'!$AC$5:$AC$100)))</f>
        <v>0</v>
      </c>
      <c r="W19" s="634">
        <f t="shared" si="4"/>
        <v>0</v>
      </c>
      <c r="X19" s="686">
        <f t="shared" si="5"/>
        <v>0</v>
      </c>
      <c r="Y19" s="633" cm="1">
        <f t="array" ref="Y19">$X19*(SUMPRODUCT(('Cashflow Summary C19RM'!$K$5:$K$100&lt;&gt;1)*('Cashflow Summary C19RM'!$D$5:$D$100=E19)*('Cashflow Summary C19RM'!$AD$5:$AD$100)))</f>
        <v>0</v>
      </c>
      <c r="Z19" s="633" cm="1">
        <f t="array" ref="Z19">$X19*(SUMPRODUCT(('Cashflow Summary C19RM'!$K$5:$K$100&lt;&gt;1)*('Cashflow Summary C19RM'!$D$5:$D$100=E19)*('Cashflow Summary C19RM'!$AE$5:$AE$100)))</f>
        <v>0</v>
      </c>
      <c r="AA19" s="633" cm="1">
        <f t="array" ref="AA19">$X19*(SUMPRODUCT(('Cashflow Summary C19RM'!$K$5:$K$100&lt;&gt;1)*('Cashflow Summary C19RM'!$D$5:$D$100=E19)*('Cashflow Summary C19RM'!$AF$5:$AF$100)))</f>
        <v>0</v>
      </c>
      <c r="AB19" s="630" cm="1">
        <f t="array" ref="AB19">$X19*(SUMPRODUCT(('Cashflow Summary C19RM'!$K$5:$K$100&lt;&gt;1)*('Cashflow Summary C19RM'!$D$5:$D$100=E19)*('Cashflow Summary C19RM'!$AG$5:$AG$100)))</f>
        <v>0</v>
      </c>
      <c r="AC19" s="634">
        <f t="shared" si="6"/>
        <v>0</v>
      </c>
      <c r="AD19" s="686">
        <f t="shared" si="7"/>
        <v>0</v>
      </c>
      <c r="AE19" s="628" cm="1">
        <f t="array" ref="AE19">$AD19*(SUMPRODUCT(('Cashflow Summary C19RM'!$K$5:$K$100&lt;&gt;1)*('Cashflow Summary C19RM'!$D$5:$D$100=E19)*('Cashflow Summary C19RM'!$AH$5:$AH$100)))</f>
        <v>0</v>
      </c>
      <c r="AF19" s="633" cm="1">
        <f t="array" ref="AF19">$AD19*(SUMPRODUCT(('Cashflow Summary C19RM'!$K$5:$K$100&lt;&gt;1)*('Cashflow Summary C19RM'!$D$5:$D$100=E19)*('Cashflow Summary C19RM'!$AI$5:$AI$100)))</f>
        <v>0</v>
      </c>
      <c r="AG19" s="633" cm="1">
        <f t="array" ref="AG19">$AD19*(SUMPRODUCT(('Cashflow Summary C19RM'!$K$5:$K$100&lt;&gt;1)*('Cashflow Summary C19RM'!$D$5:$D$100=E19)*('Cashflow Summary C19RM'!$AJ$5:$AJ$100)))</f>
        <v>0</v>
      </c>
      <c r="AH19" s="633" cm="1">
        <f t="array" ref="AH19">$AD19*(SUMPRODUCT(('Cashflow Summary C19RM'!$K$5:$K$100&lt;&gt;1)*('Cashflow Summary C19RM'!$D$5:$D$100=E19)*('Cashflow Summary C19RM'!$AK$5:$AO$100)))</f>
        <v>0</v>
      </c>
      <c r="AI19" s="634">
        <f t="shared" si="14"/>
        <v>0</v>
      </c>
      <c r="AJ19" s="875">
        <v>0</v>
      </c>
      <c r="AK19" s="872"/>
      <c r="AL19" s="873"/>
      <c r="AM19" s="873"/>
      <c r="AN19" s="873"/>
      <c r="AO19" s="874"/>
      <c r="AP19" s="634">
        <f t="shared" si="15"/>
        <v>0</v>
      </c>
      <c r="AQ19" s="636">
        <v>7.1</v>
      </c>
      <c r="AR19" s="707"/>
      <c r="AS19" s="310"/>
      <c r="AV19" s="228">
        <f t="shared" si="8"/>
        <v>0</v>
      </c>
      <c r="AW19" s="228">
        <f t="shared" si="9"/>
        <v>0</v>
      </c>
      <c r="AX19" s="228">
        <f t="shared" si="10"/>
        <v>0</v>
      </c>
      <c r="AY19" s="228">
        <f t="shared" si="11"/>
        <v>0</v>
      </c>
      <c r="AZ19" s="228">
        <f t="shared" si="12"/>
        <v>0</v>
      </c>
      <c r="BA19" s="228"/>
      <c r="BC19" s="345" cm="1">
        <f t="array" ref="BC19">IF(BM19&gt;=1,0,IFERROR(SUMPRODUCT(($G$11:$AH$11=$BC$16)*($G19:$AH19)),0))</f>
        <v>0</v>
      </c>
      <c r="BD19" s="345" cm="1">
        <f t="array" ref="BD19">IF(BM19&gt;=1,0,IFERROR(SUMPRODUCT(($G$11:$AH$11=$BD$16)*($G19:$AH19)),0))</f>
        <v>0</v>
      </c>
      <c r="BE19" s="345" cm="1">
        <f t="array" ref="BE19">IF(BM19&gt;=1,0,IFERROR(SUMPRODUCT(($G$11:$AH$11=$BE$16)*($G19:$AH19)),0))</f>
        <v>0</v>
      </c>
      <c r="BF19" s="345" cm="1">
        <f t="array" ref="BF19">IF(BM19&gt;=1,0,IFERROR(SUMPRODUCT(($G$11:$AH$11=$BF$16)*($G19:$AH19)),0))</f>
        <v>0</v>
      </c>
      <c r="BG19" s="345" cm="1">
        <f t="array" ref="BG19">IF(BM19&gt;=1,0,IFERROR(SUMPRODUCT(($G$11:$AH$11=$BG$16)*($G19:$AH19)),0))</f>
        <v>0</v>
      </c>
      <c r="BH19" s="345"/>
      <c r="BI19" s="343">
        <f t="shared" si="16"/>
        <v>0</v>
      </c>
      <c r="BJ19" s="229" t="s">
        <v>83</v>
      </c>
      <c r="BK19" cm="1">
        <f t="array" ref="BK19">(SUMPRODUCT(('Cashflow Summary C19RM'!$D$5:$D$451=E19)*('Cashflow Summary C19RM'!$BD$5:$BD$451)))</f>
        <v>0</v>
      </c>
      <c r="BL19" cm="1">
        <f t="array" ref="BL19">(SUMPRODUCT((SETUP!$D$20:$D$35=E19)*(SETUP!$R$20:$R$35)))</f>
        <v>0</v>
      </c>
      <c r="BM19" s="89">
        <f t="shared" si="13"/>
        <v>0</v>
      </c>
    </row>
    <row r="20" spans="1:65" s="89" customFormat="1" ht="15" customHeight="1" thickBot="1" x14ac:dyDescent="0.4">
      <c r="A20" s="89" t="s">
        <v>619</v>
      </c>
      <c r="B20" s="210" t="s">
        <v>695</v>
      </c>
      <c r="C20" s="699" t="s">
        <v>2750</v>
      </c>
      <c r="D20" s="1314"/>
      <c r="E20" s="1010" t="s">
        <v>13</v>
      </c>
      <c r="F20" s="706">
        <v>0</v>
      </c>
      <c r="G20" s="1031" cm="1">
        <f t="array" ref="G20">$F20*(SUMPRODUCT(('Cashflow Summary C19RM'!$K$5:$K$100&lt;&gt;1)*('Cashflow Summary C19RM'!$D$5:$D$100=E20)*('Cashflow Summary C19RM'!$R$5:$R$100)))</f>
        <v>0</v>
      </c>
      <c r="H20" s="629" cm="1">
        <f t="array" ref="H20">$F20*(SUMPRODUCT(('Cashflow Summary C19RM'!$K$5:$K$100&lt;&gt;1)*('Cashflow Summary C19RM'!$D$5:$D$100=E20)*('Cashflow Summary C19RM'!$S$5:$S$100)))</f>
        <v>0</v>
      </c>
      <c r="I20" s="630" cm="1">
        <f t="array" ref="I20">$F20*(SUMPRODUCT(('Cashflow Summary C19RM'!$K$5:$K$100&lt;&gt;1)*('Cashflow Summary C19RM'!$D$5:$D$100=E20)*('Cashflow Summary C19RM'!$T$5:$T$100)))</f>
        <v>0</v>
      </c>
      <c r="J20" s="630" cm="1">
        <f t="array" ref="J20">$F20*(SUMPRODUCT(('Cashflow Summary C19RM'!$K$5:$K$100&lt;&gt;1)*('Cashflow Summary C19RM'!$D$5:$D$100=E20)*('Cashflow Summary C19RM'!$U$5:$U$100)))</f>
        <v>0</v>
      </c>
      <c r="K20" s="1032">
        <f t="shared" si="0"/>
        <v>0</v>
      </c>
      <c r="L20" s="697">
        <f t="shared" si="1"/>
        <v>0</v>
      </c>
      <c r="M20" s="630" cm="1">
        <f t="array" ref="M20">$L20*(SUMPRODUCT(('Cashflow Summary C19RM'!$K$5:$K$100&lt;&gt;1)*('Cashflow Summary C19RM'!$D$5:$D$100=E20)*('Cashflow Summary C19RM'!$V$5:$V$100)))</f>
        <v>0</v>
      </c>
      <c r="N20" s="630" cm="1">
        <f t="array" ref="N20">$L20*(SUMPRODUCT(('Cashflow Summary C19RM'!$K$5:$K$100&lt;&gt;1)*('Cashflow Summary C19RM'!$D$5:$D$100=E20)*('Cashflow Summary C19RM'!$W$5:$W$100)))</f>
        <v>0</v>
      </c>
      <c r="O20" s="630" cm="1">
        <f t="array" ref="O20">$L20*(SUMPRODUCT(('Cashflow Summary C19RM'!$K$5:$K$100&lt;&gt;1)*('Cashflow Summary C19RM'!$D$5:$D$100=E20)*('Cashflow Summary C19RM'!$X$5:$X$100)))</f>
        <v>0</v>
      </c>
      <c r="P20" s="630" cm="1">
        <f t="array" ref="P20">$L20*(SUMPRODUCT(('Cashflow Summary C19RM'!$K$5:$K$100&lt;&gt;1)*('Cashflow Summary C19RM'!$D$5:$D$100=E20)*('Cashflow Summary C19RM'!$Y$5:$Y$100)))</f>
        <v>0</v>
      </c>
      <c r="Q20" s="632">
        <f t="shared" si="2"/>
        <v>0</v>
      </c>
      <c r="R20" s="686">
        <f t="shared" si="3"/>
        <v>0</v>
      </c>
      <c r="S20" s="633" cm="1">
        <f t="array" ref="S20">$R20*(SUMPRODUCT(('Cashflow Summary C19RM'!$K$5:$K$100&lt;&gt;1)*('Cashflow Summary C19RM'!$D$5:$D$100=E20)*('Cashflow Summary C19RM'!$Z$5:$Z$100)))</f>
        <v>0</v>
      </c>
      <c r="T20" s="633" cm="1">
        <f t="array" ref="T20">$R20*(SUMPRODUCT(('Cashflow Summary C19RM'!$K$5:$K$100&lt;&gt;1)*('Cashflow Summary C19RM'!$D$5:$D$100=E20)*('Cashflow Summary C19RM'!$AA$5:$AA$100)))</f>
        <v>0</v>
      </c>
      <c r="U20" s="633" cm="1">
        <f t="array" ref="U20">$R20*(SUMPRODUCT(('Cashflow Summary C19RM'!$K$5:$K$100&lt;&gt;1)*('Cashflow Summary C19RM'!$D$5:$D$100=E20)*('Cashflow Summary C19RM'!$AB$5:$AB$100)))</f>
        <v>0</v>
      </c>
      <c r="V20" s="633" cm="1">
        <f t="array" ref="V20">$R20*(SUMPRODUCT(('Cashflow Summary C19RM'!$K$5:$K$100&lt;&gt;1)*('Cashflow Summary C19RM'!$D$5:$D$100=E20)*('Cashflow Summary C19RM'!$AC$5:$AC$100)))</f>
        <v>0</v>
      </c>
      <c r="W20" s="634">
        <f t="shared" si="4"/>
        <v>0</v>
      </c>
      <c r="X20" s="686">
        <f t="shared" si="5"/>
        <v>0</v>
      </c>
      <c r="Y20" s="633" cm="1">
        <f t="array" ref="Y20">$X20*(SUMPRODUCT(('Cashflow Summary C19RM'!$K$5:$K$100&lt;&gt;1)*('Cashflow Summary C19RM'!$D$5:$D$100=E20)*('Cashflow Summary C19RM'!$AD$5:$AD$100)))</f>
        <v>0</v>
      </c>
      <c r="Z20" s="633" cm="1">
        <f t="array" ref="Z20">$X20*(SUMPRODUCT(('Cashflow Summary C19RM'!$K$5:$K$100&lt;&gt;1)*('Cashflow Summary C19RM'!$D$5:$D$100=E20)*('Cashflow Summary C19RM'!$AE$5:$AE$100)))</f>
        <v>0</v>
      </c>
      <c r="AA20" s="633" cm="1">
        <f t="array" ref="AA20">$X20*(SUMPRODUCT(('Cashflow Summary C19RM'!$K$5:$K$100&lt;&gt;1)*('Cashflow Summary C19RM'!$D$5:$D$100=E20)*('Cashflow Summary C19RM'!$AF$5:$AF$100)))</f>
        <v>0</v>
      </c>
      <c r="AB20" s="630" cm="1">
        <f t="array" ref="AB20">$X20*(SUMPRODUCT(('Cashflow Summary C19RM'!$K$5:$K$100&lt;&gt;1)*('Cashflow Summary C19RM'!$D$5:$D$100=E20)*('Cashflow Summary C19RM'!$AG$5:$AG$100)))</f>
        <v>0</v>
      </c>
      <c r="AC20" s="634">
        <f t="shared" si="6"/>
        <v>0</v>
      </c>
      <c r="AD20" s="686">
        <f t="shared" ref="AD20:AD31" si="17">L20</f>
        <v>0</v>
      </c>
      <c r="AE20" s="628" cm="1">
        <f t="array" ref="AE20">$AD20*(SUMPRODUCT(('Cashflow Summary C19RM'!$K$5:$K$100&lt;&gt;1)*('Cashflow Summary C19RM'!$D$5:$D$100=E20)*('Cashflow Summary C19RM'!$AH$5:$AH$100)))</f>
        <v>0</v>
      </c>
      <c r="AF20" s="633" cm="1">
        <f t="array" ref="AF20">$AD20*(SUMPRODUCT(('Cashflow Summary C19RM'!$K$5:$K$100&lt;&gt;1)*('Cashflow Summary C19RM'!$D$5:$D$100=E20)*('Cashflow Summary C19RM'!$AI$5:$AI$100)))</f>
        <v>0</v>
      </c>
      <c r="AG20" s="633" cm="1">
        <f t="array" ref="AG20">$AD20*(SUMPRODUCT(('Cashflow Summary C19RM'!$K$5:$K$100&lt;&gt;1)*('Cashflow Summary C19RM'!$D$5:$D$100=E20)*('Cashflow Summary C19RM'!$AJ$5:$AJ$100)))</f>
        <v>0</v>
      </c>
      <c r="AH20" s="633" cm="1">
        <f t="array" ref="AH20">$AD20*(SUMPRODUCT(('Cashflow Summary C19RM'!$K$5:$K$100&lt;&gt;1)*('Cashflow Summary C19RM'!$D$5:$D$100=E20)*('Cashflow Summary C19RM'!$AK$5:$AO$100)))</f>
        <v>0</v>
      </c>
      <c r="AI20" s="634">
        <f t="shared" si="14"/>
        <v>0</v>
      </c>
      <c r="AJ20" s="875">
        <v>0</v>
      </c>
      <c r="AK20" s="872"/>
      <c r="AL20" s="873"/>
      <c r="AM20" s="873"/>
      <c r="AN20" s="873"/>
      <c r="AO20" s="874"/>
      <c r="AP20" s="634">
        <f t="shared" si="15"/>
        <v>0</v>
      </c>
      <c r="AQ20" s="636">
        <v>7.1</v>
      </c>
      <c r="AR20" s="707"/>
      <c r="AS20" s="310"/>
      <c r="AV20" s="228">
        <f t="shared" si="8"/>
        <v>0</v>
      </c>
      <c r="AW20" s="228">
        <f t="shared" si="9"/>
        <v>0</v>
      </c>
      <c r="AX20" s="228">
        <f t="shared" si="10"/>
        <v>0</v>
      </c>
      <c r="AY20" s="228">
        <f t="shared" si="11"/>
        <v>0</v>
      </c>
      <c r="AZ20" s="228">
        <f t="shared" si="12"/>
        <v>0</v>
      </c>
      <c r="BA20" s="228"/>
      <c r="BC20" s="345" cm="1">
        <f t="array" ref="BC20">IF(BM20&gt;=1,0,IFERROR(SUMPRODUCT(($G$11:$AH$11=$BC$16)*($G20:$AH20)),0))</f>
        <v>0</v>
      </c>
      <c r="BD20" s="345" cm="1">
        <f t="array" ref="BD20">IF(BM20&gt;=1,0,IFERROR(SUMPRODUCT(($G$11:$AH$11=$BD$16)*($G20:$AH20)),0))</f>
        <v>0</v>
      </c>
      <c r="BE20" s="345" cm="1">
        <f t="array" ref="BE20">IF(BM20&gt;=1,0,IFERROR(SUMPRODUCT(($G$11:$AH$11=$BE$16)*($G20:$AH20)),0))</f>
        <v>0</v>
      </c>
      <c r="BF20" s="345" cm="1">
        <f t="array" ref="BF20">IF(BM20&gt;=1,0,IFERROR(SUMPRODUCT(($G$11:$AH$11=$BF$16)*($G20:$AH20)),0))</f>
        <v>0</v>
      </c>
      <c r="BG20" s="345" cm="1">
        <f t="array" ref="BG20">IF(BM20&gt;=1,0,IFERROR(SUMPRODUCT(($G$11:$AH$11=$BG$16)*($G20:$AH20)),0))</f>
        <v>0</v>
      </c>
      <c r="BH20" s="345"/>
      <c r="BI20" s="343">
        <f t="shared" si="16"/>
        <v>0</v>
      </c>
      <c r="BJ20" s="229" t="s">
        <v>83</v>
      </c>
      <c r="BK20" cm="1">
        <f t="array" ref="BK20">(SUMPRODUCT(('Cashflow Summary C19RM'!$D$5:$D$451=E20)*('Cashflow Summary C19RM'!$BD$5:$BD$451)))</f>
        <v>0</v>
      </c>
      <c r="BL20" cm="1">
        <f t="array" ref="BL20">(SUMPRODUCT((SETUP!$D$20:$D$35=E20)*(SETUP!$R$20:$R$35)))</f>
        <v>0</v>
      </c>
      <c r="BM20" s="89">
        <f t="shared" si="13"/>
        <v>0</v>
      </c>
    </row>
    <row r="21" spans="1:65" s="89" customFormat="1" ht="15" customHeight="1" thickBot="1" x14ac:dyDescent="0.4">
      <c r="A21" s="89" t="s">
        <v>619</v>
      </c>
      <c r="B21" s="210" t="s">
        <v>695</v>
      </c>
      <c r="C21" s="699" t="s">
        <v>2750</v>
      </c>
      <c r="D21" s="1314"/>
      <c r="E21" s="1010" t="s">
        <v>17</v>
      </c>
      <c r="F21" s="706">
        <v>0</v>
      </c>
      <c r="G21" s="1031" cm="1">
        <f t="array" ref="G21">$F21*(SUMPRODUCT(('Cashflow Summary C19RM'!$K$5:$K$100&lt;&gt;1)*('Cashflow Summary C19RM'!$D$5:$D$100=E21)*('Cashflow Summary C19RM'!$R$5:$R$100)))</f>
        <v>0</v>
      </c>
      <c r="H21" s="629" cm="1">
        <f t="array" ref="H21">$F21*(SUMPRODUCT(('Cashflow Summary C19RM'!$K$5:$K$100&lt;&gt;1)*('Cashflow Summary C19RM'!$D$5:$D$100=E21)*('Cashflow Summary C19RM'!$S$5:$S$100)))</f>
        <v>0</v>
      </c>
      <c r="I21" s="630" cm="1">
        <f t="array" ref="I21">$F21*(SUMPRODUCT(('Cashflow Summary C19RM'!$K$5:$K$100&lt;&gt;1)*('Cashflow Summary C19RM'!$D$5:$D$100=E21)*('Cashflow Summary C19RM'!$T$5:$T$100)))</f>
        <v>0</v>
      </c>
      <c r="J21" s="630" cm="1">
        <f t="array" ref="J21">$F21*(SUMPRODUCT(('Cashflow Summary C19RM'!$K$5:$K$100&lt;&gt;1)*('Cashflow Summary C19RM'!$D$5:$D$100=E21)*('Cashflow Summary C19RM'!$U$5:$U$100)))</f>
        <v>0</v>
      </c>
      <c r="K21" s="1032">
        <f t="shared" si="0"/>
        <v>0</v>
      </c>
      <c r="L21" s="697">
        <f t="shared" si="1"/>
        <v>0</v>
      </c>
      <c r="M21" s="630" cm="1">
        <f t="array" ref="M21">$L21*(SUMPRODUCT(('Cashflow Summary C19RM'!$K$5:$K$100&lt;&gt;1)*('Cashflow Summary C19RM'!$D$5:$D$100=E21)*('Cashflow Summary C19RM'!$V$5:$V$100)))</f>
        <v>0</v>
      </c>
      <c r="N21" s="630" cm="1">
        <f t="array" ref="N21">$L21*(SUMPRODUCT(('Cashflow Summary C19RM'!$K$5:$K$100&lt;&gt;1)*('Cashflow Summary C19RM'!$D$5:$D$100=E21)*('Cashflow Summary C19RM'!$W$5:$W$100)))</f>
        <v>0</v>
      </c>
      <c r="O21" s="630" cm="1">
        <f t="array" ref="O21">$L21*(SUMPRODUCT(('Cashflow Summary C19RM'!$K$5:$K$100&lt;&gt;1)*('Cashflow Summary C19RM'!$D$5:$D$100=E21)*('Cashflow Summary C19RM'!$X$5:$X$100)))</f>
        <v>0</v>
      </c>
      <c r="P21" s="630" cm="1">
        <f t="array" ref="P21">$L21*(SUMPRODUCT(('Cashflow Summary C19RM'!$K$5:$K$100&lt;&gt;1)*('Cashflow Summary C19RM'!$D$5:$D$100=E21)*('Cashflow Summary C19RM'!$Y$5:$Y$100)))</f>
        <v>0</v>
      </c>
      <c r="Q21" s="632">
        <f t="shared" si="2"/>
        <v>0</v>
      </c>
      <c r="R21" s="686">
        <f t="shared" si="3"/>
        <v>0</v>
      </c>
      <c r="S21" s="633" cm="1">
        <f t="array" ref="S21">$R21*(SUMPRODUCT(('Cashflow Summary C19RM'!$K$5:$K$100&lt;&gt;1)*('Cashflow Summary C19RM'!$D$5:$D$100=E21)*('Cashflow Summary C19RM'!$Z$5:$Z$100)))</f>
        <v>0</v>
      </c>
      <c r="T21" s="633" cm="1">
        <f t="array" ref="T21">$R21*(SUMPRODUCT(('Cashflow Summary C19RM'!$K$5:$K$100&lt;&gt;1)*('Cashflow Summary C19RM'!$D$5:$D$100=E21)*('Cashflow Summary C19RM'!$AA$5:$AA$100)))</f>
        <v>0</v>
      </c>
      <c r="U21" s="633" cm="1">
        <f t="array" ref="U21">$R21*(SUMPRODUCT(('Cashflow Summary C19RM'!$K$5:$K$100&lt;&gt;1)*('Cashflow Summary C19RM'!$D$5:$D$100=E21)*('Cashflow Summary C19RM'!$AB$5:$AB$100)))</f>
        <v>0</v>
      </c>
      <c r="V21" s="633" cm="1">
        <f t="array" ref="V21">$R21*(SUMPRODUCT(('Cashflow Summary C19RM'!$K$5:$K$100&lt;&gt;1)*('Cashflow Summary C19RM'!$D$5:$D$100=E21)*('Cashflow Summary C19RM'!$AC$5:$AC$100)))</f>
        <v>0</v>
      </c>
      <c r="W21" s="634">
        <f t="shared" si="4"/>
        <v>0</v>
      </c>
      <c r="X21" s="686">
        <f t="shared" si="5"/>
        <v>0</v>
      </c>
      <c r="Y21" s="633" cm="1">
        <f t="array" ref="Y21">$X21*(SUMPRODUCT(('Cashflow Summary C19RM'!$K$5:$K$100&lt;&gt;1)*('Cashflow Summary C19RM'!$D$5:$D$100=E21)*('Cashflow Summary C19RM'!$AD$5:$AD$100)))</f>
        <v>0</v>
      </c>
      <c r="Z21" s="633" cm="1">
        <f t="array" ref="Z21">$X21*(SUMPRODUCT(('Cashflow Summary C19RM'!$K$5:$K$100&lt;&gt;1)*('Cashflow Summary C19RM'!$D$5:$D$100=E21)*('Cashflow Summary C19RM'!$AE$5:$AE$100)))</f>
        <v>0</v>
      </c>
      <c r="AA21" s="633" cm="1">
        <f t="array" ref="AA21">$X21*(SUMPRODUCT(('Cashflow Summary C19RM'!$K$5:$K$100&lt;&gt;1)*('Cashflow Summary C19RM'!$D$5:$D$100=E21)*('Cashflow Summary C19RM'!$AF$5:$AF$100)))</f>
        <v>0</v>
      </c>
      <c r="AB21" s="630" cm="1">
        <f t="array" ref="AB21">$X21*(SUMPRODUCT(('Cashflow Summary C19RM'!$K$5:$K$100&lt;&gt;1)*('Cashflow Summary C19RM'!$D$5:$D$100=E21)*('Cashflow Summary C19RM'!$AG$5:$AG$100)))</f>
        <v>0</v>
      </c>
      <c r="AC21" s="634">
        <f t="shared" si="6"/>
        <v>0</v>
      </c>
      <c r="AD21" s="686">
        <f t="shared" si="17"/>
        <v>0</v>
      </c>
      <c r="AE21" s="628" cm="1">
        <f t="array" ref="AE21">$AD21*(SUMPRODUCT(('Cashflow Summary C19RM'!$K$5:$K$100&lt;&gt;1)*('Cashflow Summary C19RM'!$D$5:$D$100=E21)*('Cashflow Summary C19RM'!$AH$5:$AH$100)))</f>
        <v>0</v>
      </c>
      <c r="AF21" s="633" cm="1">
        <f t="array" ref="AF21">$AD21*(SUMPRODUCT(('Cashflow Summary C19RM'!$K$5:$K$100&lt;&gt;1)*('Cashflow Summary C19RM'!$D$5:$D$100=E21)*('Cashflow Summary C19RM'!$AI$5:$AI$100)))</f>
        <v>0</v>
      </c>
      <c r="AG21" s="633" cm="1">
        <f t="array" ref="AG21">$AD21*(SUMPRODUCT(('Cashflow Summary C19RM'!$K$5:$K$100&lt;&gt;1)*('Cashflow Summary C19RM'!$D$5:$D$100=E21)*('Cashflow Summary C19RM'!$AJ$5:$AJ$100)))</f>
        <v>0</v>
      </c>
      <c r="AH21" s="633" cm="1">
        <f t="array" ref="AH21">$AD21*(SUMPRODUCT(('Cashflow Summary C19RM'!$K$5:$K$100&lt;&gt;1)*('Cashflow Summary C19RM'!$D$5:$D$100=E21)*('Cashflow Summary C19RM'!$AK$5:$AO$100)))</f>
        <v>0</v>
      </c>
      <c r="AI21" s="634">
        <f t="shared" si="14"/>
        <v>0</v>
      </c>
      <c r="AJ21" s="875">
        <v>0</v>
      </c>
      <c r="AK21" s="872"/>
      <c r="AL21" s="873"/>
      <c r="AM21" s="873"/>
      <c r="AN21" s="873"/>
      <c r="AO21" s="874"/>
      <c r="AP21" s="634">
        <f t="shared" si="15"/>
        <v>0</v>
      </c>
      <c r="AQ21" s="636">
        <v>7.1</v>
      </c>
      <c r="AR21" s="707"/>
      <c r="AS21" s="310"/>
      <c r="AV21" s="228">
        <f t="shared" si="8"/>
        <v>0</v>
      </c>
      <c r="AW21" s="228">
        <f t="shared" si="9"/>
        <v>0</v>
      </c>
      <c r="AX21" s="228">
        <f t="shared" si="10"/>
        <v>0</v>
      </c>
      <c r="AY21" s="228">
        <f t="shared" si="11"/>
        <v>0</v>
      </c>
      <c r="AZ21" s="228">
        <f t="shared" si="12"/>
        <v>0</v>
      </c>
      <c r="BA21" s="228"/>
      <c r="BC21" s="345" cm="1">
        <f t="array" ref="BC21">IF(BM21&gt;=1,0,IFERROR(SUMPRODUCT(($G$11:$AH$11=$BC$16)*($G21:$AH21)),0))</f>
        <v>0</v>
      </c>
      <c r="BD21" s="345" cm="1">
        <f t="array" ref="BD21">IF(BM21&gt;=1,0,IFERROR(SUMPRODUCT(($G$11:$AH$11=$BD$16)*($G21:$AH21)),0))</f>
        <v>0</v>
      </c>
      <c r="BE21" s="345" cm="1">
        <f t="array" ref="BE21">IF(BM21&gt;=1,0,IFERROR(SUMPRODUCT(($G$11:$AH$11=$BE$16)*($G21:$AH21)),0))</f>
        <v>0</v>
      </c>
      <c r="BF21" s="345" cm="1">
        <f t="array" ref="BF21">IF(BM21&gt;=1,0,IFERROR(SUMPRODUCT(($G$11:$AH$11=$BF$16)*($G21:$AH21)),0))</f>
        <v>0</v>
      </c>
      <c r="BG21" s="345" cm="1">
        <f t="array" ref="BG21">IF(BM21&gt;=1,0,IFERROR(SUMPRODUCT(($G$11:$AH$11=$BG$16)*($G21:$AH21)),0))</f>
        <v>0</v>
      </c>
      <c r="BH21" s="345"/>
      <c r="BI21" s="343">
        <f t="shared" si="16"/>
        <v>0</v>
      </c>
      <c r="BJ21" s="229" t="s">
        <v>83</v>
      </c>
      <c r="BK21" cm="1">
        <f t="array" ref="BK21">(SUMPRODUCT(('Cashflow Summary C19RM'!$D$5:$D$451=E21)*('Cashflow Summary C19RM'!$BD$5:$BD$451)))</f>
        <v>0</v>
      </c>
      <c r="BL21" cm="1">
        <f t="array" ref="BL21">(SUMPRODUCT((SETUP!$D$20:$D$35=E21)*(SETUP!$R$20:$R$35)))</f>
        <v>0</v>
      </c>
      <c r="BM21" s="89">
        <f t="shared" si="13"/>
        <v>0</v>
      </c>
    </row>
    <row r="22" spans="1:65" s="89" customFormat="1" ht="15" customHeight="1" thickBot="1" x14ac:dyDescent="0.4">
      <c r="A22" s="89" t="s">
        <v>619</v>
      </c>
      <c r="B22" s="210" t="s">
        <v>695</v>
      </c>
      <c r="C22" s="699" t="s">
        <v>2750</v>
      </c>
      <c r="D22" s="1314"/>
      <c r="E22" s="1010" t="s">
        <v>19</v>
      </c>
      <c r="F22" s="706">
        <v>0</v>
      </c>
      <c r="G22" s="1031" cm="1">
        <f t="array" ref="G22">$F22*(SUMPRODUCT(('Cashflow Summary C19RM'!$K$5:$K$100&lt;&gt;1)*('Cashflow Summary C19RM'!$D$5:$D$100=E22)*('Cashflow Summary C19RM'!$R$5:$R$100)))</f>
        <v>0</v>
      </c>
      <c r="H22" s="629" cm="1">
        <f t="array" ref="H22">$F22*(SUMPRODUCT(('Cashflow Summary C19RM'!$K$5:$K$100&lt;&gt;1)*('Cashflow Summary C19RM'!$D$5:$D$100=E22)*('Cashflow Summary C19RM'!$S$5:$S$100)))</f>
        <v>0</v>
      </c>
      <c r="I22" s="630" cm="1">
        <f t="array" ref="I22">$F22*(SUMPRODUCT(('Cashflow Summary C19RM'!$K$5:$K$100&lt;&gt;1)*('Cashflow Summary C19RM'!$D$5:$D$100=E22)*('Cashflow Summary C19RM'!$T$5:$T$100)))</f>
        <v>0</v>
      </c>
      <c r="J22" s="630" cm="1">
        <f t="array" ref="J22">$F22*(SUMPRODUCT(('Cashflow Summary C19RM'!$K$5:$K$100&lt;&gt;1)*('Cashflow Summary C19RM'!$D$5:$D$100=E22)*('Cashflow Summary C19RM'!$U$5:$U$100)))</f>
        <v>0</v>
      </c>
      <c r="K22" s="1032">
        <f t="shared" si="0"/>
        <v>0</v>
      </c>
      <c r="L22" s="697">
        <f t="shared" si="1"/>
        <v>0</v>
      </c>
      <c r="M22" s="630" cm="1">
        <f t="array" ref="M22">$L22*(SUMPRODUCT(('Cashflow Summary C19RM'!$K$5:$K$100&lt;&gt;1)*('Cashflow Summary C19RM'!$D$5:$D$100=E22)*('Cashflow Summary C19RM'!$V$5:$V$100)))</f>
        <v>0</v>
      </c>
      <c r="N22" s="630" cm="1">
        <f t="array" ref="N22">$L22*(SUMPRODUCT(('Cashflow Summary C19RM'!$K$5:$K$100&lt;&gt;1)*('Cashflow Summary C19RM'!$D$5:$D$100=E22)*('Cashflow Summary C19RM'!$W$5:$W$100)))</f>
        <v>0</v>
      </c>
      <c r="O22" s="630" cm="1">
        <f t="array" ref="O22">$L22*(SUMPRODUCT(('Cashflow Summary C19RM'!$K$5:$K$100&lt;&gt;1)*('Cashflow Summary C19RM'!$D$5:$D$100=E22)*('Cashflow Summary C19RM'!$X$5:$X$100)))</f>
        <v>0</v>
      </c>
      <c r="P22" s="630" cm="1">
        <f t="array" ref="P22">$L22*(SUMPRODUCT(('Cashflow Summary C19RM'!$K$5:$K$100&lt;&gt;1)*('Cashflow Summary C19RM'!$D$5:$D$100=E22)*('Cashflow Summary C19RM'!$Y$5:$Y$100)))</f>
        <v>0</v>
      </c>
      <c r="Q22" s="632">
        <f t="shared" si="2"/>
        <v>0</v>
      </c>
      <c r="R22" s="686">
        <f t="shared" si="3"/>
        <v>0</v>
      </c>
      <c r="S22" s="633" cm="1">
        <f t="array" ref="S22">$R22*(SUMPRODUCT(('Cashflow Summary C19RM'!$K$5:$K$100&lt;&gt;1)*('Cashflow Summary C19RM'!$D$5:$D$100=E22)*('Cashflow Summary C19RM'!$Z$5:$Z$100)))</f>
        <v>0</v>
      </c>
      <c r="T22" s="633" cm="1">
        <f t="array" ref="T22">$R22*(SUMPRODUCT(('Cashflow Summary C19RM'!$K$5:$K$100&lt;&gt;1)*('Cashflow Summary C19RM'!$D$5:$D$100=E22)*('Cashflow Summary C19RM'!$AA$5:$AA$100)))</f>
        <v>0</v>
      </c>
      <c r="U22" s="633" cm="1">
        <f t="array" ref="U22">$R22*(SUMPRODUCT(('Cashflow Summary C19RM'!$K$5:$K$100&lt;&gt;1)*('Cashflow Summary C19RM'!$D$5:$D$100=E22)*('Cashflow Summary C19RM'!$AB$5:$AB$100)))</f>
        <v>0</v>
      </c>
      <c r="V22" s="633" cm="1">
        <f t="array" ref="V22">$R22*(SUMPRODUCT(('Cashflow Summary C19RM'!$K$5:$K$100&lt;&gt;1)*('Cashflow Summary C19RM'!$D$5:$D$100=E22)*('Cashflow Summary C19RM'!$AC$5:$AC$100)))</f>
        <v>0</v>
      </c>
      <c r="W22" s="634">
        <f t="shared" si="4"/>
        <v>0</v>
      </c>
      <c r="X22" s="686">
        <f t="shared" si="5"/>
        <v>0</v>
      </c>
      <c r="Y22" s="633" cm="1">
        <f t="array" ref="Y22">$X22*(SUMPRODUCT(('Cashflow Summary C19RM'!$K$5:$K$100&lt;&gt;1)*('Cashflow Summary C19RM'!$D$5:$D$100=E22)*('Cashflow Summary C19RM'!$AD$5:$AD$100)))</f>
        <v>0</v>
      </c>
      <c r="Z22" s="633" cm="1">
        <f t="array" ref="Z22">$X22*(SUMPRODUCT(('Cashflow Summary C19RM'!$K$5:$K$100&lt;&gt;1)*('Cashflow Summary C19RM'!$D$5:$D$100=E22)*('Cashflow Summary C19RM'!$AE$5:$AE$100)))</f>
        <v>0</v>
      </c>
      <c r="AA22" s="633" cm="1">
        <f t="array" ref="AA22">$X22*(SUMPRODUCT(('Cashflow Summary C19RM'!$K$5:$K$100&lt;&gt;1)*('Cashflow Summary C19RM'!$D$5:$D$100=E22)*('Cashflow Summary C19RM'!$AF$5:$AF$100)))</f>
        <v>0</v>
      </c>
      <c r="AB22" s="630" cm="1">
        <f t="array" ref="AB22">$X22*(SUMPRODUCT(('Cashflow Summary C19RM'!$K$5:$K$100&lt;&gt;1)*('Cashflow Summary C19RM'!$D$5:$D$100=E22)*('Cashflow Summary C19RM'!$AG$5:$AG$100)))</f>
        <v>0</v>
      </c>
      <c r="AC22" s="634">
        <f t="shared" si="6"/>
        <v>0</v>
      </c>
      <c r="AD22" s="686">
        <f t="shared" si="17"/>
        <v>0</v>
      </c>
      <c r="AE22" s="628" cm="1">
        <f t="array" ref="AE22">$AD22*(SUMPRODUCT(('Cashflow Summary C19RM'!$K$5:$K$100&lt;&gt;1)*('Cashflow Summary C19RM'!$D$5:$D$100=E22)*('Cashflow Summary C19RM'!$AH$5:$AH$100)))</f>
        <v>0</v>
      </c>
      <c r="AF22" s="633" cm="1">
        <f t="array" ref="AF22">$AD22*(SUMPRODUCT(('Cashflow Summary C19RM'!$K$5:$K$100&lt;&gt;1)*('Cashflow Summary C19RM'!$D$5:$D$100=E22)*('Cashflow Summary C19RM'!$AI$5:$AI$100)))</f>
        <v>0</v>
      </c>
      <c r="AG22" s="633" cm="1">
        <f t="array" ref="AG22">$AD22*(SUMPRODUCT(('Cashflow Summary C19RM'!$K$5:$K$100&lt;&gt;1)*('Cashflow Summary C19RM'!$D$5:$D$100=E22)*('Cashflow Summary C19RM'!$AJ$5:$AJ$100)))</f>
        <v>0</v>
      </c>
      <c r="AH22" s="633" cm="1">
        <f t="array" ref="AH22">$AD22*(SUMPRODUCT(('Cashflow Summary C19RM'!$K$5:$K$100&lt;&gt;1)*('Cashflow Summary C19RM'!$D$5:$D$100=E22)*('Cashflow Summary C19RM'!$AK$5:$AO$100)))</f>
        <v>0</v>
      </c>
      <c r="AI22" s="634">
        <f t="shared" si="14"/>
        <v>0</v>
      </c>
      <c r="AJ22" s="875">
        <v>0</v>
      </c>
      <c r="AK22" s="872"/>
      <c r="AL22" s="873"/>
      <c r="AM22" s="873"/>
      <c r="AN22" s="873"/>
      <c r="AO22" s="874"/>
      <c r="AP22" s="634">
        <f t="shared" si="15"/>
        <v>0</v>
      </c>
      <c r="AQ22" s="636">
        <v>7.1</v>
      </c>
      <c r="AR22" s="707"/>
      <c r="AS22" s="310"/>
      <c r="AV22" s="228">
        <f t="shared" si="8"/>
        <v>0</v>
      </c>
      <c r="AW22" s="228">
        <f t="shared" si="9"/>
        <v>0</v>
      </c>
      <c r="AX22" s="228">
        <f t="shared" si="10"/>
        <v>0</v>
      </c>
      <c r="AY22" s="228">
        <f t="shared" si="11"/>
        <v>0</v>
      </c>
      <c r="AZ22" s="228">
        <f t="shared" si="12"/>
        <v>0</v>
      </c>
      <c r="BA22" s="228"/>
      <c r="BC22" s="345" cm="1">
        <f t="array" ref="BC22">IF(BM22&gt;=1,0,IFERROR(SUMPRODUCT(($G$11:$AH$11=$BC$16)*($G22:$AH22)),0))</f>
        <v>0</v>
      </c>
      <c r="BD22" s="345" cm="1">
        <f t="array" ref="BD22">IF(BM22&gt;=1,0,IFERROR(SUMPRODUCT(($G$11:$AH$11=$BD$16)*($G22:$AH22)),0))</f>
        <v>0</v>
      </c>
      <c r="BE22" s="345" cm="1">
        <f t="array" ref="BE22">IF(BM22&gt;=1,0,IFERROR(SUMPRODUCT(($G$11:$AH$11=$BE$16)*($G22:$AH22)),0))</f>
        <v>0</v>
      </c>
      <c r="BF22" s="345" cm="1">
        <f t="array" ref="BF22">IF(BM22&gt;=1,0,IFERROR(SUMPRODUCT(($G$11:$AH$11=$BF$16)*($G22:$AH22)),0))</f>
        <v>0</v>
      </c>
      <c r="BG22" s="345" cm="1">
        <f t="array" ref="BG22">IF(BM22&gt;=1,0,IFERROR(SUMPRODUCT(($G$11:$AH$11=$BG$16)*($G22:$AH22)),0))</f>
        <v>0</v>
      </c>
      <c r="BH22" s="345"/>
      <c r="BI22" s="343">
        <f t="shared" si="16"/>
        <v>0</v>
      </c>
      <c r="BJ22" s="229" t="s">
        <v>83</v>
      </c>
      <c r="BK22" cm="1">
        <f t="array" ref="BK22">(SUMPRODUCT(('Cashflow Summary C19RM'!$D$5:$D$451=E22)*('Cashflow Summary C19RM'!$BD$5:$BD$451)))</f>
        <v>0</v>
      </c>
      <c r="BL22" cm="1">
        <f t="array" ref="BL22">(SUMPRODUCT((SETUP!$D$20:$D$35=E22)*(SETUP!$R$20:$R$35)))</f>
        <v>0</v>
      </c>
      <c r="BM22" s="89">
        <f t="shared" si="13"/>
        <v>0</v>
      </c>
    </row>
    <row r="23" spans="1:65" s="89" customFormat="1" ht="15" customHeight="1" thickBot="1" x14ac:dyDescent="0.4">
      <c r="A23" s="89" t="s">
        <v>619</v>
      </c>
      <c r="B23" s="210" t="s">
        <v>695</v>
      </c>
      <c r="C23" s="699" t="s">
        <v>2750</v>
      </c>
      <c r="D23" s="1314"/>
      <c r="E23" s="1010" t="s">
        <v>122</v>
      </c>
      <c r="F23" s="706">
        <v>0</v>
      </c>
      <c r="G23" s="1031" cm="1">
        <f t="array" ref="G23">$F23*(SUMPRODUCT(('Cashflow Summary C19RM'!$K$5:$K$100&lt;&gt;1)*('Cashflow Summary C19RM'!$D$5:$D$100=E23)*('Cashflow Summary C19RM'!$R$5:$R$100)))</f>
        <v>0</v>
      </c>
      <c r="H23" s="629" cm="1">
        <f t="array" ref="H23">$F23*(SUMPRODUCT(('Cashflow Summary C19RM'!$K$5:$K$100&lt;&gt;1)*('Cashflow Summary C19RM'!$D$5:$D$100=E23)*('Cashflow Summary C19RM'!$S$5:$S$100)))</f>
        <v>0</v>
      </c>
      <c r="I23" s="630" cm="1">
        <f t="array" ref="I23">$F23*(SUMPRODUCT(('Cashflow Summary C19RM'!$K$5:$K$100&lt;&gt;1)*('Cashflow Summary C19RM'!$D$5:$D$100=E23)*('Cashflow Summary C19RM'!$T$5:$T$100)))</f>
        <v>0</v>
      </c>
      <c r="J23" s="630" cm="1">
        <f t="array" ref="J23">$F23*(SUMPRODUCT(('Cashflow Summary C19RM'!$K$5:$K$100&lt;&gt;1)*('Cashflow Summary C19RM'!$D$5:$D$100=E23)*('Cashflow Summary C19RM'!$U$5:$U$100)))</f>
        <v>0</v>
      </c>
      <c r="K23" s="1032">
        <f t="shared" si="0"/>
        <v>0</v>
      </c>
      <c r="L23" s="697">
        <f t="shared" si="1"/>
        <v>0</v>
      </c>
      <c r="M23" s="630" cm="1">
        <f t="array" ref="M23">$L23*(SUMPRODUCT(('Cashflow Summary C19RM'!$K$5:$K$100&lt;&gt;1)*('Cashflow Summary C19RM'!$D$5:$D$100=E23)*('Cashflow Summary C19RM'!$V$5:$V$100)))</f>
        <v>0</v>
      </c>
      <c r="N23" s="630" cm="1">
        <f t="array" ref="N23">$L23*(SUMPRODUCT(('Cashflow Summary C19RM'!$K$5:$K$100&lt;&gt;1)*('Cashflow Summary C19RM'!$D$5:$D$100=E23)*('Cashflow Summary C19RM'!$W$5:$W$100)))</f>
        <v>0</v>
      </c>
      <c r="O23" s="630" cm="1">
        <f t="array" ref="O23">$L23*(SUMPRODUCT(('Cashflow Summary C19RM'!$K$5:$K$100&lt;&gt;1)*('Cashflow Summary C19RM'!$D$5:$D$100=E23)*('Cashflow Summary C19RM'!$X$5:$X$100)))</f>
        <v>0</v>
      </c>
      <c r="P23" s="630" cm="1">
        <f t="array" ref="P23">$L23*(SUMPRODUCT(('Cashflow Summary C19RM'!$K$5:$K$100&lt;&gt;1)*('Cashflow Summary C19RM'!$D$5:$D$100=E23)*('Cashflow Summary C19RM'!$Y$5:$Y$100)))</f>
        <v>0</v>
      </c>
      <c r="Q23" s="632">
        <f t="shared" si="2"/>
        <v>0</v>
      </c>
      <c r="R23" s="686">
        <f t="shared" si="3"/>
        <v>0</v>
      </c>
      <c r="S23" s="633" cm="1">
        <f t="array" ref="S23">$R23*(SUMPRODUCT(('Cashflow Summary C19RM'!$K$5:$K$100&lt;&gt;1)*('Cashflow Summary C19RM'!$D$5:$D$100=E23)*('Cashflow Summary C19RM'!$Z$5:$Z$100)))</f>
        <v>0</v>
      </c>
      <c r="T23" s="633" cm="1">
        <f t="array" ref="T23">$R23*(SUMPRODUCT(('Cashflow Summary C19RM'!$K$5:$K$100&lt;&gt;1)*('Cashflow Summary C19RM'!$D$5:$D$100=E23)*('Cashflow Summary C19RM'!$AA$5:$AA$100)))</f>
        <v>0</v>
      </c>
      <c r="U23" s="633" cm="1">
        <f t="array" ref="U23">$R23*(SUMPRODUCT(('Cashflow Summary C19RM'!$K$5:$K$100&lt;&gt;1)*('Cashflow Summary C19RM'!$D$5:$D$100=E23)*('Cashflow Summary C19RM'!$AB$5:$AB$100)))</f>
        <v>0</v>
      </c>
      <c r="V23" s="633" cm="1">
        <f t="array" ref="V23">$R23*(SUMPRODUCT(('Cashflow Summary C19RM'!$K$5:$K$100&lt;&gt;1)*('Cashflow Summary C19RM'!$D$5:$D$100=E23)*('Cashflow Summary C19RM'!$AC$5:$AC$100)))</f>
        <v>0</v>
      </c>
      <c r="W23" s="634">
        <f t="shared" si="4"/>
        <v>0</v>
      </c>
      <c r="X23" s="686">
        <f t="shared" si="5"/>
        <v>0</v>
      </c>
      <c r="Y23" s="633" cm="1">
        <f t="array" ref="Y23">$X23*(SUMPRODUCT(('Cashflow Summary C19RM'!$K$5:$K$100&lt;&gt;1)*('Cashflow Summary C19RM'!$D$5:$D$100=E23)*('Cashflow Summary C19RM'!$AD$5:$AD$100)))</f>
        <v>0</v>
      </c>
      <c r="Z23" s="633" cm="1">
        <f t="array" ref="Z23">$X23*(SUMPRODUCT(('Cashflow Summary C19RM'!$K$5:$K$100&lt;&gt;1)*('Cashflow Summary C19RM'!$D$5:$D$100=E23)*('Cashflow Summary C19RM'!$AE$5:$AE$100)))</f>
        <v>0</v>
      </c>
      <c r="AA23" s="633" cm="1">
        <f t="array" ref="AA23">$X23*(SUMPRODUCT(('Cashflow Summary C19RM'!$K$5:$K$100&lt;&gt;1)*('Cashflow Summary C19RM'!$D$5:$D$100=E23)*('Cashflow Summary C19RM'!$AF$5:$AF$100)))</f>
        <v>0</v>
      </c>
      <c r="AB23" s="630" cm="1">
        <f t="array" ref="AB23">$X23*(SUMPRODUCT(('Cashflow Summary C19RM'!$K$5:$K$100&lt;&gt;1)*('Cashflow Summary C19RM'!$D$5:$D$100=E23)*('Cashflow Summary C19RM'!$AG$5:$AG$100)))</f>
        <v>0</v>
      </c>
      <c r="AC23" s="634">
        <f t="shared" si="6"/>
        <v>0</v>
      </c>
      <c r="AD23" s="686">
        <f t="shared" si="17"/>
        <v>0</v>
      </c>
      <c r="AE23" s="628" cm="1">
        <f t="array" ref="AE23">$AD23*(SUMPRODUCT(('Cashflow Summary C19RM'!$K$5:$K$100&lt;&gt;1)*('Cashflow Summary C19RM'!$D$5:$D$100=E23)*('Cashflow Summary C19RM'!$AH$5:$AH$100)))</f>
        <v>0</v>
      </c>
      <c r="AF23" s="633" cm="1">
        <f t="array" ref="AF23">$AD23*(SUMPRODUCT(('Cashflow Summary C19RM'!$K$5:$K$100&lt;&gt;1)*('Cashflow Summary C19RM'!$D$5:$D$100=E23)*('Cashflow Summary C19RM'!$AI$5:$AI$100)))</f>
        <v>0</v>
      </c>
      <c r="AG23" s="633" cm="1">
        <f t="array" ref="AG23">$AD23*(SUMPRODUCT(('Cashflow Summary C19RM'!$K$5:$K$100&lt;&gt;1)*('Cashflow Summary C19RM'!$D$5:$D$100=E23)*('Cashflow Summary C19RM'!$AJ$5:$AJ$100)))</f>
        <v>0</v>
      </c>
      <c r="AH23" s="633" cm="1">
        <f t="array" ref="AH23">$AD23*(SUMPRODUCT(('Cashflow Summary C19RM'!$K$5:$K$100&lt;&gt;1)*('Cashflow Summary C19RM'!$D$5:$D$100=E23)*('Cashflow Summary C19RM'!$AK$5:$AO$100)))</f>
        <v>0</v>
      </c>
      <c r="AI23" s="634">
        <f t="shared" si="14"/>
        <v>0</v>
      </c>
      <c r="AJ23" s="875">
        <v>0</v>
      </c>
      <c r="AK23" s="872"/>
      <c r="AL23" s="873"/>
      <c r="AM23" s="873"/>
      <c r="AN23" s="873"/>
      <c r="AO23" s="874"/>
      <c r="AP23" s="634">
        <f t="shared" si="15"/>
        <v>0</v>
      </c>
      <c r="AQ23" s="636">
        <v>7.1</v>
      </c>
      <c r="AR23" s="707"/>
      <c r="AS23" s="310"/>
      <c r="AV23" s="228">
        <f t="shared" si="8"/>
        <v>0</v>
      </c>
      <c r="AW23" s="228">
        <f t="shared" si="9"/>
        <v>0</v>
      </c>
      <c r="AX23" s="228">
        <f t="shared" si="10"/>
        <v>0</v>
      </c>
      <c r="AY23" s="228">
        <f t="shared" si="11"/>
        <v>0</v>
      </c>
      <c r="AZ23" s="228">
        <f t="shared" si="12"/>
        <v>0</v>
      </c>
      <c r="BA23" s="228"/>
      <c r="BC23" s="345" cm="1">
        <f t="array" ref="BC23">IF(BM23&gt;=1,0,IFERROR(SUMPRODUCT(($G$11:$AH$11=$BC$16)*($G23:$AH23)),0))</f>
        <v>0</v>
      </c>
      <c r="BD23" s="345" cm="1">
        <f t="array" ref="BD23">IF(BM23&gt;=1,0,IFERROR(SUMPRODUCT(($G$11:$AH$11=$BD$16)*($G23:$AH23)),0))</f>
        <v>0</v>
      </c>
      <c r="BE23" s="345" cm="1">
        <f t="array" ref="BE23">IF(BM23&gt;=1,0,IFERROR(SUMPRODUCT(($G$11:$AH$11=$BE$16)*($G23:$AH23)),0))</f>
        <v>0</v>
      </c>
      <c r="BF23" s="345" cm="1">
        <f t="array" ref="BF23">IF(BM23&gt;=1,0,IFERROR(SUMPRODUCT(($G$11:$AH$11=$BF$16)*($G23:$AH23)),0))</f>
        <v>0</v>
      </c>
      <c r="BG23" s="345" cm="1">
        <f t="array" ref="BG23">IF(BM23&gt;=1,0,IFERROR(SUMPRODUCT(($G$11:$AH$11=$BG$16)*($G23:$AH23)),0))</f>
        <v>0</v>
      </c>
      <c r="BH23" s="345"/>
      <c r="BI23" s="343">
        <f t="shared" si="16"/>
        <v>0</v>
      </c>
      <c r="BJ23" s="229" t="s">
        <v>83</v>
      </c>
      <c r="BK23" cm="1">
        <f t="array" ref="BK23">(SUMPRODUCT(('Cashflow Summary C19RM'!$D$5:$D$451=E23)*('Cashflow Summary C19RM'!$BD$5:$BD$451)))</f>
        <v>0</v>
      </c>
      <c r="BL23" cm="1">
        <f t="array" ref="BL23">(SUMPRODUCT((SETUP!$D$20:$D$35=E23)*(SETUP!$R$20:$R$35)))</f>
        <v>0</v>
      </c>
      <c r="BM23" s="89">
        <f t="shared" si="13"/>
        <v>0</v>
      </c>
    </row>
    <row r="24" spans="1:65" s="89" customFormat="1" ht="15" customHeight="1" thickBot="1" x14ac:dyDescent="0.4">
      <c r="A24" s="89" t="s">
        <v>619</v>
      </c>
      <c r="B24" s="210" t="s">
        <v>695</v>
      </c>
      <c r="C24" s="699" t="s">
        <v>2750</v>
      </c>
      <c r="D24" s="1314"/>
      <c r="E24" s="1010" t="s">
        <v>21</v>
      </c>
      <c r="F24" s="706">
        <v>0</v>
      </c>
      <c r="G24" s="1031" cm="1">
        <f t="array" ref="G24">$F24*(SUMPRODUCT(('Cashflow Summary C19RM'!$K$5:$K$100&lt;&gt;1)*('Cashflow Summary C19RM'!$D$5:$D$100=E24)*('Cashflow Summary C19RM'!$R$5:$R$100)))</f>
        <v>0</v>
      </c>
      <c r="H24" s="629" cm="1">
        <f t="array" ref="H24">$F24*(SUMPRODUCT(('Cashflow Summary C19RM'!$K$5:$K$100&lt;&gt;1)*('Cashflow Summary C19RM'!$D$5:$D$100=E24)*('Cashflow Summary C19RM'!$S$5:$S$100)))</f>
        <v>0</v>
      </c>
      <c r="I24" s="630" cm="1">
        <f t="array" ref="I24">$F24*(SUMPRODUCT(('Cashflow Summary C19RM'!$K$5:$K$100&lt;&gt;1)*('Cashflow Summary C19RM'!$D$5:$D$100=E24)*('Cashflow Summary C19RM'!$T$5:$T$100)))</f>
        <v>0</v>
      </c>
      <c r="J24" s="630" cm="1">
        <f t="array" ref="J24">$F24*(SUMPRODUCT(('Cashflow Summary C19RM'!$K$5:$K$100&lt;&gt;1)*('Cashflow Summary C19RM'!$D$5:$D$100=E24)*('Cashflow Summary C19RM'!$U$5:$U$100)))</f>
        <v>0</v>
      </c>
      <c r="K24" s="1032">
        <f t="shared" si="0"/>
        <v>0</v>
      </c>
      <c r="L24" s="697">
        <f t="shared" si="1"/>
        <v>0</v>
      </c>
      <c r="M24" s="630" cm="1">
        <f t="array" ref="M24">$L24*(SUMPRODUCT(('Cashflow Summary C19RM'!$K$5:$K$100&lt;&gt;1)*('Cashflow Summary C19RM'!$D$5:$D$100=E24)*('Cashflow Summary C19RM'!$V$5:$V$100)))</f>
        <v>0</v>
      </c>
      <c r="N24" s="630" cm="1">
        <f t="array" ref="N24">$L24*(SUMPRODUCT(('Cashflow Summary C19RM'!$K$5:$K$100&lt;&gt;1)*('Cashflow Summary C19RM'!$D$5:$D$100=E24)*('Cashflow Summary C19RM'!$W$5:$W$100)))</f>
        <v>0</v>
      </c>
      <c r="O24" s="630" cm="1">
        <f t="array" ref="O24">$L24*(SUMPRODUCT(('Cashflow Summary C19RM'!$K$5:$K$100&lt;&gt;1)*('Cashflow Summary C19RM'!$D$5:$D$100=E24)*('Cashflow Summary C19RM'!$X$5:$X$100)))</f>
        <v>0</v>
      </c>
      <c r="P24" s="630" cm="1">
        <f t="array" ref="P24">$L24*(SUMPRODUCT(('Cashflow Summary C19RM'!$K$5:$K$100&lt;&gt;1)*('Cashflow Summary C19RM'!$D$5:$D$100=E24)*('Cashflow Summary C19RM'!$Y$5:$Y$100)))</f>
        <v>0</v>
      </c>
      <c r="Q24" s="632">
        <f t="shared" si="2"/>
        <v>0</v>
      </c>
      <c r="R24" s="686">
        <f t="shared" si="3"/>
        <v>0</v>
      </c>
      <c r="S24" s="633" cm="1">
        <f t="array" ref="S24">$R24*(SUMPRODUCT(('Cashflow Summary C19RM'!$K$5:$K$100&lt;&gt;1)*('Cashflow Summary C19RM'!$D$5:$D$100=E24)*('Cashflow Summary C19RM'!$Z$5:$Z$100)))</f>
        <v>0</v>
      </c>
      <c r="T24" s="633" cm="1">
        <f t="array" ref="T24">$R24*(SUMPRODUCT(('Cashflow Summary C19RM'!$K$5:$K$100&lt;&gt;1)*('Cashflow Summary C19RM'!$D$5:$D$100=E24)*('Cashflow Summary C19RM'!$AA$5:$AA$100)))</f>
        <v>0</v>
      </c>
      <c r="U24" s="633" cm="1">
        <f t="array" ref="U24">$R24*(SUMPRODUCT(('Cashflow Summary C19RM'!$K$5:$K$100&lt;&gt;1)*('Cashflow Summary C19RM'!$D$5:$D$100=E24)*('Cashflow Summary C19RM'!$AB$5:$AB$100)))</f>
        <v>0</v>
      </c>
      <c r="V24" s="633" cm="1">
        <f t="array" ref="V24">$R24*(SUMPRODUCT(('Cashflow Summary C19RM'!$K$5:$K$100&lt;&gt;1)*('Cashflow Summary C19RM'!$D$5:$D$100=E24)*('Cashflow Summary C19RM'!$AC$5:$AC$100)))</f>
        <v>0</v>
      </c>
      <c r="W24" s="634">
        <f t="shared" si="4"/>
        <v>0</v>
      </c>
      <c r="X24" s="686">
        <f t="shared" si="5"/>
        <v>0</v>
      </c>
      <c r="Y24" s="633" cm="1">
        <f t="array" ref="Y24">$X24*(SUMPRODUCT(('Cashflow Summary C19RM'!$K$5:$K$100&lt;&gt;1)*('Cashflow Summary C19RM'!$D$5:$D$100=E24)*('Cashflow Summary C19RM'!$AD$5:$AD$100)))</f>
        <v>0</v>
      </c>
      <c r="Z24" s="633" cm="1">
        <f t="array" ref="Z24">$X24*(SUMPRODUCT(('Cashflow Summary C19RM'!$K$5:$K$100&lt;&gt;1)*('Cashflow Summary C19RM'!$D$5:$D$100=E24)*('Cashflow Summary C19RM'!$AE$5:$AE$100)))</f>
        <v>0</v>
      </c>
      <c r="AA24" s="633" cm="1">
        <f t="array" ref="AA24">$X24*(SUMPRODUCT(('Cashflow Summary C19RM'!$K$5:$K$100&lt;&gt;1)*('Cashflow Summary C19RM'!$D$5:$D$100=E24)*('Cashflow Summary C19RM'!$AF$5:$AF$100)))</f>
        <v>0</v>
      </c>
      <c r="AB24" s="630" cm="1">
        <f t="array" ref="AB24">$X24*(SUMPRODUCT(('Cashflow Summary C19RM'!$K$5:$K$100&lt;&gt;1)*('Cashflow Summary C19RM'!$D$5:$D$100=E24)*('Cashflow Summary C19RM'!$AG$5:$AG$100)))</f>
        <v>0</v>
      </c>
      <c r="AC24" s="634">
        <f t="shared" si="6"/>
        <v>0</v>
      </c>
      <c r="AD24" s="686">
        <f t="shared" si="17"/>
        <v>0</v>
      </c>
      <c r="AE24" s="628" cm="1">
        <f t="array" ref="AE24">$AD24*(SUMPRODUCT(('Cashflow Summary C19RM'!$K$5:$K$100&lt;&gt;1)*('Cashflow Summary C19RM'!$D$5:$D$100=E24)*('Cashflow Summary C19RM'!$AH$5:$AH$100)))</f>
        <v>0</v>
      </c>
      <c r="AF24" s="633" cm="1">
        <f t="array" ref="AF24">$AD24*(SUMPRODUCT(('Cashflow Summary C19RM'!$K$5:$K$100&lt;&gt;1)*('Cashflow Summary C19RM'!$D$5:$D$100=E24)*('Cashflow Summary C19RM'!$AI$5:$AI$100)))</f>
        <v>0</v>
      </c>
      <c r="AG24" s="633" cm="1">
        <f t="array" ref="AG24">$AD24*(SUMPRODUCT(('Cashflow Summary C19RM'!$K$5:$K$100&lt;&gt;1)*('Cashflow Summary C19RM'!$D$5:$D$100=E24)*('Cashflow Summary C19RM'!$AJ$5:$AJ$100)))</f>
        <v>0</v>
      </c>
      <c r="AH24" s="633" cm="1">
        <f t="array" ref="AH24">$AD24*(SUMPRODUCT(('Cashflow Summary C19RM'!$K$5:$K$100&lt;&gt;1)*('Cashflow Summary C19RM'!$D$5:$D$100=E24)*('Cashflow Summary C19RM'!$AK$5:$AO$100)))</f>
        <v>0</v>
      </c>
      <c r="AI24" s="634">
        <f t="shared" si="14"/>
        <v>0</v>
      </c>
      <c r="AJ24" s="875">
        <v>0</v>
      </c>
      <c r="AK24" s="872"/>
      <c r="AL24" s="873"/>
      <c r="AM24" s="873"/>
      <c r="AN24" s="873"/>
      <c r="AO24" s="874"/>
      <c r="AP24" s="634">
        <f t="shared" si="15"/>
        <v>0</v>
      </c>
      <c r="AQ24" s="636">
        <v>7.1</v>
      </c>
      <c r="AR24" s="707"/>
      <c r="AS24" s="310"/>
      <c r="AV24" s="228">
        <f t="shared" si="8"/>
        <v>0</v>
      </c>
      <c r="AW24" s="228">
        <f t="shared" si="9"/>
        <v>0</v>
      </c>
      <c r="AX24" s="228">
        <f t="shared" si="10"/>
        <v>0</v>
      </c>
      <c r="AY24" s="228">
        <f t="shared" si="11"/>
        <v>0</v>
      </c>
      <c r="AZ24" s="228">
        <f t="shared" si="12"/>
        <v>0</v>
      </c>
      <c r="BA24" s="228"/>
      <c r="BC24" s="345" cm="1">
        <f t="array" ref="BC24">IF(BM24&gt;=1,0,IFERROR(SUMPRODUCT(($G$11:$AH$11=$BC$16)*($G24:$AH24)),0))</f>
        <v>0</v>
      </c>
      <c r="BD24" s="345" cm="1">
        <f t="array" ref="BD24">IF(BM24&gt;=1,0,IFERROR(SUMPRODUCT(($G$11:$AH$11=$BD$16)*($G24:$AH24)),0))</f>
        <v>0</v>
      </c>
      <c r="BE24" s="345" cm="1">
        <f t="array" ref="BE24">IF(BM24&gt;=1,0,IFERROR(SUMPRODUCT(($G$11:$AH$11=$BE$16)*($G24:$AH24)),0))</f>
        <v>0</v>
      </c>
      <c r="BF24" s="345" cm="1">
        <f t="array" ref="BF24">IF(BM24&gt;=1,0,IFERROR(SUMPRODUCT(($G$11:$AH$11=$BF$16)*($G24:$AH24)),0))</f>
        <v>0</v>
      </c>
      <c r="BG24" s="345" cm="1">
        <f t="array" ref="BG24">IF(BM24&gt;=1,0,IFERROR(SUMPRODUCT(($G$11:$AH$11=$BG$16)*($G24:$AH24)),0))</f>
        <v>0</v>
      </c>
      <c r="BH24" s="345"/>
      <c r="BI24" s="343">
        <f t="shared" si="16"/>
        <v>0</v>
      </c>
      <c r="BJ24" s="229" t="s">
        <v>83</v>
      </c>
      <c r="BK24" cm="1">
        <f t="array" ref="BK24">(SUMPRODUCT(('Cashflow Summary C19RM'!$D$5:$D$451=E24)*('Cashflow Summary C19RM'!$BD$5:$BD$451)))</f>
        <v>0</v>
      </c>
      <c r="BL24" cm="1">
        <f t="array" ref="BL24">(SUMPRODUCT((SETUP!$D$20:$D$35=E24)*(SETUP!$R$20:$R$35)))</f>
        <v>0</v>
      </c>
      <c r="BM24" s="89">
        <f t="shared" si="13"/>
        <v>0</v>
      </c>
    </row>
    <row r="25" spans="1:65" s="89" customFormat="1" ht="15" customHeight="1" thickBot="1" x14ac:dyDescent="0.4">
      <c r="A25" s="89" t="s">
        <v>619</v>
      </c>
      <c r="B25" s="210" t="s">
        <v>695</v>
      </c>
      <c r="C25" s="699" t="s">
        <v>2750</v>
      </c>
      <c r="D25" s="1314"/>
      <c r="E25" s="1010" t="s">
        <v>23</v>
      </c>
      <c r="F25" s="706">
        <v>0</v>
      </c>
      <c r="G25" s="1031" cm="1">
        <f t="array" ref="G25">$F25*(SUMPRODUCT(('Cashflow Summary C19RM'!$K$5:$K$100&lt;&gt;1)*('Cashflow Summary C19RM'!$D$5:$D$100=E25)*('Cashflow Summary C19RM'!$R$5:$R$100)))</f>
        <v>0</v>
      </c>
      <c r="H25" s="629" cm="1">
        <f t="array" ref="H25">$F25*(SUMPRODUCT(('Cashflow Summary C19RM'!$K$5:$K$100&lt;&gt;1)*('Cashflow Summary C19RM'!$D$5:$D$100=E25)*('Cashflow Summary C19RM'!$S$5:$S$100)))</f>
        <v>0</v>
      </c>
      <c r="I25" s="630" cm="1">
        <f t="array" ref="I25">$F25*(SUMPRODUCT(('Cashflow Summary C19RM'!$K$5:$K$100&lt;&gt;1)*('Cashflow Summary C19RM'!$D$5:$D$100=E25)*('Cashflow Summary C19RM'!$T$5:$T$100)))</f>
        <v>0</v>
      </c>
      <c r="J25" s="630" cm="1">
        <f t="array" ref="J25">$F25*(SUMPRODUCT(('Cashflow Summary C19RM'!$K$5:$K$100&lt;&gt;1)*('Cashflow Summary C19RM'!$D$5:$D$100=E25)*('Cashflow Summary C19RM'!$U$5:$U$100)))</f>
        <v>0</v>
      </c>
      <c r="K25" s="1032">
        <f t="shared" si="0"/>
        <v>0</v>
      </c>
      <c r="L25" s="697">
        <f t="shared" si="1"/>
        <v>0</v>
      </c>
      <c r="M25" s="630" cm="1">
        <f t="array" ref="M25">$L25*(SUMPRODUCT(('Cashflow Summary C19RM'!$K$5:$K$100&lt;&gt;1)*('Cashflow Summary C19RM'!$D$5:$D$100=E25)*('Cashflow Summary C19RM'!$V$5:$V$100)))</f>
        <v>0</v>
      </c>
      <c r="N25" s="630" cm="1">
        <f t="array" ref="N25">$L25*(SUMPRODUCT(('Cashflow Summary C19RM'!$K$5:$K$100&lt;&gt;1)*('Cashflow Summary C19RM'!$D$5:$D$100=E25)*('Cashflow Summary C19RM'!$W$5:$W$100)))</f>
        <v>0</v>
      </c>
      <c r="O25" s="630" cm="1">
        <f t="array" ref="O25">$L25*(SUMPRODUCT(('Cashflow Summary C19RM'!$K$5:$K$100&lt;&gt;1)*('Cashflow Summary C19RM'!$D$5:$D$100=E25)*('Cashflow Summary C19RM'!$X$5:$X$100)))</f>
        <v>0</v>
      </c>
      <c r="P25" s="630" cm="1">
        <f t="array" ref="P25">$L25*(SUMPRODUCT(('Cashflow Summary C19RM'!$K$5:$K$100&lt;&gt;1)*('Cashflow Summary C19RM'!$D$5:$D$100=E25)*('Cashflow Summary C19RM'!$Y$5:$Y$100)))</f>
        <v>0</v>
      </c>
      <c r="Q25" s="632">
        <f t="shared" si="2"/>
        <v>0</v>
      </c>
      <c r="R25" s="686">
        <f t="shared" si="3"/>
        <v>0</v>
      </c>
      <c r="S25" s="633" cm="1">
        <f t="array" ref="S25">$R25*(SUMPRODUCT(('Cashflow Summary C19RM'!$K$5:$K$100&lt;&gt;1)*('Cashflow Summary C19RM'!$D$5:$D$100=E25)*('Cashflow Summary C19RM'!$Z$5:$Z$100)))</f>
        <v>0</v>
      </c>
      <c r="T25" s="633" cm="1">
        <f t="array" ref="T25">$R25*(SUMPRODUCT(('Cashflow Summary C19RM'!$K$5:$K$100&lt;&gt;1)*('Cashflow Summary C19RM'!$D$5:$D$100=E25)*('Cashflow Summary C19RM'!$AA$5:$AA$100)))</f>
        <v>0</v>
      </c>
      <c r="U25" s="633" cm="1">
        <f t="array" ref="U25">$R25*(SUMPRODUCT(('Cashflow Summary C19RM'!$K$5:$K$100&lt;&gt;1)*('Cashflow Summary C19RM'!$D$5:$D$100=E25)*('Cashflow Summary C19RM'!$AB$5:$AB$100)))</f>
        <v>0</v>
      </c>
      <c r="V25" s="633" cm="1">
        <f t="array" ref="V25">$R25*(SUMPRODUCT(('Cashflow Summary C19RM'!$K$5:$K$100&lt;&gt;1)*('Cashflow Summary C19RM'!$D$5:$D$100=E25)*('Cashflow Summary C19RM'!$AC$5:$AC$100)))</f>
        <v>0</v>
      </c>
      <c r="W25" s="634">
        <f t="shared" si="4"/>
        <v>0</v>
      </c>
      <c r="X25" s="686">
        <f t="shared" si="5"/>
        <v>0</v>
      </c>
      <c r="Y25" s="633" cm="1">
        <f t="array" ref="Y25">$X25*(SUMPRODUCT(('Cashflow Summary C19RM'!$K$5:$K$100&lt;&gt;1)*('Cashflow Summary C19RM'!$D$5:$D$100=E25)*('Cashflow Summary C19RM'!$AD$5:$AD$100)))</f>
        <v>0</v>
      </c>
      <c r="Z25" s="633" cm="1">
        <f t="array" ref="Z25">$X25*(SUMPRODUCT(('Cashflow Summary C19RM'!$K$5:$K$100&lt;&gt;1)*('Cashflow Summary C19RM'!$D$5:$D$100=E25)*('Cashflow Summary C19RM'!$AE$5:$AE$100)))</f>
        <v>0</v>
      </c>
      <c r="AA25" s="633" cm="1">
        <f t="array" ref="AA25">$X25*(SUMPRODUCT(('Cashflow Summary C19RM'!$K$5:$K$100&lt;&gt;1)*('Cashflow Summary C19RM'!$D$5:$D$100=E25)*('Cashflow Summary C19RM'!$AF$5:$AF$100)))</f>
        <v>0</v>
      </c>
      <c r="AB25" s="630" cm="1">
        <f t="array" ref="AB25">$X25*(SUMPRODUCT(('Cashflow Summary C19RM'!$K$5:$K$100&lt;&gt;1)*('Cashflow Summary C19RM'!$D$5:$D$100=E25)*('Cashflow Summary C19RM'!$AG$5:$AG$100)))</f>
        <v>0</v>
      </c>
      <c r="AC25" s="634">
        <f t="shared" si="6"/>
        <v>0</v>
      </c>
      <c r="AD25" s="686">
        <f t="shared" si="17"/>
        <v>0</v>
      </c>
      <c r="AE25" s="628" cm="1">
        <f t="array" ref="AE25">$AD25*(SUMPRODUCT(('Cashflow Summary C19RM'!$K$5:$K$100&lt;&gt;1)*('Cashflow Summary C19RM'!$D$5:$D$100=E25)*('Cashflow Summary C19RM'!$AH$5:$AH$100)))</f>
        <v>0</v>
      </c>
      <c r="AF25" s="633" cm="1">
        <f t="array" ref="AF25">$AD25*(SUMPRODUCT(('Cashflow Summary C19RM'!$K$5:$K$100&lt;&gt;1)*('Cashflow Summary C19RM'!$D$5:$D$100=E25)*('Cashflow Summary C19RM'!$AI$5:$AI$100)))</f>
        <v>0</v>
      </c>
      <c r="AG25" s="633" cm="1">
        <f t="array" ref="AG25">$AD25*(SUMPRODUCT(('Cashflow Summary C19RM'!$K$5:$K$100&lt;&gt;1)*('Cashflow Summary C19RM'!$D$5:$D$100=E25)*('Cashflow Summary C19RM'!$AJ$5:$AJ$100)))</f>
        <v>0</v>
      </c>
      <c r="AH25" s="633" cm="1">
        <f t="array" ref="AH25">$AD25*(SUMPRODUCT(('Cashflow Summary C19RM'!$K$5:$K$100&lt;&gt;1)*('Cashflow Summary C19RM'!$D$5:$D$100=E25)*('Cashflow Summary C19RM'!$AK$5:$AO$100)))</f>
        <v>0</v>
      </c>
      <c r="AI25" s="634">
        <f t="shared" si="14"/>
        <v>0</v>
      </c>
      <c r="AJ25" s="875">
        <v>0</v>
      </c>
      <c r="AK25" s="872"/>
      <c r="AL25" s="873"/>
      <c r="AM25" s="873"/>
      <c r="AN25" s="873"/>
      <c r="AO25" s="874"/>
      <c r="AP25" s="634">
        <f t="shared" si="15"/>
        <v>0</v>
      </c>
      <c r="AQ25" s="636">
        <v>7.1</v>
      </c>
      <c r="AR25" s="707"/>
      <c r="AS25" s="310"/>
      <c r="AV25" s="228">
        <f t="shared" si="8"/>
        <v>0</v>
      </c>
      <c r="AW25" s="228">
        <f t="shared" si="9"/>
        <v>0</v>
      </c>
      <c r="AX25" s="228">
        <f t="shared" si="10"/>
        <v>0</v>
      </c>
      <c r="AY25" s="228">
        <f t="shared" si="11"/>
        <v>0</v>
      </c>
      <c r="AZ25" s="228">
        <f t="shared" si="12"/>
        <v>0</v>
      </c>
      <c r="BA25" s="228"/>
      <c r="BC25" s="345" cm="1">
        <f t="array" ref="BC25">IF(BM25&gt;=1,0,IFERROR(SUMPRODUCT(($G$11:$AH$11=$BC$16)*($G25:$AH25)),0))</f>
        <v>0</v>
      </c>
      <c r="BD25" s="345" cm="1">
        <f t="array" ref="BD25">IF(BM25&gt;=1,0,IFERROR(SUMPRODUCT(($G$11:$AH$11=$BD$16)*($G25:$AH25)),0))</f>
        <v>0</v>
      </c>
      <c r="BE25" s="345" cm="1">
        <f t="array" ref="BE25">IF(BM25&gt;=1,0,IFERROR(SUMPRODUCT(($G$11:$AH$11=$BE$16)*($G25:$AH25)),0))</f>
        <v>0</v>
      </c>
      <c r="BF25" s="345" cm="1">
        <f t="array" ref="BF25">IF(BM25&gt;=1,0,IFERROR(SUMPRODUCT(($G$11:$AH$11=$BF$16)*($G25:$AH25)),0))</f>
        <v>0</v>
      </c>
      <c r="BG25" s="345" cm="1">
        <f t="array" ref="BG25">IF(BM25&gt;=1,0,IFERROR(SUMPRODUCT(($G$11:$AH$11=$BG$16)*($G25:$AH25)),0))</f>
        <v>0</v>
      </c>
      <c r="BH25" s="345"/>
      <c r="BI25" s="343">
        <f t="shared" si="16"/>
        <v>0</v>
      </c>
      <c r="BJ25" s="229" t="s">
        <v>83</v>
      </c>
      <c r="BK25" cm="1">
        <f t="array" ref="BK25">(SUMPRODUCT(('Cashflow Summary C19RM'!$D$5:$D$451=E25)*('Cashflow Summary C19RM'!$BD$5:$BD$451)))</f>
        <v>0</v>
      </c>
      <c r="BL25" cm="1">
        <f t="array" ref="BL25">(SUMPRODUCT((SETUP!$D$20:$D$35=E25)*(SETUP!$R$20:$R$35)))</f>
        <v>0</v>
      </c>
      <c r="BM25" s="89">
        <f t="shared" si="13"/>
        <v>0</v>
      </c>
    </row>
    <row r="26" spans="1:65" s="89" customFormat="1" ht="15" customHeight="1" thickBot="1" x14ac:dyDescent="0.4">
      <c r="A26" s="89" t="s">
        <v>619</v>
      </c>
      <c r="B26" s="210" t="s">
        <v>695</v>
      </c>
      <c r="C26" s="699" t="s">
        <v>2750</v>
      </c>
      <c r="D26" s="1314"/>
      <c r="E26" s="1010" t="s">
        <v>22</v>
      </c>
      <c r="F26" s="706">
        <v>0</v>
      </c>
      <c r="G26" s="1031" cm="1">
        <f t="array" ref="G26">$F26*(SUMPRODUCT(('Cashflow Summary C19RM'!$K$5:$K$100&lt;&gt;1)*('Cashflow Summary C19RM'!$D$5:$D$100=E26)*('Cashflow Summary C19RM'!$R$5:$R$100)))</f>
        <v>0</v>
      </c>
      <c r="H26" s="629" cm="1">
        <f t="array" ref="H26">$F26*(SUMPRODUCT(('Cashflow Summary C19RM'!$K$5:$K$100&lt;&gt;1)*('Cashflow Summary C19RM'!$D$5:$D$100=E26)*('Cashflow Summary C19RM'!$S$5:$S$100)))</f>
        <v>0</v>
      </c>
      <c r="I26" s="630" cm="1">
        <f t="array" ref="I26">$F26*(SUMPRODUCT(('Cashflow Summary C19RM'!$K$5:$K$100&lt;&gt;1)*('Cashflow Summary C19RM'!$D$5:$D$100=E26)*('Cashflow Summary C19RM'!$T$5:$T$100)))</f>
        <v>0</v>
      </c>
      <c r="J26" s="630" cm="1">
        <f t="array" ref="J26">$F26*(SUMPRODUCT(('Cashflow Summary C19RM'!$K$5:$K$100&lt;&gt;1)*('Cashflow Summary C19RM'!$D$5:$D$100=E26)*('Cashflow Summary C19RM'!$U$5:$U$100)))</f>
        <v>0</v>
      </c>
      <c r="K26" s="1032">
        <f t="shared" si="0"/>
        <v>0</v>
      </c>
      <c r="L26" s="697">
        <f t="shared" si="1"/>
        <v>0</v>
      </c>
      <c r="M26" s="630" cm="1">
        <f t="array" ref="M26">$L26*(SUMPRODUCT(('Cashflow Summary C19RM'!$K$5:$K$100&lt;&gt;1)*('Cashflow Summary C19RM'!$D$5:$D$100=E26)*('Cashflow Summary C19RM'!$V$5:$V$100)))</f>
        <v>0</v>
      </c>
      <c r="N26" s="630" cm="1">
        <f t="array" ref="N26">$L26*(SUMPRODUCT(('Cashflow Summary C19RM'!$K$5:$K$100&lt;&gt;1)*('Cashflow Summary C19RM'!$D$5:$D$100=E26)*('Cashflow Summary C19RM'!$W$5:$W$100)))</f>
        <v>0</v>
      </c>
      <c r="O26" s="630" cm="1">
        <f t="array" ref="O26">$L26*(SUMPRODUCT(('Cashflow Summary C19RM'!$K$5:$K$100&lt;&gt;1)*('Cashflow Summary C19RM'!$D$5:$D$100=E26)*('Cashflow Summary C19RM'!$X$5:$X$100)))</f>
        <v>0</v>
      </c>
      <c r="P26" s="630" cm="1">
        <f t="array" ref="P26">$L26*(SUMPRODUCT(('Cashflow Summary C19RM'!$K$5:$K$100&lt;&gt;1)*('Cashflow Summary C19RM'!$D$5:$D$100=E26)*('Cashflow Summary C19RM'!$Y$5:$Y$100)))</f>
        <v>0</v>
      </c>
      <c r="Q26" s="632">
        <f t="shared" si="2"/>
        <v>0</v>
      </c>
      <c r="R26" s="686">
        <f t="shared" si="3"/>
        <v>0</v>
      </c>
      <c r="S26" s="633" cm="1">
        <f t="array" ref="S26">$R26*(SUMPRODUCT(('Cashflow Summary C19RM'!$K$5:$K$100&lt;&gt;1)*('Cashflow Summary C19RM'!$D$5:$D$100=E26)*('Cashflow Summary C19RM'!$Z$5:$Z$100)))</f>
        <v>0</v>
      </c>
      <c r="T26" s="633" cm="1">
        <f t="array" ref="T26">$R26*(SUMPRODUCT(('Cashflow Summary C19RM'!$K$5:$K$100&lt;&gt;1)*('Cashflow Summary C19RM'!$D$5:$D$100=E26)*('Cashflow Summary C19RM'!$AA$5:$AA$100)))</f>
        <v>0</v>
      </c>
      <c r="U26" s="633" cm="1">
        <f t="array" ref="U26">$R26*(SUMPRODUCT(('Cashflow Summary C19RM'!$K$5:$K$100&lt;&gt;1)*('Cashflow Summary C19RM'!$D$5:$D$100=E26)*('Cashflow Summary C19RM'!$AB$5:$AB$100)))</f>
        <v>0</v>
      </c>
      <c r="V26" s="633" cm="1">
        <f t="array" ref="V26">$R26*(SUMPRODUCT(('Cashflow Summary C19RM'!$K$5:$K$100&lt;&gt;1)*('Cashflow Summary C19RM'!$D$5:$D$100=E26)*('Cashflow Summary C19RM'!$AC$5:$AC$100)))</f>
        <v>0</v>
      </c>
      <c r="W26" s="634">
        <f t="shared" si="4"/>
        <v>0</v>
      </c>
      <c r="X26" s="686">
        <f t="shared" si="5"/>
        <v>0</v>
      </c>
      <c r="Y26" s="633" cm="1">
        <f t="array" ref="Y26">$X26*(SUMPRODUCT(('Cashflow Summary C19RM'!$K$5:$K$100&lt;&gt;1)*('Cashflow Summary C19RM'!$D$5:$D$100=E26)*('Cashflow Summary C19RM'!$AD$5:$AD$100)))</f>
        <v>0</v>
      </c>
      <c r="Z26" s="633" cm="1">
        <f t="array" ref="Z26">$X26*(SUMPRODUCT(('Cashflow Summary C19RM'!$K$5:$K$100&lt;&gt;1)*('Cashflow Summary C19RM'!$D$5:$D$100=E26)*('Cashflow Summary C19RM'!$AE$5:$AE$100)))</f>
        <v>0</v>
      </c>
      <c r="AA26" s="633" cm="1">
        <f t="array" ref="AA26">$X26*(SUMPRODUCT(('Cashflow Summary C19RM'!$K$5:$K$100&lt;&gt;1)*('Cashflow Summary C19RM'!$D$5:$D$100=E26)*('Cashflow Summary C19RM'!$AF$5:$AF$100)))</f>
        <v>0</v>
      </c>
      <c r="AB26" s="630" cm="1">
        <f t="array" ref="AB26">$X26*(SUMPRODUCT(('Cashflow Summary C19RM'!$K$5:$K$100&lt;&gt;1)*('Cashflow Summary C19RM'!$D$5:$D$100=E26)*('Cashflow Summary C19RM'!$AG$5:$AG$100)))</f>
        <v>0</v>
      </c>
      <c r="AC26" s="634">
        <f t="shared" si="6"/>
        <v>0</v>
      </c>
      <c r="AD26" s="686">
        <f t="shared" si="17"/>
        <v>0</v>
      </c>
      <c r="AE26" s="628" cm="1">
        <f t="array" ref="AE26">$AD26*(SUMPRODUCT(('Cashflow Summary C19RM'!$K$5:$K$100&lt;&gt;1)*('Cashflow Summary C19RM'!$D$5:$D$100=E26)*('Cashflow Summary C19RM'!$AH$5:$AH$100)))</f>
        <v>0</v>
      </c>
      <c r="AF26" s="633" cm="1">
        <f t="array" ref="AF26">$AD26*(SUMPRODUCT(('Cashflow Summary C19RM'!$K$5:$K$100&lt;&gt;1)*('Cashflow Summary C19RM'!$D$5:$D$100=E26)*('Cashflow Summary C19RM'!$AI$5:$AI$100)))</f>
        <v>0</v>
      </c>
      <c r="AG26" s="633" cm="1">
        <f t="array" ref="AG26">$AD26*(SUMPRODUCT(('Cashflow Summary C19RM'!$K$5:$K$100&lt;&gt;1)*('Cashflow Summary C19RM'!$D$5:$D$100=E26)*('Cashflow Summary C19RM'!$AJ$5:$AJ$100)))</f>
        <v>0</v>
      </c>
      <c r="AH26" s="633" cm="1">
        <f t="array" ref="AH26">$AD26*(SUMPRODUCT(('Cashflow Summary C19RM'!$K$5:$K$100&lt;&gt;1)*('Cashflow Summary C19RM'!$D$5:$D$100=E26)*('Cashflow Summary C19RM'!$AK$5:$AO$100)))</f>
        <v>0</v>
      </c>
      <c r="AI26" s="634">
        <f t="shared" si="14"/>
        <v>0</v>
      </c>
      <c r="AJ26" s="875">
        <v>0</v>
      </c>
      <c r="AK26" s="872"/>
      <c r="AL26" s="873"/>
      <c r="AM26" s="873"/>
      <c r="AN26" s="873"/>
      <c r="AO26" s="874"/>
      <c r="AP26" s="634">
        <f t="shared" si="15"/>
        <v>0</v>
      </c>
      <c r="AQ26" s="636">
        <v>7.1</v>
      </c>
      <c r="AR26" s="707"/>
      <c r="AS26" s="310"/>
      <c r="AV26" s="228">
        <f t="shared" si="8"/>
        <v>0</v>
      </c>
      <c r="AW26" s="228">
        <f t="shared" si="9"/>
        <v>0</v>
      </c>
      <c r="AX26" s="228">
        <f t="shared" si="10"/>
        <v>0</v>
      </c>
      <c r="AY26" s="228">
        <f t="shared" si="11"/>
        <v>0</v>
      </c>
      <c r="AZ26" s="228">
        <f t="shared" si="12"/>
        <v>0</v>
      </c>
      <c r="BA26" s="228"/>
      <c r="BC26" s="345" cm="1">
        <f t="array" ref="BC26">IF(BM26&gt;=1,0,IFERROR(SUMPRODUCT(($G$11:$AH$11=$BC$16)*($G26:$AH26)),0))</f>
        <v>0</v>
      </c>
      <c r="BD26" s="345" cm="1">
        <f t="array" ref="BD26">IF(BM26&gt;=1,0,IFERROR(SUMPRODUCT(($G$11:$AH$11=$BD$16)*($G26:$AH26)),0))</f>
        <v>0</v>
      </c>
      <c r="BE26" s="345" cm="1">
        <f t="array" ref="BE26">IF(BM26&gt;=1,0,IFERROR(SUMPRODUCT(($G$11:$AH$11=$BE$16)*($G26:$AH26)),0))</f>
        <v>0</v>
      </c>
      <c r="BF26" s="345" cm="1">
        <f t="array" ref="BF26">IF(BM26&gt;=1,0,IFERROR(SUMPRODUCT(($G$11:$AH$11=$BF$16)*($G26:$AH26)),0))</f>
        <v>0</v>
      </c>
      <c r="BG26" s="345" cm="1">
        <f t="array" ref="BG26">IF(BM26&gt;=1,0,IFERROR(SUMPRODUCT(($G$11:$AH$11=$BG$16)*($G26:$AH26)),0))</f>
        <v>0</v>
      </c>
      <c r="BH26" s="345"/>
      <c r="BI26" s="343">
        <f t="shared" si="16"/>
        <v>0</v>
      </c>
      <c r="BJ26" s="229" t="s">
        <v>83</v>
      </c>
      <c r="BK26" cm="1">
        <f t="array" ref="BK26">(SUMPRODUCT(('Cashflow Summary C19RM'!$D$5:$D$451=E26)*('Cashflow Summary C19RM'!$BD$5:$BD$451)))</f>
        <v>0</v>
      </c>
      <c r="BL26" cm="1">
        <f t="array" ref="BL26">(SUMPRODUCT((SETUP!$D$20:$D$35=E26)*(SETUP!$R$20:$R$35)))</f>
        <v>0</v>
      </c>
      <c r="BM26" s="89">
        <f t="shared" si="13"/>
        <v>0</v>
      </c>
    </row>
    <row r="27" spans="1:65" s="89" customFormat="1" ht="15" customHeight="1" thickBot="1" x14ac:dyDescent="0.4">
      <c r="A27" s="89" t="s">
        <v>619</v>
      </c>
      <c r="B27" s="210" t="s">
        <v>695</v>
      </c>
      <c r="C27" s="699" t="s">
        <v>2750</v>
      </c>
      <c r="D27" s="1314"/>
      <c r="E27" s="1010" t="s">
        <v>25</v>
      </c>
      <c r="F27" s="706">
        <v>0</v>
      </c>
      <c r="G27" s="1031" cm="1">
        <f t="array" ref="G27">$F27*(SUMPRODUCT(('Cashflow Summary C19RM'!$K$5:$K$100&lt;&gt;1)*('Cashflow Summary C19RM'!$D$5:$D$100=E27)*('Cashflow Summary C19RM'!$R$5:$R$100)))</f>
        <v>0</v>
      </c>
      <c r="H27" s="629" cm="1">
        <f t="array" ref="H27">$F27*(SUMPRODUCT(('Cashflow Summary C19RM'!$K$5:$K$100&lt;&gt;1)*('Cashflow Summary C19RM'!$D$5:$D$100=E27)*('Cashflow Summary C19RM'!$S$5:$S$100)))</f>
        <v>0</v>
      </c>
      <c r="I27" s="630" cm="1">
        <f t="array" ref="I27">$F27*(SUMPRODUCT(('Cashflow Summary C19RM'!$K$5:$K$100&lt;&gt;1)*('Cashflow Summary C19RM'!$D$5:$D$100=E27)*('Cashflow Summary C19RM'!$T$5:$T$100)))</f>
        <v>0</v>
      </c>
      <c r="J27" s="630" cm="1">
        <f t="array" ref="J27">$F27*(SUMPRODUCT(('Cashflow Summary C19RM'!$K$5:$K$100&lt;&gt;1)*('Cashflow Summary C19RM'!$D$5:$D$100=E27)*('Cashflow Summary C19RM'!$U$5:$U$100)))</f>
        <v>0</v>
      </c>
      <c r="K27" s="1032">
        <f t="shared" si="0"/>
        <v>0</v>
      </c>
      <c r="L27" s="697">
        <f t="shared" si="1"/>
        <v>0</v>
      </c>
      <c r="M27" s="630" cm="1">
        <f t="array" ref="M27">$L27*(SUMPRODUCT(('Cashflow Summary C19RM'!$K$5:$K$100&lt;&gt;1)*('Cashflow Summary C19RM'!$D$5:$D$100=E27)*('Cashflow Summary C19RM'!$V$5:$V$100)))</f>
        <v>0</v>
      </c>
      <c r="N27" s="630" cm="1">
        <f t="array" ref="N27">$L27*(SUMPRODUCT(('Cashflow Summary C19RM'!$K$5:$K$100&lt;&gt;1)*('Cashflow Summary C19RM'!$D$5:$D$100=E27)*('Cashflow Summary C19RM'!$W$5:$W$100)))</f>
        <v>0</v>
      </c>
      <c r="O27" s="630" cm="1">
        <f t="array" ref="O27">$L27*(SUMPRODUCT(('Cashflow Summary C19RM'!$K$5:$K$100&lt;&gt;1)*('Cashflow Summary C19RM'!$D$5:$D$100=E27)*('Cashflow Summary C19RM'!$X$5:$X$100)))</f>
        <v>0</v>
      </c>
      <c r="P27" s="630" cm="1">
        <f t="array" ref="P27">$L27*(SUMPRODUCT(('Cashflow Summary C19RM'!$K$5:$K$100&lt;&gt;1)*('Cashflow Summary C19RM'!$D$5:$D$100=E27)*('Cashflow Summary C19RM'!$Y$5:$Y$100)))</f>
        <v>0</v>
      </c>
      <c r="Q27" s="632">
        <f t="shared" si="2"/>
        <v>0</v>
      </c>
      <c r="R27" s="686">
        <f t="shared" si="3"/>
        <v>0</v>
      </c>
      <c r="S27" s="633" cm="1">
        <f t="array" ref="S27">$R27*(SUMPRODUCT(('Cashflow Summary C19RM'!$K$5:$K$100&lt;&gt;1)*('Cashflow Summary C19RM'!$D$5:$D$100=E27)*('Cashflow Summary C19RM'!$Z$5:$Z$100)))</f>
        <v>0</v>
      </c>
      <c r="T27" s="633" cm="1">
        <f t="array" ref="T27">$R27*(SUMPRODUCT(('Cashflow Summary C19RM'!$K$5:$K$100&lt;&gt;1)*('Cashflow Summary C19RM'!$D$5:$D$100=E27)*('Cashflow Summary C19RM'!$AA$5:$AA$100)))</f>
        <v>0</v>
      </c>
      <c r="U27" s="633" cm="1">
        <f t="array" ref="U27">$R27*(SUMPRODUCT(('Cashflow Summary C19RM'!$K$5:$K$100&lt;&gt;1)*('Cashflow Summary C19RM'!$D$5:$D$100=E27)*('Cashflow Summary C19RM'!$AB$5:$AB$100)))</f>
        <v>0</v>
      </c>
      <c r="V27" s="633" cm="1">
        <f t="array" ref="V27">$R27*(SUMPRODUCT(('Cashflow Summary C19RM'!$K$5:$K$100&lt;&gt;1)*('Cashflow Summary C19RM'!$D$5:$D$100=E27)*('Cashflow Summary C19RM'!$AC$5:$AC$100)))</f>
        <v>0</v>
      </c>
      <c r="W27" s="634">
        <f t="shared" si="4"/>
        <v>0</v>
      </c>
      <c r="X27" s="686">
        <f t="shared" si="5"/>
        <v>0</v>
      </c>
      <c r="Y27" s="633" cm="1">
        <f t="array" ref="Y27">$X27*(SUMPRODUCT(('Cashflow Summary C19RM'!$K$5:$K$100&lt;&gt;1)*('Cashflow Summary C19RM'!$D$5:$D$100=E27)*('Cashflow Summary C19RM'!$AD$5:$AD$100)))</f>
        <v>0</v>
      </c>
      <c r="Z27" s="633" cm="1">
        <f t="array" ref="Z27">$X27*(SUMPRODUCT(('Cashflow Summary C19RM'!$K$5:$K$100&lt;&gt;1)*('Cashflow Summary C19RM'!$D$5:$D$100=E27)*('Cashflow Summary C19RM'!$AE$5:$AE$100)))</f>
        <v>0</v>
      </c>
      <c r="AA27" s="633" cm="1">
        <f t="array" ref="AA27">$X27*(SUMPRODUCT(('Cashflow Summary C19RM'!$K$5:$K$100&lt;&gt;1)*('Cashflow Summary C19RM'!$D$5:$D$100=E27)*('Cashflow Summary C19RM'!$AF$5:$AF$100)))</f>
        <v>0</v>
      </c>
      <c r="AB27" s="630" cm="1">
        <f t="array" ref="AB27">$X27*(SUMPRODUCT(('Cashflow Summary C19RM'!$K$5:$K$100&lt;&gt;1)*('Cashflow Summary C19RM'!$D$5:$D$100=E27)*('Cashflow Summary C19RM'!$AG$5:$AG$100)))</f>
        <v>0</v>
      </c>
      <c r="AC27" s="634">
        <f t="shared" si="6"/>
        <v>0</v>
      </c>
      <c r="AD27" s="686">
        <f t="shared" si="17"/>
        <v>0</v>
      </c>
      <c r="AE27" s="628" cm="1">
        <f t="array" ref="AE27">$AD27*(SUMPRODUCT(('Cashflow Summary C19RM'!$K$5:$K$100&lt;&gt;1)*('Cashflow Summary C19RM'!$D$5:$D$100=E27)*('Cashflow Summary C19RM'!$AH$5:$AH$100)))</f>
        <v>0</v>
      </c>
      <c r="AF27" s="633" cm="1">
        <f t="array" ref="AF27">$AD27*(SUMPRODUCT(('Cashflow Summary C19RM'!$K$5:$K$100&lt;&gt;1)*('Cashflow Summary C19RM'!$D$5:$D$100=E27)*('Cashflow Summary C19RM'!$AI$5:$AI$100)))</f>
        <v>0</v>
      </c>
      <c r="AG27" s="633" cm="1">
        <f t="array" ref="AG27">$AD27*(SUMPRODUCT(('Cashflow Summary C19RM'!$K$5:$K$100&lt;&gt;1)*('Cashflow Summary C19RM'!$D$5:$D$100=E27)*('Cashflow Summary C19RM'!$AJ$5:$AJ$100)))</f>
        <v>0</v>
      </c>
      <c r="AH27" s="633" cm="1">
        <f t="array" ref="AH27">$AD27*(SUMPRODUCT(('Cashflow Summary C19RM'!$K$5:$K$100&lt;&gt;1)*('Cashflow Summary C19RM'!$D$5:$D$100=E27)*('Cashflow Summary C19RM'!$AK$5:$AO$100)))</f>
        <v>0</v>
      </c>
      <c r="AI27" s="634">
        <f t="shared" si="14"/>
        <v>0</v>
      </c>
      <c r="AJ27" s="875">
        <v>0</v>
      </c>
      <c r="AK27" s="872"/>
      <c r="AL27" s="873"/>
      <c r="AM27" s="873"/>
      <c r="AN27" s="873"/>
      <c r="AO27" s="874"/>
      <c r="AP27" s="634">
        <f t="shared" si="15"/>
        <v>0</v>
      </c>
      <c r="AQ27" s="636">
        <v>7.1</v>
      </c>
      <c r="AR27" s="707"/>
      <c r="AS27" s="310"/>
      <c r="AV27" s="228">
        <f t="shared" si="8"/>
        <v>0</v>
      </c>
      <c r="AW27" s="228">
        <f t="shared" si="9"/>
        <v>0</v>
      </c>
      <c r="AX27" s="228">
        <f t="shared" si="10"/>
        <v>0</v>
      </c>
      <c r="AY27" s="228">
        <f t="shared" si="11"/>
        <v>0</v>
      </c>
      <c r="AZ27" s="228">
        <f t="shared" si="12"/>
        <v>0</v>
      </c>
      <c r="BA27" s="228"/>
      <c r="BC27" s="345" cm="1">
        <f t="array" ref="BC27">IF(BM27&gt;=1,0,IFERROR(SUMPRODUCT(($G$11:$AH$11=$BC$16)*($G27:$AH27)),0))</f>
        <v>0</v>
      </c>
      <c r="BD27" s="345" cm="1">
        <f t="array" ref="BD27">IF(BM27&gt;=1,0,IFERROR(SUMPRODUCT(($G$11:$AH$11=$BD$16)*($G27:$AH27)),0))</f>
        <v>0</v>
      </c>
      <c r="BE27" s="345" cm="1">
        <f t="array" ref="BE27">IF(BM27&gt;=1,0,IFERROR(SUMPRODUCT(($G$11:$AH$11=$BE$16)*($G27:$AH27)),0))</f>
        <v>0</v>
      </c>
      <c r="BF27" s="345" cm="1">
        <f t="array" ref="BF27">IF(BM27&gt;=1,0,IFERROR(SUMPRODUCT(($G$11:$AH$11=$BF$16)*($G27:$AH27)),0))</f>
        <v>0</v>
      </c>
      <c r="BG27" s="345" cm="1">
        <f t="array" ref="BG27">IF(BM27&gt;=1,0,IFERROR(SUMPRODUCT(($G$11:$AH$11=$BG$16)*($G27:$AH27)),0))</f>
        <v>0</v>
      </c>
      <c r="BH27" s="345"/>
      <c r="BI27" s="343">
        <f t="shared" si="16"/>
        <v>0</v>
      </c>
      <c r="BJ27" s="229" t="s">
        <v>83</v>
      </c>
      <c r="BK27" cm="1">
        <f t="array" ref="BK27">(SUMPRODUCT(('Cashflow Summary C19RM'!$D$5:$D$451=E27)*('Cashflow Summary C19RM'!$BD$5:$BD$451)))</f>
        <v>0</v>
      </c>
      <c r="BL27" cm="1">
        <f t="array" ref="BL27">(SUMPRODUCT((SETUP!$D$20:$D$35=E27)*(SETUP!$R$20:$R$35)))</f>
        <v>0</v>
      </c>
      <c r="BM27" s="89">
        <f t="shared" si="13"/>
        <v>0</v>
      </c>
    </row>
    <row r="28" spans="1:65" s="89" customFormat="1" ht="15" customHeight="1" thickBot="1" x14ac:dyDescent="0.4">
      <c r="A28" s="89" t="s">
        <v>619</v>
      </c>
      <c r="B28" s="210" t="s">
        <v>695</v>
      </c>
      <c r="C28" s="699" t="s">
        <v>2750</v>
      </c>
      <c r="D28" s="1314"/>
      <c r="E28" s="1010" t="s">
        <v>28</v>
      </c>
      <c r="F28" s="706">
        <v>0</v>
      </c>
      <c r="G28" s="1031" cm="1">
        <f t="array" ref="G28">$F28*(SUMPRODUCT(('Cashflow Summary C19RM'!$K$5:$K$100&lt;&gt;1)*('Cashflow Summary C19RM'!$D$5:$D$100=E28)*('Cashflow Summary C19RM'!$R$5:$R$100)))</f>
        <v>0</v>
      </c>
      <c r="H28" s="629" cm="1">
        <f t="array" ref="H28">$F28*(SUMPRODUCT(('Cashflow Summary C19RM'!$K$5:$K$100&lt;&gt;1)*('Cashflow Summary C19RM'!$D$5:$D$100=E28)*('Cashflow Summary C19RM'!$S$5:$S$100)))</f>
        <v>0</v>
      </c>
      <c r="I28" s="630" cm="1">
        <f t="array" ref="I28">$F28*(SUMPRODUCT(('Cashflow Summary C19RM'!$K$5:$K$100&lt;&gt;1)*('Cashflow Summary C19RM'!$D$5:$D$100=E28)*('Cashflow Summary C19RM'!$T$5:$T$100)))</f>
        <v>0</v>
      </c>
      <c r="J28" s="630" cm="1">
        <f t="array" ref="J28">$F28*(SUMPRODUCT(('Cashflow Summary C19RM'!$K$5:$K$100&lt;&gt;1)*('Cashflow Summary C19RM'!$D$5:$D$100=E28)*('Cashflow Summary C19RM'!$U$5:$U$100)))</f>
        <v>0</v>
      </c>
      <c r="K28" s="1032">
        <f t="shared" si="0"/>
        <v>0</v>
      </c>
      <c r="L28" s="697">
        <f t="shared" si="1"/>
        <v>0</v>
      </c>
      <c r="M28" s="630" cm="1">
        <f t="array" ref="M28">$L28*(SUMPRODUCT(('Cashflow Summary C19RM'!$K$5:$K$100&lt;&gt;1)*('Cashflow Summary C19RM'!$D$5:$D$100=E28)*('Cashflow Summary C19RM'!$V$5:$V$100)))</f>
        <v>0</v>
      </c>
      <c r="N28" s="630" cm="1">
        <f t="array" ref="N28">$L28*(SUMPRODUCT(('Cashflow Summary C19RM'!$K$5:$K$100&lt;&gt;1)*('Cashflow Summary C19RM'!$D$5:$D$100=E28)*('Cashflow Summary C19RM'!$W$5:$W$100)))</f>
        <v>0</v>
      </c>
      <c r="O28" s="630" cm="1">
        <f t="array" ref="O28">$L28*(SUMPRODUCT(('Cashflow Summary C19RM'!$K$5:$K$100&lt;&gt;1)*('Cashflow Summary C19RM'!$D$5:$D$100=E28)*('Cashflow Summary C19RM'!$X$5:$X$100)))</f>
        <v>0</v>
      </c>
      <c r="P28" s="630" cm="1">
        <f t="array" ref="P28">$L28*(SUMPRODUCT(('Cashflow Summary C19RM'!$K$5:$K$100&lt;&gt;1)*('Cashflow Summary C19RM'!$D$5:$D$100=E28)*('Cashflow Summary C19RM'!$Y$5:$Y$100)))</f>
        <v>0</v>
      </c>
      <c r="Q28" s="632">
        <f t="shared" si="2"/>
        <v>0</v>
      </c>
      <c r="R28" s="686">
        <f t="shared" si="3"/>
        <v>0</v>
      </c>
      <c r="S28" s="633" cm="1">
        <f t="array" ref="S28">$R28*(SUMPRODUCT(('Cashflow Summary C19RM'!$K$5:$K$100&lt;&gt;1)*('Cashflow Summary C19RM'!$D$5:$D$100=E28)*('Cashflow Summary C19RM'!$Z$5:$Z$100)))</f>
        <v>0</v>
      </c>
      <c r="T28" s="633" cm="1">
        <f t="array" ref="T28">$R28*(SUMPRODUCT(('Cashflow Summary C19RM'!$K$5:$K$100&lt;&gt;1)*('Cashflow Summary C19RM'!$D$5:$D$100=E28)*('Cashflow Summary C19RM'!$AA$5:$AA$100)))</f>
        <v>0</v>
      </c>
      <c r="U28" s="633" cm="1">
        <f t="array" ref="U28">$R28*(SUMPRODUCT(('Cashflow Summary C19RM'!$K$5:$K$100&lt;&gt;1)*('Cashflow Summary C19RM'!$D$5:$D$100=E28)*('Cashflow Summary C19RM'!$AB$5:$AB$100)))</f>
        <v>0</v>
      </c>
      <c r="V28" s="633" cm="1">
        <f t="array" ref="V28">$R28*(SUMPRODUCT(('Cashflow Summary C19RM'!$K$5:$K$100&lt;&gt;1)*('Cashflow Summary C19RM'!$D$5:$D$100=E28)*('Cashflow Summary C19RM'!$AC$5:$AC$100)))</f>
        <v>0</v>
      </c>
      <c r="W28" s="634">
        <f t="shared" si="4"/>
        <v>0</v>
      </c>
      <c r="X28" s="686">
        <f t="shared" si="5"/>
        <v>0</v>
      </c>
      <c r="Y28" s="633" cm="1">
        <f t="array" ref="Y28">$X28*(SUMPRODUCT(('Cashflow Summary C19RM'!$K$5:$K$100&lt;&gt;1)*('Cashflow Summary C19RM'!$D$5:$D$100=E28)*('Cashflow Summary C19RM'!$AD$5:$AD$100)))</f>
        <v>0</v>
      </c>
      <c r="Z28" s="633" cm="1">
        <f t="array" ref="Z28">$X28*(SUMPRODUCT(('Cashflow Summary C19RM'!$K$5:$K$100&lt;&gt;1)*('Cashflow Summary C19RM'!$D$5:$D$100=E28)*('Cashflow Summary C19RM'!$AE$5:$AE$100)))</f>
        <v>0</v>
      </c>
      <c r="AA28" s="633" cm="1">
        <f t="array" ref="AA28">$X28*(SUMPRODUCT(('Cashflow Summary C19RM'!$K$5:$K$100&lt;&gt;1)*('Cashflow Summary C19RM'!$D$5:$D$100=E28)*('Cashflow Summary C19RM'!$AF$5:$AF$100)))</f>
        <v>0</v>
      </c>
      <c r="AB28" s="630" cm="1">
        <f t="array" ref="AB28">$X28*(SUMPRODUCT(('Cashflow Summary C19RM'!$K$5:$K$100&lt;&gt;1)*('Cashflow Summary C19RM'!$D$5:$D$100=E28)*('Cashflow Summary C19RM'!$AG$5:$AG$100)))</f>
        <v>0</v>
      </c>
      <c r="AC28" s="634">
        <f t="shared" si="6"/>
        <v>0</v>
      </c>
      <c r="AD28" s="686">
        <f t="shared" si="17"/>
        <v>0</v>
      </c>
      <c r="AE28" s="628" cm="1">
        <f t="array" ref="AE28">$AD28*(SUMPRODUCT(('Cashflow Summary C19RM'!$K$5:$K$100&lt;&gt;1)*('Cashflow Summary C19RM'!$D$5:$D$100=E28)*('Cashflow Summary C19RM'!$AH$5:$AH$100)))</f>
        <v>0</v>
      </c>
      <c r="AF28" s="633" cm="1">
        <f t="array" ref="AF28">$AD28*(SUMPRODUCT(('Cashflow Summary C19RM'!$K$5:$K$100&lt;&gt;1)*('Cashflow Summary C19RM'!$D$5:$D$100=E28)*('Cashflow Summary C19RM'!$AI$5:$AI$100)))</f>
        <v>0</v>
      </c>
      <c r="AG28" s="633" cm="1">
        <f t="array" ref="AG28">$AD28*(SUMPRODUCT(('Cashflow Summary C19RM'!$K$5:$K$100&lt;&gt;1)*('Cashflow Summary C19RM'!$D$5:$D$100=E28)*('Cashflow Summary C19RM'!$AJ$5:$AJ$100)))</f>
        <v>0</v>
      </c>
      <c r="AH28" s="633" cm="1">
        <f t="array" ref="AH28">$AD28*(SUMPRODUCT(('Cashflow Summary C19RM'!$K$5:$K$100&lt;&gt;1)*('Cashflow Summary C19RM'!$D$5:$D$100=E28)*('Cashflow Summary C19RM'!$AK$5:$AO$100)))</f>
        <v>0</v>
      </c>
      <c r="AI28" s="634">
        <f t="shared" si="14"/>
        <v>0</v>
      </c>
      <c r="AJ28" s="875">
        <v>0</v>
      </c>
      <c r="AK28" s="872"/>
      <c r="AL28" s="873"/>
      <c r="AM28" s="873"/>
      <c r="AN28" s="873"/>
      <c r="AO28" s="874"/>
      <c r="AP28" s="634">
        <f t="shared" si="15"/>
        <v>0</v>
      </c>
      <c r="AQ28" s="636">
        <v>7.1</v>
      </c>
      <c r="AR28" s="707"/>
      <c r="AS28" s="310"/>
      <c r="AV28" s="228">
        <f t="shared" si="8"/>
        <v>0</v>
      </c>
      <c r="AW28" s="228">
        <f t="shared" si="9"/>
        <v>0</v>
      </c>
      <c r="AX28" s="228">
        <f t="shared" si="10"/>
        <v>0</v>
      </c>
      <c r="AY28" s="228">
        <f t="shared" si="11"/>
        <v>0</v>
      </c>
      <c r="AZ28" s="228">
        <f t="shared" si="12"/>
        <v>0</v>
      </c>
      <c r="BA28" s="228"/>
      <c r="BC28" s="345" cm="1">
        <f t="array" ref="BC28">IF(BM28&gt;=1,0,IFERROR(SUMPRODUCT(($G$11:$AH$11=$BC$16)*($G28:$AH28)),0))</f>
        <v>0</v>
      </c>
      <c r="BD28" s="345" cm="1">
        <f t="array" ref="BD28">IF(BM28&gt;=1,0,IFERROR(SUMPRODUCT(($G$11:$AH$11=$BD$16)*($G28:$AH28)),0))</f>
        <v>0</v>
      </c>
      <c r="BE28" s="345" cm="1">
        <f t="array" ref="BE28">IF(BM28&gt;=1,0,IFERROR(SUMPRODUCT(($G$11:$AH$11=$BE$16)*($G28:$AH28)),0))</f>
        <v>0</v>
      </c>
      <c r="BF28" s="345" cm="1">
        <f t="array" ref="BF28">IF(BM28&gt;=1,0,IFERROR(SUMPRODUCT(($G$11:$AH$11=$BF$16)*($G28:$AH28)),0))</f>
        <v>0</v>
      </c>
      <c r="BG28" s="345" cm="1">
        <f t="array" ref="BG28">IF(BM28&gt;=1,0,IFERROR(SUMPRODUCT(($G$11:$AH$11=$BG$16)*($G28:$AH28)),0))</f>
        <v>0</v>
      </c>
      <c r="BH28" s="345"/>
      <c r="BI28" s="343">
        <f t="shared" si="16"/>
        <v>0</v>
      </c>
      <c r="BJ28" s="229" t="s">
        <v>83</v>
      </c>
      <c r="BK28" cm="1">
        <f t="array" ref="BK28">(SUMPRODUCT(('Cashflow Summary C19RM'!$D$5:$D$451=E28)*('Cashflow Summary C19RM'!$BD$5:$BD$451)))</f>
        <v>0</v>
      </c>
      <c r="BL28" cm="1">
        <f t="array" ref="BL28">(SUMPRODUCT((SETUP!$D$20:$D$35=E28)*(SETUP!$R$20:$R$35)))</f>
        <v>0</v>
      </c>
      <c r="BM28" s="89">
        <f t="shared" si="13"/>
        <v>0</v>
      </c>
    </row>
    <row r="29" spans="1:65" s="89" customFormat="1" ht="15" customHeight="1" thickBot="1" x14ac:dyDescent="0.4">
      <c r="A29" s="89" t="s">
        <v>619</v>
      </c>
      <c r="B29" s="210" t="s">
        <v>695</v>
      </c>
      <c r="C29" s="699" t="s">
        <v>2750</v>
      </c>
      <c r="D29" s="1314"/>
      <c r="E29" s="1010" t="s">
        <v>29</v>
      </c>
      <c r="F29" s="706">
        <v>0</v>
      </c>
      <c r="G29" s="1031" cm="1">
        <f t="array" ref="G29">$F29*(SUMPRODUCT(('Cashflow Summary C19RM'!$K$5:$K$100&lt;&gt;1)*('Cashflow Summary C19RM'!$D$5:$D$100=E29)*('Cashflow Summary C19RM'!$R$5:$R$100)))</f>
        <v>0</v>
      </c>
      <c r="H29" s="629" cm="1">
        <f t="array" ref="H29">$F29*(SUMPRODUCT(('Cashflow Summary C19RM'!$K$5:$K$100&lt;&gt;1)*('Cashflow Summary C19RM'!$D$5:$D$100=E29)*('Cashflow Summary C19RM'!$S$5:$S$100)))</f>
        <v>0</v>
      </c>
      <c r="I29" s="630" cm="1">
        <f t="array" ref="I29">$F29*(SUMPRODUCT(('Cashflow Summary C19RM'!$K$5:$K$100&lt;&gt;1)*('Cashflow Summary C19RM'!$D$5:$D$100=E29)*('Cashflow Summary C19RM'!$T$5:$T$100)))</f>
        <v>0</v>
      </c>
      <c r="J29" s="630" cm="1">
        <f t="array" ref="J29">$F29*(SUMPRODUCT(('Cashflow Summary C19RM'!$K$5:$K$100&lt;&gt;1)*('Cashflow Summary C19RM'!$D$5:$D$100=E29)*('Cashflow Summary C19RM'!$U$5:$U$100)))</f>
        <v>0</v>
      </c>
      <c r="K29" s="1032">
        <f t="shared" si="0"/>
        <v>0</v>
      </c>
      <c r="L29" s="697">
        <f t="shared" si="1"/>
        <v>0</v>
      </c>
      <c r="M29" s="630" cm="1">
        <f t="array" ref="M29">$L29*(SUMPRODUCT(('Cashflow Summary C19RM'!$K$5:$K$100&lt;&gt;1)*('Cashflow Summary C19RM'!$D$5:$D$100=E29)*('Cashflow Summary C19RM'!$V$5:$V$100)))</f>
        <v>0</v>
      </c>
      <c r="N29" s="630" cm="1">
        <f t="array" ref="N29">$L29*(SUMPRODUCT(('Cashflow Summary C19RM'!$K$5:$K$100&lt;&gt;1)*('Cashflow Summary C19RM'!$D$5:$D$100=E29)*('Cashflow Summary C19RM'!$W$5:$W$100)))</f>
        <v>0</v>
      </c>
      <c r="O29" s="630" cm="1">
        <f t="array" ref="O29">$L29*(SUMPRODUCT(('Cashflow Summary C19RM'!$K$5:$K$100&lt;&gt;1)*('Cashflow Summary C19RM'!$D$5:$D$100=E29)*('Cashflow Summary C19RM'!$X$5:$X$100)))</f>
        <v>0</v>
      </c>
      <c r="P29" s="630" cm="1">
        <f t="array" ref="P29">$L29*(SUMPRODUCT(('Cashflow Summary C19RM'!$K$5:$K$100&lt;&gt;1)*('Cashflow Summary C19RM'!$D$5:$D$100=E29)*('Cashflow Summary C19RM'!$Y$5:$Y$100)))</f>
        <v>0</v>
      </c>
      <c r="Q29" s="632">
        <f t="shared" si="2"/>
        <v>0</v>
      </c>
      <c r="R29" s="686">
        <f t="shared" si="3"/>
        <v>0</v>
      </c>
      <c r="S29" s="633" cm="1">
        <f t="array" ref="S29">$R29*(SUMPRODUCT(('Cashflow Summary C19RM'!$K$5:$K$100&lt;&gt;1)*('Cashflow Summary C19RM'!$D$5:$D$100=E29)*('Cashflow Summary C19RM'!$Z$5:$Z$100)))</f>
        <v>0</v>
      </c>
      <c r="T29" s="633" cm="1">
        <f t="array" ref="T29">$R29*(SUMPRODUCT(('Cashflow Summary C19RM'!$K$5:$K$100&lt;&gt;1)*('Cashflow Summary C19RM'!$D$5:$D$100=E29)*('Cashflow Summary C19RM'!$AA$5:$AA$100)))</f>
        <v>0</v>
      </c>
      <c r="U29" s="633" cm="1">
        <f t="array" ref="U29">$R29*(SUMPRODUCT(('Cashflow Summary C19RM'!$K$5:$K$100&lt;&gt;1)*('Cashflow Summary C19RM'!$D$5:$D$100=E29)*('Cashflow Summary C19RM'!$AB$5:$AB$100)))</f>
        <v>0</v>
      </c>
      <c r="V29" s="633" cm="1">
        <f t="array" ref="V29">$R29*(SUMPRODUCT(('Cashflow Summary C19RM'!$K$5:$K$100&lt;&gt;1)*('Cashflow Summary C19RM'!$D$5:$D$100=E29)*('Cashflow Summary C19RM'!$AC$5:$AC$100)))</f>
        <v>0</v>
      </c>
      <c r="W29" s="634">
        <f t="shared" si="4"/>
        <v>0</v>
      </c>
      <c r="X29" s="686">
        <f t="shared" si="5"/>
        <v>0</v>
      </c>
      <c r="Y29" s="633" cm="1">
        <f t="array" ref="Y29">$X29*(SUMPRODUCT(('Cashflow Summary C19RM'!$K$5:$K$100&lt;&gt;1)*('Cashflow Summary C19RM'!$D$5:$D$100=E29)*('Cashflow Summary C19RM'!$AD$5:$AD$100)))</f>
        <v>0</v>
      </c>
      <c r="Z29" s="633" cm="1">
        <f t="array" ref="Z29">$X29*(SUMPRODUCT(('Cashflow Summary C19RM'!$K$5:$K$100&lt;&gt;1)*('Cashflow Summary C19RM'!$D$5:$D$100=E29)*('Cashflow Summary C19RM'!$AE$5:$AE$100)))</f>
        <v>0</v>
      </c>
      <c r="AA29" s="633" cm="1">
        <f t="array" ref="AA29">$X29*(SUMPRODUCT(('Cashflow Summary C19RM'!$K$5:$K$100&lt;&gt;1)*('Cashflow Summary C19RM'!$D$5:$D$100=E29)*('Cashflow Summary C19RM'!$AF$5:$AF$100)))</f>
        <v>0</v>
      </c>
      <c r="AB29" s="630" cm="1">
        <f t="array" ref="AB29">$X29*(SUMPRODUCT(('Cashflow Summary C19RM'!$K$5:$K$100&lt;&gt;1)*('Cashflow Summary C19RM'!$D$5:$D$100=E29)*('Cashflow Summary C19RM'!$AG$5:$AG$100)))</f>
        <v>0</v>
      </c>
      <c r="AC29" s="634">
        <f t="shared" si="6"/>
        <v>0</v>
      </c>
      <c r="AD29" s="686">
        <f t="shared" si="17"/>
        <v>0</v>
      </c>
      <c r="AE29" s="628" cm="1">
        <f t="array" ref="AE29">$AD29*(SUMPRODUCT(('Cashflow Summary C19RM'!$K$5:$K$100&lt;&gt;1)*('Cashflow Summary C19RM'!$D$5:$D$100=E29)*('Cashflow Summary C19RM'!$AH$5:$AH$100)))</f>
        <v>0</v>
      </c>
      <c r="AF29" s="633" cm="1">
        <f t="array" ref="AF29">$AD29*(SUMPRODUCT(('Cashflow Summary C19RM'!$K$5:$K$100&lt;&gt;1)*('Cashflow Summary C19RM'!$D$5:$D$100=E29)*('Cashflow Summary C19RM'!$AI$5:$AI$100)))</f>
        <v>0</v>
      </c>
      <c r="AG29" s="633" cm="1">
        <f t="array" ref="AG29">$AD29*(SUMPRODUCT(('Cashflow Summary C19RM'!$K$5:$K$100&lt;&gt;1)*('Cashflow Summary C19RM'!$D$5:$D$100=E29)*('Cashflow Summary C19RM'!$AJ$5:$AJ$100)))</f>
        <v>0</v>
      </c>
      <c r="AH29" s="633" cm="1">
        <f t="array" ref="AH29">$AD29*(SUMPRODUCT(('Cashflow Summary C19RM'!$K$5:$K$100&lt;&gt;1)*('Cashflow Summary C19RM'!$D$5:$D$100=E29)*('Cashflow Summary C19RM'!$AK$5:$AO$100)))</f>
        <v>0</v>
      </c>
      <c r="AI29" s="634">
        <f t="shared" si="14"/>
        <v>0</v>
      </c>
      <c r="AJ29" s="875">
        <v>0</v>
      </c>
      <c r="AK29" s="872"/>
      <c r="AL29" s="873"/>
      <c r="AM29" s="873"/>
      <c r="AN29" s="873"/>
      <c r="AO29" s="874"/>
      <c r="AP29" s="634">
        <f t="shared" si="15"/>
        <v>0</v>
      </c>
      <c r="AQ29" s="636">
        <v>7.1</v>
      </c>
      <c r="AR29" s="707"/>
      <c r="AS29" s="310"/>
      <c r="AV29" s="228">
        <f t="shared" si="8"/>
        <v>0</v>
      </c>
      <c r="AW29" s="228">
        <f t="shared" si="9"/>
        <v>0</v>
      </c>
      <c r="AX29" s="228">
        <f t="shared" si="10"/>
        <v>0</v>
      </c>
      <c r="AY29" s="228">
        <f t="shared" si="11"/>
        <v>0</v>
      </c>
      <c r="AZ29" s="228">
        <f t="shared" si="12"/>
        <v>0</v>
      </c>
      <c r="BA29" s="228"/>
      <c r="BC29" s="345" cm="1">
        <f t="array" ref="BC29">IF(BM29&gt;=1,0,IFERROR(SUMPRODUCT(($G$11:$AH$11=$BC$16)*($G29:$AH29)),0))</f>
        <v>0</v>
      </c>
      <c r="BD29" s="345" cm="1">
        <f t="array" ref="BD29">IF(BM29&gt;=1,0,IFERROR(SUMPRODUCT(($G$11:$AH$11=$BD$16)*($G29:$AH29)),0))</f>
        <v>0</v>
      </c>
      <c r="BE29" s="345" cm="1">
        <f t="array" ref="BE29">IF(BM29&gt;=1,0,IFERROR(SUMPRODUCT(($G$11:$AH$11=$BE$16)*($G29:$AH29)),0))</f>
        <v>0</v>
      </c>
      <c r="BF29" s="345" cm="1">
        <f t="array" ref="BF29">IF(BM29&gt;=1,0,IFERROR(SUMPRODUCT(($G$11:$AH$11=$BF$16)*($G29:$AH29)),0))</f>
        <v>0</v>
      </c>
      <c r="BG29" s="345" cm="1">
        <f t="array" ref="BG29">IF(BM29&gt;=1,0,IFERROR(SUMPRODUCT(($G$11:$AH$11=$BG$16)*($G29:$AH29)),0))</f>
        <v>0</v>
      </c>
      <c r="BH29" s="345"/>
      <c r="BI29" s="343">
        <f t="shared" si="16"/>
        <v>0</v>
      </c>
      <c r="BJ29" s="229" t="s">
        <v>83</v>
      </c>
      <c r="BK29" cm="1">
        <f t="array" ref="BK29">(SUMPRODUCT(('Cashflow Summary C19RM'!$D$5:$D$451=E29)*('Cashflow Summary C19RM'!$BD$5:$BD$451)))</f>
        <v>0</v>
      </c>
      <c r="BL29" cm="1">
        <f t="array" ref="BL29">(SUMPRODUCT((SETUP!$D$20:$D$35=E29)*(SETUP!$R$20:$R$35)))</f>
        <v>0</v>
      </c>
      <c r="BM29" s="89">
        <f t="shared" si="13"/>
        <v>0</v>
      </c>
    </row>
    <row r="30" spans="1:65" s="89" customFormat="1" ht="15" customHeight="1" thickBot="1" x14ac:dyDescent="0.4">
      <c r="A30" s="89" t="s">
        <v>619</v>
      </c>
      <c r="B30" s="210" t="s">
        <v>695</v>
      </c>
      <c r="C30" s="699" t="s">
        <v>2750</v>
      </c>
      <c r="D30" s="1314"/>
      <c r="E30" s="1010" t="s">
        <v>30</v>
      </c>
      <c r="F30" s="706">
        <v>0</v>
      </c>
      <c r="G30" s="1031" cm="1">
        <f t="array" ref="G30">$F30*(SUMPRODUCT(('Cashflow Summary C19RM'!$K$5:$K$100&lt;&gt;1)*('Cashflow Summary C19RM'!$D$5:$D$100=E30)*('Cashflow Summary C19RM'!$R$5:$R$100)))</f>
        <v>0</v>
      </c>
      <c r="H30" s="629" cm="1">
        <f t="array" ref="H30">$F30*(SUMPRODUCT(('Cashflow Summary C19RM'!$K$5:$K$100&lt;&gt;1)*('Cashflow Summary C19RM'!$D$5:$D$100=E30)*('Cashflow Summary C19RM'!$S$5:$S$100)))</f>
        <v>0</v>
      </c>
      <c r="I30" s="630" cm="1">
        <f t="array" ref="I30">$F30*(SUMPRODUCT(('Cashflow Summary C19RM'!$K$5:$K$100&lt;&gt;1)*('Cashflow Summary C19RM'!$D$5:$D$100=E30)*('Cashflow Summary C19RM'!$T$5:$T$100)))</f>
        <v>0</v>
      </c>
      <c r="J30" s="630" cm="1">
        <f t="array" ref="J30">$F30*(SUMPRODUCT(('Cashflow Summary C19RM'!$K$5:$K$100&lt;&gt;1)*('Cashflow Summary C19RM'!$D$5:$D$100=E30)*('Cashflow Summary C19RM'!$U$5:$U$100)))</f>
        <v>0</v>
      </c>
      <c r="K30" s="1032">
        <f t="shared" si="0"/>
        <v>0</v>
      </c>
      <c r="L30" s="697">
        <f t="shared" si="1"/>
        <v>0</v>
      </c>
      <c r="M30" s="630" cm="1">
        <f t="array" ref="M30">$L30*(SUMPRODUCT(('Cashflow Summary C19RM'!$K$5:$K$100&lt;&gt;1)*('Cashflow Summary C19RM'!$D$5:$D$100=E30)*('Cashflow Summary C19RM'!$V$5:$V$100)))</f>
        <v>0</v>
      </c>
      <c r="N30" s="630" cm="1">
        <f t="array" ref="N30">$L30*(SUMPRODUCT(('Cashflow Summary C19RM'!$K$5:$K$100&lt;&gt;1)*('Cashflow Summary C19RM'!$D$5:$D$100=E30)*('Cashflow Summary C19RM'!$W$5:$W$100)))</f>
        <v>0</v>
      </c>
      <c r="O30" s="630" cm="1">
        <f t="array" ref="O30">$L30*(SUMPRODUCT(('Cashflow Summary C19RM'!$K$5:$K$100&lt;&gt;1)*('Cashflow Summary C19RM'!$D$5:$D$100=E30)*('Cashflow Summary C19RM'!$X$5:$X$100)))</f>
        <v>0</v>
      </c>
      <c r="P30" s="630" cm="1">
        <f t="array" ref="P30">$L30*(SUMPRODUCT(('Cashflow Summary C19RM'!$K$5:$K$100&lt;&gt;1)*('Cashflow Summary C19RM'!$D$5:$D$100=E30)*('Cashflow Summary C19RM'!$Y$5:$Y$100)))</f>
        <v>0</v>
      </c>
      <c r="Q30" s="632">
        <f t="shared" si="2"/>
        <v>0</v>
      </c>
      <c r="R30" s="686">
        <f t="shared" si="3"/>
        <v>0</v>
      </c>
      <c r="S30" s="633" cm="1">
        <f t="array" ref="S30">$R30*(SUMPRODUCT(('Cashflow Summary C19RM'!$K$5:$K$100&lt;&gt;1)*('Cashflow Summary C19RM'!$D$5:$D$100=E30)*('Cashflow Summary C19RM'!$Z$5:$Z$100)))</f>
        <v>0</v>
      </c>
      <c r="T30" s="633" cm="1">
        <f t="array" ref="T30">$R30*(SUMPRODUCT(('Cashflow Summary C19RM'!$K$5:$K$100&lt;&gt;1)*('Cashflow Summary C19RM'!$D$5:$D$100=E30)*('Cashflow Summary C19RM'!$AA$5:$AA$100)))</f>
        <v>0</v>
      </c>
      <c r="U30" s="633" cm="1">
        <f t="array" ref="U30">$R30*(SUMPRODUCT(('Cashflow Summary C19RM'!$K$5:$K$100&lt;&gt;1)*('Cashflow Summary C19RM'!$D$5:$D$100=E30)*('Cashflow Summary C19RM'!$AB$5:$AB$100)))</f>
        <v>0</v>
      </c>
      <c r="V30" s="633" cm="1">
        <f t="array" ref="V30">$R30*(SUMPRODUCT(('Cashflow Summary C19RM'!$K$5:$K$100&lt;&gt;1)*('Cashflow Summary C19RM'!$D$5:$D$100=E30)*('Cashflow Summary C19RM'!$AC$5:$AC$100)))</f>
        <v>0</v>
      </c>
      <c r="W30" s="634">
        <f t="shared" si="4"/>
        <v>0</v>
      </c>
      <c r="X30" s="686">
        <f t="shared" si="5"/>
        <v>0</v>
      </c>
      <c r="Y30" s="633" cm="1">
        <f t="array" ref="Y30">$X30*(SUMPRODUCT(('Cashflow Summary C19RM'!$K$5:$K$100&lt;&gt;1)*('Cashflow Summary C19RM'!$D$5:$D$100=E30)*('Cashflow Summary C19RM'!$AD$5:$AD$100)))</f>
        <v>0</v>
      </c>
      <c r="Z30" s="633" cm="1">
        <f t="array" ref="Z30">$X30*(SUMPRODUCT(('Cashflow Summary C19RM'!$K$5:$K$100&lt;&gt;1)*('Cashflow Summary C19RM'!$D$5:$D$100=E30)*('Cashflow Summary C19RM'!$AE$5:$AE$100)))</f>
        <v>0</v>
      </c>
      <c r="AA30" s="633" cm="1">
        <f t="array" ref="AA30">$X30*(SUMPRODUCT(('Cashflow Summary C19RM'!$K$5:$K$100&lt;&gt;1)*('Cashflow Summary C19RM'!$D$5:$D$100=E30)*('Cashflow Summary C19RM'!$AF$5:$AF$100)))</f>
        <v>0</v>
      </c>
      <c r="AB30" s="630" cm="1">
        <f t="array" ref="AB30">$X30*(SUMPRODUCT(('Cashflow Summary C19RM'!$K$5:$K$100&lt;&gt;1)*('Cashflow Summary C19RM'!$D$5:$D$100=E30)*('Cashflow Summary C19RM'!$AG$5:$AG$100)))</f>
        <v>0</v>
      </c>
      <c r="AC30" s="634">
        <f t="shared" si="6"/>
        <v>0</v>
      </c>
      <c r="AD30" s="686">
        <f t="shared" si="17"/>
        <v>0</v>
      </c>
      <c r="AE30" s="628" cm="1">
        <f t="array" ref="AE30">$AD30*(SUMPRODUCT(('Cashflow Summary C19RM'!$K$5:$K$100&lt;&gt;1)*('Cashflow Summary C19RM'!$D$5:$D$100=E30)*('Cashflow Summary C19RM'!$AH$5:$AH$100)))</f>
        <v>0</v>
      </c>
      <c r="AF30" s="633" cm="1">
        <f t="array" ref="AF30">$AD30*(SUMPRODUCT(('Cashflow Summary C19RM'!$K$5:$K$100&lt;&gt;1)*('Cashflow Summary C19RM'!$D$5:$D$100=E30)*('Cashflow Summary C19RM'!$AI$5:$AI$100)))</f>
        <v>0</v>
      </c>
      <c r="AG30" s="633" cm="1">
        <f t="array" ref="AG30">$AD30*(SUMPRODUCT(('Cashflow Summary C19RM'!$K$5:$K$100&lt;&gt;1)*('Cashflow Summary C19RM'!$D$5:$D$100=E30)*('Cashflow Summary C19RM'!$AJ$5:$AJ$100)))</f>
        <v>0</v>
      </c>
      <c r="AH30" s="633" cm="1">
        <f t="array" ref="AH30">$AD30*(SUMPRODUCT(('Cashflow Summary C19RM'!$K$5:$K$100&lt;&gt;1)*('Cashflow Summary C19RM'!$D$5:$D$100=E30)*('Cashflow Summary C19RM'!$AK$5:$AO$100)))</f>
        <v>0</v>
      </c>
      <c r="AI30" s="634">
        <f t="shared" si="14"/>
        <v>0</v>
      </c>
      <c r="AJ30" s="875">
        <v>0</v>
      </c>
      <c r="AK30" s="872"/>
      <c r="AL30" s="873"/>
      <c r="AM30" s="873"/>
      <c r="AN30" s="873"/>
      <c r="AO30" s="874"/>
      <c r="AP30" s="634">
        <f t="shared" si="15"/>
        <v>0</v>
      </c>
      <c r="AQ30" s="636">
        <v>7.1</v>
      </c>
      <c r="AR30" s="707"/>
      <c r="AS30" s="310"/>
      <c r="AV30" s="228">
        <f t="shared" si="8"/>
        <v>0</v>
      </c>
      <c r="AW30" s="228">
        <f t="shared" si="9"/>
        <v>0</v>
      </c>
      <c r="AX30" s="228">
        <f t="shared" si="10"/>
        <v>0</v>
      </c>
      <c r="AY30" s="228">
        <f t="shared" si="11"/>
        <v>0</v>
      </c>
      <c r="AZ30" s="228">
        <f t="shared" si="12"/>
        <v>0</v>
      </c>
      <c r="BA30" s="228"/>
      <c r="BC30" s="345" cm="1">
        <f t="array" ref="BC30">IF(BM30&gt;=1,0,IFERROR(SUMPRODUCT(($G$11:$AH$11=$BC$16)*($G30:$AH30)),0))</f>
        <v>0</v>
      </c>
      <c r="BD30" s="345" cm="1">
        <f t="array" ref="BD30">IF(BM30&gt;=1,0,IFERROR(SUMPRODUCT(($G$11:$AH$11=$BD$16)*($G30:$AH30)),0))</f>
        <v>0</v>
      </c>
      <c r="BE30" s="345" cm="1">
        <f t="array" ref="BE30">IF(BM30&gt;=1,0,IFERROR(SUMPRODUCT(($G$11:$AH$11=$BE$16)*($G30:$AH30)),0))</f>
        <v>0</v>
      </c>
      <c r="BF30" s="345" cm="1">
        <f t="array" ref="BF30">IF(BM30&gt;=1,0,IFERROR(SUMPRODUCT(($G$11:$AH$11=$BF$16)*($G30:$AH30)),0))</f>
        <v>0</v>
      </c>
      <c r="BG30" s="345" cm="1">
        <f t="array" ref="BG30">IF(BM30&gt;=1,0,IFERROR(SUMPRODUCT(($G$11:$AH$11=$BG$16)*($G30:$AH30)),0))</f>
        <v>0</v>
      </c>
      <c r="BH30" s="345"/>
      <c r="BI30" s="343">
        <f t="shared" si="16"/>
        <v>0</v>
      </c>
      <c r="BJ30" s="229" t="s">
        <v>83</v>
      </c>
      <c r="BK30" cm="1">
        <f t="array" ref="BK30">(SUMPRODUCT(('Cashflow Summary C19RM'!$D$5:$D$451=E30)*('Cashflow Summary C19RM'!$BD$5:$BD$451)))</f>
        <v>0</v>
      </c>
      <c r="BL30" cm="1">
        <f t="array" ref="BL30">(SUMPRODUCT((SETUP!$D$20:$D$35=E30)*(SETUP!$R$20:$R$35)))</f>
        <v>0</v>
      </c>
      <c r="BM30" s="89">
        <f t="shared" si="13"/>
        <v>0</v>
      </c>
    </row>
    <row r="31" spans="1:65" s="89" customFormat="1" ht="15" customHeight="1" thickBot="1" x14ac:dyDescent="0.4">
      <c r="A31" s="89" t="s">
        <v>619</v>
      </c>
      <c r="B31" s="210" t="s">
        <v>695</v>
      </c>
      <c r="C31" s="698" t="s">
        <v>2750</v>
      </c>
      <c r="D31" s="1315"/>
      <c r="E31" s="1011" t="s">
        <v>31</v>
      </c>
      <c r="F31" s="979">
        <v>0</v>
      </c>
      <c r="G31" s="1033" cm="1">
        <f t="array" ref="G31">$F31*(SUMPRODUCT(('Cashflow Summary C19RM'!$K$5:$K$100&lt;&gt;1)*('Cashflow Summary C19RM'!$D$5:$D$100=E31)*('Cashflow Summary C19RM'!$R$5:$R$100)))</f>
        <v>0</v>
      </c>
      <c r="H31" s="704" cm="1">
        <f t="array" ref="H31">$F31*(SUMPRODUCT(('Cashflow Summary C19RM'!$K$5:$K$100&lt;&gt;1)*('Cashflow Summary C19RM'!$D$5:$D$100=E31)*('Cashflow Summary C19RM'!$S$5:$S$100)))</f>
        <v>0</v>
      </c>
      <c r="I31" s="704" cm="1">
        <f t="array" ref="I31">$F31*(SUMPRODUCT(('Cashflow Summary C19RM'!$K$5:$K$100&lt;&gt;1)*('Cashflow Summary C19RM'!$D$5:$D$100=E31)*('Cashflow Summary C19RM'!$T$5:$T$100)))</f>
        <v>0</v>
      </c>
      <c r="J31" s="704" cm="1">
        <f t="array" ref="J31">$F31*(SUMPRODUCT(('Cashflow Summary C19RM'!$K$5:$K$100&lt;&gt;1)*('Cashflow Summary C19RM'!$D$5:$D$100=E31)*('Cashflow Summary C19RM'!$U$5:$U$100)))</f>
        <v>0</v>
      </c>
      <c r="K31" s="1034">
        <f t="shared" si="0"/>
        <v>0</v>
      </c>
      <c r="L31" s="720">
        <f t="shared" si="1"/>
        <v>0</v>
      </c>
      <c r="M31" s="989" cm="1">
        <f t="array" ref="M31">$L31*(SUMPRODUCT(('Cashflow Summary C19RM'!$K$5:$K$100&lt;&gt;1)*('Cashflow Summary C19RM'!$D$5:$D$100=E31)*('Cashflow Summary C19RM'!$V$5:$V$100)))</f>
        <v>0</v>
      </c>
      <c r="N31" s="989" cm="1">
        <f t="array" ref="N31">$L31*(SUMPRODUCT(('Cashflow Summary C19RM'!$K$5:$K$100&lt;&gt;1)*('Cashflow Summary C19RM'!$D$5:$D$100=E31)*('Cashflow Summary C19RM'!$W$5:$W$100)))</f>
        <v>0</v>
      </c>
      <c r="O31" s="989" cm="1">
        <f t="array" ref="O31">$L31*(SUMPRODUCT(('Cashflow Summary C19RM'!$K$5:$K$100&lt;&gt;1)*('Cashflow Summary C19RM'!$D$5:$D$100=E31)*('Cashflow Summary C19RM'!$X$5:$X$100)))</f>
        <v>0</v>
      </c>
      <c r="P31" s="989" cm="1">
        <f t="array" ref="P31">$L31*(SUMPRODUCT(('Cashflow Summary C19RM'!$K$5:$K$100&lt;&gt;1)*('Cashflow Summary C19RM'!$D$5:$D$100=E31)*('Cashflow Summary C19RM'!$Y$5:$Y$100)))</f>
        <v>0</v>
      </c>
      <c r="Q31" s="710">
        <f t="shared" si="2"/>
        <v>0</v>
      </c>
      <c r="R31" s="711">
        <f t="shared" si="3"/>
        <v>0</v>
      </c>
      <c r="S31" s="704" cm="1">
        <f t="array" ref="S31">$R31*(SUMPRODUCT(('Cashflow Summary C19RM'!$K$5:$K$100&lt;&gt;1)*('Cashflow Summary C19RM'!$D$5:$D$100=E31)*('Cashflow Summary C19RM'!$Z$5:$Z$100)))</f>
        <v>0</v>
      </c>
      <c r="T31" s="704" cm="1">
        <f t="array" ref="T31">$R31*(SUMPRODUCT(('Cashflow Summary C19RM'!$K$5:$K$100&lt;&gt;1)*('Cashflow Summary C19RM'!$D$5:$D$100=E31)*('Cashflow Summary C19RM'!$AA$5:$AA$100)))</f>
        <v>0</v>
      </c>
      <c r="U31" s="704" cm="1">
        <f t="array" ref="U31">$R31*(SUMPRODUCT(('Cashflow Summary C19RM'!$K$5:$K$100&lt;&gt;1)*('Cashflow Summary C19RM'!$D$5:$D$100=E31)*('Cashflow Summary C19RM'!$AB$5:$AB$100)))</f>
        <v>0</v>
      </c>
      <c r="V31" s="704" cm="1">
        <f t="array" ref="V31">$R31*(SUMPRODUCT(('Cashflow Summary C19RM'!$K$5:$K$100&lt;&gt;1)*('Cashflow Summary C19RM'!$D$5:$D$100=E31)*('Cashflow Summary C19RM'!$AC$5:$AC$100)))</f>
        <v>0</v>
      </c>
      <c r="W31" s="712">
        <f t="shared" si="4"/>
        <v>0</v>
      </c>
      <c r="X31" s="711">
        <f t="shared" si="5"/>
        <v>0</v>
      </c>
      <c r="Y31" s="704" cm="1">
        <f t="array" ref="Y31">$X31*(SUMPRODUCT(('Cashflow Summary C19RM'!$K$5:$K$100&lt;&gt;1)*('Cashflow Summary C19RM'!$D$5:$D$100=E31)*('Cashflow Summary C19RM'!$AD$5:$AD$100)))</f>
        <v>0</v>
      </c>
      <c r="Z31" s="704" cm="1">
        <f t="array" ref="Z31">$X31*(SUMPRODUCT(('Cashflow Summary C19RM'!$K$5:$K$100&lt;&gt;1)*('Cashflow Summary C19RM'!$D$5:$D$100=E31)*('Cashflow Summary C19RM'!$AE$5:$AE$100)))</f>
        <v>0</v>
      </c>
      <c r="AA31" s="704" cm="1">
        <f t="array" ref="AA31">$X31*(SUMPRODUCT(('Cashflow Summary C19RM'!$K$5:$K$100&lt;&gt;1)*('Cashflow Summary C19RM'!$D$5:$D$100=E31)*('Cashflow Summary C19RM'!$AF$5:$AF$100)))</f>
        <v>0</v>
      </c>
      <c r="AB31" s="989" cm="1">
        <f t="array" ref="AB31">$X31*(SUMPRODUCT(('Cashflow Summary C19RM'!$K$5:$K$100&lt;&gt;1)*('Cashflow Summary C19RM'!$D$5:$D$100=E31)*('Cashflow Summary C19RM'!$AG$5:$AG$100)))</f>
        <v>0</v>
      </c>
      <c r="AC31" s="712">
        <f t="shared" si="6"/>
        <v>0</v>
      </c>
      <c r="AD31" s="711">
        <f t="shared" si="17"/>
        <v>0</v>
      </c>
      <c r="AE31" s="709" cm="1">
        <f t="array" ref="AE31">$AD31*(SUMPRODUCT(('Cashflow Summary C19RM'!$K$5:$K$100&lt;&gt;1)*('Cashflow Summary C19RM'!$D$5:$D$100=E31)*('Cashflow Summary C19RM'!$AH$5:$AH$100)))</f>
        <v>0</v>
      </c>
      <c r="AF31" s="704" cm="1">
        <f t="array" ref="AF31">$AD31*(SUMPRODUCT(('Cashflow Summary C19RM'!$K$5:$K$100&lt;&gt;1)*('Cashflow Summary C19RM'!$D$5:$D$100=E31)*('Cashflow Summary C19RM'!$AI$5:$AI$100)))</f>
        <v>0</v>
      </c>
      <c r="AG31" s="989" cm="1">
        <f t="array" ref="AG31">$AD31*(SUMPRODUCT(('Cashflow Summary C19RM'!$K$5:$K$100&lt;&gt;1)*('Cashflow Summary C19RM'!$D$5:$D$100=E31)*('Cashflow Summary C19RM'!$AJ$5:$AJ$100)))</f>
        <v>0</v>
      </c>
      <c r="AH31" s="704" cm="1">
        <f t="array" ref="AH31">$AD31*(SUMPRODUCT(('Cashflow Summary C19RM'!$K$5:$K$100&lt;&gt;1)*('Cashflow Summary C19RM'!$D$5:$D$100=E31)*('Cashflow Summary C19RM'!$AK$5:$AO$100)))</f>
        <v>0</v>
      </c>
      <c r="AI31" s="712">
        <f t="shared" si="14"/>
        <v>0</v>
      </c>
      <c r="AJ31" s="990">
        <v>0</v>
      </c>
      <c r="AK31" s="991"/>
      <c r="AL31" s="992"/>
      <c r="AM31" s="992"/>
      <c r="AN31" s="992"/>
      <c r="AO31" s="877"/>
      <c r="AP31" s="993">
        <f t="shared" si="15"/>
        <v>0</v>
      </c>
      <c r="AQ31" s="714">
        <v>7.1</v>
      </c>
      <c r="AR31" s="715"/>
      <c r="AS31" s="310" t="s">
        <v>213</v>
      </c>
      <c r="AV31" s="228">
        <f t="shared" si="8"/>
        <v>0</v>
      </c>
      <c r="AW31" s="228">
        <f t="shared" si="9"/>
        <v>0</v>
      </c>
      <c r="AX31" s="228">
        <f t="shared" si="10"/>
        <v>0</v>
      </c>
      <c r="AY31" s="228">
        <f t="shared" si="11"/>
        <v>0</v>
      </c>
      <c r="AZ31" s="228">
        <f t="shared" si="12"/>
        <v>0</v>
      </c>
      <c r="BA31" s="228"/>
      <c r="BC31" s="345" cm="1">
        <f t="array" ref="BC31">IF(BM31&gt;=1,0,IFERROR(SUMPRODUCT(($G$11:$AH$11=$BC$16)*($G31:$AH31)),0))</f>
        <v>0</v>
      </c>
      <c r="BD31" s="345" cm="1">
        <f t="array" ref="BD31">IF(BM31&gt;=1,0,IFERROR(SUMPRODUCT(($G$11:$AH$11=$BD$16)*($G31:$AH31)),0))</f>
        <v>0</v>
      </c>
      <c r="BE31" s="345" cm="1">
        <f t="array" ref="BE31">IF(BM31&gt;=1,0,IFERROR(SUMPRODUCT(($G$11:$AH$11=$BE$16)*($G31:$AH31)),0))</f>
        <v>0</v>
      </c>
      <c r="BF31" s="345" cm="1">
        <f t="array" ref="BF31">IF(BM31&gt;=1,0,IFERROR(SUMPRODUCT(($G$11:$AH$11=$BF$16)*($G31:$AH31)),0))</f>
        <v>0</v>
      </c>
      <c r="BG31" s="345" cm="1">
        <f t="array" ref="BG31">IF(BM31&gt;=1,0,IFERROR(SUMPRODUCT(($G$11:$AH$11=$BG$16)*($G31:$AH31)),0))</f>
        <v>0</v>
      </c>
      <c r="BH31" s="345"/>
      <c r="BI31" s="343">
        <f t="shared" si="16"/>
        <v>0</v>
      </c>
      <c r="BJ31" s="229" t="s">
        <v>83</v>
      </c>
      <c r="BK31" cm="1">
        <f t="array" ref="BK31">(SUMPRODUCT(('Cashflow Summary C19RM'!$D$5:$D$451=E31)*('Cashflow Summary C19RM'!$BD$5:$BD$451)))</f>
        <v>0</v>
      </c>
      <c r="BL31" cm="1">
        <f t="array" ref="BL31">(SUMPRODUCT((SETUP!$D$20:$D$35=E31)*(SETUP!$R$20:$R$35)))</f>
        <v>0</v>
      </c>
      <c r="BM31" s="89">
        <f t="shared" si="13"/>
        <v>0</v>
      </c>
    </row>
    <row r="32" spans="1:65" s="89" customFormat="1" ht="15" customHeight="1" x14ac:dyDescent="0.3">
      <c r="D32" s="654"/>
      <c r="E32" s="654"/>
      <c r="F32" s="655"/>
      <c r="G32" s="656"/>
      <c r="H32" s="656"/>
      <c r="I32" s="656"/>
      <c r="J32" s="657"/>
      <c r="K32" s="658"/>
      <c r="L32" s="655"/>
      <c r="M32" s="658"/>
      <c r="N32" s="658"/>
      <c r="O32" s="658"/>
      <c r="P32" s="658"/>
      <c r="Q32" s="658"/>
      <c r="R32" s="655"/>
      <c r="S32" s="658"/>
      <c r="T32" s="658"/>
      <c r="U32" s="658"/>
      <c r="V32" s="658"/>
      <c r="W32" s="658"/>
      <c r="X32" s="655"/>
      <c r="Y32" s="658"/>
      <c r="Z32" s="658"/>
      <c r="AA32" s="658"/>
      <c r="AB32" s="658"/>
      <c r="AC32" s="658"/>
      <c r="AD32" s="658"/>
      <c r="AE32" s="658"/>
      <c r="AF32" s="658"/>
      <c r="AG32" s="658"/>
      <c r="AH32" s="658"/>
      <c r="AI32" s="658"/>
      <c r="AJ32" s="658"/>
      <c r="AK32" s="658"/>
      <c r="AL32" s="658"/>
      <c r="AM32" s="658"/>
      <c r="AN32" s="658"/>
      <c r="AO32" s="658"/>
      <c r="AP32" s="659"/>
      <c r="AQ32" s="659"/>
      <c r="AR32" s="660"/>
      <c r="AT32" s="181"/>
      <c r="AU32" s="182"/>
      <c r="AV32" s="182"/>
      <c r="AW32" s="182"/>
      <c r="AX32" s="182"/>
      <c r="AY32" s="228"/>
      <c r="AZ32" s="228"/>
      <c r="BA32" s="228"/>
      <c r="BB32" s="182"/>
      <c r="BC32" s="345"/>
      <c r="BD32" s="345"/>
      <c r="BE32" s="345"/>
      <c r="BF32" s="345"/>
      <c r="BG32" s="345"/>
      <c r="BH32" s="345"/>
      <c r="BI32" s="182"/>
      <c r="BJ32" s="182"/>
      <c r="BK32" s="182"/>
    </row>
    <row r="33" spans="1:65" s="184" customFormat="1" ht="25.5" customHeight="1" thickBot="1" x14ac:dyDescent="0.4">
      <c r="B33" s="175"/>
      <c r="C33" s="175"/>
      <c r="D33" s="694" t="s">
        <v>216</v>
      </c>
      <c r="E33" s="694"/>
      <c r="F33" s="694"/>
      <c r="G33" s="1304"/>
      <c r="H33" s="1304"/>
      <c r="I33" s="625"/>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7"/>
      <c r="AI33" s="447"/>
      <c r="AJ33" s="447"/>
      <c r="AK33" s="447"/>
      <c r="AL33" s="447"/>
      <c r="AM33" s="447"/>
      <c r="AN33" s="447"/>
      <c r="AO33" s="447"/>
      <c r="AP33" s="447"/>
      <c r="AQ33" s="447"/>
      <c r="AR33" s="661"/>
      <c r="AT33" s="181"/>
      <c r="AU33" s="183"/>
      <c r="AV33" s="183"/>
      <c r="AW33" s="183"/>
      <c r="AX33" s="183"/>
      <c r="AY33" s="183"/>
      <c r="AZ33" s="183"/>
      <c r="BA33" s="183"/>
      <c r="BB33" s="183"/>
      <c r="BC33" s="345"/>
      <c r="BD33" s="345"/>
      <c r="BE33" s="345"/>
      <c r="BF33" s="345"/>
      <c r="BG33" s="345"/>
      <c r="BH33" s="345"/>
      <c r="BI33" s="183"/>
      <c r="BJ33" s="183"/>
      <c r="BK33" s="183"/>
    </row>
    <row r="34" spans="1:65" s="89" customFormat="1" ht="14.15" customHeight="1" x14ac:dyDescent="0.35">
      <c r="D34" s="1332" t="str">
        <f>D14</f>
        <v>Type of health product</v>
      </c>
      <c r="E34" s="1333"/>
      <c r="F34" s="1341" t="str">
        <f>VLOOKUP("Estimated % for Freight and insurance (7.2)",Language!$D$1583:$G$1845,$O$1,FALSE)</f>
        <v>Estimated % for Freight and insurance (7.2)</v>
      </c>
      <c r="G34" s="1294" t="str">
        <f>G14</f>
        <v>2021</v>
      </c>
      <c r="H34" s="1295"/>
      <c r="I34" s="1295"/>
      <c r="J34" s="1295"/>
      <c r="K34" s="1302"/>
      <c r="L34" s="1341" t="str">
        <f>F34</f>
        <v>Estimated % for Freight and insurance (7.2)</v>
      </c>
      <c r="M34" s="1294" t="str">
        <f>M14</f>
        <v>2022</v>
      </c>
      <c r="N34" s="1295"/>
      <c r="O34" s="1295"/>
      <c r="P34" s="1295"/>
      <c r="Q34" s="1302"/>
      <c r="R34" s="1341" t="str">
        <f>F34</f>
        <v>Estimated % for Freight and insurance (7.2)</v>
      </c>
      <c r="S34" s="1294" t="str">
        <f>S14</f>
        <v>2023</v>
      </c>
      <c r="T34" s="1295"/>
      <c r="U34" s="1295"/>
      <c r="V34" s="1295"/>
      <c r="W34" s="1302"/>
      <c r="X34" s="1341" t="str">
        <f>F34</f>
        <v>Estimated % for Freight and insurance (7.2)</v>
      </c>
      <c r="Y34" s="1294" t="str">
        <f>Y14</f>
        <v>2024</v>
      </c>
      <c r="Z34" s="1295"/>
      <c r="AA34" s="1295"/>
      <c r="AB34" s="1295"/>
      <c r="AC34" s="1296"/>
      <c r="AD34" s="1341" t="str">
        <f>L34</f>
        <v>Estimated % for Freight and insurance (7.2)</v>
      </c>
      <c r="AE34" s="1294" t="str">
        <f>AE14</f>
        <v>2025</v>
      </c>
      <c r="AF34" s="1295"/>
      <c r="AG34" s="1295"/>
      <c r="AH34" s="1295"/>
      <c r="AI34" s="1296"/>
      <c r="AJ34" s="1341" t="str">
        <f>R34</f>
        <v>Estimated % for Freight and insurance (7.2)</v>
      </c>
      <c r="AK34" s="1294" t="str">
        <f>AK14</f>
        <v/>
      </c>
      <c r="AL34" s="1295"/>
      <c r="AM34" s="1295"/>
      <c r="AN34" s="1295"/>
      <c r="AO34" s="1296"/>
      <c r="AP34" s="1356" t="str">
        <f>AP14</f>
        <v>Total grant period</v>
      </c>
      <c r="AQ34" s="1300" t="str">
        <f>AQ14</f>
        <v>Finance</v>
      </c>
      <c r="AR34" s="1358" t="str">
        <f>AR14</f>
        <v>Comments</v>
      </c>
      <c r="AS34" s="1338"/>
      <c r="AT34"/>
      <c r="BC34" s="345"/>
      <c r="BD34" s="345"/>
      <c r="BE34" s="345"/>
      <c r="BF34" s="345"/>
      <c r="BG34" s="345"/>
      <c r="BH34" s="345"/>
    </row>
    <row r="35" spans="1:65" s="89" customFormat="1" ht="15.75" customHeight="1" thickBot="1" x14ac:dyDescent="0.4">
      <c r="D35" s="1334"/>
      <c r="E35" s="1335"/>
      <c r="F35" s="1342"/>
      <c r="G35" s="1297"/>
      <c r="H35" s="1298"/>
      <c r="I35" s="1298"/>
      <c r="J35" s="1298"/>
      <c r="K35" s="1303"/>
      <c r="L35" s="1342"/>
      <c r="M35" s="1297"/>
      <c r="N35" s="1298"/>
      <c r="O35" s="1298"/>
      <c r="P35" s="1298"/>
      <c r="Q35" s="1303"/>
      <c r="R35" s="1342"/>
      <c r="S35" s="1297"/>
      <c r="T35" s="1298"/>
      <c r="U35" s="1298"/>
      <c r="V35" s="1298"/>
      <c r="W35" s="1303"/>
      <c r="X35" s="1342"/>
      <c r="Y35" s="1297"/>
      <c r="Z35" s="1298"/>
      <c r="AA35" s="1298"/>
      <c r="AB35" s="1298"/>
      <c r="AC35" s="1299"/>
      <c r="AD35" s="1342"/>
      <c r="AE35" s="1297"/>
      <c r="AF35" s="1298"/>
      <c r="AG35" s="1298"/>
      <c r="AH35" s="1298"/>
      <c r="AI35" s="1299"/>
      <c r="AJ35" s="1342"/>
      <c r="AK35" s="1297"/>
      <c r="AL35" s="1298"/>
      <c r="AM35" s="1298"/>
      <c r="AN35" s="1298"/>
      <c r="AO35" s="1299"/>
      <c r="AP35" s="1357"/>
      <c r="AQ35" s="1301"/>
      <c r="AR35" s="1359"/>
      <c r="AS35" s="1339"/>
      <c r="AT35"/>
      <c r="BC35" s="345"/>
      <c r="BD35" s="345"/>
      <c r="BE35" s="345"/>
      <c r="BF35" s="345"/>
      <c r="BG35" s="345"/>
      <c r="BH35" s="345"/>
    </row>
    <row r="36" spans="1:65" s="174" customFormat="1" ht="42.5" customHeight="1" thickBot="1" x14ac:dyDescent="0.35">
      <c r="B36" s="209"/>
      <c r="C36" s="209"/>
      <c r="D36" s="1336"/>
      <c r="E36" s="1337"/>
      <c r="F36" s="1343"/>
      <c r="G36" s="695" t="str">
        <f>G16</f>
        <v>Y1 Q1 cost</v>
      </c>
      <c r="H36" s="933" t="str">
        <f>H16</f>
        <v>Y1 Q2 cost</v>
      </c>
      <c r="I36" s="933" t="str">
        <f>I16</f>
        <v>Y1 Q3 cost</v>
      </c>
      <c r="J36" s="933" t="str">
        <f>J16</f>
        <v>Y1 Q4 cost</v>
      </c>
      <c r="K36" s="696" t="str">
        <f>K16</f>
        <v>Y1 Total cost</v>
      </c>
      <c r="L36" s="1361"/>
      <c r="M36" s="695" t="str">
        <f>M16</f>
        <v>Y2 Q1 cost</v>
      </c>
      <c r="N36" s="933" t="str">
        <f>N16</f>
        <v>Y2 Q2 cost</v>
      </c>
      <c r="O36" s="933" t="str">
        <f>O16</f>
        <v>Y2 Q3 cost</v>
      </c>
      <c r="P36" s="933" t="str">
        <f>P16</f>
        <v>Y2 Q4 cost</v>
      </c>
      <c r="Q36" s="696" t="str">
        <f>Q16</f>
        <v>Y2 Total cost</v>
      </c>
      <c r="R36" s="1343"/>
      <c r="S36" s="695" t="str">
        <f>S16</f>
        <v>Y3 Q1 cost</v>
      </c>
      <c r="T36" s="933" t="str">
        <f>T16</f>
        <v>Y3 Q2 cost</v>
      </c>
      <c r="U36" s="933" t="str">
        <f>U16</f>
        <v>Y3 Q3 cost</v>
      </c>
      <c r="V36" s="933" t="str">
        <f>V16</f>
        <v>Y3 Q4 cost</v>
      </c>
      <c r="W36" s="696" t="str">
        <f>W16</f>
        <v>Y3 Total cost</v>
      </c>
      <c r="X36" s="1343"/>
      <c r="Y36" s="695" t="str">
        <f>Y16</f>
        <v>Y4 Q1 cost</v>
      </c>
      <c r="Z36" s="933" t="str">
        <f>Z16</f>
        <v>Y4 Q2 cost</v>
      </c>
      <c r="AA36" s="933" t="str">
        <f>AA16</f>
        <v>Y4 Q3 cost</v>
      </c>
      <c r="AB36" s="933" t="str">
        <f>AB16</f>
        <v>Y4 Q4 cost</v>
      </c>
      <c r="AC36" s="933" t="str">
        <f>AC16</f>
        <v>Y4 Total cost</v>
      </c>
      <c r="AD36" s="1343"/>
      <c r="AE36" s="933" t="str">
        <f>AE16</f>
        <v>Y5 Q1 cost</v>
      </c>
      <c r="AF36" s="933" t="str">
        <f>AF16</f>
        <v>Y5 Q2 cost</v>
      </c>
      <c r="AG36" s="933" t="str">
        <f>AG16</f>
        <v>Y5 Q3 cost</v>
      </c>
      <c r="AH36" s="933" t="str">
        <f>AH16</f>
        <v>Y5 Q4 cost</v>
      </c>
      <c r="AI36" s="933" t="str">
        <f>AI16</f>
        <v>Y5 Total cost</v>
      </c>
      <c r="AJ36" s="1343"/>
      <c r="AK36" s="933" t="str">
        <f t="shared" ref="AK36:AQ36" si="18">AK16</f>
        <v>Y6 Q1 cost</v>
      </c>
      <c r="AL36" s="933" t="str">
        <f t="shared" si="18"/>
        <v>Y6 Q2 cost</v>
      </c>
      <c r="AM36" s="933" t="str">
        <f t="shared" si="18"/>
        <v>Y6 Q3 cost</v>
      </c>
      <c r="AN36" s="933" t="str">
        <f t="shared" si="18"/>
        <v>Y6 Q4 cost</v>
      </c>
      <c r="AO36" s="933" t="str">
        <f t="shared" si="18"/>
        <v>Y6 Total cost</v>
      </c>
      <c r="AP36" s="695" t="str">
        <f t="shared" si="18"/>
        <v>Total cost</v>
      </c>
      <c r="AQ36" s="695" t="str">
        <f t="shared" si="18"/>
        <v>Cost input</v>
      </c>
      <c r="AR36" s="1360"/>
      <c r="AS36" s="1340"/>
      <c r="BC36" s="345"/>
      <c r="BD36" s="345"/>
      <c r="BE36" s="345"/>
      <c r="BF36" s="345"/>
      <c r="BG36" s="345"/>
      <c r="BH36" s="345"/>
    </row>
    <row r="37" spans="1:65" s="89" customFormat="1" ht="15" customHeight="1" thickBot="1" x14ac:dyDescent="0.4">
      <c r="A37" s="89" t="s">
        <v>216</v>
      </c>
      <c r="B37" s="211" t="s">
        <v>696</v>
      </c>
      <c r="C37" s="698" t="s">
        <v>2751</v>
      </c>
      <c r="D37" s="1313" t="s">
        <v>83</v>
      </c>
      <c r="E37" s="1009" t="s">
        <v>32</v>
      </c>
      <c r="F37" s="996">
        <v>0</v>
      </c>
      <c r="G37" s="725" cm="1">
        <f t="array" ref="G37">$F37*(SUMPRODUCT(('Cashflow Summary C19RM'!$K$5:$K$239&lt;&gt;1)*('Cashflow Summary C19RM'!$D$5:$D$239=E37)*('Cashflow Summary C19RM'!$R$5:$R$239)))</f>
        <v>0</v>
      </c>
      <c r="H37" s="977" cm="1">
        <f t="array" ref="H37">$F37*(SUMPRODUCT(('Cashflow Summary C19RM'!$K$5:$K$239&lt;&gt;1)*('Cashflow Summary C19RM'!$D$5:$D$239=E37)*('Cashflow Summary C19RM'!$S$5:$S$239)))</f>
        <v>0</v>
      </c>
      <c r="I37" s="978" cm="1">
        <f t="array" ref="I37">$F37*(SUMPRODUCT(('Cashflow Summary C19RM'!$K$5:$K$239&lt;&gt;1)*('Cashflow Summary C19RM'!$D$5:$D$239=E37)*('Cashflow Summary C19RM'!$T$5:$T$239)))</f>
        <v>0</v>
      </c>
      <c r="J37" s="978" cm="1">
        <f t="array" ref="J37">$F37*(SUMPRODUCT(('Cashflow Summary C19RM'!$K$5:$K$239&lt;&gt;1)*('Cashflow Summary C19RM'!$D$5:$D$239=E37)*('Cashflow Summary C19RM'!$U$5:$U$239)))</f>
        <v>0</v>
      </c>
      <c r="K37" s="997">
        <f t="shared" ref="K37:K51" si="19">SUM(G37:J37)</f>
        <v>0</v>
      </c>
      <c r="L37" s="981">
        <f t="shared" ref="L37:L51" si="20">F37</f>
        <v>0</v>
      </c>
      <c r="M37" s="976" cm="1">
        <f t="array" ref="M37">$L37*(SUMPRODUCT(('Cashflow Summary C19RM'!$K$5:$K$239&lt;&gt;1)*('Cashflow Summary C19RM'!$D$5:$D$239=E37)*('Cashflow Summary C19RM'!$V$5:$V$239)))</f>
        <v>0</v>
      </c>
      <c r="N37" s="977" cm="1">
        <f t="array" ref="N37">$L37*(SUMPRODUCT(('Cashflow Summary C19RM'!$K$5:$K$239&lt;&gt;1)*('Cashflow Summary C19RM'!$D$5:$D$239=E37)*('Cashflow Summary C19RM'!$W$5:$W$239)))</f>
        <v>0</v>
      </c>
      <c r="O37" s="978" cm="1">
        <f t="array" ref="O37">$L37*(SUMPRODUCT(('Cashflow Summary C19RM'!$K$5:$K$239&lt;&gt;1)*('Cashflow Summary C19RM'!$D$5:$D$239=E37)*('Cashflow Summary C19RM'!$X$5:$X$239)))</f>
        <v>0</v>
      </c>
      <c r="P37" s="978" cm="1">
        <f t="array" ref="P37">$L37*(SUMPRODUCT(('Cashflow Summary C19RM'!$K$5:$K$239&lt;&gt;1)*('Cashflow Summary C19RM'!$D$5:$D$239=E37)*('Cashflow Summary C19RM'!$Y$5:$Y$239)))</f>
        <v>0</v>
      </c>
      <c r="Q37" s="980">
        <f t="shared" ref="Q37:Q51" si="21">SUM(M37:P37)</f>
        <v>0</v>
      </c>
      <c r="R37" s="981">
        <f t="shared" ref="R37:R51" si="22">F37</f>
        <v>0</v>
      </c>
      <c r="S37" s="976" cm="1">
        <f t="array" ref="S37">$R37*(SUMPRODUCT(('Cashflow Summary C19RM'!$K$5:$K$239&lt;&gt;1)*('Cashflow Summary C19RM'!$D$5:$D$239=E37)*('Cashflow Summary C19RM'!$Z$5:$Z$239)))</f>
        <v>0</v>
      </c>
      <c r="T37" s="977" cm="1">
        <f t="array" ref="T37">$R37*(SUMPRODUCT(('Cashflow Summary C19RM'!$K$5:$K$239&lt;&gt;1)*('Cashflow Summary C19RM'!$D$5:$D$239=E37)*('Cashflow Summary C19RM'!$AA$5:$AA$239)))</f>
        <v>0</v>
      </c>
      <c r="U37" s="978" cm="1">
        <f t="array" ref="U37">$R37*(SUMPRODUCT(('Cashflow Summary C19RM'!$K$5:$K$239&lt;&gt;1)*('Cashflow Summary C19RM'!$D$5:$D$239=E37)*('Cashflow Summary C19RM'!$AB$5:$AB$239)))</f>
        <v>0</v>
      </c>
      <c r="V37" s="978" cm="1">
        <f t="array" ref="V37">$R37*(SUMPRODUCT(('Cashflow Summary C19RM'!$K$5:$K$239&lt;&gt;1)*('Cashflow Summary C19RM'!$D$5:$D$239=E37)*('Cashflow Summary C19RM'!$AC$5:$AC$239)))</f>
        <v>0</v>
      </c>
      <c r="W37" s="982">
        <f t="shared" ref="W37:W51" si="23">SUM(S37:V37)</f>
        <v>0</v>
      </c>
      <c r="X37" s="981">
        <f t="shared" ref="X37:X51" si="24">F37</f>
        <v>0</v>
      </c>
      <c r="Y37" s="976" cm="1">
        <f t="array" ref="Y37">$X37*(SUMPRODUCT(('Cashflow Summary C19RM'!$K$5:$K$239&lt;&gt;1)*('Cashflow Summary C19RM'!$D$5:$D$239=E37)*('Cashflow Summary C19RM'!$AD$5:$AD$239)))</f>
        <v>0</v>
      </c>
      <c r="Z37" s="977" cm="1">
        <f t="array" ref="Z37">$X37*(SUMPRODUCT(('Cashflow Summary C19RM'!$K$5:$K$239&lt;&gt;1)*('Cashflow Summary C19RM'!$D$5:$D$239=E37)*('Cashflow Summary C19RM'!$AE$5:$AE$239)))</f>
        <v>0</v>
      </c>
      <c r="AA37" s="978" cm="1">
        <f t="array" ref="AA37">$X37*(SUMPRODUCT(('Cashflow Summary C19RM'!$K$5:$K$239&lt;&gt;1)*('Cashflow Summary C19RM'!$D$5:$D$239=E37)*('Cashflow Summary C19RM'!$AF$5:$AF$239)))</f>
        <v>0</v>
      </c>
      <c r="AB37" s="978" cm="1">
        <f t="array" ref="AB37">$X37*(SUMPRODUCT(('Cashflow Summary C19RM'!$K$5:$K$239&lt;&gt;1)*('Cashflow Summary C19RM'!$D$5:$D$239=E37)*('Cashflow Summary C19RM'!$AG$5:$AG$239)))</f>
        <v>0</v>
      </c>
      <c r="AC37" s="982">
        <f t="shared" ref="AC37:AC51" si="25">SUM(Y37:AB37)</f>
        <v>0</v>
      </c>
      <c r="AD37" s="981">
        <f t="shared" ref="AD37:AD51" si="26">L37</f>
        <v>0</v>
      </c>
      <c r="AE37" s="725" cm="1">
        <f t="array" ref="AE37">$AD37*(SUMPRODUCT(('Cashflow Summary C19RM'!$K$5:$K$239&lt;&gt;1)*('Cashflow Summary C19RM'!$D$5:$D$239=E37)*('Cashflow Summary C19RM'!$AH$5:$AH$239)))</f>
        <v>0</v>
      </c>
      <c r="AF37" s="976" cm="1">
        <f t="array" ref="AF37">$AD37*(SUMPRODUCT(('Cashflow Summary C19RM'!$K$5:$K$239&lt;&gt;1)*('Cashflow Summary C19RM'!$D$5:$D$239=E37)*('Cashflow Summary C19RM'!$AI$5:$AI$239)))</f>
        <v>0</v>
      </c>
      <c r="AG37" s="976" cm="1">
        <f t="array" ref="AG37">$AD37*(SUMPRODUCT(('Cashflow Summary C19RM'!$K$5:$K$239&lt;&gt;1)*('Cashflow Summary C19RM'!$D$5:$D$239=E37)*('Cashflow Summary C19RM'!$AJ$5:$AJ$239)))</f>
        <v>0</v>
      </c>
      <c r="AH37" s="976" cm="1">
        <f t="array" ref="AH37">$AD37*(SUMPRODUCT(('Cashflow Summary C19RM'!$K$5:$K$239&lt;&gt;1)*('Cashflow Summary C19RM'!$D$5:$D$239=E37)*('Cashflow Summary C19RM'!$AK$5:$AO$239)))</f>
        <v>0</v>
      </c>
      <c r="AI37" s="997">
        <f t="shared" ref="AI37:AI51" si="27">SUM(AE37:AH37)</f>
        <v>0</v>
      </c>
      <c r="AJ37" s="983">
        <v>0</v>
      </c>
      <c r="AK37" s="998"/>
      <c r="AL37" s="999"/>
      <c r="AM37" s="999"/>
      <c r="AN37" s="999"/>
      <c r="AO37" s="1000"/>
      <c r="AP37" s="982">
        <f>K37+Q37+W37+AC37+AI37</f>
        <v>0</v>
      </c>
      <c r="AQ37" s="987">
        <v>7.2</v>
      </c>
      <c r="AR37" s="988"/>
      <c r="AS37" s="310"/>
      <c r="AV37" s="228">
        <f t="shared" ref="AV37:AV51" si="28">F37</f>
        <v>0</v>
      </c>
      <c r="AW37" s="228">
        <f t="shared" ref="AW37:AW51" si="29">L37</f>
        <v>0</v>
      </c>
      <c r="AX37" s="228">
        <f t="shared" ref="AX37:AX51" si="30">R37</f>
        <v>0</v>
      </c>
      <c r="AY37" s="228">
        <f t="shared" ref="AY37:AY51" si="31">X37</f>
        <v>0</v>
      </c>
      <c r="AZ37" s="228">
        <f t="shared" ref="AZ37:AZ51" si="32">AD37</f>
        <v>0</v>
      </c>
      <c r="BA37" s="228"/>
      <c r="BC37" s="345" cm="1">
        <f t="array" ref="BC37">IF(BM37&gt;=1,0,IFERROR(SUMPRODUCT(($G$11:$AH$11=$BC$16)*($G37:$AH37)),0))</f>
        <v>0</v>
      </c>
      <c r="BD37" s="345" cm="1">
        <f t="array" ref="BD37">IF(BM37&gt;=1,0,IFERROR(SUMPRODUCT(($G$11:$AH$11=$BD$16)*($G37:$AH37)),0))</f>
        <v>0</v>
      </c>
      <c r="BE37" s="345" cm="1">
        <f t="array" ref="BE37">IF(BM37&gt;=1,0,IFERROR(SUMPRODUCT(($G$11:$AH$11=$BE$16)*($G37:$AH37)),0))</f>
        <v>0</v>
      </c>
      <c r="BF37" s="345" cm="1">
        <f t="array" ref="BF37">IF(BM37&gt;=1,0,IFERROR(SUMPRODUCT(($G$11:$AH$11=$BF$16)*($G37:$AH37)),0))</f>
        <v>0</v>
      </c>
      <c r="BG37" s="345" cm="1">
        <f t="array" ref="BG37">IF(BM37&gt;=1,0,IFERROR(SUMPRODUCT(($G$11:$AH$11=$BG$16)*($G37:$AH37)),0))</f>
        <v>0</v>
      </c>
      <c r="BH37" s="345"/>
      <c r="BI37" s="343">
        <f>SUM(BC37:BG37)</f>
        <v>0</v>
      </c>
      <c r="BJ37" s="229" t="s">
        <v>83</v>
      </c>
      <c r="BK37" cm="1">
        <f t="array" ref="BK37">(SUMPRODUCT(('Cashflow Summary C19RM'!$D$5:$D$451=E37)*('Cashflow Summary C19RM'!$BD$5:$BD$451)))</f>
        <v>0</v>
      </c>
      <c r="BL37" cm="1">
        <f t="array" ref="BL37">(SUMPRODUCT((SETUP!$D$20:$D$67=E37)*(SETUP!$R$20:$R$67)))</f>
        <v>0</v>
      </c>
      <c r="BM37" s="89">
        <f t="shared" ref="BM37:BM51" si="33">SUM(BK37:BL37)</f>
        <v>0</v>
      </c>
    </row>
    <row r="38" spans="1:65" s="89" customFormat="1" ht="15" customHeight="1" thickBot="1" x14ac:dyDescent="0.4">
      <c r="A38" s="89" t="s">
        <v>216</v>
      </c>
      <c r="B38" s="211" t="s">
        <v>696</v>
      </c>
      <c r="C38" s="698" t="s">
        <v>2750</v>
      </c>
      <c r="D38" s="1314"/>
      <c r="E38" s="1010" t="s">
        <v>11</v>
      </c>
      <c r="F38" s="697">
        <v>0</v>
      </c>
      <c r="G38" s="628" cm="1">
        <f t="array" ref="G38">$F38*(SUMPRODUCT(('Cashflow Summary C19RM'!$K$5:$K$239&lt;&gt;1)*('Cashflow Summary C19RM'!$D$5:$D$239=E38)*('Cashflow Summary C19RM'!$R$5:$R$239)))</f>
        <v>0</v>
      </c>
      <c r="H38" s="629" cm="1">
        <f t="array" ref="H38">$F38*(SUMPRODUCT(('Cashflow Summary C19RM'!$K$5:$K$239&lt;&gt;1)*('Cashflow Summary C19RM'!$D$5:$D$239=E38)*('Cashflow Summary C19RM'!$S$5:$S$239)))</f>
        <v>0</v>
      </c>
      <c r="I38" s="630" cm="1">
        <f t="array" ref="I38">$F38*(SUMPRODUCT(('Cashflow Summary C19RM'!$K$5:$K$239&lt;&gt;1)*('Cashflow Summary C19RM'!$D$5:$D$239=E38)*('Cashflow Summary C19RM'!$T$5:$T$239)))</f>
        <v>0</v>
      </c>
      <c r="J38" s="630" cm="1">
        <f t="array" ref="J38">$F38*(SUMPRODUCT(('Cashflow Summary C19RM'!$K$5:$K$239&lt;&gt;1)*('Cashflow Summary C19RM'!$D$5:$D$239=E38)*('Cashflow Summary C19RM'!$U$5:$U$239)))</f>
        <v>0</v>
      </c>
      <c r="K38" s="631">
        <f t="shared" si="19"/>
        <v>0</v>
      </c>
      <c r="L38" s="686">
        <f t="shared" si="20"/>
        <v>0</v>
      </c>
      <c r="M38" s="630" cm="1">
        <f t="array" ref="M38">$L38*(SUMPRODUCT(('Cashflow Summary C19RM'!$K$5:$K$239&lt;&gt;1)*('Cashflow Summary C19RM'!$D$5:$D$239=E38)*('Cashflow Summary C19RM'!$V$5:$V$239)))</f>
        <v>0</v>
      </c>
      <c r="N38" s="630" cm="1">
        <f t="array" ref="N38">$L38*(SUMPRODUCT(('Cashflow Summary C19RM'!$K$5:$K$239&lt;&gt;1)*('Cashflow Summary C19RM'!$D$5:$D$239=E38)*('Cashflow Summary C19RM'!$W$5:$W$239)))</f>
        <v>0</v>
      </c>
      <c r="O38" s="630" cm="1">
        <f t="array" ref="O38">$L38*(SUMPRODUCT(('Cashflow Summary C19RM'!$K$5:$K$239&lt;&gt;1)*('Cashflow Summary C19RM'!$D$5:$D$239=E38)*('Cashflow Summary C19RM'!$X$5:$X$239)))</f>
        <v>0</v>
      </c>
      <c r="P38" s="630" cm="1">
        <f t="array" ref="P38">$L38*(SUMPRODUCT(('Cashflow Summary C19RM'!$K$5:$K$239&lt;&gt;1)*('Cashflow Summary C19RM'!$D$5:$D$239=E38)*('Cashflow Summary C19RM'!$Y$5:$Y$239)))</f>
        <v>0</v>
      </c>
      <c r="Q38" s="632">
        <f t="shared" si="21"/>
        <v>0</v>
      </c>
      <c r="R38" s="686">
        <f t="shared" si="22"/>
        <v>0</v>
      </c>
      <c r="S38" s="633" cm="1">
        <f t="array" ref="S38">$R38*(SUMPRODUCT(('Cashflow Summary C19RM'!$K$5:$K$239&lt;&gt;1)*('Cashflow Summary C19RM'!$D$5:$D$239=E38)*('Cashflow Summary C19RM'!$Z$5:$Z$239)))</f>
        <v>0</v>
      </c>
      <c r="T38" s="633" cm="1">
        <f t="array" ref="T38">$R38*(SUMPRODUCT(('Cashflow Summary C19RM'!$K$5:$K$239&lt;&gt;1)*('Cashflow Summary C19RM'!$D$5:$D$239=E38)*('Cashflow Summary C19RM'!$AA$5:$AA$239)))</f>
        <v>0</v>
      </c>
      <c r="U38" s="633" cm="1">
        <f t="array" ref="U38">$R38*(SUMPRODUCT(('Cashflow Summary C19RM'!$K$5:$K$239&lt;&gt;1)*('Cashflow Summary C19RM'!$D$5:$D$239=E38)*('Cashflow Summary C19RM'!$AB$5:$AB$239)))</f>
        <v>0</v>
      </c>
      <c r="V38" s="633" cm="1">
        <f t="array" ref="V38">$R38*(SUMPRODUCT(('Cashflow Summary C19RM'!$K$5:$K$239&lt;&gt;1)*('Cashflow Summary C19RM'!$D$5:$D$239=E38)*('Cashflow Summary C19RM'!$AC$5:$AC$239)))</f>
        <v>0</v>
      </c>
      <c r="W38" s="634">
        <f t="shared" si="23"/>
        <v>0</v>
      </c>
      <c r="X38" s="686">
        <f t="shared" si="24"/>
        <v>0</v>
      </c>
      <c r="Y38" s="633" cm="1">
        <f t="array" ref="Y38">$X38*(SUMPRODUCT(('Cashflow Summary C19RM'!$K$5:$K$239&lt;&gt;1)*('Cashflow Summary C19RM'!$D$5:$D$239=E38)*('Cashflow Summary C19RM'!$AD$5:$AD$239)))</f>
        <v>0</v>
      </c>
      <c r="Z38" s="633" cm="1">
        <f t="array" ref="Z38">$X38*(SUMPRODUCT(('Cashflow Summary C19RM'!$K$5:$K$239&lt;&gt;1)*('Cashflow Summary C19RM'!$D$5:$D$239=E38)*('Cashflow Summary C19RM'!$AE$5:$AE$239)))</f>
        <v>0</v>
      </c>
      <c r="AA38" s="633" cm="1">
        <f t="array" ref="AA38">$X38*(SUMPRODUCT(('Cashflow Summary C19RM'!$K$5:$K$239&lt;&gt;1)*('Cashflow Summary C19RM'!$D$5:$D$239=E38)*('Cashflow Summary C19RM'!$AF$5:$AF$239)))</f>
        <v>0</v>
      </c>
      <c r="AB38" s="630" cm="1">
        <f t="array" ref="AB38">$X38*(SUMPRODUCT(('Cashflow Summary C19RM'!$K$5:$K$239&lt;&gt;1)*('Cashflow Summary C19RM'!$D$5:$D$239=E38)*('Cashflow Summary C19RM'!$AG$5:$AG$239)))</f>
        <v>0</v>
      </c>
      <c r="AC38" s="634">
        <f t="shared" si="25"/>
        <v>0</v>
      </c>
      <c r="AD38" s="686">
        <f t="shared" si="26"/>
        <v>0</v>
      </c>
      <c r="AE38" s="628" cm="1">
        <f t="array" ref="AE38">$AD38*(SUMPRODUCT(('Cashflow Summary C19RM'!$K$5:$K$239&lt;&gt;1)*('Cashflow Summary C19RM'!$D$5:$D$239=E38)*('Cashflow Summary C19RM'!$AH$5:$AH$239)))</f>
        <v>0</v>
      </c>
      <c r="AF38" s="633" cm="1">
        <f t="array" ref="AF38">$AD38*(SUMPRODUCT(('Cashflow Summary C19RM'!$K$5:$K$239&lt;&gt;1)*('Cashflow Summary C19RM'!$D$5:$D$239=E38)*('Cashflow Summary C19RM'!$AI$5:$AI$239)))</f>
        <v>0</v>
      </c>
      <c r="AG38" s="633" cm="1">
        <f t="array" ref="AG38">$AD38*(SUMPRODUCT(('Cashflow Summary C19RM'!$K$5:$K$239&lt;&gt;1)*('Cashflow Summary C19RM'!$D$5:$D$239=E38)*('Cashflow Summary C19RM'!$AJ$5:$AJ$239)))</f>
        <v>0</v>
      </c>
      <c r="AH38" s="633" cm="1">
        <f t="array" ref="AH38">$AD38*(SUMPRODUCT(('Cashflow Summary C19RM'!$K$5:$K$239&lt;&gt;1)*('Cashflow Summary C19RM'!$D$5:$D$239=E38)*('Cashflow Summary C19RM'!$AK$5:$AO$239)))</f>
        <v>0</v>
      </c>
      <c r="AI38" s="631">
        <f t="shared" si="27"/>
        <v>0</v>
      </c>
      <c r="AJ38" s="875">
        <v>0</v>
      </c>
      <c r="AK38" s="858"/>
      <c r="AL38" s="859"/>
      <c r="AM38" s="859"/>
      <c r="AN38" s="859"/>
      <c r="AO38" s="860"/>
      <c r="AP38" s="635">
        <f t="shared" ref="AP38:AP51" si="34">K38+Q38+W38+AC38+AI38</f>
        <v>0</v>
      </c>
      <c r="AQ38" s="636">
        <v>7.2</v>
      </c>
      <c r="AR38" s="707"/>
      <c r="AS38" s="310"/>
      <c r="AV38" s="228">
        <f t="shared" si="28"/>
        <v>0</v>
      </c>
      <c r="AW38" s="228">
        <f t="shared" si="29"/>
        <v>0</v>
      </c>
      <c r="AX38" s="228">
        <f t="shared" si="30"/>
        <v>0</v>
      </c>
      <c r="AY38" s="228">
        <f t="shared" si="31"/>
        <v>0</v>
      </c>
      <c r="AZ38" s="228">
        <f t="shared" si="32"/>
        <v>0</v>
      </c>
      <c r="BA38" s="228"/>
      <c r="BC38" s="345" cm="1">
        <f t="array" ref="BC38">IF(BM38&gt;=1,0,IFERROR(SUMPRODUCT(($G$11:$AH$11=$BC$16)*($G38:$AH38)),0))</f>
        <v>0</v>
      </c>
      <c r="BD38" s="345" cm="1">
        <f t="array" ref="BD38">IF(BM38&gt;=1,0,IFERROR(SUMPRODUCT(($G$11:$AH$11=$BD$16)*($G38:$AH38)),0))</f>
        <v>0</v>
      </c>
      <c r="BE38" s="345" cm="1">
        <f t="array" ref="BE38">IF(BM38&gt;=1,0,IFERROR(SUMPRODUCT(($G$11:$AH$11=$BE$16)*($G38:$AH38)),0))</f>
        <v>0</v>
      </c>
      <c r="BF38" s="345" cm="1">
        <f t="array" ref="BF38">IF(BM38&gt;=1,0,IFERROR(SUMPRODUCT(($G$11:$AH$11=$BF$16)*($G38:$AH38)),0))</f>
        <v>0</v>
      </c>
      <c r="BG38" s="345" cm="1">
        <f t="array" ref="BG38">IF(BM38&gt;=1,0,IFERROR(SUMPRODUCT(($G$11:$AH$11=$BG$16)*($G38:$AH38)),0))</f>
        <v>0</v>
      </c>
      <c r="BH38" s="345"/>
      <c r="BI38" s="343">
        <f t="shared" ref="BI38:BI51" si="35">SUM(BC38:BG38)</f>
        <v>0</v>
      </c>
      <c r="BJ38" s="229" t="s">
        <v>83</v>
      </c>
      <c r="BK38" cm="1">
        <f t="array" ref="BK38">(SUMPRODUCT(('Cashflow Summary C19RM'!$D$5:$D$451=E38)*('Cashflow Summary C19RM'!$BD$5:$BD$451)))</f>
        <v>0</v>
      </c>
      <c r="BL38" cm="1">
        <f t="array" ref="BL38">(SUMPRODUCT((SETUP!$D$20:$D$67=E38)*(SETUP!$R$20:$R$67)))</f>
        <v>0</v>
      </c>
      <c r="BM38" s="89">
        <f t="shared" si="33"/>
        <v>0</v>
      </c>
    </row>
    <row r="39" spans="1:65" s="89" customFormat="1" ht="15" customHeight="1" thickBot="1" x14ac:dyDescent="0.4">
      <c r="A39" s="89" t="s">
        <v>216</v>
      </c>
      <c r="B39" s="211" t="s">
        <v>696</v>
      </c>
      <c r="C39" s="699" t="s">
        <v>2750</v>
      </c>
      <c r="D39" s="1314"/>
      <c r="E39" s="1010" t="s">
        <v>15</v>
      </c>
      <c r="F39" s="697">
        <v>0</v>
      </c>
      <c r="G39" s="628" cm="1">
        <f t="array" ref="G39">$F39*(SUMPRODUCT(('Cashflow Summary C19RM'!$K$5:$K$239&lt;&gt;1)*('Cashflow Summary C19RM'!$D$5:$D$239=E39)*('Cashflow Summary C19RM'!$R$5:$R$239)))</f>
        <v>0</v>
      </c>
      <c r="H39" s="629" cm="1">
        <f t="array" ref="H39">$F39*(SUMPRODUCT(('Cashflow Summary C19RM'!$K$5:$K$239&lt;&gt;1)*('Cashflow Summary C19RM'!$D$5:$D$239=E39)*('Cashflow Summary C19RM'!$S$5:$S$239)))</f>
        <v>0</v>
      </c>
      <c r="I39" s="630" cm="1">
        <f t="array" ref="I39">$F39*(SUMPRODUCT(('Cashflow Summary C19RM'!$K$5:$K$239&lt;&gt;1)*('Cashflow Summary C19RM'!$D$5:$D$239=E39)*('Cashflow Summary C19RM'!$T$5:$T$239)))</f>
        <v>0</v>
      </c>
      <c r="J39" s="630" cm="1">
        <f t="array" ref="J39">$F39*(SUMPRODUCT(('Cashflow Summary C19RM'!$K$5:$K$239&lt;&gt;1)*('Cashflow Summary C19RM'!$D$5:$D$239=E39)*('Cashflow Summary C19RM'!$U$5:$U$239)))</f>
        <v>0</v>
      </c>
      <c r="K39" s="631">
        <f t="shared" si="19"/>
        <v>0</v>
      </c>
      <c r="L39" s="686">
        <f t="shared" si="20"/>
        <v>0</v>
      </c>
      <c r="M39" s="630" cm="1">
        <f t="array" ref="M39">$L39*(SUMPRODUCT(('Cashflow Summary C19RM'!$K$5:$K$239&lt;&gt;1)*('Cashflow Summary C19RM'!$D$5:$D$239=E39)*('Cashflow Summary C19RM'!$V$5:$V$239)))</f>
        <v>0</v>
      </c>
      <c r="N39" s="630" cm="1">
        <f t="array" ref="N39">$L39*(SUMPRODUCT(('Cashflow Summary C19RM'!$K$5:$K$239&lt;&gt;1)*('Cashflow Summary C19RM'!$D$5:$D$239=E39)*('Cashflow Summary C19RM'!$W$5:$W$239)))</f>
        <v>0</v>
      </c>
      <c r="O39" s="630" cm="1">
        <f t="array" ref="O39">$L39*(SUMPRODUCT(('Cashflow Summary C19RM'!$K$5:$K$239&lt;&gt;1)*('Cashflow Summary C19RM'!$D$5:$D$239=E39)*('Cashflow Summary C19RM'!$X$5:$X$239)))</f>
        <v>0</v>
      </c>
      <c r="P39" s="630" cm="1">
        <f t="array" ref="P39">$L39*(SUMPRODUCT(('Cashflow Summary C19RM'!$K$5:$K$239&lt;&gt;1)*('Cashflow Summary C19RM'!$D$5:$D$239=E39)*('Cashflow Summary C19RM'!$Y$5:$Y$239)))</f>
        <v>0</v>
      </c>
      <c r="Q39" s="632">
        <f t="shared" si="21"/>
        <v>0</v>
      </c>
      <c r="R39" s="686">
        <f t="shared" si="22"/>
        <v>0</v>
      </c>
      <c r="S39" s="633" cm="1">
        <f t="array" ref="S39">$R39*(SUMPRODUCT(('Cashflow Summary C19RM'!$K$5:$K$239&lt;&gt;1)*('Cashflow Summary C19RM'!$D$5:$D$239=E39)*('Cashflow Summary C19RM'!$Z$5:$Z$239)))</f>
        <v>0</v>
      </c>
      <c r="T39" s="633" cm="1">
        <f t="array" ref="T39">$R39*(SUMPRODUCT(('Cashflow Summary C19RM'!$K$5:$K$239&lt;&gt;1)*('Cashflow Summary C19RM'!$D$5:$D$239=E39)*('Cashflow Summary C19RM'!$AA$5:$AA$239)))</f>
        <v>0</v>
      </c>
      <c r="U39" s="633" cm="1">
        <f t="array" ref="U39">$R39*(SUMPRODUCT(('Cashflow Summary C19RM'!$K$5:$K$239&lt;&gt;1)*('Cashflow Summary C19RM'!$D$5:$D$239=E39)*('Cashflow Summary C19RM'!$AB$5:$AB$239)))</f>
        <v>0</v>
      </c>
      <c r="V39" s="633" cm="1">
        <f t="array" ref="V39">$R39*(SUMPRODUCT(('Cashflow Summary C19RM'!$K$5:$K$239&lt;&gt;1)*('Cashflow Summary C19RM'!$D$5:$D$239=E39)*('Cashflow Summary C19RM'!$AC$5:$AC$239)))</f>
        <v>0</v>
      </c>
      <c r="W39" s="634">
        <f t="shared" si="23"/>
        <v>0</v>
      </c>
      <c r="X39" s="686">
        <f t="shared" si="24"/>
        <v>0</v>
      </c>
      <c r="Y39" s="633" cm="1">
        <f t="array" ref="Y39">$X39*(SUMPRODUCT(('Cashflow Summary C19RM'!$K$5:$K$239&lt;&gt;1)*('Cashflow Summary C19RM'!$D$5:$D$239=E39)*('Cashflow Summary C19RM'!$AD$5:$AD$239)))</f>
        <v>0</v>
      </c>
      <c r="Z39" s="633" cm="1">
        <f t="array" ref="Z39">$X39*(SUMPRODUCT(('Cashflow Summary C19RM'!$K$5:$K$239&lt;&gt;1)*('Cashflow Summary C19RM'!$D$5:$D$239=E39)*('Cashflow Summary C19RM'!$AE$5:$AE$239)))</f>
        <v>0</v>
      </c>
      <c r="AA39" s="633" cm="1">
        <f t="array" ref="AA39">$X39*(SUMPRODUCT(('Cashflow Summary C19RM'!$K$5:$K$239&lt;&gt;1)*('Cashflow Summary C19RM'!$D$5:$D$239=E39)*('Cashflow Summary C19RM'!$AF$5:$AF$239)))</f>
        <v>0</v>
      </c>
      <c r="AB39" s="630" cm="1">
        <f t="array" ref="AB39">$X39*(SUMPRODUCT(('Cashflow Summary C19RM'!$K$5:$K$239&lt;&gt;1)*('Cashflow Summary C19RM'!$D$5:$D$239=E39)*('Cashflow Summary C19RM'!$AG$5:$AG$239)))</f>
        <v>0</v>
      </c>
      <c r="AC39" s="634">
        <f t="shared" si="25"/>
        <v>0</v>
      </c>
      <c r="AD39" s="686">
        <f t="shared" si="26"/>
        <v>0</v>
      </c>
      <c r="AE39" s="628" cm="1">
        <f t="array" ref="AE39">$AD39*(SUMPRODUCT(('Cashflow Summary C19RM'!$K$5:$K$239&lt;&gt;1)*('Cashflow Summary C19RM'!$D$5:$D$239=E39)*('Cashflow Summary C19RM'!$AH$5:$AH$239)))</f>
        <v>0</v>
      </c>
      <c r="AF39" s="633" cm="1">
        <f t="array" ref="AF39">$AD39*(SUMPRODUCT(('Cashflow Summary C19RM'!$K$5:$K$239&lt;&gt;1)*('Cashflow Summary C19RM'!$D$5:$D$239=E39)*('Cashflow Summary C19RM'!$AI$5:$AI$239)))</f>
        <v>0</v>
      </c>
      <c r="AG39" s="633" cm="1">
        <f t="array" ref="AG39">$AD39*(SUMPRODUCT(('Cashflow Summary C19RM'!$K$5:$K$239&lt;&gt;1)*('Cashflow Summary C19RM'!$D$5:$D$239=E39)*('Cashflow Summary C19RM'!$AJ$5:$AJ$239)))</f>
        <v>0</v>
      </c>
      <c r="AH39" s="633" cm="1">
        <f t="array" ref="AH39">$AD39*(SUMPRODUCT(('Cashflow Summary C19RM'!$K$5:$K$239&lt;&gt;1)*('Cashflow Summary C19RM'!$D$5:$D$239=E39)*('Cashflow Summary C19RM'!$AK$5:$AO$239)))</f>
        <v>0</v>
      </c>
      <c r="AI39" s="631">
        <f t="shared" si="27"/>
        <v>0</v>
      </c>
      <c r="AJ39" s="875">
        <v>0</v>
      </c>
      <c r="AK39" s="858"/>
      <c r="AL39" s="859"/>
      <c r="AM39" s="859"/>
      <c r="AN39" s="859"/>
      <c r="AO39" s="860"/>
      <c r="AP39" s="635">
        <f t="shared" si="34"/>
        <v>0</v>
      </c>
      <c r="AQ39" s="636">
        <v>7.2</v>
      </c>
      <c r="AR39" s="707"/>
      <c r="AS39" s="310"/>
      <c r="AV39" s="228">
        <f t="shared" si="28"/>
        <v>0</v>
      </c>
      <c r="AW39" s="228">
        <f t="shared" si="29"/>
        <v>0</v>
      </c>
      <c r="AX39" s="228">
        <f t="shared" si="30"/>
        <v>0</v>
      </c>
      <c r="AY39" s="228">
        <f t="shared" si="31"/>
        <v>0</v>
      </c>
      <c r="AZ39" s="228">
        <f t="shared" si="32"/>
        <v>0</v>
      </c>
      <c r="BA39" s="228"/>
      <c r="BC39" s="345" cm="1">
        <f t="array" ref="BC39">IF(BM39&gt;=1,0,IFERROR(SUMPRODUCT(($G$11:$AH$11=$BC$16)*($G39:$AH39)),0))</f>
        <v>0</v>
      </c>
      <c r="BD39" s="345" cm="1">
        <f t="array" ref="BD39">IF(BM39&gt;=1,0,IFERROR(SUMPRODUCT(($G$11:$AH$11=$BD$16)*($G39:$AH39)),0))</f>
        <v>0</v>
      </c>
      <c r="BE39" s="345" cm="1">
        <f t="array" ref="BE39">IF(BM39&gt;=1,0,IFERROR(SUMPRODUCT(($G$11:$AH$11=$BE$16)*($G39:$AH39)),0))</f>
        <v>0</v>
      </c>
      <c r="BF39" s="345" cm="1">
        <f t="array" ref="BF39">IF(BM39&gt;=1,0,IFERROR(SUMPRODUCT(($G$11:$AH$11=$BF$16)*($G39:$AH39)),0))</f>
        <v>0</v>
      </c>
      <c r="BG39" s="345" cm="1">
        <f t="array" ref="BG39">IF(BM39&gt;=1,0,IFERROR(SUMPRODUCT(($G$11:$AH$11=$BG$16)*($G39:$AH39)),0))</f>
        <v>0</v>
      </c>
      <c r="BH39" s="345"/>
      <c r="BI39" s="343">
        <f t="shared" si="35"/>
        <v>0</v>
      </c>
      <c r="BJ39" s="229" t="s">
        <v>83</v>
      </c>
      <c r="BK39" cm="1">
        <f t="array" ref="BK39">(SUMPRODUCT(('Cashflow Summary C19RM'!$D$5:$D$451=E39)*('Cashflow Summary C19RM'!$BD$5:$BD$451)))</f>
        <v>0</v>
      </c>
      <c r="BL39" cm="1">
        <f t="array" ref="BL39">(SUMPRODUCT((SETUP!$D$20:$D$67=E39)*(SETUP!$R$20:$R$67)))</f>
        <v>0</v>
      </c>
      <c r="BM39" s="89">
        <f t="shared" si="33"/>
        <v>0</v>
      </c>
    </row>
    <row r="40" spans="1:65" s="89" customFormat="1" ht="15" customHeight="1" thickBot="1" x14ac:dyDescent="0.4">
      <c r="A40" s="89" t="s">
        <v>216</v>
      </c>
      <c r="B40" s="211" t="s">
        <v>696</v>
      </c>
      <c r="C40" s="699" t="s">
        <v>2750</v>
      </c>
      <c r="D40" s="1314"/>
      <c r="E40" s="1010" t="s">
        <v>13</v>
      </c>
      <c r="F40" s="697">
        <v>0</v>
      </c>
      <c r="G40" s="628" cm="1">
        <f t="array" ref="G40">$F40*(SUMPRODUCT(('Cashflow Summary C19RM'!$K$5:$K$239&lt;&gt;1)*('Cashflow Summary C19RM'!$D$5:$D$239=E40)*('Cashflow Summary C19RM'!$R$5:$R$239)))</f>
        <v>0</v>
      </c>
      <c r="H40" s="629" cm="1">
        <f t="array" ref="H40">$F40*(SUMPRODUCT(('Cashflow Summary C19RM'!$K$5:$K$239&lt;&gt;1)*('Cashflow Summary C19RM'!$D$5:$D$239=E40)*('Cashflow Summary C19RM'!$S$5:$S$239)))</f>
        <v>0</v>
      </c>
      <c r="I40" s="630" cm="1">
        <f t="array" ref="I40">$F40*(SUMPRODUCT(('Cashflow Summary C19RM'!$K$5:$K$239&lt;&gt;1)*('Cashflow Summary C19RM'!$D$5:$D$239=E40)*('Cashflow Summary C19RM'!$T$5:$T$239)))</f>
        <v>0</v>
      </c>
      <c r="J40" s="630" cm="1">
        <f t="array" ref="J40">$F40*(SUMPRODUCT(('Cashflow Summary C19RM'!$K$5:$K$239&lt;&gt;1)*('Cashflow Summary C19RM'!$D$5:$D$239=E40)*('Cashflow Summary C19RM'!$U$5:$U$239)))</f>
        <v>0</v>
      </c>
      <c r="K40" s="631">
        <f t="shared" si="19"/>
        <v>0</v>
      </c>
      <c r="L40" s="686">
        <f t="shared" si="20"/>
        <v>0</v>
      </c>
      <c r="M40" s="630" cm="1">
        <f t="array" ref="M40">$L40*(SUMPRODUCT(('Cashflow Summary C19RM'!$K$5:$K$239&lt;&gt;1)*('Cashflow Summary C19RM'!$D$5:$D$239=E40)*('Cashflow Summary C19RM'!$V$5:$V$239)))</f>
        <v>0</v>
      </c>
      <c r="N40" s="630" cm="1">
        <f t="array" ref="N40">$L40*(SUMPRODUCT(('Cashflow Summary C19RM'!$K$5:$K$239&lt;&gt;1)*('Cashflow Summary C19RM'!$D$5:$D$239=E40)*('Cashflow Summary C19RM'!$W$5:$W$239)))</f>
        <v>0</v>
      </c>
      <c r="O40" s="630" cm="1">
        <f t="array" ref="O40">$L40*(SUMPRODUCT(('Cashflow Summary C19RM'!$K$5:$K$239&lt;&gt;1)*('Cashflow Summary C19RM'!$D$5:$D$239=E40)*('Cashflow Summary C19RM'!$X$5:$X$239)))</f>
        <v>0</v>
      </c>
      <c r="P40" s="630" cm="1">
        <f t="array" ref="P40">$L40*(SUMPRODUCT(('Cashflow Summary C19RM'!$K$5:$K$239&lt;&gt;1)*('Cashflow Summary C19RM'!$D$5:$D$239=E40)*('Cashflow Summary C19RM'!$Y$5:$Y$239)))</f>
        <v>0</v>
      </c>
      <c r="Q40" s="632">
        <f t="shared" si="21"/>
        <v>0</v>
      </c>
      <c r="R40" s="686">
        <f t="shared" si="22"/>
        <v>0</v>
      </c>
      <c r="S40" s="633" cm="1">
        <f t="array" ref="S40">$R40*(SUMPRODUCT(('Cashflow Summary C19RM'!$K$5:$K$239&lt;&gt;1)*('Cashflow Summary C19RM'!$D$5:$D$239=E40)*('Cashflow Summary C19RM'!$Z$5:$Z$239)))</f>
        <v>0</v>
      </c>
      <c r="T40" s="633" cm="1">
        <f t="array" ref="T40">$R40*(SUMPRODUCT(('Cashflow Summary C19RM'!$K$5:$K$239&lt;&gt;1)*('Cashflow Summary C19RM'!$D$5:$D$239=E40)*('Cashflow Summary C19RM'!$AA$5:$AA$239)))</f>
        <v>0</v>
      </c>
      <c r="U40" s="633" cm="1">
        <f t="array" ref="U40">$R40*(SUMPRODUCT(('Cashflow Summary C19RM'!$K$5:$K$239&lt;&gt;1)*('Cashflow Summary C19RM'!$D$5:$D$239=E40)*('Cashflow Summary C19RM'!$AB$5:$AB$239)))</f>
        <v>0</v>
      </c>
      <c r="V40" s="633" cm="1">
        <f t="array" ref="V40">$R40*(SUMPRODUCT(('Cashflow Summary C19RM'!$K$5:$K$239&lt;&gt;1)*('Cashflow Summary C19RM'!$D$5:$D$239=E40)*('Cashflow Summary C19RM'!$AC$5:$AC$239)))</f>
        <v>0</v>
      </c>
      <c r="W40" s="634">
        <f t="shared" si="23"/>
        <v>0</v>
      </c>
      <c r="X40" s="686">
        <f t="shared" si="24"/>
        <v>0</v>
      </c>
      <c r="Y40" s="633" cm="1">
        <f t="array" ref="Y40">$X40*(SUMPRODUCT(('Cashflow Summary C19RM'!$K$5:$K$239&lt;&gt;1)*('Cashflow Summary C19RM'!$D$5:$D$239=E40)*('Cashflow Summary C19RM'!$AD$5:$AD$239)))</f>
        <v>0</v>
      </c>
      <c r="Z40" s="633" cm="1">
        <f t="array" ref="Z40">$X40*(SUMPRODUCT(('Cashflow Summary C19RM'!$K$5:$K$239&lt;&gt;1)*('Cashflow Summary C19RM'!$D$5:$D$239=E40)*('Cashflow Summary C19RM'!$AE$5:$AE$239)))</f>
        <v>0</v>
      </c>
      <c r="AA40" s="633" cm="1">
        <f t="array" ref="AA40">$X40*(SUMPRODUCT(('Cashflow Summary C19RM'!$K$5:$K$239&lt;&gt;1)*('Cashflow Summary C19RM'!$D$5:$D$239=E40)*('Cashflow Summary C19RM'!$AF$5:$AF$239)))</f>
        <v>0</v>
      </c>
      <c r="AB40" s="630" cm="1">
        <f t="array" ref="AB40">$X40*(SUMPRODUCT(('Cashflow Summary C19RM'!$K$5:$K$239&lt;&gt;1)*('Cashflow Summary C19RM'!$D$5:$D$239=E40)*('Cashflow Summary C19RM'!$AG$5:$AG$239)))</f>
        <v>0</v>
      </c>
      <c r="AC40" s="634">
        <f t="shared" si="25"/>
        <v>0</v>
      </c>
      <c r="AD40" s="686">
        <f t="shared" si="26"/>
        <v>0</v>
      </c>
      <c r="AE40" s="628" cm="1">
        <f t="array" ref="AE40">$AD40*(SUMPRODUCT(('Cashflow Summary C19RM'!$K$5:$K$239&lt;&gt;1)*('Cashflow Summary C19RM'!$D$5:$D$239=E40)*('Cashflow Summary C19RM'!$AH$5:$AH$239)))</f>
        <v>0</v>
      </c>
      <c r="AF40" s="633" cm="1">
        <f t="array" ref="AF40">$AD40*(SUMPRODUCT(('Cashflow Summary C19RM'!$K$5:$K$239&lt;&gt;1)*('Cashflow Summary C19RM'!$D$5:$D$239=E40)*('Cashflow Summary C19RM'!$AI$5:$AI$239)))</f>
        <v>0</v>
      </c>
      <c r="AG40" s="633" cm="1">
        <f t="array" ref="AG40">$AD40*(SUMPRODUCT(('Cashflow Summary C19RM'!$K$5:$K$239&lt;&gt;1)*('Cashflow Summary C19RM'!$D$5:$D$239=E40)*('Cashflow Summary C19RM'!$AJ$5:$AJ$239)))</f>
        <v>0</v>
      </c>
      <c r="AH40" s="633" cm="1">
        <f t="array" ref="AH40">$AD40*(SUMPRODUCT(('Cashflow Summary C19RM'!$K$5:$K$239&lt;&gt;1)*('Cashflow Summary C19RM'!$D$5:$D$239=E40)*('Cashflow Summary C19RM'!$AK$5:$AO$239)))</f>
        <v>0</v>
      </c>
      <c r="AI40" s="631">
        <f t="shared" si="27"/>
        <v>0</v>
      </c>
      <c r="AJ40" s="875">
        <v>0</v>
      </c>
      <c r="AK40" s="858"/>
      <c r="AL40" s="859"/>
      <c r="AM40" s="859"/>
      <c r="AN40" s="859"/>
      <c r="AO40" s="860"/>
      <c r="AP40" s="635">
        <f t="shared" si="34"/>
        <v>0</v>
      </c>
      <c r="AQ40" s="636">
        <v>7.2</v>
      </c>
      <c r="AR40" s="707"/>
      <c r="AS40" s="310"/>
      <c r="AV40" s="228">
        <f t="shared" si="28"/>
        <v>0</v>
      </c>
      <c r="AW40" s="228">
        <f t="shared" si="29"/>
        <v>0</v>
      </c>
      <c r="AX40" s="228">
        <f t="shared" si="30"/>
        <v>0</v>
      </c>
      <c r="AY40" s="228">
        <f t="shared" si="31"/>
        <v>0</v>
      </c>
      <c r="AZ40" s="228">
        <f t="shared" si="32"/>
        <v>0</v>
      </c>
      <c r="BA40" s="228"/>
      <c r="BC40" s="345" cm="1">
        <f t="array" ref="BC40">IF(BM40&gt;=1,0,IFERROR(SUMPRODUCT(($G$11:$AH$11=$BC$16)*($G40:$AH40)),0))</f>
        <v>0</v>
      </c>
      <c r="BD40" s="345" cm="1">
        <f t="array" ref="BD40">IF(BM40&gt;=1,0,IFERROR(SUMPRODUCT(($G$11:$AH$11=$BD$16)*($G40:$AH40)),0))</f>
        <v>0</v>
      </c>
      <c r="BE40" s="345" cm="1">
        <f t="array" ref="BE40">IF(BM40&gt;=1,0,IFERROR(SUMPRODUCT(($G$11:$AH$11=$BE$16)*($G40:$AH40)),0))</f>
        <v>0</v>
      </c>
      <c r="BF40" s="345" cm="1">
        <f t="array" ref="BF40">IF(BM40&gt;=1,0,IFERROR(SUMPRODUCT(($G$11:$AH$11=$BF$16)*($G40:$AH40)),0))</f>
        <v>0</v>
      </c>
      <c r="BG40" s="345" cm="1">
        <f t="array" ref="BG40">IF(BM40&gt;=1,0,IFERROR(SUMPRODUCT(($G$11:$AH$11=$BG$16)*($G40:$AH40)),0))</f>
        <v>0</v>
      </c>
      <c r="BH40" s="345"/>
      <c r="BI40" s="343">
        <f t="shared" si="35"/>
        <v>0</v>
      </c>
      <c r="BJ40" s="229" t="s">
        <v>83</v>
      </c>
      <c r="BK40" cm="1">
        <f t="array" ref="BK40">(SUMPRODUCT(('Cashflow Summary C19RM'!$D$5:$D$451=E40)*('Cashflow Summary C19RM'!$BD$5:$BD$451)))</f>
        <v>0</v>
      </c>
      <c r="BL40" cm="1">
        <f t="array" ref="BL40">(SUMPRODUCT((SETUP!$D$20:$D$67=E40)*(SETUP!$R$20:$R$67)))</f>
        <v>0</v>
      </c>
      <c r="BM40" s="89">
        <f t="shared" si="33"/>
        <v>0</v>
      </c>
    </row>
    <row r="41" spans="1:65" s="89" customFormat="1" ht="15" customHeight="1" thickBot="1" x14ac:dyDescent="0.4">
      <c r="A41" s="89" t="s">
        <v>216</v>
      </c>
      <c r="B41" s="211" t="s">
        <v>696</v>
      </c>
      <c r="C41" s="699" t="s">
        <v>2750</v>
      </c>
      <c r="D41" s="1314"/>
      <c r="E41" s="1010" t="s">
        <v>17</v>
      </c>
      <c r="F41" s="697">
        <v>0</v>
      </c>
      <c r="G41" s="628" cm="1">
        <f t="array" ref="G41">$F41*(SUMPRODUCT(('Cashflow Summary C19RM'!$K$5:$K$239&lt;&gt;1)*('Cashflow Summary C19RM'!$D$5:$D$239=E41)*('Cashflow Summary C19RM'!$R$5:$R$239)))</f>
        <v>0</v>
      </c>
      <c r="H41" s="629" cm="1">
        <f t="array" ref="H41">$F41*(SUMPRODUCT(('Cashflow Summary C19RM'!$K$5:$K$239&lt;&gt;1)*('Cashflow Summary C19RM'!$D$5:$D$239=E41)*('Cashflow Summary C19RM'!$S$5:$S$239)))</f>
        <v>0</v>
      </c>
      <c r="I41" s="630" cm="1">
        <f t="array" ref="I41">$F41*(SUMPRODUCT(('Cashflow Summary C19RM'!$K$5:$K$239&lt;&gt;1)*('Cashflow Summary C19RM'!$D$5:$D$239=E41)*('Cashflow Summary C19RM'!$T$5:$T$239)))</f>
        <v>0</v>
      </c>
      <c r="J41" s="630" cm="1">
        <f t="array" ref="J41">$F41*(SUMPRODUCT(('Cashflow Summary C19RM'!$K$5:$K$239&lt;&gt;1)*('Cashflow Summary C19RM'!$D$5:$D$239=E41)*('Cashflow Summary C19RM'!$U$5:$U$239)))</f>
        <v>0</v>
      </c>
      <c r="K41" s="631">
        <f t="shared" si="19"/>
        <v>0</v>
      </c>
      <c r="L41" s="686">
        <f t="shared" si="20"/>
        <v>0</v>
      </c>
      <c r="M41" s="630" cm="1">
        <f t="array" ref="M41">$L41*(SUMPRODUCT(('Cashflow Summary C19RM'!$K$5:$K$239&lt;&gt;1)*('Cashflow Summary C19RM'!$D$5:$D$239=E41)*('Cashflow Summary C19RM'!$V$5:$V$239)))</f>
        <v>0</v>
      </c>
      <c r="N41" s="630" cm="1">
        <f t="array" ref="N41">$L41*(SUMPRODUCT(('Cashflow Summary C19RM'!$K$5:$K$239&lt;&gt;1)*('Cashflow Summary C19RM'!$D$5:$D$239=E41)*('Cashflow Summary C19RM'!$W$5:$W$239)))</f>
        <v>0</v>
      </c>
      <c r="O41" s="630" cm="1">
        <f t="array" ref="O41">$L41*(SUMPRODUCT(('Cashflow Summary C19RM'!$K$5:$K$239&lt;&gt;1)*('Cashflow Summary C19RM'!$D$5:$D$239=E41)*('Cashflow Summary C19RM'!$X$5:$X$239)))</f>
        <v>0</v>
      </c>
      <c r="P41" s="630" cm="1">
        <f t="array" ref="P41">$L41*(SUMPRODUCT(('Cashflow Summary C19RM'!$K$5:$K$239&lt;&gt;1)*('Cashflow Summary C19RM'!$D$5:$D$239=E41)*('Cashflow Summary C19RM'!$Y$5:$Y$239)))</f>
        <v>0</v>
      </c>
      <c r="Q41" s="632">
        <f t="shared" si="21"/>
        <v>0</v>
      </c>
      <c r="R41" s="686">
        <f t="shared" si="22"/>
        <v>0</v>
      </c>
      <c r="S41" s="633" cm="1">
        <f t="array" ref="S41">$R41*(SUMPRODUCT(('Cashflow Summary C19RM'!$K$5:$K$239&lt;&gt;1)*('Cashflow Summary C19RM'!$D$5:$D$239=E41)*('Cashflow Summary C19RM'!$Z$5:$Z$239)))</f>
        <v>0</v>
      </c>
      <c r="T41" s="633" cm="1">
        <f t="array" ref="T41">$R41*(SUMPRODUCT(('Cashflow Summary C19RM'!$K$5:$K$239&lt;&gt;1)*('Cashflow Summary C19RM'!$D$5:$D$239=E41)*('Cashflow Summary C19RM'!$AA$5:$AA$239)))</f>
        <v>0</v>
      </c>
      <c r="U41" s="633" cm="1">
        <f t="array" ref="U41">$R41*(SUMPRODUCT(('Cashflow Summary C19RM'!$K$5:$K$239&lt;&gt;1)*('Cashflow Summary C19RM'!$D$5:$D$239=E41)*('Cashflow Summary C19RM'!$AB$5:$AB$239)))</f>
        <v>0</v>
      </c>
      <c r="V41" s="633" cm="1">
        <f t="array" ref="V41">$R41*(SUMPRODUCT(('Cashflow Summary C19RM'!$K$5:$K$239&lt;&gt;1)*('Cashflow Summary C19RM'!$D$5:$D$239=E41)*('Cashflow Summary C19RM'!$AC$5:$AC$239)))</f>
        <v>0</v>
      </c>
      <c r="W41" s="634">
        <f t="shared" si="23"/>
        <v>0</v>
      </c>
      <c r="X41" s="686">
        <f t="shared" si="24"/>
        <v>0</v>
      </c>
      <c r="Y41" s="633" cm="1">
        <f t="array" ref="Y41">$X41*(SUMPRODUCT(('Cashflow Summary C19RM'!$K$5:$K$239&lt;&gt;1)*('Cashflow Summary C19RM'!$D$5:$D$239=E41)*('Cashflow Summary C19RM'!$AD$5:$AD$239)))</f>
        <v>0</v>
      </c>
      <c r="Z41" s="633" cm="1">
        <f t="array" ref="Z41">$X41*(SUMPRODUCT(('Cashflow Summary C19RM'!$K$5:$K$239&lt;&gt;1)*('Cashflow Summary C19RM'!$D$5:$D$239=E41)*('Cashflow Summary C19RM'!$AE$5:$AE$239)))</f>
        <v>0</v>
      </c>
      <c r="AA41" s="633" cm="1">
        <f t="array" ref="AA41">$X41*(SUMPRODUCT(('Cashflow Summary C19RM'!$K$5:$K$239&lt;&gt;1)*('Cashflow Summary C19RM'!$D$5:$D$239=E41)*('Cashflow Summary C19RM'!$AF$5:$AF$239)))</f>
        <v>0</v>
      </c>
      <c r="AB41" s="630" cm="1">
        <f t="array" ref="AB41">$X41*(SUMPRODUCT(('Cashflow Summary C19RM'!$K$5:$K$239&lt;&gt;1)*('Cashflow Summary C19RM'!$D$5:$D$239=E41)*('Cashflow Summary C19RM'!$AG$5:$AG$239)))</f>
        <v>0</v>
      </c>
      <c r="AC41" s="634">
        <f t="shared" si="25"/>
        <v>0</v>
      </c>
      <c r="AD41" s="686">
        <f t="shared" si="26"/>
        <v>0</v>
      </c>
      <c r="AE41" s="628" cm="1">
        <f t="array" ref="AE41">$AD41*(SUMPRODUCT(('Cashflow Summary C19RM'!$K$5:$K$239&lt;&gt;1)*('Cashflow Summary C19RM'!$D$5:$D$239=E41)*('Cashflow Summary C19RM'!$AH$5:$AH$239)))</f>
        <v>0</v>
      </c>
      <c r="AF41" s="633" cm="1">
        <f t="array" ref="AF41">$AD41*(SUMPRODUCT(('Cashflow Summary C19RM'!$K$5:$K$239&lt;&gt;1)*('Cashflow Summary C19RM'!$D$5:$D$239=E41)*('Cashflow Summary C19RM'!$AI$5:$AI$239)))</f>
        <v>0</v>
      </c>
      <c r="AG41" s="633" cm="1">
        <f t="array" ref="AG41">$AD41*(SUMPRODUCT(('Cashflow Summary C19RM'!$K$5:$K$239&lt;&gt;1)*('Cashflow Summary C19RM'!$D$5:$D$239=E41)*('Cashflow Summary C19RM'!$AJ$5:$AJ$239)))</f>
        <v>0</v>
      </c>
      <c r="AH41" s="633" cm="1">
        <f t="array" ref="AH41">$AD41*(SUMPRODUCT(('Cashflow Summary C19RM'!$K$5:$K$239&lt;&gt;1)*('Cashflow Summary C19RM'!$D$5:$D$239=E41)*('Cashflow Summary C19RM'!$AK$5:$AO$239)))</f>
        <v>0</v>
      </c>
      <c r="AI41" s="631">
        <f t="shared" si="27"/>
        <v>0</v>
      </c>
      <c r="AJ41" s="875">
        <v>0</v>
      </c>
      <c r="AK41" s="858"/>
      <c r="AL41" s="859"/>
      <c r="AM41" s="859"/>
      <c r="AN41" s="859"/>
      <c r="AO41" s="860"/>
      <c r="AP41" s="635">
        <f t="shared" si="34"/>
        <v>0</v>
      </c>
      <c r="AQ41" s="636">
        <v>7.2</v>
      </c>
      <c r="AR41" s="707"/>
      <c r="AS41" s="310"/>
      <c r="AV41" s="228">
        <f t="shared" si="28"/>
        <v>0</v>
      </c>
      <c r="AW41" s="228">
        <f t="shared" si="29"/>
        <v>0</v>
      </c>
      <c r="AX41" s="228">
        <f t="shared" si="30"/>
        <v>0</v>
      </c>
      <c r="AY41" s="228">
        <f t="shared" si="31"/>
        <v>0</v>
      </c>
      <c r="AZ41" s="228">
        <f t="shared" si="32"/>
        <v>0</v>
      </c>
      <c r="BA41" s="228"/>
      <c r="BC41" s="345" cm="1">
        <f t="array" ref="BC41">IF(BM41&gt;=1,0,IFERROR(SUMPRODUCT(($G$11:$AH$11=$BC$16)*($G41:$AH41)),0))</f>
        <v>0</v>
      </c>
      <c r="BD41" s="345" cm="1">
        <f t="array" ref="BD41">IF(BM41&gt;=1,0,IFERROR(SUMPRODUCT(($G$11:$AH$11=$BD$16)*($G41:$AH41)),0))</f>
        <v>0</v>
      </c>
      <c r="BE41" s="345" cm="1">
        <f t="array" ref="BE41">IF(BM41&gt;=1,0,IFERROR(SUMPRODUCT(($G$11:$AH$11=$BE$16)*($G41:$AH41)),0))</f>
        <v>0</v>
      </c>
      <c r="BF41" s="345" cm="1">
        <f t="array" ref="BF41">IF(BM41&gt;=1,0,IFERROR(SUMPRODUCT(($G$11:$AH$11=$BF$16)*($G41:$AH41)),0))</f>
        <v>0</v>
      </c>
      <c r="BG41" s="345" cm="1">
        <f t="array" ref="BG41">IF(BM41&gt;=1,0,IFERROR(SUMPRODUCT(($G$11:$AH$11=$BG$16)*($G41:$AH41)),0))</f>
        <v>0</v>
      </c>
      <c r="BH41" s="345"/>
      <c r="BI41" s="343">
        <f t="shared" si="35"/>
        <v>0</v>
      </c>
      <c r="BJ41" s="229" t="s">
        <v>83</v>
      </c>
      <c r="BK41" cm="1">
        <f t="array" ref="BK41">(SUMPRODUCT(('Cashflow Summary C19RM'!$D$5:$D$451=E41)*('Cashflow Summary C19RM'!$BD$5:$BD$451)))</f>
        <v>0</v>
      </c>
      <c r="BL41" cm="1">
        <f t="array" ref="BL41">(SUMPRODUCT((SETUP!$D$20:$D$67=E41)*(SETUP!$R$20:$R$67)))</f>
        <v>0</v>
      </c>
      <c r="BM41" s="89">
        <f t="shared" si="33"/>
        <v>0</v>
      </c>
    </row>
    <row r="42" spans="1:65" s="89" customFormat="1" ht="15" customHeight="1" thickBot="1" x14ac:dyDescent="0.4">
      <c r="A42" s="89" t="s">
        <v>216</v>
      </c>
      <c r="B42" s="211" t="s">
        <v>696</v>
      </c>
      <c r="C42" s="699" t="s">
        <v>2750</v>
      </c>
      <c r="D42" s="1314"/>
      <c r="E42" s="1010" t="s">
        <v>19</v>
      </c>
      <c r="F42" s="697">
        <v>0</v>
      </c>
      <c r="G42" s="628" cm="1">
        <f t="array" ref="G42">$F42*(SUMPRODUCT(('Cashflow Summary C19RM'!$K$5:$K$239&lt;&gt;1)*('Cashflow Summary C19RM'!$D$5:$D$239=E42)*('Cashflow Summary C19RM'!$R$5:$R$239)))</f>
        <v>0</v>
      </c>
      <c r="H42" s="629" cm="1">
        <f t="array" ref="H42">$F42*(SUMPRODUCT(('Cashflow Summary C19RM'!$K$5:$K$239&lt;&gt;1)*('Cashflow Summary C19RM'!$D$5:$D$239=E42)*('Cashflow Summary C19RM'!$S$5:$S$239)))</f>
        <v>0</v>
      </c>
      <c r="I42" s="630" cm="1">
        <f t="array" ref="I42">$F42*(SUMPRODUCT(('Cashflow Summary C19RM'!$K$5:$K$239&lt;&gt;1)*('Cashflow Summary C19RM'!$D$5:$D$239=E42)*('Cashflow Summary C19RM'!$T$5:$T$239)))</f>
        <v>0</v>
      </c>
      <c r="J42" s="630" cm="1">
        <f t="array" ref="J42">$F42*(SUMPRODUCT(('Cashflow Summary C19RM'!$K$5:$K$239&lt;&gt;1)*('Cashflow Summary C19RM'!$D$5:$D$239=E42)*('Cashflow Summary C19RM'!$U$5:$U$239)))</f>
        <v>0</v>
      </c>
      <c r="K42" s="631">
        <f t="shared" si="19"/>
        <v>0</v>
      </c>
      <c r="L42" s="686">
        <f t="shared" si="20"/>
        <v>0</v>
      </c>
      <c r="M42" s="630" cm="1">
        <f t="array" ref="M42">$L42*(SUMPRODUCT(('Cashflow Summary C19RM'!$K$5:$K$239&lt;&gt;1)*('Cashflow Summary C19RM'!$D$5:$D$239=E42)*('Cashflow Summary C19RM'!$V$5:$V$239)))</f>
        <v>0</v>
      </c>
      <c r="N42" s="630" cm="1">
        <f t="array" ref="N42">$L42*(SUMPRODUCT(('Cashflow Summary C19RM'!$K$5:$K$239&lt;&gt;1)*('Cashflow Summary C19RM'!$D$5:$D$239=E42)*('Cashflow Summary C19RM'!$W$5:$W$239)))</f>
        <v>0</v>
      </c>
      <c r="O42" s="630" cm="1">
        <f t="array" ref="O42">$L42*(SUMPRODUCT(('Cashflow Summary C19RM'!$K$5:$K$239&lt;&gt;1)*('Cashflow Summary C19RM'!$D$5:$D$239=E42)*('Cashflow Summary C19RM'!$X$5:$X$239)))</f>
        <v>0</v>
      </c>
      <c r="P42" s="630" cm="1">
        <f t="array" ref="P42">$L42*(SUMPRODUCT(('Cashflow Summary C19RM'!$K$5:$K$239&lt;&gt;1)*('Cashflow Summary C19RM'!$D$5:$D$239=E42)*('Cashflow Summary C19RM'!$Y$5:$Y$239)))</f>
        <v>0</v>
      </c>
      <c r="Q42" s="632">
        <f t="shared" si="21"/>
        <v>0</v>
      </c>
      <c r="R42" s="686">
        <f t="shared" si="22"/>
        <v>0</v>
      </c>
      <c r="S42" s="633" cm="1">
        <f t="array" ref="S42">$R42*(SUMPRODUCT(('Cashflow Summary C19RM'!$K$5:$K$239&lt;&gt;1)*('Cashflow Summary C19RM'!$D$5:$D$239=E42)*('Cashflow Summary C19RM'!$Z$5:$Z$239)))</f>
        <v>0</v>
      </c>
      <c r="T42" s="633" cm="1">
        <f t="array" ref="T42">$R42*(SUMPRODUCT(('Cashflow Summary C19RM'!$K$5:$K$239&lt;&gt;1)*('Cashflow Summary C19RM'!$D$5:$D$239=E42)*('Cashflow Summary C19RM'!$AA$5:$AA$239)))</f>
        <v>0</v>
      </c>
      <c r="U42" s="633" cm="1">
        <f t="array" ref="U42">$R42*(SUMPRODUCT(('Cashflow Summary C19RM'!$K$5:$K$239&lt;&gt;1)*('Cashflow Summary C19RM'!$D$5:$D$239=E42)*('Cashflow Summary C19RM'!$AB$5:$AB$239)))</f>
        <v>0</v>
      </c>
      <c r="V42" s="633" cm="1">
        <f t="array" ref="V42">$R42*(SUMPRODUCT(('Cashflow Summary C19RM'!$K$5:$K$239&lt;&gt;1)*('Cashflow Summary C19RM'!$D$5:$D$239=E42)*('Cashflow Summary C19RM'!$AC$5:$AC$239)))</f>
        <v>0</v>
      </c>
      <c r="W42" s="634">
        <f t="shared" si="23"/>
        <v>0</v>
      </c>
      <c r="X42" s="686">
        <f t="shared" si="24"/>
        <v>0</v>
      </c>
      <c r="Y42" s="633" cm="1">
        <f t="array" ref="Y42">$X42*(SUMPRODUCT(('Cashflow Summary C19RM'!$K$5:$K$239&lt;&gt;1)*('Cashflow Summary C19RM'!$D$5:$D$239=E42)*('Cashflow Summary C19RM'!$AD$5:$AD$239)))</f>
        <v>0</v>
      </c>
      <c r="Z42" s="633" cm="1">
        <f t="array" ref="Z42">$X42*(SUMPRODUCT(('Cashflow Summary C19RM'!$K$5:$K$239&lt;&gt;1)*('Cashflow Summary C19RM'!$D$5:$D$239=E42)*('Cashflow Summary C19RM'!$AE$5:$AE$239)))</f>
        <v>0</v>
      </c>
      <c r="AA42" s="633" cm="1">
        <f t="array" ref="AA42">$X42*(SUMPRODUCT(('Cashflow Summary C19RM'!$K$5:$K$239&lt;&gt;1)*('Cashflow Summary C19RM'!$D$5:$D$239=E42)*('Cashflow Summary C19RM'!$AF$5:$AF$239)))</f>
        <v>0</v>
      </c>
      <c r="AB42" s="630" cm="1">
        <f t="array" ref="AB42">$X42*(SUMPRODUCT(('Cashflow Summary C19RM'!$K$5:$K$239&lt;&gt;1)*('Cashflow Summary C19RM'!$D$5:$D$239=E42)*('Cashflow Summary C19RM'!$AG$5:$AG$239)))</f>
        <v>0</v>
      </c>
      <c r="AC42" s="634">
        <f t="shared" si="25"/>
        <v>0</v>
      </c>
      <c r="AD42" s="686">
        <f t="shared" si="26"/>
        <v>0</v>
      </c>
      <c r="AE42" s="628" cm="1">
        <f t="array" ref="AE42">$AD42*(SUMPRODUCT(('Cashflow Summary C19RM'!$K$5:$K$239&lt;&gt;1)*('Cashflow Summary C19RM'!$D$5:$D$239=E42)*('Cashflow Summary C19RM'!$AH$5:$AH$239)))</f>
        <v>0</v>
      </c>
      <c r="AF42" s="633" cm="1">
        <f t="array" ref="AF42">$AD42*(SUMPRODUCT(('Cashflow Summary C19RM'!$K$5:$K$239&lt;&gt;1)*('Cashflow Summary C19RM'!$D$5:$D$239=E42)*('Cashflow Summary C19RM'!$AI$5:$AI$239)))</f>
        <v>0</v>
      </c>
      <c r="AG42" s="633" cm="1">
        <f t="array" ref="AG42">$AD42*(SUMPRODUCT(('Cashflow Summary C19RM'!$K$5:$K$239&lt;&gt;1)*('Cashflow Summary C19RM'!$D$5:$D$239=E42)*('Cashflow Summary C19RM'!$AJ$5:$AJ$239)))</f>
        <v>0</v>
      </c>
      <c r="AH42" s="633" cm="1">
        <f t="array" ref="AH42">$AD42*(SUMPRODUCT(('Cashflow Summary C19RM'!$K$5:$K$239&lt;&gt;1)*('Cashflow Summary C19RM'!$D$5:$D$239=E42)*('Cashflow Summary C19RM'!$AK$5:$AO$239)))</f>
        <v>0</v>
      </c>
      <c r="AI42" s="631">
        <f t="shared" si="27"/>
        <v>0</v>
      </c>
      <c r="AJ42" s="875">
        <v>0</v>
      </c>
      <c r="AK42" s="858"/>
      <c r="AL42" s="859"/>
      <c r="AM42" s="859"/>
      <c r="AN42" s="859"/>
      <c r="AO42" s="860"/>
      <c r="AP42" s="635">
        <f t="shared" si="34"/>
        <v>0</v>
      </c>
      <c r="AQ42" s="636">
        <v>7.2</v>
      </c>
      <c r="AR42" s="707"/>
      <c r="AS42" s="310"/>
      <c r="AV42" s="228">
        <f t="shared" si="28"/>
        <v>0</v>
      </c>
      <c r="AW42" s="228">
        <f t="shared" si="29"/>
        <v>0</v>
      </c>
      <c r="AX42" s="228">
        <f t="shared" si="30"/>
        <v>0</v>
      </c>
      <c r="AY42" s="228">
        <f t="shared" si="31"/>
        <v>0</v>
      </c>
      <c r="AZ42" s="228">
        <f t="shared" si="32"/>
        <v>0</v>
      </c>
      <c r="BA42" s="228"/>
      <c r="BC42" s="345" cm="1">
        <f t="array" ref="BC42">IF(BM42&gt;=1,0,IFERROR(SUMPRODUCT(($G$11:$AH$11=$BC$16)*($G42:$AH42)),0))</f>
        <v>0</v>
      </c>
      <c r="BD42" s="345" cm="1">
        <f t="array" ref="BD42">IF(BM42&gt;=1,0,IFERROR(SUMPRODUCT(($G$11:$AH$11=$BD$16)*($G42:$AH42)),0))</f>
        <v>0</v>
      </c>
      <c r="BE42" s="345" cm="1">
        <f t="array" ref="BE42">IF(BM42&gt;=1,0,IFERROR(SUMPRODUCT(($G$11:$AH$11=$BE$16)*($G42:$AH42)),0))</f>
        <v>0</v>
      </c>
      <c r="BF42" s="345" cm="1">
        <f t="array" ref="BF42">IF(BM42&gt;=1,0,IFERROR(SUMPRODUCT(($G$11:$AH$11=$BF$16)*($G42:$AH42)),0))</f>
        <v>0</v>
      </c>
      <c r="BG42" s="345" cm="1">
        <f t="array" ref="BG42">IF(BM42&gt;=1,0,IFERROR(SUMPRODUCT(($G$11:$AH$11=$BG$16)*($G42:$AH42)),0))</f>
        <v>0</v>
      </c>
      <c r="BH42" s="345"/>
      <c r="BI42" s="343">
        <f t="shared" si="35"/>
        <v>0</v>
      </c>
      <c r="BJ42" s="229" t="s">
        <v>83</v>
      </c>
      <c r="BK42" cm="1">
        <f t="array" ref="BK42">(SUMPRODUCT(('Cashflow Summary C19RM'!$D$5:$D$451=E42)*('Cashflow Summary C19RM'!$BD$5:$BD$451)))</f>
        <v>0</v>
      </c>
      <c r="BL42" cm="1">
        <f t="array" ref="BL42">(SUMPRODUCT((SETUP!$D$20:$D$67=E42)*(SETUP!$R$20:$R$67)))</f>
        <v>0</v>
      </c>
      <c r="BM42" s="89">
        <f t="shared" si="33"/>
        <v>0</v>
      </c>
    </row>
    <row r="43" spans="1:65" s="89" customFormat="1" ht="15" customHeight="1" thickBot="1" x14ac:dyDescent="0.4">
      <c r="A43" s="89" t="s">
        <v>216</v>
      </c>
      <c r="B43" s="211" t="s">
        <v>696</v>
      </c>
      <c r="C43" s="699" t="s">
        <v>2750</v>
      </c>
      <c r="D43" s="1314"/>
      <c r="E43" s="1010" t="s">
        <v>122</v>
      </c>
      <c r="F43" s="697">
        <v>0</v>
      </c>
      <c r="G43" s="628" cm="1">
        <f t="array" ref="G43">$F43*(SUMPRODUCT(('Cashflow Summary C19RM'!$K$5:$K$239&lt;&gt;1)*('Cashflow Summary C19RM'!$D$5:$D$239=E43)*('Cashflow Summary C19RM'!$R$5:$R$239)))</f>
        <v>0</v>
      </c>
      <c r="H43" s="629" cm="1">
        <f t="array" ref="H43">$F43*(SUMPRODUCT(('Cashflow Summary C19RM'!$K$5:$K$239&lt;&gt;1)*('Cashflow Summary C19RM'!$D$5:$D$239=E43)*('Cashflow Summary C19RM'!$S$5:$S$239)))</f>
        <v>0</v>
      </c>
      <c r="I43" s="630" cm="1">
        <f t="array" ref="I43">$F43*(SUMPRODUCT(('Cashflow Summary C19RM'!$K$5:$K$239&lt;&gt;1)*('Cashflow Summary C19RM'!$D$5:$D$239=E43)*('Cashflow Summary C19RM'!$T$5:$T$239)))</f>
        <v>0</v>
      </c>
      <c r="J43" s="630" cm="1">
        <f t="array" ref="J43">$F43*(SUMPRODUCT(('Cashflow Summary C19RM'!$K$5:$K$239&lt;&gt;1)*('Cashflow Summary C19RM'!$D$5:$D$239=E43)*('Cashflow Summary C19RM'!$U$5:$U$239)))</f>
        <v>0</v>
      </c>
      <c r="K43" s="631">
        <f t="shared" si="19"/>
        <v>0</v>
      </c>
      <c r="L43" s="686">
        <f t="shared" si="20"/>
        <v>0</v>
      </c>
      <c r="M43" s="630" cm="1">
        <f t="array" ref="M43">$L43*(SUMPRODUCT(('Cashflow Summary C19RM'!$K$5:$K$239&lt;&gt;1)*('Cashflow Summary C19RM'!$D$5:$D$239=E43)*('Cashflow Summary C19RM'!$V$5:$V$239)))</f>
        <v>0</v>
      </c>
      <c r="N43" s="630" cm="1">
        <f t="array" ref="N43">$L43*(SUMPRODUCT(('Cashflow Summary C19RM'!$K$5:$K$239&lt;&gt;1)*('Cashflow Summary C19RM'!$D$5:$D$239=E43)*('Cashflow Summary C19RM'!$W$5:$W$239)))</f>
        <v>0</v>
      </c>
      <c r="O43" s="630" cm="1">
        <f t="array" ref="O43">$L43*(SUMPRODUCT(('Cashflow Summary C19RM'!$K$5:$K$239&lt;&gt;1)*('Cashflow Summary C19RM'!$D$5:$D$239=E43)*('Cashflow Summary C19RM'!$X$5:$X$239)))</f>
        <v>0</v>
      </c>
      <c r="P43" s="630" cm="1">
        <f t="array" ref="P43">$L43*(SUMPRODUCT(('Cashflow Summary C19RM'!$K$5:$K$239&lt;&gt;1)*('Cashflow Summary C19RM'!$D$5:$D$239=E43)*('Cashflow Summary C19RM'!$Y$5:$Y$239)))</f>
        <v>0</v>
      </c>
      <c r="Q43" s="632">
        <f t="shared" si="21"/>
        <v>0</v>
      </c>
      <c r="R43" s="686">
        <f t="shared" si="22"/>
        <v>0</v>
      </c>
      <c r="S43" s="633" cm="1">
        <f t="array" ref="S43">$R43*(SUMPRODUCT(('Cashflow Summary C19RM'!$K$5:$K$239&lt;&gt;1)*('Cashflow Summary C19RM'!$D$5:$D$239=E43)*('Cashflow Summary C19RM'!$Z$5:$Z$239)))</f>
        <v>0</v>
      </c>
      <c r="T43" s="633" cm="1">
        <f t="array" ref="T43">$R43*(SUMPRODUCT(('Cashflow Summary C19RM'!$K$5:$K$239&lt;&gt;1)*('Cashflow Summary C19RM'!$D$5:$D$239=E43)*('Cashflow Summary C19RM'!$AA$5:$AA$239)))</f>
        <v>0</v>
      </c>
      <c r="U43" s="633" cm="1">
        <f t="array" ref="U43">$R43*(SUMPRODUCT(('Cashflow Summary C19RM'!$K$5:$K$239&lt;&gt;1)*('Cashflow Summary C19RM'!$D$5:$D$239=E43)*('Cashflow Summary C19RM'!$AB$5:$AB$239)))</f>
        <v>0</v>
      </c>
      <c r="V43" s="633" cm="1">
        <f t="array" ref="V43">$R43*(SUMPRODUCT(('Cashflow Summary C19RM'!$K$5:$K$239&lt;&gt;1)*('Cashflow Summary C19RM'!$D$5:$D$239=E43)*('Cashflow Summary C19RM'!$AC$5:$AC$239)))</f>
        <v>0</v>
      </c>
      <c r="W43" s="634">
        <f t="shared" si="23"/>
        <v>0</v>
      </c>
      <c r="X43" s="686">
        <f t="shared" si="24"/>
        <v>0</v>
      </c>
      <c r="Y43" s="633" cm="1">
        <f t="array" ref="Y43">$X43*(SUMPRODUCT(('Cashflow Summary C19RM'!$K$5:$K$239&lt;&gt;1)*('Cashflow Summary C19RM'!$D$5:$D$239=E43)*('Cashflow Summary C19RM'!$AD$5:$AD$239)))</f>
        <v>0</v>
      </c>
      <c r="Z43" s="633" cm="1">
        <f t="array" ref="Z43">$X43*(SUMPRODUCT(('Cashflow Summary C19RM'!$K$5:$K$239&lt;&gt;1)*('Cashflow Summary C19RM'!$D$5:$D$239=E43)*('Cashflow Summary C19RM'!$AE$5:$AE$239)))</f>
        <v>0</v>
      </c>
      <c r="AA43" s="633" cm="1">
        <f t="array" ref="AA43">$X43*(SUMPRODUCT(('Cashflow Summary C19RM'!$K$5:$K$239&lt;&gt;1)*('Cashflow Summary C19RM'!$D$5:$D$239=E43)*('Cashflow Summary C19RM'!$AF$5:$AF$239)))</f>
        <v>0</v>
      </c>
      <c r="AB43" s="630" cm="1">
        <f t="array" ref="AB43">$X43*(SUMPRODUCT(('Cashflow Summary C19RM'!$K$5:$K$239&lt;&gt;1)*('Cashflow Summary C19RM'!$D$5:$D$239=E43)*('Cashflow Summary C19RM'!$AG$5:$AG$239)))</f>
        <v>0</v>
      </c>
      <c r="AC43" s="634">
        <f t="shared" si="25"/>
        <v>0</v>
      </c>
      <c r="AD43" s="686">
        <f t="shared" si="26"/>
        <v>0</v>
      </c>
      <c r="AE43" s="628" cm="1">
        <f t="array" ref="AE43">$AD43*(SUMPRODUCT(('Cashflow Summary C19RM'!$K$5:$K$239&lt;&gt;1)*('Cashflow Summary C19RM'!$D$5:$D$239=E43)*('Cashflow Summary C19RM'!$AH$5:$AH$239)))</f>
        <v>0</v>
      </c>
      <c r="AF43" s="633" cm="1">
        <f t="array" ref="AF43">$AD43*(SUMPRODUCT(('Cashflow Summary C19RM'!$K$5:$K$239&lt;&gt;1)*('Cashflow Summary C19RM'!$D$5:$D$239=E43)*('Cashflow Summary C19RM'!$AI$5:$AI$239)))</f>
        <v>0</v>
      </c>
      <c r="AG43" s="633" cm="1">
        <f t="array" ref="AG43">$AD43*(SUMPRODUCT(('Cashflow Summary C19RM'!$K$5:$K$239&lt;&gt;1)*('Cashflow Summary C19RM'!$D$5:$D$239=E43)*('Cashflow Summary C19RM'!$AJ$5:$AJ$239)))</f>
        <v>0</v>
      </c>
      <c r="AH43" s="633" cm="1">
        <f t="array" ref="AH43">$AD43*(SUMPRODUCT(('Cashflow Summary C19RM'!$K$5:$K$239&lt;&gt;1)*('Cashflow Summary C19RM'!$D$5:$D$239=E43)*('Cashflow Summary C19RM'!$AK$5:$AO$239)))</f>
        <v>0</v>
      </c>
      <c r="AI43" s="631">
        <f t="shared" si="27"/>
        <v>0</v>
      </c>
      <c r="AJ43" s="875">
        <v>0</v>
      </c>
      <c r="AK43" s="858"/>
      <c r="AL43" s="859"/>
      <c r="AM43" s="859"/>
      <c r="AN43" s="859"/>
      <c r="AO43" s="860"/>
      <c r="AP43" s="635">
        <f t="shared" si="34"/>
        <v>0</v>
      </c>
      <c r="AQ43" s="636">
        <v>7.2</v>
      </c>
      <c r="AR43" s="707"/>
      <c r="AS43" s="310"/>
      <c r="AV43" s="228">
        <f t="shared" si="28"/>
        <v>0</v>
      </c>
      <c r="AW43" s="228">
        <f t="shared" si="29"/>
        <v>0</v>
      </c>
      <c r="AX43" s="228">
        <f t="shared" si="30"/>
        <v>0</v>
      </c>
      <c r="AY43" s="228">
        <f t="shared" si="31"/>
        <v>0</v>
      </c>
      <c r="AZ43" s="228">
        <f t="shared" si="32"/>
        <v>0</v>
      </c>
      <c r="BA43" s="228"/>
      <c r="BC43" s="345" cm="1">
        <f t="array" ref="BC43">IF(BM43&gt;=1,0,IFERROR(SUMPRODUCT(($G$11:$AH$11=$BC$16)*($G43:$AH43)),0))</f>
        <v>0</v>
      </c>
      <c r="BD43" s="345" cm="1">
        <f t="array" ref="BD43">IF(BM43&gt;=1,0,IFERROR(SUMPRODUCT(($G$11:$AH$11=$BD$16)*($G43:$AH43)),0))</f>
        <v>0</v>
      </c>
      <c r="BE43" s="345" cm="1">
        <f t="array" ref="BE43">IF(BM43&gt;=1,0,IFERROR(SUMPRODUCT(($G$11:$AH$11=$BE$16)*($G43:$AH43)),0))</f>
        <v>0</v>
      </c>
      <c r="BF43" s="345" cm="1">
        <f t="array" ref="BF43">IF(BM43&gt;=1,0,IFERROR(SUMPRODUCT(($G$11:$AH$11=$BF$16)*($G43:$AH43)),0))</f>
        <v>0</v>
      </c>
      <c r="BG43" s="345" cm="1">
        <f t="array" ref="BG43">IF(BM43&gt;=1,0,IFERROR(SUMPRODUCT(($G$11:$AH$11=$BG$16)*($G43:$AH43)),0))</f>
        <v>0</v>
      </c>
      <c r="BH43" s="345"/>
      <c r="BI43" s="343">
        <f t="shared" si="35"/>
        <v>0</v>
      </c>
      <c r="BJ43" s="229" t="s">
        <v>83</v>
      </c>
      <c r="BK43" cm="1">
        <f t="array" ref="BK43">(SUMPRODUCT(('Cashflow Summary C19RM'!$D$5:$D$451=E43)*('Cashflow Summary C19RM'!$BD$5:$BD$451)))</f>
        <v>0</v>
      </c>
      <c r="BL43" cm="1">
        <f t="array" ref="BL43">(SUMPRODUCT((SETUP!$D$20:$D$67=E43)*(SETUP!$R$20:$R$67)))</f>
        <v>0</v>
      </c>
      <c r="BM43" s="89">
        <f t="shared" si="33"/>
        <v>0</v>
      </c>
    </row>
    <row r="44" spans="1:65" s="89" customFormat="1" ht="15" customHeight="1" thickBot="1" x14ac:dyDescent="0.4">
      <c r="A44" s="89" t="s">
        <v>216</v>
      </c>
      <c r="B44" s="211" t="s">
        <v>696</v>
      </c>
      <c r="C44" s="699" t="s">
        <v>2750</v>
      </c>
      <c r="D44" s="1314"/>
      <c r="E44" s="1010" t="s">
        <v>21</v>
      </c>
      <c r="F44" s="697">
        <v>0</v>
      </c>
      <c r="G44" s="628" cm="1">
        <f t="array" ref="G44">$F44*(SUMPRODUCT(('Cashflow Summary C19RM'!$K$5:$K$239&lt;&gt;1)*('Cashflow Summary C19RM'!$D$5:$D$239=E44)*('Cashflow Summary C19RM'!$R$5:$R$239)))</f>
        <v>0</v>
      </c>
      <c r="H44" s="629" cm="1">
        <f t="array" ref="H44">$F44*(SUMPRODUCT(('Cashflow Summary C19RM'!$K$5:$K$239&lt;&gt;1)*('Cashflow Summary C19RM'!$D$5:$D$239=E44)*('Cashflow Summary C19RM'!$S$5:$S$239)))</f>
        <v>0</v>
      </c>
      <c r="I44" s="630" cm="1">
        <f t="array" ref="I44">$F44*(SUMPRODUCT(('Cashflow Summary C19RM'!$K$5:$K$239&lt;&gt;1)*('Cashflow Summary C19RM'!$D$5:$D$239=E44)*('Cashflow Summary C19RM'!$T$5:$T$239)))</f>
        <v>0</v>
      </c>
      <c r="J44" s="630" cm="1">
        <f t="array" ref="J44">$F44*(SUMPRODUCT(('Cashflow Summary C19RM'!$K$5:$K$239&lt;&gt;1)*('Cashflow Summary C19RM'!$D$5:$D$239=E44)*('Cashflow Summary C19RM'!$U$5:$U$239)))</f>
        <v>0</v>
      </c>
      <c r="K44" s="631">
        <f t="shared" si="19"/>
        <v>0</v>
      </c>
      <c r="L44" s="686">
        <f t="shared" si="20"/>
        <v>0</v>
      </c>
      <c r="M44" s="630" cm="1">
        <f t="array" ref="M44">$L44*(SUMPRODUCT(('Cashflow Summary C19RM'!$K$5:$K$239&lt;&gt;1)*('Cashflow Summary C19RM'!$D$5:$D$239=E44)*('Cashflow Summary C19RM'!$V$5:$V$239)))</f>
        <v>0</v>
      </c>
      <c r="N44" s="630" cm="1">
        <f t="array" ref="N44">$L44*(SUMPRODUCT(('Cashflow Summary C19RM'!$K$5:$K$239&lt;&gt;1)*('Cashflow Summary C19RM'!$D$5:$D$239=E44)*('Cashflow Summary C19RM'!$W$5:$W$239)))</f>
        <v>0</v>
      </c>
      <c r="O44" s="630" cm="1">
        <f t="array" ref="O44">$L44*(SUMPRODUCT(('Cashflow Summary C19RM'!$K$5:$K$239&lt;&gt;1)*('Cashflow Summary C19RM'!$D$5:$D$239=E44)*('Cashflow Summary C19RM'!$X$5:$X$239)))</f>
        <v>0</v>
      </c>
      <c r="P44" s="630" cm="1">
        <f t="array" ref="P44">$L44*(SUMPRODUCT(('Cashflow Summary C19RM'!$K$5:$K$239&lt;&gt;1)*('Cashflow Summary C19RM'!$D$5:$D$239=E44)*('Cashflow Summary C19RM'!$Y$5:$Y$239)))</f>
        <v>0</v>
      </c>
      <c r="Q44" s="632">
        <f t="shared" si="21"/>
        <v>0</v>
      </c>
      <c r="R44" s="686">
        <f t="shared" si="22"/>
        <v>0</v>
      </c>
      <c r="S44" s="633" cm="1">
        <f t="array" ref="S44">$R44*(SUMPRODUCT(('Cashflow Summary C19RM'!$K$5:$K$239&lt;&gt;1)*('Cashflow Summary C19RM'!$D$5:$D$239=E44)*('Cashflow Summary C19RM'!$Z$5:$Z$239)))</f>
        <v>0</v>
      </c>
      <c r="T44" s="633" cm="1">
        <f t="array" ref="T44">$R44*(SUMPRODUCT(('Cashflow Summary C19RM'!$K$5:$K$239&lt;&gt;1)*('Cashflow Summary C19RM'!$D$5:$D$239=E44)*('Cashflow Summary C19RM'!$AA$5:$AA$239)))</f>
        <v>0</v>
      </c>
      <c r="U44" s="633" cm="1">
        <f t="array" ref="U44">$R44*(SUMPRODUCT(('Cashflow Summary C19RM'!$K$5:$K$239&lt;&gt;1)*('Cashflow Summary C19RM'!$D$5:$D$239=E44)*('Cashflow Summary C19RM'!$AB$5:$AB$239)))</f>
        <v>0</v>
      </c>
      <c r="V44" s="633" cm="1">
        <f t="array" ref="V44">$R44*(SUMPRODUCT(('Cashflow Summary C19RM'!$K$5:$K$239&lt;&gt;1)*('Cashflow Summary C19RM'!$D$5:$D$239=E44)*('Cashflow Summary C19RM'!$AC$5:$AC$239)))</f>
        <v>0</v>
      </c>
      <c r="W44" s="634">
        <f t="shared" si="23"/>
        <v>0</v>
      </c>
      <c r="X44" s="686">
        <f t="shared" si="24"/>
        <v>0</v>
      </c>
      <c r="Y44" s="633" cm="1">
        <f t="array" ref="Y44">$X44*(SUMPRODUCT(('Cashflow Summary C19RM'!$K$5:$K$239&lt;&gt;1)*('Cashflow Summary C19RM'!$D$5:$D$239=E44)*('Cashflow Summary C19RM'!$AD$5:$AD$239)))</f>
        <v>0</v>
      </c>
      <c r="Z44" s="633" cm="1">
        <f t="array" ref="Z44">$X44*(SUMPRODUCT(('Cashflow Summary C19RM'!$K$5:$K$239&lt;&gt;1)*('Cashflow Summary C19RM'!$D$5:$D$239=E44)*('Cashflow Summary C19RM'!$AE$5:$AE$239)))</f>
        <v>0</v>
      </c>
      <c r="AA44" s="633" cm="1">
        <f t="array" ref="AA44">$X44*(SUMPRODUCT(('Cashflow Summary C19RM'!$K$5:$K$239&lt;&gt;1)*('Cashflow Summary C19RM'!$D$5:$D$239=E44)*('Cashflow Summary C19RM'!$AF$5:$AF$239)))</f>
        <v>0</v>
      </c>
      <c r="AB44" s="630" cm="1">
        <f t="array" ref="AB44">$X44*(SUMPRODUCT(('Cashflow Summary C19RM'!$K$5:$K$239&lt;&gt;1)*('Cashflow Summary C19RM'!$D$5:$D$239=E44)*('Cashflow Summary C19RM'!$AG$5:$AG$239)))</f>
        <v>0</v>
      </c>
      <c r="AC44" s="634">
        <f t="shared" si="25"/>
        <v>0</v>
      </c>
      <c r="AD44" s="686">
        <f t="shared" si="26"/>
        <v>0</v>
      </c>
      <c r="AE44" s="628" cm="1">
        <f t="array" ref="AE44">$AD44*(SUMPRODUCT(('Cashflow Summary C19RM'!$K$5:$K$239&lt;&gt;1)*('Cashflow Summary C19RM'!$D$5:$D$239=E44)*('Cashflow Summary C19RM'!$AH$5:$AH$239)))</f>
        <v>0</v>
      </c>
      <c r="AF44" s="633" cm="1">
        <f t="array" ref="AF44">$AD44*(SUMPRODUCT(('Cashflow Summary C19RM'!$K$5:$K$239&lt;&gt;1)*('Cashflow Summary C19RM'!$D$5:$D$239=E44)*('Cashflow Summary C19RM'!$AI$5:$AI$239)))</f>
        <v>0</v>
      </c>
      <c r="AG44" s="633" cm="1">
        <f t="array" ref="AG44">$AD44*(SUMPRODUCT(('Cashflow Summary C19RM'!$K$5:$K$239&lt;&gt;1)*('Cashflow Summary C19RM'!$D$5:$D$239=E44)*('Cashflow Summary C19RM'!$AJ$5:$AJ$239)))</f>
        <v>0</v>
      </c>
      <c r="AH44" s="633" cm="1">
        <f t="array" ref="AH44">$AD44*(SUMPRODUCT(('Cashflow Summary C19RM'!$K$5:$K$239&lt;&gt;1)*('Cashflow Summary C19RM'!$D$5:$D$239=E44)*('Cashflow Summary C19RM'!$AK$5:$AO$239)))</f>
        <v>0</v>
      </c>
      <c r="AI44" s="631">
        <f t="shared" si="27"/>
        <v>0</v>
      </c>
      <c r="AJ44" s="875">
        <v>0</v>
      </c>
      <c r="AK44" s="858"/>
      <c r="AL44" s="859"/>
      <c r="AM44" s="859"/>
      <c r="AN44" s="859"/>
      <c r="AO44" s="860"/>
      <c r="AP44" s="635">
        <f t="shared" si="34"/>
        <v>0</v>
      </c>
      <c r="AQ44" s="636">
        <v>7.2</v>
      </c>
      <c r="AR44" s="707"/>
      <c r="AS44" s="310"/>
      <c r="AV44" s="228">
        <f t="shared" si="28"/>
        <v>0</v>
      </c>
      <c r="AW44" s="228">
        <f t="shared" si="29"/>
        <v>0</v>
      </c>
      <c r="AX44" s="228">
        <f t="shared" si="30"/>
        <v>0</v>
      </c>
      <c r="AY44" s="228">
        <f t="shared" si="31"/>
        <v>0</v>
      </c>
      <c r="AZ44" s="228">
        <f t="shared" si="32"/>
        <v>0</v>
      </c>
      <c r="BA44" s="228"/>
      <c r="BC44" s="345" cm="1">
        <f t="array" ref="BC44">IF(BM44&gt;=1,0,IFERROR(SUMPRODUCT(($G$11:$AH$11=$BC$16)*($G44:$AH44)),0))</f>
        <v>0</v>
      </c>
      <c r="BD44" s="345" cm="1">
        <f t="array" ref="BD44">IF(BM44&gt;=1,0,IFERROR(SUMPRODUCT(($G$11:$AH$11=$BD$16)*($G44:$AH44)),0))</f>
        <v>0</v>
      </c>
      <c r="BE44" s="345" cm="1">
        <f t="array" ref="BE44">IF(BM44&gt;=1,0,IFERROR(SUMPRODUCT(($G$11:$AH$11=$BE$16)*($G44:$AH44)),0))</f>
        <v>0</v>
      </c>
      <c r="BF44" s="345" cm="1">
        <f t="array" ref="BF44">IF(BM44&gt;=1,0,IFERROR(SUMPRODUCT(($G$11:$AH$11=$BF$16)*($G44:$AH44)),0))</f>
        <v>0</v>
      </c>
      <c r="BG44" s="345" cm="1">
        <f t="array" ref="BG44">IF(BM44&gt;=1,0,IFERROR(SUMPRODUCT(($G$11:$AH$11=$BG$16)*($G44:$AH44)),0))</f>
        <v>0</v>
      </c>
      <c r="BH44" s="345"/>
      <c r="BI44" s="343">
        <f t="shared" si="35"/>
        <v>0</v>
      </c>
      <c r="BJ44" s="229" t="s">
        <v>83</v>
      </c>
      <c r="BK44" cm="1">
        <f t="array" ref="BK44">(SUMPRODUCT(('Cashflow Summary C19RM'!$D$5:$D$451=E44)*('Cashflow Summary C19RM'!$BD$5:$BD$451)))</f>
        <v>0</v>
      </c>
      <c r="BL44" cm="1">
        <f t="array" ref="BL44">(SUMPRODUCT((SETUP!$D$20:$D$67=E44)*(SETUP!$R$20:$R$67)))</f>
        <v>0</v>
      </c>
      <c r="BM44" s="89">
        <f t="shared" si="33"/>
        <v>0</v>
      </c>
    </row>
    <row r="45" spans="1:65" s="89" customFormat="1" ht="15" customHeight="1" thickBot="1" x14ac:dyDescent="0.4">
      <c r="A45" s="89" t="s">
        <v>216</v>
      </c>
      <c r="B45" s="211" t="s">
        <v>696</v>
      </c>
      <c r="C45" s="699" t="s">
        <v>2750</v>
      </c>
      <c r="D45" s="1314"/>
      <c r="E45" s="1010" t="s">
        <v>23</v>
      </c>
      <c r="F45" s="697">
        <v>0</v>
      </c>
      <c r="G45" s="628" cm="1">
        <f t="array" ref="G45">$F45*(SUMPRODUCT(('Cashflow Summary C19RM'!$K$5:$K$239&lt;&gt;1)*('Cashflow Summary C19RM'!$D$5:$D$239=E45)*('Cashflow Summary C19RM'!$R$5:$R$239)))</f>
        <v>0</v>
      </c>
      <c r="H45" s="629" cm="1">
        <f t="array" ref="H45">$F45*(SUMPRODUCT(('Cashflow Summary C19RM'!$K$5:$K$239&lt;&gt;1)*('Cashflow Summary C19RM'!$D$5:$D$239=E45)*('Cashflow Summary C19RM'!$S$5:$S$239)))</f>
        <v>0</v>
      </c>
      <c r="I45" s="630" cm="1">
        <f t="array" ref="I45">$F45*(SUMPRODUCT(('Cashflow Summary C19RM'!$K$5:$K$239&lt;&gt;1)*('Cashflow Summary C19RM'!$D$5:$D$239=E45)*('Cashflow Summary C19RM'!$T$5:$T$239)))</f>
        <v>0</v>
      </c>
      <c r="J45" s="630" cm="1">
        <f t="array" ref="J45">$F45*(SUMPRODUCT(('Cashflow Summary C19RM'!$K$5:$K$239&lt;&gt;1)*('Cashflow Summary C19RM'!$D$5:$D$239=E45)*('Cashflow Summary C19RM'!$U$5:$U$239)))</f>
        <v>0</v>
      </c>
      <c r="K45" s="631">
        <f t="shared" si="19"/>
        <v>0</v>
      </c>
      <c r="L45" s="686">
        <f t="shared" si="20"/>
        <v>0</v>
      </c>
      <c r="M45" s="630" cm="1">
        <f t="array" ref="M45">$L45*(SUMPRODUCT(('Cashflow Summary C19RM'!$K$5:$K$239&lt;&gt;1)*('Cashflow Summary C19RM'!$D$5:$D$239=E45)*('Cashflow Summary C19RM'!$V$5:$V$239)))</f>
        <v>0</v>
      </c>
      <c r="N45" s="630" cm="1">
        <f t="array" ref="N45">$L45*(SUMPRODUCT(('Cashflow Summary C19RM'!$K$5:$K$239&lt;&gt;1)*('Cashflow Summary C19RM'!$D$5:$D$239=E45)*('Cashflow Summary C19RM'!$W$5:$W$239)))</f>
        <v>0</v>
      </c>
      <c r="O45" s="630" cm="1">
        <f t="array" ref="O45">$L45*(SUMPRODUCT(('Cashflow Summary C19RM'!$K$5:$K$239&lt;&gt;1)*('Cashflow Summary C19RM'!$D$5:$D$239=E45)*('Cashflow Summary C19RM'!$X$5:$X$239)))</f>
        <v>0</v>
      </c>
      <c r="P45" s="630" cm="1">
        <f t="array" ref="P45">$L45*(SUMPRODUCT(('Cashflow Summary C19RM'!$K$5:$K$239&lt;&gt;1)*('Cashflow Summary C19RM'!$D$5:$D$239=E45)*('Cashflow Summary C19RM'!$Y$5:$Y$239)))</f>
        <v>0</v>
      </c>
      <c r="Q45" s="632">
        <f t="shared" si="21"/>
        <v>0</v>
      </c>
      <c r="R45" s="686">
        <f t="shared" si="22"/>
        <v>0</v>
      </c>
      <c r="S45" s="633" cm="1">
        <f t="array" ref="S45">$R45*(SUMPRODUCT(('Cashflow Summary C19RM'!$K$5:$K$239&lt;&gt;1)*('Cashflow Summary C19RM'!$D$5:$D$239=E45)*('Cashflow Summary C19RM'!$Z$5:$Z$239)))</f>
        <v>0</v>
      </c>
      <c r="T45" s="633" cm="1">
        <f t="array" ref="T45">$R45*(SUMPRODUCT(('Cashflow Summary C19RM'!$K$5:$K$239&lt;&gt;1)*('Cashflow Summary C19RM'!$D$5:$D$239=E45)*('Cashflow Summary C19RM'!$AA$5:$AA$239)))</f>
        <v>0</v>
      </c>
      <c r="U45" s="633" cm="1">
        <f t="array" ref="U45">$R45*(SUMPRODUCT(('Cashflow Summary C19RM'!$K$5:$K$239&lt;&gt;1)*('Cashflow Summary C19RM'!$D$5:$D$239=E45)*('Cashflow Summary C19RM'!$AB$5:$AB$239)))</f>
        <v>0</v>
      </c>
      <c r="V45" s="633" cm="1">
        <f t="array" ref="V45">$R45*(SUMPRODUCT(('Cashflow Summary C19RM'!$K$5:$K$239&lt;&gt;1)*('Cashflow Summary C19RM'!$D$5:$D$239=E45)*('Cashflow Summary C19RM'!$AC$5:$AC$239)))</f>
        <v>0</v>
      </c>
      <c r="W45" s="634">
        <f t="shared" si="23"/>
        <v>0</v>
      </c>
      <c r="X45" s="686">
        <f t="shared" si="24"/>
        <v>0</v>
      </c>
      <c r="Y45" s="633" cm="1">
        <f t="array" ref="Y45">$X45*(SUMPRODUCT(('Cashflow Summary C19RM'!$K$5:$K$239&lt;&gt;1)*('Cashflow Summary C19RM'!$D$5:$D$239=E45)*('Cashflow Summary C19RM'!$AD$5:$AD$239)))</f>
        <v>0</v>
      </c>
      <c r="Z45" s="633" cm="1">
        <f t="array" ref="Z45">$X45*(SUMPRODUCT(('Cashflow Summary C19RM'!$K$5:$K$239&lt;&gt;1)*('Cashflow Summary C19RM'!$D$5:$D$239=E45)*('Cashflow Summary C19RM'!$AE$5:$AE$239)))</f>
        <v>0</v>
      </c>
      <c r="AA45" s="633" cm="1">
        <f t="array" ref="AA45">$X45*(SUMPRODUCT(('Cashflow Summary C19RM'!$K$5:$K$239&lt;&gt;1)*('Cashflow Summary C19RM'!$D$5:$D$239=E45)*('Cashflow Summary C19RM'!$AF$5:$AF$239)))</f>
        <v>0</v>
      </c>
      <c r="AB45" s="630" cm="1">
        <f t="array" ref="AB45">$X45*(SUMPRODUCT(('Cashflow Summary C19RM'!$K$5:$K$239&lt;&gt;1)*('Cashflow Summary C19RM'!$D$5:$D$239=E45)*('Cashflow Summary C19RM'!$AG$5:$AG$239)))</f>
        <v>0</v>
      </c>
      <c r="AC45" s="634">
        <f t="shared" si="25"/>
        <v>0</v>
      </c>
      <c r="AD45" s="686">
        <f t="shared" si="26"/>
        <v>0</v>
      </c>
      <c r="AE45" s="628" cm="1">
        <f t="array" ref="AE45">$AD45*(SUMPRODUCT(('Cashflow Summary C19RM'!$K$5:$K$239&lt;&gt;1)*('Cashflow Summary C19RM'!$D$5:$D$239=E45)*('Cashflow Summary C19RM'!$AH$5:$AH$239)))</f>
        <v>0</v>
      </c>
      <c r="AF45" s="633" cm="1">
        <f t="array" ref="AF45">$AD45*(SUMPRODUCT(('Cashflow Summary C19RM'!$K$5:$K$239&lt;&gt;1)*('Cashflow Summary C19RM'!$D$5:$D$239=E45)*('Cashflow Summary C19RM'!$AI$5:$AI$239)))</f>
        <v>0</v>
      </c>
      <c r="AG45" s="633" cm="1">
        <f t="array" ref="AG45">$AD45*(SUMPRODUCT(('Cashflow Summary C19RM'!$K$5:$K$239&lt;&gt;1)*('Cashflow Summary C19RM'!$D$5:$D$239=E45)*('Cashflow Summary C19RM'!$AJ$5:$AJ$239)))</f>
        <v>0</v>
      </c>
      <c r="AH45" s="633" cm="1">
        <f t="array" ref="AH45">$AD45*(SUMPRODUCT(('Cashflow Summary C19RM'!$K$5:$K$239&lt;&gt;1)*('Cashflow Summary C19RM'!$D$5:$D$239=E45)*('Cashflow Summary C19RM'!$AK$5:$AO$239)))</f>
        <v>0</v>
      </c>
      <c r="AI45" s="631">
        <f t="shared" si="27"/>
        <v>0</v>
      </c>
      <c r="AJ45" s="875">
        <v>0</v>
      </c>
      <c r="AK45" s="858"/>
      <c r="AL45" s="859"/>
      <c r="AM45" s="859"/>
      <c r="AN45" s="859"/>
      <c r="AO45" s="860"/>
      <c r="AP45" s="635">
        <f t="shared" si="34"/>
        <v>0</v>
      </c>
      <c r="AQ45" s="636">
        <v>7.2</v>
      </c>
      <c r="AR45" s="707"/>
      <c r="AS45" s="310"/>
      <c r="AV45" s="228">
        <f t="shared" si="28"/>
        <v>0</v>
      </c>
      <c r="AW45" s="228">
        <f t="shared" si="29"/>
        <v>0</v>
      </c>
      <c r="AX45" s="228">
        <f t="shared" si="30"/>
        <v>0</v>
      </c>
      <c r="AY45" s="228">
        <f t="shared" si="31"/>
        <v>0</v>
      </c>
      <c r="AZ45" s="228">
        <f t="shared" si="32"/>
        <v>0</v>
      </c>
      <c r="BA45" s="228"/>
      <c r="BC45" s="345" cm="1">
        <f t="array" ref="BC45">IF(BM45&gt;=1,0,IFERROR(SUMPRODUCT(($G$11:$AH$11=$BC$16)*($G45:$AH45)),0))</f>
        <v>0</v>
      </c>
      <c r="BD45" s="345" cm="1">
        <f t="array" ref="BD45">IF(BM45&gt;=1,0,IFERROR(SUMPRODUCT(($G$11:$AH$11=$BD$16)*($G45:$AH45)),0))</f>
        <v>0</v>
      </c>
      <c r="BE45" s="345" cm="1">
        <f t="array" ref="BE45">IF(BM45&gt;=1,0,IFERROR(SUMPRODUCT(($G$11:$AH$11=$BE$16)*($G45:$AH45)),0))</f>
        <v>0</v>
      </c>
      <c r="BF45" s="345" cm="1">
        <f t="array" ref="BF45">IF(BM45&gt;=1,0,IFERROR(SUMPRODUCT(($G$11:$AH$11=$BF$16)*($G45:$AH45)),0))</f>
        <v>0</v>
      </c>
      <c r="BG45" s="345" cm="1">
        <f t="array" ref="BG45">IF(BM45&gt;=1,0,IFERROR(SUMPRODUCT(($G$11:$AH$11=$BG$16)*($G45:$AH45)),0))</f>
        <v>0</v>
      </c>
      <c r="BH45" s="345"/>
      <c r="BI45" s="343">
        <f t="shared" si="35"/>
        <v>0</v>
      </c>
      <c r="BJ45" s="229" t="s">
        <v>83</v>
      </c>
      <c r="BK45" cm="1">
        <f t="array" ref="BK45">(SUMPRODUCT(('Cashflow Summary C19RM'!$D$5:$D$451=E45)*('Cashflow Summary C19RM'!$BD$5:$BD$451)))</f>
        <v>0</v>
      </c>
      <c r="BL45" cm="1">
        <f t="array" ref="BL45">(SUMPRODUCT((SETUP!$D$20:$D$67=E45)*(SETUP!$R$20:$R$67)))</f>
        <v>0</v>
      </c>
      <c r="BM45" s="89">
        <f t="shared" si="33"/>
        <v>0</v>
      </c>
    </row>
    <row r="46" spans="1:65" s="89" customFormat="1" ht="15" customHeight="1" thickBot="1" x14ac:dyDescent="0.4">
      <c r="A46" s="89" t="s">
        <v>216</v>
      </c>
      <c r="B46" s="211" t="s">
        <v>696</v>
      </c>
      <c r="C46" s="699" t="s">
        <v>2750</v>
      </c>
      <c r="D46" s="1314"/>
      <c r="E46" s="1010" t="s">
        <v>22</v>
      </c>
      <c r="F46" s="697">
        <v>0</v>
      </c>
      <c r="G46" s="628" cm="1">
        <f t="array" ref="G46">$F46*(SUMPRODUCT(('Cashflow Summary C19RM'!$K$5:$K$239&lt;&gt;1)*('Cashflow Summary C19RM'!$D$5:$D$239=E46)*('Cashflow Summary C19RM'!$R$5:$R$239)))</f>
        <v>0</v>
      </c>
      <c r="H46" s="629" cm="1">
        <f t="array" ref="H46">$F46*(SUMPRODUCT(('Cashflow Summary C19RM'!$K$5:$K$239&lt;&gt;1)*('Cashflow Summary C19RM'!$D$5:$D$239=E46)*('Cashflow Summary C19RM'!$S$5:$S$239)))</f>
        <v>0</v>
      </c>
      <c r="I46" s="630" cm="1">
        <f t="array" ref="I46">$F46*(SUMPRODUCT(('Cashflow Summary C19RM'!$K$5:$K$239&lt;&gt;1)*('Cashflow Summary C19RM'!$D$5:$D$239=E46)*('Cashflow Summary C19RM'!$T$5:$T$239)))</f>
        <v>0</v>
      </c>
      <c r="J46" s="630" cm="1">
        <f t="array" ref="J46">$F46*(SUMPRODUCT(('Cashflow Summary C19RM'!$K$5:$K$239&lt;&gt;1)*('Cashflow Summary C19RM'!$D$5:$D$239=E46)*('Cashflow Summary C19RM'!$U$5:$U$239)))</f>
        <v>0</v>
      </c>
      <c r="K46" s="631">
        <f t="shared" si="19"/>
        <v>0</v>
      </c>
      <c r="L46" s="686">
        <f t="shared" si="20"/>
        <v>0</v>
      </c>
      <c r="M46" s="630" cm="1">
        <f t="array" ref="M46">$L46*(SUMPRODUCT(('Cashflow Summary C19RM'!$K$5:$K$239&lt;&gt;1)*('Cashflow Summary C19RM'!$D$5:$D$239=E46)*('Cashflow Summary C19RM'!$V$5:$V$239)))</f>
        <v>0</v>
      </c>
      <c r="N46" s="630" cm="1">
        <f t="array" ref="N46">$L46*(SUMPRODUCT(('Cashflow Summary C19RM'!$K$5:$K$239&lt;&gt;1)*('Cashflow Summary C19RM'!$D$5:$D$239=E46)*('Cashflow Summary C19RM'!$W$5:$W$239)))</f>
        <v>0</v>
      </c>
      <c r="O46" s="630" cm="1">
        <f t="array" ref="O46">$L46*(SUMPRODUCT(('Cashflow Summary C19RM'!$K$5:$K$239&lt;&gt;1)*('Cashflow Summary C19RM'!$D$5:$D$239=E46)*('Cashflow Summary C19RM'!$X$5:$X$239)))</f>
        <v>0</v>
      </c>
      <c r="P46" s="630" cm="1">
        <f t="array" ref="P46">$L46*(SUMPRODUCT(('Cashflow Summary C19RM'!$K$5:$K$239&lt;&gt;1)*('Cashflow Summary C19RM'!$D$5:$D$239=E46)*('Cashflow Summary C19RM'!$Y$5:$Y$239)))</f>
        <v>0</v>
      </c>
      <c r="Q46" s="632">
        <f t="shared" si="21"/>
        <v>0</v>
      </c>
      <c r="R46" s="686">
        <f t="shared" si="22"/>
        <v>0</v>
      </c>
      <c r="S46" s="633" cm="1">
        <f t="array" ref="S46">$R46*(SUMPRODUCT(('Cashflow Summary C19RM'!$K$5:$K$239&lt;&gt;1)*('Cashflow Summary C19RM'!$D$5:$D$239=E46)*('Cashflow Summary C19RM'!$Z$5:$Z$239)))</f>
        <v>0</v>
      </c>
      <c r="T46" s="633" cm="1">
        <f t="array" ref="T46">$R46*(SUMPRODUCT(('Cashflow Summary C19RM'!$K$5:$K$239&lt;&gt;1)*('Cashflow Summary C19RM'!$D$5:$D$239=E46)*('Cashflow Summary C19RM'!$AA$5:$AA$239)))</f>
        <v>0</v>
      </c>
      <c r="U46" s="633" cm="1">
        <f t="array" ref="U46">$R46*(SUMPRODUCT(('Cashflow Summary C19RM'!$K$5:$K$239&lt;&gt;1)*('Cashflow Summary C19RM'!$D$5:$D$239=E46)*('Cashflow Summary C19RM'!$AB$5:$AB$239)))</f>
        <v>0</v>
      </c>
      <c r="V46" s="633" cm="1">
        <f t="array" ref="V46">$R46*(SUMPRODUCT(('Cashflow Summary C19RM'!$K$5:$K$239&lt;&gt;1)*('Cashflow Summary C19RM'!$D$5:$D$239=E46)*('Cashflow Summary C19RM'!$AC$5:$AC$239)))</f>
        <v>0</v>
      </c>
      <c r="W46" s="634">
        <f t="shared" si="23"/>
        <v>0</v>
      </c>
      <c r="X46" s="686">
        <f t="shared" si="24"/>
        <v>0</v>
      </c>
      <c r="Y46" s="633" cm="1">
        <f t="array" ref="Y46">$X46*(SUMPRODUCT(('Cashflow Summary C19RM'!$K$5:$K$239&lt;&gt;1)*('Cashflow Summary C19RM'!$D$5:$D$239=E46)*('Cashflow Summary C19RM'!$AD$5:$AD$239)))</f>
        <v>0</v>
      </c>
      <c r="Z46" s="633" cm="1">
        <f t="array" ref="Z46">$X46*(SUMPRODUCT(('Cashflow Summary C19RM'!$K$5:$K$239&lt;&gt;1)*('Cashflow Summary C19RM'!$D$5:$D$239=E46)*('Cashflow Summary C19RM'!$AE$5:$AE$239)))</f>
        <v>0</v>
      </c>
      <c r="AA46" s="633" cm="1">
        <f t="array" ref="AA46">$X46*(SUMPRODUCT(('Cashflow Summary C19RM'!$K$5:$K$239&lt;&gt;1)*('Cashflow Summary C19RM'!$D$5:$D$239=E46)*('Cashflow Summary C19RM'!$AF$5:$AF$239)))</f>
        <v>0</v>
      </c>
      <c r="AB46" s="630" cm="1">
        <f t="array" ref="AB46">$X46*(SUMPRODUCT(('Cashflow Summary C19RM'!$K$5:$K$239&lt;&gt;1)*('Cashflow Summary C19RM'!$D$5:$D$239=E46)*('Cashflow Summary C19RM'!$AG$5:$AG$239)))</f>
        <v>0</v>
      </c>
      <c r="AC46" s="634">
        <f t="shared" si="25"/>
        <v>0</v>
      </c>
      <c r="AD46" s="686">
        <f t="shared" si="26"/>
        <v>0</v>
      </c>
      <c r="AE46" s="628" cm="1">
        <f t="array" ref="AE46">$AD46*(SUMPRODUCT(('Cashflow Summary C19RM'!$K$5:$K$239&lt;&gt;1)*('Cashflow Summary C19RM'!$D$5:$D$239=E46)*('Cashflow Summary C19RM'!$AH$5:$AH$239)))</f>
        <v>0</v>
      </c>
      <c r="AF46" s="633" cm="1">
        <f t="array" ref="AF46">$AD46*(SUMPRODUCT(('Cashflow Summary C19RM'!$K$5:$K$239&lt;&gt;1)*('Cashflow Summary C19RM'!$D$5:$D$239=E46)*('Cashflow Summary C19RM'!$AI$5:$AI$239)))</f>
        <v>0</v>
      </c>
      <c r="AG46" s="633" cm="1">
        <f t="array" ref="AG46">$AD46*(SUMPRODUCT(('Cashflow Summary C19RM'!$K$5:$K$239&lt;&gt;1)*('Cashflow Summary C19RM'!$D$5:$D$239=E46)*('Cashflow Summary C19RM'!$AJ$5:$AJ$239)))</f>
        <v>0</v>
      </c>
      <c r="AH46" s="633" cm="1">
        <f t="array" ref="AH46">$AD46*(SUMPRODUCT(('Cashflow Summary C19RM'!$K$5:$K$239&lt;&gt;1)*('Cashflow Summary C19RM'!$D$5:$D$239=E46)*('Cashflow Summary C19RM'!$AK$5:$AO$239)))</f>
        <v>0</v>
      </c>
      <c r="AI46" s="631">
        <f t="shared" si="27"/>
        <v>0</v>
      </c>
      <c r="AJ46" s="875">
        <v>0</v>
      </c>
      <c r="AK46" s="858"/>
      <c r="AL46" s="859"/>
      <c r="AM46" s="859"/>
      <c r="AN46" s="859"/>
      <c r="AO46" s="860"/>
      <c r="AP46" s="635">
        <f t="shared" si="34"/>
        <v>0</v>
      </c>
      <c r="AQ46" s="636">
        <v>7.2</v>
      </c>
      <c r="AR46" s="707"/>
      <c r="AS46" s="310"/>
      <c r="AV46" s="228">
        <f t="shared" si="28"/>
        <v>0</v>
      </c>
      <c r="AW46" s="228">
        <f t="shared" si="29"/>
        <v>0</v>
      </c>
      <c r="AX46" s="228">
        <f t="shared" si="30"/>
        <v>0</v>
      </c>
      <c r="AY46" s="228">
        <f t="shared" si="31"/>
        <v>0</v>
      </c>
      <c r="AZ46" s="228">
        <f t="shared" si="32"/>
        <v>0</v>
      </c>
      <c r="BA46" s="228"/>
      <c r="BC46" s="345" cm="1">
        <f t="array" ref="BC46">IF(BM46&gt;=1,0,IFERROR(SUMPRODUCT(($G$11:$AH$11=$BC$16)*($G46:$AH46)),0))</f>
        <v>0</v>
      </c>
      <c r="BD46" s="345" cm="1">
        <f t="array" ref="BD46">IF(BM46&gt;=1,0,IFERROR(SUMPRODUCT(($G$11:$AH$11=$BD$16)*($G46:$AH46)),0))</f>
        <v>0</v>
      </c>
      <c r="BE46" s="345" cm="1">
        <f t="array" ref="BE46">IF(BM46&gt;=1,0,IFERROR(SUMPRODUCT(($G$11:$AH$11=$BE$16)*($G46:$AH46)),0))</f>
        <v>0</v>
      </c>
      <c r="BF46" s="345" cm="1">
        <f t="array" ref="BF46">IF(BM46&gt;=1,0,IFERROR(SUMPRODUCT(($G$11:$AH$11=$BF$16)*($G46:$AH46)),0))</f>
        <v>0</v>
      </c>
      <c r="BG46" s="345" cm="1">
        <f t="array" ref="BG46">IF(BM46&gt;=1,0,IFERROR(SUMPRODUCT(($G$11:$AH$11=$BG$16)*($G46:$AH46)),0))</f>
        <v>0</v>
      </c>
      <c r="BH46" s="345"/>
      <c r="BI46" s="343">
        <f t="shared" si="35"/>
        <v>0</v>
      </c>
      <c r="BJ46" s="229" t="s">
        <v>83</v>
      </c>
      <c r="BK46" cm="1">
        <f t="array" ref="BK46">(SUMPRODUCT(('Cashflow Summary C19RM'!$D$5:$D$451=E46)*('Cashflow Summary C19RM'!$BD$5:$BD$451)))</f>
        <v>0</v>
      </c>
      <c r="BL46" cm="1">
        <f t="array" ref="BL46">(SUMPRODUCT((SETUP!$D$20:$D$67=E46)*(SETUP!$R$20:$R$67)))</f>
        <v>0</v>
      </c>
      <c r="BM46" s="89">
        <f t="shared" si="33"/>
        <v>0</v>
      </c>
    </row>
    <row r="47" spans="1:65" s="89" customFormat="1" ht="15" customHeight="1" thickBot="1" x14ac:dyDescent="0.4">
      <c r="A47" s="89" t="s">
        <v>216</v>
      </c>
      <c r="B47" s="211" t="s">
        <v>696</v>
      </c>
      <c r="C47" s="699" t="s">
        <v>2750</v>
      </c>
      <c r="D47" s="1314"/>
      <c r="E47" s="1010" t="s">
        <v>25</v>
      </c>
      <c r="F47" s="697">
        <v>0</v>
      </c>
      <c r="G47" s="628" cm="1">
        <f t="array" ref="G47">$F47*(SUMPRODUCT(('Cashflow Summary C19RM'!$K$5:$K$239&lt;&gt;1)*('Cashflow Summary C19RM'!$D$5:$D$239=E47)*('Cashflow Summary C19RM'!$R$5:$R$239)))</f>
        <v>0</v>
      </c>
      <c r="H47" s="629" cm="1">
        <f t="array" ref="H47">$F47*(SUMPRODUCT(('Cashflow Summary C19RM'!$K$5:$K$239&lt;&gt;1)*('Cashflow Summary C19RM'!$D$5:$D$239=E47)*('Cashflow Summary C19RM'!$S$5:$S$239)))</f>
        <v>0</v>
      </c>
      <c r="I47" s="630" cm="1">
        <f t="array" ref="I47">$F47*(SUMPRODUCT(('Cashflow Summary C19RM'!$K$5:$K$239&lt;&gt;1)*('Cashflow Summary C19RM'!$D$5:$D$239=E47)*('Cashflow Summary C19RM'!$T$5:$T$239)))</f>
        <v>0</v>
      </c>
      <c r="J47" s="630" cm="1">
        <f t="array" ref="J47">$F47*(SUMPRODUCT(('Cashflow Summary C19RM'!$K$5:$K$239&lt;&gt;1)*('Cashflow Summary C19RM'!$D$5:$D$239=E47)*('Cashflow Summary C19RM'!$U$5:$U$239)))</f>
        <v>0</v>
      </c>
      <c r="K47" s="631">
        <f t="shared" si="19"/>
        <v>0</v>
      </c>
      <c r="L47" s="686">
        <f t="shared" si="20"/>
        <v>0</v>
      </c>
      <c r="M47" s="630" cm="1">
        <f t="array" ref="M47">$L47*(SUMPRODUCT(('Cashflow Summary C19RM'!$K$5:$K$239&lt;&gt;1)*('Cashflow Summary C19RM'!$D$5:$D$239=E47)*('Cashflow Summary C19RM'!$V$5:$V$239)))</f>
        <v>0</v>
      </c>
      <c r="N47" s="630" cm="1">
        <f t="array" ref="N47">$L47*(SUMPRODUCT(('Cashflow Summary C19RM'!$K$5:$K$239&lt;&gt;1)*('Cashflow Summary C19RM'!$D$5:$D$239=E47)*('Cashflow Summary C19RM'!$W$5:$W$239)))</f>
        <v>0</v>
      </c>
      <c r="O47" s="630" cm="1">
        <f t="array" ref="O47">$L47*(SUMPRODUCT(('Cashflow Summary C19RM'!$K$5:$K$239&lt;&gt;1)*('Cashflow Summary C19RM'!$D$5:$D$239=E47)*('Cashflow Summary C19RM'!$X$5:$X$239)))</f>
        <v>0</v>
      </c>
      <c r="P47" s="630" cm="1">
        <f t="array" ref="P47">$L47*(SUMPRODUCT(('Cashflow Summary C19RM'!$K$5:$K$239&lt;&gt;1)*('Cashflow Summary C19RM'!$D$5:$D$239=E47)*('Cashflow Summary C19RM'!$Y$5:$Y$239)))</f>
        <v>0</v>
      </c>
      <c r="Q47" s="632">
        <f t="shared" si="21"/>
        <v>0</v>
      </c>
      <c r="R47" s="686">
        <f t="shared" si="22"/>
        <v>0</v>
      </c>
      <c r="S47" s="633" cm="1">
        <f t="array" ref="S47">$R47*(SUMPRODUCT(('Cashflow Summary C19RM'!$K$5:$K$239&lt;&gt;1)*('Cashflow Summary C19RM'!$D$5:$D$239=E47)*('Cashflow Summary C19RM'!$Z$5:$Z$239)))</f>
        <v>0</v>
      </c>
      <c r="T47" s="633" cm="1">
        <f t="array" ref="T47">$R47*(SUMPRODUCT(('Cashflow Summary C19RM'!$K$5:$K$239&lt;&gt;1)*('Cashflow Summary C19RM'!$D$5:$D$239=E47)*('Cashflow Summary C19RM'!$AA$5:$AA$239)))</f>
        <v>0</v>
      </c>
      <c r="U47" s="633" cm="1">
        <f t="array" ref="U47">$R47*(SUMPRODUCT(('Cashflow Summary C19RM'!$K$5:$K$239&lt;&gt;1)*('Cashflow Summary C19RM'!$D$5:$D$239=E47)*('Cashflow Summary C19RM'!$AB$5:$AB$239)))</f>
        <v>0</v>
      </c>
      <c r="V47" s="633" cm="1">
        <f t="array" ref="V47">$R47*(SUMPRODUCT(('Cashflow Summary C19RM'!$K$5:$K$239&lt;&gt;1)*('Cashflow Summary C19RM'!$D$5:$D$239=E47)*('Cashflow Summary C19RM'!$AC$5:$AC$239)))</f>
        <v>0</v>
      </c>
      <c r="W47" s="634">
        <f t="shared" si="23"/>
        <v>0</v>
      </c>
      <c r="X47" s="686">
        <f t="shared" si="24"/>
        <v>0</v>
      </c>
      <c r="Y47" s="633" cm="1">
        <f t="array" ref="Y47">$X47*(SUMPRODUCT(('Cashflow Summary C19RM'!$K$5:$K$239&lt;&gt;1)*('Cashflow Summary C19RM'!$D$5:$D$239=E47)*('Cashflow Summary C19RM'!$AD$5:$AD$239)))</f>
        <v>0</v>
      </c>
      <c r="Z47" s="633" cm="1">
        <f t="array" ref="Z47">$X47*(SUMPRODUCT(('Cashflow Summary C19RM'!$K$5:$K$239&lt;&gt;1)*('Cashflow Summary C19RM'!$D$5:$D$239=E47)*('Cashflow Summary C19RM'!$AE$5:$AE$239)))</f>
        <v>0</v>
      </c>
      <c r="AA47" s="633" cm="1">
        <f t="array" ref="AA47">$X47*(SUMPRODUCT(('Cashflow Summary C19RM'!$K$5:$K$239&lt;&gt;1)*('Cashflow Summary C19RM'!$D$5:$D$239=E47)*('Cashflow Summary C19RM'!$AF$5:$AF$239)))</f>
        <v>0</v>
      </c>
      <c r="AB47" s="630" cm="1">
        <f t="array" ref="AB47">$X47*(SUMPRODUCT(('Cashflow Summary C19RM'!$K$5:$K$239&lt;&gt;1)*('Cashflow Summary C19RM'!$D$5:$D$239=E47)*('Cashflow Summary C19RM'!$AG$5:$AG$239)))</f>
        <v>0</v>
      </c>
      <c r="AC47" s="634">
        <f t="shared" si="25"/>
        <v>0</v>
      </c>
      <c r="AD47" s="686">
        <f t="shared" si="26"/>
        <v>0</v>
      </c>
      <c r="AE47" s="628" cm="1">
        <f t="array" ref="AE47">$AD47*(SUMPRODUCT(('Cashflow Summary C19RM'!$K$5:$K$239&lt;&gt;1)*('Cashflow Summary C19RM'!$D$5:$D$239=E47)*('Cashflow Summary C19RM'!$AH$5:$AH$239)))</f>
        <v>0</v>
      </c>
      <c r="AF47" s="633" cm="1">
        <f t="array" ref="AF47">$AD47*(SUMPRODUCT(('Cashflow Summary C19RM'!$K$5:$K$239&lt;&gt;1)*('Cashflow Summary C19RM'!$D$5:$D$239=E47)*('Cashflow Summary C19RM'!$AI$5:$AI$239)))</f>
        <v>0</v>
      </c>
      <c r="AG47" s="633" cm="1">
        <f t="array" ref="AG47">$AD47*(SUMPRODUCT(('Cashflow Summary C19RM'!$K$5:$K$239&lt;&gt;1)*('Cashflow Summary C19RM'!$D$5:$D$239=E47)*('Cashflow Summary C19RM'!$AJ$5:$AJ$239)))</f>
        <v>0</v>
      </c>
      <c r="AH47" s="633" cm="1">
        <f t="array" ref="AH47">$AD47*(SUMPRODUCT(('Cashflow Summary C19RM'!$K$5:$K$239&lt;&gt;1)*('Cashflow Summary C19RM'!$D$5:$D$239=E47)*('Cashflow Summary C19RM'!$AK$5:$AO$239)))</f>
        <v>0</v>
      </c>
      <c r="AI47" s="631">
        <f t="shared" si="27"/>
        <v>0</v>
      </c>
      <c r="AJ47" s="875">
        <v>0</v>
      </c>
      <c r="AK47" s="858"/>
      <c r="AL47" s="859"/>
      <c r="AM47" s="859"/>
      <c r="AN47" s="859"/>
      <c r="AO47" s="860"/>
      <c r="AP47" s="635">
        <f t="shared" si="34"/>
        <v>0</v>
      </c>
      <c r="AQ47" s="636">
        <v>7.2</v>
      </c>
      <c r="AR47" s="707"/>
      <c r="AS47" s="310"/>
      <c r="AV47" s="228">
        <f t="shared" si="28"/>
        <v>0</v>
      </c>
      <c r="AW47" s="228">
        <f t="shared" si="29"/>
        <v>0</v>
      </c>
      <c r="AX47" s="228">
        <f t="shared" si="30"/>
        <v>0</v>
      </c>
      <c r="AY47" s="228">
        <f t="shared" si="31"/>
        <v>0</v>
      </c>
      <c r="AZ47" s="228">
        <f t="shared" si="32"/>
        <v>0</v>
      </c>
      <c r="BA47" s="228"/>
      <c r="BC47" s="345" cm="1">
        <f t="array" ref="BC47">IF(BM47&gt;=1,0,IFERROR(SUMPRODUCT(($G$11:$AH$11=$BC$16)*($G47:$AH47)),0))</f>
        <v>0</v>
      </c>
      <c r="BD47" s="345" cm="1">
        <f t="array" ref="BD47">IF(BM47&gt;=1,0,IFERROR(SUMPRODUCT(($G$11:$AH$11=$BD$16)*($G47:$AH47)),0))</f>
        <v>0</v>
      </c>
      <c r="BE47" s="345" cm="1">
        <f t="array" ref="BE47">IF(BM47&gt;=1,0,IFERROR(SUMPRODUCT(($G$11:$AH$11=$BE$16)*($G47:$AH47)),0))</f>
        <v>0</v>
      </c>
      <c r="BF47" s="345" cm="1">
        <f t="array" ref="BF47">IF(BM47&gt;=1,0,IFERROR(SUMPRODUCT(($G$11:$AH$11=$BF$16)*($G47:$AH47)),0))</f>
        <v>0</v>
      </c>
      <c r="BG47" s="345" cm="1">
        <f t="array" ref="BG47">IF(BM47&gt;=1,0,IFERROR(SUMPRODUCT(($G$11:$AH$11=$BG$16)*($G47:$AH47)),0))</f>
        <v>0</v>
      </c>
      <c r="BH47" s="345"/>
      <c r="BI47" s="343">
        <f t="shared" si="35"/>
        <v>0</v>
      </c>
      <c r="BJ47" s="229" t="s">
        <v>83</v>
      </c>
      <c r="BK47" cm="1">
        <f t="array" ref="BK47">(SUMPRODUCT(('Cashflow Summary C19RM'!$D$5:$D$451=E47)*('Cashflow Summary C19RM'!$BD$5:$BD$451)))</f>
        <v>0</v>
      </c>
      <c r="BL47" cm="1">
        <f t="array" ref="BL47">(SUMPRODUCT((SETUP!$D$20:$D$67=E47)*(SETUP!$R$20:$R$67)))</f>
        <v>0</v>
      </c>
      <c r="BM47" s="89">
        <f t="shared" si="33"/>
        <v>0</v>
      </c>
    </row>
    <row r="48" spans="1:65" s="89" customFormat="1" ht="15" customHeight="1" thickBot="1" x14ac:dyDescent="0.4">
      <c r="A48" s="89" t="s">
        <v>216</v>
      </c>
      <c r="B48" s="211" t="s">
        <v>696</v>
      </c>
      <c r="C48" s="699" t="s">
        <v>2750</v>
      </c>
      <c r="D48" s="1314"/>
      <c r="E48" s="1010" t="s">
        <v>28</v>
      </c>
      <c r="F48" s="697">
        <v>0</v>
      </c>
      <c r="G48" s="628" cm="1">
        <f t="array" ref="G48">$F48*(SUMPRODUCT(('Cashflow Summary C19RM'!$K$5:$K$239&lt;&gt;1)*('Cashflow Summary C19RM'!$D$5:$D$239=E48)*('Cashflow Summary C19RM'!$R$5:$R$239)))</f>
        <v>0</v>
      </c>
      <c r="H48" s="629" cm="1">
        <f t="array" ref="H48">$F48*(SUMPRODUCT(('Cashflow Summary C19RM'!$K$5:$K$239&lt;&gt;1)*('Cashflow Summary C19RM'!$D$5:$D$239=E48)*('Cashflow Summary C19RM'!$S$5:$S$239)))</f>
        <v>0</v>
      </c>
      <c r="I48" s="630" cm="1">
        <f t="array" ref="I48">$F48*(SUMPRODUCT(('Cashflow Summary C19RM'!$K$5:$K$239&lt;&gt;1)*('Cashflow Summary C19RM'!$D$5:$D$239=E48)*('Cashflow Summary C19RM'!$T$5:$T$239)))</f>
        <v>0</v>
      </c>
      <c r="J48" s="630" cm="1">
        <f t="array" ref="J48">$F48*(SUMPRODUCT(('Cashflow Summary C19RM'!$K$5:$K$239&lt;&gt;1)*('Cashflow Summary C19RM'!$D$5:$D$239=E48)*('Cashflow Summary C19RM'!$U$5:$U$239)))</f>
        <v>0</v>
      </c>
      <c r="K48" s="631">
        <f t="shared" si="19"/>
        <v>0</v>
      </c>
      <c r="L48" s="686">
        <f t="shared" si="20"/>
        <v>0</v>
      </c>
      <c r="M48" s="630" cm="1">
        <f t="array" ref="M48">$L48*(SUMPRODUCT(('Cashflow Summary C19RM'!$K$5:$K$239&lt;&gt;1)*('Cashflow Summary C19RM'!$D$5:$D$239=E48)*('Cashflow Summary C19RM'!$V$5:$V$239)))</f>
        <v>0</v>
      </c>
      <c r="N48" s="630" cm="1">
        <f t="array" ref="N48">$L48*(SUMPRODUCT(('Cashflow Summary C19RM'!$K$5:$K$239&lt;&gt;1)*('Cashflow Summary C19RM'!$D$5:$D$239=E48)*('Cashflow Summary C19RM'!$W$5:$W$239)))</f>
        <v>0</v>
      </c>
      <c r="O48" s="630" cm="1">
        <f t="array" ref="O48">$L48*(SUMPRODUCT(('Cashflow Summary C19RM'!$K$5:$K$239&lt;&gt;1)*('Cashflow Summary C19RM'!$D$5:$D$239=E48)*('Cashflow Summary C19RM'!$X$5:$X$239)))</f>
        <v>0</v>
      </c>
      <c r="P48" s="630" cm="1">
        <f t="array" ref="P48">$L48*(SUMPRODUCT(('Cashflow Summary C19RM'!$K$5:$K$239&lt;&gt;1)*('Cashflow Summary C19RM'!$D$5:$D$239=E48)*('Cashflow Summary C19RM'!$Y$5:$Y$239)))</f>
        <v>0</v>
      </c>
      <c r="Q48" s="632">
        <f t="shared" si="21"/>
        <v>0</v>
      </c>
      <c r="R48" s="686">
        <f t="shared" si="22"/>
        <v>0</v>
      </c>
      <c r="S48" s="633" cm="1">
        <f t="array" ref="S48">$R48*(SUMPRODUCT(('Cashflow Summary C19RM'!$K$5:$K$239&lt;&gt;1)*('Cashflow Summary C19RM'!$D$5:$D$239=E48)*('Cashflow Summary C19RM'!$Z$5:$Z$239)))</f>
        <v>0</v>
      </c>
      <c r="T48" s="633" cm="1">
        <f t="array" ref="T48">$R48*(SUMPRODUCT(('Cashflow Summary C19RM'!$K$5:$K$239&lt;&gt;1)*('Cashflow Summary C19RM'!$D$5:$D$239=E48)*('Cashflow Summary C19RM'!$AA$5:$AA$239)))</f>
        <v>0</v>
      </c>
      <c r="U48" s="633" cm="1">
        <f t="array" ref="U48">$R48*(SUMPRODUCT(('Cashflow Summary C19RM'!$K$5:$K$239&lt;&gt;1)*('Cashflow Summary C19RM'!$D$5:$D$239=E48)*('Cashflow Summary C19RM'!$AB$5:$AB$239)))</f>
        <v>0</v>
      </c>
      <c r="V48" s="633" cm="1">
        <f t="array" ref="V48">$R48*(SUMPRODUCT(('Cashflow Summary C19RM'!$K$5:$K$239&lt;&gt;1)*('Cashflow Summary C19RM'!$D$5:$D$239=E48)*('Cashflow Summary C19RM'!$AC$5:$AC$239)))</f>
        <v>0</v>
      </c>
      <c r="W48" s="634">
        <f t="shared" si="23"/>
        <v>0</v>
      </c>
      <c r="X48" s="686">
        <f t="shared" si="24"/>
        <v>0</v>
      </c>
      <c r="Y48" s="633" cm="1">
        <f t="array" ref="Y48">$X48*(SUMPRODUCT(('Cashflow Summary C19RM'!$K$5:$K$239&lt;&gt;1)*('Cashflow Summary C19RM'!$D$5:$D$239=E48)*('Cashflow Summary C19RM'!$AD$5:$AD$239)))</f>
        <v>0</v>
      </c>
      <c r="Z48" s="633" cm="1">
        <f t="array" ref="Z48">$X48*(SUMPRODUCT(('Cashflow Summary C19RM'!$K$5:$K$239&lt;&gt;1)*('Cashflow Summary C19RM'!$D$5:$D$239=E48)*('Cashflow Summary C19RM'!$AE$5:$AE$239)))</f>
        <v>0</v>
      </c>
      <c r="AA48" s="633" cm="1">
        <f t="array" ref="AA48">$X48*(SUMPRODUCT(('Cashflow Summary C19RM'!$K$5:$K$239&lt;&gt;1)*('Cashflow Summary C19RM'!$D$5:$D$239=E48)*('Cashflow Summary C19RM'!$AF$5:$AF$239)))</f>
        <v>0</v>
      </c>
      <c r="AB48" s="630" cm="1">
        <f t="array" ref="AB48">$X48*(SUMPRODUCT(('Cashflow Summary C19RM'!$K$5:$K$239&lt;&gt;1)*('Cashflow Summary C19RM'!$D$5:$D$239=E48)*('Cashflow Summary C19RM'!$AG$5:$AG$239)))</f>
        <v>0</v>
      </c>
      <c r="AC48" s="634">
        <f t="shared" si="25"/>
        <v>0</v>
      </c>
      <c r="AD48" s="686">
        <f t="shared" si="26"/>
        <v>0</v>
      </c>
      <c r="AE48" s="628" cm="1">
        <f t="array" ref="AE48">$AD48*(SUMPRODUCT(('Cashflow Summary C19RM'!$K$5:$K$239&lt;&gt;1)*('Cashflow Summary C19RM'!$D$5:$D$239=E48)*('Cashflow Summary C19RM'!$AH$5:$AH$239)))</f>
        <v>0</v>
      </c>
      <c r="AF48" s="633" cm="1">
        <f t="array" ref="AF48">$AD48*(SUMPRODUCT(('Cashflow Summary C19RM'!$K$5:$K$239&lt;&gt;1)*('Cashflow Summary C19RM'!$D$5:$D$239=E48)*('Cashflow Summary C19RM'!$AI$5:$AI$239)))</f>
        <v>0</v>
      </c>
      <c r="AG48" s="633" cm="1">
        <f t="array" ref="AG48">$AD48*(SUMPRODUCT(('Cashflow Summary C19RM'!$K$5:$K$239&lt;&gt;1)*('Cashflow Summary C19RM'!$D$5:$D$239=E48)*('Cashflow Summary C19RM'!$AJ$5:$AJ$239)))</f>
        <v>0</v>
      </c>
      <c r="AH48" s="633" cm="1">
        <f t="array" ref="AH48">$AD48*(SUMPRODUCT(('Cashflow Summary C19RM'!$K$5:$K$239&lt;&gt;1)*('Cashflow Summary C19RM'!$D$5:$D$239=E48)*('Cashflow Summary C19RM'!$AK$5:$AO$239)))</f>
        <v>0</v>
      </c>
      <c r="AI48" s="631">
        <f t="shared" si="27"/>
        <v>0</v>
      </c>
      <c r="AJ48" s="875">
        <v>0</v>
      </c>
      <c r="AK48" s="858"/>
      <c r="AL48" s="859"/>
      <c r="AM48" s="859"/>
      <c r="AN48" s="859"/>
      <c r="AO48" s="860"/>
      <c r="AP48" s="635">
        <f t="shared" si="34"/>
        <v>0</v>
      </c>
      <c r="AQ48" s="636">
        <v>7.2</v>
      </c>
      <c r="AR48" s="707"/>
      <c r="AS48" s="310"/>
      <c r="AV48" s="228">
        <f t="shared" si="28"/>
        <v>0</v>
      </c>
      <c r="AW48" s="228">
        <f t="shared" si="29"/>
        <v>0</v>
      </c>
      <c r="AX48" s="228">
        <f t="shared" si="30"/>
        <v>0</v>
      </c>
      <c r="AY48" s="228">
        <f t="shared" si="31"/>
        <v>0</v>
      </c>
      <c r="AZ48" s="228">
        <f t="shared" si="32"/>
        <v>0</v>
      </c>
      <c r="BA48" s="228"/>
      <c r="BC48" s="345" cm="1">
        <f t="array" ref="BC48">IF(BM48&gt;=1,0,IFERROR(SUMPRODUCT(($G$11:$AH$11=$BC$16)*($G48:$AH48)),0))</f>
        <v>0</v>
      </c>
      <c r="BD48" s="345" cm="1">
        <f t="array" ref="BD48">IF(BM48&gt;=1,0,IFERROR(SUMPRODUCT(($G$11:$AH$11=$BD$16)*($G48:$AH48)),0))</f>
        <v>0</v>
      </c>
      <c r="BE48" s="345" cm="1">
        <f t="array" ref="BE48">IF(BM48&gt;=1,0,IFERROR(SUMPRODUCT(($G$11:$AH$11=$BE$16)*($G48:$AH48)),0))</f>
        <v>0</v>
      </c>
      <c r="BF48" s="345" cm="1">
        <f t="array" ref="BF48">IF(BM48&gt;=1,0,IFERROR(SUMPRODUCT(($G$11:$AH$11=$BF$16)*($G48:$AH48)),0))</f>
        <v>0</v>
      </c>
      <c r="BG48" s="345" cm="1">
        <f t="array" ref="BG48">IF(BM48&gt;=1,0,IFERROR(SUMPRODUCT(($G$11:$AH$11=$BG$16)*($G48:$AH48)),0))</f>
        <v>0</v>
      </c>
      <c r="BH48" s="345"/>
      <c r="BI48" s="343">
        <f t="shared" si="35"/>
        <v>0</v>
      </c>
      <c r="BJ48" s="229" t="s">
        <v>83</v>
      </c>
      <c r="BK48" cm="1">
        <f t="array" ref="BK48">(SUMPRODUCT(('Cashflow Summary C19RM'!$D$5:$D$451=E48)*('Cashflow Summary C19RM'!$BD$5:$BD$451)))</f>
        <v>0</v>
      </c>
      <c r="BL48" cm="1">
        <f t="array" ref="BL48">(SUMPRODUCT((SETUP!$D$20:$D$67=E48)*(SETUP!$R$20:$R$67)))</f>
        <v>0</v>
      </c>
      <c r="BM48" s="89">
        <f t="shared" si="33"/>
        <v>0</v>
      </c>
    </row>
    <row r="49" spans="1:97" s="89" customFormat="1" ht="15" customHeight="1" thickBot="1" x14ac:dyDescent="0.4">
      <c r="A49" s="89" t="s">
        <v>216</v>
      </c>
      <c r="B49" s="211" t="s">
        <v>696</v>
      </c>
      <c r="C49" s="699" t="s">
        <v>2750</v>
      </c>
      <c r="D49" s="1314"/>
      <c r="E49" s="1010" t="s">
        <v>29</v>
      </c>
      <c r="F49" s="697">
        <v>0</v>
      </c>
      <c r="G49" s="628" cm="1">
        <f t="array" ref="G49">$F49*(SUMPRODUCT(('Cashflow Summary C19RM'!$K$5:$K$239&lt;&gt;1)*('Cashflow Summary C19RM'!$D$5:$D$239=E49)*('Cashflow Summary C19RM'!$R$5:$R$239)))</f>
        <v>0</v>
      </c>
      <c r="H49" s="629" cm="1">
        <f t="array" ref="H49">$F49*(SUMPRODUCT(('Cashflow Summary C19RM'!$K$5:$K$239&lt;&gt;1)*('Cashflow Summary C19RM'!$D$5:$D$239=E49)*('Cashflow Summary C19RM'!$S$5:$S$239)))</f>
        <v>0</v>
      </c>
      <c r="I49" s="630" cm="1">
        <f t="array" ref="I49">$F49*(SUMPRODUCT(('Cashflow Summary C19RM'!$K$5:$K$239&lt;&gt;1)*('Cashflow Summary C19RM'!$D$5:$D$239=E49)*('Cashflow Summary C19RM'!$T$5:$T$239)))</f>
        <v>0</v>
      </c>
      <c r="J49" s="630" cm="1">
        <f t="array" ref="J49">$F49*(SUMPRODUCT(('Cashflow Summary C19RM'!$K$5:$K$239&lt;&gt;1)*('Cashflow Summary C19RM'!$D$5:$D$239=E49)*('Cashflow Summary C19RM'!$U$5:$U$239)))</f>
        <v>0</v>
      </c>
      <c r="K49" s="631">
        <f t="shared" si="19"/>
        <v>0</v>
      </c>
      <c r="L49" s="686">
        <f t="shared" si="20"/>
        <v>0</v>
      </c>
      <c r="M49" s="630" cm="1">
        <f t="array" ref="M49">$L49*(SUMPRODUCT(('Cashflow Summary C19RM'!$K$5:$K$239&lt;&gt;1)*('Cashflow Summary C19RM'!$D$5:$D$239=E49)*('Cashflow Summary C19RM'!$V$5:$V$239)))</f>
        <v>0</v>
      </c>
      <c r="N49" s="630" cm="1">
        <f t="array" ref="N49">$L49*(SUMPRODUCT(('Cashflow Summary C19RM'!$K$5:$K$239&lt;&gt;1)*('Cashflow Summary C19RM'!$D$5:$D$239=E49)*('Cashflow Summary C19RM'!$W$5:$W$239)))</f>
        <v>0</v>
      </c>
      <c r="O49" s="630" cm="1">
        <f t="array" ref="O49">$L49*(SUMPRODUCT(('Cashflow Summary C19RM'!$K$5:$K$239&lt;&gt;1)*('Cashflow Summary C19RM'!$D$5:$D$239=E49)*('Cashflow Summary C19RM'!$X$5:$X$239)))</f>
        <v>0</v>
      </c>
      <c r="P49" s="630" cm="1">
        <f t="array" ref="P49">$L49*(SUMPRODUCT(('Cashflow Summary C19RM'!$K$5:$K$239&lt;&gt;1)*('Cashflow Summary C19RM'!$D$5:$D$239=E49)*('Cashflow Summary C19RM'!$Y$5:$Y$239)))</f>
        <v>0</v>
      </c>
      <c r="Q49" s="632">
        <f t="shared" si="21"/>
        <v>0</v>
      </c>
      <c r="R49" s="686">
        <f t="shared" si="22"/>
        <v>0</v>
      </c>
      <c r="S49" s="633" cm="1">
        <f t="array" ref="S49">$R49*(SUMPRODUCT(('Cashflow Summary C19RM'!$K$5:$K$239&lt;&gt;1)*('Cashflow Summary C19RM'!$D$5:$D$239=E49)*('Cashflow Summary C19RM'!$Z$5:$Z$239)))</f>
        <v>0</v>
      </c>
      <c r="T49" s="633" cm="1">
        <f t="array" ref="T49">$R49*(SUMPRODUCT(('Cashflow Summary C19RM'!$K$5:$K$239&lt;&gt;1)*('Cashflow Summary C19RM'!$D$5:$D$239=E49)*('Cashflow Summary C19RM'!$AA$5:$AA$239)))</f>
        <v>0</v>
      </c>
      <c r="U49" s="633" cm="1">
        <f t="array" ref="U49">$R49*(SUMPRODUCT(('Cashflow Summary C19RM'!$K$5:$K$239&lt;&gt;1)*('Cashflow Summary C19RM'!$D$5:$D$239=E49)*('Cashflow Summary C19RM'!$AB$5:$AB$239)))</f>
        <v>0</v>
      </c>
      <c r="V49" s="633" cm="1">
        <f t="array" ref="V49">$R49*(SUMPRODUCT(('Cashflow Summary C19RM'!$K$5:$K$239&lt;&gt;1)*('Cashflow Summary C19RM'!$D$5:$D$239=E49)*('Cashflow Summary C19RM'!$AC$5:$AC$239)))</f>
        <v>0</v>
      </c>
      <c r="W49" s="634">
        <f t="shared" si="23"/>
        <v>0</v>
      </c>
      <c r="X49" s="686">
        <f t="shared" si="24"/>
        <v>0</v>
      </c>
      <c r="Y49" s="633" cm="1">
        <f t="array" ref="Y49">$X49*(SUMPRODUCT(('Cashflow Summary C19RM'!$K$5:$K$239&lt;&gt;1)*('Cashflow Summary C19RM'!$D$5:$D$239=E49)*('Cashflow Summary C19RM'!$AD$5:$AD$239)))</f>
        <v>0</v>
      </c>
      <c r="Z49" s="633" cm="1">
        <f t="array" ref="Z49">$X49*(SUMPRODUCT(('Cashflow Summary C19RM'!$K$5:$K$239&lt;&gt;1)*('Cashflow Summary C19RM'!$D$5:$D$239=E49)*('Cashflow Summary C19RM'!$AE$5:$AE$239)))</f>
        <v>0</v>
      </c>
      <c r="AA49" s="633" cm="1">
        <f t="array" ref="AA49">$X49*(SUMPRODUCT(('Cashflow Summary C19RM'!$K$5:$K$239&lt;&gt;1)*('Cashflow Summary C19RM'!$D$5:$D$239=E49)*('Cashflow Summary C19RM'!$AF$5:$AF$239)))</f>
        <v>0</v>
      </c>
      <c r="AB49" s="630" cm="1">
        <f t="array" ref="AB49">$X49*(SUMPRODUCT(('Cashflow Summary C19RM'!$K$5:$K$239&lt;&gt;1)*('Cashflow Summary C19RM'!$D$5:$D$239=E49)*('Cashflow Summary C19RM'!$AG$5:$AG$239)))</f>
        <v>0</v>
      </c>
      <c r="AC49" s="634">
        <f t="shared" si="25"/>
        <v>0</v>
      </c>
      <c r="AD49" s="686">
        <f t="shared" si="26"/>
        <v>0</v>
      </c>
      <c r="AE49" s="628" cm="1">
        <f t="array" ref="AE49">$AD49*(SUMPRODUCT(('Cashflow Summary C19RM'!$K$5:$K$239&lt;&gt;1)*('Cashflow Summary C19RM'!$D$5:$D$239=E49)*('Cashflow Summary C19RM'!$AH$5:$AH$239)))</f>
        <v>0</v>
      </c>
      <c r="AF49" s="633" cm="1">
        <f t="array" ref="AF49">$AD49*(SUMPRODUCT(('Cashflow Summary C19RM'!$K$5:$K$239&lt;&gt;1)*('Cashflow Summary C19RM'!$D$5:$D$239=E49)*('Cashflow Summary C19RM'!$AI$5:$AI$239)))</f>
        <v>0</v>
      </c>
      <c r="AG49" s="633" cm="1">
        <f t="array" ref="AG49">$AD49*(SUMPRODUCT(('Cashflow Summary C19RM'!$K$5:$K$239&lt;&gt;1)*('Cashflow Summary C19RM'!$D$5:$D$239=E49)*('Cashflow Summary C19RM'!$AJ$5:$AJ$239)))</f>
        <v>0</v>
      </c>
      <c r="AH49" s="633" cm="1">
        <f t="array" ref="AH49">$AD49*(SUMPRODUCT(('Cashflow Summary C19RM'!$K$5:$K$239&lt;&gt;1)*('Cashflow Summary C19RM'!$D$5:$D$239=E49)*('Cashflow Summary C19RM'!$AK$5:$AO$239)))</f>
        <v>0</v>
      </c>
      <c r="AI49" s="631">
        <f t="shared" si="27"/>
        <v>0</v>
      </c>
      <c r="AJ49" s="875">
        <v>0</v>
      </c>
      <c r="AK49" s="858"/>
      <c r="AL49" s="859"/>
      <c r="AM49" s="859"/>
      <c r="AN49" s="859"/>
      <c r="AO49" s="860"/>
      <c r="AP49" s="635">
        <f t="shared" si="34"/>
        <v>0</v>
      </c>
      <c r="AQ49" s="636">
        <v>7.2</v>
      </c>
      <c r="AR49" s="707"/>
      <c r="AS49" s="310"/>
      <c r="AV49" s="228">
        <f t="shared" si="28"/>
        <v>0</v>
      </c>
      <c r="AW49" s="228">
        <f t="shared" si="29"/>
        <v>0</v>
      </c>
      <c r="AX49" s="228">
        <f t="shared" si="30"/>
        <v>0</v>
      </c>
      <c r="AY49" s="228">
        <f t="shared" si="31"/>
        <v>0</v>
      </c>
      <c r="AZ49" s="228">
        <f t="shared" si="32"/>
        <v>0</v>
      </c>
      <c r="BA49" s="228"/>
      <c r="BC49" s="345" cm="1">
        <f t="array" ref="BC49">IF(BM49&gt;=1,0,IFERROR(SUMPRODUCT(($G$11:$AH$11=$BC$16)*($G49:$AH49)),0))</f>
        <v>0</v>
      </c>
      <c r="BD49" s="345" cm="1">
        <f t="array" ref="BD49">IF(BM49&gt;=1,0,IFERROR(SUMPRODUCT(($G$11:$AH$11=$BD$16)*($G49:$AH49)),0))</f>
        <v>0</v>
      </c>
      <c r="BE49" s="345" cm="1">
        <f t="array" ref="BE49">IF(BM49&gt;=1,0,IFERROR(SUMPRODUCT(($G$11:$AH$11=$BE$16)*($G49:$AH49)),0))</f>
        <v>0</v>
      </c>
      <c r="BF49" s="345" cm="1">
        <f t="array" ref="BF49">IF(BM49&gt;=1,0,IFERROR(SUMPRODUCT(($G$11:$AH$11=$BF$16)*($G49:$AH49)),0))</f>
        <v>0</v>
      </c>
      <c r="BG49" s="345" cm="1">
        <f t="array" ref="BG49">IF(BM49&gt;=1,0,IFERROR(SUMPRODUCT(($G$11:$AH$11=$BG$16)*($G49:$AH49)),0))</f>
        <v>0</v>
      </c>
      <c r="BH49" s="345"/>
      <c r="BI49" s="343">
        <f t="shared" si="35"/>
        <v>0</v>
      </c>
      <c r="BJ49" s="229" t="s">
        <v>83</v>
      </c>
      <c r="BK49" cm="1">
        <f t="array" ref="BK49">(SUMPRODUCT(('Cashflow Summary C19RM'!$D$5:$D$451=E49)*('Cashflow Summary C19RM'!$BD$5:$BD$451)))</f>
        <v>0</v>
      </c>
      <c r="BL49" cm="1">
        <f t="array" ref="BL49">(SUMPRODUCT((SETUP!$D$20:$D$67=E49)*(SETUP!$R$20:$R$67)))</f>
        <v>0</v>
      </c>
      <c r="BM49" s="89">
        <f t="shared" si="33"/>
        <v>0</v>
      </c>
    </row>
    <row r="50" spans="1:97" s="89" customFormat="1" ht="15" customHeight="1" thickBot="1" x14ac:dyDescent="0.4">
      <c r="A50" s="89" t="s">
        <v>216</v>
      </c>
      <c r="B50" s="211" t="s">
        <v>696</v>
      </c>
      <c r="C50" s="699" t="s">
        <v>2750</v>
      </c>
      <c r="D50" s="1314"/>
      <c r="E50" s="1010" t="s">
        <v>30</v>
      </c>
      <c r="F50" s="697">
        <v>0</v>
      </c>
      <c r="G50" s="628" cm="1">
        <f t="array" ref="G50">$F50*(SUMPRODUCT(('Cashflow Summary C19RM'!$K$5:$K$239&lt;&gt;1)*('Cashflow Summary C19RM'!$D$5:$D$239=E50)*('Cashflow Summary C19RM'!$R$5:$R$239)))</f>
        <v>0</v>
      </c>
      <c r="H50" s="629" cm="1">
        <f t="array" ref="H50">$F50*(SUMPRODUCT(('Cashflow Summary C19RM'!$K$5:$K$239&lt;&gt;1)*('Cashflow Summary C19RM'!$D$5:$D$239=E50)*('Cashflow Summary C19RM'!$S$5:$S$239)))</f>
        <v>0</v>
      </c>
      <c r="I50" s="630" cm="1">
        <f t="array" ref="I50">$F50*(SUMPRODUCT(('Cashflow Summary C19RM'!$K$5:$K$239&lt;&gt;1)*('Cashflow Summary C19RM'!$D$5:$D$239=E50)*('Cashflow Summary C19RM'!$T$5:$T$239)))</f>
        <v>0</v>
      </c>
      <c r="J50" s="630" cm="1">
        <f t="array" ref="J50">$F50*(SUMPRODUCT(('Cashflow Summary C19RM'!$K$5:$K$239&lt;&gt;1)*('Cashflow Summary C19RM'!$D$5:$D$239=E50)*('Cashflow Summary C19RM'!$U$5:$U$239)))</f>
        <v>0</v>
      </c>
      <c r="K50" s="631">
        <f t="shared" si="19"/>
        <v>0</v>
      </c>
      <c r="L50" s="686">
        <f t="shared" si="20"/>
        <v>0</v>
      </c>
      <c r="M50" s="630" cm="1">
        <f t="array" ref="M50">$L50*(SUMPRODUCT(('Cashflow Summary C19RM'!$K$5:$K$239&lt;&gt;1)*('Cashflow Summary C19RM'!$D$5:$D$239=E50)*('Cashflow Summary C19RM'!$V$5:$V$239)))</f>
        <v>0</v>
      </c>
      <c r="N50" s="630" cm="1">
        <f t="array" ref="N50">$L50*(SUMPRODUCT(('Cashflow Summary C19RM'!$K$5:$K$239&lt;&gt;1)*('Cashflow Summary C19RM'!$D$5:$D$239=E50)*('Cashflow Summary C19RM'!$W$5:$W$239)))</f>
        <v>0</v>
      </c>
      <c r="O50" s="630" cm="1">
        <f t="array" ref="O50">$L50*(SUMPRODUCT(('Cashflow Summary C19RM'!$K$5:$K$239&lt;&gt;1)*('Cashflow Summary C19RM'!$D$5:$D$239=E50)*('Cashflow Summary C19RM'!$X$5:$X$239)))</f>
        <v>0</v>
      </c>
      <c r="P50" s="630" cm="1">
        <f t="array" ref="P50">$L50*(SUMPRODUCT(('Cashflow Summary C19RM'!$K$5:$K$239&lt;&gt;1)*('Cashflow Summary C19RM'!$D$5:$D$239=E50)*('Cashflow Summary C19RM'!$Y$5:$Y$239)))</f>
        <v>0</v>
      </c>
      <c r="Q50" s="632">
        <f t="shared" si="21"/>
        <v>0</v>
      </c>
      <c r="R50" s="686">
        <f t="shared" si="22"/>
        <v>0</v>
      </c>
      <c r="S50" s="633" cm="1">
        <f t="array" ref="S50">$R50*(SUMPRODUCT(('Cashflow Summary C19RM'!$K$5:$K$239&lt;&gt;1)*('Cashflow Summary C19RM'!$D$5:$D$239=E50)*('Cashflow Summary C19RM'!$Z$5:$Z$239)))</f>
        <v>0</v>
      </c>
      <c r="T50" s="633" cm="1">
        <f t="array" ref="T50">$R50*(SUMPRODUCT(('Cashflow Summary C19RM'!$K$5:$K$239&lt;&gt;1)*('Cashflow Summary C19RM'!$D$5:$D$239=E50)*('Cashflow Summary C19RM'!$AA$5:$AA$239)))</f>
        <v>0</v>
      </c>
      <c r="U50" s="633" cm="1">
        <f t="array" ref="U50">$R50*(SUMPRODUCT(('Cashflow Summary C19RM'!$K$5:$K$239&lt;&gt;1)*('Cashflow Summary C19RM'!$D$5:$D$239=E50)*('Cashflow Summary C19RM'!$AB$5:$AB$239)))</f>
        <v>0</v>
      </c>
      <c r="V50" s="633" cm="1">
        <f t="array" ref="V50">$R50*(SUMPRODUCT(('Cashflow Summary C19RM'!$K$5:$K$239&lt;&gt;1)*('Cashflow Summary C19RM'!$D$5:$D$239=E50)*('Cashflow Summary C19RM'!$AC$5:$AC$239)))</f>
        <v>0</v>
      </c>
      <c r="W50" s="634">
        <f t="shared" si="23"/>
        <v>0</v>
      </c>
      <c r="X50" s="686">
        <f t="shared" si="24"/>
        <v>0</v>
      </c>
      <c r="Y50" s="633" cm="1">
        <f t="array" ref="Y50">$X50*(SUMPRODUCT(('Cashflow Summary C19RM'!$K$5:$K$239&lt;&gt;1)*('Cashflow Summary C19RM'!$D$5:$D$239=E50)*('Cashflow Summary C19RM'!$AD$5:$AD$239)))</f>
        <v>0</v>
      </c>
      <c r="Z50" s="633" cm="1">
        <f t="array" ref="Z50">$X50*(SUMPRODUCT(('Cashflow Summary C19RM'!$K$5:$K$239&lt;&gt;1)*('Cashflow Summary C19RM'!$D$5:$D$239=E50)*('Cashflow Summary C19RM'!$AE$5:$AE$239)))</f>
        <v>0</v>
      </c>
      <c r="AA50" s="633" cm="1">
        <f t="array" ref="AA50">$X50*(SUMPRODUCT(('Cashflow Summary C19RM'!$K$5:$K$239&lt;&gt;1)*('Cashflow Summary C19RM'!$D$5:$D$239=E50)*('Cashflow Summary C19RM'!$AF$5:$AF$239)))</f>
        <v>0</v>
      </c>
      <c r="AB50" s="630" cm="1">
        <f t="array" ref="AB50">$X50*(SUMPRODUCT(('Cashflow Summary C19RM'!$K$5:$K$239&lt;&gt;1)*('Cashflow Summary C19RM'!$D$5:$D$239=E50)*('Cashflow Summary C19RM'!$AG$5:$AG$239)))</f>
        <v>0</v>
      </c>
      <c r="AC50" s="634">
        <f t="shared" si="25"/>
        <v>0</v>
      </c>
      <c r="AD50" s="686">
        <f t="shared" si="26"/>
        <v>0</v>
      </c>
      <c r="AE50" s="628" cm="1">
        <f t="array" ref="AE50">$AD50*(SUMPRODUCT(('Cashflow Summary C19RM'!$K$5:$K$239&lt;&gt;1)*('Cashflow Summary C19RM'!$D$5:$D$239=E50)*('Cashflow Summary C19RM'!$AH$5:$AH$239)))</f>
        <v>0</v>
      </c>
      <c r="AF50" s="633" cm="1">
        <f t="array" ref="AF50">$AD50*(SUMPRODUCT(('Cashflow Summary C19RM'!$K$5:$K$239&lt;&gt;1)*('Cashflow Summary C19RM'!$D$5:$D$239=E50)*('Cashflow Summary C19RM'!$AI$5:$AI$239)))</f>
        <v>0</v>
      </c>
      <c r="AG50" s="633" cm="1">
        <f t="array" ref="AG50">$AD50*(SUMPRODUCT(('Cashflow Summary C19RM'!$K$5:$K$239&lt;&gt;1)*('Cashflow Summary C19RM'!$D$5:$D$239=E50)*('Cashflow Summary C19RM'!$AJ$5:$AJ$239)))</f>
        <v>0</v>
      </c>
      <c r="AH50" s="633" cm="1">
        <f t="array" ref="AH50">$AD50*(SUMPRODUCT(('Cashflow Summary C19RM'!$K$5:$K$239&lt;&gt;1)*('Cashflow Summary C19RM'!$D$5:$D$239=E50)*('Cashflow Summary C19RM'!$AK$5:$AO$239)))</f>
        <v>0</v>
      </c>
      <c r="AI50" s="631">
        <f t="shared" si="27"/>
        <v>0</v>
      </c>
      <c r="AJ50" s="875">
        <v>0</v>
      </c>
      <c r="AK50" s="858"/>
      <c r="AL50" s="859"/>
      <c r="AM50" s="859"/>
      <c r="AN50" s="859"/>
      <c r="AO50" s="860"/>
      <c r="AP50" s="635">
        <f t="shared" si="34"/>
        <v>0</v>
      </c>
      <c r="AQ50" s="636">
        <v>7.2</v>
      </c>
      <c r="AR50" s="707"/>
      <c r="AS50" s="310"/>
      <c r="AV50" s="228">
        <f t="shared" si="28"/>
        <v>0</v>
      </c>
      <c r="AW50" s="228">
        <f t="shared" si="29"/>
        <v>0</v>
      </c>
      <c r="AX50" s="228">
        <f t="shared" si="30"/>
        <v>0</v>
      </c>
      <c r="AY50" s="228">
        <f t="shared" si="31"/>
        <v>0</v>
      </c>
      <c r="AZ50" s="228">
        <f t="shared" si="32"/>
        <v>0</v>
      </c>
      <c r="BA50" s="228"/>
      <c r="BC50" s="345" cm="1">
        <f t="array" ref="BC50">IF(BM50&gt;=1,0,IFERROR(SUMPRODUCT(($G$11:$AH$11=$BC$16)*($G50:$AH50)),0))</f>
        <v>0</v>
      </c>
      <c r="BD50" s="345" cm="1">
        <f t="array" ref="BD50">IF(BM50&gt;=1,0,IFERROR(SUMPRODUCT(($G$11:$AH$11=$BD$16)*($G50:$AH50)),0))</f>
        <v>0</v>
      </c>
      <c r="BE50" s="345" cm="1">
        <f t="array" ref="BE50">IF(BM50&gt;=1,0,IFERROR(SUMPRODUCT(($G$11:$AH$11=$BE$16)*($G50:$AH50)),0))</f>
        <v>0</v>
      </c>
      <c r="BF50" s="345" cm="1">
        <f t="array" ref="BF50">IF(BM50&gt;=1,0,IFERROR(SUMPRODUCT(($G$11:$AH$11=$BF$16)*($G50:$AH50)),0))</f>
        <v>0</v>
      </c>
      <c r="BG50" s="345" cm="1">
        <f t="array" ref="BG50">IF(BM50&gt;=1,0,IFERROR(SUMPRODUCT(($G$11:$AH$11=$BG$16)*($G50:$AH50)),0))</f>
        <v>0</v>
      </c>
      <c r="BH50" s="345"/>
      <c r="BI50" s="343">
        <f t="shared" si="35"/>
        <v>0</v>
      </c>
      <c r="BJ50" s="229" t="s">
        <v>83</v>
      </c>
      <c r="BK50" cm="1">
        <f t="array" ref="BK50">(SUMPRODUCT(('Cashflow Summary C19RM'!$D$5:$D$451=E50)*('Cashflow Summary C19RM'!$BD$5:$BD$451)))</f>
        <v>0</v>
      </c>
      <c r="BL50" cm="1">
        <f t="array" ref="BL50">(SUMPRODUCT((SETUP!$D$20:$D$67=E50)*(SETUP!$R$20:$R$67)))</f>
        <v>0</v>
      </c>
      <c r="BM50" s="89">
        <f t="shared" si="33"/>
        <v>0</v>
      </c>
    </row>
    <row r="51" spans="1:97" s="89" customFormat="1" ht="15" customHeight="1" thickBot="1" x14ac:dyDescent="0.4">
      <c r="A51" s="89" t="s">
        <v>216</v>
      </c>
      <c r="B51" s="211" t="s">
        <v>696</v>
      </c>
      <c r="C51" s="698" t="s">
        <v>2750</v>
      </c>
      <c r="D51" s="1315"/>
      <c r="E51" s="1011" t="s">
        <v>31</v>
      </c>
      <c r="F51" s="720">
        <v>0</v>
      </c>
      <c r="G51" s="709" cm="1">
        <f t="array" ref="G51">$F51*(SUMPRODUCT(('Cashflow Summary C19RM'!$K$5:$K$239&lt;&gt;1)*('Cashflow Summary C19RM'!$D$5:$D$239=E51)*('Cashflow Summary C19RM'!$R$5:$R$239)))</f>
        <v>0</v>
      </c>
      <c r="H51" s="704" cm="1">
        <f t="array" ref="H51">$F51*(SUMPRODUCT(('Cashflow Summary C19RM'!$K$5:$K$239&lt;&gt;1)*('Cashflow Summary C19RM'!$D$5:$D$239=E51)*('Cashflow Summary C19RM'!$S$5:$S$239)))</f>
        <v>0</v>
      </c>
      <c r="I51" s="704" cm="1">
        <f t="array" ref="I51">$F51*(SUMPRODUCT(('Cashflow Summary C19RM'!$K$5:$K$239&lt;&gt;1)*('Cashflow Summary C19RM'!$D$5:$D$239=E51)*('Cashflow Summary C19RM'!$T$5:$T$239)))</f>
        <v>0</v>
      </c>
      <c r="J51" s="704" cm="1">
        <f t="array" ref="J51">$F51*(SUMPRODUCT(('Cashflow Summary C19RM'!$K$5:$K$239&lt;&gt;1)*('Cashflow Summary C19RM'!$D$5:$D$239=E51)*('Cashflow Summary C19RM'!$U$5:$U$239)))</f>
        <v>0</v>
      </c>
      <c r="K51" s="712">
        <f t="shared" si="19"/>
        <v>0</v>
      </c>
      <c r="L51" s="711">
        <f t="shared" si="20"/>
        <v>0</v>
      </c>
      <c r="M51" s="989" cm="1">
        <f t="array" ref="M51">$L51*(SUMPRODUCT(('Cashflow Summary C19RM'!$K$5:$K$239&lt;&gt;1)*('Cashflow Summary C19RM'!$D$5:$D$239=E51)*('Cashflow Summary C19RM'!$V$5:$V$239)))</f>
        <v>0</v>
      </c>
      <c r="N51" s="989" cm="1">
        <f t="array" ref="N51">$L51*(SUMPRODUCT(('Cashflow Summary C19RM'!$K$5:$K$239&lt;&gt;1)*('Cashflow Summary C19RM'!$D$5:$D$239=E51)*('Cashflow Summary C19RM'!$W$5:$W$239)))</f>
        <v>0</v>
      </c>
      <c r="O51" s="989" cm="1">
        <f t="array" ref="O51">$L51*(SUMPRODUCT(('Cashflow Summary C19RM'!$K$5:$K$239&lt;&gt;1)*('Cashflow Summary C19RM'!$D$5:$D$239=E51)*('Cashflow Summary C19RM'!$X$5:$X$239)))</f>
        <v>0</v>
      </c>
      <c r="P51" s="989" cm="1">
        <f t="array" ref="P51">$L51*(SUMPRODUCT(('Cashflow Summary C19RM'!$K$5:$K$239&lt;&gt;1)*('Cashflow Summary C19RM'!$D$5:$D$239=E51)*('Cashflow Summary C19RM'!$Y$5:$Y$239)))</f>
        <v>0</v>
      </c>
      <c r="Q51" s="710">
        <f t="shared" si="21"/>
        <v>0</v>
      </c>
      <c r="R51" s="711">
        <f t="shared" si="22"/>
        <v>0</v>
      </c>
      <c r="S51" s="704" cm="1">
        <f t="array" ref="S51">$R51*(SUMPRODUCT(('Cashflow Summary C19RM'!$K$5:$K$239&lt;&gt;1)*('Cashflow Summary C19RM'!$D$5:$D$239=E51)*('Cashflow Summary C19RM'!$Z$5:$Z$239)))</f>
        <v>0</v>
      </c>
      <c r="T51" s="704" cm="1">
        <f t="array" ref="T51">$R51*(SUMPRODUCT(('Cashflow Summary C19RM'!$K$5:$K$239&lt;&gt;1)*('Cashflow Summary C19RM'!$D$5:$D$239=E51)*('Cashflow Summary C19RM'!$AA$5:$AA$239)))</f>
        <v>0</v>
      </c>
      <c r="U51" s="704" cm="1">
        <f t="array" ref="U51">$R51*(SUMPRODUCT(('Cashflow Summary C19RM'!$K$5:$K$239&lt;&gt;1)*('Cashflow Summary C19RM'!$D$5:$D$239=E51)*('Cashflow Summary C19RM'!$AB$5:$AB$239)))</f>
        <v>0</v>
      </c>
      <c r="V51" s="704" cm="1">
        <f t="array" ref="V51">$R51*(SUMPRODUCT(('Cashflow Summary C19RM'!$K$5:$K$239&lt;&gt;1)*('Cashflow Summary C19RM'!$D$5:$D$239=E51)*('Cashflow Summary C19RM'!$AC$5:$AC$239)))</f>
        <v>0</v>
      </c>
      <c r="W51" s="712">
        <f t="shared" si="23"/>
        <v>0</v>
      </c>
      <c r="X51" s="711">
        <f t="shared" si="24"/>
        <v>0</v>
      </c>
      <c r="Y51" s="704" cm="1">
        <f t="array" ref="Y51">$X51*(SUMPRODUCT(('Cashflow Summary C19RM'!$K$5:$K$239&lt;&gt;1)*('Cashflow Summary C19RM'!$D$5:$D$239=E51)*('Cashflow Summary C19RM'!$AD$5:$AD$239)))</f>
        <v>0</v>
      </c>
      <c r="Z51" s="704" cm="1">
        <f t="array" ref="Z51">$X51*(SUMPRODUCT(('Cashflow Summary C19RM'!$K$5:$K$239&lt;&gt;1)*('Cashflow Summary C19RM'!$D$5:$D$239=E51)*('Cashflow Summary C19RM'!$AE$5:$AE$239)))</f>
        <v>0</v>
      </c>
      <c r="AA51" s="704" cm="1">
        <f t="array" ref="AA51">$X51*(SUMPRODUCT(('Cashflow Summary C19RM'!$K$5:$K$239&lt;&gt;1)*('Cashflow Summary C19RM'!$D$5:$D$239=E51)*('Cashflow Summary C19RM'!$AF$5:$AF$239)))</f>
        <v>0</v>
      </c>
      <c r="AB51" s="989" cm="1">
        <f t="array" ref="AB51">$X51*(SUMPRODUCT(('Cashflow Summary C19RM'!$K$5:$K$239&lt;&gt;1)*('Cashflow Summary C19RM'!$D$5:$D$239=E51)*('Cashflow Summary C19RM'!$AG$5:$AG$239)))</f>
        <v>0</v>
      </c>
      <c r="AC51" s="712">
        <f t="shared" si="25"/>
        <v>0</v>
      </c>
      <c r="AD51" s="711">
        <f t="shared" si="26"/>
        <v>0</v>
      </c>
      <c r="AE51" s="709" cm="1">
        <f t="array" ref="AE51">$AD51*(SUMPRODUCT(('Cashflow Summary C19RM'!$K$5:$K$239&lt;&gt;1)*('Cashflow Summary C19RM'!$D$5:$D$239=E51)*('Cashflow Summary C19RM'!$AH$5:$AH$239)))</f>
        <v>0</v>
      </c>
      <c r="AF51" s="704" cm="1">
        <f t="array" ref="AF51">$AD51*(SUMPRODUCT(('Cashflow Summary C19RM'!$K$5:$K$239&lt;&gt;1)*('Cashflow Summary C19RM'!$D$5:$D$239=E51)*('Cashflow Summary C19RM'!$AI$5:$AI$239)))</f>
        <v>0</v>
      </c>
      <c r="AG51" s="704" cm="1">
        <f t="array" ref="AG51">$AD51*(SUMPRODUCT(('Cashflow Summary C19RM'!$K$5:$K$239&lt;&gt;1)*('Cashflow Summary C19RM'!$D$5:$D$239=E51)*('Cashflow Summary C19RM'!$AJ$5:$AJ$239)))</f>
        <v>0</v>
      </c>
      <c r="AH51" s="704" cm="1">
        <f t="array" ref="AH51">$AD51*(SUMPRODUCT(('Cashflow Summary C19RM'!$K$5:$K$239&lt;&gt;1)*('Cashflow Summary C19RM'!$D$5:$D$239=E51)*('Cashflow Summary C19RM'!$AK$5:$AO$239)))</f>
        <v>0</v>
      </c>
      <c r="AI51" s="712">
        <f t="shared" si="27"/>
        <v>0</v>
      </c>
      <c r="AJ51" s="990">
        <v>0</v>
      </c>
      <c r="AK51" s="1001"/>
      <c r="AL51" s="1002"/>
      <c r="AM51" s="1002"/>
      <c r="AN51" s="1002"/>
      <c r="AO51" s="1003"/>
      <c r="AP51" s="713">
        <f t="shared" si="34"/>
        <v>0</v>
      </c>
      <c r="AQ51" s="714">
        <v>7.2</v>
      </c>
      <c r="AR51" s="715"/>
      <c r="AS51" s="310" t="s">
        <v>213</v>
      </c>
      <c r="AV51" s="228">
        <f t="shared" si="28"/>
        <v>0</v>
      </c>
      <c r="AW51" s="228">
        <f t="shared" si="29"/>
        <v>0</v>
      </c>
      <c r="AX51" s="228">
        <f t="shared" si="30"/>
        <v>0</v>
      </c>
      <c r="AY51" s="228">
        <f t="shared" si="31"/>
        <v>0</v>
      </c>
      <c r="AZ51" s="228">
        <f t="shared" si="32"/>
        <v>0</v>
      </c>
      <c r="BA51" s="228"/>
      <c r="BC51" s="345" cm="1">
        <f t="array" ref="BC51">IF(BM51&gt;=1,0,IFERROR(SUMPRODUCT(($G$11:$AH$11=$BC$16)*($G51:$AH51)),0))</f>
        <v>0</v>
      </c>
      <c r="BD51" s="345" cm="1">
        <f t="array" ref="BD51">IF(BM51&gt;=1,0,IFERROR(SUMPRODUCT(($G$11:$AH$11=$BD$16)*($G51:$AH51)),0))</f>
        <v>0</v>
      </c>
      <c r="BE51" s="345" cm="1">
        <f t="array" ref="BE51">IF(BM51&gt;=1,0,IFERROR(SUMPRODUCT(($G$11:$AH$11=$BE$16)*($G51:$AH51)),0))</f>
        <v>0</v>
      </c>
      <c r="BF51" s="345" cm="1">
        <f t="array" ref="BF51">IF(BM51&gt;=1,0,IFERROR(SUMPRODUCT(($G$11:$AH$11=$BF$16)*($G51:$AH51)),0))</f>
        <v>0</v>
      </c>
      <c r="BG51" s="345" cm="1">
        <f t="array" ref="BG51">IF(BM51&gt;=1,0,IFERROR(SUMPRODUCT(($G$11:$AH$11=$BG$16)*($G51:$AH51)),0))</f>
        <v>0</v>
      </c>
      <c r="BH51" s="345"/>
      <c r="BI51" s="343">
        <f t="shared" si="35"/>
        <v>0</v>
      </c>
      <c r="BJ51" s="229" t="s">
        <v>83</v>
      </c>
      <c r="BK51" cm="1">
        <f t="array" ref="BK51">(SUMPRODUCT(('Cashflow Summary C19RM'!$D$5:$D$451=E51)*('Cashflow Summary C19RM'!$BD$5:$BD$451)))</f>
        <v>0</v>
      </c>
      <c r="BL51" cm="1">
        <f t="array" ref="BL51">(SUMPRODUCT((SETUP!$D$20:$D$67=E51)*(SETUP!$R$20:$R$67)))</f>
        <v>0</v>
      </c>
      <c r="BM51" s="89">
        <f t="shared" si="33"/>
        <v>0</v>
      </c>
    </row>
    <row r="52" spans="1:97" s="89" customFormat="1" ht="15" hidden="1" customHeight="1" thickBot="1" x14ac:dyDescent="0.4">
      <c r="B52" s="211"/>
      <c r="C52" s="716"/>
      <c r="D52" s="994"/>
      <c r="E52" s="995"/>
      <c r="F52" s="697"/>
      <c r="G52" s="628"/>
      <c r="H52" s="633"/>
      <c r="I52" s="633"/>
      <c r="J52" s="633"/>
      <c r="K52" s="631"/>
      <c r="L52" s="686"/>
      <c r="M52" s="630"/>
      <c r="N52" s="630"/>
      <c r="O52" s="630"/>
      <c r="P52" s="630"/>
      <c r="Q52" s="632"/>
      <c r="R52" s="686"/>
      <c r="S52" s="633"/>
      <c r="T52" s="633"/>
      <c r="U52" s="633"/>
      <c r="V52" s="633"/>
      <c r="W52" s="631"/>
      <c r="X52" s="686"/>
      <c r="Y52" s="633"/>
      <c r="Z52" s="633"/>
      <c r="AA52" s="633"/>
      <c r="AB52" s="633"/>
      <c r="AC52" s="631"/>
      <c r="AD52" s="631"/>
      <c r="AE52" s="631"/>
      <c r="AF52" s="631"/>
      <c r="AG52" s="633"/>
      <c r="AH52" s="631"/>
      <c r="AI52" s="631"/>
      <c r="AJ52" s="631"/>
      <c r="AK52" s="631"/>
      <c r="AL52" s="631"/>
      <c r="AM52" s="631"/>
      <c r="AN52" s="631"/>
      <c r="AO52" s="631"/>
      <c r="AP52" s="635"/>
      <c r="AQ52" s="636"/>
      <c r="AR52" s="721"/>
      <c r="AS52" s="310"/>
      <c r="AV52" s="228"/>
      <c r="AW52" s="228"/>
      <c r="AX52" s="228"/>
      <c r="AY52" s="228"/>
      <c r="AZ52" s="228"/>
      <c r="BA52" s="228"/>
      <c r="BC52" s="345"/>
      <c r="BD52" s="345"/>
      <c r="BE52" s="345"/>
      <c r="BF52" s="345"/>
      <c r="BG52" s="345"/>
      <c r="BH52" s="345"/>
      <c r="BI52" s="343"/>
      <c r="BJ52" s="290"/>
      <c r="BK52"/>
      <c r="BL52"/>
    </row>
    <row r="53" spans="1:97" s="175" customFormat="1" ht="14.15" hidden="1" customHeight="1" x14ac:dyDescent="0.35">
      <c r="A53" s="89"/>
      <c r="B53" s="211"/>
      <c r="C53" s="717"/>
      <c r="D53" s="1351"/>
      <c r="E53" s="703"/>
      <c r="F53" s="697"/>
      <c r="G53" s="628"/>
      <c r="H53" s="633"/>
      <c r="I53" s="633"/>
      <c r="J53" s="633"/>
      <c r="K53" s="631"/>
      <c r="L53" s="686"/>
      <c r="M53" s="633"/>
      <c r="N53" s="633"/>
      <c r="O53" s="633"/>
      <c r="P53" s="633"/>
      <c r="Q53" s="632"/>
      <c r="R53" s="686"/>
      <c r="S53" s="633"/>
      <c r="T53" s="633"/>
      <c r="U53" s="633"/>
      <c r="V53" s="633"/>
      <c r="W53" s="631"/>
      <c r="X53" s="686"/>
      <c r="Y53" s="633"/>
      <c r="Z53" s="633"/>
      <c r="AA53" s="633"/>
      <c r="AB53" s="633"/>
      <c r="AC53" s="631"/>
      <c r="AD53" s="631"/>
      <c r="AE53" s="631"/>
      <c r="AF53" s="631"/>
      <c r="AG53" s="633"/>
      <c r="AH53" s="631"/>
      <c r="AI53" s="631"/>
      <c r="AJ53" s="631"/>
      <c r="AK53" s="631"/>
      <c r="AL53" s="631"/>
      <c r="AM53" s="631"/>
      <c r="AN53" s="631"/>
      <c r="AO53" s="631"/>
      <c r="AP53" s="635"/>
      <c r="AQ53" s="636"/>
      <c r="AR53" s="721"/>
      <c r="AS53" s="310"/>
      <c r="AV53" s="228"/>
      <c r="AW53" s="228"/>
      <c r="AX53" s="228"/>
      <c r="AY53" s="228"/>
      <c r="AZ53" s="228"/>
      <c r="BA53" s="228"/>
      <c r="BC53" s="345"/>
      <c r="BD53" s="345"/>
      <c r="BE53" s="345"/>
      <c r="BF53" s="345"/>
      <c r="BG53" s="345"/>
      <c r="BH53" s="345"/>
      <c r="BI53" s="343"/>
      <c r="BJ53" s="294"/>
      <c r="BK53"/>
      <c r="BL53"/>
      <c r="BM53" s="89"/>
    </row>
    <row r="54" spans="1:97" s="89" customFormat="1" ht="15" hidden="1" customHeight="1" x14ac:dyDescent="0.35">
      <c r="B54" s="211"/>
      <c r="C54" s="718"/>
      <c r="D54" s="1352"/>
      <c r="E54" s="703"/>
      <c r="F54" s="697"/>
      <c r="G54" s="638"/>
      <c r="H54" s="639"/>
      <c r="I54" s="639"/>
      <c r="J54" s="639"/>
      <c r="K54" s="631"/>
      <c r="L54" s="686"/>
      <c r="M54" s="630"/>
      <c r="N54" s="630"/>
      <c r="O54" s="630"/>
      <c r="P54" s="630"/>
      <c r="Q54" s="632"/>
      <c r="R54" s="686"/>
      <c r="S54" s="633"/>
      <c r="T54" s="633"/>
      <c r="U54" s="633"/>
      <c r="V54" s="633"/>
      <c r="W54" s="631"/>
      <c r="X54" s="686"/>
      <c r="Y54" s="633"/>
      <c r="Z54" s="633"/>
      <c r="AA54" s="633"/>
      <c r="AB54" s="633"/>
      <c r="AC54" s="631"/>
      <c r="AD54" s="631"/>
      <c r="AE54" s="631"/>
      <c r="AF54" s="631"/>
      <c r="AG54" s="633"/>
      <c r="AH54" s="631"/>
      <c r="AI54" s="631"/>
      <c r="AJ54" s="631"/>
      <c r="AK54" s="631"/>
      <c r="AL54" s="631"/>
      <c r="AM54" s="631"/>
      <c r="AN54" s="631"/>
      <c r="AO54" s="631"/>
      <c r="AP54" s="635"/>
      <c r="AQ54" s="636"/>
      <c r="AR54" s="721"/>
      <c r="AS54" s="310"/>
      <c r="AV54" s="228"/>
      <c r="AW54" s="228"/>
      <c r="AX54" s="228"/>
      <c r="AY54" s="228"/>
      <c r="AZ54" s="228"/>
      <c r="BA54" s="228"/>
      <c r="BC54" s="345"/>
      <c r="BD54" s="345"/>
      <c r="BE54" s="345"/>
      <c r="BF54" s="345"/>
      <c r="BG54" s="345"/>
      <c r="BH54" s="345"/>
      <c r="BI54" s="343"/>
      <c r="BJ54" s="294"/>
      <c r="BK54"/>
      <c r="BL54"/>
    </row>
    <row r="55" spans="1:97" s="89" customFormat="1" ht="15" hidden="1" customHeight="1" x14ac:dyDescent="0.35">
      <c r="B55" s="211"/>
      <c r="C55" s="718"/>
      <c r="D55" s="1352"/>
      <c r="E55" s="703"/>
      <c r="F55" s="697"/>
      <c r="G55" s="628"/>
      <c r="H55" s="633"/>
      <c r="I55" s="633"/>
      <c r="J55" s="633"/>
      <c r="K55" s="631"/>
      <c r="L55" s="686"/>
      <c r="M55" s="630"/>
      <c r="N55" s="630"/>
      <c r="O55" s="630"/>
      <c r="P55" s="630"/>
      <c r="Q55" s="632"/>
      <c r="R55" s="686"/>
      <c r="S55" s="633"/>
      <c r="T55" s="633"/>
      <c r="U55" s="633"/>
      <c r="V55" s="633"/>
      <c r="W55" s="631"/>
      <c r="X55" s="686"/>
      <c r="Y55" s="633"/>
      <c r="Z55" s="633"/>
      <c r="AA55" s="633"/>
      <c r="AB55" s="633"/>
      <c r="AC55" s="631"/>
      <c r="AD55" s="631"/>
      <c r="AE55" s="631"/>
      <c r="AF55" s="631"/>
      <c r="AG55" s="633"/>
      <c r="AH55" s="631"/>
      <c r="AI55" s="631"/>
      <c r="AJ55" s="631"/>
      <c r="AK55" s="631"/>
      <c r="AL55" s="631"/>
      <c r="AM55" s="631"/>
      <c r="AN55" s="631"/>
      <c r="AO55" s="631"/>
      <c r="AP55" s="635"/>
      <c r="AQ55" s="636"/>
      <c r="AR55" s="721"/>
      <c r="AS55" s="310"/>
      <c r="AV55" s="228"/>
      <c r="AW55" s="228"/>
      <c r="AX55" s="228"/>
      <c r="AY55" s="228"/>
      <c r="AZ55" s="228"/>
      <c r="BA55" s="228"/>
      <c r="BC55" s="345"/>
      <c r="BD55" s="345"/>
      <c r="BE55" s="345"/>
      <c r="BF55" s="345"/>
      <c r="BG55" s="345"/>
      <c r="BH55" s="345"/>
      <c r="BI55" s="343"/>
      <c r="BJ55" s="294"/>
      <c r="BK55"/>
      <c r="BL55"/>
    </row>
    <row r="56" spans="1:97" s="89" customFormat="1" ht="15" hidden="1" customHeight="1" x14ac:dyDescent="0.35">
      <c r="B56" s="211"/>
      <c r="C56" s="718"/>
      <c r="D56" s="1352"/>
      <c r="E56" s="703"/>
      <c r="F56" s="697"/>
      <c r="G56" s="628"/>
      <c r="H56" s="633"/>
      <c r="I56" s="633"/>
      <c r="J56" s="633"/>
      <c r="K56" s="631"/>
      <c r="L56" s="686"/>
      <c r="M56" s="633"/>
      <c r="N56" s="633"/>
      <c r="O56" s="633"/>
      <c r="P56" s="633"/>
      <c r="Q56" s="632"/>
      <c r="R56" s="686"/>
      <c r="S56" s="633"/>
      <c r="T56" s="633"/>
      <c r="U56" s="633"/>
      <c r="V56" s="633"/>
      <c r="W56" s="631"/>
      <c r="X56" s="686"/>
      <c r="Y56" s="633"/>
      <c r="Z56" s="633"/>
      <c r="AA56" s="633"/>
      <c r="AB56" s="633"/>
      <c r="AC56" s="631"/>
      <c r="AD56" s="631"/>
      <c r="AE56" s="631"/>
      <c r="AF56" s="631"/>
      <c r="AG56" s="633"/>
      <c r="AH56" s="631"/>
      <c r="AI56" s="631"/>
      <c r="AJ56" s="631"/>
      <c r="AK56" s="631"/>
      <c r="AL56" s="631"/>
      <c r="AM56" s="631"/>
      <c r="AN56" s="631"/>
      <c r="AO56" s="631"/>
      <c r="AP56" s="635"/>
      <c r="AQ56" s="636"/>
      <c r="AR56" s="721"/>
      <c r="AS56" s="310"/>
      <c r="AV56" s="228"/>
      <c r="AW56" s="228"/>
      <c r="AX56" s="228"/>
      <c r="AY56" s="228"/>
      <c r="AZ56" s="228"/>
      <c r="BA56" s="228"/>
      <c r="BC56" s="345"/>
      <c r="BD56" s="345"/>
      <c r="BE56" s="345"/>
      <c r="BF56" s="345"/>
      <c r="BG56" s="345"/>
      <c r="BH56" s="345"/>
      <c r="BI56" s="343"/>
      <c r="BJ56" s="294"/>
      <c r="BK56"/>
      <c r="BL56"/>
    </row>
    <row r="57" spans="1:97" s="89" customFormat="1" ht="15" hidden="1" customHeight="1" x14ac:dyDescent="0.35">
      <c r="B57" s="211"/>
      <c r="C57" s="718"/>
      <c r="D57" s="1352"/>
      <c r="E57" s="703"/>
      <c r="F57" s="697"/>
      <c r="G57" s="628"/>
      <c r="H57" s="633"/>
      <c r="I57" s="633"/>
      <c r="J57" s="633"/>
      <c r="K57" s="631"/>
      <c r="L57" s="686"/>
      <c r="M57" s="633"/>
      <c r="N57" s="633"/>
      <c r="O57" s="633"/>
      <c r="P57" s="633"/>
      <c r="Q57" s="632"/>
      <c r="R57" s="686"/>
      <c r="S57" s="633"/>
      <c r="T57" s="633"/>
      <c r="U57" s="633"/>
      <c r="V57" s="633"/>
      <c r="W57" s="631"/>
      <c r="X57" s="686"/>
      <c r="Y57" s="633"/>
      <c r="Z57" s="633"/>
      <c r="AA57" s="633"/>
      <c r="AB57" s="633"/>
      <c r="AC57" s="631"/>
      <c r="AD57" s="631"/>
      <c r="AE57" s="631"/>
      <c r="AF57" s="631"/>
      <c r="AG57" s="633"/>
      <c r="AH57" s="631"/>
      <c r="AI57" s="631"/>
      <c r="AJ57" s="631"/>
      <c r="AK57" s="631"/>
      <c r="AL57" s="631"/>
      <c r="AM57" s="631"/>
      <c r="AN57" s="631"/>
      <c r="AO57" s="631"/>
      <c r="AP57" s="635"/>
      <c r="AQ57" s="636"/>
      <c r="AR57" s="721"/>
      <c r="AS57" s="310"/>
      <c r="AV57" s="228"/>
      <c r="AW57" s="228"/>
      <c r="AX57" s="228"/>
      <c r="AY57" s="228"/>
      <c r="AZ57" s="228"/>
      <c r="BA57" s="228"/>
      <c r="BC57" s="345"/>
      <c r="BD57" s="345"/>
      <c r="BE57" s="345"/>
      <c r="BF57" s="345"/>
      <c r="BG57" s="345"/>
      <c r="BH57" s="345"/>
      <c r="BI57" s="343"/>
      <c r="BJ57" s="294"/>
      <c r="BK57"/>
      <c r="BL57"/>
    </row>
    <row r="58" spans="1:97" s="89" customFormat="1" ht="15" hidden="1" customHeight="1" x14ac:dyDescent="0.35">
      <c r="B58" s="211"/>
      <c r="C58" s="718"/>
      <c r="D58" s="1352"/>
      <c r="E58" s="703"/>
      <c r="F58" s="697"/>
      <c r="G58" s="628"/>
      <c r="H58" s="633"/>
      <c r="I58" s="633"/>
      <c r="J58" s="633"/>
      <c r="K58" s="631"/>
      <c r="L58" s="686"/>
      <c r="M58" s="633"/>
      <c r="N58" s="633"/>
      <c r="O58" s="633"/>
      <c r="P58" s="633"/>
      <c r="Q58" s="632"/>
      <c r="R58" s="686"/>
      <c r="S58" s="633"/>
      <c r="T58" s="633"/>
      <c r="U58" s="633"/>
      <c r="V58" s="633"/>
      <c r="W58" s="631"/>
      <c r="X58" s="686"/>
      <c r="Y58" s="633"/>
      <c r="Z58" s="633"/>
      <c r="AA58" s="633"/>
      <c r="AB58" s="633"/>
      <c r="AC58" s="631"/>
      <c r="AD58" s="631"/>
      <c r="AE58" s="631"/>
      <c r="AF58" s="631"/>
      <c r="AG58" s="633"/>
      <c r="AH58" s="631"/>
      <c r="AI58" s="631"/>
      <c r="AJ58" s="631"/>
      <c r="AK58" s="631"/>
      <c r="AL58" s="631"/>
      <c r="AM58" s="631"/>
      <c r="AN58" s="631"/>
      <c r="AO58" s="631"/>
      <c r="AP58" s="635"/>
      <c r="AQ58" s="636"/>
      <c r="AR58" s="721"/>
      <c r="AS58" s="310"/>
      <c r="AV58" s="228"/>
      <c r="AW58" s="228"/>
      <c r="AX58" s="228"/>
      <c r="AY58" s="228"/>
      <c r="AZ58" s="228"/>
      <c r="BA58" s="228"/>
      <c r="BC58" s="345"/>
      <c r="BD58" s="345"/>
      <c r="BE58" s="345"/>
      <c r="BF58" s="345"/>
      <c r="BG58" s="345"/>
      <c r="BH58" s="345"/>
      <c r="BI58" s="343"/>
      <c r="BJ58" s="294"/>
      <c r="BK58"/>
      <c r="BL58"/>
    </row>
    <row r="59" spans="1:97" s="89" customFormat="1" ht="15" hidden="1" customHeight="1" x14ac:dyDescent="0.35">
      <c r="B59" s="211"/>
      <c r="C59" s="718"/>
      <c r="D59" s="1352"/>
      <c r="E59" s="703"/>
      <c r="F59" s="697"/>
      <c r="G59" s="628"/>
      <c r="H59" s="633"/>
      <c r="I59" s="633"/>
      <c r="J59" s="633"/>
      <c r="K59" s="631"/>
      <c r="L59" s="686"/>
      <c r="M59" s="630"/>
      <c r="N59" s="630"/>
      <c r="O59" s="630"/>
      <c r="P59" s="630"/>
      <c r="Q59" s="632"/>
      <c r="R59" s="686"/>
      <c r="S59" s="633"/>
      <c r="T59" s="633"/>
      <c r="U59" s="633"/>
      <c r="V59" s="633"/>
      <c r="W59" s="631"/>
      <c r="X59" s="686"/>
      <c r="Y59" s="633"/>
      <c r="Z59" s="633"/>
      <c r="AA59" s="633"/>
      <c r="AB59" s="633"/>
      <c r="AC59" s="631"/>
      <c r="AD59" s="631"/>
      <c r="AE59" s="631"/>
      <c r="AF59" s="631"/>
      <c r="AG59" s="633"/>
      <c r="AH59" s="631"/>
      <c r="AI59" s="631"/>
      <c r="AJ59" s="631"/>
      <c r="AK59" s="631"/>
      <c r="AL59" s="631"/>
      <c r="AM59" s="631"/>
      <c r="AN59" s="631"/>
      <c r="AO59" s="631"/>
      <c r="AP59" s="635"/>
      <c r="AQ59" s="636"/>
      <c r="AR59" s="721"/>
      <c r="AS59" s="310"/>
      <c r="AV59" s="228"/>
      <c r="AW59" s="228"/>
      <c r="AX59" s="228"/>
      <c r="AY59" s="228"/>
      <c r="AZ59" s="228"/>
      <c r="BA59" s="228"/>
      <c r="BC59" s="345"/>
      <c r="BD59" s="345"/>
      <c r="BE59" s="345"/>
      <c r="BF59" s="345"/>
      <c r="BG59" s="345"/>
      <c r="BH59" s="345"/>
      <c r="BI59" s="343"/>
      <c r="BJ59" s="294"/>
      <c r="BK59"/>
      <c r="BL59"/>
    </row>
    <row r="60" spans="1:97" s="89" customFormat="1" ht="15" hidden="1" customHeight="1" x14ac:dyDescent="0.35">
      <c r="B60" s="211"/>
      <c r="C60" s="718"/>
      <c r="D60" s="1352"/>
      <c r="E60" s="703"/>
      <c r="F60" s="697"/>
      <c r="G60" s="628"/>
      <c r="H60" s="633"/>
      <c r="I60" s="633"/>
      <c r="J60" s="633"/>
      <c r="K60" s="631"/>
      <c r="L60" s="686"/>
      <c r="M60" s="633"/>
      <c r="N60" s="633"/>
      <c r="O60" s="633"/>
      <c r="P60" s="633"/>
      <c r="Q60" s="632"/>
      <c r="R60" s="686"/>
      <c r="S60" s="633"/>
      <c r="T60" s="633"/>
      <c r="U60" s="633"/>
      <c r="V60" s="633"/>
      <c r="W60" s="631"/>
      <c r="X60" s="686"/>
      <c r="Y60" s="633"/>
      <c r="Z60" s="633"/>
      <c r="AA60" s="633"/>
      <c r="AB60" s="633"/>
      <c r="AC60" s="631"/>
      <c r="AD60" s="631"/>
      <c r="AE60" s="631"/>
      <c r="AF60" s="631"/>
      <c r="AG60" s="633"/>
      <c r="AH60" s="631"/>
      <c r="AI60" s="631"/>
      <c r="AJ60" s="631"/>
      <c r="AK60" s="631"/>
      <c r="AL60" s="631"/>
      <c r="AM60" s="631"/>
      <c r="AN60" s="631"/>
      <c r="AO60" s="631"/>
      <c r="AP60" s="635"/>
      <c r="AQ60" s="636"/>
      <c r="AR60" s="721"/>
      <c r="AS60" s="310"/>
      <c r="AV60" s="228"/>
      <c r="AW60" s="228"/>
      <c r="AX60" s="228"/>
      <c r="AY60" s="228"/>
      <c r="AZ60" s="228"/>
      <c r="BA60" s="228"/>
      <c r="BC60" s="345"/>
      <c r="BD60" s="345"/>
      <c r="BE60" s="345"/>
      <c r="BF60" s="345"/>
      <c r="BG60" s="345"/>
      <c r="BH60" s="345"/>
      <c r="BI60" s="343"/>
      <c r="BJ60" s="294"/>
      <c r="BK60"/>
      <c r="BL60"/>
    </row>
    <row r="61" spans="1:97" s="89" customFormat="1" ht="15" hidden="1" customHeight="1" x14ac:dyDescent="0.35">
      <c r="B61" s="211"/>
      <c r="C61" s="718"/>
      <c r="D61" s="1352"/>
      <c r="E61" s="703"/>
      <c r="F61" s="697"/>
      <c r="G61" s="628"/>
      <c r="H61" s="633"/>
      <c r="I61" s="633"/>
      <c r="J61" s="633"/>
      <c r="K61" s="631"/>
      <c r="L61" s="686"/>
      <c r="M61" s="633"/>
      <c r="N61" s="633"/>
      <c r="O61" s="633"/>
      <c r="P61" s="633"/>
      <c r="Q61" s="632"/>
      <c r="R61" s="686"/>
      <c r="S61" s="633"/>
      <c r="T61" s="633"/>
      <c r="U61" s="633"/>
      <c r="V61" s="633"/>
      <c r="W61" s="631"/>
      <c r="X61" s="686"/>
      <c r="Y61" s="633"/>
      <c r="Z61" s="633"/>
      <c r="AA61" s="633"/>
      <c r="AB61" s="633"/>
      <c r="AC61" s="631"/>
      <c r="AD61" s="631"/>
      <c r="AE61" s="631"/>
      <c r="AF61" s="631"/>
      <c r="AG61" s="633"/>
      <c r="AH61" s="631"/>
      <c r="AI61" s="631"/>
      <c r="AJ61" s="631"/>
      <c r="AK61" s="631"/>
      <c r="AL61" s="631"/>
      <c r="AM61" s="631"/>
      <c r="AN61" s="631"/>
      <c r="AO61" s="631"/>
      <c r="AP61" s="635"/>
      <c r="AQ61" s="636"/>
      <c r="AR61" s="721"/>
      <c r="AS61" s="310"/>
      <c r="AV61" s="228"/>
      <c r="AW61" s="228"/>
      <c r="AX61" s="228"/>
      <c r="AY61" s="228"/>
      <c r="AZ61" s="228"/>
      <c r="BA61" s="228"/>
      <c r="BC61" s="345"/>
      <c r="BD61" s="345"/>
      <c r="BE61" s="345"/>
      <c r="BF61" s="345"/>
      <c r="BG61" s="345"/>
      <c r="BH61" s="345"/>
      <c r="BI61" s="343"/>
      <c r="BJ61" s="294"/>
      <c r="BK61"/>
      <c r="BL61"/>
    </row>
    <row r="62" spans="1:97" s="89" customFormat="1" ht="15" hidden="1" customHeight="1" x14ac:dyDescent="0.35">
      <c r="B62" s="211"/>
      <c r="C62" s="718"/>
      <c r="D62" s="1352"/>
      <c r="E62" s="703"/>
      <c r="F62" s="697"/>
      <c r="G62" s="628"/>
      <c r="H62" s="633"/>
      <c r="I62" s="633"/>
      <c r="J62" s="633"/>
      <c r="K62" s="631"/>
      <c r="L62" s="686"/>
      <c r="M62" s="633"/>
      <c r="N62" s="633"/>
      <c r="O62" s="633"/>
      <c r="P62" s="633"/>
      <c r="Q62" s="632"/>
      <c r="R62" s="686"/>
      <c r="S62" s="633"/>
      <c r="T62" s="633"/>
      <c r="U62" s="633"/>
      <c r="V62" s="633"/>
      <c r="W62" s="631"/>
      <c r="X62" s="686"/>
      <c r="Y62" s="633"/>
      <c r="Z62" s="633"/>
      <c r="AA62" s="633"/>
      <c r="AB62" s="633"/>
      <c r="AC62" s="631"/>
      <c r="AD62" s="631"/>
      <c r="AE62" s="631"/>
      <c r="AF62" s="631"/>
      <c r="AG62" s="633"/>
      <c r="AH62" s="631"/>
      <c r="AI62" s="631"/>
      <c r="AJ62" s="631"/>
      <c r="AK62" s="631"/>
      <c r="AL62" s="631"/>
      <c r="AM62" s="631"/>
      <c r="AN62" s="631"/>
      <c r="AO62" s="631"/>
      <c r="AP62" s="635"/>
      <c r="AQ62" s="636"/>
      <c r="AR62" s="721"/>
      <c r="AS62" s="310"/>
      <c r="AV62" s="228"/>
      <c r="AW62" s="228"/>
      <c r="AX62" s="228"/>
      <c r="AY62" s="228"/>
      <c r="AZ62" s="228"/>
      <c r="BA62" s="228"/>
      <c r="BC62" s="345"/>
      <c r="BD62" s="345"/>
      <c r="BE62" s="345"/>
      <c r="BF62" s="345"/>
      <c r="BG62" s="345"/>
      <c r="BH62" s="345"/>
      <c r="BI62" s="343"/>
      <c r="BJ62" s="294"/>
      <c r="BK62"/>
      <c r="BL62"/>
    </row>
    <row r="63" spans="1:97" s="89" customFormat="1" ht="15" hidden="1" customHeight="1" thickBot="1" x14ac:dyDescent="0.4">
      <c r="B63" s="292"/>
      <c r="C63" s="719"/>
      <c r="D63" s="1353"/>
      <c r="E63" s="708"/>
      <c r="F63" s="720"/>
      <c r="G63" s="709"/>
      <c r="H63" s="704"/>
      <c r="I63" s="704"/>
      <c r="J63" s="704"/>
      <c r="K63" s="712"/>
      <c r="L63" s="711"/>
      <c r="M63" s="709"/>
      <c r="N63" s="704"/>
      <c r="O63" s="704"/>
      <c r="P63" s="704"/>
      <c r="Q63" s="710"/>
      <c r="R63" s="711"/>
      <c r="S63" s="704"/>
      <c r="T63" s="704"/>
      <c r="U63" s="704"/>
      <c r="V63" s="704"/>
      <c r="W63" s="712"/>
      <c r="X63" s="711"/>
      <c r="Y63" s="709"/>
      <c r="Z63" s="704"/>
      <c r="AA63" s="704"/>
      <c r="AB63" s="704"/>
      <c r="AC63" s="712"/>
      <c r="AD63" s="712"/>
      <c r="AE63" s="712"/>
      <c r="AF63" s="712"/>
      <c r="AG63" s="633"/>
      <c r="AH63" s="712"/>
      <c r="AI63" s="712"/>
      <c r="AJ63" s="712"/>
      <c r="AK63" s="712"/>
      <c r="AL63" s="712"/>
      <c r="AM63" s="712"/>
      <c r="AN63" s="712"/>
      <c r="AO63" s="712"/>
      <c r="AP63" s="713"/>
      <c r="AQ63" s="714"/>
      <c r="AR63" s="722"/>
      <c r="AS63" s="312"/>
      <c r="AV63" s="228"/>
      <c r="AW63" s="228"/>
      <c r="AX63" s="228"/>
      <c r="AY63" s="228"/>
      <c r="AZ63" s="228"/>
      <c r="BA63" s="228"/>
      <c r="BC63" s="345"/>
      <c r="BD63" s="345"/>
      <c r="BE63" s="345"/>
      <c r="BF63" s="345"/>
      <c r="BG63" s="345"/>
      <c r="BH63" s="345"/>
      <c r="BI63" s="343"/>
      <c r="BJ63" s="295"/>
      <c r="BK63"/>
      <c r="BL63"/>
    </row>
    <row r="64" spans="1:97" s="89" customFormat="1" ht="13" hidden="1" customHeight="1" x14ac:dyDescent="0.3">
      <c r="B64" s="212"/>
      <c r="C64" s="212"/>
      <c r="D64" s="705"/>
      <c r="E64" s="702"/>
      <c r="F64" s="645"/>
      <c r="G64" s="628"/>
      <c r="H64" s="633"/>
      <c r="I64" s="633"/>
      <c r="J64" s="633"/>
      <c r="K64" s="631"/>
      <c r="L64" s="627"/>
      <c r="M64" s="630"/>
      <c r="N64" s="630"/>
      <c r="O64" s="630"/>
      <c r="P64" s="630"/>
      <c r="Q64" s="632"/>
      <c r="R64" s="627"/>
      <c r="S64" s="633"/>
      <c r="T64" s="633"/>
      <c r="U64" s="633"/>
      <c r="V64" s="633"/>
      <c r="W64" s="634"/>
      <c r="X64" s="627"/>
      <c r="Y64" s="633"/>
      <c r="Z64" s="633"/>
      <c r="AA64" s="633"/>
      <c r="AB64" s="633"/>
      <c r="AC64" s="634"/>
      <c r="AD64" s="634"/>
      <c r="AE64" s="634"/>
      <c r="AF64" s="634"/>
      <c r="AG64" s="633"/>
      <c r="AH64" s="634"/>
      <c r="AI64" s="634"/>
      <c r="AJ64" s="634"/>
      <c r="AK64" s="634"/>
      <c r="AL64" s="634"/>
      <c r="AM64" s="634"/>
      <c r="AN64" s="634"/>
      <c r="AO64" s="634"/>
      <c r="AP64" s="635"/>
      <c r="AQ64" s="646"/>
      <c r="AR64" s="723"/>
      <c r="AS64" s="313"/>
      <c r="AT64" s="177"/>
      <c r="AU64" s="178"/>
      <c r="AV64" s="60"/>
      <c r="AW64" s="60"/>
      <c r="AX64" s="60"/>
      <c r="AY64" s="60"/>
      <c r="AZ64" s="60"/>
      <c r="BA64" s="60"/>
      <c r="BB64" s="60"/>
      <c r="BC64" s="345"/>
      <c r="BD64" s="345"/>
      <c r="BE64" s="345"/>
      <c r="BF64" s="345"/>
      <c r="BG64" s="345"/>
      <c r="BH64" s="345"/>
      <c r="BI64" s="60"/>
      <c r="BJ64" s="60"/>
      <c r="BK64" s="60"/>
      <c r="BL64" s="60"/>
      <c r="BM64" s="60"/>
      <c r="BN64" s="60"/>
      <c r="BO64" s="60"/>
      <c r="BP64" s="60"/>
      <c r="BQ64" s="60"/>
      <c r="BR64" s="60"/>
      <c r="BS64" s="60"/>
      <c r="BT64" s="60"/>
      <c r="BU64" s="60"/>
      <c r="BV64" s="60"/>
      <c r="BW64" s="60"/>
      <c r="BX64" s="60"/>
      <c r="BY64" s="60"/>
      <c r="BZ64" s="60"/>
      <c r="CA64" s="60"/>
      <c r="CB64" s="60"/>
      <c r="CC64" s="60"/>
      <c r="CD64" s="60"/>
      <c r="CE64" s="60"/>
      <c r="CF64" s="60"/>
      <c r="CG64" s="60"/>
      <c r="CH64" s="60"/>
      <c r="CI64" s="60"/>
      <c r="CJ64" s="60"/>
      <c r="CK64" s="60"/>
      <c r="CL64" s="60"/>
      <c r="CM64" s="60"/>
      <c r="CN64" s="60"/>
      <c r="CO64" s="60"/>
      <c r="CP64" s="60"/>
      <c r="CQ64" s="60"/>
      <c r="CR64" s="60"/>
      <c r="CS64" s="60"/>
    </row>
    <row r="65" spans="2:97" s="89" customFormat="1" ht="13" hidden="1" customHeight="1" x14ac:dyDescent="0.3">
      <c r="B65" s="211"/>
      <c r="C65" s="211"/>
      <c r="D65" s="1318"/>
      <c r="E65" s="626"/>
      <c r="F65" s="645"/>
      <c r="G65" s="628"/>
      <c r="H65" s="633"/>
      <c r="I65" s="633"/>
      <c r="J65" s="633"/>
      <c r="K65" s="631"/>
      <c r="L65" s="627"/>
      <c r="M65" s="630"/>
      <c r="N65" s="630"/>
      <c r="O65" s="630"/>
      <c r="P65" s="630"/>
      <c r="Q65" s="632"/>
      <c r="R65" s="627"/>
      <c r="S65" s="633"/>
      <c r="T65" s="633"/>
      <c r="U65" s="633"/>
      <c r="V65" s="633"/>
      <c r="W65" s="634"/>
      <c r="X65" s="627"/>
      <c r="Y65" s="633"/>
      <c r="Z65" s="633"/>
      <c r="AA65" s="633"/>
      <c r="AB65" s="633"/>
      <c r="AC65" s="634"/>
      <c r="AD65" s="634"/>
      <c r="AE65" s="634"/>
      <c r="AF65" s="634"/>
      <c r="AG65" s="633"/>
      <c r="AH65" s="634"/>
      <c r="AI65" s="634"/>
      <c r="AJ65" s="634"/>
      <c r="AK65" s="634"/>
      <c r="AL65" s="634"/>
      <c r="AM65" s="634"/>
      <c r="AN65" s="634"/>
      <c r="AO65" s="634"/>
      <c r="AP65" s="635"/>
      <c r="AQ65" s="648"/>
      <c r="AR65" s="723"/>
      <c r="AS65" s="313"/>
      <c r="AT65" s="177"/>
      <c r="AU65" s="178"/>
      <c r="AV65" s="60"/>
      <c r="AW65" s="60"/>
      <c r="AX65" s="60"/>
      <c r="AY65" s="60"/>
      <c r="AZ65" s="60"/>
      <c r="BA65" s="60"/>
      <c r="BB65" s="60"/>
      <c r="BC65" s="345"/>
      <c r="BD65" s="345"/>
      <c r="BE65" s="345"/>
      <c r="BF65" s="345"/>
      <c r="BG65" s="345"/>
      <c r="BH65" s="345"/>
      <c r="BI65" s="60"/>
      <c r="BJ65" s="60"/>
      <c r="BK65" s="60"/>
      <c r="BL65" s="60"/>
      <c r="BM65" s="60"/>
      <c r="BN65" s="60"/>
      <c r="BO65" s="60"/>
      <c r="BP65" s="60"/>
      <c r="BQ65" s="60"/>
      <c r="BR65" s="60"/>
      <c r="BS65" s="60"/>
      <c r="BT65" s="60"/>
      <c r="BU65" s="60"/>
      <c r="BV65" s="60"/>
      <c r="BW65" s="60"/>
      <c r="BX65" s="60"/>
      <c r="BY65" s="60"/>
      <c r="BZ65" s="60"/>
      <c r="CA65" s="60"/>
      <c r="CB65" s="60"/>
      <c r="CC65" s="60"/>
      <c r="CD65" s="60"/>
      <c r="CE65" s="60"/>
      <c r="CF65" s="60"/>
      <c r="CG65" s="60"/>
      <c r="CH65" s="60"/>
      <c r="CI65" s="60"/>
      <c r="CJ65" s="60"/>
      <c r="CK65" s="60"/>
      <c r="CL65" s="60"/>
      <c r="CM65" s="60"/>
      <c r="CN65" s="60"/>
      <c r="CO65" s="60"/>
      <c r="CP65" s="60"/>
      <c r="CQ65" s="60"/>
      <c r="CR65" s="60"/>
      <c r="CS65" s="60"/>
    </row>
    <row r="66" spans="2:97" s="89" customFormat="1" ht="13" hidden="1" customHeight="1" x14ac:dyDescent="0.3">
      <c r="B66" s="211"/>
      <c r="C66" s="211"/>
      <c r="D66" s="1319"/>
      <c r="E66" s="626"/>
      <c r="F66" s="645"/>
      <c r="G66" s="628"/>
      <c r="H66" s="633"/>
      <c r="I66" s="633"/>
      <c r="J66" s="633"/>
      <c r="K66" s="631"/>
      <c r="L66" s="627"/>
      <c r="M66" s="630"/>
      <c r="N66" s="630"/>
      <c r="O66" s="630"/>
      <c r="P66" s="630"/>
      <c r="Q66" s="632"/>
      <c r="R66" s="627"/>
      <c r="S66" s="633"/>
      <c r="T66" s="633"/>
      <c r="U66" s="633"/>
      <c r="V66" s="633"/>
      <c r="W66" s="634"/>
      <c r="X66" s="627"/>
      <c r="Y66" s="633"/>
      <c r="Z66" s="633"/>
      <c r="AA66" s="633"/>
      <c r="AB66" s="633"/>
      <c r="AC66" s="634"/>
      <c r="AD66" s="634"/>
      <c r="AE66" s="634"/>
      <c r="AF66" s="634"/>
      <c r="AG66" s="633"/>
      <c r="AH66" s="634"/>
      <c r="AI66" s="634"/>
      <c r="AJ66" s="634"/>
      <c r="AK66" s="634"/>
      <c r="AL66" s="634"/>
      <c r="AM66" s="634"/>
      <c r="AN66" s="634"/>
      <c r="AO66" s="634"/>
      <c r="AP66" s="635"/>
      <c r="AQ66" s="648"/>
      <c r="AR66" s="723"/>
      <c r="AS66" s="313"/>
      <c r="AT66" s="177"/>
      <c r="AU66" s="178"/>
      <c r="AV66" s="60"/>
      <c r="AW66" s="60"/>
      <c r="AX66" s="60"/>
      <c r="AY66" s="60"/>
      <c r="AZ66" s="60"/>
      <c r="BA66" s="60"/>
      <c r="BB66" s="60"/>
      <c r="BC66" s="345"/>
      <c r="BD66" s="345"/>
      <c r="BE66" s="345"/>
      <c r="BF66" s="345"/>
      <c r="BG66" s="345"/>
      <c r="BH66" s="345"/>
      <c r="BI66" s="60"/>
      <c r="BJ66" s="60"/>
      <c r="BK66" s="60"/>
      <c r="BL66" s="60"/>
      <c r="BM66" s="60"/>
      <c r="BN66" s="60"/>
      <c r="BO66" s="60"/>
      <c r="BP66" s="60"/>
      <c r="BQ66" s="60"/>
      <c r="BR66" s="60"/>
      <c r="BS66" s="60"/>
      <c r="BT66" s="60"/>
      <c r="BU66" s="60"/>
      <c r="BV66" s="60"/>
      <c r="BW66" s="60"/>
      <c r="BX66" s="60"/>
      <c r="BY66" s="60"/>
      <c r="BZ66" s="60"/>
      <c r="CA66" s="60"/>
      <c r="CB66" s="60"/>
      <c r="CC66" s="60"/>
      <c r="CD66" s="60"/>
      <c r="CE66" s="60"/>
      <c r="CF66" s="60"/>
      <c r="CG66" s="60"/>
      <c r="CH66" s="60"/>
      <c r="CI66" s="60"/>
      <c r="CJ66" s="60"/>
      <c r="CK66" s="60"/>
      <c r="CL66" s="60"/>
      <c r="CM66" s="60"/>
      <c r="CN66" s="60"/>
      <c r="CO66" s="60"/>
      <c r="CP66" s="60"/>
      <c r="CQ66" s="60"/>
      <c r="CR66" s="60"/>
      <c r="CS66" s="60"/>
    </row>
    <row r="67" spans="2:97" s="89" customFormat="1" ht="13" hidden="1" customHeight="1" x14ac:dyDescent="0.3">
      <c r="B67" s="211"/>
      <c r="C67" s="211"/>
      <c r="D67" s="1319"/>
      <c r="E67" s="626"/>
      <c r="F67" s="645"/>
      <c r="G67" s="628"/>
      <c r="H67" s="633"/>
      <c r="I67" s="633"/>
      <c r="J67" s="633"/>
      <c r="K67" s="631"/>
      <c r="L67" s="627"/>
      <c r="M67" s="630"/>
      <c r="N67" s="630"/>
      <c r="O67" s="630"/>
      <c r="P67" s="630"/>
      <c r="Q67" s="632"/>
      <c r="R67" s="627"/>
      <c r="S67" s="633"/>
      <c r="T67" s="633"/>
      <c r="U67" s="633"/>
      <c r="V67" s="633"/>
      <c r="W67" s="634"/>
      <c r="X67" s="627"/>
      <c r="Y67" s="633"/>
      <c r="Z67" s="633"/>
      <c r="AA67" s="633"/>
      <c r="AB67" s="633"/>
      <c r="AC67" s="634"/>
      <c r="AD67" s="634"/>
      <c r="AE67" s="634"/>
      <c r="AF67" s="634"/>
      <c r="AG67" s="633"/>
      <c r="AH67" s="634"/>
      <c r="AI67" s="634"/>
      <c r="AJ67" s="634"/>
      <c r="AK67" s="634"/>
      <c r="AL67" s="634"/>
      <c r="AM67" s="634"/>
      <c r="AN67" s="634"/>
      <c r="AO67" s="634"/>
      <c r="AP67" s="635"/>
      <c r="AQ67" s="648"/>
      <c r="AR67" s="723"/>
      <c r="AS67" s="313"/>
      <c r="AT67" s="177"/>
      <c r="AU67" s="178"/>
      <c r="AV67" s="60"/>
      <c r="AW67" s="60"/>
      <c r="AX67" s="60"/>
      <c r="AY67" s="60"/>
      <c r="AZ67" s="60"/>
      <c r="BA67" s="60"/>
      <c r="BB67" s="60"/>
      <c r="BC67" s="345"/>
      <c r="BD67" s="345"/>
      <c r="BE67" s="345"/>
      <c r="BF67" s="345"/>
      <c r="BG67" s="345"/>
      <c r="BH67" s="345"/>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row>
    <row r="68" spans="2:97" s="89" customFormat="1" ht="13" hidden="1" customHeight="1" x14ac:dyDescent="0.3">
      <c r="B68" s="211"/>
      <c r="C68" s="211"/>
      <c r="D68" s="1319"/>
      <c r="E68" s="626"/>
      <c r="F68" s="645"/>
      <c r="G68" s="628"/>
      <c r="H68" s="633"/>
      <c r="I68" s="633"/>
      <c r="J68" s="633"/>
      <c r="K68" s="631"/>
      <c r="L68" s="627"/>
      <c r="M68" s="630"/>
      <c r="N68" s="630"/>
      <c r="O68" s="630"/>
      <c r="P68" s="630"/>
      <c r="Q68" s="632"/>
      <c r="R68" s="627"/>
      <c r="S68" s="633"/>
      <c r="T68" s="633"/>
      <c r="U68" s="633"/>
      <c r="V68" s="633"/>
      <c r="W68" s="634"/>
      <c r="X68" s="627"/>
      <c r="Y68" s="633"/>
      <c r="Z68" s="633"/>
      <c r="AA68" s="633"/>
      <c r="AB68" s="633"/>
      <c r="AC68" s="634"/>
      <c r="AD68" s="634"/>
      <c r="AE68" s="634"/>
      <c r="AF68" s="634"/>
      <c r="AG68" s="633"/>
      <c r="AH68" s="634"/>
      <c r="AI68" s="634"/>
      <c r="AJ68" s="634"/>
      <c r="AK68" s="634"/>
      <c r="AL68" s="634"/>
      <c r="AM68" s="634"/>
      <c r="AN68" s="634"/>
      <c r="AO68" s="634"/>
      <c r="AP68" s="635"/>
      <c r="AQ68" s="648"/>
      <c r="AR68" s="723"/>
      <c r="AS68" s="313"/>
      <c r="AT68" s="177"/>
      <c r="AU68" s="178"/>
      <c r="AV68" s="60"/>
      <c r="AW68" s="60"/>
      <c r="AX68" s="60"/>
      <c r="AY68" s="60"/>
      <c r="AZ68" s="60"/>
      <c r="BA68" s="60"/>
      <c r="BB68" s="60"/>
      <c r="BC68" s="345"/>
      <c r="BD68" s="345"/>
      <c r="BE68" s="345"/>
      <c r="BF68" s="345"/>
      <c r="BG68" s="345"/>
      <c r="BH68" s="345"/>
      <c r="BI68" s="60"/>
      <c r="BJ68" s="60"/>
      <c r="BK68" s="60"/>
      <c r="BL68" s="60"/>
      <c r="BM68" s="60"/>
      <c r="BN68" s="60"/>
      <c r="BO68" s="60"/>
      <c r="BP68" s="60"/>
      <c r="BQ68" s="60"/>
      <c r="BR68" s="60"/>
      <c r="BS68" s="60"/>
      <c r="BT68" s="60"/>
      <c r="BU68" s="60"/>
      <c r="BV68" s="60"/>
      <c r="BW68" s="60"/>
      <c r="BX68" s="60"/>
      <c r="BY68" s="60"/>
      <c r="BZ68" s="60"/>
      <c r="CA68" s="60"/>
      <c r="CB68" s="60"/>
      <c r="CC68" s="60"/>
      <c r="CD68" s="60"/>
      <c r="CE68" s="60"/>
      <c r="CF68" s="60"/>
      <c r="CG68" s="60"/>
      <c r="CH68" s="60"/>
      <c r="CI68" s="60"/>
      <c r="CJ68" s="60"/>
      <c r="CK68" s="60"/>
      <c r="CL68" s="60"/>
      <c r="CM68" s="60"/>
      <c r="CN68" s="60"/>
      <c r="CO68" s="60"/>
      <c r="CP68" s="60"/>
      <c r="CQ68" s="60"/>
      <c r="CR68" s="60"/>
      <c r="CS68" s="60"/>
    </row>
    <row r="69" spans="2:97" s="89" customFormat="1" ht="13" hidden="1" customHeight="1" x14ac:dyDescent="0.3">
      <c r="B69" s="211"/>
      <c r="C69" s="211"/>
      <c r="D69" s="1319"/>
      <c r="E69" s="626"/>
      <c r="F69" s="645"/>
      <c r="G69" s="628"/>
      <c r="H69" s="633"/>
      <c r="I69" s="633"/>
      <c r="J69" s="633"/>
      <c r="K69" s="631"/>
      <c r="L69" s="627"/>
      <c r="M69" s="630"/>
      <c r="N69" s="630"/>
      <c r="O69" s="630"/>
      <c r="P69" s="630"/>
      <c r="Q69" s="632"/>
      <c r="R69" s="627"/>
      <c r="S69" s="633"/>
      <c r="T69" s="633"/>
      <c r="U69" s="633"/>
      <c r="V69" s="633"/>
      <c r="W69" s="634"/>
      <c r="X69" s="627"/>
      <c r="Y69" s="633"/>
      <c r="Z69" s="633"/>
      <c r="AA69" s="633"/>
      <c r="AB69" s="633"/>
      <c r="AC69" s="634"/>
      <c r="AD69" s="634"/>
      <c r="AE69" s="634"/>
      <c r="AF69" s="634"/>
      <c r="AG69" s="633"/>
      <c r="AH69" s="634"/>
      <c r="AI69" s="634"/>
      <c r="AJ69" s="634"/>
      <c r="AK69" s="634"/>
      <c r="AL69" s="634"/>
      <c r="AM69" s="634"/>
      <c r="AN69" s="634"/>
      <c r="AO69" s="634"/>
      <c r="AP69" s="635"/>
      <c r="AQ69" s="648"/>
      <c r="AR69" s="723"/>
      <c r="AS69" s="313"/>
      <c r="AT69" s="177"/>
      <c r="AU69" s="178"/>
      <c r="AV69" s="60"/>
      <c r="AW69" s="60"/>
      <c r="AX69" s="60"/>
      <c r="AY69" s="60"/>
      <c r="AZ69" s="60"/>
      <c r="BA69" s="60"/>
      <c r="BB69" s="60"/>
      <c r="BC69" s="345"/>
      <c r="BD69" s="345"/>
      <c r="BE69" s="345"/>
      <c r="BF69" s="345"/>
      <c r="BG69" s="345"/>
      <c r="BH69" s="345"/>
      <c r="BI69" s="60"/>
      <c r="BJ69" s="60"/>
      <c r="BK69" s="60"/>
      <c r="BL69" s="60"/>
      <c r="BM69" s="60"/>
      <c r="BN69" s="60"/>
      <c r="BO69" s="60"/>
      <c r="BP69" s="60"/>
      <c r="BQ69" s="60"/>
      <c r="BR69" s="60"/>
      <c r="BS69" s="60"/>
      <c r="BT69" s="60"/>
      <c r="BU69" s="60"/>
      <c r="BV69" s="60"/>
      <c r="BW69" s="60"/>
      <c r="BX69" s="60"/>
      <c r="BY69" s="60"/>
      <c r="BZ69" s="60"/>
      <c r="CA69" s="60"/>
      <c r="CB69" s="60"/>
      <c r="CC69" s="60"/>
      <c r="CD69" s="60"/>
      <c r="CE69" s="60"/>
      <c r="CF69" s="60"/>
      <c r="CG69" s="60"/>
      <c r="CH69" s="60"/>
      <c r="CI69" s="60"/>
      <c r="CJ69" s="60"/>
      <c r="CK69" s="60"/>
      <c r="CL69" s="60"/>
      <c r="CM69" s="60"/>
      <c r="CN69" s="60"/>
      <c r="CO69" s="60"/>
      <c r="CP69" s="60"/>
      <c r="CQ69" s="60"/>
      <c r="CR69" s="60"/>
      <c r="CS69" s="60"/>
    </row>
    <row r="70" spans="2:97" s="89" customFormat="1" ht="13" hidden="1" customHeight="1" x14ac:dyDescent="0.3">
      <c r="B70" s="211"/>
      <c r="C70" s="211"/>
      <c r="D70" s="1319"/>
      <c r="E70" s="626"/>
      <c r="F70" s="645"/>
      <c r="G70" s="628"/>
      <c r="H70" s="633"/>
      <c r="I70" s="633"/>
      <c r="J70" s="633"/>
      <c r="K70" s="631"/>
      <c r="L70" s="627"/>
      <c r="M70" s="630"/>
      <c r="N70" s="630"/>
      <c r="O70" s="630"/>
      <c r="P70" s="630"/>
      <c r="Q70" s="632"/>
      <c r="R70" s="627"/>
      <c r="S70" s="633"/>
      <c r="T70" s="633"/>
      <c r="U70" s="633"/>
      <c r="V70" s="633"/>
      <c r="W70" s="634"/>
      <c r="X70" s="627"/>
      <c r="Y70" s="633"/>
      <c r="Z70" s="633"/>
      <c r="AA70" s="633"/>
      <c r="AB70" s="633"/>
      <c r="AC70" s="634"/>
      <c r="AD70" s="634"/>
      <c r="AE70" s="634"/>
      <c r="AF70" s="634"/>
      <c r="AG70" s="633"/>
      <c r="AH70" s="634"/>
      <c r="AI70" s="634"/>
      <c r="AJ70" s="634"/>
      <c r="AK70" s="634"/>
      <c r="AL70" s="634"/>
      <c r="AM70" s="634"/>
      <c r="AN70" s="634"/>
      <c r="AO70" s="634"/>
      <c r="AP70" s="635"/>
      <c r="AQ70" s="648"/>
      <c r="AR70" s="723"/>
      <c r="AS70" s="313"/>
      <c r="AT70" s="177"/>
      <c r="AU70" s="178"/>
      <c r="AV70" s="60"/>
      <c r="AW70" s="60"/>
      <c r="AX70" s="60"/>
      <c r="AY70" s="60"/>
      <c r="AZ70" s="60"/>
      <c r="BA70" s="60"/>
      <c r="BB70" s="60"/>
      <c r="BC70" s="345"/>
      <c r="BD70" s="345"/>
      <c r="BE70" s="345"/>
      <c r="BF70" s="345"/>
      <c r="BG70" s="345"/>
      <c r="BH70" s="345"/>
      <c r="BI70" s="60"/>
      <c r="BJ70" s="60"/>
      <c r="BK70" s="60"/>
      <c r="BL70" s="60"/>
      <c r="BM70" s="60"/>
      <c r="BN70" s="60"/>
      <c r="BO70" s="60"/>
      <c r="BP70" s="60"/>
      <c r="BQ70" s="60"/>
      <c r="BR70" s="60"/>
      <c r="BS70" s="60"/>
      <c r="BT70" s="60"/>
      <c r="BU70" s="60"/>
      <c r="BV70" s="60"/>
      <c r="BW70" s="60"/>
      <c r="BX70" s="60"/>
      <c r="BY70" s="60"/>
      <c r="BZ70" s="60"/>
      <c r="CA70" s="60"/>
      <c r="CB70" s="60"/>
      <c r="CC70" s="60"/>
      <c r="CD70" s="60"/>
      <c r="CE70" s="60"/>
      <c r="CF70" s="60"/>
      <c r="CG70" s="60"/>
      <c r="CH70" s="60"/>
      <c r="CI70" s="60"/>
      <c r="CJ70" s="60"/>
      <c r="CK70" s="60"/>
      <c r="CL70" s="60"/>
      <c r="CM70" s="60"/>
      <c r="CN70" s="60"/>
      <c r="CO70" s="60"/>
      <c r="CP70" s="60"/>
      <c r="CQ70" s="60"/>
      <c r="CR70" s="60"/>
      <c r="CS70" s="60"/>
    </row>
    <row r="71" spans="2:97" s="89" customFormat="1" ht="13" hidden="1" customHeight="1" x14ac:dyDescent="0.3">
      <c r="B71" s="211"/>
      <c r="C71" s="211"/>
      <c r="D71" s="1319"/>
      <c r="E71" s="626"/>
      <c r="F71" s="645"/>
      <c r="G71" s="628"/>
      <c r="H71" s="633"/>
      <c r="I71" s="633"/>
      <c r="J71" s="633"/>
      <c r="K71" s="631"/>
      <c r="L71" s="627"/>
      <c r="M71" s="630"/>
      <c r="N71" s="630"/>
      <c r="O71" s="630"/>
      <c r="P71" s="630"/>
      <c r="Q71" s="632"/>
      <c r="R71" s="627"/>
      <c r="S71" s="633"/>
      <c r="T71" s="633"/>
      <c r="U71" s="633"/>
      <c r="V71" s="633"/>
      <c r="W71" s="634"/>
      <c r="X71" s="627"/>
      <c r="Y71" s="633"/>
      <c r="Z71" s="633"/>
      <c r="AA71" s="633"/>
      <c r="AB71" s="633"/>
      <c r="AC71" s="634"/>
      <c r="AD71" s="634"/>
      <c r="AE71" s="634"/>
      <c r="AF71" s="634"/>
      <c r="AG71" s="633"/>
      <c r="AH71" s="634"/>
      <c r="AI71" s="634"/>
      <c r="AJ71" s="634"/>
      <c r="AK71" s="634"/>
      <c r="AL71" s="634"/>
      <c r="AM71" s="634"/>
      <c r="AN71" s="634"/>
      <c r="AO71" s="634"/>
      <c r="AP71" s="635"/>
      <c r="AQ71" s="648"/>
      <c r="AR71" s="723"/>
      <c r="AS71" s="313"/>
      <c r="AT71" s="177"/>
      <c r="AU71" s="178"/>
      <c r="AV71" s="60"/>
      <c r="AW71" s="60"/>
      <c r="AX71" s="60"/>
      <c r="AY71" s="60"/>
      <c r="AZ71" s="60"/>
      <c r="BA71" s="60"/>
      <c r="BB71" s="60"/>
      <c r="BC71" s="345"/>
      <c r="BD71" s="345"/>
      <c r="BE71" s="345"/>
      <c r="BF71" s="345"/>
      <c r="BG71" s="345"/>
      <c r="BH71" s="345"/>
      <c r="BI71" s="60"/>
      <c r="BJ71" s="60"/>
      <c r="BK71" s="60"/>
      <c r="BL71" s="60"/>
      <c r="BM71" s="60"/>
      <c r="BN71" s="60"/>
      <c r="BO71" s="60"/>
      <c r="BP71" s="60"/>
      <c r="BQ71" s="60"/>
      <c r="BR71" s="60"/>
      <c r="BS71" s="60"/>
      <c r="BT71" s="60"/>
      <c r="BU71" s="60"/>
      <c r="BV71" s="60"/>
      <c r="BW71" s="60"/>
      <c r="BX71" s="60"/>
      <c r="BY71" s="60"/>
      <c r="BZ71" s="60"/>
      <c r="CA71" s="60"/>
      <c r="CB71" s="60"/>
      <c r="CC71" s="60"/>
      <c r="CD71" s="60"/>
      <c r="CE71" s="60"/>
      <c r="CF71" s="60"/>
      <c r="CG71" s="60"/>
      <c r="CH71" s="60"/>
      <c r="CI71" s="60"/>
      <c r="CJ71" s="60"/>
      <c r="CK71" s="60"/>
      <c r="CL71" s="60"/>
      <c r="CM71" s="60"/>
      <c r="CN71" s="60"/>
      <c r="CO71" s="60"/>
      <c r="CP71" s="60"/>
      <c r="CQ71" s="60"/>
      <c r="CR71" s="60"/>
      <c r="CS71" s="60"/>
    </row>
    <row r="72" spans="2:97" s="89" customFormat="1" ht="16.399999999999999" hidden="1" customHeight="1" x14ac:dyDescent="0.3">
      <c r="B72" s="211"/>
      <c r="C72" s="211"/>
      <c r="D72" s="1319"/>
      <c r="E72" s="626"/>
      <c r="F72" s="645"/>
      <c r="G72" s="628"/>
      <c r="H72" s="633"/>
      <c r="I72" s="633"/>
      <c r="J72" s="633"/>
      <c r="K72" s="631"/>
      <c r="L72" s="627"/>
      <c r="M72" s="633"/>
      <c r="N72" s="633"/>
      <c r="O72" s="633"/>
      <c r="P72" s="633"/>
      <c r="Q72" s="632"/>
      <c r="R72" s="627"/>
      <c r="S72" s="633"/>
      <c r="T72" s="633"/>
      <c r="U72" s="633"/>
      <c r="V72" s="633"/>
      <c r="W72" s="634"/>
      <c r="X72" s="627"/>
      <c r="Y72" s="633"/>
      <c r="Z72" s="633"/>
      <c r="AA72" s="633"/>
      <c r="AB72" s="633"/>
      <c r="AC72" s="634"/>
      <c r="AD72" s="634"/>
      <c r="AE72" s="634"/>
      <c r="AF72" s="634"/>
      <c r="AG72" s="633"/>
      <c r="AH72" s="634"/>
      <c r="AI72" s="634"/>
      <c r="AJ72" s="634"/>
      <c r="AK72" s="634"/>
      <c r="AL72" s="634"/>
      <c r="AM72" s="634"/>
      <c r="AN72" s="634"/>
      <c r="AO72" s="634"/>
      <c r="AP72" s="635"/>
      <c r="AQ72" s="648"/>
      <c r="AR72" s="723"/>
      <c r="AS72" s="313"/>
      <c r="AT72" s="177"/>
      <c r="AU72" s="178"/>
      <c r="AV72" s="60"/>
      <c r="AW72" s="60"/>
      <c r="AX72" s="60"/>
      <c r="AY72" s="60"/>
      <c r="AZ72" s="60"/>
      <c r="BA72" s="60"/>
      <c r="BB72" s="60"/>
      <c r="BC72" s="345"/>
      <c r="BD72" s="345"/>
      <c r="BE72" s="345"/>
      <c r="BF72" s="345"/>
      <c r="BG72" s="345"/>
      <c r="BH72" s="345"/>
      <c r="BI72" s="60"/>
      <c r="BJ72" s="60"/>
      <c r="BK72" s="60"/>
      <c r="BL72" s="60"/>
      <c r="BM72" s="60"/>
      <c r="BN72" s="60"/>
      <c r="BO72" s="60"/>
      <c r="BP72" s="60"/>
      <c r="BQ72" s="60"/>
      <c r="BR72" s="60"/>
      <c r="BS72" s="60"/>
      <c r="BT72" s="60"/>
      <c r="BU72" s="60"/>
      <c r="BV72" s="60"/>
      <c r="BW72" s="60"/>
      <c r="BX72" s="60"/>
      <c r="BY72" s="60"/>
      <c r="BZ72" s="60"/>
      <c r="CA72" s="60"/>
      <c r="CB72" s="60"/>
      <c r="CC72" s="60"/>
      <c r="CD72" s="60"/>
      <c r="CE72" s="60"/>
      <c r="CF72" s="60"/>
      <c r="CG72" s="60"/>
      <c r="CH72" s="60"/>
      <c r="CI72" s="60"/>
      <c r="CJ72" s="60"/>
      <c r="CK72" s="60"/>
      <c r="CL72" s="60"/>
      <c r="CM72" s="60"/>
      <c r="CN72" s="60"/>
      <c r="CO72" s="60"/>
      <c r="CP72" s="60"/>
      <c r="CQ72" s="60"/>
      <c r="CR72" s="60"/>
      <c r="CS72" s="60"/>
    </row>
    <row r="73" spans="2:97" s="89" customFormat="1" ht="13" hidden="1" customHeight="1" x14ac:dyDescent="0.3">
      <c r="B73" s="211"/>
      <c r="C73" s="211"/>
      <c r="D73" s="1319"/>
      <c r="E73" s="626"/>
      <c r="F73" s="645"/>
      <c r="G73" s="638"/>
      <c r="H73" s="639"/>
      <c r="I73" s="639"/>
      <c r="J73" s="639"/>
      <c r="K73" s="631"/>
      <c r="L73" s="627"/>
      <c r="M73" s="630"/>
      <c r="N73" s="630"/>
      <c r="O73" s="630"/>
      <c r="P73" s="630"/>
      <c r="Q73" s="632"/>
      <c r="R73" s="627"/>
      <c r="S73" s="633"/>
      <c r="T73" s="633"/>
      <c r="U73" s="633"/>
      <c r="V73" s="633"/>
      <c r="W73" s="634"/>
      <c r="X73" s="627"/>
      <c r="Y73" s="633"/>
      <c r="Z73" s="633"/>
      <c r="AA73" s="633"/>
      <c r="AB73" s="633"/>
      <c r="AC73" s="634"/>
      <c r="AD73" s="634"/>
      <c r="AE73" s="634"/>
      <c r="AF73" s="634"/>
      <c r="AG73" s="633"/>
      <c r="AH73" s="634"/>
      <c r="AI73" s="634"/>
      <c r="AJ73" s="634"/>
      <c r="AK73" s="634"/>
      <c r="AL73" s="634"/>
      <c r="AM73" s="634"/>
      <c r="AN73" s="634"/>
      <c r="AO73" s="634"/>
      <c r="AP73" s="635"/>
      <c r="AQ73" s="648"/>
      <c r="AR73" s="647"/>
      <c r="AS73" s="313"/>
      <c r="AT73" s="177"/>
      <c r="AU73" s="178"/>
      <c r="AV73" s="60"/>
      <c r="AW73" s="60"/>
      <c r="AX73" s="60"/>
      <c r="AY73" s="60"/>
      <c r="AZ73" s="60"/>
      <c r="BA73" s="60"/>
      <c r="BB73" s="60"/>
      <c r="BC73" s="345"/>
      <c r="BD73" s="345"/>
      <c r="BE73" s="345"/>
      <c r="BF73" s="345"/>
      <c r="BG73" s="345"/>
      <c r="BH73" s="345"/>
      <c r="BI73" s="60"/>
      <c r="BJ73" s="60"/>
      <c r="BK73" s="60"/>
      <c r="BL73" s="60"/>
      <c r="BM73" s="60"/>
      <c r="BN73" s="60"/>
      <c r="BO73" s="60"/>
      <c r="BP73" s="60"/>
      <c r="BQ73" s="60"/>
      <c r="BR73" s="60"/>
      <c r="BS73" s="60"/>
      <c r="BT73" s="60"/>
      <c r="BU73" s="60"/>
      <c r="BV73" s="60"/>
      <c r="BW73" s="60"/>
      <c r="BX73" s="60"/>
      <c r="BY73" s="60"/>
      <c r="BZ73" s="60"/>
      <c r="CA73" s="60"/>
      <c r="CB73" s="60"/>
      <c r="CC73" s="60"/>
      <c r="CD73" s="60"/>
      <c r="CE73" s="60"/>
      <c r="CF73" s="60"/>
      <c r="CG73" s="60"/>
      <c r="CH73" s="60"/>
      <c r="CI73" s="60"/>
      <c r="CJ73" s="60"/>
      <c r="CK73" s="60"/>
      <c r="CL73" s="60"/>
      <c r="CM73" s="60"/>
      <c r="CN73" s="60"/>
      <c r="CO73" s="60"/>
      <c r="CP73" s="60"/>
      <c r="CQ73" s="60"/>
      <c r="CR73" s="60"/>
      <c r="CS73" s="60"/>
    </row>
    <row r="74" spans="2:97" s="89" customFormat="1" ht="16.399999999999999" hidden="1" customHeight="1" x14ac:dyDescent="0.3">
      <c r="B74" s="211"/>
      <c r="C74" s="211"/>
      <c r="D74" s="1319"/>
      <c r="E74" s="626"/>
      <c r="F74" s="645"/>
      <c r="G74" s="628"/>
      <c r="H74" s="633"/>
      <c r="I74" s="633"/>
      <c r="J74" s="633"/>
      <c r="K74" s="631"/>
      <c r="L74" s="627"/>
      <c r="M74" s="630"/>
      <c r="N74" s="630"/>
      <c r="O74" s="630"/>
      <c r="P74" s="630"/>
      <c r="Q74" s="632"/>
      <c r="R74" s="627"/>
      <c r="S74" s="633"/>
      <c r="T74" s="633"/>
      <c r="U74" s="633"/>
      <c r="V74" s="633"/>
      <c r="W74" s="634"/>
      <c r="X74" s="627"/>
      <c r="Y74" s="633"/>
      <c r="Z74" s="633"/>
      <c r="AA74" s="633"/>
      <c r="AB74" s="633"/>
      <c r="AC74" s="634"/>
      <c r="AD74" s="634"/>
      <c r="AE74" s="634"/>
      <c r="AF74" s="634"/>
      <c r="AG74" s="633"/>
      <c r="AH74" s="634"/>
      <c r="AI74" s="634"/>
      <c r="AJ74" s="634"/>
      <c r="AK74" s="634"/>
      <c r="AL74" s="634"/>
      <c r="AM74" s="634"/>
      <c r="AN74" s="634"/>
      <c r="AO74" s="634"/>
      <c r="AP74" s="635"/>
      <c r="AQ74" s="648"/>
      <c r="AR74" s="647"/>
      <c r="AS74" s="313"/>
      <c r="AT74" s="177"/>
      <c r="AU74" s="178"/>
      <c r="AV74" s="60"/>
      <c r="AW74" s="60"/>
      <c r="AX74" s="60"/>
      <c r="AY74" s="60"/>
      <c r="AZ74" s="60"/>
      <c r="BA74" s="60"/>
      <c r="BB74" s="60"/>
      <c r="BC74" s="345"/>
      <c r="BD74" s="345"/>
      <c r="BE74" s="345"/>
      <c r="BF74" s="345"/>
      <c r="BG74" s="345"/>
      <c r="BH74" s="345"/>
      <c r="BI74" s="60"/>
      <c r="BJ74" s="60"/>
      <c r="BK74" s="60"/>
      <c r="BL74" s="60"/>
      <c r="BM74" s="60"/>
      <c r="BN74" s="60"/>
      <c r="BO74" s="60"/>
      <c r="BP74" s="60"/>
      <c r="BQ74" s="60"/>
      <c r="BR74" s="60"/>
      <c r="BS74" s="60"/>
      <c r="BT74" s="60"/>
      <c r="BU74" s="60"/>
      <c r="BV74" s="60"/>
      <c r="BW74" s="60"/>
      <c r="BX74" s="60"/>
      <c r="BY74" s="60"/>
      <c r="BZ74" s="60"/>
      <c r="CA74" s="60"/>
      <c r="CB74" s="60"/>
      <c r="CC74" s="60"/>
      <c r="CD74" s="60"/>
      <c r="CE74" s="60"/>
      <c r="CF74" s="60"/>
      <c r="CG74" s="60"/>
      <c r="CH74" s="60"/>
      <c r="CI74" s="60"/>
      <c r="CJ74" s="60"/>
      <c r="CK74" s="60"/>
      <c r="CL74" s="60"/>
      <c r="CM74" s="60"/>
      <c r="CN74" s="60"/>
      <c r="CO74" s="60"/>
      <c r="CP74" s="60"/>
      <c r="CQ74" s="60"/>
      <c r="CR74" s="60"/>
      <c r="CS74" s="60"/>
    </row>
    <row r="75" spans="2:97" s="89" customFormat="1" ht="16.399999999999999" hidden="1" customHeight="1" x14ac:dyDescent="0.3">
      <c r="B75" s="211"/>
      <c r="C75" s="211"/>
      <c r="D75" s="1319"/>
      <c r="E75" s="626"/>
      <c r="F75" s="645"/>
      <c r="G75" s="628"/>
      <c r="H75" s="633"/>
      <c r="I75" s="633"/>
      <c r="J75" s="633"/>
      <c r="K75" s="631"/>
      <c r="L75" s="627"/>
      <c r="M75" s="633"/>
      <c r="N75" s="633"/>
      <c r="O75" s="633"/>
      <c r="P75" s="633"/>
      <c r="Q75" s="632"/>
      <c r="R75" s="627"/>
      <c r="S75" s="633"/>
      <c r="T75" s="633"/>
      <c r="U75" s="633"/>
      <c r="V75" s="633"/>
      <c r="W75" s="634"/>
      <c r="X75" s="627"/>
      <c r="Y75" s="633"/>
      <c r="Z75" s="633"/>
      <c r="AA75" s="633"/>
      <c r="AB75" s="633"/>
      <c r="AC75" s="634"/>
      <c r="AD75" s="634"/>
      <c r="AE75" s="634"/>
      <c r="AF75" s="634"/>
      <c r="AG75" s="633"/>
      <c r="AH75" s="634"/>
      <c r="AI75" s="634"/>
      <c r="AJ75" s="634"/>
      <c r="AK75" s="634"/>
      <c r="AL75" s="634"/>
      <c r="AM75" s="634"/>
      <c r="AN75" s="634"/>
      <c r="AO75" s="634"/>
      <c r="AP75" s="635"/>
      <c r="AQ75" s="648"/>
      <c r="AR75" s="647"/>
      <c r="AS75" s="313"/>
      <c r="AT75" s="177"/>
      <c r="AU75" s="178"/>
      <c r="AV75" s="60"/>
      <c r="AW75" s="60"/>
      <c r="AX75" s="60"/>
      <c r="AY75" s="60"/>
      <c r="AZ75" s="60"/>
      <c r="BA75" s="60"/>
      <c r="BB75" s="60"/>
      <c r="BC75" s="345"/>
      <c r="BD75" s="345"/>
      <c r="BE75" s="345"/>
      <c r="BF75" s="345"/>
      <c r="BG75" s="345"/>
      <c r="BH75" s="345"/>
      <c r="BI75" s="60"/>
      <c r="BJ75" s="60"/>
      <c r="BK75" s="60"/>
      <c r="BL75" s="60"/>
      <c r="BM75" s="60"/>
      <c r="BN75" s="60"/>
      <c r="BO75" s="60"/>
      <c r="BP75" s="60"/>
      <c r="BQ75" s="60"/>
      <c r="BR75" s="60"/>
      <c r="BS75" s="60"/>
      <c r="BT75" s="60"/>
      <c r="BU75" s="60"/>
      <c r="BV75" s="60"/>
      <c r="BW75" s="60"/>
      <c r="BX75" s="60"/>
      <c r="BY75" s="60"/>
      <c r="BZ75" s="60"/>
      <c r="CA75" s="60"/>
      <c r="CB75" s="60"/>
      <c r="CC75" s="60"/>
      <c r="CD75" s="60"/>
      <c r="CE75" s="60"/>
      <c r="CF75" s="60"/>
      <c r="CG75" s="60"/>
      <c r="CH75" s="60"/>
      <c r="CI75" s="60"/>
      <c r="CJ75" s="60"/>
      <c r="CK75" s="60"/>
      <c r="CL75" s="60"/>
      <c r="CM75" s="60"/>
      <c r="CN75" s="60"/>
      <c r="CO75" s="60"/>
      <c r="CP75" s="60"/>
      <c r="CQ75" s="60"/>
      <c r="CR75" s="60"/>
      <c r="CS75" s="60"/>
    </row>
    <row r="76" spans="2:97" s="89" customFormat="1" ht="13" hidden="1" customHeight="1" x14ac:dyDescent="0.3">
      <c r="B76" s="211"/>
      <c r="C76" s="211"/>
      <c r="D76" s="1319"/>
      <c r="E76" s="626"/>
      <c r="F76" s="645"/>
      <c r="G76" s="628"/>
      <c r="H76" s="633"/>
      <c r="I76" s="633"/>
      <c r="J76" s="633"/>
      <c r="K76" s="631"/>
      <c r="L76" s="627"/>
      <c r="M76" s="633"/>
      <c r="N76" s="633"/>
      <c r="O76" s="633"/>
      <c r="P76" s="633"/>
      <c r="Q76" s="632"/>
      <c r="R76" s="627"/>
      <c r="S76" s="633"/>
      <c r="T76" s="633"/>
      <c r="U76" s="633"/>
      <c r="V76" s="633"/>
      <c r="W76" s="634"/>
      <c r="X76" s="627"/>
      <c r="Y76" s="633"/>
      <c r="Z76" s="633"/>
      <c r="AA76" s="633"/>
      <c r="AB76" s="633"/>
      <c r="AC76" s="634"/>
      <c r="AD76" s="634"/>
      <c r="AE76" s="634"/>
      <c r="AF76" s="634"/>
      <c r="AG76" s="633"/>
      <c r="AH76" s="634"/>
      <c r="AI76" s="634"/>
      <c r="AJ76" s="634"/>
      <c r="AK76" s="634"/>
      <c r="AL76" s="634"/>
      <c r="AM76" s="634"/>
      <c r="AN76" s="634"/>
      <c r="AO76" s="634"/>
      <c r="AP76" s="635"/>
      <c r="AQ76" s="648"/>
      <c r="AR76" s="647"/>
      <c r="AS76" s="313"/>
      <c r="AT76" s="177"/>
      <c r="AU76" s="178"/>
      <c r="AV76" s="60"/>
      <c r="AW76" s="60"/>
      <c r="AX76" s="60"/>
      <c r="AY76" s="60"/>
      <c r="AZ76" s="60"/>
      <c r="BA76" s="60"/>
      <c r="BB76" s="60"/>
      <c r="BC76" s="345"/>
      <c r="BD76" s="345"/>
      <c r="BE76" s="345"/>
      <c r="BF76" s="345"/>
      <c r="BG76" s="345"/>
      <c r="BH76" s="345"/>
      <c r="BI76" s="60"/>
      <c r="BJ76" s="60"/>
      <c r="BK76" s="60"/>
      <c r="BL76" s="60"/>
      <c r="BM76" s="60"/>
      <c r="BN76" s="60"/>
      <c r="BO76" s="60"/>
      <c r="BP76" s="60"/>
      <c r="BQ76" s="60"/>
      <c r="BR76" s="60"/>
      <c r="BS76" s="60"/>
      <c r="BT76" s="60"/>
      <c r="BU76" s="60"/>
      <c r="BV76" s="60"/>
      <c r="BW76" s="60"/>
      <c r="BX76" s="60"/>
      <c r="BY76" s="60"/>
      <c r="BZ76" s="60"/>
      <c r="CA76" s="60"/>
      <c r="CB76" s="60"/>
      <c r="CC76" s="60"/>
      <c r="CD76" s="60"/>
      <c r="CE76" s="60"/>
      <c r="CF76" s="60"/>
      <c r="CG76" s="60"/>
      <c r="CH76" s="60"/>
      <c r="CI76" s="60"/>
      <c r="CJ76" s="60"/>
      <c r="CK76" s="60"/>
      <c r="CL76" s="60"/>
      <c r="CM76" s="60"/>
      <c r="CN76" s="60"/>
      <c r="CO76" s="60"/>
      <c r="CP76" s="60"/>
      <c r="CQ76" s="60"/>
      <c r="CR76" s="60"/>
      <c r="CS76" s="60"/>
    </row>
    <row r="77" spans="2:97" s="89" customFormat="1" ht="16.399999999999999" hidden="1" customHeight="1" x14ac:dyDescent="0.3">
      <c r="B77" s="211"/>
      <c r="C77" s="211"/>
      <c r="D77" s="1319"/>
      <c r="E77" s="626"/>
      <c r="F77" s="645"/>
      <c r="G77" s="628"/>
      <c r="H77" s="633"/>
      <c r="I77" s="633"/>
      <c r="J77" s="633"/>
      <c r="K77" s="631"/>
      <c r="L77" s="627"/>
      <c r="M77" s="633"/>
      <c r="N77" s="633"/>
      <c r="O77" s="633"/>
      <c r="P77" s="633"/>
      <c r="Q77" s="632"/>
      <c r="R77" s="627"/>
      <c r="S77" s="633"/>
      <c r="T77" s="633"/>
      <c r="U77" s="633"/>
      <c r="V77" s="633"/>
      <c r="W77" s="634"/>
      <c r="X77" s="627"/>
      <c r="Y77" s="633"/>
      <c r="Z77" s="633"/>
      <c r="AA77" s="633"/>
      <c r="AB77" s="633"/>
      <c r="AC77" s="634"/>
      <c r="AD77" s="634"/>
      <c r="AE77" s="634"/>
      <c r="AF77" s="634"/>
      <c r="AG77" s="633"/>
      <c r="AH77" s="634"/>
      <c r="AI77" s="634"/>
      <c r="AJ77" s="634"/>
      <c r="AK77" s="634"/>
      <c r="AL77" s="634"/>
      <c r="AM77" s="634"/>
      <c r="AN77" s="634"/>
      <c r="AO77" s="634"/>
      <c r="AP77" s="635"/>
      <c r="AQ77" s="648"/>
      <c r="AR77" s="647"/>
      <c r="AS77" s="313"/>
      <c r="AT77" s="177"/>
      <c r="AU77" s="178"/>
      <c r="AV77" s="60"/>
      <c r="AW77" s="60"/>
      <c r="AX77" s="60"/>
      <c r="AY77" s="60"/>
      <c r="AZ77" s="60"/>
      <c r="BA77" s="60"/>
      <c r="BB77" s="60"/>
      <c r="BC77" s="345"/>
      <c r="BD77" s="345"/>
      <c r="BE77" s="345"/>
      <c r="BF77" s="345"/>
      <c r="BG77" s="345"/>
      <c r="BH77" s="345"/>
      <c r="BI77" s="60"/>
      <c r="BJ77" s="60"/>
      <c r="BK77" s="60"/>
      <c r="BL77" s="60"/>
      <c r="BM77" s="60"/>
      <c r="BN77" s="60"/>
      <c r="BO77" s="60"/>
      <c r="BP77" s="60"/>
      <c r="BQ77" s="60"/>
      <c r="BR77" s="60"/>
      <c r="BS77" s="60"/>
      <c r="BT77" s="60"/>
      <c r="BU77" s="60"/>
      <c r="BV77" s="60"/>
      <c r="BW77" s="60"/>
      <c r="BX77" s="60"/>
      <c r="BY77" s="60"/>
      <c r="BZ77" s="60"/>
      <c r="CA77" s="60"/>
      <c r="CB77" s="60"/>
      <c r="CC77" s="60"/>
      <c r="CD77" s="60"/>
      <c r="CE77" s="60"/>
      <c r="CF77" s="60"/>
      <c r="CG77" s="60"/>
      <c r="CH77" s="60"/>
      <c r="CI77" s="60"/>
      <c r="CJ77" s="60"/>
      <c r="CK77" s="60"/>
      <c r="CL77" s="60"/>
      <c r="CM77" s="60"/>
      <c r="CN77" s="60"/>
      <c r="CO77" s="60"/>
      <c r="CP77" s="60"/>
      <c r="CQ77" s="60"/>
      <c r="CR77" s="60"/>
      <c r="CS77" s="60"/>
    </row>
    <row r="78" spans="2:97" s="89" customFormat="1" ht="16.399999999999999" hidden="1" customHeight="1" thickBot="1" x14ac:dyDescent="0.35">
      <c r="B78" s="211"/>
      <c r="C78" s="211"/>
      <c r="D78" s="1320"/>
      <c r="E78" s="637"/>
      <c r="F78" s="649"/>
      <c r="G78" s="650"/>
      <c r="H78" s="641"/>
      <c r="I78" s="641"/>
      <c r="J78" s="641"/>
      <c r="K78" s="642"/>
      <c r="L78" s="640"/>
      <c r="M78" s="641"/>
      <c r="N78" s="641"/>
      <c r="O78" s="641"/>
      <c r="P78" s="641"/>
      <c r="Q78" s="643"/>
      <c r="R78" s="640"/>
      <c r="S78" s="641"/>
      <c r="T78" s="641"/>
      <c r="U78" s="641"/>
      <c r="V78" s="641"/>
      <c r="W78" s="651"/>
      <c r="X78" s="640"/>
      <c r="Y78" s="641"/>
      <c r="Z78" s="641"/>
      <c r="AA78" s="641"/>
      <c r="AB78" s="641"/>
      <c r="AC78" s="651"/>
      <c r="AD78" s="651"/>
      <c r="AE78" s="651"/>
      <c r="AF78" s="651"/>
      <c r="AG78" s="633"/>
      <c r="AH78" s="651"/>
      <c r="AI78" s="651"/>
      <c r="AJ78" s="651"/>
      <c r="AK78" s="651"/>
      <c r="AL78" s="651"/>
      <c r="AM78" s="651"/>
      <c r="AN78" s="651"/>
      <c r="AO78" s="651"/>
      <c r="AP78" s="644"/>
      <c r="AQ78" s="652"/>
      <c r="AR78" s="653"/>
      <c r="AS78" s="313"/>
      <c r="AT78" s="177"/>
      <c r="AU78" s="178"/>
      <c r="AV78" s="60"/>
      <c r="AW78" s="60"/>
      <c r="AX78" s="60"/>
      <c r="AY78" s="60"/>
      <c r="AZ78" s="60"/>
      <c r="BA78" s="60"/>
      <c r="BB78" s="60"/>
      <c r="BC78" s="345"/>
      <c r="BD78" s="345"/>
      <c r="BE78" s="345"/>
      <c r="BF78" s="345"/>
      <c r="BG78" s="345"/>
      <c r="BH78" s="345"/>
      <c r="BI78" s="60"/>
      <c r="BJ78" s="60"/>
      <c r="BK78" s="60"/>
      <c r="BL78" s="60"/>
      <c r="BM78" s="60"/>
      <c r="BN78" s="60"/>
      <c r="BO78" s="60"/>
      <c r="BP78" s="60"/>
      <c r="BQ78" s="60"/>
      <c r="BR78" s="60"/>
      <c r="BS78" s="60"/>
      <c r="BT78" s="60"/>
      <c r="BU78" s="60"/>
      <c r="BV78" s="60"/>
      <c r="BW78" s="60"/>
      <c r="BX78" s="60"/>
      <c r="BY78" s="60"/>
      <c r="BZ78" s="60"/>
      <c r="CA78" s="60"/>
      <c r="CB78" s="60"/>
      <c r="CC78" s="60"/>
      <c r="CD78" s="60"/>
      <c r="CE78" s="60"/>
      <c r="CF78" s="60"/>
      <c r="CG78" s="60"/>
      <c r="CH78" s="60"/>
      <c r="CI78" s="60"/>
      <c r="CJ78" s="60"/>
      <c r="CK78" s="60"/>
      <c r="CL78" s="60"/>
      <c r="CM78" s="60"/>
      <c r="CN78" s="60"/>
      <c r="CO78" s="60"/>
      <c r="CP78" s="60"/>
      <c r="CQ78" s="60"/>
      <c r="CR78" s="60"/>
      <c r="CS78" s="60"/>
    </row>
    <row r="79" spans="2:97" s="89" customFormat="1" ht="15" customHeight="1" x14ac:dyDescent="0.3">
      <c r="D79" s="654"/>
      <c r="E79" s="662"/>
      <c r="F79" s="655"/>
      <c r="G79" s="663"/>
      <c r="H79" s="663"/>
      <c r="I79" s="625"/>
      <c r="J79" s="664"/>
      <c r="K79" s="664"/>
      <c r="L79" s="655"/>
      <c r="M79" s="664"/>
      <c r="N79" s="664"/>
      <c r="O79" s="664"/>
      <c r="P79" s="664"/>
      <c r="Q79" s="664"/>
      <c r="R79" s="655"/>
      <c r="S79" s="664"/>
      <c r="T79" s="664"/>
      <c r="U79" s="664"/>
      <c r="V79" s="664"/>
      <c r="W79" s="664"/>
      <c r="X79" s="655"/>
      <c r="Y79" s="664"/>
      <c r="Z79" s="664"/>
      <c r="AA79" s="664"/>
      <c r="AB79" s="664"/>
      <c r="AC79" s="664"/>
      <c r="AD79" s="664"/>
      <c r="AE79" s="664"/>
      <c r="AF79" s="664"/>
      <c r="AG79" s="664"/>
      <c r="AH79" s="664"/>
      <c r="AI79" s="664"/>
      <c r="AJ79" s="664"/>
      <c r="AK79" s="664"/>
      <c r="AL79" s="664"/>
      <c r="AM79" s="664"/>
      <c r="AN79" s="664"/>
      <c r="AO79" s="664"/>
      <c r="AP79" s="659"/>
      <c r="AQ79" s="659"/>
      <c r="AR79" s="660"/>
      <c r="AT79" s="181"/>
      <c r="AU79" s="182"/>
      <c r="AV79" s="182"/>
      <c r="AW79" s="182"/>
      <c r="AX79" s="182"/>
      <c r="AY79" s="182"/>
      <c r="AZ79" s="182"/>
      <c r="BA79" s="182"/>
      <c r="BB79" s="182"/>
      <c r="BC79" s="345"/>
      <c r="BD79" s="345"/>
      <c r="BE79" s="345"/>
      <c r="BF79" s="345"/>
      <c r="BG79" s="345"/>
      <c r="BH79" s="345"/>
      <c r="BI79" s="182"/>
      <c r="BJ79" s="182"/>
      <c r="BK79" s="182"/>
    </row>
    <row r="80" spans="2:97" s="184" customFormat="1" ht="25.5" customHeight="1" thickBot="1" x14ac:dyDescent="0.4">
      <c r="B80" s="175"/>
      <c r="C80" s="175"/>
      <c r="D80" s="1348" t="s">
        <v>740</v>
      </c>
      <c r="E80" s="1348"/>
      <c r="F80" s="1348"/>
      <c r="H80" s="1304"/>
      <c r="I80" s="1304"/>
      <c r="J80" s="1304"/>
      <c r="K80" s="1304"/>
      <c r="L80" s="447"/>
      <c r="M80" s="447"/>
      <c r="N80" s="447"/>
      <c r="O80" s="447"/>
      <c r="P80" s="447"/>
      <c r="Q80" s="447"/>
      <c r="R80" s="447"/>
      <c r="S80" s="447"/>
      <c r="T80" s="447"/>
      <c r="U80" s="447"/>
      <c r="V80" s="447"/>
      <c r="W80" s="447"/>
      <c r="X80" s="447"/>
      <c r="Y80" s="447"/>
      <c r="Z80" s="447"/>
      <c r="AA80" s="447"/>
      <c r="AB80" s="447"/>
      <c r="AC80" s="447"/>
      <c r="AD80" s="447"/>
      <c r="AE80" s="447"/>
      <c r="AF80" s="447"/>
      <c r="AG80" s="447"/>
      <c r="AH80" s="447"/>
      <c r="AI80" s="447"/>
      <c r="AJ80" s="447"/>
      <c r="AK80" s="447"/>
      <c r="AL80" s="447"/>
      <c r="AM80" s="447"/>
      <c r="AN80" s="447"/>
      <c r="AO80" s="447"/>
      <c r="AP80" s="447"/>
      <c r="AQ80" s="447"/>
      <c r="AR80" s="661"/>
      <c r="AT80" s="181"/>
      <c r="AU80" s="183"/>
      <c r="AV80" s="183"/>
      <c r="AW80" s="183"/>
      <c r="AX80" s="183"/>
      <c r="AY80" s="183"/>
      <c r="AZ80" s="183"/>
      <c r="BA80" s="183"/>
      <c r="BB80" s="183"/>
      <c r="BC80" s="345"/>
      <c r="BD80" s="345"/>
      <c r="BE80" s="345"/>
      <c r="BF80" s="345"/>
      <c r="BG80" s="345"/>
      <c r="BH80" s="345"/>
      <c r="BI80" s="183"/>
      <c r="BJ80" s="183"/>
      <c r="BK80" s="183"/>
    </row>
    <row r="81" spans="1:65" s="89" customFormat="1" ht="14.15" customHeight="1" x14ac:dyDescent="0.35">
      <c r="D81" s="1332" t="str">
        <f>D14</f>
        <v>Type of health product</v>
      </c>
      <c r="E81" s="1333"/>
      <c r="F81" s="1349" t="str">
        <f>VLOOKUP("Estimated % for QA/QC (7.5)",Language!$D$1583:$G$1845,$O$1,FALSE)</f>
        <v>Estimated % for QA/QC (7.5)</v>
      </c>
      <c r="G81" s="1294" t="str">
        <f>G14</f>
        <v>2021</v>
      </c>
      <c r="H81" s="1295"/>
      <c r="I81" s="1295"/>
      <c r="J81" s="1295"/>
      <c r="K81" s="1302"/>
      <c r="L81" s="1349" t="str">
        <f>F81</f>
        <v>Estimated % for QA/QC (7.5)</v>
      </c>
      <c r="M81" s="1294" t="str">
        <f>M14</f>
        <v>2022</v>
      </c>
      <c r="N81" s="1295"/>
      <c r="O81" s="1295"/>
      <c r="P81" s="1295"/>
      <c r="Q81" s="1302"/>
      <c r="R81" s="1349" t="str">
        <f>F81</f>
        <v>Estimated % for QA/QC (7.5)</v>
      </c>
      <c r="S81" s="1294" t="str">
        <f>S14</f>
        <v>2023</v>
      </c>
      <c r="T81" s="1295"/>
      <c r="U81" s="1295"/>
      <c r="V81" s="1295"/>
      <c r="W81" s="1302"/>
      <c r="X81" s="1349" t="str">
        <f>F81</f>
        <v>Estimated % for QA/QC (7.5)</v>
      </c>
      <c r="Y81" s="1294" t="str">
        <f>Y14</f>
        <v>2024</v>
      </c>
      <c r="Z81" s="1295"/>
      <c r="AA81" s="1295"/>
      <c r="AB81" s="1295"/>
      <c r="AC81" s="1296"/>
      <c r="AD81" s="1349" t="str">
        <f>L81</f>
        <v>Estimated % for QA/QC (7.5)</v>
      </c>
      <c r="AE81" s="1294" t="str">
        <f>AE14</f>
        <v>2025</v>
      </c>
      <c r="AF81" s="1295"/>
      <c r="AG81" s="1295"/>
      <c r="AH81" s="1295"/>
      <c r="AI81" s="1296"/>
      <c r="AJ81" s="1349" t="str">
        <f>R81</f>
        <v>Estimated % for QA/QC (7.5)</v>
      </c>
      <c r="AK81" s="1294" t="str">
        <f>AK14</f>
        <v/>
      </c>
      <c r="AL81" s="1295"/>
      <c r="AM81" s="1295"/>
      <c r="AN81" s="1295"/>
      <c r="AO81" s="1296"/>
      <c r="AP81" s="1300" t="str">
        <f>AP14</f>
        <v>Total grant period</v>
      </c>
      <c r="AQ81" s="1300" t="str">
        <f>AQ14</f>
        <v>Finance</v>
      </c>
      <c r="AR81" s="1310" t="str">
        <f>AR14</f>
        <v>Comments</v>
      </c>
      <c r="AS81" s="1338"/>
      <c r="AT81"/>
      <c r="BC81" s="345"/>
      <c r="BD81" s="345"/>
      <c r="BE81" s="345"/>
      <c r="BF81" s="345"/>
      <c r="BG81" s="345"/>
      <c r="BH81" s="345"/>
    </row>
    <row r="82" spans="1:65" s="89" customFormat="1" ht="15.75" customHeight="1" thickBot="1" x14ac:dyDescent="0.4">
      <c r="D82" s="1334"/>
      <c r="E82" s="1335"/>
      <c r="F82" s="1350"/>
      <c r="G82" s="1297"/>
      <c r="H82" s="1298"/>
      <c r="I82" s="1298"/>
      <c r="J82" s="1298"/>
      <c r="K82" s="1303"/>
      <c r="L82" s="1350"/>
      <c r="M82" s="1297"/>
      <c r="N82" s="1298"/>
      <c r="O82" s="1298"/>
      <c r="P82" s="1298"/>
      <c r="Q82" s="1303"/>
      <c r="R82" s="1350"/>
      <c r="S82" s="1297"/>
      <c r="T82" s="1298"/>
      <c r="U82" s="1298"/>
      <c r="V82" s="1298"/>
      <c r="W82" s="1303"/>
      <c r="X82" s="1350"/>
      <c r="Y82" s="1297"/>
      <c r="Z82" s="1298"/>
      <c r="AA82" s="1298"/>
      <c r="AB82" s="1298"/>
      <c r="AC82" s="1299"/>
      <c r="AD82" s="1350"/>
      <c r="AE82" s="1297"/>
      <c r="AF82" s="1298"/>
      <c r="AG82" s="1298"/>
      <c r="AH82" s="1298"/>
      <c r="AI82" s="1299"/>
      <c r="AJ82" s="1350"/>
      <c r="AK82" s="1297"/>
      <c r="AL82" s="1298"/>
      <c r="AM82" s="1298"/>
      <c r="AN82" s="1298"/>
      <c r="AO82" s="1299"/>
      <c r="AP82" s="1301"/>
      <c r="AQ82" s="1301"/>
      <c r="AR82" s="1311"/>
      <c r="AS82" s="1339"/>
      <c r="AT82"/>
      <c r="BC82" s="345"/>
      <c r="BD82" s="345"/>
      <c r="BE82" s="345"/>
      <c r="BF82" s="345"/>
      <c r="BG82" s="345"/>
      <c r="BH82" s="345"/>
    </row>
    <row r="83" spans="1:65" s="174" customFormat="1" ht="42.5" customHeight="1" thickBot="1" x14ac:dyDescent="0.35">
      <c r="B83" s="209"/>
      <c r="C83" s="209"/>
      <c r="D83" s="1354"/>
      <c r="E83" s="1355"/>
      <c r="F83" s="1350"/>
      <c r="G83" s="685" t="str">
        <f>G16</f>
        <v>Y1 Q1 cost</v>
      </c>
      <c r="H83" s="932" t="str">
        <f>H16</f>
        <v>Y1 Q2 cost</v>
      </c>
      <c r="I83" s="932" t="str">
        <f>I16</f>
        <v>Y1 Q3 cost</v>
      </c>
      <c r="J83" s="932" t="str">
        <f>J16</f>
        <v>Y1 Q4 cost</v>
      </c>
      <c r="K83" s="724" t="str">
        <f>K16</f>
        <v>Y1 Total cost</v>
      </c>
      <c r="L83" s="1350"/>
      <c r="M83" s="685" t="str">
        <f>M16</f>
        <v>Y2 Q1 cost</v>
      </c>
      <c r="N83" s="932" t="str">
        <f>N16</f>
        <v>Y2 Q2 cost</v>
      </c>
      <c r="O83" s="932" t="str">
        <f>O16</f>
        <v>Y2 Q3 cost</v>
      </c>
      <c r="P83" s="932" t="str">
        <f>P16</f>
        <v>Y2 Q4 cost</v>
      </c>
      <c r="Q83" s="724" t="str">
        <f>Q16</f>
        <v>Y2 Total cost</v>
      </c>
      <c r="R83" s="1350"/>
      <c r="S83" s="685" t="str">
        <f>S16</f>
        <v>Y3 Q1 cost</v>
      </c>
      <c r="T83" s="932" t="str">
        <f>T16</f>
        <v>Y3 Q2 cost</v>
      </c>
      <c r="U83" s="932" t="str">
        <f>U16</f>
        <v>Y3 Q3 cost</v>
      </c>
      <c r="V83" s="932" t="str">
        <f>V16</f>
        <v>Y3 Q4 cost</v>
      </c>
      <c r="W83" s="724" t="str">
        <f>W16</f>
        <v>Y3 Total cost</v>
      </c>
      <c r="X83" s="1350"/>
      <c r="Y83" s="685" t="str">
        <f>Y16</f>
        <v>Y4 Q1 cost</v>
      </c>
      <c r="Z83" s="932" t="str">
        <f>Z16</f>
        <v>Y4 Q2 cost</v>
      </c>
      <c r="AA83" s="932" t="str">
        <f>AA16</f>
        <v>Y4 Q3 cost</v>
      </c>
      <c r="AB83" s="932" t="str">
        <f>AB16</f>
        <v>Y4 Q4 cost</v>
      </c>
      <c r="AC83" s="932" t="str">
        <f>AC16</f>
        <v>Y4 Total cost</v>
      </c>
      <c r="AD83" s="1350"/>
      <c r="AE83" s="932" t="str">
        <f>AE16</f>
        <v>Y5 Q1 cost</v>
      </c>
      <c r="AF83" s="932" t="str">
        <f>AF16</f>
        <v>Y5 Q2 cost</v>
      </c>
      <c r="AG83" s="932" t="str">
        <f>AG16</f>
        <v>Y5 Q3 cost</v>
      </c>
      <c r="AH83" s="932" t="str">
        <f>AH16</f>
        <v>Y5 Q4 cost</v>
      </c>
      <c r="AI83" s="932" t="str">
        <f>AI16</f>
        <v>Y5 Total cost</v>
      </c>
      <c r="AJ83" s="1350"/>
      <c r="AK83" s="932" t="str">
        <f t="shared" ref="AK83:AQ83" si="36">AK16</f>
        <v>Y6 Q1 cost</v>
      </c>
      <c r="AL83" s="932" t="str">
        <f t="shared" si="36"/>
        <v>Y6 Q2 cost</v>
      </c>
      <c r="AM83" s="932" t="str">
        <f t="shared" si="36"/>
        <v>Y6 Q3 cost</v>
      </c>
      <c r="AN83" s="932" t="str">
        <f t="shared" si="36"/>
        <v>Y6 Q4 cost</v>
      </c>
      <c r="AO83" s="932" t="str">
        <f t="shared" si="36"/>
        <v>Y6 Total cost</v>
      </c>
      <c r="AP83" s="685" t="str">
        <f t="shared" si="36"/>
        <v>Total cost</v>
      </c>
      <c r="AQ83" s="685" t="str">
        <f t="shared" si="36"/>
        <v>Cost input</v>
      </c>
      <c r="AR83" s="1311"/>
      <c r="AS83" s="1339"/>
      <c r="BC83" s="345"/>
      <c r="BD83" s="345"/>
      <c r="BE83" s="345"/>
      <c r="BF83" s="345"/>
      <c r="BG83" s="345"/>
      <c r="BH83" s="345"/>
    </row>
    <row r="84" spans="1:65" s="89" customFormat="1" ht="15" customHeight="1" thickBot="1" x14ac:dyDescent="0.4">
      <c r="A84" s="89" t="s">
        <v>216</v>
      </c>
      <c r="B84" s="211" t="s">
        <v>745</v>
      </c>
      <c r="C84" s="698" t="s">
        <v>2751</v>
      </c>
      <c r="D84" s="1313" t="s">
        <v>83</v>
      </c>
      <c r="E84" s="1009" t="s">
        <v>32</v>
      </c>
      <c r="F84" s="996">
        <v>0</v>
      </c>
      <c r="G84" s="725" cm="1">
        <f t="array" ref="G84">$F84*(SUMPRODUCT(('Cashflow Summary C19RM'!$K$5:$K$239&lt;&gt;1)*('Cashflow Summary C19RM'!$D$5:$D$239=E84)*('Cashflow Summary C19RM'!$R$5:$R$239)))</f>
        <v>0</v>
      </c>
      <c r="H84" s="977" cm="1">
        <f t="array" ref="H84">$F84*(SUMPRODUCT(('Cashflow Summary C19RM'!$K$5:$K$239&lt;&gt;1)*('Cashflow Summary C19RM'!$D$5:$D$239=E84)*('Cashflow Summary C19RM'!$S$5:$S$239)))</f>
        <v>0</v>
      </c>
      <c r="I84" s="978" cm="1">
        <f t="array" ref="I84">$F84*(SUMPRODUCT(('Cashflow Summary C19RM'!$K$5:$K$239&lt;&gt;1)*('Cashflow Summary C19RM'!$D$5:$D$239=E84)*('Cashflow Summary C19RM'!$T$5:$T$239)))</f>
        <v>0</v>
      </c>
      <c r="J84" s="978" cm="1">
        <f t="array" ref="J84">$F84*(SUMPRODUCT(('Cashflow Summary C19RM'!$K$5:$K$239&lt;&gt;1)*('Cashflow Summary C19RM'!$D$5:$D$239=E84)*('Cashflow Summary C19RM'!$U$5:$U$239)))</f>
        <v>0</v>
      </c>
      <c r="K84" s="997">
        <f t="shared" ref="K84:K125" si="37">SUM(G84:J84)</f>
        <v>0</v>
      </c>
      <c r="L84" s="981">
        <f t="shared" ref="L84:L125" si="38">F84</f>
        <v>0</v>
      </c>
      <c r="M84" s="976" cm="1">
        <f t="array" ref="M84">$L84*(SUMPRODUCT(('Cashflow Summary C19RM'!$K$5:$K$239&lt;&gt;1)*('Cashflow Summary C19RM'!$D$5:$D$239=E84)*('Cashflow Summary C19RM'!$V$5:$V$239)))</f>
        <v>0</v>
      </c>
      <c r="N84" s="977" cm="1">
        <f t="array" ref="N84">$L84*(SUMPRODUCT(('Cashflow Summary C19RM'!$K$5:$K$239&lt;&gt;1)*('Cashflow Summary C19RM'!$D$5:$D$239=E84)*('Cashflow Summary C19RM'!$W$5:$W$239)))</f>
        <v>0</v>
      </c>
      <c r="O84" s="978" cm="1">
        <f t="array" ref="O84">$L84*(SUMPRODUCT(('Cashflow Summary C19RM'!$K$5:$K$239&lt;&gt;1)*('Cashflow Summary C19RM'!$D$5:$D$239=E84)*('Cashflow Summary C19RM'!$X$5:$X$239)))</f>
        <v>0</v>
      </c>
      <c r="P84" s="978" cm="1">
        <f t="array" ref="P84">$L84*(SUMPRODUCT(('Cashflow Summary C19RM'!$K$5:$K$239&lt;&gt;1)*('Cashflow Summary C19RM'!$D$5:$D$239=E84)*('Cashflow Summary C19RM'!$Y$5:$Y$239)))</f>
        <v>0</v>
      </c>
      <c r="Q84" s="980">
        <f t="shared" ref="Q84:Q125" si="39">SUM(M84:P84)</f>
        <v>0</v>
      </c>
      <c r="R84" s="981">
        <f t="shared" ref="R84:R125" si="40">F84</f>
        <v>0</v>
      </c>
      <c r="S84" s="976" cm="1">
        <f t="array" ref="S84">$R84*(SUMPRODUCT(('Cashflow Summary C19RM'!$K$5:$K$239&lt;&gt;1)*('Cashflow Summary C19RM'!$D$5:$D$239=E84)*('Cashflow Summary C19RM'!$Z$5:$Z$239)))</f>
        <v>0</v>
      </c>
      <c r="T84" s="977" cm="1">
        <f t="array" ref="T84">$R84*(SUMPRODUCT(('Cashflow Summary C19RM'!$K$5:$K$239&lt;&gt;1)*('Cashflow Summary C19RM'!$D$5:$D$239=E84)*('Cashflow Summary C19RM'!$AA$5:$AA$239)))</f>
        <v>0</v>
      </c>
      <c r="U84" s="978" cm="1">
        <f t="array" ref="U84">$R84*(SUMPRODUCT(('Cashflow Summary C19RM'!$K$5:$K$239&lt;&gt;1)*('Cashflow Summary C19RM'!$D$5:$D$239=E84)*('Cashflow Summary C19RM'!$AB$5:$AB$239)))</f>
        <v>0</v>
      </c>
      <c r="V84" s="978" cm="1">
        <f t="array" ref="V84">$R84*(SUMPRODUCT(('Cashflow Summary C19RM'!$K$5:$K$239&lt;&gt;1)*('Cashflow Summary C19RM'!$D$5:$D$239=E84)*('Cashflow Summary C19RM'!$AC$5:$AC$239)))</f>
        <v>0</v>
      </c>
      <c r="W84" s="982">
        <f t="shared" ref="W84:W125" si="41">SUM(S84:V84)</f>
        <v>0</v>
      </c>
      <c r="X84" s="981">
        <f t="shared" ref="X84:X125" si="42">F84</f>
        <v>0</v>
      </c>
      <c r="Y84" s="976" cm="1">
        <f t="array" ref="Y84">$X84*(SUMPRODUCT(('Cashflow Summary C19RM'!$K$5:$K$239&lt;&gt;1)*('Cashflow Summary C19RM'!$D$5:$D$239=E84)*('Cashflow Summary C19RM'!$AD$5:$AD$239)))</f>
        <v>0</v>
      </c>
      <c r="Z84" s="977" cm="1">
        <f t="array" ref="Z84">$X84*(SUMPRODUCT(('Cashflow Summary C19RM'!$K$5:$K$239&lt;&gt;1)*('Cashflow Summary C19RM'!$D$5:$D$239=E84)*('Cashflow Summary C19RM'!$AE$5:$AE$239)))</f>
        <v>0</v>
      </c>
      <c r="AA84" s="978" cm="1">
        <f t="array" ref="AA84">$X84*(SUMPRODUCT(('Cashflow Summary C19RM'!$K$5:$K$239&lt;&gt;1)*('Cashflow Summary C19RM'!$D$5:$D$239=E84)*('Cashflow Summary C19RM'!$AF$5:$AF$239)))</f>
        <v>0</v>
      </c>
      <c r="AB84" s="978" cm="1">
        <f t="array" ref="AB84">$X84*(SUMPRODUCT(('Cashflow Summary C19RM'!$K$5:$K$239&lt;&gt;1)*('Cashflow Summary C19RM'!$D$5:$D$239=E84)*('Cashflow Summary C19RM'!$AG$5:$AG$239)))</f>
        <v>0</v>
      </c>
      <c r="AC84" s="982">
        <f t="shared" ref="AC84:AC125" si="43">SUM(Y84:AB84)</f>
        <v>0</v>
      </c>
      <c r="AD84" s="981">
        <f t="shared" ref="AD84:AD98" si="44">L84</f>
        <v>0</v>
      </c>
      <c r="AE84" s="725" cm="1">
        <f t="array" ref="AE84">$AD84*(SUMPRODUCT(('Cashflow Summary C19RM'!$K$5:$K$239&lt;&gt;1)*('Cashflow Summary C19RM'!$D$5:$D$239=E84)*('Cashflow Summary C19RM'!$AH$5:$AH$239)))</f>
        <v>0</v>
      </c>
      <c r="AF84" s="976" cm="1">
        <f t="array" ref="AF84">$AD84*(SUMPRODUCT(('Cashflow Summary C19RM'!$K$5:$K$239&lt;&gt;1)*('Cashflow Summary C19RM'!$D$5:$D$239=E84)*('Cashflow Summary C19RM'!$AI$5:$AI$239)))</f>
        <v>0</v>
      </c>
      <c r="AG84" s="976" cm="1">
        <f t="array" ref="AG84">$AD84*(SUMPRODUCT(('Cashflow Summary C19RM'!$K$5:$K$239&lt;&gt;1)*('Cashflow Summary C19RM'!$D$5:$D$239=E84)*('Cashflow Summary C19RM'!$AJ$5:$AJ$239)))</f>
        <v>0</v>
      </c>
      <c r="AH84" s="976" cm="1">
        <f t="array" ref="AH84">$AD84*(SUMPRODUCT(('Cashflow Summary C19RM'!$K$5:$K$239&lt;&gt;1)*('Cashflow Summary C19RM'!$D$5:$D$239=E84)*('Cashflow Summary C19RM'!$AK$5:$AO$239)))</f>
        <v>0</v>
      </c>
      <c r="AI84" s="982">
        <f t="shared" ref="AI84:AI98" si="45">SUM(AE84:AH84)</f>
        <v>0</v>
      </c>
      <c r="AJ84" s="983">
        <v>0</v>
      </c>
      <c r="AK84" s="984"/>
      <c r="AL84" s="985"/>
      <c r="AM84" s="985"/>
      <c r="AN84" s="985"/>
      <c r="AO84" s="986"/>
      <c r="AP84" s="982">
        <f>K84+Q84+W84+AC84+AI84</f>
        <v>0</v>
      </c>
      <c r="AQ84" s="987">
        <v>7.5</v>
      </c>
      <c r="AR84" s="988"/>
      <c r="AS84" s="726"/>
      <c r="AV84" s="228">
        <f t="shared" ref="AV84:AV98" si="46">F84</f>
        <v>0</v>
      </c>
      <c r="AW84" s="228">
        <f t="shared" ref="AW84:AW98" si="47">L84</f>
        <v>0</v>
      </c>
      <c r="AX84" s="228">
        <f t="shared" ref="AX84:AX98" si="48">R84</f>
        <v>0</v>
      </c>
      <c r="AY84" s="228">
        <f t="shared" ref="AY84:AY98" si="49">X84</f>
        <v>0</v>
      </c>
      <c r="AZ84" s="228">
        <f t="shared" ref="AZ84:AZ98" si="50">AD84</f>
        <v>0</v>
      </c>
      <c r="BA84" s="228"/>
      <c r="BC84" s="345" cm="1">
        <f t="array" ref="BC84">IF(BM84&gt;=1,0,IFERROR(SUMPRODUCT(($G$11:$AH$11=$BC$16)*($G84:$AH84)),0))</f>
        <v>0</v>
      </c>
      <c r="BD84" s="345" cm="1">
        <f t="array" ref="BD84">IF(BM84&gt;=1,0,IFERROR(SUMPRODUCT(($G$11:$AH$11=$BD$16)*($G84:$AH84)),0))</f>
        <v>0</v>
      </c>
      <c r="BE84" s="345" cm="1">
        <f t="array" ref="BE84">IF(BM84&gt;=1,0,IFERROR(SUMPRODUCT(($G$11:$AH$11=$BE$16)*($G84:$AH84)),0))</f>
        <v>0</v>
      </c>
      <c r="BF84" s="345" cm="1">
        <f t="array" ref="BF84">IF(BM84&gt;=1,0,IFERROR(SUMPRODUCT(($G$11:$AH$11=$BF$16)*($G84:$AH84)),0))</f>
        <v>0</v>
      </c>
      <c r="BG84" s="345" cm="1">
        <f t="array" ref="BG84">IF(BM84&gt;=1,0,IFERROR(SUMPRODUCT(($G$11:$AH$11=$BG$16)*($G84:$AH84)),0))</f>
        <v>0</v>
      </c>
      <c r="BH84" s="345"/>
      <c r="BI84" s="343">
        <f>SUM(BC84:BG84)</f>
        <v>0</v>
      </c>
      <c r="BJ84" s="229" t="s">
        <v>83</v>
      </c>
      <c r="BK84" cm="1">
        <f t="array" ref="BK84">(SUMPRODUCT(('Cashflow Summary C19RM'!$D$5:$D$451=E84)*('Cashflow Summary C19RM'!$BD$5:$BD$451)))</f>
        <v>0</v>
      </c>
      <c r="BL84" cm="1">
        <f t="array" ref="BL84">(SUMPRODUCT((SETUP!$D$20:$D$67=E84)*(SETUP!$R$20:$R$67)))</f>
        <v>0</v>
      </c>
      <c r="BM84" s="89">
        <f t="shared" ref="BM84:BM98" si="51">SUM(BK84:BL84)</f>
        <v>0</v>
      </c>
    </row>
    <row r="85" spans="1:65" s="89" customFormat="1" ht="15" customHeight="1" thickBot="1" x14ac:dyDescent="0.4">
      <c r="A85" s="89" t="s">
        <v>216</v>
      </c>
      <c r="B85" s="211" t="s">
        <v>745</v>
      </c>
      <c r="C85" s="698" t="s">
        <v>2750</v>
      </c>
      <c r="D85" s="1314"/>
      <c r="E85" s="1010" t="s">
        <v>11</v>
      </c>
      <c r="F85" s="697">
        <v>0</v>
      </c>
      <c r="G85" s="628" cm="1">
        <f t="array" ref="G85">$F85*(SUMPRODUCT(('Cashflow Summary C19RM'!$K$5:$K$239&lt;&gt;1)*('Cashflow Summary C19RM'!$D$5:$D$239=E85)*('Cashflow Summary C19RM'!$R$5:$R$239)))</f>
        <v>0</v>
      </c>
      <c r="H85" s="629" cm="1">
        <f t="array" ref="H85">$F85*(SUMPRODUCT(('Cashflow Summary C19RM'!$K$5:$K$239&lt;&gt;1)*('Cashflow Summary C19RM'!$D$5:$D$239=E85)*('Cashflow Summary C19RM'!$S$5:$S$239)))</f>
        <v>0</v>
      </c>
      <c r="I85" s="630" cm="1">
        <f t="array" ref="I85">$F85*(SUMPRODUCT(('Cashflow Summary C19RM'!$K$5:$K$239&lt;&gt;1)*('Cashflow Summary C19RM'!$D$5:$D$239=E85)*('Cashflow Summary C19RM'!$T$5:$T$239)))</f>
        <v>0</v>
      </c>
      <c r="J85" s="630" cm="1">
        <f t="array" ref="J85">$F85*(SUMPRODUCT(('Cashflow Summary C19RM'!$K$5:$K$239&lt;&gt;1)*('Cashflow Summary C19RM'!$D$5:$D$239=E85)*('Cashflow Summary C19RM'!$U$5:$U$239)))</f>
        <v>0</v>
      </c>
      <c r="K85" s="631">
        <f t="shared" si="37"/>
        <v>0</v>
      </c>
      <c r="L85" s="686">
        <f t="shared" si="38"/>
        <v>0</v>
      </c>
      <c r="M85" s="630" cm="1">
        <f t="array" ref="M85">$L85*(SUMPRODUCT(('Cashflow Summary C19RM'!$K$5:$K$239&lt;&gt;1)*('Cashflow Summary C19RM'!$D$5:$D$239=E85)*('Cashflow Summary C19RM'!$V$5:$V$239)))</f>
        <v>0</v>
      </c>
      <c r="N85" s="630" cm="1">
        <f t="array" ref="N85">$L85*(SUMPRODUCT(('Cashflow Summary C19RM'!$K$5:$K$239&lt;&gt;1)*('Cashflow Summary C19RM'!$D$5:$D$239=E85)*('Cashflow Summary C19RM'!$W$5:$W$239)))</f>
        <v>0</v>
      </c>
      <c r="O85" s="630" cm="1">
        <f t="array" ref="O85">$L85*(SUMPRODUCT(('Cashflow Summary C19RM'!$K$5:$K$239&lt;&gt;1)*('Cashflow Summary C19RM'!$D$5:$D$239=E85)*('Cashflow Summary C19RM'!$X$5:$X$239)))</f>
        <v>0</v>
      </c>
      <c r="P85" s="630" cm="1">
        <f t="array" ref="P85">$L85*(SUMPRODUCT(('Cashflow Summary C19RM'!$K$5:$K$239&lt;&gt;1)*('Cashflow Summary C19RM'!$D$5:$D$239=E85)*('Cashflow Summary C19RM'!$Y$5:$Y$239)))</f>
        <v>0</v>
      </c>
      <c r="Q85" s="632">
        <f t="shared" si="39"/>
        <v>0</v>
      </c>
      <c r="R85" s="686">
        <f t="shared" si="40"/>
        <v>0</v>
      </c>
      <c r="S85" s="633" cm="1">
        <f t="array" ref="S85">$R85*(SUMPRODUCT(('Cashflow Summary C19RM'!$K$5:$K$239&lt;&gt;1)*('Cashflow Summary C19RM'!$D$5:$D$239=E85)*('Cashflow Summary C19RM'!$Z$5:$Z$239)))</f>
        <v>0</v>
      </c>
      <c r="T85" s="633" cm="1">
        <f t="array" ref="T85">$R85*(SUMPRODUCT(('Cashflow Summary C19RM'!$K$5:$K$239&lt;&gt;1)*('Cashflow Summary C19RM'!$D$5:$D$239=E85)*('Cashflow Summary C19RM'!$AA$5:$AA$239)))</f>
        <v>0</v>
      </c>
      <c r="U85" s="633" cm="1">
        <f t="array" ref="U85">$R85*(SUMPRODUCT(('Cashflow Summary C19RM'!$K$5:$K$239&lt;&gt;1)*('Cashflow Summary C19RM'!$D$5:$D$239=E85)*('Cashflow Summary C19RM'!$AB$5:$AB$239)))</f>
        <v>0</v>
      </c>
      <c r="V85" s="633" cm="1">
        <f t="array" ref="V85">$R85*(SUMPRODUCT(('Cashflow Summary C19RM'!$K$5:$K$239&lt;&gt;1)*('Cashflow Summary C19RM'!$D$5:$D$239=E85)*('Cashflow Summary C19RM'!$AC$5:$AC$239)))</f>
        <v>0</v>
      </c>
      <c r="W85" s="634">
        <f t="shared" si="41"/>
        <v>0</v>
      </c>
      <c r="X85" s="686">
        <f t="shared" si="42"/>
        <v>0</v>
      </c>
      <c r="Y85" s="633" cm="1">
        <f t="array" ref="Y85">$X85*(SUMPRODUCT(('Cashflow Summary C19RM'!$K$5:$K$239&lt;&gt;1)*('Cashflow Summary C19RM'!$D$5:$D$239=E85)*('Cashflow Summary C19RM'!$AD$5:$AD$239)))</f>
        <v>0</v>
      </c>
      <c r="Z85" s="633" cm="1">
        <f t="array" ref="Z85">$X85*(SUMPRODUCT(('Cashflow Summary C19RM'!$K$5:$K$239&lt;&gt;1)*('Cashflow Summary C19RM'!$D$5:$D$239=E85)*('Cashflow Summary C19RM'!$AE$5:$AE$239)))</f>
        <v>0</v>
      </c>
      <c r="AA85" s="633" cm="1">
        <f t="array" ref="AA85">$X85*(SUMPRODUCT(('Cashflow Summary C19RM'!$K$5:$K$239&lt;&gt;1)*('Cashflow Summary C19RM'!$D$5:$D$239=E85)*('Cashflow Summary C19RM'!$AF$5:$AF$239)))</f>
        <v>0</v>
      </c>
      <c r="AB85" s="630" cm="1">
        <f t="array" ref="AB85">$X85*(SUMPRODUCT(('Cashflow Summary C19RM'!$K$5:$K$239&lt;&gt;1)*('Cashflow Summary C19RM'!$D$5:$D$239=E85)*('Cashflow Summary C19RM'!$AG$5:$AG$239)))</f>
        <v>0</v>
      </c>
      <c r="AC85" s="634">
        <f t="shared" si="43"/>
        <v>0</v>
      </c>
      <c r="AD85" s="686">
        <f t="shared" si="44"/>
        <v>0</v>
      </c>
      <c r="AE85" s="628" cm="1">
        <f t="array" ref="AE85">$AD85*(SUMPRODUCT(('Cashflow Summary C19RM'!$K$5:$K$239&lt;&gt;1)*('Cashflow Summary C19RM'!$D$5:$D$239=E85)*('Cashflow Summary C19RM'!$AH$5:$AH$239)))</f>
        <v>0</v>
      </c>
      <c r="AF85" s="633" cm="1">
        <f t="array" ref="AF85">$AD85*(SUMPRODUCT(('Cashflow Summary C19RM'!$K$5:$K$239&lt;&gt;1)*('Cashflow Summary C19RM'!$D$5:$D$239=E85)*('Cashflow Summary C19RM'!$AI$5:$AI$239)))</f>
        <v>0</v>
      </c>
      <c r="AG85" s="633" cm="1">
        <f t="array" ref="AG85">$AD85*(SUMPRODUCT(('Cashflow Summary C19RM'!$K$5:$K$239&lt;&gt;1)*('Cashflow Summary C19RM'!$D$5:$D$239=E85)*('Cashflow Summary C19RM'!$AJ$5:$AJ$239)))</f>
        <v>0</v>
      </c>
      <c r="AH85" s="633" cm="1">
        <f t="array" ref="AH85">$AD85*(SUMPRODUCT(('Cashflow Summary C19RM'!$K$5:$K$239&lt;&gt;1)*('Cashflow Summary C19RM'!$D$5:$D$239=E85)*('Cashflow Summary C19RM'!$AK$5:$AO$239)))</f>
        <v>0</v>
      </c>
      <c r="AI85" s="634">
        <f t="shared" si="45"/>
        <v>0</v>
      </c>
      <c r="AJ85" s="875">
        <v>0</v>
      </c>
      <c r="AK85" s="872"/>
      <c r="AL85" s="873"/>
      <c r="AM85" s="873"/>
      <c r="AN85" s="873"/>
      <c r="AO85" s="874"/>
      <c r="AP85" s="635">
        <f t="shared" ref="AP85:AP98" si="52">K85+Q85+W85+AC85+AI85</f>
        <v>0</v>
      </c>
      <c r="AQ85" s="636">
        <v>7.5</v>
      </c>
      <c r="AR85" s="707"/>
      <c r="AS85" s="726"/>
      <c r="AV85" s="228">
        <f t="shared" si="46"/>
        <v>0</v>
      </c>
      <c r="AW85" s="228">
        <f t="shared" si="47"/>
        <v>0</v>
      </c>
      <c r="AX85" s="228">
        <f t="shared" si="48"/>
        <v>0</v>
      </c>
      <c r="AY85" s="228">
        <f t="shared" si="49"/>
        <v>0</v>
      </c>
      <c r="AZ85" s="228">
        <f t="shared" si="50"/>
        <v>0</v>
      </c>
      <c r="BA85" s="228"/>
      <c r="BC85" s="345" cm="1">
        <f t="array" ref="BC85">IF(BM85&gt;=1,0,IFERROR(SUMPRODUCT(($G$11:$AH$11=$BC$16)*($G85:$AH85)),0))</f>
        <v>0</v>
      </c>
      <c r="BD85" s="345" cm="1">
        <f t="array" ref="BD85">IF(BM85&gt;=1,0,IFERROR(SUMPRODUCT(($G$11:$AH$11=$BD$16)*($G85:$AH85)),0))</f>
        <v>0</v>
      </c>
      <c r="BE85" s="345" cm="1">
        <f t="array" ref="BE85">IF(BM85&gt;=1,0,IFERROR(SUMPRODUCT(($G$11:$AH$11=$BE$16)*($G85:$AH85)),0))</f>
        <v>0</v>
      </c>
      <c r="BF85" s="345" cm="1">
        <f t="array" ref="BF85">IF(BM85&gt;=1,0,IFERROR(SUMPRODUCT(($G$11:$AH$11=$BF$16)*($G85:$AH85)),0))</f>
        <v>0</v>
      </c>
      <c r="BG85" s="345" cm="1">
        <f t="array" ref="BG85">IF(BM85&gt;=1,0,IFERROR(SUMPRODUCT(($G$11:$AH$11=$BG$16)*($G85:$AH85)),0))</f>
        <v>0</v>
      </c>
      <c r="BH85" s="345"/>
      <c r="BI85" s="343">
        <f t="shared" ref="BI85:BI98" si="53">SUM(BC85:BG85)</f>
        <v>0</v>
      </c>
      <c r="BJ85" s="229" t="s">
        <v>83</v>
      </c>
      <c r="BK85" cm="1">
        <f t="array" ref="BK85">(SUMPRODUCT(('Cashflow Summary C19RM'!$D$5:$D$451=E85)*('Cashflow Summary C19RM'!$BD$5:$BD$451)))</f>
        <v>0</v>
      </c>
      <c r="BL85" cm="1">
        <f t="array" ref="BL85">(SUMPRODUCT((SETUP!$D$20:$D$67=E85)*(SETUP!$R$20:$R$67)))</f>
        <v>0</v>
      </c>
      <c r="BM85" s="89">
        <f t="shared" si="51"/>
        <v>0</v>
      </c>
    </row>
    <row r="86" spans="1:65" s="89" customFormat="1" ht="15" customHeight="1" thickBot="1" x14ac:dyDescent="0.4">
      <c r="A86" s="89" t="s">
        <v>216</v>
      </c>
      <c r="B86" s="211" t="s">
        <v>745</v>
      </c>
      <c r="C86" s="699" t="s">
        <v>2750</v>
      </c>
      <c r="D86" s="1314"/>
      <c r="E86" s="1010" t="s">
        <v>15</v>
      </c>
      <c r="F86" s="697">
        <v>0</v>
      </c>
      <c r="G86" s="628" cm="1">
        <f t="array" ref="G86">$F86*(SUMPRODUCT(('Cashflow Summary C19RM'!$K$5:$K$239&lt;&gt;1)*('Cashflow Summary C19RM'!$D$5:$D$239=E86)*('Cashflow Summary C19RM'!$R$5:$R$239)))</f>
        <v>0</v>
      </c>
      <c r="H86" s="629" cm="1">
        <f t="array" ref="H86">$F86*(SUMPRODUCT(('Cashflow Summary C19RM'!$K$5:$K$239&lt;&gt;1)*('Cashflow Summary C19RM'!$D$5:$D$239=E86)*('Cashflow Summary C19RM'!$S$5:$S$239)))</f>
        <v>0</v>
      </c>
      <c r="I86" s="630" cm="1">
        <f t="array" ref="I86">$F86*(SUMPRODUCT(('Cashflow Summary C19RM'!$K$5:$K$239&lt;&gt;1)*('Cashflow Summary C19RM'!$D$5:$D$239=E86)*('Cashflow Summary C19RM'!$T$5:$T$239)))</f>
        <v>0</v>
      </c>
      <c r="J86" s="630" cm="1">
        <f t="array" ref="J86">$F86*(SUMPRODUCT(('Cashflow Summary C19RM'!$K$5:$K$239&lt;&gt;1)*('Cashflow Summary C19RM'!$D$5:$D$239=E86)*('Cashflow Summary C19RM'!$U$5:$U$239)))</f>
        <v>0</v>
      </c>
      <c r="K86" s="631">
        <f t="shared" si="37"/>
        <v>0</v>
      </c>
      <c r="L86" s="686">
        <f t="shared" si="38"/>
        <v>0</v>
      </c>
      <c r="M86" s="630" cm="1">
        <f t="array" ref="M86">$L86*(SUMPRODUCT(('Cashflow Summary C19RM'!$K$5:$K$239&lt;&gt;1)*('Cashflow Summary C19RM'!$D$5:$D$239=E86)*('Cashflow Summary C19RM'!$V$5:$V$239)))</f>
        <v>0</v>
      </c>
      <c r="N86" s="630" cm="1">
        <f t="array" ref="N86">$L86*(SUMPRODUCT(('Cashflow Summary C19RM'!$K$5:$K$239&lt;&gt;1)*('Cashflow Summary C19RM'!$D$5:$D$239=E86)*('Cashflow Summary C19RM'!$W$5:$W$239)))</f>
        <v>0</v>
      </c>
      <c r="O86" s="630" cm="1">
        <f t="array" ref="O86">$L86*(SUMPRODUCT(('Cashflow Summary C19RM'!$K$5:$K$239&lt;&gt;1)*('Cashflow Summary C19RM'!$D$5:$D$239=E86)*('Cashflow Summary C19RM'!$X$5:$X$239)))</f>
        <v>0</v>
      </c>
      <c r="P86" s="630" cm="1">
        <f t="array" ref="P86">$L86*(SUMPRODUCT(('Cashflow Summary C19RM'!$K$5:$K$239&lt;&gt;1)*('Cashflow Summary C19RM'!$D$5:$D$239=E86)*('Cashflow Summary C19RM'!$Y$5:$Y$239)))</f>
        <v>0</v>
      </c>
      <c r="Q86" s="632">
        <f t="shared" si="39"/>
        <v>0</v>
      </c>
      <c r="R86" s="686">
        <f t="shared" si="40"/>
        <v>0</v>
      </c>
      <c r="S86" s="633" cm="1">
        <f t="array" ref="S86">$R86*(SUMPRODUCT(('Cashflow Summary C19RM'!$K$5:$K$239&lt;&gt;1)*('Cashflow Summary C19RM'!$D$5:$D$239=E86)*('Cashflow Summary C19RM'!$Z$5:$Z$239)))</f>
        <v>0</v>
      </c>
      <c r="T86" s="633" cm="1">
        <f t="array" ref="T86">$R86*(SUMPRODUCT(('Cashflow Summary C19RM'!$K$5:$K$239&lt;&gt;1)*('Cashflow Summary C19RM'!$D$5:$D$239=E86)*('Cashflow Summary C19RM'!$AA$5:$AA$239)))</f>
        <v>0</v>
      </c>
      <c r="U86" s="633" cm="1">
        <f t="array" ref="U86">$R86*(SUMPRODUCT(('Cashflow Summary C19RM'!$K$5:$K$239&lt;&gt;1)*('Cashflow Summary C19RM'!$D$5:$D$239=E86)*('Cashflow Summary C19RM'!$AB$5:$AB$239)))</f>
        <v>0</v>
      </c>
      <c r="V86" s="633" cm="1">
        <f t="array" ref="V86">$R86*(SUMPRODUCT(('Cashflow Summary C19RM'!$K$5:$K$239&lt;&gt;1)*('Cashflow Summary C19RM'!$D$5:$D$239=E86)*('Cashflow Summary C19RM'!$AC$5:$AC$239)))</f>
        <v>0</v>
      </c>
      <c r="W86" s="634">
        <f t="shared" si="41"/>
        <v>0</v>
      </c>
      <c r="X86" s="686">
        <f t="shared" si="42"/>
        <v>0</v>
      </c>
      <c r="Y86" s="633" cm="1">
        <f t="array" ref="Y86">$X86*(SUMPRODUCT(('Cashflow Summary C19RM'!$K$5:$K$239&lt;&gt;1)*('Cashflow Summary C19RM'!$D$5:$D$239=E86)*('Cashflow Summary C19RM'!$AD$5:$AD$239)))</f>
        <v>0</v>
      </c>
      <c r="Z86" s="633" cm="1">
        <f t="array" ref="Z86">$X86*(SUMPRODUCT(('Cashflow Summary C19RM'!$K$5:$K$239&lt;&gt;1)*('Cashflow Summary C19RM'!$D$5:$D$239=E86)*('Cashflow Summary C19RM'!$AE$5:$AE$239)))</f>
        <v>0</v>
      </c>
      <c r="AA86" s="633" cm="1">
        <f t="array" ref="AA86">$X86*(SUMPRODUCT(('Cashflow Summary C19RM'!$K$5:$K$239&lt;&gt;1)*('Cashflow Summary C19RM'!$D$5:$D$239=E86)*('Cashflow Summary C19RM'!$AF$5:$AF$239)))</f>
        <v>0</v>
      </c>
      <c r="AB86" s="630" cm="1">
        <f t="array" ref="AB86">$X86*(SUMPRODUCT(('Cashflow Summary C19RM'!$K$5:$K$239&lt;&gt;1)*('Cashflow Summary C19RM'!$D$5:$D$239=E86)*('Cashflow Summary C19RM'!$AG$5:$AG$239)))</f>
        <v>0</v>
      </c>
      <c r="AC86" s="634">
        <f t="shared" si="43"/>
        <v>0</v>
      </c>
      <c r="AD86" s="686">
        <f t="shared" si="44"/>
        <v>0</v>
      </c>
      <c r="AE86" s="628" cm="1">
        <f t="array" ref="AE86">$AD86*(SUMPRODUCT(('Cashflow Summary C19RM'!$K$5:$K$239&lt;&gt;1)*('Cashflow Summary C19RM'!$D$5:$D$239=E86)*('Cashflow Summary C19RM'!$AH$5:$AH$239)))</f>
        <v>0</v>
      </c>
      <c r="AF86" s="633" cm="1">
        <f t="array" ref="AF86">$AD86*(SUMPRODUCT(('Cashflow Summary C19RM'!$K$5:$K$239&lt;&gt;1)*('Cashflow Summary C19RM'!$D$5:$D$239=E86)*('Cashflow Summary C19RM'!$AI$5:$AI$239)))</f>
        <v>0</v>
      </c>
      <c r="AG86" s="633" cm="1">
        <f t="array" ref="AG86">$AD86*(SUMPRODUCT(('Cashflow Summary C19RM'!$K$5:$K$239&lt;&gt;1)*('Cashflow Summary C19RM'!$D$5:$D$239=E86)*('Cashflow Summary C19RM'!$AJ$5:$AJ$239)))</f>
        <v>0</v>
      </c>
      <c r="AH86" s="633" cm="1">
        <f t="array" ref="AH86">$AD86*(SUMPRODUCT(('Cashflow Summary C19RM'!$K$5:$K$239&lt;&gt;1)*('Cashflow Summary C19RM'!$D$5:$D$239=E86)*('Cashflow Summary C19RM'!$AK$5:$AO$239)))</f>
        <v>0</v>
      </c>
      <c r="AI86" s="634">
        <f t="shared" si="45"/>
        <v>0</v>
      </c>
      <c r="AJ86" s="875">
        <v>0</v>
      </c>
      <c r="AK86" s="872"/>
      <c r="AL86" s="873"/>
      <c r="AM86" s="873"/>
      <c r="AN86" s="873"/>
      <c r="AO86" s="874"/>
      <c r="AP86" s="635">
        <f t="shared" si="52"/>
        <v>0</v>
      </c>
      <c r="AQ86" s="636">
        <v>7.5</v>
      </c>
      <c r="AR86" s="707"/>
      <c r="AS86" s="726"/>
      <c r="AV86" s="228">
        <f t="shared" si="46"/>
        <v>0</v>
      </c>
      <c r="AW86" s="228">
        <f t="shared" si="47"/>
        <v>0</v>
      </c>
      <c r="AX86" s="228">
        <f t="shared" si="48"/>
        <v>0</v>
      </c>
      <c r="AY86" s="228">
        <f t="shared" si="49"/>
        <v>0</v>
      </c>
      <c r="AZ86" s="228">
        <f t="shared" si="50"/>
        <v>0</v>
      </c>
      <c r="BA86" s="228"/>
      <c r="BC86" s="345" cm="1">
        <f t="array" ref="BC86">IF(BM86&gt;=1,0,IFERROR(SUMPRODUCT(($G$11:$AH$11=$BC$16)*($G86:$AH86)),0))</f>
        <v>0</v>
      </c>
      <c r="BD86" s="345" cm="1">
        <f t="array" ref="BD86">IF(BM86&gt;=1,0,IFERROR(SUMPRODUCT(($G$11:$AH$11=$BD$16)*($G86:$AH86)),0))</f>
        <v>0</v>
      </c>
      <c r="BE86" s="345" cm="1">
        <f t="array" ref="BE86">IF(BM86&gt;=1,0,IFERROR(SUMPRODUCT(($G$11:$AH$11=$BE$16)*($G86:$AH86)),0))</f>
        <v>0</v>
      </c>
      <c r="BF86" s="345" cm="1">
        <f t="array" ref="BF86">IF(BM86&gt;=1,0,IFERROR(SUMPRODUCT(($G$11:$AH$11=$BF$16)*($G86:$AH86)),0))</f>
        <v>0</v>
      </c>
      <c r="BG86" s="345" cm="1">
        <f t="array" ref="BG86">IF(BM86&gt;=1,0,IFERROR(SUMPRODUCT(($G$11:$AH$11=$BG$16)*($G86:$AH86)),0))</f>
        <v>0</v>
      </c>
      <c r="BH86" s="345"/>
      <c r="BI86" s="343">
        <f t="shared" si="53"/>
        <v>0</v>
      </c>
      <c r="BJ86" s="229" t="s">
        <v>83</v>
      </c>
      <c r="BK86" cm="1">
        <f t="array" ref="BK86">(SUMPRODUCT(('Cashflow Summary C19RM'!$D$5:$D$451=E86)*('Cashflow Summary C19RM'!$BD$5:$BD$451)))</f>
        <v>0</v>
      </c>
      <c r="BL86" cm="1">
        <f t="array" ref="BL86">(SUMPRODUCT((SETUP!$D$20:$D$67=E86)*(SETUP!$R$20:$R$67)))</f>
        <v>0</v>
      </c>
      <c r="BM86" s="89">
        <f t="shared" si="51"/>
        <v>0</v>
      </c>
    </row>
    <row r="87" spans="1:65" s="89" customFormat="1" ht="15" customHeight="1" thickBot="1" x14ac:dyDescent="0.4">
      <c r="A87" s="89" t="s">
        <v>216</v>
      </c>
      <c r="B87" s="211" t="s">
        <v>745</v>
      </c>
      <c r="C87" s="699" t="s">
        <v>2750</v>
      </c>
      <c r="D87" s="1314"/>
      <c r="E87" s="1010" t="s">
        <v>13</v>
      </c>
      <c r="F87" s="697">
        <v>0</v>
      </c>
      <c r="G87" s="628" cm="1">
        <f t="array" ref="G87">$F87*(SUMPRODUCT(('Cashflow Summary C19RM'!$K$5:$K$239&lt;&gt;1)*('Cashflow Summary C19RM'!$D$5:$D$239=E87)*('Cashflow Summary C19RM'!$R$5:$R$239)))</f>
        <v>0</v>
      </c>
      <c r="H87" s="629" cm="1">
        <f t="array" ref="H87">$F87*(SUMPRODUCT(('Cashflow Summary C19RM'!$K$5:$K$239&lt;&gt;1)*('Cashflow Summary C19RM'!$D$5:$D$239=E87)*('Cashflow Summary C19RM'!$S$5:$S$239)))</f>
        <v>0</v>
      </c>
      <c r="I87" s="630" cm="1">
        <f t="array" ref="I87">$F87*(SUMPRODUCT(('Cashflow Summary C19RM'!$K$5:$K$239&lt;&gt;1)*('Cashflow Summary C19RM'!$D$5:$D$239=E87)*('Cashflow Summary C19RM'!$T$5:$T$239)))</f>
        <v>0</v>
      </c>
      <c r="J87" s="630" cm="1">
        <f t="array" ref="J87">$F87*(SUMPRODUCT(('Cashflow Summary C19RM'!$K$5:$K$239&lt;&gt;1)*('Cashflow Summary C19RM'!$D$5:$D$239=E87)*('Cashflow Summary C19RM'!$U$5:$U$239)))</f>
        <v>0</v>
      </c>
      <c r="K87" s="631">
        <f t="shared" si="37"/>
        <v>0</v>
      </c>
      <c r="L87" s="686">
        <f t="shared" si="38"/>
        <v>0</v>
      </c>
      <c r="M87" s="630" cm="1">
        <f t="array" ref="M87">$L87*(SUMPRODUCT(('Cashflow Summary C19RM'!$K$5:$K$239&lt;&gt;1)*('Cashflow Summary C19RM'!$D$5:$D$239=E87)*('Cashflow Summary C19RM'!$V$5:$V$239)))</f>
        <v>0</v>
      </c>
      <c r="N87" s="630" cm="1">
        <f t="array" ref="N87">$L87*(SUMPRODUCT(('Cashflow Summary C19RM'!$K$5:$K$239&lt;&gt;1)*('Cashflow Summary C19RM'!$D$5:$D$239=E87)*('Cashflow Summary C19RM'!$W$5:$W$239)))</f>
        <v>0</v>
      </c>
      <c r="O87" s="630" cm="1">
        <f t="array" ref="O87">$L87*(SUMPRODUCT(('Cashflow Summary C19RM'!$K$5:$K$239&lt;&gt;1)*('Cashflow Summary C19RM'!$D$5:$D$239=E87)*('Cashflow Summary C19RM'!$X$5:$X$239)))</f>
        <v>0</v>
      </c>
      <c r="P87" s="630" cm="1">
        <f t="array" ref="P87">$L87*(SUMPRODUCT(('Cashflow Summary C19RM'!$K$5:$K$239&lt;&gt;1)*('Cashflow Summary C19RM'!$D$5:$D$239=E87)*('Cashflow Summary C19RM'!$Y$5:$Y$239)))</f>
        <v>0</v>
      </c>
      <c r="Q87" s="632">
        <f t="shared" si="39"/>
        <v>0</v>
      </c>
      <c r="R87" s="686">
        <f t="shared" si="40"/>
        <v>0</v>
      </c>
      <c r="S87" s="633" cm="1">
        <f t="array" ref="S87">$R87*(SUMPRODUCT(('Cashflow Summary C19RM'!$K$5:$K$239&lt;&gt;1)*('Cashflow Summary C19RM'!$D$5:$D$239=E87)*('Cashflow Summary C19RM'!$Z$5:$Z$239)))</f>
        <v>0</v>
      </c>
      <c r="T87" s="633" cm="1">
        <f t="array" ref="T87">$R87*(SUMPRODUCT(('Cashflow Summary C19RM'!$K$5:$K$239&lt;&gt;1)*('Cashflow Summary C19RM'!$D$5:$D$239=E87)*('Cashflow Summary C19RM'!$AA$5:$AA$239)))</f>
        <v>0</v>
      </c>
      <c r="U87" s="633" cm="1">
        <f t="array" ref="U87">$R87*(SUMPRODUCT(('Cashflow Summary C19RM'!$K$5:$K$239&lt;&gt;1)*('Cashflow Summary C19RM'!$D$5:$D$239=E87)*('Cashflow Summary C19RM'!$AB$5:$AB$239)))</f>
        <v>0</v>
      </c>
      <c r="V87" s="633" cm="1">
        <f t="array" ref="V87">$R87*(SUMPRODUCT(('Cashflow Summary C19RM'!$K$5:$K$239&lt;&gt;1)*('Cashflow Summary C19RM'!$D$5:$D$239=E87)*('Cashflow Summary C19RM'!$AC$5:$AC$239)))</f>
        <v>0</v>
      </c>
      <c r="W87" s="634">
        <f t="shared" si="41"/>
        <v>0</v>
      </c>
      <c r="X87" s="686">
        <f t="shared" si="42"/>
        <v>0</v>
      </c>
      <c r="Y87" s="633" cm="1">
        <f t="array" ref="Y87">$X87*(SUMPRODUCT(('Cashflow Summary C19RM'!$K$5:$K$239&lt;&gt;1)*('Cashflow Summary C19RM'!$D$5:$D$239=E87)*('Cashflow Summary C19RM'!$AD$5:$AD$239)))</f>
        <v>0</v>
      </c>
      <c r="Z87" s="633" cm="1">
        <f t="array" ref="Z87">$X87*(SUMPRODUCT(('Cashflow Summary C19RM'!$K$5:$K$239&lt;&gt;1)*('Cashflow Summary C19RM'!$D$5:$D$239=E87)*('Cashflow Summary C19RM'!$AE$5:$AE$239)))</f>
        <v>0</v>
      </c>
      <c r="AA87" s="633" cm="1">
        <f t="array" ref="AA87">$X87*(SUMPRODUCT(('Cashflow Summary C19RM'!$K$5:$K$239&lt;&gt;1)*('Cashflow Summary C19RM'!$D$5:$D$239=E87)*('Cashflow Summary C19RM'!$AF$5:$AF$239)))</f>
        <v>0</v>
      </c>
      <c r="AB87" s="630" cm="1">
        <f t="array" ref="AB87">$X87*(SUMPRODUCT(('Cashflow Summary C19RM'!$K$5:$K$239&lt;&gt;1)*('Cashflow Summary C19RM'!$D$5:$D$239=E87)*('Cashflow Summary C19RM'!$AG$5:$AG$239)))</f>
        <v>0</v>
      </c>
      <c r="AC87" s="634">
        <f t="shared" si="43"/>
        <v>0</v>
      </c>
      <c r="AD87" s="686">
        <f t="shared" si="44"/>
        <v>0</v>
      </c>
      <c r="AE87" s="628" cm="1">
        <f t="array" ref="AE87">$AD87*(SUMPRODUCT(('Cashflow Summary C19RM'!$K$5:$K$239&lt;&gt;1)*('Cashflow Summary C19RM'!$D$5:$D$239=E87)*('Cashflow Summary C19RM'!$AH$5:$AH$239)))</f>
        <v>0</v>
      </c>
      <c r="AF87" s="633" cm="1">
        <f t="array" ref="AF87">$AD87*(SUMPRODUCT(('Cashflow Summary C19RM'!$K$5:$K$239&lt;&gt;1)*('Cashflow Summary C19RM'!$D$5:$D$239=E87)*('Cashflow Summary C19RM'!$AI$5:$AI$239)))</f>
        <v>0</v>
      </c>
      <c r="AG87" s="633" cm="1">
        <f t="array" ref="AG87">$AD87*(SUMPRODUCT(('Cashflow Summary C19RM'!$K$5:$K$239&lt;&gt;1)*('Cashflow Summary C19RM'!$D$5:$D$239=E87)*('Cashflow Summary C19RM'!$AJ$5:$AJ$239)))</f>
        <v>0</v>
      </c>
      <c r="AH87" s="633" cm="1">
        <f t="array" ref="AH87">$AD87*(SUMPRODUCT(('Cashflow Summary C19RM'!$K$5:$K$239&lt;&gt;1)*('Cashflow Summary C19RM'!$D$5:$D$239=E87)*('Cashflow Summary C19RM'!$AK$5:$AO$239)))</f>
        <v>0</v>
      </c>
      <c r="AI87" s="634">
        <f t="shared" si="45"/>
        <v>0</v>
      </c>
      <c r="AJ87" s="875">
        <v>0</v>
      </c>
      <c r="AK87" s="872"/>
      <c r="AL87" s="873"/>
      <c r="AM87" s="873"/>
      <c r="AN87" s="873"/>
      <c r="AO87" s="874"/>
      <c r="AP87" s="635">
        <f t="shared" si="52"/>
        <v>0</v>
      </c>
      <c r="AQ87" s="636">
        <v>7.5</v>
      </c>
      <c r="AR87" s="707"/>
      <c r="AS87" s="726"/>
      <c r="AV87" s="228">
        <f t="shared" si="46"/>
        <v>0</v>
      </c>
      <c r="AW87" s="228">
        <f t="shared" si="47"/>
        <v>0</v>
      </c>
      <c r="AX87" s="228">
        <f t="shared" si="48"/>
        <v>0</v>
      </c>
      <c r="AY87" s="228">
        <f t="shared" si="49"/>
        <v>0</v>
      </c>
      <c r="AZ87" s="228">
        <f t="shared" si="50"/>
        <v>0</v>
      </c>
      <c r="BA87" s="228"/>
      <c r="BC87" s="345" cm="1">
        <f t="array" ref="BC87">IF(BM87&gt;=1,0,IFERROR(SUMPRODUCT(($G$11:$AH$11=$BC$16)*($G87:$AH87)),0))</f>
        <v>0</v>
      </c>
      <c r="BD87" s="345" cm="1">
        <f t="array" ref="BD87">IF(BM87&gt;=1,0,IFERROR(SUMPRODUCT(($G$11:$AH$11=$BD$16)*($G87:$AH87)),0))</f>
        <v>0</v>
      </c>
      <c r="BE87" s="345" cm="1">
        <f t="array" ref="BE87">IF(BM87&gt;=1,0,IFERROR(SUMPRODUCT(($G$11:$AH$11=$BE$16)*($G87:$AH87)),0))</f>
        <v>0</v>
      </c>
      <c r="BF87" s="345" cm="1">
        <f t="array" ref="BF87">IF(BM87&gt;=1,0,IFERROR(SUMPRODUCT(($G$11:$AH$11=$BF$16)*($G87:$AH87)),0))</f>
        <v>0</v>
      </c>
      <c r="BG87" s="345" cm="1">
        <f t="array" ref="BG87">IF(BM87&gt;=1,0,IFERROR(SUMPRODUCT(($G$11:$AH$11=$BG$16)*($G87:$AH87)),0))</f>
        <v>0</v>
      </c>
      <c r="BH87" s="345"/>
      <c r="BI87" s="343">
        <f t="shared" si="53"/>
        <v>0</v>
      </c>
      <c r="BJ87" s="229" t="s">
        <v>83</v>
      </c>
      <c r="BK87" cm="1">
        <f t="array" ref="BK87">(SUMPRODUCT(('Cashflow Summary C19RM'!$D$5:$D$451=E87)*('Cashflow Summary C19RM'!$BD$5:$BD$451)))</f>
        <v>0</v>
      </c>
      <c r="BL87" cm="1">
        <f t="array" ref="BL87">(SUMPRODUCT((SETUP!$D$20:$D$67=E87)*(SETUP!$R$20:$R$67)))</f>
        <v>0</v>
      </c>
      <c r="BM87" s="89">
        <f t="shared" si="51"/>
        <v>0</v>
      </c>
    </row>
    <row r="88" spans="1:65" s="89" customFormat="1" ht="15" customHeight="1" thickBot="1" x14ac:dyDescent="0.4">
      <c r="A88" s="89" t="s">
        <v>216</v>
      </c>
      <c r="B88" s="211" t="s">
        <v>745</v>
      </c>
      <c r="C88" s="699" t="s">
        <v>2750</v>
      </c>
      <c r="D88" s="1314"/>
      <c r="E88" s="1010" t="s">
        <v>17</v>
      </c>
      <c r="F88" s="697">
        <v>0</v>
      </c>
      <c r="G88" s="628" cm="1">
        <f t="array" ref="G88">$F88*(SUMPRODUCT(('Cashflow Summary C19RM'!$K$5:$K$239&lt;&gt;1)*('Cashflow Summary C19RM'!$D$5:$D$239=E88)*('Cashflow Summary C19RM'!$R$5:$R$239)))</f>
        <v>0</v>
      </c>
      <c r="H88" s="629" cm="1">
        <f t="array" ref="H88">$F88*(SUMPRODUCT(('Cashflow Summary C19RM'!$K$5:$K$239&lt;&gt;1)*('Cashflow Summary C19RM'!$D$5:$D$239=E88)*('Cashflow Summary C19RM'!$S$5:$S$239)))</f>
        <v>0</v>
      </c>
      <c r="I88" s="630" cm="1">
        <f t="array" ref="I88">$F88*(SUMPRODUCT(('Cashflow Summary C19RM'!$K$5:$K$239&lt;&gt;1)*('Cashflow Summary C19RM'!$D$5:$D$239=E88)*('Cashflow Summary C19RM'!$T$5:$T$239)))</f>
        <v>0</v>
      </c>
      <c r="J88" s="630" cm="1">
        <f t="array" ref="J88">$F88*(SUMPRODUCT(('Cashflow Summary C19RM'!$K$5:$K$239&lt;&gt;1)*('Cashflow Summary C19RM'!$D$5:$D$239=E88)*('Cashflow Summary C19RM'!$U$5:$U$239)))</f>
        <v>0</v>
      </c>
      <c r="K88" s="631">
        <f t="shared" si="37"/>
        <v>0</v>
      </c>
      <c r="L88" s="686">
        <f t="shared" si="38"/>
        <v>0</v>
      </c>
      <c r="M88" s="630" cm="1">
        <f t="array" ref="M88">$L88*(SUMPRODUCT(('Cashflow Summary C19RM'!$K$5:$K$239&lt;&gt;1)*('Cashflow Summary C19RM'!$D$5:$D$239=E88)*('Cashflow Summary C19RM'!$V$5:$V$239)))</f>
        <v>0</v>
      </c>
      <c r="N88" s="630" cm="1">
        <f t="array" ref="N88">$L88*(SUMPRODUCT(('Cashflow Summary C19RM'!$K$5:$K$239&lt;&gt;1)*('Cashflow Summary C19RM'!$D$5:$D$239=E88)*('Cashflow Summary C19RM'!$W$5:$W$239)))</f>
        <v>0</v>
      </c>
      <c r="O88" s="630" cm="1">
        <f t="array" ref="O88">$L88*(SUMPRODUCT(('Cashflow Summary C19RM'!$K$5:$K$239&lt;&gt;1)*('Cashflow Summary C19RM'!$D$5:$D$239=E88)*('Cashflow Summary C19RM'!$X$5:$X$239)))</f>
        <v>0</v>
      </c>
      <c r="P88" s="630" cm="1">
        <f t="array" ref="P88">$L88*(SUMPRODUCT(('Cashflow Summary C19RM'!$K$5:$K$239&lt;&gt;1)*('Cashflow Summary C19RM'!$D$5:$D$239=E88)*('Cashflow Summary C19RM'!$Y$5:$Y$239)))</f>
        <v>0</v>
      </c>
      <c r="Q88" s="632">
        <f t="shared" si="39"/>
        <v>0</v>
      </c>
      <c r="R88" s="686">
        <f t="shared" si="40"/>
        <v>0</v>
      </c>
      <c r="S88" s="633" cm="1">
        <f t="array" ref="S88">$R88*(SUMPRODUCT(('Cashflow Summary C19RM'!$K$5:$K$239&lt;&gt;1)*('Cashflow Summary C19RM'!$D$5:$D$239=E88)*('Cashflow Summary C19RM'!$Z$5:$Z$239)))</f>
        <v>0</v>
      </c>
      <c r="T88" s="633" cm="1">
        <f t="array" ref="T88">$R88*(SUMPRODUCT(('Cashflow Summary C19RM'!$K$5:$K$239&lt;&gt;1)*('Cashflow Summary C19RM'!$D$5:$D$239=E88)*('Cashflow Summary C19RM'!$AA$5:$AA$239)))</f>
        <v>0</v>
      </c>
      <c r="U88" s="633" cm="1">
        <f t="array" ref="U88">$R88*(SUMPRODUCT(('Cashflow Summary C19RM'!$K$5:$K$239&lt;&gt;1)*('Cashflow Summary C19RM'!$D$5:$D$239=E88)*('Cashflow Summary C19RM'!$AB$5:$AB$239)))</f>
        <v>0</v>
      </c>
      <c r="V88" s="633" cm="1">
        <f t="array" ref="V88">$R88*(SUMPRODUCT(('Cashflow Summary C19RM'!$K$5:$K$239&lt;&gt;1)*('Cashflow Summary C19RM'!$D$5:$D$239=E88)*('Cashflow Summary C19RM'!$AC$5:$AC$239)))</f>
        <v>0</v>
      </c>
      <c r="W88" s="634">
        <f t="shared" si="41"/>
        <v>0</v>
      </c>
      <c r="X88" s="686">
        <f t="shared" si="42"/>
        <v>0</v>
      </c>
      <c r="Y88" s="633" cm="1">
        <f t="array" ref="Y88">$X88*(SUMPRODUCT(('Cashflow Summary C19RM'!$K$5:$K$239&lt;&gt;1)*('Cashflow Summary C19RM'!$D$5:$D$239=E88)*('Cashflow Summary C19RM'!$AD$5:$AD$239)))</f>
        <v>0</v>
      </c>
      <c r="Z88" s="633" cm="1">
        <f t="array" ref="Z88">$X88*(SUMPRODUCT(('Cashflow Summary C19RM'!$K$5:$K$239&lt;&gt;1)*('Cashflow Summary C19RM'!$D$5:$D$239=E88)*('Cashflow Summary C19RM'!$AE$5:$AE$239)))</f>
        <v>0</v>
      </c>
      <c r="AA88" s="633" cm="1">
        <f t="array" ref="AA88">$X88*(SUMPRODUCT(('Cashflow Summary C19RM'!$K$5:$K$239&lt;&gt;1)*('Cashflow Summary C19RM'!$D$5:$D$239=E88)*('Cashflow Summary C19RM'!$AF$5:$AF$239)))</f>
        <v>0</v>
      </c>
      <c r="AB88" s="630" cm="1">
        <f t="array" ref="AB88">$X88*(SUMPRODUCT(('Cashflow Summary C19RM'!$K$5:$K$239&lt;&gt;1)*('Cashflow Summary C19RM'!$D$5:$D$239=E88)*('Cashflow Summary C19RM'!$AG$5:$AG$239)))</f>
        <v>0</v>
      </c>
      <c r="AC88" s="634">
        <f t="shared" si="43"/>
        <v>0</v>
      </c>
      <c r="AD88" s="686">
        <f t="shared" si="44"/>
        <v>0</v>
      </c>
      <c r="AE88" s="628" cm="1">
        <f t="array" ref="AE88">$AD88*(SUMPRODUCT(('Cashflow Summary C19RM'!$K$5:$K$239&lt;&gt;1)*('Cashflow Summary C19RM'!$D$5:$D$239=E88)*('Cashflow Summary C19RM'!$AH$5:$AH$239)))</f>
        <v>0</v>
      </c>
      <c r="AF88" s="633" cm="1">
        <f t="array" ref="AF88">$AD88*(SUMPRODUCT(('Cashflow Summary C19RM'!$K$5:$K$239&lt;&gt;1)*('Cashflow Summary C19RM'!$D$5:$D$239=E88)*('Cashflow Summary C19RM'!$AI$5:$AI$239)))</f>
        <v>0</v>
      </c>
      <c r="AG88" s="633" cm="1">
        <f t="array" ref="AG88">$AD88*(SUMPRODUCT(('Cashflow Summary C19RM'!$K$5:$K$239&lt;&gt;1)*('Cashflow Summary C19RM'!$D$5:$D$239=E88)*('Cashflow Summary C19RM'!$AJ$5:$AJ$239)))</f>
        <v>0</v>
      </c>
      <c r="AH88" s="633" cm="1">
        <f t="array" ref="AH88">$AD88*(SUMPRODUCT(('Cashflow Summary C19RM'!$K$5:$K$239&lt;&gt;1)*('Cashflow Summary C19RM'!$D$5:$D$239=E88)*('Cashflow Summary C19RM'!$AK$5:$AO$239)))</f>
        <v>0</v>
      </c>
      <c r="AI88" s="634">
        <f t="shared" si="45"/>
        <v>0</v>
      </c>
      <c r="AJ88" s="875">
        <v>0</v>
      </c>
      <c r="AK88" s="872"/>
      <c r="AL88" s="873"/>
      <c r="AM88" s="873"/>
      <c r="AN88" s="873"/>
      <c r="AO88" s="874"/>
      <c r="AP88" s="635">
        <f t="shared" si="52"/>
        <v>0</v>
      </c>
      <c r="AQ88" s="636">
        <v>7.5</v>
      </c>
      <c r="AR88" s="707"/>
      <c r="AS88" s="726"/>
      <c r="AV88" s="228">
        <f t="shared" si="46"/>
        <v>0</v>
      </c>
      <c r="AW88" s="228">
        <f t="shared" si="47"/>
        <v>0</v>
      </c>
      <c r="AX88" s="228">
        <f t="shared" si="48"/>
        <v>0</v>
      </c>
      <c r="AY88" s="228">
        <f t="shared" si="49"/>
        <v>0</v>
      </c>
      <c r="AZ88" s="228">
        <f t="shared" si="50"/>
        <v>0</v>
      </c>
      <c r="BA88" s="228"/>
      <c r="BC88" s="345" cm="1">
        <f t="array" ref="BC88">IF(BM88&gt;=1,0,IFERROR(SUMPRODUCT(($G$11:$AH$11=$BC$16)*($G88:$AH88)),0))</f>
        <v>0</v>
      </c>
      <c r="BD88" s="345" cm="1">
        <f t="array" ref="BD88">IF(BM88&gt;=1,0,IFERROR(SUMPRODUCT(($G$11:$AH$11=$BD$16)*($G88:$AH88)),0))</f>
        <v>0</v>
      </c>
      <c r="BE88" s="345" cm="1">
        <f t="array" ref="BE88">IF(BM88&gt;=1,0,IFERROR(SUMPRODUCT(($G$11:$AH$11=$BE$16)*($G88:$AH88)),0))</f>
        <v>0</v>
      </c>
      <c r="BF88" s="345" cm="1">
        <f t="array" ref="BF88">IF(BM88&gt;=1,0,IFERROR(SUMPRODUCT(($G$11:$AH$11=$BF$16)*($G88:$AH88)),0))</f>
        <v>0</v>
      </c>
      <c r="BG88" s="345" cm="1">
        <f t="array" ref="BG88">IF(BM88&gt;=1,0,IFERROR(SUMPRODUCT(($G$11:$AH$11=$BG$16)*($G88:$AH88)),0))</f>
        <v>0</v>
      </c>
      <c r="BH88" s="345"/>
      <c r="BI88" s="343">
        <f t="shared" si="53"/>
        <v>0</v>
      </c>
      <c r="BJ88" s="229" t="s">
        <v>83</v>
      </c>
      <c r="BK88" cm="1">
        <f t="array" ref="BK88">(SUMPRODUCT(('Cashflow Summary C19RM'!$D$5:$D$451=E88)*('Cashflow Summary C19RM'!$BD$5:$BD$451)))</f>
        <v>0</v>
      </c>
      <c r="BL88" cm="1">
        <f t="array" ref="BL88">(SUMPRODUCT((SETUP!$D$20:$D$67=E88)*(SETUP!$R$20:$R$67)))</f>
        <v>0</v>
      </c>
      <c r="BM88" s="89">
        <f t="shared" si="51"/>
        <v>0</v>
      </c>
    </row>
    <row r="89" spans="1:65" s="89" customFormat="1" ht="15" customHeight="1" thickBot="1" x14ac:dyDescent="0.4">
      <c r="A89" s="89" t="s">
        <v>216</v>
      </c>
      <c r="B89" s="211" t="s">
        <v>745</v>
      </c>
      <c r="C89" s="699" t="s">
        <v>2750</v>
      </c>
      <c r="D89" s="1314"/>
      <c r="E89" s="1010" t="s">
        <v>19</v>
      </c>
      <c r="F89" s="697">
        <v>0</v>
      </c>
      <c r="G89" s="628" cm="1">
        <f t="array" ref="G89">$F89*(SUMPRODUCT(('Cashflow Summary C19RM'!$K$5:$K$239&lt;&gt;1)*('Cashflow Summary C19RM'!$D$5:$D$239=E89)*('Cashflow Summary C19RM'!$R$5:$R$239)))</f>
        <v>0</v>
      </c>
      <c r="H89" s="629" cm="1">
        <f t="array" ref="H89">$F89*(SUMPRODUCT(('Cashflow Summary C19RM'!$K$5:$K$239&lt;&gt;1)*('Cashflow Summary C19RM'!$D$5:$D$239=E89)*('Cashflow Summary C19RM'!$S$5:$S$239)))</f>
        <v>0</v>
      </c>
      <c r="I89" s="630" cm="1">
        <f t="array" ref="I89">$F89*(SUMPRODUCT(('Cashflow Summary C19RM'!$K$5:$K$239&lt;&gt;1)*('Cashflow Summary C19RM'!$D$5:$D$239=E89)*('Cashflow Summary C19RM'!$T$5:$T$239)))</f>
        <v>0</v>
      </c>
      <c r="J89" s="630" cm="1">
        <f t="array" ref="J89">$F89*(SUMPRODUCT(('Cashflow Summary C19RM'!$K$5:$K$239&lt;&gt;1)*('Cashflow Summary C19RM'!$D$5:$D$239=E89)*('Cashflow Summary C19RM'!$U$5:$U$239)))</f>
        <v>0</v>
      </c>
      <c r="K89" s="631">
        <f t="shared" si="37"/>
        <v>0</v>
      </c>
      <c r="L89" s="686">
        <f t="shared" si="38"/>
        <v>0</v>
      </c>
      <c r="M89" s="630" cm="1">
        <f t="array" ref="M89">$L89*(SUMPRODUCT(('Cashflow Summary C19RM'!$K$5:$K$239&lt;&gt;1)*('Cashflow Summary C19RM'!$D$5:$D$239=E89)*('Cashflow Summary C19RM'!$V$5:$V$239)))</f>
        <v>0</v>
      </c>
      <c r="N89" s="630" cm="1">
        <f t="array" ref="N89">$L89*(SUMPRODUCT(('Cashflow Summary C19RM'!$K$5:$K$239&lt;&gt;1)*('Cashflow Summary C19RM'!$D$5:$D$239=E89)*('Cashflow Summary C19RM'!$W$5:$W$239)))</f>
        <v>0</v>
      </c>
      <c r="O89" s="630" cm="1">
        <f t="array" ref="O89">$L89*(SUMPRODUCT(('Cashflow Summary C19RM'!$K$5:$K$239&lt;&gt;1)*('Cashflow Summary C19RM'!$D$5:$D$239=E89)*('Cashflow Summary C19RM'!$X$5:$X$239)))</f>
        <v>0</v>
      </c>
      <c r="P89" s="630" cm="1">
        <f t="array" ref="P89">$L89*(SUMPRODUCT(('Cashflow Summary C19RM'!$K$5:$K$239&lt;&gt;1)*('Cashflow Summary C19RM'!$D$5:$D$239=E89)*('Cashflow Summary C19RM'!$Y$5:$Y$239)))</f>
        <v>0</v>
      </c>
      <c r="Q89" s="632">
        <f t="shared" si="39"/>
        <v>0</v>
      </c>
      <c r="R89" s="686">
        <f t="shared" si="40"/>
        <v>0</v>
      </c>
      <c r="S89" s="633" cm="1">
        <f t="array" ref="S89">$R89*(SUMPRODUCT(('Cashflow Summary C19RM'!$K$5:$K$239&lt;&gt;1)*('Cashflow Summary C19RM'!$D$5:$D$239=E89)*('Cashflow Summary C19RM'!$Z$5:$Z$239)))</f>
        <v>0</v>
      </c>
      <c r="T89" s="633" cm="1">
        <f t="array" ref="T89">$R89*(SUMPRODUCT(('Cashflow Summary C19RM'!$K$5:$K$239&lt;&gt;1)*('Cashflow Summary C19RM'!$D$5:$D$239=E89)*('Cashflow Summary C19RM'!$AA$5:$AA$239)))</f>
        <v>0</v>
      </c>
      <c r="U89" s="633" cm="1">
        <f t="array" ref="U89">$R89*(SUMPRODUCT(('Cashflow Summary C19RM'!$K$5:$K$239&lt;&gt;1)*('Cashflow Summary C19RM'!$D$5:$D$239=E89)*('Cashflow Summary C19RM'!$AB$5:$AB$239)))</f>
        <v>0</v>
      </c>
      <c r="V89" s="633" cm="1">
        <f t="array" ref="V89">$R89*(SUMPRODUCT(('Cashflow Summary C19RM'!$K$5:$K$239&lt;&gt;1)*('Cashflow Summary C19RM'!$D$5:$D$239=E89)*('Cashflow Summary C19RM'!$AC$5:$AC$239)))</f>
        <v>0</v>
      </c>
      <c r="W89" s="634">
        <f t="shared" si="41"/>
        <v>0</v>
      </c>
      <c r="X89" s="686">
        <f t="shared" si="42"/>
        <v>0</v>
      </c>
      <c r="Y89" s="633" cm="1">
        <f t="array" ref="Y89">$X89*(SUMPRODUCT(('Cashflow Summary C19RM'!$K$5:$K$239&lt;&gt;1)*('Cashflow Summary C19RM'!$D$5:$D$239=E89)*('Cashflow Summary C19RM'!$AD$5:$AD$239)))</f>
        <v>0</v>
      </c>
      <c r="Z89" s="633" cm="1">
        <f t="array" ref="Z89">$X89*(SUMPRODUCT(('Cashflow Summary C19RM'!$K$5:$K$239&lt;&gt;1)*('Cashflow Summary C19RM'!$D$5:$D$239=E89)*('Cashflow Summary C19RM'!$AE$5:$AE$239)))</f>
        <v>0</v>
      </c>
      <c r="AA89" s="633" cm="1">
        <f t="array" ref="AA89">$X89*(SUMPRODUCT(('Cashflow Summary C19RM'!$K$5:$K$239&lt;&gt;1)*('Cashflow Summary C19RM'!$D$5:$D$239=E89)*('Cashflow Summary C19RM'!$AF$5:$AF$239)))</f>
        <v>0</v>
      </c>
      <c r="AB89" s="630" cm="1">
        <f t="array" ref="AB89">$X89*(SUMPRODUCT(('Cashflow Summary C19RM'!$K$5:$K$239&lt;&gt;1)*('Cashflow Summary C19RM'!$D$5:$D$239=E89)*('Cashflow Summary C19RM'!$AG$5:$AG$239)))</f>
        <v>0</v>
      </c>
      <c r="AC89" s="634">
        <f t="shared" si="43"/>
        <v>0</v>
      </c>
      <c r="AD89" s="686">
        <f t="shared" si="44"/>
        <v>0</v>
      </c>
      <c r="AE89" s="628" cm="1">
        <f t="array" ref="AE89">$AD89*(SUMPRODUCT(('Cashflow Summary C19RM'!$K$5:$K$239&lt;&gt;1)*('Cashflow Summary C19RM'!$D$5:$D$239=E89)*('Cashflow Summary C19RM'!$AH$5:$AH$239)))</f>
        <v>0</v>
      </c>
      <c r="AF89" s="633" cm="1">
        <f t="array" ref="AF89">$AD89*(SUMPRODUCT(('Cashflow Summary C19RM'!$K$5:$K$239&lt;&gt;1)*('Cashflow Summary C19RM'!$D$5:$D$239=E89)*('Cashflow Summary C19RM'!$AI$5:$AI$239)))</f>
        <v>0</v>
      </c>
      <c r="AG89" s="633" cm="1">
        <f t="array" ref="AG89">$AD89*(SUMPRODUCT(('Cashflow Summary C19RM'!$K$5:$K$239&lt;&gt;1)*('Cashflow Summary C19RM'!$D$5:$D$239=E89)*('Cashflow Summary C19RM'!$AJ$5:$AJ$239)))</f>
        <v>0</v>
      </c>
      <c r="AH89" s="633" cm="1">
        <f t="array" ref="AH89">$AD89*(SUMPRODUCT(('Cashflow Summary C19RM'!$K$5:$K$239&lt;&gt;1)*('Cashflow Summary C19RM'!$D$5:$D$239=E89)*('Cashflow Summary C19RM'!$AK$5:$AO$239)))</f>
        <v>0</v>
      </c>
      <c r="AI89" s="634">
        <f t="shared" si="45"/>
        <v>0</v>
      </c>
      <c r="AJ89" s="875">
        <v>0</v>
      </c>
      <c r="AK89" s="872"/>
      <c r="AL89" s="873"/>
      <c r="AM89" s="873"/>
      <c r="AN89" s="873"/>
      <c r="AO89" s="874"/>
      <c r="AP89" s="635">
        <f t="shared" si="52"/>
        <v>0</v>
      </c>
      <c r="AQ89" s="636">
        <v>7.5</v>
      </c>
      <c r="AR89" s="707"/>
      <c r="AS89" s="726"/>
      <c r="AV89" s="228">
        <f t="shared" si="46"/>
        <v>0</v>
      </c>
      <c r="AW89" s="228">
        <f t="shared" si="47"/>
        <v>0</v>
      </c>
      <c r="AX89" s="228">
        <f t="shared" si="48"/>
        <v>0</v>
      </c>
      <c r="AY89" s="228">
        <f t="shared" si="49"/>
        <v>0</v>
      </c>
      <c r="AZ89" s="228">
        <f t="shared" si="50"/>
        <v>0</v>
      </c>
      <c r="BA89" s="228"/>
      <c r="BC89" s="345" cm="1">
        <f t="array" ref="BC89">IF(BM89&gt;=1,0,IFERROR(SUMPRODUCT(($G$11:$AH$11=$BC$16)*($G89:$AH89)),0))</f>
        <v>0</v>
      </c>
      <c r="BD89" s="345" cm="1">
        <f t="array" ref="BD89">IF(BM89&gt;=1,0,IFERROR(SUMPRODUCT(($G$11:$AH$11=$BD$16)*($G89:$AH89)),0))</f>
        <v>0</v>
      </c>
      <c r="BE89" s="345" cm="1">
        <f t="array" ref="BE89">IF(BM89&gt;=1,0,IFERROR(SUMPRODUCT(($G$11:$AH$11=$BE$16)*($G89:$AH89)),0))</f>
        <v>0</v>
      </c>
      <c r="BF89" s="345" cm="1">
        <f t="array" ref="BF89">IF(BM89&gt;=1,0,IFERROR(SUMPRODUCT(($G$11:$AH$11=$BF$16)*($G89:$AH89)),0))</f>
        <v>0</v>
      </c>
      <c r="BG89" s="345" cm="1">
        <f t="array" ref="BG89">IF(BM89&gt;=1,0,IFERROR(SUMPRODUCT(($G$11:$AH$11=$BG$16)*($G89:$AH89)),0))</f>
        <v>0</v>
      </c>
      <c r="BH89" s="345"/>
      <c r="BI89" s="343">
        <f t="shared" si="53"/>
        <v>0</v>
      </c>
      <c r="BJ89" s="229" t="s">
        <v>83</v>
      </c>
      <c r="BK89" cm="1">
        <f t="array" ref="BK89">(SUMPRODUCT(('Cashflow Summary C19RM'!$D$5:$D$451=E89)*('Cashflow Summary C19RM'!$BD$5:$BD$451)))</f>
        <v>0</v>
      </c>
      <c r="BL89" cm="1">
        <f t="array" ref="BL89">(SUMPRODUCT((SETUP!$D$20:$D$67=E89)*(SETUP!$R$20:$R$67)))</f>
        <v>0</v>
      </c>
      <c r="BM89" s="89">
        <f t="shared" si="51"/>
        <v>0</v>
      </c>
    </row>
    <row r="90" spans="1:65" s="89" customFormat="1" ht="15" customHeight="1" thickBot="1" x14ac:dyDescent="0.4">
      <c r="A90" s="89" t="s">
        <v>216</v>
      </c>
      <c r="B90" s="211" t="s">
        <v>745</v>
      </c>
      <c r="C90" s="699" t="s">
        <v>2750</v>
      </c>
      <c r="D90" s="1314"/>
      <c r="E90" s="1010" t="s">
        <v>122</v>
      </c>
      <c r="F90" s="697">
        <v>0</v>
      </c>
      <c r="G90" s="628" cm="1">
        <f t="array" ref="G90">$F90*(SUMPRODUCT(('Cashflow Summary C19RM'!$K$5:$K$239&lt;&gt;1)*('Cashflow Summary C19RM'!$D$5:$D$239=E90)*('Cashflow Summary C19RM'!$R$5:$R$239)))</f>
        <v>0</v>
      </c>
      <c r="H90" s="629" cm="1">
        <f t="array" ref="H90">$F90*(SUMPRODUCT(('Cashflow Summary C19RM'!$K$5:$K$239&lt;&gt;1)*('Cashflow Summary C19RM'!$D$5:$D$239=E90)*('Cashflow Summary C19RM'!$S$5:$S$239)))</f>
        <v>0</v>
      </c>
      <c r="I90" s="630" cm="1">
        <f t="array" ref="I90">$F90*(SUMPRODUCT(('Cashflow Summary C19RM'!$K$5:$K$239&lt;&gt;1)*('Cashflow Summary C19RM'!$D$5:$D$239=E90)*('Cashflow Summary C19RM'!$T$5:$T$239)))</f>
        <v>0</v>
      </c>
      <c r="J90" s="630" cm="1">
        <f t="array" ref="J90">$F90*(SUMPRODUCT(('Cashflow Summary C19RM'!$K$5:$K$239&lt;&gt;1)*('Cashflow Summary C19RM'!$D$5:$D$239=E90)*('Cashflow Summary C19RM'!$U$5:$U$239)))</f>
        <v>0</v>
      </c>
      <c r="K90" s="631">
        <f t="shared" si="37"/>
        <v>0</v>
      </c>
      <c r="L90" s="686">
        <f t="shared" si="38"/>
        <v>0</v>
      </c>
      <c r="M90" s="630" cm="1">
        <f t="array" ref="M90">$L90*(SUMPRODUCT(('Cashflow Summary C19RM'!$K$5:$K$239&lt;&gt;1)*('Cashflow Summary C19RM'!$D$5:$D$239=E90)*('Cashflow Summary C19RM'!$V$5:$V$239)))</f>
        <v>0</v>
      </c>
      <c r="N90" s="630" cm="1">
        <f t="array" ref="N90">$L90*(SUMPRODUCT(('Cashflow Summary C19RM'!$K$5:$K$239&lt;&gt;1)*('Cashflow Summary C19RM'!$D$5:$D$239=E90)*('Cashflow Summary C19RM'!$W$5:$W$239)))</f>
        <v>0</v>
      </c>
      <c r="O90" s="630" cm="1">
        <f t="array" ref="O90">$L90*(SUMPRODUCT(('Cashflow Summary C19RM'!$K$5:$K$239&lt;&gt;1)*('Cashflow Summary C19RM'!$D$5:$D$239=E90)*('Cashflow Summary C19RM'!$X$5:$X$239)))</f>
        <v>0</v>
      </c>
      <c r="P90" s="630" cm="1">
        <f t="array" ref="P90">$L90*(SUMPRODUCT(('Cashflow Summary C19RM'!$K$5:$K$239&lt;&gt;1)*('Cashflow Summary C19RM'!$D$5:$D$239=E90)*('Cashflow Summary C19RM'!$Y$5:$Y$239)))</f>
        <v>0</v>
      </c>
      <c r="Q90" s="632">
        <f t="shared" si="39"/>
        <v>0</v>
      </c>
      <c r="R90" s="686">
        <f t="shared" si="40"/>
        <v>0</v>
      </c>
      <c r="S90" s="633" cm="1">
        <f t="array" ref="S90">$R90*(SUMPRODUCT(('Cashflow Summary C19RM'!$K$5:$K$239&lt;&gt;1)*('Cashflow Summary C19RM'!$D$5:$D$239=E90)*('Cashflow Summary C19RM'!$Z$5:$Z$239)))</f>
        <v>0</v>
      </c>
      <c r="T90" s="633" cm="1">
        <f t="array" ref="T90">$R90*(SUMPRODUCT(('Cashflow Summary C19RM'!$K$5:$K$239&lt;&gt;1)*('Cashflow Summary C19RM'!$D$5:$D$239=E90)*('Cashflow Summary C19RM'!$AA$5:$AA$239)))</f>
        <v>0</v>
      </c>
      <c r="U90" s="633" cm="1">
        <f t="array" ref="U90">$R90*(SUMPRODUCT(('Cashflow Summary C19RM'!$K$5:$K$239&lt;&gt;1)*('Cashflow Summary C19RM'!$D$5:$D$239=E90)*('Cashflow Summary C19RM'!$AB$5:$AB$239)))</f>
        <v>0</v>
      </c>
      <c r="V90" s="633" cm="1">
        <f t="array" ref="V90">$R90*(SUMPRODUCT(('Cashflow Summary C19RM'!$K$5:$K$239&lt;&gt;1)*('Cashflow Summary C19RM'!$D$5:$D$239=E90)*('Cashflow Summary C19RM'!$AC$5:$AC$239)))</f>
        <v>0</v>
      </c>
      <c r="W90" s="634">
        <f t="shared" si="41"/>
        <v>0</v>
      </c>
      <c r="X90" s="686">
        <f t="shared" si="42"/>
        <v>0</v>
      </c>
      <c r="Y90" s="633" cm="1">
        <f t="array" ref="Y90">$X90*(SUMPRODUCT(('Cashflow Summary C19RM'!$K$5:$K$239&lt;&gt;1)*('Cashflow Summary C19RM'!$D$5:$D$239=E90)*('Cashflow Summary C19RM'!$AD$5:$AD$239)))</f>
        <v>0</v>
      </c>
      <c r="Z90" s="633" cm="1">
        <f t="array" ref="Z90">$X90*(SUMPRODUCT(('Cashflow Summary C19RM'!$K$5:$K$239&lt;&gt;1)*('Cashflow Summary C19RM'!$D$5:$D$239=E90)*('Cashflow Summary C19RM'!$AE$5:$AE$239)))</f>
        <v>0</v>
      </c>
      <c r="AA90" s="633" cm="1">
        <f t="array" ref="AA90">$X90*(SUMPRODUCT(('Cashflow Summary C19RM'!$K$5:$K$239&lt;&gt;1)*('Cashflow Summary C19RM'!$D$5:$D$239=E90)*('Cashflow Summary C19RM'!$AF$5:$AF$239)))</f>
        <v>0</v>
      </c>
      <c r="AB90" s="630" cm="1">
        <f t="array" ref="AB90">$X90*(SUMPRODUCT(('Cashflow Summary C19RM'!$K$5:$K$239&lt;&gt;1)*('Cashflow Summary C19RM'!$D$5:$D$239=E90)*('Cashflow Summary C19RM'!$AG$5:$AG$239)))</f>
        <v>0</v>
      </c>
      <c r="AC90" s="634">
        <f t="shared" si="43"/>
        <v>0</v>
      </c>
      <c r="AD90" s="686">
        <f t="shared" si="44"/>
        <v>0</v>
      </c>
      <c r="AE90" s="628" cm="1">
        <f t="array" ref="AE90">$AD90*(SUMPRODUCT(('Cashflow Summary C19RM'!$K$5:$K$239&lt;&gt;1)*('Cashflow Summary C19RM'!$D$5:$D$239=E90)*('Cashflow Summary C19RM'!$AH$5:$AH$239)))</f>
        <v>0</v>
      </c>
      <c r="AF90" s="633" cm="1">
        <f t="array" ref="AF90">$AD90*(SUMPRODUCT(('Cashflow Summary C19RM'!$K$5:$K$239&lt;&gt;1)*('Cashflow Summary C19RM'!$D$5:$D$239=E90)*('Cashflow Summary C19RM'!$AI$5:$AI$239)))</f>
        <v>0</v>
      </c>
      <c r="AG90" s="633" cm="1">
        <f t="array" ref="AG90">$AD90*(SUMPRODUCT(('Cashflow Summary C19RM'!$K$5:$K$239&lt;&gt;1)*('Cashflow Summary C19RM'!$D$5:$D$239=E90)*('Cashflow Summary C19RM'!$AJ$5:$AJ$239)))</f>
        <v>0</v>
      </c>
      <c r="AH90" s="633" cm="1">
        <f t="array" ref="AH90">$AD90*(SUMPRODUCT(('Cashflow Summary C19RM'!$K$5:$K$239&lt;&gt;1)*('Cashflow Summary C19RM'!$D$5:$D$239=E90)*('Cashflow Summary C19RM'!$AK$5:$AO$239)))</f>
        <v>0</v>
      </c>
      <c r="AI90" s="634">
        <f t="shared" si="45"/>
        <v>0</v>
      </c>
      <c r="AJ90" s="875">
        <v>0</v>
      </c>
      <c r="AK90" s="872"/>
      <c r="AL90" s="873"/>
      <c r="AM90" s="873"/>
      <c r="AN90" s="873"/>
      <c r="AO90" s="874"/>
      <c r="AP90" s="635">
        <f t="shared" si="52"/>
        <v>0</v>
      </c>
      <c r="AQ90" s="636">
        <v>7.5</v>
      </c>
      <c r="AR90" s="707"/>
      <c r="AS90" s="726"/>
      <c r="AV90" s="228">
        <f t="shared" si="46"/>
        <v>0</v>
      </c>
      <c r="AW90" s="228">
        <f t="shared" si="47"/>
        <v>0</v>
      </c>
      <c r="AX90" s="228">
        <f t="shared" si="48"/>
        <v>0</v>
      </c>
      <c r="AY90" s="228">
        <f t="shared" si="49"/>
        <v>0</v>
      </c>
      <c r="AZ90" s="228">
        <f t="shared" si="50"/>
        <v>0</v>
      </c>
      <c r="BA90" s="228"/>
      <c r="BC90" s="345" cm="1">
        <f t="array" ref="BC90">IF(BM90&gt;=1,0,IFERROR(SUMPRODUCT(($G$11:$AH$11=$BC$16)*($G90:$AH90)),0))</f>
        <v>0</v>
      </c>
      <c r="BD90" s="345" cm="1">
        <f t="array" ref="BD90">IF(BM90&gt;=1,0,IFERROR(SUMPRODUCT(($G$11:$AH$11=$BD$16)*($G90:$AH90)),0))</f>
        <v>0</v>
      </c>
      <c r="BE90" s="345" cm="1">
        <f t="array" ref="BE90">IF(BM90&gt;=1,0,IFERROR(SUMPRODUCT(($G$11:$AH$11=$BE$16)*($G90:$AH90)),0))</f>
        <v>0</v>
      </c>
      <c r="BF90" s="345" cm="1">
        <f t="array" ref="BF90">IF(BM90&gt;=1,0,IFERROR(SUMPRODUCT(($G$11:$AH$11=$BF$16)*($G90:$AH90)),0))</f>
        <v>0</v>
      </c>
      <c r="BG90" s="345" cm="1">
        <f t="array" ref="BG90">IF(BM90&gt;=1,0,IFERROR(SUMPRODUCT(($G$11:$AH$11=$BG$16)*($G90:$AH90)),0))</f>
        <v>0</v>
      </c>
      <c r="BH90" s="345"/>
      <c r="BI90" s="343">
        <f t="shared" si="53"/>
        <v>0</v>
      </c>
      <c r="BJ90" s="229" t="s">
        <v>83</v>
      </c>
      <c r="BK90" cm="1">
        <f t="array" ref="BK90">(SUMPRODUCT(('Cashflow Summary C19RM'!$D$5:$D$451=E90)*('Cashflow Summary C19RM'!$BD$5:$BD$451)))</f>
        <v>0</v>
      </c>
      <c r="BL90" cm="1">
        <f t="array" ref="BL90">(SUMPRODUCT((SETUP!$D$20:$D$67=E90)*(SETUP!$R$20:$R$67)))</f>
        <v>0</v>
      </c>
      <c r="BM90" s="89">
        <f t="shared" si="51"/>
        <v>0</v>
      </c>
    </row>
    <row r="91" spans="1:65" s="89" customFormat="1" ht="15" customHeight="1" thickBot="1" x14ac:dyDescent="0.4">
      <c r="A91" s="89" t="s">
        <v>216</v>
      </c>
      <c r="B91" s="211" t="s">
        <v>745</v>
      </c>
      <c r="C91" s="699" t="s">
        <v>2750</v>
      </c>
      <c r="D91" s="1314"/>
      <c r="E91" s="1010" t="s">
        <v>21</v>
      </c>
      <c r="F91" s="697">
        <v>0</v>
      </c>
      <c r="G91" s="628" cm="1">
        <f t="array" ref="G91">$F91*(SUMPRODUCT(('Cashflow Summary C19RM'!$K$5:$K$239&lt;&gt;1)*('Cashflow Summary C19RM'!$D$5:$D$239=E91)*('Cashflow Summary C19RM'!$R$5:$R$239)))</f>
        <v>0</v>
      </c>
      <c r="H91" s="629" cm="1">
        <f t="array" ref="H91">$F91*(SUMPRODUCT(('Cashflow Summary C19RM'!$K$5:$K$239&lt;&gt;1)*('Cashflow Summary C19RM'!$D$5:$D$239=E91)*('Cashflow Summary C19RM'!$S$5:$S$239)))</f>
        <v>0</v>
      </c>
      <c r="I91" s="630" cm="1">
        <f t="array" ref="I91">$F91*(SUMPRODUCT(('Cashflow Summary C19RM'!$K$5:$K$239&lt;&gt;1)*('Cashflow Summary C19RM'!$D$5:$D$239=E91)*('Cashflow Summary C19RM'!$T$5:$T$239)))</f>
        <v>0</v>
      </c>
      <c r="J91" s="630" cm="1">
        <f t="array" ref="J91">$F91*(SUMPRODUCT(('Cashflow Summary C19RM'!$K$5:$K$239&lt;&gt;1)*('Cashflow Summary C19RM'!$D$5:$D$239=E91)*('Cashflow Summary C19RM'!$U$5:$U$239)))</f>
        <v>0</v>
      </c>
      <c r="K91" s="631">
        <f t="shared" si="37"/>
        <v>0</v>
      </c>
      <c r="L91" s="686">
        <f t="shared" si="38"/>
        <v>0</v>
      </c>
      <c r="M91" s="630" cm="1">
        <f t="array" ref="M91">$L91*(SUMPRODUCT(('Cashflow Summary C19RM'!$K$5:$K$239&lt;&gt;1)*('Cashflow Summary C19RM'!$D$5:$D$239=E91)*('Cashflow Summary C19RM'!$V$5:$V$239)))</f>
        <v>0</v>
      </c>
      <c r="N91" s="630" cm="1">
        <f t="array" ref="N91">$L91*(SUMPRODUCT(('Cashflow Summary C19RM'!$K$5:$K$239&lt;&gt;1)*('Cashflow Summary C19RM'!$D$5:$D$239=E91)*('Cashflow Summary C19RM'!$W$5:$W$239)))</f>
        <v>0</v>
      </c>
      <c r="O91" s="630" cm="1">
        <f t="array" ref="O91">$L91*(SUMPRODUCT(('Cashflow Summary C19RM'!$K$5:$K$239&lt;&gt;1)*('Cashflow Summary C19RM'!$D$5:$D$239=E91)*('Cashflow Summary C19RM'!$X$5:$X$239)))</f>
        <v>0</v>
      </c>
      <c r="P91" s="630" cm="1">
        <f t="array" ref="P91">$L91*(SUMPRODUCT(('Cashflow Summary C19RM'!$K$5:$K$239&lt;&gt;1)*('Cashflow Summary C19RM'!$D$5:$D$239=E91)*('Cashflow Summary C19RM'!$Y$5:$Y$239)))</f>
        <v>0</v>
      </c>
      <c r="Q91" s="632">
        <f t="shared" si="39"/>
        <v>0</v>
      </c>
      <c r="R91" s="686">
        <f t="shared" si="40"/>
        <v>0</v>
      </c>
      <c r="S91" s="633" cm="1">
        <f t="array" ref="S91">$R91*(SUMPRODUCT(('Cashflow Summary C19RM'!$K$5:$K$239&lt;&gt;1)*('Cashflow Summary C19RM'!$D$5:$D$239=E91)*('Cashflow Summary C19RM'!$Z$5:$Z$239)))</f>
        <v>0</v>
      </c>
      <c r="T91" s="633" cm="1">
        <f t="array" ref="T91">$R91*(SUMPRODUCT(('Cashflow Summary C19RM'!$K$5:$K$239&lt;&gt;1)*('Cashflow Summary C19RM'!$D$5:$D$239=E91)*('Cashflow Summary C19RM'!$AA$5:$AA$239)))</f>
        <v>0</v>
      </c>
      <c r="U91" s="633" cm="1">
        <f t="array" ref="U91">$R91*(SUMPRODUCT(('Cashflow Summary C19RM'!$K$5:$K$239&lt;&gt;1)*('Cashflow Summary C19RM'!$D$5:$D$239=E91)*('Cashflow Summary C19RM'!$AB$5:$AB$239)))</f>
        <v>0</v>
      </c>
      <c r="V91" s="633" cm="1">
        <f t="array" ref="V91">$R91*(SUMPRODUCT(('Cashflow Summary C19RM'!$K$5:$K$239&lt;&gt;1)*('Cashflow Summary C19RM'!$D$5:$D$239=E91)*('Cashflow Summary C19RM'!$AC$5:$AC$239)))</f>
        <v>0</v>
      </c>
      <c r="W91" s="634">
        <f t="shared" si="41"/>
        <v>0</v>
      </c>
      <c r="X91" s="686">
        <f t="shared" si="42"/>
        <v>0</v>
      </c>
      <c r="Y91" s="633" cm="1">
        <f t="array" ref="Y91">$X91*(SUMPRODUCT(('Cashflow Summary C19RM'!$K$5:$K$239&lt;&gt;1)*('Cashflow Summary C19RM'!$D$5:$D$239=E91)*('Cashflow Summary C19RM'!$AD$5:$AD$239)))</f>
        <v>0</v>
      </c>
      <c r="Z91" s="633" cm="1">
        <f t="array" ref="Z91">$X91*(SUMPRODUCT(('Cashflow Summary C19RM'!$K$5:$K$239&lt;&gt;1)*('Cashflow Summary C19RM'!$D$5:$D$239=E91)*('Cashflow Summary C19RM'!$AE$5:$AE$239)))</f>
        <v>0</v>
      </c>
      <c r="AA91" s="633" cm="1">
        <f t="array" ref="AA91">$X91*(SUMPRODUCT(('Cashflow Summary C19RM'!$K$5:$K$239&lt;&gt;1)*('Cashflow Summary C19RM'!$D$5:$D$239=E91)*('Cashflow Summary C19RM'!$AF$5:$AF$239)))</f>
        <v>0</v>
      </c>
      <c r="AB91" s="630" cm="1">
        <f t="array" ref="AB91">$X91*(SUMPRODUCT(('Cashflow Summary C19RM'!$K$5:$K$239&lt;&gt;1)*('Cashflow Summary C19RM'!$D$5:$D$239=E91)*('Cashflow Summary C19RM'!$AG$5:$AG$239)))</f>
        <v>0</v>
      </c>
      <c r="AC91" s="634">
        <f t="shared" si="43"/>
        <v>0</v>
      </c>
      <c r="AD91" s="686">
        <f t="shared" si="44"/>
        <v>0</v>
      </c>
      <c r="AE91" s="628" cm="1">
        <f t="array" ref="AE91">$AD91*(SUMPRODUCT(('Cashflow Summary C19RM'!$K$5:$K$239&lt;&gt;1)*('Cashflow Summary C19RM'!$D$5:$D$239=E91)*('Cashflow Summary C19RM'!$AH$5:$AH$239)))</f>
        <v>0</v>
      </c>
      <c r="AF91" s="633" cm="1">
        <f t="array" ref="AF91">$AD91*(SUMPRODUCT(('Cashflow Summary C19RM'!$K$5:$K$239&lt;&gt;1)*('Cashflow Summary C19RM'!$D$5:$D$239=E91)*('Cashflow Summary C19RM'!$AI$5:$AI$239)))</f>
        <v>0</v>
      </c>
      <c r="AG91" s="633" cm="1">
        <f t="array" ref="AG91">$AD91*(SUMPRODUCT(('Cashflow Summary C19RM'!$K$5:$K$239&lt;&gt;1)*('Cashflow Summary C19RM'!$D$5:$D$239=E91)*('Cashflow Summary C19RM'!$AJ$5:$AJ$239)))</f>
        <v>0</v>
      </c>
      <c r="AH91" s="633" cm="1">
        <f t="array" ref="AH91">$AD91*(SUMPRODUCT(('Cashflow Summary C19RM'!$K$5:$K$239&lt;&gt;1)*('Cashflow Summary C19RM'!$D$5:$D$239=E91)*('Cashflow Summary C19RM'!$AK$5:$AO$239)))</f>
        <v>0</v>
      </c>
      <c r="AI91" s="634">
        <f t="shared" si="45"/>
        <v>0</v>
      </c>
      <c r="AJ91" s="875">
        <v>0</v>
      </c>
      <c r="AK91" s="872"/>
      <c r="AL91" s="873"/>
      <c r="AM91" s="873"/>
      <c r="AN91" s="873"/>
      <c r="AO91" s="874"/>
      <c r="AP91" s="635">
        <f t="shared" si="52"/>
        <v>0</v>
      </c>
      <c r="AQ91" s="636">
        <v>7.5</v>
      </c>
      <c r="AR91" s="707"/>
      <c r="AS91" s="726"/>
      <c r="AV91" s="228">
        <f t="shared" si="46"/>
        <v>0</v>
      </c>
      <c r="AW91" s="228">
        <f t="shared" si="47"/>
        <v>0</v>
      </c>
      <c r="AX91" s="228">
        <f t="shared" si="48"/>
        <v>0</v>
      </c>
      <c r="AY91" s="228">
        <f t="shared" si="49"/>
        <v>0</v>
      </c>
      <c r="AZ91" s="228">
        <f t="shared" si="50"/>
        <v>0</v>
      </c>
      <c r="BA91" s="228"/>
      <c r="BC91" s="345" cm="1">
        <f t="array" ref="BC91">IF(BM91&gt;=1,0,IFERROR(SUMPRODUCT(($G$11:$AH$11=$BC$16)*($G91:$AH91)),0))</f>
        <v>0</v>
      </c>
      <c r="BD91" s="345" cm="1">
        <f t="array" ref="BD91">IF(BM91&gt;=1,0,IFERROR(SUMPRODUCT(($G$11:$AH$11=$BD$16)*($G91:$AH91)),0))</f>
        <v>0</v>
      </c>
      <c r="BE91" s="345" cm="1">
        <f t="array" ref="BE91">IF(BM91&gt;=1,0,IFERROR(SUMPRODUCT(($G$11:$AH$11=$BE$16)*($G91:$AH91)),0))</f>
        <v>0</v>
      </c>
      <c r="BF91" s="345" cm="1">
        <f t="array" ref="BF91">IF(BM91&gt;=1,0,IFERROR(SUMPRODUCT(($G$11:$AH$11=$BF$16)*($G91:$AH91)),0))</f>
        <v>0</v>
      </c>
      <c r="BG91" s="345" cm="1">
        <f t="array" ref="BG91">IF(BM91&gt;=1,0,IFERROR(SUMPRODUCT(($G$11:$AH$11=$BG$16)*($G91:$AH91)),0))</f>
        <v>0</v>
      </c>
      <c r="BH91" s="345"/>
      <c r="BI91" s="343">
        <f t="shared" si="53"/>
        <v>0</v>
      </c>
      <c r="BJ91" s="229" t="s">
        <v>83</v>
      </c>
      <c r="BK91" cm="1">
        <f t="array" ref="BK91">(SUMPRODUCT(('Cashflow Summary C19RM'!$D$5:$D$451=E91)*('Cashflow Summary C19RM'!$BD$5:$BD$451)))</f>
        <v>0</v>
      </c>
      <c r="BL91" cm="1">
        <f t="array" ref="BL91">(SUMPRODUCT((SETUP!$D$20:$D$67=E91)*(SETUP!$R$20:$R$67)))</f>
        <v>0</v>
      </c>
      <c r="BM91" s="89">
        <f t="shared" si="51"/>
        <v>0</v>
      </c>
    </row>
    <row r="92" spans="1:65" s="89" customFormat="1" ht="15" customHeight="1" thickBot="1" x14ac:dyDescent="0.4">
      <c r="A92" s="89" t="s">
        <v>216</v>
      </c>
      <c r="B92" s="211" t="s">
        <v>745</v>
      </c>
      <c r="C92" s="699" t="s">
        <v>2750</v>
      </c>
      <c r="D92" s="1314"/>
      <c r="E92" s="1010" t="s">
        <v>23</v>
      </c>
      <c r="F92" s="697">
        <v>0</v>
      </c>
      <c r="G92" s="628" cm="1">
        <f t="array" ref="G92">$F92*(SUMPRODUCT(('Cashflow Summary C19RM'!$K$5:$K$239&lt;&gt;1)*('Cashflow Summary C19RM'!$D$5:$D$239=E92)*('Cashflow Summary C19RM'!$R$5:$R$239)))</f>
        <v>0</v>
      </c>
      <c r="H92" s="629" cm="1">
        <f t="array" ref="H92">$F92*(SUMPRODUCT(('Cashflow Summary C19RM'!$K$5:$K$239&lt;&gt;1)*('Cashflow Summary C19RM'!$D$5:$D$239=E92)*('Cashflow Summary C19RM'!$S$5:$S$239)))</f>
        <v>0</v>
      </c>
      <c r="I92" s="630" cm="1">
        <f t="array" ref="I92">$F92*(SUMPRODUCT(('Cashflow Summary C19RM'!$K$5:$K$239&lt;&gt;1)*('Cashflow Summary C19RM'!$D$5:$D$239=E92)*('Cashflow Summary C19RM'!$T$5:$T$239)))</f>
        <v>0</v>
      </c>
      <c r="J92" s="630" cm="1">
        <f t="array" ref="J92">$F92*(SUMPRODUCT(('Cashflow Summary C19RM'!$K$5:$K$239&lt;&gt;1)*('Cashflow Summary C19RM'!$D$5:$D$239=E92)*('Cashflow Summary C19RM'!$U$5:$U$239)))</f>
        <v>0</v>
      </c>
      <c r="K92" s="631">
        <f t="shared" si="37"/>
        <v>0</v>
      </c>
      <c r="L92" s="686">
        <f t="shared" si="38"/>
        <v>0</v>
      </c>
      <c r="M92" s="630" cm="1">
        <f t="array" ref="M92">$L92*(SUMPRODUCT(('Cashflow Summary C19RM'!$K$5:$K$239&lt;&gt;1)*('Cashflow Summary C19RM'!$D$5:$D$239=E92)*('Cashflow Summary C19RM'!$V$5:$V$239)))</f>
        <v>0</v>
      </c>
      <c r="N92" s="630" cm="1">
        <f t="array" ref="N92">$L92*(SUMPRODUCT(('Cashflow Summary C19RM'!$K$5:$K$239&lt;&gt;1)*('Cashflow Summary C19RM'!$D$5:$D$239=E92)*('Cashflow Summary C19RM'!$W$5:$W$239)))</f>
        <v>0</v>
      </c>
      <c r="O92" s="630" cm="1">
        <f t="array" ref="O92">$L92*(SUMPRODUCT(('Cashflow Summary C19RM'!$K$5:$K$239&lt;&gt;1)*('Cashflow Summary C19RM'!$D$5:$D$239=E92)*('Cashflow Summary C19RM'!$X$5:$X$239)))</f>
        <v>0</v>
      </c>
      <c r="P92" s="630" cm="1">
        <f t="array" ref="P92">$L92*(SUMPRODUCT(('Cashflow Summary C19RM'!$K$5:$K$239&lt;&gt;1)*('Cashflow Summary C19RM'!$D$5:$D$239=E92)*('Cashflow Summary C19RM'!$Y$5:$Y$239)))</f>
        <v>0</v>
      </c>
      <c r="Q92" s="632">
        <f t="shared" si="39"/>
        <v>0</v>
      </c>
      <c r="R92" s="686">
        <f t="shared" si="40"/>
        <v>0</v>
      </c>
      <c r="S92" s="633" cm="1">
        <f t="array" ref="S92">$R92*(SUMPRODUCT(('Cashflow Summary C19RM'!$K$5:$K$239&lt;&gt;1)*('Cashflow Summary C19RM'!$D$5:$D$239=E92)*('Cashflow Summary C19RM'!$Z$5:$Z$239)))</f>
        <v>0</v>
      </c>
      <c r="T92" s="633" cm="1">
        <f t="array" ref="T92">$R92*(SUMPRODUCT(('Cashflow Summary C19RM'!$K$5:$K$239&lt;&gt;1)*('Cashflow Summary C19RM'!$D$5:$D$239=E92)*('Cashflow Summary C19RM'!$AA$5:$AA$239)))</f>
        <v>0</v>
      </c>
      <c r="U92" s="633" cm="1">
        <f t="array" ref="U92">$R92*(SUMPRODUCT(('Cashflow Summary C19RM'!$K$5:$K$239&lt;&gt;1)*('Cashflow Summary C19RM'!$D$5:$D$239=E92)*('Cashflow Summary C19RM'!$AB$5:$AB$239)))</f>
        <v>0</v>
      </c>
      <c r="V92" s="633" cm="1">
        <f t="array" ref="V92">$R92*(SUMPRODUCT(('Cashflow Summary C19RM'!$K$5:$K$239&lt;&gt;1)*('Cashflow Summary C19RM'!$D$5:$D$239=E92)*('Cashflow Summary C19RM'!$AC$5:$AC$239)))</f>
        <v>0</v>
      </c>
      <c r="W92" s="634">
        <f t="shared" si="41"/>
        <v>0</v>
      </c>
      <c r="X92" s="686">
        <f t="shared" si="42"/>
        <v>0</v>
      </c>
      <c r="Y92" s="633" cm="1">
        <f t="array" ref="Y92">$X92*(SUMPRODUCT(('Cashflow Summary C19RM'!$K$5:$K$239&lt;&gt;1)*('Cashflow Summary C19RM'!$D$5:$D$239=E92)*('Cashflow Summary C19RM'!$AD$5:$AD$239)))</f>
        <v>0</v>
      </c>
      <c r="Z92" s="633" cm="1">
        <f t="array" ref="Z92">$X92*(SUMPRODUCT(('Cashflow Summary C19RM'!$K$5:$K$239&lt;&gt;1)*('Cashflow Summary C19RM'!$D$5:$D$239=E92)*('Cashflow Summary C19RM'!$AE$5:$AE$239)))</f>
        <v>0</v>
      </c>
      <c r="AA92" s="633" cm="1">
        <f t="array" ref="AA92">$X92*(SUMPRODUCT(('Cashflow Summary C19RM'!$K$5:$K$239&lt;&gt;1)*('Cashflow Summary C19RM'!$D$5:$D$239=E92)*('Cashflow Summary C19RM'!$AF$5:$AF$239)))</f>
        <v>0</v>
      </c>
      <c r="AB92" s="630" cm="1">
        <f t="array" ref="AB92">$X92*(SUMPRODUCT(('Cashflow Summary C19RM'!$K$5:$K$239&lt;&gt;1)*('Cashflow Summary C19RM'!$D$5:$D$239=E92)*('Cashflow Summary C19RM'!$AG$5:$AG$239)))</f>
        <v>0</v>
      </c>
      <c r="AC92" s="634">
        <f t="shared" si="43"/>
        <v>0</v>
      </c>
      <c r="AD92" s="686">
        <f t="shared" si="44"/>
        <v>0</v>
      </c>
      <c r="AE92" s="628" cm="1">
        <f t="array" ref="AE92">$AD92*(SUMPRODUCT(('Cashflow Summary C19RM'!$K$5:$K$239&lt;&gt;1)*('Cashflow Summary C19RM'!$D$5:$D$239=E92)*('Cashflow Summary C19RM'!$AH$5:$AH$239)))</f>
        <v>0</v>
      </c>
      <c r="AF92" s="633" cm="1">
        <f t="array" ref="AF92">$AD92*(SUMPRODUCT(('Cashflow Summary C19RM'!$K$5:$K$239&lt;&gt;1)*('Cashflow Summary C19RM'!$D$5:$D$239=E92)*('Cashflow Summary C19RM'!$AI$5:$AI$239)))</f>
        <v>0</v>
      </c>
      <c r="AG92" s="633" cm="1">
        <f t="array" ref="AG92">$AD92*(SUMPRODUCT(('Cashflow Summary C19RM'!$K$5:$K$239&lt;&gt;1)*('Cashflow Summary C19RM'!$D$5:$D$239=E92)*('Cashflow Summary C19RM'!$AJ$5:$AJ$239)))</f>
        <v>0</v>
      </c>
      <c r="AH92" s="633" cm="1">
        <f t="array" ref="AH92">$AD92*(SUMPRODUCT(('Cashflow Summary C19RM'!$K$5:$K$239&lt;&gt;1)*('Cashflow Summary C19RM'!$D$5:$D$239=E92)*('Cashflow Summary C19RM'!$AK$5:$AO$239)))</f>
        <v>0</v>
      </c>
      <c r="AI92" s="634">
        <f t="shared" si="45"/>
        <v>0</v>
      </c>
      <c r="AJ92" s="875">
        <v>0</v>
      </c>
      <c r="AK92" s="872"/>
      <c r="AL92" s="873"/>
      <c r="AM92" s="873"/>
      <c r="AN92" s="873"/>
      <c r="AO92" s="874"/>
      <c r="AP92" s="635">
        <f t="shared" si="52"/>
        <v>0</v>
      </c>
      <c r="AQ92" s="636">
        <v>7.5</v>
      </c>
      <c r="AR92" s="707"/>
      <c r="AS92" s="726"/>
      <c r="AV92" s="228">
        <f t="shared" si="46"/>
        <v>0</v>
      </c>
      <c r="AW92" s="228">
        <f t="shared" si="47"/>
        <v>0</v>
      </c>
      <c r="AX92" s="228">
        <f t="shared" si="48"/>
        <v>0</v>
      </c>
      <c r="AY92" s="228">
        <f t="shared" si="49"/>
        <v>0</v>
      </c>
      <c r="AZ92" s="228">
        <f t="shared" si="50"/>
        <v>0</v>
      </c>
      <c r="BA92" s="228"/>
      <c r="BC92" s="345" cm="1">
        <f t="array" ref="BC92">IF(BM92&gt;=1,0,IFERROR(SUMPRODUCT(($G$11:$AH$11=$BC$16)*($G92:$AH92)),0))</f>
        <v>0</v>
      </c>
      <c r="BD92" s="345" cm="1">
        <f t="array" ref="BD92">IF(BM92&gt;=1,0,IFERROR(SUMPRODUCT(($G$11:$AH$11=$BD$16)*($G92:$AH92)),0))</f>
        <v>0</v>
      </c>
      <c r="BE92" s="345" cm="1">
        <f t="array" ref="BE92">IF(BM92&gt;=1,0,IFERROR(SUMPRODUCT(($G$11:$AH$11=$BE$16)*($G92:$AH92)),0))</f>
        <v>0</v>
      </c>
      <c r="BF92" s="345" cm="1">
        <f t="array" ref="BF92">IF(BM92&gt;=1,0,IFERROR(SUMPRODUCT(($G$11:$AH$11=$BF$16)*($G92:$AH92)),0))</f>
        <v>0</v>
      </c>
      <c r="BG92" s="345" cm="1">
        <f t="array" ref="BG92">IF(BM92&gt;=1,0,IFERROR(SUMPRODUCT(($G$11:$AH$11=$BG$16)*($G92:$AH92)),0))</f>
        <v>0</v>
      </c>
      <c r="BH92" s="345"/>
      <c r="BI92" s="343">
        <f t="shared" si="53"/>
        <v>0</v>
      </c>
      <c r="BJ92" s="229" t="s">
        <v>83</v>
      </c>
      <c r="BK92" cm="1">
        <f t="array" ref="BK92">(SUMPRODUCT(('Cashflow Summary C19RM'!$D$5:$D$451=E92)*('Cashflow Summary C19RM'!$BD$5:$BD$451)))</f>
        <v>0</v>
      </c>
      <c r="BL92" cm="1">
        <f t="array" ref="BL92">(SUMPRODUCT((SETUP!$D$20:$D$67=E92)*(SETUP!$R$20:$R$67)))</f>
        <v>0</v>
      </c>
      <c r="BM92" s="89">
        <f t="shared" si="51"/>
        <v>0</v>
      </c>
    </row>
    <row r="93" spans="1:65" s="89" customFormat="1" ht="15" customHeight="1" thickBot="1" x14ac:dyDescent="0.4">
      <c r="A93" s="89" t="s">
        <v>216</v>
      </c>
      <c r="B93" s="211" t="s">
        <v>745</v>
      </c>
      <c r="C93" s="699" t="s">
        <v>2750</v>
      </c>
      <c r="D93" s="1314"/>
      <c r="E93" s="1010" t="s">
        <v>22</v>
      </c>
      <c r="F93" s="697">
        <v>0</v>
      </c>
      <c r="G93" s="628" cm="1">
        <f t="array" ref="G93">$F93*(SUMPRODUCT(('Cashflow Summary C19RM'!$K$5:$K$239&lt;&gt;1)*('Cashflow Summary C19RM'!$D$5:$D$239=E93)*('Cashflow Summary C19RM'!$R$5:$R$239)))</f>
        <v>0</v>
      </c>
      <c r="H93" s="629" cm="1">
        <f t="array" ref="H93">$F93*(SUMPRODUCT(('Cashflow Summary C19RM'!$K$5:$K$239&lt;&gt;1)*('Cashflow Summary C19RM'!$D$5:$D$239=E93)*('Cashflow Summary C19RM'!$S$5:$S$239)))</f>
        <v>0</v>
      </c>
      <c r="I93" s="630" cm="1">
        <f t="array" ref="I93">$F93*(SUMPRODUCT(('Cashflow Summary C19RM'!$K$5:$K$239&lt;&gt;1)*('Cashflow Summary C19RM'!$D$5:$D$239=E93)*('Cashflow Summary C19RM'!$T$5:$T$239)))</f>
        <v>0</v>
      </c>
      <c r="J93" s="630" cm="1">
        <f t="array" ref="J93">$F93*(SUMPRODUCT(('Cashflow Summary C19RM'!$K$5:$K$239&lt;&gt;1)*('Cashflow Summary C19RM'!$D$5:$D$239=E93)*('Cashflow Summary C19RM'!$U$5:$U$239)))</f>
        <v>0</v>
      </c>
      <c r="K93" s="631">
        <f t="shared" si="37"/>
        <v>0</v>
      </c>
      <c r="L93" s="686">
        <f t="shared" si="38"/>
        <v>0</v>
      </c>
      <c r="M93" s="630" cm="1">
        <f t="array" ref="M93">$L93*(SUMPRODUCT(('Cashflow Summary C19RM'!$K$5:$K$239&lt;&gt;1)*('Cashflow Summary C19RM'!$D$5:$D$239=E93)*('Cashflow Summary C19RM'!$V$5:$V$239)))</f>
        <v>0</v>
      </c>
      <c r="N93" s="630" cm="1">
        <f t="array" ref="N93">$L93*(SUMPRODUCT(('Cashflow Summary C19RM'!$K$5:$K$239&lt;&gt;1)*('Cashflow Summary C19RM'!$D$5:$D$239=E93)*('Cashflow Summary C19RM'!$W$5:$W$239)))</f>
        <v>0</v>
      </c>
      <c r="O93" s="630" cm="1">
        <f t="array" ref="O93">$L93*(SUMPRODUCT(('Cashflow Summary C19RM'!$K$5:$K$239&lt;&gt;1)*('Cashflow Summary C19RM'!$D$5:$D$239=E93)*('Cashflow Summary C19RM'!$X$5:$X$239)))</f>
        <v>0</v>
      </c>
      <c r="P93" s="630" cm="1">
        <f t="array" ref="P93">$L93*(SUMPRODUCT(('Cashflow Summary C19RM'!$K$5:$K$239&lt;&gt;1)*('Cashflow Summary C19RM'!$D$5:$D$239=E93)*('Cashflow Summary C19RM'!$Y$5:$Y$239)))</f>
        <v>0</v>
      </c>
      <c r="Q93" s="632">
        <f t="shared" si="39"/>
        <v>0</v>
      </c>
      <c r="R93" s="686">
        <f t="shared" si="40"/>
        <v>0</v>
      </c>
      <c r="S93" s="633" cm="1">
        <f t="array" ref="S93">$R93*(SUMPRODUCT(('Cashflow Summary C19RM'!$K$5:$K$239&lt;&gt;1)*('Cashflow Summary C19RM'!$D$5:$D$239=E93)*('Cashflow Summary C19RM'!$Z$5:$Z$239)))</f>
        <v>0</v>
      </c>
      <c r="T93" s="633" cm="1">
        <f t="array" ref="T93">$R93*(SUMPRODUCT(('Cashflow Summary C19RM'!$K$5:$K$239&lt;&gt;1)*('Cashflow Summary C19RM'!$D$5:$D$239=E93)*('Cashflow Summary C19RM'!$AA$5:$AA$239)))</f>
        <v>0</v>
      </c>
      <c r="U93" s="633" cm="1">
        <f t="array" ref="U93">$R93*(SUMPRODUCT(('Cashflow Summary C19RM'!$K$5:$K$239&lt;&gt;1)*('Cashflow Summary C19RM'!$D$5:$D$239=E93)*('Cashflow Summary C19RM'!$AB$5:$AB$239)))</f>
        <v>0</v>
      </c>
      <c r="V93" s="633" cm="1">
        <f t="array" ref="V93">$R93*(SUMPRODUCT(('Cashflow Summary C19RM'!$K$5:$K$239&lt;&gt;1)*('Cashflow Summary C19RM'!$D$5:$D$239=E93)*('Cashflow Summary C19RM'!$AC$5:$AC$239)))</f>
        <v>0</v>
      </c>
      <c r="W93" s="634">
        <f t="shared" si="41"/>
        <v>0</v>
      </c>
      <c r="X93" s="686">
        <f t="shared" si="42"/>
        <v>0</v>
      </c>
      <c r="Y93" s="633" cm="1">
        <f t="array" ref="Y93">$X93*(SUMPRODUCT(('Cashflow Summary C19RM'!$K$5:$K$239&lt;&gt;1)*('Cashflow Summary C19RM'!$D$5:$D$239=E93)*('Cashflow Summary C19RM'!$AD$5:$AD$239)))</f>
        <v>0</v>
      </c>
      <c r="Z93" s="633" cm="1">
        <f t="array" ref="Z93">$X93*(SUMPRODUCT(('Cashflow Summary C19RM'!$K$5:$K$239&lt;&gt;1)*('Cashflow Summary C19RM'!$D$5:$D$239=E93)*('Cashflow Summary C19RM'!$AE$5:$AE$239)))</f>
        <v>0</v>
      </c>
      <c r="AA93" s="633" cm="1">
        <f t="array" ref="AA93">$X93*(SUMPRODUCT(('Cashflow Summary C19RM'!$K$5:$K$239&lt;&gt;1)*('Cashflow Summary C19RM'!$D$5:$D$239=E93)*('Cashflow Summary C19RM'!$AF$5:$AF$239)))</f>
        <v>0</v>
      </c>
      <c r="AB93" s="630" cm="1">
        <f t="array" ref="AB93">$X93*(SUMPRODUCT(('Cashflow Summary C19RM'!$K$5:$K$239&lt;&gt;1)*('Cashflow Summary C19RM'!$D$5:$D$239=E93)*('Cashflow Summary C19RM'!$AG$5:$AG$239)))</f>
        <v>0</v>
      </c>
      <c r="AC93" s="634">
        <f t="shared" si="43"/>
        <v>0</v>
      </c>
      <c r="AD93" s="686">
        <f t="shared" si="44"/>
        <v>0</v>
      </c>
      <c r="AE93" s="628" cm="1">
        <f t="array" ref="AE93">$AD93*(SUMPRODUCT(('Cashflow Summary C19RM'!$K$5:$K$239&lt;&gt;1)*('Cashflow Summary C19RM'!$D$5:$D$239=E93)*('Cashflow Summary C19RM'!$AH$5:$AH$239)))</f>
        <v>0</v>
      </c>
      <c r="AF93" s="633" cm="1">
        <f t="array" ref="AF93">$AD93*(SUMPRODUCT(('Cashflow Summary C19RM'!$K$5:$K$239&lt;&gt;1)*('Cashflow Summary C19RM'!$D$5:$D$239=E93)*('Cashflow Summary C19RM'!$AI$5:$AI$239)))</f>
        <v>0</v>
      </c>
      <c r="AG93" s="633" cm="1">
        <f t="array" ref="AG93">$AD93*(SUMPRODUCT(('Cashflow Summary C19RM'!$K$5:$K$239&lt;&gt;1)*('Cashflow Summary C19RM'!$D$5:$D$239=E93)*('Cashflow Summary C19RM'!$AJ$5:$AJ$239)))</f>
        <v>0</v>
      </c>
      <c r="AH93" s="633" cm="1">
        <f t="array" ref="AH93">$AD93*(SUMPRODUCT(('Cashflow Summary C19RM'!$K$5:$K$239&lt;&gt;1)*('Cashflow Summary C19RM'!$D$5:$D$239=E93)*('Cashflow Summary C19RM'!$AK$5:$AO$239)))</f>
        <v>0</v>
      </c>
      <c r="AI93" s="634">
        <f t="shared" si="45"/>
        <v>0</v>
      </c>
      <c r="AJ93" s="875">
        <v>0</v>
      </c>
      <c r="AK93" s="872"/>
      <c r="AL93" s="873"/>
      <c r="AM93" s="873"/>
      <c r="AN93" s="873"/>
      <c r="AO93" s="874"/>
      <c r="AP93" s="635">
        <f t="shared" si="52"/>
        <v>0</v>
      </c>
      <c r="AQ93" s="636">
        <v>7.5</v>
      </c>
      <c r="AR93" s="707"/>
      <c r="AS93" s="726"/>
      <c r="AV93" s="228">
        <f t="shared" si="46"/>
        <v>0</v>
      </c>
      <c r="AW93" s="228">
        <f t="shared" si="47"/>
        <v>0</v>
      </c>
      <c r="AX93" s="228">
        <f t="shared" si="48"/>
        <v>0</v>
      </c>
      <c r="AY93" s="228">
        <f t="shared" si="49"/>
        <v>0</v>
      </c>
      <c r="AZ93" s="228">
        <f t="shared" si="50"/>
        <v>0</v>
      </c>
      <c r="BA93" s="228"/>
      <c r="BC93" s="345" cm="1">
        <f t="array" ref="BC93">IF(BM93&gt;=1,0,IFERROR(SUMPRODUCT(($G$11:$AH$11=$BC$16)*($G93:$AH93)),0))</f>
        <v>0</v>
      </c>
      <c r="BD93" s="345" cm="1">
        <f t="array" ref="BD93">IF(BM93&gt;=1,0,IFERROR(SUMPRODUCT(($G$11:$AH$11=$BD$16)*($G93:$AH93)),0))</f>
        <v>0</v>
      </c>
      <c r="BE93" s="345" cm="1">
        <f t="array" ref="BE93">IF(BM93&gt;=1,0,IFERROR(SUMPRODUCT(($G$11:$AH$11=$BE$16)*($G93:$AH93)),0))</f>
        <v>0</v>
      </c>
      <c r="BF93" s="345" cm="1">
        <f t="array" ref="BF93">IF(BM93&gt;=1,0,IFERROR(SUMPRODUCT(($G$11:$AH$11=$BF$16)*($G93:$AH93)),0))</f>
        <v>0</v>
      </c>
      <c r="BG93" s="345" cm="1">
        <f t="array" ref="BG93">IF(BM93&gt;=1,0,IFERROR(SUMPRODUCT(($G$11:$AH$11=$BG$16)*($G93:$AH93)),0))</f>
        <v>0</v>
      </c>
      <c r="BH93" s="345"/>
      <c r="BI93" s="343">
        <f t="shared" si="53"/>
        <v>0</v>
      </c>
      <c r="BJ93" s="229" t="s">
        <v>83</v>
      </c>
      <c r="BK93" cm="1">
        <f t="array" ref="BK93">(SUMPRODUCT(('Cashflow Summary C19RM'!$D$5:$D$451=E93)*('Cashflow Summary C19RM'!$BD$5:$BD$451)))</f>
        <v>0</v>
      </c>
      <c r="BL93" cm="1">
        <f t="array" ref="BL93">(SUMPRODUCT((SETUP!$D$20:$D$67=E93)*(SETUP!$R$20:$R$67)))</f>
        <v>0</v>
      </c>
      <c r="BM93" s="89">
        <f t="shared" si="51"/>
        <v>0</v>
      </c>
    </row>
    <row r="94" spans="1:65" s="89" customFormat="1" ht="15" customHeight="1" thickBot="1" x14ac:dyDescent="0.4">
      <c r="A94" s="89" t="s">
        <v>216</v>
      </c>
      <c r="B94" s="211" t="s">
        <v>745</v>
      </c>
      <c r="C94" s="699" t="s">
        <v>2750</v>
      </c>
      <c r="D94" s="1314"/>
      <c r="E94" s="1010" t="s">
        <v>25</v>
      </c>
      <c r="F94" s="697">
        <v>0</v>
      </c>
      <c r="G94" s="628" cm="1">
        <f t="array" ref="G94">$F94*(SUMPRODUCT(('Cashflow Summary C19RM'!$K$5:$K$239&lt;&gt;1)*('Cashflow Summary C19RM'!$D$5:$D$239=E94)*('Cashflow Summary C19RM'!$R$5:$R$239)))</f>
        <v>0</v>
      </c>
      <c r="H94" s="629" cm="1">
        <f t="array" ref="H94">$F94*(SUMPRODUCT(('Cashflow Summary C19RM'!$K$5:$K$239&lt;&gt;1)*('Cashflow Summary C19RM'!$D$5:$D$239=E94)*('Cashflow Summary C19RM'!$S$5:$S$239)))</f>
        <v>0</v>
      </c>
      <c r="I94" s="630" cm="1">
        <f t="array" ref="I94">$F94*(SUMPRODUCT(('Cashflow Summary C19RM'!$K$5:$K$239&lt;&gt;1)*('Cashflow Summary C19RM'!$D$5:$D$239=E94)*('Cashflow Summary C19RM'!$T$5:$T$239)))</f>
        <v>0</v>
      </c>
      <c r="J94" s="630" cm="1">
        <f t="array" ref="J94">$F94*(SUMPRODUCT(('Cashflow Summary C19RM'!$K$5:$K$239&lt;&gt;1)*('Cashflow Summary C19RM'!$D$5:$D$239=E94)*('Cashflow Summary C19RM'!$U$5:$U$239)))</f>
        <v>0</v>
      </c>
      <c r="K94" s="631">
        <f t="shared" si="37"/>
        <v>0</v>
      </c>
      <c r="L94" s="686">
        <f t="shared" si="38"/>
        <v>0</v>
      </c>
      <c r="M94" s="630" cm="1">
        <f t="array" ref="M94">$L94*(SUMPRODUCT(('Cashflow Summary C19RM'!$K$5:$K$239&lt;&gt;1)*('Cashflow Summary C19RM'!$D$5:$D$239=E94)*('Cashflow Summary C19RM'!$V$5:$V$239)))</f>
        <v>0</v>
      </c>
      <c r="N94" s="630" cm="1">
        <f t="array" ref="N94">$L94*(SUMPRODUCT(('Cashflow Summary C19RM'!$K$5:$K$239&lt;&gt;1)*('Cashflow Summary C19RM'!$D$5:$D$239=E94)*('Cashflow Summary C19RM'!$W$5:$W$239)))</f>
        <v>0</v>
      </c>
      <c r="O94" s="630" cm="1">
        <f t="array" ref="O94">$L94*(SUMPRODUCT(('Cashflow Summary C19RM'!$K$5:$K$239&lt;&gt;1)*('Cashflow Summary C19RM'!$D$5:$D$239=E94)*('Cashflow Summary C19RM'!$X$5:$X$239)))</f>
        <v>0</v>
      </c>
      <c r="P94" s="630" cm="1">
        <f t="array" ref="P94">$L94*(SUMPRODUCT(('Cashflow Summary C19RM'!$K$5:$K$239&lt;&gt;1)*('Cashflow Summary C19RM'!$D$5:$D$239=E94)*('Cashflow Summary C19RM'!$Y$5:$Y$239)))</f>
        <v>0</v>
      </c>
      <c r="Q94" s="632">
        <f t="shared" si="39"/>
        <v>0</v>
      </c>
      <c r="R94" s="686">
        <f t="shared" si="40"/>
        <v>0</v>
      </c>
      <c r="S94" s="633" cm="1">
        <f t="array" ref="S94">$R94*(SUMPRODUCT(('Cashflow Summary C19RM'!$K$5:$K$239&lt;&gt;1)*('Cashflow Summary C19RM'!$D$5:$D$239=E94)*('Cashflow Summary C19RM'!$Z$5:$Z$239)))</f>
        <v>0</v>
      </c>
      <c r="T94" s="633" cm="1">
        <f t="array" ref="T94">$R94*(SUMPRODUCT(('Cashflow Summary C19RM'!$K$5:$K$239&lt;&gt;1)*('Cashflow Summary C19RM'!$D$5:$D$239=E94)*('Cashflow Summary C19RM'!$AA$5:$AA$239)))</f>
        <v>0</v>
      </c>
      <c r="U94" s="633" cm="1">
        <f t="array" ref="U94">$R94*(SUMPRODUCT(('Cashflow Summary C19RM'!$K$5:$K$239&lt;&gt;1)*('Cashflow Summary C19RM'!$D$5:$D$239=E94)*('Cashflow Summary C19RM'!$AB$5:$AB$239)))</f>
        <v>0</v>
      </c>
      <c r="V94" s="633" cm="1">
        <f t="array" ref="V94">$R94*(SUMPRODUCT(('Cashflow Summary C19RM'!$K$5:$K$239&lt;&gt;1)*('Cashflow Summary C19RM'!$D$5:$D$239=E94)*('Cashflow Summary C19RM'!$AC$5:$AC$239)))</f>
        <v>0</v>
      </c>
      <c r="W94" s="634">
        <f t="shared" si="41"/>
        <v>0</v>
      </c>
      <c r="X94" s="686">
        <f t="shared" si="42"/>
        <v>0</v>
      </c>
      <c r="Y94" s="633" cm="1">
        <f t="array" ref="Y94">$X94*(SUMPRODUCT(('Cashflow Summary C19RM'!$K$5:$K$239&lt;&gt;1)*('Cashflow Summary C19RM'!$D$5:$D$239=E94)*('Cashflow Summary C19RM'!$AD$5:$AD$239)))</f>
        <v>0</v>
      </c>
      <c r="Z94" s="633" cm="1">
        <f t="array" ref="Z94">$X94*(SUMPRODUCT(('Cashflow Summary C19RM'!$K$5:$K$239&lt;&gt;1)*('Cashflow Summary C19RM'!$D$5:$D$239=E94)*('Cashflow Summary C19RM'!$AE$5:$AE$239)))</f>
        <v>0</v>
      </c>
      <c r="AA94" s="633" cm="1">
        <f t="array" ref="AA94">$X94*(SUMPRODUCT(('Cashflow Summary C19RM'!$K$5:$K$239&lt;&gt;1)*('Cashflow Summary C19RM'!$D$5:$D$239=E94)*('Cashflow Summary C19RM'!$AF$5:$AF$239)))</f>
        <v>0</v>
      </c>
      <c r="AB94" s="630" cm="1">
        <f t="array" ref="AB94">$X94*(SUMPRODUCT(('Cashflow Summary C19RM'!$K$5:$K$239&lt;&gt;1)*('Cashflow Summary C19RM'!$D$5:$D$239=E94)*('Cashflow Summary C19RM'!$AG$5:$AG$239)))</f>
        <v>0</v>
      </c>
      <c r="AC94" s="634">
        <f t="shared" si="43"/>
        <v>0</v>
      </c>
      <c r="AD94" s="686">
        <f t="shared" si="44"/>
        <v>0</v>
      </c>
      <c r="AE94" s="628" cm="1">
        <f t="array" ref="AE94">$AD94*(SUMPRODUCT(('Cashflow Summary C19RM'!$K$5:$K$239&lt;&gt;1)*('Cashflow Summary C19RM'!$D$5:$D$239=E94)*('Cashflow Summary C19RM'!$AH$5:$AH$239)))</f>
        <v>0</v>
      </c>
      <c r="AF94" s="633" cm="1">
        <f t="array" ref="AF94">$AD94*(SUMPRODUCT(('Cashflow Summary C19RM'!$K$5:$K$239&lt;&gt;1)*('Cashflow Summary C19RM'!$D$5:$D$239=E94)*('Cashflow Summary C19RM'!$AI$5:$AI$239)))</f>
        <v>0</v>
      </c>
      <c r="AG94" s="633" cm="1">
        <f t="array" ref="AG94">$AD94*(SUMPRODUCT(('Cashflow Summary C19RM'!$K$5:$K$239&lt;&gt;1)*('Cashflow Summary C19RM'!$D$5:$D$239=E94)*('Cashflow Summary C19RM'!$AJ$5:$AJ$239)))</f>
        <v>0</v>
      </c>
      <c r="AH94" s="633" cm="1">
        <f t="array" ref="AH94">$AD94*(SUMPRODUCT(('Cashflow Summary C19RM'!$K$5:$K$239&lt;&gt;1)*('Cashflow Summary C19RM'!$D$5:$D$239=E94)*('Cashflow Summary C19RM'!$AK$5:$AO$239)))</f>
        <v>0</v>
      </c>
      <c r="AI94" s="634">
        <f t="shared" si="45"/>
        <v>0</v>
      </c>
      <c r="AJ94" s="875">
        <v>0</v>
      </c>
      <c r="AK94" s="872"/>
      <c r="AL94" s="873"/>
      <c r="AM94" s="873"/>
      <c r="AN94" s="873"/>
      <c r="AO94" s="874"/>
      <c r="AP94" s="635">
        <f t="shared" si="52"/>
        <v>0</v>
      </c>
      <c r="AQ94" s="636">
        <v>7.5</v>
      </c>
      <c r="AR94" s="707"/>
      <c r="AS94" s="726"/>
      <c r="AV94" s="228">
        <f t="shared" si="46"/>
        <v>0</v>
      </c>
      <c r="AW94" s="228">
        <f t="shared" si="47"/>
        <v>0</v>
      </c>
      <c r="AX94" s="228">
        <f t="shared" si="48"/>
        <v>0</v>
      </c>
      <c r="AY94" s="228">
        <f t="shared" si="49"/>
        <v>0</v>
      </c>
      <c r="AZ94" s="228">
        <f t="shared" si="50"/>
        <v>0</v>
      </c>
      <c r="BA94" s="228"/>
      <c r="BC94" s="345" cm="1">
        <f t="array" ref="BC94">IF(BM94&gt;=1,0,IFERROR(SUMPRODUCT(($G$11:$AH$11=$BC$16)*($G94:$AH94)),0))</f>
        <v>0</v>
      </c>
      <c r="BD94" s="345" cm="1">
        <f t="array" ref="BD94">IF(BM94&gt;=1,0,IFERROR(SUMPRODUCT(($G$11:$AH$11=$BD$16)*($G94:$AH94)),0))</f>
        <v>0</v>
      </c>
      <c r="BE94" s="345" cm="1">
        <f t="array" ref="BE94">IF(BM94&gt;=1,0,IFERROR(SUMPRODUCT(($G$11:$AH$11=$BE$16)*($G94:$AH94)),0))</f>
        <v>0</v>
      </c>
      <c r="BF94" s="345" cm="1">
        <f t="array" ref="BF94">IF(BM94&gt;=1,0,IFERROR(SUMPRODUCT(($G$11:$AH$11=$BF$16)*($G94:$AH94)),0))</f>
        <v>0</v>
      </c>
      <c r="BG94" s="345" cm="1">
        <f t="array" ref="BG94">IF(BM94&gt;=1,0,IFERROR(SUMPRODUCT(($G$11:$AH$11=$BG$16)*($G94:$AH94)),0))</f>
        <v>0</v>
      </c>
      <c r="BH94" s="345"/>
      <c r="BI94" s="343">
        <f t="shared" si="53"/>
        <v>0</v>
      </c>
      <c r="BJ94" s="229" t="s">
        <v>83</v>
      </c>
      <c r="BK94" cm="1">
        <f t="array" ref="BK94">(SUMPRODUCT(('Cashflow Summary C19RM'!$D$5:$D$451=E94)*('Cashflow Summary C19RM'!$BD$5:$BD$451)))</f>
        <v>0</v>
      </c>
      <c r="BL94" cm="1">
        <f t="array" ref="BL94">(SUMPRODUCT((SETUP!$D$20:$D$67=E94)*(SETUP!$R$20:$R$67)))</f>
        <v>0</v>
      </c>
      <c r="BM94" s="89">
        <f t="shared" si="51"/>
        <v>0</v>
      </c>
    </row>
    <row r="95" spans="1:65" s="89" customFormat="1" ht="15" customHeight="1" thickBot="1" x14ac:dyDescent="0.4">
      <c r="A95" s="89" t="s">
        <v>216</v>
      </c>
      <c r="B95" s="211" t="s">
        <v>745</v>
      </c>
      <c r="C95" s="699" t="s">
        <v>2750</v>
      </c>
      <c r="D95" s="1314"/>
      <c r="E95" s="1010" t="s">
        <v>28</v>
      </c>
      <c r="F95" s="697">
        <v>0</v>
      </c>
      <c r="G95" s="628" cm="1">
        <f t="array" ref="G95">$F95*(SUMPRODUCT(('Cashflow Summary C19RM'!$K$5:$K$239&lt;&gt;1)*('Cashflow Summary C19RM'!$D$5:$D$239=E95)*('Cashflow Summary C19RM'!$R$5:$R$239)))</f>
        <v>0</v>
      </c>
      <c r="H95" s="629" cm="1">
        <f t="array" ref="H95">$F95*(SUMPRODUCT(('Cashflow Summary C19RM'!$K$5:$K$239&lt;&gt;1)*('Cashflow Summary C19RM'!$D$5:$D$239=E95)*('Cashflow Summary C19RM'!$S$5:$S$239)))</f>
        <v>0</v>
      </c>
      <c r="I95" s="630" cm="1">
        <f t="array" ref="I95">$F95*(SUMPRODUCT(('Cashflow Summary C19RM'!$K$5:$K$239&lt;&gt;1)*('Cashflow Summary C19RM'!$D$5:$D$239=E95)*('Cashflow Summary C19RM'!$T$5:$T$239)))</f>
        <v>0</v>
      </c>
      <c r="J95" s="630" cm="1">
        <f t="array" ref="J95">$F95*(SUMPRODUCT(('Cashflow Summary C19RM'!$K$5:$K$239&lt;&gt;1)*('Cashflow Summary C19RM'!$D$5:$D$239=E95)*('Cashflow Summary C19RM'!$U$5:$U$239)))</f>
        <v>0</v>
      </c>
      <c r="K95" s="631">
        <f t="shared" si="37"/>
        <v>0</v>
      </c>
      <c r="L95" s="686">
        <f t="shared" si="38"/>
        <v>0</v>
      </c>
      <c r="M95" s="630" cm="1">
        <f t="array" ref="M95">$L95*(SUMPRODUCT(('Cashflow Summary C19RM'!$K$5:$K$239&lt;&gt;1)*('Cashflow Summary C19RM'!$D$5:$D$239=E95)*('Cashflow Summary C19RM'!$V$5:$V$239)))</f>
        <v>0</v>
      </c>
      <c r="N95" s="630" cm="1">
        <f t="array" ref="N95">$L95*(SUMPRODUCT(('Cashflow Summary C19RM'!$K$5:$K$239&lt;&gt;1)*('Cashflow Summary C19RM'!$D$5:$D$239=E95)*('Cashflow Summary C19RM'!$W$5:$W$239)))</f>
        <v>0</v>
      </c>
      <c r="O95" s="630" cm="1">
        <f t="array" ref="O95">$L95*(SUMPRODUCT(('Cashflow Summary C19RM'!$K$5:$K$239&lt;&gt;1)*('Cashflow Summary C19RM'!$D$5:$D$239=E95)*('Cashflow Summary C19RM'!$X$5:$X$239)))</f>
        <v>0</v>
      </c>
      <c r="P95" s="630" cm="1">
        <f t="array" ref="P95">$L95*(SUMPRODUCT(('Cashflow Summary C19RM'!$K$5:$K$239&lt;&gt;1)*('Cashflow Summary C19RM'!$D$5:$D$239=E95)*('Cashflow Summary C19RM'!$Y$5:$Y$239)))</f>
        <v>0</v>
      </c>
      <c r="Q95" s="632">
        <f t="shared" si="39"/>
        <v>0</v>
      </c>
      <c r="R95" s="686">
        <f t="shared" si="40"/>
        <v>0</v>
      </c>
      <c r="S95" s="633" cm="1">
        <f t="array" ref="S95">$R95*(SUMPRODUCT(('Cashflow Summary C19RM'!$K$5:$K$239&lt;&gt;1)*('Cashflow Summary C19RM'!$D$5:$D$239=E95)*('Cashflow Summary C19RM'!$Z$5:$Z$239)))</f>
        <v>0</v>
      </c>
      <c r="T95" s="633" cm="1">
        <f t="array" ref="T95">$R95*(SUMPRODUCT(('Cashflow Summary C19RM'!$K$5:$K$239&lt;&gt;1)*('Cashflow Summary C19RM'!$D$5:$D$239=E95)*('Cashflow Summary C19RM'!$AA$5:$AA$239)))</f>
        <v>0</v>
      </c>
      <c r="U95" s="633" cm="1">
        <f t="array" ref="U95">$R95*(SUMPRODUCT(('Cashflow Summary C19RM'!$K$5:$K$239&lt;&gt;1)*('Cashflow Summary C19RM'!$D$5:$D$239=E95)*('Cashflow Summary C19RM'!$AB$5:$AB$239)))</f>
        <v>0</v>
      </c>
      <c r="V95" s="633" cm="1">
        <f t="array" ref="V95">$R95*(SUMPRODUCT(('Cashflow Summary C19RM'!$K$5:$K$239&lt;&gt;1)*('Cashflow Summary C19RM'!$D$5:$D$239=E95)*('Cashflow Summary C19RM'!$AC$5:$AC$239)))</f>
        <v>0</v>
      </c>
      <c r="W95" s="634">
        <f t="shared" si="41"/>
        <v>0</v>
      </c>
      <c r="X95" s="686">
        <f t="shared" si="42"/>
        <v>0</v>
      </c>
      <c r="Y95" s="633" cm="1">
        <f t="array" ref="Y95">$X95*(SUMPRODUCT(('Cashflow Summary C19RM'!$K$5:$K$239&lt;&gt;1)*('Cashflow Summary C19RM'!$D$5:$D$239=E95)*('Cashflow Summary C19RM'!$AD$5:$AD$239)))</f>
        <v>0</v>
      </c>
      <c r="Z95" s="633" cm="1">
        <f t="array" ref="Z95">$X95*(SUMPRODUCT(('Cashflow Summary C19RM'!$K$5:$K$239&lt;&gt;1)*('Cashflow Summary C19RM'!$D$5:$D$239=E95)*('Cashflow Summary C19RM'!$AE$5:$AE$239)))</f>
        <v>0</v>
      </c>
      <c r="AA95" s="633" cm="1">
        <f t="array" ref="AA95">$X95*(SUMPRODUCT(('Cashflow Summary C19RM'!$K$5:$K$239&lt;&gt;1)*('Cashflow Summary C19RM'!$D$5:$D$239=E95)*('Cashflow Summary C19RM'!$AF$5:$AF$239)))</f>
        <v>0</v>
      </c>
      <c r="AB95" s="630" cm="1">
        <f t="array" ref="AB95">$X95*(SUMPRODUCT(('Cashflow Summary C19RM'!$K$5:$K$239&lt;&gt;1)*('Cashflow Summary C19RM'!$D$5:$D$239=E95)*('Cashflow Summary C19RM'!$AG$5:$AG$239)))</f>
        <v>0</v>
      </c>
      <c r="AC95" s="634">
        <f t="shared" si="43"/>
        <v>0</v>
      </c>
      <c r="AD95" s="686">
        <f t="shared" si="44"/>
        <v>0</v>
      </c>
      <c r="AE95" s="628" cm="1">
        <f t="array" ref="AE95">$AD95*(SUMPRODUCT(('Cashflow Summary C19RM'!$K$5:$K$239&lt;&gt;1)*('Cashflow Summary C19RM'!$D$5:$D$239=E95)*('Cashflow Summary C19RM'!$AH$5:$AH$239)))</f>
        <v>0</v>
      </c>
      <c r="AF95" s="633" cm="1">
        <f t="array" ref="AF95">$AD95*(SUMPRODUCT(('Cashflow Summary C19RM'!$K$5:$K$239&lt;&gt;1)*('Cashflow Summary C19RM'!$D$5:$D$239=E95)*('Cashflow Summary C19RM'!$AI$5:$AI$239)))</f>
        <v>0</v>
      </c>
      <c r="AG95" s="633" cm="1">
        <f t="array" ref="AG95">$AD95*(SUMPRODUCT(('Cashflow Summary C19RM'!$K$5:$K$239&lt;&gt;1)*('Cashflow Summary C19RM'!$D$5:$D$239=E95)*('Cashflow Summary C19RM'!$AJ$5:$AJ$239)))</f>
        <v>0</v>
      </c>
      <c r="AH95" s="633" cm="1">
        <f t="array" ref="AH95">$AD95*(SUMPRODUCT(('Cashflow Summary C19RM'!$K$5:$K$239&lt;&gt;1)*('Cashflow Summary C19RM'!$D$5:$D$239=E95)*('Cashflow Summary C19RM'!$AK$5:$AO$239)))</f>
        <v>0</v>
      </c>
      <c r="AI95" s="634">
        <f t="shared" si="45"/>
        <v>0</v>
      </c>
      <c r="AJ95" s="875">
        <v>0</v>
      </c>
      <c r="AK95" s="872"/>
      <c r="AL95" s="873"/>
      <c r="AM95" s="873"/>
      <c r="AN95" s="873"/>
      <c r="AO95" s="874"/>
      <c r="AP95" s="635">
        <f t="shared" si="52"/>
        <v>0</v>
      </c>
      <c r="AQ95" s="636">
        <v>7.5</v>
      </c>
      <c r="AR95" s="707"/>
      <c r="AS95" s="726"/>
      <c r="AV95" s="228">
        <f t="shared" si="46"/>
        <v>0</v>
      </c>
      <c r="AW95" s="228">
        <f t="shared" si="47"/>
        <v>0</v>
      </c>
      <c r="AX95" s="228">
        <f t="shared" si="48"/>
        <v>0</v>
      </c>
      <c r="AY95" s="228">
        <f t="shared" si="49"/>
        <v>0</v>
      </c>
      <c r="AZ95" s="228">
        <f t="shared" si="50"/>
        <v>0</v>
      </c>
      <c r="BA95" s="228"/>
      <c r="BC95" s="345" cm="1">
        <f t="array" ref="BC95">IF(BM95&gt;=1,0,IFERROR(SUMPRODUCT(($G$11:$AH$11=$BC$16)*($G95:$AH95)),0))</f>
        <v>0</v>
      </c>
      <c r="BD95" s="345" cm="1">
        <f t="array" ref="BD95">IF(BM95&gt;=1,0,IFERROR(SUMPRODUCT(($G$11:$AH$11=$BD$16)*($G95:$AH95)),0))</f>
        <v>0</v>
      </c>
      <c r="BE95" s="345" cm="1">
        <f t="array" ref="BE95">IF(BM95&gt;=1,0,IFERROR(SUMPRODUCT(($G$11:$AH$11=$BE$16)*($G95:$AH95)),0))</f>
        <v>0</v>
      </c>
      <c r="BF95" s="345" cm="1">
        <f t="array" ref="BF95">IF(BM95&gt;=1,0,IFERROR(SUMPRODUCT(($G$11:$AH$11=$BF$16)*($G95:$AH95)),0))</f>
        <v>0</v>
      </c>
      <c r="BG95" s="345" cm="1">
        <f t="array" ref="BG95">IF(BM95&gt;=1,0,IFERROR(SUMPRODUCT(($G$11:$AH$11=$BG$16)*($G95:$AH95)),0))</f>
        <v>0</v>
      </c>
      <c r="BH95" s="345"/>
      <c r="BI95" s="343">
        <f t="shared" si="53"/>
        <v>0</v>
      </c>
      <c r="BJ95" s="229" t="s">
        <v>83</v>
      </c>
      <c r="BK95" cm="1">
        <f t="array" ref="BK95">(SUMPRODUCT(('Cashflow Summary C19RM'!$D$5:$D$451=E95)*('Cashflow Summary C19RM'!$BD$5:$BD$451)))</f>
        <v>0</v>
      </c>
      <c r="BL95" cm="1">
        <f t="array" ref="BL95">(SUMPRODUCT((SETUP!$D$20:$D$67=E95)*(SETUP!$R$20:$R$67)))</f>
        <v>0</v>
      </c>
      <c r="BM95" s="89">
        <f t="shared" si="51"/>
        <v>0</v>
      </c>
    </row>
    <row r="96" spans="1:65" s="89" customFormat="1" ht="15" customHeight="1" thickBot="1" x14ac:dyDescent="0.4">
      <c r="A96" s="89" t="s">
        <v>216</v>
      </c>
      <c r="B96" s="211" t="s">
        <v>745</v>
      </c>
      <c r="C96" s="699" t="s">
        <v>2750</v>
      </c>
      <c r="D96" s="1314"/>
      <c r="E96" s="1010" t="s">
        <v>29</v>
      </c>
      <c r="F96" s="697">
        <v>0</v>
      </c>
      <c r="G96" s="628" cm="1">
        <f t="array" ref="G96">$F96*(SUMPRODUCT(('Cashflow Summary C19RM'!$K$5:$K$239&lt;&gt;1)*('Cashflow Summary C19RM'!$D$5:$D$239=E96)*('Cashflow Summary C19RM'!$R$5:$R$239)))</f>
        <v>0</v>
      </c>
      <c r="H96" s="629" cm="1">
        <f t="array" ref="H96">$F96*(SUMPRODUCT(('Cashflow Summary C19RM'!$K$5:$K$239&lt;&gt;1)*('Cashflow Summary C19RM'!$D$5:$D$239=E96)*('Cashflow Summary C19RM'!$S$5:$S$239)))</f>
        <v>0</v>
      </c>
      <c r="I96" s="630" cm="1">
        <f t="array" ref="I96">$F96*(SUMPRODUCT(('Cashflow Summary C19RM'!$K$5:$K$239&lt;&gt;1)*('Cashflow Summary C19RM'!$D$5:$D$239=E96)*('Cashflow Summary C19RM'!$T$5:$T$239)))</f>
        <v>0</v>
      </c>
      <c r="J96" s="630" cm="1">
        <f t="array" ref="J96">$F96*(SUMPRODUCT(('Cashflow Summary C19RM'!$K$5:$K$239&lt;&gt;1)*('Cashflow Summary C19RM'!$D$5:$D$239=E96)*('Cashflow Summary C19RM'!$U$5:$U$239)))</f>
        <v>0</v>
      </c>
      <c r="K96" s="631">
        <f t="shared" si="37"/>
        <v>0</v>
      </c>
      <c r="L96" s="686">
        <f t="shared" si="38"/>
        <v>0</v>
      </c>
      <c r="M96" s="630" cm="1">
        <f t="array" ref="M96">$L96*(SUMPRODUCT(('Cashflow Summary C19RM'!$K$5:$K$239&lt;&gt;1)*('Cashflow Summary C19RM'!$D$5:$D$239=E96)*('Cashflow Summary C19RM'!$V$5:$V$239)))</f>
        <v>0</v>
      </c>
      <c r="N96" s="630" cm="1">
        <f t="array" ref="N96">$L96*(SUMPRODUCT(('Cashflow Summary C19RM'!$K$5:$K$239&lt;&gt;1)*('Cashflow Summary C19RM'!$D$5:$D$239=E96)*('Cashflow Summary C19RM'!$W$5:$W$239)))</f>
        <v>0</v>
      </c>
      <c r="O96" s="630" cm="1">
        <f t="array" ref="O96">$L96*(SUMPRODUCT(('Cashflow Summary C19RM'!$K$5:$K$239&lt;&gt;1)*('Cashflow Summary C19RM'!$D$5:$D$239=E96)*('Cashflow Summary C19RM'!$X$5:$X$239)))</f>
        <v>0</v>
      </c>
      <c r="P96" s="630" cm="1">
        <f t="array" ref="P96">$L96*(SUMPRODUCT(('Cashflow Summary C19RM'!$K$5:$K$239&lt;&gt;1)*('Cashflow Summary C19RM'!$D$5:$D$239=E96)*('Cashflow Summary C19RM'!$Y$5:$Y$239)))</f>
        <v>0</v>
      </c>
      <c r="Q96" s="632">
        <f t="shared" si="39"/>
        <v>0</v>
      </c>
      <c r="R96" s="686">
        <f t="shared" si="40"/>
        <v>0</v>
      </c>
      <c r="S96" s="633" cm="1">
        <f t="array" ref="S96">$R96*(SUMPRODUCT(('Cashflow Summary C19RM'!$K$5:$K$239&lt;&gt;1)*('Cashflow Summary C19RM'!$D$5:$D$239=E96)*('Cashflow Summary C19RM'!$Z$5:$Z$239)))</f>
        <v>0</v>
      </c>
      <c r="T96" s="633" cm="1">
        <f t="array" ref="T96">$R96*(SUMPRODUCT(('Cashflow Summary C19RM'!$K$5:$K$239&lt;&gt;1)*('Cashflow Summary C19RM'!$D$5:$D$239=E96)*('Cashflow Summary C19RM'!$AA$5:$AA$239)))</f>
        <v>0</v>
      </c>
      <c r="U96" s="633" cm="1">
        <f t="array" ref="U96">$R96*(SUMPRODUCT(('Cashflow Summary C19RM'!$K$5:$K$239&lt;&gt;1)*('Cashflow Summary C19RM'!$D$5:$D$239=E96)*('Cashflow Summary C19RM'!$AB$5:$AB$239)))</f>
        <v>0</v>
      </c>
      <c r="V96" s="633" cm="1">
        <f t="array" ref="V96">$R96*(SUMPRODUCT(('Cashflow Summary C19RM'!$K$5:$K$239&lt;&gt;1)*('Cashflow Summary C19RM'!$D$5:$D$239=E96)*('Cashflow Summary C19RM'!$AC$5:$AC$239)))</f>
        <v>0</v>
      </c>
      <c r="W96" s="634">
        <f t="shared" si="41"/>
        <v>0</v>
      </c>
      <c r="X96" s="686">
        <f t="shared" si="42"/>
        <v>0</v>
      </c>
      <c r="Y96" s="633" cm="1">
        <f t="array" ref="Y96">$X96*(SUMPRODUCT(('Cashflow Summary C19RM'!$K$5:$K$239&lt;&gt;1)*('Cashflow Summary C19RM'!$D$5:$D$239=E96)*('Cashflow Summary C19RM'!$AD$5:$AD$239)))</f>
        <v>0</v>
      </c>
      <c r="Z96" s="633" cm="1">
        <f t="array" ref="Z96">$X96*(SUMPRODUCT(('Cashflow Summary C19RM'!$K$5:$K$239&lt;&gt;1)*('Cashflow Summary C19RM'!$D$5:$D$239=E96)*('Cashflow Summary C19RM'!$AE$5:$AE$239)))</f>
        <v>0</v>
      </c>
      <c r="AA96" s="633" cm="1">
        <f t="array" ref="AA96">$X96*(SUMPRODUCT(('Cashflow Summary C19RM'!$K$5:$K$239&lt;&gt;1)*('Cashflow Summary C19RM'!$D$5:$D$239=E96)*('Cashflow Summary C19RM'!$AF$5:$AF$239)))</f>
        <v>0</v>
      </c>
      <c r="AB96" s="630" cm="1">
        <f t="array" ref="AB96">$X96*(SUMPRODUCT(('Cashflow Summary C19RM'!$K$5:$K$239&lt;&gt;1)*('Cashflow Summary C19RM'!$D$5:$D$239=E96)*('Cashflow Summary C19RM'!$AG$5:$AG$239)))</f>
        <v>0</v>
      </c>
      <c r="AC96" s="634">
        <f t="shared" si="43"/>
        <v>0</v>
      </c>
      <c r="AD96" s="686">
        <f t="shared" si="44"/>
        <v>0</v>
      </c>
      <c r="AE96" s="628" cm="1">
        <f t="array" ref="AE96">$AD96*(SUMPRODUCT(('Cashflow Summary C19RM'!$K$5:$K$239&lt;&gt;1)*('Cashflow Summary C19RM'!$D$5:$D$239=E96)*('Cashflow Summary C19RM'!$AH$5:$AH$239)))</f>
        <v>0</v>
      </c>
      <c r="AF96" s="633" cm="1">
        <f t="array" ref="AF96">$AD96*(SUMPRODUCT(('Cashflow Summary C19RM'!$K$5:$K$239&lt;&gt;1)*('Cashflow Summary C19RM'!$D$5:$D$239=E96)*('Cashflow Summary C19RM'!$AI$5:$AI$239)))</f>
        <v>0</v>
      </c>
      <c r="AG96" s="633" cm="1">
        <f t="array" ref="AG96">$AD96*(SUMPRODUCT(('Cashflow Summary C19RM'!$K$5:$K$239&lt;&gt;1)*('Cashflow Summary C19RM'!$D$5:$D$239=E96)*('Cashflow Summary C19RM'!$AJ$5:$AJ$239)))</f>
        <v>0</v>
      </c>
      <c r="AH96" s="633" cm="1">
        <f t="array" ref="AH96">$AD96*(SUMPRODUCT(('Cashflow Summary C19RM'!$K$5:$K$239&lt;&gt;1)*('Cashflow Summary C19RM'!$D$5:$D$239=E96)*('Cashflow Summary C19RM'!$AK$5:$AO$239)))</f>
        <v>0</v>
      </c>
      <c r="AI96" s="634">
        <f t="shared" si="45"/>
        <v>0</v>
      </c>
      <c r="AJ96" s="875">
        <v>0</v>
      </c>
      <c r="AK96" s="872"/>
      <c r="AL96" s="873"/>
      <c r="AM96" s="873"/>
      <c r="AN96" s="873"/>
      <c r="AO96" s="874"/>
      <c r="AP96" s="635">
        <f t="shared" si="52"/>
        <v>0</v>
      </c>
      <c r="AQ96" s="636">
        <v>7.5</v>
      </c>
      <c r="AR96" s="707"/>
      <c r="AS96" s="726"/>
      <c r="AV96" s="228">
        <f t="shared" si="46"/>
        <v>0</v>
      </c>
      <c r="AW96" s="228">
        <f t="shared" si="47"/>
        <v>0</v>
      </c>
      <c r="AX96" s="228">
        <f t="shared" si="48"/>
        <v>0</v>
      </c>
      <c r="AY96" s="228">
        <f t="shared" si="49"/>
        <v>0</v>
      </c>
      <c r="AZ96" s="228">
        <f t="shared" si="50"/>
        <v>0</v>
      </c>
      <c r="BA96" s="228"/>
      <c r="BC96" s="345" cm="1">
        <f t="array" ref="BC96">IF(BM96&gt;=1,0,IFERROR(SUMPRODUCT(($G$11:$AH$11=$BC$16)*($G96:$AH96)),0))</f>
        <v>0</v>
      </c>
      <c r="BD96" s="345" cm="1">
        <f t="array" ref="BD96">IF(BM96&gt;=1,0,IFERROR(SUMPRODUCT(($G$11:$AH$11=$BD$16)*($G96:$AH96)),0))</f>
        <v>0</v>
      </c>
      <c r="BE96" s="345" cm="1">
        <f t="array" ref="BE96">IF(BM96&gt;=1,0,IFERROR(SUMPRODUCT(($G$11:$AH$11=$BE$16)*($G96:$AH96)),0))</f>
        <v>0</v>
      </c>
      <c r="BF96" s="345" cm="1">
        <f t="array" ref="BF96">IF(BM96&gt;=1,0,IFERROR(SUMPRODUCT(($G$11:$AH$11=$BF$16)*($G96:$AH96)),0))</f>
        <v>0</v>
      </c>
      <c r="BG96" s="345" cm="1">
        <f t="array" ref="BG96">IF(BM96&gt;=1,0,IFERROR(SUMPRODUCT(($G$11:$AH$11=$BG$16)*($G96:$AH96)),0))</f>
        <v>0</v>
      </c>
      <c r="BH96" s="345"/>
      <c r="BI96" s="343">
        <f t="shared" si="53"/>
        <v>0</v>
      </c>
      <c r="BJ96" s="229" t="s">
        <v>83</v>
      </c>
      <c r="BK96" cm="1">
        <f t="array" ref="BK96">(SUMPRODUCT(('Cashflow Summary C19RM'!$D$5:$D$451=E96)*('Cashflow Summary C19RM'!$BD$5:$BD$451)))</f>
        <v>0</v>
      </c>
      <c r="BL96" cm="1">
        <f t="array" ref="BL96">(SUMPRODUCT((SETUP!$D$20:$D$67=E96)*(SETUP!$R$20:$R$67)))</f>
        <v>0</v>
      </c>
      <c r="BM96" s="89">
        <f t="shared" si="51"/>
        <v>0</v>
      </c>
    </row>
    <row r="97" spans="1:97" s="89" customFormat="1" ht="15" customHeight="1" thickBot="1" x14ac:dyDescent="0.4">
      <c r="A97" s="89" t="s">
        <v>216</v>
      </c>
      <c r="B97" s="211" t="s">
        <v>745</v>
      </c>
      <c r="C97" s="699" t="s">
        <v>2750</v>
      </c>
      <c r="D97" s="1314"/>
      <c r="E97" s="1010" t="s">
        <v>30</v>
      </c>
      <c r="F97" s="697">
        <v>0</v>
      </c>
      <c r="G97" s="628" cm="1">
        <f t="array" ref="G97">$F97*(SUMPRODUCT(('Cashflow Summary C19RM'!$K$5:$K$239&lt;&gt;1)*('Cashflow Summary C19RM'!$D$5:$D$239=E97)*('Cashflow Summary C19RM'!$R$5:$R$239)))</f>
        <v>0</v>
      </c>
      <c r="H97" s="629" cm="1">
        <f t="array" ref="H97">$F97*(SUMPRODUCT(('Cashflow Summary C19RM'!$K$5:$K$239&lt;&gt;1)*('Cashflow Summary C19RM'!$D$5:$D$239=E97)*('Cashflow Summary C19RM'!$S$5:$S$239)))</f>
        <v>0</v>
      </c>
      <c r="I97" s="630" cm="1">
        <f t="array" ref="I97">$F97*(SUMPRODUCT(('Cashflow Summary C19RM'!$K$5:$K$239&lt;&gt;1)*('Cashflow Summary C19RM'!$D$5:$D$239=E97)*('Cashflow Summary C19RM'!$T$5:$T$239)))</f>
        <v>0</v>
      </c>
      <c r="J97" s="630" cm="1">
        <f t="array" ref="J97">$F97*(SUMPRODUCT(('Cashflow Summary C19RM'!$K$5:$K$239&lt;&gt;1)*('Cashflow Summary C19RM'!$D$5:$D$239=E97)*('Cashflow Summary C19RM'!$U$5:$U$239)))</f>
        <v>0</v>
      </c>
      <c r="K97" s="631">
        <f t="shared" si="37"/>
        <v>0</v>
      </c>
      <c r="L97" s="686">
        <f t="shared" si="38"/>
        <v>0</v>
      </c>
      <c r="M97" s="630" cm="1">
        <f t="array" ref="M97">$L97*(SUMPRODUCT(('Cashflow Summary C19RM'!$K$5:$K$239&lt;&gt;1)*('Cashflow Summary C19RM'!$D$5:$D$239=E97)*('Cashflow Summary C19RM'!$V$5:$V$239)))</f>
        <v>0</v>
      </c>
      <c r="N97" s="630" cm="1">
        <f t="array" ref="N97">$L97*(SUMPRODUCT(('Cashflow Summary C19RM'!$K$5:$K$239&lt;&gt;1)*('Cashflow Summary C19RM'!$D$5:$D$239=E97)*('Cashflow Summary C19RM'!$W$5:$W$239)))</f>
        <v>0</v>
      </c>
      <c r="O97" s="630" cm="1">
        <f t="array" ref="O97">$L97*(SUMPRODUCT(('Cashflow Summary C19RM'!$K$5:$K$239&lt;&gt;1)*('Cashflow Summary C19RM'!$D$5:$D$239=E97)*('Cashflow Summary C19RM'!$X$5:$X$239)))</f>
        <v>0</v>
      </c>
      <c r="P97" s="630" cm="1">
        <f t="array" ref="P97">$L97*(SUMPRODUCT(('Cashflow Summary C19RM'!$K$5:$K$239&lt;&gt;1)*('Cashflow Summary C19RM'!$D$5:$D$239=E97)*('Cashflow Summary C19RM'!$Y$5:$Y$239)))</f>
        <v>0</v>
      </c>
      <c r="Q97" s="632">
        <f t="shared" si="39"/>
        <v>0</v>
      </c>
      <c r="R97" s="686">
        <f t="shared" si="40"/>
        <v>0</v>
      </c>
      <c r="S97" s="633" cm="1">
        <f t="array" ref="S97">$R97*(SUMPRODUCT(('Cashflow Summary C19RM'!$K$5:$K$239&lt;&gt;1)*('Cashflow Summary C19RM'!$D$5:$D$239=E97)*('Cashflow Summary C19RM'!$Z$5:$Z$239)))</f>
        <v>0</v>
      </c>
      <c r="T97" s="633" cm="1">
        <f t="array" ref="T97">$R97*(SUMPRODUCT(('Cashflow Summary C19RM'!$K$5:$K$239&lt;&gt;1)*('Cashflow Summary C19RM'!$D$5:$D$239=E97)*('Cashflow Summary C19RM'!$AA$5:$AA$239)))</f>
        <v>0</v>
      </c>
      <c r="U97" s="633" cm="1">
        <f t="array" ref="U97">$R97*(SUMPRODUCT(('Cashflow Summary C19RM'!$K$5:$K$239&lt;&gt;1)*('Cashflow Summary C19RM'!$D$5:$D$239=E97)*('Cashflow Summary C19RM'!$AB$5:$AB$239)))</f>
        <v>0</v>
      </c>
      <c r="V97" s="633" cm="1">
        <f t="array" ref="V97">$R97*(SUMPRODUCT(('Cashflow Summary C19RM'!$K$5:$K$239&lt;&gt;1)*('Cashflow Summary C19RM'!$D$5:$D$239=E97)*('Cashflow Summary C19RM'!$AC$5:$AC$239)))</f>
        <v>0</v>
      </c>
      <c r="W97" s="634">
        <f t="shared" si="41"/>
        <v>0</v>
      </c>
      <c r="X97" s="686">
        <f t="shared" si="42"/>
        <v>0</v>
      </c>
      <c r="Y97" s="633" cm="1">
        <f t="array" ref="Y97">$X97*(SUMPRODUCT(('Cashflow Summary C19RM'!$K$5:$K$239&lt;&gt;1)*('Cashflow Summary C19RM'!$D$5:$D$239=E97)*('Cashflow Summary C19RM'!$AD$5:$AD$239)))</f>
        <v>0</v>
      </c>
      <c r="Z97" s="633" cm="1">
        <f t="array" ref="Z97">$X97*(SUMPRODUCT(('Cashflow Summary C19RM'!$K$5:$K$239&lt;&gt;1)*('Cashflow Summary C19RM'!$D$5:$D$239=E97)*('Cashflow Summary C19RM'!$AE$5:$AE$239)))</f>
        <v>0</v>
      </c>
      <c r="AA97" s="633" cm="1">
        <f t="array" ref="AA97">$X97*(SUMPRODUCT(('Cashflow Summary C19RM'!$K$5:$K$239&lt;&gt;1)*('Cashflow Summary C19RM'!$D$5:$D$239=E97)*('Cashflow Summary C19RM'!$AF$5:$AF$239)))</f>
        <v>0</v>
      </c>
      <c r="AB97" s="630" cm="1">
        <f t="array" ref="AB97">$X97*(SUMPRODUCT(('Cashflow Summary C19RM'!$K$5:$K$239&lt;&gt;1)*('Cashflow Summary C19RM'!$D$5:$D$239=E97)*('Cashflow Summary C19RM'!$AG$5:$AG$239)))</f>
        <v>0</v>
      </c>
      <c r="AC97" s="634">
        <f t="shared" si="43"/>
        <v>0</v>
      </c>
      <c r="AD97" s="686">
        <f t="shared" si="44"/>
        <v>0</v>
      </c>
      <c r="AE97" s="628" cm="1">
        <f t="array" ref="AE97">$AD97*(SUMPRODUCT(('Cashflow Summary C19RM'!$K$5:$K$239&lt;&gt;1)*('Cashflow Summary C19RM'!$D$5:$D$239=E97)*('Cashflow Summary C19RM'!$AH$5:$AH$239)))</f>
        <v>0</v>
      </c>
      <c r="AF97" s="633" cm="1">
        <f t="array" ref="AF97">$AD97*(SUMPRODUCT(('Cashflow Summary C19RM'!$K$5:$K$239&lt;&gt;1)*('Cashflow Summary C19RM'!$D$5:$D$239=E97)*('Cashflow Summary C19RM'!$AI$5:$AI$239)))</f>
        <v>0</v>
      </c>
      <c r="AG97" s="633" cm="1">
        <f t="array" ref="AG97">$AD97*(SUMPRODUCT(('Cashflow Summary C19RM'!$K$5:$K$239&lt;&gt;1)*('Cashflow Summary C19RM'!$D$5:$D$239=E97)*('Cashflow Summary C19RM'!$AJ$5:$AJ$239)))</f>
        <v>0</v>
      </c>
      <c r="AH97" s="633" cm="1">
        <f t="array" ref="AH97">$AD97*(SUMPRODUCT(('Cashflow Summary C19RM'!$K$5:$K$239&lt;&gt;1)*('Cashflow Summary C19RM'!$D$5:$D$239=E97)*('Cashflow Summary C19RM'!$AK$5:$AO$239)))</f>
        <v>0</v>
      </c>
      <c r="AI97" s="634">
        <f t="shared" si="45"/>
        <v>0</v>
      </c>
      <c r="AJ97" s="875">
        <v>0</v>
      </c>
      <c r="AK97" s="872"/>
      <c r="AL97" s="873"/>
      <c r="AM97" s="873"/>
      <c r="AN97" s="873"/>
      <c r="AO97" s="874"/>
      <c r="AP97" s="635">
        <f t="shared" si="52"/>
        <v>0</v>
      </c>
      <c r="AQ97" s="636">
        <v>7.5</v>
      </c>
      <c r="AR97" s="707"/>
      <c r="AS97" s="726"/>
      <c r="AV97" s="228">
        <f t="shared" si="46"/>
        <v>0</v>
      </c>
      <c r="AW97" s="228">
        <f t="shared" si="47"/>
        <v>0</v>
      </c>
      <c r="AX97" s="228">
        <f t="shared" si="48"/>
        <v>0</v>
      </c>
      <c r="AY97" s="228">
        <f t="shared" si="49"/>
        <v>0</v>
      </c>
      <c r="AZ97" s="228">
        <f t="shared" si="50"/>
        <v>0</v>
      </c>
      <c r="BA97" s="228"/>
      <c r="BC97" s="345" cm="1">
        <f t="array" ref="BC97">IF(BM97&gt;=1,0,IFERROR(SUMPRODUCT(($G$11:$AH$11=$BC$16)*($G97:$AH97)),0))</f>
        <v>0</v>
      </c>
      <c r="BD97" s="345" cm="1">
        <f t="array" ref="BD97">IF(BM97&gt;=1,0,IFERROR(SUMPRODUCT(($G$11:$AH$11=$BD$16)*($G97:$AH97)),0))</f>
        <v>0</v>
      </c>
      <c r="BE97" s="345" cm="1">
        <f t="array" ref="BE97">IF(BM97&gt;=1,0,IFERROR(SUMPRODUCT(($G$11:$AH$11=$BE$16)*($G97:$AH97)),0))</f>
        <v>0</v>
      </c>
      <c r="BF97" s="345" cm="1">
        <f t="array" ref="BF97">IF(BM97&gt;=1,0,IFERROR(SUMPRODUCT(($G$11:$AH$11=$BF$16)*($G97:$AH97)),0))</f>
        <v>0</v>
      </c>
      <c r="BG97" s="345" cm="1">
        <f t="array" ref="BG97">IF(BM97&gt;=1,0,IFERROR(SUMPRODUCT(($G$11:$AH$11=$BG$16)*($G97:$AH97)),0))</f>
        <v>0</v>
      </c>
      <c r="BH97" s="345"/>
      <c r="BI97" s="343">
        <f t="shared" si="53"/>
        <v>0</v>
      </c>
      <c r="BJ97" s="229" t="s">
        <v>83</v>
      </c>
      <c r="BK97" cm="1">
        <f t="array" ref="BK97">(SUMPRODUCT(('Cashflow Summary C19RM'!$D$5:$D$451=E97)*('Cashflow Summary C19RM'!$BD$5:$BD$451)))</f>
        <v>0</v>
      </c>
      <c r="BL97" cm="1">
        <f t="array" ref="BL97">(SUMPRODUCT((SETUP!$D$20:$D$67=E97)*(SETUP!$R$20:$R$67)))</f>
        <v>0</v>
      </c>
      <c r="BM97" s="89">
        <f t="shared" si="51"/>
        <v>0</v>
      </c>
    </row>
    <row r="98" spans="1:97" s="89" customFormat="1" ht="15" customHeight="1" thickBot="1" x14ac:dyDescent="0.4">
      <c r="A98" s="89" t="s">
        <v>216</v>
      </c>
      <c r="B98" s="211" t="s">
        <v>745</v>
      </c>
      <c r="C98" s="699" t="s">
        <v>2750</v>
      </c>
      <c r="D98" s="1315"/>
      <c r="E98" s="1011" t="s">
        <v>31</v>
      </c>
      <c r="F98" s="720">
        <v>0</v>
      </c>
      <c r="G98" s="709" cm="1">
        <f t="array" ref="G98">$F98*(SUMPRODUCT(('Cashflow Summary C19RM'!$K$5:$K$239&lt;&gt;1)*('Cashflow Summary C19RM'!$D$5:$D$239=E98)*('Cashflow Summary C19RM'!$R$5:$R$239)))</f>
        <v>0</v>
      </c>
      <c r="H98" s="1005" cm="1">
        <f t="array" ref="H98">$F98*(SUMPRODUCT(('Cashflow Summary C19RM'!$K$5:$K$239&lt;&gt;1)*('Cashflow Summary C19RM'!$D$5:$D$239=E98)*('Cashflow Summary C19RM'!$S$5:$S$239)))</f>
        <v>0</v>
      </c>
      <c r="I98" s="989" cm="1">
        <f t="array" ref="I98">$F98*(SUMPRODUCT(('Cashflow Summary C19RM'!$K$5:$K$239&lt;&gt;1)*('Cashflow Summary C19RM'!$D$5:$D$239=E98)*('Cashflow Summary C19RM'!$T$5:$T$239)))</f>
        <v>0</v>
      </c>
      <c r="J98" s="989" cm="1">
        <f t="array" ref="J98">$F98*(SUMPRODUCT(('Cashflow Summary C19RM'!$K$5:$K$239&lt;&gt;1)*('Cashflow Summary C19RM'!$D$5:$D$239=E98)*('Cashflow Summary C19RM'!$U$5:$U$239)))</f>
        <v>0</v>
      </c>
      <c r="K98" s="712">
        <f t="shared" si="37"/>
        <v>0</v>
      </c>
      <c r="L98" s="711">
        <f t="shared" si="38"/>
        <v>0</v>
      </c>
      <c r="M98" s="989" cm="1">
        <f t="array" ref="M98">$L98*(SUMPRODUCT(('Cashflow Summary C19RM'!$K$5:$K$239&lt;&gt;1)*('Cashflow Summary C19RM'!$D$5:$D$239=E98)*('Cashflow Summary C19RM'!$V$5:$V$239)))</f>
        <v>0</v>
      </c>
      <c r="N98" s="989" cm="1">
        <f t="array" ref="N98">$L98*(SUMPRODUCT(('Cashflow Summary C19RM'!$K$5:$K$239&lt;&gt;1)*('Cashflow Summary C19RM'!$D$5:$D$239=E98)*('Cashflow Summary C19RM'!$W$5:$W$239)))</f>
        <v>0</v>
      </c>
      <c r="O98" s="989" cm="1">
        <f t="array" ref="O98">$L98*(SUMPRODUCT(('Cashflow Summary C19RM'!$K$5:$K$239&lt;&gt;1)*('Cashflow Summary C19RM'!$D$5:$D$239=E98)*('Cashflow Summary C19RM'!$X$5:$X$239)))</f>
        <v>0</v>
      </c>
      <c r="P98" s="989" cm="1">
        <f t="array" ref="P98">$L98*(SUMPRODUCT(('Cashflow Summary C19RM'!$K$5:$K$239&lt;&gt;1)*('Cashflow Summary C19RM'!$D$5:$D$239=E98)*('Cashflow Summary C19RM'!$Y$5:$Y$239)))</f>
        <v>0</v>
      </c>
      <c r="Q98" s="710">
        <f t="shared" si="39"/>
        <v>0</v>
      </c>
      <c r="R98" s="711">
        <f t="shared" si="40"/>
        <v>0</v>
      </c>
      <c r="S98" s="704" cm="1">
        <f t="array" ref="S98">$R98*(SUMPRODUCT(('Cashflow Summary C19RM'!$K$5:$K$239&lt;&gt;1)*('Cashflow Summary C19RM'!$D$5:$D$239=E98)*('Cashflow Summary C19RM'!$Z$5:$Z$239)))</f>
        <v>0</v>
      </c>
      <c r="T98" s="704" cm="1">
        <f t="array" ref="T98">$R98*(SUMPRODUCT(('Cashflow Summary C19RM'!$K$5:$K$239&lt;&gt;1)*('Cashflow Summary C19RM'!$D$5:$D$239=E98)*('Cashflow Summary C19RM'!$AA$5:$AA$239)))</f>
        <v>0</v>
      </c>
      <c r="U98" s="704" cm="1">
        <f t="array" ref="U98">$R98*(SUMPRODUCT(('Cashflow Summary C19RM'!$K$5:$K$239&lt;&gt;1)*('Cashflow Summary C19RM'!$D$5:$D$239=E98)*('Cashflow Summary C19RM'!$AB$5:$AB$239)))</f>
        <v>0</v>
      </c>
      <c r="V98" s="704" cm="1">
        <f t="array" ref="V98">$R98*(SUMPRODUCT(('Cashflow Summary C19RM'!$K$5:$K$239&lt;&gt;1)*('Cashflow Summary C19RM'!$D$5:$D$239=E98)*('Cashflow Summary C19RM'!$AC$5:$AC$239)))</f>
        <v>0</v>
      </c>
      <c r="W98" s="993">
        <f t="shared" si="41"/>
        <v>0</v>
      </c>
      <c r="X98" s="711">
        <f t="shared" si="42"/>
        <v>0</v>
      </c>
      <c r="Y98" s="704" cm="1">
        <f t="array" ref="Y98">$X98*(SUMPRODUCT(('Cashflow Summary C19RM'!$K$5:$K$239&lt;&gt;1)*('Cashflow Summary C19RM'!$D$5:$D$239=E98)*('Cashflow Summary C19RM'!$AD$5:$AD$239)))</f>
        <v>0</v>
      </c>
      <c r="Z98" s="704" cm="1">
        <f t="array" ref="Z98">$X98*(SUMPRODUCT(('Cashflow Summary C19RM'!$K$5:$K$239&lt;&gt;1)*('Cashflow Summary C19RM'!$D$5:$D$239=E98)*('Cashflow Summary C19RM'!$AE$5:$AE$239)))</f>
        <v>0</v>
      </c>
      <c r="AA98" s="704" cm="1">
        <f t="array" ref="AA98">$X98*(SUMPRODUCT(('Cashflow Summary C19RM'!$K$5:$K$239&lt;&gt;1)*('Cashflow Summary C19RM'!$D$5:$D$239=E98)*('Cashflow Summary C19RM'!$AF$5:$AF$239)))</f>
        <v>0</v>
      </c>
      <c r="AB98" s="989" cm="1">
        <f t="array" ref="AB98">$X98*(SUMPRODUCT(('Cashflow Summary C19RM'!$K$5:$K$239&lt;&gt;1)*('Cashflow Summary C19RM'!$D$5:$D$239=E98)*('Cashflow Summary C19RM'!$AG$5:$AG$239)))</f>
        <v>0</v>
      </c>
      <c r="AC98" s="993">
        <f t="shared" si="43"/>
        <v>0</v>
      </c>
      <c r="AD98" s="711">
        <f t="shared" si="44"/>
        <v>0</v>
      </c>
      <c r="AE98" s="709" cm="1">
        <f t="array" ref="AE98">$AD98*(SUMPRODUCT(('Cashflow Summary C19RM'!$K$5:$K$239&lt;&gt;1)*('Cashflow Summary C19RM'!$D$5:$D$239=E98)*('Cashflow Summary C19RM'!$AH$5:$AH$239)))</f>
        <v>0</v>
      </c>
      <c r="AF98" s="704" cm="1">
        <f t="array" ref="AF98">$AD98*(SUMPRODUCT(('Cashflow Summary C19RM'!$K$5:$K$239&lt;&gt;1)*('Cashflow Summary C19RM'!$D$5:$D$239=E98)*('Cashflow Summary C19RM'!$AI$5:$AI$239)))</f>
        <v>0</v>
      </c>
      <c r="AG98" s="704" cm="1">
        <f t="array" ref="AG98">$AD98*(SUMPRODUCT(('Cashflow Summary C19RM'!$K$5:$K$239&lt;&gt;1)*('Cashflow Summary C19RM'!$D$5:$D$239=E98)*('Cashflow Summary C19RM'!$AJ$5:$AJ$239)))</f>
        <v>0</v>
      </c>
      <c r="AH98" s="704" cm="1">
        <f t="array" ref="AH98">$AD98*(SUMPRODUCT(('Cashflow Summary C19RM'!$K$5:$K$239&lt;&gt;1)*('Cashflow Summary C19RM'!$D$5:$D$239=E98)*('Cashflow Summary C19RM'!$AK$5:$AO$239)))</f>
        <v>0</v>
      </c>
      <c r="AI98" s="993">
        <f t="shared" si="45"/>
        <v>0</v>
      </c>
      <c r="AJ98" s="990">
        <v>0</v>
      </c>
      <c r="AK98" s="1006"/>
      <c r="AL98" s="1007"/>
      <c r="AM98" s="1007"/>
      <c r="AN98" s="1007"/>
      <c r="AO98" s="1008"/>
      <c r="AP98" s="713">
        <f t="shared" si="52"/>
        <v>0</v>
      </c>
      <c r="AQ98" s="714">
        <v>7.5</v>
      </c>
      <c r="AR98" s="715"/>
      <c r="AS98" s="726" t="s">
        <v>213</v>
      </c>
      <c r="AV98" s="228">
        <f t="shared" si="46"/>
        <v>0</v>
      </c>
      <c r="AW98" s="228">
        <f t="shared" si="47"/>
        <v>0</v>
      </c>
      <c r="AX98" s="228">
        <f t="shared" si="48"/>
        <v>0</v>
      </c>
      <c r="AY98" s="228">
        <f t="shared" si="49"/>
        <v>0</v>
      </c>
      <c r="AZ98" s="228">
        <f t="shared" si="50"/>
        <v>0</v>
      </c>
      <c r="BA98" s="228"/>
      <c r="BC98" s="345" cm="1">
        <f t="array" ref="BC98">IF(BM98&gt;=1,0,IFERROR(SUMPRODUCT(($G$11:$AH$11=$BC$16)*($G98:$AH98)),0))</f>
        <v>0</v>
      </c>
      <c r="BD98" s="345" cm="1">
        <f t="array" ref="BD98">IF(BM98&gt;=1,0,IFERROR(SUMPRODUCT(($G$11:$AH$11=$BD$16)*($G98:$AH98)),0))</f>
        <v>0</v>
      </c>
      <c r="BE98" s="345" cm="1">
        <f t="array" ref="BE98">IF(BM98&gt;=1,0,IFERROR(SUMPRODUCT(($G$11:$AH$11=$BE$16)*($G98:$AH98)),0))</f>
        <v>0</v>
      </c>
      <c r="BF98" s="345" cm="1">
        <f t="array" ref="BF98">IF(BM98&gt;=1,0,IFERROR(SUMPRODUCT(($G$11:$AH$11=$BF$16)*($G98:$AH98)),0))</f>
        <v>0</v>
      </c>
      <c r="BG98" s="345" cm="1">
        <f t="array" ref="BG98">IF(BM98&gt;=1,0,IFERROR(SUMPRODUCT(($G$11:$AH$11=$BG$16)*($G98:$AH98)),0))</f>
        <v>0</v>
      </c>
      <c r="BH98" s="345"/>
      <c r="BI98" s="343">
        <f t="shared" si="53"/>
        <v>0</v>
      </c>
      <c r="BJ98" s="229" t="s">
        <v>83</v>
      </c>
      <c r="BK98" cm="1">
        <f t="array" ref="BK98">(SUMPRODUCT(('Cashflow Summary C19RM'!$D$5:$D$451=E98)*('Cashflow Summary C19RM'!$BD$5:$BD$451)))</f>
        <v>0</v>
      </c>
      <c r="BL98" cm="1">
        <f t="array" ref="BL98">(SUMPRODUCT((SETUP!$D$20:$D$67=E98)*(SETUP!$R$20:$R$67)))</f>
        <v>0</v>
      </c>
      <c r="BM98" s="89">
        <f t="shared" si="51"/>
        <v>0</v>
      </c>
    </row>
    <row r="99" spans="1:97" s="89" customFormat="1" ht="15" hidden="1" customHeight="1" x14ac:dyDescent="0.35">
      <c r="B99" s="211"/>
      <c r="C99" s="698"/>
      <c r="D99" s="1004"/>
      <c r="E99" s="995"/>
      <c r="F99" s="697"/>
      <c r="G99" s="628"/>
      <c r="H99" s="633"/>
      <c r="I99" s="633"/>
      <c r="J99" s="633"/>
      <c r="K99" s="631"/>
      <c r="L99" s="686"/>
      <c r="M99" s="630"/>
      <c r="N99" s="630"/>
      <c r="O99" s="630"/>
      <c r="P99" s="630"/>
      <c r="Q99" s="632"/>
      <c r="R99" s="686"/>
      <c r="S99" s="633"/>
      <c r="T99" s="633"/>
      <c r="U99" s="633"/>
      <c r="V99" s="633"/>
      <c r="W99" s="631"/>
      <c r="X99" s="686"/>
      <c r="Y99" s="633"/>
      <c r="Z99" s="633"/>
      <c r="AA99" s="633"/>
      <c r="AB99" s="630"/>
      <c r="AC99" s="631"/>
      <c r="AD99" s="631"/>
      <c r="AE99" s="631"/>
      <c r="AF99" s="631"/>
      <c r="AG99" s="631"/>
      <c r="AH99" s="631"/>
      <c r="AI99" s="631"/>
      <c r="AJ99" s="631"/>
      <c r="AK99" s="631"/>
      <c r="AL99" s="631"/>
      <c r="AM99" s="631"/>
      <c r="AN99" s="631"/>
      <c r="AO99" s="631"/>
      <c r="AP99" s="635"/>
      <c r="AQ99" s="636"/>
      <c r="AR99" s="707"/>
      <c r="AS99" s="726"/>
      <c r="AV99" s="228"/>
      <c r="AW99" s="228"/>
      <c r="AX99" s="228"/>
      <c r="AY99" s="228"/>
      <c r="AZ99" s="228"/>
      <c r="BA99" s="228"/>
      <c r="BC99" s="345"/>
      <c r="BD99" s="345"/>
      <c r="BE99" s="345"/>
      <c r="BF99" s="345"/>
      <c r="BG99" s="345"/>
      <c r="BH99" s="345"/>
      <c r="BI99" s="343"/>
      <c r="BJ99" s="290"/>
      <c r="BK99"/>
      <c r="BL99"/>
    </row>
    <row r="100" spans="1:97" s="175" customFormat="1" ht="14.15" hidden="1" customHeight="1" x14ac:dyDescent="0.35">
      <c r="A100" s="89"/>
      <c r="B100" s="211"/>
      <c r="C100" s="700"/>
      <c r="D100" s="1316"/>
      <c r="E100" s="703"/>
      <c r="F100" s="697"/>
      <c r="G100" s="628"/>
      <c r="H100" s="633"/>
      <c r="I100" s="633"/>
      <c r="J100" s="633"/>
      <c r="K100" s="631"/>
      <c r="L100" s="686"/>
      <c r="M100" s="633"/>
      <c r="N100" s="633"/>
      <c r="O100" s="633"/>
      <c r="P100" s="633"/>
      <c r="Q100" s="632"/>
      <c r="R100" s="686"/>
      <c r="S100" s="633"/>
      <c r="T100" s="633"/>
      <c r="U100" s="633"/>
      <c r="V100" s="633"/>
      <c r="W100" s="631"/>
      <c r="X100" s="686"/>
      <c r="Y100" s="633"/>
      <c r="Z100" s="633"/>
      <c r="AA100" s="633"/>
      <c r="AB100" s="630"/>
      <c r="AC100" s="631"/>
      <c r="AD100" s="631"/>
      <c r="AE100" s="631"/>
      <c r="AF100" s="631"/>
      <c r="AG100" s="631"/>
      <c r="AH100" s="631"/>
      <c r="AI100" s="631"/>
      <c r="AJ100" s="631"/>
      <c r="AK100" s="631"/>
      <c r="AL100" s="631"/>
      <c r="AM100" s="631"/>
      <c r="AN100" s="631"/>
      <c r="AO100" s="631"/>
      <c r="AP100" s="635"/>
      <c r="AQ100" s="636"/>
      <c r="AR100" s="707"/>
      <c r="AS100" s="726"/>
      <c r="AV100" s="228"/>
      <c r="AW100" s="228"/>
      <c r="AX100" s="228"/>
      <c r="AY100" s="228"/>
      <c r="AZ100" s="228"/>
      <c r="BA100" s="228"/>
      <c r="BC100" s="345"/>
      <c r="BD100" s="345"/>
      <c r="BE100" s="345"/>
      <c r="BF100" s="345"/>
      <c r="BG100" s="345"/>
      <c r="BH100" s="345"/>
      <c r="BI100" s="343"/>
      <c r="BJ100" s="294"/>
      <c r="BK100"/>
      <c r="BL100"/>
      <c r="BM100" s="89"/>
    </row>
    <row r="101" spans="1:97" s="89" customFormat="1" ht="15" hidden="1" customHeight="1" x14ac:dyDescent="0.35">
      <c r="B101" s="211"/>
      <c r="C101" s="700"/>
      <c r="D101" s="1316"/>
      <c r="E101" s="703"/>
      <c r="F101" s="697"/>
      <c r="G101" s="638"/>
      <c r="H101" s="639"/>
      <c r="I101" s="639"/>
      <c r="J101" s="639"/>
      <c r="K101" s="631"/>
      <c r="L101" s="686"/>
      <c r="M101" s="630"/>
      <c r="N101" s="630"/>
      <c r="O101" s="630"/>
      <c r="P101" s="630"/>
      <c r="Q101" s="632"/>
      <c r="R101" s="686"/>
      <c r="S101" s="633"/>
      <c r="T101" s="633"/>
      <c r="U101" s="633"/>
      <c r="V101" s="633"/>
      <c r="W101" s="631"/>
      <c r="X101" s="686"/>
      <c r="Y101" s="633"/>
      <c r="Z101" s="633"/>
      <c r="AA101" s="633"/>
      <c r="AB101" s="630"/>
      <c r="AC101" s="631"/>
      <c r="AD101" s="631"/>
      <c r="AE101" s="631"/>
      <c r="AF101" s="631"/>
      <c r="AG101" s="631"/>
      <c r="AH101" s="631"/>
      <c r="AI101" s="631"/>
      <c r="AJ101" s="631"/>
      <c r="AK101" s="631"/>
      <c r="AL101" s="631"/>
      <c r="AM101" s="631"/>
      <c r="AN101" s="631"/>
      <c r="AO101" s="631"/>
      <c r="AP101" s="635"/>
      <c r="AQ101" s="636"/>
      <c r="AR101" s="707"/>
      <c r="AS101" s="726"/>
      <c r="AV101" s="228"/>
      <c r="AW101" s="228"/>
      <c r="AX101" s="228"/>
      <c r="AY101" s="228"/>
      <c r="AZ101" s="228"/>
      <c r="BA101" s="228"/>
      <c r="BC101" s="345"/>
      <c r="BD101" s="345"/>
      <c r="BE101" s="345"/>
      <c r="BF101" s="345"/>
      <c r="BG101" s="345"/>
      <c r="BH101" s="345"/>
      <c r="BI101" s="343"/>
      <c r="BJ101" s="294"/>
      <c r="BK101"/>
      <c r="BL101"/>
    </row>
    <row r="102" spans="1:97" s="89" customFormat="1" ht="15" hidden="1" customHeight="1" x14ac:dyDescent="0.35">
      <c r="B102" s="211"/>
      <c r="C102" s="700"/>
      <c r="D102" s="1316"/>
      <c r="E102" s="703"/>
      <c r="F102" s="697"/>
      <c r="G102" s="628"/>
      <c r="H102" s="633"/>
      <c r="I102" s="633"/>
      <c r="J102" s="633"/>
      <c r="K102" s="631"/>
      <c r="L102" s="686"/>
      <c r="M102" s="630"/>
      <c r="N102" s="630"/>
      <c r="O102" s="630"/>
      <c r="P102" s="630"/>
      <c r="Q102" s="632"/>
      <c r="R102" s="686"/>
      <c r="S102" s="633"/>
      <c r="T102" s="633"/>
      <c r="U102" s="633"/>
      <c r="V102" s="633"/>
      <c r="W102" s="631"/>
      <c r="X102" s="686"/>
      <c r="Y102" s="633"/>
      <c r="Z102" s="633"/>
      <c r="AA102" s="633"/>
      <c r="AB102" s="630"/>
      <c r="AC102" s="631"/>
      <c r="AD102" s="631"/>
      <c r="AE102" s="631"/>
      <c r="AF102" s="631"/>
      <c r="AG102" s="631"/>
      <c r="AH102" s="631"/>
      <c r="AI102" s="631"/>
      <c r="AJ102" s="631"/>
      <c r="AK102" s="631"/>
      <c r="AL102" s="631"/>
      <c r="AM102" s="631"/>
      <c r="AN102" s="631"/>
      <c r="AO102" s="631"/>
      <c r="AP102" s="635"/>
      <c r="AQ102" s="636"/>
      <c r="AR102" s="707"/>
      <c r="AS102" s="726"/>
      <c r="AV102" s="228"/>
      <c r="AW102" s="228"/>
      <c r="AX102" s="228"/>
      <c r="AY102" s="228"/>
      <c r="AZ102" s="228"/>
      <c r="BA102" s="228"/>
      <c r="BC102" s="345"/>
      <c r="BD102" s="345"/>
      <c r="BE102" s="345"/>
      <c r="BF102" s="345"/>
      <c r="BG102" s="345"/>
      <c r="BH102" s="345"/>
      <c r="BI102" s="343"/>
      <c r="BJ102" s="294"/>
      <c r="BK102"/>
      <c r="BL102"/>
    </row>
    <row r="103" spans="1:97" s="89" customFormat="1" ht="15" hidden="1" customHeight="1" x14ac:dyDescent="0.35">
      <c r="B103" s="211"/>
      <c r="C103" s="700"/>
      <c r="D103" s="1316"/>
      <c r="E103" s="703"/>
      <c r="F103" s="697"/>
      <c r="G103" s="628"/>
      <c r="H103" s="633"/>
      <c r="I103" s="633"/>
      <c r="J103" s="633"/>
      <c r="K103" s="631"/>
      <c r="L103" s="686"/>
      <c r="M103" s="633"/>
      <c r="N103" s="633"/>
      <c r="O103" s="633"/>
      <c r="P103" s="633"/>
      <c r="Q103" s="632"/>
      <c r="R103" s="686"/>
      <c r="S103" s="633"/>
      <c r="T103" s="633"/>
      <c r="U103" s="633"/>
      <c r="V103" s="633"/>
      <c r="W103" s="631"/>
      <c r="X103" s="686"/>
      <c r="Y103" s="633"/>
      <c r="Z103" s="633"/>
      <c r="AA103" s="633"/>
      <c r="AB103" s="630"/>
      <c r="AC103" s="631"/>
      <c r="AD103" s="631"/>
      <c r="AE103" s="631"/>
      <c r="AF103" s="631"/>
      <c r="AG103" s="631"/>
      <c r="AH103" s="631"/>
      <c r="AI103" s="631"/>
      <c r="AJ103" s="631"/>
      <c r="AK103" s="631"/>
      <c r="AL103" s="631"/>
      <c r="AM103" s="631"/>
      <c r="AN103" s="631"/>
      <c r="AO103" s="631"/>
      <c r="AP103" s="635"/>
      <c r="AQ103" s="636"/>
      <c r="AR103" s="707"/>
      <c r="AS103" s="726"/>
      <c r="AV103" s="228"/>
      <c r="AW103" s="228"/>
      <c r="AX103" s="228"/>
      <c r="AY103" s="228"/>
      <c r="AZ103" s="228"/>
      <c r="BA103" s="228"/>
      <c r="BC103" s="345"/>
      <c r="BD103" s="345"/>
      <c r="BE103" s="345"/>
      <c r="BF103" s="345"/>
      <c r="BG103" s="345"/>
      <c r="BH103" s="345"/>
      <c r="BI103" s="343"/>
      <c r="BJ103" s="294"/>
      <c r="BK103"/>
      <c r="BL103"/>
    </row>
    <row r="104" spans="1:97" s="89" customFormat="1" ht="15" hidden="1" customHeight="1" x14ac:dyDescent="0.35">
      <c r="B104" s="211"/>
      <c r="C104" s="700"/>
      <c r="D104" s="1316"/>
      <c r="E104" s="703"/>
      <c r="F104" s="697"/>
      <c r="G104" s="628"/>
      <c r="H104" s="633"/>
      <c r="I104" s="633"/>
      <c r="J104" s="633"/>
      <c r="K104" s="631"/>
      <c r="L104" s="686"/>
      <c r="M104" s="633"/>
      <c r="N104" s="633"/>
      <c r="O104" s="633"/>
      <c r="P104" s="633"/>
      <c r="Q104" s="632"/>
      <c r="R104" s="686"/>
      <c r="S104" s="633"/>
      <c r="T104" s="633"/>
      <c r="U104" s="633"/>
      <c r="V104" s="633"/>
      <c r="W104" s="631"/>
      <c r="X104" s="686"/>
      <c r="Y104" s="633"/>
      <c r="Z104" s="633"/>
      <c r="AA104" s="633"/>
      <c r="AB104" s="630"/>
      <c r="AC104" s="631"/>
      <c r="AD104" s="631"/>
      <c r="AE104" s="631"/>
      <c r="AF104" s="631"/>
      <c r="AG104" s="631"/>
      <c r="AH104" s="631"/>
      <c r="AI104" s="631"/>
      <c r="AJ104" s="631"/>
      <c r="AK104" s="631"/>
      <c r="AL104" s="631"/>
      <c r="AM104" s="631"/>
      <c r="AN104" s="631"/>
      <c r="AO104" s="631"/>
      <c r="AP104" s="635"/>
      <c r="AQ104" s="636"/>
      <c r="AR104" s="707"/>
      <c r="AS104" s="726"/>
      <c r="AV104" s="228"/>
      <c r="AW104" s="228"/>
      <c r="AX104" s="228"/>
      <c r="AY104" s="228"/>
      <c r="AZ104" s="228"/>
      <c r="BA104" s="228"/>
      <c r="BC104" s="345"/>
      <c r="BD104" s="345"/>
      <c r="BE104" s="345"/>
      <c r="BF104" s="345"/>
      <c r="BG104" s="345"/>
      <c r="BH104" s="345"/>
      <c r="BI104" s="343"/>
      <c r="BJ104" s="294"/>
      <c r="BK104"/>
      <c r="BL104"/>
    </row>
    <row r="105" spans="1:97" s="89" customFormat="1" ht="15" hidden="1" customHeight="1" x14ac:dyDescent="0.35">
      <c r="B105" s="211"/>
      <c r="C105" s="700"/>
      <c r="D105" s="1316"/>
      <c r="E105" s="703"/>
      <c r="F105" s="697"/>
      <c r="G105" s="628"/>
      <c r="H105" s="633"/>
      <c r="I105" s="633"/>
      <c r="J105" s="633"/>
      <c r="K105" s="631"/>
      <c r="L105" s="686"/>
      <c r="M105" s="633"/>
      <c r="N105" s="633"/>
      <c r="O105" s="633"/>
      <c r="P105" s="633"/>
      <c r="Q105" s="632"/>
      <c r="R105" s="686"/>
      <c r="S105" s="633"/>
      <c r="T105" s="633"/>
      <c r="U105" s="633"/>
      <c r="V105" s="633"/>
      <c r="W105" s="631"/>
      <c r="X105" s="686"/>
      <c r="Y105" s="633"/>
      <c r="Z105" s="633"/>
      <c r="AA105" s="633"/>
      <c r="AB105" s="630"/>
      <c r="AC105" s="631"/>
      <c r="AD105" s="631"/>
      <c r="AE105" s="631"/>
      <c r="AF105" s="631"/>
      <c r="AG105" s="631"/>
      <c r="AH105" s="631"/>
      <c r="AI105" s="631"/>
      <c r="AJ105" s="631"/>
      <c r="AK105" s="631"/>
      <c r="AL105" s="631"/>
      <c r="AM105" s="631"/>
      <c r="AN105" s="631"/>
      <c r="AO105" s="631"/>
      <c r="AP105" s="635"/>
      <c r="AQ105" s="636"/>
      <c r="AR105" s="707"/>
      <c r="AS105" s="726"/>
      <c r="AV105" s="228"/>
      <c r="AW105" s="228"/>
      <c r="AX105" s="228"/>
      <c r="AY105" s="228"/>
      <c r="AZ105" s="228"/>
      <c r="BA105" s="228"/>
      <c r="BC105" s="345"/>
      <c r="BD105" s="345"/>
      <c r="BE105" s="345"/>
      <c r="BF105" s="345"/>
      <c r="BG105" s="345"/>
      <c r="BH105" s="345"/>
      <c r="BI105" s="343"/>
      <c r="BJ105" s="294"/>
      <c r="BK105"/>
      <c r="BL105"/>
    </row>
    <row r="106" spans="1:97" s="89" customFormat="1" ht="15" hidden="1" customHeight="1" x14ac:dyDescent="0.35">
      <c r="B106" s="211"/>
      <c r="C106" s="700"/>
      <c r="D106" s="1316"/>
      <c r="E106" s="703"/>
      <c r="F106" s="697"/>
      <c r="G106" s="628"/>
      <c r="H106" s="633"/>
      <c r="I106" s="633"/>
      <c r="J106" s="633"/>
      <c r="K106" s="631"/>
      <c r="L106" s="686"/>
      <c r="M106" s="630"/>
      <c r="N106" s="630"/>
      <c r="O106" s="630"/>
      <c r="P106" s="630"/>
      <c r="Q106" s="632"/>
      <c r="R106" s="686"/>
      <c r="S106" s="633"/>
      <c r="T106" s="633"/>
      <c r="U106" s="633"/>
      <c r="V106" s="633"/>
      <c r="W106" s="631"/>
      <c r="X106" s="686"/>
      <c r="Y106" s="633"/>
      <c r="Z106" s="633"/>
      <c r="AA106" s="633"/>
      <c r="AB106" s="630"/>
      <c r="AC106" s="631"/>
      <c r="AD106" s="631"/>
      <c r="AE106" s="631"/>
      <c r="AF106" s="631"/>
      <c r="AG106" s="631"/>
      <c r="AH106" s="631"/>
      <c r="AI106" s="631"/>
      <c r="AJ106" s="631"/>
      <c r="AK106" s="631"/>
      <c r="AL106" s="631"/>
      <c r="AM106" s="631"/>
      <c r="AN106" s="631"/>
      <c r="AO106" s="631"/>
      <c r="AP106" s="635"/>
      <c r="AQ106" s="636"/>
      <c r="AR106" s="707"/>
      <c r="AS106" s="726"/>
      <c r="AV106" s="228"/>
      <c r="AW106" s="228"/>
      <c r="AX106" s="228"/>
      <c r="AY106" s="228"/>
      <c r="AZ106" s="228"/>
      <c r="BA106" s="228"/>
      <c r="BC106" s="345"/>
      <c r="BD106" s="345"/>
      <c r="BE106" s="345"/>
      <c r="BF106" s="345"/>
      <c r="BG106" s="345"/>
      <c r="BH106" s="345"/>
      <c r="BI106" s="343"/>
      <c r="BJ106" s="294"/>
      <c r="BK106"/>
      <c r="BL106"/>
    </row>
    <row r="107" spans="1:97" s="89" customFormat="1" ht="15" hidden="1" customHeight="1" x14ac:dyDescent="0.35">
      <c r="B107" s="211"/>
      <c r="C107" s="700"/>
      <c r="D107" s="1316"/>
      <c r="E107" s="703"/>
      <c r="F107" s="697"/>
      <c r="G107" s="628"/>
      <c r="H107" s="633"/>
      <c r="I107" s="633"/>
      <c r="J107" s="633"/>
      <c r="K107" s="631"/>
      <c r="L107" s="686"/>
      <c r="M107" s="633"/>
      <c r="N107" s="633"/>
      <c r="O107" s="633"/>
      <c r="P107" s="633"/>
      <c r="Q107" s="632"/>
      <c r="R107" s="686"/>
      <c r="S107" s="633"/>
      <c r="T107" s="633"/>
      <c r="U107" s="633"/>
      <c r="V107" s="633"/>
      <c r="W107" s="631"/>
      <c r="X107" s="686"/>
      <c r="Y107" s="633"/>
      <c r="Z107" s="633"/>
      <c r="AA107" s="633"/>
      <c r="AB107" s="630"/>
      <c r="AC107" s="631"/>
      <c r="AD107" s="631"/>
      <c r="AE107" s="631"/>
      <c r="AF107" s="631"/>
      <c r="AG107" s="631"/>
      <c r="AH107" s="631"/>
      <c r="AI107" s="631"/>
      <c r="AJ107" s="631"/>
      <c r="AK107" s="631"/>
      <c r="AL107" s="631"/>
      <c r="AM107" s="631"/>
      <c r="AN107" s="631"/>
      <c r="AO107" s="631"/>
      <c r="AP107" s="635"/>
      <c r="AQ107" s="636"/>
      <c r="AR107" s="707"/>
      <c r="AS107" s="726"/>
      <c r="AV107" s="228"/>
      <c r="AW107" s="228"/>
      <c r="AX107" s="228"/>
      <c r="AY107" s="228"/>
      <c r="AZ107" s="228"/>
      <c r="BA107" s="228"/>
      <c r="BC107" s="345"/>
      <c r="BD107" s="345"/>
      <c r="BE107" s="345"/>
      <c r="BF107" s="345"/>
      <c r="BG107" s="345"/>
      <c r="BH107" s="345"/>
      <c r="BI107" s="343"/>
      <c r="BJ107" s="294"/>
      <c r="BK107"/>
      <c r="BL107"/>
    </row>
    <row r="108" spans="1:97" s="89" customFormat="1" ht="15" hidden="1" customHeight="1" x14ac:dyDescent="0.35">
      <c r="B108" s="211"/>
      <c r="C108" s="700"/>
      <c r="D108" s="1316"/>
      <c r="E108" s="703"/>
      <c r="F108" s="697"/>
      <c r="G108" s="628"/>
      <c r="H108" s="633"/>
      <c r="I108" s="633"/>
      <c r="J108" s="633"/>
      <c r="K108" s="631"/>
      <c r="L108" s="686"/>
      <c r="M108" s="633"/>
      <c r="N108" s="633"/>
      <c r="O108" s="633"/>
      <c r="P108" s="633"/>
      <c r="Q108" s="632"/>
      <c r="R108" s="686"/>
      <c r="S108" s="633"/>
      <c r="T108" s="633"/>
      <c r="U108" s="633"/>
      <c r="V108" s="633"/>
      <c r="W108" s="631"/>
      <c r="X108" s="686"/>
      <c r="Y108" s="633"/>
      <c r="Z108" s="633"/>
      <c r="AA108" s="633"/>
      <c r="AB108" s="630"/>
      <c r="AC108" s="631"/>
      <c r="AD108" s="631"/>
      <c r="AE108" s="631"/>
      <c r="AF108" s="631"/>
      <c r="AG108" s="631"/>
      <c r="AH108" s="631"/>
      <c r="AI108" s="631"/>
      <c r="AJ108" s="631"/>
      <c r="AK108" s="631"/>
      <c r="AL108" s="631"/>
      <c r="AM108" s="631"/>
      <c r="AN108" s="631"/>
      <c r="AO108" s="631"/>
      <c r="AP108" s="635"/>
      <c r="AQ108" s="636"/>
      <c r="AR108" s="707"/>
      <c r="AS108" s="726"/>
      <c r="AV108" s="228"/>
      <c r="AW108" s="228"/>
      <c r="AX108" s="228"/>
      <c r="AY108" s="228"/>
      <c r="AZ108" s="228"/>
      <c r="BA108" s="228"/>
      <c r="BC108" s="345"/>
      <c r="BD108" s="345"/>
      <c r="BE108" s="345"/>
      <c r="BF108" s="345"/>
      <c r="BG108" s="345"/>
      <c r="BH108" s="345"/>
      <c r="BI108" s="343"/>
      <c r="BJ108" s="294"/>
      <c r="BK108"/>
      <c r="BL108"/>
    </row>
    <row r="109" spans="1:97" s="89" customFormat="1" ht="15" hidden="1" customHeight="1" x14ac:dyDescent="0.35">
      <c r="B109" s="211"/>
      <c r="C109" s="700"/>
      <c r="D109" s="1316"/>
      <c r="E109" s="703"/>
      <c r="F109" s="697"/>
      <c r="G109" s="628"/>
      <c r="H109" s="633"/>
      <c r="I109" s="633"/>
      <c r="J109" s="633"/>
      <c r="K109" s="631"/>
      <c r="L109" s="686"/>
      <c r="M109" s="633"/>
      <c r="N109" s="633"/>
      <c r="O109" s="633"/>
      <c r="P109" s="633"/>
      <c r="Q109" s="632"/>
      <c r="R109" s="686"/>
      <c r="S109" s="633"/>
      <c r="T109" s="633"/>
      <c r="U109" s="633"/>
      <c r="V109" s="633"/>
      <c r="W109" s="631"/>
      <c r="X109" s="686"/>
      <c r="Y109" s="633"/>
      <c r="Z109" s="633"/>
      <c r="AA109" s="633"/>
      <c r="AB109" s="630"/>
      <c r="AC109" s="631"/>
      <c r="AD109" s="631"/>
      <c r="AE109" s="631"/>
      <c r="AF109" s="631"/>
      <c r="AG109" s="631"/>
      <c r="AH109" s="631"/>
      <c r="AI109" s="631"/>
      <c r="AJ109" s="631"/>
      <c r="AK109" s="631"/>
      <c r="AL109" s="631"/>
      <c r="AM109" s="631"/>
      <c r="AN109" s="631"/>
      <c r="AO109" s="631"/>
      <c r="AP109" s="635"/>
      <c r="AQ109" s="636"/>
      <c r="AR109" s="707"/>
      <c r="AS109" s="726"/>
      <c r="AV109" s="228"/>
      <c r="AW109" s="228"/>
      <c r="AX109" s="228"/>
      <c r="AY109" s="228"/>
      <c r="AZ109" s="228"/>
      <c r="BA109" s="228"/>
      <c r="BC109" s="345"/>
      <c r="BD109" s="345"/>
      <c r="BE109" s="345"/>
      <c r="BF109" s="345"/>
      <c r="BG109" s="345"/>
      <c r="BH109" s="345"/>
      <c r="BI109" s="343"/>
      <c r="BJ109" s="294"/>
      <c r="BK109"/>
      <c r="BL109"/>
    </row>
    <row r="110" spans="1:97" s="89" customFormat="1" ht="15" hidden="1" customHeight="1" thickBot="1" x14ac:dyDescent="0.4">
      <c r="B110" s="292"/>
      <c r="C110" s="701"/>
      <c r="D110" s="1317"/>
      <c r="E110" s="708"/>
      <c r="F110" s="720"/>
      <c r="G110" s="709"/>
      <c r="H110" s="704"/>
      <c r="I110" s="704"/>
      <c r="J110" s="704"/>
      <c r="K110" s="712"/>
      <c r="L110" s="711"/>
      <c r="M110" s="709"/>
      <c r="N110" s="704"/>
      <c r="O110" s="704"/>
      <c r="P110" s="704"/>
      <c r="Q110" s="710"/>
      <c r="R110" s="711"/>
      <c r="S110" s="704"/>
      <c r="T110" s="704"/>
      <c r="U110" s="704"/>
      <c r="V110" s="704"/>
      <c r="W110" s="712"/>
      <c r="X110" s="711"/>
      <c r="Y110" s="709"/>
      <c r="Z110" s="704"/>
      <c r="AA110" s="704"/>
      <c r="AB110" s="630"/>
      <c r="AC110" s="712"/>
      <c r="AD110" s="712"/>
      <c r="AE110" s="712"/>
      <c r="AF110" s="712"/>
      <c r="AG110" s="712"/>
      <c r="AH110" s="712"/>
      <c r="AI110" s="712"/>
      <c r="AJ110" s="712"/>
      <c r="AK110" s="712"/>
      <c r="AL110" s="712"/>
      <c r="AM110" s="712"/>
      <c r="AN110" s="712"/>
      <c r="AO110" s="712"/>
      <c r="AP110" s="713"/>
      <c r="AQ110" s="714"/>
      <c r="AR110" s="715"/>
      <c r="AS110" s="727"/>
      <c r="AV110" s="228"/>
      <c r="AW110" s="228"/>
      <c r="AX110" s="228"/>
      <c r="AY110" s="228"/>
      <c r="AZ110" s="228"/>
      <c r="BA110" s="228"/>
      <c r="BC110" s="345"/>
      <c r="BD110" s="345"/>
      <c r="BE110" s="345"/>
      <c r="BF110" s="345"/>
      <c r="BG110" s="345"/>
      <c r="BH110" s="345"/>
      <c r="BI110" s="343"/>
      <c r="BJ110" s="295"/>
      <c r="BK110"/>
      <c r="BL110"/>
    </row>
    <row r="111" spans="1:97" s="89" customFormat="1" ht="13" hidden="1" customHeight="1" x14ac:dyDescent="0.3">
      <c r="B111" s="212"/>
      <c r="C111" s="212"/>
      <c r="D111" s="705"/>
      <c r="E111" s="702"/>
      <c r="F111" s="645"/>
      <c r="G111" s="628"/>
      <c r="H111" s="633"/>
      <c r="I111" s="633"/>
      <c r="J111" s="633"/>
      <c r="K111" s="631"/>
      <c r="L111" s="627"/>
      <c r="M111" s="630"/>
      <c r="N111" s="630"/>
      <c r="O111" s="630"/>
      <c r="P111" s="630"/>
      <c r="Q111" s="632"/>
      <c r="R111" s="627"/>
      <c r="S111" s="633"/>
      <c r="T111" s="633"/>
      <c r="U111" s="633"/>
      <c r="V111" s="633"/>
      <c r="W111" s="634"/>
      <c r="X111" s="627"/>
      <c r="Y111" s="633"/>
      <c r="Z111" s="633"/>
      <c r="AA111" s="633"/>
      <c r="AB111" s="630"/>
      <c r="AC111" s="634"/>
      <c r="AD111" s="634"/>
      <c r="AE111" s="634"/>
      <c r="AF111" s="634"/>
      <c r="AG111" s="634"/>
      <c r="AH111" s="634"/>
      <c r="AI111" s="634"/>
      <c r="AJ111" s="634"/>
      <c r="AK111" s="634"/>
      <c r="AL111" s="634"/>
      <c r="AM111" s="634"/>
      <c r="AN111" s="634"/>
      <c r="AO111" s="634"/>
      <c r="AP111" s="635"/>
      <c r="AQ111" s="646"/>
      <c r="AR111" s="647"/>
      <c r="AS111" s="313"/>
      <c r="AT111" s="177"/>
      <c r="AU111" s="178"/>
      <c r="AV111" s="60"/>
      <c r="AW111" s="60"/>
      <c r="AX111" s="60"/>
      <c r="AY111" s="60"/>
      <c r="AZ111" s="60"/>
      <c r="BA111" s="60"/>
      <c r="BB111" s="60"/>
      <c r="BC111" s="345"/>
      <c r="BD111" s="345"/>
      <c r="BE111" s="345"/>
      <c r="BF111" s="345"/>
      <c r="BG111" s="345"/>
      <c r="BH111" s="345"/>
      <c r="BI111" s="60"/>
      <c r="BJ111" s="60"/>
      <c r="BK111" s="60"/>
      <c r="BL111" s="60"/>
      <c r="BM111" s="60"/>
      <c r="BN111" s="60"/>
      <c r="BO111" s="60"/>
      <c r="BP111" s="60"/>
      <c r="BQ111" s="60"/>
      <c r="BR111" s="60"/>
      <c r="BS111" s="60"/>
      <c r="BT111" s="60"/>
      <c r="BU111" s="60"/>
      <c r="BV111" s="60"/>
      <c r="BW111" s="60"/>
      <c r="BX111" s="60"/>
      <c r="BY111" s="60"/>
      <c r="BZ111" s="60"/>
      <c r="CA111" s="60"/>
      <c r="CB111" s="60"/>
      <c r="CC111" s="60"/>
      <c r="CD111" s="60"/>
      <c r="CE111" s="60"/>
      <c r="CF111" s="60"/>
      <c r="CG111" s="60"/>
      <c r="CH111" s="60"/>
      <c r="CI111" s="60"/>
      <c r="CJ111" s="60"/>
      <c r="CK111" s="60"/>
      <c r="CL111" s="60"/>
      <c r="CM111" s="60"/>
      <c r="CN111" s="60"/>
      <c r="CO111" s="60"/>
      <c r="CP111" s="60"/>
      <c r="CQ111" s="60"/>
      <c r="CR111" s="60"/>
      <c r="CS111" s="60"/>
    </row>
    <row r="112" spans="1:97" s="89" customFormat="1" ht="13" hidden="1" customHeight="1" x14ac:dyDescent="0.3">
      <c r="B112" s="211" t="s">
        <v>215</v>
      </c>
      <c r="C112" s="211" t="s">
        <v>215</v>
      </c>
      <c r="D112" s="1326"/>
      <c r="E112" s="626"/>
      <c r="F112" s="645">
        <v>0</v>
      </c>
      <c r="G112" s="628" cm="1">
        <f t="array" ref="G112">$F112*(SUMPRODUCT(('Cashflow Summary C19RM'!$D$5:$D$239=E112)*('Cashflow Summary C19RM'!$R$5:$R$239)))</f>
        <v>0</v>
      </c>
      <c r="H112" s="633" cm="1">
        <f t="array" ref="H112">$F112*(SUMPRODUCT(('Cashflow Summary C19RM'!$D$5:$D$239=E112)*('Cashflow Summary C19RM'!$S$5:$S$239)))</f>
        <v>0</v>
      </c>
      <c r="I112" s="633" cm="1">
        <f t="array" ref="I112">$F112*(SUMPRODUCT(('Cashflow Summary C19RM'!$D$5:$D$239=E112)*('Cashflow Summary C19RM'!$T$5:$T$239)))</f>
        <v>0</v>
      </c>
      <c r="J112" s="633" cm="1">
        <f t="array" ref="J112">$F112*(SUMPRODUCT(('Cashflow Summary C19RM'!$D$5:$D$239=E112)*('Cashflow Summary C19RM'!$U$5:$U$239)))</f>
        <v>0</v>
      </c>
      <c r="K112" s="631">
        <f t="shared" si="37"/>
        <v>0</v>
      </c>
      <c r="L112" s="627">
        <f t="shared" si="38"/>
        <v>0</v>
      </c>
      <c r="M112" s="630" cm="1">
        <f t="array" ref="M112">$L112*(SUMPRODUCT(('Cashflow Summary C19RM'!$D$5:$D$239=E112)*('Cashflow Summary C19RM'!$V$5:$V$239)))</f>
        <v>0</v>
      </c>
      <c r="N112" s="630" cm="1">
        <f t="array" ref="N112">$L112*(SUMPRODUCT(('Cashflow Summary C19RM'!$D$5:$D$239=E112)*('Cashflow Summary C19RM'!$R$5:$R$239)))</f>
        <v>0</v>
      </c>
      <c r="O112" s="630" cm="1">
        <f t="array" ref="O112">$L112*(SUMPRODUCT(('Cashflow Summary C19RM'!$D$5:$D$239=E112)*('Cashflow Summary C19RM'!$S$5:$S$239)))</f>
        <v>0</v>
      </c>
      <c r="P112" s="630" cm="1">
        <f t="array" ref="P112">$L112*(SUMPRODUCT(('Cashflow Summary C19RM'!$D$5:$D$239=E112)*('Cashflow Summary C19RM'!$T$5:$T$239)))</f>
        <v>0</v>
      </c>
      <c r="Q112" s="632">
        <f t="shared" si="39"/>
        <v>0</v>
      </c>
      <c r="R112" s="627">
        <f t="shared" si="40"/>
        <v>0</v>
      </c>
      <c r="S112" s="633" cm="1">
        <f t="array" ref="S112">$R112*(SUMPRODUCT(('Cashflow Summary C19RM'!$D$5:$D$239=E112)*('Cashflow Summary C19RM'!$U$5:$U$239)))</f>
        <v>0</v>
      </c>
      <c r="T112" s="633" cm="1">
        <f t="array" ref="T112">$R112*(SUMPRODUCT(('Cashflow Summary C19RM'!$D$5:$D$239=E112)*('Cashflow Summary C19RM'!$V$5:$V$239)))</f>
        <v>0</v>
      </c>
      <c r="U112" s="633" cm="1">
        <f t="array" ref="U112">$R112*(SUMPRODUCT(('Cashflow Summary C19RM'!$D$5:$D$239=E112)*('Cashflow Summary C19RM'!$W$5:$W$239)))</f>
        <v>0</v>
      </c>
      <c r="V112" s="633" cm="1">
        <f t="array" ref="V112">$R112*(SUMPRODUCT(('Cashflow Summary C19RM'!$D$5:$D$239=E112)*('Cashflow Summary C19RM'!$X$5:$X$239)))</f>
        <v>0</v>
      </c>
      <c r="W112" s="634">
        <f t="shared" si="41"/>
        <v>0</v>
      </c>
      <c r="X112" s="627">
        <f t="shared" si="42"/>
        <v>0</v>
      </c>
      <c r="Y112" s="633" cm="1">
        <f t="array" ref="Y112">$X112*(SUMPRODUCT(('Cashflow Summary C19RM'!$D$5:$D$239=E112)*('Cashflow Summary C19RM'!$Y$5:$Y$239)))</f>
        <v>0</v>
      </c>
      <c r="Z112" s="633" cm="1">
        <f t="array" ref="Z112">$X112*(SUMPRODUCT(('Cashflow Summary C19RM'!$D$5:$D$239=E112)*('Cashflow Summary C19RM'!$Z$5:$Z$239)))</f>
        <v>0</v>
      </c>
      <c r="AA112" s="633" cm="1">
        <f t="array" ref="AA112">$X112*(SUMPRODUCT(('Cashflow Summary C19RM'!$D$5:$D$239=E112)*('Cashflow Summary C19RM'!$AA$5:$AA$239)))</f>
        <v>0</v>
      </c>
      <c r="AB112" s="630" cm="1">
        <f t="array" ref="AB112">$X112*(SUMPRODUCT(('Cashflow Summary C19RM'!$K$5:$K$239&lt;&gt;1)*('Cashflow Summary C19RM'!$D$5:$D$239=E112)*('Cashflow Summary C19RM'!$AG$5:$AG$239)))</f>
        <v>0</v>
      </c>
      <c r="AC112" s="634">
        <f t="shared" si="43"/>
        <v>0</v>
      </c>
      <c r="AD112" s="634"/>
      <c r="AE112" s="634"/>
      <c r="AF112" s="634"/>
      <c r="AG112" s="634"/>
      <c r="AH112" s="634"/>
      <c r="AI112" s="634"/>
      <c r="AJ112" s="634"/>
      <c r="AK112" s="634"/>
      <c r="AL112" s="634"/>
      <c r="AM112" s="634"/>
      <c r="AN112" s="634"/>
      <c r="AO112" s="634"/>
      <c r="AP112" s="635">
        <f t="shared" ref="AP112:AP125" si="54">K112+Q112+W112+AC112</f>
        <v>0</v>
      </c>
      <c r="AQ112" s="648">
        <v>7.1</v>
      </c>
      <c r="AR112" s="647"/>
      <c r="AS112" s="313"/>
      <c r="AT112" s="177"/>
      <c r="AU112" s="178"/>
      <c r="AV112" s="60"/>
      <c r="AW112" s="60"/>
      <c r="AX112" s="60"/>
      <c r="AY112" s="60"/>
      <c r="AZ112" s="60"/>
      <c r="BA112" s="60"/>
      <c r="BB112" s="60"/>
      <c r="BC112" s="345"/>
      <c r="BD112" s="345"/>
      <c r="BE112" s="345"/>
      <c r="BF112" s="345"/>
      <c r="BG112" s="345"/>
      <c r="BH112" s="345"/>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row>
    <row r="113" spans="2:97" s="89" customFormat="1" ht="13" hidden="1" customHeight="1" x14ac:dyDescent="0.3">
      <c r="B113" s="211" t="s">
        <v>215</v>
      </c>
      <c r="C113" s="211" t="s">
        <v>215</v>
      </c>
      <c r="D113" s="1327"/>
      <c r="E113" s="626"/>
      <c r="F113" s="645">
        <v>0</v>
      </c>
      <c r="G113" s="628" cm="1">
        <f t="array" ref="G113">$F113*(SUMPRODUCT(('Cashflow Summary C19RM'!$D$5:$D$239=E113)*('Cashflow Summary C19RM'!$R$5:$R$239)))</f>
        <v>0</v>
      </c>
      <c r="H113" s="633" cm="1">
        <f t="array" ref="H113">$F113*(SUMPRODUCT(('Cashflow Summary C19RM'!$D$5:$D$239=E113)*('Cashflow Summary C19RM'!$S$5:$S$239)))</f>
        <v>0</v>
      </c>
      <c r="I113" s="633" cm="1">
        <f t="array" ref="I113">$F113*(SUMPRODUCT(('Cashflow Summary C19RM'!$D$5:$D$239=E113)*('Cashflow Summary C19RM'!$T$5:$T$239)))</f>
        <v>0</v>
      </c>
      <c r="J113" s="633" cm="1">
        <f t="array" ref="J113">$F113*(SUMPRODUCT(('Cashflow Summary C19RM'!$D$5:$D$239=E113)*('Cashflow Summary C19RM'!$U$5:$U$239)))</f>
        <v>0</v>
      </c>
      <c r="K113" s="631">
        <f t="shared" si="37"/>
        <v>0</v>
      </c>
      <c r="L113" s="627">
        <f t="shared" si="38"/>
        <v>0</v>
      </c>
      <c r="M113" s="630" cm="1">
        <f t="array" ref="M113">$L113*(SUMPRODUCT(('Cashflow Summary C19RM'!$D$5:$D$239=E113)*('Cashflow Summary C19RM'!$V$5:$V$239)))</f>
        <v>0</v>
      </c>
      <c r="N113" s="630" cm="1">
        <f t="array" ref="N113">$L113*(SUMPRODUCT(('Cashflow Summary C19RM'!$D$5:$D$239=E113)*('Cashflow Summary C19RM'!$R$5:$R$239)))</f>
        <v>0</v>
      </c>
      <c r="O113" s="630" cm="1">
        <f t="array" ref="O113">$L113*(SUMPRODUCT(('Cashflow Summary C19RM'!$D$5:$D$239=E113)*('Cashflow Summary C19RM'!$S$5:$S$239)))</f>
        <v>0</v>
      </c>
      <c r="P113" s="630" cm="1">
        <f t="array" ref="P113">$L113*(SUMPRODUCT(('Cashflow Summary C19RM'!$D$5:$D$239=E113)*('Cashflow Summary C19RM'!$T$5:$T$239)))</f>
        <v>0</v>
      </c>
      <c r="Q113" s="632">
        <f t="shared" si="39"/>
        <v>0</v>
      </c>
      <c r="R113" s="627">
        <f t="shared" si="40"/>
        <v>0</v>
      </c>
      <c r="S113" s="633" cm="1">
        <f t="array" ref="S113">$R113*(SUMPRODUCT(('Cashflow Summary C19RM'!$D$5:$D$239=E113)*('Cashflow Summary C19RM'!$U$5:$U$239)))</f>
        <v>0</v>
      </c>
      <c r="T113" s="633" cm="1">
        <f t="array" ref="T113">$R113*(SUMPRODUCT(('Cashflow Summary C19RM'!$D$5:$D$239=E113)*('Cashflow Summary C19RM'!$V$5:$V$239)))</f>
        <v>0</v>
      </c>
      <c r="U113" s="633" cm="1">
        <f t="array" ref="U113">$R113*(SUMPRODUCT(('Cashflow Summary C19RM'!$D$5:$D$239=E113)*('Cashflow Summary C19RM'!$W$5:$W$239)))</f>
        <v>0</v>
      </c>
      <c r="V113" s="633" cm="1">
        <f t="array" ref="V113">$R113*(SUMPRODUCT(('Cashflow Summary C19RM'!$D$5:$D$239=E113)*('Cashflow Summary C19RM'!$X$5:$X$239)))</f>
        <v>0</v>
      </c>
      <c r="W113" s="634">
        <f t="shared" si="41"/>
        <v>0</v>
      </c>
      <c r="X113" s="627">
        <f t="shared" si="42"/>
        <v>0</v>
      </c>
      <c r="Y113" s="633" cm="1">
        <f t="array" ref="Y113">$X113*(SUMPRODUCT(('Cashflow Summary C19RM'!$D$5:$D$239=E113)*('Cashflow Summary C19RM'!$Y$5:$Y$239)))</f>
        <v>0</v>
      </c>
      <c r="Z113" s="633" cm="1">
        <f t="array" ref="Z113">$X113*(SUMPRODUCT(('Cashflow Summary C19RM'!$D$5:$D$239=E113)*('Cashflow Summary C19RM'!$Z$5:$Z$239)))</f>
        <v>0</v>
      </c>
      <c r="AA113" s="633" cm="1">
        <f t="array" ref="AA113">$X113*(SUMPRODUCT(('Cashflow Summary C19RM'!$D$5:$D$239=E113)*('Cashflow Summary C19RM'!$AA$5:$AA$239)))</f>
        <v>0</v>
      </c>
      <c r="AB113" s="630" cm="1">
        <f t="array" ref="AB113">$X113*(SUMPRODUCT(('Cashflow Summary C19RM'!$K$5:$K$239&lt;&gt;1)*('Cashflow Summary C19RM'!$D$5:$D$239=E113)*('Cashflow Summary C19RM'!$AG$5:$AG$239)))</f>
        <v>0</v>
      </c>
      <c r="AC113" s="634">
        <f t="shared" si="43"/>
        <v>0</v>
      </c>
      <c r="AD113" s="634"/>
      <c r="AE113" s="634"/>
      <c r="AF113" s="634"/>
      <c r="AG113" s="634"/>
      <c r="AH113" s="634"/>
      <c r="AI113" s="634"/>
      <c r="AJ113" s="634"/>
      <c r="AK113" s="634"/>
      <c r="AL113" s="634"/>
      <c r="AM113" s="634"/>
      <c r="AN113" s="634"/>
      <c r="AO113" s="634"/>
      <c r="AP113" s="635">
        <f t="shared" si="54"/>
        <v>0</v>
      </c>
      <c r="AQ113" s="648">
        <v>7.1</v>
      </c>
      <c r="AR113" s="647"/>
      <c r="AS113" s="313"/>
      <c r="AT113" s="177"/>
      <c r="AU113" s="178"/>
      <c r="AV113" s="60"/>
      <c r="AW113" s="60"/>
      <c r="AX113" s="60"/>
      <c r="AY113" s="60"/>
      <c r="AZ113" s="60"/>
      <c r="BA113" s="60"/>
      <c r="BB113" s="60"/>
      <c r="BC113" s="345"/>
      <c r="BD113" s="345"/>
      <c r="BE113" s="345"/>
      <c r="BF113" s="345"/>
      <c r="BG113" s="345"/>
      <c r="BH113" s="345"/>
      <c r="BI113" s="60"/>
      <c r="BJ113" s="60"/>
      <c r="BK113" s="60"/>
      <c r="BL113" s="60"/>
      <c r="BM113" s="60"/>
      <c r="BN113" s="60"/>
      <c r="BO113" s="60"/>
      <c r="BP113" s="60"/>
      <c r="BQ113" s="60"/>
      <c r="BR113" s="60"/>
      <c r="BS113" s="60"/>
      <c r="BT113" s="60"/>
      <c r="BU113" s="60"/>
      <c r="BV113" s="60"/>
      <c r="BW113" s="60"/>
      <c r="BX113" s="60"/>
      <c r="BY113" s="60"/>
      <c r="BZ113" s="60"/>
      <c r="CA113" s="60"/>
      <c r="CB113" s="60"/>
      <c r="CC113" s="60"/>
      <c r="CD113" s="60"/>
      <c r="CE113" s="60"/>
      <c r="CF113" s="60"/>
      <c r="CG113" s="60"/>
      <c r="CH113" s="60"/>
      <c r="CI113" s="60"/>
      <c r="CJ113" s="60"/>
      <c r="CK113" s="60"/>
      <c r="CL113" s="60"/>
      <c r="CM113" s="60"/>
      <c r="CN113" s="60"/>
      <c r="CO113" s="60"/>
      <c r="CP113" s="60"/>
      <c r="CQ113" s="60"/>
      <c r="CR113" s="60"/>
      <c r="CS113" s="60"/>
    </row>
    <row r="114" spans="2:97" s="89" customFormat="1" ht="13" hidden="1" customHeight="1" x14ac:dyDescent="0.3">
      <c r="B114" s="211" t="s">
        <v>215</v>
      </c>
      <c r="C114" s="211" t="s">
        <v>215</v>
      </c>
      <c r="D114" s="1327"/>
      <c r="E114" s="626"/>
      <c r="F114" s="645">
        <v>0</v>
      </c>
      <c r="G114" s="628" cm="1">
        <f t="array" ref="G114">$F114*(SUMPRODUCT(('Cashflow Summary C19RM'!$D$5:$D$239=E114)*('Cashflow Summary C19RM'!$R$5:$R$239)))</f>
        <v>0</v>
      </c>
      <c r="H114" s="633" cm="1">
        <f t="array" ref="H114">$F114*(SUMPRODUCT(('Cashflow Summary C19RM'!$D$5:$D$239=E114)*('Cashflow Summary C19RM'!$S$5:$S$239)))</f>
        <v>0</v>
      </c>
      <c r="I114" s="633" cm="1">
        <f t="array" ref="I114">$F114*(SUMPRODUCT(('Cashflow Summary C19RM'!$D$5:$D$239=E114)*('Cashflow Summary C19RM'!$T$5:$T$239)))</f>
        <v>0</v>
      </c>
      <c r="J114" s="633" cm="1">
        <f t="array" ref="J114">$F114*(SUMPRODUCT(('Cashflow Summary C19RM'!$D$5:$D$239=E114)*('Cashflow Summary C19RM'!$U$5:$U$239)))</f>
        <v>0</v>
      </c>
      <c r="K114" s="631">
        <f t="shared" si="37"/>
        <v>0</v>
      </c>
      <c r="L114" s="627">
        <f t="shared" si="38"/>
        <v>0</v>
      </c>
      <c r="M114" s="630" cm="1">
        <f t="array" ref="M114">$L114*(SUMPRODUCT(('Cashflow Summary C19RM'!$D$5:$D$239=E114)*('Cashflow Summary C19RM'!$V$5:$V$239)))</f>
        <v>0</v>
      </c>
      <c r="N114" s="630" cm="1">
        <f t="array" ref="N114">$L114*(SUMPRODUCT(('Cashflow Summary C19RM'!$D$5:$D$239=E114)*('Cashflow Summary C19RM'!$R$5:$R$239)))</f>
        <v>0</v>
      </c>
      <c r="O114" s="630" cm="1">
        <f t="array" ref="O114">$L114*(SUMPRODUCT(('Cashflow Summary C19RM'!$D$5:$D$239=E114)*('Cashflow Summary C19RM'!$S$5:$S$239)))</f>
        <v>0</v>
      </c>
      <c r="P114" s="630" cm="1">
        <f t="array" ref="P114">$L114*(SUMPRODUCT(('Cashflow Summary C19RM'!$D$5:$D$239=E114)*('Cashflow Summary C19RM'!$T$5:$T$239)))</f>
        <v>0</v>
      </c>
      <c r="Q114" s="632">
        <f t="shared" si="39"/>
        <v>0</v>
      </c>
      <c r="R114" s="627">
        <f t="shared" si="40"/>
        <v>0</v>
      </c>
      <c r="S114" s="633" cm="1">
        <f t="array" ref="S114">$R114*(SUMPRODUCT(('Cashflow Summary C19RM'!$D$5:$D$239=E114)*('Cashflow Summary C19RM'!$U$5:$U$239)))</f>
        <v>0</v>
      </c>
      <c r="T114" s="633" cm="1">
        <f t="array" ref="T114">$R114*(SUMPRODUCT(('Cashflow Summary C19RM'!$D$5:$D$239=E114)*('Cashflow Summary C19RM'!$V$5:$V$239)))</f>
        <v>0</v>
      </c>
      <c r="U114" s="633" cm="1">
        <f t="array" ref="U114">$R114*(SUMPRODUCT(('Cashflow Summary C19RM'!$D$5:$D$239=E114)*('Cashflow Summary C19RM'!$W$5:$W$239)))</f>
        <v>0</v>
      </c>
      <c r="V114" s="633" cm="1">
        <f t="array" ref="V114">$R114*(SUMPRODUCT(('Cashflow Summary C19RM'!$D$5:$D$239=E114)*('Cashflow Summary C19RM'!$X$5:$X$239)))</f>
        <v>0</v>
      </c>
      <c r="W114" s="634">
        <f t="shared" si="41"/>
        <v>0</v>
      </c>
      <c r="X114" s="627">
        <f t="shared" si="42"/>
        <v>0</v>
      </c>
      <c r="Y114" s="633" cm="1">
        <f t="array" ref="Y114">$X114*(SUMPRODUCT(('Cashflow Summary C19RM'!$D$5:$D$239=E114)*('Cashflow Summary C19RM'!$Y$5:$Y$239)))</f>
        <v>0</v>
      </c>
      <c r="Z114" s="633" cm="1">
        <f t="array" ref="Z114">$X114*(SUMPRODUCT(('Cashflow Summary C19RM'!$D$5:$D$239=E114)*('Cashflow Summary C19RM'!$Z$5:$Z$239)))</f>
        <v>0</v>
      </c>
      <c r="AA114" s="633" cm="1">
        <f t="array" ref="AA114">$X114*(SUMPRODUCT(('Cashflow Summary C19RM'!$D$5:$D$239=E114)*('Cashflow Summary C19RM'!$AA$5:$AA$239)))</f>
        <v>0</v>
      </c>
      <c r="AB114" s="630" cm="1">
        <f t="array" ref="AB114">$X114*(SUMPRODUCT(('Cashflow Summary C19RM'!$K$5:$K$239&lt;&gt;1)*('Cashflow Summary C19RM'!$D$5:$D$239=E114)*('Cashflow Summary C19RM'!$AG$5:$AG$239)))</f>
        <v>0</v>
      </c>
      <c r="AC114" s="634">
        <f t="shared" si="43"/>
        <v>0</v>
      </c>
      <c r="AD114" s="634"/>
      <c r="AE114" s="634"/>
      <c r="AF114" s="634"/>
      <c r="AG114" s="634"/>
      <c r="AH114" s="634"/>
      <c r="AI114" s="634"/>
      <c r="AJ114" s="634"/>
      <c r="AK114" s="634"/>
      <c r="AL114" s="634"/>
      <c r="AM114" s="634"/>
      <c r="AN114" s="634"/>
      <c r="AO114" s="634"/>
      <c r="AP114" s="635">
        <f t="shared" si="54"/>
        <v>0</v>
      </c>
      <c r="AQ114" s="648">
        <v>7.1</v>
      </c>
      <c r="AR114" s="647"/>
      <c r="AS114" s="313"/>
      <c r="AT114" s="177"/>
      <c r="AU114" s="178"/>
      <c r="AV114" s="60"/>
      <c r="AW114" s="60"/>
      <c r="AX114" s="60"/>
      <c r="AY114" s="60"/>
      <c r="AZ114" s="60"/>
      <c r="BA114" s="60"/>
      <c r="BB114" s="60"/>
      <c r="BC114" s="345"/>
      <c r="BD114" s="345"/>
      <c r="BE114" s="345"/>
      <c r="BF114" s="345"/>
      <c r="BG114" s="345"/>
      <c r="BH114" s="345"/>
      <c r="BI114" s="60"/>
      <c r="BJ114" s="60"/>
      <c r="BK114" s="60"/>
      <c r="BL114" s="60"/>
      <c r="BM114" s="60"/>
      <c r="BN114" s="60"/>
      <c r="BO114" s="60"/>
      <c r="BP114" s="60"/>
      <c r="BQ114" s="60"/>
      <c r="BR114" s="60"/>
      <c r="BS114" s="60"/>
      <c r="BT114" s="60"/>
      <c r="BU114" s="60"/>
      <c r="BV114" s="60"/>
      <c r="BW114" s="60"/>
      <c r="BX114" s="60"/>
      <c r="BY114" s="60"/>
      <c r="BZ114" s="60"/>
      <c r="CA114" s="60"/>
      <c r="CB114" s="60"/>
      <c r="CC114" s="60"/>
      <c r="CD114" s="60"/>
      <c r="CE114" s="60"/>
      <c r="CF114" s="60"/>
      <c r="CG114" s="60"/>
      <c r="CH114" s="60"/>
      <c r="CI114" s="60"/>
      <c r="CJ114" s="60"/>
      <c r="CK114" s="60"/>
      <c r="CL114" s="60"/>
      <c r="CM114" s="60"/>
      <c r="CN114" s="60"/>
      <c r="CO114" s="60"/>
      <c r="CP114" s="60"/>
      <c r="CQ114" s="60"/>
      <c r="CR114" s="60"/>
      <c r="CS114" s="60"/>
    </row>
    <row r="115" spans="2:97" s="89" customFormat="1" ht="13" hidden="1" customHeight="1" x14ac:dyDescent="0.3">
      <c r="B115" s="211" t="s">
        <v>215</v>
      </c>
      <c r="C115" s="211" t="s">
        <v>215</v>
      </c>
      <c r="D115" s="1327"/>
      <c r="E115" s="626"/>
      <c r="F115" s="645">
        <v>0</v>
      </c>
      <c r="G115" s="628" cm="1">
        <f t="array" ref="G115">$F115*(SUMPRODUCT(('Cashflow Summary C19RM'!$D$5:$D$239=E115)*('Cashflow Summary C19RM'!$R$5:$R$239)))</f>
        <v>0</v>
      </c>
      <c r="H115" s="633" cm="1">
        <f t="array" ref="H115">$F115*(SUMPRODUCT(('Cashflow Summary C19RM'!$D$5:$D$239=E115)*('Cashflow Summary C19RM'!$S$5:$S$239)))</f>
        <v>0</v>
      </c>
      <c r="I115" s="633" cm="1">
        <f t="array" ref="I115">$F115*(SUMPRODUCT(('Cashflow Summary C19RM'!$D$5:$D$239=E115)*('Cashflow Summary C19RM'!$T$5:$T$239)))</f>
        <v>0</v>
      </c>
      <c r="J115" s="633" cm="1">
        <f t="array" ref="J115">$F115*(SUMPRODUCT(('Cashflow Summary C19RM'!$D$5:$D$239=E115)*('Cashflow Summary C19RM'!$U$5:$U$239)))</f>
        <v>0</v>
      </c>
      <c r="K115" s="631">
        <f t="shared" si="37"/>
        <v>0</v>
      </c>
      <c r="L115" s="627">
        <f t="shared" si="38"/>
        <v>0</v>
      </c>
      <c r="M115" s="630" cm="1">
        <f t="array" ref="M115">$L115*(SUMPRODUCT(('Cashflow Summary C19RM'!$D$5:$D$239=E115)*('Cashflow Summary C19RM'!$V$5:$V$239)))</f>
        <v>0</v>
      </c>
      <c r="N115" s="630" cm="1">
        <f t="array" ref="N115">$L115*(SUMPRODUCT(('Cashflow Summary C19RM'!$D$5:$D$239=E115)*('Cashflow Summary C19RM'!$R$5:$R$239)))</f>
        <v>0</v>
      </c>
      <c r="O115" s="630" cm="1">
        <f t="array" ref="O115">$L115*(SUMPRODUCT(('Cashflow Summary C19RM'!$D$5:$D$239=E115)*('Cashflow Summary C19RM'!$S$5:$S$239)))</f>
        <v>0</v>
      </c>
      <c r="P115" s="630" cm="1">
        <f t="array" ref="P115">$L115*(SUMPRODUCT(('Cashflow Summary C19RM'!$D$5:$D$239=E115)*('Cashflow Summary C19RM'!$T$5:$T$239)))</f>
        <v>0</v>
      </c>
      <c r="Q115" s="632">
        <f t="shared" si="39"/>
        <v>0</v>
      </c>
      <c r="R115" s="627">
        <f t="shared" si="40"/>
        <v>0</v>
      </c>
      <c r="S115" s="633" cm="1">
        <f t="array" ref="S115">$R115*(SUMPRODUCT(('Cashflow Summary C19RM'!$D$5:$D$239=E115)*('Cashflow Summary C19RM'!$U$5:$U$239)))</f>
        <v>0</v>
      </c>
      <c r="T115" s="633" cm="1">
        <f t="array" ref="T115">$R115*(SUMPRODUCT(('Cashflow Summary C19RM'!$D$5:$D$239=E115)*('Cashflow Summary C19RM'!$V$5:$V$239)))</f>
        <v>0</v>
      </c>
      <c r="U115" s="633" cm="1">
        <f t="array" ref="U115">$R115*(SUMPRODUCT(('Cashflow Summary C19RM'!$D$5:$D$239=E115)*('Cashflow Summary C19RM'!$W$5:$W$239)))</f>
        <v>0</v>
      </c>
      <c r="V115" s="633" cm="1">
        <f t="array" ref="V115">$R115*(SUMPRODUCT(('Cashflow Summary C19RM'!$D$5:$D$239=E115)*('Cashflow Summary C19RM'!$X$5:$X$239)))</f>
        <v>0</v>
      </c>
      <c r="W115" s="634">
        <f t="shared" si="41"/>
        <v>0</v>
      </c>
      <c r="X115" s="627">
        <f t="shared" si="42"/>
        <v>0</v>
      </c>
      <c r="Y115" s="633" cm="1">
        <f t="array" ref="Y115">$X115*(SUMPRODUCT(('Cashflow Summary C19RM'!$D$5:$D$239=E115)*('Cashflow Summary C19RM'!$Y$5:$Y$239)))</f>
        <v>0</v>
      </c>
      <c r="Z115" s="633" cm="1">
        <f t="array" ref="Z115">$X115*(SUMPRODUCT(('Cashflow Summary C19RM'!$D$5:$D$239=E115)*('Cashflow Summary C19RM'!$Z$5:$Z$239)))</f>
        <v>0</v>
      </c>
      <c r="AA115" s="633" cm="1">
        <f t="array" ref="AA115">$X115*(SUMPRODUCT(('Cashflow Summary C19RM'!$D$5:$D$239=E115)*('Cashflow Summary C19RM'!$AA$5:$AA$239)))</f>
        <v>0</v>
      </c>
      <c r="AB115" s="630" cm="1">
        <f t="array" ref="AB115">$X115*(SUMPRODUCT(('Cashflow Summary C19RM'!$K$5:$K$239&lt;&gt;1)*('Cashflow Summary C19RM'!$D$5:$D$239=E115)*('Cashflow Summary C19RM'!$AG$5:$AG$239)))</f>
        <v>0</v>
      </c>
      <c r="AC115" s="634">
        <f t="shared" si="43"/>
        <v>0</v>
      </c>
      <c r="AD115" s="634"/>
      <c r="AE115" s="634"/>
      <c r="AF115" s="634"/>
      <c r="AG115" s="634"/>
      <c r="AH115" s="634"/>
      <c r="AI115" s="634"/>
      <c r="AJ115" s="634"/>
      <c r="AK115" s="634"/>
      <c r="AL115" s="634"/>
      <c r="AM115" s="634"/>
      <c r="AN115" s="634"/>
      <c r="AO115" s="634"/>
      <c r="AP115" s="635">
        <f t="shared" si="54"/>
        <v>0</v>
      </c>
      <c r="AQ115" s="648">
        <v>7.1</v>
      </c>
      <c r="AR115" s="647"/>
      <c r="AS115" s="313"/>
      <c r="AT115" s="177"/>
      <c r="AU115" s="178"/>
      <c r="AV115" s="60"/>
      <c r="AW115" s="60"/>
      <c r="AX115" s="60"/>
      <c r="AY115" s="60"/>
      <c r="AZ115" s="60"/>
      <c r="BA115" s="60"/>
      <c r="BB115" s="60"/>
      <c r="BC115" s="345"/>
      <c r="BD115" s="345"/>
      <c r="BE115" s="345"/>
      <c r="BF115" s="345"/>
      <c r="BG115" s="345"/>
      <c r="BH115" s="345"/>
      <c r="BI115" s="60"/>
      <c r="BJ115" s="60"/>
      <c r="BK115" s="60"/>
      <c r="BL115" s="60"/>
      <c r="BM115" s="60"/>
      <c r="BN115" s="60"/>
      <c r="BO115" s="60"/>
      <c r="BP115" s="60"/>
      <c r="BQ115" s="60"/>
      <c r="BR115" s="60"/>
      <c r="BS115" s="60"/>
      <c r="BT115" s="60"/>
      <c r="BU115" s="60"/>
      <c r="BV115" s="60"/>
      <c r="BW115" s="60"/>
      <c r="BX115" s="60"/>
      <c r="BY115" s="60"/>
      <c r="BZ115" s="60"/>
      <c r="CA115" s="60"/>
      <c r="CB115" s="60"/>
      <c r="CC115" s="60"/>
      <c r="CD115" s="60"/>
      <c r="CE115" s="60"/>
      <c r="CF115" s="60"/>
      <c r="CG115" s="60"/>
      <c r="CH115" s="60"/>
      <c r="CI115" s="60"/>
      <c r="CJ115" s="60"/>
      <c r="CK115" s="60"/>
      <c r="CL115" s="60"/>
      <c r="CM115" s="60"/>
      <c r="CN115" s="60"/>
      <c r="CO115" s="60"/>
      <c r="CP115" s="60"/>
      <c r="CQ115" s="60"/>
      <c r="CR115" s="60"/>
      <c r="CS115" s="60"/>
    </row>
    <row r="116" spans="2:97" s="89" customFormat="1" ht="13" hidden="1" customHeight="1" x14ac:dyDescent="0.3">
      <c r="B116" s="211" t="s">
        <v>215</v>
      </c>
      <c r="C116" s="211" t="s">
        <v>215</v>
      </c>
      <c r="D116" s="1327"/>
      <c r="E116" s="626"/>
      <c r="F116" s="645">
        <v>0</v>
      </c>
      <c r="G116" s="628" cm="1">
        <f t="array" ref="G116">$F116*(SUMPRODUCT(('Cashflow Summary C19RM'!$D$5:$D$239=E116)*('Cashflow Summary C19RM'!$R$5:$R$239)))</f>
        <v>0</v>
      </c>
      <c r="H116" s="633" cm="1">
        <f t="array" ref="H116">$F116*(SUMPRODUCT(('Cashflow Summary C19RM'!$D$5:$D$239=E116)*('Cashflow Summary C19RM'!$S$5:$S$239)))</f>
        <v>0</v>
      </c>
      <c r="I116" s="633" cm="1">
        <f t="array" ref="I116">$F116*(SUMPRODUCT(('Cashflow Summary C19RM'!$D$5:$D$239=E116)*('Cashflow Summary C19RM'!$T$5:$T$239)))</f>
        <v>0</v>
      </c>
      <c r="J116" s="633" cm="1">
        <f t="array" ref="J116">$F116*(SUMPRODUCT(('Cashflow Summary C19RM'!$D$5:$D$239=E116)*('Cashflow Summary C19RM'!$U$5:$U$239)))</f>
        <v>0</v>
      </c>
      <c r="K116" s="631">
        <f t="shared" si="37"/>
        <v>0</v>
      </c>
      <c r="L116" s="627">
        <f t="shared" si="38"/>
        <v>0</v>
      </c>
      <c r="M116" s="630" cm="1">
        <f t="array" ref="M116">$L116*(SUMPRODUCT(('Cashflow Summary C19RM'!$D$5:$D$239=E116)*('Cashflow Summary C19RM'!$V$5:$V$239)))</f>
        <v>0</v>
      </c>
      <c r="N116" s="630" cm="1">
        <f t="array" ref="N116">$L116*(SUMPRODUCT(('Cashflow Summary C19RM'!$D$5:$D$239=E116)*('Cashflow Summary C19RM'!$R$5:$R$239)))</f>
        <v>0</v>
      </c>
      <c r="O116" s="630" cm="1">
        <f t="array" ref="O116">$L116*(SUMPRODUCT(('Cashflow Summary C19RM'!$D$5:$D$239=E116)*('Cashflow Summary C19RM'!$S$5:$S$239)))</f>
        <v>0</v>
      </c>
      <c r="P116" s="630" cm="1">
        <f t="array" ref="P116">$L116*(SUMPRODUCT(('Cashflow Summary C19RM'!$D$5:$D$239=E116)*('Cashflow Summary C19RM'!$T$5:$T$239)))</f>
        <v>0</v>
      </c>
      <c r="Q116" s="632">
        <f t="shared" si="39"/>
        <v>0</v>
      </c>
      <c r="R116" s="627">
        <f t="shared" si="40"/>
        <v>0</v>
      </c>
      <c r="S116" s="633" cm="1">
        <f t="array" ref="S116">$R116*(SUMPRODUCT(('Cashflow Summary C19RM'!$D$5:$D$239=E116)*('Cashflow Summary C19RM'!$U$5:$U$239)))</f>
        <v>0</v>
      </c>
      <c r="T116" s="633" cm="1">
        <f t="array" ref="T116">$R116*(SUMPRODUCT(('Cashflow Summary C19RM'!$D$5:$D$239=E116)*('Cashflow Summary C19RM'!$V$5:$V$239)))</f>
        <v>0</v>
      </c>
      <c r="U116" s="633" cm="1">
        <f t="array" ref="U116">$R116*(SUMPRODUCT(('Cashflow Summary C19RM'!$D$5:$D$239=E116)*('Cashflow Summary C19RM'!$W$5:$W$239)))</f>
        <v>0</v>
      </c>
      <c r="V116" s="633" cm="1">
        <f t="array" ref="V116">$R116*(SUMPRODUCT(('Cashflow Summary C19RM'!$D$5:$D$239=E116)*('Cashflow Summary C19RM'!$X$5:$X$239)))</f>
        <v>0</v>
      </c>
      <c r="W116" s="634">
        <f t="shared" si="41"/>
        <v>0</v>
      </c>
      <c r="X116" s="627">
        <f t="shared" si="42"/>
        <v>0</v>
      </c>
      <c r="Y116" s="633" cm="1">
        <f t="array" ref="Y116">$X116*(SUMPRODUCT(('Cashflow Summary C19RM'!$D$5:$D$239=E116)*('Cashflow Summary C19RM'!$Y$5:$Y$239)))</f>
        <v>0</v>
      </c>
      <c r="Z116" s="633" cm="1">
        <f t="array" ref="Z116">$X116*(SUMPRODUCT(('Cashflow Summary C19RM'!$D$5:$D$239=E116)*('Cashflow Summary C19RM'!$Z$5:$Z$239)))</f>
        <v>0</v>
      </c>
      <c r="AA116" s="633" cm="1">
        <f t="array" ref="AA116">$X116*(SUMPRODUCT(('Cashflow Summary C19RM'!$D$5:$D$239=E116)*('Cashflow Summary C19RM'!$AA$5:$AA$239)))</f>
        <v>0</v>
      </c>
      <c r="AB116" s="630" cm="1">
        <f t="array" ref="AB116">$X116*(SUMPRODUCT(('Cashflow Summary C19RM'!$K$5:$K$239&lt;&gt;1)*('Cashflow Summary C19RM'!$D$5:$D$239=E116)*('Cashflow Summary C19RM'!$AG$5:$AG$239)))</f>
        <v>0</v>
      </c>
      <c r="AC116" s="634">
        <f t="shared" si="43"/>
        <v>0</v>
      </c>
      <c r="AD116" s="634"/>
      <c r="AE116" s="634"/>
      <c r="AF116" s="634"/>
      <c r="AG116" s="634"/>
      <c r="AH116" s="634"/>
      <c r="AI116" s="634"/>
      <c r="AJ116" s="634"/>
      <c r="AK116" s="634"/>
      <c r="AL116" s="634"/>
      <c r="AM116" s="634"/>
      <c r="AN116" s="634"/>
      <c r="AO116" s="634"/>
      <c r="AP116" s="635">
        <f t="shared" si="54"/>
        <v>0</v>
      </c>
      <c r="AQ116" s="648">
        <v>7.1</v>
      </c>
      <c r="AR116" s="647"/>
      <c r="AS116" s="313"/>
      <c r="AT116" s="177"/>
      <c r="AU116" s="178"/>
      <c r="AV116" s="60"/>
      <c r="AW116" s="60"/>
      <c r="AX116" s="60"/>
      <c r="AY116" s="60"/>
      <c r="AZ116" s="60"/>
      <c r="BA116" s="60"/>
      <c r="BB116" s="60"/>
      <c r="BC116" s="345"/>
      <c r="BD116" s="345"/>
      <c r="BE116" s="345"/>
      <c r="BF116" s="345"/>
      <c r="BG116" s="345"/>
      <c r="BH116" s="345"/>
      <c r="BI116" s="60"/>
      <c r="BJ116" s="60"/>
      <c r="BK116" s="60"/>
      <c r="BL116" s="60"/>
      <c r="BM116" s="60"/>
      <c r="BN116" s="60"/>
      <c r="BO116" s="60"/>
      <c r="BP116" s="60"/>
      <c r="BQ116" s="60"/>
      <c r="BR116" s="60"/>
      <c r="BS116" s="60"/>
      <c r="BT116" s="60"/>
      <c r="BU116" s="60"/>
      <c r="BV116" s="60"/>
      <c r="BW116" s="60"/>
      <c r="BX116" s="60"/>
      <c r="BY116" s="60"/>
      <c r="BZ116" s="60"/>
      <c r="CA116" s="60"/>
      <c r="CB116" s="60"/>
      <c r="CC116" s="60"/>
      <c r="CD116" s="60"/>
      <c r="CE116" s="60"/>
      <c r="CF116" s="60"/>
      <c r="CG116" s="60"/>
      <c r="CH116" s="60"/>
      <c r="CI116" s="60"/>
      <c r="CJ116" s="60"/>
      <c r="CK116" s="60"/>
      <c r="CL116" s="60"/>
      <c r="CM116" s="60"/>
      <c r="CN116" s="60"/>
      <c r="CO116" s="60"/>
      <c r="CP116" s="60"/>
      <c r="CQ116" s="60"/>
      <c r="CR116" s="60"/>
      <c r="CS116" s="60"/>
    </row>
    <row r="117" spans="2:97" s="89" customFormat="1" ht="13" hidden="1" customHeight="1" x14ac:dyDescent="0.3">
      <c r="B117" s="211" t="s">
        <v>215</v>
      </c>
      <c r="C117" s="211" t="s">
        <v>215</v>
      </c>
      <c r="D117" s="1327"/>
      <c r="E117" s="626"/>
      <c r="F117" s="645">
        <v>0</v>
      </c>
      <c r="G117" s="628" cm="1">
        <f t="array" ref="G117">$F117*(SUMPRODUCT(('Cashflow Summary C19RM'!$D$5:$D$239=E117)*('Cashflow Summary C19RM'!$R$5:$R$239)))</f>
        <v>0</v>
      </c>
      <c r="H117" s="633" cm="1">
        <f t="array" ref="H117">$F117*(SUMPRODUCT(('Cashflow Summary C19RM'!$D$5:$D$239=E117)*('Cashflow Summary C19RM'!$S$5:$S$239)))</f>
        <v>0</v>
      </c>
      <c r="I117" s="633" cm="1">
        <f t="array" ref="I117">$F117*(SUMPRODUCT(('Cashflow Summary C19RM'!$D$5:$D$239=E117)*('Cashflow Summary C19RM'!$T$5:$T$239)))</f>
        <v>0</v>
      </c>
      <c r="J117" s="633" cm="1">
        <f t="array" ref="J117">$F117*(SUMPRODUCT(('Cashflow Summary C19RM'!$D$5:$D$239=E117)*('Cashflow Summary C19RM'!$U$5:$U$239)))</f>
        <v>0</v>
      </c>
      <c r="K117" s="631">
        <f t="shared" si="37"/>
        <v>0</v>
      </c>
      <c r="L117" s="627">
        <f t="shared" si="38"/>
        <v>0</v>
      </c>
      <c r="M117" s="630" cm="1">
        <f t="array" ref="M117">$L117*(SUMPRODUCT(('Cashflow Summary C19RM'!$D$5:$D$239=E117)*('Cashflow Summary C19RM'!$V$5:$V$239)))</f>
        <v>0</v>
      </c>
      <c r="N117" s="630" cm="1">
        <f t="array" ref="N117">$L117*(SUMPRODUCT(('Cashflow Summary C19RM'!$D$5:$D$239=E117)*('Cashflow Summary C19RM'!$R$5:$R$239)))</f>
        <v>0</v>
      </c>
      <c r="O117" s="630" cm="1">
        <f t="array" ref="O117">$L117*(SUMPRODUCT(('Cashflow Summary C19RM'!$D$5:$D$239=E117)*('Cashflow Summary C19RM'!$S$5:$S$239)))</f>
        <v>0</v>
      </c>
      <c r="P117" s="630" cm="1">
        <f t="array" ref="P117">$L117*(SUMPRODUCT(('Cashflow Summary C19RM'!$D$5:$D$239=E117)*('Cashflow Summary C19RM'!$T$5:$T$239)))</f>
        <v>0</v>
      </c>
      <c r="Q117" s="632">
        <f t="shared" si="39"/>
        <v>0</v>
      </c>
      <c r="R117" s="627">
        <f t="shared" si="40"/>
        <v>0</v>
      </c>
      <c r="S117" s="633" cm="1">
        <f t="array" ref="S117">$R117*(SUMPRODUCT(('Cashflow Summary C19RM'!$D$5:$D$239=E117)*('Cashflow Summary C19RM'!$U$5:$U$239)))</f>
        <v>0</v>
      </c>
      <c r="T117" s="633" cm="1">
        <f t="array" ref="T117">$R117*(SUMPRODUCT(('Cashflow Summary C19RM'!$D$5:$D$239=E117)*('Cashflow Summary C19RM'!$V$5:$V$239)))</f>
        <v>0</v>
      </c>
      <c r="U117" s="633" cm="1">
        <f t="array" ref="U117">$R117*(SUMPRODUCT(('Cashflow Summary C19RM'!$D$5:$D$239=E117)*('Cashflow Summary C19RM'!$W$5:$W$239)))</f>
        <v>0</v>
      </c>
      <c r="V117" s="633" cm="1">
        <f t="array" ref="V117">$R117*(SUMPRODUCT(('Cashflow Summary C19RM'!$D$5:$D$239=E117)*('Cashflow Summary C19RM'!$X$5:$X$239)))</f>
        <v>0</v>
      </c>
      <c r="W117" s="634">
        <f t="shared" si="41"/>
        <v>0</v>
      </c>
      <c r="X117" s="627">
        <f t="shared" si="42"/>
        <v>0</v>
      </c>
      <c r="Y117" s="633" cm="1">
        <f t="array" ref="Y117">$X117*(SUMPRODUCT(('Cashflow Summary C19RM'!$D$5:$D$239=E117)*('Cashflow Summary C19RM'!$Y$5:$Y$239)))</f>
        <v>0</v>
      </c>
      <c r="Z117" s="633" cm="1">
        <f t="array" ref="Z117">$X117*(SUMPRODUCT(('Cashflow Summary C19RM'!$D$5:$D$239=E117)*('Cashflow Summary C19RM'!$Z$5:$Z$239)))</f>
        <v>0</v>
      </c>
      <c r="AA117" s="633" cm="1">
        <f t="array" ref="AA117">$X117*(SUMPRODUCT(('Cashflow Summary C19RM'!$D$5:$D$239=E117)*('Cashflow Summary C19RM'!$AA$5:$AA$239)))</f>
        <v>0</v>
      </c>
      <c r="AB117" s="630" cm="1">
        <f t="array" ref="AB117">$X117*(SUMPRODUCT(('Cashflow Summary C19RM'!$K$5:$K$239&lt;&gt;1)*('Cashflow Summary C19RM'!$D$5:$D$239=E117)*('Cashflow Summary C19RM'!$AG$5:$AG$239)))</f>
        <v>0</v>
      </c>
      <c r="AC117" s="634">
        <f t="shared" si="43"/>
        <v>0</v>
      </c>
      <c r="AD117" s="634"/>
      <c r="AE117" s="634"/>
      <c r="AF117" s="634"/>
      <c r="AG117" s="634"/>
      <c r="AH117" s="634"/>
      <c r="AI117" s="634"/>
      <c r="AJ117" s="634"/>
      <c r="AK117" s="634"/>
      <c r="AL117" s="634"/>
      <c r="AM117" s="634"/>
      <c r="AN117" s="634"/>
      <c r="AO117" s="634"/>
      <c r="AP117" s="635">
        <f t="shared" si="54"/>
        <v>0</v>
      </c>
      <c r="AQ117" s="648">
        <v>7.1</v>
      </c>
      <c r="AR117" s="647"/>
      <c r="AS117" s="313"/>
      <c r="AT117" s="177"/>
      <c r="AU117" s="178"/>
      <c r="AV117" s="60"/>
      <c r="AW117" s="60"/>
      <c r="AX117" s="60"/>
      <c r="AY117" s="60"/>
      <c r="AZ117" s="60"/>
      <c r="BA117" s="60"/>
      <c r="BB117" s="60"/>
      <c r="BC117" s="345"/>
      <c r="BD117" s="345"/>
      <c r="BE117" s="345"/>
      <c r="BF117" s="345"/>
      <c r="BG117" s="345"/>
      <c r="BH117" s="345"/>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row>
    <row r="118" spans="2:97" s="89" customFormat="1" ht="13" hidden="1" customHeight="1" x14ac:dyDescent="0.3">
      <c r="B118" s="211" t="s">
        <v>215</v>
      </c>
      <c r="C118" s="211" t="s">
        <v>215</v>
      </c>
      <c r="D118" s="1327"/>
      <c r="E118" s="626"/>
      <c r="F118" s="645">
        <v>0</v>
      </c>
      <c r="G118" s="628" cm="1">
        <f t="array" ref="G118">$F118*(SUMPRODUCT(('Cashflow Summary C19RM'!$D$5:$D$239=E118)*('Cashflow Summary C19RM'!$R$5:$R$239)))</f>
        <v>0</v>
      </c>
      <c r="H118" s="633" cm="1">
        <f t="array" ref="H118">$F118*(SUMPRODUCT(('Cashflow Summary C19RM'!$D$5:$D$239=E118)*('Cashflow Summary C19RM'!$S$5:$S$239)))</f>
        <v>0</v>
      </c>
      <c r="I118" s="633" cm="1">
        <f t="array" ref="I118">$F118*(SUMPRODUCT(('Cashflow Summary C19RM'!$D$5:$D$239=E118)*('Cashflow Summary C19RM'!$T$5:$T$239)))</f>
        <v>0</v>
      </c>
      <c r="J118" s="633" cm="1">
        <f t="array" ref="J118">$F118*(SUMPRODUCT(('Cashflow Summary C19RM'!$D$5:$D$239=E118)*('Cashflow Summary C19RM'!$U$5:$U$239)))</f>
        <v>0</v>
      </c>
      <c r="K118" s="631">
        <f t="shared" si="37"/>
        <v>0</v>
      </c>
      <c r="L118" s="627">
        <f t="shared" si="38"/>
        <v>0</v>
      </c>
      <c r="M118" s="630" cm="1">
        <f t="array" ref="M118">$L118*(SUMPRODUCT(('Cashflow Summary C19RM'!$D$5:$D$239=E118)*('Cashflow Summary C19RM'!$V$5:$V$239)))</f>
        <v>0</v>
      </c>
      <c r="N118" s="630" cm="1">
        <f t="array" ref="N118">$L118*(SUMPRODUCT(('Cashflow Summary C19RM'!$D$5:$D$239=E118)*('Cashflow Summary C19RM'!$R$5:$R$239)))</f>
        <v>0</v>
      </c>
      <c r="O118" s="630" cm="1">
        <f t="array" ref="O118">$L118*(SUMPRODUCT(('Cashflow Summary C19RM'!$D$5:$D$239=E118)*('Cashflow Summary C19RM'!$S$5:$S$239)))</f>
        <v>0</v>
      </c>
      <c r="P118" s="630" cm="1">
        <f t="array" ref="P118">$L118*(SUMPRODUCT(('Cashflow Summary C19RM'!$D$5:$D$239=E118)*('Cashflow Summary C19RM'!$T$5:$T$239)))</f>
        <v>0</v>
      </c>
      <c r="Q118" s="632">
        <f t="shared" si="39"/>
        <v>0</v>
      </c>
      <c r="R118" s="627">
        <f t="shared" si="40"/>
        <v>0</v>
      </c>
      <c r="S118" s="633" cm="1">
        <f t="array" ref="S118">$R118*(SUMPRODUCT(('Cashflow Summary C19RM'!$D$5:$D$239=E118)*('Cashflow Summary C19RM'!$U$5:$U$239)))</f>
        <v>0</v>
      </c>
      <c r="T118" s="633" cm="1">
        <f t="array" ref="T118">$R118*(SUMPRODUCT(('Cashflow Summary C19RM'!$D$5:$D$239=E118)*('Cashflow Summary C19RM'!$V$5:$V$239)))</f>
        <v>0</v>
      </c>
      <c r="U118" s="633" cm="1">
        <f t="array" ref="U118">$R118*(SUMPRODUCT(('Cashflow Summary C19RM'!$D$5:$D$239=E118)*('Cashflow Summary C19RM'!$W$5:$W$239)))</f>
        <v>0</v>
      </c>
      <c r="V118" s="633" cm="1">
        <f t="array" ref="V118">$R118*(SUMPRODUCT(('Cashflow Summary C19RM'!$D$5:$D$239=E118)*('Cashflow Summary C19RM'!$X$5:$X$239)))</f>
        <v>0</v>
      </c>
      <c r="W118" s="634">
        <f t="shared" si="41"/>
        <v>0</v>
      </c>
      <c r="X118" s="627">
        <f t="shared" si="42"/>
        <v>0</v>
      </c>
      <c r="Y118" s="633" cm="1">
        <f t="array" ref="Y118">$X118*(SUMPRODUCT(('Cashflow Summary C19RM'!$D$5:$D$239=E118)*('Cashflow Summary C19RM'!$Y$5:$Y$239)))</f>
        <v>0</v>
      </c>
      <c r="Z118" s="633" cm="1">
        <f t="array" ref="Z118">$X118*(SUMPRODUCT(('Cashflow Summary C19RM'!$D$5:$D$239=E118)*('Cashflow Summary C19RM'!$Z$5:$Z$239)))</f>
        <v>0</v>
      </c>
      <c r="AA118" s="633" cm="1">
        <f t="array" ref="AA118">$X118*(SUMPRODUCT(('Cashflow Summary C19RM'!$D$5:$D$239=E118)*('Cashflow Summary C19RM'!$AA$5:$AA$239)))</f>
        <v>0</v>
      </c>
      <c r="AB118" s="630" cm="1">
        <f t="array" ref="AB118">$X118*(SUMPRODUCT(('Cashflow Summary C19RM'!$K$5:$K$239&lt;&gt;1)*('Cashflow Summary C19RM'!$D$5:$D$239=E118)*('Cashflow Summary C19RM'!$AG$5:$AG$239)))</f>
        <v>0</v>
      </c>
      <c r="AC118" s="634">
        <f t="shared" si="43"/>
        <v>0</v>
      </c>
      <c r="AD118" s="634"/>
      <c r="AE118" s="634"/>
      <c r="AF118" s="634"/>
      <c r="AG118" s="634"/>
      <c r="AH118" s="634"/>
      <c r="AI118" s="634"/>
      <c r="AJ118" s="634"/>
      <c r="AK118" s="634"/>
      <c r="AL118" s="634"/>
      <c r="AM118" s="634"/>
      <c r="AN118" s="634"/>
      <c r="AO118" s="634"/>
      <c r="AP118" s="635">
        <f t="shared" si="54"/>
        <v>0</v>
      </c>
      <c r="AQ118" s="648">
        <v>7.1</v>
      </c>
      <c r="AR118" s="647"/>
      <c r="AS118" s="313"/>
      <c r="AT118" s="177"/>
      <c r="AU118" s="178"/>
      <c r="AV118" s="60"/>
      <c r="AW118" s="60"/>
      <c r="AX118" s="60"/>
      <c r="AY118" s="60"/>
      <c r="AZ118" s="60"/>
      <c r="BA118" s="60"/>
      <c r="BB118" s="60"/>
      <c r="BC118" s="345"/>
      <c r="BD118" s="345"/>
      <c r="BE118" s="345"/>
      <c r="BF118" s="345"/>
      <c r="BG118" s="345"/>
      <c r="BH118" s="345"/>
      <c r="BI118" s="60"/>
      <c r="BJ118" s="60"/>
      <c r="BK118" s="60"/>
      <c r="BL118" s="60"/>
      <c r="BM118" s="60"/>
      <c r="BN118" s="60"/>
      <c r="BO118" s="60"/>
      <c r="BP118" s="60"/>
      <c r="BQ118" s="60"/>
      <c r="BR118" s="60"/>
      <c r="BS118" s="60"/>
      <c r="BT118" s="60"/>
      <c r="BU118" s="60"/>
      <c r="BV118" s="60"/>
      <c r="BW118" s="60"/>
      <c r="BX118" s="60"/>
      <c r="BY118" s="60"/>
      <c r="BZ118" s="60"/>
      <c r="CA118" s="60"/>
      <c r="CB118" s="60"/>
      <c r="CC118" s="60"/>
      <c r="CD118" s="60"/>
      <c r="CE118" s="60"/>
      <c r="CF118" s="60"/>
      <c r="CG118" s="60"/>
      <c r="CH118" s="60"/>
      <c r="CI118" s="60"/>
      <c r="CJ118" s="60"/>
      <c r="CK118" s="60"/>
      <c r="CL118" s="60"/>
      <c r="CM118" s="60"/>
      <c r="CN118" s="60"/>
      <c r="CO118" s="60"/>
      <c r="CP118" s="60"/>
      <c r="CQ118" s="60"/>
      <c r="CR118" s="60"/>
      <c r="CS118" s="60"/>
    </row>
    <row r="119" spans="2:97" s="89" customFormat="1" ht="16.399999999999999" hidden="1" customHeight="1" x14ac:dyDescent="0.3">
      <c r="B119" s="211" t="s">
        <v>215</v>
      </c>
      <c r="C119" s="211" t="s">
        <v>215</v>
      </c>
      <c r="D119" s="1327"/>
      <c r="E119" s="626"/>
      <c r="F119" s="645">
        <v>0</v>
      </c>
      <c r="G119" s="628" cm="1">
        <f t="array" ref="G119">$F119*(SUMPRODUCT(('Cashflow Summary C19RM'!$D$5:$D$239=E119)*('Cashflow Summary C19RM'!$R$5:$R$239)))</f>
        <v>0</v>
      </c>
      <c r="H119" s="633" cm="1">
        <f t="array" ref="H119">$F119*(SUMPRODUCT(('Cashflow Summary C19RM'!$D$5:$D$239=E119)*('Cashflow Summary C19RM'!$S$5:$S$239)))</f>
        <v>0</v>
      </c>
      <c r="I119" s="633" cm="1">
        <f t="array" ref="I119">$F119*(SUMPRODUCT(('Cashflow Summary C19RM'!$D$5:$D$239=E119)*('Cashflow Summary C19RM'!$T$5:$T$239)))</f>
        <v>0</v>
      </c>
      <c r="J119" s="633" cm="1">
        <f t="array" ref="J119">$F119*(SUMPRODUCT(('Cashflow Summary C19RM'!$D$5:$D$239=E119)*('Cashflow Summary C19RM'!$U$5:$U$239)))</f>
        <v>0</v>
      </c>
      <c r="K119" s="631">
        <f t="shared" si="37"/>
        <v>0</v>
      </c>
      <c r="L119" s="627">
        <f t="shared" si="38"/>
        <v>0</v>
      </c>
      <c r="M119" s="633" cm="1">
        <f t="array" ref="M119">$L119*(SUMPRODUCT(('Cashflow Summary C19RM'!$D$5:$D$239=E119)*('Cashflow Summary C19RM'!$V$5:$V$239)))</f>
        <v>0</v>
      </c>
      <c r="N119" s="633" cm="1">
        <f t="array" ref="N119">$L119*(SUMPRODUCT(('Cashflow Summary C19RM'!$D$5:$D$239=E119)*('Cashflow Summary C19RM'!$R$5:$R$239)))</f>
        <v>0</v>
      </c>
      <c r="O119" s="633" cm="1">
        <f t="array" ref="O119">$L119*(SUMPRODUCT(('Cashflow Summary C19RM'!$D$5:$D$239=E119)*('Cashflow Summary C19RM'!$S$5:$S$239)))</f>
        <v>0</v>
      </c>
      <c r="P119" s="633" cm="1">
        <f t="array" ref="P119">$L119*(SUMPRODUCT(('Cashflow Summary C19RM'!$D$5:$D$239=E119)*('Cashflow Summary C19RM'!$T$5:$T$239)))</f>
        <v>0</v>
      </c>
      <c r="Q119" s="632">
        <f t="shared" si="39"/>
        <v>0</v>
      </c>
      <c r="R119" s="627">
        <f t="shared" si="40"/>
        <v>0</v>
      </c>
      <c r="S119" s="633" cm="1">
        <f t="array" ref="S119">$R119*(SUMPRODUCT(('Cashflow Summary C19RM'!$D$5:$D$239=E119)*('Cashflow Summary C19RM'!$U$5:$U$239)))</f>
        <v>0</v>
      </c>
      <c r="T119" s="633" cm="1">
        <f t="array" ref="T119">$R119*(SUMPRODUCT(('Cashflow Summary C19RM'!$D$5:$D$239=E119)*('Cashflow Summary C19RM'!$V$5:$V$239)))</f>
        <v>0</v>
      </c>
      <c r="U119" s="633" cm="1">
        <f t="array" ref="U119">$R119*(SUMPRODUCT(('Cashflow Summary C19RM'!$D$5:$D$239=E119)*('Cashflow Summary C19RM'!$W$5:$W$239)))</f>
        <v>0</v>
      </c>
      <c r="V119" s="633" cm="1">
        <f t="array" ref="V119">$R119*(SUMPRODUCT(('Cashflow Summary C19RM'!$D$5:$D$239=E119)*('Cashflow Summary C19RM'!$X$5:$X$239)))</f>
        <v>0</v>
      </c>
      <c r="W119" s="634">
        <f t="shared" si="41"/>
        <v>0</v>
      </c>
      <c r="X119" s="627">
        <f t="shared" si="42"/>
        <v>0</v>
      </c>
      <c r="Y119" s="633" cm="1">
        <f t="array" ref="Y119">$X119*(SUMPRODUCT(('Cashflow Summary C19RM'!$D$5:$D$239=E119)*('Cashflow Summary C19RM'!$Y$5:$Y$239)))</f>
        <v>0</v>
      </c>
      <c r="Z119" s="633" cm="1">
        <f t="array" ref="Z119">$X119*(SUMPRODUCT(('Cashflow Summary C19RM'!$D$5:$D$239=E119)*('Cashflow Summary C19RM'!$Z$5:$Z$239)))</f>
        <v>0</v>
      </c>
      <c r="AA119" s="633" cm="1">
        <f t="array" ref="AA119">$X119*(SUMPRODUCT(('Cashflow Summary C19RM'!$D$5:$D$239=E119)*('Cashflow Summary C19RM'!$AA$5:$AA$239)))</f>
        <v>0</v>
      </c>
      <c r="AB119" s="630" cm="1">
        <f t="array" ref="AB119">$X119*(SUMPRODUCT(('Cashflow Summary C19RM'!$K$5:$K$239&lt;&gt;1)*('Cashflow Summary C19RM'!$D$5:$D$239=E119)*('Cashflow Summary C19RM'!$AG$5:$AG$239)))</f>
        <v>0</v>
      </c>
      <c r="AC119" s="634">
        <f t="shared" si="43"/>
        <v>0</v>
      </c>
      <c r="AD119" s="634"/>
      <c r="AE119" s="634"/>
      <c r="AF119" s="634"/>
      <c r="AG119" s="634"/>
      <c r="AH119" s="634"/>
      <c r="AI119" s="634"/>
      <c r="AJ119" s="634"/>
      <c r="AK119" s="634"/>
      <c r="AL119" s="634"/>
      <c r="AM119" s="634"/>
      <c r="AN119" s="634"/>
      <c r="AO119" s="634"/>
      <c r="AP119" s="635">
        <f t="shared" si="54"/>
        <v>0</v>
      </c>
      <c r="AQ119" s="648">
        <v>7.1</v>
      </c>
      <c r="AR119" s="647"/>
      <c r="AS119" s="313"/>
      <c r="AT119" s="177"/>
      <c r="AU119" s="178"/>
      <c r="AV119" s="60"/>
      <c r="AW119" s="60"/>
      <c r="AX119" s="60"/>
      <c r="AY119" s="60"/>
      <c r="AZ119" s="60"/>
      <c r="BA119" s="60"/>
      <c r="BB119" s="60"/>
      <c r="BC119" s="345"/>
      <c r="BD119" s="345"/>
      <c r="BE119" s="345"/>
      <c r="BF119" s="345"/>
      <c r="BG119" s="345"/>
      <c r="BH119" s="345"/>
      <c r="BI119" s="60"/>
      <c r="BJ119" s="60"/>
      <c r="BK119" s="60"/>
      <c r="BL119" s="60"/>
      <c r="BM119" s="60"/>
      <c r="BN119" s="60"/>
      <c r="BO119" s="60"/>
      <c r="BP119" s="60"/>
      <c r="BQ119" s="60"/>
      <c r="BR119" s="60"/>
      <c r="BS119" s="60"/>
      <c r="BT119" s="60"/>
      <c r="BU119" s="60"/>
      <c r="BV119" s="60"/>
      <c r="BW119" s="60"/>
      <c r="BX119" s="60"/>
      <c r="BY119" s="60"/>
      <c r="BZ119" s="60"/>
      <c r="CA119" s="60"/>
      <c r="CB119" s="60"/>
      <c r="CC119" s="60"/>
      <c r="CD119" s="60"/>
      <c r="CE119" s="60"/>
      <c r="CF119" s="60"/>
      <c r="CG119" s="60"/>
      <c r="CH119" s="60"/>
      <c r="CI119" s="60"/>
      <c r="CJ119" s="60"/>
      <c r="CK119" s="60"/>
      <c r="CL119" s="60"/>
      <c r="CM119" s="60"/>
      <c r="CN119" s="60"/>
      <c r="CO119" s="60"/>
      <c r="CP119" s="60"/>
      <c r="CQ119" s="60"/>
      <c r="CR119" s="60"/>
      <c r="CS119" s="60"/>
    </row>
    <row r="120" spans="2:97" s="89" customFormat="1" ht="13" hidden="1" customHeight="1" x14ac:dyDescent="0.3">
      <c r="B120" s="211" t="s">
        <v>215</v>
      </c>
      <c r="C120" s="211" t="s">
        <v>215</v>
      </c>
      <c r="D120" s="1327"/>
      <c r="E120" s="626"/>
      <c r="F120" s="645">
        <v>0</v>
      </c>
      <c r="G120" s="638" cm="1">
        <f t="array" ref="G120">$F120*(SUMPRODUCT(('Cashflow Summary C19RM'!$D$5:$D$239=E120)*('Cashflow Summary C19RM'!$R$5:$R$239)))</f>
        <v>0</v>
      </c>
      <c r="H120" s="639" cm="1">
        <f t="array" ref="H120">$F120*(SUMPRODUCT(('Cashflow Summary C19RM'!$D$5:$D$239=E120)*('Cashflow Summary C19RM'!$S$5:$S$239)))</f>
        <v>0</v>
      </c>
      <c r="I120" s="639" cm="1">
        <f t="array" ref="I120">$F120*(SUMPRODUCT(('Cashflow Summary C19RM'!$D$5:$D$239=E120)*('Cashflow Summary C19RM'!$T$5:$T$239)))</f>
        <v>0</v>
      </c>
      <c r="J120" s="639" cm="1">
        <f t="array" ref="J120">$F120*(SUMPRODUCT(('Cashflow Summary C19RM'!$D$5:$D$239=E120)*('Cashflow Summary C19RM'!$U$5:$U$239)))</f>
        <v>0</v>
      </c>
      <c r="K120" s="631">
        <f t="shared" si="37"/>
        <v>0</v>
      </c>
      <c r="L120" s="627">
        <f t="shared" si="38"/>
        <v>0</v>
      </c>
      <c r="M120" s="630" cm="1">
        <f t="array" ref="M120">$L120*(SUMPRODUCT(('Cashflow Summary C19RM'!$D$5:$D$239=E120)*('Cashflow Summary C19RM'!$V$5:$V$239)))</f>
        <v>0</v>
      </c>
      <c r="N120" s="630" cm="1">
        <f t="array" ref="N120">$L120*(SUMPRODUCT(('Cashflow Summary C19RM'!$D$5:$D$239=E120)*('Cashflow Summary C19RM'!$R$5:$R$239)))</f>
        <v>0</v>
      </c>
      <c r="O120" s="630" cm="1">
        <f t="array" ref="O120">$L120*(SUMPRODUCT(('Cashflow Summary C19RM'!$D$5:$D$239=E120)*('Cashflow Summary C19RM'!$S$5:$S$239)))</f>
        <v>0</v>
      </c>
      <c r="P120" s="630" cm="1">
        <f t="array" ref="P120">$L120*(SUMPRODUCT(('Cashflow Summary C19RM'!$D$5:$D$239=E120)*('Cashflow Summary C19RM'!$T$5:$T$239)))</f>
        <v>0</v>
      </c>
      <c r="Q120" s="632">
        <f t="shared" si="39"/>
        <v>0</v>
      </c>
      <c r="R120" s="627">
        <f t="shared" si="40"/>
        <v>0</v>
      </c>
      <c r="S120" s="633" cm="1">
        <f t="array" ref="S120">$R120*(SUMPRODUCT(('Cashflow Summary C19RM'!$D$5:$D$239=E120)*('Cashflow Summary C19RM'!$U$5:$U$239)))</f>
        <v>0</v>
      </c>
      <c r="T120" s="633" cm="1">
        <f t="array" ref="T120">$R120*(SUMPRODUCT(('Cashflow Summary C19RM'!$D$5:$D$239=E120)*('Cashflow Summary C19RM'!$V$5:$V$239)))</f>
        <v>0</v>
      </c>
      <c r="U120" s="633" cm="1">
        <f t="array" ref="U120">$R120*(SUMPRODUCT(('Cashflow Summary C19RM'!$D$5:$D$239=E120)*('Cashflow Summary C19RM'!$W$5:$W$239)))</f>
        <v>0</v>
      </c>
      <c r="V120" s="633" cm="1">
        <f t="array" ref="V120">$R120*(SUMPRODUCT(('Cashflow Summary C19RM'!$D$5:$D$239=E120)*('Cashflow Summary C19RM'!$X$5:$X$239)))</f>
        <v>0</v>
      </c>
      <c r="W120" s="634">
        <f t="shared" si="41"/>
        <v>0</v>
      </c>
      <c r="X120" s="627">
        <f t="shared" si="42"/>
        <v>0</v>
      </c>
      <c r="Y120" s="633" cm="1">
        <f t="array" ref="Y120">$X120*(SUMPRODUCT(('Cashflow Summary C19RM'!$D$5:$D$239=E120)*('Cashflow Summary C19RM'!$Y$5:$Y$239)))</f>
        <v>0</v>
      </c>
      <c r="Z120" s="633" cm="1">
        <f t="array" ref="Z120">$X120*(SUMPRODUCT(('Cashflow Summary C19RM'!$D$5:$D$239=E120)*('Cashflow Summary C19RM'!$Z$5:$Z$239)))</f>
        <v>0</v>
      </c>
      <c r="AA120" s="633" cm="1">
        <f t="array" ref="AA120">$X120*(SUMPRODUCT(('Cashflow Summary C19RM'!$D$5:$D$239=E120)*('Cashflow Summary C19RM'!$AA$5:$AA$239)))</f>
        <v>0</v>
      </c>
      <c r="AB120" s="630" cm="1">
        <f t="array" ref="AB120">$X120*(SUMPRODUCT(('Cashflow Summary C19RM'!$K$5:$K$239&lt;&gt;1)*('Cashflow Summary C19RM'!$D$5:$D$239=E120)*('Cashflow Summary C19RM'!$AG$5:$AG$239)))</f>
        <v>0</v>
      </c>
      <c r="AC120" s="634">
        <f t="shared" si="43"/>
        <v>0</v>
      </c>
      <c r="AD120" s="634"/>
      <c r="AE120" s="634"/>
      <c r="AF120" s="634"/>
      <c r="AG120" s="634"/>
      <c r="AH120" s="634"/>
      <c r="AI120" s="634"/>
      <c r="AJ120" s="634"/>
      <c r="AK120" s="634"/>
      <c r="AL120" s="634"/>
      <c r="AM120" s="634"/>
      <c r="AN120" s="634"/>
      <c r="AO120" s="634"/>
      <c r="AP120" s="635">
        <f t="shared" si="54"/>
        <v>0</v>
      </c>
      <c r="AQ120" s="648">
        <v>7.1</v>
      </c>
      <c r="AR120" s="647"/>
      <c r="AS120" s="313"/>
      <c r="AT120" s="177"/>
      <c r="AU120" s="178"/>
      <c r="AV120" s="60"/>
      <c r="AW120" s="60"/>
      <c r="AX120" s="60"/>
      <c r="AY120" s="60"/>
      <c r="AZ120" s="60"/>
      <c r="BA120" s="60"/>
      <c r="BB120" s="60"/>
      <c r="BC120" s="345"/>
      <c r="BD120" s="345"/>
      <c r="BE120" s="345"/>
      <c r="BF120" s="345"/>
      <c r="BG120" s="345"/>
      <c r="BH120" s="345"/>
      <c r="BI120" s="60"/>
      <c r="BJ120" s="60"/>
      <c r="BK120" s="60"/>
      <c r="BL120" s="60"/>
      <c r="BM120" s="60"/>
      <c r="BN120" s="60"/>
      <c r="BO120" s="60"/>
      <c r="BP120" s="60"/>
      <c r="BQ120" s="60"/>
      <c r="BR120" s="60"/>
      <c r="BS120" s="60"/>
      <c r="BT120" s="60"/>
      <c r="BU120" s="60"/>
      <c r="BV120" s="60"/>
      <c r="BW120" s="60"/>
      <c r="BX120" s="60"/>
      <c r="BY120" s="60"/>
      <c r="BZ120" s="60"/>
      <c r="CA120" s="60"/>
      <c r="CB120" s="60"/>
      <c r="CC120" s="60"/>
      <c r="CD120" s="60"/>
      <c r="CE120" s="60"/>
      <c r="CF120" s="60"/>
      <c r="CG120" s="60"/>
      <c r="CH120" s="60"/>
      <c r="CI120" s="60"/>
      <c r="CJ120" s="60"/>
      <c r="CK120" s="60"/>
      <c r="CL120" s="60"/>
      <c r="CM120" s="60"/>
      <c r="CN120" s="60"/>
      <c r="CO120" s="60"/>
      <c r="CP120" s="60"/>
      <c r="CQ120" s="60"/>
      <c r="CR120" s="60"/>
      <c r="CS120" s="60"/>
    </row>
    <row r="121" spans="2:97" s="89" customFormat="1" ht="16.399999999999999" hidden="1" customHeight="1" x14ac:dyDescent="0.3">
      <c r="B121" s="211" t="s">
        <v>215</v>
      </c>
      <c r="C121" s="211" t="s">
        <v>215</v>
      </c>
      <c r="D121" s="1327"/>
      <c r="E121" s="626"/>
      <c r="F121" s="645">
        <v>0</v>
      </c>
      <c r="G121" s="628" cm="1">
        <f t="array" ref="G121">$F121*(SUMPRODUCT(('Cashflow Summary C19RM'!$D$5:$D$239=E121)*('Cashflow Summary C19RM'!$R$5:$R$239)))</f>
        <v>0</v>
      </c>
      <c r="H121" s="633" cm="1">
        <f t="array" ref="H121">$F121*(SUMPRODUCT(('Cashflow Summary C19RM'!$D$5:$D$239=E121)*('Cashflow Summary C19RM'!$S$5:$S$239)))</f>
        <v>0</v>
      </c>
      <c r="I121" s="633" cm="1">
        <f t="array" ref="I121">$F121*(SUMPRODUCT(('Cashflow Summary C19RM'!$D$5:$D$239=E121)*('Cashflow Summary C19RM'!$T$5:$T$239)))</f>
        <v>0</v>
      </c>
      <c r="J121" s="633" cm="1">
        <f t="array" ref="J121">$F121*(SUMPRODUCT(('Cashflow Summary C19RM'!$D$5:$D$239=E121)*('Cashflow Summary C19RM'!$U$5:$U$239)))</f>
        <v>0</v>
      </c>
      <c r="K121" s="631">
        <f t="shared" si="37"/>
        <v>0</v>
      </c>
      <c r="L121" s="627">
        <f t="shared" si="38"/>
        <v>0</v>
      </c>
      <c r="M121" s="630" cm="1">
        <f t="array" ref="M121">$L121*(SUMPRODUCT(('Cashflow Summary C19RM'!$D$5:$D$239=E121)*('Cashflow Summary C19RM'!$V$5:$V$239)))</f>
        <v>0</v>
      </c>
      <c r="N121" s="630" cm="1">
        <f t="array" ref="N121">$L121*(SUMPRODUCT(('Cashflow Summary C19RM'!$D$5:$D$239=E121)*('Cashflow Summary C19RM'!$R$5:$R$239)))</f>
        <v>0</v>
      </c>
      <c r="O121" s="630" cm="1">
        <f t="array" ref="O121">$L121*(SUMPRODUCT(('Cashflow Summary C19RM'!$D$5:$D$239=E121)*('Cashflow Summary C19RM'!$S$5:$S$239)))</f>
        <v>0</v>
      </c>
      <c r="P121" s="630" cm="1">
        <f t="array" ref="P121">$L121*(SUMPRODUCT(('Cashflow Summary C19RM'!$D$5:$D$239=E121)*('Cashflow Summary C19RM'!$T$5:$T$239)))</f>
        <v>0</v>
      </c>
      <c r="Q121" s="632">
        <f t="shared" si="39"/>
        <v>0</v>
      </c>
      <c r="R121" s="627">
        <f t="shared" si="40"/>
        <v>0</v>
      </c>
      <c r="S121" s="633" cm="1">
        <f t="array" ref="S121">$R121*(SUMPRODUCT(('Cashflow Summary C19RM'!$D$5:$D$239=E121)*('Cashflow Summary C19RM'!$U$5:$U$239)))</f>
        <v>0</v>
      </c>
      <c r="T121" s="633" cm="1">
        <f t="array" ref="T121">$R121*(SUMPRODUCT(('Cashflow Summary C19RM'!$D$5:$D$239=E121)*('Cashflow Summary C19RM'!$V$5:$V$239)))</f>
        <v>0</v>
      </c>
      <c r="U121" s="633" cm="1">
        <f t="array" ref="U121">$R121*(SUMPRODUCT(('Cashflow Summary C19RM'!$D$5:$D$239=E121)*('Cashflow Summary C19RM'!$W$5:$W$239)))</f>
        <v>0</v>
      </c>
      <c r="V121" s="633" cm="1">
        <f t="array" ref="V121">$R121*(SUMPRODUCT(('Cashflow Summary C19RM'!$D$5:$D$239=E121)*('Cashflow Summary C19RM'!$X$5:$X$239)))</f>
        <v>0</v>
      </c>
      <c r="W121" s="634">
        <f t="shared" si="41"/>
        <v>0</v>
      </c>
      <c r="X121" s="627">
        <f t="shared" si="42"/>
        <v>0</v>
      </c>
      <c r="Y121" s="633" cm="1">
        <f t="array" ref="Y121">$X121*(SUMPRODUCT(('Cashflow Summary C19RM'!$D$5:$D$239=E121)*('Cashflow Summary C19RM'!$Y$5:$Y$239)))</f>
        <v>0</v>
      </c>
      <c r="Z121" s="633" cm="1">
        <f t="array" ref="Z121">$X121*(SUMPRODUCT(('Cashflow Summary C19RM'!$D$5:$D$239=E121)*('Cashflow Summary C19RM'!$Z$5:$Z$239)))</f>
        <v>0</v>
      </c>
      <c r="AA121" s="633" cm="1">
        <f t="array" ref="AA121">$X121*(SUMPRODUCT(('Cashflow Summary C19RM'!$D$5:$D$239=E121)*('Cashflow Summary C19RM'!$AA$5:$AA$239)))</f>
        <v>0</v>
      </c>
      <c r="AB121" s="630" cm="1">
        <f t="array" ref="AB121">$X121*(SUMPRODUCT(('Cashflow Summary C19RM'!$K$5:$K$239&lt;&gt;1)*('Cashflow Summary C19RM'!$D$5:$D$239=E121)*('Cashflow Summary C19RM'!$AG$5:$AG$239)))</f>
        <v>0</v>
      </c>
      <c r="AC121" s="634">
        <f t="shared" si="43"/>
        <v>0</v>
      </c>
      <c r="AD121" s="634"/>
      <c r="AE121" s="634"/>
      <c r="AF121" s="634"/>
      <c r="AG121" s="634"/>
      <c r="AH121" s="634"/>
      <c r="AI121" s="634"/>
      <c r="AJ121" s="634"/>
      <c r="AK121" s="634"/>
      <c r="AL121" s="634"/>
      <c r="AM121" s="634"/>
      <c r="AN121" s="634"/>
      <c r="AO121" s="634"/>
      <c r="AP121" s="635">
        <f t="shared" si="54"/>
        <v>0</v>
      </c>
      <c r="AQ121" s="648">
        <v>7.1</v>
      </c>
      <c r="AR121" s="647"/>
      <c r="AS121" s="313"/>
      <c r="AT121" s="177"/>
      <c r="AU121" s="178"/>
      <c r="AV121" s="60"/>
      <c r="AW121" s="60"/>
      <c r="AX121" s="60"/>
      <c r="AY121" s="60"/>
      <c r="AZ121" s="60"/>
      <c r="BA121" s="60"/>
      <c r="BB121" s="60"/>
      <c r="BC121" s="345"/>
      <c r="BD121" s="345"/>
      <c r="BE121" s="345"/>
      <c r="BF121" s="345"/>
      <c r="BG121" s="345"/>
      <c r="BH121" s="345"/>
      <c r="BI121" s="60"/>
      <c r="BJ121" s="60"/>
      <c r="BK121" s="60"/>
      <c r="BL121" s="60"/>
      <c r="BM121" s="60"/>
      <c r="BN121" s="60"/>
      <c r="BO121" s="60"/>
      <c r="BP121" s="60"/>
      <c r="BQ121" s="60"/>
      <c r="BR121" s="60"/>
      <c r="BS121" s="60"/>
      <c r="BT121" s="60"/>
      <c r="BU121" s="60"/>
      <c r="BV121" s="60"/>
      <c r="BW121" s="60"/>
      <c r="BX121" s="60"/>
      <c r="BY121" s="60"/>
      <c r="BZ121" s="60"/>
      <c r="CA121" s="60"/>
      <c r="CB121" s="60"/>
      <c r="CC121" s="60"/>
      <c r="CD121" s="60"/>
      <c r="CE121" s="60"/>
      <c r="CF121" s="60"/>
      <c r="CG121" s="60"/>
      <c r="CH121" s="60"/>
      <c r="CI121" s="60"/>
      <c r="CJ121" s="60"/>
      <c r="CK121" s="60"/>
      <c r="CL121" s="60"/>
      <c r="CM121" s="60"/>
      <c r="CN121" s="60"/>
      <c r="CO121" s="60"/>
      <c r="CP121" s="60"/>
      <c r="CQ121" s="60"/>
      <c r="CR121" s="60"/>
      <c r="CS121" s="60"/>
    </row>
    <row r="122" spans="2:97" s="89" customFormat="1" ht="16.399999999999999" hidden="1" customHeight="1" x14ac:dyDescent="0.3">
      <c r="B122" s="211" t="s">
        <v>215</v>
      </c>
      <c r="C122" s="211" t="s">
        <v>215</v>
      </c>
      <c r="D122" s="1327"/>
      <c r="E122" s="626"/>
      <c r="F122" s="645">
        <v>0</v>
      </c>
      <c r="G122" s="628" cm="1">
        <f t="array" ref="G122">$F122*(SUMPRODUCT(('Cashflow Summary C19RM'!$D$5:$D$239=E122)*('Cashflow Summary C19RM'!$R$5:$R$239)))</f>
        <v>0</v>
      </c>
      <c r="H122" s="633" cm="1">
        <f t="array" ref="H122">$F122*(SUMPRODUCT(('Cashflow Summary C19RM'!$D$5:$D$239=E122)*('Cashflow Summary C19RM'!$S$5:$S$239)))</f>
        <v>0</v>
      </c>
      <c r="I122" s="633" cm="1">
        <f t="array" ref="I122">$F122*(SUMPRODUCT(('Cashflow Summary C19RM'!$D$5:$D$239=E122)*('Cashflow Summary C19RM'!$T$5:$T$239)))</f>
        <v>0</v>
      </c>
      <c r="J122" s="633" cm="1">
        <f t="array" ref="J122">$F122*(SUMPRODUCT(('Cashflow Summary C19RM'!$D$5:$D$239=E122)*('Cashflow Summary C19RM'!$U$5:$U$239)))</f>
        <v>0</v>
      </c>
      <c r="K122" s="631">
        <f t="shared" si="37"/>
        <v>0</v>
      </c>
      <c r="L122" s="627">
        <f t="shared" si="38"/>
        <v>0</v>
      </c>
      <c r="M122" s="633" cm="1">
        <f t="array" ref="M122">$L122*(SUMPRODUCT(('Cashflow Summary C19RM'!$D$5:$D$239=E122)*('Cashflow Summary C19RM'!$V$5:$V$239)))</f>
        <v>0</v>
      </c>
      <c r="N122" s="633" cm="1">
        <f t="array" ref="N122">$L122*(SUMPRODUCT(('Cashflow Summary C19RM'!$D$5:$D$239=E122)*('Cashflow Summary C19RM'!$R$5:$R$239)))</f>
        <v>0</v>
      </c>
      <c r="O122" s="633" cm="1">
        <f t="array" ref="O122">$L122*(SUMPRODUCT(('Cashflow Summary C19RM'!$D$5:$D$239=E122)*('Cashflow Summary C19RM'!$S$5:$S$239)))</f>
        <v>0</v>
      </c>
      <c r="P122" s="633" cm="1">
        <f t="array" ref="P122">$L122*(SUMPRODUCT(('Cashflow Summary C19RM'!$D$5:$D$239=E122)*('Cashflow Summary C19RM'!$T$5:$T$239)))</f>
        <v>0</v>
      </c>
      <c r="Q122" s="632">
        <f t="shared" si="39"/>
        <v>0</v>
      </c>
      <c r="R122" s="627">
        <f t="shared" si="40"/>
        <v>0</v>
      </c>
      <c r="S122" s="633" cm="1">
        <f t="array" ref="S122">$R122*(SUMPRODUCT(('Cashflow Summary C19RM'!$D$5:$D$239=E122)*('Cashflow Summary C19RM'!$U$5:$U$239)))</f>
        <v>0</v>
      </c>
      <c r="T122" s="633" cm="1">
        <f t="array" ref="T122">$R122*(SUMPRODUCT(('Cashflow Summary C19RM'!$D$5:$D$239=E122)*('Cashflow Summary C19RM'!$V$5:$V$239)))</f>
        <v>0</v>
      </c>
      <c r="U122" s="633" cm="1">
        <f t="array" ref="U122">$R122*(SUMPRODUCT(('Cashflow Summary C19RM'!$D$5:$D$239=E122)*('Cashflow Summary C19RM'!$W$5:$W$239)))</f>
        <v>0</v>
      </c>
      <c r="V122" s="633" cm="1">
        <f t="array" ref="V122">$R122*(SUMPRODUCT(('Cashflow Summary C19RM'!$D$5:$D$239=E122)*('Cashflow Summary C19RM'!$X$5:$X$239)))</f>
        <v>0</v>
      </c>
      <c r="W122" s="634">
        <f t="shared" si="41"/>
        <v>0</v>
      </c>
      <c r="X122" s="627">
        <f t="shared" si="42"/>
        <v>0</v>
      </c>
      <c r="Y122" s="633" cm="1">
        <f t="array" ref="Y122">$X122*(SUMPRODUCT(('Cashflow Summary C19RM'!$D$5:$D$239=E122)*('Cashflow Summary C19RM'!$Y$5:$Y$239)))</f>
        <v>0</v>
      </c>
      <c r="Z122" s="633" cm="1">
        <f t="array" ref="Z122">$X122*(SUMPRODUCT(('Cashflow Summary C19RM'!$D$5:$D$239=E122)*('Cashflow Summary C19RM'!$Z$5:$Z$239)))</f>
        <v>0</v>
      </c>
      <c r="AA122" s="633" cm="1">
        <f t="array" ref="AA122">$X122*(SUMPRODUCT(('Cashflow Summary C19RM'!$D$5:$D$239=E122)*('Cashflow Summary C19RM'!$AA$5:$AA$239)))</f>
        <v>0</v>
      </c>
      <c r="AB122" s="630" cm="1">
        <f t="array" ref="AB122">$X122*(SUMPRODUCT(('Cashflow Summary C19RM'!$K$5:$K$239&lt;&gt;1)*('Cashflow Summary C19RM'!$D$5:$D$239=E122)*('Cashflow Summary C19RM'!$AG$5:$AG$239)))</f>
        <v>0</v>
      </c>
      <c r="AC122" s="634">
        <f t="shared" si="43"/>
        <v>0</v>
      </c>
      <c r="AD122" s="634"/>
      <c r="AE122" s="634"/>
      <c r="AF122" s="634"/>
      <c r="AG122" s="634"/>
      <c r="AH122" s="634"/>
      <c r="AI122" s="634"/>
      <c r="AJ122" s="634"/>
      <c r="AK122" s="634"/>
      <c r="AL122" s="634"/>
      <c r="AM122" s="634"/>
      <c r="AN122" s="634"/>
      <c r="AO122" s="634"/>
      <c r="AP122" s="635">
        <f t="shared" si="54"/>
        <v>0</v>
      </c>
      <c r="AQ122" s="648">
        <v>7.1</v>
      </c>
      <c r="AR122" s="647"/>
      <c r="AS122" s="313"/>
      <c r="AT122" s="177"/>
      <c r="AU122" s="178"/>
      <c r="AV122" s="60"/>
      <c r="AW122" s="60"/>
      <c r="AX122" s="60"/>
      <c r="AY122" s="60"/>
      <c r="AZ122" s="60"/>
      <c r="BA122" s="60"/>
      <c r="BB122" s="60"/>
      <c r="BC122" s="345"/>
      <c r="BD122" s="345"/>
      <c r="BE122" s="345"/>
      <c r="BF122" s="345"/>
      <c r="BG122" s="345"/>
      <c r="BH122" s="345"/>
      <c r="BI122" s="60"/>
      <c r="BJ122" s="60"/>
      <c r="BK122" s="60"/>
      <c r="BL122" s="60"/>
      <c r="BM122" s="60"/>
      <c r="BN122" s="60"/>
      <c r="BO122" s="60"/>
      <c r="BP122" s="60"/>
      <c r="BQ122" s="60"/>
      <c r="BR122" s="60"/>
      <c r="BS122" s="60"/>
      <c r="BT122" s="60"/>
      <c r="BU122" s="60"/>
      <c r="BV122" s="60"/>
      <c r="BW122" s="60"/>
      <c r="BX122" s="60"/>
      <c r="BY122" s="60"/>
      <c r="BZ122" s="60"/>
      <c r="CA122" s="60"/>
      <c r="CB122" s="60"/>
      <c r="CC122" s="60"/>
      <c r="CD122" s="60"/>
      <c r="CE122" s="60"/>
      <c r="CF122" s="60"/>
      <c r="CG122" s="60"/>
      <c r="CH122" s="60"/>
      <c r="CI122" s="60"/>
      <c r="CJ122" s="60"/>
      <c r="CK122" s="60"/>
      <c r="CL122" s="60"/>
      <c r="CM122" s="60"/>
      <c r="CN122" s="60"/>
      <c r="CO122" s="60"/>
      <c r="CP122" s="60"/>
      <c r="CQ122" s="60"/>
      <c r="CR122" s="60"/>
      <c r="CS122" s="60"/>
    </row>
    <row r="123" spans="2:97" s="89" customFormat="1" ht="13" hidden="1" customHeight="1" x14ac:dyDescent="0.3">
      <c r="B123" s="211" t="s">
        <v>215</v>
      </c>
      <c r="C123" s="211" t="s">
        <v>215</v>
      </c>
      <c r="D123" s="1327"/>
      <c r="E123" s="626"/>
      <c r="F123" s="645">
        <v>0</v>
      </c>
      <c r="G123" s="628" cm="1">
        <f t="array" ref="G123">$F123*(SUMPRODUCT(('Cashflow Summary C19RM'!$D$5:$D$239=E123)*('Cashflow Summary C19RM'!$R$5:$R$239)))</f>
        <v>0</v>
      </c>
      <c r="H123" s="633" cm="1">
        <f t="array" ref="H123">$F123*(SUMPRODUCT(('Cashflow Summary C19RM'!$D$5:$D$239=E123)*('Cashflow Summary C19RM'!$S$5:$S$239)))</f>
        <v>0</v>
      </c>
      <c r="I123" s="633" cm="1">
        <f t="array" ref="I123">$F123*(SUMPRODUCT(('Cashflow Summary C19RM'!$D$5:$D$239=E123)*('Cashflow Summary C19RM'!$T$5:$T$239)))</f>
        <v>0</v>
      </c>
      <c r="J123" s="633" cm="1">
        <f t="array" ref="J123">$F123*(SUMPRODUCT(('Cashflow Summary C19RM'!$D$5:$D$239=E123)*('Cashflow Summary C19RM'!$U$5:$U$239)))</f>
        <v>0</v>
      </c>
      <c r="K123" s="631">
        <f t="shared" si="37"/>
        <v>0</v>
      </c>
      <c r="L123" s="627">
        <f t="shared" si="38"/>
        <v>0</v>
      </c>
      <c r="M123" s="633" cm="1">
        <f t="array" ref="M123">$L123*(SUMPRODUCT(('Cashflow Summary C19RM'!$D$5:$D$239=E123)*('Cashflow Summary C19RM'!$V$5:$V$239)))</f>
        <v>0</v>
      </c>
      <c r="N123" s="633" cm="1">
        <f t="array" ref="N123">$L123*(SUMPRODUCT(('Cashflow Summary C19RM'!$D$5:$D$239=E123)*('Cashflow Summary C19RM'!$R$5:$R$239)))</f>
        <v>0</v>
      </c>
      <c r="O123" s="633" cm="1">
        <f t="array" ref="O123">$L123*(SUMPRODUCT(('Cashflow Summary C19RM'!$D$5:$D$239=E123)*('Cashflow Summary C19RM'!$S$5:$S$239)))</f>
        <v>0</v>
      </c>
      <c r="P123" s="633" cm="1">
        <f t="array" ref="P123">$L123*(SUMPRODUCT(('Cashflow Summary C19RM'!$D$5:$D$239=E123)*('Cashflow Summary C19RM'!$T$5:$T$239)))</f>
        <v>0</v>
      </c>
      <c r="Q123" s="632">
        <f t="shared" si="39"/>
        <v>0</v>
      </c>
      <c r="R123" s="627">
        <f t="shared" si="40"/>
        <v>0</v>
      </c>
      <c r="S123" s="633" cm="1">
        <f t="array" ref="S123">$R123*(SUMPRODUCT(('Cashflow Summary C19RM'!$D$5:$D$239=E123)*('Cashflow Summary C19RM'!$U$5:$U$239)))</f>
        <v>0</v>
      </c>
      <c r="T123" s="633" cm="1">
        <f t="array" ref="T123">$R123*(SUMPRODUCT(('Cashflow Summary C19RM'!$D$5:$D$239=E123)*('Cashflow Summary C19RM'!$V$5:$V$239)))</f>
        <v>0</v>
      </c>
      <c r="U123" s="633" cm="1">
        <f t="array" ref="U123">$R123*(SUMPRODUCT(('Cashflow Summary C19RM'!$D$5:$D$239=E123)*('Cashflow Summary C19RM'!$W$5:$W$239)))</f>
        <v>0</v>
      </c>
      <c r="V123" s="633" cm="1">
        <f t="array" ref="V123">$R123*(SUMPRODUCT(('Cashflow Summary C19RM'!$D$5:$D$239=E123)*('Cashflow Summary C19RM'!$X$5:$X$239)))</f>
        <v>0</v>
      </c>
      <c r="W123" s="634">
        <f t="shared" si="41"/>
        <v>0</v>
      </c>
      <c r="X123" s="627">
        <f t="shared" si="42"/>
        <v>0</v>
      </c>
      <c r="Y123" s="633" cm="1">
        <f t="array" ref="Y123">$X123*(SUMPRODUCT(('Cashflow Summary C19RM'!$D$5:$D$239=E123)*('Cashflow Summary C19RM'!$Y$5:$Y$239)))</f>
        <v>0</v>
      </c>
      <c r="Z123" s="633" cm="1">
        <f t="array" ref="Z123">$X123*(SUMPRODUCT(('Cashflow Summary C19RM'!$D$5:$D$239=E123)*('Cashflow Summary C19RM'!$Z$5:$Z$239)))</f>
        <v>0</v>
      </c>
      <c r="AA123" s="633" cm="1">
        <f t="array" ref="AA123">$X123*(SUMPRODUCT(('Cashflow Summary C19RM'!$D$5:$D$239=E123)*('Cashflow Summary C19RM'!$AA$5:$AA$239)))</f>
        <v>0</v>
      </c>
      <c r="AB123" s="630" cm="1">
        <f t="array" ref="AB123">$X123*(SUMPRODUCT(('Cashflow Summary C19RM'!$K$5:$K$239&lt;&gt;1)*('Cashflow Summary C19RM'!$D$5:$D$239=E123)*('Cashflow Summary C19RM'!$AG$5:$AG$239)))</f>
        <v>0</v>
      </c>
      <c r="AC123" s="634">
        <f t="shared" si="43"/>
        <v>0</v>
      </c>
      <c r="AD123" s="634"/>
      <c r="AE123" s="634"/>
      <c r="AF123" s="634"/>
      <c r="AG123" s="634"/>
      <c r="AH123" s="634"/>
      <c r="AI123" s="634"/>
      <c r="AJ123" s="634"/>
      <c r="AK123" s="634"/>
      <c r="AL123" s="634"/>
      <c r="AM123" s="634"/>
      <c r="AN123" s="634"/>
      <c r="AO123" s="634"/>
      <c r="AP123" s="635">
        <f t="shared" si="54"/>
        <v>0</v>
      </c>
      <c r="AQ123" s="648">
        <v>7.1</v>
      </c>
      <c r="AR123" s="647"/>
      <c r="AS123" s="313"/>
      <c r="AT123" s="177"/>
      <c r="AU123" s="178"/>
      <c r="AV123" s="60"/>
      <c r="AW123" s="60"/>
      <c r="AX123" s="60"/>
      <c r="AY123" s="60"/>
      <c r="AZ123" s="60"/>
      <c r="BA123" s="60"/>
      <c r="BB123" s="60"/>
      <c r="BC123" s="345"/>
      <c r="BD123" s="345"/>
      <c r="BE123" s="345"/>
      <c r="BF123" s="345"/>
      <c r="BG123" s="345"/>
      <c r="BH123" s="345"/>
      <c r="BI123" s="60"/>
      <c r="BJ123" s="60"/>
      <c r="BK123" s="60"/>
      <c r="BL123" s="60"/>
      <c r="BM123" s="60"/>
      <c r="BN123" s="60"/>
      <c r="BO123" s="60"/>
      <c r="BP123" s="60"/>
      <c r="BQ123" s="60"/>
      <c r="BR123" s="60"/>
      <c r="BS123" s="60"/>
      <c r="BT123" s="60"/>
      <c r="BU123" s="60"/>
      <c r="BV123" s="60"/>
      <c r="BW123" s="60"/>
      <c r="BX123" s="60"/>
      <c r="BY123" s="60"/>
      <c r="BZ123" s="60"/>
      <c r="CA123" s="60"/>
      <c r="CB123" s="60"/>
      <c r="CC123" s="60"/>
      <c r="CD123" s="60"/>
      <c r="CE123" s="60"/>
      <c r="CF123" s="60"/>
      <c r="CG123" s="60"/>
      <c r="CH123" s="60"/>
      <c r="CI123" s="60"/>
      <c r="CJ123" s="60"/>
      <c r="CK123" s="60"/>
      <c r="CL123" s="60"/>
      <c r="CM123" s="60"/>
      <c r="CN123" s="60"/>
      <c r="CO123" s="60"/>
      <c r="CP123" s="60"/>
      <c r="CQ123" s="60"/>
      <c r="CR123" s="60"/>
      <c r="CS123" s="60"/>
    </row>
    <row r="124" spans="2:97" s="89" customFormat="1" ht="16.399999999999999" hidden="1" customHeight="1" x14ac:dyDescent="0.3">
      <c r="B124" s="211" t="s">
        <v>215</v>
      </c>
      <c r="C124" s="211" t="s">
        <v>215</v>
      </c>
      <c r="D124" s="1327"/>
      <c r="E124" s="626"/>
      <c r="F124" s="645">
        <v>0</v>
      </c>
      <c r="G124" s="628" cm="1">
        <f t="array" ref="G124">$F124*(SUMPRODUCT(('Cashflow Summary C19RM'!$D$5:$D$239=E124)*('Cashflow Summary C19RM'!$R$5:$R$239)))</f>
        <v>0</v>
      </c>
      <c r="H124" s="633" cm="1">
        <f t="array" ref="H124">$F124*(SUMPRODUCT(('Cashflow Summary C19RM'!$D$5:$D$239=E124)*('Cashflow Summary C19RM'!$S$5:$S$239)))</f>
        <v>0</v>
      </c>
      <c r="I124" s="633" cm="1">
        <f t="array" ref="I124">$F124*(SUMPRODUCT(('Cashflow Summary C19RM'!$D$5:$D$239=E124)*('Cashflow Summary C19RM'!$T$5:$T$239)))</f>
        <v>0</v>
      </c>
      <c r="J124" s="633" cm="1">
        <f t="array" ref="J124">$F124*(SUMPRODUCT(('Cashflow Summary C19RM'!$D$5:$D$239=E124)*('Cashflow Summary C19RM'!$U$5:$U$239)))</f>
        <v>0</v>
      </c>
      <c r="K124" s="631">
        <f t="shared" si="37"/>
        <v>0</v>
      </c>
      <c r="L124" s="627">
        <f t="shared" si="38"/>
        <v>0</v>
      </c>
      <c r="M124" s="633" cm="1">
        <f t="array" ref="M124">$L124*(SUMPRODUCT(('Cashflow Summary C19RM'!$D$5:$D$239=E124)*('Cashflow Summary C19RM'!$V$5:$V$239)))</f>
        <v>0</v>
      </c>
      <c r="N124" s="633" cm="1">
        <f t="array" ref="N124">$L124*(SUMPRODUCT(('Cashflow Summary C19RM'!$D$5:$D$239=E124)*('Cashflow Summary C19RM'!$R$5:$R$239)))</f>
        <v>0</v>
      </c>
      <c r="O124" s="633" cm="1">
        <f t="array" ref="O124">$L124*(SUMPRODUCT(('Cashflow Summary C19RM'!$D$5:$D$239=E124)*('Cashflow Summary C19RM'!$S$5:$S$239)))</f>
        <v>0</v>
      </c>
      <c r="P124" s="633" cm="1">
        <f t="array" ref="P124">$L124*(SUMPRODUCT(('Cashflow Summary C19RM'!$D$5:$D$239=E124)*('Cashflow Summary C19RM'!$T$5:$T$239)))</f>
        <v>0</v>
      </c>
      <c r="Q124" s="632">
        <f t="shared" si="39"/>
        <v>0</v>
      </c>
      <c r="R124" s="627">
        <f t="shared" si="40"/>
        <v>0</v>
      </c>
      <c r="S124" s="633" cm="1">
        <f t="array" ref="S124">$R124*(SUMPRODUCT(('Cashflow Summary C19RM'!$D$5:$D$239=E124)*('Cashflow Summary C19RM'!$U$5:$U$239)))</f>
        <v>0</v>
      </c>
      <c r="T124" s="633" cm="1">
        <f t="array" ref="T124">$R124*(SUMPRODUCT(('Cashflow Summary C19RM'!$D$5:$D$239=E124)*('Cashflow Summary C19RM'!$V$5:$V$239)))</f>
        <v>0</v>
      </c>
      <c r="U124" s="633" cm="1">
        <f t="array" ref="U124">$R124*(SUMPRODUCT(('Cashflow Summary C19RM'!$D$5:$D$239=E124)*('Cashflow Summary C19RM'!$W$5:$W$239)))</f>
        <v>0</v>
      </c>
      <c r="V124" s="633" cm="1">
        <f t="array" ref="V124">$R124*(SUMPRODUCT(('Cashflow Summary C19RM'!$D$5:$D$239=E124)*('Cashflow Summary C19RM'!$X$5:$X$239)))</f>
        <v>0</v>
      </c>
      <c r="W124" s="634">
        <f t="shared" si="41"/>
        <v>0</v>
      </c>
      <c r="X124" s="627">
        <f t="shared" si="42"/>
        <v>0</v>
      </c>
      <c r="Y124" s="633" cm="1">
        <f t="array" ref="Y124">$X124*(SUMPRODUCT(('Cashflow Summary C19RM'!$D$5:$D$239=E124)*('Cashflow Summary C19RM'!$Y$5:$Y$239)))</f>
        <v>0</v>
      </c>
      <c r="Z124" s="633" cm="1">
        <f t="array" ref="Z124">$X124*(SUMPRODUCT(('Cashflow Summary C19RM'!$D$5:$D$239=E124)*('Cashflow Summary C19RM'!$Z$5:$Z$239)))</f>
        <v>0</v>
      </c>
      <c r="AA124" s="633" cm="1">
        <f t="array" ref="AA124">$X124*(SUMPRODUCT(('Cashflow Summary C19RM'!$D$5:$D$239=E124)*('Cashflow Summary C19RM'!$AA$5:$AA$239)))</f>
        <v>0</v>
      </c>
      <c r="AB124" s="630" cm="1">
        <f t="array" ref="AB124">$X124*(SUMPRODUCT(('Cashflow Summary C19RM'!$K$5:$K$239&lt;&gt;1)*('Cashflow Summary C19RM'!$D$5:$D$239=E124)*('Cashflow Summary C19RM'!$AG$5:$AG$239)))</f>
        <v>0</v>
      </c>
      <c r="AC124" s="634">
        <f t="shared" si="43"/>
        <v>0</v>
      </c>
      <c r="AD124" s="634"/>
      <c r="AE124" s="634"/>
      <c r="AF124" s="634"/>
      <c r="AG124" s="634"/>
      <c r="AH124" s="634"/>
      <c r="AI124" s="634"/>
      <c r="AJ124" s="634"/>
      <c r="AK124" s="634"/>
      <c r="AL124" s="634"/>
      <c r="AM124" s="634"/>
      <c r="AN124" s="634"/>
      <c r="AO124" s="634"/>
      <c r="AP124" s="635">
        <f t="shared" si="54"/>
        <v>0</v>
      </c>
      <c r="AQ124" s="648">
        <v>7.1</v>
      </c>
      <c r="AR124" s="647"/>
      <c r="AS124" s="313"/>
      <c r="AT124" s="177"/>
      <c r="AU124" s="178"/>
      <c r="AV124" s="60"/>
      <c r="AW124" s="60"/>
      <c r="AX124" s="60"/>
      <c r="AY124" s="60"/>
      <c r="AZ124" s="60"/>
      <c r="BA124" s="60"/>
      <c r="BB124" s="60"/>
      <c r="BC124" s="345"/>
      <c r="BD124" s="345"/>
      <c r="BE124" s="345"/>
      <c r="BF124" s="345"/>
      <c r="BG124" s="345"/>
      <c r="BH124" s="345"/>
      <c r="BI124" s="60"/>
      <c r="BJ124" s="60"/>
      <c r="BK124" s="60"/>
      <c r="BL124" s="60"/>
      <c r="BM124" s="60"/>
      <c r="BN124" s="60"/>
      <c r="BO124" s="60"/>
      <c r="BP124" s="60"/>
      <c r="BQ124" s="60"/>
      <c r="BR124" s="60"/>
      <c r="BS124" s="60"/>
      <c r="BT124" s="60"/>
      <c r="BU124" s="60"/>
      <c r="BV124" s="60"/>
      <c r="BW124" s="60"/>
      <c r="BX124" s="60"/>
      <c r="BY124" s="60"/>
      <c r="BZ124" s="60"/>
      <c r="CA124" s="60"/>
      <c r="CB124" s="60"/>
      <c r="CC124" s="60"/>
      <c r="CD124" s="60"/>
      <c r="CE124" s="60"/>
      <c r="CF124" s="60"/>
      <c r="CG124" s="60"/>
      <c r="CH124" s="60"/>
      <c r="CI124" s="60"/>
      <c r="CJ124" s="60"/>
      <c r="CK124" s="60"/>
      <c r="CL124" s="60"/>
      <c r="CM124" s="60"/>
      <c r="CN124" s="60"/>
      <c r="CO124" s="60"/>
      <c r="CP124" s="60"/>
      <c r="CQ124" s="60"/>
      <c r="CR124" s="60"/>
      <c r="CS124" s="60"/>
    </row>
    <row r="125" spans="2:97" s="89" customFormat="1" ht="16.399999999999999" hidden="1" customHeight="1" thickBot="1" x14ac:dyDescent="0.35">
      <c r="B125" s="211" t="s">
        <v>215</v>
      </c>
      <c r="C125" s="211" t="s">
        <v>215</v>
      </c>
      <c r="D125" s="1328"/>
      <c r="E125" s="637"/>
      <c r="F125" s="649">
        <v>0</v>
      </c>
      <c r="G125" s="650" cm="1">
        <f t="array" ref="G125">$F125*(SUMPRODUCT(('Cashflow Summary C19RM'!$D$5:$D$239=E125)*('Cashflow Summary C19RM'!$R$5:$R$239)))</f>
        <v>0</v>
      </c>
      <c r="H125" s="641" cm="1">
        <f t="array" ref="H125">$F125*(SUMPRODUCT(('Cashflow Summary C19RM'!$D$5:$D$239=E125)*('Cashflow Summary C19RM'!$S$5:$S$239)))</f>
        <v>0</v>
      </c>
      <c r="I125" s="641" cm="1">
        <f t="array" ref="I125">$F125*(SUMPRODUCT(('Cashflow Summary C19RM'!$D$5:$D$239=E125)*('Cashflow Summary C19RM'!$T$5:$T$239)))</f>
        <v>0</v>
      </c>
      <c r="J125" s="641" cm="1">
        <f t="array" ref="J125">$F125*(SUMPRODUCT(('Cashflow Summary C19RM'!$D$5:$D$239=E125)*('Cashflow Summary C19RM'!$U$5:$U$239)))</f>
        <v>0</v>
      </c>
      <c r="K125" s="642">
        <f t="shared" si="37"/>
        <v>0</v>
      </c>
      <c r="L125" s="640">
        <f t="shared" si="38"/>
        <v>0</v>
      </c>
      <c r="M125" s="641" cm="1">
        <f t="array" ref="M125">$L125*(SUMPRODUCT(('Cashflow Summary C19RM'!$D$5:$D$239=E125)*('Cashflow Summary C19RM'!$V$5:$V$239)))</f>
        <v>0</v>
      </c>
      <c r="N125" s="641" cm="1">
        <f t="array" ref="N125">$L125*(SUMPRODUCT(('Cashflow Summary C19RM'!$D$5:$D$239=E125)*('Cashflow Summary C19RM'!$R$5:$R$239)))</f>
        <v>0</v>
      </c>
      <c r="O125" s="641" cm="1">
        <f t="array" ref="O125">$L125*(SUMPRODUCT(('Cashflow Summary C19RM'!$D$5:$D$239=E125)*('Cashflow Summary C19RM'!$S$5:$S$239)))</f>
        <v>0</v>
      </c>
      <c r="P125" s="641" cm="1">
        <f t="array" ref="P125">$L125*(SUMPRODUCT(('Cashflow Summary C19RM'!$D$5:$D$239=E125)*('Cashflow Summary C19RM'!$T$5:$T$239)))</f>
        <v>0</v>
      </c>
      <c r="Q125" s="643">
        <f t="shared" si="39"/>
        <v>0</v>
      </c>
      <c r="R125" s="640">
        <f t="shared" si="40"/>
        <v>0</v>
      </c>
      <c r="S125" s="641" cm="1">
        <f t="array" ref="S125">$R125*(SUMPRODUCT(('Cashflow Summary C19RM'!$D$5:$D$239=E125)*('Cashflow Summary C19RM'!$U$5:$U$239)))</f>
        <v>0</v>
      </c>
      <c r="T125" s="641" cm="1">
        <f t="array" ref="T125">$R125*(SUMPRODUCT(('Cashflow Summary C19RM'!$D$5:$D$239=E125)*('Cashflow Summary C19RM'!$V$5:$V$239)))</f>
        <v>0</v>
      </c>
      <c r="U125" s="641" cm="1">
        <f t="array" ref="U125">$R125*(SUMPRODUCT(('Cashflow Summary C19RM'!$D$5:$D$239=E125)*('Cashflow Summary C19RM'!$W$5:$W$239)))</f>
        <v>0</v>
      </c>
      <c r="V125" s="641" cm="1">
        <f t="array" ref="V125">$R125*(SUMPRODUCT(('Cashflow Summary C19RM'!$D$5:$D$239=E125)*('Cashflow Summary C19RM'!$X$5:$X$239)))</f>
        <v>0</v>
      </c>
      <c r="W125" s="651">
        <f t="shared" si="41"/>
        <v>0</v>
      </c>
      <c r="X125" s="640">
        <f t="shared" si="42"/>
        <v>0</v>
      </c>
      <c r="Y125" s="641" cm="1">
        <f t="array" ref="Y125">$X125*(SUMPRODUCT(('Cashflow Summary C19RM'!$D$5:$D$239=E125)*('Cashflow Summary C19RM'!$Y$5:$Y$239)))</f>
        <v>0</v>
      </c>
      <c r="Z125" s="641" cm="1">
        <f t="array" ref="Z125">$X125*(SUMPRODUCT(('Cashflow Summary C19RM'!$D$5:$D$239=E125)*('Cashflow Summary C19RM'!$Z$5:$Z$239)))</f>
        <v>0</v>
      </c>
      <c r="AA125" s="641" cm="1">
        <f t="array" ref="AA125">$X125*(SUMPRODUCT(('Cashflow Summary C19RM'!$D$5:$D$239=E125)*('Cashflow Summary C19RM'!$AA$5:$AA$239)))</f>
        <v>0</v>
      </c>
      <c r="AB125" s="630" cm="1">
        <f t="array" ref="AB125">$X125*(SUMPRODUCT(('Cashflow Summary C19RM'!$K$5:$K$239&lt;&gt;1)*('Cashflow Summary C19RM'!$D$5:$D$239=E125)*('Cashflow Summary C19RM'!$AG$5:$AG$239)))</f>
        <v>0</v>
      </c>
      <c r="AC125" s="651">
        <f t="shared" si="43"/>
        <v>0</v>
      </c>
      <c r="AD125" s="651"/>
      <c r="AE125" s="651"/>
      <c r="AF125" s="651"/>
      <c r="AG125" s="651"/>
      <c r="AH125" s="651"/>
      <c r="AI125" s="651"/>
      <c r="AJ125" s="651"/>
      <c r="AK125" s="651"/>
      <c r="AL125" s="651"/>
      <c r="AM125" s="651"/>
      <c r="AN125" s="651"/>
      <c r="AO125" s="651"/>
      <c r="AP125" s="644">
        <f t="shared" si="54"/>
        <v>0</v>
      </c>
      <c r="AQ125" s="652">
        <v>7.1</v>
      </c>
      <c r="AR125" s="653"/>
      <c r="AS125" s="313"/>
      <c r="AT125" s="177"/>
      <c r="AU125" s="178"/>
      <c r="AV125" s="60"/>
      <c r="AW125" s="60"/>
      <c r="AX125" s="60"/>
      <c r="AY125" s="60"/>
      <c r="AZ125" s="60"/>
      <c r="BA125" s="60"/>
      <c r="BB125" s="60"/>
      <c r="BC125" s="345"/>
      <c r="BD125" s="345"/>
      <c r="BE125" s="345"/>
      <c r="BF125" s="345"/>
      <c r="BG125" s="345"/>
      <c r="BH125" s="345"/>
      <c r="BI125" s="60"/>
      <c r="BJ125" s="60"/>
      <c r="BK125" s="60"/>
      <c r="BL125" s="60"/>
      <c r="BM125" s="60"/>
      <c r="BN125" s="60"/>
      <c r="BO125" s="60"/>
      <c r="BP125" s="60"/>
      <c r="BQ125" s="60"/>
      <c r="BR125" s="60"/>
      <c r="BS125" s="60"/>
      <c r="BT125" s="60"/>
      <c r="BU125" s="60"/>
      <c r="BV125" s="60"/>
      <c r="BW125" s="60"/>
      <c r="BX125" s="60"/>
      <c r="BY125" s="60"/>
      <c r="BZ125" s="60"/>
      <c r="CA125" s="60"/>
      <c r="CB125" s="60"/>
      <c r="CC125" s="60"/>
      <c r="CD125" s="60"/>
      <c r="CE125" s="60"/>
      <c r="CF125" s="60"/>
      <c r="CG125" s="60"/>
      <c r="CH125" s="60"/>
      <c r="CI125" s="60"/>
      <c r="CJ125" s="60"/>
      <c r="CK125" s="60"/>
      <c r="CL125" s="60"/>
      <c r="CM125" s="60"/>
      <c r="CN125" s="60"/>
      <c r="CO125" s="60"/>
      <c r="CP125" s="60"/>
      <c r="CQ125" s="60"/>
      <c r="CR125" s="60"/>
      <c r="CS125" s="60"/>
    </row>
    <row r="126" spans="2:97" s="89" customFormat="1" ht="16.399999999999999" customHeight="1" x14ac:dyDescent="0.3">
      <c r="B126" s="288"/>
      <c r="C126" s="288"/>
      <c r="D126" s="665"/>
      <c r="E126" s="662"/>
      <c r="F126" s="666"/>
      <c r="G126" s="633"/>
      <c r="H126" s="633"/>
      <c r="I126" s="633"/>
      <c r="J126" s="633"/>
      <c r="K126" s="630"/>
      <c r="L126" s="666"/>
      <c r="M126" s="633"/>
      <c r="N126" s="633"/>
      <c r="O126" s="633"/>
      <c r="P126" s="633"/>
      <c r="Q126" s="639"/>
      <c r="R126" s="666"/>
      <c r="S126" s="633"/>
      <c r="T126" s="633"/>
      <c r="U126" s="633"/>
      <c r="V126" s="633"/>
      <c r="W126" s="633"/>
      <c r="X126" s="666"/>
      <c r="Y126" s="633"/>
      <c r="Z126" s="633"/>
      <c r="AA126" s="633"/>
      <c r="AB126" s="633"/>
      <c r="AC126" s="633"/>
      <c r="AD126" s="633"/>
      <c r="AE126" s="633"/>
      <c r="AF126" s="633"/>
      <c r="AG126" s="633"/>
      <c r="AH126" s="633"/>
      <c r="AI126" s="633"/>
      <c r="AJ126" s="633"/>
      <c r="AK126" s="633"/>
      <c r="AL126" s="633"/>
      <c r="AM126" s="633"/>
      <c r="AN126" s="633"/>
      <c r="AO126" s="633"/>
      <c r="AP126" s="633"/>
      <c r="AQ126" s="667"/>
      <c r="AR126" s="668"/>
      <c r="AS126" s="313"/>
      <c r="AT126" s="289"/>
      <c r="AU126" s="178"/>
      <c r="AV126" s="60"/>
      <c r="AW126" s="60"/>
      <c r="AX126" s="60"/>
      <c r="AY126" s="60"/>
      <c r="AZ126" s="60"/>
      <c r="BA126" s="60"/>
      <c r="BB126" s="60"/>
      <c r="BC126" s="345"/>
      <c r="BD126" s="345"/>
      <c r="BE126" s="345"/>
      <c r="BF126" s="345"/>
      <c r="BG126" s="345"/>
      <c r="BH126" s="345"/>
      <c r="BI126" s="60"/>
      <c r="BJ126" s="60"/>
      <c r="BK126" s="60"/>
      <c r="BL126" s="60"/>
      <c r="BM126" s="60"/>
      <c r="BN126" s="60"/>
      <c r="BO126" s="60"/>
      <c r="BP126" s="60"/>
      <c r="BQ126" s="60"/>
      <c r="BR126" s="60"/>
      <c r="BS126" s="60"/>
      <c r="BT126" s="60"/>
      <c r="BU126" s="60"/>
      <c r="BV126" s="60"/>
      <c r="BW126" s="60"/>
      <c r="BX126" s="60"/>
      <c r="BY126" s="60"/>
      <c r="BZ126" s="60"/>
      <c r="CA126" s="60"/>
      <c r="CB126" s="60"/>
      <c r="CC126" s="60"/>
      <c r="CD126" s="60"/>
      <c r="CE126" s="60"/>
      <c r="CF126" s="60"/>
      <c r="CG126" s="60"/>
      <c r="CH126" s="60"/>
      <c r="CI126" s="60"/>
      <c r="CJ126" s="60"/>
      <c r="CK126" s="60"/>
      <c r="CL126" s="60"/>
      <c r="CM126" s="60"/>
      <c r="CN126" s="60"/>
      <c r="CO126" s="60"/>
      <c r="CP126" s="60"/>
      <c r="CQ126" s="60"/>
      <c r="CR126" s="60"/>
      <c r="CS126" s="60"/>
    </row>
    <row r="127" spans="2:97" s="89" customFormat="1" ht="13" customHeight="1" x14ac:dyDescent="0.35">
      <c r="D127" s="446"/>
      <c r="E127" s="625"/>
      <c r="F127" s="625"/>
      <c r="G127" s="625"/>
      <c r="H127" s="625"/>
      <c r="I127" s="625"/>
      <c r="J127" s="625"/>
      <c r="K127" s="625"/>
      <c r="L127" s="625"/>
      <c r="M127" s="625"/>
      <c r="N127" s="625"/>
      <c r="O127" s="625"/>
      <c r="P127" s="669"/>
      <c r="Q127" s="669"/>
      <c r="R127" s="670"/>
      <c r="S127" s="669"/>
      <c r="T127" s="671"/>
      <c r="U127" s="669"/>
      <c r="V127" s="669"/>
      <c r="W127" s="669"/>
      <c r="X127" s="670"/>
      <c r="Y127" s="669"/>
      <c r="Z127" s="671"/>
      <c r="AA127" s="669"/>
      <c r="AB127" s="669"/>
      <c r="AC127" s="669"/>
      <c r="AD127" s="669"/>
      <c r="AE127" s="669"/>
      <c r="AF127" s="669"/>
      <c r="AG127" s="669"/>
      <c r="AH127" s="669"/>
      <c r="AI127" s="669"/>
      <c r="AJ127" s="669"/>
      <c r="AK127" s="669"/>
      <c r="AL127" s="669"/>
      <c r="AM127" s="669"/>
      <c r="AN127" s="669"/>
      <c r="AO127" s="669"/>
      <c r="AP127" s="669"/>
      <c r="AQ127" s="669"/>
      <c r="AR127" s="672"/>
      <c r="AS127" s="313"/>
      <c r="AT127"/>
      <c r="AV127" s="60"/>
      <c r="AW127" s="60"/>
      <c r="AX127" s="60"/>
      <c r="AY127" s="60"/>
      <c r="AZ127" s="60"/>
      <c r="BA127" s="60"/>
      <c r="BB127" s="60"/>
      <c r="BC127" s="345"/>
      <c r="BD127" s="345"/>
      <c r="BE127" s="345"/>
      <c r="BF127" s="345"/>
      <c r="BG127" s="345"/>
      <c r="BH127" s="345"/>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row>
    <row r="128" spans="2:97" s="184" customFormat="1" ht="25.5" customHeight="1" thickBot="1" x14ac:dyDescent="0.4">
      <c r="B128" s="175"/>
      <c r="C128" s="175"/>
      <c r="D128" s="1348" t="s">
        <v>741</v>
      </c>
      <c r="E128" s="1348"/>
      <c r="F128" s="1348"/>
      <c r="G128" s="625"/>
      <c r="H128" s="1304"/>
      <c r="I128" s="1304"/>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7"/>
      <c r="AG128" s="447"/>
      <c r="AH128" s="447"/>
      <c r="AI128" s="447"/>
      <c r="AJ128" s="447"/>
      <c r="AK128" s="447"/>
      <c r="AL128" s="447"/>
      <c r="AM128" s="447"/>
      <c r="AN128" s="447"/>
      <c r="AO128" s="447"/>
      <c r="AP128" s="447"/>
      <c r="AQ128" s="447"/>
      <c r="AR128" s="661"/>
      <c r="AT128"/>
      <c r="AU128" s="183"/>
      <c r="AV128" s="183"/>
      <c r="AW128" s="183"/>
      <c r="AX128" s="183"/>
      <c r="AY128" s="183"/>
      <c r="AZ128" s="183"/>
      <c r="BA128" s="183"/>
      <c r="BB128" s="183"/>
      <c r="BC128" s="345"/>
      <c r="BD128" s="345"/>
      <c r="BE128" s="345"/>
      <c r="BF128" s="345"/>
      <c r="BG128" s="345"/>
      <c r="BH128" s="345"/>
      <c r="BI128" s="183"/>
      <c r="BJ128" s="183"/>
      <c r="BK128" s="183"/>
    </row>
    <row r="129" spans="1:65" s="89" customFormat="1" ht="14.15" customHeight="1" x14ac:dyDescent="0.35">
      <c r="D129" s="1332" t="str">
        <f>D14</f>
        <v>Type of health product</v>
      </c>
      <c r="E129" s="1333"/>
      <c r="F129" s="1344" t="str">
        <f>VLOOKUP("Estimated % for PSM Customs Clearance (7.6)",Language!$D$1583:$G$1845,$O$1,FALSE)</f>
        <v>Estimated % for PSM Customs Clearance (7.6)</v>
      </c>
      <c r="G129" s="1346" t="str">
        <f>G14</f>
        <v>2021</v>
      </c>
      <c r="H129" s="1295"/>
      <c r="I129" s="1295"/>
      <c r="J129" s="1295"/>
      <c r="K129" s="1302"/>
      <c r="L129" s="1341" t="str">
        <f>F129</f>
        <v>Estimated % for PSM Customs Clearance (7.6)</v>
      </c>
      <c r="M129" s="1294" t="str">
        <f>M14</f>
        <v>2022</v>
      </c>
      <c r="N129" s="1295"/>
      <c r="O129" s="1295"/>
      <c r="P129" s="1295"/>
      <c r="Q129" s="1302"/>
      <c r="R129" s="1341" t="str">
        <f>F129</f>
        <v>Estimated % for PSM Customs Clearance (7.6)</v>
      </c>
      <c r="S129" s="1294" t="str">
        <f>S14</f>
        <v>2023</v>
      </c>
      <c r="T129" s="1295"/>
      <c r="U129" s="1295"/>
      <c r="V129" s="1295"/>
      <c r="W129" s="1302"/>
      <c r="X129" s="1341" t="str">
        <f>F129</f>
        <v>Estimated % for PSM Customs Clearance (7.6)</v>
      </c>
      <c r="Y129" s="1294" t="str">
        <f>Y14</f>
        <v>2024</v>
      </c>
      <c r="Z129" s="1295"/>
      <c r="AA129" s="1295"/>
      <c r="AB129" s="1295"/>
      <c r="AC129" s="1296"/>
      <c r="AD129" s="1341" t="str">
        <f>L129</f>
        <v>Estimated % for PSM Customs Clearance (7.6)</v>
      </c>
      <c r="AE129" s="1294" t="str">
        <f>AE14</f>
        <v>2025</v>
      </c>
      <c r="AF129" s="1295"/>
      <c r="AG129" s="1295"/>
      <c r="AH129" s="1295"/>
      <c r="AI129" s="1296"/>
      <c r="AJ129" s="1341" t="str">
        <f>R129</f>
        <v>Estimated % for PSM Customs Clearance (7.6)</v>
      </c>
      <c r="AK129" s="1294" t="str">
        <f>AK14</f>
        <v/>
      </c>
      <c r="AL129" s="1295"/>
      <c r="AM129" s="1295"/>
      <c r="AN129" s="1295"/>
      <c r="AO129" s="1296"/>
      <c r="AP129" s="1300" t="str">
        <f>AP14</f>
        <v>Total grant period</v>
      </c>
      <c r="AQ129" s="1300" t="str">
        <f>AQ14</f>
        <v>Finance</v>
      </c>
      <c r="AR129" s="1310" t="str">
        <f>AR14</f>
        <v>Comments</v>
      </c>
      <c r="AS129" s="1338"/>
      <c r="AT129"/>
      <c r="BC129" s="345"/>
      <c r="BD129" s="345"/>
      <c r="BE129" s="345"/>
      <c r="BF129" s="345"/>
      <c r="BG129" s="345"/>
      <c r="BH129" s="345"/>
    </row>
    <row r="130" spans="1:65" s="89" customFormat="1" ht="19.5" customHeight="1" thickBot="1" x14ac:dyDescent="0.4">
      <c r="D130" s="1334"/>
      <c r="E130" s="1335"/>
      <c r="F130" s="1345"/>
      <c r="G130" s="1347"/>
      <c r="H130" s="1298"/>
      <c r="I130" s="1298"/>
      <c r="J130" s="1298"/>
      <c r="K130" s="1303"/>
      <c r="L130" s="1342"/>
      <c r="M130" s="1297"/>
      <c r="N130" s="1298"/>
      <c r="O130" s="1298"/>
      <c r="P130" s="1298"/>
      <c r="Q130" s="1303"/>
      <c r="R130" s="1342"/>
      <c r="S130" s="1297"/>
      <c r="T130" s="1298"/>
      <c r="U130" s="1298"/>
      <c r="V130" s="1298"/>
      <c r="W130" s="1303"/>
      <c r="X130" s="1342"/>
      <c r="Y130" s="1297"/>
      <c r="Z130" s="1298"/>
      <c r="AA130" s="1298"/>
      <c r="AB130" s="1298"/>
      <c r="AC130" s="1299"/>
      <c r="AD130" s="1342"/>
      <c r="AE130" s="1297"/>
      <c r="AF130" s="1298"/>
      <c r="AG130" s="1298"/>
      <c r="AH130" s="1298"/>
      <c r="AI130" s="1299"/>
      <c r="AJ130" s="1342"/>
      <c r="AK130" s="1297"/>
      <c r="AL130" s="1298"/>
      <c r="AM130" s="1298"/>
      <c r="AN130" s="1298"/>
      <c r="AO130" s="1299"/>
      <c r="AP130" s="1301"/>
      <c r="AQ130" s="1301"/>
      <c r="AR130" s="1311"/>
      <c r="AS130" s="1339"/>
      <c r="AT130"/>
      <c r="BC130" s="345"/>
      <c r="BD130" s="345"/>
      <c r="BE130" s="345"/>
      <c r="BF130" s="345"/>
      <c r="BG130" s="345"/>
      <c r="BH130" s="345"/>
    </row>
    <row r="131" spans="1:65" s="174" customFormat="1" ht="51" customHeight="1" thickBot="1" x14ac:dyDescent="0.35">
      <c r="B131" s="209"/>
      <c r="C131" s="209"/>
      <c r="D131" s="1336"/>
      <c r="E131" s="1337"/>
      <c r="F131" s="1343"/>
      <c r="G131" s="695" t="str">
        <f>G16</f>
        <v>Y1 Q1 cost</v>
      </c>
      <c r="H131" s="933" t="str">
        <f>H16</f>
        <v>Y1 Q2 cost</v>
      </c>
      <c r="I131" s="933" t="str">
        <f>I16</f>
        <v>Y1 Q3 cost</v>
      </c>
      <c r="J131" s="933" t="str">
        <f>J16</f>
        <v>Y1 Q4 cost</v>
      </c>
      <c r="K131" s="696" t="str">
        <f>K16</f>
        <v>Y1 Total cost</v>
      </c>
      <c r="L131" s="1343"/>
      <c r="M131" s="695" t="str">
        <f>M16</f>
        <v>Y2 Q1 cost</v>
      </c>
      <c r="N131" s="933" t="str">
        <f>N16</f>
        <v>Y2 Q2 cost</v>
      </c>
      <c r="O131" s="933" t="str">
        <f>O16</f>
        <v>Y2 Q3 cost</v>
      </c>
      <c r="P131" s="933" t="str">
        <f>P16</f>
        <v>Y2 Q4 cost</v>
      </c>
      <c r="Q131" s="696" t="str">
        <f>Q16</f>
        <v>Y2 Total cost</v>
      </c>
      <c r="R131" s="1343"/>
      <c r="S131" s="695" t="str">
        <f>S16</f>
        <v>Y3 Q1 cost</v>
      </c>
      <c r="T131" s="933" t="str">
        <f>T16</f>
        <v>Y3 Q2 cost</v>
      </c>
      <c r="U131" s="933" t="str">
        <f>U16</f>
        <v>Y3 Q3 cost</v>
      </c>
      <c r="V131" s="933" t="str">
        <f>V16</f>
        <v>Y3 Q4 cost</v>
      </c>
      <c r="W131" s="696" t="str">
        <f>W16</f>
        <v>Y3 Total cost</v>
      </c>
      <c r="X131" s="1343"/>
      <c r="Y131" s="695" t="str">
        <f>Y16</f>
        <v>Y4 Q1 cost</v>
      </c>
      <c r="Z131" s="933" t="str">
        <f>Z16</f>
        <v>Y4 Q2 cost</v>
      </c>
      <c r="AA131" s="933" t="str">
        <f>AA16</f>
        <v>Y4 Q3 cost</v>
      </c>
      <c r="AB131" s="933" t="str">
        <f>AB16</f>
        <v>Y4 Q4 cost</v>
      </c>
      <c r="AC131" s="933" t="str">
        <f>AC16</f>
        <v>Y4 Total cost</v>
      </c>
      <c r="AD131" s="1343"/>
      <c r="AE131" s="933" t="str">
        <f>AE16</f>
        <v>Y5 Q1 cost</v>
      </c>
      <c r="AF131" s="933" t="str">
        <f>AF16</f>
        <v>Y5 Q2 cost</v>
      </c>
      <c r="AG131" s="933" t="str">
        <f>AG16</f>
        <v>Y5 Q3 cost</v>
      </c>
      <c r="AH131" s="933" t="str">
        <f>AH16</f>
        <v>Y5 Q4 cost</v>
      </c>
      <c r="AI131" s="933" t="str">
        <f>AI16</f>
        <v>Y5 Total cost</v>
      </c>
      <c r="AJ131" s="1343"/>
      <c r="AK131" s="933" t="str">
        <f t="shared" ref="AK131:AQ131" si="55">AK16</f>
        <v>Y6 Q1 cost</v>
      </c>
      <c r="AL131" s="933" t="str">
        <f t="shared" si="55"/>
        <v>Y6 Q2 cost</v>
      </c>
      <c r="AM131" s="933" t="str">
        <f t="shared" si="55"/>
        <v>Y6 Q3 cost</v>
      </c>
      <c r="AN131" s="933" t="str">
        <f t="shared" si="55"/>
        <v>Y6 Q4 cost</v>
      </c>
      <c r="AO131" s="933" t="str">
        <f t="shared" si="55"/>
        <v>Y6 Total cost</v>
      </c>
      <c r="AP131" s="695" t="str">
        <f t="shared" si="55"/>
        <v>Total cost</v>
      </c>
      <c r="AQ131" s="695" t="str">
        <f t="shared" si="55"/>
        <v>Cost input</v>
      </c>
      <c r="AR131" s="1312"/>
      <c r="AS131" s="1340"/>
      <c r="BC131" s="345"/>
      <c r="BD131" s="345"/>
      <c r="BE131" s="345"/>
      <c r="BF131" s="345"/>
      <c r="BG131" s="345"/>
      <c r="BH131" s="345"/>
    </row>
    <row r="132" spans="1:65" s="89" customFormat="1" ht="15" customHeight="1" thickBot="1" x14ac:dyDescent="0.4">
      <c r="A132" s="89" t="s">
        <v>216</v>
      </c>
      <c r="B132" s="211" t="s">
        <v>746</v>
      </c>
      <c r="C132" s="698" t="s">
        <v>2751</v>
      </c>
      <c r="D132" s="1313" t="s">
        <v>83</v>
      </c>
      <c r="E132" s="1009" t="s">
        <v>32</v>
      </c>
      <c r="F132" s="996">
        <v>0</v>
      </c>
      <c r="G132" s="725" cm="1">
        <f t="array" ref="G132">$F132*(SUMPRODUCT(('Cashflow Summary C19RM'!$K$5:$K$239&lt;&gt;1)*('Cashflow Summary C19RM'!$D$5:$D$239=E132)*('Cashflow Summary C19RM'!$R$5:$R$239)))</f>
        <v>0</v>
      </c>
      <c r="H132" s="977" cm="1">
        <f t="array" ref="H132">$F132*(SUMPRODUCT(('Cashflow Summary C19RM'!$K$5:$K$239&lt;&gt;1)*('Cashflow Summary C19RM'!$D$5:$D$239=E132)*('Cashflow Summary C19RM'!$S$5:$S$239)))</f>
        <v>0</v>
      </c>
      <c r="I132" s="978" cm="1">
        <f t="array" ref="I132">$F132*(SUMPRODUCT(('Cashflow Summary C19RM'!$K$5:$K$239&lt;&gt;1)*('Cashflow Summary C19RM'!$D$5:$D$239=E132)*('Cashflow Summary C19RM'!$T$5:$T$239)))</f>
        <v>0</v>
      </c>
      <c r="J132" s="978" cm="1">
        <f t="array" ref="J132">$F132*(SUMPRODUCT(('Cashflow Summary C19RM'!$K$5:$K$239&lt;&gt;1)*('Cashflow Summary C19RM'!$D$5:$D$239=E132)*('Cashflow Summary C19RM'!$U$5:$U$239)))</f>
        <v>0</v>
      </c>
      <c r="K132" s="997">
        <f t="shared" ref="K132:K173" si="56">SUM(G132:J132)</f>
        <v>0</v>
      </c>
      <c r="L132" s="981">
        <f t="shared" ref="L132:L173" si="57">F132</f>
        <v>0</v>
      </c>
      <c r="M132" s="976" cm="1">
        <f t="array" ref="M132">$L132*(SUMPRODUCT(('Cashflow Summary C19RM'!$K$5:$K$239&lt;&gt;1)*('Cashflow Summary C19RM'!$D$5:$D$239=E132)*('Cashflow Summary C19RM'!$V$5:$V$239)))</f>
        <v>0</v>
      </c>
      <c r="N132" s="977" cm="1">
        <f t="array" ref="N132">$L132*(SUMPRODUCT(('Cashflow Summary C19RM'!$K$5:$K$239&lt;&gt;1)*('Cashflow Summary C19RM'!$D$5:$D$239=E132)*('Cashflow Summary C19RM'!$W$5:$W$239)))</f>
        <v>0</v>
      </c>
      <c r="O132" s="978" cm="1">
        <f t="array" ref="O132">$L132*(SUMPRODUCT(('Cashflow Summary C19RM'!$K$5:$K$239&lt;&gt;1)*('Cashflow Summary C19RM'!$D$5:$D$239=E132)*('Cashflow Summary C19RM'!$X$5:$X$239)))</f>
        <v>0</v>
      </c>
      <c r="P132" s="978" cm="1">
        <f t="array" ref="P132">$L132*(SUMPRODUCT(('Cashflow Summary C19RM'!$K$5:$K$239&lt;&gt;1)*('Cashflow Summary C19RM'!$D$5:$D$239=E132)*('Cashflow Summary C19RM'!$Y$5:$Y$239)))</f>
        <v>0</v>
      </c>
      <c r="Q132" s="980">
        <f t="shared" ref="Q132:Q173" si="58">SUM(M132:P132)</f>
        <v>0</v>
      </c>
      <c r="R132" s="981">
        <f t="shared" ref="R132:R173" si="59">F132</f>
        <v>0</v>
      </c>
      <c r="S132" s="976" cm="1">
        <f t="array" ref="S132">$R132*(SUMPRODUCT(('Cashflow Summary C19RM'!$K$5:$K$239&lt;&gt;1)*('Cashflow Summary C19RM'!$D$5:$D$239=E132)*('Cashflow Summary C19RM'!$Z$5:$Z$239)))</f>
        <v>0</v>
      </c>
      <c r="T132" s="977" cm="1">
        <f t="array" ref="T132">$R132*(SUMPRODUCT(('Cashflow Summary C19RM'!$K$5:$K$239&lt;&gt;1)*('Cashflow Summary C19RM'!$D$5:$D$239=E132)*('Cashflow Summary C19RM'!$AA$5:$AA$239)))</f>
        <v>0</v>
      </c>
      <c r="U132" s="978" cm="1">
        <f t="array" ref="U132">$R132*(SUMPRODUCT(('Cashflow Summary C19RM'!$K$5:$K$239&lt;&gt;1)*('Cashflow Summary C19RM'!$D$5:$D$239=E132)*('Cashflow Summary C19RM'!$AB$5:$AB$239)))</f>
        <v>0</v>
      </c>
      <c r="V132" s="978" cm="1">
        <f t="array" ref="V132">$R132*(SUMPRODUCT(('Cashflow Summary C19RM'!$K$5:$K$239&lt;&gt;1)*('Cashflow Summary C19RM'!$D$5:$D$239=E132)*('Cashflow Summary C19RM'!$AC$5:$AC$239)))</f>
        <v>0</v>
      </c>
      <c r="W132" s="982">
        <f t="shared" ref="W132:W173" si="60">SUM(S132:V132)</f>
        <v>0</v>
      </c>
      <c r="X132" s="981">
        <f t="shared" ref="X132:X173" si="61">F132</f>
        <v>0</v>
      </c>
      <c r="Y132" s="976" cm="1">
        <f t="array" ref="Y132">$X132*(SUMPRODUCT(('Cashflow Summary C19RM'!$K$5:$K$239&lt;&gt;1)*('Cashflow Summary C19RM'!$D$5:$D$239=E132)*('Cashflow Summary C19RM'!$AD$5:$AD$239)))</f>
        <v>0</v>
      </c>
      <c r="Z132" s="977" cm="1">
        <f t="array" ref="Z132">$X132*(SUMPRODUCT(('Cashflow Summary C19RM'!$K$5:$K$239&lt;&gt;1)*('Cashflow Summary C19RM'!$D$5:$D$239=E132)*('Cashflow Summary C19RM'!$AE$5:$AE$239)))</f>
        <v>0</v>
      </c>
      <c r="AA132" s="978" cm="1">
        <f t="array" ref="AA132">$X132*(SUMPRODUCT(('Cashflow Summary C19RM'!$K$5:$K$239&lt;&gt;1)*('Cashflow Summary C19RM'!$D$5:$D$239=E132)*('Cashflow Summary C19RM'!$AF$5:$AF$239)))</f>
        <v>0</v>
      </c>
      <c r="AB132" s="978" cm="1">
        <f t="array" ref="AB132">$X132*(SUMPRODUCT(('Cashflow Summary C19RM'!$K$5:$K$239&lt;&gt;1)*('Cashflow Summary C19RM'!$D$5:$D$239=E132)*('Cashflow Summary C19RM'!$AG$5:$AG$239)))</f>
        <v>0</v>
      </c>
      <c r="AC132" s="982">
        <f t="shared" ref="AC132:AC173" si="62">SUM(Y132:AB132)</f>
        <v>0</v>
      </c>
      <c r="AD132" s="981">
        <f t="shared" ref="AD132:AD146" si="63">L132</f>
        <v>0</v>
      </c>
      <c r="AE132" s="725" cm="1">
        <f t="array" ref="AE132">$AD132*(SUMPRODUCT(('Cashflow Summary C19RM'!$K$5:$K$239&lt;&gt;1)*('Cashflow Summary C19RM'!$D$5:$D$239=E132)*('Cashflow Summary C19RM'!$AH$5:$AH$239)))</f>
        <v>0</v>
      </c>
      <c r="AF132" s="976" cm="1">
        <f t="array" ref="AF132">$AD132*(SUMPRODUCT(('Cashflow Summary C19RM'!$K$5:$K$239&lt;&gt;1)*('Cashflow Summary C19RM'!$D$5:$D$239=E132)*('Cashflow Summary C19RM'!$AI$5:$AI$239)))</f>
        <v>0</v>
      </c>
      <c r="AG132" s="976" cm="1">
        <f t="array" ref="AG132">$AD132*(SUMPRODUCT(('Cashflow Summary C19RM'!$K$5:$K$239&lt;&gt;1)*('Cashflow Summary C19RM'!$D$5:$D$239=E132)*('Cashflow Summary C19RM'!$AJ$5:$AJ$239)))</f>
        <v>0</v>
      </c>
      <c r="AH132" s="976" cm="1">
        <f t="array" ref="AH132">$AD132*(SUMPRODUCT(('Cashflow Summary C19RM'!$K$5:$K$239&lt;&gt;1)*('Cashflow Summary C19RM'!$D$5:$D$239=E132)*('Cashflow Summary C19RM'!$AK$5:$AO$239)))</f>
        <v>0</v>
      </c>
      <c r="AI132" s="982">
        <f t="shared" ref="AI132:AI146" si="64">SUM(AE132:AH132)</f>
        <v>0</v>
      </c>
      <c r="AJ132" s="983">
        <v>0</v>
      </c>
      <c r="AK132" s="984"/>
      <c r="AL132" s="985"/>
      <c r="AM132" s="985"/>
      <c r="AN132" s="985"/>
      <c r="AO132" s="986"/>
      <c r="AP132" s="982">
        <f>K132+Q132+W132+AC132+AI132</f>
        <v>0</v>
      </c>
      <c r="AQ132" s="987">
        <v>7.6</v>
      </c>
      <c r="AR132" s="988"/>
      <c r="AS132" s="310"/>
      <c r="AV132" s="228">
        <f t="shared" ref="AV132:AV146" si="65">F132</f>
        <v>0</v>
      </c>
      <c r="AW132" s="228">
        <f t="shared" ref="AW132:AW146" si="66">L132</f>
        <v>0</v>
      </c>
      <c r="AX132" s="228">
        <f t="shared" ref="AX132:AX146" si="67">R132</f>
        <v>0</v>
      </c>
      <c r="AY132" s="228">
        <f t="shared" ref="AY132:AY146" si="68">X132</f>
        <v>0</v>
      </c>
      <c r="AZ132" s="228">
        <f t="shared" ref="AZ132:AZ146" si="69">AD132</f>
        <v>0</v>
      </c>
      <c r="BA132" s="228"/>
      <c r="BC132" s="345" cm="1">
        <f t="array" ref="BC132">IF(BM132&gt;=1,0,IFERROR(SUMPRODUCT(($G$11:$AH$11=$BC$16)*($G132:$AH132)),0))</f>
        <v>0</v>
      </c>
      <c r="BD132" s="345" cm="1">
        <f t="array" ref="BD132">IF(BM132&gt;=1,0,IFERROR(SUMPRODUCT(($G$11:$AH$11=$BD$16)*($G132:$AH132)),0))</f>
        <v>0</v>
      </c>
      <c r="BE132" s="345" cm="1">
        <f t="array" ref="BE132">IF(BM132&gt;=1,0,IFERROR(SUMPRODUCT(($G$11:$AH$11=$BE$16)*($G132:$AH132)),0))</f>
        <v>0</v>
      </c>
      <c r="BF132" s="345" cm="1">
        <f t="array" ref="BF132">IF(BM132&gt;=1,0,IFERROR(SUMPRODUCT(($G$11:$AH$11=$BF$16)*($G132:$AH132)),0))</f>
        <v>0</v>
      </c>
      <c r="BG132" s="345" cm="1">
        <f t="array" ref="BG132">IF(BM132&gt;=1,0,IFERROR(SUMPRODUCT(($G$11:$AH$11=$BG$16)*($G132:$AH132)),0))</f>
        <v>0</v>
      </c>
      <c r="BH132" s="345"/>
      <c r="BI132" s="343">
        <f>SUM(BC132:BG132)</f>
        <v>0</v>
      </c>
      <c r="BJ132" s="229" t="s">
        <v>83</v>
      </c>
      <c r="BK132" cm="1">
        <f t="array" ref="BK132">(SUMPRODUCT(('Cashflow Summary C19RM'!$D$5:$D$451=E132)*('Cashflow Summary C19RM'!$BD$5:$BD$451)))</f>
        <v>0</v>
      </c>
      <c r="BL132" cm="1">
        <f t="array" ref="BL132">(SUMPRODUCT((SETUP!$D$20:$D$67=E132)*(SETUP!$R$20:$R$67)))</f>
        <v>0</v>
      </c>
      <c r="BM132" s="89">
        <f t="shared" ref="BM132:BM146" si="70">SUM(BK132:BL132)</f>
        <v>0</v>
      </c>
    </row>
    <row r="133" spans="1:65" s="89" customFormat="1" ht="15" customHeight="1" x14ac:dyDescent="0.35">
      <c r="A133" s="89" t="s">
        <v>216</v>
      </c>
      <c r="B133" s="211" t="s">
        <v>746</v>
      </c>
      <c r="C133" s="698" t="s">
        <v>2750</v>
      </c>
      <c r="D133" s="1314"/>
      <c r="E133" s="1010" t="s">
        <v>11</v>
      </c>
      <c r="F133" s="697">
        <v>0</v>
      </c>
      <c r="G133" s="628" cm="1">
        <f t="array" ref="G133">$F133*(SUMPRODUCT(('Cashflow Summary C19RM'!$K$5:$K$239&lt;&gt;1)*('Cashflow Summary C19RM'!$D$5:$D$239=E133)*('Cashflow Summary C19RM'!$R$5:$R$239)))</f>
        <v>0</v>
      </c>
      <c r="H133" s="629" cm="1">
        <f t="array" ref="H133">$F133*(SUMPRODUCT(('Cashflow Summary C19RM'!$K$5:$K$239&lt;&gt;1)*('Cashflow Summary C19RM'!$D$5:$D$239=E133)*('Cashflow Summary C19RM'!$S$5:$S$239)))</f>
        <v>0</v>
      </c>
      <c r="I133" s="630" cm="1">
        <f t="array" ref="I133">$F133*(SUMPRODUCT(('Cashflow Summary C19RM'!$K$5:$K$239&lt;&gt;1)*('Cashflow Summary C19RM'!$D$5:$D$239=E133)*('Cashflow Summary C19RM'!$T$5:$T$239)))</f>
        <v>0</v>
      </c>
      <c r="J133" s="630" cm="1">
        <f t="array" ref="J133">$F133*(SUMPRODUCT(('Cashflow Summary C19RM'!$K$5:$K$239&lt;&gt;1)*('Cashflow Summary C19RM'!$D$5:$D$239=E133)*('Cashflow Summary C19RM'!$U$5:$U$239)))</f>
        <v>0</v>
      </c>
      <c r="K133" s="631">
        <f t="shared" si="56"/>
        <v>0</v>
      </c>
      <c r="L133" s="686">
        <f t="shared" si="57"/>
        <v>0</v>
      </c>
      <c r="M133" s="630" cm="1">
        <f t="array" ref="M133">$L133*(SUMPRODUCT(('Cashflow Summary C19RM'!$K$5:$K$239&lt;&gt;1)*('Cashflow Summary C19RM'!$D$5:$D$239=E133)*('Cashflow Summary C19RM'!$V$5:$V$239)))</f>
        <v>0</v>
      </c>
      <c r="N133" s="630" cm="1">
        <f t="array" ref="N133">$L133*(SUMPRODUCT(('Cashflow Summary C19RM'!$K$5:$K$239&lt;&gt;1)*('Cashflow Summary C19RM'!$D$5:$D$239=E133)*('Cashflow Summary C19RM'!$W$5:$W$239)))</f>
        <v>0</v>
      </c>
      <c r="O133" s="630" cm="1">
        <f t="array" ref="O133">$L133*(SUMPRODUCT(('Cashflow Summary C19RM'!$K$5:$K$239&lt;&gt;1)*('Cashflow Summary C19RM'!$D$5:$D$239=E133)*('Cashflow Summary C19RM'!$X$5:$X$239)))</f>
        <v>0</v>
      </c>
      <c r="P133" s="630" cm="1">
        <f t="array" ref="P133">$L133*(SUMPRODUCT(('Cashflow Summary C19RM'!$K$5:$K$239&lt;&gt;1)*('Cashflow Summary C19RM'!$D$5:$D$239=E133)*('Cashflow Summary C19RM'!$Y$5:$Y$239)))</f>
        <v>0</v>
      </c>
      <c r="Q133" s="632">
        <f t="shared" si="58"/>
        <v>0</v>
      </c>
      <c r="R133" s="686">
        <f t="shared" si="59"/>
        <v>0</v>
      </c>
      <c r="S133" s="633" cm="1">
        <f t="array" ref="S133">$R133*(SUMPRODUCT(('Cashflow Summary C19RM'!$K$5:$K$239&lt;&gt;1)*('Cashflow Summary C19RM'!$D$5:$D$239=E133)*('Cashflow Summary C19RM'!$Z$5:$Z$239)))</f>
        <v>0</v>
      </c>
      <c r="T133" s="633" cm="1">
        <f t="array" ref="T133">$R133*(SUMPRODUCT(('Cashflow Summary C19RM'!$K$5:$K$239&lt;&gt;1)*('Cashflow Summary C19RM'!$D$5:$D$239=E133)*('Cashflow Summary C19RM'!$AA$5:$AA$239)))</f>
        <v>0</v>
      </c>
      <c r="U133" s="633" cm="1">
        <f t="array" ref="U133">$R133*(SUMPRODUCT(('Cashflow Summary C19RM'!$K$5:$K$239&lt;&gt;1)*('Cashflow Summary C19RM'!$D$5:$D$239=E133)*('Cashflow Summary C19RM'!$AB$5:$AB$239)))</f>
        <v>0</v>
      </c>
      <c r="V133" s="633" cm="1">
        <f t="array" ref="V133">$R133*(SUMPRODUCT(('Cashflow Summary C19RM'!$K$5:$K$239&lt;&gt;1)*('Cashflow Summary C19RM'!$D$5:$D$239=E133)*('Cashflow Summary C19RM'!$AC$5:$AC$239)))</f>
        <v>0</v>
      </c>
      <c r="W133" s="634">
        <f t="shared" si="60"/>
        <v>0</v>
      </c>
      <c r="X133" s="686">
        <f t="shared" si="61"/>
        <v>0</v>
      </c>
      <c r="Y133" s="633" cm="1">
        <f t="array" ref="Y133">$X133*(SUMPRODUCT(('Cashflow Summary C19RM'!$K$5:$K$239&lt;&gt;1)*('Cashflow Summary C19RM'!$D$5:$D$239=E133)*('Cashflow Summary C19RM'!$AD$5:$AD$239)))</f>
        <v>0</v>
      </c>
      <c r="Z133" s="633" cm="1">
        <f t="array" ref="Z133">$X133*(SUMPRODUCT(('Cashflow Summary C19RM'!$K$5:$K$239&lt;&gt;1)*('Cashflow Summary C19RM'!$D$5:$D$239=E133)*('Cashflow Summary C19RM'!$AE$5:$AE$239)))</f>
        <v>0</v>
      </c>
      <c r="AA133" s="633" cm="1">
        <f t="array" ref="AA133">$X133*(SUMPRODUCT(('Cashflow Summary C19RM'!$K$5:$K$239&lt;&gt;1)*('Cashflow Summary C19RM'!$D$5:$D$239=E133)*('Cashflow Summary C19RM'!$AF$5:$AF$239)))</f>
        <v>0</v>
      </c>
      <c r="AB133" s="630" cm="1">
        <f t="array" ref="AB133">$X133*(SUMPRODUCT(('Cashflow Summary C19RM'!$K$5:$K$239&lt;&gt;1)*('Cashflow Summary C19RM'!$D$5:$D$239=E133)*('Cashflow Summary C19RM'!$AG$5:$AG$239)))</f>
        <v>0</v>
      </c>
      <c r="AC133" s="634">
        <f t="shared" si="62"/>
        <v>0</v>
      </c>
      <c r="AD133" s="686">
        <f t="shared" si="63"/>
        <v>0</v>
      </c>
      <c r="AE133" s="628" cm="1">
        <f t="array" ref="AE133">$AD133*(SUMPRODUCT(('Cashflow Summary C19RM'!$K$5:$K$239&lt;&gt;1)*('Cashflow Summary C19RM'!$D$5:$D$239=E133)*('Cashflow Summary C19RM'!$AH$5:$AH$239)))</f>
        <v>0</v>
      </c>
      <c r="AF133" s="633" cm="1">
        <f t="array" ref="AF133">$AD133*(SUMPRODUCT(('Cashflow Summary C19RM'!$K$5:$K$239&lt;&gt;1)*('Cashflow Summary C19RM'!$D$5:$D$239=E133)*('Cashflow Summary C19RM'!$AI$5:$AI$239)))</f>
        <v>0</v>
      </c>
      <c r="AG133" s="633" cm="1">
        <f t="array" ref="AG133">$AD133*(SUMPRODUCT(('Cashflow Summary C19RM'!$K$5:$K$239&lt;&gt;1)*('Cashflow Summary C19RM'!$D$5:$D$239=E133)*('Cashflow Summary C19RM'!$AJ$5:$AJ$239)))</f>
        <v>0</v>
      </c>
      <c r="AH133" s="633" cm="1">
        <f t="array" ref="AH133">$AD133*(SUMPRODUCT(('Cashflow Summary C19RM'!$K$5:$K$239&lt;&gt;1)*('Cashflow Summary C19RM'!$D$5:$D$239=E133)*('Cashflow Summary C19RM'!$AK$5:$AO$239)))</f>
        <v>0</v>
      </c>
      <c r="AI133" s="634">
        <f t="shared" si="64"/>
        <v>0</v>
      </c>
      <c r="AJ133" s="875">
        <v>0</v>
      </c>
      <c r="AK133" s="872"/>
      <c r="AL133" s="873"/>
      <c r="AM133" s="873"/>
      <c r="AN133" s="873"/>
      <c r="AO133" s="874"/>
      <c r="AP133" s="635">
        <f t="shared" ref="AP133:AP146" si="71">K133+Q133+W133+AC133+AI133</f>
        <v>0</v>
      </c>
      <c r="AQ133" s="636">
        <v>7.6</v>
      </c>
      <c r="AR133" s="707"/>
      <c r="AS133" s="310"/>
      <c r="AV133" s="228">
        <f t="shared" si="65"/>
        <v>0</v>
      </c>
      <c r="AW133" s="228">
        <f t="shared" si="66"/>
        <v>0</v>
      </c>
      <c r="AX133" s="228">
        <f t="shared" si="67"/>
        <v>0</v>
      </c>
      <c r="AY133" s="228">
        <f t="shared" si="68"/>
        <v>0</v>
      </c>
      <c r="AZ133" s="228">
        <f t="shared" si="69"/>
        <v>0</v>
      </c>
      <c r="BA133" s="228"/>
      <c r="BC133" s="345" cm="1">
        <f t="array" ref="BC133">IF(BM133&gt;=1,0,IFERROR(SUMPRODUCT(($G$11:$AH$11=$BC$16)*($G133:$AH133)),0))</f>
        <v>0</v>
      </c>
      <c r="BD133" s="345" cm="1">
        <f t="array" ref="BD133">IF(BM133&gt;=1,0,IFERROR(SUMPRODUCT(($G$11:$AH$11=$BD$16)*($G133:$AH133)),0))</f>
        <v>0</v>
      </c>
      <c r="BE133" s="345" cm="1">
        <f t="array" ref="BE133">IF(BM133&gt;=1,0,IFERROR(SUMPRODUCT(($G$11:$AH$11=$BE$16)*($G133:$AH133)),0))</f>
        <v>0</v>
      </c>
      <c r="BF133" s="345" cm="1">
        <f t="array" ref="BF133">IF(BM133&gt;=1,0,IFERROR(SUMPRODUCT(($G$11:$AH$11=$BF$16)*($G133:$AH133)),0))</f>
        <v>0</v>
      </c>
      <c r="BG133" s="345" cm="1">
        <f t="array" ref="BG133">IF(BM133&gt;=1,0,IFERROR(SUMPRODUCT(($G$11:$AH$11=$BG$16)*($G133:$AH133)),0))</f>
        <v>0</v>
      </c>
      <c r="BH133" s="345"/>
      <c r="BI133" s="343">
        <f t="shared" ref="BI133:BI146" si="72">SUM(BC133:BG133)</f>
        <v>0</v>
      </c>
      <c r="BJ133" s="229" t="s">
        <v>83</v>
      </c>
      <c r="BK133" cm="1">
        <f t="array" ref="BK133">(SUMPRODUCT(('Cashflow Summary C19RM'!$D$5:$D$451=E133)*('Cashflow Summary C19RM'!$BD$5:$BD$451)))</f>
        <v>0</v>
      </c>
      <c r="BL133" cm="1">
        <f t="array" ref="BL133">(SUMPRODUCT((SETUP!$D$20:$D$67=E133)*(SETUP!$R$20:$R$67)))</f>
        <v>0</v>
      </c>
      <c r="BM133" s="89">
        <f t="shared" si="70"/>
        <v>0</v>
      </c>
    </row>
    <row r="134" spans="1:65" s="89" customFormat="1" ht="15" customHeight="1" x14ac:dyDescent="0.35">
      <c r="A134" s="89" t="s">
        <v>216</v>
      </c>
      <c r="B134" s="211" t="s">
        <v>746</v>
      </c>
      <c r="C134" s="699" t="s">
        <v>2750</v>
      </c>
      <c r="D134" s="1314"/>
      <c r="E134" s="1010" t="s">
        <v>15</v>
      </c>
      <c r="F134" s="697">
        <v>0</v>
      </c>
      <c r="G134" s="628" cm="1">
        <f t="array" ref="G134">$F134*(SUMPRODUCT(('Cashflow Summary C19RM'!$K$5:$K$239&lt;&gt;1)*('Cashflow Summary C19RM'!$D$5:$D$239=E134)*('Cashflow Summary C19RM'!$R$5:$R$239)))</f>
        <v>0</v>
      </c>
      <c r="H134" s="629" cm="1">
        <f t="array" ref="H134">$F134*(SUMPRODUCT(('Cashflow Summary C19RM'!$K$5:$K$239&lt;&gt;1)*('Cashflow Summary C19RM'!$D$5:$D$239=E134)*('Cashflow Summary C19RM'!$S$5:$S$239)))</f>
        <v>0</v>
      </c>
      <c r="I134" s="630" cm="1">
        <f t="array" ref="I134">$F134*(SUMPRODUCT(('Cashflow Summary C19RM'!$K$5:$K$239&lt;&gt;1)*('Cashflow Summary C19RM'!$D$5:$D$239=E134)*('Cashflow Summary C19RM'!$T$5:$T$239)))</f>
        <v>0</v>
      </c>
      <c r="J134" s="630" cm="1">
        <f t="array" ref="J134">$F134*(SUMPRODUCT(('Cashflow Summary C19RM'!$K$5:$K$239&lt;&gt;1)*('Cashflow Summary C19RM'!$D$5:$D$239=E134)*('Cashflow Summary C19RM'!$U$5:$U$239)))</f>
        <v>0</v>
      </c>
      <c r="K134" s="631">
        <f t="shared" si="56"/>
        <v>0</v>
      </c>
      <c r="L134" s="686">
        <f t="shared" si="57"/>
        <v>0</v>
      </c>
      <c r="M134" s="630" cm="1">
        <f t="array" ref="M134">$L134*(SUMPRODUCT(('Cashflow Summary C19RM'!$K$5:$K$239&lt;&gt;1)*('Cashflow Summary C19RM'!$D$5:$D$239=E134)*('Cashflow Summary C19RM'!$V$5:$V$239)))</f>
        <v>0</v>
      </c>
      <c r="N134" s="630" cm="1">
        <f t="array" ref="N134">$L134*(SUMPRODUCT(('Cashflow Summary C19RM'!$K$5:$K$239&lt;&gt;1)*('Cashflow Summary C19RM'!$D$5:$D$239=E134)*('Cashflow Summary C19RM'!$W$5:$W$239)))</f>
        <v>0</v>
      </c>
      <c r="O134" s="630" cm="1">
        <f t="array" ref="O134">$L134*(SUMPRODUCT(('Cashflow Summary C19RM'!$K$5:$K$239&lt;&gt;1)*('Cashflow Summary C19RM'!$D$5:$D$239=E134)*('Cashflow Summary C19RM'!$X$5:$X$239)))</f>
        <v>0</v>
      </c>
      <c r="P134" s="630" cm="1">
        <f t="array" ref="P134">$L134*(SUMPRODUCT(('Cashflow Summary C19RM'!$K$5:$K$239&lt;&gt;1)*('Cashflow Summary C19RM'!$D$5:$D$239=E134)*('Cashflow Summary C19RM'!$Y$5:$Y$239)))</f>
        <v>0</v>
      </c>
      <c r="Q134" s="632">
        <f t="shared" si="58"/>
        <v>0</v>
      </c>
      <c r="R134" s="686">
        <f t="shared" si="59"/>
        <v>0</v>
      </c>
      <c r="S134" s="633" cm="1">
        <f t="array" ref="S134">$R134*(SUMPRODUCT(('Cashflow Summary C19RM'!$K$5:$K$239&lt;&gt;1)*('Cashflow Summary C19RM'!$D$5:$D$239=E134)*('Cashflow Summary C19RM'!$Z$5:$Z$239)))</f>
        <v>0</v>
      </c>
      <c r="T134" s="633" cm="1">
        <f t="array" ref="T134">$R134*(SUMPRODUCT(('Cashflow Summary C19RM'!$K$5:$K$239&lt;&gt;1)*('Cashflow Summary C19RM'!$D$5:$D$239=E134)*('Cashflow Summary C19RM'!$AA$5:$AA$239)))</f>
        <v>0</v>
      </c>
      <c r="U134" s="633" cm="1">
        <f t="array" ref="U134">$R134*(SUMPRODUCT(('Cashflow Summary C19RM'!$K$5:$K$239&lt;&gt;1)*('Cashflow Summary C19RM'!$D$5:$D$239=E134)*('Cashflow Summary C19RM'!$AB$5:$AB$239)))</f>
        <v>0</v>
      </c>
      <c r="V134" s="633" cm="1">
        <f t="array" ref="V134">$R134*(SUMPRODUCT(('Cashflow Summary C19RM'!$K$5:$K$239&lt;&gt;1)*('Cashflow Summary C19RM'!$D$5:$D$239=E134)*('Cashflow Summary C19RM'!$AC$5:$AC$239)))</f>
        <v>0</v>
      </c>
      <c r="W134" s="634">
        <f t="shared" si="60"/>
        <v>0</v>
      </c>
      <c r="X134" s="686">
        <f t="shared" si="61"/>
        <v>0</v>
      </c>
      <c r="Y134" s="633" cm="1">
        <f t="array" ref="Y134">$X134*(SUMPRODUCT(('Cashflow Summary C19RM'!$K$5:$K$239&lt;&gt;1)*('Cashflow Summary C19RM'!$D$5:$D$239=E134)*('Cashflow Summary C19RM'!$AD$5:$AD$239)))</f>
        <v>0</v>
      </c>
      <c r="Z134" s="633" cm="1">
        <f t="array" ref="Z134">$X134*(SUMPRODUCT(('Cashflow Summary C19RM'!$K$5:$K$239&lt;&gt;1)*('Cashflow Summary C19RM'!$D$5:$D$239=E134)*('Cashflow Summary C19RM'!$AE$5:$AE$239)))</f>
        <v>0</v>
      </c>
      <c r="AA134" s="633" cm="1">
        <f t="array" ref="AA134">$X134*(SUMPRODUCT(('Cashflow Summary C19RM'!$K$5:$K$239&lt;&gt;1)*('Cashflow Summary C19RM'!$D$5:$D$239=E134)*('Cashflow Summary C19RM'!$AF$5:$AF$239)))</f>
        <v>0</v>
      </c>
      <c r="AB134" s="630" cm="1">
        <f t="array" ref="AB134">$X134*(SUMPRODUCT(('Cashflow Summary C19RM'!$K$5:$K$239&lt;&gt;1)*('Cashflow Summary C19RM'!$D$5:$D$239=E134)*('Cashflow Summary C19RM'!$AG$5:$AG$239)))</f>
        <v>0</v>
      </c>
      <c r="AC134" s="634">
        <f t="shared" si="62"/>
        <v>0</v>
      </c>
      <c r="AD134" s="686">
        <f t="shared" si="63"/>
        <v>0</v>
      </c>
      <c r="AE134" s="628" cm="1">
        <f t="array" ref="AE134">$AD134*(SUMPRODUCT(('Cashflow Summary C19RM'!$K$5:$K$239&lt;&gt;1)*('Cashflow Summary C19RM'!$D$5:$D$239=E134)*('Cashflow Summary C19RM'!$AH$5:$AH$239)))</f>
        <v>0</v>
      </c>
      <c r="AF134" s="633" cm="1">
        <f t="array" ref="AF134">$AD134*(SUMPRODUCT(('Cashflow Summary C19RM'!$K$5:$K$239&lt;&gt;1)*('Cashflow Summary C19RM'!$D$5:$D$239=E134)*('Cashflow Summary C19RM'!$AI$5:$AI$239)))</f>
        <v>0</v>
      </c>
      <c r="AG134" s="633" cm="1">
        <f t="array" ref="AG134">$AD134*(SUMPRODUCT(('Cashflow Summary C19RM'!$K$5:$K$239&lt;&gt;1)*('Cashflow Summary C19RM'!$D$5:$D$239=E134)*('Cashflow Summary C19RM'!$AJ$5:$AJ$239)))</f>
        <v>0</v>
      </c>
      <c r="AH134" s="633" cm="1">
        <f t="array" ref="AH134">$AD134*(SUMPRODUCT(('Cashflow Summary C19RM'!$K$5:$K$239&lt;&gt;1)*('Cashflow Summary C19RM'!$D$5:$D$239=E134)*('Cashflow Summary C19RM'!$AK$5:$AO$239)))</f>
        <v>0</v>
      </c>
      <c r="AI134" s="634">
        <f t="shared" si="64"/>
        <v>0</v>
      </c>
      <c r="AJ134" s="875">
        <v>0</v>
      </c>
      <c r="AK134" s="872"/>
      <c r="AL134" s="873"/>
      <c r="AM134" s="873"/>
      <c r="AN134" s="873"/>
      <c r="AO134" s="874"/>
      <c r="AP134" s="635">
        <f t="shared" si="71"/>
        <v>0</v>
      </c>
      <c r="AQ134" s="636">
        <v>7.6</v>
      </c>
      <c r="AR134" s="707"/>
      <c r="AS134" s="310"/>
      <c r="AV134" s="228">
        <f t="shared" si="65"/>
        <v>0</v>
      </c>
      <c r="AW134" s="228">
        <f t="shared" si="66"/>
        <v>0</v>
      </c>
      <c r="AX134" s="228">
        <f t="shared" si="67"/>
        <v>0</v>
      </c>
      <c r="AY134" s="228">
        <f t="shared" si="68"/>
        <v>0</v>
      </c>
      <c r="AZ134" s="228">
        <f t="shared" si="69"/>
        <v>0</v>
      </c>
      <c r="BA134" s="228"/>
      <c r="BC134" s="345" cm="1">
        <f t="array" ref="BC134">IF(BM134&gt;=1,0,IFERROR(SUMPRODUCT(($G$11:$AH$11=$BC$16)*($G134:$AH134)),0))</f>
        <v>0</v>
      </c>
      <c r="BD134" s="345" cm="1">
        <f t="array" ref="BD134">IF(BM134&gt;=1,0,IFERROR(SUMPRODUCT(($G$11:$AH$11=$BD$16)*($G134:$AH134)),0))</f>
        <v>0</v>
      </c>
      <c r="BE134" s="345" cm="1">
        <f t="array" ref="BE134">IF(BM134&gt;=1,0,IFERROR(SUMPRODUCT(($G$11:$AH$11=$BE$16)*($G134:$AH134)),0))</f>
        <v>0</v>
      </c>
      <c r="BF134" s="345" cm="1">
        <f t="array" ref="BF134">IF(BM134&gt;=1,0,IFERROR(SUMPRODUCT(($G$11:$AH$11=$BF$16)*($G134:$AH134)),0))</f>
        <v>0</v>
      </c>
      <c r="BG134" s="345" cm="1">
        <f t="array" ref="BG134">IF(BM134&gt;=1,0,IFERROR(SUMPRODUCT(($G$11:$AH$11=$BG$16)*($G134:$AH134)),0))</f>
        <v>0</v>
      </c>
      <c r="BH134" s="345"/>
      <c r="BI134" s="343">
        <f t="shared" si="72"/>
        <v>0</v>
      </c>
      <c r="BJ134" s="230" t="s">
        <v>83</v>
      </c>
      <c r="BK134" cm="1">
        <f t="array" ref="BK134">(SUMPRODUCT(('Cashflow Summary C19RM'!$D$5:$D$451=E134)*('Cashflow Summary C19RM'!$BD$5:$BD$451)))</f>
        <v>0</v>
      </c>
      <c r="BL134" cm="1">
        <f t="array" ref="BL134">(SUMPRODUCT((SETUP!$D$20:$D$67=E134)*(SETUP!$R$20:$R$67)))</f>
        <v>0</v>
      </c>
      <c r="BM134" s="89">
        <f t="shared" si="70"/>
        <v>0</v>
      </c>
    </row>
    <row r="135" spans="1:65" s="89" customFormat="1" ht="15" customHeight="1" x14ac:dyDescent="0.35">
      <c r="A135" s="89" t="s">
        <v>216</v>
      </c>
      <c r="B135" s="211" t="s">
        <v>746</v>
      </c>
      <c r="C135" s="699" t="s">
        <v>2750</v>
      </c>
      <c r="D135" s="1314"/>
      <c r="E135" s="1010" t="s">
        <v>13</v>
      </c>
      <c r="F135" s="697">
        <v>0</v>
      </c>
      <c r="G135" s="628" cm="1">
        <f t="array" ref="G135">$F135*(SUMPRODUCT(('Cashflow Summary C19RM'!$K$5:$K$239&lt;&gt;1)*('Cashflow Summary C19RM'!$D$5:$D$239=E135)*('Cashflow Summary C19RM'!$R$5:$R$239)))</f>
        <v>0</v>
      </c>
      <c r="H135" s="629" cm="1">
        <f t="array" ref="H135">$F135*(SUMPRODUCT(('Cashflow Summary C19RM'!$K$5:$K$239&lt;&gt;1)*('Cashflow Summary C19RM'!$D$5:$D$239=E135)*('Cashflow Summary C19RM'!$S$5:$S$239)))</f>
        <v>0</v>
      </c>
      <c r="I135" s="630" cm="1">
        <f t="array" ref="I135">$F135*(SUMPRODUCT(('Cashflow Summary C19RM'!$K$5:$K$239&lt;&gt;1)*('Cashflow Summary C19RM'!$D$5:$D$239=E135)*('Cashflow Summary C19RM'!$T$5:$T$239)))</f>
        <v>0</v>
      </c>
      <c r="J135" s="630" cm="1">
        <f t="array" ref="J135">$F135*(SUMPRODUCT(('Cashflow Summary C19RM'!$K$5:$K$239&lt;&gt;1)*('Cashflow Summary C19RM'!$D$5:$D$239=E135)*('Cashflow Summary C19RM'!$U$5:$U$239)))</f>
        <v>0</v>
      </c>
      <c r="K135" s="631">
        <f t="shared" si="56"/>
        <v>0</v>
      </c>
      <c r="L135" s="686">
        <f t="shared" si="57"/>
        <v>0</v>
      </c>
      <c r="M135" s="630" cm="1">
        <f t="array" ref="M135">$L135*(SUMPRODUCT(('Cashflow Summary C19RM'!$K$5:$K$239&lt;&gt;1)*('Cashflow Summary C19RM'!$D$5:$D$239=E135)*('Cashflow Summary C19RM'!$V$5:$V$239)))</f>
        <v>0</v>
      </c>
      <c r="N135" s="630" cm="1">
        <f t="array" ref="N135">$L135*(SUMPRODUCT(('Cashflow Summary C19RM'!$K$5:$K$239&lt;&gt;1)*('Cashflow Summary C19RM'!$D$5:$D$239=E135)*('Cashflow Summary C19RM'!$W$5:$W$239)))</f>
        <v>0</v>
      </c>
      <c r="O135" s="630" cm="1">
        <f t="array" ref="O135">$L135*(SUMPRODUCT(('Cashflow Summary C19RM'!$K$5:$K$239&lt;&gt;1)*('Cashflow Summary C19RM'!$D$5:$D$239=E135)*('Cashflow Summary C19RM'!$X$5:$X$239)))</f>
        <v>0</v>
      </c>
      <c r="P135" s="630" cm="1">
        <f t="array" ref="P135">$L135*(SUMPRODUCT(('Cashflow Summary C19RM'!$K$5:$K$239&lt;&gt;1)*('Cashflow Summary C19RM'!$D$5:$D$239=E135)*('Cashflow Summary C19RM'!$Y$5:$Y$239)))</f>
        <v>0</v>
      </c>
      <c r="Q135" s="632">
        <f t="shared" si="58"/>
        <v>0</v>
      </c>
      <c r="R135" s="686">
        <f t="shared" si="59"/>
        <v>0</v>
      </c>
      <c r="S135" s="633" cm="1">
        <f t="array" ref="S135">$R135*(SUMPRODUCT(('Cashflow Summary C19RM'!$K$5:$K$239&lt;&gt;1)*('Cashflow Summary C19RM'!$D$5:$D$239=E135)*('Cashflow Summary C19RM'!$Z$5:$Z$239)))</f>
        <v>0</v>
      </c>
      <c r="T135" s="633" cm="1">
        <f t="array" ref="T135">$R135*(SUMPRODUCT(('Cashflow Summary C19RM'!$K$5:$K$239&lt;&gt;1)*('Cashflow Summary C19RM'!$D$5:$D$239=E135)*('Cashflow Summary C19RM'!$AA$5:$AA$239)))</f>
        <v>0</v>
      </c>
      <c r="U135" s="633" cm="1">
        <f t="array" ref="U135">$R135*(SUMPRODUCT(('Cashflow Summary C19RM'!$K$5:$K$239&lt;&gt;1)*('Cashflow Summary C19RM'!$D$5:$D$239=E135)*('Cashflow Summary C19RM'!$AB$5:$AB$239)))</f>
        <v>0</v>
      </c>
      <c r="V135" s="633" cm="1">
        <f t="array" ref="V135">$R135*(SUMPRODUCT(('Cashflow Summary C19RM'!$K$5:$K$239&lt;&gt;1)*('Cashflow Summary C19RM'!$D$5:$D$239=E135)*('Cashflow Summary C19RM'!$AC$5:$AC$239)))</f>
        <v>0</v>
      </c>
      <c r="W135" s="634">
        <f t="shared" si="60"/>
        <v>0</v>
      </c>
      <c r="X135" s="686">
        <f t="shared" si="61"/>
        <v>0</v>
      </c>
      <c r="Y135" s="633" cm="1">
        <f t="array" ref="Y135">$X135*(SUMPRODUCT(('Cashflow Summary C19RM'!$K$5:$K$239&lt;&gt;1)*('Cashflow Summary C19RM'!$D$5:$D$239=E135)*('Cashflow Summary C19RM'!$AD$5:$AD$239)))</f>
        <v>0</v>
      </c>
      <c r="Z135" s="633" cm="1">
        <f t="array" ref="Z135">$X135*(SUMPRODUCT(('Cashflow Summary C19RM'!$K$5:$K$239&lt;&gt;1)*('Cashflow Summary C19RM'!$D$5:$D$239=E135)*('Cashflow Summary C19RM'!$AE$5:$AE$239)))</f>
        <v>0</v>
      </c>
      <c r="AA135" s="633" cm="1">
        <f t="array" ref="AA135">$X135*(SUMPRODUCT(('Cashflow Summary C19RM'!$K$5:$K$239&lt;&gt;1)*('Cashflow Summary C19RM'!$D$5:$D$239=E135)*('Cashflow Summary C19RM'!$AF$5:$AF$239)))</f>
        <v>0</v>
      </c>
      <c r="AB135" s="630" cm="1">
        <f t="array" ref="AB135">$X135*(SUMPRODUCT(('Cashflow Summary C19RM'!$K$5:$K$239&lt;&gt;1)*('Cashflow Summary C19RM'!$D$5:$D$239=E135)*('Cashflow Summary C19RM'!$AG$5:$AG$239)))</f>
        <v>0</v>
      </c>
      <c r="AC135" s="634">
        <f t="shared" si="62"/>
        <v>0</v>
      </c>
      <c r="AD135" s="686">
        <f t="shared" si="63"/>
        <v>0</v>
      </c>
      <c r="AE135" s="628" cm="1">
        <f t="array" ref="AE135">$AD135*(SUMPRODUCT(('Cashflow Summary C19RM'!$K$5:$K$239&lt;&gt;1)*('Cashflow Summary C19RM'!$D$5:$D$239=E135)*('Cashflow Summary C19RM'!$AH$5:$AH$239)))</f>
        <v>0</v>
      </c>
      <c r="AF135" s="633" cm="1">
        <f t="array" ref="AF135">$AD135*(SUMPRODUCT(('Cashflow Summary C19RM'!$K$5:$K$239&lt;&gt;1)*('Cashflow Summary C19RM'!$D$5:$D$239=E135)*('Cashflow Summary C19RM'!$AI$5:$AI$239)))</f>
        <v>0</v>
      </c>
      <c r="AG135" s="633" cm="1">
        <f t="array" ref="AG135">$AD135*(SUMPRODUCT(('Cashflow Summary C19RM'!$K$5:$K$239&lt;&gt;1)*('Cashflow Summary C19RM'!$D$5:$D$239=E135)*('Cashflow Summary C19RM'!$AJ$5:$AJ$239)))</f>
        <v>0</v>
      </c>
      <c r="AH135" s="633" cm="1">
        <f t="array" ref="AH135">$AD135*(SUMPRODUCT(('Cashflow Summary C19RM'!$K$5:$K$239&lt;&gt;1)*('Cashflow Summary C19RM'!$D$5:$D$239=E135)*('Cashflow Summary C19RM'!$AK$5:$AO$239)))</f>
        <v>0</v>
      </c>
      <c r="AI135" s="634">
        <f t="shared" si="64"/>
        <v>0</v>
      </c>
      <c r="AJ135" s="875">
        <v>0</v>
      </c>
      <c r="AK135" s="872"/>
      <c r="AL135" s="873"/>
      <c r="AM135" s="873"/>
      <c r="AN135" s="873"/>
      <c r="AO135" s="874"/>
      <c r="AP135" s="635">
        <f t="shared" si="71"/>
        <v>0</v>
      </c>
      <c r="AQ135" s="636">
        <v>7.6</v>
      </c>
      <c r="AR135" s="707"/>
      <c r="AS135" s="310"/>
      <c r="AV135" s="228">
        <f t="shared" si="65"/>
        <v>0</v>
      </c>
      <c r="AW135" s="228">
        <f t="shared" si="66"/>
        <v>0</v>
      </c>
      <c r="AX135" s="228">
        <f t="shared" si="67"/>
        <v>0</v>
      </c>
      <c r="AY135" s="228">
        <f t="shared" si="68"/>
        <v>0</v>
      </c>
      <c r="AZ135" s="228">
        <f t="shared" si="69"/>
        <v>0</v>
      </c>
      <c r="BA135" s="228"/>
      <c r="BC135" s="345" cm="1">
        <f t="array" ref="BC135">IF(BM135&gt;=1,0,IFERROR(SUMPRODUCT(($G$11:$AH$11=$BC$16)*($G135:$AH135)),0))</f>
        <v>0</v>
      </c>
      <c r="BD135" s="345" cm="1">
        <f t="array" ref="BD135">IF(BM135&gt;=1,0,IFERROR(SUMPRODUCT(($G$11:$AH$11=$BD$16)*($G135:$AH135)),0))</f>
        <v>0</v>
      </c>
      <c r="BE135" s="345" cm="1">
        <f t="array" ref="BE135">IF(BM135&gt;=1,0,IFERROR(SUMPRODUCT(($G$11:$AH$11=$BE$16)*($G135:$AH135)),0))</f>
        <v>0</v>
      </c>
      <c r="BF135" s="345" cm="1">
        <f t="array" ref="BF135">IF(BM135&gt;=1,0,IFERROR(SUMPRODUCT(($G$11:$AH$11=$BF$16)*($G135:$AH135)),0))</f>
        <v>0</v>
      </c>
      <c r="BG135" s="345" cm="1">
        <f t="array" ref="BG135">IF(BM135&gt;=1,0,IFERROR(SUMPRODUCT(($G$11:$AH$11=$BG$16)*($G135:$AH135)),0))</f>
        <v>0</v>
      </c>
      <c r="BH135" s="345"/>
      <c r="BI135" s="343">
        <f t="shared" si="72"/>
        <v>0</v>
      </c>
      <c r="BJ135" s="230" t="s">
        <v>83</v>
      </c>
      <c r="BK135" cm="1">
        <f t="array" ref="BK135">(SUMPRODUCT(('Cashflow Summary C19RM'!$D$5:$D$451=E135)*('Cashflow Summary C19RM'!$BD$5:$BD$451)))</f>
        <v>0</v>
      </c>
      <c r="BL135" cm="1">
        <f t="array" ref="BL135">(SUMPRODUCT((SETUP!$D$20:$D$67=E135)*(SETUP!$R$20:$R$67)))</f>
        <v>0</v>
      </c>
      <c r="BM135" s="89">
        <f t="shared" si="70"/>
        <v>0</v>
      </c>
    </row>
    <row r="136" spans="1:65" s="89" customFormat="1" ht="15" customHeight="1" x14ac:dyDescent="0.35">
      <c r="A136" s="89" t="s">
        <v>216</v>
      </c>
      <c r="B136" s="211" t="s">
        <v>746</v>
      </c>
      <c r="C136" s="699" t="s">
        <v>2750</v>
      </c>
      <c r="D136" s="1314"/>
      <c r="E136" s="1010" t="s">
        <v>17</v>
      </c>
      <c r="F136" s="697">
        <v>0</v>
      </c>
      <c r="G136" s="628" cm="1">
        <f t="array" ref="G136">$F136*(SUMPRODUCT(('Cashflow Summary C19RM'!$K$5:$K$239&lt;&gt;1)*('Cashflow Summary C19RM'!$D$5:$D$239=E136)*('Cashflow Summary C19RM'!$R$5:$R$239)))</f>
        <v>0</v>
      </c>
      <c r="H136" s="629" cm="1">
        <f t="array" ref="H136">$F136*(SUMPRODUCT(('Cashflow Summary C19RM'!$K$5:$K$239&lt;&gt;1)*('Cashflow Summary C19RM'!$D$5:$D$239=E136)*('Cashflow Summary C19RM'!$S$5:$S$239)))</f>
        <v>0</v>
      </c>
      <c r="I136" s="630" cm="1">
        <f t="array" ref="I136">$F136*(SUMPRODUCT(('Cashflow Summary C19RM'!$K$5:$K$239&lt;&gt;1)*('Cashflow Summary C19RM'!$D$5:$D$239=E136)*('Cashflow Summary C19RM'!$T$5:$T$239)))</f>
        <v>0</v>
      </c>
      <c r="J136" s="630" cm="1">
        <f t="array" ref="J136">$F136*(SUMPRODUCT(('Cashflow Summary C19RM'!$K$5:$K$239&lt;&gt;1)*('Cashflow Summary C19RM'!$D$5:$D$239=E136)*('Cashflow Summary C19RM'!$U$5:$U$239)))</f>
        <v>0</v>
      </c>
      <c r="K136" s="631">
        <f t="shared" si="56"/>
        <v>0</v>
      </c>
      <c r="L136" s="686">
        <f t="shared" si="57"/>
        <v>0</v>
      </c>
      <c r="M136" s="630" cm="1">
        <f t="array" ref="M136">$L136*(SUMPRODUCT(('Cashflow Summary C19RM'!$K$5:$K$239&lt;&gt;1)*('Cashflow Summary C19RM'!$D$5:$D$239=E136)*('Cashflow Summary C19RM'!$V$5:$V$239)))</f>
        <v>0</v>
      </c>
      <c r="N136" s="630" cm="1">
        <f t="array" ref="N136">$L136*(SUMPRODUCT(('Cashflow Summary C19RM'!$K$5:$K$239&lt;&gt;1)*('Cashflow Summary C19RM'!$D$5:$D$239=E136)*('Cashflow Summary C19RM'!$W$5:$W$239)))</f>
        <v>0</v>
      </c>
      <c r="O136" s="630" cm="1">
        <f t="array" ref="O136">$L136*(SUMPRODUCT(('Cashflow Summary C19RM'!$K$5:$K$239&lt;&gt;1)*('Cashflow Summary C19RM'!$D$5:$D$239=E136)*('Cashflow Summary C19RM'!$X$5:$X$239)))</f>
        <v>0</v>
      </c>
      <c r="P136" s="630" cm="1">
        <f t="array" ref="P136">$L136*(SUMPRODUCT(('Cashflow Summary C19RM'!$K$5:$K$239&lt;&gt;1)*('Cashflow Summary C19RM'!$D$5:$D$239=E136)*('Cashflow Summary C19RM'!$Y$5:$Y$239)))</f>
        <v>0</v>
      </c>
      <c r="Q136" s="632">
        <f t="shared" si="58"/>
        <v>0</v>
      </c>
      <c r="R136" s="686">
        <f t="shared" si="59"/>
        <v>0</v>
      </c>
      <c r="S136" s="633" cm="1">
        <f t="array" ref="S136">$R136*(SUMPRODUCT(('Cashflow Summary C19RM'!$K$5:$K$239&lt;&gt;1)*('Cashflow Summary C19RM'!$D$5:$D$239=E136)*('Cashflow Summary C19RM'!$Z$5:$Z$239)))</f>
        <v>0</v>
      </c>
      <c r="T136" s="633" cm="1">
        <f t="array" ref="T136">$R136*(SUMPRODUCT(('Cashflow Summary C19RM'!$K$5:$K$239&lt;&gt;1)*('Cashflow Summary C19RM'!$D$5:$D$239=E136)*('Cashflow Summary C19RM'!$AA$5:$AA$239)))</f>
        <v>0</v>
      </c>
      <c r="U136" s="633" cm="1">
        <f t="array" ref="U136">$R136*(SUMPRODUCT(('Cashflow Summary C19RM'!$K$5:$K$239&lt;&gt;1)*('Cashflow Summary C19RM'!$D$5:$D$239=E136)*('Cashflow Summary C19RM'!$AB$5:$AB$239)))</f>
        <v>0</v>
      </c>
      <c r="V136" s="633" cm="1">
        <f t="array" ref="V136">$R136*(SUMPRODUCT(('Cashflow Summary C19RM'!$K$5:$K$239&lt;&gt;1)*('Cashflow Summary C19RM'!$D$5:$D$239=E136)*('Cashflow Summary C19RM'!$AC$5:$AC$239)))</f>
        <v>0</v>
      </c>
      <c r="W136" s="634">
        <f t="shared" si="60"/>
        <v>0</v>
      </c>
      <c r="X136" s="686">
        <f t="shared" si="61"/>
        <v>0</v>
      </c>
      <c r="Y136" s="633" cm="1">
        <f t="array" ref="Y136">$X136*(SUMPRODUCT(('Cashflow Summary C19RM'!$K$5:$K$239&lt;&gt;1)*('Cashflow Summary C19RM'!$D$5:$D$239=E136)*('Cashflow Summary C19RM'!$AD$5:$AD$239)))</f>
        <v>0</v>
      </c>
      <c r="Z136" s="633" cm="1">
        <f t="array" ref="Z136">$X136*(SUMPRODUCT(('Cashflow Summary C19RM'!$K$5:$K$239&lt;&gt;1)*('Cashflow Summary C19RM'!$D$5:$D$239=E136)*('Cashflow Summary C19RM'!$AE$5:$AE$239)))</f>
        <v>0</v>
      </c>
      <c r="AA136" s="633" cm="1">
        <f t="array" ref="AA136">$X136*(SUMPRODUCT(('Cashflow Summary C19RM'!$K$5:$K$239&lt;&gt;1)*('Cashflow Summary C19RM'!$D$5:$D$239=E136)*('Cashflow Summary C19RM'!$AF$5:$AF$239)))</f>
        <v>0</v>
      </c>
      <c r="AB136" s="630" cm="1">
        <f t="array" ref="AB136">$X136*(SUMPRODUCT(('Cashflow Summary C19RM'!$K$5:$K$239&lt;&gt;1)*('Cashflow Summary C19RM'!$D$5:$D$239=E136)*('Cashflow Summary C19RM'!$AG$5:$AG$239)))</f>
        <v>0</v>
      </c>
      <c r="AC136" s="634">
        <f t="shared" si="62"/>
        <v>0</v>
      </c>
      <c r="AD136" s="686">
        <f t="shared" si="63"/>
        <v>0</v>
      </c>
      <c r="AE136" s="628" cm="1">
        <f t="array" ref="AE136">$AD136*(SUMPRODUCT(('Cashflow Summary C19RM'!$K$5:$K$239&lt;&gt;1)*('Cashflow Summary C19RM'!$D$5:$D$239=E136)*('Cashflow Summary C19RM'!$AH$5:$AH$239)))</f>
        <v>0</v>
      </c>
      <c r="AF136" s="633" cm="1">
        <f t="array" ref="AF136">$AD136*(SUMPRODUCT(('Cashflow Summary C19RM'!$K$5:$K$239&lt;&gt;1)*('Cashflow Summary C19RM'!$D$5:$D$239=E136)*('Cashflow Summary C19RM'!$AI$5:$AI$239)))</f>
        <v>0</v>
      </c>
      <c r="AG136" s="633" cm="1">
        <f t="array" ref="AG136">$AD136*(SUMPRODUCT(('Cashflow Summary C19RM'!$K$5:$K$239&lt;&gt;1)*('Cashflow Summary C19RM'!$D$5:$D$239=E136)*('Cashflow Summary C19RM'!$AJ$5:$AJ$239)))</f>
        <v>0</v>
      </c>
      <c r="AH136" s="633" cm="1">
        <f t="array" ref="AH136">$AD136*(SUMPRODUCT(('Cashflow Summary C19RM'!$K$5:$K$239&lt;&gt;1)*('Cashflow Summary C19RM'!$D$5:$D$239=E136)*('Cashflow Summary C19RM'!$AK$5:$AO$239)))</f>
        <v>0</v>
      </c>
      <c r="AI136" s="634">
        <f t="shared" si="64"/>
        <v>0</v>
      </c>
      <c r="AJ136" s="875">
        <v>0</v>
      </c>
      <c r="AK136" s="872"/>
      <c r="AL136" s="873"/>
      <c r="AM136" s="873"/>
      <c r="AN136" s="873"/>
      <c r="AO136" s="874"/>
      <c r="AP136" s="635">
        <f t="shared" si="71"/>
        <v>0</v>
      </c>
      <c r="AQ136" s="636">
        <v>7.6</v>
      </c>
      <c r="AR136" s="707"/>
      <c r="AS136" s="310"/>
      <c r="AV136" s="228">
        <f t="shared" si="65"/>
        <v>0</v>
      </c>
      <c r="AW136" s="228">
        <f t="shared" si="66"/>
        <v>0</v>
      </c>
      <c r="AX136" s="228">
        <f t="shared" si="67"/>
        <v>0</v>
      </c>
      <c r="AY136" s="228">
        <f t="shared" si="68"/>
        <v>0</v>
      </c>
      <c r="AZ136" s="228">
        <f t="shared" si="69"/>
        <v>0</v>
      </c>
      <c r="BA136" s="228"/>
      <c r="BC136" s="345" cm="1">
        <f t="array" ref="BC136">IF(BM136&gt;=1,0,IFERROR(SUMPRODUCT(($G$11:$AH$11=$BC$16)*($G136:$AH136)),0))</f>
        <v>0</v>
      </c>
      <c r="BD136" s="345" cm="1">
        <f t="array" ref="BD136">IF(BM136&gt;=1,0,IFERROR(SUMPRODUCT(($G$11:$AH$11=$BD$16)*($G136:$AH136)),0))</f>
        <v>0</v>
      </c>
      <c r="BE136" s="345" cm="1">
        <f t="array" ref="BE136">IF(BM136&gt;=1,0,IFERROR(SUMPRODUCT(($G$11:$AH$11=$BE$16)*($G136:$AH136)),0))</f>
        <v>0</v>
      </c>
      <c r="BF136" s="345" cm="1">
        <f t="array" ref="BF136">IF(BM136&gt;=1,0,IFERROR(SUMPRODUCT(($G$11:$AH$11=$BF$16)*($G136:$AH136)),0))</f>
        <v>0</v>
      </c>
      <c r="BG136" s="345" cm="1">
        <f t="array" ref="BG136">IF(BM136&gt;=1,0,IFERROR(SUMPRODUCT(($G$11:$AH$11=$BG$16)*($G136:$AH136)),0))</f>
        <v>0</v>
      </c>
      <c r="BH136" s="345"/>
      <c r="BI136" s="343">
        <f t="shared" si="72"/>
        <v>0</v>
      </c>
      <c r="BJ136" s="230" t="s">
        <v>83</v>
      </c>
      <c r="BK136" cm="1">
        <f t="array" ref="BK136">(SUMPRODUCT(('Cashflow Summary C19RM'!$D$5:$D$451=E136)*('Cashflow Summary C19RM'!$BD$5:$BD$451)))</f>
        <v>0</v>
      </c>
      <c r="BL136" cm="1">
        <f t="array" ref="BL136">(SUMPRODUCT((SETUP!$D$20:$D$67=E136)*(SETUP!$R$20:$R$67)))</f>
        <v>0</v>
      </c>
      <c r="BM136" s="89">
        <f t="shared" si="70"/>
        <v>0</v>
      </c>
    </row>
    <row r="137" spans="1:65" s="89" customFormat="1" ht="15" customHeight="1" x14ac:dyDescent="0.35">
      <c r="A137" s="89" t="s">
        <v>216</v>
      </c>
      <c r="B137" s="211" t="s">
        <v>746</v>
      </c>
      <c r="C137" s="699" t="s">
        <v>2750</v>
      </c>
      <c r="D137" s="1314"/>
      <c r="E137" s="1010" t="s">
        <v>19</v>
      </c>
      <c r="F137" s="697">
        <v>0</v>
      </c>
      <c r="G137" s="628" cm="1">
        <f t="array" ref="G137">$F137*(SUMPRODUCT(('Cashflow Summary C19RM'!$K$5:$K$239&lt;&gt;1)*('Cashflow Summary C19RM'!$D$5:$D$239=E137)*('Cashflow Summary C19RM'!$R$5:$R$239)))</f>
        <v>0</v>
      </c>
      <c r="H137" s="629" cm="1">
        <f t="array" ref="H137">$F137*(SUMPRODUCT(('Cashflow Summary C19RM'!$K$5:$K$239&lt;&gt;1)*('Cashflow Summary C19RM'!$D$5:$D$239=E137)*('Cashflow Summary C19RM'!$S$5:$S$239)))</f>
        <v>0</v>
      </c>
      <c r="I137" s="630" cm="1">
        <f t="array" ref="I137">$F137*(SUMPRODUCT(('Cashflow Summary C19RM'!$K$5:$K$239&lt;&gt;1)*('Cashflow Summary C19RM'!$D$5:$D$239=E137)*('Cashflow Summary C19RM'!$T$5:$T$239)))</f>
        <v>0</v>
      </c>
      <c r="J137" s="630" cm="1">
        <f t="array" ref="J137">$F137*(SUMPRODUCT(('Cashflow Summary C19RM'!$K$5:$K$239&lt;&gt;1)*('Cashflow Summary C19RM'!$D$5:$D$239=E137)*('Cashflow Summary C19RM'!$U$5:$U$239)))</f>
        <v>0</v>
      </c>
      <c r="K137" s="631">
        <f t="shared" si="56"/>
        <v>0</v>
      </c>
      <c r="L137" s="686">
        <f t="shared" si="57"/>
        <v>0</v>
      </c>
      <c r="M137" s="630" cm="1">
        <f t="array" ref="M137">$L137*(SUMPRODUCT(('Cashflow Summary C19RM'!$K$5:$K$239&lt;&gt;1)*('Cashflow Summary C19RM'!$D$5:$D$239=E137)*('Cashflow Summary C19RM'!$V$5:$V$239)))</f>
        <v>0</v>
      </c>
      <c r="N137" s="630" cm="1">
        <f t="array" ref="N137">$L137*(SUMPRODUCT(('Cashflow Summary C19RM'!$K$5:$K$239&lt;&gt;1)*('Cashflow Summary C19RM'!$D$5:$D$239=E137)*('Cashflow Summary C19RM'!$W$5:$W$239)))</f>
        <v>0</v>
      </c>
      <c r="O137" s="630" cm="1">
        <f t="array" ref="O137">$L137*(SUMPRODUCT(('Cashflow Summary C19RM'!$K$5:$K$239&lt;&gt;1)*('Cashflow Summary C19RM'!$D$5:$D$239=E137)*('Cashflow Summary C19RM'!$X$5:$X$239)))</f>
        <v>0</v>
      </c>
      <c r="P137" s="630" cm="1">
        <f t="array" ref="P137">$L137*(SUMPRODUCT(('Cashflow Summary C19RM'!$K$5:$K$239&lt;&gt;1)*('Cashflow Summary C19RM'!$D$5:$D$239=E137)*('Cashflow Summary C19RM'!$Y$5:$Y$239)))</f>
        <v>0</v>
      </c>
      <c r="Q137" s="632">
        <f t="shared" si="58"/>
        <v>0</v>
      </c>
      <c r="R137" s="686">
        <f t="shared" si="59"/>
        <v>0</v>
      </c>
      <c r="S137" s="633" cm="1">
        <f t="array" ref="S137">$R137*(SUMPRODUCT(('Cashflow Summary C19RM'!$K$5:$K$239&lt;&gt;1)*('Cashflow Summary C19RM'!$D$5:$D$239=E137)*('Cashflow Summary C19RM'!$Z$5:$Z$239)))</f>
        <v>0</v>
      </c>
      <c r="T137" s="633" cm="1">
        <f t="array" ref="T137">$R137*(SUMPRODUCT(('Cashflow Summary C19RM'!$K$5:$K$239&lt;&gt;1)*('Cashflow Summary C19RM'!$D$5:$D$239=E137)*('Cashflow Summary C19RM'!$AA$5:$AA$239)))</f>
        <v>0</v>
      </c>
      <c r="U137" s="633" cm="1">
        <f t="array" ref="U137">$R137*(SUMPRODUCT(('Cashflow Summary C19RM'!$K$5:$K$239&lt;&gt;1)*('Cashflow Summary C19RM'!$D$5:$D$239=E137)*('Cashflow Summary C19RM'!$AB$5:$AB$239)))</f>
        <v>0</v>
      </c>
      <c r="V137" s="633" cm="1">
        <f t="array" ref="V137">$R137*(SUMPRODUCT(('Cashflow Summary C19RM'!$K$5:$K$239&lt;&gt;1)*('Cashflow Summary C19RM'!$D$5:$D$239=E137)*('Cashflow Summary C19RM'!$AC$5:$AC$239)))</f>
        <v>0</v>
      </c>
      <c r="W137" s="634">
        <f t="shared" si="60"/>
        <v>0</v>
      </c>
      <c r="X137" s="686">
        <f t="shared" si="61"/>
        <v>0</v>
      </c>
      <c r="Y137" s="633" cm="1">
        <f t="array" ref="Y137">$X137*(SUMPRODUCT(('Cashflow Summary C19RM'!$K$5:$K$239&lt;&gt;1)*('Cashflow Summary C19RM'!$D$5:$D$239=E137)*('Cashflow Summary C19RM'!$AD$5:$AD$239)))</f>
        <v>0</v>
      </c>
      <c r="Z137" s="633" cm="1">
        <f t="array" ref="Z137">$X137*(SUMPRODUCT(('Cashflow Summary C19RM'!$K$5:$K$239&lt;&gt;1)*('Cashflow Summary C19RM'!$D$5:$D$239=E137)*('Cashflow Summary C19RM'!$AE$5:$AE$239)))</f>
        <v>0</v>
      </c>
      <c r="AA137" s="633" cm="1">
        <f t="array" ref="AA137">$X137*(SUMPRODUCT(('Cashflow Summary C19RM'!$K$5:$K$239&lt;&gt;1)*('Cashflow Summary C19RM'!$D$5:$D$239=E137)*('Cashflow Summary C19RM'!$AF$5:$AF$239)))</f>
        <v>0</v>
      </c>
      <c r="AB137" s="630" cm="1">
        <f t="array" ref="AB137">$X137*(SUMPRODUCT(('Cashflow Summary C19RM'!$K$5:$K$239&lt;&gt;1)*('Cashflow Summary C19RM'!$D$5:$D$239=E137)*('Cashflow Summary C19RM'!$AG$5:$AG$239)))</f>
        <v>0</v>
      </c>
      <c r="AC137" s="634">
        <f t="shared" si="62"/>
        <v>0</v>
      </c>
      <c r="AD137" s="686">
        <f t="shared" si="63"/>
        <v>0</v>
      </c>
      <c r="AE137" s="628" cm="1">
        <f t="array" ref="AE137">$AD137*(SUMPRODUCT(('Cashflow Summary C19RM'!$K$5:$K$239&lt;&gt;1)*('Cashflow Summary C19RM'!$D$5:$D$239=E137)*('Cashflow Summary C19RM'!$AH$5:$AH$239)))</f>
        <v>0</v>
      </c>
      <c r="AF137" s="633" cm="1">
        <f t="array" ref="AF137">$AD137*(SUMPRODUCT(('Cashflow Summary C19RM'!$K$5:$K$239&lt;&gt;1)*('Cashflow Summary C19RM'!$D$5:$D$239=E137)*('Cashflow Summary C19RM'!$AI$5:$AI$239)))</f>
        <v>0</v>
      </c>
      <c r="AG137" s="633" cm="1">
        <f t="array" ref="AG137">$AD137*(SUMPRODUCT(('Cashflow Summary C19RM'!$K$5:$K$239&lt;&gt;1)*('Cashflow Summary C19RM'!$D$5:$D$239=E137)*('Cashflow Summary C19RM'!$AJ$5:$AJ$239)))</f>
        <v>0</v>
      </c>
      <c r="AH137" s="633" cm="1">
        <f t="array" ref="AH137">$AD137*(SUMPRODUCT(('Cashflow Summary C19RM'!$K$5:$K$239&lt;&gt;1)*('Cashflow Summary C19RM'!$D$5:$D$239=E137)*('Cashflow Summary C19RM'!$AK$5:$AO$239)))</f>
        <v>0</v>
      </c>
      <c r="AI137" s="634">
        <f t="shared" si="64"/>
        <v>0</v>
      </c>
      <c r="AJ137" s="875">
        <v>0</v>
      </c>
      <c r="AK137" s="872"/>
      <c r="AL137" s="873"/>
      <c r="AM137" s="873"/>
      <c r="AN137" s="873"/>
      <c r="AO137" s="874"/>
      <c r="AP137" s="635">
        <f t="shared" si="71"/>
        <v>0</v>
      </c>
      <c r="AQ137" s="636">
        <v>7.6</v>
      </c>
      <c r="AR137" s="707"/>
      <c r="AS137" s="310"/>
      <c r="AV137" s="228">
        <f t="shared" si="65"/>
        <v>0</v>
      </c>
      <c r="AW137" s="228">
        <f t="shared" si="66"/>
        <v>0</v>
      </c>
      <c r="AX137" s="228">
        <f t="shared" si="67"/>
        <v>0</v>
      </c>
      <c r="AY137" s="228">
        <f t="shared" si="68"/>
        <v>0</v>
      </c>
      <c r="AZ137" s="228">
        <f t="shared" si="69"/>
        <v>0</v>
      </c>
      <c r="BA137" s="228"/>
      <c r="BC137" s="345" cm="1">
        <f t="array" ref="BC137">IF(BM137&gt;=1,0,IFERROR(SUMPRODUCT(($G$11:$AH$11=$BC$16)*($G137:$AH137)),0))</f>
        <v>0</v>
      </c>
      <c r="BD137" s="345" cm="1">
        <f t="array" ref="BD137">IF(BM137&gt;=1,0,IFERROR(SUMPRODUCT(($G$11:$AH$11=$BD$16)*($G137:$AH137)),0))</f>
        <v>0</v>
      </c>
      <c r="BE137" s="345" cm="1">
        <f t="array" ref="BE137">IF(BM137&gt;=1,0,IFERROR(SUMPRODUCT(($G$11:$AH$11=$BE$16)*($G137:$AH137)),0))</f>
        <v>0</v>
      </c>
      <c r="BF137" s="345" cm="1">
        <f t="array" ref="BF137">IF(BM137&gt;=1,0,IFERROR(SUMPRODUCT(($G$11:$AH$11=$BF$16)*($G137:$AH137)),0))</f>
        <v>0</v>
      </c>
      <c r="BG137" s="345" cm="1">
        <f t="array" ref="BG137">IF(BM137&gt;=1,0,IFERROR(SUMPRODUCT(($G$11:$AH$11=$BG$16)*($G137:$AH137)),0))</f>
        <v>0</v>
      </c>
      <c r="BH137" s="345"/>
      <c r="BI137" s="343">
        <f t="shared" si="72"/>
        <v>0</v>
      </c>
      <c r="BJ137" s="230" t="s">
        <v>83</v>
      </c>
      <c r="BK137" cm="1">
        <f t="array" ref="BK137">(SUMPRODUCT(('Cashflow Summary C19RM'!$D$5:$D$451=E137)*('Cashflow Summary C19RM'!$BD$5:$BD$451)))</f>
        <v>0</v>
      </c>
      <c r="BL137" cm="1">
        <f t="array" ref="BL137">(SUMPRODUCT((SETUP!$D$20:$D$67=E137)*(SETUP!$R$20:$R$67)))</f>
        <v>0</v>
      </c>
      <c r="BM137" s="89">
        <f t="shared" si="70"/>
        <v>0</v>
      </c>
    </row>
    <row r="138" spans="1:65" s="89" customFormat="1" ht="15" customHeight="1" x14ac:dyDescent="0.35">
      <c r="A138" s="89" t="s">
        <v>216</v>
      </c>
      <c r="B138" s="211" t="s">
        <v>746</v>
      </c>
      <c r="C138" s="699" t="s">
        <v>2750</v>
      </c>
      <c r="D138" s="1314"/>
      <c r="E138" s="1010" t="s">
        <v>122</v>
      </c>
      <c r="F138" s="697">
        <v>0</v>
      </c>
      <c r="G138" s="628" cm="1">
        <f t="array" ref="G138">$F138*(SUMPRODUCT(('Cashflow Summary C19RM'!$K$5:$K$239&lt;&gt;1)*('Cashflow Summary C19RM'!$D$5:$D$239=E138)*('Cashflow Summary C19RM'!$R$5:$R$239)))</f>
        <v>0</v>
      </c>
      <c r="H138" s="629" cm="1">
        <f t="array" ref="H138">$F138*(SUMPRODUCT(('Cashflow Summary C19RM'!$K$5:$K$239&lt;&gt;1)*('Cashflow Summary C19RM'!$D$5:$D$239=E138)*('Cashflow Summary C19RM'!$S$5:$S$239)))</f>
        <v>0</v>
      </c>
      <c r="I138" s="630" cm="1">
        <f t="array" ref="I138">$F138*(SUMPRODUCT(('Cashflow Summary C19RM'!$K$5:$K$239&lt;&gt;1)*('Cashflow Summary C19RM'!$D$5:$D$239=E138)*('Cashflow Summary C19RM'!$T$5:$T$239)))</f>
        <v>0</v>
      </c>
      <c r="J138" s="630" cm="1">
        <f t="array" ref="J138">$F138*(SUMPRODUCT(('Cashflow Summary C19RM'!$K$5:$K$239&lt;&gt;1)*('Cashflow Summary C19RM'!$D$5:$D$239=E138)*('Cashflow Summary C19RM'!$U$5:$U$239)))</f>
        <v>0</v>
      </c>
      <c r="K138" s="631">
        <f t="shared" si="56"/>
        <v>0</v>
      </c>
      <c r="L138" s="686">
        <f t="shared" si="57"/>
        <v>0</v>
      </c>
      <c r="M138" s="630" cm="1">
        <f t="array" ref="M138">$L138*(SUMPRODUCT(('Cashflow Summary C19RM'!$K$5:$K$239&lt;&gt;1)*('Cashflow Summary C19RM'!$D$5:$D$239=E138)*('Cashflow Summary C19RM'!$V$5:$V$239)))</f>
        <v>0</v>
      </c>
      <c r="N138" s="630" cm="1">
        <f t="array" ref="N138">$L138*(SUMPRODUCT(('Cashflow Summary C19RM'!$K$5:$K$239&lt;&gt;1)*('Cashflow Summary C19RM'!$D$5:$D$239=E138)*('Cashflow Summary C19RM'!$W$5:$W$239)))</f>
        <v>0</v>
      </c>
      <c r="O138" s="630" cm="1">
        <f t="array" ref="O138">$L138*(SUMPRODUCT(('Cashflow Summary C19RM'!$K$5:$K$239&lt;&gt;1)*('Cashflow Summary C19RM'!$D$5:$D$239=E138)*('Cashflow Summary C19RM'!$X$5:$X$239)))</f>
        <v>0</v>
      </c>
      <c r="P138" s="630" cm="1">
        <f t="array" ref="P138">$L138*(SUMPRODUCT(('Cashflow Summary C19RM'!$K$5:$K$239&lt;&gt;1)*('Cashflow Summary C19RM'!$D$5:$D$239=E138)*('Cashflow Summary C19RM'!$Y$5:$Y$239)))</f>
        <v>0</v>
      </c>
      <c r="Q138" s="632">
        <f t="shared" si="58"/>
        <v>0</v>
      </c>
      <c r="R138" s="686">
        <f t="shared" si="59"/>
        <v>0</v>
      </c>
      <c r="S138" s="633" cm="1">
        <f t="array" ref="S138">$R138*(SUMPRODUCT(('Cashflow Summary C19RM'!$K$5:$K$239&lt;&gt;1)*('Cashflow Summary C19RM'!$D$5:$D$239=E138)*('Cashflow Summary C19RM'!$Z$5:$Z$239)))</f>
        <v>0</v>
      </c>
      <c r="T138" s="633" cm="1">
        <f t="array" ref="T138">$R138*(SUMPRODUCT(('Cashflow Summary C19RM'!$K$5:$K$239&lt;&gt;1)*('Cashflow Summary C19RM'!$D$5:$D$239=E138)*('Cashflow Summary C19RM'!$AA$5:$AA$239)))</f>
        <v>0</v>
      </c>
      <c r="U138" s="633" cm="1">
        <f t="array" ref="U138">$R138*(SUMPRODUCT(('Cashflow Summary C19RM'!$K$5:$K$239&lt;&gt;1)*('Cashflow Summary C19RM'!$D$5:$D$239=E138)*('Cashflow Summary C19RM'!$AB$5:$AB$239)))</f>
        <v>0</v>
      </c>
      <c r="V138" s="633" cm="1">
        <f t="array" ref="V138">$R138*(SUMPRODUCT(('Cashflow Summary C19RM'!$K$5:$K$239&lt;&gt;1)*('Cashflow Summary C19RM'!$D$5:$D$239=E138)*('Cashflow Summary C19RM'!$AC$5:$AC$239)))</f>
        <v>0</v>
      </c>
      <c r="W138" s="634">
        <f t="shared" si="60"/>
        <v>0</v>
      </c>
      <c r="X138" s="686">
        <f t="shared" si="61"/>
        <v>0</v>
      </c>
      <c r="Y138" s="633" cm="1">
        <f t="array" ref="Y138">$X138*(SUMPRODUCT(('Cashflow Summary C19RM'!$K$5:$K$239&lt;&gt;1)*('Cashflow Summary C19RM'!$D$5:$D$239=E138)*('Cashflow Summary C19RM'!$AD$5:$AD$239)))</f>
        <v>0</v>
      </c>
      <c r="Z138" s="633" cm="1">
        <f t="array" ref="Z138">$X138*(SUMPRODUCT(('Cashflow Summary C19RM'!$K$5:$K$239&lt;&gt;1)*('Cashflow Summary C19RM'!$D$5:$D$239=E138)*('Cashflow Summary C19RM'!$AE$5:$AE$239)))</f>
        <v>0</v>
      </c>
      <c r="AA138" s="633" cm="1">
        <f t="array" ref="AA138">$X138*(SUMPRODUCT(('Cashflow Summary C19RM'!$K$5:$K$239&lt;&gt;1)*('Cashflow Summary C19RM'!$D$5:$D$239=E138)*('Cashflow Summary C19RM'!$AF$5:$AF$239)))</f>
        <v>0</v>
      </c>
      <c r="AB138" s="630" cm="1">
        <f t="array" ref="AB138">$X138*(SUMPRODUCT(('Cashflow Summary C19RM'!$K$5:$K$239&lt;&gt;1)*('Cashflow Summary C19RM'!$D$5:$D$239=E138)*('Cashflow Summary C19RM'!$AG$5:$AG$239)))</f>
        <v>0</v>
      </c>
      <c r="AC138" s="634">
        <f t="shared" si="62"/>
        <v>0</v>
      </c>
      <c r="AD138" s="686">
        <f t="shared" si="63"/>
        <v>0</v>
      </c>
      <c r="AE138" s="628" cm="1">
        <f t="array" ref="AE138">$AD138*(SUMPRODUCT(('Cashflow Summary C19RM'!$K$5:$K$239&lt;&gt;1)*('Cashflow Summary C19RM'!$D$5:$D$239=E138)*('Cashflow Summary C19RM'!$AH$5:$AH$239)))</f>
        <v>0</v>
      </c>
      <c r="AF138" s="633" cm="1">
        <f t="array" ref="AF138">$AD138*(SUMPRODUCT(('Cashflow Summary C19RM'!$K$5:$K$239&lt;&gt;1)*('Cashflow Summary C19RM'!$D$5:$D$239=E138)*('Cashflow Summary C19RM'!$AI$5:$AI$239)))</f>
        <v>0</v>
      </c>
      <c r="AG138" s="633" cm="1">
        <f t="array" ref="AG138">$AD138*(SUMPRODUCT(('Cashflow Summary C19RM'!$K$5:$K$239&lt;&gt;1)*('Cashflow Summary C19RM'!$D$5:$D$239=E138)*('Cashflow Summary C19RM'!$AJ$5:$AJ$239)))</f>
        <v>0</v>
      </c>
      <c r="AH138" s="633" cm="1">
        <f t="array" ref="AH138">$AD138*(SUMPRODUCT(('Cashflow Summary C19RM'!$K$5:$K$239&lt;&gt;1)*('Cashflow Summary C19RM'!$D$5:$D$239=E138)*('Cashflow Summary C19RM'!$AK$5:$AO$239)))</f>
        <v>0</v>
      </c>
      <c r="AI138" s="634">
        <f t="shared" si="64"/>
        <v>0</v>
      </c>
      <c r="AJ138" s="875">
        <v>0</v>
      </c>
      <c r="AK138" s="872"/>
      <c r="AL138" s="873"/>
      <c r="AM138" s="873"/>
      <c r="AN138" s="873"/>
      <c r="AO138" s="874"/>
      <c r="AP138" s="635">
        <f t="shared" si="71"/>
        <v>0</v>
      </c>
      <c r="AQ138" s="636">
        <v>7.6</v>
      </c>
      <c r="AR138" s="707"/>
      <c r="AS138" s="310"/>
      <c r="AV138" s="228">
        <f t="shared" si="65"/>
        <v>0</v>
      </c>
      <c r="AW138" s="228">
        <f t="shared" si="66"/>
        <v>0</v>
      </c>
      <c r="AX138" s="228">
        <f t="shared" si="67"/>
        <v>0</v>
      </c>
      <c r="AY138" s="228">
        <f t="shared" si="68"/>
        <v>0</v>
      </c>
      <c r="AZ138" s="228">
        <f t="shared" si="69"/>
        <v>0</v>
      </c>
      <c r="BA138" s="228"/>
      <c r="BC138" s="345" cm="1">
        <f t="array" ref="BC138">IF(BM138&gt;=1,0,IFERROR(SUMPRODUCT(($G$11:$AH$11=$BC$16)*($G138:$AH138)),0))</f>
        <v>0</v>
      </c>
      <c r="BD138" s="345" cm="1">
        <f t="array" ref="BD138">IF(BM138&gt;=1,0,IFERROR(SUMPRODUCT(($G$11:$AH$11=$BD$16)*($G138:$AH138)),0))</f>
        <v>0</v>
      </c>
      <c r="BE138" s="345" cm="1">
        <f t="array" ref="BE138">IF(BM138&gt;=1,0,IFERROR(SUMPRODUCT(($G$11:$AH$11=$BE$16)*($G138:$AH138)),0))</f>
        <v>0</v>
      </c>
      <c r="BF138" s="345" cm="1">
        <f t="array" ref="BF138">IF(BM138&gt;=1,0,IFERROR(SUMPRODUCT(($G$11:$AH$11=$BF$16)*($G138:$AH138)),0))</f>
        <v>0</v>
      </c>
      <c r="BG138" s="345" cm="1">
        <f t="array" ref="BG138">IF(BM138&gt;=1,0,IFERROR(SUMPRODUCT(($G$11:$AH$11=$BG$16)*($G138:$AH138)),0))</f>
        <v>0</v>
      </c>
      <c r="BH138" s="345"/>
      <c r="BI138" s="343">
        <f t="shared" si="72"/>
        <v>0</v>
      </c>
      <c r="BJ138" s="230" t="s">
        <v>83</v>
      </c>
      <c r="BK138" cm="1">
        <f t="array" ref="BK138">(SUMPRODUCT(('Cashflow Summary C19RM'!$D$5:$D$451=E138)*('Cashflow Summary C19RM'!$BD$5:$BD$451)))</f>
        <v>0</v>
      </c>
      <c r="BL138" cm="1">
        <f t="array" ref="BL138">(SUMPRODUCT((SETUP!$D$20:$D$67=E138)*(SETUP!$R$20:$R$67)))</f>
        <v>0</v>
      </c>
      <c r="BM138" s="89">
        <f t="shared" si="70"/>
        <v>0</v>
      </c>
    </row>
    <row r="139" spans="1:65" s="89" customFormat="1" ht="15" customHeight="1" x14ac:dyDescent="0.35">
      <c r="A139" s="89" t="s">
        <v>216</v>
      </c>
      <c r="B139" s="211" t="s">
        <v>746</v>
      </c>
      <c r="C139" s="699" t="s">
        <v>2750</v>
      </c>
      <c r="D139" s="1314"/>
      <c r="E139" s="1010" t="s">
        <v>21</v>
      </c>
      <c r="F139" s="697">
        <v>0</v>
      </c>
      <c r="G139" s="628" cm="1">
        <f t="array" ref="G139">$F139*(SUMPRODUCT(('Cashflow Summary C19RM'!$K$5:$K$239&lt;&gt;1)*('Cashflow Summary C19RM'!$D$5:$D$239=E139)*('Cashflow Summary C19RM'!$R$5:$R$239)))</f>
        <v>0</v>
      </c>
      <c r="H139" s="629" cm="1">
        <f t="array" ref="H139">$F139*(SUMPRODUCT(('Cashflow Summary C19RM'!$K$5:$K$239&lt;&gt;1)*('Cashflow Summary C19RM'!$D$5:$D$239=E139)*('Cashflow Summary C19RM'!$S$5:$S$239)))</f>
        <v>0</v>
      </c>
      <c r="I139" s="630" cm="1">
        <f t="array" ref="I139">$F139*(SUMPRODUCT(('Cashflow Summary C19RM'!$K$5:$K$239&lt;&gt;1)*('Cashflow Summary C19RM'!$D$5:$D$239=E139)*('Cashflow Summary C19RM'!$T$5:$T$239)))</f>
        <v>0</v>
      </c>
      <c r="J139" s="630" cm="1">
        <f t="array" ref="J139">$F139*(SUMPRODUCT(('Cashflow Summary C19RM'!$K$5:$K$239&lt;&gt;1)*('Cashflow Summary C19RM'!$D$5:$D$239=E139)*('Cashflow Summary C19RM'!$U$5:$U$239)))</f>
        <v>0</v>
      </c>
      <c r="K139" s="631">
        <f t="shared" si="56"/>
        <v>0</v>
      </c>
      <c r="L139" s="686">
        <f t="shared" si="57"/>
        <v>0</v>
      </c>
      <c r="M139" s="630" cm="1">
        <f t="array" ref="M139">$L139*(SUMPRODUCT(('Cashflow Summary C19RM'!$K$5:$K$239&lt;&gt;1)*('Cashflow Summary C19RM'!$D$5:$D$239=E139)*('Cashflow Summary C19RM'!$V$5:$V$239)))</f>
        <v>0</v>
      </c>
      <c r="N139" s="630" cm="1">
        <f t="array" ref="N139">$L139*(SUMPRODUCT(('Cashflow Summary C19RM'!$K$5:$K$239&lt;&gt;1)*('Cashflow Summary C19RM'!$D$5:$D$239=E139)*('Cashflow Summary C19RM'!$W$5:$W$239)))</f>
        <v>0</v>
      </c>
      <c r="O139" s="630" cm="1">
        <f t="array" ref="O139">$L139*(SUMPRODUCT(('Cashflow Summary C19RM'!$K$5:$K$239&lt;&gt;1)*('Cashflow Summary C19RM'!$D$5:$D$239=E139)*('Cashflow Summary C19RM'!$X$5:$X$239)))</f>
        <v>0</v>
      </c>
      <c r="P139" s="630" cm="1">
        <f t="array" ref="P139">$L139*(SUMPRODUCT(('Cashflow Summary C19RM'!$K$5:$K$239&lt;&gt;1)*('Cashflow Summary C19RM'!$D$5:$D$239=E139)*('Cashflow Summary C19RM'!$Y$5:$Y$239)))</f>
        <v>0</v>
      </c>
      <c r="Q139" s="632">
        <f t="shared" si="58"/>
        <v>0</v>
      </c>
      <c r="R139" s="686">
        <f t="shared" si="59"/>
        <v>0</v>
      </c>
      <c r="S139" s="633" cm="1">
        <f t="array" ref="S139">$R139*(SUMPRODUCT(('Cashflow Summary C19RM'!$K$5:$K$239&lt;&gt;1)*('Cashflow Summary C19RM'!$D$5:$D$239=E139)*('Cashflow Summary C19RM'!$Z$5:$Z$239)))</f>
        <v>0</v>
      </c>
      <c r="T139" s="633" cm="1">
        <f t="array" ref="T139">$R139*(SUMPRODUCT(('Cashflow Summary C19RM'!$K$5:$K$239&lt;&gt;1)*('Cashflow Summary C19RM'!$D$5:$D$239=E139)*('Cashflow Summary C19RM'!$AA$5:$AA$239)))</f>
        <v>0</v>
      </c>
      <c r="U139" s="633" cm="1">
        <f t="array" ref="U139">$R139*(SUMPRODUCT(('Cashflow Summary C19RM'!$K$5:$K$239&lt;&gt;1)*('Cashflow Summary C19RM'!$D$5:$D$239=E139)*('Cashflow Summary C19RM'!$AB$5:$AB$239)))</f>
        <v>0</v>
      </c>
      <c r="V139" s="633" cm="1">
        <f t="array" ref="V139">$R139*(SUMPRODUCT(('Cashflow Summary C19RM'!$K$5:$K$239&lt;&gt;1)*('Cashflow Summary C19RM'!$D$5:$D$239=E139)*('Cashflow Summary C19RM'!$AC$5:$AC$239)))</f>
        <v>0</v>
      </c>
      <c r="W139" s="634">
        <f t="shared" si="60"/>
        <v>0</v>
      </c>
      <c r="X139" s="686">
        <f t="shared" si="61"/>
        <v>0</v>
      </c>
      <c r="Y139" s="633" cm="1">
        <f t="array" ref="Y139">$X139*(SUMPRODUCT(('Cashflow Summary C19RM'!$K$5:$K$239&lt;&gt;1)*('Cashflow Summary C19RM'!$D$5:$D$239=E139)*('Cashflow Summary C19RM'!$AD$5:$AD$239)))</f>
        <v>0</v>
      </c>
      <c r="Z139" s="633" cm="1">
        <f t="array" ref="Z139">$X139*(SUMPRODUCT(('Cashflow Summary C19RM'!$K$5:$K$239&lt;&gt;1)*('Cashflow Summary C19RM'!$D$5:$D$239=E139)*('Cashflow Summary C19RM'!$AE$5:$AE$239)))</f>
        <v>0</v>
      </c>
      <c r="AA139" s="633" cm="1">
        <f t="array" ref="AA139">$X139*(SUMPRODUCT(('Cashflow Summary C19RM'!$K$5:$K$239&lt;&gt;1)*('Cashflow Summary C19RM'!$D$5:$D$239=E139)*('Cashflow Summary C19RM'!$AF$5:$AF$239)))</f>
        <v>0</v>
      </c>
      <c r="AB139" s="630" cm="1">
        <f t="array" ref="AB139">$X139*(SUMPRODUCT(('Cashflow Summary C19RM'!$K$5:$K$239&lt;&gt;1)*('Cashflow Summary C19RM'!$D$5:$D$239=E139)*('Cashflow Summary C19RM'!$AG$5:$AG$239)))</f>
        <v>0</v>
      </c>
      <c r="AC139" s="634">
        <f t="shared" si="62"/>
        <v>0</v>
      </c>
      <c r="AD139" s="686">
        <f t="shared" si="63"/>
        <v>0</v>
      </c>
      <c r="AE139" s="628" cm="1">
        <f t="array" ref="AE139">$AD139*(SUMPRODUCT(('Cashflow Summary C19RM'!$K$5:$K$239&lt;&gt;1)*('Cashflow Summary C19RM'!$D$5:$D$239=E139)*('Cashflow Summary C19RM'!$AH$5:$AH$239)))</f>
        <v>0</v>
      </c>
      <c r="AF139" s="633" cm="1">
        <f t="array" ref="AF139">$AD139*(SUMPRODUCT(('Cashflow Summary C19RM'!$K$5:$K$239&lt;&gt;1)*('Cashflow Summary C19RM'!$D$5:$D$239=E139)*('Cashflow Summary C19RM'!$AI$5:$AI$239)))</f>
        <v>0</v>
      </c>
      <c r="AG139" s="633" cm="1">
        <f t="array" ref="AG139">$AD139*(SUMPRODUCT(('Cashflow Summary C19RM'!$K$5:$K$239&lt;&gt;1)*('Cashflow Summary C19RM'!$D$5:$D$239=E139)*('Cashflow Summary C19RM'!$AJ$5:$AJ$239)))</f>
        <v>0</v>
      </c>
      <c r="AH139" s="633" cm="1">
        <f t="array" ref="AH139">$AD139*(SUMPRODUCT(('Cashflow Summary C19RM'!$K$5:$K$239&lt;&gt;1)*('Cashflow Summary C19RM'!$D$5:$D$239=E139)*('Cashflow Summary C19RM'!$AK$5:$AO$239)))</f>
        <v>0</v>
      </c>
      <c r="AI139" s="634">
        <f t="shared" si="64"/>
        <v>0</v>
      </c>
      <c r="AJ139" s="875">
        <v>0</v>
      </c>
      <c r="AK139" s="872"/>
      <c r="AL139" s="873"/>
      <c r="AM139" s="873"/>
      <c r="AN139" s="873"/>
      <c r="AO139" s="874"/>
      <c r="AP139" s="635">
        <f t="shared" si="71"/>
        <v>0</v>
      </c>
      <c r="AQ139" s="636">
        <v>7.6</v>
      </c>
      <c r="AR139" s="707"/>
      <c r="AS139" s="310"/>
      <c r="AV139" s="228">
        <f t="shared" si="65"/>
        <v>0</v>
      </c>
      <c r="AW139" s="228">
        <f t="shared" si="66"/>
        <v>0</v>
      </c>
      <c r="AX139" s="228">
        <f t="shared" si="67"/>
        <v>0</v>
      </c>
      <c r="AY139" s="228">
        <f t="shared" si="68"/>
        <v>0</v>
      </c>
      <c r="AZ139" s="228">
        <f t="shared" si="69"/>
        <v>0</v>
      </c>
      <c r="BA139" s="228"/>
      <c r="BC139" s="345" cm="1">
        <f t="array" ref="BC139">IF(BM139&gt;=1,0,IFERROR(SUMPRODUCT(($G$11:$AH$11=$BC$16)*($G139:$AH139)),0))</f>
        <v>0</v>
      </c>
      <c r="BD139" s="345" cm="1">
        <f t="array" ref="BD139">IF(BM139&gt;=1,0,IFERROR(SUMPRODUCT(($G$11:$AH$11=$BD$16)*($G139:$AH139)),0))</f>
        <v>0</v>
      </c>
      <c r="BE139" s="345" cm="1">
        <f t="array" ref="BE139">IF(BM139&gt;=1,0,IFERROR(SUMPRODUCT(($G$11:$AH$11=$BE$16)*($G139:$AH139)),0))</f>
        <v>0</v>
      </c>
      <c r="BF139" s="345" cm="1">
        <f t="array" ref="BF139">IF(BM139&gt;=1,0,IFERROR(SUMPRODUCT(($G$11:$AH$11=$BF$16)*($G139:$AH139)),0))</f>
        <v>0</v>
      </c>
      <c r="BG139" s="345" cm="1">
        <f t="array" ref="BG139">IF(BM139&gt;=1,0,IFERROR(SUMPRODUCT(($G$11:$AH$11=$BG$16)*($G139:$AH139)),0))</f>
        <v>0</v>
      </c>
      <c r="BH139" s="345"/>
      <c r="BI139" s="343">
        <f t="shared" si="72"/>
        <v>0</v>
      </c>
      <c r="BJ139" s="230" t="s">
        <v>83</v>
      </c>
      <c r="BK139" cm="1">
        <f t="array" ref="BK139">(SUMPRODUCT(('Cashflow Summary C19RM'!$D$5:$D$451=E139)*('Cashflow Summary C19RM'!$BD$5:$BD$451)))</f>
        <v>0</v>
      </c>
      <c r="BL139" cm="1">
        <f t="array" ref="BL139">(SUMPRODUCT((SETUP!$D$20:$D$67=E139)*(SETUP!$R$20:$R$67)))</f>
        <v>0</v>
      </c>
      <c r="BM139" s="89">
        <f t="shared" si="70"/>
        <v>0</v>
      </c>
    </row>
    <row r="140" spans="1:65" s="89" customFormat="1" ht="15" customHeight="1" x14ac:dyDescent="0.35">
      <c r="A140" s="89" t="s">
        <v>216</v>
      </c>
      <c r="B140" s="211" t="s">
        <v>746</v>
      </c>
      <c r="C140" s="699" t="s">
        <v>2750</v>
      </c>
      <c r="D140" s="1314"/>
      <c r="E140" s="1010" t="s">
        <v>23</v>
      </c>
      <c r="F140" s="697">
        <v>0</v>
      </c>
      <c r="G140" s="628" cm="1">
        <f t="array" ref="G140">$F140*(SUMPRODUCT(('Cashflow Summary C19RM'!$K$5:$K$239&lt;&gt;1)*('Cashflow Summary C19RM'!$D$5:$D$239=E140)*('Cashflow Summary C19RM'!$R$5:$R$239)))</f>
        <v>0</v>
      </c>
      <c r="H140" s="629" cm="1">
        <f t="array" ref="H140">$F140*(SUMPRODUCT(('Cashflow Summary C19RM'!$K$5:$K$239&lt;&gt;1)*('Cashflow Summary C19RM'!$D$5:$D$239=E140)*('Cashflow Summary C19RM'!$S$5:$S$239)))</f>
        <v>0</v>
      </c>
      <c r="I140" s="630" cm="1">
        <f t="array" ref="I140">$F140*(SUMPRODUCT(('Cashflow Summary C19RM'!$K$5:$K$239&lt;&gt;1)*('Cashflow Summary C19RM'!$D$5:$D$239=E140)*('Cashflow Summary C19RM'!$T$5:$T$239)))</f>
        <v>0</v>
      </c>
      <c r="J140" s="630" cm="1">
        <f t="array" ref="J140">$F140*(SUMPRODUCT(('Cashflow Summary C19RM'!$K$5:$K$239&lt;&gt;1)*('Cashflow Summary C19RM'!$D$5:$D$239=E140)*('Cashflow Summary C19RM'!$U$5:$U$239)))</f>
        <v>0</v>
      </c>
      <c r="K140" s="631">
        <f t="shared" si="56"/>
        <v>0</v>
      </c>
      <c r="L140" s="686">
        <f t="shared" si="57"/>
        <v>0</v>
      </c>
      <c r="M140" s="630" cm="1">
        <f t="array" ref="M140">$L140*(SUMPRODUCT(('Cashflow Summary C19RM'!$K$5:$K$239&lt;&gt;1)*('Cashflow Summary C19RM'!$D$5:$D$239=E140)*('Cashflow Summary C19RM'!$V$5:$V$239)))</f>
        <v>0</v>
      </c>
      <c r="N140" s="630" cm="1">
        <f t="array" ref="N140">$L140*(SUMPRODUCT(('Cashflow Summary C19RM'!$K$5:$K$239&lt;&gt;1)*('Cashflow Summary C19RM'!$D$5:$D$239=E140)*('Cashflow Summary C19RM'!$W$5:$W$239)))</f>
        <v>0</v>
      </c>
      <c r="O140" s="630" cm="1">
        <f t="array" ref="O140">$L140*(SUMPRODUCT(('Cashflow Summary C19RM'!$K$5:$K$239&lt;&gt;1)*('Cashflow Summary C19RM'!$D$5:$D$239=E140)*('Cashflow Summary C19RM'!$X$5:$X$239)))</f>
        <v>0</v>
      </c>
      <c r="P140" s="630" cm="1">
        <f t="array" ref="P140">$L140*(SUMPRODUCT(('Cashflow Summary C19RM'!$K$5:$K$239&lt;&gt;1)*('Cashflow Summary C19RM'!$D$5:$D$239=E140)*('Cashflow Summary C19RM'!$Y$5:$Y$239)))</f>
        <v>0</v>
      </c>
      <c r="Q140" s="632">
        <f t="shared" si="58"/>
        <v>0</v>
      </c>
      <c r="R140" s="686">
        <f t="shared" si="59"/>
        <v>0</v>
      </c>
      <c r="S140" s="633" cm="1">
        <f t="array" ref="S140">$R140*(SUMPRODUCT(('Cashflow Summary C19RM'!$K$5:$K$239&lt;&gt;1)*('Cashflow Summary C19RM'!$D$5:$D$239=E140)*('Cashflow Summary C19RM'!$Z$5:$Z$239)))</f>
        <v>0</v>
      </c>
      <c r="T140" s="633" cm="1">
        <f t="array" ref="T140">$R140*(SUMPRODUCT(('Cashflow Summary C19RM'!$K$5:$K$239&lt;&gt;1)*('Cashflow Summary C19RM'!$D$5:$D$239=E140)*('Cashflow Summary C19RM'!$AA$5:$AA$239)))</f>
        <v>0</v>
      </c>
      <c r="U140" s="633" cm="1">
        <f t="array" ref="U140">$R140*(SUMPRODUCT(('Cashflow Summary C19RM'!$K$5:$K$239&lt;&gt;1)*('Cashflow Summary C19RM'!$D$5:$D$239=E140)*('Cashflow Summary C19RM'!$AB$5:$AB$239)))</f>
        <v>0</v>
      </c>
      <c r="V140" s="633" cm="1">
        <f t="array" ref="V140">$R140*(SUMPRODUCT(('Cashflow Summary C19RM'!$K$5:$K$239&lt;&gt;1)*('Cashflow Summary C19RM'!$D$5:$D$239=E140)*('Cashflow Summary C19RM'!$AC$5:$AC$239)))</f>
        <v>0</v>
      </c>
      <c r="W140" s="634">
        <f t="shared" si="60"/>
        <v>0</v>
      </c>
      <c r="X140" s="686">
        <f t="shared" si="61"/>
        <v>0</v>
      </c>
      <c r="Y140" s="633" cm="1">
        <f t="array" ref="Y140">$X140*(SUMPRODUCT(('Cashflow Summary C19RM'!$K$5:$K$239&lt;&gt;1)*('Cashflow Summary C19RM'!$D$5:$D$239=E140)*('Cashflow Summary C19RM'!$AD$5:$AD$239)))</f>
        <v>0</v>
      </c>
      <c r="Z140" s="633" cm="1">
        <f t="array" ref="Z140">$X140*(SUMPRODUCT(('Cashflow Summary C19RM'!$K$5:$K$239&lt;&gt;1)*('Cashflow Summary C19RM'!$D$5:$D$239=E140)*('Cashflow Summary C19RM'!$AE$5:$AE$239)))</f>
        <v>0</v>
      </c>
      <c r="AA140" s="633" cm="1">
        <f t="array" ref="AA140">$X140*(SUMPRODUCT(('Cashflow Summary C19RM'!$K$5:$K$239&lt;&gt;1)*('Cashflow Summary C19RM'!$D$5:$D$239=E140)*('Cashflow Summary C19RM'!$AF$5:$AF$239)))</f>
        <v>0</v>
      </c>
      <c r="AB140" s="630" cm="1">
        <f t="array" ref="AB140">$X140*(SUMPRODUCT(('Cashflow Summary C19RM'!$K$5:$K$239&lt;&gt;1)*('Cashflow Summary C19RM'!$D$5:$D$239=E140)*('Cashflow Summary C19RM'!$AG$5:$AG$239)))</f>
        <v>0</v>
      </c>
      <c r="AC140" s="634">
        <f t="shared" si="62"/>
        <v>0</v>
      </c>
      <c r="AD140" s="686">
        <f t="shared" si="63"/>
        <v>0</v>
      </c>
      <c r="AE140" s="628" cm="1">
        <f t="array" ref="AE140">$AD140*(SUMPRODUCT(('Cashflow Summary C19RM'!$K$5:$K$239&lt;&gt;1)*('Cashflow Summary C19RM'!$D$5:$D$239=E140)*('Cashflow Summary C19RM'!$AH$5:$AH$239)))</f>
        <v>0</v>
      </c>
      <c r="AF140" s="633" cm="1">
        <f t="array" ref="AF140">$AD140*(SUMPRODUCT(('Cashflow Summary C19RM'!$K$5:$K$239&lt;&gt;1)*('Cashflow Summary C19RM'!$D$5:$D$239=E140)*('Cashflow Summary C19RM'!$AI$5:$AI$239)))</f>
        <v>0</v>
      </c>
      <c r="AG140" s="633" cm="1">
        <f t="array" ref="AG140">$AD140*(SUMPRODUCT(('Cashflow Summary C19RM'!$K$5:$K$239&lt;&gt;1)*('Cashflow Summary C19RM'!$D$5:$D$239=E140)*('Cashflow Summary C19RM'!$AJ$5:$AJ$239)))</f>
        <v>0</v>
      </c>
      <c r="AH140" s="633" cm="1">
        <f t="array" ref="AH140">$AD140*(SUMPRODUCT(('Cashflow Summary C19RM'!$K$5:$K$239&lt;&gt;1)*('Cashflow Summary C19RM'!$D$5:$D$239=E140)*('Cashflow Summary C19RM'!$AK$5:$AO$239)))</f>
        <v>0</v>
      </c>
      <c r="AI140" s="634">
        <f t="shared" si="64"/>
        <v>0</v>
      </c>
      <c r="AJ140" s="875">
        <v>0</v>
      </c>
      <c r="AK140" s="872"/>
      <c r="AL140" s="873"/>
      <c r="AM140" s="873"/>
      <c r="AN140" s="873"/>
      <c r="AO140" s="874"/>
      <c r="AP140" s="635">
        <f t="shared" si="71"/>
        <v>0</v>
      </c>
      <c r="AQ140" s="636">
        <v>7.6</v>
      </c>
      <c r="AR140" s="707"/>
      <c r="AS140" s="310"/>
      <c r="AV140" s="228">
        <f t="shared" si="65"/>
        <v>0</v>
      </c>
      <c r="AW140" s="228">
        <f t="shared" si="66"/>
        <v>0</v>
      </c>
      <c r="AX140" s="228">
        <f t="shared" si="67"/>
        <v>0</v>
      </c>
      <c r="AY140" s="228">
        <f t="shared" si="68"/>
        <v>0</v>
      </c>
      <c r="AZ140" s="228">
        <f t="shared" si="69"/>
        <v>0</v>
      </c>
      <c r="BA140" s="228"/>
      <c r="BC140" s="345" cm="1">
        <f t="array" ref="BC140">IF(BM140&gt;=1,0,IFERROR(SUMPRODUCT(($G$11:$AH$11=$BC$16)*($G140:$AH140)),0))</f>
        <v>0</v>
      </c>
      <c r="BD140" s="345" cm="1">
        <f t="array" ref="BD140">IF(BM140&gt;=1,0,IFERROR(SUMPRODUCT(($G$11:$AH$11=$BD$16)*($G140:$AH140)),0))</f>
        <v>0</v>
      </c>
      <c r="BE140" s="345" cm="1">
        <f t="array" ref="BE140">IF(BM140&gt;=1,0,IFERROR(SUMPRODUCT(($G$11:$AH$11=$BE$16)*($G140:$AH140)),0))</f>
        <v>0</v>
      </c>
      <c r="BF140" s="345" cm="1">
        <f t="array" ref="BF140">IF(BM140&gt;=1,0,IFERROR(SUMPRODUCT(($G$11:$AH$11=$BF$16)*($G140:$AH140)),0))</f>
        <v>0</v>
      </c>
      <c r="BG140" s="345" cm="1">
        <f t="array" ref="BG140">IF(BM140&gt;=1,0,IFERROR(SUMPRODUCT(($G$11:$AH$11=$BG$16)*($G140:$AH140)),0))</f>
        <v>0</v>
      </c>
      <c r="BH140" s="345"/>
      <c r="BI140" s="343">
        <f t="shared" si="72"/>
        <v>0</v>
      </c>
      <c r="BJ140" s="230" t="s">
        <v>83</v>
      </c>
      <c r="BK140" cm="1">
        <f t="array" ref="BK140">(SUMPRODUCT(('Cashflow Summary C19RM'!$D$5:$D$451=E140)*('Cashflow Summary C19RM'!$BD$5:$BD$451)))</f>
        <v>0</v>
      </c>
      <c r="BL140" cm="1">
        <f t="array" ref="BL140">(SUMPRODUCT((SETUP!$D$20:$D$67=E140)*(SETUP!$R$20:$R$67)))</f>
        <v>0</v>
      </c>
      <c r="BM140" s="89">
        <f t="shared" si="70"/>
        <v>0</v>
      </c>
    </row>
    <row r="141" spans="1:65" s="89" customFormat="1" ht="15" customHeight="1" x14ac:dyDescent="0.35">
      <c r="A141" s="89" t="s">
        <v>216</v>
      </c>
      <c r="B141" s="211" t="s">
        <v>746</v>
      </c>
      <c r="C141" s="699" t="s">
        <v>2750</v>
      </c>
      <c r="D141" s="1314"/>
      <c r="E141" s="1010" t="s">
        <v>22</v>
      </c>
      <c r="F141" s="697">
        <v>0</v>
      </c>
      <c r="G141" s="628" cm="1">
        <f t="array" ref="G141">$F141*(SUMPRODUCT(('Cashflow Summary C19RM'!$K$5:$K$239&lt;&gt;1)*('Cashflow Summary C19RM'!$D$5:$D$239=E141)*('Cashflow Summary C19RM'!$R$5:$R$239)))</f>
        <v>0</v>
      </c>
      <c r="H141" s="629" cm="1">
        <f t="array" ref="H141">$F141*(SUMPRODUCT(('Cashflow Summary C19RM'!$K$5:$K$239&lt;&gt;1)*('Cashflow Summary C19RM'!$D$5:$D$239=E141)*('Cashflow Summary C19RM'!$S$5:$S$239)))</f>
        <v>0</v>
      </c>
      <c r="I141" s="630" cm="1">
        <f t="array" ref="I141">$F141*(SUMPRODUCT(('Cashflow Summary C19RM'!$K$5:$K$239&lt;&gt;1)*('Cashflow Summary C19RM'!$D$5:$D$239=E141)*('Cashflow Summary C19RM'!$T$5:$T$239)))</f>
        <v>0</v>
      </c>
      <c r="J141" s="630" cm="1">
        <f t="array" ref="J141">$F141*(SUMPRODUCT(('Cashflow Summary C19RM'!$K$5:$K$239&lt;&gt;1)*('Cashflow Summary C19RM'!$D$5:$D$239=E141)*('Cashflow Summary C19RM'!$U$5:$U$239)))</f>
        <v>0</v>
      </c>
      <c r="K141" s="631">
        <f t="shared" si="56"/>
        <v>0</v>
      </c>
      <c r="L141" s="686">
        <f t="shared" si="57"/>
        <v>0</v>
      </c>
      <c r="M141" s="630" cm="1">
        <f t="array" ref="M141">$L141*(SUMPRODUCT(('Cashflow Summary C19RM'!$K$5:$K$239&lt;&gt;1)*('Cashflow Summary C19RM'!$D$5:$D$239=E141)*('Cashflow Summary C19RM'!$V$5:$V$239)))</f>
        <v>0</v>
      </c>
      <c r="N141" s="630" cm="1">
        <f t="array" ref="N141">$L141*(SUMPRODUCT(('Cashflow Summary C19RM'!$K$5:$K$239&lt;&gt;1)*('Cashflow Summary C19RM'!$D$5:$D$239=E141)*('Cashflow Summary C19RM'!$W$5:$W$239)))</f>
        <v>0</v>
      </c>
      <c r="O141" s="630" cm="1">
        <f t="array" ref="O141">$L141*(SUMPRODUCT(('Cashflow Summary C19RM'!$K$5:$K$239&lt;&gt;1)*('Cashflow Summary C19RM'!$D$5:$D$239=E141)*('Cashflow Summary C19RM'!$X$5:$X$239)))</f>
        <v>0</v>
      </c>
      <c r="P141" s="630" cm="1">
        <f t="array" ref="P141">$L141*(SUMPRODUCT(('Cashflow Summary C19RM'!$K$5:$K$239&lt;&gt;1)*('Cashflow Summary C19RM'!$D$5:$D$239=E141)*('Cashflow Summary C19RM'!$Y$5:$Y$239)))</f>
        <v>0</v>
      </c>
      <c r="Q141" s="632">
        <f t="shared" si="58"/>
        <v>0</v>
      </c>
      <c r="R141" s="686">
        <f t="shared" si="59"/>
        <v>0</v>
      </c>
      <c r="S141" s="633" cm="1">
        <f t="array" ref="S141">$R141*(SUMPRODUCT(('Cashflow Summary C19RM'!$K$5:$K$239&lt;&gt;1)*('Cashflow Summary C19RM'!$D$5:$D$239=E141)*('Cashflow Summary C19RM'!$Z$5:$Z$239)))</f>
        <v>0</v>
      </c>
      <c r="T141" s="633" cm="1">
        <f t="array" ref="T141">$R141*(SUMPRODUCT(('Cashflow Summary C19RM'!$K$5:$K$239&lt;&gt;1)*('Cashflow Summary C19RM'!$D$5:$D$239=E141)*('Cashflow Summary C19RM'!$AA$5:$AA$239)))</f>
        <v>0</v>
      </c>
      <c r="U141" s="633" cm="1">
        <f t="array" ref="U141">$R141*(SUMPRODUCT(('Cashflow Summary C19RM'!$K$5:$K$239&lt;&gt;1)*('Cashflow Summary C19RM'!$D$5:$D$239=E141)*('Cashflow Summary C19RM'!$AB$5:$AB$239)))</f>
        <v>0</v>
      </c>
      <c r="V141" s="633" cm="1">
        <f t="array" ref="V141">$R141*(SUMPRODUCT(('Cashflow Summary C19RM'!$K$5:$K$239&lt;&gt;1)*('Cashflow Summary C19RM'!$D$5:$D$239=E141)*('Cashflow Summary C19RM'!$AC$5:$AC$239)))</f>
        <v>0</v>
      </c>
      <c r="W141" s="634">
        <f t="shared" si="60"/>
        <v>0</v>
      </c>
      <c r="X141" s="686">
        <f t="shared" si="61"/>
        <v>0</v>
      </c>
      <c r="Y141" s="633" cm="1">
        <f t="array" ref="Y141">$X141*(SUMPRODUCT(('Cashflow Summary C19RM'!$K$5:$K$239&lt;&gt;1)*('Cashflow Summary C19RM'!$D$5:$D$239=E141)*('Cashflow Summary C19RM'!$AD$5:$AD$239)))</f>
        <v>0</v>
      </c>
      <c r="Z141" s="633" cm="1">
        <f t="array" ref="Z141">$X141*(SUMPRODUCT(('Cashflow Summary C19RM'!$K$5:$K$239&lt;&gt;1)*('Cashflow Summary C19RM'!$D$5:$D$239=E141)*('Cashflow Summary C19RM'!$AE$5:$AE$239)))</f>
        <v>0</v>
      </c>
      <c r="AA141" s="633" cm="1">
        <f t="array" ref="AA141">$X141*(SUMPRODUCT(('Cashflow Summary C19RM'!$K$5:$K$239&lt;&gt;1)*('Cashflow Summary C19RM'!$D$5:$D$239=E141)*('Cashflow Summary C19RM'!$AF$5:$AF$239)))</f>
        <v>0</v>
      </c>
      <c r="AB141" s="630" cm="1">
        <f t="array" ref="AB141">$X141*(SUMPRODUCT(('Cashflow Summary C19RM'!$K$5:$K$239&lt;&gt;1)*('Cashflow Summary C19RM'!$D$5:$D$239=E141)*('Cashflow Summary C19RM'!$AG$5:$AG$239)))</f>
        <v>0</v>
      </c>
      <c r="AC141" s="634">
        <f t="shared" si="62"/>
        <v>0</v>
      </c>
      <c r="AD141" s="686">
        <f t="shared" si="63"/>
        <v>0</v>
      </c>
      <c r="AE141" s="628" cm="1">
        <f t="array" ref="AE141">$AD141*(SUMPRODUCT(('Cashflow Summary C19RM'!$K$5:$K$239&lt;&gt;1)*('Cashflow Summary C19RM'!$D$5:$D$239=E141)*('Cashflow Summary C19RM'!$AH$5:$AH$239)))</f>
        <v>0</v>
      </c>
      <c r="AF141" s="633" cm="1">
        <f t="array" ref="AF141">$AD141*(SUMPRODUCT(('Cashflow Summary C19RM'!$K$5:$K$239&lt;&gt;1)*('Cashflow Summary C19RM'!$D$5:$D$239=E141)*('Cashflow Summary C19RM'!$AI$5:$AI$239)))</f>
        <v>0</v>
      </c>
      <c r="AG141" s="633" cm="1">
        <f t="array" ref="AG141">$AD141*(SUMPRODUCT(('Cashflow Summary C19RM'!$K$5:$K$239&lt;&gt;1)*('Cashflow Summary C19RM'!$D$5:$D$239=E141)*('Cashflow Summary C19RM'!$AJ$5:$AJ$239)))</f>
        <v>0</v>
      </c>
      <c r="AH141" s="633" cm="1">
        <f t="array" ref="AH141">$AD141*(SUMPRODUCT(('Cashflow Summary C19RM'!$K$5:$K$239&lt;&gt;1)*('Cashflow Summary C19RM'!$D$5:$D$239=E141)*('Cashflow Summary C19RM'!$AK$5:$AO$239)))</f>
        <v>0</v>
      </c>
      <c r="AI141" s="634">
        <f t="shared" si="64"/>
        <v>0</v>
      </c>
      <c r="AJ141" s="875">
        <v>0</v>
      </c>
      <c r="AK141" s="872"/>
      <c r="AL141" s="873"/>
      <c r="AM141" s="873"/>
      <c r="AN141" s="873"/>
      <c r="AO141" s="874"/>
      <c r="AP141" s="635">
        <f t="shared" si="71"/>
        <v>0</v>
      </c>
      <c r="AQ141" s="636">
        <v>7.6</v>
      </c>
      <c r="AR141" s="707"/>
      <c r="AS141" s="310"/>
      <c r="AV141" s="228">
        <f t="shared" si="65"/>
        <v>0</v>
      </c>
      <c r="AW141" s="228">
        <f t="shared" si="66"/>
        <v>0</v>
      </c>
      <c r="AX141" s="228">
        <f t="shared" si="67"/>
        <v>0</v>
      </c>
      <c r="AY141" s="228">
        <f t="shared" si="68"/>
        <v>0</v>
      </c>
      <c r="AZ141" s="228">
        <f t="shared" si="69"/>
        <v>0</v>
      </c>
      <c r="BA141" s="228"/>
      <c r="BC141" s="345" cm="1">
        <f t="array" ref="BC141">IF(BM141&gt;=1,0,IFERROR(SUMPRODUCT(($G$11:$AH$11=$BC$16)*($G141:$AH141)),0))</f>
        <v>0</v>
      </c>
      <c r="BD141" s="345" cm="1">
        <f t="array" ref="BD141">IF(BM141&gt;=1,0,IFERROR(SUMPRODUCT(($G$11:$AH$11=$BD$16)*($G141:$AH141)),0))</f>
        <v>0</v>
      </c>
      <c r="BE141" s="345" cm="1">
        <f t="array" ref="BE141">IF(BM141&gt;=1,0,IFERROR(SUMPRODUCT(($G$11:$AH$11=$BE$16)*($G141:$AH141)),0))</f>
        <v>0</v>
      </c>
      <c r="BF141" s="345" cm="1">
        <f t="array" ref="BF141">IF(BM141&gt;=1,0,IFERROR(SUMPRODUCT(($G$11:$AH$11=$BF$16)*($G141:$AH141)),0))</f>
        <v>0</v>
      </c>
      <c r="BG141" s="345" cm="1">
        <f t="array" ref="BG141">IF(BM141&gt;=1,0,IFERROR(SUMPRODUCT(($G$11:$AH$11=$BG$16)*($G141:$AH141)),0))</f>
        <v>0</v>
      </c>
      <c r="BH141" s="345"/>
      <c r="BI141" s="343">
        <f t="shared" si="72"/>
        <v>0</v>
      </c>
      <c r="BJ141" s="230" t="s">
        <v>83</v>
      </c>
      <c r="BK141" cm="1">
        <f t="array" ref="BK141">(SUMPRODUCT(('Cashflow Summary C19RM'!$D$5:$D$451=E141)*('Cashflow Summary C19RM'!$BD$5:$BD$451)))</f>
        <v>0</v>
      </c>
      <c r="BL141" cm="1">
        <f t="array" ref="BL141">(SUMPRODUCT((SETUP!$D$20:$D$67=E141)*(SETUP!$R$20:$R$67)))</f>
        <v>0</v>
      </c>
      <c r="BM141" s="89">
        <f t="shared" si="70"/>
        <v>0</v>
      </c>
    </row>
    <row r="142" spans="1:65" s="89" customFormat="1" ht="15" customHeight="1" x14ac:dyDescent="0.35">
      <c r="A142" s="89" t="s">
        <v>216</v>
      </c>
      <c r="B142" s="211" t="s">
        <v>746</v>
      </c>
      <c r="C142" s="699" t="s">
        <v>2750</v>
      </c>
      <c r="D142" s="1314"/>
      <c r="E142" s="1010" t="s">
        <v>25</v>
      </c>
      <c r="F142" s="697">
        <v>0</v>
      </c>
      <c r="G142" s="628" cm="1">
        <f t="array" ref="G142">$F142*(SUMPRODUCT(('Cashflow Summary C19RM'!$K$5:$K$239&lt;&gt;1)*('Cashflow Summary C19RM'!$D$5:$D$239=E142)*('Cashflow Summary C19RM'!$R$5:$R$239)))</f>
        <v>0</v>
      </c>
      <c r="H142" s="629" cm="1">
        <f t="array" ref="H142">$F142*(SUMPRODUCT(('Cashflow Summary C19RM'!$K$5:$K$239&lt;&gt;1)*('Cashflow Summary C19RM'!$D$5:$D$239=E142)*('Cashflow Summary C19RM'!$S$5:$S$239)))</f>
        <v>0</v>
      </c>
      <c r="I142" s="630" cm="1">
        <f t="array" ref="I142">$F142*(SUMPRODUCT(('Cashflow Summary C19RM'!$K$5:$K$239&lt;&gt;1)*('Cashflow Summary C19RM'!$D$5:$D$239=E142)*('Cashflow Summary C19RM'!$T$5:$T$239)))</f>
        <v>0</v>
      </c>
      <c r="J142" s="630" cm="1">
        <f t="array" ref="J142">$F142*(SUMPRODUCT(('Cashflow Summary C19RM'!$K$5:$K$239&lt;&gt;1)*('Cashflow Summary C19RM'!$D$5:$D$239=E142)*('Cashflow Summary C19RM'!$U$5:$U$239)))</f>
        <v>0</v>
      </c>
      <c r="K142" s="631">
        <f t="shared" si="56"/>
        <v>0</v>
      </c>
      <c r="L142" s="686">
        <f t="shared" si="57"/>
        <v>0</v>
      </c>
      <c r="M142" s="630" cm="1">
        <f t="array" ref="M142">$L142*(SUMPRODUCT(('Cashflow Summary C19RM'!$K$5:$K$239&lt;&gt;1)*('Cashflow Summary C19RM'!$D$5:$D$239=E142)*('Cashflow Summary C19RM'!$V$5:$V$239)))</f>
        <v>0</v>
      </c>
      <c r="N142" s="630" cm="1">
        <f t="array" ref="N142">$L142*(SUMPRODUCT(('Cashflow Summary C19RM'!$K$5:$K$239&lt;&gt;1)*('Cashflow Summary C19RM'!$D$5:$D$239=E142)*('Cashflow Summary C19RM'!$W$5:$W$239)))</f>
        <v>0</v>
      </c>
      <c r="O142" s="630" cm="1">
        <f t="array" ref="O142">$L142*(SUMPRODUCT(('Cashflow Summary C19RM'!$K$5:$K$239&lt;&gt;1)*('Cashflow Summary C19RM'!$D$5:$D$239=E142)*('Cashflow Summary C19RM'!$X$5:$X$239)))</f>
        <v>0</v>
      </c>
      <c r="P142" s="630" cm="1">
        <f t="array" ref="P142">$L142*(SUMPRODUCT(('Cashflow Summary C19RM'!$K$5:$K$239&lt;&gt;1)*('Cashflow Summary C19RM'!$D$5:$D$239=E142)*('Cashflow Summary C19RM'!$Y$5:$Y$239)))</f>
        <v>0</v>
      </c>
      <c r="Q142" s="632">
        <f t="shared" si="58"/>
        <v>0</v>
      </c>
      <c r="R142" s="686">
        <f t="shared" si="59"/>
        <v>0</v>
      </c>
      <c r="S142" s="633" cm="1">
        <f t="array" ref="S142">$R142*(SUMPRODUCT(('Cashflow Summary C19RM'!$K$5:$K$239&lt;&gt;1)*('Cashflow Summary C19RM'!$D$5:$D$239=E142)*('Cashflow Summary C19RM'!$Z$5:$Z$239)))</f>
        <v>0</v>
      </c>
      <c r="T142" s="633" cm="1">
        <f t="array" ref="T142">$R142*(SUMPRODUCT(('Cashflow Summary C19RM'!$K$5:$K$239&lt;&gt;1)*('Cashflow Summary C19RM'!$D$5:$D$239=E142)*('Cashflow Summary C19RM'!$AA$5:$AA$239)))</f>
        <v>0</v>
      </c>
      <c r="U142" s="633" cm="1">
        <f t="array" ref="U142">$R142*(SUMPRODUCT(('Cashflow Summary C19RM'!$K$5:$K$239&lt;&gt;1)*('Cashflow Summary C19RM'!$D$5:$D$239=E142)*('Cashflow Summary C19RM'!$AB$5:$AB$239)))</f>
        <v>0</v>
      </c>
      <c r="V142" s="633" cm="1">
        <f t="array" ref="V142">$R142*(SUMPRODUCT(('Cashflow Summary C19RM'!$K$5:$K$239&lt;&gt;1)*('Cashflow Summary C19RM'!$D$5:$D$239=E142)*('Cashflow Summary C19RM'!$AC$5:$AC$239)))</f>
        <v>0</v>
      </c>
      <c r="W142" s="634">
        <f t="shared" si="60"/>
        <v>0</v>
      </c>
      <c r="X142" s="686">
        <f t="shared" si="61"/>
        <v>0</v>
      </c>
      <c r="Y142" s="633" cm="1">
        <f t="array" ref="Y142">$X142*(SUMPRODUCT(('Cashflow Summary C19RM'!$K$5:$K$239&lt;&gt;1)*('Cashflow Summary C19RM'!$D$5:$D$239=E142)*('Cashflow Summary C19RM'!$AD$5:$AD$239)))</f>
        <v>0</v>
      </c>
      <c r="Z142" s="633" cm="1">
        <f t="array" ref="Z142">$X142*(SUMPRODUCT(('Cashflow Summary C19RM'!$K$5:$K$239&lt;&gt;1)*('Cashflow Summary C19RM'!$D$5:$D$239=E142)*('Cashflow Summary C19RM'!$AE$5:$AE$239)))</f>
        <v>0</v>
      </c>
      <c r="AA142" s="633" cm="1">
        <f t="array" ref="AA142">$X142*(SUMPRODUCT(('Cashflow Summary C19RM'!$K$5:$K$239&lt;&gt;1)*('Cashflow Summary C19RM'!$D$5:$D$239=E142)*('Cashflow Summary C19RM'!$AF$5:$AF$239)))</f>
        <v>0</v>
      </c>
      <c r="AB142" s="630" cm="1">
        <f t="array" ref="AB142">$X142*(SUMPRODUCT(('Cashflow Summary C19RM'!$K$5:$K$239&lt;&gt;1)*('Cashflow Summary C19RM'!$D$5:$D$239=E142)*('Cashflow Summary C19RM'!$AG$5:$AG$239)))</f>
        <v>0</v>
      </c>
      <c r="AC142" s="634">
        <f t="shared" si="62"/>
        <v>0</v>
      </c>
      <c r="AD142" s="686">
        <f t="shared" si="63"/>
        <v>0</v>
      </c>
      <c r="AE142" s="628" cm="1">
        <f t="array" ref="AE142">$AD142*(SUMPRODUCT(('Cashflow Summary C19RM'!$K$5:$K$239&lt;&gt;1)*('Cashflow Summary C19RM'!$D$5:$D$239=E142)*('Cashflow Summary C19RM'!$AH$5:$AH$239)))</f>
        <v>0</v>
      </c>
      <c r="AF142" s="633" cm="1">
        <f t="array" ref="AF142">$AD142*(SUMPRODUCT(('Cashflow Summary C19RM'!$K$5:$K$239&lt;&gt;1)*('Cashflow Summary C19RM'!$D$5:$D$239=E142)*('Cashflow Summary C19RM'!$AI$5:$AI$239)))</f>
        <v>0</v>
      </c>
      <c r="AG142" s="633" cm="1">
        <f t="array" ref="AG142">$AD142*(SUMPRODUCT(('Cashflow Summary C19RM'!$K$5:$K$239&lt;&gt;1)*('Cashflow Summary C19RM'!$D$5:$D$239=E142)*('Cashflow Summary C19RM'!$AJ$5:$AJ$239)))</f>
        <v>0</v>
      </c>
      <c r="AH142" s="633" cm="1">
        <f t="array" ref="AH142">$AD142*(SUMPRODUCT(('Cashflow Summary C19RM'!$K$5:$K$239&lt;&gt;1)*('Cashflow Summary C19RM'!$D$5:$D$239=E142)*('Cashflow Summary C19RM'!$AK$5:$AO$239)))</f>
        <v>0</v>
      </c>
      <c r="AI142" s="634">
        <f t="shared" si="64"/>
        <v>0</v>
      </c>
      <c r="AJ142" s="875">
        <v>0</v>
      </c>
      <c r="AK142" s="872"/>
      <c r="AL142" s="873"/>
      <c r="AM142" s="873"/>
      <c r="AN142" s="873"/>
      <c r="AO142" s="874"/>
      <c r="AP142" s="635">
        <f t="shared" si="71"/>
        <v>0</v>
      </c>
      <c r="AQ142" s="636">
        <v>7.6</v>
      </c>
      <c r="AR142" s="707"/>
      <c r="AS142" s="310"/>
      <c r="AV142" s="228">
        <f t="shared" si="65"/>
        <v>0</v>
      </c>
      <c r="AW142" s="228">
        <f t="shared" si="66"/>
        <v>0</v>
      </c>
      <c r="AX142" s="228">
        <f t="shared" si="67"/>
        <v>0</v>
      </c>
      <c r="AY142" s="228">
        <f t="shared" si="68"/>
        <v>0</v>
      </c>
      <c r="AZ142" s="228">
        <f t="shared" si="69"/>
        <v>0</v>
      </c>
      <c r="BA142" s="228"/>
      <c r="BC142" s="345" cm="1">
        <f t="array" ref="BC142">IF(BM142&gt;=1,0,IFERROR(SUMPRODUCT(($G$11:$AH$11=$BC$16)*($G142:$AH142)),0))</f>
        <v>0</v>
      </c>
      <c r="BD142" s="345" cm="1">
        <f t="array" ref="BD142">IF(BM142&gt;=1,0,IFERROR(SUMPRODUCT(($G$11:$AH$11=$BD$16)*($G142:$AH142)),0))</f>
        <v>0</v>
      </c>
      <c r="BE142" s="345" cm="1">
        <f t="array" ref="BE142">IF(BM142&gt;=1,0,IFERROR(SUMPRODUCT(($G$11:$AH$11=$BE$16)*($G142:$AH142)),0))</f>
        <v>0</v>
      </c>
      <c r="BF142" s="345" cm="1">
        <f t="array" ref="BF142">IF(BM142&gt;=1,0,IFERROR(SUMPRODUCT(($G$11:$AH$11=$BF$16)*($G142:$AH142)),0))</f>
        <v>0</v>
      </c>
      <c r="BG142" s="345" cm="1">
        <f t="array" ref="BG142">IF(BM142&gt;=1,0,IFERROR(SUMPRODUCT(($G$11:$AH$11=$BG$16)*($G142:$AH142)),0))</f>
        <v>0</v>
      </c>
      <c r="BH142" s="345"/>
      <c r="BI142" s="343">
        <f t="shared" si="72"/>
        <v>0</v>
      </c>
      <c r="BJ142" s="230" t="s">
        <v>83</v>
      </c>
      <c r="BK142" cm="1">
        <f t="array" ref="BK142">(SUMPRODUCT(('Cashflow Summary C19RM'!$D$5:$D$451=E142)*('Cashflow Summary C19RM'!$BD$5:$BD$451)))</f>
        <v>0</v>
      </c>
      <c r="BL142" cm="1">
        <f t="array" ref="BL142">(SUMPRODUCT((SETUP!$D$20:$D$67=E142)*(SETUP!$R$20:$R$67)))</f>
        <v>0</v>
      </c>
      <c r="BM142" s="89">
        <f t="shared" si="70"/>
        <v>0</v>
      </c>
    </row>
    <row r="143" spans="1:65" s="89" customFormat="1" ht="15" customHeight="1" x14ac:dyDescent="0.35">
      <c r="A143" s="89" t="s">
        <v>216</v>
      </c>
      <c r="B143" s="211" t="s">
        <v>746</v>
      </c>
      <c r="C143" s="699" t="s">
        <v>2750</v>
      </c>
      <c r="D143" s="1314"/>
      <c r="E143" s="1010" t="s">
        <v>28</v>
      </c>
      <c r="F143" s="697">
        <v>0</v>
      </c>
      <c r="G143" s="628" cm="1">
        <f t="array" ref="G143">$F143*(SUMPRODUCT(('Cashflow Summary C19RM'!$K$5:$K$239&lt;&gt;1)*('Cashflow Summary C19RM'!$D$5:$D$239=E143)*('Cashflow Summary C19RM'!$R$5:$R$239)))</f>
        <v>0</v>
      </c>
      <c r="H143" s="629" cm="1">
        <f t="array" ref="H143">$F143*(SUMPRODUCT(('Cashflow Summary C19RM'!$K$5:$K$239&lt;&gt;1)*('Cashflow Summary C19RM'!$D$5:$D$239=E143)*('Cashflow Summary C19RM'!$S$5:$S$239)))</f>
        <v>0</v>
      </c>
      <c r="I143" s="630" cm="1">
        <f t="array" ref="I143">$F143*(SUMPRODUCT(('Cashflow Summary C19RM'!$K$5:$K$239&lt;&gt;1)*('Cashflow Summary C19RM'!$D$5:$D$239=E143)*('Cashflow Summary C19RM'!$T$5:$T$239)))</f>
        <v>0</v>
      </c>
      <c r="J143" s="630" cm="1">
        <f t="array" ref="J143">$F143*(SUMPRODUCT(('Cashflow Summary C19RM'!$K$5:$K$239&lt;&gt;1)*('Cashflow Summary C19RM'!$D$5:$D$239=E143)*('Cashflow Summary C19RM'!$U$5:$U$239)))</f>
        <v>0</v>
      </c>
      <c r="K143" s="631">
        <f t="shared" si="56"/>
        <v>0</v>
      </c>
      <c r="L143" s="686">
        <f t="shared" si="57"/>
        <v>0</v>
      </c>
      <c r="M143" s="630" cm="1">
        <f t="array" ref="M143">$L143*(SUMPRODUCT(('Cashflow Summary C19RM'!$K$5:$K$239&lt;&gt;1)*('Cashflow Summary C19RM'!$D$5:$D$239=E143)*('Cashflow Summary C19RM'!$V$5:$V$239)))</f>
        <v>0</v>
      </c>
      <c r="N143" s="630" cm="1">
        <f t="array" ref="N143">$L143*(SUMPRODUCT(('Cashflow Summary C19RM'!$K$5:$K$239&lt;&gt;1)*('Cashflow Summary C19RM'!$D$5:$D$239=E143)*('Cashflow Summary C19RM'!$W$5:$W$239)))</f>
        <v>0</v>
      </c>
      <c r="O143" s="630" cm="1">
        <f t="array" ref="O143">$L143*(SUMPRODUCT(('Cashflow Summary C19RM'!$K$5:$K$239&lt;&gt;1)*('Cashflow Summary C19RM'!$D$5:$D$239=E143)*('Cashflow Summary C19RM'!$X$5:$X$239)))</f>
        <v>0</v>
      </c>
      <c r="P143" s="630" cm="1">
        <f t="array" ref="P143">$L143*(SUMPRODUCT(('Cashflow Summary C19RM'!$K$5:$K$239&lt;&gt;1)*('Cashflow Summary C19RM'!$D$5:$D$239=E143)*('Cashflow Summary C19RM'!$Y$5:$Y$239)))</f>
        <v>0</v>
      </c>
      <c r="Q143" s="632">
        <f t="shared" si="58"/>
        <v>0</v>
      </c>
      <c r="R143" s="686">
        <f t="shared" si="59"/>
        <v>0</v>
      </c>
      <c r="S143" s="633" cm="1">
        <f t="array" ref="S143">$R143*(SUMPRODUCT(('Cashflow Summary C19RM'!$K$5:$K$239&lt;&gt;1)*('Cashflow Summary C19RM'!$D$5:$D$239=E143)*('Cashflow Summary C19RM'!$Z$5:$Z$239)))</f>
        <v>0</v>
      </c>
      <c r="T143" s="633" cm="1">
        <f t="array" ref="T143">$R143*(SUMPRODUCT(('Cashflow Summary C19RM'!$K$5:$K$239&lt;&gt;1)*('Cashflow Summary C19RM'!$D$5:$D$239=E143)*('Cashflow Summary C19RM'!$AA$5:$AA$239)))</f>
        <v>0</v>
      </c>
      <c r="U143" s="633" cm="1">
        <f t="array" ref="U143">$R143*(SUMPRODUCT(('Cashflow Summary C19RM'!$K$5:$K$239&lt;&gt;1)*('Cashflow Summary C19RM'!$D$5:$D$239=E143)*('Cashflow Summary C19RM'!$AB$5:$AB$239)))</f>
        <v>0</v>
      </c>
      <c r="V143" s="633" cm="1">
        <f t="array" ref="V143">$R143*(SUMPRODUCT(('Cashflow Summary C19RM'!$K$5:$K$239&lt;&gt;1)*('Cashflow Summary C19RM'!$D$5:$D$239=E143)*('Cashflow Summary C19RM'!$AC$5:$AC$239)))</f>
        <v>0</v>
      </c>
      <c r="W143" s="634">
        <f t="shared" si="60"/>
        <v>0</v>
      </c>
      <c r="X143" s="686">
        <f t="shared" si="61"/>
        <v>0</v>
      </c>
      <c r="Y143" s="633" cm="1">
        <f t="array" ref="Y143">$X143*(SUMPRODUCT(('Cashflow Summary C19RM'!$K$5:$K$239&lt;&gt;1)*('Cashflow Summary C19RM'!$D$5:$D$239=E143)*('Cashflow Summary C19RM'!$AD$5:$AD$239)))</f>
        <v>0</v>
      </c>
      <c r="Z143" s="633" cm="1">
        <f t="array" ref="Z143">$X143*(SUMPRODUCT(('Cashflow Summary C19RM'!$K$5:$K$239&lt;&gt;1)*('Cashflow Summary C19RM'!$D$5:$D$239=E143)*('Cashflow Summary C19RM'!$AE$5:$AE$239)))</f>
        <v>0</v>
      </c>
      <c r="AA143" s="633" cm="1">
        <f t="array" ref="AA143">$X143*(SUMPRODUCT(('Cashflow Summary C19RM'!$K$5:$K$239&lt;&gt;1)*('Cashflow Summary C19RM'!$D$5:$D$239=E143)*('Cashflow Summary C19RM'!$AF$5:$AF$239)))</f>
        <v>0</v>
      </c>
      <c r="AB143" s="630" cm="1">
        <f t="array" ref="AB143">$X143*(SUMPRODUCT(('Cashflow Summary C19RM'!$K$5:$K$239&lt;&gt;1)*('Cashflow Summary C19RM'!$D$5:$D$239=E143)*('Cashflow Summary C19RM'!$AG$5:$AG$239)))</f>
        <v>0</v>
      </c>
      <c r="AC143" s="634">
        <f t="shared" si="62"/>
        <v>0</v>
      </c>
      <c r="AD143" s="686">
        <f t="shared" si="63"/>
        <v>0</v>
      </c>
      <c r="AE143" s="628" cm="1">
        <f t="array" ref="AE143">$AD143*(SUMPRODUCT(('Cashflow Summary C19RM'!$K$5:$K$239&lt;&gt;1)*('Cashflow Summary C19RM'!$D$5:$D$239=E143)*('Cashflow Summary C19RM'!$AH$5:$AH$239)))</f>
        <v>0</v>
      </c>
      <c r="AF143" s="633" cm="1">
        <f t="array" ref="AF143">$AD143*(SUMPRODUCT(('Cashflow Summary C19RM'!$K$5:$K$239&lt;&gt;1)*('Cashflow Summary C19RM'!$D$5:$D$239=E143)*('Cashflow Summary C19RM'!$AI$5:$AI$239)))</f>
        <v>0</v>
      </c>
      <c r="AG143" s="633" cm="1">
        <f t="array" ref="AG143">$AD143*(SUMPRODUCT(('Cashflow Summary C19RM'!$K$5:$K$239&lt;&gt;1)*('Cashflow Summary C19RM'!$D$5:$D$239=E143)*('Cashflow Summary C19RM'!$AJ$5:$AJ$239)))</f>
        <v>0</v>
      </c>
      <c r="AH143" s="633" cm="1">
        <f t="array" ref="AH143">$AD143*(SUMPRODUCT(('Cashflow Summary C19RM'!$K$5:$K$239&lt;&gt;1)*('Cashflow Summary C19RM'!$D$5:$D$239=E143)*('Cashflow Summary C19RM'!$AK$5:$AO$239)))</f>
        <v>0</v>
      </c>
      <c r="AI143" s="634">
        <f t="shared" si="64"/>
        <v>0</v>
      </c>
      <c r="AJ143" s="875">
        <v>0</v>
      </c>
      <c r="AK143" s="872"/>
      <c r="AL143" s="873"/>
      <c r="AM143" s="873"/>
      <c r="AN143" s="873"/>
      <c r="AO143" s="874"/>
      <c r="AP143" s="635">
        <f t="shared" si="71"/>
        <v>0</v>
      </c>
      <c r="AQ143" s="636">
        <v>7.6</v>
      </c>
      <c r="AR143" s="707"/>
      <c r="AS143" s="310"/>
      <c r="AV143" s="228">
        <f t="shared" si="65"/>
        <v>0</v>
      </c>
      <c r="AW143" s="228">
        <f t="shared" si="66"/>
        <v>0</v>
      </c>
      <c r="AX143" s="228">
        <f t="shared" si="67"/>
        <v>0</v>
      </c>
      <c r="AY143" s="228">
        <f t="shared" si="68"/>
        <v>0</v>
      </c>
      <c r="AZ143" s="228">
        <f t="shared" si="69"/>
        <v>0</v>
      </c>
      <c r="BA143" s="228"/>
      <c r="BC143" s="345" cm="1">
        <f t="array" ref="BC143">IF(BM143&gt;=1,0,IFERROR(SUMPRODUCT(($G$11:$AH$11=$BC$16)*($G143:$AH143)),0))</f>
        <v>0</v>
      </c>
      <c r="BD143" s="345" cm="1">
        <f t="array" ref="BD143">IF(BM143&gt;=1,0,IFERROR(SUMPRODUCT(($G$11:$AH$11=$BD$16)*($G143:$AH143)),0))</f>
        <v>0</v>
      </c>
      <c r="BE143" s="345" cm="1">
        <f t="array" ref="BE143">IF(BM143&gt;=1,0,IFERROR(SUMPRODUCT(($G$11:$AH$11=$BE$16)*($G143:$AH143)),0))</f>
        <v>0</v>
      </c>
      <c r="BF143" s="345" cm="1">
        <f t="array" ref="BF143">IF(BM143&gt;=1,0,IFERROR(SUMPRODUCT(($G$11:$AH$11=$BF$16)*($G143:$AH143)),0))</f>
        <v>0</v>
      </c>
      <c r="BG143" s="345" cm="1">
        <f t="array" ref="BG143">IF(BM143&gt;=1,0,IFERROR(SUMPRODUCT(($G$11:$AH$11=$BG$16)*($G143:$AH143)),0))</f>
        <v>0</v>
      </c>
      <c r="BH143" s="345"/>
      <c r="BI143" s="343">
        <f t="shared" si="72"/>
        <v>0</v>
      </c>
      <c r="BJ143" s="230" t="s">
        <v>83</v>
      </c>
      <c r="BK143" cm="1">
        <f t="array" ref="BK143">(SUMPRODUCT(('Cashflow Summary C19RM'!$D$5:$D$451=E143)*('Cashflow Summary C19RM'!$BD$5:$BD$451)))</f>
        <v>0</v>
      </c>
      <c r="BL143" cm="1">
        <f t="array" ref="BL143">(SUMPRODUCT((SETUP!$D$20:$D$67=E143)*(SETUP!$R$20:$R$67)))</f>
        <v>0</v>
      </c>
      <c r="BM143" s="89">
        <f t="shared" si="70"/>
        <v>0</v>
      </c>
    </row>
    <row r="144" spans="1:65" s="89" customFormat="1" ht="15" customHeight="1" x14ac:dyDescent="0.35">
      <c r="A144" s="89" t="s">
        <v>216</v>
      </c>
      <c r="B144" s="211" t="s">
        <v>746</v>
      </c>
      <c r="C144" s="699" t="s">
        <v>2750</v>
      </c>
      <c r="D144" s="1314"/>
      <c r="E144" s="1010" t="s">
        <v>29</v>
      </c>
      <c r="F144" s="697">
        <v>0</v>
      </c>
      <c r="G144" s="628" cm="1">
        <f t="array" ref="G144">$F144*(SUMPRODUCT(('Cashflow Summary C19RM'!$K$5:$K$239&lt;&gt;1)*('Cashflow Summary C19RM'!$D$5:$D$239=E144)*('Cashflow Summary C19RM'!$R$5:$R$239)))</f>
        <v>0</v>
      </c>
      <c r="H144" s="629" cm="1">
        <f t="array" ref="H144">$F144*(SUMPRODUCT(('Cashflow Summary C19RM'!$K$5:$K$239&lt;&gt;1)*('Cashflow Summary C19RM'!$D$5:$D$239=E144)*('Cashflow Summary C19RM'!$S$5:$S$239)))</f>
        <v>0</v>
      </c>
      <c r="I144" s="630" cm="1">
        <f t="array" ref="I144">$F144*(SUMPRODUCT(('Cashflow Summary C19RM'!$K$5:$K$239&lt;&gt;1)*('Cashflow Summary C19RM'!$D$5:$D$239=E144)*('Cashflow Summary C19RM'!$T$5:$T$239)))</f>
        <v>0</v>
      </c>
      <c r="J144" s="630" cm="1">
        <f t="array" ref="J144">$F144*(SUMPRODUCT(('Cashflow Summary C19RM'!$K$5:$K$239&lt;&gt;1)*('Cashflow Summary C19RM'!$D$5:$D$239=E144)*('Cashflow Summary C19RM'!$U$5:$U$239)))</f>
        <v>0</v>
      </c>
      <c r="K144" s="631">
        <f t="shared" si="56"/>
        <v>0</v>
      </c>
      <c r="L144" s="686">
        <f t="shared" si="57"/>
        <v>0</v>
      </c>
      <c r="M144" s="630" cm="1">
        <f t="array" ref="M144">$L144*(SUMPRODUCT(('Cashflow Summary C19RM'!$K$5:$K$239&lt;&gt;1)*('Cashflow Summary C19RM'!$D$5:$D$239=E144)*('Cashflow Summary C19RM'!$V$5:$V$239)))</f>
        <v>0</v>
      </c>
      <c r="N144" s="630" cm="1">
        <f t="array" ref="N144">$L144*(SUMPRODUCT(('Cashflow Summary C19RM'!$K$5:$K$239&lt;&gt;1)*('Cashflow Summary C19RM'!$D$5:$D$239=E144)*('Cashflow Summary C19RM'!$W$5:$W$239)))</f>
        <v>0</v>
      </c>
      <c r="O144" s="630" cm="1">
        <f t="array" ref="O144">$L144*(SUMPRODUCT(('Cashflow Summary C19RM'!$K$5:$K$239&lt;&gt;1)*('Cashflow Summary C19RM'!$D$5:$D$239=E144)*('Cashflow Summary C19RM'!$X$5:$X$239)))</f>
        <v>0</v>
      </c>
      <c r="P144" s="630" cm="1">
        <f t="array" ref="P144">$L144*(SUMPRODUCT(('Cashflow Summary C19RM'!$K$5:$K$239&lt;&gt;1)*('Cashflow Summary C19RM'!$D$5:$D$239=E144)*('Cashflow Summary C19RM'!$Y$5:$Y$239)))</f>
        <v>0</v>
      </c>
      <c r="Q144" s="632">
        <f t="shared" si="58"/>
        <v>0</v>
      </c>
      <c r="R144" s="686">
        <f t="shared" si="59"/>
        <v>0</v>
      </c>
      <c r="S144" s="633" cm="1">
        <f t="array" ref="S144">$R144*(SUMPRODUCT(('Cashflow Summary C19RM'!$K$5:$K$239&lt;&gt;1)*('Cashflow Summary C19RM'!$D$5:$D$239=E144)*('Cashflow Summary C19RM'!$Z$5:$Z$239)))</f>
        <v>0</v>
      </c>
      <c r="T144" s="633" cm="1">
        <f t="array" ref="T144">$R144*(SUMPRODUCT(('Cashflow Summary C19RM'!$K$5:$K$239&lt;&gt;1)*('Cashflow Summary C19RM'!$D$5:$D$239=E144)*('Cashflow Summary C19RM'!$AA$5:$AA$239)))</f>
        <v>0</v>
      </c>
      <c r="U144" s="633" cm="1">
        <f t="array" ref="U144">$R144*(SUMPRODUCT(('Cashflow Summary C19RM'!$K$5:$K$239&lt;&gt;1)*('Cashflow Summary C19RM'!$D$5:$D$239=E144)*('Cashflow Summary C19RM'!$AB$5:$AB$239)))</f>
        <v>0</v>
      </c>
      <c r="V144" s="633" cm="1">
        <f t="array" ref="V144">$R144*(SUMPRODUCT(('Cashflow Summary C19RM'!$K$5:$K$239&lt;&gt;1)*('Cashflow Summary C19RM'!$D$5:$D$239=E144)*('Cashflow Summary C19RM'!$AC$5:$AC$239)))</f>
        <v>0</v>
      </c>
      <c r="W144" s="634">
        <f t="shared" si="60"/>
        <v>0</v>
      </c>
      <c r="X144" s="686">
        <f t="shared" si="61"/>
        <v>0</v>
      </c>
      <c r="Y144" s="633" cm="1">
        <f t="array" ref="Y144">$X144*(SUMPRODUCT(('Cashflow Summary C19RM'!$K$5:$K$239&lt;&gt;1)*('Cashflow Summary C19RM'!$D$5:$D$239=E144)*('Cashflow Summary C19RM'!$AD$5:$AD$239)))</f>
        <v>0</v>
      </c>
      <c r="Z144" s="633" cm="1">
        <f t="array" ref="Z144">$X144*(SUMPRODUCT(('Cashflow Summary C19RM'!$K$5:$K$239&lt;&gt;1)*('Cashflow Summary C19RM'!$D$5:$D$239=E144)*('Cashflow Summary C19RM'!$AE$5:$AE$239)))</f>
        <v>0</v>
      </c>
      <c r="AA144" s="633" cm="1">
        <f t="array" ref="AA144">$X144*(SUMPRODUCT(('Cashflow Summary C19RM'!$K$5:$K$239&lt;&gt;1)*('Cashflow Summary C19RM'!$D$5:$D$239=E144)*('Cashflow Summary C19RM'!$AF$5:$AF$239)))</f>
        <v>0</v>
      </c>
      <c r="AB144" s="630" cm="1">
        <f t="array" ref="AB144">$X144*(SUMPRODUCT(('Cashflow Summary C19RM'!$K$5:$K$239&lt;&gt;1)*('Cashflow Summary C19RM'!$D$5:$D$239=E144)*('Cashflow Summary C19RM'!$AG$5:$AG$239)))</f>
        <v>0</v>
      </c>
      <c r="AC144" s="634">
        <f t="shared" si="62"/>
        <v>0</v>
      </c>
      <c r="AD144" s="686">
        <f t="shared" si="63"/>
        <v>0</v>
      </c>
      <c r="AE144" s="628" cm="1">
        <f t="array" ref="AE144">$AD144*(SUMPRODUCT(('Cashflow Summary C19RM'!$K$5:$K$239&lt;&gt;1)*('Cashflow Summary C19RM'!$D$5:$D$239=E144)*('Cashflow Summary C19RM'!$AH$5:$AH$239)))</f>
        <v>0</v>
      </c>
      <c r="AF144" s="633" cm="1">
        <f t="array" ref="AF144">$AD144*(SUMPRODUCT(('Cashflow Summary C19RM'!$K$5:$K$239&lt;&gt;1)*('Cashflow Summary C19RM'!$D$5:$D$239=E144)*('Cashflow Summary C19RM'!$AI$5:$AI$239)))</f>
        <v>0</v>
      </c>
      <c r="AG144" s="633" cm="1">
        <f t="array" ref="AG144">$AD144*(SUMPRODUCT(('Cashflow Summary C19RM'!$K$5:$K$239&lt;&gt;1)*('Cashflow Summary C19RM'!$D$5:$D$239=E144)*('Cashflow Summary C19RM'!$AJ$5:$AJ$239)))</f>
        <v>0</v>
      </c>
      <c r="AH144" s="633" cm="1">
        <f t="array" ref="AH144">$AD144*(SUMPRODUCT(('Cashflow Summary C19RM'!$K$5:$K$239&lt;&gt;1)*('Cashflow Summary C19RM'!$D$5:$D$239=E144)*('Cashflow Summary C19RM'!$AK$5:$AO$239)))</f>
        <v>0</v>
      </c>
      <c r="AI144" s="634">
        <f t="shared" si="64"/>
        <v>0</v>
      </c>
      <c r="AJ144" s="875">
        <v>0</v>
      </c>
      <c r="AK144" s="872"/>
      <c r="AL144" s="873"/>
      <c r="AM144" s="873"/>
      <c r="AN144" s="873"/>
      <c r="AO144" s="874"/>
      <c r="AP144" s="635">
        <f t="shared" si="71"/>
        <v>0</v>
      </c>
      <c r="AQ144" s="636">
        <v>7.6</v>
      </c>
      <c r="AR144" s="707"/>
      <c r="AS144" s="726"/>
      <c r="AV144" s="228">
        <f t="shared" si="65"/>
        <v>0</v>
      </c>
      <c r="AW144" s="228">
        <f t="shared" si="66"/>
        <v>0</v>
      </c>
      <c r="AX144" s="228">
        <f t="shared" si="67"/>
        <v>0</v>
      </c>
      <c r="AY144" s="228">
        <f t="shared" si="68"/>
        <v>0</v>
      </c>
      <c r="AZ144" s="228">
        <f t="shared" si="69"/>
        <v>0</v>
      </c>
      <c r="BA144" s="228"/>
      <c r="BC144" s="345" cm="1">
        <f t="array" ref="BC144">IF(BM144&gt;=1,0,IFERROR(SUMPRODUCT(($G$11:$AH$11=$BC$16)*($G144:$AH144)),0))</f>
        <v>0</v>
      </c>
      <c r="BD144" s="345" cm="1">
        <f t="array" ref="BD144">IF(BM144&gt;=1,0,IFERROR(SUMPRODUCT(($G$11:$AH$11=$BD$16)*($G144:$AH144)),0))</f>
        <v>0</v>
      </c>
      <c r="BE144" s="345" cm="1">
        <f t="array" ref="BE144">IF(BM144&gt;=1,0,IFERROR(SUMPRODUCT(($G$11:$AH$11=$BE$16)*($G144:$AH144)),0))</f>
        <v>0</v>
      </c>
      <c r="BF144" s="345" cm="1">
        <f t="array" ref="BF144">IF(BM144&gt;=1,0,IFERROR(SUMPRODUCT(($G$11:$AH$11=$BF$16)*($G144:$AH144)),0))</f>
        <v>0</v>
      </c>
      <c r="BG144" s="345" cm="1">
        <f t="array" ref="BG144">IF(BM144&gt;=1,0,IFERROR(SUMPRODUCT(($G$11:$AH$11=$BG$16)*($G144:$AH144)),0))</f>
        <v>0</v>
      </c>
      <c r="BH144" s="345"/>
      <c r="BI144" s="343">
        <f t="shared" si="72"/>
        <v>0</v>
      </c>
      <c r="BJ144" s="230" t="s">
        <v>83</v>
      </c>
      <c r="BK144" cm="1">
        <f t="array" ref="BK144">(SUMPRODUCT(('Cashflow Summary C19RM'!$D$5:$D$451=E144)*('Cashflow Summary C19RM'!$BD$5:$BD$451)))</f>
        <v>0</v>
      </c>
      <c r="BL144" cm="1">
        <f t="array" ref="BL144">(SUMPRODUCT((SETUP!$D$20:$D$67=E144)*(SETUP!$R$20:$R$67)))</f>
        <v>0</v>
      </c>
      <c r="BM144" s="89">
        <f t="shared" si="70"/>
        <v>0</v>
      </c>
    </row>
    <row r="145" spans="1:97" s="89" customFormat="1" ht="15" customHeight="1" x14ac:dyDescent="0.35">
      <c r="A145" s="89" t="s">
        <v>216</v>
      </c>
      <c r="B145" s="211" t="s">
        <v>746</v>
      </c>
      <c r="C145" s="699" t="s">
        <v>2750</v>
      </c>
      <c r="D145" s="1314"/>
      <c r="E145" s="1010" t="s">
        <v>30</v>
      </c>
      <c r="F145" s="697">
        <v>0</v>
      </c>
      <c r="G145" s="628" cm="1">
        <f t="array" ref="G145">$F145*(SUMPRODUCT(('Cashflow Summary C19RM'!$K$5:$K$239&lt;&gt;1)*('Cashflow Summary C19RM'!$D$5:$D$239=E145)*('Cashflow Summary C19RM'!$R$5:$R$239)))</f>
        <v>0</v>
      </c>
      <c r="H145" s="629" cm="1">
        <f t="array" ref="H145">$F145*(SUMPRODUCT(('Cashflow Summary C19RM'!$K$5:$K$239&lt;&gt;1)*('Cashflow Summary C19RM'!$D$5:$D$239=E145)*('Cashflow Summary C19RM'!$S$5:$S$239)))</f>
        <v>0</v>
      </c>
      <c r="I145" s="630" cm="1">
        <f t="array" ref="I145">$F145*(SUMPRODUCT(('Cashflow Summary C19RM'!$K$5:$K$239&lt;&gt;1)*('Cashflow Summary C19RM'!$D$5:$D$239=E145)*('Cashflow Summary C19RM'!$T$5:$T$239)))</f>
        <v>0</v>
      </c>
      <c r="J145" s="630" cm="1">
        <f t="array" ref="J145">$F145*(SUMPRODUCT(('Cashflow Summary C19RM'!$K$5:$K$239&lt;&gt;1)*('Cashflow Summary C19RM'!$D$5:$D$239=E145)*('Cashflow Summary C19RM'!$U$5:$U$239)))</f>
        <v>0</v>
      </c>
      <c r="K145" s="631">
        <f t="shared" si="56"/>
        <v>0</v>
      </c>
      <c r="L145" s="686">
        <f t="shared" si="57"/>
        <v>0</v>
      </c>
      <c r="M145" s="630" cm="1">
        <f t="array" ref="M145">$L145*(SUMPRODUCT(('Cashflow Summary C19RM'!$K$5:$K$239&lt;&gt;1)*('Cashflow Summary C19RM'!$D$5:$D$239=E145)*('Cashflow Summary C19RM'!$V$5:$V$239)))</f>
        <v>0</v>
      </c>
      <c r="N145" s="630" cm="1">
        <f t="array" ref="N145">$L145*(SUMPRODUCT(('Cashflow Summary C19RM'!$K$5:$K$239&lt;&gt;1)*('Cashflow Summary C19RM'!$D$5:$D$239=E145)*('Cashflow Summary C19RM'!$W$5:$W$239)))</f>
        <v>0</v>
      </c>
      <c r="O145" s="630" cm="1">
        <f t="array" ref="O145">$L145*(SUMPRODUCT(('Cashflow Summary C19RM'!$K$5:$K$239&lt;&gt;1)*('Cashflow Summary C19RM'!$D$5:$D$239=E145)*('Cashflow Summary C19RM'!$X$5:$X$239)))</f>
        <v>0</v>
      </c>
      <c r="P145" s="630" cm="1">
        <f t="array" ref="P145">$L145*(SUMPRODUCT(('Cashflow Summary C19RM'!$K$5:$K$239&lt;&gt;1)*('Cashflow Summary C19RM'!$D$5:$D$239=E145)*('Cashflow Summary C19RM'!$Y$5:$Y$239)))</f>
        <v>0</v>
      </c>
      <c r="Q145" s="632">
        <f t="shared" si="58"/>
        <v>0</v>
      </c>
      <c r="R145" s="686">
        <f t="shared" si="59"/>
        <v>0</v>
      </c>
      <c r="S145" s="633" cm="1">
        <f t="array" ref="S145">$R145*(SUMPRODUCT(('Cashflow Summary C19RM'!$K$5:$K$239&lt;&gt;1)*('Cashflow Summary C19RM'!$D$5:$D$239=E145)*('Cashflow Summary C19RM'!$Z$5:$Z$239)))</f>
        <v>0</v>
      </c>
      <c r="T145" s="633" cm="1">
        <f t="array" ref="T145">$R145*(SUMPRODUCT(('Cashflow Summary C19RM'!$K$5:$K$239&lt;&gt;1)*('Cashflow Summary C19RM'!$D$5:$D$239=E145)*('Cashflow Summary C19RM'!$AA$5:$AA$239)))</f>
        <v>0</v>
      </c>
      <c r="U145" s="633" cm="1">
        <f t="array" ref="U145">$R145*(SUMPRODUCT(('Cashflow Summary C19RM'!$K$5:$K$239&lt;&gt;1)*('Cashflow Summary C19RM'!$D$5:$D$239=E145)*('Cashflow Summary C19RM'!$AB$5:$AB$239)))</f>
        <v>0</v>
      </c>
      <c r="V145" s="633" cm="1">
        <f t="array" ref="V145">$R145*(SUMPRODUCT(('Cashflow Summary C19RM'!$K$5:$K$239&lt;&gt;1)*('Cashflow Summary C19RM'!$D$5:$D$239=E145)*('Cashflow Summary C19RM'!$AC$5:$AC$239)))</f>
        <v>0</v>
      </c>
      <c r="W145" s="634">
        <f t="shared" si="60"/>
        <v>0</v>
      </c>
      <c r="X145" s="686">
        <f t="shared" si="61"/>
        <v>0</v>
      </c>
      <c r="Y145" s="633" cm="1">
        <f t="array" ref="Y145">$X145*(SUMPRODUCT(('Cashflow Summary C19RM'!$K$5:$K$239&lt;&gt;1)*('Cashflow Summary C19RM'!$D$5:$D$239=E145)*('Cashflow Summary C19RM'!$AD$5:$AD$239)))</f>
        <v>0</v>
      </c>
      <c r="Z145" s="633" cm="1">
        <f t="array" ref="Z145">$X145*(SUMPRODUCT(('Cashflow Summary C19RM'!$K$5:$K$239&lt;&gt;1)*('Cashflow Summary C19RM'!$D$5:$D$239=E145)*('Cashflow Summary C19RM'!$AE$5:$AE$239)))</f>
        <v>0</v>
      </c>
      <c r="AA145" s="633" cm="1">
        <f t="array" ref="AA145">$X145*(SUMPRODUCT(('Cashflow Summary C19RM'!$K$5:$K$239&lt;&gt;1)*('Cashflow Summary C19RM'!$D$5:$D$239=E145)*('Cashflow Summary C19RM'!$AF$5:$AF$239)))</f>
        <v>0</v>
      </c>
      <c r="AB145" s="630" cm="1">
        <f t="array" ref="AB145">$X145*(SUMPRODUCT(('Cashflow Summary C19RM'!$K$5:$K$239&lt;&gt;1)*('Cashflow Summary C19RM'!$D$5:$D$239=E145)*('Cashflow Summary C19RM'!$AG$5:$AG$239)))</f>
        <v>0</v>
      </c>
      <c r="AC145" s="634">
        <f t="shared" si="62"/>
        <v>0</v>
      </c>
      <c r="AD145" s="686">
        <f t="shared" si="63"/>
        <v>0</v>
      </c>
      <c r="AE145" s="628" cm="1">
        <f t="array" ref="AE145">$AD145*(SUMPRODUCT(('Cashflow Summary C19RM'!$K$5:$K$239&lt;&gt;1)*('Cashflow Summary C19RM'!$D$5:$D$239=E145)*('Cashflow Summary C19RM'!$AH$5:$AH$239)))</f>
        <v>0</v>
      </c>
      <c r="AF145" s="633" cm="1">
        <f t="array" ref="AF145">$AD145*(SUMPRODUCT(('Cashflow Summary C19RM'!$K$5:$K$239&lt;&gt;1)*('Cashflow Summary C19RM'!$D$5:$D$239=E145)*('Cashflow Summary C19RM'!$AI$5:$AI$239)))</f>
        <v>0</v>
      </c>
      <c r="AG145" s="633" cm="1">
        <f t="array" ref="AG145">$AD145*(SUMPRODUCT(('Cashflow Summary C19RM'!$K$5:$K$239&lt;&gt;1)*('Cashflow Summary C19RM'!$D$5:$D$239=E145)*('Cashflow Summary C19RM'!$AJ$5:$AJ$239)))</f>
        <v>0</v>
      </c>
      <c r="AH145" s="633" cm="1">
        <f t="array" ref="AH145">$AD145*(SUMPRODUCT(('Cashflow Summary C19RM'!$K$5:$K$239&lt;&gt;1)*('Cashflow Summary C19RM'!$D$5:$D$239=E145)*('Cashflow Summary C19RM'!$AK$5:$AO$239)))</f>
        <v>0</v>
      </c>
      <c r="AI145" s="634">
        <f t="shared" si="64"/>
        <v>0</v>
      </c>
      <c r="AJ145" s="875">
        <v>0</v>
      </c>
      <c r="AK145" s="872"/>
      <c r="AL145" s="873"/>
      <c r="AM145" s="873"/>
      <c r="AN145" s="873"/>
      <c r="AO145" s="874"/>
      <c r="AP145" s="635">
        <f t="shared" si="71"/>
        <v>0</v>
      </c>
      <c r="AQ145" s="636">
        <v>7.6</v>
      </c>
      <c r="AR145" s="707"/>
      <c r="AS145" s="726"/>
      <c r="AV145" s="228">
        <f t="shared" si="65"/>
        <v>0</v>
      </c>
      <c r="AW145" s="228">
        <f t="shared" si="66"/>
        <v>0</v>
      </c>
      <c r="AX145" s="228">
        <f t="shared" si="67"/>
        <v>0</v>
      </c>
      <c r="AY145" s="228">
        <f t="shared" si="68"/>
        <v>0</v>
      </c>
      <c r="AZ145" s="228">
        <f t="shared" si="69"/>
        <v>0</v>
      </c>
      <c r="BA145" s="228"/>
      <c r="BC145" s="345" cm="1">
        <f t="array" ref="BC145">IF(BM145&gt;=1,0,IFERROR(SUMPRODUCT(($G$11:$AH$11=$BC$16)*($G145:$AH145)),0))</f>
        <v>0</v>
      </c>
      <c r="BD145" s="345" cm="1">
        <f t="array" ref="BD145">IF(BM145&gt;=1,0,IFERROR(SUMPRODUCT(($G$11:$AH$11=$BD$16)*($G145:$AH145)),0))</f>
        <v>0</v>
      </c>
      <c r="BE145" s="345" cm="1">
        <f t="array" ref="BE145">IF(BM145&gt;=1,0,IFERROR(SUMPRODUCT(($G$11:$AH$11=$BE$16)*($G145:$AH145)),0))</f>
        <v>0</v>
      </c>
      <c r="BF145" s="345" cm="1">
        <f t="array" ref="BF145">IF(BM145&gt;=1,0,IFERROR(SUMPRODUCT(($G$11:$AH$11=$BF$16)*($G145:$AH145)),0))</f>
        <v>0</v>
      </c>
      <c r="BG145" s="345" cm="1">
        <f t="array" ref="BG145">IF(BM145&gt;=1,0,IFERROR(SUMPRODUCT(($G$11:$AH$11=$BG$16)*($G145:$AH145)),0))</f>
        <v>0</v>
      </c>
      <c r="BH145" s="345"/>
      <c r="BI145" s="343">
        <f t="shared" si="72"/>
        <v>0</v>
      </c>
      <c r="BJ145" s="230" t="s">
        <v>83</v>
      </c>
      <c r="BK145" cm="1">
        <f t="array" ref="BK145">(SUMPRODUCT(('Cashflow Summary C19RM'!$D$5:$D$451=E145)*('Cashflow Summary C19RM'!$BD$5:$BD$451)))</f>
        <v>0</v>
      </c>
      <c r="BL145" cm="1">
        <f t="array" ref="BL145">(SUMPRODUCT((SETUP!$D$20:$D$67=E145)*(SETUP!$R$20:$R$67)))</f>
        <v>0</v>
      </c>
      <c r="BM145" s="89">
        <f t="shared" si="70"/>
        <v>0</v>
      </c>
    </row>
    <row r="146" spans="1:97" s="89" customFormat="1" ht="15" customHeight="1" thickBot="1" x14ac:dyDescent="0.4">
      <c r="A146" s="89" t="s">
        <v>216</v>
      </c>
      <c r="B146" s="211" t="s">
        <v>746</v>
      </c>
      <c r="C146" s="699" t="s">
        <v>2750</v>
      </c>
      <c r="D146" s="1315"/>
      <c r="E146" s="1011" t="s">
        <v>31</v>
      </c>
      <c r="F146" s="720">
        <v>0</v>
      </c>
      <c r="G146" s="709" cm="1">
        <f t="array" ref="G146">$F146*(SUMPRODUCT(('Cashflow Summary C19RM'!$K$5:$K$239&lt;&gt;1)*('Cashflow Summary C19RM'!$D$5:$D$239=E146)*('Cashflow Summary C19RM'!$R$5:$R$239)))</f>
        <v>0</v>
      </c>
      <c r="H146" s="1005" cm="1">
        <f t="array" ref="H146">$F146*(SUMPRODUCT(('Cashflow Summary C19RM'!$K$5:$K$239&lt;&gt;1)*('Cashflow Summary C19RM'!$D$5:$D$239=E146)*('Cashflow Summary C19RM'!$S$5:$S$239)))</f>
        <v>0</v>
      </c>
      <c r="I146" s="989" cm="1">
        <f t="array" ref="I146">$F146*(SUMPRODUCT(('Cashflow Summary C19RM'!$K$5:$K$239&lt;&gt;1)*('Cashflow Summary C19RM'!$D$5:$D$239=E146)*('Cashflow Summary C19RM'!$T$5:$T$239)))</f>
        <v>0</v>
      </c>
      <c r="J146" s="989" cm="1">
        <f t="array" ref="J146">$F146*(SUMPRODUCT(('Cashflow Summary C19RM'!$K$5:$K$239&lt;&gt;1)*('Cashflow Summary C19RM'!$D$5:$D$239=E146)*('Cashflow Summary C19RM'!$U$5:$U$239)))</f>
        <v>0</v>
      </c>
      <c r="K146" s="712">
        <f t="shared" si="56"/>
        <v>0</v>
      </c>
      <c r="L146" s="711">
        <f t="shared" si="57"/>
        <v>0</v>
      </c>
      <c r="M146" s="989" cm="1">
        <f t="array" ref="M146">$L146*(SUMPRODUCT(('Cashflow Summary C19RM'!$K$5:$K$239&lt;&gt;1)*('Cashflow Summary C19RM'!$D$5:$D$239=E146)*('Cashflow Summary C19RM'!$V$5:$V$239)))</f>
        <v>0</v>
      </c>
      <c r="N146" s="989" cm="1">
        <f t="array" ref="N146">$L146*(SUMPRODUCT(('Cashflow Summary C19RM'!$K$5:$K$239&lt;&gt;1)*('Cashflow Summary C19RM'!$D$5:$D$239=E146)*('Cashflow Summary C19RM'!$W$5:$W$239)))</f>
        <v>0</v>
      </c>
      <c r="O146" s="989" cm="1">
        <f t="array" ref="O146">$L146*(SUMPRODUCT(('Cashflow Summary C19RM'!$K$5:$K$239&lt;&gt;1)*('Cashflow Summary C19RM'!$D$5:$D$239=E146)*('Cashflow Summary C19RM'!$X$5:$X$239)))</f>
        <v>0</v>
      </c>
      <c r="P146" s="989" cm="1">
        <f t="array" ref="P146">$L146*(SUMPRODUCT(('Cashflow Summary C19RM'!$K$5:$K$239&lt;&gt;1)*('Cashflow Summary C19RM'!$D$5:$D$239=E146)*('Cashflow Summary C19RM'!$Y$5:$Y$239)))</f>
        <v>0</v>
      </c>
      <c r="Q146" s="710">
        <f t="shared" si="58"/>
        <v>0</v>
      </c>
      <c r="R146" s="711">
        <f t="shared" si="59"/>
        <v>0</v>
      </c>
      <c r="S146" s="704" cm="1">
        <f t="array" ref="S146">$R146*(SUMPRODUCT(('Cashflow Summary C19RM'!$K$5:$K$239&lt;&gt;1)*('Cashflow Summary C19RM'!$D$5:$D$239=E146)*('Cashflow Summary C19RM'!$Z$5:$Z$239)))</f>
        <v>0</v>
      </c>
      <c r="T146" s="704" cm="1">
        <f t="array" ref="T146">$R146*(SUMPRODUCT(('Cashflow Summary C19RM'!$K$5:$K$239&lt;&gt;1)*('Cashflow Summary C19RM'!$D$5:$D$239=E146)*('Cashflow Summary C19RM'!$AA$5:$AA$239)))</f>
        <v>0</v>
      </c>
      <c r="U146" s="704" cm="1">
        <f t="array" ref="U146">$R146*(SUMPRODUCT(('Cashflow Summary C19RM'!$K$5:$K$239&lt;&gt;1)*('Cashflow Summary C19RM'!$D$5:$D$239=E146)*('Cashflow Summary C19RM'!$AB$5:$AB$239)))</f>
        <v>0</v>
      </c>
      <c r="V146" s="704" cm="1">
        <f t="array" ref="V146">$R146*(SUMPRODUCT(('Cashflow Summary C19RM'!$K$5:$K$239&lt;&gt;1)*('Cashflow Summary C19RM'!$D$5:$D$239=E146)*('Cashflow Summary C19RM'!$AC$5:$AC$239)))</f>
        <v>0</v>
      </c>
      <c r="W146" s="993">
        <f t="shared" si="60"/>
        <v>0</v>
      </c>
      <c r="X146" s="711">
        <f t="shared" si="61"/>
        <v>0</v>
      </c>
      <c r="Y146" s="704" cm="1">
        <f t="array" ref="Y146">$X146*(SUMPRODUCT(('Cashflow Summary C19RM'!$K$5:$K$239&lt;&gt;1)*('Cashflow Summary C19RM'!$D$5:$D$239=E146)*('Cashflow Summary C19RM'!$AD$5:$AD$239)))</f>
        <v>0</v>
      </c>
      <c r="Z146" s="704" cm="1">
        <f t="array" ref="Z146">$X146*(SUMPRODUCT(('Cashflow Summary C19RM'!$K$5:$K$239&lt;&gt;1)*('Cashflow Summary C19RM'!$D$5:$D$239=E146)*('Cashflow Summary C19RM'!$AE$5:$AE$239)))</f>
        <v>0</v>
      </c>
      <c r="AA146" s="704" cm="1">
        <f t="array" ref="AA146">$X146*(SUMPRODUCT(('Cashflow Summary C19RM'!$K$5:$K$239&lt;&gt;1)*('Cashflow Summary C19RM'!$D$5:$D$239=E146)*('Cashflow Summary C19RM'!$AF$5:$AF$239)))</f>
        <v>0</v>
      </c>
      <c r="AB146" s="989" cm="1">
        <f t="array" ref="AB146">$X146*(SUMPRODUCT(('Cashflow Summary C19RM'!$K$5:$K$239&lt;&gt;1)*('Cashflow Summary C19RM'!$D$5:$D$239=E146)*('Cashflow Summary C19RM'!$AG$5:$AG$239)))</f>
        <v>0</v>
      </c>
      <c r="AC146" s="993">
        <f t="shared" si="62"/>
        <v>0</v>
      </c>
      <c r="AD146" s="711">
        <f t="shared" si="63"/>
        <v>0</v>
      </c>
      <c r="AE146" s="709" cm="1">
        <f t="array" ref="AE146">$AD146*(SUMPRODUCT(('Cashflow Summary C19RM'!$K$5:$K$239&lt;&gt;1)*('Cashflow Summary C19RM'!$D$5:$D$239=E146)*('Cashflow Summary C19RM'!$AH$5:$AH$239)))</f>
        <v>0</v>
      </c>
      <c r="AF146" s="704" cm="1">
        <f t="array" ref="AF146">$AD146*(SUMPRODUCT(('Cashflow Summary C19RM'!$K$5:$K$239&lt;&gt;1)*('Cashflow Summary C19RM'!$D$5:$D$239=E146)*('Cashflow Summary C19RM'!$AI$5:$AI$239)))</f>
        <v>0</v>
      </c>
      <c r="AG146" s="704" cm="1">
        <f t="array" ref="AG146">$AD146*(SUMPRODUCT(('Cashflow Summary C19RM'!$K$5:$K$239&lt;&gt;1)*('Cashflow Summary C19RM'!$D$5:$D$239=E146)*('Cashflow Summary C19RM'!$AJ$5:$AJ$239)))</f>
        <v>0</v>
      </c>
      <c r="AH146" s="704" cm="1">
        <f t="array" ref="AH146">$AD146*(SUMPRODUCT(('Cashflow Summary C19RM'!$K$5:$K$239&lt;&gt;1)*('Cashflow Summary C19RM'!$D$5:$D$239=E146)*('Cashflow Summary C19RM'!$AK$5:$AO$239)))</f>
        <v>0</v>
      </c>
      <c r="AI146" s="993">
        <f t="shared" si="64"/>
        <v>0</v>
      </c>
      <c r="AJ146" s="990">
        <v>0</v>
      </c>
      <c r="AK146" s="1006"/>
      <c r="AL146" s="1007"/>
      <c r="AM146" s="1007"/>
      <c r="AN146" s="1007"/>
      <c r="AO146" s="1008"/>
      <c r="AP146" s="713">
        <f t="shared" si="71"/>
        <v>0</v>
      </c>
      <c r="AQ146" s="714">
        <v>7.6</v>
      </c>
      <c r="AR146" s="715"/>
      <c r="AS146" s="726" t="s">
        <v>213</v>
      </c>
      <c r="AV146" s="228">
        <f t="shared" si="65"/>
        <v>0</v>
      </c>
      <c r="AW146" s="228">
        <f t="shared" si="66"/>
        <v>0</v>
      </c>
      <c r="AX146" s="228">
        <f t="shared" si="67"/>
        <v>0</v>
      </c>
      <c r="AY146" s="228">
        <f t="shared" si="68"/>
        <v>0</v>
      </c>
      <c r="AZ146" s="228">
        <f t="shared" si="69"/>
        <v>0</v>
      </c>
      <c r="BA146" s="228"/>
      <c r="BC146" s="345" cm="1">
        <f t="array" ref="BC146">IF(BM146&gt;=1,0,IFERROR(SUMPRODUCT(($G$11:$AH$11=$BC$16)*($G146:$AH146)),0))</f>
        <v>0</v>
      </c>
      <c r="BD146" s="345" cm="1">
        <f t="array" ref="BD146">IF(BM146&gt;=1,0,IFERROR(SUMPRODUCT(($G$11:$AH$11=$BD$16)*($G146:$AH146)),0))</f>
        <v>0</v>
      </c>
      <c r="BE146" s="345" cm="1">
        <f t="array" ref="BE146">IF(BM146&gt;=1,0,IFERROR(SUMPRODUCT(($G$11:$AH$11=$BE$16)*($G146:$AH146)),0))</f>
        <v>0</v>
      </c>
      <c r="BF146" s="345" cm="1">
        <f t="array" ref="BF146">IF(BM146&gt;=1,0,IFERROR(SUMPRODUCT(($G$11:$AH$11=$BF$16)*($G146:$AH146)),0))</f>
        <v>0</v>
      </c>
      <c r="BG146" s="345" cm="1">
        <f t="array" ref="BG146">IF(BM146&gt;=1,0,IFERROR(SUMPRODUCT(($G$11:$AH$11=$BG$16)*($G146:$AH146)),0))</f>
        <v>0</v>
      </c>
      <c r="BH146" s="345"/>
      <c r="BI146" s="343">
        <f t="shared" si="72"/>
        <v>0</v>
      </c>
      <c r="BJ146" s="230" t="s">
        <v>83</v>
      </c>
      <c r="BK146" cm="1">
        <f t="array" ref="BK146">(SUMPRODUCT(('Cashflow Summary C19RM'!$D$5:$D$451=E146)*('Cashflow Summary C19RM'!$BD$5:$BD$451)))</f>
        <v>0</v>
      </c>
      <c r="BL146" cm="1">
        <f t="array" ref="BL146">(SUMPRODUCT((SETUP!$D$20:$D$67=E146)*(SETUP!$R$20:$R$67)))</f>
        <v>0</v>
      </c>
      <c r="BM146" s="89">
        <f t="shared" si="70"/>
        <v>0</v>
      </c>
    </row>
    <row r="147" spans="1:97" s="89" customFormat="1" ht="15" hidden="1" customHeight="1" x14ac:dyDescent="0.35">
      <c r="A147" s="89" t="s">
        <v>216</v>
      </c>
      <c r="B147" s="211" t="s">
        <v>746</v>
      </c>
      <c r="C147" s="290" t="s">
        <v>62</v>
      </c>
      <c r="D147" s="1004"/>
      <c r="E147" s="995" t="s">
        <v>110</v>
      </c>
      <c r="F147" s="697">
        <v>0</v>
      </c>
      <c r="G147" s="628" cm="1">
        <f t="array" ref="G147">$F147*(SUMPRODUCT(('Cashflow Summary C19RM'!$K$5:$K$239&lt;&gt;1)*('Cashflow Summary C19RM'!$D$5:$D$239=E147)*('Cashflow Summary C19RM'!$R$5:$R$239)))</f>
        <v>0</v>
      </c>
      <c r="H147" s="633" cm="1">
        <f t="array" ref="H147">$F147*(SUMPRODUCT(('Cashflow Summary C19RM'!$K$5:$K$239&lt;&gt;1)*('Cashflow Summary C19RM'!$D$5:$D$239=E147)*('Cashflow Summary C19RM'!$S$5:$S$239)))</f>
        <v>0</v>
      </c>
      <c r="I147" s="633" cm="1">
        <f t="array" ref="I147">$F147*(SUMPRODUCT(('Cashflow Summary C19RM'!$K$5:$K$239&lt;&gt;1)*('Cashflow Summary C19RM'!$D$5:$D$239=E147)*('Cashflow Summary C19RM'!$T$5:$T$239)))</f>
        <v>0</v>
      </c>
      <c r="J147" s="633" cm="1">
        <f t="array" ref="J147">$F147*(SUMPRODUCT(('Cashflow Summary C19RM'!$K$5:$K$239&lt;&gt;1)*('Cashflow Summary C19RM'!$D$5:$D$239=E147)*('Cashflow Summary C19RM'!$U$5:$U$239)))</f>
        <v>0</v>
      </c>
      <c r="K147" s="631">
        <f t="shared" si="56"/>
        <v>0</v>
      </c>
      <c r="L147" s="686">
        <f t="shared" si="57"/>
        <v>0</v>
      </c>
      <c r="M147" s="630" cm="1">
        <f t="array" ref="M147">$L147*(SUMPRODUCT(('Cashflow Summary C19RM'!$K$5:$K$239&lt;&gt;1)*('Cashflow Summary C19RM'!$D$5:$D$239=E147)*('Cashflow Summary C19RM'!$V$5:$V$239)))</f>
        <v>0</v>
      </c>
      <c r="N147" s="630" cm="1">
        <f t="array" ref="N147">$L147*(SUMPRODUCT(('Cashflow Summary C19RM'!$K$5:$K$239&lt;&gt;1)*('Cashflow Summary C19RM'!$D$5:$D$239=E147)*('Cashflow Summary C19RM'!$W$5:$W$239)))</f>
        <v>0</v>
      </c>
      <c r="O147" s="630" cm="1">
        <f t="array" ref="O147">$L147*(SUMPRODUCT(('Cashflow Summary C19RM'!$K$5:$K$239&lt;&gt;1)*('Cashflow Summary C19RM'!$D$5:$D$239=E147)*('Cashflow Summary C19RM'!$X$5:$X$239)))</f>
        <v>0</v>
      </c>
      <c r="P147" s="630" cm="1">
        <f t="array" ref="P147">$L147*(SUMPRODUCT(('Cashflow Summary C19RM'!$K$5:$K$239&lt;&gt;1)*('Cashflow Summary C19RM'!$D$5:$D$239=E147)*('Cashflow Summary C19RM'!$Y$5:$Y$239)))</f>
        <v>0</v>
      </c>
      <c r="Q147" s="632">
        <f t="shared" si="58"/>
        <v>0</v>
      </c>
      <c r="R147" s="686">
        <f t="shared" si="59"/>
        <v>0</v>
      </c>
      <c r="S147" s="633" cm="1">
        <f t="array" ref="S147">$R147*(SUMPRODUCT(('Cashflow Summary C19RM'!$K$5:$K$239&lt;&gt;1)*('Cashflow Summary C19RM'!$D$5:$D$239=E147)*('Cashflow Summary C19RM'!$Z$5:$Z$239)))</f>
        <v>0</v>
      </c>
      <c r="T147" s="633" cm="1">
        <f t="array" ref="T147">$R147*(SUMPRODUCT(('Cashflow Summary C19RM'!$K$5:$K$239&lt;&gt;1)*('Cashflow Summary C19RM'!$D$5:$D$239=E147)*('Cashflow Summary C19RM'!$AA$5:$AA$239)))</f>
        <v>0</v>
      </c>
      <c r="U147" s="633" cm="1">
        <f t="array" ref="U147">$R147*(SUMPRODUCT(('Cashflow Summary C19RM'!$K$5:$K$239&lt;&gt;1)*('Cashflow Summary C19RM'!$D$5:$D$239=E147)*('Cashflow Summary C19RM'!$AB$5:$AB$239)))</f>
        <v>0</v>
      </c>
      <c r="V147" s="633" cm="1">
        <f t="array" ref="V147">$R147*(SUMPRODUCT(('Cashflow Summary C19RM'!$K$5:$K$239&lt;&gt;1)*('Cashflow Summary C19RM'!$D$5:$D$239=E147)*('Cashflow Summary C19RM'!$AC$5:$AC$239)))</f>
        <v>0</v>
      </c>
      <c r="W147" s="631">
        <f t="shared" si="60"/>
        <v>0</v>
      </c>
      <c r="X147" s="686">
        <f t="shared" si="61"/>
        <v>0</v>
      </c>
      <c r="Y147" s="633" cm="1">
        <f t="array" ref="Y147">$X147*(SUMPRODUCT(('Cashflow Summary C19RM'!$K$5:$K$239&lt;&gt;1)*('Cashflow Summary C19RM'!$D$5:$D$239=E147)*('Cashflow Summary C19RM'!$AD$5:$AD$239)))</f>
        <v>0</v>
      </c>
      <c r="Z147" s="633" cm="1">
        <f t="array" ref="Z147">$X147*(SUMPRODUCT(('Cashflow Summary C19RM'!$K$5:$K$239&lt;&gt;1)*('Cashflow Summary C19RM'!$D$5:$D$239=E147)*('Cashflow Summary C19RM'!$AE$5:$AE$239)))</f>
        <v>0</v>
      </c>
      <c r="AA147" s="633" cm="1">
        <f t="array" ref="AA147">$X147*(SUMPRODUCT(('Cashflow Summary C19RM'!$K$5:$K$239&lt;&gt;1)*('Cashflow Summary C19RM'!$D$5:$D$239=E147)*('Cashflow Summary C19RM'!$AF$5:$AF$239)))</f>
        <v>0</v>
      </c>
      <c r="AB147" s="633" cm="1">
        <f t="array" ref="AB147">$X147*(SUMPRODUCT(('Cashflow Summary C19RM'!$K$5:$K$239&lt;&gt;1)*('Cashflow Summary C19RM'!$D$5:$D$239=E147)*('Cashflow Summary C19RM'!$AG$5:$AK$239)))</f>
        <v>0</v>
      </c>
      <c r="AC147" s="631">
        <f t="shared" si="62"/>
        <v>0</v>
      </c>
      <c r="AD147" s="631"/>
      <c r="AE147" s="631"/>
      <c r="AF147" s="631"/>
      <c r="AG147" s="631"/>
      <c r="AH147" s="631"/>
      <c r="AI147" s="631"/>
      <c r="AJ147" s="875">
        <v>0</v>
      </c>
      <c r="AK147" s="631"/>
      <c r="AL147" s="631"/>
      <c r="AM147" s="631"/>
      <c r="AN147" s="631"/>
      <c r="AO147" s="631"/>
      <c r="AP147" s="635">
        <f t="shared" ref="AP147:AP173" si="73">K147+Q147+W147+AC147</f>
        <v>0</v>
      </c>
      <c r="AQ147" s="636">
        <v>7.6</v>
      </c>
      <c r="AR147" s="707"/>
      <c r="AS147" s="310"/>
      <c r="AV147" s="228"/>
      <c r="AW147" s="228"/>
      <c r="AX147" s="228"/>
      <c r="AY147" s="228"/>
      <c r="AZ147" s="228"/>
      <c r="BA147" s="228"/>
      <c r="BC147" s="345"/>
      <c r="BD147" s="345"/>
      <c r="BE147" s="345"/>
      <c r="BF147" s="345"/>
      <c r="BG147" s="345"/>
      <c r="BH147" s="345"/>
      <c r="BI147" s="343"/>
      <c r="BJ147" s="290"/>
      <c r="BK147"/>
      <c r="BL147"/>
    </row>
    <row r="148" spans="1:97" s="175" customFormat="1" ht="14.15" hidden="1" customHeight="1" x14ac:dyDescent="0.35">
      <c r="A148" s="89" t="s">
        <v>216</v>
      </c>
      <c r="B148" s="211" t="s">
        <v>746</v>
      </c>
      <c r="C148" s="294" t="s">
        <v>66</v>
      </c>
      <c r="D148" s="1316" t="s">
        <v>111</v>
      </c>
      <c r="E148" s="703" t="s">
        <v>112</v>
      </c>
      <c r="F148" s="697">
        <v>0</v>
      </c>
      <c r="G148" s="628" cm="1">
        <f t="array" ref="G148">$F148*(SUMPRODUCT(('Cashflow Summary C19RM'!$K$5:$K$239&lt;&gt;1)*('Cashflow Summary C19RM'!$D$5:$D$239=E148)*('Cashflow Summary C19RM'!$R$5:$R$239)))</f>
        <v>0</v>
      </c>
      <c r="H148" s="633" cm="1">
        <f t="array" ref="H148">$F148*(SUMPRODUCT(('Cashflow Summary C19RM'!$K$5:$K$239&lt;&gt;1)*('Cashflow Summary C19RM'!$D$5:$D$239=E148)*('Cashflow Summary C19RM'!$S$5:$S$239)))</f>
        <v>0</v>
      </c>
      <c r="I148" s="633" cm="1">
        <f t="array" ref="I148">$F148*(SUMPRODUCT(('Cashflow Summary C19RM'!$K$5:$K$239&lt;&gt;1)*('Cashflow Summary C19RM'!$D$5:$D$239=E148)*('Cashflow Summary C19RM'!$T$5:$T$239)))</f>
        <v>0</v>
      </c>
      <c r="J148" s="633" cm="1">
        <f t="array" ref="J148">$F148*(SUMPRODUCT(('Cashflow Summary C19RM'!$K$5:$K$239&lt;&gt;1)*('Cashflow Summary C19RM'!$D$5:$D$239=E148)*('Cashflow Summary C19RM'!$U$5:$U$239)))</f>
        <v>0</v>
      </c>
      <c r="K148" s="631">
        <f t="shared" si="56"/>
        <v>0</v>
      </c>
      <c r="L148" s="686">
        <f t="shared" si="57"/>
        <v>0</v>
      </c>
      <c r="M148" s="633" cm="1">
        <f t="array" ref="M148">$L148*(SUMPRODUCT(('Cashflow Summary C19RM'!$K$5:$K$239&lt;&gt;1)*('Cashflow Summary C19RM'!$D$5:$D$239=E148)*('Cashflow Summary C19RM'!$V$5:$V$239)))</f>
        <v>0</v>
      </c>
      <c r="N148" s="633" cm="1">
        <f t="array" ref="N148">$L148*(SUMPRODUCT(('Cashflow Summary C19RM'!$K$5:$K$239&lt;&gt;1)*('Cashflow Summary C19RM'!$D$5:$D$239=E148)*('Cashflow Summary C19RM'!$W$5:$W$239)))</f>
        <v>0</v>
      </c>
      <c r="O148" s="633" cm="1">
        <f t="array" ref="O148">$L148*(SUMPRODUCT(('Cashflow Summary C19RM'!$K$5:$K$239&lt;&gt;1)*('Cashflow Summary C19RM'!$D$5:$D$239=E148)*('Cashflow Summary C19RM'!$X$5:$X$239)))</f>
        <v>0</v>
      </c>
      <c r="P148" s="633" cm="1">
        <f t="array" ref="P148">$L148*(SUMPRODUCT(('Cashflow Summary C19RM'!$K$5:$K$239&lt;&gt;1)*('Cashflow Summary C19RM'!$D$5:$D$239=E148)*('Cashflow Summary C19RM'!$Y$5:$Y$239)))</f>
        <v>0</v>
      </c>
      <c r="Q148" s="632">
        <f t="shared" si="58"/>
        <v>0</v>
      </c>
      <c r="R148" s="686">
        <f t="shared" si="59"/>
        <v>0</v>
      </c>
      <c r="S148" s="633" cm="1">
        <f t="array" ref="S148">$R148*(SUMPRODUCT(('Cashflow Summary C19RM'!$K$5:$K$239&lt;&gt;1)*('Cashflow Summary C19RM'!$D$5:$D$239=E148)*('Cashflow Summary C19RM'!$Z$5:$Z$239)))</f>
        <v>0</v>
      </c>
      <c r="T148" s="633" cm="1">
        <f t="array" ref="T148">$R148*(SUMPRODUCT(('Cashflow Summary C19RM'!$K$5:$K$239&lt;&gt;1)*('Cashflow Summary C19RM'!$D$5:$D$239=E148)*('Cashflow Summary C19RM'!$AA$5:$AA$239)))</f>
        <v>0</v>
      </c>
      <c r="U148" s="633" cm="1">
        <f t="array" ref="U148">$R148*(SUMPRODUCT(('Cashflow Summary C19RM'!$K$5:$K$239&lt;&gt;1)*('Cashflow Summary C19RM'!$D$5:$D$239=E148)*('Cashflow Summary C19RM'!$AB$5:$AB$239)))</f>
        <v>0</v>
      </c>
      <c r="V148" s="633" cm="1">
        <f t="array" ref="V148">$R148*(SUMPRODUCT(('Cashflow Summary C19RM'!$K$5:$K$239&lt;&gt;1)*('Cashflow Summary C19RM'!$D$5:$D$239=E148)*('Cashflow Summary C19RM'!$AC$5:$AC$239)))</f>
        <v>0</v>
      </c>
      <c r="W148" s="631">
        <f t="shared" si="60"/>
        <v>0</v>
      </c>
      <c r="X148" s="686">
        <f t="shared" si="61"/>
        <v>0</v>
      </c>
      <c r="Y148" s="633" cm="1">
        <f t="array" ref="Y148">$X148*(SUMPRODUCT(('Cashflow Summary C19RM'!$K$5:$K$239&lt;&gt;1)*('Cashflow Summary C19RM'!$D$5:$D$239=E148)*('Cashflow Summary C19RM'!$AD$5:$AD$239)))</f>
        <v>0</v>
      </c>
      <c r="Z148" s="633" cm="1">
        <f t="array" ref="Z148">$X148*(SUMPRODUCT(('Cashflow Summary C19RM'!$K$5:$K$239&lt;&gt;1)*('Cashflow Summary C19RM'!$D$5:$D$239=E148)*('Cashflow Summary C19RM'!$AE$5:$AE$239)))</f>
        <v>0</v>
      </c>
      <c r="AA148" s="633" cm="1">
        <f t="array" ref="AA148">$X148*(SUMPRODUCT(('Cashflow Summary C19RM'!$K$5:$K$239&lt;&gt;1)*('Cashflow Summary C19RM'!$D$5:$D$239=E148)*('Cashflow Summary C19RM'!$AF$5:$AF$239)))</f>
        <v>0</v>
      </c>
      <c r="AB148" s="633" cm="1">
        <f t="array" ref="AB148">$X148*(SUMPRODUCT(('Cashflow Summary C19RM'!$K$5:$K$239&lt;&gt;1)*('Cashflow Summary C19RM'!$D$5:$D$239=E148)*('Cashflow Summary C19RM'!$AG$5:$AK$239)))</f>
        <v>0</v>
      </c>
      <c r="AC148" s="631">
        <f t="shared" si="62"/>
        <v>0</v>
      </c>
      <c r="AD148" s="631"/>
      <c r="AE148" s="631"/>
      <c r="AF148" s="631"/>
      <c r="AG148" s="631"/>
      <c r="AH148" s="631"/>
      <c r="AI148" s="631"/>
      <c r="AJ148" s="875">
        <v>0</v>
      </c>
      <c r="AK148" s="631"/>
      <c r="AL148" s="631"/>
      <c r="AM148" s="631"/>
      <c r="AN148" s="631"/>
      <c r="AO148" s="631"/>
      <c r="AP148" s="635">
        <f t="shared" si="73"/>
        <v>0</v>
      </c>
      <c r="AQ148" s="636">
        <v>7.6</v>
      </c>
      <c r="AR148" s="707"/>
      <c r="AS148" s="310"/>
      <c r="AV148" s="228"/>
      <c r="AW148" s="228"/>
      <c r="AX148" s="228"/>
      <c r="AY148" s="228"/>
      <c r="AZ148" s="228"/>
      <c r="BA148" s="228"/>
      <c r="BC148" s="345"/>
      <c r="BD148" s="345"/>
      <c r="BE148" s="345"/>
      <c r="BF148" s="345"/>
      <c r="BG148" s="345"/>
      <c r="BH148" s="345"/>
      <c r="BI148" s="343"/>
      <c r="BJ148" s="294"/>
      <c r="BK148"/>
      <c r="BL148"/>
      <c r="BM148" s="89"/>
    </row>
    <row r="149" spans="1:97" s="89" customFormat="1" ht="15" hidden="1" customHeight="1" x14ac:dyDescent="0.35">
      <c r="A149" s="89" t="s">
        <v>216</v>
      </c>
      <c r="B149" s="211" t="s">
        <v>746</v>
      </c>
      <c r="C149" s="294" t="s">
        <v>66</v>
      </c>
      <c r="D149" s="1316"/>
      <c r="E149" s="703" t="s">
        <v>105</v>
      </c>
      <c r="F149" s="697">
        <v>0</v>
      </c>
      <c r="G149" s="638" cm="1">
        <f t="array" ref="G149">$F149*(SUMPRODUCT(('Cashflow Summary C19RM'!$K$5:$K$239&lt;&gt;1)*('Cashflow Summary C19RM'!$D$5:$D$239=E149)*('Cashflow Summary C19RM'!$R$5:$R$239)))</f>
        <v>0</v>
      </c>
      <c r="H149" s="639" cm="1">
        <f t="array" ref="H149">$F149*(SUMPRODUCT(('Cashflow Summary C19RM'!$K$5:$K$239&lt;&gt;1)*('Cashflow Summary C19RM'!$D$5:$D$239=E149)*('Cashflow Summary C19RM'!$S$5:$S$239)))</f>
        <v>0</v>
      </c>
      <c r="I149" s="639" cm="1">
        <f t="array" ref="I149">$F149*(SUMPRODUCT(('Cashflow Summary C19RM'!$K$5:$K$239&lt;&gt;1)*('Cashflow Summary C19RM'!$D$5:$D$239=E149)*('Cashflow Summary C19RM'!$T$5:$T$239)))</f>
        <v>0</v>
      </c>
      <c r="J149" s="639" cm="1">
        <f t="array" ref="J149">$F149*(SUMPRODUCT(('Cashflow Summary C19RM'!$K$5:$K$239&lt;&gt;1)*('Cashflow Summary C19RM'!$D$5:$D$239=E149)*('Cashflow Summary C19RM'!$U$5:$U$239)))</f>
        <v>0</v>
      </c>
      <c r="K149" s="631">
        <f t="shared" si="56"/>
        <v>0</v>
      </c>
      <c r="L149" s="686">
        <f t="shared" si="57"/>
        <v>0</v>
      </c>
      <c r="M149" s="630" cm="1">
        <f t="array" ref="M149">$L149*(SUMPRODUCT(('Cashflow Summary C19RM'!$K$5:$K$239&lt;&gt;1)*('Cashflow Summary C19RM'!$D$5:$D$239=E149)*('Cashflow Summary C19RM'!$V$5:$V$239)))</f>
        <v>0</v>
      </c>
      <c r="N149" s="630" cm="1">
        <f t="array" ref="N149">$L149*(SUMPRODUCT(('Cashflow Summary C19RM'!$K$5:$K$239&lt;&gt;1)*('Cashflow Summary C19RM'!$D$5:$D$239=E149)*('Cashflow Summary C19RM'!$W$5:$W$239)))</f>
        <v>0</v>
      </c>
      <c r="O149" s="630" cm="1">
        <f t="array" ref="O149">$L149*(SUMPRODUCT(('Cashflow Summary C19RM'!$K$5:$K$239&lt;&gt;1)*('Cashflow Summary C19RM'!$D$5:$D$239=E149)*('Cashflow Summary C19RM'!$X$5:$X$239)))</f>
        <v>0</v>
      </c>
      <c r="P149" s="630" cm="1">
        <f t="array" ref="P149">$L149*(SUMPRODUCT(('Cashflow Summary C19RM'!$K$5:$K$239&lt;&gt;1)*('Cashflow Summary C19RM'!$D$5:$D$239=E149)*('Cashflow Summary C19RM'!$Y$5:$Y$239)))</f>
        <v>0</v>
      </c>
      <c r="Q149" s="632">
        <f t="shared" si="58"/>
        <v>0</v>
      </c>
      <c r="R149" s="686">
        <f t="shared" si="59"/>
        <v>0</v>
      </c>
      <c r="S149" s="633" cm="1">
        <f t="array" ref="S149">$R149*(SUMPRODUCT(('Cashflow Summary C19RM'!$K$5:$K$239&lt;&gt;1)*('Cashflow Summary C19RM'!$D$5:$D$239=E149)*('Cashflow Summary C19RM'!$Z$5:$Z$239)))</f>
        <v>0</v>
      </c>
      <c r="T149" s="633" cm="1">
        <f t="array" ref="T149">$R149*(SUMPRODUCT(('Cashflow Summary C19RM'!$K$5:$K$239&lt;&gt;1)*('Cashflow Summary C19RM'!$D$5:$D$239=E149)*('Cashflow Summary C19RM'!$AA$5:$AA$239)))</f>
        <v>0</v>
      </c>
      <c r="U149" s="633" cm="1">
        <f t="array" ref="U149">$R149*(SUMPRODUCT(('Cashflow Summary C19RM'!$K$5:$K$239&lt;&gt;1)*('Cashflow Summary C19RM'!$D$5:$D$239=E149)*('Cashflow Summary C19RM'!$AB$5:$AB$239)))</f>
        <v>0</v>
      </c>
      <c r="V149" s="633" cm="1">
        <f t="array" ref="V149">$R149*(SUMPRODUCT(('Cashflow Summary C19RM'!$K$5:$K$239&lt;&gt;1)*('Cashflow Summary C19RM'!$D$5:$D$239=E149)*('Cashflow Summary C19RM'!$AC$5:$AC$239)))</f>
        <v>0</v>
      </c>
      <c r="W149" s="631">
        <f t="shared" si="60"/>
        <v>0</v>
      </c>
      <c r="X149" s="686">
        <f t="shared" si="61"/>
        <v>0</v>
      </c>
      <c r="Y149" s="633" cm="1">
        <f t="array" ref="Y149">$X149*(SUMPRODUCT(('Cashflow Summary C19RM'!$K$5:$K$239&lt;&gt;1)*('Cashflow Summary C19RM'!$D$5:$D$239=E149)*('Cashflow Summary C19RM'!$AD$5:$AD$239)))</f>
        <v>0</v>
      </c>
      <c r="Z149" s="633" cm="1">
        <f t="array" ref="Z149">$X149*(SUMPRODUCT(('Cashflow Summary C19RM'!$K$5:$K$239&lt;&gt;1)*('Cashflow Summary C19RM'!$D$5:$D$239=E149)*('Cashflow Summary C19RM'!$AE$5:$AE$239)))</f>
        <v>0</v>
      </c>
      <c r="AA149" s="633" cm="1">
        <f t="array" ref="AA149">$X149*(SUMPRODUCT(('Cashflow Summary C19RM'!$K$5:$K$239&lt;&gt;1)*('Cashflow Summary C19RM'!$D$5:$D$239=E149)*('Cashflow Summary C19RM'!$AF$5:$AF$239)))</f>
        <v>0</v>
      </c>
      <c r="AB149" s="633" cm="1">
        <f t="array" ref="AB149">$X149*(SUMPRODUCT(('Cashflow Summary C19RM'!$K$5:$K$239&lt;&gt;1)*('Cashflow Summary C19RM'!$D$5:$D$239=E149)*('Cashflow Summary C19RM'!$AG$5:$AK$239)))</f>
        <v>0</v>
      </c>
      <c r="AC149" s="631">
        <f t="shared" si="62"/>
        <v>0</v>
      </c>
      <c r="AD149" s="631"/>
      <c r="AE149" s="631"/>
      <c r="AF149" s="631"/>
      <c r="AG149" s="631"/>
      <c r="AH149" s="631"/>
      <c r="AI149" s="631"/>
      <c r="AJ149" s="875">
        <v>0</v>
      </c>
      <c r="AK149" s="631"/>
      <c r="AL149" s="631"/>
      <c r="AM149" s="631"/>
      <c r="AN149" s="631"/>
      <c r="AO149" s="631"/>
      <c r="AP149" s="635">
        <f t="shared" si="73"/>
        <v>0</v>
      </c>
      <c r="AQ149" s="636">
        <v>7.6</v>
      </c>
      <c r="AR149" s="707"/>
      <c r="AS149" s="310"/>
      <c r="AV149" s="228"/>
      <c r="AW149" s="228"/>
      <c r="AX149" s="228"/>
      <c r="AY149" s="228"/>
      <c r="AZ149" s="228"/>
      <c r="BA149" s="228"/>
      <c r="BC149" s="345"/>
      <c r="BD149" s="345"/>
      <c r="BE149" s="345"/>
      <c r="BF149" s="345"/>
      <c r="BG149" s="345"/>
      <c r="BH149" s="345"/>
      <c r="BI149" s="343"/>
      <c r="BJ149" s="294"/>
      <c r="BK149"/>
      <c r="BL149"/>
    </row>
    <row r="150" spans="1:97" s="89" customFormat="1" ht="15" hidden="1" customHeight="1" x14ac:dyDescent="0.35">
      <c r="A150" s="89" t="s">
        <v>216</v>
      </c>
      <c r="B150" s="211" t="s">
        <v>746</v>
      </c>
      <c r="C150" s="294" t="s">
        <v>66</v>
      </c>
      <c r="D150" s="1316"/>
      <c r="E150" s="703" t="s">
        <v>107</v>
      </c>
      <c r="F150" s="697">
        <v>0</v>
      </c>
      <c r="G150" s="628" cm="1">
        <f t="array" ref="G150">$F150*(SUMPRODUCT(('Cashflow Summary C19RM'!$K$5:$K$239&lt;&gt;1)*('Cashflow Summary C19RM'!$D$5:$D$239=E150)*('Cashflow Summary C19RM'!$R$5:$R$239)))</f>
        <v>0</v>
      </c>
      <c r="H150" s="633" cm="1">
        <f t="array" ref="H150">$F150*(SUMPRODUCT(('Cashflow Summary C19RM'!$K$5:$K$239&lt;&gt;1)*('Cashflow Summary C19RM'!$D$5:$D$239=E150)*('Cashflow Summary C19RM'!$S$5:$S$239)))</f>
        <v>0</v>
      </c>
      <c r="I150" s="633" cm="1">
        <f t="array" ref="I150">$F150*(SUMPRODUCT(('Cashflow Summary C19RM'!$K$5:$K$239&lt;&gt;1)*('Cashflow Summary C19RM'!$D$5:$D$239=E150)*('Cashflow Summary C19RM'!$T$5:$T$239)))</f>
        <v>0</v>
      </c>
      <c r="J150" s="633" cm="1">
        <f t="array" ref="J150">$F150*(SUMPRODUCT(('Cashflow Summary C19RM'!$K$5:$K$239&lt;&gt;1)*('Cashflow Summary C19RM'!$D$5:$D$239=E150)*('Cashflow Summary C19RM'!$U$5:$U$239)))</f>
        <v>0</v>
      </c>
      <c r="K150" s="631">
        <f t="shared" si="56"/>
        <v>0</v>
      </c>
      <c r="L150" s="686">
        <f t="shared" si="57"/>
        <v>0</v>
      </c>
      <c r="M150" s="630" cm="1">
        <f t="array" ref="M150">$L150*(SUMPRODUCT(('Cashflow Summary C19RM'!$K$5:$K$239&lt;&gt;1)*('Cashflow Summary C19RM'!$D$5:$D$239=E150)*('Cashflow Summary C19RM'!$V$5:$V$239)))</f>
        <v>0</v>
      </c>
      <c r="N150" s="630" cm="1">
        <f t="array" ref="N150">$L150*(SUMPRODUCT(('Cashflow Summary C19RM'!$K$5:$K$239&lt;&gt;1)*('Cashflow Summary C19RM'!$D$5:$D$239=E150)*('Cashflow Summary C19RM'!$W$5:$W$239)))</f>
        <v>0</v>
      </c>
      <c r="O150" s="630" cm="1">
        <f t="array" ref="O150">$L150*(SUMPRODUCT(('Cashflow Summary C19RM'!$K$5:$K$239&lt;&gt;1)*('Cashflow Summary C19RM'!$D$5:$D$239=E150)*('Cashflow Summary C19RM'!$X$5:$X$239)))</f>
        <v>0</v>
      </c>
      <c r="P150" s="630" cm="1">
        <f t="array" ref="P150">$L150*(SUMPRODUCT(('Cashflow Summary C19RM'!$K$5:$K$239&lt;&gt;1)*('Cashflow Summary C19RM'!$D$5:$D$239=E150)*('Cashflow Summary C19RM'!$Y$5:$Y$239)))</f>
        <v>0</v>
      </c>
      <c r="Q150" s="632">
        <f t="shared" si="58"/>
        <v>0</v>
      </c>
      <c r="R150" s="686">
        <f t="shared" si="59"/>
        <v>0</v>
      </c>
      <c r="S150" s="633" cm="1">
        <f t="array" ref="S150">$R150*(SUMPRODUCT(('Cashflow Summary C19RM'!$K$5:$K$239&lt;&gt;1)*('Cashflow Summary C19RM'!$D$5:$D$239=E150)*('Cashflow Summary C19RM'!$Z$5:$Z$239)))</f>
        <v>0</v>
      </c>
      <c r="T150" s="633" cm="1">
        <f t="array" ref="T150">$R150*(SUMPRODUCT(('Cashflow Summary C19RM'!$K$5:$K$239&lt;&gt;1)*('Cashflow Summary C19RM'!$D$5:$D$239=E150)*('Cashflow Summary C19RM'!$AA$5:$AA$239)))</f>
        <v>0</v>
      </c>
      <c r="U150" s="633" cm="1">
        <f t="array" ref="U150">$R150*(SUMPRODUCT(('Cashflow Summary C19RM'!$K$5:$K$239&lt;&gt;1)*('Cashflow Summary C19RM'!$D$5:$D$239=E150)*('Cashflow Summary C19RM'!$AB$5:$AB$239)))</f>
        <v>0</v>
      </c>
      <c r="V150" s="633" cm="1">
        <f t="array" ref="V150">$R150*(SUMPRODUCT(('Cashflow Summary C19RM'!$K$5:$K$239&lt;&gt;1)*('Cashflow Summary C19RM'!$D$5:$D$239=E150)*('Cashflow Summary C19RM'!$AC$5:$AC$239)))</f>
        <v>0</v>
      </c>
      <c r="W150" s="631">
        <f t="shared" si="60"/>
        <v>0</v>
      </c>
      <c r="X150" s="686">
        <f t="shared" si="61"/>
        <v>0</v>
      </c>
      <c r="Y150" s="633" cm="1">
        <f t="array" ref="Y150">$X150*(SUMPRODUCT(('Cashflow Summary C19RM'!$K$5:$K$239&lt;&gt;1)*('Cashflow Summary C19RM'!$D$5:$D$239=E150)*('Cashflow Summary C19RM'!$AD$5:$AD$239)))</f>
        <v>0</v>
      </c>
      <c r="Z150" s="633" cm="1">
        <f t="array" ref="Z150">$X150*(SUMPRODUCT(('Cashflow Summary C19RM'!$K$5:$K$239&lt;&gt;1)*('Cashflow Summary C19RM'!$D$5:$D$239=E150)*('Cashflow Summary C19RM'!$AE$5:$AE$239)))</f>
        <v>0</v>
      </c>
      <c r="AA150" s="633" cm="1">
        <f t="array" ref="AA150">$X150*(SUMPRODUCT(('Cashflow Summary C19RM'!$K$5:$K$239&lt;&gt;1)*('Cashflow Summary C19RM'!$D$5:$D$239=E150)*('Cashflow Summary C19RM'!$AF$5:$AF$239)))</f>
        <v>0</v>
      </c>
      <c r="AB150" s="633" cm="1">
        <f t="array" ref="AB150">$X150*(SUMPRODUCT(('Cashflow Summary C19RM'!$K$5:$K$239&lt;&gt;1)*('Cashflow Summary C19RM'!$D$5:$D$239=E150)*('Cashflow Summary C19RM'!$AG$5:$AK$239)))</f>
        <v>0</v>
      </c>
      <c r="AC150" s="631">
        <f t="shared" si="62"/>
        <v>0</v>
      </c>
      <c r="AD150" s="631"/>
      <c r="AE150" s="631"/>
      <c r="AF150" s="631"/>
      <c r="AG150" s="631"/>
      <c r="AH150" s="631"/>
      <c r="AI150" s="631"/>
      <c r="AJ150" s="875">
        <v>0</v>
      </c>
      <c r="AK150" s="631"/>
      <c r="AL150" s="631"/>
      <c r="AM150" s="631"/>
      <c r="AN150" s="631"/>
      <c r="AO150" s="631"/>
      <c r="AP150" s="635">
        <f t="shared" si="73"/>
        <v>0</v>
      </c>
      <c r="AQ150" s="636">
        <v>7.6</v>
      </c>
      <c r="AR150" s="707"/>
      <c r="AS150" s="310"/>
      <c r="AV150" s="228"/>
      <c r="AW150" s="228"/>
      <c r="AX150" s="228"/>
      <c r="AY150" s="228"/>
      <c r="AZ150" s="228"/>
      <c r="BA150" s="228"/>
      <c r="BC150" s="345"/>
      <c r="BD150" s="345"/>
      <c r="BE150" s="345"/>
      <c r="BF150" s="345"/>
      <c r="BG150" s="345"/>
      <c r="BH150" s="345"/>
      <c r="BI150" s="343"/>
      <c r="BJ150" s="294"/>
      <c r="BK150"/>
      <c r="BL150"/>
    </row>
    <row r="151" spans="1:97" s="89" customFormat="1" ht="15" hidden="1" customHeight="1" x14ac:dyDescent="0.35">
      <c r="A151" s="89" t="s">
        <v>216</v>
      </c>
      <c r="B151" s="211" t="s">
        <v>746</v>
      </c>
      <c r="C151" s="294" t="s">
        <v>66</v>
      </c>
      <c r="D151" s="1316"/>
      <c r="E151" s="703" t="s">
        <v>114</v>
      </c>
      <c r="F151" s="697">
        <v>0</v>
      </c>
      <c r="G151" s="628" cm="1">
        <f t="array" ref="G151">$F151*(SUMPRODUCT(('Cashflow Summary C19RM'!$K$5:$K$239&lt;&gt;1)*('Cashflow Summary C19RM'!$D$5:$D$239=E151)*('Cashflow Summary C19RM'!$R$5:$R$239)))</f>
        <v>0</v>
      </c>
      <c r="H151" s="633" cm="1">
        <f t="array" ref="H151">$F151*(SUMPRODUCT(('Cashflow Summary C19RM'!$K$5:$K$239&lt;&gt;1)*('Cashflow Summary C19RM'!$D$5:$D$239=E151)*('Cashflow Summary C19RM'!$S$5:$S$239)))</f>
        <v>0</v>
      </c>
      <c r="I151" s="633" cm="1">
        <f t="array" ref="I151">$F151*(SUMPRODUCT(('Cashflow Summary C19RM'!$K$5:$K$239&lt;&gt;1)*('Cashflow Summary C19RM'!$D$5:$D$239=E151)*('Cashflow Summary C19RM'!$T$5:$T$239)))</f>
        <v>0</v>
      </c>
      <c r="J151" s="633" cm="1">
        <f t="array" ref="J151">$F151*(SUMPRODUCT(('Cashflow Summary C19RM'!$K$5:$K$239&lt;&gt;1)*('Cashflow Summary C19RM'!$D$5:$D$239=E151)*('Cashflow Summary C19RM'!$U$5:$U$239)))</f>
        <v>0</v>
      </c>
      <c r="K151" s="631">
        <f t="shared" si="56"/>
        <v>0</v>
      </c>
      <c r="L151" s="686">
        <f t="shared" si="57"/>
        <v>0</v>
      </c>
      <c r="M151" s="633" cm="1">
        <f t="array" ref="M151">$L151*(SUMPRODUCT(('Cashflow Summary C19RM'!$K$5:$K$239&lt;&gt;1)*('Cashflow Summary C19RM'!$D$5:$D$239=E151)*('Cashflow Summary C19RM'!$V$5:$V$239)))</f>
        <v>0</v>
      </c>
      <c r="N151" s="633" cm="1">
        <f t="array" ref="N151">$L151*(SUMPRODUCT(('Cashflow Summary C19RM'!$K$5:$K$239&lt;&gt;1)*('Cashflow Summary C19RM'!$D$5:$D$239=E151)*('Cashflow Summary C19RM'!$W$5:$W$239)))</f>
        <v>0</v>
      </c>
      <c r="O151" s="633" cm="1">
        <f t="array" ref="O151">$L151*(SUMPRODUCT(('Cashflow Summary C19RM'!$K$5:$K$239&lt;&gt;1)*('Cashflow Summary C19RM'!$D$5:$D$239=E151)*('Cashflow Summary C19RM'!$X$5:$X$239)))</f>
        <v>0</v>
      </c>
      <c r="P151" s="633" cm="1">
        <f t="array" ref="P151">$L151*(SUMPRODUCT(('Cashflow Summary C19RM'!$K$5:$K$239&lt;&gt;1)*('Cashflow Summary C19RM'!$D$5:$D$239=E151)*('Cashflow Summary C19RM'!$Y$5:$Y$239)))</f>
        <v>0</v>
      </c>
      <c r="Q151" s="632">
        <f t="shared" si="58"/>
        <v>0</v>
      </c>
      <c r="R151" s="686">
        <f t="shared" si="59"/>
        <v>0</v>
      </c>
      <c r="S151" s="633" cm="1">
        <f t="array" ref="S151">$R151*(SUMPRODUCT(('Cashflow Summary C19RM'!$K$5:$K$239&lt;&gt;1)*('Cashflow Summary C19RM'!$D$5:$D$239=E151)*('Cashflow Summary C19RM'!$Z$5:$Z$239)))</f>
        <v>0</v>
      </c>
      <c r="T151" s="633" cm="1">
        <f t="array" ref="T151">$R151*(SUMPRODUCT(('Cashflow Summary C19RM'!$K$5:$K$239&lt;&gt;1)*('Cashflow Summary C19RM'!$D$5:$D$239=E151)*('Cashflow Summary C19RM'!$AA$5:$AA$239)))</f>
        <v>0</v>
      </c>
      <c r="U151" s="633" cm="1">
        <f t="array" ref="U151">$R151*(SUMPRODUCT(('Cashflow Summary C19RM'!$K$5:$K$239&lt;&gt;1)*('Cashflow Summary C19RM'!$D$5:$D$239=E151)*('Cashflow Summary C19RM'!$AB$5:$AB$239)))</f>
        <v>0</v>
      </c>
      <c r="V151" s="633" cm="1">
        <f t="array" ref="V151">$R151*(SUMPRODUCT(('Cashflow Summary C19RM'!$K$5:$K$239&lt;&gt;1)*('Cashflow Summary C19RM'!$D$5:$D$239=E151)*('Cashflow Summary C19RM'!$AC$5:$AC$239)))</f>
        <v>0</v>
      </c>
      <c r="W151" s="631">
        <f t="shared" si="60"/>
        <v>0</v>
      </c>
      <c r="X151" s="686">
        <f t="shared" si="61"/>
        <v>0</v>
      </c>
      <c r="Y151" s="633" cm="1">
        <f t="array" ref="Y151">$X151*(SUMPRODUCT(('Cashflow Summary C19RM'!$K$5:$K$239&lt;&gt;1)*('Cashflow Summary C19RM'!$D$5:$D$239=E151)*('Cashflow Summary C19RM'!$AD$5:$AD$239)))</f>
        <v>0</v>
      </c>
      <c r="Z151" s="633" cm="1">
        <f t="array" ref="Z151">$X151*(SUMPRODUCT(('Cashflow Summary C19RM'!$K$5:$K$239&lt;&gt;1)*('Cashflow Summary C19RM'!$D$5:$D$239=E151)*('Cashflow Summary C19RM'!$AE$5:$AE$239)))</f>
        <v>0</v>
      </c>
      <c r="AA151" s="633" cm="1">
        <f t="array" ref="AA151">$X151*(SUMPRODUCT(('Cashflow Summary C19RM'!$K$5:$K$239&lt;&gt;1)*('Cashflow Summary C19RM'!$D$5:$D$239=E151)*('Cashflow Summary C19RM'!$AF$5:$AF$239)))</f>
        <v>0</v>
      </c>
      <c r="AB151" s="633" cm="1">
        <f t="array" ref="AB151">$X151*(SUMPRODUCT(('Cashflow Summary C19RM'!$K$5:$K$239&lt;&gt;1)*('Cashflow Summary C19RM'!$D$5:$D$239=E151)*('Cashflow Summary C19RM'!$AG$5:$AK$239)))</f>
        <v>0</v>
      </c>
      <c r="AC151" s="631">
        <f t="shared" si="62"/>
        <v>0</v>
      </c>
      <c r="AD151" s="631"/>
      <c r="AE151" s="631"/>
      <c r="AF151" s="631"/>
      <c r="AG151" s="631"/>
      <c r="AH151" s="631"/>
      <c r="AI151" s="631"/>
      <c r="AJ151" s="875">
        <v>0</v>
      </c>
      <c r="AK151" s="631"/>
      <c r="AL151" s="631"/>
      <c r="AM151" s="631"/>
      <c r="AN151" s="631"/>
      <c r="AO151" s="631"/>
      <c r="AP151" s="635">
        <f t="shared" si="73"/>
        <v>0</v>
      </c>
      <c r="AQ151" s="636">
        <v>7.6</v>
      </c>
      <c r="AR151" s="707"/>
      <c r="AS151" s="310"/>
      <c r="AV151" s="228"/>
      <c r="AW151" s="228"/>
      <c r="AX151" s="228"/>
      <c r="AY151" s="228"/>
      <c r="AZ151" s="228"/>
      <c r="BA151" s="228"/>
      <c r="BC151" s="345"/>
      <c r="BD151" s="345"/>
      <c r="BE151" s="345"/>
      <c r="BF151" s="345"/>
      <c r="BG151" s="345"/>
      <c r="BH151" s="345"/>
      <c r="BI151" s="343"/>
      <c r="BJ151" s="294"/>
      <c r="BK151"/>
      <c r="BL151"/>
    </row>
    <row r="152" spans="1:97" s="89" customFormat="1" ht="15" hidden="1" customHeight="1" x14ac:dyDescent="0.35">
      <c r="A152" s="89" t="s">
        <v>216</v>
      </c>
      <c r="B152" s="211" t="s">
        <v>746</v>
      </c>
      <c r="C152" s="294" t="s">
        <v>66</v>
      </c>
      <c r="D152" s="1316"/>
      <c r="E152" s="703" t="s">
        <v>115</v>
      </c>
      <c r="F152" s="697">
        <v>0</v>
      </c>
      <c r="G152" s="628" cm="1">
        <f t="array" ref="G152">$F152*(SUMPRODUCT(('Cashflow Summary C19RM'!$K$5:$K$239&lt;&gt;1)*('Cashflow Summary C19RM'!$D$5:$D$239=E152)*('Cashflow Summary C19RM'!$R$5:$R$239)))</f>
        <v>0</v>
      </c>
      <c r="H152" s="633" cm="1">
        <f t="array" ref="H152">$F152*(SUMPRODUCT(('Cashflow Summary C19RM'!$K$5:$K$239&lt;&gt;1)*('Cashflow Summary C19RM'!$D$5:$D$239=E152)*('Cashflow Summary C19RM'!$S$5:$S$239)))</f>
        <v>0</v>
      </c>
      <c r="I152" s="633" cm="1">
        <f t="array" ref="I152">$F152*(SUMPRODUCT(('Cashflow Summary C19RM'!$K$5:$K$239&lt;&gt;1)*('Cashflow Summary C19RM'!$D$5:$D$239=E152)*('Cashflow Summary C19RM'!$T$5:$T$239)))</f>
        <v>0</v>
      </c>
      <c r="J152" s="633" cm="1">
        <f t="array" ref="J152">$F152*(SUMPRODUCT(('Cashflow Summary C19RM'!$K$5:$K$239&lt;&gt;1)*('Cashflow Summary C19RM'!$D$5:$D$239=E152)*('Cashflow Summary C19RM'!$U$5:$U$239)))</f>
        <v>0</v>
      </c>
      <c r="K152" s="631">
        <f t="shared" si="56"/>
        <v>0</v>
      </c>
      <c r="L152" s="686">
        <f t="shared" si="57"/>
        <v>0</v>
      </c>
      <c r="M152" s="633" cm="1">
        <f t="array" ref="M152">$L152*(SUMPRODUCT(('Cashflow Summary C19RM'!$K$5:$K$239&lt;&gt;1)*('Cashflow Summary C19RM'!$D$5:$D$239=E152)*('Cashflow Summary C19RM'!$V$5:$V$239)))</f>
        <v>0</v>
      </c>
      <c r="N152" s="633" cm="1">
        <f t="array" ref="N152">$L152*(SUMPRODUCT(('Cashflow Summary C19RM'!$K$5:$K$239&lt;&gt;1)*('Cashflow Summary C19RM'!$D$5:$D$239=E152)*('Cashflow Summary C19RM'!$W$5:$W$239)))</f>
        <v>0</v>
      </c>
      <c r="O152" s="633" cm="1">
        <f t="array" ref="O152">$L152*(SUMPRODUCT(('Cashflow Summary C19RM'!$K$5:$K$239&lt;&gt;1)*('Cashflow Summary C19RM'!$D$5:$D$239=E152)*('Cashflow Summary C19RM'!$X$5:$X$239)))</f>
        <v>0</v>
      </c>
      <c r="P152" s="633" cm="1">
        <f t="array" ref="P152">$L152*(SUMPRODUCT(('Cashflow Summary C19RM'!$K$5:$K$239&lt;&gt;1)*('Cashflow Summary C19RM'!$D$5:$D$239=E152)*('Cashflow Summary C19RM'!$Y$5:$Y$239)))</f>
        <v>0</v>
      </c>
      <c r="Q152" s="632">
        <f t="shared" si="58"/>
        <v>0</v>
      </c>
      <c r="R152" s="686">
        <f t="shared" si="59"/>
        <v>0</v>
      </c>
      <c r="S152" s="633" cm="1">
        <f t="array" ref="S152">$R152*(SUMPRODUCT(('Cashflow Summary C19RM'!$K$5:$K$239&lt;&gt;1)*('Cashflow Summary C19RM'!$D$5:$D$239=E152)*('Cashflow Summary C19RM'!$Z$5:$Z$239)))</f>
        <v>0</v>
      </c>
      <c r="T152" s="633" cm="1">
        <f t="array" ref="T152">$R152*(SUMPRODUCT(('Cashflow Summary C19RM'!$K$5:$K$239&lt;&gt;1)*('Cashflow Summary C19RM'!$D$5:$D$239=E152)*('Cashflow Summary C19RM'!$AA$5:$AA$239)))</f>
        <v>0</v>
      </c>
      <c r="U152" s="633" cm="1">
        <f t="array" ref="U152">$R152*(SUMPRODUCT(('Cashflow Summary C19RM'!$K$5:$K$239&lt;&gt;1)*('Cashflow Summary C19RM'!$D$5:$D$239=E152)*('Cashflow Summary C19RM'!$AB$5:$AB$239)))</f>
        <v>0</v>
      </c>
      <c r="V152" s="633" cm="1">
        <f t="array" ref="V152">$R152*(SUMPRODUCT(('Cashflow Summary C19RM'!$K$5:$K$239&lt;&gt;1)*('Cashflow Summary C19RM'!$D$5:$D$239=E152)*('Cashflow Summary C19RM'!$AC$5:$AC$239)))</f>
        <v>0</v>
      </c>
      <c r="W152" s="631">
        <f t="shared" si="60"/>
        <v>0</v>
      </c>
      <c r="X152" s="686">
        <f t="shared" si="61"/>
        <v>0</v>
      </c>
      <c r="Y152" s="633" cm="1">
        <f t="array" ref="Y152">$X152*(SUMPRODUCT(('Cashflow Summary C19RM'!$K$5:$K$239&lt;&gt;1)*('Cashflow Summary C19RM'!$D$5:$D$239=E152)*('Cashflow Summary C19RM'!$AD$5:$AD$239)))</f>
        <v>0</v>
      </c>
      <c r="Z152" s="633" cm="1">
        <f t="array" ref="Z152">$X152*(SUMPRODUCT(('Cashflow Summary C19RM'!$K$5:$K$239&lt;&gt;1)*('Cashflow Summary C19RM'!$D$5:$D$239=E152)*('Cashflow Summary C19RM'!$AE$5:$AE$239)))</f>
        <v>0</v>
      </c>
      <c r="AA152" s="633" cm="1">
        <f t="array" ref="AA152">$X152*(SUMPRODUCT(('Cashflow Summary C19RM'!$K$5:$K$239&lt;&gt;1)*('Cashflow Summary C19RM'!$D$5:$D$239=E152)*('Cashflow Summary C19RM'!$AF$5:$AF$239)))</f>
        <v>0</v>
      </c>
      <c r="AB152" s="633" cm="1">
        <f t="array" ref="AB152">$X152*(SUMPRODUCT(('Cashflow Summary C19RM'!$K$5:$K$239&lt;&gt;1)*('Cashflow Summary C19RM'!$D$5:$D$239=E152)*('Cashflow Summary C19RM'!$AG$5:$AK$239)))</f>
        <v>0</v>
      </c>
      <c r="AC152" s="631">
        <f t="shared" si="62"/>
        <v>0</v>
      </c>
      <c r="AD152" s="631"/>
      <c r="AE152" s="631"/>
      <c r="AF152" s="631"/>
      <c r="AG152" s="631"/>
      <c r="AH152" s="631"/>
      <c r="AI152" s="631"/>
      <c r="AJ152" s="875">
        <v>0</v>
      </c>
      <c r="AK152" s="631"/>
      <c r="AL152" s="631"/>
      <c r="AM152" s="631"/>
      <c r="AN152" s="631"/>
      <c r="AO152" s="631"/>
      <c r="AP152" s="635">
        <f t="shared" si="73"/>
        <v>0</v>
      </c>
      <c r="AQ152" s="636">
        <v>7.6</v>
      </c>
      <c r="AR152" s="707"/>
      <c r="AS152" s="310"/>
      <c r="AV152" s="228"/>
      <c r="AW152" s="228"/>
      <c r="AX152" s="228"/>
      <c r="AY152" s="228"/>
      <c r="AZ152" s="228"/>
      <c r="BA152" s="228"/>
      <c r="BC152" s="345"/>
      <c r="BD152" s="345"/>
      <c r="BE152" s="345"/>
      <c r="BF152" s="345"/>
      <c r="BG152" s="345"/>
      <c r="BH152" s="345"/>
      <c r="BI152" s="343"/>
      <c r="BJ152" s="294"/>
      <c r="BK152"/>
      <c r="BL152"/>
    </row>
    <row r="153" spans="1:97" s="89" customFormat="1" ht="15" hidden="1" customHeight="1" x14ac:dyDescent="0.35">
      <c r="A153" s="89" t="s">
        <v>216</v>
      </c>
      <c r="B153" s="211" t="s">
        <v>746</v>
      </c>
      <c r="C153" s="294" t="s">
        <v>66</v>
      </c>
      <c r="D153" s="1316"/>
      <c r="E153" s="703" t="s">
        <v>116</v>
      </c>
      <c r="F153" s="697">
        <v>0</v>
      </c>
      <c r="G153" s="628" cm="1">
        <f t="array" ref="G153">$F153*(SUMPRODUCT(('Cashflow Summary C19RM'!$K$5:$K$239&lt;&gt;1)*('Cashflow Summary C19RM'!$D$5:$D$239=E153)*('Cashflow Summary C19RM'!$R$5:$R$239)))</f>
        <v>0</v>
      </c>
      <c r="H153" s="633" cm="1">
        <f t="array" ref="H153">$F153*(SUMPRODUCT(('Cashflow Summary C19RM'!$K$5:$K$239&lt;&gt;1)*('Cashflow Summary C19RM'!$D$5:$D$239=E153)*('Cashflow Summary C19RM'!$S$5:$S$239)))</f>
        <v>0</v>
      </c>
      <c r="I153" s="633" cm="1">
        <f t="array" ref="I153">$F153*(SUMPRODUCT(('Cashflow Summary C19RM'!$K$5:$K$239&lt;&gt;1)*('Cashflow Summary C19RM'!$D$5:$D$239=E153)*('Cashflow Summary C19RM'!$T$5:$T$239)))</f>
        <v>0</v>
      </c>
      <c r="J153" s="633" cm="1">
        <f t="array" ref="J153">$F153*(SUMPRODUCT(('Cashflow Summary C19RM'!$K$5:$K$239&lt;&gt;1)*('Cashflow Summary C19RM'!$D$5:$D$239=E153)*('Cashflow Summary C19RM'!$U$5:$U$239)))</f>
        <v>0</v>
      </c>
      <c r="K153" s="631">
        <f t="shared" si="56"/>
        <v>0</v>
      </c>
      <c r="L153" s="686">
        <f t="shared" si="57"/>
        <v>0</v>
      </c>
      <c r="M153" s="633" cm="1">
        <f t="array" ref="M153">$L153*(SUMPRODUCT(('Cashflow Summary C19RM'!$K$5:$K$239&lt;&gt;1)*('Cashflow Summary C19RM'!$D$5:$D$239=E153)*('Cashflow Summary C19RM'!$V$5:$V$239)))</f>
        <v>0</v>
      </c>
      <c r="N153" s="633" cm="1">
        <f t="array" ref="N153">$L153*(SUMPRODUCT(('Cashflow Summary C19RM'!$K$5:$K$239&lt;&gt;1)*('Cashflow Summary C19RM'!$D$5:$D$239=E153)*('Cashflow Summary C19RM'!$W$5:$W$239)))</f>
        <v>0</v>
      </c>
      <c r="O153" s="633" cm="1">
        <f t="array" ref="O153">$L153*(SUMPRODUCT(('Cashflow Summary C19RM'!$K$5:$K$239&lt;&gt;1)*('Cashflow Summary C19RM'!$D$5:$D$239=E153)*('Cashflow Summary C19RM'!$X$5:$X$239)))</f>
        <v>0</v>
      </c>
      <c r="P153" s="633" cm="1">
        <f t="array" ref="P153">$L153*(SUMPRODUCT(('Cashflow Summary C19RM'!$K$5:$K$239&lt;&gt;1)*('Cashflow Summary C19RM'!$D$5:$D$239=E153)*('Cashflow Summary C19RM'!$Y$5:$Y$239)))</f>
        <v>0</v>
      </c>
      <c r="Q153" s="632">
        <f t="shared" si="58"/>
        <v>0</v>
      </c>
      <c r="R153" s="686">
        <f t="shared" si="59"/>
        <v>0</v>
      </c>
      <c r="S153" s="633" cm="1">
        <f t="array" ref="S153">$R153*(SUMPRODUCT(('Cashflow Summary C19RM'!$K$5:$K$239&lt;&gt;1)*('Cashflow Summary C19RM'!$D$5:$D$239=E153)*('Cashflow Summary C19RM'!$Z$5:$Z$239)))</f>
        <v>0</v>
      </c>
      <c r="T153" s="633" cm="1">
        <f t="array" ref="T153">$R153*(SUMPRODUCT(('Cashflow Summary C19RM'!$K$5:$K$239&lt;&gt;1)*('Cashflow Summary C19RM'!$D$5:$D$239=E153)*('Cashflow Summary C19RM'!$AA$5:$AA$239)))</f>
        <v>0</v>
      </c>
      <c r="U153" s="633" cm="1">
        <f t="array" ref="U153">$R153*(SUMPRODUCT(('Cashflow Summary C19RM'!$K$5:$K$239&lt;&gt;1)*('Cashflow Summary C19RM'!$D$5:$D$239=E153)*('Cashflow Summary C19RM'!$AB$5:$AB$239)))</f>
        <v>0</v>
      </c>
      <c r="V153" s="633" cm="1">
        <f t="array" ref="V153">$R153*(SUMPRODUCT(('Cashflow Summary C19RM'!$K$5:$K$239&lt;&gt;1)*('Cashflow Summary C19RM'!$D$5:$D$239=E153)*('Cashflow Summary C19RM'!$AC$5:$AC$239)))</f>
        <v>0</v>
      </c>
      <c r="W153" s="631">
        <f t="shared" si="60"/>
        <v>0</v>
      </c>
      <c r="X153" s="686">
        <f t="shared" si="61"/>
        <v>0</v>
      </c>
      <c r="Y153" s="633" cm="1">
        <f t="array" ref="Y153">$X153*(SUMPRODUCT(('Cashflow Summary C19RM'!$K$5:$K$239&lt;&gt;1)*('Cashflow Summary C19RM'!$D$5:$D$239=E153)*('Cashflow Summary C19RM'!$AD$5:$AD$239)))</f>
        <v>0</v>
      </c>
      <c r="Z153" s="633" cm="1">
        <f t="array" ref="Z153">$X153*(SUMPRODUCT(('Cashflow Summary C19RM'!$K$5:$K$239&lt;&gt;1)*('Cashflow Summary C19RM'!$D$5:$D$239=E153)*('Cashflow Summary C19RM'!$AE$5:$AE$239)))</f>
        <v>0</v>
      </c>
      <c r="AA153" s="633" cm="1">
        <f t="array" ref="AA153">$X153*(SUMPRODUCT(('Cashflow Summary C19RM'!$K$5:$K$239&lt;&gt;1)*('Cashflow Summary C19RM'!$D$5:$D$239=E153)*('Cashflow Summary C19RM'!$AF$5:$AF$239)))</f>
        <v>0</v>
      </c>
      <c r="AB153" s="633" cm="1">
        <f t="array" ref="AB153">$X153*(SUMPRODUCT(('Cashflow Summary C19RM'!$K$5:$K$239&lt;&gt;1)*('Cashflow Summary C19RM'!$D$5:$D$239=E153)*('Cashflow Summary C19RM'!$AG$5:$AK$239)))</f>
        <v>0</v>
      </c>
      <c r="AC153" s="631">
        <f t="shared" si="62"/>
        <v>0</v>
      </c>
      <c r="AD153" s="631"/>
      <c r="AE153" s="631"/>
      <c r="AF153" s="631"/>
      <c r="AG153" s="631"/>
      <c r="AH153" s="631"/>
      <c r="AI153" s="631"/>
      <c r="AJ153" s="875">
        <v>0</v>
      </c>
      <c r="AK153" s="631"/>
      <c r="AL153" s="631"/>
      <c r="AM153" s="631"/>
      <c r="AN153" s="631"/>
      <c r="AO153" s="631"/>
      <c r="AP153" s="635">
        <f t="shared" si="73"/>
        <v>0</v>
      </c>
      <c r="AQ153" s="636">
        <v>7.6</v>
      </c>
      <c r="AR153" s="707"/>
      <c r="AS153" s="310"/>
      <c r="AV153" s="228"/>
      <c r="AW153" s="228"/>
      <c r="AX153" s="228"/>
      <c r="AY153" s="228"/>
      <c r="AZ153" s="228"/>
      <c r="BA153" s="228"/>
      <c r="BC153" s="345"/>
      <c r="BD153" s="345"/>
      <c r="BE153" s="345"/>
      <c r="BF153" s="345"/>
      <c r="BG153" s="345"/>
      <c r="BH153" s="345"/>
      <c r="BI153" s="343"/>
      <c r="BJ153" s="294"/>
      <c r="BK153"/>
      <c r="BL153"/>
    </row>
    <row r="154" spans="1:97" s="89" customFormat="1" ht="15" hidden="1" customHeight="1" x14ac:dyDescent="0.35">
      <c r="A154" s="89" t="s">
        <v>216</v>
      </c>
      <c r="B154" s="211" t="s">
        <v>746</v>
      </c>
      <c r="C154" s="294" t="s">
        <v>66</v>
      </c>
      <c r="D154" s="1316"/>
      <c r="E154" s="703" t="s">
        <v>609</v>
      </c>
      <c r="F154" s="697">
        <v>0</v>
      </c>
      <c r="G154" s="628" cm="1">
        <f t="array" ref="G154">$F154*(SUMPRODUCT(('Cashflow Summary C19RM'!$K$5:$K$239&lt;&gt;1)*('Cashflow Summary C19RM'!$D$5:$D$239=E154)*('Cashflow Summary C19RM'!$R$5:$R$239)))</f>
        <v>0</v>
      </c>
      <c r="H154" s="633" cm="1">
        <f t="array" ref="H154">$F154*(SUMPRODUCT(('Cashflow Summary C19RM'!$K$5:$K$239&lt;&gt;1)*('Cashflow Summary C19RM'!$D$5:$D$239=E154)*('Cashflow Summary C19RM'!$S$5:$S$239)))</f>
        <v>0</v>
      </c>
      <c r="I154" s="633" cm="1">
        <f t="array" ref="I154">$F154*(SUMPRODUCT(('Cashflow Summary C19RM'!$K$5:$K$239&lt;&gt;1)*('Cashflow Summary C19RM'!$D$5:$D$239=E154)*('Cashflow Summary C19RM'!$T$5:$T$239)))</f>
        <v>0</v>
      </c>
      <c r="J154" s="633" cm="1">
        <f t="array" ref="J154">$F154*(SUMPRODUCT(('Cashflow Summary C19RM'!$K$5:$K$239&lt;&gt;1)*('Cashflow Summary C19RM'!$D$5:$D$239=E154)*('Cashflow Summary C19RM'!$U$5:$U$239)))</f>
        <v>0</v>
      </c>
      <c r="K154" s="631">
        <f t="shared" si="56"/>
        <v>0</v>
      </c>
      <c r="L154" s="686">
        <f t="shared" si="57"/>
        <v>0</v>
      </c>
      <c r="M154" s="630" cm="1">
        <f t="array" ref="M154">$L154*(SUMPRODUCT(('Cashflow Summary C19RM'!$K$5:$K$239&lt;&gt;1)*('Cashflow Summary C19RM'!$D$5:$D$239=E154)*('Cashflow Summary C19RM'!$V$5:$V$239)))</f>
        <v>0</v>
      </c>
      <c r="N154" s="630" cm="1">
        <f t="array" ref="N154">$L154*(SUMPRODUCT(('Cashflow Summary C19RM'!$K$5:$K$239&lt;&gt;1)*('Cashflow Summary C19RM'!$D$5:$D$239=E154)*('Cashflow Summary C19RM'!$W$5:$W$239)))</f>
        <v>0</v>
      </c>
      <c r="O154" s="630" cm="1">
        <f t="array" ref="O154">$L154*(SUMPRODUCT(('Cashflow Summary C19RM'!$K$5:$K$239&lt;&gt;1)*('Cashflow Summary C19RM'!$D$5:$D$239=E154)*('Cashflow Summary C19RM'!$X$5:$X$239)))</f>
        <v>0</v>
      </c>
      <c r="P154" s="630" cm="1">
        <f t="array" ref="P154">$L154*(SUMPRODUCT(('Cashflow Summary C19RM'!$K$5:$K$239&lt;&gt;1)*('Cashflow Summary C19RM'!$D$5:$D$239=E154)*('Cashflow Summary C19RM'!$Y$5:$Y$239)))</f>
        <v>0</v>
      </c>
      <c r="Q154" s="632">
        <f t="shared" si="58"/>
        <v>0</v>
      </c>
      <c r="R154" s="686">
        <f t="shared" si="59"/>
        <v>0</v>
      </c>
      <c r="S154" s="633" cm="1">
        <f t="array" ref="S154">$R154*(SUMPRODUCT(('Cashflow Summary C19RM'!$K$5:$K$239&lt;&gt;1)*('Cashflow Summary C19RM'!$D$5:$D$239=E154)*('Cashflow Summary C19RM'!$Z$5:$Z$239)))</f>
        <v>0</v>
      </c>
      <c r="T154" s="633" cm="1">
        <f t="array" ref="T154">$R154*(SUMPRODUCT(('Cashflow Summary C19RM'!$K$5:$K$239&lt;&gt;1)*('Cashflow Summary C19RM'!$D$5:$D$239=E154)*('Cashflow Summary C19RM'!$AA$5:$AA$239)))</f>
        <v>0</v>
      </c>
      <c r="U154" s="633" cm="1">
        <f t="array" ref="U154">$R154*(SUMPRODUCT(('Cashflow Summary C19RM'!$K$5:$K$239&lt;&gt;1)*('Cashflow Summary C19RM'!$D$5:$D$239=E154)*('Cashflow Summary C19RM'!$AB$5:$AB$239)))</f>
        <v>0</v>
      </c>
      <c r="V154" s="633" cm="1">
        <f t="array" ref="V154">$R154*(SUMPRODUCT(('Cashflow Summary C19RM'!$K$5:$K$239&lt;&gt;1)*('Cashflow Summary C19RM'!$D$5:$D$239=E154)*('Cashflow Summary C19RM'!$AC$5:$AC$239)))</f>
        <v>0</v>
      </c>
      <c r="W154" s="631">
        <f t="shared" si="60"/>
        <v>0</v>
      </c>
      <c r="X154" s="686">
        <f t="shared" si="61"/>
        <v>0</v>
      </c>
      <c r="Y154" s="633" cm="1">
        <f t="array" ref="Y154">$X154*(SUMPRODUCT(('Cashflow Summary C19RM'!$K$5:$K$239&lt;&gt;1)*('Cashflow Summary C19RM'!$D$5:$D$239=E154)*('Cashflow Summary C19RM'!$AD$5:$AD$239)))</f>
        <v>0</v>
      </c>
      <c r="Z154" s="633" cm="1">
        <f t="array" ref="Z154">$X154*(SUMPRODUCT(('Cashflow Summary C19RM'!$K$5:$K$239&lt;&gt;1)*('Cashflow Summary C19RM'!$D$5:$D$239=E154)*('Cashflow Summary C19RM'!$AE$5:$AE$239)))</f>
        <v>0</v>
      </c>
      <c r="AA154" s="633" cm="1">
        <f t="array" ref="AA154">$X154*(SUMPRODUCT(('Cashflow Summary C19RM'!$K$5:$K$239&lt;&gt;1)*('Cashflow Summary C19RM'!$D$5:$D$239=E154)*('Cashflow Summary C19RM'!$AF$5:$AF$239)))</f>
        <v>0</v>
      </c>
      <c r="AB154" s="633" cm="1">
        <f t="array" ref="AB154">$X154*(SUMPRODUCT(('Cashflow Summary C19RM'!$K$5:$K$239&lt;&gt;1)*('Cashflow Summary C19RM'!$D$5:$D$239=E154)*('Cashflow Summary C19RM'!$AG$5:$AK$239)))</f>
        <v>0</v>
      </c>
      <c r="AC154" s="631">
        <f t="shared" si="62"/>
        <v>0</v>
      </c>
      <c r="AD154" s="631"/>
      <c r="AE154" s="631"/>
      <c r="AF154" s="631"/>
      <c r="AG154" s="631"/>
      <c r="AH154" s="631"/>
      <c r="AI154" s="631"/>
      <c r="AJ154" s="875">
        <v>0</v>
      </c>
      <c r="AK154" s="631"/>
      <c r="AL154" s="631"/>
      <c r="AM154" s="631"/>
      <c r="AN154" s="631"/>
      <c r="AO154" s="631"/>
      <c r="AP154" s="635">
        <f t="shared" si="73"/>
        <v>0</v>
      </c>
      <c r="AQ154" s="636">
        <v>7.6</v>
      </c>
      <c r="AR154" s="707"/>
      <c r="AS154" s="310"/>
      <c r="AV154" s="228"/>
      <c r="AW154" s="228"/>
      <c r="AX154" s="228"/>
      <c r="AY154" s="228"/>
      <c r="AZ154" s="228"/>
      <c r="BA154" s="228"/>
      <c r="BC154" s="345"/>
      <c r="BD154" s="345"/>
      <c r="BE154" s="345"/>
      <c r="BF154" s="345"/>
      <c r="BG154" s="345"/>
      <c r="BH154" s="345"/>
      <c r="BI154" s="343"/>
      <c r="BJ154" s="294"/>
      <c r="BK154"/>
      <c r="BL154"/>
    </row>
    <row r="155" spans="1:97" s="89" customFormat="1" ht="15" hidden="1" customHeight="1" x14ac:dyDescent="0.35">
      <c r="A155" s="89" t="s">
        <v>216</v>
      </c>
      <c r="B155" s="211" t="s">
        <v>746</v>
      </c>
      <c r="C155" s="294" t="s">
        <v>66</v>
      </c>
      <c r="D155" s="1316"/>
      <c r="E155" s="703" t="s">
        <v>117</v>
      </c>
      <c r="F155" s="697">
        <v>0</v>
      </c>
      <c r="G155" s="628" cm="1">
        <f t="array" ref="G155">$F155*(SUMPRODUCT(('Cashflow Summary C19RM'!$K$5:$K$239&lt;&gt;1)*('Cashflow Summary C19RM'!$D$5:$D$239=E155)*('Cashflow Summary C19RM'!$R$5:$R$239)))</f>
        <v>0</v>
      </c>
      <c r="H155" s="633" cm="1">
        <f t="array" ref="H155">$F155*(SUMPRODUCT(('Cashflow Summary C19RM'!$K$5:$K$239&lt;&gt;1)*('Cashflow Summary C19RM'!$D$5:$D$239=E155)*('Cashflow Summary C19RM'!$S$5:$S$239)))</f>
        <v>0</v>
      </c>
      <c r="I155" s="633" cm="1">
        <f t="array" ref="I155">$F155*(SUMPRODUCT(('Cashflow Summary C19RM'!$K$5:$K$239&lt;&gt;1)*('Cashflow Summary C19RM'!$D$5:$D$239=E155)*('Cashflow Summary C19RM'!$T$5:$T$239)))</f>
        <v>0</v>
      </c>
      <c r="J155" s="633" cm="1">
        <f t="array" ref="J155">$F155*(SUMPRODUCT(('Cashflow Summary C19RM'!$K$5:$K$239&lt;&gt;1)*('Cashflow Summary C19RM'!$D$5:$D$239=E155)*('Cashflow Summary C19RM'!$U$5:$U$239)))</f>
        <v>0</v>
      </c>
      <c r="K155" s="631">
        <f t="shared" si="56"/>
        <v>0</v>
      </c>
      <c r="L155" s="686">
        <f t="shared" si="57"/>
        <v>0</v>
      </c>
      <c r="M155" s="633" cm="1">
        <f t="array" ref="M155">$L155*(SUMPRODUCT(('Cashflow Summary C19RM'!$K$5:$K$239&lt;&gt;1)*('Cashflow Summary C19RM'!$D$5:$D$239=E155)*('Cashflow Summary C19RM'!$V$5:$V$239)))</f>
        <v>0</v>
      </c>
      <c r="N155" s="633" cm="1">
        <f t="array" ref="N155">$L155*(SUMPRODUCT(('Cashflow Summary C19RM'!$K$5:$K$239&lt;&gt;1)*('Cashflow Summary C19RM'!$D$5:$D$239=E155)*('Cashflow Summary C19RM'!$W$5:$W$239)))</f>
        <v>0</v>
      </c>
      <c r="O155" s="633" cm="1">
        <f t="array" ref="O155">$L155*(SUMPRODUCT(('Cashflow Summary C19RM'!$K$5:$K$239&lt;&gt;1)*('Cashflow Summary C19RM'!$D$5:$D$239=E155)*('Cashflow Summary C19RM'!$X$5:$X$239)))</f>
        <v>0</v>
      </c>
      <c r="P155" s="633" cm="1">
        <f t="array" ref="P155">$L155*(SUMPRODUCT(('Cashflow Summary C19RM'!$K$5:$K$239&lt;&gt;1)*('Cashflow Summary C19RM'!$D$5:$D$239=E155)*('Cashflow Summary C19RM'!$Y$5:$Y$239)))</f>
        <v>0</v>
      </c>
      <c r="Q155" s="632">
        <f t="shared" si="58"/>
        <v>0</v>
      </c>
      <c r="R155" s="686">
        <f t="shared" si="59"/>
        <v>0</v>
      </c>
      <c r="S155" s="633" cm="1">
        <f t="array" ref="S155">$R155*(SUMPRODUCT(('Cashflow Summary C19RM'!$K$5:$K$239&lt;&gt;1)*('Cashflow Summary C19RM'!$D$5:$D$239=E155)*('Cashflow Summary C19RM'!$Z$5:$Z$239)))</f>
        <v>0</v>
      </c>
      <c r="T155" s="633" cm="1">
        <f t="array" ref="T155">$R155*(SUMPRODUCT(('Cashflow Summary C19RM'!$K$5:$K$239&lt;&gt;1)*('Cashflow Summary C19RM'!$D$5:$D$239=E155)*('Cashflow Summary C19RM'!$AA$5:$AA$239)))</f>
        <v>0</v>
      </c>
      <c r="U155" s="633" cm="1">
        <f t="array" ref="U155">$R155*(SUMPRODUCT(('Cashflow Summary C19RM'!$K$5:$K$239&lt;&gt;1)*('Cashflow Summary C19RM'!$D$5:$D$239=E155)*('Cashflow Summary C19RM'!$AB$5:$AB$239)))</f>
        <v>0</v>
      </c>
      <c r="V155" s="633" cm="1">
        <f t="array" ref="V155">$R155*(SUMPRODUCT(('Cashflow Summary C19RM'!$K$5:$K$239&lt;&gt;1)*('Cashflow Summary C19RM'!$D$5:$D$239=E155)*('Cashflow Summary C19RM'!$AC$5:$AC$239)))</f>
        <v>0</v>
      </c>
      <c r="W155" s="631">
        <f t="shared" si="60"/>
        <v>0</v>
      </c>
      <c r="X155" s="686">
        <f t="shared" si="61"/>
        <v>0</v>
      </c>
      <c r="Y155" s="633" cm="1">
        <f t="array" ref="Y155">$X155*(SUMPRODUCT(('Cashflow Summary C19RM'!$K$5:$K$239&lt;&gt;1)*('Cashflow Summary C19RM'!$D$5:$D$239=E155)*('Cashflow Summary C19RM'!$AD$5:$AD$239)))</f>
        <v>0</v>
      </c>
      <c r="Z155" s="633" cm="1">
        <f t="array" ref="Z155">$X155*(SUMPRODUCT(('Cashflow Summary C19RM'!$K$5:$K$239&lt;&gt;1)*('Cashflow Summary C19RM'!$D$5:$D$239=E155)*('Cashflow Summary C19RM'!$AE$5:$AE$239)))</f>
        <v>0</v>
      </c>
      <c r="AA155" s="633" cm="1">
        <f t="array" ref="AA155">$X155*(SUMPRODUCT(('Cashflow Summary C19RM'!$K$5:$K$239&lt;&gt;1)*('Cashflow Summary C19RM'!$D$5:$D$239=E155)*('Cashflow Summary C19RM'!$AF$5:$AF$239)))</f>
        <v>0</v>
      </c>
      <c r="AB155" s="633" cm="1">
        <f t="array" ref="AB155">$X155*(SUMPRODUCT(('Cashflow Summary C19RM'!$K$5:$K$239&lt;&gt;1)*('Cashflow Summary C19RM'!$D$5:$D$239=E155)*('Cashflow Summary C19RM'!$AG$5:$AK$239)))</f>
        <v>0</v>
      </c>
      <c r="AC155" s="631">
        <f t="shared" si="62"/>
        <v>0</v>
      </c>
      <c r="AD155" s="631"/>
      <c r="AE155" s="631"/>
      <c r="AF155" s="631"/>
      <c r="AG155" s="631"/>
      <c r="AH155" s="631"/>
      <c r="AI155" s="631"/>
      <c r="AJ155" s="875">
        <v>0</v>
      </c>
      <c r="AK155" s="631"/>
      <c r="AL155" s="631"/>
      <c r="AM155" s="631"/>
      <c r="AN155" s="631"/>
      <c r="AO155" s="631"/>
      <c r="AP155" s="635">
        <f t="shared" si="73"/>
        <v>0</v>
      </c>
      <c r="AQ155" s="636">
        <v>7.6</v>
      </c>
      <c r="AR155" s="707"/>
      <c r="AS155" s="310"/>
      <c r="AV155" s="228"/>
      <c r="AW155" s="228"/>
      <c r="AX155" s="228"/>
      <c r="AY155" s="228"/>
      <c r="AZ155" s="228"/>
      <c r="BA155" s="228"/>
      <c r="BC155" s="345"/>
      <c r="BD155" s="345"/>
      <c r="BE155" s="345"/>
      <c r="BF155" s="345"/>
      <c r="BG155" s="345"/>
      <c r="BH155" s="345"/>
      <c r="BI155" s="343"/>
      <c r="BJ155" s="294"/>
      <c r="BK155"/>
      <c r="BL155"/>
    </row>
    <row r="156" spans="1:97" s="89" customFormat="1" ht="15" hidden="1" customHeight="1" x14ac:dyDescent="0.35">
      <c r="A156" s="89" t="s">
        <v>216</v>
      </c>
      <c r="B156" s="211" t="s">
        <v>746</v>
      </c>
      <c r="C156" s="294" t="s">
        <v>66</v>
      </c>
      <c r="D156" s="1316"/>
      <c r="E156" s="703" t="s">
        <v>38</v>
      </c>
      <c r="F156" s="697">
        <v>0</v>
      </c>
      <c r="G156" s="628" cm="1">
        <f t="array" ref="G156">$F156*(SUMPRODUCT(('Cashflow Summary C19RM'!$K$5:$K$239&lt;&gt;1)*('Cashflow Summary C19RM'!$D$5:$D$239=E156)*('Cashflow Summary C19RM'!$R$5:$R$239)))</f>
        <v>0</v>
      </c>
      <c r="H156" s="633" cm="1">
        <f t="array" ref="H156">$F156*(SUMPRODUCT(('Cashflow Summary C19RM'!$K$5:$K$239&lt;&gt;1)*('Cashflow Summary C19RM'!$D$5:$D$239=E156)*('Cashflow Summary C19RM'!$S$5:$S$239)))</f>
        <v>0</v>
      </c>
      <c r="I156" s="633" cm="1">
        <f t="array" ref="I156">$F156*(SUMPRODUCT(('Cashflow Summary C19RM'!$K$5:$K$239&lt;&gt;1)*('Cashflow Summary C19RM'!$D$5:$D$239=E156)*('Cashflow Summary C19RM'!$T$5:$T$239)))</f>
        <v>0</v>
      </c>
      <c r="J156" s="633" cm="1">
        <f t="array" ref="J156">$F156*(SUMPRODUCT(('Cashflow Summary C19RM'!$K$5:$K$239&lt;&gt;1)*('Cashflow Summary C19RM'!$D$5:$D$239=E156)*('Cashflow Summary C19RM'!$U$5:$U$239)))</f>
        <v>0</v>
      </c>
      <c r="K156" s="631">
        <f t="shared" si="56"/>
        <v>0</v>
      </c>
      <c r="L156" s="686">
        <f t="shared" si="57"/>
        <v>0</v>
      </c>
      <c r="M156" s="633" cm="1">
        <f t="array" ref="M156">$L156*(SUMPRODUCT(('Cashflow Summary C19RM'!$K$5:$K$239&lt;&gt;1)*('Cashflow Summary C19RM'!$D$5:$D$239=E156)*('Cashflow Summary C19RM'!$V$5:$V$239)))</f>
        <v>0</v>
      </c>
      <c r="N156" s="633" cm="1">
        <f t="array" ref="N156">$L156*(SUMPRODUCT(('Cashflow Summary C19RM'!$K$5:$K$239&lt;&gt;1)*('Cashflow Summary C19RM'!$D$5:$D$239=E156)*('Cashflow Summary C19RM'!$W$5:$W$239)))</f>
        <v>0</v>
      </c>
      <c r="O156" s="633" cm="1">
        <f t="array" ref="O156">$L156*(SUMPRODUCT(('Cashflow Summary C19RM'!$K$5:$K$239&lt;&gt;1)*('Cashflow Summary C19RM'!$D$5:$D$239=E156)*('Cashflow Summary C19RM'!$X$5:$X$239)))</f>
        <v>0</v>
      </c>
      <c r="P156" s="633" cm="1">
        <f t="array" ref="P156">$L156*(SUMPRODUCT(('Cashflow Summary C19RM'!$K$5:$K$239&lt;&gt;1)*('Cashflow Summary C19RM'!$D$5:$D$239=E156)*('Cashflow Summary C19RM'!$Y$5:$Y$239)))</f>
        <v>0</v>
      </c>
      <c r="Q156" s="632">
        <f t="shared" si="58"/>
        <v>0</v>
      </c>
      <c r="R156" s="686">
        <f t="shared" si="59"/>
        <v>0</v>
      </c>
      <c r="S156" s="633" cm="1">
        <f t="array" ref="S156">$R156*(SUMPRODUCT(('Cashflow Summary C19RM'!$K$5:$K$239&lt;&gt;1)*('Cashflow Summary C19RM'!$D$5:$D$239=E156)*('Cashflow Summary C19RM'!$Z$5:$Z$239)))</f>
        <v>0</v>
      </c>
      <c r="T156" s="633" cm="1">
        <f t="array" ref="T156">$R156*(SUMPRODUCT(('Cashflow Summary C19RM'!$K$5:$K$239&lt;&gt;1)*('Cashflow Summary C19RM'!$D$5:$D$239=E156)*('Cashflow Summary C19RM'!$AA$5:$AA$239)))</f>
        <v>0</v>
      </c>
      <c r="U156" s="633" cm="1">
        <f t="array" ref="U156">$R156*(SUMPRODUCT(('Cashflow Summary C19RM'!$K$5:$K$239&lt;&gt;1)*('Cashflow Summary C19RM'!$D$5:$D$239=E156)*('Cashflow Summary C19RM'!$AB$5:$AB$239)))</f>
        <v>0</v>
      </c>
      <c r="V156" s="633" cm="1">
        <f t="array" ref="V156">$R156*(SUMPRODUCT(('Cashflow Summary C19RM'!$K$5:$K$239&lt;&gt;1)*('Cashflow Summary C19RM'!$D$5:$D$239=E156)*('Cashflow Summary C19RM'!$AC$5:$AC$239)))</f>
        <v>0</v>
      </c>
      <c r="W156" s="631">
        <f t="shared" si="60"/>
        <v>0</v>
      </c>
      <c r="X156" s="686">
        <f t="shared" si="61"/>
        <v>0</v>
      </c>
      <c r="Y156" s="633" cm="1">
        <f t="array" ref="Y156">$X156*(SUMPRODUCT(('Cashflow Summary C19RM'!$K$5:$K$239&lt;&gt;1)*('Cashflow Summary C19RM'!$D$5:$D$239=E156)*('Cashflow Summary C19RM'!$AD$5:$AD$239)))</f>
        <v>0</v>
      </c>
      <c r="Z156" s="633" cm="1">
        <f t="array" ref="Z156">$X156*(SUMPRODUCT(('Cashflow Summary C19RM'!$K$5:$K$239&lt;&gt;1)*('Cashflow Summary C19RM'!$D$5:$D$239=E156)*('Cashflow Summary C19RM'!$AE$5:$AE$239)))</f>
        <v>0</v>
      </c>
      <c r="AA156" s="633" cm="1">
        <f t="array" ref="AA156">$X156*(SUMPRODUCT(('Cashflow Summary C19RM'!$K$5:$K$239&lt;&gt;1)*('Cashflow Summary C19RM'!$D$5:$D$239=E156)*('Cashflow Summary C19RM'!$AF$5:$AF$239)))</f>
        <v>0</v>
      </c>
      <c r="AB156" s="633" cm="1">
        <f t="array" ref="AB156">$X156*(SUMPRODUCT(('Cashflow Summary C19RM'!$K$5:$K$239&lt;&gt;1)*('Cashflow Summary C19RM'!$D$5:$D$239=E156)*('Cashflow Summary C19RM'!$AG$5:$AK$239)))</f>
        <v>0</v>
      </c>
      <c r="AC156" s="631">
        <f t="shared" si="62"/>
        <v>0</v>
      </c>
      <c r="AD156" s="631"/>
      <c r="AE156" s="631"/>
      <c r="AF156" s="631"/>
      <c r="AG156" s="631"/>
      <c r="AH156" s="631"/>
      <c r="AI156" s="631"/>
      <c r="AJ156" s="875">
        <v>0</v>
      </c>
      <c r="AK156" s="631"/>
      <c r="AL156" s="631"/>
      <c r="AM156" s="631"/>
      <c r="AN156" s="631"/>
      <c r="AO156" s="631"/>
      <c r="AP156" s="635">
        <f t="shared" si="73"/>
        <v>0</v>
      </c>
      <c r="AQ156" s="636">
        <v>7.6</v>
      </c>
      <c r="AR156" s="707"/>
      <c r="AS156" s="310"/>
      <c r="AV156" s="228"/>
      <c r="AW156" s="228"/>
      <c r="AX156" s="228"/>
      <c r="AY156" s="228"/>
      <c r="AZ156" s="228"/>
      <c r="BA156" s="228"/>
      <c r="BC156" s="345"/>
      <c r="BD156" s="345"/>
      <c r="BE156" s="345"/>
      <c r="BF156" s="345"/>
      <c r="BG156" s="345"/>
      <c r="BH156" s="345"/>
      <c r="BI156" s="343"/>
      <c r="BJ156" s="294"/>
      <c r="BK156"/>
      <c r="BL156"/>
    </row>
    <row r="157" spans="1:97" s="89" customFormat="1" ht="15" hidden="1" customHeight="1" x14ac:dyDescent="0.35">
      <c r="A157" s="89" t="s">
        <v>216</v>
      </c>
      <c r="B157" s="211" t="s">
        <v>746</v>
      </c>
      <c r="C157" s="294" t="s">
        <v>66</v>
      </c>
      <c r="D157" s="1316"/>
      <c r="E157" s="703" t="s">
        <v>607</v>
      </c>
      <c r="F157" s="697">
        <v>0</v>
      </c>
      <c r="G157" s="628" cm="1">
        <f t="array" ref="G157">$F157*(SUMPRODUCT(('Cashflow Summary C19RM'!$K$5:$K$239&lt;&gt;1)*('Cashflow Summary C19RM'!$D$5:$D$239=E157)*('Cashflow Summary C19RM'!$R$5:$R$239)))</f>
        <v>0</v>
      </c>
      <c r="H157" s="633" cm="1">
        <f t="array" ref="H157">$F157*(SUMPRODUCT(('Cashflow Summary C19RM'!$K$5:$K$239&lt;&gt;1)*('Cashflow Summary C19RM'!$D$5:$D$239=E157)*('Cashflow Summary C19RM'!$S$5:$S$239)))</f>
        <v>0</v>
      </c>
      <c r="I157" s="633" cm="1">
        <f t="array" ref="I157">$F157*(SUMPRODUCT(('Cashflow Summary C19RM'!$K$5:$K$239&lt;&gt;1)*('Cashflow Summary C19RM'!$D$5:$D$239=E157)*('Cashflow Summary C19RM'!$T$5:$T$239)))</f>
        <v>0</v>
      </c>
      <c r="J157" s="633" cm="1">
        <f t="array" ref="J157">$F157*(SUMPRODUCT(('Cashflow Summary C19RM'!$K$5:$K$239&lt;&gt;1)*('Cashflow Summary C19RM'!$D$5:$D$239=E157)*('Cashflow Summary C19RM'!$U$5:$U$239)))</f>
        <v>0</v>
      </c>
      <c r="K157" s="631">
        <f t="shared" si="56"/>
        <v>0</v>
      </c>
      <c r="L157" s="686">
        <f t="shared" si="57"/>
        <v>0</v>
      </c>
      <c r="M157" s="633" cm="1">
        <f t="array" ref="M157">$L157*(SUMPRODUCT(('Cashflow Summary C19RM'!$K$5:$K$239&lt;&gt;1)*('Cashflow Summary C19RM'!$D$5:$D$239=E157)*('Cashflow Summary C19RM'!$V$5:$V$239)))</f>
        <v>0</v>
      </c>
      <c r="N157" s="633" cm="1">
        <f t="array" ref="N157">$L157*(SUMPRODUCT(('Cashflow Summary C19RM'!$K$5:$K$239&lt;&gt;1)*('Cashflow Summary C19RM'!$D$5:$D$239=E157)*('Cashflow Summary C19RM'!$W$5:$W$239)))</f>
        <v>0</v>
      </c>
      <c r="O157" s="633" cm="1">
        <f t="array" ref="O157">$L157*(SUMPRODUCT(('Cashflow Summary C19RM'!$K$5:$K$239&lt;&gt;1)*('Cashflow Summary C19RM'!$D$5:$D$239=E157)*('Cashflow Summary C19RM'!$X$5:$X$239)))</f>
        <v>0</v>
      </c>
      <c r="P157" s="633" cm="1">
        <f t="array" ref="P157">$L157*(SUMPRODUCT(('Cashflow Summary C19RM'!$K$5:$K$239&lt;&gt;1)*('Cashflow Summary C19RM'!$D$5:$D$239=E157)*('Cashflow Summary C19RM'!$Y$5:$Y$239)))</f>
        <v>0</v>
      </c>
      <c r="Q157" s="632">
        <f t="shared" si="58"/>
        <v>0</v>
      </c>
      <c r="R157" s="686">
        <f t="shared" si="59"/>
        <v>0</v>
      </c>
      <c r="S157" s="633" cm="1">
        <f t="array" ref="S157">$R157*(SUMPRODUCT(('Cashflow Summary C19RM'!$K$5:$K$239&lt;&gt;1)*('Cashflow Summary C19RM'!$D$5:$D$239=E157)*('Cashflow Summary C19RM'!$Z$5:$Z$239)))</f>
        <v>0</v>
      </c>
      <c r="T157" s="633" cm="1">
        <f t="array" ref="T157">$R157*(SUMPRODUCT(('Cashflow Summary C19RM'!$K$5:$K$239&lt;&gt;1)*('Cashflow Summary C19RM'!$D$5:$D$239=E157)*('Cashflow Summary C19RM'!$AA$5:$AA$239)))</f>
        <v>0</v>
      </c>
      <c r="U157" s="633" cm="1">
        <f t="array" ref="U157">$R157*(SUMPRODUCT(('Cashflow Summary C19RM'!$K$5:$K$239&lt;&gt;1)*('Cashflow Summary C19RM'!$D$5:$D$239=E157)*('Cashflow Summary C19RM'!$AB$5:$AB$239)))</f>
        <v>0</v>
      </c>
      <c r="V157" s="633" cm="1">
        <f t="array" ref="V157">$R157*(SUMPRODUCT(('Cashflow Summary C19RM'!$K$5:$K$239&lt;&gt;1)*('Cashflow Summary C19RM'!$D$5:$D$239=E157)*('Cashflow Summary C19RM'!$AC$5:$AC$239)))</f>
        <v>0</v>
      </c>
      <c r="W157" s="631">
        <f t="shared" si="60"/>
        <v>0</v>
      </c>
      <c r="X157" s="686">
        <f t="shared" si="61"/>
        <v>0</v>
      </c>
      <c r="Y157" s="633" cm="1">
        <f t="array" ref="Y157">$X157*(SUMPRODUCT(('Cashflow Summary C19RM'!$K$5:$K$239&lt;&gt;1)*('Cashflow Summary C19RM'!$D$5:$D$239=E157)*('Cashflow Summary C19RM'!$AD$5:$AD$239)))</f>
        <v>0</v>
      </c>
      <c r="Z157" s="633" cm="1">
        <f t="array" ref="Z157">$X157*(SUMPRODUCT(('Cashflow Summary C19RM'!$K$5:$K$239&lt;&gt;1)*('Cashflow Summary C19RM'!$D$5:$D$239=E157)*('Cashflow Summary C19RM'!$AE$5:$AE$239)))</f>
        <v>0</v>
      </c>
      <c r="AA157" s="633" cm="1">
        <f t="array" ref="AA157">$X157*(SUMPRODUCT(('Cashflow Summary C19RM'!$K$5:$K$239&lt;&gt;1)*('Cashflow Summary C19RM'!$D$5:$D$239=E157)*('Cashflow Summary C19RM'!$AF$5:$AF$239)))</f>
        <v>0</v>
      </c>
      <c r="AB157" s="633" cm="1">
        <f t="array" ref="AB157">$X157*(SUMPRODUCT(('Cashflow Summary C19RM'!$K$5:$K$239&lt;&gt;1)*('Cashflow Summary C19RM'!$D$5:$D$239=E157)*('Cashflow Summary C19RM'!$AG$5:$AK$239)))</f>
        <v>0</v>
      </c>
      <c r="AC157" s="631">
        <f t="shared" si="62"/>
        <v>0</v>
      </c>
      <c r="AD157" s="631"/>
      <c r="AE157" s="631"/>
      <c r="AF157" s="631"/>
      <c r="AG157" s="631"/>
      <c r="AH157" s="631"/>
      <c r="AI157" s="631"/>
      <c r="AJ157" s="875">
        <v>0</v>
      </c>
      <c r="AK157" s="631"/>
      <c r="AL157" s="631"/>
      <c r="AM157" s="631"/>
      <c r="AN157" s="631"/>
      <c r="AO157" s="631"/>
      <c r="AP157" s="635">
        <f t="shared" si="73"/>
        <v>0</v>
      </c>
      <c r="AQ157" s="636">
        <v>7.6</v>
      </c>
      <c r="AR157" s="707"/>
      <c r="AS157" s="310"/>
      <c r="AV157" s="228"/>
      <c r="AW157" s="228"/>
      <c r="AX157" s="228"/>
      <c r="AY157" s="228"/>
      <c r="AZ157" s="228"/>
      <c r="BA157" s="228"/>
      <c r="BC157" s="345"/>
      <c r="BD157" s="345"/>
      <c r="BE157" s="345"/>
      <c r="BF157" s="345"/>
      <c r="BG157" s="345"/>
      <c r="BH157" s="345"/>
      <c r="BI157" s="343"/>
      <c r="BJ157" s="294"/>
      <c r="BK157"/>
      <c r="BL157"/>
    </row>
    <row r="158" spans="1:97" s="89" customFormat="1" ht="15" hidden="1" customHeight="1" thickBot="1" x14ac:dyDescent="0.4">
      <c r="A158" s="89" t="s">
        <v>216</v>
      </c>
      <c r="B158" s="292" t="s">
        <v>746</v>
      </c>
      <c r="C158" s="729" t="s">
        <v>66</v>
      </c>
      <c r="D158" s="1317"/>
      <c r="E158" s="708" t="s">
        <v>608</v>
      </c>
      <c r="F158" s="720">
        <v>0</v>
      </c>
      <c r="G158" s="709" cm="1">
        <f t="array" ref="G158">$F158*(SUMPRODUCT(('Cashflow Summary C19RM'!$K$5:$K$239&lt;&gt;1)*('Cashflow Summary C19RM'!$D$5:$D$239=E158)*('Cashflow Summary C19RM'!$R$5:$R$239)))</f>
        <v>0</v>
      </c>
      <c r="H158" s="704" cm="1">
        <f t="array" ref="H158">$F158*(SUMPRODUCT(('Cashflow Summary C19RM'!$K$5:$K$239&lt;&gt;1)*('Cashflow Summary C19RM'!$D$5:$D$239=E158)*('Cashflow Summary C19RM'!$S$5:$S$239)))</f>
        <v>0</v>
      </c>
      <c r="I158" s="704" cm="1">
        <f t="array" ref="I158">$F158*(SUMPRODUCT(('Cashflow Summary C19RM'!$K$5:$K$239&lt;&gt;1)*('Cashflow Summary C19RM'!$D$5:$D$239=E158)*('Cashflow Summary C19RM'!$T$5:$T$239)))</f>
        <v>0</v>
      </c>
      <c r="J158" s="704" cm="1">
        <f t="array" ref="J158">$F158*(SUMPRODUCT(('Cashflow Summary C19RM'!$K$5:$K$239&lt;&gt;1)*('Cashflow Summary C19RM'!$D$5:$D$239=E158)*('Cashflow Summary C19RM'!$U$5:$U$239)))</f>
        <v>0</v>
      </c>
      <c r="K158" s="712">
        <f t="shared" si="56"/>
        <v>0</v>
      </c>
      <c r="L158" s="711">
        <f t="shared" si="57"/>
        <v>0</v>
      </c>
      <c r="M158" s="709" cm="1">
        <f t="array" ref="M158">$L158*(SUMPRODUCT(('Cashflow Summary C19RM'!$K$5:$K$239&lt;&gt;1)*('Cashflow Summary C19RM'!$D$5:$D$239=E158)*('Cashflow Summary C19RM'!$V$5:$V$239)))</f>
        <v>0</v>
      </c>
      <c r="N158" s="704" cm="1">
        <f t="array" ref="N158">$L158*(SUMPRODUCT(('Cashflow Summary C19RM'!$K$5:$K$239&lt;&gt;1)*('Cashflow Summary C19RM'!$D$5:$D$239=E158)*('Cashflow Summary C19RM'!$W$5:$W$239)))</f>
        <v>0</v>
      </c>
      <c r="O158" s="704" cm="1">
        <f t="array" ref="O158">$L158*(SUMPRODUCT(('Cashflow Summary C19RM'!$K$5:$K$239&lt;&gt;1)*('Cashflow Summary C19RM'!$D$5:$D$239=E158)*('Cashflow Summary C19RM'!$X$5:$X$239)))</f>
        <v>0</v>
      </c>
      <c r="P158" s="704" cm="1">
        <f t="array" ref="P158">$L158*(SUMPRODUCT(('Cashflow Summary C19RM'!$K$5:$K$239&lt;&gt;1)*('Cashflow Summary C19RM'!$D$5:$D$239=E158)*('Cashflow Summary C19RM'!$Y$5:$Y$239)))</f>
        <v>0</v>
      </c>
      <c r="Q158" s="710">
        <f t="shared" si="58"/>
        <v>0</v>
      </c>
      <c r="R158" s="711">
        <f t="shared" si="59"/>
        <v>0</v>
      </c>
      <c r="S158" s="704" cm="1">
        <f t="array" ref="S158">$R158*(SUMPRODUCT(('Cashflow Summary C19RM'!$K$5:$K$239&lt;&gt;1)*('Cashflow Summary C19RM'!$D$5:$D$239=E158)*('Cashflow Summary C19RM'!$Z$5:$Z$239)))</f>
        <v>0</v>
      </c>
      <c r="T158" s="704" cm="1">
        <f t="array" ref="T158">$R158*(SUMPRODUCT(('Cashflow Summary C19RM'!$K$5:$K$239&lt;&gt;1)*('Cashflow Summary C19RM'!$D$5:$D$239=E158)*('Cashflow Summary C19RM'!$AA$5:$AA$239)))</f>
        <v>0</v>
      </c>
      <c r="U158" s="704" cm="1">
        <f t="array" ref="U158">$R158*(SUMPRODUCT(('Cashflow Summary C19RM'!$K$5:$K$239&lt;&gt;1)*('Cashflow Summary C19RM'!$D$5:$D$239=E158)*('Cashflow Summary C19RM'!$AB$5:$AB$239)))</f>
        <v>0</v>
      </c>
      <c r="V158" s="704" cm="1">
        <f t="array" ref="V158">$R158*(SUMPRODUCT(('Cashflow Summary C19RM'!$K$5:$K$239&lt;&gt;1)*('Cashflow Summary C19RM'!$D$5:$D$239=E158)*('Cashflow Summary C19RM'!$AC$5:$AC$239)))</f>
        <v>0</v>
      </c>
      <c r="W158" s="712">
        <f t="shared" si="60"/>
        <v>0</v>
      </c>
      <c r="X158" s="711">
        <f t="shared" si="61"/>
        <v>0</v>
      </c>
      <c r="Y158" s="709" cm="1">
        <f t="array" ref="Y158">$X158*(SUMPRODUCT(('Cashflow Summary C19RM'!$K$5:$K$239&lt;&gt;1)*('Cashflow Summary C19RM'!$D$5:$D$239=E158)*('Cashflow Summary C19RM'!$AD$5:$AD$239)))</f>
        <v>0</v>
      </c>
      <c r="Z158" s="704" cm="1">
        <f t="array" ref="Z158">$X158*(SUMPRODUCT(('Cashflow Summary C19RM'!$K$5:$K$239&lt;&gt;1)*('Cashflow Summary C19RM'!$D$5:$D$239=E158)*('Cashflow Summary C19RM'!$AE$5:$AE$239)))</f>
        <v>0</v>
      </c>
      <c r="AA158" s="704" cm="1">
        <f t="array" ref="AA158">$X158*(SUMPRODUCT(('Cashflow Summary C19RM'!$K$5:$K$239&lt;&gt;1)*('Cashflow Summary C19RM'!$D$5:$D$239=E158)*('Cashflow Summary C19RM'!$AF$5:$AF$239)))</f>
        <v>0</v>
      </c>
      <c r="AB158" s="704" cm="1">
        <f t="array" ref="AB158">$X158*(SUMPRODUCT(('Cashflow Summary C19RM'!$K$5:$K$239&lt;&gt;1)*('Cashflow Summary C19RM'!$D$5:$D$239=E158)*('Cashflow Summary C19RM'!$AG$5:$AK$239)))</f>
        <v>0</v>
      </c>
      <c r="AC158" s="712">
        <f t="shared" si="62"/>
        <v>0</v>
      </c>
      <c r="AD158" s="712"/>
      <c r="AE158" s="712"/>
      <c r="AF158" s="712"/>
      <c r="AG158" s="712"/>
      <c r="AH158" s="712"/>
      <c r="AI158" s="712"/>
      <c r="AJ158" s="875">
        <v>0</v>
      </c>
      <c r="AK158" s="712"/>
      <c r="AL158" s="712"/>
      <c r="AM158" s="712"/>
      <c r="AN158" s="712"/>
      <c r="AO158" s="712"/>
      <c r="AP158" s="713">
        <f t="shared" si="73"/>
        <v>0</v>
      </c>
      <c r="AQ158" s="714">
        <v>7.6</v>
      </c>
      <c r="AR158" s="715"/>
      <c r="AS158" s="312"/>
      <c r="AV158" s="228"/>
      <c r="AW158" s="228"/>
      <c r="AX158" s="228"/>
      <c r="AY158" s="228"/>
      <c r="AZ158" s="228"/>
      <c r="BA158" s="228"/>
      <c r="BC158" s="345"/>
      <c r="BD158" s="345"/>
      <c r="BE158" s="345"/>
      <c r="BF158" s="345"/>
      <c r="BG158" s="345"/>
      <c r="BH158" s="345"/>
      <c r="BI158" s="343"/>
      <c r="BJ158" s="295"/>
      <c r="BK158"/>
      <c r="BL158"/>
    </row>
    <row r="159" spans="1:97" s="89" customFormat="1" ht="13" hidden="1" customHeight="1" x14ac:dyDescent="0.3">
      <c r="B159" s="212" t="s">
        <v>214</v>
      </c>
      <c r="C159" s="728" t="s">
        <v>214</v>
      </c>
      <c r="D159" s="705"/>
      <c r="E159" s="702"/>
      <c r="F159" s="645">
        <v>0</v>
      </c>
      <c r="G159" s="628" cm="1">
        <f t="array" ref="G159">$F159*(SUMPRODUCT(('Cashflow Summary C19RM'!$D$5:$D$239=E159)*('Cashflow Summary C19RM'!$R$5:$R$239)))</f>
        <v>0</v>
      </c>
      <c r="H159" s="633" cm="1">
        <f t="array" ref="H159">$F159*(SUMPRODUCT(('Cashflow Summary C19RM'!$D$5:$D$239=E159)*('Cashflow Summary C19RM'!$S$5:$S$239)))</f>
        <v>0</v>
      </c>
      <c r="I159" s="633" cm="1">
        <f t="array" ref="I159">$F159*(SUMPRODUCT(('Cashflow Summary C19RM'!$D$5:$D$239=E159)*('Cashflow Summary C19RM'!$T$5:$T$239)))</f>
        <v>0</v>
      </c>
      <c r="J159" s="633" cm="1">
        <f t="array" ref="J159">$F159*(SUMPRODUCT(('Cashflow Summary C19RM'!$D$5:$D$239=E159)*('Cashflow Summary C19RM'!$U$5:$U$239)))</f>
        <v>0</v>
      </c>
      <c r="K159" s="631">
        <f t="shared" si="56"/>
        <v>0</v>
      </c>
      <c r="L159" s="627">
        <f t="shared" si="57"/>
        <v>0</v>
      </c>
      <c r="M159" s="630" cm="1">
        <f t="array" ref="M159">$L159*(SUMPRODUCT(('Cashflow Summary C19RM'!$D$5:$D$239=E159)*('Cashflow Summary C19RM'!$V$5:$V$239)))</f>
        <v>0</v>
      </c>
      <c r="N159" s="630" cm="1">
        <f t="array" ref="N159">$L159*(SUMPRODUCT(('Cashflow Summary C19RM'!$D$5:$D$239=E159)*('Cashflow Summary C19RM'!$R$5:$R$239)))</f>
        <v>0</v>
      </c>
      <c r="O159" s="630" cm="1">
        <f t="array" ref="O159">$L159*(SUMPRODUCT(('Cashflow Summary C19RM'!$D$5:$D$239=E159)*('Cashflow Summary C19RM'!$S$5:$S$239)))</f>
        <v>0</v>
      </c>
      <c r="P159" s="630" cm="1">
        <f t="array" ref="P159">$L159*(SUMPRODUCT(('Cashflow Summary C19RM'!$D$5:$D$239=E159)*('Cashflow Summary C19RM'!$T$5:$T$239)))</f>
        <v>0</v>
      </c>
      <c r="Q159" s="632">
        <f t="shared" si="58"/>
        <v>0</v>
      </c>
      <c r="R159" s="627">
        <f t="shared" si="59"/>
        <v>0</v>
      </c>
      <c r="S159" s="633" cm="1">
        <f t="array" ref="S159">$R159*(SUMPRODUCT(('Cashflow Summary C19RM'!$D$5:$D$239=E159)*('Cashflow Summary C19RM'!$U$5:$U$239)))</f>
        <v>0</v>
      </c>
      <c r="T159" s="633" cm="1">
        <f t="array" ref="T159">$R159*(SUMPRODUCT(('Cashflow Summary C19RM'!$D$5:$D$239=E159)*('Cashflow Summary C19RM'!$V$5:$V$239)))</f>
        <v>0</v>
      </c>
      <c r="U159" s="633" cm="1">
        <f t="array" ref="U159">$R159*(SUMPRODUCT(('Cashflow Summary C19RM'!$D$5:$D$239=E159)*('Cashflow Summary C19RM'!$W$5:$W$239)))</f>
        <v>0</v>
      </c>
      <c r="V159" s="633" cm="1">
        <f t="array" ref="V159">$R159*(SUMPRODUCT(('Cashflow Summary C19RM'!$D$5:$D$239=E159)*('Cashflow Summary C19RM'!$X$5:$X$239)))</f>
        <v>0</v>
      </c>
      <c r="W159" s="634">
        <f t="shared" si="60"/>
        <v>0</v>
      </c>
      <c r="X159" s="627">
        <f t="shared" si="61"/>
        <v>0</v>
      </c>
      <c r="Y159" s="633" cm="1">
        <f t="array" ref="Y159">$X159*(SUMPRODUCT(('Cashflow Summary C19RM'!$D$5:$D$239=E159)*('Cashflow Summary C19RM'!$Y$5:$Y$239)))</f>
        <v>0</v>
      </c>
      <c r="Z159" s="633" cm="1">
        <f t="array" ref="Z159">$X159*(SUMPRODUCT(('Cashflow Summary C19RM'!$D$5:$D$239=E159)*('Cashflow Summary C19RM'!$Z$5:$Z$239)))</f>
        <v>0</v>
      </c>
      <c r="AA159" s="633" cm="1">
        <f t="array" ref="AA159">$X159*(SUMPRODUCT(('Cashflow Summary C19RM'!$D$5:$D$239=E159)*('Cashflow Summary C19RM'!$AA$5:$AA$239)))</f>
        <v>0</v>
      </c>
      <c r="AB159" s="633" cm="1">
        <f t="array" ref="AB159">$X159*(SUMPRODUCT(('Cashflow Summary C19RM'!$D$5:$D$239=E159)*('Cashflow Summary C19RM'!$AB$5:$AF$239)))</f>
        <v>0</v>
      </c>
      <c r="AC159" s="634">
        <f t="shared" si="62"/>
        <v>0</v>
      </c>
      <c r="AD159" s="634"/>
      <c r="AE159" s="634"/>
      <c r="AF159" s="634"/>
      <c r="AG159" s="634"/>
      <c r="AH159" s="634"/>
      <c r="AI159" s="634"/>
      <c r="AJ159" s="875">
        <v>0</v>
      </c>
      <c r="AK159" s="634"/>
      <c r="AL159" s="634"/>
      <c r="AM159" s="634"/>
      <c r="AN159" s="634"/>
      <c r="AO159" s="634"/>
      <c r="AP159" s="635">
        <f t="shared" si="73"/>
        <v>0</v>
      </c>
      <c r="AQ159" s="646">
        <v>7.1</v>
      </c>
      <c r="AR159" s="647"/>
      <c r="AS159" s="313"/>
      <c r="AT159" s="177"/>
      <c r="AV159" s="60"/>
      <c r="AW159" s="60"/>
      <c r="AX159" s="60"/>
      <c r="AY159" s="60"/>
      <c r="AZ159" s="60"/>
      <c r="BA159" s="60"/>
      <c r="BB159" s="60"/>
      <c r="BC159" s="345"/>
      <c r="BD159" s="345"/>
      <c r="BE159" s="345"/>
      <c r="BF159" s="345"/>
      <c r="BG159" s="345"/>
      <c r="BH159" s="345"/>
      <c r="BI159" s="60"/>
      <c r="BJ159" s="60"/>
      <c r="BK159" s="60"/>
      <c r="BL159" s="60"/>
      <c r="BM159" s="60"/>
      <c r="BN159" s="60"/>
      <c r="BO159" s="60"/>
      <c r="BP159" s="60"/>
      <c r="BQ159" s="60"/>
      <c r="BR159" s="60"/>
      <c r="BS159" s="60"/>
      <c r="BT159" s="60"/>
      <c r="BU159" s="60"/>
      <c r="BV159" s="60"/>
      <c r="BW159" s="60"/>
      <c r="BX159" s="60"/>
      <c r="BY159" s="60"/>
      <c r="BZ159" s="60"/>
      <c r="CA159" s="60"/>
      <c r="CB159" s="60"/>
      <c r="CC159" s="60"/>
      <c r="CD159" s="60"/>
      <c r="CE159" s="60"/>
      <c r="CF159" s="60"/>
      <c r="CG159" s="60"/>
      <c r="CH159" s="60"/>
      <c r="CI159" s="60"/>
      <c r="CJ159" s="60"/>
      <c r="CK159" s="60"/>
      <c r="CL159" s="60"/>
      <c r="CM159" s="60"/>
      <c r="CN159" s="60"/>
      <c r="CO159" s="60"/>
      <c r="CP159" s="60"/>
      <c r="CQ159" s="60"/>
      <c r="CR159" s="60"/>
      <c r="CS159" s="60"/>
    </row>
    <row r="160" spans="1:97" s="89" customFormat="1" ht="13" hidden="1" customHeight="1" x14ac:dyDescent="0.3">
      <c r="B160" s="211" t="s">
        <v>215</v>
      </c>
      <c r="C160" s="211" t="s">
        <v>215</v>
      </c>
      <c r="D160" s="1326"/>
      <c r="E160" s="626"/>
      <c r="F160" s="645">
        <v>0</v>
      </c>
      <c r="G160" s="628" cm="1">
        <f t="array" ref="G160">$F160*(SUMPRODUCT(('Cashflow Summary C19RM'!$D$5:$D$239=E160)*('Cashflow Summary C19RM'!$R$5:$R$239)))</f>
        <v>0</v>
      </c>
      <c r="H160" s="633" cm="1">
        <f t="array" ref="H160">$F160*(SUMPRODUCT(('Cashflow Summary C19RM'!$D$5:$D$239=E160)*('Cashflow Summary C19RM'!$S$5:$S$239)))</f>
        <v>0</v>
      </c>
      <c r="I160" s="633" cm="1">
        <f t="array" ref="I160">$F160*(SUMPRODUCT(('Cashflow Summary C19RM'!$D$5:$D$239=E160)*('Cashflow Summary C19RM'!$T$5:$T$239)))</f>
        <v>0</v>
      </c>
      <c r="J160" s="633" cm="1">
        <f t="array" ref="J160">$F160*(SUMPRODUCT(('Cashflow Summary C19RM'!$D$5:$D$239=E160)*('Cashflow Summary C19RM'!$U$5:$U$239)))</f>
        <v>0</v>
      </c>
      <c r="K160" s="631">
        <f t="shared" si="56"/>
        <v>0</v>
      </c>
      <c r="L160" s="627">
        <f t="shared" si="57"/>
        <v>0</v>
      </c>
      <c r="M160" s="630" cm="1">
        <f t="array" ref="M160">$L160*(SUMPRODUCT(('Cashflow Summary C19RM'!$D$5:$D$239=E160)*('Cashflow Summary C19RM'!$V$5:$V$239)))</f>
        <v>0</v>
      </c>
      <c r="N160" s="630" cm="1">
        <f t="array" ref="N160">$L160*(SUMPRODUCT(('Cashflow Summary C19RM'!$D$5:$D$239=E160)*('Cashflow Summary C19RM'!$R$5:$R$239)))</f>
        <v>0</v>
      </c>
      <c r="O160" s="630" cm="1">
        <f t="array" ref="O160">$L160*(SUMPRODUCT(('Cashflow Summary C19RM'!$D$5:$D$239=E160)*('Cashflow Summary C19RM'!$S$5:$S$239)))</f>
        <v>0</v>
      </c>
      <c r="P160" s="630" cm="1">
        <f t="array" ref="P160">$L160*(SUMPRODUCT(('Cashflow Summary C19RM'!$D$5:$D$239=E160)*('Cashflow Summary C19RM'!$T$5:$T$239)))</f>
        <v>0</v>
      </c>
      <c r="Q160" s="632">
        <f t="shared" si="58"/>
        <v>0</v>
      </c>
      <c r="R160" s="627">
        <f t="shared" si="59"/>
        <v>0</v>
      </c>
      <c r="S160" s="633" cm="1">
        <f t="array" ref="S160">$R160*(SUMPRODUCT(('Cashflow Summary C19RM'!$D$5:$D$239=E160)*('Cashflow Summary C19RM'!$U$5:$U$239)))</f>
        <v>0</v>
      </c>
      <c r="T160" s="633" cm="1">
        <f t="array" ref="T160">$R160*(SUMPRODUCT(('Cashflow Summary C19RM'!$D$5:$D$239=E160)*('Cashflow Summary C19RM'!$V$5:$V$239)))</f>
        <v>0</v>
      </c>
      <c r="U160" s="633" cm="1">
        <f t="array" ref="U160">$R160*(SUMPRODUCT(('Cashflow Summary C19RM'!$D$5:$D$239=E160)*('Cashflow Summary C19RM'!$W$5:$W$239)))</f>
        <v>0</v>
      </c>
      <c r="V160" s="633" cm="1">
        <f t="array" ref="V160">$R160*(SUMPRODUCT(('Cashflow Summary C19RM'!$D$5:$D$239=E160)*('Cashflow Summary C19RM'!$X$5:$X$239)))</f>
        <v>0</v>
      </c>
      <c r="W160" s="634">
        <f t="shared" si="60"/>
        <v>0</v>
      </c>
      <c r="X160" s="627">
        <f t="shared" si="61"/>
        <v>0</v>
      </c>
      <c r="Y160" s="633" cm="1">
        <f t="array" ref="Y160">$X160*(SUMPRODUCT(('Cashflow Summary C19RM'!$D$5:$D$239=E160)*('Cashflow Summary C19RM'!$Y$5:$Y$239)))</f>
        <v>0</v>
      </c>
      <c r="Z160" s="633" cm="1">
        <f t="array" ref="Z160">$X160*(SUMPRODUCT(('Cashflow Summary C19RM'!$D$5:$D$239=E160)*('Cashflow Summary C19RM'!$Z$5:$Z$239)))</f>
        <v>0</v>
      </c>
      <c r="AA160" s="633" cm="1">
        <f t="array" ref="AA160">$X160*(SUMPRODUCT(('Cashflow Summary C19RM'!$D$5:$D$239=E160)*('Cashflow Summary C19RM'!$AA$5:$AA$239)))</f>
        <v>0</v>
      </c>
      <c r="AB160" s="633" cm="1">
        <f t="array" ref="AB160">$X160*(SUMPRODUCT(('Cashflow Summary C19RM'!$D$5:$D$239=E160)*('Cashflow Summary C19RM'!$AB$5:$AF$239)))</f>
        <v>0</v>
      </c>
      <c r="AC160" s="634">
        <f t="shared" si="62"/>
        <v>0</v>
      </c>
      <c r="AD160" s="634"/>
      <c r="AE160" s="634"/>
      <c r="AF160" s="634"/>
      <c r="AG160" s="634"/>
      <c r="AH160" s="634"/>
      <c r="AI160" s="634"/>
      <c r="AJ160" s="875">
        <v>0</v>
      </c>
      <c r="AK160" s="634"/>
      <c r="AL160" s="634"/>
      <c r="AM160" s="634"/>
      <c r="AN160" s="634"/>
      <c r="AO160" s="634"/>
      <c r="AP160" s="635">
        <f t="shared" si="73"/>
        <v>0</v>
      </c>
      <c r="AQ160" s="648">
        <v>7.1</v>
      </c>
      <c r="AR160" s="647"/>
      <c r="AS160" s="313"/>
      <c r="AT160" s="177"/>
      <c r="AV160" s="60"/>
      <c r="AW160" s="60"/>
      <c r="AX160" s="60"/>
      <c r="AY160" s="60"/>
      <c r="AZ160" s="60"/>
      <c r="BA160" s="60"/>
      <c r="BB160" s="60"/>
      <c r="BC160" s="345"/>
      <c r="BD160" s="345"/>
      <c r="BE160" s="345"/>
      <c r="BF160" s="345"/>
      <c r="BG160" s="345"/>
      <c r="BH160" s="345"/>
      <c r="BI160" s="60"/>
      <c r="BJ160" s="60"/>
      <c r="BK160" s="60"/>
      <c r="BL160" s="60"/>
      <c r="BM160" s="60"/>
      <c r="BN160" s="60"/>
      <c r="BO160" s="60"/>
      <c r="BP160" s="60"/>
      <c r="BQ160" s="60"/>
      <c r="BR160" s="60"/>
      <c r="BS160" s="60"/>
      <c r="BT160" s="60"/>
      <c r="BU160" s="60"/>
      <c r="BV160" s="60"/>
      <c r="BW160" s="60"/>
      <c r="BX160" s="60"/>
      <c r="BY160" s="60"/>
      <c r="BZ160" s="60"/>
      <c r="CA160" s="60"/>
      <c r="CB160" s="60"/>
      <c r="CC160" s="60"/>
      <c r="CD160" s="60"/>
      <c r="CE160" s="60"/>
      <c r="CF160" s="60"/>
      <c r="CG160" s="60"/>
      <c r="CH160" s="60"/>
      <c r="CI160" s="60"/>
      <c r="CJ160" s="60"/>
      <c r="CK160" s="60"/>
      <c r="CL160" s="60"/>
      <c r="CM160" s="60"/>
      <c r="CN160" s="60"/>
      <c r="CO160" s="60"/>
      <c r="CP160" s="60"/>
      <c r="CQ160" s="60"/>
      <c r="CR160" s="60"/>
      <c r="CS160" s="60"/>
    </row>
    <row r="161" spans="2:97" s="89" customFormat="1" ht="13" hidden="1" customHeight="1" x14ac:dyDescent="0.3">
      <c r="B161" s="211" t="s">
        <v>215</v>
      </c>
      <c r="C161" s="211" t="s">
        <v>215</v>
      </c>
      <c r="D161" s="1327"/>
      <c r="E161" s="626"/>
      <c r="F161" s="645">
        <v>0</v>
      </c>
      <c r="G161" s="628" cm="1">
        <f t="array" ref="G161">$F161*(SUMPRODUCT(('Cashflow Summary C19RM'!$D$5:$D$239=E161)*('Cashflow Summary C19RM'!$R$5:$R$239)))</f>
        <v>0</v>
      </c>
      <c r="H161" s="633" cm="1">
        <f t="array" ref="H161">$F161*(SUMPRODUCT(('Cashflow Summary C19RM'!$D$5:$D$239=E161)*('Cashflow Summary C19RM'!$S$5:$S$239)))</f>
        <v>0</v>
      </c>
      <c r="I161" s="633" cm="1">
        <f t="array" ref="I161">$F161*(SUMPRODUCT(('Cashflow Summary C19RM'!$D$5:$D$239=E161)*('Cashflow Summary C19RM'!$T$5:$T$239)))</f>
        <v>0</v>
      </c>
      <c r="J161" s="633" cm="1">
        <f t="array" ref="J161">$F161*(SUMPRODUCT(('Cashflow Summary C19RM'!$D$5:$D$239=E161)*('Cashflow Summary C19RM'!$U$5:$U$239)))</f>
        <v>0</v>
      </c>
      <c r="K161" s="631">
        <f t="shared" si="56"/>
        <v>0</v>
      </c>
      <c r="L161" s="627">
        <f t="shared" si="57"/>
        <v>0</v>
      </c>
      <c r="M161" s="630" cm="1">
        <f t="array" ref="M161">$L161*(SUMPRODUCT(('Cashflow Summary C19RM'!$D$5:$D$239=E161)*('Cashflow Summary C19RM'!$V$5:$V$239)))</f>
        <v>0</v>
      </c>
      <c r="N161" s="630" cm="1">
        <f t="array" ref="N161">$L161*(SUMPRODUCT(('Cashflow Summary C19RM'!$D$5:$D$239=E161)*('Cashflow Summary C19RM'!$R$5:$R$239)))</f>
        <v>0</v>
      </c>
      <c r="O161" s="630" cm="1">
        <f t="array" ref="O161">$L161*(SUMPRODUCT(('Cashflow Summary C19RM'!$D$5:$D$239=E161)*('Cashflow Summary C19RM'!$S$5:$S$239)))</f>
        <v>0</v>
      </c>
      <c r="P161" s="630" cm="1">
        <f t="array" ref="P161">$L161*(SUMPRODUCT(('Cashflow Summary C19RM'!$D$5:$D$239=E161)*('Cashflow Summary C19RM'!$T$5:$T$239)))</f>
        <v>0</v>
      </c>
      <c r="Q161" s="632">
        <f t="shared" si="58"/>
        <v>0</v>
      </c>
      <c r="R161" s="627">
        <f t="shared" si="59"/>
        <v>0</v>
      </c>
      <c r="S161" s="633" cm="1">
        <f t="array" ref="S161">$R161*(SUMPRODUCT(('Cashflow Summary C19RM'!$D$5:$D$239=E161)*('Cashflow Summary C19RM'!$U$5:$U$239)))</f>
        <v>0</v>
      </c>
      <c r="T161" s="633" cm="1">
        <f t="array" ref="T161">$R161*(SUMPRODUCT(('Cashflow Summary C19RM'!$D$5:$D$239=E161)*('Cashflow Summary C19RM'!$V$5:$V$239)))</f>
        <v>0</v>
      </c>
      <c r="U161" s="633" cm="1">
        <f t="array" ref="U161">$R161*(SUMPRODUCT(('Cashflow Summary C19RM'!$D$5:$D$239=E161)*('Cashflow Summary C19RM'!$W$5:$W$239)))</f>
        <v>0</v>
      </c>
      <c r="V161" s="633" cm="1">
        <f t="array" ref="V161">$R161*(SUMPRODUCT(('Cashflow Summary C19RM'!$D$5:$D$239=E161)*('Cashflow Summary C19RM'!$X$5:$X$239)))</f>
        <v>0</v>
      </c>
      <c r="W161" s="634">
        <f t="shared" si="60"/>
        <v>0</v>
      </c>
      <c r="X161" s="627">
        <f t="shared" si="61"/>
        <v>0</v>
      </c>
      <c r="Y161" s="633" cm="1">
        <f t="array" ref="Y161">$X161*(SUMPRODUCT(('Cashflow Summary C19RM'!$D$5:$D$239=E161)*('Cashflow Summary C19RM'!$Y$5:$Y$239)))</f>
        <v>0</v>
      </c>
      <c r="Z161" s="633" cm="1">
        <f t="array" ref="Z161">$X161*(SUMPRODUCT(('Cashflow Summary C19RM'!$D$5:$D$239=E161)*('Cashflow Summary C19RM'!$Z$5:$Z$239)))</f>
        <v>0</v>
      </c>
      <c r="AA161" s="633" cm="1">
        <f t="array" ref="AA161">$X161*(SUMPRODUCT(('Cashflow Summary C19RM'!$D$5:$D$239=E161)*('Cashflow Summary C19RM'!$AA$5:$AA$239)))</f>
        <v>0</v>
      </c>
      <c r="AB161" s="633" cm="1">
        <f t="array" ref="AB161">$X161*(SUMPRODUCT(('Cashflow Summary C19RM'!$D$5:$D$239=E161)*('Cashflow Summary C19RM'!$AB$5:$AF$239)))</f>
        <v>0</v>
      </c>
      <c r="AC161" s="634">
        <f t="shared" si="62"/>
        <v>0</v>
      </c>
      <c r="AD161" s="634"/>
      <c r="AE161" s="634"/>
      <c r="AF161" s="634"/>
      <c r="AG161" s="634"/>
      <c r="AH161" s="634"/>
      <c r="AI161" s="634"/>
      <c r="AJ161" s="875">
        <v>0</v>
      </c>
      <c r="AK161" s="634"/>
      <c r="AL161" s="634"/>
      <c r="AM161" s="634"/>
      <c r="AN161" s="634"/>
      <c r="AO161" s="634"/>
      <c r="AP161" s="635">
        <f t="shared" si="73"/>
        <v>0</v>
      </c>
      <c r="AQ161" s="648">
        <v>7.1</v>
      </c>
      <c r="AR161" s="647"/>
      <c r="AS161" s="313"/>
      <c r="AT161" s="177"/>
      <c r="AV161" s="60"/>
      <c r="AW161" s="60"/>
      <c r="AX161" s="60"/>
      <c r="AY161" s="60"/>
      <c r="AZ161" s="60"/>
      <c r="BA161" s="60"/>
      <c r="BB161" s="60"/>
      <c r="BC161" s="345"/>
      <c r="BD161" s="345"/>
      <c r="BE161" s="345"/>
      <c r="BF161" s="345"/>
      <c r="BG161" s="345"/>
      <c r="BH161" s="345"/>
      <c r="BI161" s="60"/>
      <c r="BJ161" s="60"/>
      <c r="BK161" s="60"/>
      <c r="BL161" s="60"/>
      <c r="BM161" s="60"/>
      <c r="BN161" s="60"/>
      <c r="BO161" s="60"/>
      <c r="BP161" s="60"/>
      <c r="BQ161" s="60"/>
      <c r="BR161" s="60"/>
      <c r="BS161" s="60"/>
      <c r="BT161" s="60"/>
      <c r="BU161" s="60"/>
      <c r="BV161" s="60"/>
      <c r="BW161" s="60"/>
      <c r="BX161" s="60"/>
      <c r="BY161" s="60"/>
      <c r="BZ161" s="60"/>
      <c r="CA161" s="60"/>
      <c r="CB161" s="60"/>
      <c r="CC161" s="60"/>
      <c r="CD161" s="60"/>
      <c r="CE161" s="60"/>
      <c r="CF161" s="60"/>
      <c r="CG161" s="60"/>
      <c r="CH161" s="60"/>
      <c r="CI161" s="60"/>
      <c r="CJ161" s="60"/>
      <c r="CK161" s="60"/>
      <c r="CL161" s="60"/>
      <c r="CM161" s="60"/>
      <c r="CN161" s="60"/>
      <c r="CO161" s="60"/>
      <c r="CP161" s="60"/>
      <c r="CQ161" s="60"/>
      <c r="CR161" s="60"/>
      <c r="CS161" s="60"/>
    </row>
    <row r="162" spans="2:97" s="89" customFormat="1" ht="13" hidden="1" customHeight="1" x14ac:dyDescent="0.3">
      <c r="B162" s="211" t="s">
        <v>215</v>
      </c>
      <c r="C162" s="211" t="s">
        <v>215</v>
      </c>
      <c r="D162" s="1327"/>
      <c r="E162" s="626"/>
      <c r="F162" s="645">
        <v>0</v>
      </c>
      <c r="G162" s="628" cm="1">
        <f t="array" ref="G162">$F162*(SUMPRODUCT(('Cashflow Summary C19RM'!$D$5:$D$239=E162)*('Cashflow Summary C19RM'!$R$5:$R$239)))</f>
        <v>0</v>
      </c>
      <c r="H162" s="633" cm="1">
        <f t="array" ref="H162">$F162*(SUMPRODUCT(('Cashflow Summary C19RM'!$D$5:$D$239=E162)*('Cashflow Summary C19RM'!$S$5:$S$239)))</f>
        <v>0</v>
      </c>
      <c r="I162" s="633" cm="1">
        <f t="array" ref="I162">$F162*(SUMPRODUCT(('Cashflow Summary C19RM'!$D$5:$D$239=E162)*('Cashflow Summary C19RM'!$T$5:$T$239)))</f>
        <v>0</v>
      </c>
      <c r="J162" s="633" cm="1">
        <f t="array" ref="J162">$F162*(SUMPRODUCT(('Cashflow Summary C19RM'!$D$5:$D$239=E162)*('Cashflow Summary C19RM'!$U$5:$U$239)))</f>
        <v>0</v>
      </c>
      <c r="K162" s="631">
        <f t="shared" si="56"/>
        <v>0</v>
      </c>
      <c r="L162" s="627">
        <f t="shared" si="57"/>
        <v>0</v>
      </c>
      <c r="M162" s="630" cm="1">
        <f t="array" ref="M162">$L162*(SUMPRODUCT(('Cashflow Summary C19RM'!$D$5:$D$239=E162)*('Cashflow Summary C19RM'!$V$5:$V$239)))</f>
        <v>0</v>
      </c>
      <c r="N162" s="630" cm="1">
        <f t="array" ref="N162">$L162*(SUMPRODUCT(('Cashflow Summary C19RM'!$D$5:$D$239=E162)*('Cashflow Summary C19RM'!$R$5:$R$239)))</f>
        <v>0</v>
      </c>
      <c r="O162" s="630" cm="1">
        <f t="array" ref="O162">$L162*(SUMPRODUCT(('Cashflow Summary C19RM'!$D$5:$D$239=E162)*('Cashflow Summary C19RM'!$S$5:$S$239)))</f>
        <v>0</v>
      </c>
      <c r="P162" s="630" cm="1">
        <f t="array" ref="P162">$L162*(SUMPRODUCT(('Cashflow Summary C19RM'!$D$5:$D$239=E162)*('Cashflow Summary C19RM'!$T$5:$T$239)))</f>
        <v>0</v>
      </c>
      <c r="Q162" s="632">
        <f t="shared" si="58"/>
        <v>0</v>
      </c>
      <c r="R162" s="627">
        <f t="shared" si="59"/>
        <v>0</v>
      </c>
      <c r="S162" s="633" cm="1">
        <f t="array" ref="S162">$R162*(SUMPRODUCT(('Cashflow Summary C19RM'!$D$5:$D$239=E162)*('Cashflow Summary C19RM'!$U$5:$U$239)))</f>
        <v>0</v>
      </c>
      <c r="T162" s="633" cm="1">
        <f t="array" ref="T162">$R162*(SUMPRODUCT(('Cashflow Summary C19RM'!$D$5:$D$239=E162)*('Cashflow Summary C19RM'!$V$5:$V$239)))</f>
        <v>0</v>
      </c>
      <c r="U162" s="633" cm="1">
        <f t="array" ref="U162">$R162*(SUMPRODUCT(('Cashflow Summary C19RM'!$D$5:$D$239=E162)*('Cashflow Summary C19RM'!$W$5:$W$239)))</f>
        <v>0</v>
      </c>
      <c r="V162" s="633" cm="1">
        <f t="array" ref="V162">$R162*(SUMPRODUCT(('Cashflow Summary C19RM'!$D$5:$D$239=E162)*('Cashflow Summary C19RM'!$X$5:$X$239)))</f>
        <v>0</v>
      </c>
      <c r="W162" s="634">
        <f t="shared" si="60"/>
        <v>0</v>
      </c>
      <c r="X162" s="627">
        <f t="shared" si="61"/>
        <v>0</v>
      </c>
      <c r="Y162" s="633" cm="1">
        <f t="array" ref="Y162">$X162*(SUMPRODUCT(('Cashflow Summary C19RM'!$D$5:$D$239=E162)*('Cashflow Summary C19RM'!$Y$5:$Y$239)))</f>
        <v>0</v>
      </c>
      <c r="Z162" s="633" cm="1">
        <f t="array" ref="Z162">$X162*(SUMPRODUCT(('Cashflow Summary C19RM'!$D$5:$D$239=E162)*('Cashflow Summary C19RM'!$Z$5:$Z$239)))</f>
        <v>0</v>
      </c>
      <c r="AA162" s="633" cm="1">
        <f t="array" ref="AA162">$X162*(SUMPRODUCT(('Cashflow Summary C19RM'!$D$5:$D$239=E162)*('Cashflow Summary C19RM'!$AA$5:$AA$239)))</f>
        <v>0</v>
      </c>
      <c r="AB162" s="633" cm="1">
        <f t="array" ref="AB162">$X162*(SUMPRODUCT(('Cashflow Summary C19RM'!$D$5:$D$239=E162)*('Cashflow Summary C19RM'!$AB$5:$AF$239)))</f>
        <v>0</v>
      </c>
      <c r="AC162" s="634">
        <f t="shared" si="62"/>
        <v>0</v>
      </c>
      <c r="AD162" s="634"/>
      <c r="AE162" s="634"/>
      <c r="AF162" s="634"/>
      <c r="AG162" s="634"/>
      <c r="AH162" s="634"/>
      <c r="AI162" s="634"/>
      <c r="AJ162" s="875">
        <v>0</v>
      </c>
      <c r="AK162" s="634"/>
      <c r="AL162" s="634"/>
      <c r="AM162" s="634"/>
      <c r="AN162" s="634"/>
      <c r="AO162" s="634"/>
      <c r="AP162" s="635">
        <f t="shared" si="73"/>
        <v>0</v>
      </c>
      <c r="AQ162" s="648">
        <v>7.1</v>
      </c>
      <c r="AR162" s="647"/>
      <c r="AS162" s="313"/>
      <c r="AT162" s="177"/>
      <c r="AV162" s="60"/>
      <c r="AW162" s="60"/>
      <c r="AX162" s="60"/>
      <c r="AY162" s="60"/>
      <c r="AZ162" s="60"/>
      <c r="BA162" s="60"/>
      <c r="BB162" s="60"/>
      <c r="BC162" s="345"/>
      <c r="BD162" s="345"/>
      <c r="BE162" s="345"/>
      <c r="BF162" s="345"/>
      <c r="BG162" s="345"/>
      <c r="BH162" s="345"/>
      <c r="BI162" s="60"/>
      <c r="BJ162" s="60"/>
      <c r="BK162" s="60"/>
      <c r="BL162" s="60"/>
      <c r="BM162" s="60"/>
      <c r="BN162" s="60"/>
      <c r="BO162" s="60"/>
      <c r="BP162" s="60"/>
      <c r="BQ162" s="60"/>
      <c r="BR162" s="60"/>
      <c r="BS162" s="60"/>
      <c r="BT162" s="60"/>
      <c r="BU162" s="60"/>
      <c r="BV162" s="60"/>
      <c r="BW162" s="60"/>
      <c r="BX162" s="60"/>
      <c r="BY162" s="60"/>
      <c r="BZ162" s="60"/>
      <c r="CA162" s="60"/>
      <c r="CB162" s="60"/>
      <c r="CC162" s="60"/>
      <c r="CD162" s="60"/>
      <c r="CE162" s="60"/>
      <c r="CF162" s="60"/>
      <c r="CG162" s="60"/>
      <c r="CH162" s="60"/>
      <c r="CI162" s="60"/>
      <c r="CJ162" s="60"/>
      <c r="CK162" s="60"/>
      <c r="CL162" s="60"/>
      <c r="CM162" s="60"/>
      <c r="CN162" s="60"/>
      <c r="CO162" s="60"/>
      <c r="CP162" s="60"/>
      <c r="CQ162" s="60"/>
      <c r="CR162" s="60"/>
      <c r="CS162" s="60"/>
    </row>
    <row r="163" spans="2:97" s="89" customFormat="1" ht="13" hidden="1" customHeight="1" x14ac:dyDescent="0.3">
      <c r="B163" s="211" t="s">
        <v>215</v>
      </c>
      <c r="C163" s="211" t="s">
        <v>215</v>
      </c>
      <c r="D163" s="1327"/>
      <c r="E163" s="626"/>
      <c r="F163" s="645">
        <v>0</v>
      </c>
      <c r="G163" s="628" cm="1">
        <f t="array" ref="G163">$F163*(SUMPRODUCT(('Cashflow Summary C19RM'!$D$5:$D$239=E163)*('Cashflow Summary C19RM'!$R$5:$R$239)))</f>
        <v>0</v>
      </c>
      <c r="H163" s="633" cm="1">
        <f t="array" ref="H163">$F163*(SUMPRODUCT(('Cashflow Summary C19RM'!$D$5:$D$239=E163)*('Cashflow Summary C19RM'!$S$5:$S$239)))</f>
        <v>0</v>
      </c>
      <c r="I163" s="633" cm="1">
        <f t="array" ref="I163">$F163*(SUMPRODUCT(('Cashflow Summary C19RM'!$D$5:$D$239=E163)*('Cashflow Summary C19RM'!$T$5:$T$239)))</f>
        <v>0</v>
      </c>
      <c r="J163" s="633" cm="1">
        <f t="array" ref="J163">$F163*(SUMPRODUCT(('Cashflow Summary C19RM'!$D$5:$D$239=E163)*('Cashflow Summary C19RM'!$U$5:$U$239)))</f>
        <v>0</v>
      </c>
      <c r="K163" s="631">
        <f t="shared" si="56"/>
        <v>0</v>
      </c>
      <c r="L163" s="627">
        <f t="shared" si="57"/>
        <v>0</v>
      </c>
      <c r="M163" s="630" cm="1">
        <f t="array" ref="M163">$L163*(SUMPRODUCT(('Cashflow Summary C19RM'!$D$5:$D$239=E163)*('Cashflow Summary C19RM'!$V$5:$V$239)))</f>
        <v>0</v>
      </c>
      <c r="N163" s="630" cm="1">
        <f t="array" ref="N163">$L163*(SUMPRODUCT(('Cashflow Summary C19RM'!$D$5:$D$239=E163)*('Cashflow Summary C19RM'!$R$5:$R$239)))</f>
        <v>0</v>
      </c>
      <c r="O163" s="630" cm="1">
        <f t="array" ref="O163">$L163*(SUMPRODUCT(('Cashflow Summary C19RM'!$D$5:$D$239=E163)*('Cashflow Summary C19RM'!$S$5:$S$239)))</f>
        <v>0</v>
      </c>
      <c r="P163" s="630" cm="1">
        <f t="array" ref="P163">$L163*(SUMPRODUCT(('Cashflow Summary C19RM'!$D$5:$D$239=E163)*('Cashflow Summary C19RM'!$T$5:$T$239)))</f>
        <v>0</v>
      </c>
      <c r="Q163" s="632">
        <f t="shared" si="58"/>
        <v>0</v>
      </c>
      <c r="R163" s="627">
        <f t="shared" si="59"/>
        <v>0</v>
      </c>
      <c r="S163" s="633" cm="1">
        <f t="array" ref="S163">$R163*(SUMPRODUCT(('Cashflow Summary C19RM'!$D$5:$D$239=E163)*('Cashflow Summary C19RM'!$U$5:$U$239)))</f>
        <v>0</v>
      </c>
      <c r="T163" s="633" cm="1">
        <f t="array" ref="T163">$R163*(SUMPRODUCT(('Cashflow Summary C19RM'!$D$5:$D$239=E163)*('Cashflow Summary C19RM'!$V$5:$V$239)))</f>
        <v>0</v>
      </c>
      <c r="U163" s="633" cm="1">
        <f t="array" ref="U163">$R163*(SUMPRODUCT(('Cashflow Summary C19RM'!$D$5:$D$239=E163)*('Cashflow Summary C19RM'!$W$5:$W$239)))</f>
        <v>0</v>
      </c>
      <c r="V163" s="633" cm="1">
        <f t="array" ref="V163">$R163*(SUMPRODUCT(('Cashflow Summary C19RM'!$D$5:$D$239=E163)*('Cashflow Summary C19RM'!$X$5:$X$239)))</f>
        <v>0</v>
      </c>
      <c r="W163" s="634">
        <f t="shared" si="60"/>
        <v>0</v>
      </c>
      <c r="X163" s="627">
        <f t="shared" si="61"/>
        <v>0</v>
      </c>
      <c r="Y163" s="633" cm="1">
        <f t="array" ref="Y163">$X163*(SUMPRODUCT(('Cashflow Summary C19RM'!$D$5:$D$239=E163)*('Cashflow Summary C19RM'!$Y$5:$Y$239)))</f>
        <v>0</v>
      </c>
      <c r="Z163" s="633" cm="1">
        <f t="array" ref="Z163">$X163*(SUMPRODUCT(('Cashflow Summary C19RM'!$D$5:$D$239=E163)*('Cashflow Summary C19RM'!$Z$5:$Z$239)))</f>
        <v>0</v>
      </c>
      <c r="AA163" s="633" cm="1">
        <f t="array" ref="AA163">$X163*(SUMPRODUCT(('Cashflow Summary C19RM'!$D$5:$D$239=E163)*('Cashflow Summary C19RM'!$AA$5:$AA$239)))</f>
        <v>0</v>
      </c>
      <c r="AB163" s="633" cm="1">
        <f t="array" ref="AB163">$X163*(SUMPRODUCT(('Cashflow Summary C19RM'!$D$5:$D$239=E163)*('Cashflow Summary C19RM'!$AB$5:$AF$239)))</f>
        <v>0</v>
      </c>
      <c r="AC163" s="634">
        <f t="shared" si="62"/>
        <v>0</v>
      </c>
      <c r="AD163" s="634"/>
      <c r="AE163" s="634"/>
      <c r="AF163" s="634"/>
      <c r="AG163" s="634"/>
      <c r="AH163" s="634"/>
      <c r="AI163" s="634"/>
      <c r="AJ163" s="875">
        <v>0</v>
      </c>
      <c r="AK163" s="634"/>
      <c r="AL163" s="634"/>
      <c r="AM163" s="634"/>
      <c r="AN163" s="634"/>
      <c r="AO163" s="634"/>
      <c r="AP163" s="635">
        <f t="shared" si="73"/>
        <v>0</v>
      </c>
      <c r="AQ163" s="648">
        <v>7.1</v>
      </c>
      <c r="AR163" s="647"/>
      <c r="AS163" s="313"/>
      <c r="AT163" s="177"/>
      <c r="AV163" s="60"/>
      <c r="AW163" s="60"/>
      <c r="AX163" s="60"/>
      <c r="AY163" s="60"/>
      <c r="AZ163" s="60"/>
      <c r="BA163" s="60"/>
      <c r="BB163" s="60"/>
      <c r="BC163" s="345"/>
      <c r="BD163" s="345"/>
      <c r="BE163" s="345"/>
      <c r="BF163" s="345"/>
      <c r="BG163" s="345"/>
      <c r="BH163" s="345"/>
      <c r="BI163" s="60"/>
      <c r="BJ163" s="60"/>
      <c r="BK163" s="60"/>
      <c r="BL163" s="60"/>
      <c r="BM163" s="60"/>
      <c r="BN163" s="60"/>
      <c r="BO163" s="60"/>
      <c r="BP163" s="60"/>
      <c r="BQ163" s="60"/>
      <c r="BR163" s="60"/>
      <c r="BS163" s="60"/>
      <c r="BT163" s="60"/>
      <c r="BU163" s="60"/>
      <c r="BV163" s="60"/>
      <c r="BW163" s="60"/>
      <c r="BX163" s="60"/>
      <c r="BY163" s="60"/>
      <c r="BZ163" s="60"/>
      <c r="CA163" s="60"/>
      <c r="CB163" s="60"/>
      <c r="CC163" s="60"/>
      <c r="CD163" s="60"/>
      <c r="CE163" s="60"/>
      <c r="CF163" s="60"/>
      <c r="CG163" s="60"/>
      <c r="CH163" s="60"/>
      <c r="CI163" s="60"/>
      <c r="CJ163" s="60"/>
      <c r="CK163" s="60"/>
      <c r="CL163" s="60"/>
      <c r="CM163" s="60"/>
      <c r="CN163" s="60"/>
      <c r="CO163" s="60"/>
      <c r="CP163" s="60"/>
      <c r="CQ163" s="60"/>
      <c r="CR163" s="60"/>
      <c r="CS163" s="60"/>
    </row>
    <row r="164" spans="2:97" s="89" customFormat="1" ht="13" hidden="1" customHeight="1" x14ac:dyDescent="0.3">
      <c r="B164" s="211" t="s">
        <v>215</v>
      </c>
      <c r="C164" s="211" t="s">
        <v>215</v>
      </c>
      <c r="D164" s="1327"/>
      <c r="E164" s="626"/>
      <c r="F164" s="645">
        <v>0</v>
      </c>
      <c r="G164" s="628" cm="1">
        <f t="array" ref="G164">$F164*(SUMPRODUCT(('Cashflow Summary C19RM'!$D$5:$D$239=E164)*('Cashflow Summary C19RM'!$R$5:$R$239)))</f>
        <v>0</v>
      </c>
      <c r="H164" s="633" cm="1">
        <f t="array" ref="H164">$F164*(SUMPRODUCT(('Cashflow Summary C19RM'!$D$5:$D$239=E164)*('Cashflow Summary C19RM'!$S$5:$S$239)))</f>
        <v>0</v>
      </c>
      <c r="I164" s="633" cm="1">
        <f t="array" ref="I164">$F164*(SUMPRODUCT(('Cashflow Summary C19RM'!$D$5:$D$239=E164)*('Cashflow Summary C19RM'!$T$5:$T$239)))</f>
        <v>0</v>
      </c>
      <c r="J164" s="633" cm="1">
        <f t="array" ref="J164">$F164*(SUMPRODUCT(('Cashflow Summary C19RM'!$D$5:$D$239=E164)*('Cashflow Summary C19RM'!$U$5:$U$239)))</f>
        <v>0</v>
      </c>
      <c r="K164" s="631">
        <f t="shared" si="56"/>
        <v>0</v>
      </c>
      <c r="L164" s="627">
        <f t="shared" si="57"/>
        <v>0</v>
      </c>
      <c r="M164" s="630" cm="1">
        <f t="array" ref="M164">$L164*(SUMPRODUCT(('Cashflow Summary C19RM'!$D$5:$D$239=E164)*('Cashflow Summary C19RM'!$V$5:$V$239)))</f>
        <v>0</v>
      </c>
      <c r="N164" s="630" cm="1">
        <f t="array" ref="N164">$L164*(SUMPRODUCT(('Cashflow Summary C19RM'!$D$5:$D$239=E164)*('Cashflow Summary C19RM'!$R$5:$R$239)))</f>
        <v>0</v>
      </c>
      <c r="O164" s="630" cm="1">
        <f t="array" ref="O164">$L164*(SUMPRODUCT(('Cashflow Summary C19RM'!$D$5:$D$239=E164)*('Cashflow Summary C19RM'!$S$5:$S$239)))</f>
        <v>0</v>
      </c>
      <c r="P164" s="630" cm="1">
        <f t="array" ref="P164">$L164*(SUMPRODUCT(('Cashflow Summary C19RM'!$D$5:$D$239=E164)*('Cashflow Summary C19RM'!$T$5:$T$239)))</f>
        <v>0</v>
      </c>
      <c r="Q164" s="632">
        <f t="shared" si="58"/>
        <v>0</v>
      </c>
      <c r="R164" s="627">
        <f t="shared" si="59"/>
        <v>0</v>
      </c>
      <c r="S164" s="633" cm="1">
        <f t="array" ref="S164">$R164*(SUMPRODUCT(('Cashflow Summary C19RM'!$D$5:$D$239=E164)*('Cashflow Summary C19RM'!$U$5:$U$239)))</f>
        <v>0</v>
      </c>
      <c r="T164" s="633" cm="1">
        <f t="array" ref="T164">$R164*(SUMPRODUCT(('Cashflow Summary C19RM'!$D$5:$D$239=E164)*('Cashflow Summary C19RM'!$V$5:$V$239)))</f>
        <v>0</v>
      </c>
      <c r="U164" s="633" cm="1">
        <f t="array" ref="U164">$R164*(SUMPRODUCT(('Cashflow Summary C19RM'!$D$5:$D$239=E164)*('Cashflow Summary C19RM'!$W$5:$W$239)))</f>
        <v>0</v>
      </c>
      <c r="V164" s="633" cm="1">
        <f t="array" ref="V164">$R164*(SUMPRODUCT(('Cashflow Summary C19RM'!$D$5:$D$239=E164)*('Cashflow Summary C19RM'!$X$5:$X$239)))</f>
        <v>0</v>
      </c>
      <c r="W164" s="634">
        <f t="shared" si="60"/>
        <v>0</v>
      </c>
      <c r="X164" s="627">
        <f t="shared" si="61"/>
        <v>0</v>
      </c>
      <c r="Y164" s="633" cm="1">
        <f t="array" ref="Y164">$X164*(SUMPRODUCT(('Cashflow Summary C19RM'!$D$5:$D$239=E164)*('Cashflow Summary C19RM'!$Y$5:$Y$239)))</f>
        <v>0</v>
      </c>
      <c r="Z164" s="633" cm="1">
        <f t="array" ref="Z164">$X164*(SUMPRODUCT(('Cashflow Summary C19RM'!$D$5:$D$239=E164)*('Cashflow Summary C19RM'!$Z$5:$Z$239)))</f>
        <v>0</v>
      </c>
      <c r="AA164" s="633" cm="1">
        <f t="array" ref="AA164">$X164*(SUMPRODUCT(('Cashflow Summary C19RM'!$D$5:$D$239=E164)*('Cashflow Summary C19RM'!$AA$5:$AA$239)))</f>
        <v>0</v>
      </c>
      <c r="AB164" s="633" cm="1">
        <f t="array" ref="AB164">$X164*(SUMPRODUCT(('Cashflow Summary C19RM'!$D$5:$D$239=E164)*('Cashflow Summary C19RM'!$AB$5:$AF$239)))</f>
        <v>0</v>
      </c>
      <c r="AC164" s="634">
        <f t="shared" si="62"/>
        <v>0</v>
      </c>
      <c r="AD164" s="634"/>
      <c r="AE164" s="634"/>
      <c r="AF164" s="634"/>
      <c r="AG164" s="634"/>
      <c r="AH164" s="634"/>
      <c r="AI164" s="634"/>
      <c r="AJ164" s="875">
        <v>0</v>
      </c>
      <c r="AK164" s="634"/>
      <c r="AL164" s="634"/>
      <c r="AM164" s="634"/>
      <c r="AN164" s="634"/>
      <c r="AO164" s="634"/>
      <c r="AP164" s="635">
        <f t="shared" si="73"/>
        <v>0</v>
      </c>
      <c r="AQ164" s="648">
        <v>7.1</v>
      </c>
      <c r="AR164" s="647"/>
      <c r="AS164" s="313"/>
      <c r="AT164" s="177"/>
      <c r="AV164" s="60"/>
      <c r="AW164" s="60"/>
      <c r="AX164" s="60"/>
      <c r="AY164" s="60"/>
      <c r="AZ164" s="60"/>
      <c r="BA164" s="60"/>
      <c r="BB164" s="60"/>
      <c r="BC164" s="345"/>
      <c r="BD164" s="345"/>
      <c r="BE164" s="345"/>
      <c r="BF164" s="345"/>
      <c r="BG164" s="345"/>
      <c r="BH164" s="345"/>
      <c r="BI164" s="60"/>
      <c r="BJ164" s="60"/>
      <c r="BK164" s="60"/>
      <c r="BL164" s="60"/>
      <c r="BM164" s="60"/>
      <c r="BN164" s="60"/>
      <c r="BO164" s="60"/>
      <c r="BP164" s="60"/>
      <c r="BQ164" s="60"/>
      <c r="BR164" s="60"/>
      <c r="BS164" s="60"/>
      <c r="BT164" s="60"/>
      <c r="BU164" s="60"/>
      <c r="BV164" s="60"/>
      <c r="BW164" s="60"/>
      <c r="BX164" s="60"/>
      <c r="BY164" s="60"/>
      <c r="BZ164" s="60"/>
      <c r="CA164" s="60"/>
      <c r="CB164" s="60"/>
      <c r="CC164" s="60"/>
      <c r="CD164" s="60"/>
      <c r="CE164" s="60"/>
      <c r="CF164" s="60"/>
      <c r="CG164" s="60"/>
      <c r="CH164" s="60"/>
      <c r="CI164" s="60"/>
      <c r="CJ164" s="60"/>
      <c r="CK164" s="60"/>
      <c r="CL164" s="60"/>
      <c r="CM164" s="60"/>
      <c r="CN164" s="60"/>
      <c r="CO164" s="60"/>
      <c r="CP164" s="60"/>
      <c r="CQ164" s="60"/>
      <c r="CR164" s="60"/>
      <c r="CS164" s="60"/>
    </row>
    <row r="165" spans="2:97" s="89" customFormat="1" ht="13" hidden="1" customHeight="1" x14ac:dyDescent="0.3">
      <c r="B165" s="211" t="s">
        <v>215</v>
      </c>
      <c r="C165" s="211" t="s">
        <v>215</v>
      </c>
      <c r="D165" s="1327"/>
      <c r="E165" s="626"/>
      <c r="F165" s="645">
        <v>0</v>
      </c>
      <c r="G165" s="628" cm="1">
        <f t="array" ref="G165">$F165*(SUMPRODUCT(('Cashflow Summary C19RM'!$D$5:$D$239=E165)*('Cashflow Summary C19RM'!$R$5:$R$239)))</f>
        <v>0</v>
      </c>
      <c r="H165" s="633" cm="1">
        <f t="array" ref="H165">$F165*(SUMPRODUCT(('Cashflow Summary C19RM'!$D$5:$D$239=E165)*('Cashflow Summary C19RM'!$S$5:$S$239)))</f>
        <v>0</v>
      </c>
      <c r="I165" s="633" cm="1">
        <f t="array" ref="I165">$F165*(SUMPRODUCT(('Cashflow Summary C19RM'!$D$5:$D$239=E165)*('Cashflow Summary C19RM'!$T$5:$T$239)))</f>
        <v>0</v>
      </c>
      <c r="J165" s="633" cm="1">
        <f t="array" ref="J165">$F165*(SUMPRODUCT(('Cashflow Summary C19RM'!$D$5:$D$239=E165)*('Cashflow Summary C19RM'!$U$5:$U$239)))</f>
        <v>0</v>
      </c>
      <c r="K165" s="631">
        <f t="shared" si="56"/>
        <v>0</v>
      </c>
      <c r="L165" s="627">
        <f t="shared" si="57"/>
        <v>0</v>
      </c>
      <c r="M165" s="630" cm="1">
        <f t="array" ref="M165">$L165*(SUMPRODUCT(('Cashflow Summary C19RM'!$D$5:$D$239=E165)*('Cashflow Summary C19RM'!$V$5:$V$239)))</f>
        <v>0</v>
      </c>
      <c r="N165" s="630" cm="1">
        <f t="array" ref="N165">$L165*(SUMPRODUCT(('Cashflow Summary C19RM'!$D$5:$D$239=E165)*('Cashflow Summary C19RM'!$R$5:$R$239)))</f>
        <v>0</v>
      </c>
      <c r="O165" s="630" cm="1">
        <f t="array" ref="O165">$L165*(SUMPRODUCT(('Cashflow Summary C19RM'!$D$5:$D$239=E165)*('Cashflow Summary C19RM'!$S$5:$S$239)))</f>
        <v>0</v>
      </c>
      <c r="P165" s="630" cm="1">
        <f t="array" ref="P165">$L165*(SUMPRODUCT(('Cashflow Summary C19RM'!$D$5:$D$239=E165)*('Cashflow Summary C19RM'!$T$5:$T$239)))</f>
        <v>0</v>
      </c>
      <c r="Q165" s="632">
        <f t="shared" si="58"/>
        <v>0</v>
      </c>
      <c r="R165" s="627">
        <f t="shared" si="59"/>
        <v>0</v>
      </c>
      <c r="S165" s="633" cm="1">
        <f t="array" ref="S165">$R165*(SUMPRODUCT(('Cashflow Summary C19RM'!$D$5:$D$239=E165)*('Cashflow Summary C19RM'!$U$5:$U$239)))</f>
        <v>0</v>
      </c>
      <c r="T165" s="633" cm="1">
        <f t="array" ref="T165">$R165*(SUMPRODUCT(('Cashflow Summary C19RM'!$D$5:$D$239=E165)*('Cashflow Summary C19RM'!$V$5:$V$239)))</f>
        <v>0</v>
      </c>
      <c r="U165" s="633" cm="1">
        <f t="array" ref="U165">$R165*(SUMPRODUCT(('Cashflow Summary C19RM'!$D$5:$D$239=E165)*('Cashflow Summary C19RM'!$W$5:$W$239)))</f>
        <v>0</v>
      </c>
      <c r="V165" s="633" cm="1">
        <f t="array" ref="V165">$R165*(SUMPRODUCT(('Cashflow Summary C19RM'!$D$5:$D$239=E165)*('Cashflow Summary C19RM'!$X$5:$X$239)))</f>
        <v>0</v>
      </c>
      <c r="W165" s="634">
        <f t="shared" si="60"/>
        <v>0</v>
      </c>
      <c r="X165" s="627">
        <f t="shared" si="61"/>
        <v>0</v>
      </c>
      <c r="Y165" s="633" cm="1">
        <f t="array" ref="Y165">$X165*(SUMPRODUCT(('Cashflow Summary C19RM'!$D$5:$D$239=E165)*('Cashflow Summary C19RM'!$Y$5:$Y$239)))</f>
        <v>0</v>
      </c>
      <c r="Z165" s="633" cm="1">
        <f t="array" ref="Z165">$X165*(SUMPRODUCT(('Cashflow Summary C19RM'!$D$5:$D$239=E165)*('Cashflow Summary C19RM'!$Z$5:$Z$239)))</f>
        <v>0</v>
      </c>
      <c r="AA165" s="633" cm="1">
        <f t="array" ref="AA165">$X165*(SUMPRODUCT(('Cashflow Summary C19RM'!$D$5:$D$239=E165)*('Cashflow Summary C19RM'!$AA$5:$AA$239)))</f>
        <v>0</v>
      </c>
      <c r="AB165" s="633" cm="1">
        <f t="array" ref="AB165">$X165*(SUMPRODUCT(('Cashflow Summary C19RM'!$D$5:$D$239=E165)*('Cashflow Summary C19RM'!$AB$5:$AF$239)))</f>
        <v>0</v>
      </c>
      <c r="AC165" s="634">
        <f t="shared" si="62"/>
        <v>0</v>
      </c>
      <c r="AD165" s="634"/>
      <c r="AE165" s="634"/>
      <c r="AF165" s="634"/>
      <c r="AG165" s="634"/>
      <c r="AH165" s="634"/>
      <c r="AI165" s="634"/>
      <c r="AJ165" s="875">
        <v>0</v>
      </c>
      <c r="AK165" s="634"/>
      <c r="AL165" s="634"/>
      <c r="AM165" s="634"/>
      <c r="AN165" s="634"/>
      <c r="AO165" s="634"/>
      <c r="AP165" s="635">
        <f t="shared" si="73"/>
        <v>0</v>
      </c>
      <c r="AQ165" s="648">
        <v>7.1</v>
      </c>
      <c r="AR165" s="647"/>
      <c r="AS165" s="313"/>
      <c r="AT165" s="177"/>
      <c r="AV165" s="60"/>
      <c r="AW165" s="60"/>
      <c r="AX165" s="60"/>
      <c r="AY165" s="60"/>
      <c r="AZ165" s="60"/>
      <c r="BA165" s="60"/>
      <c r="BB165" s="60"/>
      <c r="BC165" s="345"/>
      <c r="BD165" s="345"/>
      <c r="BE165" s="345"/>
      <c r="BF165" s="345"/>
      <c r="BG165" s="345"/>
      <c r="BH165" s="345"/>
      <c r="BI165" s="60"/>
      <c r="BJ165" s="60"/>
      <c r="BK165" s="60"/>
      <c r="BL165" s="60"/>
      <c r="BM165" s="60"/>
      <c r="BN165" s="60"/>
      <c r="BO165" s="60"/>
      <c r="BP165" s="60"/>
      <c r="BQ165" s="60"/>
      <c r="BR165" s="60"/>
      <c r="BS165" s="60"/>
      <c r="BT165" s="60"/>
      <c r="BU165" s="60"/>
      <c r="BV165" s="60"/>
      <c r="BW165" s="60"/>
      <c r="BX165" s="60"/>
      <c r="BY165" s="60"/>
      <c r="BZ165" s="60"/>
      <c r="CA165" s="60"/>
      <c r="CB165" s="60"/>
      <c r="CC165" s="60"/>
      <c r="CD165" s="60"/>
      <c r="CE165" s="60"/>
      <c r="CF165" s="60"/>
      <c r="CG165" s="60"/>
      <c r="CH165" s="60"/>
      <c r="CI165" s="60"/>
      <c r="CJ165" s="60"/>
      <c r="CK165" s="60"/>
      <c r="CL165" s="60"/>
      <c r="CM165" s="60"/>
      <c r="CN165" s="60"/>
      <c r="CO165" s="60"/>
      <c r="CP165" s="60"/>
      <c r="CQ165" s="60"/>
      <c r="CR165" s="60"/>
      <c r="CS165" s="60"/>
    </row>
    <row r="166" spans="2:97" s="89" customFormat="1" ht="13" hidden="1" customHeight="1" x14ac:dyDescent="0.3">
      <c r="B166" s="211" t="s">
        <v>215</v>
      </c>
      <c r="C166" s="211" t="s">
        <v>215</v>
      </c>
      <c r="D166" s="1327"/>
      <c r="E166" s="626"/>
      <c r="F166" s="645">
        <v>0</v>
      </c>
      <c r="G166" s="628" cm="1">
        <f t="array" ref="G166">$F166*(SUMPRODUCT(('Cashflow Summary C19RM'!$D$5:$D$239=E166)*('Cashflow Summary C19RM'!$R$5:$R$239)))</f>
        <v>0</v>
      </c>
      <c r="H166" s="633" cm="1">
        <f t="array" ref="H166">$F166*(SUMPRODUCT(('Cashflow Summary C19RM'!$D$5:$D$239=E166)*('Cashflow Summary C19RM'!$S$5:$S$239)))</f>
        <v>0</v>
      </c>
      <c r="I166" s="633" cm="1">
        <f t="array" ref="I166">$F166*(SUMPRODUCT(('Cashflow Summary C19RM'!$D$5:$D$239=E166)*('Cashflow Summary C19RM'!$T$5:$T$239)))</f>
        <v>0</v>
      </c>
      <c r="J166" s="633" cm="1">
        <f t="array" ref="J166">$F166*(SUMPRODUCT(('Cashflow Summary C19RM'!$D$5:$D$239=E166)*('Cashflow Summary C19RM'!$U$5:$U$239)))</f>
        <v>0</v>
      </c>
      <c r="K166" s="631">
        <f t="shared" si="56"/>
        <v>0</v>
      </c>
      <c r="L166" s="627">
        <f t="shared" si="57"/>
        <v>0</v>
      </c>
      <c r="M166" s="630" cm="1">
        <f t="array" ref="M166">$L166*(SUMPRODUCT(('Cashflow Summary C19RM'!$D$5:$D$239=E166)*('Cashflow Summary C19RM'!$V$5:$V$239)))</f>
        <v>0</v>
      </c>
      <c r="N166" s="630" cm="1">
        <f t="array" ref="N166">$L166*(SUMPRODUCT(('Cashflow Summary C19RM'!$D$5:$D$239=E166)*('Cashflow Summary C19RM'!$R$5:$R$239)))</f>
        <v>0</v>
      </c>
      <c r="O166" s="630" cm="1">
        <f t="array" ref="O166">$L166*(SUMPRODUCT(('Cashflow Summary C19RM'!$D$5:$D$239=E166)*('Cashflow Summary C19RM'!$S$5:$S$239)))</f>
        <v>0</v>
      </c>
      <c r="P166" s="630" cm="1">
        <f t="array" ref="P166">$L166*(SUMPRODUCT(('Cashflow Summary C19RM'!$D$5:$D$239=E166)*('Cashflow Summary C19RM'!$T$5:$T$239)))</f>
        <v>0</v>
      </c>
      <c r="Q166" s="632">
        <f t="shared" si="58"/>
        <v>0</v>
      </c>
      <c r="R166" s="627">
        <f t="shared" si="59"/>
        <v>0</v>
      </c>
      <c r="S166" s="633" cm="1">
        <f t="array" ref="S166">$R166*(SUMPRODUCT(('Cashflow Summary C19RM'!$D$5:$D$239=E166)*('Cashflow Summary C19RM'!$U$5:$U$239)))</f>
        <v>0</v>
      </c>
      <c r="T166" s="633" cm="1">
        <f t="array" ref="T166">$R166*(SUMPRODUCT(('Cashflow Summary C19RM'!$D$5:$D$239=E166)*('Cashflow Summary C19RM'!$V$5:$V$239)))</f>
        <v>0</v>
      </c>
      <c r="U166" s="633" cm="1">
        <f t="array" ref="U166">$R166*(SUMPRODUCT(('Cashflow Summary C19RM'!$D$5:$D$239=E166)*('Cashflow Summary C19RM'!$W$5:$W$239)))</f>
        <v>0</v>
      </c>
      <c r="V166" s="633" cm="1">
        <f t="array" ref="V166">$R166*(SUMPRODUCT(('Cashflow Summary C19RM'!$D$5:$D$239=E166)*('Cashflow Summary C19RM'!$X$5:$X$239)))</f>
        <v>0</v>
      </c>
      <c r="W166" s="634">
        <f t="shared" si="60"/>
        <v>0</v>
      </c>
      <c r="X166" s="627">
        <f t="shared" si="61"/>
        <v>0</v>
      </c>
      <c r="Y166" s="633" cm="1">
        <f t="array" ref="Y166">$X166*(SUMPRODUCT(('Cashflow Summary C19RM'!$D$5:$D$239=E166)*('Cashflow Summary C19RM'!$Y$5:$Y$239)))</f>
        <v>0</v>
      </c>
      <c r="Z166" s="633" cm="1">
        <f t="array" ref="Z166">$X166*(SUMPRODUCT(('Cashflow Summary C19RM'!$D$5:$D$239=E166)*('Cashflow Summary C19RM'!$Z$5:$Z$239)))</f>
        <v>0</v>
      </c>
      <c r="AA166" s="633" cm="1">
        <f t="array" ref="AA166">$X166*(SUMPRODUCT(('Cashflow Summary C19RM'!$D$5:$D$239=E166)*('Cashflow Summary C19RM'!$AA$5:$AA$239)))</f>
        <v>0</v>
      </c>
      <c r="AB166" s="633" cm="1">
        <f t="array" ref="AB166">$X166*(SUMPRODUCT(('Cashflow Summary C19RM'!$D$5:$D$239=E166)*('Cashflow Summary C19RM'!$AB$5:$AF$239)))</f>
        <v>0</v>
      </c>
      <c r="AC166" s="634">
        <f t="shared" si="62"/>
        <v>0</v>
      </c>
      <c r="AD166" s="634"/>
      <c r="AE166" s="634"/>
      <c r="AF166" s="634"/>
      <c r="AG166" s="634"/>
      <c r="AH166" s="634"/>
      <c r="AI166" s="634"/>
      <c r="AJ166" s="875">
        <v>0</v>
      </c>
      <c r="AK166" s="634"/>
      <c r="AL166" s="634"/>
      <c r="AM166" s="634"/>
      <c r="AN166" s="634"/>
      <c r="AO166" s="634"/>
      <c r="AP166" s="635">
        <f t="shared" si="73"/>
        <v>0</v>
      </c>
      <c r="AQ166" s="648">
        <v>7.1</v>
      </c>
      <c r="AR166" s="647"/>
      <c r="AS166" s="313"/>
      <c r="AT166" s="177"/>
      <c r="AV166" s="60"/>
      <c r="AW166" s="60"/>
      <c r="AX166" s="60"/>
      <c r="AY166" s="60"/>
      <c r="AZ166" s="60"/>
      <c r="BA166" s="60"/>
      <c r="BB166" s="60"/>
      <c r="BC166" s="345"/>
      <c r="BD166" s="345"/>
      <c r="BE166" s="345"/>
      <c r="BF166" s="345"/>
      <c r="BG166" s="345"/>
      <c r="BH166" s="345"/>
      <c r="BI166" s="60"/>
      <c r="BJ166" s="60"/>
      <c r="BK166" s="60"/>
      <c r="BL166" s="60"/>
      <c r="BM166" s="60"/>
      <c r="BN166" s="60"/>
      <c r="BO166" s="60"/>
      <c r="BP166" s="60"/>
      <c r="BQ166" s="60"/>
      <c r="BR166" s="60"/>
      <c r="BS166" s="60"/>
      <c r="BT166" s="60"/>
      <c r="BU166" s="60"/>
      <c r="BV166" s="60"/>
      <c r="BW166" s="60"/>
      <c r="BX166" s="60"/>
      <c r="BY166" s="60"/>
      <c r="BZ166" s="60"/>
      <c r="CA166" s="60"/>
      <c r="CB166" s="60"/>
      <c r="CC166" s="60"/>
      <c r="CD166" s="60"/>
      <c r="CE166" s="60"/>
      <c r="CF166" s="60"/>
      <c r="CG166" s="60"/>
      <c r="CH166" s="60"/>
      <c r="CI166" s="60"/>
      <c r="CJ166" s="60"/>
      <c r="CK166" s="60"/>
      <c r="CL166" s="60"/>
      <c r="CM166" s="60"/>
      <c r="CN166" s="60"/>
      <c r="CO166" s="60"/>
      <c r="CP166" s="60"/>
      <c r="CQ166" s="60"/>
      <c r="CR166" s="60"/>
      <c r="CS166" s="60"/>
    </row>
    <row r="167" spans="2:97" s="89" customFormat="1" ht="16.399999999999999" hidden="1" customHeight="1" x14ac:dyDescent="0.3">
      <c r="B167" s="211" t="s">
        <v>215</v>
      </c>
      <c r="C167" s="211" t="s">
        <v>215</v>
      </c>
      <c r="D167" s="1327"/>
      <c r="E167" s="626"/>
      <c r="F167" s="645">
        <v>0</v>
      </c>
      <c r="G167" s="628" cm="1">
        <f t="array" ref="G167">$F167*(SUMPRODUCT(('Cashflow Summary C19RM'!$D$5:$D$239=E167)*('Cashflow Summary C19RM'!$R$5:$R$239)))</f>
        <v>0</v>
      </c>
      <c r="H167" s="633" cm="1">
        <f t="array" ref="H167">$F167*(SUMPRODUCT(('Cashflow Summary C19RM'!$D$5:$D$239=E167)*('Cashflow Summary C19RM'!$S$5:$S$239)))</f>
        <v>0</v>
      </c>
      <c r="I167" s="633" cm="1">
        <f t="array" ref="I167">$F167*(SUMPRODUCT(('Cashflow Summary C19RM'!$D$5:$D$239=E167)*('Cashflow Summary C19RM'!$T$5:$T$239)))</f>
        <v>0</v>
      </c>
      <c r="J167" s="633" cm="1">
        <f t="array" ref="J167">$F167*(SUMPRODUCT(('Cashflow Summary C19RM'!$D$5:$D$239=E167)*('Cashflow Summary C19RM'!$U$5:$U$239)))</f>
        <v>0</v>
      </c>
      <c r="K167" s="631">
        <f t="shared" si="56"/>
        <v>0</v>
      </c>
      <c r="L167" s="627">
        <f t="shared" si="57"/>
        <v>0</v>
      </c>
      <c r="M167" s="633" cm="1">
        <f t="array" ref="M167">$L167*(SUMPRODUCT(('Cashflow Summary C19RM'!$D$5:$D$239=E167)*('Cashflow Summary C19RM'!$V$5:$V$239)))</f>
        <v>0</v>
      </c>
      <c r="N167" s="633" cm="1">
        <f t="array" ref="N167">$L167*(SUMPRODUCT(('Cashflow Summary C19RM'!$D$5:$D$239=E167)*('Cashflow Summary C19RM'!$R$5:$R$239)))</f>
        <v>0</v>
      </c>
      <c r="O167" s="633" cm="1">
        <f t="array" ref="O167">$L167*(SUMPRODUCT(('Cashflow Summary C19RM'!$D$5:$D$239=E167)*('Cashflow Summary C19RM'!$S$5:$S$239)))</f>
        <v>0</v>
      </c>
      <c r="P167" s="633" cm="1">
        <f t="array" ref="P167">$L167*(SUMPRODUCT(('Cashflow Summary C19RM'!$D$5:$D$239=E167)*('Cashflow Summary C19RM'!$T$5:$T$239)))</f>
        <v>0</v>
      </c>
      <c r="Q167" s="632">
        <f t="shared" si="58"/>
        <v>0</v>
      </c>
      <c r="R167" s="627">
        <f t="shared" si="59"/>
        <v>0</v>
      </c>
      <c r="S167" s="633" cm="1">
        <f t="array" ref="S167">$R167*(SUMPRODUCT(('Cashflow Summary C19RM'!$D$5:$D$239=E167)*('Cashflow Summary C19RM'!$U$5:$U$239)))</f>
        <v>0</v>
      </c>
      <c r="T167" s="633" cm="1">
        <f t="array" ref="T167">$R167*(SUMPRODUCT(('Cashflow Summary C19RM'!$D$5:$D$239=E167)*('Cashflow Summary C19RM'!$V$5:$V$239)))</f>
        <v>0</v>
      </c>
      <c r="U167" s="633" cm="1">
        <f t="array" ref="U167">$R167*(SUMPRODUCT(('Cashflow Summary C19RM'!$D$5:$D$239=E167)*('Cashflow Summary C19RM'!$W$5:$W$239)))</f>
        <v>0</v>
      </c>
      <c r="V167" s="633" cm="1">
        <f t="array" ref="V167">$R167*(SUMPRODUCT(('Cashflow Summary C19RM'!$D$5:$D$239=E167)*('Cashflow Summary C19RM'!$X$5:$X$239)))</f>
        <v>0</v>
      </c>
      <c r="W167" s="634">
        <f t="shared" si="60"/>
        <v>0</v>
      </c>
      <c r="X167" s="627">
        <f t="shared" si="61"/>
        <v>0</v>
      </c>
      <c r="Y167" s="633" cm="1">
        <f t="array" ref="Y167">$X167*(SUMPRODUCT(('Cashflow Summary C19RM'!$D$5:$D$239=E167)*('Cashflow Summary C19RM'!$Y$5:$Y$239)))</f>
        <v>0</v>
      </c>
      <c r="Z167" s="633" cm="1">
        <f t="array" ref="Z167">$X167*(SUMPRODUCT(('Cashflow Summary C19RM'!$D$5:$D$239=E167)*('Cashflow Summary C19RM'!$Z$5:$Z$239)))</f>
        <v>0</v>
      </c>
      <c r="AA167" s="633" cm="1">
        <f t="array" ref="AA167">$X167*(SUMPRODUCT(('Cashflow Summary C19RM'!$D$5:$D$239=E167)*('Cashflow Summary C19RM'!$AA$5:$AA$239)))</f>
        <v>0</v>
      </c>
      <c r="AB167" s="633" cm="1">
        <f t="array" ref="AB167">$X167*(SUMPRODUCT(('Cashflow Summary C19RM'!$D$5:$D$239=E167)*('Cashflow Summary C19RM'!$AB$5:$AF$239)))</f>
        <v>0</v>
      </c>
      <c r="AC167" s="634">
        <f t="shared" si="62"/>
        <v>0</v>
      </c>
      <c r="AD167" s="634"/>
      <c r="AE167" s="634"/>
      <c r="AF167" s="634"/>
      <c r="AG167" s="634"/>
      <c r="AH167" s="634"/>
      <c r="AI167" s="634"/>
      <c r="AJ167" s="875">
        <v>0</v>
      </c>
      <c r="AK167" s="634"/>
      <c r="AL167" s="634"/>
      <c r="AM167" s="634"/>
      <c r="AN167" s="634"/>
      <c r="AO167" s="634"/>
      <c r="AP167" s="635">
        <f t="shared" si="73"/>
        <v>0</v>
      </c>
      <c r="AQ167" s="648">
        <v>7.1</v>
      </c>
      <c r="AR167" s="647"/>
      <c r="AS167" s="313"/>
      <c r="AT167" s="177"/>
      <c r="AV167" s="60"/>
      <c r="AW167" s="60"/>
      <c r="AX167" s="60"/>
      <c r="AY167" s="60"/>
      <c r="AZ167" s="60"/>
      <c r="BA167" s="60"/>
      <c r="BB167" s="60"/>
      <c r="BC167" s="345"/>
      <c r="BD167" s="345"/>
      <c r="BE167" s="345"/>
      <c r="BF167" s="345"/>
      <c r="BG167" s="345"/>
      <c r="BH167" s="345"/>
      <c r="BI167" s="60"/>
      <c r="BJ167" s="60"/>
      <c r="BK167" s="60"/>
      <c r="BL167" s="60"/>
      <c r="BM167" s="60"/>
      <c r="BN167" s="60"/>
      <c r="BO167" s="60"/>
      <c r="BP167" s="60"/>
      <c r="BQ167" s="60"/>
      <c r="BR167" s="60"/>
      <c r="BS167" s="60"/>
      <c r="BT167" s="60"/>
      <c r="BU167" s="60"/>
      <c r="BV167" s="60"/>
      <c r="BW167" s="60"/>
      <c r="BX167" s="60"/>
      <c r="BY167" s="60"/>
      <c r="BZ167" s="60"/>
      <c r="CA167" s="60"/>
      <c r="CB167" s="60"/>
      <c r="CC167" s="60"/>
      <c r="CD167" s="60"/>
      <c r="CE167" s="60"/>
      <c r="CF167" s="60"/>
      <c r="CG167" s="60"/>
      <c r="CH167" s="60"/>
      <c r="CI167" s="60"/>
      <c r="CJ167" s="60"/>
      <c r="CK167" s="60"/>
      <c r="CL167" s="60"/>
      <c r="CM167" s="60"/>
      <c r="CN167" s="60"/>
      <c r="CO167" s="60"/>
      <c r="CP167" s="60"/>
      <c r="CQ167" s="60"/>
      <c r="CR167" s="60"/>
      <c r="CS167" s="60"/>
    </row>
    <row r="168" spans="2:97" s="89" customFormat="1" ht="13" hidden="1" customHeight="1" x14ac:dyDescent="0.3">
      <c r="B168" s="211" t="s">
        <v>215</v>
      </c>
      <c r="C168" s="211" t="s">
        <v>215</v>
      </c>
      <c r="D168" s="1327"/>
      <c r="E168" s="626"/>
      <c r="F168" s="645">
        <v>0</v>
      </c>
      <c r="G168" s="638" cm="1">
        <f t="array" ref="G168">$F168*(SUMPRODUCT(('Cashflow Summary C19RM'!$D$5:$D$239=E168)*('Cashflow Summary C19RM'!$R$5:$R$239)))</f>
        <v>0</v>
      </c>
      <c r="H168" s="639" cm="1">
        <f t="array" ref="H168">$F168*(SUMPRODUCT(('Cashflow Summary C19RM'!$D$5:$D$239=E168)*('Cashflow Summary C19RM'!$S$5:$S$239)))</f>
        <v>0</v>
      </c>
      <c r="I168" s="639" cm="1">
        <f t="array" ref="I168">$F168*(SUMPRODUCT(('Cashflow Summary C19RM'!$D$5:$D$239=E168)*('Cashflow Summary C19RM'!$T$5:$T$239)))</f>
        <v>0</v>
      </c>
      <c r="J168" s="639" cm="1">
        <f t="array" ref="J168">$F168*(SUMPRODUCT(('Cashflow Summary C19RM'!$D$5:$D$239=E168)*('Cashflow Summary C19RM'!$U$5:$U$239)))</f>
        <v>0</v>
      </c>
      <c r="K168" s="631">
        <f t="shared" si="56"/>
        <v>0</v>
      </c>
      <c r="L168" s="627">
        <f t="shared" si="57"/>
        <v>0</v>
      </c>
      <c r="M168" s="630" cm="1">
        <f t="array" ref="M168">$L168*(SUMPRODUCT(('Cashflow Summary C19RM'!$D$5:$D$239=E168)*('Cashflow Summary C19RM'!$V$5:$V$239)))</f>
        <v>0</v>
      </c>
      <c r="N168" s="630" cm="1">
        <f t="array" ref="N168">$L168*(SUMPRODUCT(('Cashflow Summary C19RM'!$D$5:$D$239=E168)*('Cashflow Summary C19RM'!$R$5:$R$239)))</f>
        <v>0</v>
      </c>
      <c r="O168" s="630" cm="1">
        <f t="array" ref="O168">$L168*(SUMPRODUCT(('Cashflow Summary C19RM'!$D$5:$D$239=E168)*('Cashflow Summary C19RM'!$S$5:$S$239)))</f>
        <v>0</v>
      </c>
      <c r="P168" s="630" cm="1">
        <f t="array" ref="P168">$L168*(SUMPRODUCT(('Cashflow Summary C19RM'!$D$5:$D$239=E168)*('Cashflow Summary C19RM'!$T$5:$T$239)))</f>
        <v>0</v>
      </c>
      <c r="Q168" s="632">
        <f t="shared" si="58"/>
        <v>0</v>
      </c>
      <c r="R168" s="627">
        <f t="shared" si="59"/>
        <v>0</v>
      </c>
      <c r="S168" s="633" cm="1">
        <f t="array" ref="S168">$R168*(SUMPRODUCT(('Cashflow Summary C19RM'!$D$5:$D$239=E168)*('Cashflow Summary C19RM'!$U$5:$U$239)))</f>
        <v>0</v>
      </c>
      <c r="T168" s="633" cm="1">
        <f t="array" ref="T168">$R168*(SUMPRODUCT(('Cashflow Summary C19RM'!$D$5:$D$239=E168)*('Cashflow Summary C19RM'!$V$5:$V$239)))</f>
        <v>0</v>
      </c>
      <c r="U168" s="633" cm="1">
        <f t="array" ref="U168">$R168*(SUMPRODUCT(('Cashflow Summary C19RM'!$D$5:$D$239=E168)*('Cashflow Summary C19RM'!$W$5:$W$239)))</f>
        <v>0</v>
      </c>
      <c r="V168" s="633" cm="1">
        <f t="array" ref="V168">$R168*(SUMPRODUCT(('Cashflow Summary C19RM'!$D$5:$D$239=E168)*('Cashflow Summary C19RM'!$X$5:$X$239)))</f>
        <v>0</v>
      </c>
      <c r="W168" s="634">
        <f t="shared" si="60"/>
        <v>0</v>
      </c>
      <c r="X168" s="627">
        <f t="shared" si="61"/>
        <v>0</v>
      </c>
      <c r="Y168" s="633" cm="1">
        <f t="array" ref="Y168">$X168*(SUMPRODUCT(('Cashflow Summary C19RM'!$D$5:$D$239=E168)*('Cashflow Summary C19RM'!$Y$5:$Y$239)))</f>
        <v>0</v>
      </c>
      <c r="Z168" s="633" cm="1">
        <f t="array" ref="Z168">$X168*(SUMPRODUCT(('Cashflow Summary C19RM'!$D$5:$D$239=E168)*('Cashflow Summary C19RM'!$Z$5:$Z$239)))</f>
        <v>0</v>
      </c>
      <c r="AA168" s="633" cm="1">
        <f t="array" ref="AA168">$X168*(SUMPRODUCT(('Cashflow Summary C19RM'!$D$5:$D$239=E168)*('Cashflow Summary C19RM'!$AA$5:$AA$239)))</f>
        <v>0</v>
      </c>
      <c r="AB168" s="633" cm="1">
        <f t="array" ref="AB168">$X168*(SUMPRODUCT(('Cashflow Summary C19RM'!$D$5:$D$239=E168)*('Cashflow Summary C19RM'!$AB$5:$AF$239)))</f>
        <v>0</v>
      </c>
      <c r="AC168" s="634">
        <f t="shared" si="62"/>
        <v>0</v>
      </c>
      <c r="AD168" s="634"/>
      <c r="AE168" s="634"/>
      <c r="AF168" s="634"/>
      <c r="AG168" s="634"/>
      <c r="AH168" s="634"/>
      <c r="AI168" s="634"/>
      <c r="AJ168" s="875">
        <v>0</v>
      </c>
      <c r="AK168" s="634"/>
      <c r="AL168" s="634"/>
      <c r="AM168" s="634"/>
      <c r="AN168" s="634"/>
      <c r="AO168" s="634"/>
      <c r="AP168" s="635">
        <f t="shared" si="73"/>
        <v>0</v>
      </c>
      <c r="AQ168" s="648">
        <v>7.1</v>
      </c>
      <c r="AR168" s="647"/>
      <c r="AS168" s="313"/>
      <c r="AT168" s="177"/>
      <c r="AV168" s="60"/>
      <c r="AW168" s="60"/>
      <c r="AX168" s="60"/>
      <c r="AY168" s="60"/>
      <c r="AZ168" s="60"/>
      <c r="BA168" s="60"/>
      <c r="BB168" s="60"/>
      <c r="BC168" s="345"/>
      <c r="BD168" s="345"/>
      <c r="BE168" s="345"/>
      <c r="BF168" s="345"/>
      <c r="BG168" s="345"/>
      <c r="BH168" s="345"/>
      <c r="BI168" s="60"/>
      <c r="BJ168" s="60"/>
      <c r="BK168" s="60"/>
      <c r="BL168" s="60"/>
      <c r="BM168" s="60"/>
      <c r="BN168" s="60"/>
      <c r="BO168" s="60"/>
      <c r="BP168" s="60"/>
      <c r="BQ168" s="60"/>
      <c r="BR168" s="60"/>
      <c r="BS168" s="60"/>
      <c r="BT168" s="60"/>
      <c r="BU168" s="60"/>
      <c r="BV168" s="60"/>
      <c r="BW168" s="60"/>
      <c r="BX168" s="60"/>
      <c r="BY168" s="60"/>
      <c r="BZ168" s="60"/>
      <c r="CA168" s="60"/>
      <c r="CB168" s="60"/>
      <c r="CC168" s="60"/>
      <c r="CD168" s="60"/>
      <c r="CE168" s="60"/>
      <c r="CF168" s="60"/>
      <c r="CG168" s="60"/>
      <c r="CH168" s="60"/>
      <c r="CI168" s="60"/>
      <c r="CJ168" s="60"/>
      <c r="CK168" s="60"/>
      <c r="CL168" s="60"/>
      <c r="CM168" s="60"/>
      <c r="CN168" s="60"/>
      <c r="CO168" s="60"/>
      <c r="CP168" s="60"/>
      <c r="CQ168" s="60"/>
      <c r="CR168" s="60"/>
      <c r="CS168" s="60"/>
    </row>
    <row r="169" spans="2:97" s="89" customFormat="1" ht="16.399999999999999" hidden="1" customHeight="1" x14ac:dyDescent="0.3">
      <c r="B169" s="211" t="s">
        <v>215</v>
      </c>
      <c r="C169" s="211" t="s">
        <v>215</v>
      </c>
      <c r="D169" s="1327"/>
      <c r="E169" s="626"/>
      <c r="F169" s="645">
        <v>0</v>
      </c>
      <c r="G169" s="628" cm="1">
        <f t="array" ref="G169">$F169*(SUMPRODUCT(('Cashflow Summary C19RM'!$D$5:$D$239=E169)*('Cashflow Summary C19RM'!$R$5:$R$239)))</f>
        <v>0</v>
      </c>
      <c r="H169" s="633" cm="1">
        <f t="array" ref="H169">$F169*(SUMPRODUCT(('Cashflow Summary C19RM'!$D$5:$D$239=E169)*('Cashflow Summary C19RM'!$S$5:$S$239)))</f>
        <v>0</v>
      </c>
      <c r="I169" s="633" cm="1">
        <f t="array" ref="I169">$F169*(SUMPRODUCT(('Cashflow Summary C19RM'!$D$5:$D$239=E169)*('Cashflow Summary C19RM'!$T$5:$T$239)))</f>
        <v>0</v>
      </c>
      <c r="J169" s="633" cm="1">
        <f t="array" ref="J169">$F169*(SUMPRODUCT(('Cashflow Summary C19RM'!$D$5:$D$239=E169)*('Cashflow Summary C19RM'!$U$5:$U$239)))</f>
        <v>0</v>
      </c>
      <c r="K169" s="631">
        <f t="shared" si="56"/>
        <v>0</v>
      </c>
      <c r="L169" s="627">
        <f t="shared" si="57"/>
        <v>0</v>
      </c>
      <c r="M169" s="630" cm="1">
        <f t="array" ref="M169">$L169*(SUMPRODUCT(('Cashflow Summary C19RM'!$D$5:$D$239=E169)*('Cashflow Summary C19RM'!$V$5:$V$239)))</f>
        <v>0</v>
      </c>
      <c r="N169" s="630" cm="1">
        <f t="array" ref="N169">$L169*(SUMPRODUCT(('Cashflow Summary C19RM'!$D$5:$D$239=E169)*('Cashflow Summary C19RM'!$R$5:$R$239)))</f>
        <v>0</v>
      </c>
      <c r="O169" s="630" cm="1">
        <f t="array" ref="O169">$L169*(SUMPRODUCT(('Cashflow Summary C19RM'!$D$5:$D$239=E169)*('Cashflow Summary C19RM'!$S$5:$S$239)))</f>
        <v>0</v>
      </c>
      <c r="P169" s="630" cm="1">
        <f t="array" ref="P169">$L169*(SUMPRODUCT(('Cashflow Summary C19RM'!$D$5:$D$239=E169)*('Cashflow Summary C19RM'!$T$5:$T$239)))</f>
        <v>0</v>
      </c>
      <c r="Q169" s="632">
        <f t="shared" si="58"/>
        <v>0</v>
      </c>
      <c r="R169" s="627">
        <f t="shared" si="59"/>
        <v>0</v>
      </c>
      <c r="S169" s="633" cm="1">
        <f t="array" ref="S169">$R169*(SUMPRODUCT(('Cashflow Summary C19RM'!$D$5:$D$239=E169)*('Cashflow Summary C19RM'!$U$5:$U$239)))</f>
        <v>0</v>
      </c>
      <c r="T169" s="633" cm="1">
        <f t="array" ref="T169">$R169*(SUMPRODUCT(('Cashflow Summary C19RM'!$D$5:$D$239=E169)*('Cashflow Summary C19RM'!$V$5:$V$239)))</f>
        <v>0</v>
      </c>
      <c r="U169" s="633" cm="1">
        <f t="array" ref="U169">$R169*(SUMPRODUCT(('Cashflow Summary C19RM'!$D$5:$D$239=E169)*('Cashflow Summary C19RM'!$W$5:$W$239)))</f>
        <v>0</v>
      </c>
      <c r="V169" s="633" cm="1">
        <f t="array" ref="V169">$R169*(SUMPRODUCT(('Cashflow Summary C19RM'!$D$5:$D$239=E169)*('Cashflow Summary C19RM'!$X$5:$X$239)))</f>
        <v>0</v>
      </c>
      <c r="W169" s="634">
        <f t="shared" si="60"/>
        <v>0</v>
      </c>
      <c r="X169" s="627">
        <f t="shared" si="61"/>
        <v>0</v>
      </c>
      <c r="Y169" s="633" cm="1">
        <f t="array" ref="Y169">$X169*(SUMPRODUCT(('Cashflow Summary C19RM'!$D$5:$D$239=E169)*('Cashflow Summary C19RM'!$Y$5:$Y$239)))</f>
        <v>0</v>
      </c>
      <c r="Z169" s="633" cm="1">
        <f t="array" ref="Z169">$X169*(SUMPRODUCT(('Cashflow Summary C19RM'!$D$5:$D$239=E169)*('Cashflow Summary C19RM'!$Z$5:$Z$239)))</f>
        <v>0</v>
      </c>
      <c r="AA169" s="633" cm="1">
        <f t="array" ref="AA169">$X169*(SUMPRODUCT(('Cashflow Summary C19RM'!$D$5:$D$239=E169)*('Cashflow Summary C19RM'!$AA$5:$AA$239)))</f>
        <v>0</v>
      </c>
      <c r="AB169" s="633" cm="1">
        <f t="array" ref="AB169">$X169*(SUMPRODUCT(('Cashflow Summary C19RM'!$D$5:$D$239=E169)*('Cashflow Summary C19RM'!$AB$5:$AF$239)))</f>
        <v>0</v>
      </c>
      <c r="AC169" s="634">
        <f t="shared" si="62"/>
        <v>0</v>
      </c>
      <c r="AD169" s="634"/>
      <c r="AE169" s="634"/>
      <c r="AF169" s="634"/>
      <c r="AG169" s="634"/>
      <c r="AH169" s="634"/>
      <c r="AI169" s="634"/>
      <c r="AJ169" s="875">
        <v>0</v>
      </c>
      <c r="AK169" s="634"/>
      <c r="AL169" s="634"/>
      <c r="AM169" s="634"/>
      <c r="AN169" s="634"/>
      <c r="AO169" s="634"/>
      <c r="AP169" s="635">
        <f t="shared" si="73"/>
        <v>0</v>
      </c>
      <c r="AQ169" s="648">
        <v>7.1</v>
      </c>
      <c r="AR169" s="647"/>
      <c r="AS169" s="313"/>
      <c r="AT169" s="177"/>
      <c r="AV169" s="60"/>
      <c r="AW169" s="60"/>
      <c r="AX169" s="60"/>
      <c r="AY169" s="60"/>
      <c r="AZ169" s="60"/>
      <c r="BA169" s="60"/>
      <c r="BB169" s="60"/>
      <c r="BC169" s="345"/>
      <c r="BD169" s="345"/>
      <c r="BE169" s="345"/>
      <c r="BF169" s="345"/>
      <c r="BG169" s="345"/>
      <c r="BH169" s="345"/>
      <c r="BI169" s="60"/>
      <c r="BJ169" s="60"/>
      <c r="BK169" s="60"/>
      <c r="BL169" s="60"/>
      <c r="BM169" s="60"/>
      <c r="BN169" s="60"/>
      <c r="BO169" s="60"/>
      <c r="BP169" s="60"/>
      <c r="BQ169" s="60"/>
      <c r="BR169" s="60"/>
      <c r="BS169" s="60"/>
      <c r="BT169" s="60"/>
      <c r="BU169" s="60"/>
      <c r="BV169" s="60"/>
      <c r="BW169" s="60"/>
      <c r="BX169" s="60"/>
      <c r="BY169" s="60"/>
      <c r="BZ169" s="60"/>
      <c r="CA169" s="60"/>
      <c r="CB169" s="60"/>
      <c r="CC169" s="60"/>
      <c r="CD169" s="60"/>
      <c r="CE169" s="60"/>
      <c r="CF169" s="60"/>
      <c r="CG169" s="60"/>
      <c r="CH169" s="60"/>
      <c r="CI169" s="60"/>
      <c r="CJ169" s="60"/>
      <c r="CK169" s="60"/>
      <c r="CL169" s="60"/>
      <c r="CM169" s="60"/>
      <c r="CN169" s="60"/>
      <c r="CO169" s="60"/>
      <c r="CP169" s="60"/>
      <c r="CQ169" s="60"/>
      <c r="CR169" s="60"/>
      <c r="CS169" s="60"/>
    </row>
    <row r="170" spans="2:97" s="89" customFormat="1" ht="16.399999999999999" hidden="1" customHeight="1" x14ac:dyDescent="0.3">
      <c r="B170" s="211" t="s">
        <v>215</v>
      </c>
      <c r="C170" s="211" t="s">
        <v>215</v>
      </c>
      <c r="D170" s="1327"/>
      <c r="E170" s="626"/>
      <c r="F170" s="645">
        <v>0</v>
      </c>
      <c r="G170" s="628" cm="1">
        <f t="array" ref="G170">$F170*(SUMPRODUCT(('Cashflow Summary C19RM'!$D$5:$D$239=E170)*('Cashflow Summary C19RM'!$R$5:$R$239)))</f>
        <v>0</v>
      </c>
      <c r="H170" s="633" cm="1">
        <f t="array" ref="H170">$F170*(SUMPRODUCT(('Cashflow Summary C19RM'!$D$5:$D$239=E170)*('Cashflow Summary C19RM'!$S$5:$S$239)))</f>
        <v>0</v>
      </c>
      <c r="I170" s="633" cm="1">
        <f t="array" ref="I170">$F170*(SUMPRODUCT(('Cashflow Summary C19RM'!$D$5:$D$239=E170)*('Cashflow Summary C19RM'!$T$5:$T$239)))</f>
        <v>0</v>
      </c>
      <c r="J170" s="633" cm="1">
        <f t="array" ref="J170">$F170*(SUMPRODUCT(('Cashflow Summary C19RM'!$D$5:$D$239=E170)*('Cashflow Summary C19RM'!$U$5:$U$239)))</f>
        <v>0</v>
      </c>
      <c r="K170" s="631">
        <f t="shared" si="56"/>
        <v>0</v>
      </c>
      <c r="L170" s="627">
        <f t="shared" si="57"/>
        <v>0</v>
      </c>
      <c r="M170" s="633" cm="1">
        <f t="array" ref="M170">$L170*(SUMPRODUCT(('Cashflow Summary C19RM'!$D$5:$D$239=E170)*('Cashflow Summary C19RM'!$V$5:$V$239)))</f>
        <v>0</v>
      </c>
      <c r="N170" s="633" cm="1">
        <f t="array" ref="N170">$L170*(SUMPRODUCT(('Cashflow Summary C19RM'!$D$5:$D$239=E170)*('Cashflow Summary C19RM'!$R$5:$R$239)))</f>
        <v>0</v>
      </c>
      <c r="O170" s="633" cm="1">
        <f t="array" ref="O170">$L170*(SUMPRODUCT(('Cashflow Summary C19RM'!$D$5:$D$239=E170)*('Cashflow Summary C19RM'!$S$5:$S$239)))</f>
        <v>0</v>
      </c>
      <c r="P170" s="633" cm="1">
        <f t="array" ref="P170">$L170*(SUMPRODUCT(('Cashflow Summary C19RM'!$D$5:$D$239=E170)*('Cashflow Summary C19RM'!$T$5:$T$239)))</f>
        <v>0</v>
      </c>
      <c r="Q170" s="632">
        <f t="shared" si="58"/>
        <v>0</v>
      </c>
      <c r="R170" s="627">
        <f t="shared" si="59"/>
        <v>0</v>
      </c>
      <c r="S170" s="633" cm="1">
        <f t="array" ref="S170">$R170*(SUMPRODUCT(('Cashflow Summary C19RM'!$D$5:$D$239=E170)*('Cashflow Summary C19RM'!$U$5:$U$239)))</f>
        <v>0</v>
      </c>
      <c r="T170" s="633" cm="1">
        <f t="array" ref="T170">$R170*(SUMPRODUCT(('Cashflow Summary C19RM'!$D$5:$D$239=E170)*('Cashflow Summary C19RM'!$V$5:$V$239)))</f>
        <v>0</v>
      </c>
      <c r="U170" s="633" cm="1">
        <f t="array" ref="U170">$R170*(SUMPRODUCT(('Cashflow Summary C19RM'!$D$5:$D$239=E170)*('Cashflow Summary C19RM'!$W$5:$W$239)))</f>
        <v>0</v>
      </c>
      <c r="V170" s="633" cm="1">
        <f t="array" ref="V170">$R170*(SUMPRODUCT(('Cashflow Summary C19RM'!$D$5:$D$239=E170)*('Cashflow Summary C19RM'!$X$5:$X$239)))</f>
        <v>0</v>
      </c>
      <c r="W170" s="634">
        <f t="shared" si="60"/>
        <v>0</v>
      </c>
      <c r="X170" s="627">
        <f t="shared" si="61"/>
        <v>0</v>
      </c>
      <c r="Y170" s="633" cm="1">
        <f t="array" ref="Y170">$X170*(SUMPRODUCT(('Cashflow Summary C19RM'!$D$5:$D$239=E170)*('Cashflow Summary C19RM'!$Y$5:$Y$239)))</f>
        <v>0</v>
      </c>
      <c r="Z170" s="633" cm="1">
        <f t="array" ref="Z170">$X170*(SUMPRODUCT(('Cashflow Summary C19RM'!$D$5:$D$239=E170)*('Cashflow Summary C19RM'!$Z$5:$Z$239)))</f>
        <v>0</v>
      </c>
      <c r="AA170" s="633" cm="1">
        <f t="array" ref="AA170">$X170*(SUMPRODUCT(('Cashflow Summary C19RM'!$D$5:$D$239=E170)*('Cashflow Summary C19RM'!$AA$5:$AA$239)))</f>
        <v>0</v>
      </c>
      <c r="AB170" s="633" cm="1">
        <f t="array" ref="AB170">$X170*(SUMPRODUCT(('Cashflow Summary C19RM'!$D$5:$D$239=E170)*('Cashflow Summary C19RM'!$AB$5:$AF$239)))</f>
        <v>0</v>
      </c>
      <c r="AC170" s="634">
        <f t="shared" si="62"/>
        <v>0</v>
      </c>
      <c r="AD170" s="634"/>
      <c r="AE170" s="634"/>
      <c r="AF170" s="634"/>
      <c r="AG170" s="634"/>
      <c r="AH170" s="634"/>
      <c r="AI170" s="634"/>
      <c r="AJ170" s="875">
        <v>0</v>
      </c>
      <c r="AK170" s="634"/>
      <c r="AL170" s="634"/>
      <c r="AM170" s="634"/>
      <c r="AN170" s="634"/>
      <c r="AO170" s="634"/>
      <c r="AP170" s="635">
        <f t="shared" si="73"/>
        <v>0</v>
      </c>
      <c r="AQ170" s="648">
        <v>7.1</v>
      </c>
      <c r="AR170" s="647"/>
      <c r="AS170" s="313"/>
      <c r="AT170" s="177"/>
      <c r="AV170" s="60"/>
      <c r="AW170" s="60"/>
      <c r="AX170" s="60"/>
      <c r="AY170" s="60"/>
      <c r="AZ170" s="60"/>
      <c r="BA170" s="60"/>
      <c r="BB170" s="60"/>
      <c r="BC170" s="345"/>
      <c r="BD170" s="345"/>
      <c r="BE170" s="345"/>
      <c r="BF170" s="345"/>
      <c r="BG170" s="345"/>
      <c r="BH170" s="345"/>
      <c r="BI170" s="60"/>
      <c r="BJ170" s="60"/>
      <c r="BK170" s="60"/>
      <c r="BL170" s="60"/>
      <c r="BM170" s="60"/>
      <c r="BN170" s="60"/>
      <c r="BO170" s="60"/>
      <c r="BP170" s="60"/>
      <c r="BQ170" s="60"/>
      <c r="BR170" s="60"/>
      <c r="BS170" s="60"/>
      <c r="BT170" s="60"/>
      <c r="BU170" s="60"/>
      <c r="BV170" s="60"/>
      <c r="BW170" s="60"/>
      <c r="BX170" s="60"/>
      <c r="BY170" s="60"/>
      <c r="BZ170" s="60"/>
      <c r="CA170" s="60"/>
      <c r="CB170" s="60"/>
      <c r="CC170" s="60"/>
      <c r="CD170" s="60"/>
      <c r="CE170" s="60"/>
      <c r="CF170" s="60"/>
      <c r="CG170" s="60"/>
      <c r="CH170" s="60"/>
      <c r="CI170" s="60"/>
      <c r="CJ170" s="60"/>
      <c r="CK170" s="60"/>
      <c r="CL170" s="60"/>
      <c r="CM170" s="60"/>
      <c r="CN170" s="60"/>
      <c r="CO170" s="60"/>
      <c r="CP170" s="60"/>
      <c r="CQ170" s="60"/>
      <c r="CR170" s="60"/>
      <c r="CS170" s="60"/>
    </row>
    <row r="171" spans="2:97" s="89" customFormat="1" ht="13" hidden="1" customHeight="1" x14ac:dyDescent="0.3">
      <c r="B171" s="211" t="s">
        <v>215</v>
      </c>
      <c r="C171" s="211" t="s">
        <v>215</v>
      </c>
      <c r="D171" s="1327"/>
      <c r="E171" s="626"/>
      <c r="F171" s="645">
        <v>0</v>
      </c>
      <c r="G171" s="628" cm="1">
        <f t="array" ref="G171">$F171*(SUMPRODUCT(('Cashflow Summary C19RM'!$D$5:$D$239=E171)*('Cashflow Summary C19RM'!$R$5:$R$239)))</f>
        <v>0</v>
      </c>
      <c r="H171" s="633" cm="1">
        <f t="array" ref="H171">$F171*(SUMPRODUCT(('Cashflow Summary C19RM'!$D$5:$D$239=E171)*('Cashflow Summary C19RM'!$S$5:$S$239)))</f>
        <v>0</v>
      </c>
      <c r="I171" s="633" cm="1">
        <f t="array" ref="I171">$F171*(SUMPRODUCT(('Cashflow Summary C19RM'!$D$5:$D$239=E171)*('Cashflow Summary C19RM'!$T$5:$T$239)))</f>
        <v>0</v>
      </c>
      <c r="J171" s="633" cm="1">
        <f t="array" ref="J171">$F171*(SUMPRODUCT(('Cashflow Summary C19RM'!$D$5:$D$239=E171)*('Cashflow Summary C19RM'!$U$5:$U$239)))</f>
        <v>0</v>
      </c>
      <c r="K171" s="631">
        <f t="shared" si="56"/>
        <v>0</v>
      </c>
      <c r="L171" s="627">
        <f t="shared" si="57"/>
        <v>0</v>
      </c>
      <c r="M171" s="633" cm="1">
        <f t="array" ref="M171">$L171*(SUMPRODUCT(('Cashflow Summary C19RM'!$D$5:$D$239=E171)*('Cashflow Summary C19RM'!$V$5:$V$239)))</f>
        <v>0</v>
      </c>
      <c r="N171" s="633" cm="1">
        <f t="array" ref="N171">$L171*(SUMPRODUCT(('Cashflow Summary C19RM'!$D$5:$D$239=E171)*('Cashflow Summary C19RM'!$R$5:$R$239)))</f>
        <v>0</v>
      </c>
      <c r="O171" s="633" cm="1">
        <f t="array" ref="O171">$L171*(SUMPRODUCT(('Cashflow Summary C19RM'!$D$5:$D$239=E171)*('Cashflow Summary C19RM'!$S$5:$S$239)))</f>
        <v>0</v>
      </c>
      <c r="P171" s="633" cm="1">
        <f t="array" ref="P171">$L171*(SUMPRODUCT(('Cashflow Summary C19RM'!$D$5:$D$239=E171)*('Cashflow Summary C19RM'!$T$5:$T$239)))</f>
        <v>0</v>
      </c>
      <c r="Q171" s="632">
        <f t="shared" si="58"/>
        <v>0</v>
      </c>
      <c r="R171" s="627">
        <f t="shared" si="59"/>
        <v>0</v>
      </c>
      <c r="S171" s="633" cm="1">
        <f t="array" ref="S171">$R171*(SUMPRODUCT(('Cashflow Summary C19RM'!$D$5:$D$239=E171)*('Cashflow Summary C19RM'!$U$5:$U$239)))</f>
        <v>0</v>
      </c>
      <c r="T171" s="633" cm="1">
        <f t="array" ref="T171">$R171*(SUMPRODUCT(('Cashflow Summary C19RM'!$D$5:$D$239=E171)*('Cashflow Summary C19RM'!$V$5:$V$239)))</f>
        <v>0</v>
      </c>
      <c r="U171" s="633" cm="1">
        <f t="array" ref="U171">$R171*(SUMPRODUCT(('Cashflow Summary C19RM'!$D$5:$D$239=E171)*('Cashflow Summary C19RM'!$W$5:$W$239)))</f>
        <v>0</v>
      </c>
      <c r="V171" s="633" cm="1">
        <f t="array" ref="V171">$R171*(SUMPRODUCT(('Cashflow Summary C19RM'!$D$5:$D$239=E171)*('Cashflow Summary C19RM'!$X$5:$X$239)))</f>
        <v>0</v>
      </c>
      <c r="W171" s="634">
        <f t="shared" si="60"/>
        <v>0</v>
      </c>
      <c r="X171" s="627">
        <f t="shared" si="61"/>
        <v>0</v>
      </c>
      <c r="Y171" s="633" cm="1">
        <f t="array" ref="Y171">$X171*(SUMPRODUCT(('Cashflow Summary C19RM'!$D$5:$D$239=E171)*('Cashflow Summary C19RM'!$Y$5:$Y$239)))</f>
        <v>0</v>
      </c>
      <c r="Z171" s="633" cm="1">
        <f t="array" ref="Z171">$X171*(SUMPRODUCT(('Cashflow Summary C19RM'!$D$5:$D$239=E171)*('Cashflow Summary C19RM'!$Z$5:$Z$239)))</f>
        <v>0</v>
      </c>
      <c r="AA171" s="633" cm="1">
        <f t="array" ref="AA171">$X171*(SUMPRODUCT(('Cashflow Summary C19RM'!$D$5:$D$239=E171)*('Cashflow Summary C19RM'!$AA$5:$AA$239)))</f>
        <v>0</v>
      </c>
      <c r="AB171" s="633" cm="1">
        <f t="array" ref="AB171">$X171*(SUMPRODUCT(('Cashflow Summary C19RM'!$D$5:$D$239=E171)*('Cashflow Summary C19RM'!$AB$5:$AF$239)))</f>
        <v>0</v>
      </c>
      <c r="AC171" s="634">
        <f t="shared" si="62"/>
        <v>0</v>
      </c>
      <c r="AD171" s="634"/>
      <c r="AE171" s="634"/>
      <c r="AF171" s="634"/>
      <c r="AG171" s="634"/>
      <c r="AH171" s="634"/>
      <c r="AI171" s="634"/>
      <c r="AJ171" s="875">
        <v>0</v>
      </c>
      <c r="AK171" s="634"/>
      <c r="AL171" s="634"/>
      <c r="AM171" s="634"/>
      <c r="AN171" s="634"/>
      <c r="AO171" s="634"/>
      <c r="AP171" s="635">
        <f t="shared" si="73"/>
        <v>0</v>
      </c>
      <c r="AQ171" s="648">
        <v>7.1</v>
      </c>
      <c r="AR171" s="647"/>
      <c r="AS171" s="313"/>
      <c r="AT171" s="177"/>
      <c r="AV171" s="60"/>
      <c r="AW171" s="60"/>
      <c r="AX171" s="60"/>
      <c r="AY171" s="60"/>
      <c r="AZ171" s="60"/>
      <c r="BA171" s="60"/>
      <c r="BB171" s="60"/>
      <c r="BC171" s="345"/>
      <c r="BD171" s="345"/>
      <c r="BE171" s="345"/>
      <c r="BF171" s="345"/>
      <c r="BG171" s="345"/>
      <c r="BH171" s="345"/>
      <c r="BI171" s="60"/>
      <c r="BJ171" s="60"/>
      <c r="BK171" s="60"/>
      <c r="BL171" s="60"/>
      <c r="BM171" s="60"/>
      <c r="BN171" s="60"/>
      <c r="BO171" s="60"/>
      <c r="BP171" s="60"/>
      <c r="BQ171" s="60"/>
      <c r="BR171" s="60"/>
      <c r="BS171" s="60"/>
      <c r="BT171" s="60"/>
      <c r="BU171" s="60"/>
      <c r="BV171" s="60"/>
      <c r="BW171" s="60"/>
      <c r="BX171" s="60"/>
      <c r="BY171" s="60"/>
      <c r="BZ171" s="60"/>
      <c r="CA171" s="60"/>
      <c r="CB171" s="60"/>
      <c r="CC171" s="60"/>
      <c r="CD171" s="60"/>
      <c r="CE171" s="60"/>
      <c r="CF171" s="60"/>
      <c r="CG171" s="60"/>
      <c r="CH171" s="60"/>
      <c r="CI171" s="60"/>
      <c r="CJ171" s="60"/>
      <c r="CK171" s="60"/>
      <c r="CL171" s="60"/>
      <c r="CM171" s="60"/>
      <c r="CN171" s="60"/>
      <c r="CO171" s="60"/>
      <c r="CP171" s="60"/>
      <c r="CQ171" s="60"/>
      <c r="CR171" s="60"/>
      <c r="CS171" s="60"/>
    </row>
    <row r="172" spans="2:97" s="89" customFormat="1" ht="16.399999999999999" hidden="1" customHeight="1" x14ac:dyDescent="0.3">
      <c r="B172" s="211" t="s">
        <v>215</v>
      </c>
      <c r="C172" s="211" t="s">
        <v>215</v>
      </c>
      <c r="D172" s="1327"/>
      <c r="E172" s="626"/>
      <c r="F172" s="645">
        <v>0</v>
      </c>
      <c r="G172" s="628" cm="1">
        <f t="array" ref="G172">$F172*(SUMPRODUCT(('Cashflow Summary C19RM'!$D$5:$D$239=E172)*('Cashflow Summary C19RM'!$R$5:$R$239)))</f>
        <v>0</v>
      </c>
      <c r="H172" s="633" cm="1">
        <f t="array" ref="H172">$F172*(SUMPRODUCT(('Cashflow Summary C19RM'!$D$5:$D$239=E172)*('Cashflow Summary C19RM'!$S$5:$S$239)))</f>
        <v>0</v>
      </c>
      <c r="I172" s="633" cm="1">
        <f t="array" ref="I172">$F172*(SUMPRODUCT(('Cashflow Summary C19RM'!$D$5:$D$239=E172)*('Cashflow Summary C19RM'!$T$5:$T$239)))</f>
        <v>0</v>
      </c>
      <c r="J172" s="633" cm="1">
        <f t="array" ref="J172">$F172*(SUMPRODUCT(('Cashflow Summary C19RM'!$D$5:$D$239=E172)*('Cashflow Summary C19RM'!$U$5:$U$239)))</f>
        <v>0</v>
      </c>
      <c r="K172" s="631">
        <f t="shared" si="56"/>
        <v>0</v>
      </c>
      <c r="L172" s="627">
        <f t="shared" si="57"/>
        <v>0</v>
      </c>
      <c r="M172" s="633" cm="1">
        <f t="array" ref="M172">$L172*(SUMPRODUCT(('Cashflow Summary C19RM'!$D$5:$D$239=E172)*('Cashflow Summary C19RM'!$V$5:$V$239)))</f>
        <v>0</v>
      </c>
      <c r="N172" s="633" cm="1">
        <f t="array" ref="N172">$L172*(SUMPRODUCT(('Cashflow Summary C19RM'!$D$5:$D$239=E172)*('Cashflow Summary C19RM'!$R$5:$R$239)))</f>
        <v>0</v>
      </c>
      <c r="O172" s="633" cm="1">
        <f t="array" ref="O172">$L172*(SUMPRODUCT(('Cashflow Summary C19RM'!$D$5:$D$239=E172)*('Cashflow Summary C19RM'!$S$5:$S$239)))</f>
        <v>0</v>
      </c>
      <c r="P172" s="633" cm="1">
        <f t="array" ref="P172">$L172*(SUMPRODUCT(('Cashflow Summary C19RM'!$D$5:$D$239=E172)*('Cashflow Summary C19RM'!$T$5:$T$239)))</f>
        <v>0</v>
      </c>
      <c r="Q172" s="632">
        <f t="shared" si="58"/>
        <v>0</v>
      </c>
      <c r="R172" s="627">
        <f t="shared" si="59"/>
        <v>0</v>
      </c>
      <c r="S172" s="633" cm="1">
        <f t="array" ref="S172">$R172*(SUMPRODUCT(('Cashflow Summary C19RM'!$D$5:$D$239=E172)*('Cashflow Summary C19RM'!$U$5:$U$239)))</f>
        <v>0</v>
      </c>
      <c r="T172" s="633" cm="1">
        <f t="array" ref="T172">$R172*(SUMPRODUCT(('Cashflow Summary C19RM'!$D$5:$D$239=E172)*('Cashflow Summary C19RM'!$V$5:$V$239)))</f>
        <v>0</v>
      </c>
      <c r="U172" s="633" cm="1">
        <f t="array" ref="U172">$R172*(SUMPRODUCT(('Cashflow Summary C19RM'!$D$5:$D$239=E172)*('Cashflow Summary C19RM'!$W$5:$W$239)))</f>
        <v>0</v>
      </c>
      <c r="V172" s="633" cm="1">
        <f t="array" ref="V172">$R172*(SUMPRODUCT(('Cashflow Summary C19RM'!$D$5:$D$239=E172)*('Cashflow Summary C19RM'!$X$5:$X$239)))</f>
        <v>0</v>
      </c>
      <c r="W172" s="634">
        <f t="shared" si="60"/>
        <v>0</v>
      </c>
      <c r="X172" s="627">
        <f t="shared" si="61"/>
        <v>0</v>
      </c>
      <c r="Y172" s="633" cm="1">
        <f t="array" ref="Y172">$X172*(SUMPRODUCT(('Cashflow Summary C19RM'!$D$5:$D$239=E172)*('Cashflow Summary C19RM'!$Y$5:$Y$239)))</f>
        <v>0</v>
      </c>
      <c r="Z172" s="633" cm="1">
        <f t="array" ref="Z172">$X172*(SUMPRODUCT(('Cashflow Summary C19RM'!$D$5:$D$239=E172)*('Cashflow Summary C19RM'!$Z$5:$Z$239)))</f>
        <v>0</v>
      </c>
      <c r="AA172" s="633" cm="1">
        <f t="array" ref="AA172">$X172*(SUMPRODUCT(('Cashflow Summary C19RM'!$D$5:$D$239=E172)*('Cashflow Summary C19RM'!$AA$5:$AA$239)))</f>
        <v>0</v>
      </c>
      <c r="AB172" s="633" cm="1">
        <f t="array" ref="AB172">$X172*(SUMPRODUCT(('Cashflow Summary C19RM'!$D$5:$D$239=E172)*('Cashflow Summary C19RM'!$AB$5:$AF$239)))</f>
        <v>0</v>
      </c>
      <c r="AC172" s="634">
        <f t="shared" si="62"/>
        <v>0</v>
      </c>
      <c r="AD172" s="634"/>
      <c r="AE172" s="634"/>
      <c r="AF172" s="634"/>
      <c r="AG172" s="634"/>
      <c r="AH172" s="634"/>
      <c r="AI172" s="634"/>
      <c r="AJ172" s="875">
        <v>0</v>
      </c>
      <c r="AK172" s="634"/>
      <c r="AL172" s="634"/>
      <c r="AM172" s="634"/>
      <c r="AN172" s="634"/>
      <c r="AO172" s="634"/>
      <c r="AP172" s="635">
        <f t="shared" si="73"/>
        <v>0</v>
      </c>
      <c r="AQ172" s="648">
        <v>7.1</v>
      </c>
      <c r="AR172" s="647"/>
      <c r="AS172" s="313"/>
      <c r="AT172" s="177"/>
      <c r="AV172" s="60"/>
      <c r="AW172" s="60"/>
      <c r="AX172" s="60"/>
      <c r="AY172" s="60"/>
      <c r="AZ172" s="60"/>
      <c r="BA172" s="60"/>
      <c r="BB172" s="60"/>
      <c r="BC172" s="345"/>
      <c r="BD172" s="345"/>
      <c r="BE172" s="345"/>
      <c r="BF172" s="345"/>
      <c r="BG172" s="345"/>
      <c r="BH172" s="345"/>
      <c r="BI172" s="60"/>
      <c r="BJ172" s="60"/>
      <c r="BK172" s="60"/>
      <c r="BL172" s="60"/>
      <c r="BM172" s="60"/>
      <c r="BN172" s="60"/>
      <c r="BO172" s="60"/>
      <c r="BP172" s="60"/>
      <c r="BQ172" s="60"/>
      <c r="BR172" s="60"/>
      <c r="BS172" s="60"/>
      <c r="BT172" s="60"/>
      <c r="BU172" s="60"/>
      <c r="BV172" s="60"/>
      <c r="BW172" s="60"/>
      <c r="BX172" s="60"/>
      <c r="BY172" s="60"/>
      <c r="BZ172" s="60"/>
      <c r="CA172" s="60"/>
      <c r="CB172" s="60"/>
      <c r="CC172" s="60"/>
      <c r="CD172" s="60"/>
      <c r="CE172" s="60"/>
      <c r="CF172" s="60"/>
      <c r="CG172" s="60"/>
      <c r="CH172" s="60"/>
      <c r="CI172" s="60"/>
      <c r="CJ172" s="60"/>
      <c r="CK172" s="60"/>
      <c r="CL172" s="60"/>
      <c r="CM172" s="60"/>
      <c r="CN172" s="60"/>
      <c r="CO172" s="60"/>
      <c r="CP172" s="60"/>
      <c r="CQ172" s="60"/>
      <c r="CR172" s="60"/>
      <c r="CS172" s="60"/>
    </row>
    <row r="173" spans="2:97" s="89" customFormat="1" ht="16.399999999999999" hidden="1" customHeight="1" thickBot="1" x14ac:dyDescent="0.35">
      <c r="B173" s="211" t="s">
        <v>215</v>
      </c>
      <c r="C173" s="211" t="s">
        <v>215</v>
      </c>
      <c r="D173" s="1328"/>
      <c r="E173" s="637"/>
      <c r="F173" s="649">
        <v>0</v>
      </c>
      <c r="G173" s="650" cm="1">
        <f t="array" ref="G173">$F173*(SUMPRODUCT(('Cashflow Summary C19RM'!$D$5:$D$239=E173)*('Cashflow Summary C19RM'!$R$5:$R$239)))</f>
        <v>0</v>
      </c>
      <c r="H173" s="641" cm="1">
        <f t="array" ref="H173">$F173*(SUMPRODUCT(('Cashflow Summary C19RM'!$D$5:$D$239=E173)*('Cashflow Summary C19RM'!$S$5:$S$239)))</f>
        <v>0</v>
      </c>
      <c r="I173" s="641" cm="1">
        <f t="array" ref="I173">$F173*(SUMPRODUCT(('Cashflow Summary C19RM'!$D$5:$D$239=E173)*('Cashflow Summary C19RM'!$T$5:$T$239)))</f>
        <v>0</v>
      </c>
      <c r="J173" s="641" cm="1">
        <f t="array" ref="J173">$F173*(SUMPRODUCT(('Cashflow Summary C19RM'!$D$5:$D$239=E173)*('Cashflow Summary C19RM'!$U$5:$U$239)))</f>
        <v>0</v>
      </c>
      <c r="K173" s="642">
        <f t="shared" si="56"/>
        <v>0</v>
      </c>
      <c r="L173" s="640">
        <f t="shared" si="57"/>
        <v>0</v>
      </c>
      <c r="M173" s="641" cm="1">
        <f t="array" ref="M173">$L173*(SUMPRODUCT(('Cashflow Summary C19RM'!$D$5:$D$239=E173)*('Cashflow Summary C19RM'!$V$5:$V$239)))</f>
        <v>0</v>
      </c>
      <c r="N173" s="641" cm="1">
        <f t="array" ref="N173">$L173*(SUMPRODUCT(('Cashflow Summary C19RM'!$D$5:$D$239=E173)*('Cashflow Summary C19RM'!$R$5:$R$239)))</f>
        <v>0</v>
      </c>
      <c r="O173" s="641" cm="1">
        <f t="array" ref="O173">$L173*(SUMPRODUCT(('Cashflow Summary C19RM'!$D$5:$D$239=E173)*('Cashflow Summary C19RM'!$S$5:$S$239)))</f>
        <v>0</v>
      </c>
      <c r="P173" s="641" cm="1">
        <f t="array" ref="P173">$L173*(SUMPRODUCT(('Cashflow Summary C19RM'!$D$5:$D$239=E173)*('Cashflow Summary C19RM'!$T$5:$T$239)))</f>
        <v>0</v>
      </c>
      <c r="Q173" s="643">
        <f t="shared" si="58"/>
        <v>0</v>
      </c>
      <c r="R173" s="640">
        <f t="shared" si="59"/>
        <v>0</v>
      </c>
      <c r="S173" s="641" cm="1">
        <f t="array" ref="S173">$R173*(SUMPRODUCT(('Cashflow Summary C19RM'!$D$5:$D$239=E173)*('Cashflow Summary C19RM'!$U$5:$U$239)))</f>
        <v>0</v>
      </c>
      <c r="T173" s="641" cm="1">
        <f t="array" ref="T173">$R173*(SUMPRODUCT(('Cashflow Summary C19RM'!$D$5:$D$239=E173)*('Cashflow Summary C19RM'!$V$5:$V$239)))</f>
        <v>0</v>
      </c>
      <c r="U173" s="641" cm="1">
        <f t="array" ref="U173">$R173*(SUMPRODUCT(('Cashflow Summary C19RM'!$D$5:$D$239=E173)*('Cashflow Summary C19RM'!$W$5:$W$239)))</f>
        <v>0</v>
      </c>
      <c r="V173" s="641" cm="1">
        <f t="array" ref="V173">$R173*(SUMPRODUCT(('Cashflow Summary C19RM'!$D$5:$D$239=E173)*('Cashflow Summary C19RM'!$X$5:$X$239)))</f>
        <v>0</v>
      </c>
      <c r="W173" s="651">
        <f t="shared" si="60"/>
        <v>0</v>
      </c>
      <c r="X173" s="640">
        <f t="shared" si="61"/>
        <v>0</v>
      </c>
      <c r="Y173" s="641" cm="1">
        <f t="array" ref="Y173">$X173*(SUMPRODUCT(('Cashflow Summary C19RM'!$D$5:$D$239=E173)*('Cashflow Summary C19RM'!$Y$5:$Y$239)))</f>
        <v>0</v>
      </c>
      <c r="Z173" s="641" cm="1">
        <f t="array" ref="Z173">$X173*(SUMPRODUCT(('Cashflow Summary C19RM'!$D$5:$D$239=E173)*('Cashflow Summary C19RM'!$Z$5:$Z$239)))</f>
        <v>0</v>
      </c>
      <c r="AA173" s="641" cm="1">
        <f t="array" ref="AA173">$X173*(SUMPRODUCT(('Cashflow Summary C19RM'!$D$5:$D$239=E173)*('Cashflow Summary C19RM'!$AA$5:$AA$239)))</f>
        <v>0</v>
      </c>
      <c r="AB173" s="641" cm="1">
        <f t="array" ref="AB173">$X173*(SUMPRODUCT(('Cashflow Summary C19RM'!$D$5:$D$239=E173)*('Cashflow Summary C19RM'!$AB$5:$AF$239)))</f>
        <v>0</v>
      </c>
      <c r="AC173" s="651">
        <f t="shared" si="62"/>
        <v>0</v>
      </c>
      <c r="AD173" s="651"/>
      <c r="AE173" s="651"/>
      <c r="AF173" s="651"/>
      <c r="AG173" s="651"/>
      <c r="AH173" s="651"/>
      <c r="AI173" s="651"/>
      <c r="AJ173" s="875">
        <v>0</v>
      </c>
      <c r="AK173" s="651"/>
      <c r="AL173" s="651"/>
      <c r="AM173" s="651"/>
      <c r="AN173" s="651"/>
      <c r="AO173" s="651"/>
      <c r="AP173" s="644">
        <f t="shared" si="73"/>
        <v>0</v>
      </c>
      <c r="AQ173" s="652">
        <v>7.1</v>
      </c>
      <c r="AR173" s="653"/>
      <c r="AS173" s="313"/>
      <c r="AT173" s="177"/>
      <c r="AV173" s="60"/>
      <c r="AW173" s="60"/>
      <c r="AX173" s="60"/>
      <c r="AY173" s="60"/>
      <c r="AZ173" s="60"/>
      <c r="BA173" s="60"/>
      <c r="BB173" s="60"/>
      <c r="BC173" s="345"/>
      <c r="BD173" s="345"/>
      <c r="BE173" s="345"/>
      <c r="BF173" s="345"/>
      <c r="BG173" s="345"/>
      <c r="BH173" s="345"/>
      <c r="BI173" s="60"/>
      <c r="BJ173" s="60"/>
      <c r="BK173" s="60"/>
      <c r="BL173" s="60"/>
      <c r="BM173" s="60"/>
      <c r="BN173" s="60"/>
      <c r="BO173" s="60"/>
      <c r="BP173" s="60"/>
      <c r="BQ173" s="60"/>
      <c r="BR173" s="60"/>
      <c r="BS173" s="60"/>
      <c r="BT173" s="60"/>
      <c r="BU173" s="60"/>
      <c r="BV173" s="60"/>
      <c r="BW173" s="60"/>
      <c r="BX173" s="60"/>
      <c r="BY173" s="60"/>
      <c r="BZ173" s="60"/>
      <c r="CA173" s="60"/>
      <c r="CB173" s="60"/>
      <c r="CC173" s="60"/>
      <c r="CD173" s="60"/>
      <c r="CE173" s="60"/>
      <c r="CF173" s="60"/>
      <c r="CG173" s="60"/>
      <c r="CH173" s="60"/>
      <c r="CI173" s="60"/>
      <c r="CJ173" s="60"/>
      <c r="CK173" s="60"/>
      <c r="CL173" s="60"/>
      <c r="CM173" s="60"/>
      <c r="CN173" s="60"/>
      <c r="CO173" s="60"/>
      <c r="CP173" s="60"/>
      <c r="CQ173" s="60"/>
      <c r="CR173" s="60"/>
      <c r="CS173" s="60"/>
    </row>
    <row r="174" spans="2:97" s="89" customFormat="1" ht="13.5" customHeight="1" x14ac:dyDescent="0.3">
      <c r="D174" s="446"/>
      <c r="E174" s="625"/>
      <c r="F174" s="625"/>
      <c r="G174" s="625"/>
      <c r="H174" s="625"/>
      <c r="I174" s="625"/>
      <c r="J174" s="625"/>
      <c r="K174" s="625"/>
      <c r="L174" s="625"/>
      <c r="M174" s="625"/>
      <c r="N174" s="625"/>
      <c r="O174" s="625"/>
      <c r="P174" s="669"/>
      <c r="Q174" s="669"/>
      <c r="R174" s="670"/>
      <c r="S174" s="669"/>
      <c r="T174" s="671"/>
      <c r="U174" s="669"/>
      <c r="V174" s="669"/>
      <c r="W174" s="669"/>
      <c r="X174" s="670"/>
      <c r="Y174" s="669"/>
      <c r="Z174" s="671"/>
      <c r="AA174" s="669"/>
      <c r="AB174" s="669"/>
      <c r="AC174" s="669"/>
      <c r="AD174" s="669"/>
      <c r="AE174" s="669"/>
      <c r="AF174" s="669"/>
      <c r="AG174" s="669"/>
      <c r="AH174" s="669"/>
      <c r="AI174" s="669"/>
      <c r="AJ174" s="669"/>
      <c r="AK174" s="669"/>
      <c r="AL174" s="669"/>
      <c r="AM174" s="669"/>
      <c r="AN174" s="669"/>
      <c r="AO174" s="669"/>
      <c r="AP174" s="669"/>
      <c r="AQ174" s="669"/>
      <c r="AR174" s="672"/>
      <c r="AS174" s="313"/>
      <c r="AT174" s="289"/>
      <c r="AU174" s="302"/>
      <c r="AV174" s="177"/>
      <c r="AW174" s="60"/>
      <c r="AX174" s="60"/>
      <c r="AY174" s="60"/>
      <c r="AZ174" s="60"/>
      <c r="BA174" s="60"/>
      <c r="BB174" s="60"/>
      <c r="BC174" s="345"/>
      <c r="BD174" s="345"/>
      <c r="BE174" s="345"/>
      <c r="BF174" s="345"/>
      <c r="BG174" s="345"/>
      <c r="BH174" s="345"/>
      <c r="BI174" s="60"/>
      <c r="BJ174" s="60"/>
      <c r="BK174" s="60"/>
      <c r="BL174" s="60"/>
      <c r="BM174" s="60"/>
      <c r="BN174" s="60"/>
      <c r="BO174" s="60"/>
      <c r="BP174" s="60"/>
      <c r="BQ174" s="60"/>
      <c r="BR174" s="60"/>
      <c r="BS174" s="60"/>
      <c r="BT174" s="60"/>
      <c r="BU174" s="60"/>
      <c r="BV174" s="60"/>
      <c r="BW174" s="60"/>
      <c r="BX174" s="60"/>
      <c r="BY174" s="60"/>
      <c r="BZ174" s="60"/>
      <c r="CA174" s="60"/>
      <c r="CB174" s="60"/>
      <c r="CC174" s="60"/>
      <c r="CD174" s="60"/>
      <c r="CE174" s="60"/>
      <c r="CF174" s="60"/>
      <c r="CG174" s="60"/>
      <c r="CH174" s="60"/>
      <c r="CI174" s="60"/>
      <c r="CJ174" s="60"/>
      <c r="CK174" s="60"/>
      <c r="CL174" s="60"/>
      <c r="CM174" s="60"/>
      <c r="CN174" s="60"/>
      <c r="CO174" s="60"/>
      <c r="CP174" s="60"/>
      <c r="CQ174" s="60"/>
      <c r="CR174" s="60"/>
      <c r="CS174" s="60"/>
    </row>
    <row r="175" spans="2:97" s="89" customFormat="1" ht="7.5" customHeight="1" x14ac:dyDescent="0.3">
      <c r="D175" s="446"/>
      <c r="E175" s="625"/>
      <c r="F175" s="625"/>
      <c r="G175" s="625"/>
      <c r="H175" s="625"/>
      <c r="I175" s="625"/>
      <c r="J175" s="625"/>
      <c r="K175" s="625"/>
      <c r="L175" s="625"/>
      <c r="M175" s="625"/>
      <c r="N175" s="625"/>
      <c r="O175" s="625"/>
      <c r="P175" s="669"/>
      <c r="Q175" s="669"/>
      <c r="R175" s="670"/>
      <c r="S175" s="669"/>
      <c r="T175" s="671"/>
      <c r="U175" s="669"/>
      <c r="V175" s="669"/>
      <c r="W175" s="669"/>
      <c r="X175" s="670"/>
      <c r="Y175" s="669"/>
      <c r="Z175" s="671"/>
      <c r="AA175" s="669"/>
      <c r="AB175" s="669"/>
      <c r="AC175" s="669"/>
      <c r="AD175" s="669"/>
      <c r="AE175" s="669"/>
      <c r="AF175" s="669"/>
      <c r="AG175" s="669"/>
      <c r="AH175" s="669"/>
      <c r="AI175" s="669"/>
      <c r="AJ175" s="669"/>
      <c r="AK175" s="669"/>
      <c r="AL175" s="669"/>
      <c r="AM175" s="669"/>
      <c r="AN175" s="669"/>
      <c r="AO175" s="669"/>
      <c r="AP175" s="669"/>
      <c r="AQ175" s="669"/>
      <c r="AR175" s="672"/>
      <c r="AS175" s="313"/>
      <c r="AT175" s="289"/>
      <c r="AU175" s="302"/>
      <c r="AV175" s="177"/>
      <c r="AW175" s="60"/>
      <c r="AX175" s="60"/>
      <c r="AY175" s="60"/>
      <c r="AZ175" s="60"/>
      <c r="BA175" s="60"/>
      <c r="BB175" s="60"/>
      <c r="BC175" s="345"/>
      <c r="BD175" s="345"/>
      <c r="BE175" s="345"/>
      <c r="BF175" s="345"/>
      <c r="BG175" s="345"/>
      <c r="BH175" s="345"/>
      <c r="BI175" s="60"/>
      <c r="BJ175" s="60"/>
      <c r="BK175" s="60"/>
      <c r="BL175" s="60"/>
      <c r="BM175" s="60"/>
      <c r="BN175" s="60"/>
      <c r="BO175" s="60"/>
      <c r="BP175" s="60"/>
      <c r="BQ175" s="60"/>
      <c r="BR175" s="60"/>
      <c r="BS175" s="60"/>
      <c r="BT175" s="60"/>
      <c r="BU175" s="60"/>
      <c r="BV175" s="60"/>
      <c r="BW175" s="60"/>
      <c r="BX175" s="60"/>
      <c r="BY175" s="60"/>
      <c r="BZ175" s="60"/>
      <c r="CA175" s="60"/>
      <c r="CB175" s="60"/>
      <c r="CC175" s="60"/>
      <c r="CD175" s="60"/>
      <c r="CE175" s="60"/>
      <c r="CF175" s="60"/>
      <c r="CG175" s="60"/>
      <c r="CH175" s="60"/>
      <c r="CI175" s="60"/>
      <c r="CJ175" s="60"/>
      <c r="CK175" s="60"/>
      <c r="CL175" s="60"/>
      <c r="CM175" s="60"/>
      <c r="CN175" s="60"/>
      <c r="CO175" s="60"/>
      <c r="CP175" s="60"/>
      <c r="CQ175" s="60"/>
      <c r="CR175" s="60"/>
      <c r="CS175" s="60"/>
    </row>
    <row r="176" spans="2:97" s="89" customFormat="1" ht="22.5" customHeight="1" x14ac:dyDescent="0.3">
      <c r="D176" s="743">
        <v>2</v>
      </c>
      <c r="E176" s="742"/>
      <c r="F176" s="742"/>
      <c r="G176" s="625"/>
      <c r="H176" s="625"/>
      <c r="I176" s="625"/>
      <c r="J176" s="625"/>
      <c r="K176" s="625"/>
      <c r="L176" s="625"/>
      <c r="M176" s="625"/>
      <c r="N176" s="625"/>
      <c r="O176" s="625"/>
      <c r="P176" s="669"/>
      <c r="Q176" s="669"/>
      <c r="R176" s="670"/>
      <c r="S176" s="669"/>
      <c r="T176" s="671"/>
      <c r="U176" s="669"/>
      <c r="V176" s="669"/>
      <c r="W176" s="669"/>
      <c r="X176" s="670"/>
      <c r="Y176" s="669"/>
      <c r="Z176" s="671"/>
      <c r="AA176" s="669"/>
      <c r="AB176" s="669"/>
      <c r="AC176" s="669"/>
      <c r="AD176" s="669"/>
      <c r="AE176" s="669"/>
      <c r="AF176" s="669"/>
      <c r="AG176" s="669"/>
      <c r="AH176" s="669"/>
      <c r="AI176" s="669"/>
      <c r="AJ176" s="669"/>
      <c r="AK176" s="669"/>
      <c r="AL176" s="669"/>
      <c r="AM176" s="669"/>
      <c r="AN176" s="669"/>
      <c r="AO176" s="669"/>
      <c r="AP176" s="669"/>
      <c r="AQ176" s="669"/>
      <c r="AR176" s="672"/>
      <c r="AS176" s="313"/>
      <c r="AT176" s="289"/>
      <c r="AU176" s="302"/>
      <c r="AV176" s="177"/>
      <c r="AW176" s="60"/>
      <c r="AX176" s="60"/>
      <c r="AY176" s="60"/>
      <c r="AZ176" s="60"/>
      <c r="BA176" s="60"/>
      <c r="BB176" s="60"/>
      <c r="BC176" s="345"/>
      <c r="BD176" s="345"/>
      <c r="BE176" s="345"/>
      <c r="BF176" s="345"/>
      <c r="BG176" s="345"/>
      <c r="BH176" s="345"/>
      <c r="BI176" s="60"/>
      <c r="BJ176" s="60"/>
      <c r="BK176" s="60"/>
      <c r="BL176" s="60"/>
      <c r="BM176" s="60"/>
      <c r="BN176" s="60"/>
      <c r="BO176" s="60"/>
      <c r="BP176" s="60"/>
      <c r="BQ176" s="60"/>
      <c r="BR176" s="60"/>
      <c r="BS176" s="60"/>
      <c r="BT176" s="60"/>
      <c r="BU176" s="60"/>
      <c r="BV176" s="60"/>
      <c r="BW176" s="60"/>
      <c r="BX176" s="60"/>
      <c r="BY176" s="60"/>
      <c r="BZ176" s="60"/>
      <c r="CA176" s="60"/>
      <c r="CB176" s="60"/>
      <c r="CC176" s="60"/>
      <c r="CD176" s="60"/>
      <c r="CE176" s="60"/>
      <c r="CF176" s="60"/>
      <c r="CG176" s="60"/>
      <c r="CH176" s="60"/>
      <c r="CI176" s="60"/>
      <c r="CJ176" s="60"/>
      <c r="CK176" s="60"/>
      <c r="CL176" s="60"/>
      <c r="CM176" s="60"/>
      <c r="CN176" s="60"/>
      <c r="CO176" s="60"/>
      <c r="CP176" s="60"/>
      <c r="CQ176" s="60"/>
      <c r="CR176" s="60"/>
      <c r="CS176" s="60"/>
    </row>
    <row r="177" spans="1:65" s="184" customFormat="1" ht="25.5" customHeight="1" thickBot="1" x14ac:dyDescent="0.4">
      <c r="B177" s="175"/>
      <c r="C177" s="175"/>
      <c r="D177" s="673" t="s">
        <v>742</v>
      </c>
      <c r="E177" s="694"/>
      <c r="F177" s="694"/>
      <c r="G177" s="625"/>
      <c r="H177" s="1304"/>
      <c r="I177" s="1304"/>
      <c r="J177" s="447"/>
      <c r="K177" s="447"/>
      <c r="L177" s="447"/>
      <c r="M177" s="447"/>
      <c r="N177" s="447"/>
      <c r="O177" s="447"/>
      <c r="P177" s="447"/>
      <c r="Q177" s="447"/>
      <c r="R177" s="447"/>
      <c r="S177" s="447"/>
      <c r="T177" s="447"/>
      <c r="U177" s="447"/>
      <c r="V177" s="447"/>
      <c r="W177" s="447"/>
      <c r="X177" s="447"/>
      <c r="Y177" s="447"/>
      <c r="Z177" s="447"/>
      <c r="AA177" s="447"/>
      <c r="AB177" s="447"/>
      <c r="AC177" s="447"/>
      <c r="AD177" s="447"/>
      <c r="AE177" s="447"/>
      <c r="AF177" s="447"/>
      <c r="AG177" s="447"/>
      <c r="AH177" s="447"/>
      <c r="AI177" s="447"/>
      <c r="AJ177" s="447"/>
      <c r="AK177" s="447"/>
      <c r="AL177" s="447"/>
      <c r="AM177" s="447"/>
      <c r="AN177" s="447"/>
      <c r="AO177" s="447"/>
      <c r="AP177" s="447"/>
      <c r="AQ177" s="447"/>
      <c r="AR177" s="661"/>
      <c r="AT177"/>
      <c r="AU177" s="183"/>
      <c r="AV177" s="183"/>
      <c r="AW177" s="183"/>
      <c r="AX177" s="183"/>
      <c r="AY177" s="183"/>
      <c r="AZ177" s="183"/>
      <c r="BA177" s="183"/>
      <c r="BB177" s="183"/>
      <c r="BC177" s="345"/>
      <c r="BD177" s="345"/>
      <c r="BE177" s="345"/>
      <c r="BF177" s="345"/>
      <c r="BG177" s="345"/>
      <c r="BH177" s="345"/>
      <c r="BI177" s="183"/>
      <c r="BJ177" s="183"/>
      <c r="BK177" s="183"/>
    </row>
    <row r="178" spans="1:65" s="89" customFormat="1" ht="14.15" customHeight="1" x14ac:dyDescent="0.35">
      <c r="D178" s="1332" t="str">
        <f>D14</f>
        <v>Type of health product</v>
      </c>
      <c r="E178" s="1333"/>
      <c r="F178" s="1329" t="str">
        <f>VLOOKUP("Estimated % for warehousing (7.3)",Language!$D$1583:$G$1845,$O$1,FALSE)</f>
        <v>Estimated % for warehousing (7.3)</v>
      </c>
      <c r="G178" s="1294" t="str">
        <f>G14</f>
        <v>2021</v>
      </c>
      <c r="H178" s="1295"/>
      <c r="I178" s="1295"/>
      <c r="J178" s="1295"/>
      <c r="K178" s="1302"/>
      <c r="L178" s="1329" t="str">
        <f>F178</f>
        <v>Estimated % for warehousing (7.3)</v>
      </c>
      <c r="M178" s="1294" t="str">
        <f>M14</f>
        <v>2022</v>
      </c>
      <c r="N178" s="1295"/>
      <c r="O178" s="1295"/>
      <c r="P178" s="1295"/>
      <c r="Q178" s="1302"/>
      <c r="R178" s="1329" t="str">
        <f>F178</f>
        <v>Estimated % for warehousing (7.3)</v>
      </c>
      <c r="S178" s="1294" t="str">
        <f>S14</f>
        <v>2023</v>
      </c>
      <c r="T178" s="1295"/>
      <c r="U178" s="1295"/>
      <c r="V178" s="1295"/>
      <c r="W178" s="1302"/>
      <c r="X178" s="1329" t="str">
        <f>F178</f>
        <v>Estimated % for warehousing (7.3)</v>
      </c>
      <c r="Y178" s="1294" t="str">
        <f>Y14</f>
        <v>2024</v>
      </c>
      <c r="Z178" s="1295"/>
      <c r="AA178" s="1295"/>
      <c r="AB178" s="1295"/>
      <c r="AC178" s="1296"/>
      <c r="AD178" s="1329" t="str">
        <f>L178</f>
        <v>Estimated % for warehousing (7.3)</v>
      </c>
      <c r="AE178" s="1294" t="str">
        <f>AE14</f>
        <v>2025</v>
      </c>
      <c r="AF178" s="1295"/>
      <c r="AG178" s="1295"/>
      <c r="AH178" s="1295"/>
      <c r="AI178" s="1296"/>
      <c r="AJ178" s="1329" t="str">
        <f>R178</f>
        <v>Estimated % for warehousing (7.3)</v>
      </c>
      <c r="AK178" s="1294" t="str">
        <f>AK14</f>
        <v/>
      </c>
      <c r="AL178" s="1295"/>
      <c r="AM178" s="1295"/>
      <c r="AN178" s="1295"/>
      <c r="AO178" s="1296"/>
      <c r="AP178" s="1300" t="str">
        <f>AP14</f>
        <v>Total grant period</v>
      </c>
      <c r="AQ178" s="1300" t="str">
        <f>AQ14</f>
        <v>Finance</v>
      </c>
      <c r="AR178" s="1310" t="str">
        <f>AR14</f>
        <v>Comments</v>
      </c>
      <c r="AS178" s="1323"/>
      <c r="AT178"/>
      <c r="BC178" s="345"/>
      <c r="BD178" s="345"/>
      <c r="BE178" s="345"/>
      <c r="BF178" s="345"/>
      <c r="BG178" s="345"/>
      <c r="BH178" s="345"/>
    </row>
    <row r="179" spans="1:65" s="89" customFormat="1" ht="15.75" customHeight="1" thickBot="1" x14ac:dyDescent="0.4">
      <c r="D179" s="1334"/>
      <c r="E179" s="1335"/>
      <c r="F179" s="1330"/>
      <c r="G179" s="1297"/>
      <c r="H179" s="1298"/>
      <c r="I179" s="1298"/>
      <c r="J179" s="1298"/>
      <c r="K179" s="1303"/>
      <c r="L179" s="1330"/>
      <c r="M179" s="1297"/>
      <c r="N179" s="1298"/>
      <c r="O179" s="1298"/>
      <c r="P179" s="1298"/>
      <c r="Q179" s="1303"/>
      <c r="R179" s="1330"/>
      <c r="S179" s="1297"/>
      <c r="T179" s="1298"/>
      <c r="U179" s="1298"/>
      <c r="V179" s="1298"/>
      <c r="W179" s="1303"/>
      <c r="X179" s="1330"/>
      <c r="Y179" s="1297"/>
      <c r="Z179" s="1298"/>
      <c r="AA179" s="1298"/>
      <c r="AB179" s="1298"/>
      <c r="AC179" s="1299"/>
      <c r="AD179" s="1330"/>
      <c r="AE179" s="1297"/>
      <c r="AF179" s="1298"/>
      <c r="AG179" s="1298"/>
      <c r="AH179" s="1298"/>
      <c r="AI179" s="1299"/>
      <c r="AJ179" s="1330"/>
      <c r="AK179" s="1297"/>
      <c r="AL179" s="1298"/>
      <c r="AM179" s="1298"/>
      <c r="AN179" s="1298"/>
      <c r="AO179" s="1299"/>
      <c r="AP179" s="1301"/>
      <c r="AQ179" s="1301"/>
      <c r="AR179" s="1311"/>
      <c r="AS179" s="1324"/>
      <c r="AT179"/>
      <c r="BC179" s="345"/>
      <c r="BD179" s="345"/>
      <c r="BE179" s="345"/>
      <c r="BF179" s="345"/>
      <c r="BG179" s="345"/>
      <c r="BH179" s="345"/>
    </row>
    <row r="180" spans="1:65" s="174" customFormat="1" ht="47.5" customHeight="1" thickBot="1" x14ac:dyDescent="0.35">
      <c r="B180" s="209"/>
      <c r="C180" s="209"/>
      <c r="D180" s="1336"/>
      <c r="E180" s="1337"/>
      <c r="F180" s="1331"/>
      <c r="G180" s="695" t="str">
        <f>G16</f>
        <v>Y1 Q1 cost</v>
      </c>
      <c r="H180" s="933" t="str">
        <f>H16</f>
        <v>Y1 Q2 cost</v>
      </c>
      <c r="I180" s="933" t="str">
        <f>I16</f>
        <v>Y1 Q3 cost</v>
      </c>
      <c r="J180" s="933" t="str">
        <f>J16</f>
        <v>Y1 Q4 cost</v>
      </c>
      <c r="K180" s="696" t="str">
        <f>K16</f>
        <v>Y1 Total cost</v>
      </c>
      <c r="L180" s="1331"/>
      <c r="M180" s="695" t="str">
        <f>M16</f>
        <v>Y2 Q1 cost</v>
      </c>
      <c r="N180" s="933" t="str">
        <f>N16</f>
        <v>Y2 Q2 cost</v>
      </c>
      <c r="O180" s="933" t="str">
        <f>O16</f>
        <v>Y2 Q3 cost</v>
      </c>
      <c r="P180" s="933" t="str">
        <f>P16</f>
        <v>Y2 Q4 cost</v>
      </c>
      <c r="Q180" s="696" t="str">
        <f>Q16</f>
        <v>Y2 Total cost</v>
      </c>
      <c r="R180" s="1331"/>
      <c r="S180" s="695" t="str">
        <f>S16</f>
        <v>Y3 Q1 cost</v>
      </c>
      <c r="T180" s="933" t="str">
        <f>T16</f>
        <v>Y3 Q2 cost</v>
      </c>
      <c r="U180" s="933" t="str">
        <f>U16</f>
        <v>Y3 Q3 cost</v>
      </c>
      <c r="V180" s="933" t="str">
        <f>V16</f>
        <v>Y3 Q4 cost</v>
      </c>
      <c r="W180" s="696" t="str">
        <f>W16</f>
        <v>Y3 Total cost</v>
      </c>
      <c r="X180" s="1331"/>
      <c r="Y180" s="695" t="str">
        <f>Y16</f>
        <v>Y4 Q1 cost</v>
      </c>
      <c r="Z180" s="933" t="str">
        <f>Z16</f>
        <v>Y4 Q2 cost</v>
      </c>
      <c r="AA180" s="933" t="str">
        <f>AA16</f>
        <v>Y4 Q3 cost</v>
      </c>
      <c r="AB180" s="933" t="str">
        <f>AB16</f>
        <v>Y4 Q4 cost</v>
      </c>
      <c r="AC180" s="933" t="str">
        <f>AC16</f>
        <v>Y4 Total cost</v>
      </c>
      <c r="AD180" s="1331"/>
      <c r="AE180" s="933" t="str">
        <f>AE16</f>
        <v>Y5 Q1 cost</v>
      </c>
      <c r="AF180" s="933" t="str">
        <f>AF16</f>
        <v>Y5 Q2 cost</v>
      </c>
      <c r="AG180" s="933" t="str">
        <f>AG16</f>
        <v>Y5 Q3 cost</v>
      </c>
      <c r="AH180" s="933" t="str">
        <f>AH16</f>
        <v>Y5 Q4 cost</v>
      </c>
      <c r="AI180" s="933" t="str">
        <f>AI16</f>
        <v>Y5 Total cost</v>
      </c>
      <c r="AJ180" s="1331"/>
      <c r="AK180" s="933" t="str">
        <f t="shared" ref="AK180:AQ180" si="74">AK16</f>
        <v>Y6 Q1 cost</v>
      </c>
      <c r="AL180" s="933" t="str">
        <f t="shared" si="74"/>
        <v>Y6 Q2 cost</v>
      </c>
      <c r="AM180" s="933" t="str">
        <f t="shared" si="74"/>
        <v>Y6 Q3 cost</v>
      </c>
      <c r="AN180" s="933" t="str">
        <f t="shared" si="74"/>
        <v>Y6 Q4 cost</v>
      </c>
      <c r="AO180" s="933" t="str">
        <f t="shared" si="74"/>
        <v>Y6 Total cost</v>
      </c>
      <c r="AP180" s="695" t="str">
        <f t="shared" si="74"/>
        <v>Total cost</v>
      </c>
      <c r="AQ180" s="695" t="str">
        <f t="shared" si="74"/>
        <v>Cost input</v>
      </c>
      <c r="AR180" s="1312"/>
      <c r="AS180" s="1325"/>
      <c r="BC180" s="345"/>
      <c r="BD180" s="345"/>
      <c r="BE180" s="345"/>
      <c r="BF180" s="345"/>
      <c r="BG180" s="345"/>
      <c r="BH180" s="345"/>
    </row>
    <row r="181" spans="1:65" s="89" customFormat="1" ht="15" customHeight="1" thickBot="1" x14ac:dyDescent="0.4">
      <c r="A181" s="89" t="s">
        <v>216</v>
      </c>
      <c r="B181" s="211" t="s">
        <v>747</v>
      </c>
      <c r="C181" s="698" t="s">
        <v>2751</v>
      </c>
      <c r="D181" s="1313" t="s">
        <v>83</v>
      </c>
      <c r="E181" s="1009" t="s">
        <v>32</v>
      </c>
      <c r="F181" s="996">
        <v>0</v>
      </c>
      <c r="G181" s="725" cm="1">
        <f t="array" ref="G181">$F181*(SUMPRODUCT(('Cashflow Summary C19RM'!$K$5:$K$239&lt;&gt;1)*('Cashflow Summary C19RM'!$D$5:$D$239=E181)*('Cashflow Summary C19RM'!$R$5:$R$239)))</f>
        <v>0</v>
      </c>
      <c r="H181" s="977" cm="1">
        <f t="array" ref="H181">$F181*(SUMPRODUCT(('Cashflow Summary C19RM'!$K$5:$K$239&lt;&gt;1)*('Cashflow Summary C19RM'!$D$5:$D$239=E181)*('Cashflow Summary C19RM'!$S$5:$S$239)))</f>
        <v>0</v>
      </c>
      <c r="I181" s="978" cm="1">
        <f t="array" ref="I181">$F181*(SUMPRODUCT(('Cashflow Summary C19RM'!$K$5:$K$239&lt;&gt;1)*('Cashflow Summary C19RM'!$D$5:$D$239=E181)*('Cashflow Summary C19RM'!$T$5:$T$239)))</f>
        <v>0</v>
      </c>
      <c r="J181" s="978" cm="1">
        <f t="array" ref="J181">$F181*(SUMPRODUCT(('Cashflow Summary C19RM'!$K$5:$K$239&lt;&gt;1)*('Cashflow Summary C19RM'!$D$5:$D$239=E181)*('Cashflow Summary C19RM'!$U$5:$U$239)))</f>
        <v>0</v>
      </c>
      <c r="K181" s="997">
        <f t="shared" ref="K181:K195" si="75">SUM(G181:J181)</f>
        <v>0</v>
      </c>
      <c r="L181" s="981">
        <f t="shared" ref="L181:L195" si="76">F181</f>
        <v>0</v>
      </c>
      <c r="M181" s="976" cm="1">
        <f t="array" ref="M181">$L181*(SUMPRODUCT(('Cashflow Summary C19RM'!$K$5:$K$239&lt;&gt;1)*('Cashflow Summary C19RM'!$D$5:$D$239=E181)*('Cashflow Summary C19RM'!$V$5:$V$239)))</f>
        <v>0</v>
      </c>
      <c r="N181" s="977" cm="1">
        <f t="array" ref="N181">$L181*(SUMPRODUCT(('Cashflow Summary C19RM'!$K$5:$K$239&lt;&gt;1)*('Cashflow Summary C19RM'!$D$5:$D$239=E181)*('Cashflow Summary C19RM'!$W$5:$W$239)))</f>
        <v>0</v>
      </c>
      <c r="O181" s="978" cm="1">
        <f t="array" ref="O181">$L181*(SUMPRODUCT(('Cashflow Summary C19RM'!$K$5:$K$239&lt;&gt;1)*('Cashflow Summary C19RM'!$D$5:$D$239=E181)*('Cashflow Summary C19RM'!$X$5:$X$239)))</f>
        <v>0</v>
      </c>
      <c r="P181" s="978" cm="1">
        <f t="array" ref="P181">$L181*(SUMPRODUCT(('Cashflow Summary C19RM'!$K$5:$K$239&lt;&gt;1)*('Cashflow Summary C19RM'!$D$5:$D$239=E181)*('Cashflow Summary C19RM'!$Y$5:$Y$239)))</f>
        <v>0</v>
      </c>
      <c r="Q181" s="980">
        <f t="shared" ref="Q181:Q195" si="77">SUM(M181:P181)</f>
        <v>0</v>
      </c>
      <c r="R181" s="981">
        <f t="shared" ref="R181:R195" si="78">F181</f>
        <v>0</v>
      </c>
      <c r="S181" s="976" cm="1">
        <f t="array" ref="S181">$R181*(SUMPRODUCT(('Cashflow Summary C19RM'!$K$5:$K$239&lt;&gt;1)*('Cashflow Summary C19RM'!$D$5:$D$239=E181)*('Cashflow Summary C19RM'!$Z$5:$Z$239)))</f>
        <v>0</v>
      </c>
      <c r="T181" s="977" cm="1">
        <f t="array" ref="T181">$R181*(SUMPRODUCT(('Cashflow Summary C19RM'!$K$5:$K$239&lt;&gt;1)*('Cashflow Summary C19RM'!$D$5:$D$239=E181)*('Cashflow Summary C19RM'!$AA$5:$AA$239)))</f>
        <v>0</v>
      </c>
      <c r="U181" s="978" cm="1">
        <f t="array" ref="U181">$R181*(SUMPRODUCT(('Cashflow Summary C19RM'!$K$5:$K$239&lt;&gt;1)*('Cashflow Summary C19RM'!$D$5:$D$239=E181)*('Cashflow Summary C19RM'!$AB$5:$AB$239)))</f>
        <v>0</v>
      </c>
      <c r="V181" s="978" cm="1">
        <f t="array" ref="V181">$R181*(SUMPRODUCT(('Cashflow Summary C19RM'!$K$5:$K$239&lt;&gt;1)*('Cashflow Summary C19RM'!$D$5:$D$239=E181)*('Cashflow Summary C19RM'!$AC$5:$AC$239)))</f>
        <v>0</v>
      </c>
      <c r="W181" s="982">
        <f t="shared" ref="W181:W195" si="79">SUM(S181:V181)</f>
        <v>0</v>
      </c>
      <c r="X181" s="981">
        <f t="shared" ref="X181:X195" si="80">F181</f>
        <v>0</v>
      </c>
      <c r="Y181" s="976" cm="1">
        <f t="array" ref="Y181">$X181*(SUMPRODUCT(('Cashflow Summary C19RM'!$K$5:$K$239&lt;&gt;1)*('Cashflow Summary C19RM'!$D$5:$D$239=E181)*('Cashflow Summary C19RM'!$AD$5:$AD$239)))</f>
        <v>0</v>
      </c>
      <c r="Z181" s="977" cm="1">
        <f t="array" ref="Z181">$X181*(SUMPRODUCT(('Cashflow Summary C19RM'!$K$5:$K$239&lt;&gt;1)*('Cashflow Summary C19RM'!$D$5:$D$239=E181)*('Cashflow Summary C19RM'!$AE$5:$AE$239)))</f>
        <v>0</v>
      </c>
      <c r="AA181" s="978" cm="1">
        <f t="array" ref="AA181">$X181*(SUMPRODUCT(('Cashflow Summary C19RM'!$K$5:$K$239&lt;&gt;1)*('Cashflow Summary C19RM'!$D$5:$D$239=E181)*('Cashflow Summary C19RM'!$AF$5:$AF$239)))</f>
        <v>0</v>
      </c>
      <c r="AB181" s="978" cm="1">
        <f t="array" ref="AB181">$X181*(SUMPRODUCT(('Cashflow Summary C19RM'!$K$5:$K$239&lt;&gt;1)*('Cashflow Summary C19RM'!$D$5:$D$239=E181)*('Cashflow Summary C19RM'!$AG$5:$AG$239)))</f>
        <v>0</v>
      </c>
      <c r="AC181" s="982">
        <f t="shared" ref="AC181:AC195" si="81">SUM(Y181:AB181)</f>
        <v>0</v>
      </c>
      <c r="AD181" s="981">
        <f t="shared" ref="AD181:AD195" si="82">L181</f>
        <v>0</v>
      </c>
      <c r="AE181" s="725" cm="1">
        <f t="array" ref="AE181">$AD181*(SUMPRODUCT(('Cashflow Summary C19RM'!$K$5:$K$239&lt;&gt;1)*('Cashflow Summary C19RM'!$D$5:$D$239=E181)*('Cashflow Summary C19RM'!$AH$5:$AH$239)))</f>
        <v>0</v>
      </c>
      <c r="AF181" s="976" cm="1">
        <f t="array" ref="AF181">$AD181*(SUMPRODUCT(('Cashflow Summary C19RM'!$K$5:$K$239&lt;&gt;1)*('Cashflow Summary C19RM'!$D$5:$D$239=E181)*('Cashflow Summary C19RM'!$AI$5:$AI$239)))</f>
        <v>0</v>
      </c>
      <c r="AG181" s="976" cm="1">
        <f t="array" ref="AG181">$AD181*(SUMPRODUCT(('Cashflow Summary C19RM'!$K$5:$K$239&lt;&gt;1)*('Cashflow Summary C19RM'!$D$5:$D$239=E181)*('Cashflow Summary C19RM'!$AJ$5:$AJ$239)))</f>
        <v>0</v>
      </c>
      <c r="AH181" s="976" cm="1">
        <f t="array" ref="AH181">$AD181*(SUMPRODUCT(('Cashflow Summary C19RM'!$K$5:$K$239&lt;&gt;1)*('Cashflow Summary C19RM'!$D$5:$D$239=E181)*('Cashflow Summary C19RM'!$AK$5:$AO$239)))</f>
        <v>0</v>
      </c>
      <c r="AI181" s="982">
        <f t="shared" ref="AI181:AI195" si="83">SUM(AE181:AH181)</f>
        <v>0</v>
      </c>
      <c r="AJ181" s="983">
        <v>0</v>
      </c>
      <c r="AK181" s="984"/>
      <c r="AL181" s="985"/>
      <c r="AM181" s="985"/>
      <c r="AN181" s="985"/>
      <c r="AO181" s="986"/>
      <c r="AP181" s="982">
        <f>K181+Q181+W181+AC181+AI181</f>
        <v>0</v>
      </c>
      <c r="AQ181" s="987">
        <v>7.3</v>
      </c>
      <c r="AR181" s="988"/>
      <c r="AS181" s="310"/>
      <c r="AV181" s="228">
        <f t="shared" ref="AV181:AV195" si="84">F181</f>
        <v>0</v>
      </c>
      <c r="AW181" s="228">
        <f t="shared" ref="AW181:AW195" si="85">L181</f>
        <v>0</v>
      </c>
      <c r="AX181" s="228">
        <f t="shared" ref="AX181:AX195" si="86">R181</f>
        <v>0</v>
      </c>
      <c r="AY181" s="228">
        <f t="shared" ref="AY181:AY195" si="87">X181</f>
        <v>0</v>
      </c>
      <c r="AZ181" s="228">
        <f t="shared" ref="AZ181:AZ195" si="88">AD181</f>
        <v>0</v>
      </c>
      <c r="BA181" s="228"/>
      <c r="BC181" s="345" cm="1">
        <f t="array" ref="BC181">IF(BM181&gt;=1,0,IFERROR(SUMPRODUCT(($G$11:$AH$11=$BC$16)*($G181:$AH181)),0))</f>
        <v>0</v>
      </c>
      <c r="BD181" s="345" cm="1">
        <f t="array" ref="BD181">IF(BM181&gt;=1,0,IFERROR(SUMPRODUCT(($G$11:$AH$11=$BD$16)*($G181:$AH181)),0))</f>
        <v>0</v>
      </c>
      <c r="BE181" s="345" cm="1">
        <f t="array" ref="BE181">IF(BM181&gt;=1,0,IFERROR(SUMPRODUCT(($G$11:$AH$11=$BE$16)*($G181:$AH181)),0))</f>
        <v>0</v>
      </c>
      <c r="BF181" s="345" cm="1">
        <f t="array" ref="BF181">IF(BM181&gt;=1,0,IFERROR(SUMPRODUCT(($G$11:$AH$11=$BF$16)*($G181:$AH181)),0))</f>
        <v>0</v>
      </c>
      <c r="BG181" s="345" cm="1">
        <f t="array" ref="BG181">IF(BM181&gt;=1,0,IFERROR(SUMPRODUCT(($G$11:$AH$11=$BG$16)*($G181:$AH181)),0))</f>
        <v>0</v>
      </c>
      <c r="BH181" s="345"/>
      <c r="BI181" s="343">
        <f>SUM(BC181:BG181)</f>
        <v>0</v>
      </c>
      <c r="BJ181" s="229" t="s">
        <v>83</v>
      </c>
      <c r="BK181" cm="1">
        <f t="array" ref="BK181">(SUMPRODUCT(('Cashflow Summary C19RM'!$D$5:$D$451=E181)*('Cashflow Summary C19RM'!$BD$5:$BD$451)))</f>
        <v>0</v>
      </c>
      <c r="BL181" cm="1">
        <f t="array" ref="BL181">(SUMPRODUCT((SETUP!$D$20:$D$67=E181)*(SETUP!$R$20:$R$67)))</f>
        <v>0</v>
      </c>
      <c r="BM181" s="89">
        <f t="shared" ref="BM181:BM195" si="89">SUM(BK181:BL181)</f>
        <v>0</v>
      </c>
    </row>
    <row r="182" spans="1:65" s="89" customFormat="1" ht="15" customHeight="1" x14ac:dyDescent="0.35">
      <c r="A182" s="89" t="s">
        <v>216</v>
      </c>
      <c r="B182" s="211" t="s">
        <v>747</v>
      </c>
      <c r="C182" s="698" t="s">
        <v>2750</v>
      </c>
      <c r="D182" s="1314"/>
      <c r="E182" s="1010" t="s">
        <v>11</v>
      </c>
      <c r="F182" s="697">
        <v>0</v>
      </c>
      <c r="G182" s="628" cm="1">
        <f t="array" ref="G182">$F182*(SUMPRODUCT(('Cashflow Summary C19RM'!$K$5:$K$239&lt;&gt;1)*('Cashflow Summary C19RM'!$D$5:$D$239=E182)*('Cashflow Summary C19RM'!$R$5:$R$239)))</f>
        <v>0</v>
      </c>
      <c r="H182" s="629" cm="1">
        <f t="array" ref="H182">$F182*(SUMPRODUCT(('Cashflow Summary C19RM'!$K$5:$K$239&lt;&gt;1)*('Cashflow Summary C19RM'!$D$5:$D$239=E182)*('Cashflow Summary C19RM'!$S$5:$S$239)))</f>
        <v>0</v>
      </c>
      <c r="I182" s="630" cm="1">
        <f t="array" ref="I182">$F182*(SUMPRODUCT(('Cashflow Summary C19RM'!$K$5:$K$239&lt;&gt;1)*('Cashflow Summary C19RM'!$D$5:$D$239=E182)*('Cashflow Summary C19RM'!$T$5:$T$239)))</f>
        <v>0</v>
      </c>
      <c r="J182" s="630" cm="1">
        <f t="array" ref="J182">$F182*(SUMPRODUCT(('Cashflow Summary C19RM'!$K$5:$K$239&lt;&gt;1)*('Cashflow Summary C19RM'!$D$5:$D$239=E182)*('Cashflow Summary C19RM'!$U$5:$U$239)))</f>
        <v>0</v>
      </c>
      <c r="K182" s="631">
        <f t="shared" si="75"/>
        <v>0</v>
      </c>
      <c r="L182" s="686">
        <f t="shared" si="76"/>
        <v>0</v>
      </c>
      <c r="M182" s="630" cm="1">
        <f t="array" ref="M182">$L182*(SUMPRODUCT(('Cashflow Summary C19RM'!$K$5:$K$239&lt;&gt;1)*('Cashflow Summary C19RM'!$D$5:$D$239=E182)*('Cashflow Summary C19RM'!$V$5:$V$239)))</f>
        <v>0</v>
      </c>
      <c r="N182" s="630" cm="1">
        <f t="array" ref="N182">$L182*(SUMPRODUCT(('Cashflow Summary C19RM'!$K$5:$K$239&lt;&gt;1)*('Cashflow Summary C19RM'!$D$5:$D$239=E182)*('Cashflow Summary C19RM'!$W$5:$W$239)))</f>
        <v>0</v>
      </c>
      <c r="O182" s="630" cm="1">
        <f t="array" ref="O182">$L182*(SUMPRODUCT(('Cashflow Summary C19RM'!$K$5:$K$239&lt;&gt;1)*('Cashflow Summary C19RM'!$D$5:$D$239=E182)*('Cashflow Summary C19RM'!$X$5:$X$239)))</f>
        <v>0</v>
      </c>
      <c r="P182" s="630" cm="1">
        <f t="array" ref="P182">$L182*(SUMPRODUCT(('Cashflow Summary C19RM'!$K$5:$K$239&lt;&gt;1)*('Cashflow Summary C19RM'!$D$5:$D$239=E182)*('Cashflow Summary C19RM'!$Y$5:$Y$239)))</f>
        <v>0</v>
      </c>
      <c r="Q182" s="632">
        <f t="shared" si="77"/>
        <v>0</v>
      </c>
      <c r="R182" s="686">
        <f t="shared" si="78"/>
        <v>0</v>
      </c>
      <c r="S182" s="633" cm="1">
        <f t="array" ref="S182">$R182*(SUMPRODUCT(('Cashflow Summary C19RM'!$K$5:$K$239&lt;&gt;1)*('Cashflow Summary C19RM'!$D$5:$D$239=E182)*('Cashflow Summary C19RM'!$Z$5:$Z$239)))</f>
        <v>0</v>
      </c>
      <c r="T182" s="633" cm="1">
        <f t="array" ref="T182">$R182*(SUMPRODUCT(('Cashflow Summary C19RM'!$K$5:$K$239&lt;&gt;1)*('Cashflow Summary C19RM'!$D$5:$D$239=E182)*('Cashflow Summary C19RM'!$AA$5:$AA$239)))</f>
        <v>0</v>
      </c>
      <c r="U182" s="633" cm="1">
        <f t="array" ref="U182">$R182*(SUMPRODUCT(('Cashflow Summary C19RM'!$K$5:$K$239&lt;&gt;1)*('Cashflow Summary C19RM'!$D$5:$D$239=E182)*('Cashflow Summary C19RM'!$AB$5:$AB$239)))</f>
        <v>0</v>
      </c>
      <c r="V182" s="633" cm="1">
        <f t="array" ref="V182">$R182*(SUMPRODUCT(('Cashflow Summary C19RM'!$K$5:$K$239&lt;&gt;1)*('Cashflow Summary C19RM'!$D$5:$D$239=E182)*('Cashflow Summary C19RM'!$AC$5:$AC$239)))</f>
        <v>0</v>
      </c>
      <c r="W182" s="634">
        <f t="shared" si="79"/>
        <v>0</v>
      </c>
      <c r="X182" s="686">
        <f t="shared" si="80"/>
        <v>0</v>
      </c>
      <c r="Y182" s="633" cm="1">
        <f t="array" ref="Y182">$X182*(SUMPRODUCT(('Cashflow Summary C19RM'!$K$5:$K$239&lt;&gt;1)*('Cashflow Summary C19RM'!$D$5:$D$239=E182)*('Cashflow Summary C19RM'!$AD$5:$AD$239)))</f>
        <v>0</v>
      </c>
      <c r="Z182" s="633" cm="1">
        <f t="array" ref="Z182">$X182*(SUMPRODUCT(('Cashflow Summary C19RM'!$K$5:$K$239&lt;&gt;1)*('Cashflow Summary C19RM'!$D$5:$D$239=E182)*('Cashflow Summary C19RM'!$AE$5:$AE$239)))</f>
        <v>0</v>
      </c>
      <c r="AA182" s="633" cm="1">
        <f t="array" ref="AA182">$X182*(SUMPRODUCT(('Cashflow Summary C19RM'!$K$5:$K$239&lt;&gt;1)*('Cashflow Summary C19RM'!$D$5:$D$239=E182)*('Cashflow Summary C19RM'!$AF$5:$AF$239)))</f>
        <v>0</v>
      </c>
      <c r="AB182" s="630" cm="1">
        <f t="array" ref="AB182">$X182*(SUMPRODUCT(('Cashflow Summary C19RM'!$K$5:$K$239&lt;&gt;1)*('Cashflow Summary C19RM'!$D$5:$D$239=E182)*('Cashflow Summary C19RM'!$AG$5:$AG$239)))</f>
        <v>0</v>
      </c>
      <c r="AC182" s="634">
        <f t="shared" si="81"/>
        <v>0</v>
      </c>
      <c r="AD182" s="686">
        <f t="shared" si="82"/>
        <v>0</v>
      </c>
      <c r="AE182" s="628" cm="1">
        <f t="array" ref="AE182">$AD182*(SUMPRODUCT(('Cashflow Summary C19RM'!$K$5:$K$239&lt;&gt;1)*('Cashflow Summary C19RM'!$D$5:$D$239=E182)*('Cashflow Summary C19RM'!$AH$5:$AH$239)))</f>
        <v>0</v>
      </c>
      <c r="AF182" s="633" cm="1">
        <f t="array" ref="AF182">$AD182*(SUMPRODUCT(('Cashflow Summary C19RM'!$K$5:$K$239&lt;&gt;1)*('Cashflow Summary C19RM'!$D$5:$D$239=E182)*('Cashflow Summary C19RM'!$AI$5:$AI$239)))</f>
        <v>0</v>
      </c>
      <c r="AG182" s="633" cm="1">
        <f t="array" ref="AG182">$AD182*(SUMPRODUCT(('Cashflow Summary C19RM'!$K$5:$K$239&lt;&gt;1)*('Cashflow Summary C19RM'!$D$5:$D$239=E182)*('Cashflow Summary C19RM'!$AJ$5:$AJ$239)))</f>
        <v>0</v>
      </c>
      <c r="AH182" s="633" cm="1">
        <f t="array" ref="AH182">$AD182*(SUMPRODUCT(('Cashflow Summary C19RM'!$K$5:$K$239&lt;&gt;1)*('Cashflow Summary C19RM'!$D$5:$D$239=E182)*('Cashflow Summary C19RM'!$AK$5:$AO$239)))</f>
        <v>0</v>
      </c>
      <c r="AI182" s="634">
        <f t="shared" si="83"/>
        <v>0</v>
      </c>
      <c r="AJ182" s="875">
        <v>0</v>
      </c>
      <c r="AK182" s="872"/>
      <c r="AL182" s="873"/>
      <c r="AM182" s="873"/>
      <c r="AN182" s="873"/>
      <c r="AO182" s="874"/>
      <c r="AP182" s="635">
        <f t="shared" ref="AP182:AP195" si="90">K182+Q182+W182+AC182+AI182</f>
        <v>0</v>
      </c>
      <c r="AQ182" s="636">
        <v>7.3</v>
      </c>
      <c r="AR182" s="707"/>
      <c r="AS182" s="310"/>
      <c r="AV182" s="228">
        <f t="shared" si="84"/>
        <v>0</v>
      </c>
      <c r="AW182" s="228">
        <f t="shared" si="85"/>
        <v>0</v>
      </c>
      <c r="AX182" s="228">
        <f t="shared" si="86"/>
        <v>0</v>
      </c>
      <c r="AY182" s="228">
        <f t="shared" si="87"/>
        <v>0</v>
      </c>
      <c r="AZ182" s="228">
        <f t="shared" si="88"/>
        <v>0</v>
      </c>
      <c r="BA182" s="228"/>
      <c r="BC182" s="345" cm="1">
        <f t="array" ref="BC182">IF(BM182&gt;=1,0,IFERROR(SUMPRODUCT(($G$11:$AH$11=$BC$16)*($G182:$AH182)),0))</f>
        <v>0</v>
      </c>
      <c r="BD182" s="345" cm="1">
        <f t="array" ref="BD182">IF(BM182&gt;=1,0,IFERROR(SUMPRODUCT(($G$11:$AH$11=$BD$16)*($G182:$AH182)),0))</f>
        <v>0</v>
      </c>
      <c r="BE182" s="345" cm="1">
        <f t="array" ref="BE182">IF(BM182&gt;=1,0,IFERROR(SUMPRODUCT(($G$11:$AH$11=$BE$16)*($G182:$AH182)),0))</f>
        <v>0</v>
      </c>
      <c r="BF182" s="345" cm="1">
        <f t="array" ref="BF182">IF(BM182&gt;=1,0,IFERROR(SUMPRODUCT(($G$11:$AH$11=$BF$16)*($G182:$AH182)),0))</f>
        <v>0</v>
      </c>
      <c r="BG182" s="345" cm="1">
        <f t="array" ref="BG182">IF(BM182&gt;=1,0,IFERROR(SUMPRODUCT(($G$11:$AH$11=$BG$16)*($G182:$AH182)),0))</f>
        <v>0</v>
      </c>
      <c r="BH182" s="345"/>
      <c r="BI182" s="343">
        <f t="shared" ref="BI182:BI195" si="91">SUM(BC182:BG182)</f>
        <v>0</v>
      </c>
      <c r="BJ182" s="229" t="s">
        <v>83</v>
      </c>
      <c r="BK182" cm="1">
        <f t="array" ref="BK182">(SUMPRODUCT(('Cashflow Summary C19RM'!$D$5:$D$451=E182)*('Cashflow Summary C19RM'!$BD$5:$BD$451)))</f>
        <v>0</v>
      </c>
      <c r="BL182" cm="1">
        <f t="array" ref="BL182">(SUMPRODUCT((SETUP!$D$20:$D$67=E182)*(SETUP!$R$20:$R$67)))</f>
        <v>0</v>
      </c>
      <c r="BM182" s="89">
        <f t="shared" si="89"/>
        <v>0</v>
      </c>
    </row>
    <row r="183" spans="1:65" s="89" customFormat="1" ht="15" customHeight="1" x14ac:dyDescent="0.35">
      <c r="A183" s="89" t="s">
        <v>216</v>
      </c>
      <c r="B183" s="211" t="s">
        <v>747</v>
      </c>
      <c r="C183" s="699" t="s">
        <v>2750</v>
      </c>
      <c r="D183" s="1314"/>
      <c r="E183" s="1010" t="s">
        <v>15</v>
      </c>
      <c r="F183" s="697">
        <v>0</v>
      </c>
      <c r="G183" s="628" cm="1">
        <f t="array" ref="G183">$F183*(SUMPRODUCT(('Cashflow Summary C19RM'!$K$5:$K$239&lt;&gt;1)*('Cashflow Summary C19RM'!$D$5:$D$239=E183)*('Cashflow Summary C19RM'!$R$5:$R$239)))</f>
        <v>0</v>
      </c>
      <c r="H183" s="629" cm="1">
        <f t="array" ref="H183">$F183*(SUMPRODUCT(('Cashflow Summary C19RM'!$K$5:$K$239&lt;&gt;1)*('Cashflow Summary C19RM'!$D$5:$D$239=E183)*('Cashflow Summary C19RM'!$S$5:$S$239)))</f>
        <v>0</v>
      </c>
      <c r="I183" s="630" cm="1">
        <f t="array" ref="I183">$F183*(SUMPRODUCT(('Cashflow Summary C19RM'!$K$5:$K$239&lt;&gt;1)*('Cashflow Summary C19RM'!$D$5:$D$239=E183)*('Cashflow Summary C19RM'!$T$5:$T$239)))</f>
        <v>0</v>
      </c>
      <c r="J183" s="630" cm="1">
        <f t="array" ref="J183">$F183*(SUMPRODUCT(('Cashflow Summary C19RM'!$K$5:$K$239&lt;&gt;1)*('Cashflow Summary C19RM'!$D$5:$D$239=E183)*('Cashflow Summary C19RM'!$U$5:$U$239)))</f>
        <v>0</v>
      </c>
      <c r="K183" s="631">
        <f t="shared" si="75"/>
        <v>0</v>
      </c>
      <c r="L183" s="686">
        <f t="shared" si="76"/>
        <v>0</v>
      </c>
      <c r="M183" s="630" cm="1">
        <f t="array" ref="M183">$L183*(SUMPRODUCT(('Cashflow Summary C19RM'!$K$5:$K$239&lt;&gt;1)*('Cashflow Summary C19RM'!$D$5:$D$239=E183)*('Cashflow Summary C19RM'!$V$5:$V$239)))</f>
        <v>0</v>
      </c>
      <c r="N183" s="630" cm="1">
        <f t="array" ref="N183">$L183*(SUMPRODUCT(('Cashflow Summary C19RM'!$K$5:$K$239&lt;&gt;1)*('Cashflow Summary C19RM'!$D$5:$D$239=E183)*('Cashflow Summary C19RM'!$W$5:$W$239)))</f>
        <v>0</v>
      </c>
      <c r="O183" s="630" cm="1">
        <f t="array" ref="O183">$L183*(SUMPRODUCT(('Cashflow Summary C19RM'!$K$5:$K$239&lt;&gt;1)*('Cashflow Summary C19RM'!$D$5:$D$239=E183)*('Cashflow Summary C19RM'!$X$5:$X$239)))</f>
        <v>0</v>
      </c>
      <c r="P183" s="630" cm="1">
        <f t="array" ref="P183">$L183*(SUMPRODUCT(('Cashflow Summary C19RM'!$K$5:$K$239&lt;&gt;1)*('Cashflow Summary C19RM'!$D$5:$D$239=E183)*('Cashflow Summary C19RM'!$Y$5:$Y$239)))</f>
        <v>0</v>
      </c>
      <c r="Q183" s="632">
        <f t="shared" si="77"/>
        <v>0</v>
      </c>
      <c r="R183" s="686">
        <f t="shared" si="78"/>
        <v>0</v>
      </c>
      <c r="S183" s="633" cm="1">
        <f t="array" ref="S183">$R183*(SUMPRODUCT(('Cashflow Summary C19RM'!$K$5:$K$239&lt;&gt;1)*('Cashflow Summary C19RM'!$D$5:$D$239=E183)*('Cashflow Summary C19RM'!$Z$5:$Z$239)))</f>
        <v>0</v>
      </c>
      <c r="T183" s="633" cm="1">
        <f t="array" ref="T183">$R183*(SUMPRODUCT(('Cashflow Summary C19RM'!$K$5:$K$239&lt;&gt;1)*('Cashflow Summary C19RM'!$D$5:$D$239=E183)*('Cashflow Summary C19RM'!$AA$5:$AA$239)))</f>
        <v>0</v>
      </c>
      <c r="U183" s="633" cm="1">
        <f t="array" ref="U183">$R183*(SUMPRODUCT(('Cashflow Summary C19RM'!$K$5:$K$239&lt;&gt;1)*('Cashflow Summary C19RM'!$D$5:$D$239=E183)*('Cashflow Summary C19RM'!$AB$5:$AB$239)))</f>
        <v>0</v>
      </c>
      <c r="V183" s="633" cm="1">
        <f t="array" ref="V183">$R183*(SUMPRODUCT(('Cashflow Summary C19RM'!$K$5:$K$239&lt;&gt;1)*('Cashflow Summary C19RM'!$D$5:$D$239=E183)*('Cashflow Summary C19RM'!$AC$5:$AC$239)))</f>
        <v>0</v>
      </c>
      <c r="W183" s="634">
        <f t="shared" si="79"/>
        <v>0</v>
      </c>
      <c r="X183" s="686">
        <f t="shared" si="80"/>
        <v>0</v>
      </c>
      <c r="Y183" s="633" cm="1">
        <f t="array" ref="Y183">$X183*(SUMPRODUCT(('Cashflow Summary C19RM'!$K$5:$K$239&lt;&gt;1)*('Cashflow Summary C19RM'!$D$5:$D$239=E183)*('Cashflow Summary C19RM'!$AD$5:$AD$239)))</f>
        <v>0</v>
      </c>
      <c r="Z183" s="633" cm="1">
        <f t="array" ref="Z183">$X183*(SUMPRODUCT(('Cashflow Summary C19RM'!$K$5:$K$239&lt;&gt;1)*('Cashflow Summary C19RM'!$D$5:$D$239=E183)*('Cashflow Summary C19RM'!$AE$5:$AE$239)))</f>
        <v>0</v>
      </c>
      <c r="AA183" s="633" cm="1">
        <f t="array" ref="AA183">$X183*(SUMPRODUCT(('Cashflow Summary C19RM'!$K$5:$K$239&lt;&gt;1)*('Cashflow Summary C19RM'!$D$5:$D$239=E183)*('Cashflow Summary C19RM'!$AF$5:$AF$239)))</f>
        <v>0</v>
      </c>
      <c r="AB183" s="630" cm="1">
        <f t="array" ref="AB183">$X183*(SUMPRODUCT(('Cashflow Summary C19RM'!$K$5:$K$239&lt;&gt;1)*('Cashflow Summary C19RM'!$D$5:$D$239=E183)*('Cashflow Summary C19RM'!$AG$5:$AG$239)))</f>
        <v>0</v>
      </c>
      <c r="AC183" s="634">
        <f t="shared" si="81"/>
        <v>0</v>
      </c>
      <c r="AD183" s="686">
        <f t="shared" si="82"/>
        <v>0</v>
      </c>
      <c r="AE183" s="628" cm="1">
        <f t="array" ref="AE183">$AD183*(SUMPRODUCT(('Cashflow Summary C19RM'!$K$5:$K$239&lt;&gt;1)*('Cashflow Summary C19RM'!$D$5:$D$239=E183)*('Cashflow Summary C19RM'!$AH$5:$AH$239)))</f>
        <v>0</v>
      </c>
      <c r="AF183" s="633" cm="1">
        <f t="array" ref="AF183">$AD183*(SUMPRODUCT(('Cashflow Summary C19RM'!$K$5:$K$239&lt;&gt;1)*('Cashflow Summary C19RM'!$D$5:$D$239=E183)*('Cashflow Summary C19RM'!$AI$5:$AI$239)))</f>
        <v>0</v>
      </c>
      <c r="AG183" s="633" cm="1">
        <f t="array" ref="AG183">$AD183*(SUMPRODUCT(('Cashflow Summary C19RM'!$K$5:$K$239&lt;&gt;1)*('Cashflow Summary C19RM'!$D$5:$D$239=E183)*('Cashflow Summary C19RM'!$AJ$5:$AJ$239)))</f>
        <v>0</v>
      </c>
      <c r="AH183" s="633" cm="1">
        <f t="array" ref="AH183">$AD183*(SUMPRODUCT(('Cashflow Summary C19RM'!$K$5:$K$239&lt;&gt;1)*('Cashflow Summary C19RM'!$D$5:$D$239=E183)*('Cashflow Summary C19RM'!$AK$5:$AO$239)))</f>
        <v>0</v>
      </c>
      <c r="AI183" s="634">
        <f t="shared" si="83"/>
        <v>0</v>
      </c>
      <c r="AJ183" s="875">
        <v>0</v>
      </c>
      <c r="AK183" s="872"/>
      <c r="AL183" s="873"/>
      <c r="AM183" s="873"/>
      <c r="AN183" s="873"/>
      <c r="AO183" s="874"/>
      <c r="AP183" s="635">
        <f t="shared" si="90"/>
        <v>0</v>
      </c>
      <c r="AQ183" s="636">
        <v>7.3</v>
      </c>
      <c r="AR183" s="707"/>
      <c r="AS183" s="310"/>
      <c r="AV183" s="228">
        <f t="shared" si="84"/>
        <v>0</v>
      </c>
      <c r="AW183" s="228">
        <f t="shared" si="85"/>
        <v>0</v>
      </c>
      <c r="AX183" s="228">
        <f t="shared" si="86"/>
        <v>0</v>
      </c>
      <c r="AY183" s="228">
        <f t="shared" si="87"/>
        <v>0</v>
      </c>
      <c r="AZ183" s="228">
        <f t="shared" si="88"/>
        <v>0</v>
      </c>
      <c r="BA183" s="228"/>
      <c r="BC183" s="345" cm="1">
        <f t="array" ref="BC183">IF(BM183&gt;=1,0,IFERROR(SUMPRODUCT(($G$11:$AH$11=$BC$16)*($G183:$AH183)),0))</f>
        <v>0</v>
      </c>
      <c r="BD183" s="345" cm="1">
        <f t="array" ref="BD183">IF(BM183&gt;=1,0,IFERROR(SUMPRODUCT(($G$11:$AH$11=$BD$16)*($G183:$AH183)),0))</f>
        <v>0</v>
      </c>
      <c r="BE183" s="345" cm="1">
        <f t="array" ref="BE183">IF(BM183&gt;=1,0,IFERROR(SUMPRODUCT(($G$11:$AH$11=$BE$16)*($G183:$AH183)),0))</f>
        <v>0</v>
      </c>
      <c r="BF183" s="345" cm="1">
        <f t="array" ref="BF183">IF(BM183&gt;=1,0,IFERROR(SUMPRODUCT(($G$11:$AH$11=$BF$16)*($G183:$AH183)),0))</f>
        <v>0</v>
      </c>
      <c r="BG183" s="345" cm="1">
        <f t="array" ref="BG183">IF(BM183&gt;=1,0,IFERROR(SUMPRODUCT(($G$11:$AH$11=$BG$16)*($G183:$AH183)),0))</f>
        <v>0</v>
      </c>
      <c r="BH183" s="345"/>
      <c r="BI183" s="343">
        <f t="shared" si="91"/>
        <v>0</v>
      </c>
      <c r="BJ183" s="230" t="s">
        <v>83</v>
      </c>
      <c r="BK183" cm="1">
        <f t="array" ref="BK183">(SUMPRODUCT(('Cashflow Summary C19RM'!$D$5:$D$451=E183)*('Cashflow Summary C19RM'!$BD$5:$BD$451)))</f>
        <v>0</v>
      </c>
      <c r="BL183" cm="1">
        <f t="array" ref="BL183">(SUMPRODUCT((SETUP!$D$20:$D$67=E183)*(SETUP!$R$20:$R$67)))</f>
        <v>0</v>
      </c>
      <c r="BM183" s="89">
        <f t="shared" si="89"/>
        <v>0</v>
      </c>
    </row>
    <row r="184" spans="1:65" s="89" customFormat="1" ht="15" customHeight="1" x14ac:dyDescent="0.35">
      <c r="A184" s="89" t="s">
        <v>216</v>
      </c>
      <c r="B184" s="211" t="s">
        <v>747</v>
      </c>
      <c r="C184" s="699" t="s">
        <v>2750</v>
      </c>
      <c r="D184" s="1314"/>
      <c r="E184" s="1010" t="s">
        <v>13</v>
      </c>
      <c r="F184" s="697">
        <v>0</v>
      </c>
      <c r="G184" s="628" cm="1">
        <f t="array" ref="G184">$F184*(SUMPRODUCT(('Cashflow Summary C19RM'!$K$5:$K$239&lt;&gt;1)*('Cashflow Summary C19RM'!$D$5:$D$239=E184)*('Cashflow Summary C19RM'!$R$5:$R$239)))</f>
        <v>0</v>
      </c>
      <c r="H184" s="629" cm="1">
        <f t="array" ref="H184">$F184*(SUMPRODUCT(('Cashflow Summary C19RM'!$K$5:$K$239&lt;&gt;1)*('Cashflow Summary C19RM'!$D$5:$D$239=E184)*('Cashflow Summary C19RM'!$S$5:$S$239)))</f>
        <v>0</v>
      </c>
      <c r="I184" s="630" cm="1">
        <f t="array" ref="I184">$F184*(SUMPRODUCT(('Cashflow Summary C19RM'!$K$5:$K$239&lt;&gt;1)*('Cashflow Summary C19RM'!$D$5:$D$239=E184)*('Cashflow Summary C19RM'!$T$5:$T$239)))</f>
        <v>0</v>
      </c>
      <c r="J184" s="630" cm="1">
        <f t="array" ref="J184">$F184*(SUMPRODUCT(('Cashflow Summary C19RM'!$K$5:$K$239&lt;&gt;1)*('Cashflow Summary C19RM'!$D$5:$D$239=E184)*('Cashflow Summary C19RM'!$U$5:$U$239)))</f>
        <v>0</v>
      </c>
      <c r="K184" s="631">
        <f t="shared" si="75"/>
        <v>0</v>
      </c>
      <c r="L184" s="686">
        <f t="shared" si="76"/>
        <v>0</v>
      </c>
      <c r="M184" s="630" cm="1">
        <f t="array" ref="M184">$L184*(SUMPRODUCT(('Cashflow Summary C19RM'!$K$5:$K$239&lt;&gt;1)*('Cashflow Summary C19RM'!$D$5:$D$239=E184)*('Cashflow Summary C19RM'!$V$5:$V$239)))</f>
        <v>0</v>
      </c>
      <c r="N184" s="630" cm="1">
        <f t="array" ref="N184">$L184*(SUMPRODUCT(('Cashflow Summary C19RM'!$K$5:$K$239&lt;&gt;1)*('Cashflow Summary C19RM'!$D$5:$D$239=E184)*('Cashflow Summary C19RM'!$W$5:$W$239)))</f>
        <v>0</v>
      </c>
      <c r="O184" s="630" cm="1">
        <f t="array" ref="O184">$L184*(SUMPRODUCT(('Cashflow Summary C19RM'!$K$5:$K$239&lt;&gt;1)*('Cashflow Summary C19RM'!$D$5:$D$239=E184)*('Cashflow Summary C19RM'!$X$5:$X$239)))</f>
        <v>0</v>
      </c>
      <c r="P184" s="630" cm="1">
        <f t="array" ref="P184">$L184*(SUMPRODUCT(('Cashflow Summary C19RM'!$K$5:$K$239&lt;&gt;1)*('Cashflow Summary C19RM'!$D$5:$D$239=E184)*('Cashflow Summary C19RM'!$Y$5:$Y$239)))</f>
        <v>0</v>
      </c>
      <c r="Q184" s="632">
        <f t="shared" si="77"/>
        <v>0</v>
      </c>
      <c r="R184" s="686">
        <f t="shared" si="78"/>
        <v>0</v>
      </c>
      <c r="S184" s="633" cm="1">
        <f t="array" ref="S184">$R184*(SUMPRODUCT(('Cashflow Summary C19RM'!$K$5:$K$239&lt;&gt;1)*('Cashflow Summary C19RM'!$D$5:$D$239=E184)*('Cashflow Summary C19RM'!$Z$5:$Z$239)))</f>
        <v>0</v>
      </c>
      <c r="T184" s="633" cm="1">
        <f t="array" ref="T184">$R184*(SUMPRODUCT(('Cashflow Summary C19RM'!$K$5:$K$239&lt;&gt;1)*('Cashflow Summary C19RM'!$D$5:$D$239=E184)*('Cashflow Summary C19RM'!$AA$5:$AA$239)))</f>
        <v>0</v>
      </c>
      <c r="U184" s="633" cm="1">
        <f t="array" ref="U184">$R184*(SUMPRODUCT(('Cashflow Summary C19RM'!$K$5:$K$239&lt;&gt;1)*('Cashflow Summary C19RM'!$D$5:$D$239=E184)*('Cashflow Summary C19RM'!$AB$5:$AB$239)))</f>
        <v>0</v>
      </c>
      <c r="V184" s="633" cm="1">
        <f t="array" ref="V184">$R184*(SUMPRODUCT(('Cashflow Summary C19RM'!$K$5:$K$239&lt;&gt;1)*('Cashflow Summary C19RM'!$D$5:$D$239=E184)*('Cashflow Summary C19RM'!$AC$5:$AC$239)))</f>
        <v>0</v>
      </c>
      <c r="W184" s="634">
        <f t="shared" si="79"/>
        <v>0</v>
      </c>
      <c r="X184" s="686">
        <f t="shared" si="80"/>
        <v>0</v>
      </c>
      <c r="Y184" s="633" cm="1">
        <f t="array" ref="Y184">$X184*(SUMPRODUCT(('Cashflow Summary C19RM'!$K$5:$K$239&lt;&gt;1)*('Cashflow Summary C19RM'!$D$5:$D$239=E184)*('Cashflow Summary C19RM'!$AD$5:$AD$239)))</f>
        <v>0</v>
      </c>
      <c r="Z184" s="633" cm="1">
        <f t="array" ref="Z184">$X184*(SUMPRODUCT(('Cashflow Summary C19RM'!$K$5:$K$239&lt;&gt;1)*('Cashflow Summary C19RM'!$D$5:$D$239=E184)*('Cashflow Summary C19RM'!$AE$5:$AE$239)))</f>
        <v>0</v>
      </c>
      <c r="AA184" s="633" cm="1">
        <f t="array" ref="AA184">$X184*(SUMPRODUCT(('Cashflow Summary C19RM'!$K$5:$K$239&lt;&gt;1)*('Cashflow Summary C19RM'!$D$5:$D$239=E184)*('Cashflow Summary C19RM'!$AF$5:$AF$239)))</f>
        <v>0</v>
      </c>
      <c r="AB184" s="630" cm="1">
        <f t="array" ref="AB184">$X184*(SUMPRODUCT(('Cashflow Summary C19RM'!$K$5:$K$239&lt;&gt;1)*('Cashflow Summary C19RM'!$D$5:$D$239=E184)*('Cashflow Summary C19RM'!$AG$5:$AG$239)))</f>
        <v>0</v>
      </c>
      <c r="AC184" s="634">
        <f t="shared" si="81"/>
        <v>0</v>
      </c>
      <c r="AD184" s="686">
        <f t="shared" si="82"/>
        <v>0</v>
      </c>
      <c r="AE184" s="628" cm="1">
        <f t="array" ref="AE184">$AD184*(SUMPRODUCT(('Cashflow Summary C19RM'!$K$5:$K$239&lt;&gt;1)*('Cashflow Summary C19RM'!$D$5:$D$239=E184)*('Cashflow Summary C19RM'!$AH$5:$AH$239)))</f>
        <v>0</v>
      </c>
      <c r="AF184" s="633" cm="1">
        <f t="array" ref="AF184">$AD184*(SUMPRODUCT(('Cashflow Summary C19RM'!$K$5:$K$239&lt;&gt;1)*('Cashflow Summary C19RM'!$D$5:$D$239=E184)*('Cashflow Summary C19RM'!$AI$5:$AI$239)))</f>
        <v>0</v>
      </c>
      <c r="AG184" s="633" cm="1">
        <f t="array" ref="AG184">$AD184*(SUMPRODUCT(('Cashflow Summary C19RM'!$K$5:$K$239&lt;&gt;1)*('Cashflow Summary C19RM'!$D$5:$D$239=E184)*('Cashflow Summary C19RM'!$AJ$5:$AJ$239)))</f>
        <v>0</v>
      </c>
      <c r="AH184" s="633" cm="1">
        <f t="array" ref="AH184">$AD184*(SUMPRODUCT(('Cashflow Summary C19RM'!$K$5:$K$239&lt;&gt;1)*('Cashflow Summary C19RM'!$D$5:$D$239=E184)*('Cashflow Summary C19RM'!$AK$5:$AO$239)))</f>
        <v>0</v>
      </c>
      <c r="AI184" s="634">
        <f t="shared" si="83"/>
        <v>0</v>
      </c>
      <c r="AJ184" s="875">
        <v>0</v>
      </c>
      <c r="AK184" s="872"/>
      <c r="AL184" s="873"/>
      <c r="AM184" s="873"/>
      <c r="AN184" s="873"/>
      <c r="AO184" s="874"/>
      <c r="AP184" s="635">
        <f t="shared" si="90"/>
        <v>0</v>
      </c>
      <c r="AQ184" s="636">
        <v>7.3</v>
      </c>
      <c r="AR184" s="707"/>
      <c r="AS184" s="310"/>
      <c r="AV184" s="228">
        <f t="shared" si="84"/>
        <v>0</v>
      </c>
      <c r="AW184" s="228">
        <f t="shared" si="85"/>
        <v>0</v>
      </c>
      <c r="AX184" s="228">
        <f t="shared" si="86"/>
        <v>0</v>
      </c>
      <c r="AY184" s="228">
        <f t="shared" si="87"/>
        <v>0</v>
      </c>
      <c r="AZ184" s="228">
        <f t="shared" si="88"/>
        <v>0</v>
      </c>
      <c r="BA184" s="228"/>
      <c r="BC184" s="345" cm="1">
        <f t="array" ref="BC184">IF(BM184&gt;=1,0,IFERROR(SUMPRODUCT(($G$11:$AH$11=$BC$16)*($G184:$AH184)),0))</f>
        <v>0</v>
      </c>
      <c r="BD184" s="345" cm="1">
        <f t="array" ref="BD184">IF(BM184&gt;=1,0,IFERROR(SUMPRODUCT(($G$11:$AH$11=$BD$16)*($G184:$AH184)),0))</f>
        <v>0</v>
      </c>
      <c r="BE184" s="345" cm="1">
        <f t="array" ref="BE184">IF(BM184&gt;=1,0,IFERROR(SUMPRODUCT(($G$11:$AH$11=$BE$16)*($G184:$AH184)),0))</f>
        <v>0</v>
      </c>
      <c r="BF184" s="345" cm="1">
        <f t="array" ref="BF184">IF(BM184&gt;=1,0,IFERROR(SUMPRODUCT(($G$11:$AH$11=$BF$16)*($G184:$AH184)),0))</f>
        <v>0</v>
      </c>
      <c r="BG184" s="345" cm="1">
        <f t="array" ref="BG184">IF(BM184&gt;=1,0,IFERROR(SUMPRODUCT(($G$11:$AH$11=$BG$16)*($G184:$AH184)),0))</f>
        <v>0</v>
      </c>
      <c r="BH184" s="345"/>
      <c r="BI184" s="343">
        <f t="shared" si="91"/>
        <v>0</v>
      </c>
      <c r="BJ184" s="230" t="s">
        <v>83</v>
      </c>
      <c r="BK184" cm="1">
        <f t="array" ref="BK184">(SUMPRODUCT(('Cashflow Summary C19RM'!$D$5:$D$451=E184)*('Cashflow Summary C19RM'!$BD$5:$BD$451)))</f>
        <v>0</v>
      </c>
      <c r="BL184" cm="1">
        <f t="array" ref="BL184">(SUMPRODUCT((SETUP!$D$20:$D$67=E184)*(SETUP!$R$20:$R$67)))</f>
        <v>0</v>
      </c>
      <c r="BM184" s="89">
        <f t="shared" si="89"/>
        <v>0</v>
      </c>
    </row>
    <row r="185" spans="1:65" s="89" customFormat="1" ht="15" customHeight="1" x14ac:dyDescent="0.35">
      <c r="A185" s="89" t="s">
        <v>216</v>
      </c>
      <c r="B185" s="211" t="s">
        <v>747</v>
      </c>
      <c r="C185" s="699" t="s">
        <v>2750</v>
      </c>
      <c r="D185" s="1314"/>
      <c r="E185" s="1010" t="s">
        <v>17</v>
      </c>
      <c r="F185" s="697">
        <v>0</v>
      </c>
      <c r="G185" s="628" cm="1">
        <f t="array" ref="G185">$F185*(SUMPRODUCT(('Cashflow Summary C19RM'!$K$5:$K$239&lt;&gt;1)*('Cashflow Summary C19RM'!$D$5:$D$239=E185)*('Cashflow Summary C19RM'!$R$5:$R$239)))</f>
        <v>0</v>
      </c>
      <c r="H185" s="629" cm="1">
        <f t="array" ref="H185">$F185*(SUMPRODUCT(('Cashflow Summary C19RM'!$K$5:$K$239&lt;&gt;1)*('Cashflow Summary C19RM'!$D$5:$D$239=E185)*('Cashflow Summary C19RM'!$S$5:$S$239)))</f>
        <v>0</v>
      </c>
      <c r="I185" s="630" cm="1">
        <f t="array" ref="I185">$F185*(SUMPRODUCT(('Cashflow Summary C19RM'!$K$5:$K$239&lt;&gt;1)*('Cashflow Summary C19RM'!$D$5:$D$239=E185)*('Cashflow Summary C19RM'!$T$5:$T$239)))</f>
        <v>0</v>
      </c>
      <c r="J185" s="630" cm="1">
        <f t="array" ref="J185">$F185*(SUMPRODUCT(('Cashflow Summary C19RM'!$K$5:$K$239&lt;&gt;1)*('Cashflow Summary C19RM'!$D$5:$D$239=E185)*('Cashflow Summary C19RM'!$U$5:$U$239)))</f>
        <v>0</v>
      </c>
      <c r="K185" s="631">
        <f t="shared" si="75"/>
        <v>0</v>
      </c>
      <c r="L185" s="686">
        <f t="shared" si="76"/>
        <v>0</v>
      </c>
      <c r="M185" s="630" cm="1">
        <f t="array" ref="M185">$L185*(SUMPRODUCT(('Cashflow Summary C19RM'!$K$5:$K$239&lt;&gt;1)*('Cashflow Summary C19RM'!$D$5:$D$239=E185)*('Cashflow Summary C19RM'!$V$5:$V$239)))</f>
        <v>0</v>
      </c>
      <c r="N185" s="630" cm="1">
        <f t="array" ref="N185">$L185*(SUMPRODUCT(('Cashflow Summary C19RM'!$K$5:$K$239&lt;&gt;1)*('Cashflow Summary C19RM'!$D$5:$D$239=E185)*('Cashflow Summary C19RM'!$W$5:$W$239)))</f>
        <v>0</v>
      </c>
      <c r="O185" s="630" cm="1">
        <f t="array" ref="O185">$L185*(SUMPRODUCT(('Cashflow Summary C19RM'!$K$5:$K$239&lt;&gt;1)*('Cashflow Summary C19RM'!$D$5:$D$239=E185)*('Cashflow Summary C19RM'!$X$5:$X$239)))</f>
        <v>0</v>
      </c>
      <c r="P185" s="630" cm="1">
        <f t="array" ref="P185">$L185*(SUMPRODUCT(('Cashflow Summary C19RM'!$K$5:$K$239&lt;&gt;1)*('Cashflow Summary C19RM'!$D$5:$D$239=E185)*('Cashflow Summary C19RM'!$Y$5:$Y$239)))</f>
        <v>0</v>
      </c>
      <c r="Q185" s="632">
        <f t="shared" si="77"/>
        <v>0</v>
      </c>
      <c r="R185" s="686">
        <f t="shared" si="78"/>
        <v>0</v>
      </c>
      <c r="S185" s="633" cm="1">
        <f t="array" ref="S185">$R185*(SUMPRODUCT(('Cashflow Summary C19RM'!$K$5:$K$239&lt;&gt;1)*('Cashflow Summary C19RM'!$D$5:$D$239=E185)*('Cashflow Summary C19RM'!$Z$5:$Z$239)))</f>
        <v>0</v>
      </c>
      <c r="T185" s="633" cm="1">
        <f t="array" ref="T185">$R185*(SUMPRODUCT(('Cashflow Summary C19RM'!$K$5:$K$239&lt;&gt;1)*('Cashflow Summary C19RM'!$D$5:$D$239=E185)*('Cashflow Summary C19RM'!$AA$5:$AA$239)))</f>
        <v>0</v>
      </c>
      <c r="U185" s="633" cm="1">
        <f t="array" ref="U185">$R185*(SUMPRODUCT(('Cashflow Summary C19RM'!$K$5:$K$239&lt;&gt;1)*('Cashflow Summary C19RM'!$D$5:$D$239=E185)*('Cashflow Summary C19RM'!$AB$5:$AB$239)))</f>
        <v>0</v>
      </c>
      <c r="V185" s="633" cm="1">
        <f t="array" ref="V185">$R185*(SUMPRODUCT(('Cashflow Summary C19RM'!$K$5:$K$239&lt;&gt;1)*('Cashflow Summary C19RM'!$D$5:$D$239=E185)*('Cashflow Summary C19RM'!$AC$5:$AC$239)))</f>
        <v>0</v>
      </c>
      <c r="W185" s="634">
        <f t="shared" si="79"/>
        <v>0</v>
      </c>
      <c r="X185" s="686">
        <f t="shared" si="80"/>
        <v>0</v>
      </c>
      <c r="Y185" s="633" cm="1">
        <f t="array" ref="Y185">$X185*(SUMPRODUCT(('Cashflow Summary C19RM'!$K$5:$K$239&lt;&gt;1)*('Cashflow Summary C19RM'!$D$5:$D$239=E185)*('Cashflow Summary C19RM'!$AD$5:$AD$239)))</f>
        <v>0</v>
      </c>
      <c r="Z185" s="633" cm="1">
        <f t="array" ref="Z185">$X185*(SUMPRODUCT(('Cashflow Summary C19RM'!$K$5:$K$239&lt;&gt;1)*('Cashflow Summary C19RM'!$D$5:$D$239=E185)*('Cashflow Summary C19RM'!$AE$5:$AE$239)))</f>
        <v>0</v>
      </c>
      <c r="AA185" s="633" cm="1">
        <f t="array" ref="AA185">$X185*(SUMPRODUCT(('Cashflow Summary C19RM'!$K$5:$K$239&lt;&gt;1)*('Cashflow Summary C19RM'!$D$5:$D$239=E185)*('Cashflow Summary C19RM'!$AF$5:$AF$239)))</f>
        <v>0</v>
      </c>
      <c r="AB185" s="630" cm="1">
        <f t="array" ref="AB185">$X185*(SUMPRODUCT(('Cashflow Summary C19RM'!$K$5:$K$239&lt;&gt;1)*('Cashflow Summary C19RM'!$D$5:$D$239=E185)*('Cashflow Summary C19RM'!$AG$5:$AG$239)))</f>
        <v>0</v>
      </c>
      <c r="AC185" s="634">
        <f t="shared" si="81"/>
        <v>0</v>
      </c>
      <c r="AD185" s="686">
        <f t="shared" si="82"/>
        <v>0</v>
      </c>
      <c r="AE185" s="628" cm="1">
        <f t="array" ref="AE185">$AD185*(SUMPRODUCT(('Cashflow Summary C19RM'!$K$5:$K$239&lt;&gt;1)*('Cashflow Summary C19RM'!$D$5:$D$239=E185)*('Cashflow Summary C19RM'!$AH$5:$AH$239)))</f>
        <v>0</v>
      </c>
      <c r="AF185" s="633" cm="1">
        <f t="array" ref="AF185">$AD185*(SUMPRODUCT(('Cashflow Summary C19RM'!$K$5:$K$239&lt;&gt;1)*('Cashflow Summary C19RM'!$D$5:$D$239=E185)*('Cashflow Summary C19RM'!$AI$5:$AI$239)))</f>
        <v>0</v>
      </c>
      <c r="AG185" s="633" cm="1">
        <f t="array" ref="AG185">$AD185*(SUMPRODUCT(('Cashflow Summary C19RM'!$K$5:$K$239&lt;&gt;1)*('Cashflow Summary C19RM'!$D$5:$D$239=E185)*('Cashflow Summary C19RM'!$AJ$5:$AJ$239)))</f>
        <v>0</v>
      </c>
      <c r="AH185" s="633" cm="1">
        <f t="array" ref="AH185">$AD185*(SUMPRODUCT(('Cashflow Summary C19RM'!$K$5:$K$239&lt;&gt;1)*('Cashflow Summary C19RM'!$D$5:$D$239=E185)*('Cashflow Summary C19RM'!$AK$5:$AO$239)))</f>
        <v>0</v>
      </c>
      <c r="AI185" s="634">
        <f t="shared" si="83"/>
        <v>0</v>
      </c>
      <c r="AJ185" s="875">
        <v>0</v>
      </c>
      <c r="AK185" s="872"/>
      <c r="AL185" s="873"/>
      <c r="AM185" s="873"/>
      <c r="AN185" s="873"/>
      <c r="AO185" s="874"/>
      <c r="AP185" s="635">
        <f t="shared" si="90"/>
        <v>0</v>
      </c>
      <c r="AQ185" s="636">
        <v>7.3</v>
      </c>
      <c r="AR185" s="707"/>
      <c r="AS185" s="310"/>
      <c r="AV185" s="228">
        <f t="shared" si="84"/>
        <v>0</v>
      </c>
      <c r="AW185" s="228">
        <f t="shared" si="85"/>
        <v>0</v>
      </c>
      <c r="AX185" s="228">
        <f t="shared" si="86"/>
        <v>0</v>
      </c>
      <c r="AY185" s="228">
        <f t="shared" si="87"/>
        <v>0</v>
      </c>
      <c r="AZ185" s="228">
        <f t="shared" si="88"/>
        <v>0</v>
      </c>
      <c r="BA185" s="228"/>
      <c r="BC185" s="345" cm="1">
        <f t="array" ref="BC185">IF(BM185&gt;=1,0,IFERROR(SUMPRODUCT(($G$11:$AH$11=$BC$16)*($G185:$AH185)),0))</f>
        <v>0</v>
      </c>
      <c r="BD185" s="345" cm="1">
        <f t="array" ref="BD185">IF(BM185&gt;=1,0,IFERROR(SUMPRODUCT(($G$11:$AH$11=$BD$16)*($G185:$AH185)),0))</f>
        <v>0</v>
      </c>
      <c r="BE185" s="345" cm="1">
        <f t="array" ref="BE185">IF(BM185&gt;=1,0,IFERROR(SUMPRODUCT(($G$11:$AH$11=$BE$16)*($G185:$AH185)),0))</f>
        <v>0</v>
      </c>
      <c r="BF185" s="345" cm="1">
        <f t="array" ref="BF185">IF(BM185&gt;=1,0,IFERROR(SUMPRODUCT(($G$11:$AH$11=$BF$16)*($G185:$AH185)),0))</f>
        <v>0</v>
      </c>
      <c r="BG185" s="345" cm="1">
        <f t="array" ref="BG185">IF(BM185&gt;=1,0,IFERROR(SUMPRODUCT(($G$11:$AH$11=$BG$16)*($G185:$AH185)),0))</f>
        <v>0</v>
      </c>
      <c r="BH185" s="345"/>
      <c r="BI185" s="343">
        <f t="shared" si="91"/>
        <v>0</v>
      </c>
      <c r="BJ185" s="230" t="s">
        <v>83</v>
      </c>
      <c r="BK185" cm="1">
        <f t="array" ref="BK185">(SUMPRODUCT(('Cashflow Summary C19RM'!$D$5:$D$451=E185)*('Cashflow Summary C19RM'!$BD$5:$BD$451)))</f>
        <v>0</v>
      </c>
      <c r="BL185" cm="1">
        <f t="array" ref="BL185">(SUMPRODUCT((SETUP!$D$20:$D$67=E185)*(SETUP!$R$20:$R$67)))</f>
        <v>0</v>
      </c>
      <c r="BM185" s="89">
        <f t="shared" si="89"/>
        <v>0</v>
      </c>
    </row>
    <row r="186" spans="1:65" s="89" customFormat="1" ht="15" customHeight="1" x14ac:dyDescent="0.35">
      <c r="A186" s="89" t="s">
        <v>216</v>
      </c>
      <c r="B186" s="211" t="s">
        <v>747</v>
      </c>
      <c r="C186" s="699" t="s">
        <v>2750</v>
      </c>
      <c r="D186" s="1314"/>
      <c r="E186" s="1010" t="s">
        <v>19</v>
      </c>
      <c r="F186" s="697">
        <v>0</v>
      </c>
      <c r="G186" s="628" cm="1">
        <f t="array" ref="G186">$F186*(SUMPRODUCT(('Cashflow Summary C19RM'!$K$5:$K$239&lt;&gt;1)*('Cashflow Summary C19RM'!$D$5:$D$239=E186)*('Cashflow Summary C19RM'!$R$5:$R$239)))</f>
        <v>0</v>
      </c>
      <c r="H186" s="629" cm="1">
        <f t="array" ref="H186">$F186*(SUMPRODUCT(('Cashflow Summary C19RM'!$K$5:$K$239&lt;&gt;1)*('Cashflow Summary C19RM'!$D$5:$D$239=E186)*('Cashflow Summary C19RM'!$S$5:$S$239)))</f>
        <v>0</v>
      </c>
      <c r="I186" s="630" cm="1">
        <f t="array" ref="I186">$F186*(SUMPRODUCT(('Cashflow Summary C19RM'!$K$5:$K$239&lt;&gt;1)*('Cashflow Summary C19RM'!$D$5:$D$239=E186)*('Cashflow Summary C19RM'!$T$5:$T$239)))</f>
        <v>0</v>
      </c>
      <c r="J186" s="630" cm="1">
        <f t="array" ref="J186">$F186*(SUMPRODUCT(('Cashflow Summary C19RM'!$K$5:$K$239&lt;&gt;1)*('Cashflow Summary C19RM'!$D$5:$D$239=E186)*('Cashflow Summary C19RM'!$U$5:$U$239)))</f>
        <v>0</v>
      </c>
      <c r="K186" s="631">
        <f t="shared" si="75"/>
        <v>0</v>
      </c>
      <c r="L186" s="686">
        <f t="shared" si="76"/>
        <v>0</v>
      </c>
      <c r="M186" s="630" cm="1">
        <f t="array" ref="M186">$L186*(SUMPRODUCT(('Cashflow Summary C19RM'!$K$5:$K$239&lt;&gt;1)*('Cashflow Summary C19RM'!$D$5:$D$239=E186)*('Cashflow Summary C19RM'!$V$5:$V$239)))</f>
        <v>0</v>
      </c>
      <c r="N186" s="630" cm="1">
        <f t="array" ref="N186">$L186*(SUMPRODUCT(('Cashflow Summary C19RM'!$K$5:$K$239&lt;&gt;1)*('Cashflow Summary C19RM'!$D$5:$D$239=E186)*('Cashflow Summary C19RM'!$W$5:$W$239)))</f>
        <v>0</v>
      </c>
      <c r="O186" s="630" cm="1">
        <f t="array" ref="O186">$L186*(SUMPRODUCT(('Cashflow Summary C19RM'!$K$5:$K$239&lt;&gt;1)*('Cashflow Summary C19RM'!$D$5:$D$239=E186)*('Cashflow Summary C19RM'!$X$5:$X$239)))</f>
        <v>0</v>
      </c>
      <c r="P186" s="630" cm="1">
        <f t="array" ref="P186">$L186*(SUMPRODUCT(('Cashflow Summary C19RM'!$K$5:$K$239&lt;&gt;1)*('Cashflow Summary C19RM'!$D$5:$D$239=E186)*('Cashflow Summary C19RM'!$Y$5:$Y$239)))</f>
        <v>0</v>
      </c>
      <c r="Q186" s="632">
        <f t="shared" si="77"/>
        <v>0</v>
      </c>
      <c r="R186" s="686">
        <f t="shared" si="78"/>
        <v>0</v>
      </c>
      <c r="S186" s="633" cm="1">
        <f t="array" ref="S186">$R186*(SUMPRODUCT(('Cashflow Summary C19RM'!$K$5:$K$239&lt;&gt;1)*('Cashflow Summary C19RM'!$D$5:$D$239=E186)*('Cashflow Summary C19RM'!$Z$5:$Z$239)))</f>
        <v>0</v>
      </c>
      <c r="T186" s="633" cm="1">
        <f t="array" ref="T186">$R186*(SUMPRODUCT(('Cashflow Summary C19RM'!$K$5:$K$239&lt;&gt;1)*('Cashflow Summary C19RM'!$D$5:$D$239=E186)*('Cashflow Summary C19RM'!$AA$5:$AA$239)))</f>
        <v>0</v>
      </c>
      <c r="U186" s="633" cm="1">
        <f t="array" ref="U186">$R186*(SUMPRODUCT(('Cashflow Summary C19RM'!$K$5:$K$239&lt;&gt;1)*('Cashflow Summary C19RM'!$D$5:$D$239=E186)*('Cashflow Summary C19RM'!$AB$5:$AB$239)))</f>
        <v>0</v>
      </c>
      <c r="V186" s="633" cm="1">
        <f t="array" ref="V186">$R186*(SUMPRODUCT(('Cashflow Summary C19RM'!$K$5:$K$239&lt;&gt;1)*('Cashflow Summary C19RM'!$D$5:$D$239=E186)*('Cashflow Summary C19RM'!$AC$5:$AC$239)))</f>
        <v>0</v>
      </c>
      <c r="W186" s="634">
        <f t="shared" si="79"/>
        <v>0</v>
      </c>
      <c r="X186" s="686">
        <f t="shared" si="80"/>
        <v>0</v>
      </c>
      <c r="Y186" s="633" cm="1">
        <f t="array" ref="Y186">$X186*(SUMPRODUCT(('Cashflow Summary C19RM'!$K$5:$K$239&lt;&gt;1)*('Cashflow Summary C19RM'!$D$5:$D$239=E186)*('Cashflow Summary C19RM'!$AD$5:$AD$239)))</f>
        <v>0</v>
      </c>
      <c r="Z186" s="633" cm="1">
        <f t="array" ref="Z186">$X186*(SUMPRODUCT(('Cashflow Summary C19RM'!$K$5:$K$239&lt;&gt;1)*('Cashflow Summary C19RM'!$D$5:$D$239=E186)*('Cashflow Summary C19RM'!$AE$5:$AE$239)))</f>
        <v>0</v>
      </c>
      <c r="AA186" s="633" cm="1">
        <f t="array" ref="AA186">$X186*(SUMPRODUCT(('Cashflow Summary C19RM'!$K$5:$K$239&lt;&gt;1)*('Cashflow Summary C19RM'!$D$5:$D$239=E186)*('Cashflow Summary C19RM'!$AF$5:$AF$239)))</f>
        <v>0</v>
      </c>
      <c r="AB186" s="630" cm="1">
        <f t="array" ref="AB186">$X186*(SUMPRODUCT(('Cashflow Summary C19RM'!$K$5:$K$239&lt;&gt;1)*('Cashflow Summary C19RM'!$D$5:$D$239=E186)*('Cashflow Summary C19RM'!$AG$5:$AG$239)))</f>
        <v>0</v>
      </c>
      <c r="AC186" s="634">
        <f t="shared" si="81"/>
        <v>0</v>
      </c>
      <c r="AD186" s="686">
        <f t="shared" si="82"/>
        <v>0</v>
      </c>
      <c r="AE186" s="628" cm="1">
        <f t="array" ref="AE186">$AD186*(SUMPRODUCT(('Cashflow Summary C19RM'!$K$5:$K$239&lt;&gt;1)*('Cashflow Summary C19RM'!$D$5:$D$239=E186)*('Cashflow Summary C19RM'!$AH$5:$AH$239)))</f>
        <v>0</v>
      </c>
      <c r="AF186" s="633" cm="1">
        <f t="array" ref="AF186">$AD186*(SUMPRODUCT(('Cashflow Summary C19RM'!$K$5:$K$239&lt;&gt;1)*('Cashflow Summary C19RM'!$D$5:$D$239=E186)*('Cashflow Summary C19RM'!$AI$5:$AI$239)))</f>
        <v>0</v>
      </c>
      <c r="AG186" s="633" cm="1">
        <f t="array" ref="AG186">$AD186*(SUMPRODUCT(('Cashflow Summary C19RM'!$K$5:$K$239&lt;&gt;1)*('Cashflow Summary C19RM'!$D$5:$D$239=E186)*('Cashflow Summary C19RM'!$AJ$5:$AJ$239)))</f>
        <v>0</v>
      </c>
      <c r="AH186" s="633" cm="1">
        <f t="array" ref="AH186">$AD186*(SUMPRODUCT(('Cashflow Summary C19RM'!$K$5:$K$239&lt;&gt;1)*('Cashflow Summary C19RM'!$D$5:$D$239=E186)*('Cashflow Summary C19RM'!$AK$5:$AO$239)))</f>
        <v>0</v>
      </c>
      <c r="AI186" s="634">
        <f t="shared" si="83"/>
        <v>0</v>
      </c>
      <c r="AJ186" s="875">
        <v>0</v>
      </c>
      <c r="AK186" s="872"/>
      <c r="AL186" s="873"/>
      <c r="AM186" s="873"/>
      <c r="AN186" s="873"/>
      <c r="AO186" s="874"/>
      <c r="AP186" s="635">
        <f t="shared" si="90"/>
        <v>0</v>
      </c>
      <c r="AQ186" s="636">
        <v>7.3</v>
      </c>
      <c r="AR186" s="707"/>
      <c r="AS186" s="310"/>
      <c r="AV186" s="228">
        <f t="shared" si="84"/>
        <v>0</v>
      </c>
      <c r="AW186" s="228">
        <f t="shared" si="85"/>
        <v>0</v>
      </c>
      <c r="AX186" s="228">
        <f t="shared" si="86"/>
        <v>0</v>
      </c>
      <c r="AY186" s="228">
        <f t="shared" si="87"/>
        <v>0</v>
      </c>
      <c r="AZ186" s="228">
        <f t="shared" si="88"/>
        <v>0</v>
      </c>
      <c r="BA186" s="228"/>
      <c r="BC186" s="345" cm="1">
        <f t="array" ref="BC186">IF(BM186&gt;=1,0,IFERROR(SUMPRODUCT(($G$11:$AH$11=$BC$16)*($G186:$AH186)),0))</f>
        <v>0</v>
      </c>
      <c r="BD186" s="345" cm="1">
        <f t="array" ref="BD186">IF(BM186&gt;=1,0,IFERROR(SUMPRODUCT(($G$11:$AH$11=$BD$16)*($G186:$AH186)),0))</f>
        <v>0</v>
      </c>
      <c r="BE186" s="345" cm="1">
        <f t="array" ref="BE186">IF(BM186&gt;=1,0,IFERROR(SUMPRODUCT(($G$11:$AH$11=$BE$16)*($G186:$AH186)),0))</f>
        <v>0</v>
      </c>
      <c r="BF186" s="345" cm="1">
        <f t="array" ref="BF186">IF(BM186&gt;=1,0,IFERROR(SUMPRODUCT(($G$11:$AH$11=$BF$16)*($G186:$AH186)),0))</f>
        <v>0</v>
      </c>
      <c r="BG186" s="345" cm="1">
        <f t="array" ref="BG186">IF(BM186&gt;=1,0,IFERROR(SUMPRODUCT(($G$11:$AH$11=$BG$16)*($G186:$AH186)),0))</f>
        <v>0</v>
      </c>
      <c r="BH186" s="345"/>
      <c r="BI186" s="343">
        <f t="shared" si="91"/>
        <v>0</v>
      </c>
      <c r="BJ186" s="230" t="s">
        <v>83</v>
      </c>
      <c r="BK186" cm="1">
        <f t="array" ref="BK186">(SUMPRODUCT(('Cashflow Summary C19RM'!$D$5:$D$451=E186)*('Cashflow Summary C19RM'!$BD$5:$BD$451)))</f>
        <v>0</v>
      </c>
      <c r="BL186" cm="1">
        <f t="array" ref="BL186">(SUMPRODUCT((SETUP!$D$20:$D$67=E186)*(SETUP!$R$20:$R$67)))</f>
        <v>0</v>
      </c>
      <c r="BM186" s="89">
        <f t="shared" si="89"/>
        <v>0</v>
      </c>
    </row>
    <row r="187" spans="1:65" s="89" customFormat="1" ht="15" customHeight="1" x14ac:dyDescent="0.35">
      <c r="A187" s="89" t="s">
        <v>216</v>
      </c>
      <c r="B187" s="211" t="s">
        <v>747</v>
      </c>
      <c r="C187" s="699" t="s">
        <v>2750</v>
      </c>
      <c r="D187" s="1314"/>
      <c r="E187" s="1010" t="s">
        <v>122</v>
      </c>
      <c r="F187" s="697">
        <v>0</v>
      </c>
      <c r="G187" s="628" cm="1">
        <f t="array" ref="G187">$F187*(SUMPRODUCT(('Cashflow Summary C19RM'!$K$5:$K$239&lt;&gt;1)*('Cashflow Summary C19RM'!$D$5:$D$239=E187)*('Cashflow Summary C19RM'!$R$5:$R$239)))</f>
        <v>0</v>
      </c>
      <c r="H187" s="629" cm="1">
        <f t="array" ref="H187">$F187*(SUMPRODUCT(('Cashflow Summary C19RM'!$K$5:$K$239&lt;&gt;1)*('Cashflow Summary C19RM'!$D$5:$D$239=E187)*('Cashflow Summary C19RM'!$S$5:$S$239)))</f>
        <v>0</v>
      </c>
      <c r="I187" s="630" cm="1">
        <f t="array" ref="I187">$F187*(SUMPRODUCT(('Cashflow Summary C19RM'!$K$5:$K$239&lt;&gt;1)*('Cashflow Summary C19RM'!$D$5:$D$239=E187)*('Cashflow Summary C19RM'!$T$5:$T$239)))</f>
        <v>0</v>
      </c>
      <c r="J187" s="630" cm="1">
        <f t="array" ref="J187">$F187*(SUMPRODUCT(('Cashflow Summary C19RM'!$K$5:$K$239&lt;&gt;1)*('Cashflow Summary C19RM'!$D$5:$D$239=E187)*('Cashflow Summary C19RM'!$U$5:$U$239)))</f>
        <v>0</v>
      </c>
      <c r="K187" s="631">
        <f t="shared" si="75"/>
        <v>0</v>
      </c>
      <c r="L187" s="686">
        <f t="shared" si="76"/>
        <v>0</v>
      </c>
      <c r="M187" s="630" cm="1">
        <f t="array" ref="M187">$L187*(SUMPRODUCT(('Cashflow Summary C19RM'!$K$5:$K$239&lt;&gt;1)*('Cashflow Summary C19RM'!$D$5:$D$239=E187)*('Cashflow Summary C19RM'!$V$5:$V$239)))</f>
        <v>0</v>
      </c>
      <c r="N187" s="630" cm="1">
        <f t="array" ref="N187">$L187*(SUMPRODUCT(('Cashflow Summary C19RM'!$K$5:$K$239&lt;&gt;1)*('Cashflow Summary C19RM'!$D$5:$D$239=E187)*('Cashflow Summary C19RM'!$W$5:$W$239)))</f>
        <v>0</v>
      </c>
      <c r="O187" s="630" cm="1">
        <f t="array" ref="O187">$L187*(SUMPRODUCT(('Cashflow Summary C19RM'!$K$5:$K$239&lt;&gt;1)*('Cashflow Summary C19RM'!$D$5:$D$239=E187)*('Cashflow Summary C19RM'!$X$5:$X$239)))</f>
        <v>0</v>
      </c>
      <c r="P187" s="630" cm="1">
        <f t="array" ref="P187">$L187*(SUMPRODUCT(('Cashflow Summary C19RM'!$K$5:$K$239&lt;&gt;1)*('Cashflow Summary C19RM'!$D$5:$D$239=E187)*('Cashflow Summary C19RM'!$Y$5:$Y$239)))</f>
        <v>0</v>
      </c>
      <c r="Q187" s="632">
        <f t="shared" si="77"/>
        <v>0</v>
      </c>
      <c r="R187" s="686">
        <f t="shared" si="78"/>
        <v>0</v>
      </c>
      <c r="S187" s="633" cm="1">
        <f t="array" ref="S187">$R187*(SUMPRODUCT(('Cashflow Summary C19RM'!$K$5:$K$239&lt;&gt;1)*('Cashflow Summary C19RM'!$D$5:$D$239=E187)*('Cashflow Summary C19RM'!$Z$5:$Z$239)))</f>
        <v>0</v>
      </c>
      <c r="T187" s="633" cm="1">
        <f t="array" ref="T187">$R187*(SUMPRODUCT(('Cashflow Summary C19RM'!$K$5:$K$239&lt;&gt;1)*('Cashflow Summary C19RM'!$D$5:$D$239=E187)*('Cashflow Summary C19RM'!$AA$5:$AA$239)))</f>
        <v>0</v>
      </c>
      <c r="U187" s="633" cm="1">
        <f t="array" ref="U187">$R187*(SUMPRODUCT(('Cashflow Summary C19RM'!$K$5:$K$239&lt;&gt;1)*('Cashflow Summary C19RM'!$D$5:$D$239=E187)*('Cashflow Summary C19RM'!$AB$5:$AB$239)))</f>
        <v>0</v>
      </c>
      <c r="V187" s="633" cm="1">
        <f t="array" ref="V187">$R187*(SUMPRODUCT(('Cashflow Summary C19RM'!$K$5:$K$239&lt;&gt;1)*('Cashflow Summary C19RM'!$D$5:$D$239=E187)*('Cashflow Summary C19RM'!$AC$5:$AC$239)))</f>
        <v>0</v>
      </c>
      <c r="W187" s="634">
        <f t="shared" si="79"/>
        <v>0</v>
      </c>
      <c r="X187" s="686">
        <f t="shared" si="80"/>
        <v>0</v>
      </c>
      <c r="Y187" s="633" cm="1">
        <f t="array" ref="Y187">$X187*(SUMPRODUCT(('Cashflow Summary C19RM'!$K$5:$K$239&lt;&gt;1)*('Cashflow Summary C19RM'!$D$5:$D$239=E187)*('Cashflow Summary C19RM'!$AD$5:$AD$239)))</f>
        <v>0</v>
      </c>
      <c r="Z187" s="633" cm="1">
        <f t="array" ref="Z187">$X187*(SUMPRODUCT(('Cashflow Summary C19RM'!$K$5:$K$239&lt;&gt;1)*('Cashflow Summary C19RM'!$D$5:$D$239=E187)*('Cashflow Summary C19RM'!$AE$5:$AE$239)))</f>
        <v>0</v>
      </c>
      <c r="AA187" s="633" cm="1">
        <f t="array" ref="AA187">$X187*(SUMPRODUCT(('Cashflow Summary C19RM'!$K$5:$K$239&lt;&gt;1)*('Cashflow Summary C19RM'!$D$5:$D$239=E187)*('Cashflow Summary C19RM'!$AF$5:$AF$239)))</f>
        <v>0</v>
      </c>
      <c r="AB187" s="630" cm="1">
        <f t="array" ref="AB187">$X187*(SUMPRODUCT(('Cashflow Summary C19RM'!$K$5:$K$239&lt;&gt;1)*('Cashflow Summary C19RM'!$D$5:$D$239=E187)*('Cashflow Summary C19RM'!$AG$5:$AG$239)))</f>
        <v>0</v>
      </c>
      <c r="AC187" s="634">
        <f t="shared" si="81"/>
        <v>0</v>
      </c>
      <c r="AD187" s="686">
        <f t="shared" si="82"/>
        <v>0</v>
      </c>
      <c r="AE187" s="628" cm="1">
        <f t="array" ref="AE187">$AD187*(SUMPRODUCT(('Cashflow Summary C19RM'!$K$5:$K$239&lt;&gt;1)*('Cashflow Summary C19RM'!$D$5:$D$239=E187)*('Cashflow Summary C19RM'!$AH$5:$AH$239)))</f>
        <v>0</v>
      </c>
      <c r="AF187" s="633" cm="1">
        <f t="array" ref="AF187">$AD187*(SUMPRODUCT(('Cashflow Summary C19RM'!$K$5:$K$239&lt;&gt;1)*('Cashflow Summary C19RM'!$D$5:$D$239=E187)*('Cashflow Summary C19RM'!$AI$5:$AI$239)))</f>
        <v>0</v>
      </c>
      <c r="AG187" s="633" cm="1">
        <f t="array" ref="AG187">$AD187*(SUMPRODUCT(('Cashflow Summary C19RM'!$K$5:$K$239&lt;&gt;1)*('Cashflow Summary C19RM'!$D$5:$D$239=E187)*('Cashflow Summary C19RM'!$AJ$5:$AJ$239)))</f>
        <v>0</v>
      </c>
      <c r="AH187" s="633" cm="1">
        <f t="array" ref="AH187">$AD187*(SUMPRODUCT(('Cashflow Summary C19RM'!$K$5:$K$239&lt;&gt;1)*('Cashflow Summary C19RM'!$D$5:$D$239=E187)*('Cashflow Summary C19RM'!$AK$5:$AO$239)))</f>
        <v>0</v>
      </c>
      <c r="AI187" s="634">
        <f t="shared" si="83"/>
        <v>0</v>
      </c>
      <c r="AJ187" s="875">
        <v>0</v>
      </c>
      <c r="AK187" s="872"/>
      <c r="AL187" s="873"/>
      <c r="AM187" s="873"/>
      <c r="AN187" s="873"/>
      <c r="AO187" s="874"/>
      <c r="AP187" s="635">
        <f t="shared" si="90"/>
        <v>0</v>
      </c>
      <c r="AQ187" s="636">
        <v>7.3</v>
      </c>
      <c r="AR187" s="707"/>
      <c r="AS187" s="310"/>
      <c r="AV187" s="228">
        <f t="shared" si="84"/>
        <v>0</v>
      </c>
      <c r="AW187" s="228">
        <f t="shared" si="85"/>
        <v>0</v>
      </c>
      <c r="AX187" s="228">
        <f t="shared" si="86"/>
        <v>0</v>
      </c>
      <c r="AY187" s="228">
        <f t="shared" si="87"/>
        <v>0</v>
      </c>
      <c r="AZ187" s="228">
        <f t="shared" si="88"/>
        <v>0</v>
      </c>
      <c r="BA187" s="228"/>
      <c r="BC187" s="345" cm="1">
        <f t="array" ref="BC187">IF(BM187&gt;=1,0,IFERROR(SUMPRODUCT(($G$11:$AH$11=$BC$16)*($G187:$AH187)),0))</f>
        <v>0</v>
      </c>
      <c r="BD187" s="345" cm="1">
        <f t="array" ref="BD187">IF(BM187&gt;=1,0,IFERROR(SUMPRODUCT(($G$11:$AH$11=$BD$16)*($G187:$AH187)),0))</f>
        <v>0</v>
      </c>
      <c r="BE187" s="345" cm="1">
        <f t="array" ref="BE187">IF(BM187&gt;=1,0,IFERROR(SUMPRODUCT(($G$11:$AH$11=$BE$16)*($G187:$AH187)),0))</f>
        <v>0</v>
      </c>
      <c r="BF187" s="345" cm="1">
        <f t="array" ref="BF187">IF(BM187&gt;=1,0,IFERROR(SUMPRODUCT(($G$11:$AH$11=$BF$16)*($G187:$AH187)),0))</f>
        <v>0</v>
      </c>
      <c r="BG187" s="345" cm="1">
        <f t="array" ref="BG187">IF(BM187&gt;=1,0,IFERROR(SUMPRODUCT(($G$11:$AH$11=$BG$16)*($G187:$AH187)),0))</f>
        <v>0</v>
      </c>
      <c r="BH187" s="345"/>
      <c r="BI187" s="343">
        <f t="shared" si="91"/>
        <v>0</v>
      </c>
      <c r="BJ187" s="230" t="s">
        <v>83</v>
      </c>
      <c r="BK187" cm="1">
        <f t="array" ref="BK187">(SUMPRODUCT(('Cashflow Summary C19RM'!$D$5:$D$451=E187)*('Cashflow Summary C19RM'!$BD$5:$BD$451)))</f>
        <v>0</v>
      </c>
      <c r="BL187" cm="1">
        <f t="array" ref="BL187">(SUMPRODUCT((SETUP!$D$20:$D$67=E187)*(SETUP!$R$20:$R$67)))</f>
        <v>0</v>
      </c>
      <c r="BM187" s="89">
        <f t="shared" si="89"/>
        <v>0</v>
      </c>
    </row>
    <row r="188" spans="1:65" s="89" customFormat="1" ht="15" customHeight="1" x14ac:dyDescent="0.35">
      <c r="A188" s="89" t="s">
        <v>216</v>
      </c>
      <c r="B188" s="211" t="s">
        <v>747</v>
      </c>
      <c r="C188" s="699" t="s">
        <v>2750</v>
      </c>
      <c r="D188" s="1314"/>
      <c r="E188" s="1010" t="s">
        <v>21</v>
      </c>
      <c r="F188" s="697">
        <v>0</v>
      </c>
      <c r="G188" s="628" cm="1">
        <f t="array" ref="G188">$F188*(SUMPRODUCT(('Cashflow Summary C19RM'!$K$5:$K$239&lt;&gt;1)*('Cashflow Summary C19RM'!$D$5:$D$239=E188)*('Cashflow Summary C19RM'!$R$5:$R$239)))</f>
        <v>0</v>
      </c>
      <c r="H188" s="629" cm="1">
        <f t="array" ref="H188">$F188*(SUMPRODUCT(('Cashflow Summary C19RM'!$K$5:$K$239&lt;&gt;1)*('Cashflow Summary C19RM'!$D$5:$D$239=E188)*('Cashflow Summary C19RM'!$S$5:$S$239)))</f>
        <v>0</v>
      </c>
      <c r="I188" s="630" cm="1">
        <f t="array" ref="I188">$F188*(SUMPRODUCT(('Cashflow Summary C19RM'!$K$5:$K$239&lt;&gt;1)*('Cashflow Summary C19RM'!$D$5:$D$239=E188)*('Cashflow Summary C19RM'!$T$5:$T$239)))</f>
        <v>0</v>
      </c>
      <c r="J188" s="630" cm="1">
        <f t="array" ref="J188">$F188*(SUMPRODUCT(('Cashflow Summary C19RM'!$K$5:$K$239&lt;&gt;1)*('Cashflow Summary C19RM'!$D$5:$D$239=E188)*('Cashflow Summary C19RM'!$U$5:$U$239)))</f>
        <v>0</v>
      </c>
      <c r="K188" s="631">
        <f t="shared" si="75"/>
        <v>0</v>
      </c>
      <c r="L188" s="686">
        <f t="shared" si="76"/>
        <v>0</v>
      </c>
      <c r="M188" s="630" cm="1">
        <f t="array" ref="M188">$L188*(SUMPRODUCT(('Cashflow Summary C19RM'!$K$5:$K$239&lt;&gt;1)*('Cashflow Summary C19RM'!$D$5:$D$239=E188)*('Cashflow Summary C19RM'!$V$5:$V$239)))</f>
        <v>0</v>
      </c>
      <c r="N188" s="630" cm="1">
        <f t="array" ref="N188">$L188*(SUMPRODUCT(('Cashflow Summary C19RM'!$K$5:$K$239&lt;&gt;1)*('Cashflow Summary C19RM'!$D$5:$D$239=E188)*('Cashflow Summary C19RM'!$W$5:$W$239)))</f>
        <v>0</v>
      </c>
      <c r="O188" s="630" cm="1">
        <f t="array" ref="O188">$L188*(SUMPRODUCT(('Cashflow Summary C19RM'!$K$5:$K$239&lt;&gt;1)*('Cashflow Summary C19RM'!$D$5:$D$239=E188)*('Cashflow Summary C19RM'!$X$5:$X$239)))</f>
        <v>0</v>
      </c>
      <c r="P188" s="630" cm="1">
        <f t="array" ref="P188">$L188*(SUMPRODUCT(('Cashflow Summary C19RM'!$K$5:$K$239&lt;&gt;1)*('Cashflow Summary C19RM'!$D$5:$D$239=E188)*('Cashflow Summary C19RM'!$Y$5:$Y$239)))</f>
        <v>0</v>
      </c>
      <c r="Q188" s="632">
        <f t="shared" si="77"/>
        <v>0</v>
      </c>
      <c r="R188" s="686">
        <f t="shared" si="78"/>
        <v>0</v>
      </c>
      <c r="S188" s="633" cm="1">
        <f t="array" ref="S188">$R188*(SUMPRODUCT(('Cashflow Summary C19RM'!$K$5:$K$239&lt;&gt;1)*('Cashflow Summary C19RM'!$D$5:$D$239=E188)*('Cashflow Summary C19RM'!$Z$5:$Z$239)))</f>
        <v>0</v>
      </c>
      <c r="T188" s="633" cm="1">
        <f t="array" ref="T188">$R188*(SUMPRODUCT(('Cashflow Summary C19RM'!$K$5:$K$239&lt;&gt;1)*('Cashflow Summary C19RM'!$D$5:$D$239=E188)*('Cashflow Summary C19RM'!$AA$5:$AA$239)))</f>
        <v>0</v>
      </c>
      <c r="U188" s="633" cm="1">
        <f t="array" ref="U188">$R188*(SUMPRODUCT(('Cashflow Summary C19RM'!$K$5:$K$239&lt;&gt;1)*('Cashflow Summary C19RM'!$D$5:$D$239=E188)*('Cashflow Summary C19RM'!$AB$5:$AB$239)))</f>
        <v>0</v>
      </c>
      <c r="V188" s="633" cm="1">
        <f t="array" ref="V188">$R188*(SUMPRODUCT(('Cashflow Summary C19RM'!$K$5:$K$239&lt;&gt;1)*('Cashflow Summary C19RM'!$D$5:$D$239=E188)*('Cashflow Summary C19RM'!$AC$5:$AC$239)))</f>
        <v>0</v>
      </c>
      <c r="W188" s="634">
        <f t="shared" si="79"/>
        <v>0</v>
      </c>
      <c r="X188" s="686">
        <f t="shared" si="80"/>
        <v>0</v>
      </c>
      <c r="Y188" s="633" cm="1">
        <f t="array" ref="Y188">$X188*(SUMPRODUCT(('Cashflow Summary C19RM'!$K$5:$K$239&lt;&gt;1)*('Cashflow Summary C19RM'!$D$5:$D$239=E188)*('Cashflow Summary C19RM'!$AD$5:$AD$239)))</f>
        <v>0</v>
      </c>
      <c r="Z188" s="633" cm="1">
        <f t="array" ref="Z188">$X188*(SUMPRODUCT(('Cashflow Summary C19RM'!$K$5:$K$239&lt;&gt;1)*('Cashflow Summary C19RM'!$D$5:$D$239=E188)*('Cashflow Summary C19RM'!$AE$5:$AE$239)))</f>
        <v>0</v>
      </c>
      <c r="AA188" s="633" cm="1">
        <f t="array" ref="AA188">$X188*(SUMPRODUCT(('Cashflow Summary C19RM'!$K$5:$K$239&lt;&gt;1)*('Cashflow Summary C19RM'!$D$5:$D$239=E188)*('Cashflow Summary C19RM'!$AF$5:$AF$239)))</f>
        <v>0</v>
      </c>
      <c r="AB188" s="630" cm="1">
        <f t="array" ref="AB188">$X188*(SUMPRODUCT(('Cashflow Summary C19RM'!$K$5:$K$239&lt;&gt;1)*('Cashflow Summary C19RM'!$D$5:$D$239=E188)*('Cashflow Summary C19RM'!$AG$5:$AG$239)))</f>
        <v>0</v>
      </c>
      <c r="AC188" s="634">
        <f t="shared" si="81"/>
        <v>0</v>
      </c>
      <c r="AD188" s="686">
        <f t="shared" si="82"/>
        <v>0</v>
      </c>
      <c r="AE188" s="628" cm="1">
        <f t="array" ref="AE188">$AD188*(SUMPRODUCT(('Cashflow Summary C19RM'!$K$5:$K$239&lt;&gt;1)*('Cashflow Summary C19RM'!$D$5:$D$239=E188)*('Cashflow Summary C19RM'!$AH$5:$AH$239)))</f>
        <v>0</v>
      </c>
      <c r="AF188" s="633" cm="1">
        <f t="array" ref="AF188">$AD188*(SUMPRODUCT(('Cashflow Summary C19RM'!$K$5:$K$239&lt;&gt;1)*('Cashflow Summary C19RM'!$D$5:$D$239=E188)*('Cashflow Summary C19RM'!$AI$5:$AI$239)))</f>
        <v>0</v>
      </c>
      <c r="AG188" s="633" cm="1">
        <f t="array" ref="AG188">$AD188*(SUMPRODUCT(('Cashflow Summary C19RM'!$K$5:$K$239&lt;&gt;1)*('Cashflow Summary C19RM'!$D$5:$D$239=E188)*('Cashflow Summary C19RM'!$AJ$5:$AJ$239)))</f>
        <v>0</v>
      </c>
      <c r="AH188" s="633" cm="1">
        <f t="array" ref="AH188">$AD188*(SUMPRODUCT(('Cashflow Summary C19RM'!$K$5:$K$239&lt;&gt;1)*('Cashflow Summary C19RM'!$D$5:$D$239=E188)*('Cashflow Summary C19RM'!$AK$5:$AO$239)))</f>
        <v>0</v>
      </c>
      <c r="AI188" s="634">
        <f t="shared" si="83"/>
        <v>0</v>
      </c>
      <c r="AJ188" s="875">
        <v>0</v>
      </c>
      <c r="AK188" s="872"/>
      <c r="AL188" s="873"/>
      <c r="AM188" s="873"/>
      <c r="AN188" s="873"/>
      <c r="AO188" s="874"/>
      <c r="AP188" s="635">
        <f t="shared" si="90"/>
        <v>0</v>
      </c>
      <c r="AQ188" s="636">
        <v>7.3</v>
      </c>
      <c r="AR188" s="707"/>
      <c r="AS188" s="310"/>
      <c r="AV188" s="228">
        <f t="shared" si="84"/>
        <v>0</v>
      </c>
      <c r="AW188" s="228">
        <f t="shared" si="85"/>
        <v>0</v>
      </c>
      <c r="AX188" s="228">
        <f t="shared" si="86"/>
        <v>0</v>
      </c>
      <c r="AY188" s="228">
        <f t="shared" si="87"/>
        <v>0</v>
      </c>
      <c r="AZ188" s="228">
        <f t="shared" si="88"/>
        <v>0</v>
      </c>
      <c r="BA188" s="228"/>
      <c r="BC188" s="345" cm="1">
        <f t="array" ref="BC188">IF(BM188&gt;=1,0,IFERROR(SUMPRODUCT(($G$11:$AH$11=$BC$16)*($G188:$AH188)),0))</f>
        <v>0</v>
      </c>
      <c r="BD188" s="345" cm="1">
        <f t="array" ref="BD188">IF(BM188&gt;=1,0,IFERROR(SUMPRODUCT(($G$11:$AH$11=$BD$16)*($G188:$AH188)),0))</f>
        <v>0</v>
      </c>
      <c r="BE188" s="345" cm="1">
        <f t="array" ref="BE188">IF(BM188&gt;=1,0,IFERROR(SUMPRODUCT(($G$11:$AH$11=$BE$16)*($G188:$AH188)),0))</f>
        <v>0</v>
      </c>
      <c r="BF188" s="345" cm="1">
        <f t="array" ref="BF188">IF(BM188&gt;=1,0,IFERROR(SUMPRODUCT(($G$11:$AH$11=$BF$16)*($G188:$AH188)),0))</f>
        <v>0</v>
      </c>
      <c r="BG188" s="345" cm="1">
        <f t="array" ref="BG188">IF(BM188&gt;=1,0,IFERROR(SUMPRODUCT(($G$11:$AH$11=$BG$16)*($G188:$AH188)),0))</f>
        <v>0</v>
      </c>
      <c r="BH188" s="345"/>
      <c r="BI188" s="343">
        <f t="shared" si="91"/>
        <v>0</v>
      </c>
      <c r="BJ188" s="230" t="s">
        <v>83</v>
      </c>
      <c r="BK188" cm="1">
        <f t="array" ref="BK188">(SUMPRODUCT(('Cashflow Summary C19RM'!$D$5:$D$451=E188)*('Cashflow Summary C19RM'!$BD$5:$BD$451)))</f>
        <v>0</v>
      </c>
      <c r="BL188" cm="1">
        <f t="array" ref="BL188">(SUMPRODUCT((SETUP!$D$20:$D$67=E188)*(SETUP!$R$20:$R$67)))</f>
        <v>0</v>
      </c>
      <c r="BM188" s="89">
        <f t="shared" si="89"/>
        <v>0</v>
      </c>
    </row>
    <row r="189" spans="1:65" s="89" customFormat="1" ht="15" customHeight="1" x14ac:dyDescent="0.35">
      <c r="A189" s="89" t="s">
        <v>216</v>
      </c>
      <c r="B189" s="211" t="s">
        <v>747</v>
      </c>
      <c r="C189" s="699" t="s">
        <v>2750</v>
      </c>
      <c r="D189" s="1314"/>
      <c r="E189" s="1010" t="s">
        <v>23</v>
      </c>
      <c r="F189" s="697">
        <v>0</v>
      </c>
      <c r="G189" s="628" cm="1">
        <f t="array" ref="G189">$F189*(SUMPRODUCT(('Cashflow Summary C19RM'!$K$5:$K$239&lt;&gt;1)*('Cashflow Summary C19RM'!$D$5:$D$239=E189)*('Cashflow Summary C19RM'!$R$5:$R$239)))</f>
        <v>0</v>
      </c>
      <c r="H189" s="629" cm="1">
        <f t="array" ref="H189">$F189*(SUMPRODUCT(('Cashflow Summary C19RM'!$K$5:$K$239&lt;&gt;1)*('Cashflow Summary C19RM'!$D$5:$D$239=E189)*('Cashflow Summary C19RM'!$S$5:$S$239)))</f>
        <v>0</v>
      </c>
      <c r="I189" s="630" cm="1">
        <f t="array" ref="I189">$F189*(SUMPRODUCT(('Cashflow Summary C19RM'!$K$5:$K$239&lt;&gt;1)*('Cashflow Summary C19RM'!$D$5:$D$239=E189)*('Cashflow Summary C19RM'!$T$5:$T$239)))</f>
        <v>0</v>
      </c>
      <c r="J189" s="630" cm="1">
        <f t="array" ref="J189">$F189*(SUMPRODUCT(('Cashflow Summary C19RM'!$K$5:$K$239&lt;&gt;1)*('Cashflow Summary C19RM'!$D$5:$D$239=E189)*('Cashflow Summary C19RM'!$U$5:$U$239)))</f>
        <v>0</v>
      </c>
      <c r="K189" s="631">
        <f t="shared" si="75"/>
        <v>0</v>
      </c>
      <c r="L189" s="686">
        <f t="shared" si="76"/>
        <v>0</v>
      </c>
      <c r="M189" s="630" cm="1">
        <f t="array" ref="M189">$L189*(SUMPRODUCT(('Cashflow Summary C19RM'!$K$5:$K$239&lt;&gt;1)*('Cashflow Summary C19RM'!$D$5:$D$239=E189)*('Cashflow Summary C19RM'!$V$5:$V$239)))</f>
        <v>0</v>
      </c>
      <c r="N189" s="630" cm="1">
        <f t="array" ref="N189">$L189*(SUMPRODUCT(('Cashflow Summary C19RM'!$K$5:$K$239&lt;&gt;1)*('Cashflow Summary C19RM'!$D$5:$D$239=E189)*('Cashflow Summary C19RM'!$W$5:$W$239)))</f>
        <v>0</v>
      </c>
      <c r="O189" s="630" cm="1">
        <f t="array" ref="O189">$L189*(SUMPRODUCT(('Cashflow Summary C19RM'!$K$5:$K$239&lt;&gt;1)*('Cashflow Summary C19RM'!$D$5:$D$239=E189)*('Cashflow Summary C19RM'!$X$5:$X$239)))</f>
        <v>0</v>
      </c>
      <c r="P189" s="630" cm="1">
        <f t="array" ref="P189">$L189*(SUMPRODUCT(('Cashflow Summary C19RM'!$K$5:$K$239&lt;&gt;1)*('Cashflow Summary C19RM'!$D$5:$D$239=E189)*('Cashflow Summary C19RM'!$Y$5:$Y$239)))</f>
        <v>0</v>
      </c>
      <c r="Q189" s="632">
        <f t="shared" si="77"/>
        <v>0</v>
      </c>
      <c r="R189" s="686">
        <f t="shared" si="78"/>
        <v>0</v>
      </c>
      <c r="S189" s="633" cm="1">
        <f t="array" ref="S189">$R189*(SUMPRODUCT(('Cashflow Summary C19RM'!$K$5:$K$239&lt;&gt;1)*('Cashflow Summary C19RM'!$D$5:$D$239=E189)*('Cashflow Summary C19RM'!$Z$5:$Z$239)))</f>
        <v>0</v>
      </c>
      <c r="T189" s="633" cm="1">
        <f t="array" ref="T189">$R189*(SUMPRODUCT(('Cashflow Summary C19RM'!$K$5:$K$239&lt;&gt;1)*('Cashflow Summary C19RM'!$D$5:$D$239=E189)*('Cashflow Summary C19RM'!$AA$5:$AA$239)))</f>
        <v>0</v>
      </c>
      <c r="U189" s="633" cm="1">
        <f t="array" ref="U189">$R189*(SUMPRODUCT(('Cashflow Summary C19RM'!$K$5:$K$239&lt;&gt;1)*('Cashflow Summary C19RM'!$D$5:$D$239=E189)*('Cashflow Summary C19RM'!$AB$5:$AB$239)))</f>
        <v>0</v>
      </c>
      <c r="V189" s="633" cm="1">
        <f t="array" ref="V189">$R189*(SUMPRODUCT(('Cashflow Summary C19RM'!$K$5:$K$239&lt;&gt;1)*('Cashflow Summary C19RM'!$D$5:$D$239=E189)*('Cashflow Summary C19RM'!$AC$5:$AC$239)))</f>
        <v>0</v>
      </c>
      <c r="W189" s="634">
        <f t="shared" si="79"/>
        <v>0</v>
      </c>
      <c r="X189" s="686">
        <f t="shared" si="80"/>
        <v>0</v>
      </c>
      <c r="Y189" s="633" cm="1">
        <f t="array" ref="Y189">$X189*(SUMPRODUCT(('Cashflow Summary C19RM'!$K$5:$K$239&lt;&gt;1)*('Cashflow Summary C19RM'!$D$5:$D$239=E189)*('Cashflow Summary C19RM'!$AD$5:$AD$239)))</f>
        <v>0</v>
      </c>
      <c r="Z189" s="633" cm="1">
        <f t="array" ref="Z189">$X189*(SUMPRODUCT(('Cashflow Summary C19RM'!$K$5:$K$239&lt;&gt;1)*('Cashflow Summary C19RM'!$D$5:$D$239=E189)*('Cashflow Summary C19RM'!$AE$5:$AE$239)))</f>
        <v>0</v>
      </c>
      <c r="AA189" s="633" cm="1">
        <f t="array" ref="AA189">$X189*(SUMPRODUCT(('Cashflow Summary C19RM'!$K$5:$K$239&lt;&gt;1)*('Cashflow Summary C19RM'!$D$5:$D$239=E189)*('Cashflow Summary C19RM'!$AF$5:$AF$239)))</f>
        <v>0</v>
      </c>
      <c r="AB189" s="630" cm="1">
        <f t="array" ref="AB189">$X189*(SUMPRODUCT(('Cashflow Summary C19RM'!$K$5:$K$239&lt;&gt;1)*('Cashflow Summary C19RM'!$D$5:$D$239=E189)*('Cashflow Summary C19RM'!$AG$5:$AG$239)))</f>
        <v>0</v>
      </c>
      <c r="AC189" s="634">
        <f t="shared" si="81"/>
        <v>0</v>
      </c>
      <c r="AD189" s="686">
        <f t="shared" si="82"/>
        <v>0</v>
      </c>
      <c r="AE189" s="628" cm="1">
        <f t="array" ref="AE189">$AD189*(SUMPRODUCT(('Cashflow Summary C19RM'!$K$5:$K$239&lt;&gt;1)*('Cashflow Summary C19RM'!$D$5:$D$239=E189)*('Cashflow Summary C19RM'!$AH$5:$AH$239)))</f>
        <v>0</v>
      </c>
      <c r="AF189" s="633" cm="1">
        <f t="array" ref="AF189">$AD189*(SUMPRODUCT(('Cashflow Summary C19RM'!$K$5:$K$239&lt;&gt;1)*('Cashflow Summary C19RM'!$D$5:$D$239=E189)*('Cashflow Summary C19RM'!$AI$5:$AI$239)))</f>
        <v>0</v>
      </c>
      <c r="AG189" s="633" cm="1">
        <f t="array" ref="AG189">$AD189*(SUMPRODUCT(('Cashflow Summary C19RM'!$K$5:$K$239&lt;&gt;1)*('Cashflow Summary C19RM'!$D$5:$D$239=E189)*('Cashflow Summary C19RM'!$AJ$5:$AJ$239)))</f>
        <v>0</v>
      </c>
      <c r="AH189" s="633" cm="1">
        <f t="array" ref="AH189">$AD189*(SUMPRODUCT(('Cashflow Summary C19RM'!$K$5:$K$239&lt;&gt;1)*('Cashflow Summary C19RM'!$D$5:$D$239=E189)*('Cashflow Summary C19RM'!$AK$5:$AO$239)))</f>
        <v>0</v>
      </c>
      <c r="AI189" s="634">
        <f t="shared" si="83"/>
        <v>0</v>
      </c>
      <c r="AJ189" s="875">
        <v>0</v>
      </c>
      <c r="AK189" s="872"/>
      <c r="AL189" s="873"/>
      <c r="AM189" s="873"/>
      <c r="AN189" s="873"/>
      <c r="AO189" s="874"/>
      <c r="AP189" s="635">
        <f t="shared" si="90"/>
        <v>0</v>
      </c>
      <c r="AQ189" s="636">
        <v>7.3</v>
      </c>
      <c r="AR189" s="707"/>
      <c r="AS189" s="310"/>
      <c r="AV189" s="228">
        <f t="shared" si="84"/>
        <v>0</v>
      </c>
      <c r="AW189" s="228">
        <f t="shared" si="85"/>
        <v>0</v>
      </c>
      <c r="AX189" s="228">
        <f t="shared" si="86"/>
        <v>0</v>
      </c>
      <c r="AY189" s="228">
        <f t="shared" si="87"/>
        <v>0</v>
      </c>
      <c r="AZ189" s="228">
        <f t="shared" si="88"/>
        <v>0</v>
      </c>
      <c r="BA189" s="228"/>
      <c r="BC189" s="345" cm="1">
        <f t="array" ref="BC189">IF(BM189&gt;=1,0,IFERROR(SUMPRODUCT(($G$11:$AH$11=$BC$16)*($G189:$AH189)),0))</f>
        <v>0</v>
      </c>
      <c r="BD189" s="345" cm="1">
        <f t="array" ref="BD189">IF(BM189&gt;=1,0,IFERROR(SUMPRODUCT(($G$11:$AH$11=$BD$16)*($G189:$AH189)),0))</f>
        <v>0</v>
      </c>
      <c r="BE189" s="345" cm="1">
        <f t="array" ref="BE189">IF(BM189&gt;=1,0,IFERROR(SUMPRODUCT(($G$11:$AH$11=$BE$16)*($G189:$AH189)),0))</f>
        <v>0</v>
      </c>
      <c r="BF189" s="345" cm="1">
        <f t="array" ref="BF189">IF(BM189&gt;=1,0,IFERROR(SUMPRODUCT(($G$11:$AH$11=$BF$16)*($G189:$AH189)),0))</f>
        <v>0</v>
      </c>
      <c r="BG189" s="345" cm="1">
        <f t="array" ref="BG189">IF(BM189&gt;=1,0,IFERROR(SUMPRODUCT(($G$11:$AH$11=$BG$16)*($G189:$AH189)),0))</f>
        <v>0</v>
      </c>
      <c r="BH189" s="345"/>
      <c r="BI189" s="343">
        <f t="shared" si="91"/>
        <v>0</v>
      </c>
      <c r="BJ189" s="230" t="s">
        <v>83</v>
      </c>
      <c r="BK189" cm="1">
        <f t="array" ref="BK189">(SUMPRODUCT(('Cashflow Summary C19RM'!$D$5:$D$451=E189)*('Cashflow Summary C19RM'!$BD$5:$BD$451)))</f>
        <v>0</v>
      </c>
      <c r="BL189" cm="1">
        <f t="array" ref="BL189">(SUMPRODUCT((SETUP!$D$20:$D$67=E189)*(SETUP!$R$20:$R$67)))</f>
        <v>0</v>
      </c>
      <c r="BM189" s="89">
        <f t="shared" si="89"/>
        <v>0</v>
      </c>
    </row>
    <row r="190" spans="1:65" s="89" customFormat="1" ht="15" customHeight="1" x14ac:dyDescent="0.35">
      <c r="A190" s="89" t="s">
        <v>216</v>
      </c>
      <c r="B190" s="211" t="s">
        <v>747</v>
      </c>
      <c r="C190" s="699" t="s">
        <v>2750</v>
      </c>
      <c r="D190" s="1314"/>
      <c r="E190" s="1010" t="s">
        <v>22</v>
      </c>
      <c r="F190" s="697">
        <v>0</v>
      </c>
      <c r="G190" s="628" cm="1">
        <f t="array" ref="G190">$F190*(SUMPRODUCT(('Cashflow Summary C19RM'!$K$5:$K$239&lt;&gt;1)*('Cashflow Summary C19RM'!$D$5:$D$239=E190)*('Cashflow Summary C19RM'!$R$5:$R$239)))</f>
        <v>0</v>
      </c>
      <c r="H190" s="629" cm="1">
        <f t="array" ref="H190">$F190*(SUMPRODUCT(('Cashflow Summary C19RM'!$K$5:$K$239&lt;&gt;1)*('Cashflow Summary C19RM'!$D$5:$D$239=E190)*('Cashflow Summary C19RM'!$S$5:$S$239)))</f>
        <v>0</v>
      </c>
      <c r="I190" s="630" cm="1">
        <f t="array" ref="I190">$F190*(SUMPRODUCT(('Cashflow Summary C19RM'!$K$5:$K$239&lt;&gt;1)*('Cashflow Summary C19RM'!$D$5:$D$239=E190)*('Cashflow Summary C19RM'!$T$5:$T$239)))</f>
        <v>0</v>
      </c>
      <c r="J190" s="630" cm="1">
        <f t="array" ref="J190">$F190*(SUMPRODUCT(('Cashflow Summary C19RM'!$K$5:$K$239&lt;&gt;1)*('Cashflow Summary C19RM'!$D$5:$D$239=E190)*('Cashflow Summary C19RM'!$U$5:$U$239)))</f>
        <v>0</v>
      </c>
      <c r="K190" s="631">
        <f t="shared" si="75"/>
        <v>0</v>
      </c>
      <c r="L190" s="686">
        <f t="shared" si="76"/>
        <v>0</v>
      </c>
      <c r="M190" s="630" cm="1">
        <f t="array" ref="M190">$L190*(SUMPRODUCT(('Cashflow Summary C19RM'!$K$5:$K$239&lt;&gt;1)*('Cashflow Summary C19RM'!$D$5:$D$239=E190)*('Cashflow Summary C19RM'!$V$5:$V$239)))</f>
        <v>0</v>
      </c>
      <c r="N190" s="630" cm="1">
        <f t="array" ref="N190">$L190*(SUMPRODUCT(('Cashflow Summary C19RM'!$K$5:$K$239&lt;&gt;1)*('Cashflow Summary C19RM'!$D$5:$D$239=E190)*('Cashflow Summary C19RM'!$W$5:$W$239)))</f>
        <v>0</v>
      </c>
      <c r="O190" s="630" cm="1">
        <f t="array" ref="O190">$L190*(SUMPRODUCT(('Cashflow Summary C19RM'!$K$5:$K$239&lt;&gt;1)*('Cashflow Summary C19RM'!$D$5:$D$239=E190)*('Cashflow Summary C19RM'!$X$5:$X$239)))</f>
        <v>0</v>
      </c>
      <c r="P190" s="630" cm="1">
        <f t="array" ref="P190">$L190*(SUMPRODUCT(('Cashflow Summary C19RM'!$K$5:$K$239&lt;&gt;1)*('Cashflow Summary C19RM'!$D$5:$D$239=E190)*('Cashflow Summary C19RM'!$Y$5:$Y$239)))</f>
        <v>0</v>
      </c>
      <c r="Q190" s="632">
        <f t="shared" si="77"/>
        <v>0</v>
      </c>
      <c r="R190" s="686">
        <f t="shared" si="78"/>
        <v>0</v>
      </c>
      <c r="S190" s="633" cm="1">
        <f t="array" ref="S190">$R190*(SUMPRODUCT(('Cashflow Summary C19RM'!$K$5:$K$239&lt;&gt;1)*('Cashflow Summary C19RM'!$D$5:$D$239=E190)*('Cashflow Summary C19RM'!$Z$5:$Z$239)))</f>
        <v>0</v>
      </c>
      <c r="T190" s="633" cm="1">
        <f t="array" ref="T190">$R190*(SUMPRODUCT(('Cashflow Summary C19RM'!$K$5:$K$239&lt;&gt;1)*('Cashflow Summary C19RM'!$D$5:$D$239=E190)*('Cashflow Summary C19RM'!$AA$5:$AA$239)))</f>
        <v>0</v>
      </c>
      <c r="U190" s="633" cm="1">
        <f t="array" ref="U190">$R190*(SUMPRODUCT(('Cashflow Summary C19RM'!$K$5:$K$239&lt;&gt;1)*('Cashflow Summary C19RM'!$D$5:$D$239=E190)*('Cashflow Summary C19RM'!$AB$5:$AB$239)))</f>
        <v>0</v>
      </c>
      <c r="V190" s="633" cm="1">
        <f t="array" ref="V190">$R190*(SUMPRODUCT(('Cashflow Summary C19RM'!$K$5:$K$239&lt;&gt;1)*('Cashflow Summary C19RM'!$D$5:$D$239=E190)*('Cashflow Summary C19RM'!$AC$5:$AC$239)))</f>
        <v>0</v>
      </c>
      <c r="W190" s="634">
        <f t="shared" si="79"/>
        <v>0</v>
      </c>
      <c r="X190" s="686">
        <f t="shared" si="80"/>
        <v>0</v>
      </c>
      <c r="Y190" s="633" cm="1">
        <f t="array" ref="Y190">$X190*(SUMPRODUCT(('Cashflow Summary C19RM'!$K$5:$K$239&lt;&gt;1)*('Cashflow Summary C19RM'!$D$5:$D$239=E190)*('Cashflow Summary C19RM'!$AD$5:$AD$239)))</f>
        <v>0</v>
      </c>
      <c r="Z190" s="633" cm="1">
        <f t="array" ref="Z190">$X190*(SUMPRODUCT(('Cashflow Summary C19RM'!$K$5:$K$239&lt;&gt;1)*('Cashflow Summary C19RM'!$D$5:$D$239=E190)*('Cashflow Summary C19RM'!$AE$5:$AE$239)))</f>
        <v>0</v>
      </c>
      <c r="AA190" s="633" cm="1">
        <f t="array" ref="AA190">$X190*(SUMPRODUCT(('Cashflow Summary C19RM'!$K$5:$K$239&lt;&gt;1)*('Cashflow Summary C19RM'!$D$5:$D$239=E190)*('Cashflow Summary C19RM'!$AF$5:$AF$239)))</f>
        <v>0</v>
      </c>
      <c r="AB190" s="630" cm="1">
        <f t="array" ref="AB190">$X190*(SUMPRODUCT(('Cashflow Summary C19RM'!$K$5:$K$239&lt;&gt;1)*('Cashflow Summary C19RM'!$D$5:$D$239=E190)*('Cashflow Summary C19RM'!$AG$5:$AG$239)))</f>
        <v>0</v>
      </c>
      <c r="AC190" s="634">
        <f t="shared" si="81"/>
        <v>0</v>
      </c>
      <c r="AD190" s="686">
        <f t="shared" si="82"/>
        <v>0</v>
      </c>
      <c r="AE190" s="628" cm="1">
        <f t="array" ref="AE190">$AD190*(SUMPRODUCT(('Cashflow Summary C19RM'!$K$5:$K$239&lt;&gt;1)*('Cashflow Summary C19RM'!$D$5:$D$239=E190)*('Cashflow Summary C19RM'!$AH$5:$AH$239)))</f>
        <v>0</v>
      </c>
      <c r="AF190" s="633" cm="1">
        <f t="array" ref="AF190">$AD190*(SUMPRODUCT(('Cashflow Summary C19RM'!$K$5:$K$239&lt;&gt;1)*('Cashflow Summary C19RM'!$D$5:$D$239=E190)*('Cashflow Summary C19RM'!$AI$5:$AI$239)))</f>
        <v>0</v>
      </c>
      <c r="AG190" s="633" cm="1">
        <f t="array" ref="AG190">$AD190*(SUMPRODUCT(('Cashflow Summary C19RM'!$K$5:$K$239&lt;&gt;1)*('Cashflow Summary C19RM'!$D$5:$D$239=E190)*('Cashflow Summary C19RM'!$AJ$5:$AJ$239)))</f>
        <v>0</v>
      </c>
      <c r="AH190" s="633" cm="1">
        <f t="array" ref="AH190">$AD190*(SUMPRODUCT(('Cashflow Summary C19RM'!$K$5:$K$239&lt;&gt;1)*('Cashflow Summary C19RM'!$D$5:$D$239=E190)*('Cashflow Summary C19RM'!$AK$5:$AO$239)))</f>
        <v>0</v>
      </c>
      <c r="AI190" s="634">
        <f t="shared" si="83"/>
        <v>0</v>
      </c>
      <c r="AJ190" s="875">
        <v>0</v>
      </c>
      <c r="AK190" s="872"/>
      <c r="AL190" s="873"/>
      <c r="AM190" s="873"/>
      <c r="AN190" s="873"/>
      <c r="AO190" s="874"/>
      <c r="AP190" s="635">
        <f t="shared" si="90"/>
        <v>0</v>
      </c>
      <c r="AQ190" s="636">
        <v>7.3</v>
      </c>
      <c r="AR190" s="707"/>
      <c r="AS190" s="310"/>
      <c r="AV190" s="228">
        <f t="shared" si="84"/>
        <v>0</v>
      </c>
      <c r="AW190" s="228">
        <f t="shared" si="85"/>
        <v>0</v>
      </c>
      <c r="AX190" s="228">
        <f t="shared" si="86"/>
        <v>0</v>
      </c>
      <c r="AY190" s="228">
        <f t="shared" si="87"/>
        <v>0</v>
      </c>
      <c r="AZ190" s="228">
        <f t="shared" si="88"/>
        <v>0</v>
      </c>
      <c r="BA190" s="228"/>
      <c r="BC190" s="345" cm="1">
        <f t="array" ref="BC190">IF(BM190&gt;=1,0,IFERROR(SUMPRODUCT(($G$11:$AH$11=$BC$16)*($G190:$AH190)),0))</f>
        <v>0</v>
      </c>
      <c r="BD190" s="345" cm="1">
        <f t="array" ref="BD190">IF(BM190&gt;=1,0,IFERROR(SUMPRODUCT(($G$11:$AH$11=$BD$16)*($G190:$AH190)),0))</f>
        <v>0</v>
      </c>
      <c r="BE190" s="345" cm="1">
        <f t="array" ref="BE190">IF(BM190&gt;=1,0,IFERROR(SUMPRODUCT(($G$11:$AH$11=$BE$16)*($G190:$AH190)),0))</f>
        <v>0</v>
      </c>
      <c r="BF190" s="345" cm="1">
        <f t="array" ref="BF190">IF(BM190&gt;=1,0,IFERROR(SUMPRODUCT(($G$11:$AH$11=$BF$16)*($G190:$AH190)),0))</f>
        <v>0</v>
      </c>
      <c r="BG190" s="345" cm="1">
        <f t="array" ref="BG190">IF(BM190&gt;=1,0,IFERROR(SUMPRODUCT(($G$11:$AH$11=$BG$16)*($G190:$AH190)),0))</f>
        <v>0</v>
      </c>
      <c r="BH190" s="345"/>
      <c r="BI190" s="343">
        <f t="shared" si="91"/>
        <v>0</v>
      </c>
      <c r="BJ190" s="230" t="s">
        <v>83</v>
      </c>
      <c r="BK190" cm="1">
        <f t="array" ref="BK190">(SUMPRODUCT(('Cashflow Summary C19RM'!$D$5:$D$451=E190)*('Cashflow Summary C19RM'!$BD$5:$BD$451)))</f>
        <v>0</v>
      </c>
      <c r="BL190" cm="1">
        <f t="array" ref="BL190">(SUMPRODUCT((SETUP!$D$20:$D$67=E190)*(SETUP!$R$20:$R$67)))</f>
        <v>0</v>
      </c>
      <c r="BM190" s="89">
        <f t="shared" si="89"/>
        <v>0</v>
      </c>
    </row>
    <row r="191" spans="1:65" s="89" customFormat="1" ht="15" customHeight="1" x14ac:dyDescent="0.35">
      <c r="A191" s="89" t="s">
        <v>216</v>
      </c>
      <c r="B191" s="211" t="s">
        <v>747</v>
      </c>
      <c r="C191" s="699" t="s">
        <v>2750</v>
      </c>
      <c r="D191" s="1314"/>
      <c r="E191" s="1010" t="s">
        <v>25</v>
      </c>
      <c r="F191" s="697">
        <v>0</v>
      </c>
      <c r="G191" s="628" cm="1">
        <f t="array" ref="G191">$F191*(SUMPRODUCT(('Cashflow Summary C19RM'!$K$5:$K$239&lt;&gt;1)*('Cashflow Summary C19RM'!$D$5:$D$239=E191)*('Cashflow Summary C19RM'!$R$5:$R$239)))</f>
        <v>0</v>
      </c>
      <c r="H191" s="629" cm="1">
        <f t="array" ref="H191">$F191*(SUMPRODUCT(('Cashflow Summary C19RM'!$K$5:$K$239&lt;&gt;1)*('Cashflow Summary C19RM'!$D$5:$D$239=E191)*('Cashflow Summary C19RM'!$S$5:$S$239)))</f>
        <v>0</v>
      </c>
      <c r="I191" s="630" cm="1">
        <f t="array" ref="I191">$F191*(SUMPRODUCT(('Cashflow Summary C19RM'!$K$5:$K$239&lt;&gt;1)*('Cashflow Summary C19RM'!$D$5:$D$239=E191)*('Cashflow Summary C19RM'!$T$5:$T$239)))</f>
        <v>0</v>
      </c>
      <c r="J191" s="630" cm="1">
        <f t="array" ref="J191">$F191*(SUMPRODUCT(('Cashflow Summary C19RM'!$K$5:$K$239&lt;&gt;1)*('Cashflow Summary C19RM'!$D$5:$D$239=E191)*('Cashflow Summary C19RM'!$U$5:$U$239)))</f>
        <v>0</v>
      </c>
      <c r="K191" s="631">
        <f t="shared" si="75"/>
        <v>0</v>
      </c>
      <c r="L191" s="686">
        <f t="shared" si="76"/>
        <v>0</v>
      </c>
      <c r="M191" s="630" cm="1">
        <f t="array" ref="M191">$L191*(SUMPRODUCT(('Cashflow Summary C19RM'!$K$5:$K$239&lt;&gt;1)*('Cashflow Summary C19RM'!$D$5:$D$239=E191)*('Cashflow Summary C19RM'!$V$5:$V$239)))</f>
        <v>0</v>
      </c>
      <c r="N191" s="630" cm="1">
        <f t="array" ref="N191">$L191*(SUMPRODUCT(('Cashflow Summary C19RM'!$K$5:$K$239&lt;&gt;1)*('Cashflow Summary C19RM'!$D$5:$D$239=E191)*('Cashflow Summary C19RM'!$W$5:$W$239)))</f>
        <v>0</v>
      </c>
      <c r="O191" s="630" cm="1">
        <f t="array" ref="O191">$L191*(SUMPRODUCT(('Cashflow Summary C19RM'!$K$5:$K$239&lt;&gt;1)*('Cashflow Summary C19RM'!$D$5:$D$239=E191)*('Cashflow Summary C19RM'!$X$5:$X$239)))</f>
        <v>0</v>
      </c>
      <c r="P191" s="630" cm="1">
        <f t="array" ref="P191">$L191*(SUMPRODUCT(('Cashflow Summary C19RM'!$K$5:$K$239&lt;&gt;1)*('Cashflow Summary C19RM'!$D$5:$D$239=E191)*('Cashflow Summary C19RM'!$Y$5:$Y$239)))</f>
        <v>0</v>
      </c>
      <c r="Q191" s="632">
        <f t="shared" si="77"/>
        <v>0</v>
      </c>
      <c r="R191" s="686">
        <f t="shared" si="78"/>
        <v>0</v>
      </c>
      <c r="S191" s="633" cm="1">
        <f t="array" ref="S191">$R191*(SUMPRODUCT(('Cashflow Summary C19RM'!$K$5:$K$239&lt;&gt;1)*('Cashflow Summary C19RM'!$D$5:$D$239=E191)*('Cashflow Summary C19RM'!$Z$5:$Z$239)))</f>
        <v>0</v>
      </c>
      <c r="T191" s="633" cm="1">
        <f t="array" ref="T191">$R191*(SUMPRODUCT(('Cashflow Summary C19RM'!$K$5:$K$239&lt;&gt;1)*('Cashflow Summary C19RM'!$D$5:$D$239=E191)*('Cashflow Summary C19RM'!$AA$5:$AA$239)))</f>
        <v>0</v>
      </c>
      <c r="U191" s="633" cm="1">
        <f t="array" ref="U191">$R191*(SUMPRODUCT(('Cashflow Summary C19RM'!$K$5:$K$239&lt;&gt;1)*('Cashflow Summary C19RM'!$D$5:$D$239=E191)*('Cashflow Summary C19RM'!$AB$5:$AB$239)))</f>
        <v>0</v>
      </c>
      <c r="V191" s="633" cm="1">
        <f t="array" ref="V191">$R191*(SUMPRODUCT(('Cashflow Summary C19RM'!$K$5:$K$239&lt;&gt;1)*('Cashflow Summary C19RM'!$D$5:$D$239=E191)*('Cashflow Summary C19RM'!$AC$5:$AC$239)))</f>
        <v>0</v>
      </c>
      <c r="W191" s="634">
        <f t="shared" si="79"/>
        <v>0</v>
      </c>
      <c r="X191" s="686">
        <f t="shared" si="80"/>
        <v>0</v>
      </c>
      <c r="Y191" s="633" cm="1">
        <f t="array" ref="Y191">$X191*(SUMPRODUCT(('Cashflow Summary C19RM'!$K$5:$K$239&lt;&gt;1)*('Cashflow Summary C19RM'!$D$5:$D$239=E191)*('Cashflow Summary C19RM'!$AD$5:$AD$239)))</f>
        <v>0</v>
      </c>
      <c r="Z191" s="633" cm="1">
        <f t="array" ref="Z191">$X191*(SUMPRODUCT(('Cashflow Summary C19RM'!$K$5:$K$239&lt;&gt;1)*('Cashflow Summary C19RM'!$D$5:$D$239=E191)*('Cashflow Summary C19RM'!$AE$5:$AE$239)))</f>
        <v>0</v>
      </c>
      <c r="AA191" s="633" cm="1">
        <f t="array" ref="AA191">$X191*(SUMPRODUCT(('Cashflow Summary C19RM'!$K$5:$K$239&lt;&gt;1)*('Cashflow Summary C19RM'!$D$5:$D$239=E191)*('Cashflow Summary C19RM'!$AF$5:$AF$239)))</f>
        <v>0</v>
      </c>
      <c r="AB191" s="630" cm="1">
        <f t="array" ref="AB191">$X191*(SUMPRODUCT(('Cashflow Summary C19RM'!$K$5:$K$239&lt;&gt;1)*('Cashflow Summary C19RM'!$D$5:$D$239=E191)*('Cashflow Summary C19RM'!$AG$5:$AG$239)))</f>
        <v>0</v>
      </c>
      <c r="AC191" s="634">
        <f t="shared" si="81"/>
        <v>0</v>
      </c>
      <c r="AD191" s="686">
        <f t="shared" si="82"/>
        <v>0</v>
      </c>
      <c r="AE191" s="628" cm="1">
        <f t="array" ref="AE191">$AD191*(SUMPRODUCT(('Cashflow Summary C19RM'!$K$5:$K$239&lt;&gt;1)*('Cashflow Summary C19RM'!$D$5:$D$239=E191)*('Cashflow Summary C19RM'!$AH$5:$AH$239)))</f>
        <v>0</v>
      </c>
      <c r="AF191" s="633" cm="1">
        <f t="array" ref="AF191">$AD191*(SUMPRODUCT(('Cashflow Summary C19RM'!$K$5:$K$239&lt;&gt;1)*('Cashflow Summary C19RM'!$D$5:$D$239=E191)*('Cashflow Summary C19RM'!$AI$5:$AI$239)))</f>
        <v>0</v>
      </c>
      <c r="AG191" s="633" cm="1">
        <f t="array" ref="AG191">$AD191*(SUMPRODUCT(('Cashflow Summary C19RM'!$K$5:$K$239&lt;&gt;1)*('Cashflow Summary C19RM'!$D$5:$D$239=E191)*('Cashflow Summary C19RM'!$AJ$5:$AJ$239)))</f>
        <v>0</v>
      </c>
      <c r="AH191" s="633" cm="1">
        <f t="array" ref="AH191">$AD191*(SUMPRODUCT(('Cashflow Summary C19RM'!$K$5:$K$239&lt;&gt;1)*('Cashflow Summary C19RM'!$D$5:$D$239=E191)*('Cashflow Summary C19RM'!$AK$5:$AO$239)))</f>
        <v>0</v>
      </c>
      <c r="AI191" s="634">
        <f t="shared" si="83"/>
        <v>0</v>
      </c>
      <c r="AJ191" s="875">
        <v>0</v>
      </c>
      <c r="AK191" s="872"/>
      <c r="AL191" s="873"/>
      <c r="AM191" s="873"/>
      <c r="AN191" s="873"/>
      <c r="AO191" s="874"/>
      <c r="AP191" s="635">
        <f t="shared" si="90"/>
        <v>0</v>
      </c>
      <c r="AQ191" s="636">
        <v>7.3</v>
      </c>
      <c r="AR191" s="707"/>
      <c r="AS191" s="310"/>
      <c r="AV191" s="228">
        <f t="shared" si="84"/>
        <v>0</v>
      </c>
      <c r="AW191" s="228">
        <f t="shared" si="85"/>
        <v>0</v>
      </c>
      <c r="AX191" s="228">
        <f t="shared" si="86"/>
        <v>0</v>
      </c>
      <c r="AY191" s="228">
        <f t="shared" si="87"/>
        <v>0</v>
      </c>
      <c r="AZ191" s="228">
        <f t="shared" si="88"/>
        <v>0</v>
      </c>
      <c r="BA191" s="228"/>
      <c r="BC191" s="345" cm="1">
        <f t="array" ref="BC191">IF(BM191&gt;=1,0,IFERROR(SUMPRODUCT(($G$11:$AH$11=$BC$16)*($G191:$AH191)),0))</f>
        <v>0</v>
      </c>
      <c r="BD191" s="345" cm="1">
        <f t="array" ref="BD191">IF(BM191&gt;=1,0,IFERROR(SUMPRODUCT(($G$11:$AH$11=$BD$16)*($G191:$AH191)),0))</f>
        <v>0</v>
      </c>
      <c r="BE191" s="345" cm="1">
        <f t="array" ref="BE191">IF(BM191&gt;=1,0,IFERROR(SUMPRODUCT(($G$11:$AH$11=$BE$16)*($G191:$AH191)),0))</f>
        <v>0</v>
      </c>
      <c r="BF191" s="345" cm="1">
        <f t="array" ref="BF191">IF(BM191&gt;=1,0,IFERROR(SUMPRODUCT(($G$11:$AH$11=$BF$16)*($G191:$AH191)),0))</f>
        <v>0</v>
      </c>
      <c r="BG191" s="345" cm="1">
        <f t="array" ref="BG191">IF(BM191&gt;=1,0,IFERROR(SUMPRODUCT(($G$11:$AH$11=$BG$16)*($G191:$AH191)),0))</f>
        <v>0</v>
      </c>
      <c r="BH191" s="345"/>
      <c r="BI191" s="343">
        <f t="shared" si="91"/>
        <v>0</v>
      </c>
      <c r="BJ191" s="230" t="s">
        <v>83</v>
      </c>
      <c r="BK191" cm="1">
        <f t="array" ref="BK191">(SUMPRODUCT(('Cashflow Summary C19RM'!$D$5:$D$451=E191)*('Cashflow Summary C19RM'!$BD$5:$BD$451)))</f>
        <v>0</v>
      </c>
      <c r="BL191" cm="1">
        <f t="array" ref="BL191">(SUMPRODUCT((SETUP!$D$20:$D$67=E191)*(SETUP!$R$20:$R$67)))</f>
        <v>0</v>
      </c>
      <c r="BM191" s="89">
        <f t="shared" si="89"/>
        <v>0</v>
      </c>
    </row>
    <row r="192" spans="1:65" s="89" customFormat="1" ht="15" customHeight="1" x14ac:dyDescent="0.35">
      <c r="A192" s="89" t="s">
        <v>216</v>
      </c>
      <c r="B192" s="211" t="s">
        <v>747</v>
      </c>
      <c r="C192" s="699" t="s">
        <v>2750</v>
      </c>
      <c r="D192" s="1314"/>
      <c r="E192" s="1010" t="s">
        <v>28</v>
      </c>
      <c r="F192" s="697">
        <v>0</v>
      </c>
      <c r="G192" s="628" cm="1">
        <f t="array" ref="G192">$F192*(SUMPRODUCT(('Cashflow Summary C19RM'!$K$5:$K$239&lt;&gt;1)*('Cashflow Summary C19RM'!$D$5:$D$239=E192)*('Cashflow Summary C19RM'!$R$5:$R$239)))</f>
        <v>0</v>
      </c>
      <c r="H192" s="629" cm="1">
        <f t="array" ref="H192">$F192*(SUMPRODUCT(('Cashflow Summary C19RM'!$K$5:$K$239&lt;&gt;1)*('Cashflow Summary C19RM'!$D$5:$D$239=E192)*('Cashflow Summary C19RM'!$S$5:$S$239)))</f>
        <v>0</v>
      </c>
      <c r="I192" s="630" cm="1">
        <f t="array" ref="I192">$F192*(SUMPRODUCT(('Cashflow Summary C19RM'!$K$5:$K$239&lt;&gt;1)*('Cashflow Summary C19RM'!$D$5:$D$239=E192)*('Cashflow Summary C19RM'!$T$5:$T$239)))</f>
        <v>0</v>
      </c>
      <c r="J192" s="630" cm="1">
        <f t="array" ref="J192">$F192*(SUMPRODUCT(('Cashflow Summary C19RM'!$K$5:$K$239&lt;&gt;1)*('Cashflow Summary C19RM'!$D$5:$D$239=E192)*('Cashflow Summary C19RM'!$U$5:$U$239)))</f>
        <v>0</v>
      </c>
      <c r="K192" s="631">
        <f t="shared" si="75"/>
        <v>0</v>
      </c>
      <c r="L192" s="686">
        <f t="shared" si="76"/>
        <v>0</v>
      </c>
      <c r="M192" s="630" cm="1">
        <f t="array" ref="M192">$L192*(SUMPRODUCT(('Cashflow Summary C19RM'!$K$5:$K$239&lt;&gt;1)*('Cashflow Summary C19RM'!$D$5:$D$239=E192)*('Cashflow Summary C19RM'!$V$5:$V$239)))</f>
        <v>0</v>
      </c>
      <c r="N192" s="630" cm="1">
        <f t="array" ref="N192">$L192*(SUMPRODUCT(('Cashflow Summary C19RM'!$K$5:$K$239&lt;&gt;1)*('Cashflow Summary C19RM'!$D$5:$D$239=E192)*('Cashflow Summary C19RM'!$W$5:$W$239)))</f>
        <v>0</v>
      </c>
      <c r="O192" s="630" cm="1">
        <f t="array" ref="O192">$L192*(SUMPRODUCT(('Cashflow Summary C19RM'!$K$5:$K$239&lt;&gt;1)*('Cashflow Summary C19RM'!$D$5:$D$239=E192)*('Cashflow Summary C19RM'!$X$5:$X$239)))</f>
        <v>0</v>
      </c>
      <c r="P192" s="630" cm="1">
        <f t="array" ref="P192">$L192*(SUMPRODUCT(('Cashflow Summary C19RM'!$K$5:$K$239&lt;&gt;1)*('Cashflow Summary C19RM'!$D$5:$D$239=E192)*('Cashflow Summary C19RM'!$Y$5:$Y$239)))</f>
        <v>0</v>
      </c>
      <c r="Q192" s="632">
        <f t="shared" si="77"/>
        <v>0</v>
      </c>
      <c r="R192" s="686">
        <f t="shared" si="78"/>
        <v>0</v>
      </c>
      <c r="S192" s="633" cm="1">
        <f t="array" ref="S192">$R192*(SUMPRODUCT(('Cashflow Summary C19RM'!$K$5:$K$239&lt;&gt;1)*('Cashflow Summary C19RM'!$D$5:$D$239=E192)*('Cashflow Summary C19RM'!$Z$5:$Z$239)))</f>
        <v>0</v>
      </c>
      <c r="T192" s="633" cm="1">
        <f t="array" ref="T192">$R192*(SUMPRODUCT(('Cashflow Summary C19RM'!$K$5:$K$239&lt;&gt;1)*('Cashflow Summary C19RM'!$D$5:$D$239=E192)*('Cashflow Summary C19RM'!$AA$5:$AA$239)))</f>
        <v>0</v>
      </c>
      <c r="U192" s="633" cm="1">
        <f t="array" ref="U192">$R192*(SUMPRODUCT(('Cashflow Summary C19RM'!$K$5:$K$239&lt;&gt;1)*('Cashflow Summary C19RM'!$D$5:$D$239=E192)*('Cashflow Summary C19RM'!$AB$5:$AB$239)))</f>
        <v>0</v>
      </c>
      <c r="V192" s="633" cm="1">
        <f t="array" ref="V192">$R192*(SUMPRODUCT(('Cashflow Summary C19RM'!$K$5:$K$239&lt;&gt;1)*('Cashflow Summary C19RM'!$D$5:$D$239=E192)*('Cashflow Summary C19RM'!$AC$5:$AC$239)))</f>
        <v>0</v>
      </c>
      <c r="W192" s="634">
        <f t="shared" si="79"/>
        <v>0</v>
      </c>
      <c r="X192" s="686">
        <f t="shared" si="80"/>
        <v>0</v>
      </c>
      <c r="Y192" s="633" cm="1">
        <f t="array" ref="Y192">$X192*(SUMPRODUCT(('Cashflow Summary C19RM'!$K$5:$K$239&lt;&gt;1)*('Cashflow Summary C19RM'!$D$5:$D$239=E192)*('Cashflow Summary C19RM'!$AD$5:$AD$239)))</f>
        <v>0</v>
      </c>
      <c r="Z192" s="633" cm="1">
        <f t="array" ref="Z192">$X192*(SUMPRODUCT(('Cashflow Summary C19RM'!$K$5:$K$239&lt;&gt;1)*('Cashflow Summary C19RM'!$D$5:$D$239=E192)*('Cashflow Summary C19RM'!$AE$5:$AE$239)))</f>
        <v>0</v>
      </c>
      <c r="AA192" s="633" cm="1">
        <f t="array" ref="AA192">$X192*(SUMPRODUCT(('Cashflow Summary C19RM'!$K$5:$K$239&lt;&gt;1)*('Cashflow Summary C19RM'!$D$5:$D$239=E192)*('Cashflow Summary C19RM'!$AF$5:$AF$239)))</f>
        <v>0</v>
      </c>
      <c r="AB192" s="630" cm="1">
        <f t="array" ref="AB192">$X192*(SUMPRODUCT(('Cashflow Summary C19RM'!$K$5:$K$239&lt;&gt;1)*('Cashflow Summary C19RM'!$D$5:$D$239=E192)*('Cashflow Summary C19RM'!$AG$5:$AG$239)))</f>
        <v>0</v>
      </c>
      <c r="AC192" s="634">
        <f t="shared" si="81"/>
        <v>0</v>
      </c>
      <c r="AD192" s="686">
        <f t="shared" si="82"/>
        <v>0</v>
      </c>
      <c r="AE192" s="628" cm="1">
        <f t="array" ref="AE192">$AD192*(SUMPRODUCT(('Cashflow Summary C19RM'!$K$5:$K$239&lt;&gt;1)*('Cashflow Summary C19RM'!$D$5:$D$239=E192)*('Cashflow Summary C19RM'!$AH$5:$AH$239)))</f>
        <v>0</v>
      </c>
      <c r="AF192" s="633" cm="1">
        <f t="array" ref="AF192">$AD192*(SUMPRODUCT(('Cashflow Summary C19RM'!$K$5:$K$239&lt;&gt;1)*('Cashflow Summary C19RM'!$D$5:$D$239=E192)*('Cashflow Summary C19RM'!$AI$5:$AI$239)))</f>
        <v>0</v>
      </c>
      <c r="AG192" s="633" cm="1">
        <f t="array" ref="AG192">$AD192*(SUMPRODUCT(('Cashflow Summary C19RM'!$K$5:$K$239&lt;&gt;1)*('Cashflow Summary C19RM'!$D$5:$D$239=E192)*('Cashflow Summary C19RM'!$AJ$5:$AJ$239)))</f>
        <v>0</v>
      </c>
      <c r="AH192" s="633" cm="1">
        <f t="array" ref="AH192">$AD192*(SUMPRODUCT(('Cashflow Summary C19RM'!$K$5:$K$239&lt;&gt;1)*('Cashflow Summary C19RM'!$D$5:$D$239=E192)*('Cashflow Summary C19RM'!$AK$5:$AO$239)))</f>
        <v>0</v>
      </c>
      <c r="AI192" s="634">
        <f t="shared" si="83"/>
        <v>0</v>
      </c>
      <c r="AJ192" s="875">
        <v>0</v>
      </c>
      <c r="AK192" s="872"/>
      <c r="AL192" s="873"/>
      <c r="AM192" s="873"/>
      <c r="AN192" s="873"/>
      <c r="AO192" s="874"/>
      <c r="AP192" s="635">
        <f t="shared" si="90"/>
        <v>0</v>
      </c>
      <c r="AQ192" s="636">
        <v>7.3</v>
      </c>
      <c r="AR192" s="707"/>
      <c r="AS192" s="310"/>
      <c r="AV192" s="228">
        <f t="shared" si="84"/>
        <v>0</v>
      </c>
      <c r="AW192" s="228">
        <f t="shared" si="85"/>
        <v>0</v>
      </c>
      <c r="AX192" s="228">
        <f t="shared" si="86"/>
        <v>0</v>
      </c>
      <c r="AY192" s="228">
        <f t="shared" si="87"/>
        <v>0</v>
      </c>
      <c r="AZ192" s="228">
        <f t="shared" si="88"/>
        <v>0</v>
      </c>
      <c r="BA192" s="228"/>
      <c r="BC192" s="345" cm="1">
        <f t="array" ref="BC192">IF(BM192&gt;=1,0,IFERROR(SUMPRODUCT(($G$11:$AH$11=$BC$16)*($G192:$AH192)),0))</f>
        <v>0</v>
      </c>
      <c r="BD192" s="345" cm="1">
        <f t="array" ref="BD192">IF(BM192&gt;=1,0,IFERROR(SUMPRODUCT(($G$11:$AH$11=$BD$16)*($G192:$AH192)),0))</f>
        <v>0</v>
      </c>
      <c r="BE192" s="345" cm="1">
        <f t="array" ref="BE192">IF(BM192&gt;=1,0,IFERROR(SUMPRODUCT(($G$11:$AH$11=$BE$16)*($G192:$AH192)),0))</f>
        <v>0</v>
      </c>
      <c r="BF192" s="345" cm="1">
        <f t="array" ref="BF192">IF(BM192&gt;=1,0,IFERROR(SUMPRODUCT(($G$11:$AH$11=$BF$16)*($G192:$AH192)),0))</f>
        <v>0</v>
      </c>
      <c r="BG192" s="345" cm="1">
        <f t="array" ref="BG192">IF(BM192&gt;=1,0,IFERROR(SUMPRODUCT(($G$11:$AH$11=$BG$16)*($G192:$AH192)),0))</f>
        <v>0</v>
      </c>
      <c r="BH192" s="345"/>
      <c r="BI192" s="343">
        <f t="shared" si="91"/>
        <v>0</v>
      </c>
      <c r="BJ192" s="230" t="s">
        <v>83</v>
      </c>
      <c r="BK192" cm="1">
        <f t="array" ref="BK192">(SUMPRODUCT(('Cashflow Summary C19RM'!$D$5:$D$451=E192)*('Cashflow Summary C19RM'!$BD$5:$BD$451)))</f>
        <v>0</v>
      </c>
      <c r="BL192" cm="1">
        <f t="array" ref="BL192">(SUMPRODUCT((SETUP!$D$20:$D$67=E192)*(SETUP!$R$20:$R$67)))</f>
        <v>0</v>
      </c>
      <c r="BM192" s="89">
        <f t="shared" si="89"/>
        <v>0</v>
      </c>
    </row>
    <row r="193" spans="1:97" s="89" customFormat="1" ht="15" customHeight="1" x14ac:dyDescent="0.35">
      <c r="A193" s="89" t="s">
        <v>216</v>
      </c>
      <c r="B193" s="211" t="s">
        <v>747</v>
      </c>
      <c r="C193" s="699" t="s">
        <v>2750</v>
      </c>
      <c r="D193" s="1314"/>
      <c r="E193" s="1010" t="s">
        <v>29</v>
      </c>
      <c r="F193" s="697">
        <v>0</v>
      </c>
      <c r="G193" s="628" cm="1">
        <f t="array" ref="G193">$F193*(SUMPRODUCT(('Cashflow Summary C19RM'!$K$5:$K$239&lt;&gt;1)*('Cashflow Summary C19RM'!$D$5:$D$239=E193)*('Cashflow Summary C19RM'!$R$5:$R$239)))</f>
        <v>0</v>
      </c>
      <c r="H193" s="629" cm="1">
        <f t="array" ref="H193">$F193*(SUMPRODUCT(('Cashflow Summary C19RM'!$K$5:$K$239&lt;&gt;1)*('Cashflow Summary C19RM'!$D$5:$D$239=E193)*('Cashflow Summary C19RM'!$S$5:$S$239)))</f>
        <v>0</v>
      </c>
      <c r="I193" s="630" cm="1">
        <f t="array" ref="I193">$F193*(SUMPRODUCT(('Cashflow Summary C19RM'!$K$5:$K$239&lt;&gt;1)*('Cashflow Summary C19RM'!$D$5:$D$239=E193)*('Cashflow Summary C19RM'!$T$5:$T$239)))</f>
        <v>0</v>
      </c>
      <c r="J193" s="630" cm="1">
        <f t="array" ref="J193">$F193*(SUMPRODUCT(('Cashflow Summary C19RM'!$K$5:$K$239&lt;&gt;1)*('Cashflow Summary C19RM'!$D$5:$D$239=E193)*('Cashflow Summary C19RM'!$U$5:$U$239)))</f>
        <v>0</v>
      </c>
      <c r="K193" s="631">
        <f t="shared" si="75"/>
        <v>0</v>
      </c>
      <c r="L193" s="686">
        <f t="shared" si="76"/>
        <v>0</v>
      </c>
      <c r="M193" s="630" cm="1">
        <f t="array" ref="M193">$L193*(SUMPRODUCT(('Cashflow Summary C19RM'!$K$5:$K$239&lt;&gt;1)*('Cashflow Summary C19RM'!$D$5:$D$239=E193)*('Cashflow Summary C19RM'!$V$5:$V$239)))</f>
        <v>0</v>
      </c>
      <c r="N193" s="630" cm="1">
        <f t="array" ref="N193">$L193*(SUMPRODUCT(('Cashflow Summary C19RM'!$K$5:$K$239&lt;&gt;1)*('Cashflow Summary C19RM'!$D$5:$D$239=E193)*('Cashflow Summary C19RM'!$W$5:$W$239)))</f>
        <v>0</v>
      </c>
      <c r="O193" s="630" cm="1">
        <f t="array" ref="O193">$L193*(SUMPRODUCT(('Cashflow Summary C19RM'!$K$5:$K$239&lt;&gt;1)*('Cashflow Summary C19RM'!$D$5:$D$239=E193)*('Cashflow Summary C19RM'!$X$5:$X$239)))</f>
        <v>0</v>
      </c>
      <c r="P193" s="630" cm="1">
        <f t="array" ref="P193">$L193*(SUMPRODUCT(('Cashflow Summary C19RM'!$K$5:$K$239&lt;&gt;1)*('Cashflow Summary C19RM'!$D$5:$D$239=E193)*('Cashflow Summary C19RM'!$Y$5:$Y$239)))</f>
        <v>0</v>
      </c>
      <c r="Q193" s="632">
        <f t="shared" si="77"/>
        <v>0</v>
      </c>
      <c r="R193" s="686">
        <f t="shared" si="78"/>
        <v>0</v>
      </c>
      <c r="S193" s="633" cm="1">
        <f t="array" ref="S193">$R193*(SUMPRODUCT(('Cashflow Summary C19RM'!$K$5:$K$239&lt;&gt;1)*('Cashflow Summary C19RM'!$D$5:$D$239=E193)*('Cashflow Summary C19RM'!$Z$5:$Z$239)))</f>
        <v>0</v>
      </c>
      <c r="T193" s="633" cm="1">
        <f t="array" ref="T193">$R193*(SUMPRODUCT(('Cashflow Summary C19RM'!$K$5:$K$239&lt;&gt;1)*('Cashflow Summary C19RM'!$D$5:$D$239=E193)*('Cashflow Summary C19RM'!$AA$5:$AA$239)))</f>
        <v>0</v>
      </c>
      <c r="U193" s="633" cm="1">
        <f t="array" ref="U193">$R193*(SUMPRODUCT(('Cashflow Summary C19RM'!$K$5:$K$239&lt;&gt;1)*('Cashflow Summary C19RM'!$D$5:$D$239=E193)*('Cashflow Summary C19RM'!$AB$5:$AB$239)))</f>
        <v>0</v>
      </c>
      <c r="V193" s="633" cm="1">
        <f t="array" ref="V193">$R193*(SUMPRODUCT(('Cashflow Summary C19RM'!$K$5:$K$239&lt;&gt;1)*('Cashflow Summary C19RM'!$D$5:$D$239=E193)*('Cashflow Summary C19RM'!$AC$5:$AC$239)))</f>
        <v>0</v>
      </c>
      <c r="W193" s="634">
        <f t="shared" si="79"/>
        <v>0</v>
      </c>
      <c r="X193" s="686">
        <f t="shared" si="80"/>
        <v>0</v>
      </c>
      <c r="Y193" s="633" cm="1">
        <f t="array" ref="Y193">$X193*(SUMPRODUCT(('Cashflow Summary C19RM'!$K$5:$K$239&lt;&gt;1)*('Cashflow Summary C19RM'!$D$5:$D$239=E193)*('Cashflow Summary C19RM'!$AD$5:$AD$239)))</f>
        <v>0</v>
      </c>
      <c r="Z193" s="633" cm="1">
        <f t="array" ref="Z193">$X193*(SUMPRODUCT(('Cashflow Summary C19RM'!$K$5:$K$239&lt;&gt;1)*('Cashflow Summary C19RM'!$D$5:$D$239=E193)*('Cashflow Summary C19RM'!$AE$5:$AE$239)))</f>
        <v>0</v>
      </c>
      <c r="AA193" s="633" cm="1">
        <f t="array" ref="AA193">$X193*(SUMPRODUCT(('Cashflow Summary C19RM'!$K$5:$K$239&lt;&gt;1)*('Cashflow Summary C19RM'!$D$5:$D$239=E193)*('Cashflow Summary C19RM'!$AF$5:$AF$239)))</f>
        <v>0</v>
      </c>
      <c r="AB193" s="630" cm="1">
        <f t="array" ref="AB193">$X193*(SUMPRODUCT(('Cashflow Summary C19RM'!$K$5:$K$239&lt;&gt;1)*('Cashflow Summary C19RM'!$D$5:$D$239=E193)*('Cashflow Summary C19RM'!$AG$5:$AG$239)))</f>
        <v>0</v>
      </c>
      <c r="AC193" s="634">
        <f t="shared" si="81"/>
        <v>0</v>
      </c>
      <c r="AD193" s="686">
        <f t="shared" si="82"/>
        <v>0</v>
      </c>
      <c r="AE193" s="628" cm="1">
        <f t="array" ref="AE193">$AD193*(SUMPRODUCT(('Cashflow Summary C19RM'!$K$5:$K$239&lt;&gt;1)*('Cashflow Summary C19RM'!$D$5:$D$239=E193)*('Cashflow Summary C19RM'!$AH$5:$AH$239)))</f>
        <v>0</v>
      </c>
      <c r="AF193" s="633" cm="1">
        <f t="array" ref="AF193">$AD193*(SUMPRODUCT(('Cashflow Summary C19RM'!$K$5:$K$239&lt;&gt;1)*('Cashflow Summary C19RM'!$D$5:$D$239=E193)*('Cashflow Summary C19RM'!$AI$5:$AI$239)))</f>
        <v>0</v>
      </c>
      <c r="AG193" s="633" cm="1">
        <f t="array" ref="AG193">$AD193*(SUMPRODUCT(('Cashflow Summary C19RM'!$K$5:$K$239&lt;&gt;1)*('Cashflow Summary C19RM'!$D$5:$D$239=E193)*('Cashflow Summary C19RM'!$AJ$5:$AJ$239)))</f>
        <v>0</v>
      </c>
      <c r="AH193" s="633" cm="1">
        <f t="array" ref="AH193">$AD193*(SUMPRODUCT(('Cashflow Summary C19RM'!$K$5:$K$239&lt;&gt;1)*('Cashflow Summary C19RM'!$D$5:$D$239=E193)*('Cashflow Summary C19RM'!$AK$5:$AO$239)))</f>
        <v>0</v>
      </c>
      <c r="AI193" s="634">
        <f t="shared" si="83"/>
        <v>0</v>
      </c>
      <c r="AJ193" s="875">
        <v>0</v>
      </c>
      <c r="AK193" s="872"/>
      <c r="AL193" s="873"/>
      <c r="AM193" s="873"/>
      <c r="AN193" s="873"/>
      <c r="AO193" s="874"/>
      <c r="AP193" s="635">
        <f t="shared" si="90"/>
        <v>0</v>
      </c>
      <c r="AQ193" s="636">
        <v>7.3</v>
      </c>
      <c r="AR193" s="707"/>
      <c r="AS193" s="726"/>
      <c r="AV193" s="228">
        <f t="shared" si="84"/>
        <v>0</v>
      </c>
      <c r="AW193" s="228">
        <f t="shared" si="85"/>
        <v>0</v>
      </c>
      <c r="AX193" s="228">
        <f t="shared" si="86"/>
        <v>0</v>
      </c>
      <c r="AY193" s="228">
        <f t="shared" si="87"/>
        <v>0</v>
      </c>
      <c r="AZ193" s="228">
        <f t="shared" si="88"/>
        <v>0</v>
      </c>
      <c r="BA193" s="228"/>
      <c r="BC193" s="345" cm="1">
        <f t="array" ref="BC193">IF(BM193&gt;=1,0,IFERROR(SUMPRODUCT(($G$11:$AH$11=$BC$16)*($G193:$AH193)),0))</f>
        <v>0</v>
      </c>
      <c r="BD193" s="345" cm="1">
        <f t="array" ref="BD193">IF(BM193&gt;=1,0,IFERROR(SUMPRODUCT(($G$11:$AH$11=$BD$16)*($G193:$AH193)),0))</f>
        <v>0</v>
      </c>
      <c r="BE193" s="345" cm="1">
        <f t="array" ref="BE193">IF(BM193&gt;=1,0,IFERROR(SUMPRODUCT(($G$11:$AH$11=$BE$16)*($G193:$AH193)),0))</f>
        <v>0</v>
      </c>
      <c r="BF193" s="345" cm="1">
        <f t="array" ref="BF193">IF(BM193&gt;=1,0,IFERROR(SUMPRODUCT(($G$11:$AH$11=$BF$16)*($G193:$AH193)),0))</f>
        <v>0</v>
      </c>
      <c r="BG193" s="345" cm="1">
        <f t="array" ref="BG193">IF(BM193&gt;=1,0,IFERROR(SUMPRODUCT(($G$11:$AH$11=$BG$16)*($G193:$AH193)),0))</f>
        <v>0</v>
      </c>
      <c r="BH193" s="345"/>
      <c r="BI193" s="343">
        <f t="shared" si="91"/>
        <v>0</v>
      </c>
      <c r="BJ193" s="230" t="s">
        <v>83</v>
      </c>
      <c r="BK193" cm="1">
        <f t="array" ref="BK193">(SUMPRODUCT(('Cashflow Summary C19RM'!$D$5:$D$451=E193)*('Cashflow Summary C19RM'!$BD$5:$BD$451)))</f>
        <v>0</v>
      </c>
      <c r="BL193" cm="1">
        <f t="array" ref="BL193">(SUMPRODUCT((SETUP!$D$20:$D$67=E193)*(SETUP!$R$20:$R$67)))</f>
        <v>0</v>
      </c>
      <c r="BM193" s="89">
        <f t="shared" si="89"/>
        <v>0</v>
      </c>
    </row>
    <row r="194" spans="1:97" s="89" customFormat="1" ht="15" customHeight="1" x14ac:dyDescent="0.35">
      <c r="A194" s="89" t="s">
        <v>216</v>
      </c>
      <c r="B194" s="211" t="s">
        <v>747</v>
      </c>
      <c r="C194" s="699" t="s">
        <v>2750</v>
      </c>
      <c r="D194" s="1314"/>
      <c r="E194" s="1010" t="s">
        <v>30</v>
      </c>
      <c r="F194" s="697">
        <v>0</v>
      </c>
      <c r="G194" s="628" cm="1">
        <f t="array" ref="G194">$F194*(SUMPRODUCT(('Cashflow Summary C19RM'!$K$5:$K$239&lt;&gt;1)*('Cashflow Summary C19RM'!$D$5:$D$239=E194)*('Cashflow Summary C19RM'!$R$5:$R$239)))</f>
        <v>0</v>
      </c>
      <c r="H194" s="629" cm="1">
        <f t="array" ref="H194">$F194*(SUMPRODUCT(('Cashflow Summary C19RM'!$K$5:$K$239&lt;&gt;1)*('Cashflow Summary C19RM'!$D$5:$D$239=E194)*('Cashflow Summary C19RM'!$S$5:$S$239)))</f>
        <v>0</v>
      </c>
      <c r="I194" s="630" cm="1">
        <f t="array" ref="I194">$F194*(SUMPRODUCT(('Cashflow Summary C19RM'!$K$5:$K$239&lt;&gt;1)*('Cashflow Summary C19RM'!$D$5:$D$239=E194)*('Cashflow Summary C19RM'!$T$5:$T$239)))</f>
        <v>0</v>
      </c>
      <c r="J194" s="630" cm="1">
        <f t="array" ref="J194">$F194*(SUMPRODUCT(('Cashflow Summary C19RM'!$K$5:$K$239&lt;&gt;1)*('Cashflow Summary C19RM'!$D$5:$D$239=E194)*('Cashflow Summary C19RM'!$U$5:$U$239)))</f>
        <v>0</v>
      </c>
      <c r="K194" s="631">
        <f t="shared" si="75"/>
        <v>0</v>
      </c>
      <c r="L194" s="686">
        <f t="shared" si="76"/>
        <v>0</v>
      </c>
      <c r="M194" s="630" cm="1">
        <f t="array" ref="M194">$L194*(SUMPRODUCT(('Cashflow Summary C19RM'!$K$5:$K$239&lt;&gt;1)*('Cashflow Summary C19RM'!$D$5:$D$239=E194)*('Cashflow Summary C19RM'!$V$5:$V$239)))</f>
        <v>0</v>
      </c>
      <c r="N194" s="630" cm="1">
        <f t="array" ref="N194">$L194*(SUMPRODUCT(('Cashflow Summary C19RM'!$K$5:$K$239&lt;&gt;1)*('Cashflow Summary C19RM'!$D$5:$D$239=E194)*('Cashflow Summary C19RM'!$W$5:$W$239)))</f>
        <v>0</v>
      </c>
      <c r="O194" s="630" cm="1">
        <f t="array" ref="O194">$L194*(SUMPRODUCT(('Cashflow Summary C19RM'!$K$5:$K$239&lt;&gt;1)*('Cashflow Summary C19RM'!$D$5:$D$239=E194)*('Cashflow Summary C19RM'!$X$5:$X$239)))</f>
        <v>0</v>
      </c>
      <c r="P194" s="630" cm="1">
        <f t="array" ref="P194">$L194*(SUMPRODUCT(('Cashflow Summary C19RM'!$K$5:$K$239&lt;&gt;1)*('Cashflow Summary C19RM'!$D$5:$D$239=E194)*('Cashflow Summary C19RM'!$Y$5:$Y$239)))</f>
        <v>0</v>
      </c>
      <c r="Q194" s="632">
        <f t="shared" si="77"/>
        <v>0</v>
      </c>
      <c r="R194" s="686">
        <f t="shared" si="78"/>
        <v>0</v>
      </c>
      <c r="S194" s="633" cm="1">
        <f t="array" ref="S194">$R194*(SUMPRODUCT(('Cashflow Summary C19RM'!$K$5:$K$239&lt;&gt;1)*('Cashflow Summary C19RM'!$D$5:$D$239=E194)*('Cashflow Summary C19RM'!$Z$5:$Z$239)))</f>
        <v>0</v>
      </c>
      <c r="T194" s="633" cm="1">
        <f t="array" ref="T194">$R194*(SUMPRODUCT(('Cashflow Summary C19RM'!$K$5:$K$239&lt;&gt;1)*('Cashflow Summary C19RM'!$D$5:$D$239=E194)*('Cashflow Summary C19RM'!$AA$5:$AA$239)))</f>
        <v>0</v>
      </c>
      <c r="U194" s="633" cm="1">
        <f t="array" ref="U194">$R194*(SUMPRODUCT(('Cashflow Summary C19RM'!$K$5:$K$239&lt;&gt;1)*('Cashflow Summary C19RM'!$D$5:$D$239=E194)*('Cashflow Summary C19RM'!$AB$5:$AB$239)))</f>
        <v>0</v>
      </c>
      <c r="V194" s="633" cm="1">
        <f t="array" ref="V194">$R194*(SUMPRODUCT(('Cashflow Summary C19RM'!$K$5:$K$239&lt;&gt;1)*('Cashflow Summary C19RM'!$D$5:$D$239=E194)*('Cashflow Summary C19RM'!$AC$5:$AC$239)))</f>
        <v>0</v>
      </c>
      <c r="W194" s="634">
        <f t="shared" si="79"/>
        <v>0</v>
      </c>
      <c r="X194" s="686">
        <f t="shared" si="80"/>
        <v>0</v>
      </c>
      <c r="Y194" s="633" cm="1">
        <f t="array" ref="Y194">$X194*(SUMPRODUCT(('Cashflow Summary C19RM'!$K$5:$K$239&lt;&gt;1)*('Cashflow Summary C19RM'!$D$5:$D$239=E194)*('Cashflow Summary C19RM'!$AD$5:$AD$239)))</f>
        <v>0</v>
      </c>
      <c r="Z194" s="633" cm="1">
        <f t="array" ref="Z194">$X194*(SUMPRODUCT(('Cashflow Summary C19RM'!$K$5:$K$239&lt;&gt;1)*('Cashflow Summary C19RM'!$D$5:$D$239=E194)*('Cashflow Summary C19RM'!$AE$5:$AE$239)))</f>
        <v>0</v>
      </c>
      <c r="AA194" s="633" cm="1">
        <f t="array" ref="AA194">$X194*(SUMPRODUCT(('Cashflow Summary C19RM'!$K$5:$K$239&lt;&gt;1)*('Cashflow Summary C19RM'!$D$5:$D$239=E194)*('Cashflow Summary C19RM'!$AF$5:$AF$239)))</f>
        <v>0</v>
      </c>
      <c r="AB194" s="630" cm="1">
        <f t="array" ref="AB194">$X194*(SUMPRODUCT(('Cashflow Summary C19RM'!$K$5:$K$239&lt;&gt;1)*('Cashflow Summary C19RM'!$D$5:$D$239=E194)*('Cashflow Summary C19RM'!$AG$5:$AG$239)))</f>
        <v>0</v>
      </c>
      <c r="AC194" s="634">
        <f t="shared" si="81"/>
        <v>0</v>
      </c>
      <c r="AD194" s="686">
        <f t="shared" si="82"/>
        <v>0</v>
      </c>
      <c r="AE194" s="628" cm="1">
        <f t="array" ref="AE194">$AD194*(SUMPRODUCT(('Cashflow Summary C19RM'!$K$5:$K$239&lt;&gt;1)*('Cashflow Summary C19RM'!$D$5:$D$239=E194)*('Cashflow Summary C19RM'!$AH$5:$AH$239)))</f>
        <v>0</v>
      </c>
      <c r="AF194" s="633" cm="1">
        <f t="array" ref="AF194">$AD194*(SUMPRODUCT(('Cashflow Summary C19RM'!$K$5:$K$239&lt;&gt;1)*('Cashflow Summary C19RM'!$D$5:$D$239=E194)*('Cashflow Summary C19RM'!$AI$5:$AI$239)))</f>
        <v>0</v>
      </c>
      <c r="AG194" s="633" cm="1">
        <f t="array" ref="AG194">$AD194*(SUMPRODUCT(('Cashflow Summary C19RM'!$K$5:$K$239&lt;&gt;1)*('Cashflow Summary C19RM'!$D$5:$D$239=E194)*('Cashflow Summary C19RM'!$AJ$5:$AJ$239)))</f>
        <v>0</v>
      </c>
      <c r="AH194" s="633" cm="1">
        <f t="array" ref="AH194">$AD194*(SUMPRODUCT(('Cashflow Summary C19RM'!$K$5:$K$239&lt;&gt;1)*('Cashflow Summary C19RM'!$D$5:$D$239=E194)*('Cashflow Summary C19RM'!$AK$5:$AO$239)))</f>
        <v>0</v>
      </c>
      <c r="AI194" s="634">
        <f t="shared" si="83"/>
        <v>0</v>
      </c>
      <c r="AJ194" s="875">
        <v>0</v>
      </c>
      <c r="AK194" s="872"/>
      <c r="AL194" s="873"/>
      <c r="AM194" s="873"/>
      <c r="AN194" s="873"/>
      <c r="AO194" s="874"/>
      <c r="AP194" s="635">
        <f t="shared" si="90"/>
        <v>0</v>
      </c>
      <c r="AQ194" s="636">
        <v>7.3</v>
      </c>
      <c r="AR194" s="707"/>
      <c r="AS194" s="726"/>
      <c r="AV194" s="228">
        <f t="shared" si="84"/>
        <v>0</v>
      </c>
      <c r="AW194" s="228">
        <f t="shared" si="85"/>
        <v>0</v>
      </c>
      <c r="AX194" s="228">
        <f t="shared" si="86"/>
        <v>0</v>
      </c>
      <c r="AY194" s="228">
        <f t="shared" si="87"/>
        <v>0</v>
      </c>
      <c r="AZ194" s="228">
        <f t="shared" si="88"/>
        <v>0</v>
      </c>
      <c r="BA194" s="228"/>
      <c r="BC194" s="345" cm="1">
        <f t="array" ref="BC194">IF(BM194&gt;=1,0,IFERROR(SUMPRODUCT(($G$11:$AH$11=$BC$16)*($G194:$AH194)),0))</f>
        <v>0</v>
      </c>
      <c r="BD194" s="345" cm="1">
        <f t="array" ref="BD194">IF(BM194&gt;=1,0,IFERROR(SUMPRODUCT(($G$11:$AH$11=$BD$16)*($G194:$AH194)),0))</f>
        <v>0</v>
      </c>
      <c r="BE194" s="345" cm="1">
        <f t="array" ref="BE194">IF(BM194&gt;=1,0,IFERROR(SUMPRODUCT(($G$11:$AH$11=$BE$16)*($G194:$AH194)),0))</f>
        <v>0</v>
      </c>
      <c r="BF194" s="345" cm="1">
        <f t="array" ref="BF194">IF(BM194&gt;=1,0,IFERROR(SUMPRODUCT(($G$11:$AH$11=$BF$16)*($G194:$AH194)),0))</f>
        <v>0</v>
      </c>
      <c r="BG194" s="345" cm="1">
        <f t="array" ref="BG194">IF(BM194&gt;=1,0,IFERROR(SUMPRODUCT(($G$11:$AH$11=$BG$16)*($G194:$AH194)),0))</f>
        <v>0</v>
      </c>
      <c r="BH194" s="345"/>
      <c r="BI194" s="343">
        <f t="shared" si="91"/>
        <v>0</v>
      </c>
      <c r="BJ194" s="230" t="s">
        <v>83</v>
      </c>
      <c r="BK194" cm="1">
        <f t="array" ref="BK194">(SUMPRODUCT(('Cashflow Summary C19RM'!$D$5:$D$451=E194)*('Cashflow Summary C19RM'!$BD$5:$BD$451)))</f>
        <v>0</v>
      </c>
      <c r="BL194" cm="1">
        <f t="array" ref="BL194">(SUMPRODUCT((SETUP!$D$20:$D$67=E194)*(SETUP!$R$20:$R$67)))</f>
        <v>0</v>
      </c>
      <c r="BM194" s="89">
        <f t="shared" si="89"/>
        <v>0</v>
      </c>
    </row>
    <row r="195" spans="1:97" s="89" customFormat="1" ht="15" customHeight="1" thickBot="1" x14ac:dyDescent="0.4">
      <c r="A195" s="89" t="s">
        <v>216</v>
      </c>
      <c r="B195" s="211" t="s">
        <v>747</v>
      </c>
      <c r="C195" s="699" t="s">
        <v>2750</v>
      </c>
      <c r="D195" s="1315"/>
      <c r="E195" s="1011" t="s">
        <v>31</v>
      </c>
      <c r="F195" s="720">
        <v>0</v>
      </c>
      <c r="G195" s="709" cm="1">
        <f t="array" ref="G195">$F195*(SUMPRODUCT(('Cashflow Summary C19RM'!$K$5:$K$239&lt;&gt;1)*('Cashflow Summary C19RM'!$D$5:$D$239=E195)*('Cashflow Summary C19RM'!$R$5:$R$239)))</f>
        <v>0</v>
      </c>
      <c r="H195" s="1005" cm="1">
        <f t="array" ref="H195">$F195*(SUMPRODUCT(('Cashflow Summary C19RM'!$K$5:$K$239&lt;&gt;1)*('Cashflow Summary C19RM'!$D$5:$D$239=E195)*('Cashflow Summary C19RM'!$S$5:$S$239)))</f>
        <v>0</v>
      </c>
      <c r="I195" s="989" cm="1">
        <f t="array" ref="I195">$F195*(SUMPRODUCT(('Cashflow Summary C19RM'!$K$5:$K$239&lt;&gt;1)*('Cashflow Summary C19RM'!$D$5:$D$239=E195)*('Cashflow Summary C19RM'!$T$5:$T$239)))</f>
        <v>0</v>
      </c>
      <c r="J195" s="989" cm="1">
        <f t="array" ref="J195">$F195*(SUMPRODUCT(('Cashflow Summary C19RM'!$K$5:$K$239&lt;&gt;1)*('Cashflow Summary C19RM'!$D$5:$D$239=E195)*('Cashflow Summary C19RM'!$U$5:$U$239)))</f>
        <v>0</v>
      </c>
      <c r="K195" s="712">
        <f t="shared" si="75"/>
        <v>0</v>
      </c>
      <c r="L195" s="711">
        <f t="shared" si="76"/>
        <v>0</v>
      </c>
      <c r="M195" s="989" cm="1">
        <f t="array" ref="M195">$L195*(SUMPRODUCT(('Cashflow Summary C19RM'!$K$5:$K$239&lt;&gt;1)*('Cashflow Summary C19RM'!$D$5:$D$239=E195)*('Cashflow Summary C19RM'!$V$5:$V$239)))</f>
        <v>0</v>
      </c>
      <c r="N195" s="989" cm="1">
        <f t="array" ref="N195">$L195*(SUMPRODUCT(('Cashflow Summary C19RM'!$K$5:$K$239&lt;&gt;1)*('Cashflow Summary C19RM'!$D$5:$D$239=E195)*('Cashflow Summary C19RM'!$W$5:$W$239)))</f>
        <v>0</v>
      </c>
      <c r="O195" s="989" cm="1">
        <f t="array" ref="O195">$L195*(SUMPRODUCT(('Cashflow Summary C19RM'!$K$5:$K$239&lt;&gt;1)*('Cashflow Summary C19RM'!$D$5:$D$239=E195)*('Cashflow Summary C19RM'!$X$5:$X$239)))</f>
        <v>0</v>
      </c>
      <c r="P195" s="989" cm="1">
        <f t="array" ref="P195">$L195*(SUMPRODUCT(('Cashflow Summary C19RM'!$K$5:$K$239&lt;&gt;1)*('Cashflow Summary C19RM'!$D$5:$D$239=E195)*('Cashflow Summary C19RM'!$Y$5:$Y$239)))</f>
        <v>0</v>
      </c>
      <c r="Q195" s="710">
        <f t="shared" si="77"/>
        <v>0</v>
      </c>
      <c r="R195" s="711">
        <f t="shared" si="78"/>
        <v>0</v>
      </c>
      <c r="S195" s="704" cm="1">
        <f t="array" ref="S195">$R195*(SUMPRODUCT(('Cashflow Summary C19RM'!$K$5:$K$239&lt;&gt;1)*('Cashflow Summary C19RM'!$D$5:$D$239=E195)*('Cashflow Summary C19RM'!$Z$5:$Z$239)))</f>
        <v>0</v>
      </c>
      <c r="T195" s="704" cm="1">
        <f t="array" ref="T195">$R195*(SUMPRODUCT(('Cashflow Summary C19RM'!$K$5:$K$239&lt;&gt;1)*('Cashflow Summary C19RM'!$D$5:$D$239=E195)*('Cashflow Summary C19RM'!$AA$5:$AA$239)))</f>
        <v>0</v>
      </c>
      <c r="U195" s="704" cm="1">
        <f t="array" ref="U195">$R195*(SUMPRODUCT(('Cashflow Summary C19RM'!$K$5:$K$239&lt;&gt;1)*('Cashflow Summary C19RM'!$D$5:$D$239=E195)*('Cashflow Summary C19RM'!$AB$5:$AB$239)))</f>
        <v>0</v>
      </c>
      <c r="V195" s="704" cm="1">
        <f t="array" ref="V195">$R195*(SUMPRODUCT(('Cashflow Summary C19RM'!$K$5:$K$239&lt;&gt;1)*('Cashflow Summary C19RM'!$D$5:$D$239=E195)*('Cashflow Summary C19RM'!$AC$5:$AC$239)))</f>
        <v>0</v>
      </c>
      <c r="W195" s="993">
        <f t="shared" si="79"/>
        <v>0</v>
      </c>
      <c r="X195" s="711">
        <f t="shared" si="80"/>
        <v>0</v>
      </c>
      <c r="Y195" s="704" cm="1">
        <f t="array" ref="Y195">$X195*(SUMPRODUCT(('Cashflow Summary C19RM'!$K$5:$K$239&lt;&gt;1)*('Cashflow Summary C19RM'!$D$5:$D$239=E195)*('Cashflow Summary C19RM'!$AD$5:$AD$239)))</f>
        <v>0</v>
      </c>
      <c r="Z195" s="704" cm="1">
        <f t="array" ref="Z195">$X195*(SUMPRODUCT(('Cashflow Summary C19RM'!$K$5:$K$239&lt;&gt;1)*('Cashflow Summary C19RM'!$D$5:$D$239=E195)*('Cashflow Summary C19RM'!$AE$5:$AE$239)))</f>
        <v>0</v>
      </c>
      <c r="AA195" s="704" cm="1">
        <f t="array" ref="AA195">$X195*(SUMPRODUCT(('Cashflow Summary C19RM'!$K$5:$K$239&lt;&gt;1)*('Cashflow Summary C19RM'!$D$5:$D$239=E195)*('Cashflow Summary C19RM'!$AF$5:$AF$239)))</f>
        <v>0</v>
      </c>
      <c r="AB195" s="989" cm="1">
        <f t="array" ref="AB195">$X195*(SUMPRODUCT(('Cashflow Summary C19RM'!$K$5:$K$239&lt;&gt;1)*('Cashflow Summary C19RM'!$D$5:$D$239=E195)*('Cashflow Summary C19RM'!$AG$5:$AG$239)))</f>
        <v>0</v>
      </c>
      <c r="AC195" s="993">
        <f t="shared" si="81"/>
        <v>0</v>
      </c>
      <c r="AD195" s="711">
        <f t="shared" si="82"/>
        <v>0</v>
      </c>
      <c r="AE195" s="709" cm="1">
        <f t="array" ref="AE195">$AD195*(SUMPRODUCT(('Cashflow Summary C19RM'!$K$5:$K$239&lt;&gt;1)*('Cashflow Summary C19RM'!$D$5:$D$239=E195)*('Cashflow Summary C19RM'!$AH$5:$AH$239)))</f>
        <v>0</v>
      </c>
      <c r="AF195" s="704" cm="1">
        <f t="array" ref="AF195">$AD195*(SUMPRODUCT(('Cashflow Summary C19RM'!$K$5:$K$239&lt;&gt;1)*('Cashflow Summary C19RM'!$D$5:$D$239=E195)*('Cashflow Summary C19RM'!$AI$5:$AI$239)))</f>
        <v>0</v>
      </c>
      <c r="AG195" s="704" cm="1">
        <f t="array" ref="AG195">$AD195*(SUMPRODUCT(('Cashflow Summary C19RM'!$K$5:$K$239&lt;&gt;1)*('Cashflow Summary C19RM'!$D$5:$D$239=E195)*('Cashflow Summary C19RM'!$AJ$5:$AJ$239)))</f>
        <v>0</v>
      </c>
      <c r="AH195" s="704" cm="1">
        <f t="array" ref="AH195">$AD195*(SUMPRODUCT(('Cashflow Summary C19RM'!$K$5:$K$239&lt;&gt;1)*('Cashflow Summary C19RM'!$D$5:$D$239=E195)*('Cashflow Summary C19RM'!$AK$5:$AO$239)))</f>
        <v>0</v>
      </c>
      <c r="AI195" s="993">
        <f t="shared" si="83"/>
        <v>0</v>
      </c>
      <c r="AJ195" s="990">
        <v>0</v>
      </c>
      <c r="AK195" s="1006"/>
      <c r="AL195" s="1007"/>
      <c r="AM195" s="1007"/>
      <c r="AN195" s="1007"/>
      <c r="AO195" s="1008"/>
      <c r="AP195" s="713">
        <f t="shared" si="90"/>
        <v>0</v>
      </c>
      <c r="AQ195" s="714">
        <v>7.3</v>
      </c>
      <c r="AR195" s="715"/>
      <c r="AS195" s="726" t="s">
        <v>213</v>
      </c>
      <c r="AV195" s="228">
        <f t="shared" si="84"/>
        <v>0</v>
      </c>
      <c r="AW195" s="228">
        <f t="shared" si="85"/>
        <v>0</v>
      </c>
      <c r="AX195" s="228">
        <f t="shared" si="86"/>
        <v>0</v>
      </c>
      <c r="AY195" s="228">
        <f t="shared" si="87"/>
        <v>0</v>
      </c>
      <c r="AZ195" s="228">
        <f t="shared" si="88"/>
        <v>0</v>
      </c>
      <c r="BA195" s="228"/>
      <c r="BC195" s="345" cm="1">
        <f t="array" ref="BC195">IF(BM195&gt;=1,0,IFERROR(SUMPRODUCT(($G$11:$AH$11=$BC$16)*($G195:$AH195)),0))</f>
        <v>0</v>
      </c>
      <c r="BD195" s="345" cm="1">
        <f t="array" ref="BD195">IF(BM195&gt;=1,0,IFERROR(SUMPRODUCT(($G$11:$AH$11=$BD$16)*($G195:$AH195)),0))</f>
        <v>0</v>
      </c>
      <c r="BE195" s="345" cm="1">
        <f t="array" ref="BE195">IF(BM195&gt;=1,0,IFERROR(SUMPRODUCT(($G$11:$AH$11=$BE$16)*($G195:$AH195)),0))</f>
        <v>0</v>
      </c>
      <c r="BF195" s="345" cm="1">
        <f t="array" ref="BF195">IF(BM195&gt;=1,0,IFERROR(SUMPRODUCT(($G$11:$AH$11=$BF$16)*($G195:$AH195)),0))</f>
        <v>0</v>
      </c>
      <c r="BG195" s="345" cm="1">
        <f t="array" ref="BG195">IF(BM195&gt;=1,0,IFERROR(SUMPRODUCT(($G$11:$AH$11=$BG$16)*($G195:$AH195)),0))</f>
        <v>0</v>
      </c>
      <c r="BH195" s="345"/>
      <c r="BI195" s="343">
        <f t="shared" si="91"/>
        <v>0</v>
      </c>
      <c r="BJ195" s="230" t="s">
        <v>83</v>
      </c>
      <c r="BK195" cm="1">
        <f t="array" ref="BK195">(SUMPRODUCT(('Cashflow Summary C19RM'!$D$5:$D$451=E195)*('Cashflow Summary C19RM'!$BD$5:$BD$451)))</f>
        <v>0</v>
      </c>
      <c r="BL195" cm="1">
        <f t="array" ref="BL195">(SUMPRODUCT((SETUP!$D$20:$D$67=E195)*(SETUP!$R$20:$R$67)))</f>
        <v>0</v>
      </c>
      <c r="BM195" s="89">
        <f t="shared" si="89"/>
        <v>0</v>
      </c>
    </row>
    <row r="196" spans="1:97" s="89" customFormat="1" ht="15" hidden="1" customHeight="1" x14ac:dyDescent="0.35">
      <c r="B196" s="211"/>
      <c r="C196" s="290"/>
      <c r="D196" s="1004"/>
      <c r="E196" s="995"/>
      <c r="F196" s="697">
        <v>0</v>
      </c>
      <c r="G196" s="628"/>
      <c r="H196" s="633"/>
      <c r="I196" s="633"/>
      <c r="J196" s="633"/>
      <c r="K196" s="631"/>
      <c r="L196" s="686"/>
      <c r="M196" s="630"/>
      <c r="N196" s="630"/>
      <c r="O196" s="630"/>
      <c r="P196" s="630"/>
      <c r="Q196" s="632"/>
      <c r="R196" s="686"/>
      <c r="S196" s="633"/>
      <c r="T196" s="633"/>
      <c r="U196" s="633"/>
      <c r="V196" s="633"/>
      <c r="W196" s="631"/>
      <c r="X196" s="686"/>
      <c r="Y196" s="633"/>
      <c r="Z196" s="633"/>
      <c r="AA196" s="633"/>
      <c r="AB196" s="633"/>
      <c r="AC196" s="631"/>
      <c r="AD196" s="631"/>
      <c r="AE196" s="631"/>
      <c r="AF196" s="631"/>
      <c r="AG196" s="631"/>
      <c r="AH196" s="631"/>
      <c r="AI196" s="631"/>
      <c r="AJ196" s="631"/>
      <c r="AK196" s="631"/>
      <c r="AL196" s="631"/>
      <c r="AM196" s="631"/>
      <c r="AN196" s="631"/>
      <c r="AO196" s="631"/>
      <c r="AP196" s="635"/>
      <c r="AQ196" s="636"/>
      <c r="AR196" s="707"/>
      <c r="AS196" s="310"/>
      <c r="AV196" s="228"/>
      <c r="AW196" s="228"/>
      <c r="AX196" s="228"/>
      <c r="AY196" s="228"/>
      <c r="AZ196" s="228"/>
      <c r="BA196" s="228"/>
      <c r="BC196" s="345"/>
      <c r="BD196" s="345"/>
      <c r="BE196" s="345"/>
      <c r="BF196" s="345"/>
      <c r="BG196" s="345"/>
      <c r="BH196" s="345"/>
      <c r="BI196" s="343"/>
      <c r="BJ196" s="290"/>
      <c r="BK196"/>
      <c r="BL196"/>
    </row>
    <row r="197" spans="1:97" s="175" customFormat="1" ht="14.15" hidden="1" customHeight="1" x14ac:dyDescent="0.35">
      <c r="A197" s="89"/>
      <c r="B197" s="211"/>
      <c r="C197" s="294"/>
      <c r="D197" s="1316"/>
      <c r="E197" s="703"/>
      <c r="F197" s="697">
        <v>0</v>
      </c>
      <c r="G197" s="628"/>
      <c r="H197" s="633"/>
      <c r="I197" s="633"/>
      <c r="J197" s="633"/>
      <c r="K197" s="631"/>
      <c r="L197" s="686"/>
      <c r="M197" s="633"/>
      <c r="N197" s="633"/>
      <c r="O197" s="633"/>
      <c r="P197" s="633"/>
      <c r="Q197" s="632"/>
      <c r="R197" s="686"/>
      <c r="S197" s="633"/>
      <c r="T197" s="633"/>
      <c r="U197" s="633"/>
      <c r="V197" s="633"/>
      <c r="W197" s="631"/>
      <c r="X197" s="686"/>
      <c r="Y197" s="633"/>
      <c r="Z197" s="633"/>
      <c r="AA197" s="633"/>
      <c r="AB197" s="633"/>
      <c r="AC197" s="631"/>
      <c r="AD197" s="631"/>
      <c r="AE197" s="631"/>
      <c r="AF197" s="631"/>
      <c r="AG197" s="631"/>
      <c r="AH197" s="631"/>
      <c r="AI197" s="631"/>
      <c r="AJ197" s="631"/>
      <c r="AK197" s="631"/>
      <c r="AL197" s="631"/>
      <c r="AM197" s="631"/>
      <c r="AN197" s="631"/>
      <c r="AO197" s="631"/>
      <c r="AP197" s="635"/>
      <c r="AQ197" s="636"/>
      <c r="AR197" s="707"/>
      <c r="AS197" s="310"/>
      <c r="AV197" s="228"/>
      <c r="AW197" s="228"/>
      <c r="AX197" s="228"/>
      <c r="AY197" s="228"/>
      <c r="AZ197" s="228"/>
      <c r="BA197" s="228"/>
      <c r="BC197" s="345"/>
      <c r="BD197" s="345"/>
      <c r="BE197" s="345"/>
      <c r="BF197" s="345"/>
      <c r="BG197" s="345"/>
      <c r="BH197" s="345"/>
      <c r="BI197" s="343"/>
      <c r="BJ197" s="294"/>
      <c r="BK197"/>
      <c r="BL197"/>
      <c r="BM197" s="89"/>
    </row>
    <row r="198" spans="1:97" s="89" customFormat="1" ht="15" hidden="1" customHeight="1" x14ac:dyDescent="0.35">
      <c r="B198" s="211"/>
      <c r="C198" s="294"/>
      <c r="D198" s="1316"/>
      <c r="E198" s="703"/>
      <c r="F198" s="697"/>
      <c r="G198" s="638"/>
      <c r="H198" s="639"/>
      <c r="I198" s="639"/>
      <c r="J198" s="639"/>
      <c r="K198" s="631"/>
      <c r="L198" s="686"/>
      <c r="M198" s="630"/>
      <c r="N198" s="630"/>
      <c r="O198" s="630"/>
      <c r="P198" s="630"/>
      <c r="Q198" s="632"/>
      <c r="R198" s="686"/>
      <c r="S198" s="633"/>
      <c r="T198" s="633"/>
      <c r="U198" s="633"/>
      <c r="V198" s="633"/>
      <c r="W198" s="631"/>
      <c r="X198" s="686"/>
      <c r="Y198" s="633"/>
      <c r="Z198" s="633"/>
      <c r="AA198" s="633"/>
      <c r="AB198" s="633"/>
      <c r="AC198" s="631"/>
      <c r="AD198" s="631"/>
      <c r="AE198" s="631"/>
      <c r="AF198" s="631"/>
      <c r="AG198" s="631"/>
      <c r="AH198" s="631"/>
      <c r="AI198" s="631"/>
      <c r="AJ198" s="631"/>
      <c r="AK198" s="631"/>
      <c r="AL198" s="631"/>
      <c r="AM198" s="631"/>
      <c r="AN198" s="631"/>
      <c r="AO198" s="631"/>
      <c r="AP198" s="635"/>
      <c r="AQ198" s="636"/>
      <c r="AR198" s="707"/>
      <c r="AS198" s="310"/>
      <c r="AV198" s="228"/>
      <c r="AW198" s="228"/>
      <c r="AX198" s="228"/>
      <c r="AY198" s="228"/>
      <c r="AZ198" s="228"/>
      <c r="BA198" s="228"/>
      <c r="BC198" s="345"/>
      <c r="BD198" s="345"/>
      <c r="BE198" s="345"/>
      <c r="BF198" s="345"/>
      <c r="BG198" s="345"/>
      <c r="BH198" s="345"/>
      <c r="BI198" s="343"/>
      <c r="BJ198" s="294"/>
      <c r="BK198"/>
      <c r="BL198"/>
    </row>
    <row r="199" spans="1:97" s="89" customFormat="1" ht="15" hidden="1" customHeight="1" x14ac:dyDescent="0.35">
      <c r="B199" s="211"/>
      <c r="C199" s="294"/>
      <c r="D199" s="1316"/>
      <c r="E199" s="703"/>
      <c r="F199" s="697"/>
      <c r="G199" s="628"/>
      <c r="H199" s="633"/>
      <c r="I199" s="633"/>
      <c r="J199" s="633"/>
      <c r="K199" s="631"/>
      <c r="L199" s="686"/>
      <c r="M199" s="630"/>
      <c r="N199" s="630"/>
      <c r="O199" s="630"/>
      <c r="P199" s="630"/>
      <c r="Q199" s="632"/>
      <c r="R199" s="686"/>
      <c r="S199" s="633"/>
      <c r="T199" s="633"/>
      <c r="U199" s="633"/>
      <c r="V199" s="633"/>
      <c r="W199" s="631"/>
      <c r="X199" s="686"/>
      <c r="Y199" s="633"/>
      <c r="Z199" s="633"/>
      <c r="AA199" s="633"/>
      <c r="AB199" s="633"/>
      <c r="AC199" s="631"/>
      <c r="AD199" s="631"/>
      <c r="AE199" s="631"/>
      <c r="AF199" s="631"/>
      <c r="AG199" s="631"/>
      <c r="AH199" s="631"/>
      <c r="AI199" s="631"/>
      <c r="AJ199" s="631"/>
      <c r="AK199" s="631"/>
      <c r="AL199" s="631"/>
      <c r="AM199" s="631"/>
      <c r="AN199" s="631"/>
      <c r="AO199" s="631"/>
      <c r="AP199" s="635"/>
      <c r="AQ199" s="636"/>
      <c r="AR199" s="707"/>
      <c r="AS199" s="310"/>
      <c r="AV199" s="228"/>
      <c r="AW199" s="228"/>
      <c r="AX199" s="228"/>
      <c r="AY199" s="228"/>
      <c r="AZ199" s="228"/>
      <c r="BA199" s="228"/>
      <c r="BC199" s="345"/>
      <c r="BD199" s="345"/>
      <c r="BE199" s="345"/>
      <c r="BF199" s="345"/>
      <c r="BG199" s="345"/>
      <c r="BH199" s="345"/>
      <c r="BI199" s="343"/>
      <c r="BJ199" s="294"/>
      <c r="BK199"/>
      <c r="BL199"/>
    </row>
    <row r="200" spans="1:97" s="89" customFormat="1" ht="15" hidden="1" customHeight="1" x14ac:dyDescent="0.35">
      <c r="B200" s="211"/>
      <c r="C200" s="294"/>
      <c r="D200" s="1316"/>
      <c r="E200" s="703"/>
      <c r="F200" s="697"/>
      <c r="G200" s="628"/>
      <c r="H200" s="633"/>
      <c r="I200" s="633"/>
      <c r="J200" s="633"/>
      <c r="K200" s="631"/>
      <c r="L200" s="686"/>
      <c r="M200" s="633"/>
      <c r="N200" s="633"/>
      <c r="O200" s="633"/>
      <c r="P200" s="633"/>
      <c r="Q200" s="632"/>
      <c r="R200" s="686"/>
      <c r="S200" s="633"/>
      <c r="T200" s="633"/>
      <c r="U200" s="633"/>
      <c r="V200" s="633"/>
      <c r="W200" s="631"/>
      <c r="X200" s="686"/>
      <c r="Y200" s="633"/>
      <c r="Z200" s="633"/>
      <c r="AA200" s="633"/>
      <c r="AB200" s="633"/>
      <c r="AC200" s="631"/>
      <c r="AD200" s="631"/>
      <c r="AE200" s="631"/>
      <c r="AF200" s="631"/>
      <c r="AG200" s="631"/>
      <c r="AH200" s="631"/>
      <c r="AI200" s="631"/>
      <c r="AJ200" s="631"/>
      <c r="AK200" s="631"/>
      <c r="AL200" s="631"/>
      <c r="AM200" s="631"/>
      <c r="AN200" s="631"/>
      <c r="AO200" s="631"/>
      <c r="AP200" s="635"/>
      <c r="AQ200" s="636"/>
      <c r="AR200" s="707"/>
      <c r="AS200" s="310"/>
      <c r="AV200" s="228"/>
      <c r="AW200" s="228"/>
      <c r="AX200" s="228"/>
      <c r="AY200" s="228"/>
      <c r="AZ200" s="228"/>
      <c r="BA200" s="228"/>
      <c r="BC200" s="345"/>
      <c r="BD200" s="345"/>
      <c r="BE200" s="345"/>
      <c r="BF200" s="345"/>
      <c r="BG200" s="345"/>
      <c r="BH200" s="345"/>
      <c r="BI200" s="343"/>
      <c r="BJ200" s="294"/>
      <c r="BK200"/>
      <c r="BL200"/>
    </row>
    <row r="201" spans="1:97" s="89" customFormat="1" ht="15" hidden="1" customHeight="1" x14ac:dyDescent="0.35">
      <c r="B201" s="211"/>
      <c r="C201" s="294"/>
      <c r="D201" s="1316"/>
      <c r="E201" s="703"/>
      <c r="F201" s="697"/>
      <c r="G201" s="628"/>
      <c r="H201" s="633"/>
      <c r="I201" s="633"/>
      <c r="J201" s="633"/>
      <c r="K201" s="631"/>
      <c r="L201" s="686"/>
      <c r="M201" s="633"/>
      <c r="N201" s="633"/>
      <c r="O201" s="633"/>
      <c r="P201" s="633"/>
      <c r="Q201" s="632"/>
      <c r="R201" s="686"/>
      <c r="S201" s="633"/>
      <c r="T201" s="633"/>
      <c r="U201" s="633"/>
      <c r="V201" s="633"/>
      <c r="W201" s="631"/>
      <c r="X201" s="686"/>
      <c r="Y201" s="633"/>
      <c r="Z201" s="633"/>
      <c r="AA201" s="633"/>
      <c r="AB201" s="633"/>
      <c r="AC201" s="631"/>
      <c r="AD201" s="631"/>
      <c r="AE201" s="631"/>
      <c r="AF201" s="631"/>
      <c r="AG201" s="631"/>
      <c r="AH201" s="631"/>
      <c r="AI201" s="631"/>
      <c r="AJ201" s="631"/>
      <c r="AK201" s="631"/>
      <c r="AL201" s="631"/>
      <c r="AM201" s="631"/>
      <c r="AN201" s="631"/>
      <c r="AO201" s="631"/>
      <c r="AP201" s="635"/>
      <c r="AQ201" s="636"/>
      <c r="AR201" s="707"/>
      <c r="AS201" s="310"/>
      <c r="AV201" s="228"/>
      <c r="AW201" s="228"/>
      <c r="AX201" s="228"/>
      <c r="AY201" s="228"/>
      <c r="AZ201" s="228"/>
      <c r="BA201" s="228"/>
      <c r="BC201" s="345"/>
      <c r="BD201" s="345"/>
      <c r="BE201" s="345"/>
      <c r="BF201" s="345"/>
      <c r="BG201" s="345"/>
      <c r="BH201" s="345"/>
      <c r="BI201" s="343"/>
      <c r="BJ201" s="294"/>
      <c r="BK201"/>
      <c r="BL201"/>
    </row>
    <row r="202" spans="1:97" s="89" customFormat="1" ht="15" hidden="1" customHeight="1" x14ac:dyDescent="0.35">
      <c r="B202" s="211"/>
      <c r="C202" s="294"/>
      <c r="D202" s="1316"/>
      <c r="E202" s="703"/>
      <c r="F202" s="697"/>
      <c r="G202" s="628"/>
      <c r="H202" s="633"/>
      <c r="I202" s="633"/>
      <c r="J202" s="633"/>
      <c r="K202" s="631"/>
      <c r="L202" s="686"/>
      <c r="M202" s="633"/>
      <c r="N202" s="633"/>
      <c r="O202" s="633"/>
      <c r="P202" s="633"/>
      <c r="Q202" s="632"/>
      <c r="R202" s="686"/>
      <c r="S202" s="633"/>
      <c r="T202" s="633"/>
      <c r="U202" s="633"/>
      <c r="V202" s="633"/>
      <c r="W202" s="631"/>
      <c r="X202" s="686"/>
      <c r="Y202" s="633"/>
      <c r="Z202" s="633"/>
      <c r="AA202" s="633"/>
      <c r="AB202" s="633"/>
      <c r="AC202" s="631"/>
      <c r="AD202" s="631"/>
      <c r="AE202" s="631"/>
      <c r="AF202" s="631"/>
      <c r="AG202" s="631"/>
      <c r="AH202" s="631"/>
      <c r="AI202" s="631"/>
      <c r="AJ202" s="631"/>
      <c r="AK202" s="631"/>
      <c r="AL202" s="631"/>
      <c r="AM202" s="631"/>
      <c r="AN202" s="631"/>
      <c r="AO202" s="631"/>
      <c r="AP202" s="635"/>
      <c r="AQ202" s="636"/>
      <c r="AR202" s="707"/>
      <c r="AS202" s="310"/>
      <c r="AV202" s="228"/>
      <c r="AW202" s="228"/>
      <c r="AX202" s="228"/>
      <c r="AY202" s="228"/>
      <c r="AZ202" s="228"/>
      <c r="BA202" s="228"/>
      <c r="BC202" s="345"/>
      <c r="BD202" s="345"/>
      <c r="BE202" s="345"/>
      <c r="BF202" s="345"/>
      <c r="BG202" s="345"/>
      <c r="BH202" s="345"/>
      <c r="BI202" s="343"/>
      <c r="BJ202" s="294"/>
      <c r="BK202"/>
      <c r="BL202"/>
    </row>
    <row r="203" spans="1:97" s="89" customFormat="1" ht="15" hidden="1" customHeight="1" x14ac:dyDescent="0.35">
      <c r="B203" s="211"/>
      <c r="C203" s="294"/>
      <c r="D203" s="1316"/>
      <c r="E203" s="703"/>
      <c r="F203" s="697"/>
      <c r="G203" s="628"/>
      <c r="H203" s="633"/>
      <c r="I203" s="633"/>
      <c r="J203" s="633"/>
      <c r="K203" s="631"/>
      <c r="L203" s="686"/>
      <c r="M203" s="630"/>
      <c r="N203" s="630"/>
      <c r="O203" s="630"/>
      <c r="P203" s="630"/>
      <c r="Q203" s="632"/>
      <c r="R203" s="686"/>
      <c r="S203" s="633"/>
      <c r="T203" s="633"/>
      <c r="U203" s="633"/>
      <c r="V203" s="633"/>
      <c r="W203" s="631"/>
      <c r="X203" s="686"/>
      <c r="Y203" s="633"/>
      <c r="Z203" s="633"/>
      <c r="AA203" s="633"/>
      <c r="AB203" s="633"/>
      <c r="AC203" s="631"/>
      <c r="AD203" s="631"/>
      <c r="AE203" s="631"/>
      <c r="AF203" s="631"/>
      <c r="AG203" s="631"/>
      <c r="AH203" s="631"/>
      <c r="AI203" s="631"/>
      <c r="AJ203" s="631"/>
      <c r="AK203" s="631"/>
      <c r="AL203" s="631"/>
      <c r="AM203" s="631"/>
      <c r="AN203" s="631"/>
      <c r="AO203" s="631"/>
      <c r="AP203" s="635"/>
      <c r="AQ203" s="636"/>
      <c r="AR203" s="707"/>
      <c r="AS203" s="310"/>
      <c r="AV203" s="228"/>
      <c r="AW203" s="228"/>
      <c r="AX203" s="228"/>
      <c r="AY203" s="228"/>
      <c r="AZ203" s="228"/>
      <c r="BA203" s="228"/>
      <c r="BC203" s="345"/>
      <c r="BD203" s="345"/>
      <c r="BE203" s="345"/>
      <c r="BF203" s="345"/>
      <c r="BG203" s="345"/>
      <c r="BH203" s="345"/>
      <c r="BI203" s="343"/>
      <c r="BJ203" s="294"/>
      <c r="BK203"/>
      <c r="BL203"/>
    </row>
    <row r="204" spans="1:97" s="89" customFormat="1" ht="15" hidden="1" customHeight="1" x14ac:dyDescent="0.35">
      <c r="B204" s="211"/>
      <c r="C204" s="294"/>
      <c r="D204" s="1316"/>
      <c r="E204" s="703"/>
      <c r="F204" s="697"/>
      <c r="G204" s="628"/>
      <c r="H204" s="633"/>
      <c r="I204" s="633"/>
      <c r="J204" s="633"/>
      <c r="K204" s="631"/>
      <c r="L204" s="686"/>
      <c r="M204" s="633"/>
      <c r="N204" s="633"/>
      <c r="O204" s="633"/>
      <c r="P204" s="633"/>
      <c r="Q204" s="632"/>
      <c r="R204" s="686"/>
      <c r="S204" s="633"/>
      <c r="T204" s="633"/>
      <c r="U204" s="633"/>
      <c r="V204" s="633"/>
      <c r="W204" s="631"/>
      <c r="X204" s="686"/>
      <c r="Y204" s="633"/>
      <c r="Z204" s="633"/>
      <c r="AA204" s="633"/>
      <c r="AB204" s="633"/>
      <c r="AC204" s="631"/>
      <c r="AD204" s="631"/>
      <c r="AE204" s="631"/>
      <c r="AF204" s="631"/>
      <c r="AG204" s="631"/>
      <c r="AH204" s="631"/>
      <c r="AI204" s="631"/>
      <c r="AJ204" s="631"/>
      <c r="AK204" s="631"/>
      <c r="AL204" s="631"/>
      <c r="AM204" s="631"/>
      <c r="AN204" s="631"/>
      <c r="AO204" s="631"/>
      <c r="AP204" s="635"/>
      <c r="AQ204" s="636"/>
      <c r="AR204" s="707"/>
      <c r="AS204" s="310"/>
      <c r="AV204" s="228"/>
      <c r="AW204" s="228"/>
      <c r="AX204" s="228"/>
      <c r="AY204" s="228"/>
      <c r="AZ204" s="228"/>
      <c r="BA204" s="228"/>
      <c r="BC204" s="345"/>
      <c r="BD204" s="345"/>
      <c r="BE204" s="345"/>
      <c r="BF204" s="345"/>
      <c r="BG204" s="345"/>
      <c r="BH204" s="345"/>
      <c r="BI204" s="343"/>
      <c r="BJ204" s="294"/>
      <c r="BK204"/>
      <c r="BL204"/>
    </row>
    <row r="205" spans="1:97" s="89" customFormat="1" ht="15" hidden="1" customHeight="1" x14ac:dyDescent="0.35">
      <c r="B205" s="211"/>
      <c r="C205" s="294"/>
      <c r="D205" s="1316"/>
      <c r="E205" s="703"/>
      <c r="F205" s="697"/>
      <c r="G205" s="628"/>
      <c r="H205" s="633"/>
      <c r="I205" s="633"/>
      <c r="J205" s="633"/>
      <c r="K205" s="631"/>
      <c r="L205" s="686"/>
      <c r="M205" s="633"/>
      <c r="N205" s="633"/>
      <c r="O205" s="633"/>
      <c r="P205" s="633"/>
      <c r="Q205" s="632"/>
      <c r="R205" s="686"/>
      <c r="S205" s="633"/>
      <c r="T205" s="633"/>
      <c r="U205" s="633"/>
      <c r="V205" s="633"/>
      <c r="W205" s="631"/>
      <c r="X205" s="686"/>
      <c r="Y205" s="633"/>
      <c r="Z205" s="633"/>
      <c r="AA205" s="633"/>
      <c r="AB205" s="633"/>
      <c r="AC205" s="631"/>
      <c r="AD205" s="631"/>
      <c r="AE205" s="631"/>
      <c r="AF205" s="631"/>
      <c r="AG205" s="631"/>
      <c r="AH205" s="631"/>
      <c r="AI205" s="631"/>
      <c r="AJ205" s="631"/>
      <c r="AK205" s="631"/>
      <c r="AL205" s="631"/>
      <c r="AM205" s="631"/>
      <c r="AN205" s="631"/>
      <c r="AO205" s="631"/>
      <c r="AP205" s="635"/>
      <c r="AQ205" s="636"/>
      <c r="AR205" s="707"/>
      <c r="AS205" s="310"/>
      <c r="AV205" s="228"/>
      <c r="AW205" s="228"/>
      <c r="AX205" s="228"/>
      <c r="AY205" s="228"/>
      <c r="AZ205" s="228"/>
      <c r="BA205" s="228"/>
      <c r="BC205" s="345"/>
      <c r="BD205" s="345"/>
      <c r="BE205" s="345"/>
      <c r="BF205" s="345"/>
      <c r="BG205" s="345"/>
      <c r="BH205" s="345"/>
      <c r="BI205" s="343"/>
      <c r="BJ205" s="294"/>
      <c r="BK205"/>
      <c r="BL205"/>
    </row>
    <row r="206" spans="1:97" s="89" customFormat="1" ht="15" hidden="1" customHeight="1" x14ac:dyDescent="0.35">
      <c r="B206" s="211"/>
      <c r="C206" s="294"/>
      <c r="D206" s="1316"/>
      <c r="E206" s="703"/>
      <c r="F206" s="697"/>
      <c r="G206" s="628"/>
      <c r="H206" s="633"/>
      <c r="I206" s="633"/>
      <c r="J206" s="633"/>
      <c r="K206" s="631"/>
      <c r="L206" s="686"/>
      <c r="M206" s="633"/>
      <c r="N206" s="633"/>
      <c r="O206" s="633"/>
      <c r="P206" s="633"/>
      <c r="Q206" s="632"/>
      <c r="R206" s="686"/>
      <c r="S206" s="633"/>
      <c r="T206" s="633"/>
      <c r="U206" s="633"/>
      <c r="V206" s="633"/>
      <c r="W206" s="631"/>
      <c r="X206" s="686"/>
      <c r="Y206" s="633"/>
      <c r="Z206" s="633"/>
      <c r="AA206" s="633"/>
      <c r="AB206" s="633"/>
      <c r="AC206" s="631"/>
      <c r="AD206" s="631"/>
      <c r="AE206" s="631"/>
      <c r="AF206" s="631"/>
      <c r="AG206" s="631"/>
      <c r="AH206" s="631"/>
      <c r="AI206" s="631"/>
      <c r="AJ206" s="631"/>
      <c r="AK206" s="631"/>
      <c r="AL206" s="631"/>
      <c r="AM206" s="631"/>
      <c r="AN206" s="631"/>
      <c r="AO206" s="631"/>
      <c r="AP206" s="635"/>
      <c r="AQ206" s="636"/>
      <c r="AR206" s="707"/>
      <c r="AS206" s="310"/>
      <c r="AV206" s="228"/>
      <c r="AW206" s="228"/>
      <c r="AX206" s="228"/>
      <c r="AY206" s="228"/>
      <c r="AZ206" s="228"/>
      <c r="BA206" s="228"/>
      <c r="BC206" s="345"/>
      <c r="BD206" s="345"/>
      <c r="BE206" s="345"/>
      <c r="BF206" s="345"/>
      <c r="BG206" s="345"/>
      <c r="BH206" s="345"/>
      <c r="BI206" s="343"/>
      <c r="BJ206" s="294"/>
      <c r="BK206"/>
      <c r="BL206"/>
    </row>
    <row r="207" spans="1:97" s="89" customFormat="1" ht="15.75" hidden="1" customHeight="1" thickBot="1" x14ac:dyDescent="0.4">
      <c r="B207" s="292"/>
      <c r="C207" s="729"/>
      <c r="D207" s="1317"/>
      <c r="E207" s="708"/>
      <c r="F207" s="720"/>
      <c r="G207" s="709"/>
      <c r="H207" s="704"/>
      <c r="I207" s="704"/>
      <c r="J207" s="704"/>
      <c r="K207" s="712"/>
      <c r="L207" s="711"/>
      <c r="M207" s="709"/>
      <c r="N207" s="704"/>
      <c r="O207" s="704"/>
      <c r="P207" s="704"/>
      <c r="Q207" s="710"/>
      <c r="R207" s="711"/>
      <c r="S207" s="704"/>
      <c r="T207" s="704"/>
      <c r="U207" s="704"/>
      <c r="V207" s="704"/>
      <c r="W207" s="712"/>
      <c r="X207" s="711"/>
      <c r="Y207" s="709"/>
      <c r="Z207" s="704"/>
      <c r="AA207" s="704"/>
      <c r="AB207" s="704"/>
      <c r="AC207" s="712"/>
      <c r="AD207" s="712"/>
      <c r="AE207" s="712"/>
      <c r="AF207" s="712"/>
      <c r="AG207" s="712"/>
      <c r="AH207" s="712"/>
      <c r="AI207" s="712"/>
      <c r="AJ207" s="712"/>
      <c r="AK207" s="712"/>
      <c r="AL207" s="712"/>
      <c r="AM207" s="712"/>
      <c r="AN207" s="712"/>
      <c r="AO207" s="712"/>
      <c r="AP207" s="713"/>
      <c r="AQ207" s="714"/>
      <c r="AR207" s="715"/>
      <c r="AS207" s="312"/>
      <c r="AV207" s="228"/>
      <c r="AW207" s="228"/>
      <c r="AX207" s="228"/>
      <c r="AY207" s="228"/>
      <c r="AZ207" s="228"/>
      <c r="BA207" s="228"/>
      <c r="BC207" s="345"/>
      <c r="BD207" s="345"/>
      <c r="BE207" s="345"/>
      <c r="BF207" s="345"/>
      <c r="BG207" s="345"/>
      <c r="BH207" s="345"/>
      <c r="BI207" s="343"/>
      <c r="BJ207" s="295"/>
      <c r="BK207"/>
      <c r="BL207"/>
    </row>
    <row r="208" spans="1:97" s="89" customFormat="1" ht="12.75" hidden="1" customHeight="1" x14ac:dyDescent="0.3">
      <c r="B208" s="212"/>
      <c r="C208" s="728"/>
      <c r="D208" s="705"/>
      <c r="E208" s="702"/>
      <c r="F208" s="645"/>
      <c r="G208" s="628"/>
      <c r="H208" s="633"/>
      <c r="I208" s="633"/>
      <c r="J208" s="633"/>
      <c r="K208" s="631"/>
      <c r="L208" s="627"/>
      <c r="M208" s="630"/>
      <c r="N208" s="630"/>
      <c r="O208" s="630"/>
      <c r="P208" s="630"/>
      <c r="Q208" s="632"/>
      <c r="R208" s="627"/>
      <c r="S208" s="633"/>
      <c r="T208" s="633"/>
      <c r="U208" s="633"/>
      <c r="V208" s="633"/>
      <c r="W208" s="634"/>
      <c r="X208" s="627"/>
      <c r="Y208" s="633"/>
      <c r="Z208" s="633"/>
      <c r="AA208" s="633"/>
      <c r="AB208" s="633"/>
      <c r="AC208" s="634"/>
      <c r="AD208" s="634"/>
      <c r="AE208" s="634"/>
      <c r="AF208" s="634"/>
      <c r="AG208" s="634"/>
      <c r="AH208" s="634"/>
      <c r="AI208" s="634"/>
      <c r="AJ208" s="634"/>
      <c r="AK208" s="634"/>
      <c r="AL208" s="634"/>
      <c r="AM208" s="634"/>
      <c r="AN208" s="634"/>
      <c r="AO208" s="634"/>
      <c r="AP208" s="635"/>
      <c r="AQ208" s="646"/>
      <c r="AR208" s="647"/>
      <c r="AS208" s="313"/>
      <c r="AT208" s="177"/>
      <c r="AU208" s="178"/>
      <c r="AV208" s="60"/>
      <c r="AW208" s="60"/>
      <c r="AX208" s="60"/>
      <c r="AY208" s="60"/>
      <c r="AZ208" s="60"/>
      <c r="BA208" s="60"/>
      <c r="BB208" s="60"/>
      <c r="BC208" s="345"/>
      <c r="BD208" s="345"/>
      <c r="BE208" s="345"/>
      <c r="BF208" s="345"/>
      <c r="BG208" s="345"/>
      <c r="BH208" s="345"/>
      <c r="BI208" s="60"/>
      <c r="BJ208" s="60"/>
      <c r="BK208" s="60"/>
      <c r="BL208" s="60"/>
      <c r="BM208" s="60"/>
      <c r="BN208" s="60"/>
      <c r="BO208" s="60"/>
      <c r="BP208" s="60"/>
      <c r="BQ208" s="60"/>
      <c r="BR208" s="60"/>
      <c r="BS208" s="60"/>
      <c r="BT208" s="60"/>
      <c r="BU208" s="60"/>
      <c r="BV208" s="60"/>
      <c r="BW208" s="60"/>
      <c r="BX208" s="60"/>
      <c r="BY208" s="60"/>
      <c r="BZ208" s="60"/>
      <c r="CA208" s="60"/>
      <c r="CB208" s="60"/>
      <c r="CC208" s="60"/>
      <c r="CD208" s="60"/>
      <c r="CE208" s="60"/>
      <c r="CF208" s="60"/>
      <c r="CG208" s="60"/>
      <c r="CH208" s="60"/>
      <c r="CI208" s="60"/>
      <c r="CJ208" s="60"/>
      <c r="CK208" s="60"/>
      <c r="CL208" s="60"/>
      <c r="CM208" s="60"/>
      <c r="CN208" s="60"/>
      <c r="CO208" s="60"/>
      <c r="CP208" s="60"/>
      <c r="CQ208" s="60"/>
      <c r="CR208" s="60"/>
      <c r="CS208" s="60"/>
    </row>
    <row r="209" spans="1:97" s="89" customFormat="1" ht="13" hidden="1" customHeight="1" x14ac:dyDescent="0.3">
      <c r="B209" s="211"/>
      <c r="C209" s="211"/>
      <c r="D209" s="1326"/>
      <c r="E209" s="626"/>
      <c r="F209" s="645"/>
      <c r="G209" s="628"/>
      <c r="H209" s="633"/>
      <c r="I209" s="633"/>
      <c r="J209" s="633"/>
      <c r="K209" s="631"/>
      <c r="L209" s="627"/>
      <c r="M209" s="630"/>
      <c r="N209" s="630"/>
      <c r="O209" s="630"/>
      <c r="P209" s="630"/>
      <c r="Q209" s="632"/>
      <c r="R209" s="627"/>
      <c r="S209" s="633"/>
      <c r="T209" s="633"/>
      <c r="U209" s="633"/>
      <c r="V209" s="633"/>
      <c r="W209" s="634"/>
      <c r="X209" s="627"/>
      <c r="Y209" s="633"/>
      <c r="Z209" s="633"/>
      <c r="AA209" s="633"/>
      <c r="AB209" s="633"/>
      <c r="AC209" s="634"/>
      <c r="AD209" s="634"/>
      <c r="AE209" s="634"/>
      <c r="AF209" s="634"/>
      <c r="AG209" s="634"/>
      <c r="AH209" s="634"/>
      <c r="AI209" s="634"/>
      <c r="AJ209" s="634"/>
      <c r="AK209" s="634"/>
      <c r="AL209" s="634"/>
      <c r="AM209" s="634"/>
      <c r="AN209" s="634"/>
      <c r="AO209" s="634"/>
      <c r="AP209" s="635"/>
      <c r="AQ209" s="648"/>
      <c r="AR209" s="647"/>
      <c r="AS209" s="313"/>
      <c r="AT209" s="177"/>
      <c r="AU209" s="178"/>
      <c r="AV209" s="60"/>
      <c r="AW209" s="60"/>
      <c r="AX209" s="60"/>
      <c r="AY209" s="60"/>
      <c r="AZ209" s="60"/>
      <c r="BA209" s="60"/>
      <c r="BB209" s="60"/>
      <c r="BC209" s="345"/>
      <c r="BD209" s="345"/>
      <c r="BE209" s="345"/>
      <c r="BF209" s="345"/>
      <c r="BG209" s="345"/>
      <c r="BH209" s="345"/>
      <c r="BI209" s="60"/>
      <c r="BJ209" s="60"/>
      <c r="BK209" s="60"/>
      <c r="BL209" s="60"/>
      <c r="BM209" s="60"/>
      <c r="BN209" s="60"/>
      <c r="BO209" s="60"/>
      <c r="BP209" s="60"/>
      <c r="BQ209" s="60"/>
      <c r="BR209" s="60"/>
      <c r="BS209" s="60"/>
      <c r="BT209" s="60"/>
      <c r="BU209" s="60"/>
      <c r="BV209" s="60"/>
      <c r="BW209" s="60"/>
      <c r="BX209" s="60"/>
      <c r="BY209" s="60"/>
      <c r="BZ209" s="60"/>
      <c r="CA209" s="60"/>
      <c r="CB209" s="60"/>
      <c r="CC209" s="60"/>
      <c r="CD209" s="60"/>
      <c r="CE209" s="60"/>
      <c r="CF209" s="60"/>
      <c r="CG209" s="60"/>
      <c r="CH209" s="60"/>
      <c r="CI209" s="60"/>
      <c r="CJ209" s="60"/>
      <c r="CK209" s="60"/>
      <c r="CL209" s="60"/>
      <c r="CM209" s="60"/>
      <c r="CN209" s="60"/>
      <c r="CO209" s="60"/>
      <c r="CP209" s="60"/>
      <c r="CQ209" s="60"/>
      <c r="CR209" s="60"/>
      <c r="CS209" s="60"/>
    </row>
    <row r="210" spans="1:97" s="89" customFormat="1" ht="13" hidden="1" customHeight="1" x14ac:dyDescent="0.3">
      <c r="B210" s="211"/>
      <c r="C210" s="211"/>
      <c r="D210" s="1327"/>
      <c r="E210" s="626"/>
      <c r="F210" s="645"/>
      <c r="G210" s="628"/>
      <c r="H210" s="633"/>
      <c r="I210" s="633"/>
      <c r="J210" s="633"/>
      <c r="K210" s="631"/>
      <c r="L210" s="627"/>
      <c r="M210" s="630"/>
      <c r="N210" s="630"/>
      <c r="O210" s="630"/>
      <c r="P210" s="630"/>
      <c r="Q210" s="632"/>
      <c r="R210" s="627"/>
      <c r="S210" s="633"/>
      <c r="T210" s="633"/>
      <c r="U210" s="633"/>
      <c r="V210" s="633"/>
      <c r="W210" s="634"/>
      <c r="X210" s="627"/>
      <c r="Y210" s="633"/>
      <c r="Z210" s="633"/>
      <c r="AA210" s="633"/>
      <c r="AB210" s="633"/>
      <c r="AC210" s="634"/>
      <c r="AD210" s="634"/>
      <c r="AE210" s="634"/>
      <c r="AF210" s="634"/>
      <c r="AG210" s="634"/>
      <c r="AH210" s="634"/>
      <c r="AI210" s="634"/>
      <c r="AJ210" s="634"/>
      <c r="AK210" s="634"/>
      <c r="AL210" s="634"/>
      <c r="AM210" s="634"/>
      <c r="AN210" s="634"/>
      <c r="AO210" s="634"/>
      <c r="AP210" s="635"/>
      <c r="AQ210" s="648"/>
      <c r="AR210" s="647"/>
      <c r="AS210" s="313"/>
      <c r="AT210" s="177"/>
      <c r="AU210" s="178"/>
      <c r="AV210" s="60"/>
      <c r="AW210" s="60"/>
      <c r="AX210" s="60"/>
      <c r="AY210" s="60"/>
      <c r="AZ210" s="60"/>
      <c r="BA210" s="60"/>
      <c r="BB210" s="60"/>
      <c r="BC210" s="345"/>
      <c r="BD210" s="345"/>
      <c r="BE210" s="345"/>
      <c r="BF210" s="345"/>
      <c r="BG210" s="345"/>
      <c r="BH210" s="345"/>
      <c r="BI210" s="60"/>
      <c r="BJ210" s="60"/>
      <c r="BK210" s="60"/>
      <c r="BL210" s="60"/>
      <c r="BM210" s="60"/>
      <c r="BN210" s="60"/>
      <c r="BO210" s="60"/>
      <c r="BP210" s="60"/>
      <c r="BQ210" s="60"/>
      <c r="BR210" s="60"/>
      <c r="BS210" s="60"/>
      <c r="BT210" s="60"/>
      <c r="BU210" s="60"/>
      <c r="BV210" s="60"/>
      <c r="BW210" s="60"/>
      <c r="BX210" s="60"/>
      <c r="BY210" s="60"/>
      <c r="BZ210" s="60"/>
      <c r="CA210" s="60"/>
      <c r="CB210" s="60"/>
      <c r="CC210" s="60"/>
      <c r="CD210" s="60"/>
      <c r="CE210" s="60"/>
      <c r="CF210" s="60"/>
      <c r="CG210" s="60"/>
      <c r="CH210" s="60"/>
      <c r="CI210" s="60"/>
      <c r="CJ210" s="60"/>
      <c r="CK210" s="60"/>
      <c r="CL210" s="60"/>
      <c r="CM210" s="60"/>
      <c r="CN210" s="60"/>
      <c r="CO210" s="60"/>
      <c r="CP210" s="60"/>
      <c r="CQ210" s="60"/>
      <c r="CR210" s="60"/>
      <c r="CS210" s="60"/>
    </row>
    <row r="211" spans="1:97" s="89" customFormat="1" ht="13" hidden="1" customHeight="1" x14ac:dyDescent="0.3">
      <c r="B211" s="211"/>
      <c r="C211" s="211"/>
      <c r="D211" s="1327"/>
      <c r="E211" s="626"/>
      <c r="F211" s="645"/>
      <c r="G211" s="628"/>
      <c r="H211" s="633"/>
      <c r="I211" s="633"/>
      <c r="J211" s="633"/>
      <c r="K211" s="631"/>
      <c r="L211" s="627"/>
      <c r="M211" s="630"/>
      <c r="N211" s="630"/>
      <c r="O211" s="630"/>
      <c r="P211" s="630"/>
      <c r="Q211" s="632"/>
      <c r="R211" s="627"/>
      <c r="S211" s="633"/>
      <c r="T211" s="633"/>
      <c r="U211" s="633"/>
      <c r="V211" s="633"/>
      <c r="W211" s="634"/>
      <c r="X211" s="627"/>
      <c r="Y211" s="633"/>
      <c r="Z211" s="633"/>
      <c r="AA211" s="633"/>
      <c r="AB211" s="633"/>
      <c r="AC211" s="634"/>
      <c r="AD211" s="634"/>
      <c r="AE211" s="634"/>
      <c r="AF211" s="634"/>
      <c r="AG211" s="634"/>
      <c r="AH211" s="634"/>
      <c r="AI211" s="634"/>
      <c r="AJ211" s="634"/>
      <c r="AK211" s="634"/>
      <c r="AL211" s="634"/>
      <c r="AM211" s="634"/>
      <c r="AN211" s="634"/>
      <c r="AO211" s="634"/>
      <c r="AP211" s="635"/>
      <c r="AQ211" s="648"/>
      <c r="AR211" s="647"/>
      <c r="AS211" s="313"/>
      <c r="AT211" s="177"/>
      <c r="AU211" s="178"/>
      <c r="AV211" s="60"/>
      <c r="AW211" s="60"/>
      <c r="AX211" s="60"/>
      <c r="AY211" s="60"/>
      <c r="AZ211" s="60"/>
      <c r="BA211" s="60"/>
      <c r="BB211" s="60"/>
      <c r="BC211" s="345"/>
      <c r="BD211" s="345"/>
      <c r="BE211" s="345"/>
      <c r="BF211" s="345"/>
      <c r="BG211" s="345"/>
      <c r="BH211" s="345"/>
      <c r="BI211" s="60"/>
      <c r="BJ211" s="60"/>
      <c r="BK211" s="60"/>
      <c r="BL211" s="60"/>
      <c r="BM211" s="60"/>
      <c r="BN211" s="60"/>
      <c r="BO211" s="60"/>
      <c r="BP211" s="60"/>
      <c r="BQ211" s="60"/>
      <c r="BR211" s="60"/>
      <c r="BS211" s="60"/>
      <c r="BT211" s="60"/>
      <c r="BU211" s="60"/>
      <c r="BV211" s="60"/>
      <c r="BW211" s="60"/>
      <c r="BX211" s="60"/>
      <c r="BY211" s="60"/>
      <c r="BZ211" s="60"/>
      <c r="CA211" s="60"/>
      <c r="CB211" s="60"/>
      <c r="CC211" s="60"/>
      <c r="CD211" s="60"/>
      <c r="CE211" s="60"/>
      <c r="CF211" s="60"/>
      <c r="CG211" s="60"/>
      <c r="CH211" s="60"/>
      <c r="CI211" s="60"/>
      <c r="CJ211" s="60"/>
      <c r="CK211" s="60"/>
      <c r="CL211" s="60"/>
      <c r="CM211" s="60"/>
      <c r="CN211" s="60"/>
      <c r="CO211" s="60"/>
      <c r="CP211" s="60"/>
      <c r="CQ211" s="60"/>
      <c r="CR211" s="60"/>
      <c r="CS211" s="60"/>
    </row>
    <row r="212" spans="1:97" s="89" customFormat="1" ht="13" hidden="1" customHeight="1" x14ac:dyDescent="0.3">
      <c r="B212" s="211"/>
      <c r="C212" s="211"/>
      <c r="D212" s="1327"/>
      <c r="E212" s="626"/>
      <c r="F212" s="645"/>
      <c r="G212" s="628"/>
      <c r="H212" s="633"/>
      <c r="I212" s="633"/>
      <c r="J212" s="633"/>
      <c r="K212" s="631"/>
      <c r="L212" s="627"/>
      <c r="M212" s="630"/>
      <c r="N212" s="630"/>
      <c r="O212" s="630"/>
      <c r="P212" s="630"/>
      <c r="Q212" s="632"/>
      <c r="R212" s="627"/>
      <c r="S212" s="633"/>
      <c r="T212" s="633"/>
      <c r="U212" s="633"/>
      <c r="V212" s="633"/>
      <c r="W212" s="634"/>
      <c r="X212" s="627"/>
      <c r="Y212" s="633"/>
      <c r="Z212" s="633"/>
      <c r="AA212" s="633"/>
      <c r="AB212" s="633"/>
      <c r="AC212" s="634"/>
      <c r="AD212" s="634"/>
      <c r="AE212" s="634"/>
      <c r="AF212" s="634"/>
      <c r="AG212" s="634"/>
      <c r="AH212" s="634"/>
      <c r="AI212" s="634"/>
      <c r="AJ212" s="634"/>
      <c r="AK212" s="634"/>
      <c r="AL212" s="634"/>
      <c r="AM212" s="634"/>
      <c r="AN212" s="634"/>
      <c r="AO212" s="634"/>
      <c r="AP212" s="635"/>
      <c r="AQ212" s="648"/>
      <c r="AR212" s="647"/>
      <c r="AS212" s="313"/>
      <c r="AT212" s="177"/>
      <c r="AU212" s="178"/>
      <c r="AV212" s="60"/>
      <c r="AW212" s="60"/>
      <c r="AX212" s="60"/>
      <c r="AY212" s="60"/>
      <c r="AZ212" s="60"/>
      <c r="BA212" s="60"/>
      <c r="BB212" s="60"/>
      <c r="BC212" s="345"/>
      <c r="BD212" s="345"/>
      <c r="BE212" s="345"/>
      <c r="BF212" s="345"/>
      <c r="BG212" s="345"/>
      <c r="BH212" s="345"/>
      <c r="BI212" s="60"/>
      <c r="BJ212" s="60"/>
      <c r="BK212" s="60"/>
      <c r="BL212" s="60"/>
      <c r="BM212" s="60"/>
      <c r="BN212" s="60"/>
      <c r="BO212" s="60"/>
      <c r="BP212" s="60"/>
      <c r="BQ212" s="60"/>
      <c r="BR212" s="60"/>
      <c r="BS212" s="60"/>
      <c r="BT212" s="60"/>
      <c r="BU212" s="60"/>
      <c r="BV212" s="60"/>
      <c r="BW212" s="60"/>
      <c r="BX212" s="60"/>
      <c r="BY212" s="60"/>
      <c r="BZ212" s="60"/>
      <c r="CA212" s="60"/>
      <c r="CB212" s="60"/>
      <c r="CC212" s="60"/>
      <c r="CD212" s="60"/>
      <c r="CE212" s="60"/>
      <c r="CF212" s="60"/>
      <c r="CG212" s="60"/>
      <c r="CH212" s="60"/>
      <c r="CI212" s="60"/>
      <c r="CJ212" s="60"/>
      <c r="CK212" s="60"/>
      <c r="CL212" s="60"/>
      <c r="CM212" s="60"/>
      <c r="CN212" s="60"/>
      <c r="CO212" s="60"/>
      <c r="CP212" s="60"/>
      <c r="CQ212" s="60"/>
      <c r="CR212" s="60"/>
      <c r="CS212" s="60"/>
    </row>
    <row r="213" spans="1:97" s="89" customFormat="1" ht="13" hidden="1" customHeight="1" x14ac:dyDescent="0.3">
      <c r="B213" s="211"/>
      <c r="C213" s="211"/>
      <c r="D213" s="1327"/>
      <c r="E213" s="626"/>
      <c r="F213" s="645"/>
      <c r="G213" s="628"/>
      <c r="H213" s="633"/>
      <c r="I213" s="633"/>
      <c r="J213" s="633"/>
      <c r="K213" s="631"/>
      <c r="L213" s="627"/>
      <c r="M213" s="630"/>
      <c r="N213" s="630"/>
      <c r="O213" s="630"/>
      <c r="P213" s="630"/>
      <c r="Q213" s="632"/>
      <c r="R213" s="627"/>
      <c r="S213" s="633"/>
      <c r="T213" s="633"/>
      <c r="U213" s="633"/>
      <c r="V213" s="633"/>
      <c r="W213" s="634"/>
      <c r="X213" s="627"/>
      <c r="Y213" s="633"/>
      <c r="Z213" s="633"/>
      <c r="AA213" s="633"/>
      <c r="AB213" s="633"/>
      <c r="AC213" s="634"/>
      <c r="AD213" s="634"/>
      <c r="AE213" s="634"/>
      <c r="AF213" s="634"/>
      <c r="AG213" s="634"/>
      <c r="AH213" s="634"/>
      <c r="AI213" s="634"/>
      <c r="AJ213" s="634"/>
      <c r="AK213" s="634"/>
      <c r="AL213" s="634"/>
      <c r="AM213" s="634"/>
      <c r="AN213" s="634"/>
      <c r="AO213" s="634"/>
      <c r="AP213" s="635"/>
      <c r="AQ213" s="648"/>
      <c r="AR213" s="647"/>
      <c r="AS213" s="313"/>
      <c r="AT213" s="177"/>
      <c r="AU213" s="178"/>
      <c r="AV213" s="60"/>
      <c r="AW213" s="60"/>
      <c r="AX213" s="60"/>
      <c r="AY213" s="60"/>
      <c r="AZ213" s="60"/>
      <c r="BA213" s="60"/>
      <c r="BB213" s="60"/>
      <c r="BC213" s="345"/>
      <c r="BD213" s="345"/>
      <c r="BE213" s="345"/>
      <c r="BF213" s="345"/>
      <c r="BG213" s="345"/>
      <c r="BH213" s="345"/>
      <c r="BI213" s="60"/>
      <c r="BJ213" s="60"/>
      <c r="BK213" s="60"/>
      <c r="BL213" s="60"/>
      <c r="BM213" s="60"/>
      <c r="BN213" s="60"/>
      <c r="BO213" s="60"/>
      <c r="BP213" s="60"/>
      <c r="BQ213" s="60"/>
      <c r="BR213" s="60"/>
      <c r="BS213" s="60"/>
      <c r="BT213" s="60"/>
      <c r="BU213" s="60"/>
      <c r="BV213" s="60"/>
      <c r="BW213" s="60"/>
      <c r="BX213" s="60"/>
      <c r="BY213" s="60"/>
      <c r="BZ213" s="60"/>
      <c r="CA213" s="60"/>
      <c r="CB213" s="60"/>
      <c r="CC213" s="60"/>
      <c r="CD213" s="60"/>
      <c r="CE213" s="60"/>
      <c r="CF213" s="60"/>
      <c r="CG213" s="60"/>
      <c r="CH213" s="60"/>
      <c r="CI213" s="60"/>
      <c r="CJ213" s="60"/>
      <c r="CK213" s="60"/>
      <c r="CL213" s="60"/>
      <c r="CM213" s="60"/>
      <c r="CN213" s="60"/>
      <c r="CO213" s="60"/>
      <c r="CP213" s="60"/>
      <c r="CQ213" s="60"/>
      <c r="CR213" s="60"/>
      <c r="CS213" s="60"/>
    </row>
    <row r="214" spans="1:97" s="89" customFormat="1" ht="13" hidden="1" customHeight="1" x14ac:dyDescent="0.3">
      <c r="B214" s="211"/>
      <c r="C214" s="211"/>
      <c r="D214" s="1327"/>
      <c r="E214" s="626"/>
      <c r="F214" s="645"/>
      <c r="G214" s="628"/>
      <c r="H214" s="633"/>
      <c r="I214" s="633"/>
      <c r="J214" s="633"/>
      <c r="K214" s="631"/>
      <c r="L214" s="627"/>
      <c r="M214" s="630"/>
      <c r="N214" s="630"/>
      <c r="O214" s="630"/>
      <c r="P214" s="630"/>
      <c r="Q214" s="632"/>
      <c r="R214" s="627"/>
      <c r="S214" s="633"/>
      <c r="T214" s="633"/>
      <c r="U214" s="633"/>
      <c r="V214" s="633"/>
      <c r="W214" s="634"/>
      <c r="X214" s="627"/>
      <c r="Y214" s="633"/>
      <c r="Z214" s="633"/>
      <c r="AA214" s="633"/>
      <c r="AB214" s="633"/>
      <c r="AC214" s="634"/>
      <c r="AD214" s="634"/>
      <c r="AE214" s="634"/>
      <c r="AF214" s="634"/>
      <c r="AG214" s="634"/>
      <c r="AH214" s="634"/>
      <c r="AI214" s="634"/>
      <c r="AJ214" s="634"/>
      <c r="AK214" s="634"/>
      <c r="AL214" s="634"/>
      <c r="AM214" s="634"/>
      <c r="AN214" s="634"/>
      <c r="AO214" s="634"/>
      <c r="AP214" s="635"/>
      <c r="AQ214" s="648"/>
      <c r="AR214" s="647"/>
      <c r="AS214" s="313"/>
      <c r="AT214" s="177"/>
      <c r="AU214" s="178"/>
      <c r="AV214" s="60"/>
      <c r="AW214" s="60"/>
      <c r="AX214" s="60"/>
      <c r="AY214" s="60"/>
      <c r="AZ214" s="60"/>
      <c r="BA214" s="60"/>
      <c r="BB214" s="60"/>
      <c r="BC214" s="345"/>
      <c r="BD214" s="345"/>
      <c r="BE214" s="345"/>
      <c r="BF214" s="345"/>
      <c r="BG214" s="345"/>
      <c r="BH214" s="345"/>
      <c r="BI214" s="60"/>
      <c r="BJ214" s="60"/>
      <c r="BK214" s="60"/>
      <c r="BL214" s="60"/>
      <c r="BM214" s="60"/>
      <c r="BN214" s="60"/>
      <c r="BO214" s="60"/>
      <c r="BP214" s="60"/>
      <c r="BQ214" s="60"/>
      <c r="BR214" s="60"/>
      <c r="BS214" s="60"/>
      <c r="BT214" s="60"/>
      <c r="BU214" s="60"/>
      <c r="BV214" s="60"/>
      <c r="BW214" s="60"/>
      <c r="BX214" s="60"/>
      <c r="BY214" s="60"/>
      <c r="BZ214" s="60"/>
      <c r="CA214" s="60"/>
      <c r="CB214" s="60"/>
      <c r="CC214" s="60"/>
      <c r="CD214" s="60"/>
      <c r="CE214" s="60"/>
      <c r="CF214" s="60"/>
      <c r="CG214" s="60"/>
      <c r="CH214" s="60"/>
      <c r="CI214" s="60"/>
      <c r="CJ214" s="60"/>
      <c r="CK214" s="60"/>
      <c r="CL214" s="60"/>
      <c r="CM214" s="60"/>
      <c r="CN214" s="60"/>
      <c r="CO214" s="60"/>
      <c r="CP214" s="60"/>
      <c r="CQ214" s="60"/>
      <c r="CR214" s="60"/>
      <c r="CS214" s="60"/>
    </row>
    <row r="215" spans="1:97" s="89" customFormat="1" ht="13" hidden="1" customHeight="1" x14ac:dyDescent="0.3">
      <c r="B215" s="211"/>
      <c r="C215" s="211"/>
      <c r="D215" s="1327"/>
      <c r="E215" s="626"/>
      <c r="F215" s="645"/>
      <c r="G215" s="628"/>
      <c r="H215" s="633"/>
      <c r="I215" s="633"/>
      <c r="J215" s="633"/>
      <c r="K215" s="631"/>
      <c r="L215" s="627"/>
      <c r="M215" s="630"/>
      <c r="N215" s="630"/>
      <c r="O215" s="630"/>
      <c r="P215" s="630"/>
      <c r="Q215" s="632"/>
      <c r="R215" s="627"/>
      <c r="S215" s="633"/>
      <c r="T215" s="633"/>
      <c r="U215" s="633"/>
      <c r="V215" s="633"/>
      <c r="W215" s="634"/>
      <c r="X215" s="627"/>
      <c r="Y215" s="633"/>
      <c r="Z215" s="633"/>
      <c r="AA215" s="633"/>
      <c r="AB215" s="633"/>
      <c r="AC215" s="634"/>
      <c r="AD215" s="634"/>
      <c r="AE215" s="634"/>
      <c r="AF215" s="634"/>
      <c r="AG215" s="634"/>
      <c r="AH215" s="634"/>
      <c r="AI215" s="634"/>
      <c r="AJ215" s="634"/>
      <c r="AK215" s="634"/>
      <c r="AL215" s="634"/>
      <c r="AM215" s="634"/>
      <c r="AN215" s="634"/>
      <c r="AO215" s="634"/>
      <c r="AP215" s="635"/>
      <c r="AQ215" s="648"/>
      <c r="AR215" s="647"/>
      <c r="AS215" s="313"/>
      <c r="AT215" s="177"/>
      <c r="AU215" s="178"/>
      <c r="AV215" s="60"/>
      <c r="AW215" s="60"/>
      <c r="AX215" s="60"/>
      <c r="AY215" s="60"/>
      <c r="AZ215" s="60"/>
      <c r="BA215" s="60"/>
      <c r="BB215" s="60"/>
      <c r="BC215" s="345"/>
      <c r="BD215" s="345"/>
      <c r="BE215" s="345"/>
      <c r="BF215" s="345"/>
      <c r="BG215" s="345"/>
      <c r="BH215" s="345"/>
      <c r="BI215" s="60"/>
      <c r="BJ215" s="60"/>
      <c r="BK215" s="60"/>
      <c r="BL215" s="60"/>
      <c r="BM215" s="60"/>
      <c r="BN215" s="60"/>
      <c r="BO215" s="60"/>
      <c r="BP215" s="60"/>
      <c r="BQ215" s="60"/>
      <c r="BR215" s="60"/>
      <c r="BS215" s="60"/>
      <c r="BT215" s="60"/>
      <c r="BU215" s="60"/>
      <c r="BV215" s="60"/>
      <c r="BW215" s="60"/>
      <c r="BX215" s="60"/>
      <c r="BY215" s="60"/>
      <c r="BZ215" s="60"/>
      <c r="CA215" s="60"/>
      <c r="CB215" s="60"/>
      <c r="CC215" s="60"/>
      <c r="CD215" s="60"/>
      <c r="CE215" s="60"/>
      <c r="CF215" s="60"/>
      <c r="CG215" s="60"/>
      <c r="CH215" s="60"/>
      <c r="CI215" s="60"/>
      <c r="CJ215" s="60"/>
      <c r="CK215" s="60"/>
      <c r="CL215" s="60"/>
      <c r="CM215" s="60"/>
      <c r="CN215" s="60"/>
      <c r="CO215" s="60"/>
      <c r="CP215" s="60"/>
      <c r="CQ215" s="60"/>
      <c r="CR215" s="60"/>
      <c r="CS215" s="60"/>
    </row>
    <row r="216" spans="1:97" s="89" customFormat="1" ht="16.399999999999999" hidden="1" customHeight="1" x14ac:dyDescent="0.3">
      <c r="B216" s="211"/>
      <c r="C216" s="211"/>
      <c r="D216" s="1327"/>
      <c r="E216" s="626"/>
      <c r="F216" s="645"/>
      <c r="G216" s="628"/>
      <c r="H216" s="633"/>
      <c r="I216" s="633"/>
      <c r="J216" s="633"/>
      <c r="K216" s="631"/>
      <c r="L216" s="627"/>
      <c r="M216" s="633"/>
      <c r="N216" s="633"/>
      <c r="O216" s="633"/>
      <c r="P216" s="633"/>
      <c r="Q216" s="632"/>
      <c r="R216" s="627"/>
      <c r="S216" s="633"/>
      <c r="T216" s="633"/>
      <c r="U216" s="633"/>
      <c r="V216" s="633"/>
      <c r="W216" s="634"/>
      <c r="X216" s="627"/>
      <c r="Y216" s="633"/>
      <c r="Z216" s="633"/>
      <c r="AA216" s="633"/>
      <c r="AB216" s="633"/>
      <c r="AC216" s="634"/>
      <c r="AD216" s="634"/>
      <c r="AE216" s="634"/>
      <c r="AF216" s="634"/>
      <c r="AG216" s="634"/>
      <c r="AH216" s="634"/>
      <c r="AI216" s="634"/>
      <c r="AJ216" s="634"/>
      <c r="AK216" s="634"/>
      <c r="AL216" s="634"/>
      <c r="AM216" s="634"/>
      <c r="AN216" s="634"/>
      <c r="AO216" s="634"/>
      <c r="AP216" s="635"/>
      <c r="AQ216" s="648"/>
      <c r="AR216" s="647"/>
      <c r="AS216" s="313"/>
      <c r="AT216" s="177"/>
      <c r="AU216" s="178"/>
      <c r="AV216" s="60"/>
      <c r="AW216" s="60"/>
      <c r="AX216" s="60"/>
      <c r="AY216" s="60"/>
      <c r="AZ216" s="60"/>
      <c r="BA216" s="60"/>
      <c r="BB216" s="60"/>
      <c r="BC216" s="345"/>
      <c r="BD216" s="345"/>
      <c r="BE216" s="345"/>
      <c r="BF216" s="345"/>
      <c r="BG216" s="345"/>
      <c r="BH216" s="345"/>
      <c r="BI216" s="60"/>
      <c r="BJ216" s="60"/>
      <c r="BK216" s="60"/>
      <c r="BL216" s="60"/>
      <c r="BM216" s="60"/>
      <c r="BN216" s="60"/>
      <c r="BO216" s="60"/>
      <c r="BP216" s="60"/>
      <c r="BQ216" s="60"/>
      <c r="BR216" s="60"/>
      <c r="BS216" s="60"/>
      <c r="BT216" s="60"/>
      <c r="BU216" s="60"/>
      <c r="BV216" s="60"/>
      <c r="BW216" s="60"/>
      <c r="BX216" s="60"/>
      <c r="BY216" s="60"/>
      <c r="BZ216" s="60"/>
      <c r="CA216" s="60"/>
      <c r="CB216" s="60"/>
      <c r="CC216" s="60"/>
      <c r="CD216" s="60"/>
      <c r="CE216" s="60"/>
      <c r="CF216" s="60"/>
      <c r="CG216" s="60"/>
      <c r="CH216" s="60"/>
      <c r="CI216" s="60"/>
      <c r="CJ216" s="60"/>
      <c r="CK216" s="60"/>
      <c r="CL216" s="60"/>
      <c r="CM216" s="60"/>
      <c r="CN216" s="60"/>
      <c r="CO216" s="60"/>
      <c r="CP216" s="60"/>
      <c r="CQ216" s="60"/>
      <c r="CR216" s="60"/>
      <c r="CS216" s="60"/>
    </row>
    <row r="217" spans="1:97" s="89" customFormat="1" ht="13" hidden="1" customHeight="1" x14ac:dyDescent="0.3">
      <c r="B217" s="211"/>
      <c r="C217" s="211"/>
      <c r="D217" s="1327"/>
      <c r="E217" s="626"/>
      <c r="F217" s="645"/>
      <c r="G217" s="638"/>
      <c r="H217" s="639"/>
      <c r="I217" s="639"/>
      <c r="J217" s="639"/>
      <c r="K217" s="631"/>
      <c r="L217" s="627"/>
      <c r="M217" s="630"/>
      <c r="N217" s="630"/>
      <c r="O217" s="630"/>
      <c r="P217" s="630"/>
      <c r="Q217" s="632"/>
      <c r="R217" s="627"/>
      <c r="S217" s="633"/>
      <c r="T217" s="633"/>
      <c r="U217" s="633"/>
      <c r="V217" s="633"/>
      <c r="W217" s="634"/>
      <c r="X217" s="627"/>
      <c r="Y217" s="633"/>
      <c r="Z217" s="633"/>
      <c r="AA217" s="633"/>
      <c r="AB217" s="633"/>
      <c r="AC217" s="634"/>
      <c r="AD217" s="634"/>
      <c r="AE217" s="634"/>
      <c r="AF217" s="634"/>
      <c r="AG217" s="634"/>
      <c r="AH217" s="634"/>
      <c r="AI217" s="634"/>
      <c r="AJ217" s="634"/>
      <c r="AK217" s="634"/>
      <c r="AL217" s="634"/>
      <c r="AM217" s="634"/>
      <c r="AN217" s="634"/>
      <c r="AO217" s="634"/>
      <c r="AP217" s="635"/>
      <c r="AQ217" s="648"/>
      <c r="AR217" s="647"/>
      <c r="AS217" s="313"/>
      <c r="AT217" s="177"/>
      <c r="AU217" s="178"/>
      <c r="AV217" s="60"/>
      <c r="AW217" s="60"/>
      <c r="AX217" s="60"/>
      <c r="AY217" s="60"/>
      <c r="AZ217" s="60"/>
      <c r="BA217" s="60"/>
      <c r="BB217" s="60"/>
      <c r="BC217" s="345"/>
      <c r="BD217" s="345"/>
      <c r="BE217" s="345"/>
      <c r="BF217" s="345"/>
      <c r="BG217" s="345"/>
      <c r="BH217" s="345"/>
      <c r="BI217" s="60"/>
      <c r="BJ217" s="60"/>
      <c r="BK217" s="60"/>
      <c r="BL217" s="60"/>
      <c r="BM217" s="60"/>
      <c r="BN217" s="60"/>
      <c r="BO217" s="60"/>
      <c r="BP217" s="60"/>
      <c r="BQ217" s="60"/>
      <c r="BR217" s="60"/>
      <c r="BS217" s="60"/>
      <c r="BT217" s="60"/>
      <c r="BU217" s="60"/>
      <c r="BV217" s="60"/>
      <c r="BW217" s="60"/>
      <c r="BX217" s="60"/>
      <c r="BY217" s="60"/>
      <c r="BZ217" s="60"/>
      <c r="CA217" s="60"/>
      <c r="CB217" s="60"/>
      <c r="CC217" s="60"/>
      <c r="CD217" s="60"/>
      <c r="CE217" s="60"/>
      <c r="CF217" s="60"/>
      <c r="CG217" s="60"/>
      <c r="CH217" s="60"/>
      <c r="CI217" s="60"/>
      <c r="CJ217" s="60"/>
      <c r="CK217" s="60"/>
      <c r="CL217" s="60"/>
      <c r="CM217" s="60"/>
      <c r="CN217" s="60"/>
      <c r="CO217" s="60"/>
      <c r="CP217" s="60"/>
      <c r="CQ217" s="60"/>
      <c r="CR217" s="60"/>
      <c r="CS217" s="60"/>
    </row>
    <row r="218" spans="1:97" s="89" customFormat="1" ht="16.399999999999999" hidden="1" customHeight="1" x14ac:dyDescent="0.3">
      <c r="B218" s="211"/>
      <c r="C218" s="211"/>
      <c r="D218" s="1327"/>
      <c r="E218" s="626"/>
      <c r="F218" s="645"/>
      <c r="G218" s="628"/>
      <c r="H218" s="633"/>
      <c r="I218" s="633"/>
      <c r="J218" s="633"/>
      <c r="K218" s="631"/>
      <c r="L218" s="627"/>
      <c r="M218" s="630"/>
      <c r="N218" s="630"/>
      <c r="O218" s="630"/>
      <c r="P218" s="630"/>
      <c r="Q218" s="632"/>
      <c r="R218" s="627"/>
      <c r="S218" s="633"/>
      <c r="T218" s="633"/>
      <c r="U218" s="633"/>
      <c r="V218" s="633"/>
      <c r="W218" s="634"/>
      <c r="X218" s="627"/>
      <c r="Y218" s="633"/>
      <c r="Z218" s="633"/>
      <c r="AA218" s="633"/>
      <c r="AB218" s="633"/>
      <c r="AC218" s="634"/>
      <c r="AD218" s="634"/>
      <c r="AE218" s="634"/>
      <c r="AF218" s="634"/>
      <c r="AG218" s="634"/>
      <c r="AH218" s="634"/>
      <c r="AI218" s="634"/>
      <c r="AJ218" s="634"/>
      <c r="AK218" s="634"/>
      <c r="AL218" s="634"/>
      <c r="AM218" s="634"/>
      <c r="AN218" s="634"/>
      <c r="AO218" s="634"/>
      <c r="AP218" s="635"/>
      <c r="AQ218" s="648"/>
      <c r="AR218" s="647"/>
      <c r="AS218" s="313"/>
      <c r="AT218" s="177"/>
      <c r="AU218" s="178"/>
      <c r="AV218" s="60"/>
      <c r="AW218" s="60"/>
      <c r="AX218" s="60"/>
      <c r="AY218" s="60"/>
      <c r="AZ218" s="60"/>
      <c r="BA218" s="60"/>
      <c r="BB218" s="60"/>
      <c r="BC218" s="345"/>
      <c r="BD218" s="345"/>
      <c r="BE218" s="345"/>
      <c r="BF218" s="345"/>
      <c r="BG218" s="345"/>
      <c r="BH218" s="345"/>
      <c r="BI218" s="60"/>
      <c r="BJ218" s="60"/>
      <c r="BK218" s="60"/>
      <c r="BL218" s="60"/>
      <c r="BM218" s="60"/>
      <c r="BN218" s="60"/>
      <c r="BO218" s="60"/>
      <c r="BP218" s="60"/>
      <c r="BQ218" s="60"/>
      <c r="BR218" s="60"/>
      <c r="BS218" s="60"/>
      <c r="BT218" s="60"/>
      <c r="BU218" s="60"/>
      <c r="BV218" s="60"/>
      <c r="BW218" s="60"/>
      <c r="BX218" s="60"/>
      <c r="BY218" s="60"/>
      <c r="BZ218" s="60"/>
      <c r="CA218" s="60"/>
      <c r="CB218" s="60"/>
      <c r="CC218" s="60"/>
      <c r="CD218" s="60"/>
      <c r="CE218" s="60"/>
      <c r="CF218" s="60"/>
      <c r="CG218" s="60"/>
      <c r="CH218" s="60"/>
      <c r="CI218" s="60"/>
      <c r="CJ218" s="60"/>
      <c r="CK218" s="60"/>
      <c r="CL218" s="60"/>
      <c r="CM218" s="60"/>
      <c r="CN218" s="60"/>
      <c r="CO218" s="60"/>
      <c r="CP218" s="60"/>
      <c r="CQ218" s="60"/>
      <c r="CR218" s="60"/>
      <c r="CS218" s="60"/>
    </row>
    <row r="219" spans="1:97" s="89" customFormat="1" ht="16.399999999999999" hidden="1" customHeight="1" x14ac:dyDescent="0.3">
      <c r="B219" s="211"/>
      <c r="C219" s="211"/>
      <c r="D219" s="1327"/>
      <c r="E219" s="626"/>
      <c r="F219" s="645"/>
      <c r="G219" s="628"/>
      <c r="H219" s="633"/>
      <c r="I219" s="633"/>
      <c r="J219" s="633"/>
      <c r="K219" s="631"/>
      <c r="L219" s="627"/>
      <c r="M219" s="633"/>
      <c r="N219" s="633"/>
      <c r="O219" s="633"/>
      <c r="P219" s="633"/>
      <c r="Q219" s="632"/>
      <c r="R219" s="627"/>
      <c r="S219" s="633"/>
      <c r="T219" s="633"/>
      <c r="U219" s="633"/>
      <c r="V219" s="633"/>
      <c r="W219" s="634"/>
      <c r="X219" s="627"/>
      <c r="Y219" s="633"/>
      <c r="Z219" s="633"/>
      <c r="AA219" s="633"/>
      <c r="AB219" s="633"/>
      <c r="AC219" s="634"/>
      <c r="AD219" s="634"/>
      <c r="AE219" s="634"/>
      <c r="AF219" s="634"/>
      <c r="AG219" s="634"/>
      <c r="AH219" s="634"/>
      <c r="AI219" s="634"/>
      <c r="AJ219" s="634"/>
      <c r="AK219" s="634"/>
      <c r="AL219" s="634"/>
      <c r="AM219" s="634"/>
      <c r="AN219" s="634"/>
      <c r="AO219" s="634"/>
      <c r="AP219" s="635"/>
      <c r="AQ219" s="648"/>
      <c r="AR219" s="647"/>
      <c r="AS219" s="313"/>
      <c r="AT219" s="177"/>
      <c r="AU219" s="178"/>
      <c r="AV219" s="60"/>
      <c r="AW219" s="60"/>
      <c r="AX219" s="60"/>
      <c r="AY219" s="60"/>
      <c r="AZ219" s="60"/>
      <c r="BA219" s="60"/>
      <c r="BB219" s="60"/>
      <c r="BC219" s="345"/>
      <c r="BD219" s="345"/>
      <c r="BE219" s="345"/>
      <c r="BF219" s="345"/>
      <c r="BG219" s="345"/>
      <c r="BH219" s="345"/>
      <c r="BI219" s="60"/>
      <c r="BJ219" s="60"/>
      <c r="BK219" s="60"/>
      <c r="BL219" s="60"/>
      <c r="BM219" s="60"/>
      <c r="BN219" s="60"/>
      <c r="BO219" s="60"/>
      <c r="BP219" s="60"/>
      <c r="BQ219" s="60"/>
      <c r="BR219" s="60"/>
      <c r="BS219" s="60"/>
      <c r="BT219" s="60"/>
      <c r="BU219" s="60"/>
      <c r="BV219" s="60"/>
      <c r="BW219" s="60"/>
      <c r="BX219" s="60"/>
      <c r="BY219" s="60"/>
      <c r="BZ219" s="60"/>
      <c r="CA219" s="60"/>
      <c r="CB219" s="60"/>
      <c r="CC219" s="60"/>
      <c r="CD219" s="60"/>
      <c r="CE219" s="60"/>
      <c r="CF219" s="60"/>
      <c r="CG219" s="60"/>
      <c r="CH219" s="60"/>
      <c r="CI219" s="60"/>
      <c r="CJ219" s="60"/>
      <c r="CK219" s="60"/>
      <c r="CL219" s="60"/>
      <c r="CM219" s="60"/>
      <c r="CN219" s="60"/>
      <c r="CO219" s="60"/>
      <c r="CP219" s="60"/>
      <c r="CQ219" s="60"/>
      <c r="CR219" s="60"/>
      <c r="CS219" s="60"/>
    </row>
    <row r="220" spans="1:97" s="89" customFormat="1" ht="13" hidden="1" customHeight="1" x14ac:dyDescent="0.3">
      <c r="B220" s="211"/>
      <c r="C220" s="211"/>
      <c r="D220" s="1327"/>
      <c r="E220" s="626"/>
      <c r="F220" s="645"/>
      <c r="G220" s="628"/>
      <c r="H220" s="633"/>
      <c r="I220" s="633"/>
      <c r="J220" s="633"/>
      <c r="K220" s="631"/>
      <c r="L220" s="627"/>
      <c r="M220" s="633"/>
      <c r="N220" s="633"/>
      <c r="O220" s="633"/>
      <c r="P220" s="633"/>
      <c r="Q220" s="632"/>
      <c r="R220" s="627"/>
      <c r="S220" s="633"/>
      <c r="T220" s="633"/>
      <c r="U220" s="633"/>
      <c r="V220" s="633"/>
      <c r="W220" s="634"/>
      <c r="X220" s="627"/>
      <c r="Y220" s="633"/>
      <c r="Z220" s="633"/>
      <c r="AA220" s="633"/>
      <c r="AB220" s="633"/>
      <c r="AC220" s="634"/>
      <c r="AD220" s="634"/>
      <c r="AE220" s="634"/>
      <c r="AF220" s="634"/>
      <c r="AG220" s="634"/>
      <c r="AH220" s="634"/>
      <c r="AI220" s="634"/>
      <c r="AJ220" s="634"/>
      <c r="AK220" s="634"/>
      <c r="AL220" s="634"/>
      <c r="AM220" s="634"/>
      <c r="AN220" s="634"/>
      <c r="AO220" s="634"/>
      <c r="AP220" s="635"/>
      <c r="AQ220" s="648"/>
      <c r="AR220" s="647"/>
      <c r="AS220" s="313"/>
      <c r="AT220" s="177"/>
      <c r="AU220" s="178"/>
      <c r="AV220" s="60"/>
      <c r="AW220" s="60"/>
      <c r="AX220" s="60"/>
      <c r="AY220" s="60"/>
      <c r="AZ220" s="60"/>
      <c r="BA220" s="60"/>
      <c r="BB220" s="60"/>
      <c r="BC220" s="345"/>
      <c r="BD220" s="345"/>
      <c r="BE220" s="345"/>
      <c r="BF220" s="345"/>
      <c r="BG220" s="345"/>
      <c r="BH220" s="345"/>
      <c r="BI220" s="60"/>
      <c r="BJ220" s="60"/>
      <c r="BK220" s="60"/>
      <c r="BL220" s="60"/>
      <c r="BM220" s="60"/>
      <c r="BN220" s="60"/>
      <c r="BO220" s="60"/>
      <c r="BP220" s="60"/>
      <c r="BQ220" s="60"/>
      <c r="BR220" s="60"/>
      <c r="BS220" s="60"/>
      <c r="BT220" s="60"/>
      <c r="BU220" s="60"/>
      <c r="BV220" s="60"/>
      <c r="BW220" s="60"/>
      <c r="BX220" s="60"/>
      <c r="BY220" s="60"/>
      <c r="BZ220" s="60"/>
      <c r="CA220" s="60"/>
      <c r="CB220" s="60"/>
      <c r="CC220" s="60"/>
      <c r="CD220" s="60"/>
      <c r="CE220" s="60"/>
      <c r="CF220" s="60"/>
      <c r="CG220" s="60"/>
      <c r="CH220" s="60"/>
      <c r="CI220" s="60"/>
      <c r="CJ220" s="60"/>
      <c r="CK220" s="60"/>
      <c r="CL220" s="60"/>
      <c r="CM220" s="60"/>
      <c r="CN220" s="60"/>
      <c r="CO220" s="60"/>
      <c r="CP220" s="60"/>
      <c r="CQ220" s="60"/>
      <c r="CR220" s="60"/>
      <c r="CS220" s="60"/>
    </row>
    <row r="221" spans="1:97" s="89" customFormat="1" ht="16.399999999999999" hidden="1" customHeight="1" x14ac:dyDescent="0.3">
      <c r="B221" s="211"/>
      <c r="C221" s="211"/>
      <c r="D221" s="1327"/>
      <c r="E221" s="626"/>
      <c r="F221" s="645"/>
      <c r="G221" s="628"/>
      <c r="H221" s="633"/>
      <c r="I221" s="633"/>
      <c r="J221" s="633"/>
      <c r="K221" s="631"/>
      <c r="L221" s="627"/>
      <c r="M221" s="633"/>
      <c r="N221" s="633"/>
      <c r="O221" s="633"/>
      <c r="P221" s="633"/>
      <c r="Q221" s="632"/>
      <c r="R221" s="627"/>
      <c r="S221" s="633"/>
      <c r="T221" s="633"/>
      <c r="U221" s="633"/>
      <c r="V221" s="633"/>
      <c r="W221" s="634"/>
      <c r="X221" s="627"/>
      <c r="Y221" s="633"/>
      <c r="Z221" s="633"/>
      <c r="AA221" s="633"/>
      <c r="AB221" s="633"/>
      <c r="AC221" s="634"/>
      <c r="AD221" s="634"/>
      <c r="AE221" s="634"/>
      <c r="AF221" s="634"/>
      <c r="AG221" s="634"/>
      <c r="AH221" s="634"/>
      <c r="AI221" s="634"/>
      <c r="AJ221" s="634"/>
      <c r="AK221" s="634"/>
      <c r="AL221" s="634"/>
      <c r="AM221" s="634"/>
      <c r="AN221" s="634"/>
      <c r="AO221" s="634"/>
      <c r="AP221" s="635"/>
      <c r="AQ221" s="648"/>
      <c r="AR221" s="647"/>
      <c r="AS221" s="313"/>
      <c r="AT221" s="177"/>
      <c r="AU221" s="178"/>
      <c r="AV221" s="60"/>
      <c r="AW221" s="60"/>
      <c r="AX221" s="60"/>
      <c r="AY221" s="60"/>
      <c r="AZ221" s="60"/>
      <c r="BA221" s="60"/>
      <c r="BB221" s="60"/>
      <c r="BC221" s="345"/>
      <c r="BD221" s="345"/>
      <c r="BE221" s="345"/>
      <c r="BF221" s="345"/>
      <c r="BG221" s="345"/>
      <c r="BH221" s="345"/>
      <c r="BI221" s="60"/>
      <c r="BJ221" s="60"/>
      <c r="BK221" s="60"/>
      <c r="BL221" s="60"/>
      <c r="BM221" s="60"/>
      <c r="BN221" s="60"/>
      <c r="BO221" s="60"/>
      <c r="BP221" s="60"/>
      <c r="BQ221" s="60"/>
      <c r="BR221" s="60"/>
      <c r="BS221" s="60"/>
      <c r="BT221" s="60"/>
      <c r="BU221" s="60"/>
      <c r="BV221" s="60"/>
      <c r="BW221" s="60"/>
      <c r="BX221" s="60"/>
      <c r="BY221" s="60"/>
      <c r="BZ221" s="60"/>
      <c r="CA221" s="60"/>
      <c r="CB221" s="60"/>
      <c r="CC221" s="60"/>
      <c r="CD221" s="60"/>
      <c r="CE221" s="60"/>
      <c r="CF221" s="60"/>
      <c r="CG221" s="60"/>
      <c r="CH221" s="60"/>
      <c r="CI221" s="60"/>
      <c r="CJ221" s="60"/>
      <c r="CK221" s="60"/>
      <c r="CL221" s="60"/>
      <c r="CM221" s="60"/>
      <c r="CN221" s="60"/>
      <c r="CO221" s="60"/>
      <c r="CP221" s="60"/>
      <c r="CQ221" s="60"/>
      <c r="CR221" s="60"/>
      <c r="CS221" s="60"/>
    </row>
    <row r="222" spans="1:97" s="89" customFormat="1" ht="15.75" hidden="1" customHeight="1" thickBot="1" x14ac:dyDescent="0.35">
      <c r="B222" s="211"/>
      <c r="C222" s="211"/>
      <c r="D222" s="1328"/>
      <c r="E222" s="637"/>
      <c r="F222" s="649"/>
      <c r="G222" s="650"/>
      <c r="H222" s="641"/>
      <c r="I222" s="641"/>
      <c r="J222" s="641"/>
      <c r="K222" s="642"/>
      <c r="L222" s="640"/>
      <c r="M222" s="641"/>
      <c r="N222" s="641"/>
      <c r="O222" s="641"/>
      <c r="P222" s="641"/>
      <c r="Q222" s="643"/>
      <c r="R222" s="640"/>
      <c r="S222" s="641"/>
      <c r="T222" s="641"/>
      <c r="U222" s="641"/>
      <c r="V222" s="641"/>
      <c r="W222" s="651"/>
      <c r="X222" s="640"/>
      <c r="Y222" s="641"/>
      <c r="Z222" s="641"/>
      <c r="AA222" s="641"/>
      <c r="AB222" s="641"/>
      <c r="AC222" s="651"/>
      <c r="AD222" s="651"/>
      <c r="AE222" s="651"/>
      <c r="AF222" s="651"/>
      <c r="AG222" s="651"/>
      <c r="AH222" s="651"/>
      <c r="AI222" s="651"/>
      <c r="AJ222" s="651"/>
      <c r="AK222" s="651"/>
      <c r="AL222" s="651"/>
      <c r="AM222" s="651"/>
      <c r="AN222" s="651"/>
      <c r="AO222" s="651"/>
      <c r="AP222" s="644"/>
      <c r="AQ222" s="652"/>
      <c r="AR222" s="653"/>
      <c r="AS222" s="313"/>
      <c r="AT222" s="177"/>
      <c r="AU222" s="178"/>
      <c r="AV222" s="60"/>
      <c r="AW222" s="60"/>
      <c r="AX222" s="60"/>
      <c r="AY222" s="60"/>
      <c r="AZ222" s="60"/>
      <c r="BA222" s="60"/>
      <c r="BB222" s="60"/>
      <c r="BC222" s="345"/>
      <c r="BD222" s="345"/>
      <c r="BE222" s="345"/>
      <c r="BF222" s="345"/>
      <c r="BG222" s="345"/>
      <c r="BH222" s="345"/>
      <c r="BI222" s="60"/>
      <c r="BJ222" s="60"/>
      <c r="BK222" s="60"/>
      <c r="BL222" s="60"/>
      <c r="BM222" s="60"/>
      <c r="BN222" s="60"/>
      <c r="BO222" s="60"/>
      <c r="BP222" s="60"/>
      <c r="BQ222" s="60"/>
      <c r="BR222" s="60"/>
      <c r="BS222" s="60"/>
      <c r="BT222" s="60"/>
      <c r="BU222" s="60"/>
      <c r="BV222" s="60"/>
      <c r="BW222" s="60"/>
      <c r="BX222" s="60"/>
      <c r="BY222" s="60"/>
      <c r="BZ222" s="60"/>
      <c r="CA222" s="60"/>
      <c r="CB222" s="60"/>
      <c r="CC222" s="60"/>
      <c r="CD222" s="60"/>
      <c r="CE222" s="60"/>
      <c r="CF222" s="60"/>
      <c r="CG222" s="60"/>
      <c r="CH222" s="60"/>
      <c r="CI222" s="60"/>
      <c r="CJ222" s="60"/>
      <c r="CK222" s="60"/>
      <c r="CL222" s="60"/>
      <c r="CM222" s="60"/>
      <c r="CN222" s="60"/>
      <c r="CO222" s="60"/>
      <c r="CP222" s="60"/>
      <c r="CQ222" s="60"/>
      <c r="CR222" s="60"/>
      <c r="CS222" s="60"/>
    </row>
    <row r="223" spans="1:97" s="185" customFormat="1" ht="22.4" customHeight="1" x14ac:dyDescent="0.3">
      <c r="A223" s="89"/>
      <c r="B223" s="175"/>
      <c r="C223" s="175"/>
      <c r="D223" s="674"/>
      <c r="E223" s="675"/>
      <c r="F223" s="676"/>
      <c r="G223" s="625"/>
      <c r="H223" s="677"/>
      <c r="I223" s="678"/>
      <c r="J223" s="678"/>
      <c r="K223" s="678"/>
      <c r="L223" s="676"/>
      <c r="M223" s="678"/>
      <c r="N223" s="678"/>
      <c r="O223" s="678"/>
      <c r="P223" s="678"/>
      <c r="Q223" s="678"/>
      <c r="R223" s="676"/>
      <c r="S223" s="678"/>
      <c r="T223" s="678"/>
      <c r="U223" s="678"/>
      <c r="V223" s="678"/>
      <c r="W223" s="678"/>
      <c r="X223" s="676"/>
      <c r="Y223" s="678"/>
      <c r="Z223" s="678"/>
      <c r="AA223" s="678"/>
      <c r="AB223" s="678"/>
      <c r="AC223" s="678"/>
      <c r="AD223" s="678"/>
      <c r="AE223" s="678"/>
      <c r="AF223" s="678"/>
      <c r="AG223" s="678"/>
      <c r="AH223" s="678"/>
      <c r="AI223" s="678"/>
      <c r="AJ223" s="678"/>
      <c r="AK223" s="678"/>
      <c r="AL223" s="678"/>
      <c r="AM223" s="678"/>
      <c r="AN223" s="678"/>
      <c r="AO223" s="678"/>
      <c r="AP223" s="678"/>
      <c r="AQ223" s="678"/>
      <c r="AR223" s="679"/>
      <c r="AT223" s="303"/>
      <c r="AU223" s="305"/>
      <c r="AV223" s="304"/>
      <c r="AW223" s="186"/>
      <c r="AX223" s="186"/>
      <c r="AY223" s="186"/>
      <c r="AZ223" s="186"/>
      <c r="BA223" s="186"/>
      <c r="BB223" s="186"/>
      <c r="BC223" s="345"/>
      <c r="BD223" s="345"/>
      <c r="BE223" s="345"/>
      <c r="BF223" s="345"/>
      <c r="BG223" s="345"/>
      <c r="BH223" s="345"/>
      <c r="BI223" s="186"/>
      <c r="BJ223" s="186"/>
      <c r="BK223" s="186"/>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c r="CH223" s="186"/>
      <c r="CI223" s="186"/>
      <c r="CJ223" s="186"/>
      <c r="CK223" s="186"/>
      <c r="CL223" s="186"/>
      <c r="CM223" s="186"/>
      <c r="CN223" s="186"/>
      <c r="CO223" s="186"/>
      <c r="CP223" s="186"/>
      <c r="CQ223" s="186"/>
      <c r="CR223" s="186"/>
      <c r="CS223" s="186"/>
    </row>
    <row r="224" spans="1:97" s="185" customFormat="1" ht="22.4" customHeight="1" thickBot="1" x14ac:dyDescent="0.35">
      <c r="A224" s="89"/>
      <c r="B224" s="175"/>
      <c r="C224" s="175"/>
      <c r="D224" s="673" t="s">
        <v>222</v>
      </c>
      <c r="E224" s="675"/>
      <c r="F224" s="625"/>
      <c r="G224" s="625"/>
      <c r="H224" s="1304"/>
      <c r="I224" s="1304"/>
      <c r="J224" s="678"/>
      <c r="K224" s="678"/>
      <c r="L224" s="676"/>
      <c r="M224" s="678"/>
      <c r="N224" s="678"/>
      <c r="O224" s="678"/>
      <c r="P224" s="678"/>
      <c r="Q224" s="678"/>
      <c r="R224" s="676"/>
      <c r="S224" s="678"/>
      <c r="T224" s="678"/>
      <c r="U224" s="678"/>
      <c r="V224" s="678"/>
      <c r="W224" s="678"/>
      <c r="X224" s="676"/>
      <c r="Y224" s="678"/>
      <c r="Z224" s="678"/>
      <c r="AA224" s="678"/>
      <c r="AB224" s="678"/>
      <c r="AC224" s="678"/>
      <c r="AD224" s="678"/>
      <c r="AE224" s="678"/>
      <c r="AF224" s="678"/>
      <c r="AG224" s="678"/>
      <c r="AH224" s="678"/>
      <c r="AI224" s="678"/>
      <c r="AJ224" s="678"/>
      <c r="AK224" s="678"/>
      <c r="AL224" s="678"/>
      <c r="AM224" s="678"/>
      <c r="AN224" s="678"/>
      <c r="AO224" s="678"/>
      <c r="AP224" s="678"/>
      <c r="AQ224" s="678"/>
      <c r="AR224" s="679"/>
      <c r="AT224" s="303"/>
      <c r="AU224" s="305"/>
      <c r="AV224" s="304"/>
      <c r="AW224" s="186"/>
      <c r="AX224" s="186"/>
      <c r="AY224" s="186"/>
      <c r="AZ224" s="186"/>
      <c r="BA224" s="186"/>
      <c r="BB224" s="186"/>
      <c r="BC224" s="345"/>
      <c r="BD224" s="345"/>
      <c r="BE224" s="345"/>
      <c r="BF224" s="345"/>
      <c r="BG224" s="345"/>
      <c r="BH224" s="345"/>
      <c r="BI224" s="186"/>
      <c r="BJ224" s="186"/>
      <c r="BK224" s="186"/>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c r="CH224" s="186"/>
      <c r="CI224" s="186"/>
      <c r="CJ224" s="186"/>
      <c r="CK224" s="186"/>
      <c r="CL224" s="186"/>
      <c r="CM224" s="186"/>
      <c r="CN224" s="186"/>
      <c r="CO224" s="186"/>
      <c r="CP224" s="186"/>
      <c r="CQ224" s="186"/>
      <c r="CR224" s="186"/>
      <c r="CS224" s="186"/>
    </row>
    <row r="225" spans="2:97" s="89" customFormat="1" ht="15" customHeight="1" x14ac:dyDescent="0.3">
      <c r="D225" s="1305" t="str">
        <f>VLOOKUP("Cost description (e.g: service provider,…)",Language!$D$1583:$G$1845,$O$1,FALSE)</f>
        <v>Cost description (e.g: service provider,…)</v>
      </c>
      <c r="E225" s="1302"/>
      <c r="F225" s="1291" t="str">
        <f>VLOOKUP("Estimated % for distribution (7.4)",Language!$D$1583:$G$1845,$O$1,FALSE)</f>
        <v>Estimated % for distribution (7.4)</v>
      </c>
      <c r="G225" s="1294" t="str">
        <f>G14</f>
        <v>2021</v>
      </c>
      <c r="H225" s="1295"/>
      <c r="I225" s="1295"/>
      <c r="J225" s="1295"/>
      <c r="K225" s="1302"/>
      <c r="L225" s="1291" t="str">
        <f>F225</f>
        <v>Estimated % for distribution (7.4)</v>
      </c>
      <c r="M225" s="1294" t="str">
        <f>M14</f>
        <v>2022</v>
      </c>
      <c r="N225" s="1295"/>
      <c r="O225" s="1295"/>
      <c r="P225" s="1295"/>
      <c r="Q225" s="1302"/>
      <c r="R225" s="1291" t="str">
        <f>F225</f>
        <v>Estimated % for distribution (7.4)</v>
      </c>
      <c r="S225" s="1294" t="str">
        <f>S14</f>
        <v>2023</v>
      </c>
      <c r="T225" s="1295"/>
      <c r="U225" s="1295"/>
      <c r="V225" s="1295"/>
      <c r="W225" s="1302"/>
      <c r="X225" s="1291" t="str">
        <f t="shared" ref="X225" si="92">F225</f>
        <v>Estimated % for distribution (7.4)</v>
      </c>
      <c r="Y225" s="1294" t="str">
        <f>Y14</f>
        <v>2024</v>
      </c>
      <c r="Z225" s="1295"/>
      <c r="AA225" s="1295"/>
      <c r="AB225" s="1295"/>
      <c r="AC225" s="1296"/>
      <c r="AD225" s="1291" t="str">
        <f t="shared" ref="AD225" si="93">L225</f>
        <v>Estimated % for distribution (7.4)</v>
      </c>
      <c r="AE225" s="1294" t="str">
        <f>AE14</f>
        <v>2025</v>
      </c>
      <c r="AF225" s="1295"/>
      <c r="AG225" s="1295"/>
      <c r="AH225" s="1295"/>
      <c r="AI225" s="1296"/>
      <c r="AJ225" s="1291" t="str">
        <f t="shared" ref="AJ225" si="94">R225</f>
        <v>Estimated % for distribution (7.4)</v>
      </c>
      <c r="AK225" s="1294" t="str">
        <f>AK14</f>
        <v/>
      </c>
      <c r="AL225" s="1295"/>
      <c r="AM225" s="1295"/>
      <c r="AN225" s="1295"/>
      <c r="AO225" s="1296"/>
      <c r="AP225" s="1300" t="str">
        <f>AP14</f>
        <v>Total grant period</v>
      </c>
      <c r="AQ225" s="1300" t="str">
        <f>AQ14</f>
        <v>Finance</v>
      </c>
      <c r="AR225" s="1310" t="str">
        <f>AR14</f>
        <v>Comments</v>
      </c>
      <c r="AS225" s="730"/>
      <c r="AT225" s="289"/>
      <c r="AU225" s="178"/>
      <c r="AV225" s="177"/>
      <c r="AW225" s="60"/>
      <c r="AX225" s="60"/>
      <c r="AY225" s="60"/>
      <c r="AZ225" s="60"/>
      <c r="BA225" s="60"/>
      <c r="BB225" s="60"/>
      <c r="BC225" s="345"/>
      <c r="BD225" s="345"/>
      <c r="BE225" s="345"/>
      <c r="BF225" s="345"/>
      <c r="BG225" s="345"/>
      <c r="BH225" s="345"/>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row>
    <row r="226" spans="2:97" s="89" customFormat="1" ht="18" customHeight="1" thickBot="1" x14ac:dyDescent="0.35">
      <c r="D226" s="1306"/>
      <c r="E226" s="1321"/>
      <c r="F226" s="1292"/>
      <c r="G226" s="1297"/>
      <c r="H226" s="1298"/>
      <c r="I226" s="1298"/>
      <c r="J226" s="1298"/>
      <c r="K226" s="1303"/>
      <c r="L226" s="1292"/>
      <c r="M226" s="1297"/>
      <c r="N226" s="1298"/>
      <c r="O226" s="1298"/>
      <c r="P226" s="1298"/>
      <c r="Q226" s="1303"/>
      <c r="R226" s="1292"/>
      <c r="S226" s="1297"/>
      <c r="T226" s="1298"/>
      <c r="U226" s="1298"/>
      <c r="V226" s="1298"/>
      <c r="W226" s="1303"/>
      <c r="X226" s="1292"/>
      <c r="Y226" s="1297"/>
      <c r="Z226" s="1298"/>
      <c r="AA226" s="1298"/>
      <c r="AB226" s="1298"/>
      <c r="AC226" s="1299"/>
      <c r="AD226" s="1292"/>
      <c r="AE226" s="1297"/>
      <c r="AF226" s="1298"/>
      <c r="AG226" s="1298"/>
      <c r="AH226" s="1298"/>
      <c r="AI226" s="1299"/>
      <c r="AJ226" s="1292"/>
      <c r="AK226" s="1297"/>
      <c r="AL226" s="1298"/>
      <c r="AM226" s="1298"/>
      <c r="AN226" s="1298"/>
      <c r="AO226" s="1299"/>
      <c r="AP226" s="1301"/>
      <c r="AQ226" s="1301"/>
      <c r="AR226" s="1311"/>
      <c r="AS226" s="731"/>
      <c r="AT226" s="289"/>
      <c r="AU226" s="178"/>
      <c r="AV226" s="177"/>
      <c r="AW226" s="60"/>
      <c r="AX226" s="60"/>
      <c r="AY226" s="60"/>
      <c r="AZ226" s="60"/>
      <c r="BA226" s="60"/>
      <c r="BB226" s="60"/>
      <c r="BC226" s="345"/>
      <c r="BD226" s="345"/>
      <c r="BE226" s="345"/>
      <c r="BF226" s="345"/>
      <c r="BG226" s="345"/>
      <c r="BH226" s="345"/>
      <c r="BI226" s="60"/>
      <c r="BJ226" s="60"/>
      <c r="BK226" s="60"/>
      <c r="BL226" s="60"/>
      <c r="BM226" s="60"/>
      <c r="BN226" s="60"/>
      <c r="BO226" s="60"/>
      <c r="BP226" s="60"/>
      <c r="BQ226" s="60"/>
      <c r="BR226" s="60"/>
      <c r="BS226" s="60"/>
      <c r="BT226" s="60"/>
      <c r="BU226" s="60"/>
      <c r="BV226" s="60"/>
      <c r="BW226" s="60"/>
      <c r="BX226" s="60"/>
      <c r="BY226" s="60"/>
      <c r="BZ226" s="60"/>
      <c r="CA226" s="60"/>
      <c r="CB226" s="60"/>
      <c r="CC226" s="60"/>
      <c r="CD226" s="60"/>
      <c r="CE226" s="60"/>
      <c r="CF226" s="60"/>
      <c r="CG226" s="60"/>
      <c r="CH226" s="60"/>
      <c r="CI226" s="60"/>
      <c r="CJ226" s="60"/>
      <c r="CK226" s="60"/>
      <c r="CL226" s="60"/>
      <c r="CM226" s="60"/>
      <c r="CN226" s="60"/>
      <c r="CO226" s="60"/>
      <c r="CP226" s="60"/>
      <c r="CQ226" s="60"/>
      <c r="CR226" s="60"/>
      <c r="CS226" s="60"/>
    </row>
    <row r="227" spans="2:97" s="89" customFormat="1" ht="46.5" customHeight="1" thickBot="1" x14ac:dyDescent="0.35">
      <c r="D227" s="1308"/>
      <c r="E227" s="1322"/>
      <c r="F227" s="1293"/>
      <c r="G227" s="695" t="str">
        <f>G16</f>
        <v>Y1 Q1 cost</v>
      </c>
      <c r="H227" s="933" t="str">
        <f>H16</f>
        <v>Y1 Q2 cost</v>
      </c>
      <c r="I227" s="933" t="str">
        <f>I16</f>
        <v>Y1 Q3 cost</v>
      </c>
      <c r="J227" s="933" t="str">
        <f>J16</f>
        <v>Y1 Q4 cost</v>
      </c>
      <c r="K227" s="696" t="str">
        <f>K16</f>
        <v>Y1 Total cost</v>
      </c>
      <c r="L227" s="1293"/>
      <c r="M227" s="695" t="str">
        <f>M16</f>
        <v>Y2 Q1 cost</v>
      </c>
      <c r="N227" s="933" t="str">
        <f>N16</f>
        <v>Y2 Q2 cost</v>
      </c>
      <c r="O227" s="933" t="str">
        <f>O16</f>
        <v>Y2 Q3 cost</v>
      </c>
      <c r="P227" s="933" t="str">
        <f>P16</f>
        <v>Y2 Q4 cost</v>
      </c>
      <c r="Q227" s="696" t="str">
        <f>Q16</f>
        <v>Y2 Total cost</v>
      </c>
      <c r="R227" s="1293"/>
      <c r="S227" s="695" t="str">
        <f>S16</f>
        <v>Y3 Q1 cost</v>
      </c>
      <c r="T227" s="933" t="str">
        <f>T16</f>
        <v>Y3 Q2 cost</v>
      </c>
      <c r="U227" s="933" t="str">
        <f>U16</f>
        <v>Y3 Q3 cost</v>
      </c>
      <c r="V227" s="933" t="str">
        <f>V16</f>
        <v>Y3 Q4 cost</v>
      </c>
      <c r="W227" s="696" t="str">
        <f>W16</f>
        <v>Y3 Total cost</v>
      </c>
      <c r="X227" s="1293"/>
      <c r="Y227" s="695" t="str">
        <f>Y16</f>
        <v>Y4 Q1 cost</v>
      </c>
      <c r="Z227" s="933" t="str">
        <f>Z16</f>
        <v>Y4 Q2 cost</v>
      </c>
      <c r="AA227" s="933" t="str">
        <f>AA16</f>
        <v>Y4 Q3 cost</v>
      </c>
      <c r="AB227" s="933" t="str">
        <f>AB16</f>
        <v>Y4 Q4 cost</v>
      </c>
      <c r="AC227" s="933" t="str">
        <f>AC16</f>
        <v>Y4 Total cost</v>
      </c>
      <c r="AD227" s="1293"/>
      <c r="AE227" s="933" t="str">
        <f>AE16</f>
        <v>Y5 Q1 cost</v>
      </c>
      <c r="AF227" s="933" t="str">
        <f>AF16</f>
        <v>Y5 Q2 cost</v>
      </c>
      <c r="AG227" s="933" t="str">
        <f>AG16</f>
        <v>Y5 Q3 cost</v>
      </c>
      <c r="AH227" s="933" t="str">
        <f>AH16</f>
        <v>Y5 Q4 cost</v>
      </c>
      <c r="AI227" s="933" t="str">
        <f>AI16</f>
        <v>Y5 Total cost</v>
      </c>
      <c r="AJ227" s="1293"/>
      <c r="AK227" s="933" t="str">
        <f t="shared" ref="AK227:AQ227" si="95">AK16</f>
        <v>Y6 Q1 cost</v>
      </c>
      <c r="AL227" s="933" t="str">
        <f t="shared" si="95"/>
        <v>Y6 Q2 cost</v>
      </c>
      <c r="AM227" s="933" t="str">
        <f t="shared" si="95"/>
        <v>Y6 Q3 cost</v>
      </c>
      <c r="AN227" s="933" t="str">
        <f t="shared" si="95"/>
        <v>Y6 Q4 cost</v>
      </c>
      <c r="AO227" s="933" t="str">
        <f t="shared" si="95"/>
        <v>Y6 Total cost</v>
      </c>
      <c r="AP227" s="695" t="str">
        <f t="shared" si="95"/>
        <v>Total cost</v>
      </c>
      <c r="AQ227" s="695" t="str">
        <f t="shared" si="95"/>
        <v>Cost input</v>
      </c>
      <c r="AR227" s="1312"/>
      <c r="AS227" s="732"/>
      <c r="AT227" s="289"/>
      <c r="AU227" s="178"/>
      <c r="AV227" s="177"/>
      <c r="AW227" s="60"/>
      <c r="AX227" s="60"/>
      <c r="AY227" s="60"/>
      <c r="AZ227" s="60"/>
      <c r="BA227" s="60"/>
      <c r="BB227" s="60"/>
      <c r="BC227" s="345"/>
      <c r="BD227" s="345"/>
      <c r="BE227" s="345"/>
      <c r="BF227" s="345"/>
      <c r="BG227" s="345"/>
      <c r="BH227" s="345"/>
      <c r="BI227" s="60"/>
      <c r="BJ227" s="60"/>
      <c r="BK227" s="60"/>
      <c r="BL227" s="60"/>
      <c r="BM227" s="60"/>
      <c r="BN227" s="60"/>
      <c r="BO227" s="60"/>
      <c r="BP227" s="60"/>
      <c r="BQ227" s="60"/>
      <c r="BR227" s="60"/>
      <c r="BS227" s="60"/>
      <c r="BT227" s="60"/>
      <c r="BU227" s="60"/>
      <c r="BV227" s="60"/>
      <c r="BW227" s="60"/>
      <c r="BX227" s="60"/>
      <c r="BY227" s="60"/>
      <c r="BZ227" s="60"/>
      <c r="CA227" s="60"/>
      <c r="CB227" s="60"/>
      <c r="CC227" s="60"/>
      <c r="CD227" s="60"/>
      <c r="CE227" s="60"/>
      <c r="CF227" s="60"/>
      <c r="CG227" s="60"/>
      <c r="CH227" s="60"/>
      <c r="CI227" s="60"/>
      <c r="CJ227" s="60"/>
      <c r="CK227" s="60"/>
      <c r="CL227" s="60"/>
      <c r="CM227" s="60"/>
      <c r="CN227" s="60"/>
      <c r="CO227" s="60"/>
      <c r="CP227" s="60"/>
      <c r="CQ227" s="60"/>
      <c r="CR227" s="60"/>
      <c r="CS227" s="60"/>
    </row>
    <row r="228" spans="2:97" s="89" customFormat="1" ht="15" customHeight="1" thickBot="1" x14ac:dyDescent="0.4">
      <c r="B228" s="211" t="s">
        <v>697</v>
      </c>
      <c r="C228" s="698" t="s">
        <v>2751</v>
      </c>
      <c r="D228" s="1313" t="s">
        <v>83</v>
      </c>
      <c r="E228" s="1009" t="s">
        <v>32</v>
      </c>
      <c r="F228" s="996">
        <v>0</v>
      </c>
      <c r="G228" s="725" cm="1">
        <f t="array" ref="G228">$F228*(SUMPRODUCT(('Cashflow Summary C19RM'!$K$5:$K$239&lt;&gt;1)*('Cashflow Summary C19RM'!$D$5:$D$239=E228)*('Cashflow Summary C19RM'!$R$5:$R$239)))</f>
        <v>0</v>
      </c>
      <c r="H228" s="977" cm="1">
        <f t="array" ref="H228">$F228*(SUMPRODUCT(('Cashflow Summary C19RM'!$K$5:$K$239&lt;&gt;1)*('Cashflow Summary C19RM'!$D$5:$D$239=E228)*('Cashflow Summary C19RM'!$S$5:$S$239)))</f>
        <v>0</v>
      </c>
      <c r="I228" s="978" cm="1">
        <f t="array" ref="I228">$F228*(SUMPRODUCT(('Cashflow Summary C19RM'!$K$5:$K$239&lt;&gt;1)*('Cashflow Summary C19RM'!$D$5:$D$239=E228)*('Cashflow Summary C19RM'!$T$5:$T$239)))</f>
        <v>0</v>
      </c>
      <c r="J228" s="978" cm="1">
        <f t="array" ref="J228">$F228*(SUMPRODUCT(('Cashflow Summary C19RM'!$K$5:$K$239&lt;&gt;1)*('Cashflow Summary C19RM'!$D$5:$D$239=E228)*('Cashflow Summary C19RM'!$U$5:$U$239)))</f>
        <v>0</v>
      </c>
      <c r="K228" s="997">
        <f t="shared" ref="K228:K242" si="96">SUM(G228:J228)</f>
        <v>0</v>
      </c>
      <c r="L228" s="981">
        <f t="shared" ref="L228:L242" si="97">F228</f>
        <v>0</v>
      </c>
      <c r="M228" s="976" cm="1">
        <f t="array" ref="M228">$L228*(SUMPRODUCT(('Cashflow Summary C19RM'!$K$5:$K$239&lt;&gt;1)*('Cashflow Summary C19RM'!$D$5:$D$239=E228)*('Cashflow Summary C19RM'!$V$5:$V$239)))</f>
        <v>0</v>
      </c>
      <c r="N228" s="977" cm="1">
        <f t="array" ref="N228">$L228*(SUMPRODUCT(('Cashflow Summary C19RM'!$K$5:$K$239&lt;&gt;1)*('Cashflow Summary C19RM'!$D$5:$D$239=E228)*('Cashflow Summary C19RM'!$W$5:$W$239)))</f>
        <v>0</v>
      </c>
      <c r="O228" s="978" cm="1">
        <f t="array" ref="O228">$L228*(SUMPRODUCT(('Cashflow Summary C19RM'!$K$5:$K$239&lt;&gt;1)*('Cashflow Summary C19RM'!$D$5:$D$239=E228)*('Cashflow Summary C19RM'!$X$5:$X$239)))</f>
        <v>0</v>
      </c>
      <c r="P228" s="978" cm="1">
        <f t="array" ref="P228">$L228*(SUMPRODUCT(('Cashflow Summary C19RM'!$K$5:$K$239&lt;&gt;1)*('Cashflow Summary C19RM'!$D$5:$D$239=E228)*('Cashflow Summary C19RM'!$Y$5:$Y$239)))</f>
        <v>0</v>
      </c>
      <c r="Q228" s="980">
        <f t="shared" ref="Q228:Q242" si="98">SUM(M228:P228)</f>
        <v>0</v>
      </c>
      <c r="R228" s="981">
        <f t="shared" ref="R228:R242" si="99">F228</f>
        <v>0</v>
      </c>
      <c r="S228" s="976" cm="1">
        <f t="array" ref="S228">$R228*(SUMPRODUCT(('Cashflow Summary C19RM'!$K$5:$K$239&lt;&gt;1)*('Cashflow Summary C19RM'!$D$5:$D$239=E228)*('Cashflow Summary C19RM'!$Z$5:$Z$239)))</f>
        <v>0</v>
      </c>
      <c r="T228" s="977" cm="1">
        <f t="array" ref="T228">$R228*(SUMPRODUCT(('Cashflow Summary C19RM'!$K$5:$K$239&lt;&gt;1)*('Cashflow Summary C19RM'!$D$5:$D$239=E228)*('Cashflow Summary C19RM'!$AA$5:$AA$239)))</f>
        <v>0</v>
      </c>
      <c r="U228" s="978" cm="1">
        <f t="array" ref="U228">$R228*(SUMPRODUCT(('Cashflow Summary C19RM'!$K$5:$K$239&lt;&gt;1)*('Cashflow Summary C19RM'!$D$5:$D$239=E228)*('Cashflow Summary C19RM'!$AB$5:$AB$239)))</f>
        <v>0</v>
      </c>
      <c r="V228" s="978" cm="1">
        <f t="array" ref="V228">$R228*(SUMPRODUCT(('Cashflow Summary C19RM'!$K$5:$K$239&lt;&gt;1)*('Cashflow Summary C19RM'!$D$5:$D$239=E228)*('Cashflow Summary C19RM'!$AC$5:$AC$239)))</f>
        <v>0</v>
      </c>
      <c r="W228" s="982">
        <f t="shared" ref="W228:W242" si="100">SUM(S228:V228)</f>
        <v>0</v>
      </c>
      <c r="X228" s="981">
        <f t="shared" ref="X228:X242" si="101">F228</f>
        <v>0</v>
      </c>
      <c r="Y228" s="976" cm="1">
        <f t="array" ref="Y228">$X228*(SUMPRODUCT(('Cashflow Summary C19RM'!$K$5:$K$239&lt;&gt;1)*('Cashflow Summary C19RM'!$D$5:$D$239=E228)*('Cashflow Summary C19RM'!$AD$5:$AD$239)))</f>
        <v>0</v>
      </c>
      <c r="Z228" s="977" cm="1">
        <f t="array" ref="Z228">$X228*(SUMPRODUCT(('Cashflow Summary C19RM'!$K$5:$K$239&lt;&gt;1)*('Cashflow Summary C19RM'!$D$5:$D$239=E228)*('Cashflow Summary C19RM'!$AE$5:$AE$239)))</f>
        <v>0</v>
      </c>
      <c r="AA228" s="978" cm="1">
        <f t="array" ref="AA228">$X228*(SUMPRODUCT(('Cashflow Summary C19RM'!$K$5:$K$239&lt;&gt;1)*('Cashflow Summary C19RM'!$D$5:$D$239=E228)*('Cashflow Summary C19RM'!$AF$5:$AF$239)))</f>
        <v>0</v>
      </c>
      <c r="AB228" s="978" cm="1">
        <f t="array" ref="AB228">$X228*(SUMPRODUCT(('Cashflow Summary C19RM'!$K$5:$K$239&lt;&gt;1)*('Cashflow Summary C19RM'!$D$5:$D$239=E228)*('Cashflow Summary C19RM'!$AG$5:$AG$239)))</f>
        <v>0</v>
      </c>
      <c r="AC228" s="982">
        <f t="shared" ref="AC228:AC242" si="102">SUM(Y228:AB228)</f>
        <v>0</v>
      </c>
      <c r="AD228" s="981">
        <f t="shared" ref="AD228:AD242" si="103">L228</f>
        <v>0</v>
      </c>
      <c r="AE228" s="725" cm="1">
        <f t="array" ref="AE228">$AD228*(SUMPRODUCT(('Cashflow Summary C19RM'!$K$5:$K$239&lt;&gt;1)*('Cashflow Summary C19RM'!$D$5:$D$239=E228)*('Cashflow Summary C19RM'!$AH$5:$AH$239)))</f>
        <v>0</v>
      </c>
      <c r="AF228" s="976" cm="1">
        <f t="array" ref="AF228">$AD228*(SUMPRODUCT(('Cashflow Summary C19RM'!$K$5:$K$239&lt;&gt;1)*('Cashflow Summary C19RM'!$D$5:$D$239=E228)*('Cashflow Summary C19RM'!$AI$5:$AI$239)))</f>
        <v>0</v>
      </c>
      <c r="AG228" s="976" cm="1">
        <f t="array" ref="AG228">$AD228*(SUMPRODUCT(('Cashflow Summary C19RM'!$K$5:$K$239&lt;&gt;1)*('Cashflow Summary C19RM'!$D$5:$D$239=E228)*('Cashflow Summary C19RM'!$AJ$5:$AJ$239)))</f>
        <v>0</v>
      </c>
      <c r="AH228" s="976" cm="1">
        <f t="array" ref="AH228">$AD228*(SUMPRODUCT(('Cashflow Summary C19RM'!$K$5:$K$239&lt;&gt;1)*('Cashflow Summary C19RM'!$D$5:$D$239=E228)*('Cashflow Summary C19RM'!$AK$5:$AO$239)))</f>
        <v>0</v>
      </c>
      <c r="AI228" s="982">
        <f t="shared" ref="AI228:AI242" si="104">SUM(AE228:AH228)</f>
        <v>0</v>
      </c>
      <c r="AJ228" s="983">
        <v>0</v>
      </c>
      <c r="AK228" s="984"/>
      <c r="AL228" s="985"/>
      <c r="AM228" s="985"/>
      <c r="AN228" s="985"/>
      <c r="AO228" s="986"/>
      <c r="AP228" s="982">
        <f>K228+Q228+W228+AC228+AI228</f>
        <v>0</v>
      </c>
      <c r="AQ228" s="987">
        <v>7.4</v>
      </c>
      <c r="AR228" s="988"/>
      <c r="AS228" s="310"/>
      <c r="AV228" s="228">
        <f t="shared" ref="AV228:AV242" si="105">F228</f>
        <v>0</v>
      </c>
      <c r="AW228" s="228">
        <f t="shared" ref="AW228:AW242" si="106">L228</f>
        <v>0</v>
      </c>
      <c r="AX228" s="228">
        <f t="shared" ref="AX228:AX242" si="107">R228</f>
        <v>0</v>
      </c>
      <c r="AY228" s="228">
        <f t="shared" ref="AY228:AY242" si="108">X228</f>
        <v>0</v>
      </c>
      <c r="AZ228" s="228">
        <f t="shared" ref="AZ228:AZ242" si="109">AD228</f>
        <v>0</v>
      </c>
      <c r="BA228" s="228"/>
      <c r="BC228" s="345" cm="1">
        <f t="array" ref="BC228">IF(BM228&gt;=1,0,IFERROR(SUMPRODUCT(($G$11:$AH$11=$BC$16)*($G228:$AH228)),0))</f>
        <v>0</v>
      </c>
      <c r="BD228" s="345" cm="1">
        <f t="array" ref="BD228">IF(BM228&gt;=1,0,IFERROR(SUMPRODUCT(($G$11:$AH$11=$BD$16)*($G228:$AH228)),0))</f>
        <v>0</v>
      </c>
      <c r="BE228" s="345" cm="1">
        <f t="array" ref="BE228">IF(BM228&gt;=1,0,IFERROR(SUMPRODUCT(($G$11:$AH$11=$BE$16)*($G228:$AH228)),0))</f>
        <v>0</v>
      </c>
      <c r="BF228" s="345" cm="1">
        <f t="array" ref="BF228">IF(BM228&gt;=1,0,IFERROR(SUMPRODUCT(($G$11:$AH$11=$BF$16)*($G228:$AH228)),0))</f>
        <v>0</v>
      </c>
      <c r="BG228" s="345" cm="1">
        <f t="array" ref="BG228">IF(BM228&gt;=1,0,IFERROR(SUMPRODUCT(($G$11:$AH$11=$BG$16)*($G228:$AH228)),0))</f>
        <v>0</v>
      </c>
      <c r="BH228" s="345"/>
      <c r="BI228" s="343">
        <f>SUM(BC228:BG228)</f>
        <v>0</v>
      </c>
      <c r="BJ228" s="229" t="s">
        <v>83</v>
      </c>
      <c r="BK228" cm="1">
        <f t="array" ref="BK228">(SUMPRODUCT(('Cashflow Summary C19RM'!$D$5:$D$451=E228)*('Cashflow Summary C19RM'!$BD$5:$BD$451)))</f>
        <v>0</v>
      </c>
      <c r="BL228" cm="1">
        <f t="array" ref="BL228">(SUMPRODUCT((SETUP!$D$20:$D$67=E228)*(SETUP!$R$20:$R$67)))</f>
        <v>0</v>
      </c>
      <c r="BM228" s="89">
        <f t="shared" ref="BM228:BM242" si="110">SUM(BK228:BL228)</f>
        <v>0</v>
      </c>
    </row>
    <row r="229" spans="2:97" s="89" customFormat="1" ht="15" customHeight="1" x14ac:dyDescent="0.35">
      <c r="B229" s="211" t="s">
        <v>697</v>
      </c>
      <c r="C229" s="698" t="s">
        <v>2750</v>
      </c>
      <c r="D229" s="1314"/>
      <c r="E229" s="1010" t="s">
        <v>11</v>
      </c>
      <c r="F229" s="697">
        <v>0</v>
      </c>
      <c r="G229" s="628" cm="1">
        <f t="array" ref="G229">$F229*(SUMPRODUCT(('Cashflow Summary C19RM'!$K$5:$K$239&lt;&gt;1)*('Cashflow Summary C19RM'!$D$5:$D$239=E229)*('Cashflow Summary C19RM'!$R$5:$R$239)))</f>
        <v>0</v>
      </c>
      <c r="H229" s="629" cm="1">
        <f t="array" ref="H229">$F229*(SUMPRODUCT(('Cashflow Summary C19RM'!$K$5:$K$239&lt;&gt;1)*('Cashflow Summary C19RM'!$D$5:$D$239=E229)*('Cashflow Summary C19RM'!$S$5:$S$239)))</f>
        <v>0</v>
      </c>
      <c r="I229" s="630" cm="1">
        <f t="array" ref="I229">$F229*(SUMPRODUCT(('Cashflow Summary C19RM'!$K$5:$K$239&lt;&gt;1)*('Cashflow Summary C19RM'!$D$5:$D$239=E229)*('Cashflow Summary C19RM'!$T$5:$T$239)))</f>
        <v>0</v>
      </c>
      <c r="J229" s="630" cm="1">
        <f t="array" ref="J229">$F229*(SUMPRODUCT(('Cashflow Summary C19RM'!$K$5:$K$239&lt;&gt;1)*('Cashflow Summary C19RM'!$D$5:$D$239=E229)*('Cashflow Summary C19RM'!$U$5:$U$239)))</f>
        <v>0</v>
      </c>
      <c r="K229" s="631">
        <f t="shared" si="96"/>
        <v>0</v>
      </c>
      <c r="L229" s="686">
        <f t="shared" si="97"/>
        <v>0</v>
      </c>
      <c r="M229" s="630" cm="1">
        <f t="array" ref="M229">$L229*(SUMPRODUCT(('Cashflow Summary C19RM'!$K$5:$K$239&lt;&gt;1)*('Cashflow Summary C19RM'!$D$5:$D$239=E229)*('Cashflow Summary C19RM'!$V$5:$V$239)))</f>
        <v>0</v>
      </c>
      <c r="N229" s="630" cm="1">
        <f t="array" ref="N229">$L229*(SUMPRODUCT(('Cashflow Summary C19RM'!$K$5:$K$239&lt;&gt;1)*('Cashflow Summary C19RM'!$D$5:$D$239=E229)*('Cashflow Summary C19RM'!$W$5:$W$239)))</f>
        <v>0</v>
      </c>
      <c r="O229" s="630" cm="1">
        <f t="array" ref="O229">$L229*(SUMPRODUCT(('Cashflow Summary C19RM'!$K$5:$K$239&lt;&gt;1)*('Cashflow Summary C19RM'!$D$5:$D$239=E229)*('Cashflow Summary C19RM'!$X$5:$X$239)))</f>
        <v>0</v>
      </c>
      <c r="P229" s="630" cm="1">
        <f t="array" ref="P229">$L229*(SUMPRODUCT(('Cashflow Summary C19RM'!$K$5:$K$239&lt;&gt;1)*('Cashflow Summary C19RM'!$D$5:$D$239=E229)*('Cashflow Summary C19RM'!$Y$5:$Y$239)))</f>
        <v>0</v>
      </c>
      <c r="Q229" s="632">
        <f t="shared" si="98"/>
        <v>0</v>
      </c>
      <c r="R229" s="686">
        <f t="shared" si="99"/>
        <v>0</v>
      </c>
      <c r="S229" s="633" cm="1">
        <f t="array" ref="S229">$R229*(SUMPRODUCT(('Cashflow Summary C19RM'!$K$5:$K$239&lt;&gt;1)*('Cashflow Summary C19RM'!$D$5:$D$239=E229)*('Cashflow Summary C19RM'!$Z$5:$Z$239)))</f>
        <v>0</v>
      </c>
      <c r="T229" s="633" cm="1">
        <f t="array" ref="T229">$R229*(SUMPRODUCT(('Cashflow Summary C19RM'!$K$5:$K$239&lt;&gt;1)*('Cashflow Summary C19RM'!$D$5:$D$239=E229)*('Cashflow Summary C19RM'!$AA$5:$AA$239)))</f>
        <v>0</v>
      </c>
      <c r="U229" s="633" cm="1">
        <f t="array" ref="U229">$R229*(SUMPRODUCT(('Cashflow Summary C19RM'!$K$5:$K$239&lt;&gt;1)*('Cashflow Summary C19RM'!$D$5:$D$239=E229)*('Cashflow Summary C19RM'!$AB$5:$AB$239)))</f>
        <v>0</v>
      </c>
      <c r="V229" s="633" cm="1">
        <f t="array" ref="V229">$R229*(SUMPRODUCT(('Cashflow Summary C19RM'!$K$5:$K$239&lt;&gt;1)*('Cashflow Summary C19RM'!$D$5:$D$239=E229)*('Cashflow Summary C19RM'!$AC$5:$AC$239)))</f>
        <v>0</v>
      </c>
      <c r="W229" s="634">
        <f t="shared" si="100"/>
        <v>0</v>
      </c>
      <c r="X229" s="686">
        <f t="shared" si="101"/>
        <v>0</v>
      </c>
      <c r="Y229" s="633" cm="1">
        <f t="array" ref="Y229">$X229*(SUMPRODUCT(('Cashflow Summary C19RM'!$K$5:$K$239&lt;&gt;1)*('Cashflow Summary C19RM'!$D$5:$D$239=E229)*('Cashflow Summary C19RM'!$AD$5:$AD$239)))</f>
        <v>0</v>
      </c>
      <c r="Z229" s="633" cm="1">
        <f t="array" ref="Z229">$X229*(SUMPRODUCT(('Cashflow Summary C19RM'!$K$5:$K$239&lt;&gt;1)*('Cashflow Summary C19RM'!$D$5:$D$239=E229)*('Cashflow Summary C19RM'!$AE$5:$AE$239)))</f>
        <v>0</v>
      </c>
      <c r="AA229" s="633" cm="1">
        <f t="array" ref="AA229">$X229*(SUMPRODUCT(('Cashflow Summary C19RM'!$K$5:$K$239&lt;&gt;1)*('Cashflow Summary C19RM'!$D$5:$D$239=E229)*('Cashflow Summary C19RM'!$AF$5:$AF$239)))</f>
        <v>0</v>
      </c>
      <c r="AB229" s="630" cm="1">
        <f t="array" ref="AB229">$X229*(SUMPRODUCT(('Cashflow Summary C19RM'!$K$5:$K$239&lt;&gt;1)*('Cashflow Summary C19RM'!$D$5:$D$239=E229)*('Cashflow Summary C19RM'!$AG$5:$AG$239)))</f>
        <v>0</v>
      </c>
      <c r="AC229" s="634">
        <f t="shared" si="102"/>
        <v>0</v>
      </c>
      <c r="AD229" s="686">
        <f t="shared" si="103"/>
        <v>0</v>
      </c>
      <c r="AE229" s="628" cm="1">
        <f t="array" ref="AE229">$AD229*(SUMPRODUCT(('Cashflow Summary C19RM'!$K$5:$K$239&lt;&gt;1)*('Cashflow Summary C19RM'!$D$5:$D$239=E229)*('Cashflow Summary C19RM'!$AH$5:$AH$239)))</f>
        <v>0</v>
      </c>
      <c r="AF229" s="633" cm="1">
        <f t="array" ref="AF229">$AD229*(SUMPRODUCT(('Cashflow Summary C19RM'!$K$5:$K$239&lt;&gt;1)*('Cashflow Summary C19RM'!$D$5:$D$239=E229)*('Cashflow Summary C19RM'!$AI$5:$AI$239)))</f>
        <v>0</v>
      </c>
      <c r="AG229" s="633" cm="1">
        <f t="array" ref="AG229">$AD229*(SUMPRODUCT(('Cashflow Summary C19RM'!$K$5:$K$239&lt;&gt;1)*('Cashflow Summary C19RM'!$D$5:$D$239=E229)*('Cashflow Summary C19RM'!$AJ$5:$AJ$239)))</f>
        <v>0</v>
      </c>
      <c r="AH229" s="633" cm="1">
        <f t="array" ref="AH229">$AD229*(SUMPRODUCT(('Cashflow Summary C19RM'!$K$5:$K$239&lt;&gt;1)*('Cashflow Summary C19RM'!$D$5:$D$239=E229)*('Cashflow Summary C19RM'!$AK$5:$AO$239)))</f>
        <v>0</v>
      </c>
      <c r="AI229" s="634">
        <f t="shared" si="104"/>
        <v>0</v>
      </c>
      <c r="AJ229" s="875">
        <v>0</v>
      </c>
      <c r="AK229" s="872"/>
      <c r="AL229" s="873"/>
      <c r="AM229" s="873"/>
      <c r="AN229" s="873"/>
      <c r="AO229" s="874"/>
      <c r="AP229" s="635">
        <f>K229+Q229+W229+AC229+AI229</f>
        <v>0</v>
      </c>
      <c r="AQ229" s="636">
        <v>7.4</v>
      </c>
      <c r="AR229" s="707"/>
      <c r="AS229" s="310"/>
      <c r="AV229" s="228">
        <f t="shared" si="105"/>
        <v>0</v>
      </c>
      <c r="AW229" s="228">
        <f t="shared" si="106"/>
        <v>0</v>
      </c>
      <c r="AX229" s="228">
        <f t="shared" si="107"/>
        <v>0</v>
      </c>
      <c r="AY229" s="228">
        <f t="shared" si="108"/>
        <v>0</v>
      </c>
      <c r="AZ229" s="228">
        <f t="shared" si="109"/>
        <v>0</v>
      </c>
      <c r="BA229" s="228"/>
      <c r="BC229" s="345" cm="1">
        <f t="array" ref="BC229">IF(BM229&gt;=1,0,IFERROR(SUMPRODUCT(($G$11:$AH$11=$BC$16)*($G229:$AH229)),0))</f>
        <v>0</v>
      </c>
      <c r="BD229" s="345" cm="1">
        <f t="array" ref="BD229">IF(BM229&gt;=1,0,IFERROR(SUMPRODUCT(($G$11:$AH$11=$BD$16)*($G229:$AH229)),0))</f>
        <v>0</v>
      </c>
      <c r="BE229" s="345" cm="1">
        <f t="array" ref="BE229">IF(BM229&gt;=1,0,IFERROR(SUMPRODUCT(($G$11:$AH$11=$BE$16)*($G229:$AH229)),0))</f>
        <v>0</v>
      </c>
      <c r="BF229" s="345" cm="1">
        <f t="array" ref="BF229">IF(BM229&gt;=1,0,IFERROR(SUMPRODUCT(($G$11:$AH$11=$BF$16)*($G229:$AH229)),0))</f>
        <v>0</v>
      </c>
      <c r="BG229" s="345" cm="1">
        <f t="array" ref="BG229">IF(BM229&gt;=1,0,IFERROR(SUMPRODUCT(($G$11:$AH$11=$BG$16)*($G229:$AH229)),0))</f>
        <v>0</v>
      </c>
      <c r="BH229" s="345"/>
      <c r="BI229" s="343">
        <f t="shared" ref="BI229:BI242" si="111">SUM(BC229:BG229)</f>
        <v>0</v>
      </c>
      <c r="BJ229" s="229" t="s">
        <v>83</v>
      </c>
      <c r="BK229" cm="1">
        <f t="array" ref="BK229">(SUMPRODUCT(('Cashflow Summary C19RM'!$D$5:$D$451=E229)*('Cashflow Summary C19RM'!$BD$5:$BD$451)))</f>
        <v>0</v>
      </c>
      <c r="BL229" cm="1">
        <f t="array" ref="BL229">(SUMPRODUCT((SETUP!$D$20:$D$67=E229)*(SETUP!$R$20:$R$67)))</f>
        <v>0</v>
      </c>
      <c r="BM229" s="89">
        <f t="shared" si="110"/>
        <v>0</v>
      </c>
    </row>
    <row r="230" spans="2:97" s="89" customFormat="1" ht="15" customHeight="1" x14ac:dyDescent="0.35">
      <c r="B230" s="211" t="s">
        <v>697</v>
      </c>
      <c r="C230" s="699" t="s">
        <v>2750</v>
      </c>
      <c r="D230" s="1314"/>
      <c r="E230" s="1010" t="s">
        <v>15</v>
      </c>
      <c r="F230" s="697">
        <v>0</v>
      </c>
      <c r="G230" s="628" cm="1">
        <f t="array" ref="G230">$F230*(SUMPRODUCT(('Cashflow Summary C19RM'!$K$5:$K$239&lt;&gt;1)*('Cashflow Summary C19RM'!$D$5:$D$239=E230)*('Cashflow Summary C19RM'!$R$5:$R$239)))</f>
        <v>0</v>
      </c>
      <c r="H230" s="629" cm="1">
        <f t="array" ref="H230">$F230*(SUMPRODUCT(('Cashflow Summary C19RM'!$K$5:$K$239&lt;&gt;1)*('Cashflow Summary C19RM'!$D$5:$D$239=E230)*('Cashflow Summary C19RM'!$S$5:$S$239)))</f>
        <v>0</v>
      </c>
      <c r="I230" s="630" cm="1">
        <f t="array" ref="I230">$F230*(SUMPRODUCT(('Cashflow Summary C19RM'!$K$5:$K$239&lt;&gt;1)*('Cashflow Summary C19RM'!$D$5:$D$239=E230)*('Cashflow Summary C19RM'!$T$5:$T$239)))</f>
        <v>0</v>
      </c>
      <c r="J230" s="630" cm="1">
        <f t="array" ref="J230">$F230*(SUMPRODUCT(('Cashflow Summary C19RM'!$K$5:$K$239&lt;&gt;1)*('Cashflow Summary C19RM'!$D$5:$D$239=E230)*('Cashflow Summary C19RM'!$U$5:$U$239)))</f>
        <v>0</v>
      </c>
      <c r="K230" s="631">
        <f t="shared" si="96"/>
        <v>0</v>
      </c>
      <c r="L230" s="686">
        <f t="shared" si="97"/>
        <v>0</v>
      </c>
      <c r="M230" s="630" cm="1">
        <f t="array" ref="M230">$L230*(SUMPRODUCT(('Cashflow Summary C19RM'!$K$5:$K$239&lt;&gt;1)*('Cashflow Summary C19RM'!$D$5:$D$239=E230)*('Cashflow Summary C19RM'!$V$5:$V$239)))</f>
        <v>0</v>
      </c>
      <c r="N230" s="630" cm="1">
        <f t="array" ref="N230">$L230*(SUMPRODUCT(('Cashflow Summary C19RM'!$K$5:$K$239&lt;&gt;1)*('Cashflow Summary C19RM'!$D$5:$D$239=E230)*('Cashflow Summary C19RM'!$W$5:$W$239)))</f>
        <v>0</v>
      </c>
      <c r="O230" s="630" cm="1">
        <f t="array" ref="O230">$L230*(SUMPRODUCT(('Cashflow Summary C19RM'!$K$5:$K$239&lt;&gt;1)*('Cashflow Summary C19RM'!$D$5:$D$239=E230)*('Cashflow Summary C19RM'!$X$5:$X$239)))</f>
        <v>0</v>
      </c>
      <c r="P230" s="630" cm="1">
        <f t="array" ref="P230">$L230*(SUMPRODUCT(('Cashflow Summary C19RM'!$K$5:$K$239&lt;&gt;1)*('Cashflow Summary C19RM'!$D$5:$D$239=E230)*('Cashflow Summary C19RM'!$Y$5:$Y$239)))</f>
        <v>0</v>
      </c>
      <c r="Q230" s="632">
        <f t="shared" si="98"/>
        <v>0</v>
      </c>
      <c r="R230" s="686">
        <f t="shared" si="99"/>
        <v>0</v>
      </c>
      <c r="S230" s="633" cm="1">
        <f t="array" ref="S230">$R230*(SUMPRODUCT(('Cashflow Summary C19RM'!$K$5:$K$239&lt;&gt;1)*('Cashflow Summary C19RM'!$D$5:$D$239=E230)*('Cashflow Summary C19RM'!$Z$5:$Z$239)))</f>
        <v>0</v>
      </c>
      <c r="T230" s="633" cm="1">
        <f t="array" ref="T230">$R230*(SUMPRODUCT(('Cashflow Summary C19RM'!$K$5:$K$239&lt;&gt;1)*('Cashflow Summary C19RM'!$D$5:$D$239=E230)*('Cashflow Summary C19RM'!$AA$5:$AA$239)))</f>
        <v>0</v>
      </c>
      <c r="U230" s="633" cm="1">
        <f t="array" ref="U230">$R230*(SUMPRODUCT(('Cashflow Summary C19RM'!$K$5:$K$239&lt;&gt;1)*('Cashflow Summary C19RM'!$D$5:$D$239=E230)*('Cashflow Summary C19RM'!$AB$5:$AB$239)))</f>
        <v>0</v>
      </c>
      <c r="V230" s="633" cm="1">
        <f t="array" ref="V230">$R230*(SUMPRODUCT(('Cashflow Summary C19RM'!$K$5:$K$239&lt;&gt;1)*('Cashflow Summary C19RM'!$D$5:$D$239=E230)*('Cashflow Summary C19RM'!$AC$5:$AC$239)))</f>
        <v>0</v>
      </c>
      <c r="W230" s="634">
        <f t="shared" si="100"/>
        <v>0</v>
      </c>
      <c r="X230" s="686">
        <f t="shared" si="101"/>
        <v>0</v>
      </c>
      <c r="Y230" s="633" cm="1">
        <f t="array" ref="Y230">$X230*(SUMPRODUCT(('Cashflow Summary C19RM'!$K$5:$K$239&lt;&gt;1)*('Cashflow Summary C19RM'!$D$5:$D$239=E230)*('Cashflow Summary C19RM'!$AD$5:$AD$239)))</f>
        <v>0</v>
      </c>
      <c r="Z230" s="633" cm="1">
        <f t="array" ref="Z230">$X230*(SUMPRODUCT(('Cashflow Summary C19RM'!$K$5:$K$239&lt;&gt;1)*('Cashflow Summary C19RM'!$D$5:$D$239=E230)*('Cashflow Summary C19RM'!$AE$5:$AE$239)))</f>
        <v>0</v>
      </c>
      <c r="AA230" s="633" cm="1">
        <f t="array" ref="AA230">$X230*(SUMPRODUCT(('Cashflow Summary C19RM'!$K$5:$K$239&lt;&gt;1)*('Cashflow Summary C19RM'!$D$5:$D$239=E230)*('Cashflow Summary C19RM'!$AF$5:$AF$239)))</f>
        <v>0</v>
      </c>
      <c r="AB230" s="630" cm="1">
        <f t="array" ref="AB230">$X230*(SUMPRODUCT(('Cashflow Summary C19RM'!$K$5:$K$239&lt;&gt;1)*('Cashflow Summary C19RM'!$D$5:$D$239=E230)*('Cashflow Summary C19RM'!$AG$5:$AG$239)))</f>
        <v>0</v>
      </c>
      <c r="AC230" s="634">
        <f t="shared" si="102"/>
        <v>0</v>
      </c>
      <c r="AD230" s="686">
        <f t="shared" si="103"/>
        <v>0</v>
      </c>
      <c r="AE230" s="628" cm="1">
        <f t="array" ref="AE230">$AD230*(SUMPRODUCT(('Cashflow Summary C19RM'!$K$5:$K$239&lt;&gt;1)*('Cashflow Summary C19RM'!$D$5:$D$239=E230)*('Cashflow Summary C19RM'!$AH$5:$AH$239)))</f>
        <v>0</v>
      </c>
      <c r="AF230" s="633" cm="1">
        <f t="array" ref="AF230">$AD230*(SUMPRODUCT(('Cashflow Summary C19RM'!$K$5:$K$239&lt;&gt;1)*('Cashflow Summary C19RM'!$D$5:$D$239=E230)*('Cashflow Summary C19RM'!$AI$5:$AI$239)))</f>
        <v>0</v>
      </c>
      <c r="AG230" s="633" cm="1">
        <f t="array" ref="AG230">$AD230*(SUMPRODUCT(('Cashflow Summary C19RM'!$K$5:$K$239&lt;&gt;1)*('Cashflow Summary C19RM'!$D$5:$D$239=E230)*('Cashflow Summary C19RM'!$AJ$5:$AJ$239)))</f>
        <v>0</v>
      </c>
      <c r="AH230" s="633" cm="1">
        <f t="array" ref="AH230">$AD230*(SUMPRODUCT(('Cashflow Summary C19RM'!$K$5:$K$239&lt;&gt;1)*('Cashflow Summary C19RM'!$D$5:$D$239=E230)*('Cashflow Summary C19RM'!$AK$5:$AO$239)))</f>
        <v>0</v>
      </c>
      <c r="AI230" s="634">
        <f t="shared" si="104"/>
        <v>0</v>
      </c>
      <c r="AJ230" s="875">
        <v>0</v>
      </c>
      <c r="AK230" s="872"/>
      <c r="AL230" s="873"/>
      <c r="AM230" s="873"/>
      <c r="AN230" s="873"/>
      <c r="AO230" s="874"/>
      <c r="AP230" s="635">
        <f t="shared" ref="AP230:AP242" si="112">K230+Q230+W230+AC230+AI230</f>
        <v>0</v>
      </c>
      <c r="AQ230" s="636">
        <v>7.4</v>
      </c>
      <c r="AR230" s="707"/>
      <c r="AS230" s="310"/>
      <c r="AV230" s="228">
        <f t="shared" si="105"/>
        <v>0</v>
      </c>
      <c r="AW230" s="228">
        <f t="shared" si="106"/>
        <v>0</v>
      </c>
      <c r="AX230" s="228">
        <f t="shared" si="107"/>
        <v>0</v>
      </c>
      <c r="AY230" s="228">
        <f t="shared" si="108"/>
        <v>0</v>
      </c>
      <c r="AZ230" s="228">
        <f t="shared" si="109"/>
        <v>0</v>
      </c>
      <c r="BA230" s="228"/>
      <c r="BC230" s="345" cm="1">
        <f t="array" ref="BC230">IF(BM230&gt;=1,0,IFERROR(SUMPRODUCT(($G$11:$AH$11=$BC$16)*($G230:$AH230)),0))</f>
        <v>0</v>
      </c>
      <c r="BD230" s="345" cm="1">
        <f t="array" ref="BD230">IF(BM230&gt;=1,0,IFERROR(SUMPRODUCT(($G$11:$AH$11=$BD$16)*($G230:$AH230)),0))</f>
        <v>0</v>
      </c>
      <c r="BE230" s="345" cm="1">
        <f t="array" ref="BE230">IF(BM230&gt;=1,0,IFERROR(SUMPRODUCT(($G$11:$AH$11=$BE$16)*($G230:$AH230)),0))</f>
        <v>0</v>
      </c>
      <c r="BF230" s="345" cm="1">
        <f t="array" ref="BF230">IF(BM230&gt;=1,0,IFERROR(SUMPRODUCT(($G$11:$AH$11=$BF$16)*($G230:$AH230)),0))</f>
        <v>0</v>
      </c>
      <c r="BG230" s="345" cm="1">
        <f t="array" ref="BG230">IF(BM230&gt;=1,0,IFERROR(SUMPRODUCT(($G$11:$AH$11=$BG$16)*($G230:$AH230)),0))</f>
        <v>0</v>
      </c>
      <c r="BH230" s="345"/>
      <c r="BI230" s="343">
        <f t="shared" si="111"/>
        <v>0</v>
      </c>
      <c r="BJ230" s="230" t="s">
        <v>83</v>
      </c>
      <c r="BK230" cm="1">
        <f t="array" ref="BK230">(SUMPRODUCT(('Cashflow Summary C19RM'!$D$5:$D$451=E230)*('Cashflow Summary C19RM'!$BD$5:$BD$451)))</f>
        <v>0</v>
      </c>
      <c r="BL230" cm="1">
        <f t="array" ref="BL230">(SUMPRODUCT((SETUP!$D$20:$D$67=E230)*(SETUP!$R$20:$R$67)))</f>
        <v>0</v>
      </c>
      <c r="BM230" s="89">
        <f t="shared" si="110"/>
        <v>0</v>
      </c>
    </row>
    <row r="231" spans="2:97" s="89" customFormat="1" ht="15" customHeight="1" x14ac:dyDescent="0.35">
      <c r="B231" s="211" t="s">
        <v>697</v>
      </c>
      <c r="C231" s="699" t="s">
        <v>2750</v>
      </c>
      <c r="D231" s="1314"/>
      <c r="E231" s="1010" t="s">
        <v>13</v>
      </c>
      <c r="F231" s="697">
        <v>0</v>
      </c>
      <c r="G231" s="628" cm="1">
        <f t="array" ref="G231">$F231*(SUMPRODUCT(('Cashflow Summary C19RM'!$K$5:$K$239&lt;&gt;1)*('Cashflow Summary C19RM'!$D$5:$D$239=E231)*('Cashflow Summary C19RM'!$R$5:$R$239)))</f>
        <v>0</v>
      </c>
      <c r="H231" s="629" cm="1">
        <f t="array" ref="H231">$F231*(SUMPRODUCT(('Cashflow Summary C19RM'!$K$5:$K$239&lt;&gt;1)*('Cashflow Summary C19RM'!$D$5:$D$239=E231)*('Cashflow Summary C19RM'!$S$5:$S$239)))</f>
        <v>0</v>
      </c>
      <c r="I231" s="630" cm="1">
        <f t="array" ref="I231">$F231*(SUMPRODUCT(('Cashflow Summary C19RM'!$K$5:$K$239&lt;&gt;1)*('Cashflow Summary C19RM'!$D$5:$D$239=E231)*('Cashflow Summary C19RM'!$T$5:$T$239)))</f>
        <v>0</v>
      </c>
      <c r="J231" s="630" cm="1">
        <f t="array" ref="J231">$F231*(SUMPRODUCT(('Cashflow Summary C19RM'!$K$5:$K$239&lt;&gt;1)*('Cashflow Summary C19RM'!$D$5:$D$239=E231)*('Cashflow Summary C19RM'!$U$5:$U$239)))</f>
        <v>0</v>
      </c>
      <c r="K231" s="631">
        <f t="shared" si="96"/>
        <v>0</v>
      </c>
      <c r="L231" s="686">
        <f t="shared" si="97"/>
        <v>0</v>
      </c>
      <c r="M231" s="630" cm="1">
        <f t="array" ref="M231">$L231*(SUMPRODUCT(('Cashflow Summary C19RM'!$K$5:$K$239&lt;&gt;1)*('Cashflow Summary C19RM'!$D$5:$D$239=E231)*('Cashflow Summary C19RM'!$V$5:$V$239)))</f>
        <v>0</v>
      </c>
      <c r="N231" s="630" cm="1">
        <f t="array" ref="N231">$L231*(SUMPRODUCT(('Cashflow Summary C19RM'!$K$5:$K$239&lt;&gt;1)*('Cashflow Summary C19RM'!$D$5:$D$239=E231)*('Cashflow Summary C19RM'!$W$5:$W$239)))</f>
        <v>0</v>
      </c>
      <c r="O231" s="630" cm="1">
        <f t="array" ref="O231">$L231*(SUMPRODUCT(('Cashflow Summary C19RM'!$K$5:$K$239&lt;&gt;1)*('Cashflow Summary C19RM'!$D$5:$D$239=E231)*('Cashflow Summary C19RM'!$X$5:$X$239)))</f>
        <v>0</v>
      </c>
      <c r="P231" s="630" cm="1">
        <f t="array" ref="P231">$L231*(SUMPRODUCT(('Cashflow Summary C19RM'!$K$5:$K$239&lt;&gt;1)*('Cashflow Summary C19RM'!$D$5:$D$239=E231)*('Cashflow Summary C19RM'!$Y$5:$Y$239)))</f>
        <v>0</v>
      </c>
      <c r="Q231" s="632">
        <f t="shared" si="98"/>
        <v>0</v>
      </c>
      <c r="R231" s="686">
        <f t="shared" si="99"/>
        <v>0</v>
      </c>
      <c r="S231" s="633" cm="1">
        <f t="array" ref="S231">$R231*(SUMPRODUCT(('Cashflow Summary C19RM'!$K$5:$K$239&lt;&gt;1)*('Cashflow Summary C19RM'!$D$5:$D$239=E231)*('Cashflow Summary C19RM'!$Z$5:$Z$239)))</f>
        <v>0</v>
      </c>
      <c r="T231" s="633" cm="1">
        <f t="array" ref="T231">$R231*(SUMPRODUCT(('Cashflow Summary C19RM'!$K$5:$K$239&lt;&gt;1)*('Cashflow Summary C19RM'!$D$5:$D$239=E231)*('Cashflow Summary C19RM'!$AA$5:$AA$239)))</f>
        <v>0</v>
      </c>
      <c r="U231" s="633" cm="1">
        <f t="array" ref="U231">$R231*(SUMPRODUCT(('Cashflow Summary C19RM'!$K$5:$K$239&lt;&gt;1)*('Cashflow Summary C19RM'!$D$5:$D$239=E231)*('Cashflow Summary C19RM'!$AB$5:$AB$239)))</f>
        <v>0</v>
      </c>
      <c r="V231" s="633" cm="1">
        <f t="array" ref="V231">$R231*(SUMPRODUCT(('Cashflow Summary C19RM'!$K$5:$K$239&lt;&gt;1)*('Cashflow Summary C19RM'!$D$5:$D$239=E231)*('Cashflow Summary C19RM'!$AC$5:$AC$239)))</f>
        <v>0</v>
      </c>
      <c r="W231" s="634">
        <f t="shared" si="100"/>
        <v>0</v>
      </c>
      <c r="X231" s="686">
        <f t="shared" si="101"/>
        <v>0</v>
      </c>
      <c r="Y231" s="633" cm="1">
        <f t="array" ref="Y231">$X231*(SUMPRODUCT(('Cashflow Summary C19RM'!$K$5:$K$239&lt;&gt;1)*('Cashflow Summary C19RM'!$D$5:$D$239=E231)*('Cashflow Summary C19RM'!$AD$5:$AD$239)))</f>
        <v>0</v>
      </c>
      <c r="Z231" s="633" cm="1">
        <f t="array" ref="Z231">$X231*(SUMPRODUCT(('Cashflow Summary C19RM'!$K$5:$K$239&lt;&gt;1)*('Cashflow Summary C19RM'!$D$5:$D$239=E231)*('Cashflow Summary C19RM'!$AE$5:$AE$239)))</f>
        <v>0</v>
      </c>
      <c r="AA231" s="633" cm="1">
        <f t="array" ref="AA231">$X231*(SUMPRODUCT(('Cashflow Summary C19RM'!$K$5:$K$239&lt;&gt;1)*('Cashflow Summary C19RM'!$D$5:$D$239=E231)*('Cashflow Summary C19RM'!$AF$5:$AF$239)))</f>
        <v>0</v>
      </c>
      <c r="AB231" s="630" cm="1">
        <f t="array" ref="AB231">$X231*(SUMPRODUCT(('Cashflow Summary C19RM'!$K$5:$K$239&lt;&gt;1)*('Cashflow Summary C19RM'!$D$5:$D$239=E231)*('Cashflow Summary C19RM'!$AG$5:$AG$239)))</f>
        <v>0</v>
      </c>
      <c r="AC231" s="634">
        <f t="shared" si="102"/>
        <v>0</v>
      </c>
      <c r="AD231" s="686">
        <f t="shared" si="103"/>
        <v>0</v>
      </c>
      <c r="AE231" s="628" cm="1">
        <f t="array" ref="AE231">$AD231*(SUMPRODUCT(('Cashflow Summary C19RM'!$K$5:$K$239&lt;&gt;1)*('Cashflow Summary C19RM'!$D$5:$D$239=E231)*('Cashflow Summary C19RM'!$AH$5:$AH$239)))</f>
        <v>0</v>
      </c>
      <c r="AF231" s="633" cm="1">
        <f t="array" ref="AF231">$AD231*(SUMPRODUCT(('Cashflow Summary C19RM'!$K$5:$K$239&lt;&gt;1)*('Cashflow Summary C19RM'!$D$5:$D$239=E231)*('Cashflow Summary C19RM'!$AI$5:$AI$239)))</f>
        <v>0</v>
      </c>
      <c r="AG231" s="633" cm="1">
        <f t="array" ref="AG231">$AD231*(SUMPRODUCT(('Cashflow Summary C19RM'!$K$5:$K$239&lt;&gt;1)*('Cashflow Summary C19RM'!$D$5:$D$239=E231)*('Cashflow Summary C19RM'!$AJ$5:$AJ$239)))</f>
        <v>0</v>
      </c>
      <c r="AH231" s="633" cm="1">
        <f t="array" ref="AH231">$AD231*(SUMPRODUCT(('Cashflow Summary C19RM'!$K$5:$K$239&lt;&gt;1)*('Cashflow Summary C19RM'!$D$5:$D$239=E231)*('Cashflow Summary C19RM'!$AK$5:$AO$239)))</f>
        <v>0</v>
      </c>
      <c r="AI231" s="634">
        <f t="shared" si="104"/>
        <v>0</v>
      </c>
      <c r="AJ231" s="875">
        <v>0</v>
      </c>
      <c r="AK231" s="872"/>
      <c r="AL231" s="873"/>
      <c r="AM231" s="873"/>
      <c r="AN231" s="873"/>
      <c r="AO231" s="874"/>
      <c r="AP231" s="635">
        <f t="shared" si="112"/>
        <v>0</v>
      </c>
      <c r="AQ231" s="636">
        <v>7.4</v>
      </c>
      <c r="AR231" s="707"/>
      <c r="AS231" s="310"/>
      <c r="AV231" s="228">
        <f t="shared" si="105"/>
        <v>0</v>
      </c>
      <c r="AW231" s="228">
        <f t="shared" si="106"/>
        <v>0</v>
      </c>
      <c r="AX231" s="228">
        <f t="shared" si="107"/>
        <v>0</v>
      </c>
      <c r="AY231" s="228">
        <f t="shared" si="108"/>
        <v>0</v>
      </c>
      <c r="AZ231" s="228">
        <f t="shared" si="109"/>
        <v>0</v>
      </c>
      <c r="BA231" s="228"/>
      <c r="BC231" s="345" cm="1">
        <f t="array" ref="BC231">IF(BM231&gt;=1,0,IFERROR(SUMPRODUCT(($G$11:$AH$11=$BC$16)*($G231:$AH231)),0))</f>
        <v>0</v>
      </c>
      <c r="BD231" s="345" cm="1">
        <f t="array" ref="BD231">IF(BM231&gt;=1,0,IFERROR(SUMPRODUCT(($G$11:$AH$11=$BD$16)*($G231:$AH231)),0))</f>
        <v>0</v>
      </c>
      <c r="BE231" s="345" cm="1">
        <f t="array" ref="BE231">IF(BM231&gt;=1,0,IFERROR(SUMPRODUCT(($G$11:$AH$11=$BE$16)*($G231:$AH231)),0))</f>
        <v>0</v>
      </c>
      <c r="BF231" s="345" cm="1">
        <f t="array" ref="BF231">IF(BM231&gt;=1,0,IFERROR(SUMPRODUCT(($G$11:$AH$11=$BF$16)*($G231:$AH231)),0))</f>
        <v>0</v>
      </c>
      <c r="BG231" s="345" cm="1">
        <f t="array" ref="BG231">IF(BM231&gt;=1,0,IFERROR(SUMPRODUCT(($G$11:$AH$11=$BG$16)*($G231:$AH231)),0))</f>
        <v>0</v>
      </c>
      <c r="BH231" s="345"/>
      <c r="BI231" s="343">
        <f t="shared" si="111"/>
        <v>0</v>
      </c>
      <c r="BJ231" s="230" t="s">
        <v>83</v>
      </c>
      <c r="BK231" cm="1">
        <f t="array" ref="BK231">(SUMPRODUCT(('Cashflow Summary C19RM'!$D$5:$D$451=E231)*('Cashflow Summary C19RM'!$BD$5:$BD$451)))</f>
        <v>0</v>
      </c>
      <c r="BL231" cm="1">
        <f t="array" ref="BL231">(SUMPRODUCT((SETUP!$D$20:$D$67=E231)*(SETUP!$R$20:$R$67)))</f>
        <v>0</v>
      </c>
      <c r="BM231" s="89">
        <f t="shared" si="110"/>
        <v>0</v>
      </c>
    </row>
    <row r="232" spans="2:97" s="89" customFormat="1" ht="15" customHeight="1" x14ac:dyDescent="0.35">
      <c r="B232" s="211" t="s">
        <v>697</v>
      </c>
      <c r="C232" s="699" t="s">
        <v>2750</v>
      </c>
      <c r="D232" s="1314"/>
      <c r="E232" s="1010" t="s">
        <v>17</v>
      </c>
      <c r="F232" s="697">
        <v>0</v>
      </c>
      <c r="G232" s="628" cm="1">
        <f t="array" ref="G232">$F232*(SUMPRODUCT(('Cashflow Summary C19RM'!$K$5:$K$239&lt;&gt;1)*('Cashflow Summary C19RM'!$D$5:$D$239=E232)*('Cashflow Summary C19RM'!$R$5:$R$239)))</f>
        <v>0</v>
      </c>
      <c r="H232" s="629" cm="1">
        <f t="array" ref="H232">$F232*(SUMPRODUCT(('Cashflow Summary C19RM'!$K$5:$K$239&lt;&gt;1)*('Cashflow Summary C19RM'!$D$5:$D$239=E232)*('Cashflow Summary C19RM'!$S$5:$S$239)))</f>
        <v>0</v>
      </c>
      <c r="I232" s="630" cm="1">
        <f t="array" ref="I232">$F232*(SUMPRODUCT(('Cashflow Summary C19RM'!$K$5:$K$239&lt;&gt;1)*('Cashflow Summary C19RM'!$D$5:$D$239=E232)*('Cashflow Summary C19RM'!$T$5:$T$239)))</f>
        <v>0</v>
      </c>
      <c r="J232" s="630" cm="1">
        <f t="array" ref="J232">$F232*(SUMPRODUCT(('Cashflow Summary C19RM'!$K$5:$K$239&lt;&gt;1)*('Cashflow Summary C19RM'!$D$5:$D$239=E232)*('Cashflow Summary C19RM'!$U$5:$U$239)))</f>
        <v>0</v>
      </c>
      <c r="K232" s="631">
        <f t="shared" si="96"/>
        <v>0</v>
      </c>
      <c r="L232" s="686">
        <f t="shared" si="97"/>
        <v>0</v>
      </c>
      <c r="M232" s="630" cm="1">
        <f t="array" ref="M232">$L232*(SUMPRODUCT(('Cashflow Summary C19RM'!$K$5:$K$239&lt;&gt;1)*('Cashflow Summary C19RM'!$D$5:$D$239=E232)*('Cashflow Summary C19RM'!$V$5:$V$239)))</f>
        <v>0</v>
      </c>
      <c r="N232" s="630" cm="1">
        <f t="array" ref="N232">$L232*(SUMPRODUCT(('Cashflow Summary C19RM'!$K$5:$K$239&lt;&gt;1)*('Cashflow Summary C19RM'!$D$5:$D$239=E232)*('Cashflow Summary C19RM'!$W$5:$W$239)))</f>
        <v>0</v>
      </c>
      <c r="O232" s="630" cm="1">
        <f t="array" ref="O232">$L232*(SUMPRODUCT(('Cashflow Summary C19RM'!$K$5:$K$239&lt;&gt;1)*('Cashflow Summary C19RM'!$D$5:$D$239=E232)*('Cashflow Summary C19RM'!$X$5:$X$239)))</f>
        <v>0</v>
      </c>
      <c r="P232" s="630" cm="1">
        <f t="array" ref="P232">$L232*(SUMPRODUCT(('Cashflow Summary C19RM'!$K$5:$K$239&lt;&gt;1)*('Cashflow Summary C19RM'!$D$5:$D$239=E232)*('Cashflow Summary C19RM'!$Y$5:$Y$239)))</f>
        <v>0</v>
      </c>
      <c r="Q232" s="632">
        <f t="shared" si="98"/>
        <v>0</v>
      </c>
      <c r="R232" s="686">
        <f t="shared" si="99"/>
        <v>0</v>
      </c>
      <c r="S232" s="633" cm="1">
        <f t="array" ref="S232">$R232*(SUMPRODUCT(('Cashflow Summary C19RM'!$K$5:$K$239&lt;&gt;1)*('Cashflow Summary C19RM'!$D$5:$D$239=E232)*('Cashflow Summary C19RM'!$Z$5:$Z$239)))</f>
        <v>0</v>
      </c>
      <c r="T232" s="633" cm="1">
        <f t="array" ref="T232">$R232*(SUMPRODUCT(('Cashflow Summary C19RM'!$K$5:$K$239&lt;&gt;1)*('Cashflow Summary C19RM'!$D$5:$D$239=E232)*('Cashflow Summary C19RM'!$AA$5:$AA$239)))</f>
        <v>0</v>
      </c>
      <c r="U232" s="633" cm="1">
        <f t="array" ref="U232">$R232*(SUMPRODUCT(('Cashflow Summary C19RM'!$K$5:$K$239&lt;&gt;1)*('Cashflow Summary C19RM'!$D$5:$D$239=E232)*('Cashflow Summary C19RM'!$AB$5:$AB$239)))</f>
        <v>0</v>
      </c>
      <c r="V232" s="633" cm="1">
        <f t="array" ref="V232">$R232*(SUMPRODUCT(('Cashflow Summary C19RM'!$K$5:$K$239&lt;&gt;1)*('Cashflow Summary C19RM'!$D$5:$D$239=E232)*('Cashflow Summary C19RM'!$AC$5:$AC$239)))</f>
        <v>0</v>
      </c>
      <c r="W232" s="634">
        <f t="shared" si="100"/>
        <v>0</v>
      </c>
      <c r="X232" s="686">
        <f t="shared" si="101"/>
        <v>0</v>
      </c>
      <c r="Y232" s="633" cm="1">
        <f t="array" ref="Y232">$X232*(SUMPRODUCT(('Cashflow Summary C19RM'!$K$5:$K$239&lt;&gt;1)*('Cashflow Summary C19RM'!$D$5:$D$239=E232)*('Cashflow Summary C19RM'!$AD$5:$AD$239)))</f>
        <v>0</v>
      </c>
      <c r="Z232" s="633" cm="1">
        <f t="array" ref="Z232">$X232*(SUMPRODUCT(('Cashflow Summary C19RM'!$K$5:$K$239&lt;&gt;1)*('Cashflow Summary C19RM'!$D$5:$D$239=E232)*('Cashflow Summary C19RM'!$AE$5:$AE$239)))</f>
        <v>0</v>
      </c>
      <c r="AA232" s="633" cm="1">
        <f t="array" ref="AA232">$X232*(SUMPRODUCT(('Cashflow Summary C19RM'!$K$5:$K$239&lt;&gt;1)*('Cashflow Summary C19RM'!$D$5:$D$239=E232)*('Cashflow Summary C19RM'!$AF$5:$AF$239)))</f>
        <v>0</v>
      </c>
      <c r="AB232" s="630" cm="1">
        <f t="array" ref="AB232">$X232*(SUMPRODUCT(('Cashflow Summary C19RM'!$K$5:$K$239&lt;&gt;1)*('Cashflow Summary C19RM'!$D$5:$D$239=E232)*('Cashflow Summary C19RM'!$AG$5:$AG$239)))</f>
        <v>0</v>
      </c>
      <c r="AC232" s="634">
        <f t="shared" si="102"/>
        <v>0</v>
      </c>
      <c r="AD232" s="686">
        <f t="shared" si="103"/>
        <v>0</v>
      </c>
      <c r="AE232" s="628" cm="1">
        <f t="array" ref="AE232">$AD232*(SUMPRODUCT(('Cashflow Summary C19RM'!$K$5:$K$239&lt;&gt;1)*('Cashflow Summary C19RM'!$D$5:$D$239=E232)*('Cashflow Summary C19RM'!$AH$5:$AH$239)))</f>
        <v>0</v>
      </c>
      <c r="AF232" s="633" cm="1">
        <f t="array" ref="AF232">$AD232*(SUMPRODUCT(('Cashflow Summary C19RM'!$K$5:$K$239&lt;&gt;1)*('Cashflow Summary C19RM'!$D$5:$D$239=E232)*('Cashflow Summary C19RM'!$AI$5:$AI$239)))</f>
        <v>0</v>
      </c>
      <c r="AG232" s="633" cm="1">
        <f t="array" ref="AG232">$AD232*(SUMPRODUCT(('Cashflow Summary C19RM'!$K$5:$K$239&lt;&gt;1)*('Cashflow Summary C19RM'!$D$5:$D$239=E232)*('Cashflow Summary C19RM'!$AJ$5:$AJ$239)))</f>
        <v>0</v>
      </c>
      <c r="AH232" s="633" cm="1">
        <f t="array" ref="AH232">$AD232*(SUMPRODUCT(('Cashflow Summary C19RM'!$K$5:$K$239&lt;&gt;1)*('Cashflow Summary C19RM'!$D$5:$D$239=E232)*('Cashflow Summary C19RM'!$AK$5:$AO$239)))</f>
        <v>0</v>
      </c>
      <c r="AI232" s="634">
        <f t="shared" si="104"/>
        <v>0</v>
      </c>
      <c r="AJ232" s="875">
        <v>0</v>
      </c>
      <c r="AK232" s="872"/>
      <c r="AL232" s="873"/>
      <c r="AM232" s="873"/>
      <c r="AN232" s="873"/>
      <c r="AO232" s="874"/>
      <c r="AP232" s="635">
        <f t="shared" si="112"/>
        <v>0</v>
      </c>
      <c r="AQ232" s="636">
        <v>7.4</v>
      </c>
      <c r="AR232" s="707"/>
      <c r="AS232" s="310"/>
      <c r="AV232" s="228">
        <f t="shared" si="105"/>
        <v>0</v>
      </c>
      <c r="AW232" s="228">
        <f t="shared" si="106"/>
        <v>0</v>
      </c>
      <c r="AX232" s="228">
        <f t="shared" si="107"/>
        <v>0</v>
      </c>
      <c r="AY232" s="228">
        <f t="shared" si="108"/>
        <v>0</v>
      </c>
      <c r="AZ232" s="228">
        <f t="shared" si="109"/>
        <v>0</v>
      </c>
      <c r="BA232" s="228"/>
      <c r="BC232" s="345" cm="1">
        <f t="array" ref="BC232">IF(BM232&gt;=1,0,IFERROR(SUMPRODUCT(($G$11:$AH$11=$BC$16)*($G232:$AH232)),0))</f>
        <v>0</v>
      </c>
      <c r="BD232" s="345" cm="1">
        <f t="array" ref="BD232">IF(BM232&gt;=1,0,IFERROR(SUMPRODUCT(($G$11:$AH$11=$BD$16)*($G232:$AH232)),0))</f>
        <v>0</v>
      </c>
      <c r="BE232" s="345" cm="1">
        <f t="array" ref="BE232">IF(BM232&gt;=1,0,IFERROR(SUMPRODUCT(($G$11:$AH$11=$BE$16)*($G232:$AH232)),0))</f>
        <v>0</v>
      </c>
      <c r="BF232" s="345" cm="1">
        <f t="array" ref="BF232">IF(BM232&gt;=1,0,IFERROR(SUMPRODUCT(($G$11:$AH$11=$BF$16)*($G232:$AH232)),0))</f>
        <v>0</v>
      </c>
      <c r="BG232" s="345" cm="1">
        <f t="array" ref="BG232">IF(BM232&gt;=1,0,IFERROR(SUMPRODUCT(($G$11:$AH$11=$BG$16)*($G232:$AH232)),0))</f>
        <v>0</v>
      </c>
      <c r="BH232" s="345"/>
      <c r="BI232" s="343">
        <f t="shared" si="111"/>
        <v>0</v>
      </c>
      <c r="BJ232" s="230" t="s">
        <v>83</v>
      </c>
      <c r="BK232" cm="1">
        <f t="array" ref="BK232">(SUMPRODUCT(('Cashflow Summary C19RM'!$D$5:$D$451=E232)*('Cashflow Summary C19RM'!$BD$5:$BD$451)))</f>
        <v>0</v>
      </c>
      <c r="BL232" cm="1">
        <f t="array" ref="BL232">(SUMPRODUCT((SETUP!$D$20:$D$67=E232)*(SETUP!$R$20:$R$67)))</f>
        <v>0</v>
      </c>
      <c r="BM232" s="89">
        <f t="shared" si="110"/>
        <v>0</v>
      </c>
    </row>
    <row r="233" spans="2:97" s="89" customFormat="1" ht="15" customHeight="1" x14ac:dyDescent="0.35">
      <c r="B233" s="211" t="s">
        <v>697</v>
      </c>
      <c r="C233" s="699" t="s">
        <v>2750</v>
      </c>
      <c r="D233" s="1314"/>
      <c r="E233" s="1010" t="s">
        <v>19</v>
      </c>
      <c r="F233" s="697">
        <v>0</v>
      </c>
      <c r="G233" s="628" cm="1">
        <f t="array" ref="G233">$F233*(SUMPRODUCT(('Cashflow Summary C19RM'!$K$5:$K$239&lt;&gt;1)*('Cashflow Summary C19RM'!$D$5:$D$239=E233)*('Cashflow Summary C19RM'!$R$5:$R$239)))</f>
        <v>0</v>
      </c>
      <c r="H233" s="629" cm="1">
        <f t="array" ref="H233">$F233*(SUMPRODUCT(('Cashflow Summary C19RM'!$K$5:$K$239&lt;&gt;1)*('Cashflow Summary C19RM'!$D$5:$D$239=E233)*('Cashflow Summary C19RM'!$S$5:$S$239)))</f>
        <v>0</v>
      </c>
      <c r="I233" s="630" cm="1">
        <f t="array" ref="I233">$F233*(SUMPRODUCT(('Cashflow Summary C19RM'!$K$5:$K$239&lt;&gt;1)*('Cashflow Summary C19RM'!$D$5:$D$239=E233)*('Cashflow Summary C19RM'!$T$5:$T$239)))</f>
        <v>0</v>
      </c>
      <c r="J233" s="630" cm="1">
        <f t="array" ref="J233">$F233*(SUMPRODUCT(('Cashflow Summary C19RM'!$K$5:$K$239&lt;&gt;1)*('Cashflow Summary C19RM'!$D$5:$D$239=E233)*('Cashflow Summary C19RM'!$U$5:$U$239)))</f>
        <v>0</v>
      </c>
      <c r="K233" s="631">
        <f t="shared" si="96"/>
        <v>0</v>
      </c>
      <c r="L233" s="686">
        <f t="shared" si="97"/>
        <v>0</v>
      </c>
      <c r="M233" s="630" cm="1">
        <f t="array" ref="M233">$L233*(SUMPRODUCT(('Cashflow Summary C19RM'!$K$5:$K$239&lt;&gt;1)*('Cashflow Summary C19RM'!$D$5:$D$239=E233)*('Cashflow Summary C19RM'!$V$5:$V$239)))</f>
        <v>0</v>
      </c>
      <c r="N233" s="630" cm="1">
        <f t="array" ref="N233">$L233*(SUMPRODUCT(('Cashflow Summary C19RM'!$K$5:$K$239&lt;&gt;1)*('Cashflow Summary C19RM'!$D$5:$D$239=E233)*('Cashflow Summary C19RM'!$W$5:$W$239)))</f>
        <v>0</v>
      </c>
      <c r="O233" s="630" cm="1">
        <f t="array" ref="O233">$L233*(SUMPRODUCT(('Cashflow Summary C19RM'!$K$5:$K$239&lt;&gt;1)*('Cashflow Summary C19RM'!$D$5:$D$239=E233)*('Cashflow Summary C19RM'!$X$5:$X$239)))</f>
        <v>0</v>
      </c>
      <c r="P233" s="630" cm="1">
        <f t="array" ref="P233">$L233*(SUMPRODUCT(('Cashflow Summary C19RM'!$K$5:$K$239&lt;&gt;1)*('Cashflow Summary C19RM'!$D$5:$D$239=E233)*('Cashflow Summary C19RM'!$Y$5:$Y$239)))</f>
        <v>0</v>
      </c>
      <c r="Q233" s="632">
        <f t="shared" si="98"/>
        <v>0</v>
      </c>
      <c r="R233" s="686">
        <f t="shared" si="99"/>
        <v>0</v>
      </c>
      <c r="S233" s="633" cm="1">
        <f t="array" ref="S233">$R233*(SUMPRODUCT(('Cashflow Summary C19RM'!$K$5:$K$239&lt;&gt;1)*('Cashflow Summary C19RM'!$D$5:$D$239=E233)*('Cashflow Summary C19RM'!$Z$5:$Z$239)))</f>
        <v>0</v>
      </c>
      <c r="T233" s="633" cm="1">
        <f t="array" ref="T233">$R233*(SUMPRODUCT(('Cashflow Summary C19RM'!$K$5:$K$239&lt;&gt;1)*('Cashflow Summary C19RM'!$D$5:$D$239=E233)*('Cashflow Summary C19RM'!$AA$5:$AA$239)))</f>
        <v>0</v>
      </c>
      <c r="U233" s="633" cm="1">
        <f t="array" ref="U233">$R233*(SUMPRODUCT(('Cashflow Summary C19RM'!$K$5:$K$239&lt;&gt;1)*('Cashflow Summary C19RM'!$D$5:$D$239=E233)*('Cashflow Summary C19RM'!$AB$5:$AB$239)))</f>
        <v>0</v>
      </c>
      <c r="V233" s="633" cm="1">
        <f t="array" ref="V233">$R233*(SUMPRODUCT(('Cashflow Summary C19RM'!$K$5:$K$239&lt;&gt;1)*('Cashflow Summary C19RM'!$D$5:$D$239=E233)*('Cashflow Summary C19RM'!$AC$5:$AC$239)))</f>
        <v>0</v>
      </c>
      <c r="W233" s="634">
        <f t="shared" si="100"/>
        <v>0</v>
      </c>
      <c r="X233" s="686">
        <f t="shared" si="101"/>
        <v>0</v>
      </c>
      <c r="Y233" s="633" cm="1">
        <f t="array" ref="Y233">$X233*(SUMPRODUCT(('Cashflow Summary C19RM'!$K$5:$K$239&lt;&gt;1)*('Cashflow Summary C19RM'!$D$5:$D$239=E233)*('Cashflow Summary C19RM'!$AD$5:$AD$239)))</f>
        <v>0</v>
      </c>
      <c r="Z233" s="633" cm="1">
        <f t="array" ref="Z233">$X233*(SUMPRODUCT(('Cashflow Summary C19RM'!$K$5:$K$239&lt;&gt;1)*('Cashflow Summary C19RM'!$D$5:$D$239=E233)*('Cashflow Summary C19RM'!$AE$5:$AE$239)))</f>
        <v>0</v>
      </c>
      <c r="AA233" s="633" cm="1">
        <f t="array" ref="AA233">$X233*(SUMPRODUCT(('Cashflow Summary C19RM'!$K$5:$K$239&lt;&gt;1)*('Cashflow Summary C19RM'!$D$5:$D$239=E233)*('Cashflow Summary C19RM'!$AF$5:$AF$239)))</f>
        <v>0</v>
      </c>
      <c r="AB233" s="630" cm="1">
        <f t="array" ref="AB233">$X233*(SUMPRODUCT(('Cashflow Summary C19RM'!$K$5:$K$239&lt;&gt;1)*('Cashflow Summary C19RM'!$D$5:$D$239=E233)*('Cashflow Summary C19RM'!$AG$5:$AG$239)))</f>
        <v>0</v>
      </c>
      <c r="AC233" s="634">
        <f t="shared" si="102"/>
        <v>0</v>
      </c>
      <c r="AD233" s="686">
        <f t="shared" si="103"/>
        <v>0</v>
      </c>
      <c r="AE233" s="628" cm="1">
        <f t="array" ref="AE233">$AD233*(SUMPRODUCT(('Cashflow Summary C19RM'!$K$5:$K$239&lt;&gt;1)*('Cashflow Summary C19RM'!$D$5:$D$239=E233)*('Cashflow Summary C19RM'!$AH$5:$AH$239)))</f>
        <v>0</v>
      </c>
      <c r="AF233" s="633" cm="1">
        <f t="array" ref="AF233">$AD233*(SUMPRODUCT(('Cashflow Summary C19RM'!$K$5:$K$239&lt;&gt;1)*('Cashflow Summary C19RM'!$D$5:$D$239=E233)*('Cashflow Summary C19RM'!$AI$5:$AI$239)))</f>
        <v>0</v>
      </c>
      <c r="AG233" s="633" cm="1">
        <f t="array" ref="AG233">$AD233*(SUMPRODUCT(('Cashflow Summary C19RM'!$K$5:$K$239&lt;&gt;1)*('Cashflow Summary C19RM'!$D$5:$D$239=E233)*('Cashflow Summary C19RM'!$AJ$5:$AJ$239)))</f>
        <v>0</v>
      </c>
      <c r="AH233" s="633" cm="1">
        <f t="array" ref="AH233">$AD233*(SUMPRODUCT(('Cashflow Summary C19RM'!$K$5:$K$239&lt;&gt;1)*('Cashflow Summary C19RM'!$D$5:$D$239=E233)*('Cashflow Summary C19RM'!$AK$5:$AO$239)))</f>
        <v>0</v>
      </c>
      <c r="AI233" s="634">
        <f t="shared" si="104"/>
        <v>0</v>
      </c>
      <c r="AJ233" s="875">
        <v>0</v>
      </c>
      <c r="AK233" s="872"/>
      <c r="AL233" s="873"/>
      <c r="AM233" s="873"/>
      <c r="AN233" s="873"/>
      <c r="AO233" s="874"/>
      <c r="AP233" s="635">
        <f t="shared" si="112"/>
        <v>0</v>
      </c>
      <c r="AQ233" s="636">
        <v>7.4</v>
      </c>
      <c r="AR233" s="707"/>
      <c r="AS233" s="310"/>
      <c r="AV233" s="228">
        <f t="shared" si="105"/>
        <v>0</v>
      </c>
      <c r="AW233" s="228">
        <f t="shared" si="106"/>
        <v>0</v>
      </c>
      <c r="AX233" s="228">
        <f t="shared" si="107"/>
        <v>0</v>
      </c>
      <c r="AY233" s="228">
        <f t="shared" si="108"/>
        <v>0</v>
      </c>
      <c r="AZ233" s="228">
        <f t="shared" si="109"/>
        <v>0</v>
      </c>
      <c r="BA233" s="228"/>
      <c r="BC233" s="345" cm="1">
        <f t="array" ref="BC233">IF(BM233&gt;=1,0,IFERROR(SUMPRODUCT(($G$11:$AH$11=$BC$16)*($G233:$AH233)),0))</f>
        <v>0</v>
      </c>
      <c r="BD233" s="345" cm="1">
        <f t="array" ref="BD233">IF(BM233&gt;=1,0,IFERROR(SUMPRODUCT(($G$11:$AH$11=$BD$16)*($G233:$AH233)),0))</f>
        <v>0</v>
      </c>
      <c r="BE233" s="345" cm="1">
        <f t="array" ref="BE233">IF(BM233&gt;=1,0,IFERROR(SUMPRODUCT(($G$11:$AH$11=$BE$16)*($G233:$AH233)),0))</f>
        <v>0</v>
      </c>
      <c r="BF233" s="345" cm="1">
        <f t="array" ref="BF233">IF(BM233&gt;=1,0,IFERROR(SUMPRODUCT(($G$11:$AH$11=$BF$16)*($G233:$AH233)),0))</f>
        <v>0</v>
      </c>
      <c r="BG233" s="345" cm="1">
        <f t="array" ref="BG233">IF(BM233&gt;=1,0,IFERROR(SUMPRODUCT(($G$11:$AH$11=$BG$16)*($G233:$AH233)),0))</f>
        <v>0</v>
      </c>
      <c r="BH233" s="345"/>
      <c r="BI233" s="343">
        <f t="shared" si="111"/>
        <v>0</v>
      </c>
      <c r="BJ233" s="230" t="s">
        <v>83</v>
      </c>
      <c r="BK233" cm="1">
        <f t="array" ref="BK233">(SUMPRODUCT(('Cashflow Summary C19RM'!$D$5:$D$451=E233)*('Cashflow Summary C19RM'!$BD$5:$BD$451)))</f>
        <v>0</v>
      </c>
      <c r="BL233" cm="1">
        <f t="array" ref="BL233">(SUMPRODUCT((SETUP!$D$20:$D$67=E233)*(SETUP!$R$20:$R$67)))</f>
        <v>0</v>
      </c>
      <c r="BM233" s="89">
        <f t="shared" si="110"/>
        <v>0</v>
      </c>
    </row>
    <row r="234" spans="2:97" s="89" customFormat="1" ht="15" customHeight="1" x14ac:dyDescent="0.35">
      <c r="B234" s="211" t="s">
        <v>697</v>
      </c>
      <c r="C234" s="699" t="s">
        <v>2750</v>
      </c>
      <c r="D234" s="1314"/>
      <c r="E234" s="1010" t="s">
        <v>122</v>
      </c>
      <c r="F234" s="697">
        <v>0</v>
      </c>
      <c r="G234" s="628" cm="1">
        <f t="array" ref="G234">$F234*(SUMPRODUCT(('Cashflow Summary C19RM'!$K$5:$K$239&lt;&gt;1)*('Cashflow Summary C19RM'!$D$5:$D$239=E234)*('Cashflow Summary C19RM'!$R$5:$R$239)))</f>
        <v>0</v>
      </c>
      <c r="H234" s="629" cm="1">
        <f t="array" ref="H234">$F234*(SUMPRODUCT(('Cashflow Summary C19RM'!$K$5:$K$239&lt;&gt;1)*('Cashflow Summary C19RM'!$D$5:$D$239=E234)*('Cashflow Summary C19RM'!$S$5:$S$239)))</f>
        <v>0</v>
      </c>
      <c r="I234" s="630" cm="1">
        <f t="array" ref="I234">$F234*(SUMPRODUCT(('Cashflow Summary C19RM'!$K$5:$K$239&lt;&gt;1)*('Cashflow Summary C19RM'!$D$5:$D$239=E234)*('Cashflow Summary C19RM'!$T$5:$T$239)))</f>
        <v>0</v>
      </c>
      <c r="J234" s="630" cm="1">
        <f t="array" ref="J234">$F234*(SUMPRODUCT(('Cashflow Summary C19RM'!$K$5:$K$239&lt;&gt;1)*('Cashflow Summary C19RM'!$D$5:$D$239=E234)*('Cashflow Summary C19RM'!$U$5:$U$239)))</f>
        <v>0</v>
      </c>
      <c r="K234" s="631">
        <f t="shared" si="96"/>
        <v>0</v>
      </c>
      <c r="L234" s="686">
        <f t="shared" si="97"/>
        <v>0</v>
      </c>
      <c r="M234" s="630" cm="1">
        <f t="array" ref="M234">$L234*(SUMPRODUCT(('Cashflow Summary C19RM'!$K$5:$K$239&lt;&gt;1)*('Cashflow Summary C19RM'!$D$5:$D$239=E234)*('Cashflow Summary C19RM'!$V$5:$V$239)))</f>
        <v>0</v>
      </c>
      <c r="N234" s="630" cm="1">
        <f t="array" ref="N234">$L234*(SUMPRODUCT(('Cashflow Summary C19RM'!$K$5:$K$239&lt;&gt;1)*('Cashflow Summary C19RM'!$D$5:$D$239=E234)*('Cashflow Summary C19RM'!$W$5:$W$239)))</f>
        <v>0</v>
      </c>
      <c r="O234" s="630" cm="1">
        <f t="array" ref="O234">$L234*(SUMPRODUCT(('Cashflow Summary C19RM'!$K$5:$K$239&lt;&gt;1)*('Cashflow Summary C19RM'!$D$5:$D$239=E234)*('Cashflow Summary C19RM'!$X$5:$X$239)))</f>
        <v>0</v>
      </c>
      <c r="P234" s="630" cm="1">
        <f t="array" ref="P234">$L234*(SUMPRODUCT(('Cashflow Summary C19RM'!$K$5:$K$239&lt;&gt;1)*('Cashflow Summary C19RM'!$D$5:$D$239=E234)*('Cashflow Summary C19RM'!$Y$5:$Y$239)))</f>
        <v>0</v>
      </c>
      <c r="Q234" s="632">
        <f t="shared" si="98"/>
        <v>0</v>
      </c>
      <c r="R234" s="686">
        <f t="shared" si="99"/>
        <v>0</v>
      </c>
      <c r="S234" s="633" cm="1">
        <f t="array" ref="S234">$R234*(SUMPRODUCT(('Cashflow Summary C19RM'!$K$5:$K$239&lt;&gt;1)*('Cashflow Summary C19RM'!$D$5:$D$239=E234)*('Cashflow Summary C19RM'!$Z$5:$Z$239)))</f>
        <v>0</v>
      </c>
      <c r="T234" s="633" cm="1">
        <f t="array" ref="T234">$R234*(SUMPRODUCT(('Cashflow Summary C19RM'!$K$5:$K$239&lt;&gt;1)*('Cashflow Summary C19RM'!$D$5:$D$239=E234)*('Cashflow Summary C19RM'!$AA$5:$AA$239)))</f>
        <v>0</v>
      </c>
      <c r="U234" s="633" cm="1">
        <f t="array" ref="U234">$R234*(SUMPRODUCT(('Cashflow Summary C19RM'!$K$5:$K$239&lt;&gt;1)*('Cashflow Summary C19RM'!$D$5:$D$239=E234)*('Cashflow Summary C19RM'!$AB$5:$AB$239)))</f>
        <v>0</v>
      </c>
      <c r="V234" s="633" cm="1">
        <f t="array" ref="V234">$R234*(SUMPRODUCT(('Cashflow Summary C19RM'!$K$5:$K$239&lt;&gt;1)*('Cashflow Summary C19RM'!$D$5:$D$239=E234)*('Cashflow Summary C19RM'!$AC$5:$AC$239)))</f>
        <v>0</v>
      </c>
      <c r="W234" s="634">
        <f t="shared" si="100"/>
        <v>0</v>
      </c>
      <c r="X234" s="686">
        <f t="shared" si="101"/>
        <v>0</v>
      </c>
      <c r="Y234" s="633" cm="1">
        <f t="array" ref="Y234">$X234*(SUMPRODUCT(('Cashflow Summary C19RM'!$K$5:$K$239&lt;&gt;1)*('Cashflow Summary C19RM'!$D$5:$D$239=E234)*('Cashflow Summary C19RM'!$AD$5:$AD$239)))</f>
        <v>0</v>
      </c>
      <c r="Z234" s="633" cm="1">
        <f t="array" ref="Z234">$X234*(SUMPRODUCT(('Cashflow Summary C19RM'!$K$5:$K$239&lt;&gt;1)*('Cashflow Summary C19RM'!$D$5:$D$239=E234)*('Cashflow Summary C19RM'!$AE$5:$AE$239)))</f>
        <v>0</v>
      </c>
      <c r="AA234" s="633" cm="1">
        <f t="array" ref="AA234">$X234*(SUMPRODUCT(('Cashflow Summary C19RM'!$K$5:$K$239&lt;&gt;1)*('Cashflow Summary C19RM'!$D$5:$D$239=E234)*('Cashflow Summary C19RM'!$AF$5:$AF$239)))</f>
        <v>0</v>
      </c>
      <c r="AB234" s="630" cm="1">
        <f t="array" ref="AB234">$X234*(SUMPRODUCT(('Cashflow Summary C19RM'!$K$5:$K$239&lt;&gt;1)*('Cashflow Summary C19RM'!$D$5:$D$239=E234)*('Cashflow Summary C19RM'!$AG$5:$AG$239)))</f>
        <v>0</v>
      </c>
      <c r="AC234" s="634">
        <f t="shared" si="102"/>
        <v>0</v>
      </c>
      <c r="AD234" s="686">
        <f t="shared" si="103"/>
        <v>0</v>
      </c>
      <c r="AE234" s="628" cm="1">
        <f t="array" ref="AE234">$AD234*(SUMPRODUCT(('Cashflow Summary C19RM'!$K$5:$K$239&lt;&gt;1)*('Cashflow Summary C19RM'!$D$5:$D$239=E234)*('Cashflow Summary C19RM'!$AH$5:$AH$239)))</f>
        <v>0</v>
      </c>
      <c r="AF234" s="633" cm="1">
        <f t="array" ref="AF234">$AD234*(SUMPRODUCT(('Cashflow Summary C19RM'!$K$5:$K$239&lt;&gt;1)*('Cashflow Summary C19RM'!$D$5:$D$239=E234)*('Cashflow Summary C19RM'!$AI$5:$AI$239)))</f>
        <v>0</v>
      </c>
      <c r="AG234" s="633" cm="1">
        <f t="array" ref="AG234">$AD234*(SUMPRODUCT(('Cashflow Summary C19RM'!$K$5:$K$239&lt;&gt;1)*('Cashflow Summary C19RM'!$D$5:$D$239=E234)*('Cashflow Summary C19RM'!$AJ$5:$AJ$239)))</f>
        <v>0</v>
      </c>
      <c r="AH234" s="633" cm="1">
        <f t="array" ref="AH234">$AD234*(SUMPRODUCT(('Cashflow Summary C19RM'!$K$5:$K$239&lt;&gt;1)*('Cashflow Summary C19RM'!$D$5:$D$239=E234)*('Cashflow Summary C19RM'!$AK$5:$AO$239)))</f>
        <v>0</v>
      </c>
      <c r="AI234" s="634">
        <f t="shared" si="104"/>
        <v>0</v>
      </c>
      <c r="AJ234" s="875">
        <v>0</v>
      </c>
      <c r="AK234" s="872"/>
      <c r="AL234" s="873"/>
      <c r="AM234" s="873"/>
      <c r="AN234" s="873"/>
      <c r="AO234" s="874"/>
      <c r="AP234" s="635">
        <f t="shared" si="112"/>
        <v>0</v>
      </c>
      <c r="AQ234" s="636">
        <v>7.4</v>
      </c>
      <c r="AR234" s="707"/>
      <c r="AS234" s="310"/>
      <c r="AV234" s="228">
        <f t="shared" si="105"/>
        <v>0</v>
      </c>
      <c r="AW234" s="228">
        <f t="shared" si="106"/>
        <v>0</v>
      </c>
      <c r="AX234" s="228">
        <f t="shared" si="107"/>
        <v>0</v>
      </c>
      <c r="AY234" s="228">
        <f t="shared" si="108"/>
        <v>0</v>
      </c>
      <c r="AZ234" s="228">
        <f t="shared" si="109"/>
        <v>0</v>
      </c>
      <c r="BA234" s="228"/>
      <c r="BC234" s="345" cm="1">
        <f t="array" ref="BC234">IF(BM234&gt;=1,0,IFERROR(SUMPRODUCT(($G$11:$AH$11=$BC$16)*($G234:$AH234)),0))</f>
        <v>0</v>
      </c>
      <c r="BD234" s="345" cm="1">
        <f t="array" ref="BD234">IF(BM234&gt;=1,0,IFERROR(SUMPRODUCT(($G$11:$AH$11=$BD$16)*($G234:$AH234)),0))</f>
        <v>0</v>
      </c>
      <c r="BE234" s="345" cm="1">
        <f t="array" ref="BE234">IF(BM234&gt;=1,0,IFERROR(SUMPRODUCT(($G$11:$AH$11=$BE$16)*($G234:$AH234)),0))</f>
        <v>0</v>
      </c>
      <c r="BF234" s="345" cm="1">
        <f t="array" ref="BF234">IF(BM234&gt;=1,0,IFERROR(SUMPRODUCT(($G$11:$AH$11=$BF$16)*($G234:$AH234)),0))</f>
        <v>0</v>
      </c>
      <c r="BG234" s="345" cm="1">
        <f t="array" ref="BG234">IF(BM234&gt;=1,0,IFERROR(SUMPRODUCT(($G$11:$AH$11=$BG$16)*($G234:$AH234)),0))</f>
        <v>0</v>
      </c>
      <c r="BH234" s="345"/>
      <c r="BI234" s="343">
        <f t="shared" si="111"/>
        <v>0</v>
      </c>
      <c r="BJ234" s="230" t="s">
        <v>83</v>
      </c>
      <c r="BK234" cm="1">
        <f t="array" ref="BK234">(SUMPRODUCT(('Cashflow Summary C19RM'!$D$5:$D$451=E234)*('Cashflow Summary C19RM'!$BD$5:$BD$451)))</f>
        <v>0</v>
      </c>
      <c r="BL234" cm="1">
        <f t="array" ref="BL234">(SUMPRODUCT((SETUP!$D$20:$D$67=E234)*(SETUP!$R$20:$R$67)))</f>
        <v>0</v>
      </c>
      <c r="BM234" s="89">
        <f t="shared" si="110"/>
        <v>0</v>
      </c>
    </row>
    <row r="235" spans="2:97" s="89" customFormat="1" ht="15" customHeight="1" x14ac:dyDescent="0.35">
      <c r="B235" s="211" t="s">
        <v>697</v>
      </c>
      <c r="C235" s="699" t="s">
        <v>2750</v>
      </c>
      <c r="D235" s="1314"/>
      <c r="E235" s="1010" t="s">
        <v>21</v>
      </c>
      <c r="F235" s="697">
        <v>0</v>
      </c>
      <c r="G235" s="628" cm="1">
        <f t="array" ref="G235">$F235*(SUMPRODUCT(('Cashflow Summary C19RM'!$K$5:$K$239&lt;&gt;1)*('Cashflow Summary C19RM'!$D$5:$D$239=E235)*('Cashflow Summary C19RM'!$R$5:$R$239)))</f>
        <v>0</v>
      </c>
      <c r="H235" s="629" cm="1">
        <f t="array" ref="H235">$F235*(SUMPRODUCT(('Cashflow Summary C19RM'!$K$5:$K$239&lt;&gt;1)*('Cashflow Summary C19RM'!$D$5:$D$239=E235)*('Cashflow Summary C19RM'!$S$5:$S$239)))</f>
        <v>0</v>
      </c>
      <c r="I235" s="630" cm="1">
        <f t="array" ref="I235">$F235*(SUMPRODUCT(('Cashflow Summary C19RM'!$K$5:$K$239&lt;&gt;1)*('Cashflow Summary C19RM'!$D$5:$D$239=E235)*('Cashflow Summary C19RM'!$T$5:$T$239)))</f>
        <v>0</v>
      </c>
      <c r="J235" s="630" cm="1">
        <f t="array" ref="J235">$F235*(SUMPRODUCT(('Cashflow Summary C19RM'!$K$5:$K$239&lt;&gt;1)*('Cashflow Summary C19RM'!$D$5:$D$239=E235)*('Cashflow Summary C19RM'!$U$5:$U$239)))</f>
        <v>0</v>
      </c>
      <c r="K235" s="631">
        <f t="shared" si="96"/>
        <v>0</v>
      </c>
      <c r="L235" s="686">
        <f t="shared" si="97"/>
        <v>0</v>
      </c>
      <c r="M235" s="630" cm="1">
        <f t="array" ref="M235">$L235*(SUMPRODUCT(('Cashflow Summary C19RM'!$K$5:$K$239&lt;&gt;1)*('Cashflow Summary C19RM'!$D$5:$D$239=E235)*('Cashflow Summary C19RM'!$V$5:$V$239)))</f>
        <v>0</v>
      </c>
      <c r="N235" s="630" cm="1">
        <f t="array" ref="N235">$L235*(SUMPRODUCT(('Cashflow Summary C19RM'!$K$5:$K$239&lt;&gt;1)*('Cashflow Summary C19RM'!$D$5:$D$239=E235)*('Cashflow Summary C19RM'!$W$5:$W$239)))</f>
        <v>0</v>
      </c>
      <c r="O235" s="630" cm="1">
        <f t="array" ref="O235">$L235*(SUMPRODUCT(('Cashflow Summary C19RM'!$K$5:$K$239&lt;&gt;1)*('Cashflow Summary C19RM'!$D$5:$D$239=E235)*('Cashflow Summary C19RM'!$X$5:$X$239)))</f>
        <v>0</v>
      </c>
      <c r="P235" s="630" cm="1">
        <f t="array" ref="P235">$L235*(SUMPRODUCT(('Cashflow Summary C19RM'!$K$5:$K$239&lt;&gt;1)*('Cashflow Summary C19RM'!$D$5:$D$239=E235)*('Cashflow Summary C19RM'!$Y$5:$Y$239)))</f>
        <v>0</v>
      </c>
      <c r="Q235" s="632">
        <f t="shared" si="98"/>
        <v>0</v>
      </c>
      <c r="R235" s="686">
        <f t="shared" si="99"/>
        <v>0</v>
      </c>
      <c r="S235" s="633" cm="1">
        <f t="array" ref="S235">$R235*(SUMPRODUCT(('Cashflow Summary C19RM'!$K$5:$K$239&lt;&gt;1)*('Cashflow Summary C19RM'!$D$5:$D$239=E235)*('Cashflow Summary C19RM'!$Z$5:$Z$239)))</f>
        <v>0</v>
      </c>
      <c r="T235" s="633" cm="1">
        <f t="array" ref="T235">$R235*(SUMPRODUCT(('Cashflow Summary C19RM'!$K$5:$K$239&lt;&gt;1)*('Cashflow Summary C19RM'!$D$5:$D$239=E235)*('Cashflow Summary C19RM'!$AA$5:$AA$239)))</f>
        <v>0</v>
      </c>
      <c r="U235" s="633" cm="1">
        <f t="array" ref="U235">$R235*(SUMPRODUCT(('Cashflow Summary C19RM'!$K$5:$K$239&lt;&gt;1)*('Cashflow Summary C19RM'!$D$5:$D$239=E235)*('Cashflow Summary C19RM'!$AB$5:$AB$239)))</f>
        <v>0</v>
      </c>
      <c r="V235" s="633" cm="1">
        <f t="array" ref="V235">$R235*(SUMPRODUCT(('Cashflow Summary C19RM'!$K$5:$K$239&lt;&gt;1)*('Cashflow Summary C19RM'!$D$5:$D$239=E235)*('Cashflow Summary C19RM'!$AC$5:$AC$239)))</f>
        <v>0</v>
      </c>
      <c r="W235" s="634">
        <f t="shared" si="100"/>
        <v>0</v>
      </c>
      <c r="X235" s="686">
        <f t="shared" si="101"/>
        <v>0</v>
      </c>
      <c r="Y235" s="633" cm="1">
        <f t="array" ref="Y235">$X235*(SUMPRODUCT(('Cashflow Summary C19RM'!$K$5:$K$239&lt;&gt;1)*('Cashflow Summary C19RM'!$D$5:$D$239=E235)*('Cashflow Summary C19RM'!$AD$5:$AD$239)))</f>
        <v>0</v>
      </c>
      <c r="Z235" s="633" cm="1">
        <f t="array" ref="Z235">$X235*(SUMPRODUCT(('Cashflow Summary C19RM'!$K$5:$K$239&lt;&gt;1)*('Cashflow Summary C19RM'!$D$5:$D$239=E235)*('Cashflow Summary C19RM'!$AE$5:$AE$239)))</f>
        <v>0</v>
      </c>
      <c r="AA235" s="633" cm="1">
        <f t="array" ref="AA235">$X235*(SUMPRODUCT(('Cashflow Summary C19RM'!$K$5:$K$239&lt;&gt;1)*('Cashflow Summary C19RM'!$D$5:$D$239=E235)*('Cashflow Summary C19RM'!$AF$5:$AF$239)))</f>
        <v>0</v>
      </c>
      <c r="AB235" s="630" cm="1">
        <f t="array" ref="AB235">$X235*(SUMPRODUCT(('Cashflow Summary C19RM'!$K$5:$K$239&lt;&gt;1)*('Cashflow Summary C19RM'!$D$5:$D$239=E235)*('Cashflow Summary C19RM'!$AG$5:$AG$239)))</f>
        <v>0</v>
      </c>
      <c r="AC235" s="634">
        <f t="shared" si="102"/>
        <v>0</v>
      </c>
      <c r="AD235" s="686">
        <f t="shared" si="103"/>
        <v>0</v>
      </c>
      <c r="AE235" s="628" cm="1">
        <f t="array" ref="AE235">$AD235*(SUMPRODUCT(('Cashflow Summary C19RM'!$K$5:$K$239&lt;&gt;1)*('Cashflow Summary C19RM'!$D$5:$D$239=E235)*('Cashflow Summary C19RM'!$AH$5:$AH$239)))</f>
        <v>0</v>
      </c>
      <c r="AF235" s="633" cm="1">
        <f t="array" ref="AF235">$AD235*(SUMPRODUCT(('Cashflow Summary C19RM'!$K$5:$K$239&lt;&gt;1)*('Cashflow Summary C19RM'!$D$5:$D$239=E235)*('Cashflow Summary C19RM'!$AI$5:$AI$239)))</f>
        <v>0</v>
      </c>
      <c r="AG235" s="633" cm="1">
        <f t="array" ref="AG235">$AD235*(SUMPRODUCT(('Cashflow Summary C19RM'!$K$5:$K$239&lt;&gt;1)*('Cashflow Summary C19RM'!$D$5:$D$239=E235)*('Cashflow Summary C19RM'!$AJ$5:$AJ$239)))</f>
        <v>0</v>
      </c>
      <c r="AH235" s="633" cm="1">
        <f t="array" ref="AH235">$AD235*(SUMPRODUCT(('Cashflow Summary C19RM'!$K$5:$K$239&lt;&gt;1)*('Cashflow Summary C19RM'!$D$5:$D$239=E235)*('Cashflow Summary C19RM'!$AK$5:$AO$239)))</f>
        <v>0</v>
      </c>
      <c r="AI235" s="634">
        <f t="shared" si="104"/>
        <v>0</v>
      </c>
      <c r="AJ235" s="875">
        <v>0</v>
      </c>
      <c r="AK235" s="872"/>
      <c r="AL235" s="873"/>
      <c r="AM235" s="873"/>
      <c r="AN235" s="873"/>
      <c r="AO235" s="874"/>
      <c r="AP235" s="635">
        <f t="shared" si="112"/>
        <v>0</v>
      </c>
      <c r="AQ235" s="636">
        <v>7.4</v>
      </c>
      <c r="AR235" s="707"/>
      <c r="AS235" s="310"/>
      <c r="AV235" s="228">
        <f t="shared" si="105"/>
        <v>0</v>
      </c>
      <c r="AW235" s="228">
        <f t="shared" si="106"/>
        <v>0</v>
      </c>
      <c r="AX235" s="228">
        <f t="shared" si="107"/>
        <v>0</v>
      </c>
      <c r="AY235" s="228">
        <f t="shared" si="108"/>
        <v>0</v>
      </c>
      <c r="AZ235" s="228">
        <f t="shared" si="109"/>
        <v>0</v>
      </c>
      <c r="BA235" s="228"/>
      <c r="BC235" s="345" cm="1">
        <f t="array" ref="BC235">IF(BM235&gt;=1,0,IFERROR(SUMPRODUCT(($G$11:$AH$11=$BC$16)*($G235:$AH235)),0))</f>
        <v>0</v>
      </c>
      <c r="BD235" s="345" cm="1">
        <f t="array" ref="BD235">IF(BM235&gt;=1,0,IFERROR(SUMPRODUCT(($G$11:$AH$11=$BD$16)*($G235:$AH235)),0))</f>
        <v>0</v>
      </c>
      <c r="BE235" s="345" cm="1">
        <f t="array" ref="BE235">IF(BM235&gt;=1,0,IFERROR(SUMPRODUCT(($G$11:$AH$11=$BE$16)*($G235:$AH235)),0))</f>
        <v>0</v>
      </c>
      <c r="BF235" s="345" cm="1">
        <f t="array" ref="BF235">IF(BM235&gt;=1,0,IFERROR(SUMPRODUCT(($G$11:$AH$11=$BF$16)*($G235:$AH235)),0))</f>
        <v>0</v>
      </c>
      <c r="BG235" s="345" cm="1">
        <f t="array" ref="BG235">IF(BM235&gt;=1,0,IFERROR(SUMPRODUCT(($G$11:$AH$11=$BG$16)*($G235:$AH235)),0))</f>
        <v>0</v>
      </c>
      <c r="BH235" s="345"/>
      <c r="BI235" s="343">
        <f t="shared" si="111"/>
        <v>0</v>
      </c>
      <c r="BJ235" s="230" t="s">
        <v>83</v>
      </c>
      <c r="BK235" cm="1">
        <f t="array" ref="BK235">(SUMPRODUCT(('Cashflow Summary C19RM'!$D$5:$D$451=E235)*('Cashflow Summary C19RM'!$BD$5:$BD$451)))</f>
        <v>0</v>
      </c>
      <c r="BL235" cm="1">
        <f t="array" ref="BL235">(SUMPRODUCT((SETUP!$D$20:$D$67=E235)*(SETUP!$R$20:$R$67)))</f>
        <v>0</v>
      </c>
      <c r="BM235" s="89">
        <f t="shared" si="110"/>
        <v>0</v>
      </c>
    </row>
    <row r="236" spans="2:97" s="89" customFormat="1" ht="15" customHeight="1" x14ac:dyDescent="0.35">
      <c r="B236" s="211" t="s">
        <v>697</v>
      </c>
      <c r="C236" s="699" t="s">
        <v>2750</v>
      </c>
      <c r="D236" s="1314"/>
      <c r="E236" s="1010" t="s">
        <v>23</v>
      </c>
      <c r="F236" s="697">
        <v>0</v>
      </c>
      <c r="G236" s="628" cm="1">
        <f t="array" ref="G236">$F236*(SUMPRODUCT(('Cashflow Summary C19RM'!$K$5:$K$239&lt;&gt;1)*('Cashflow Summary C19RM'!$D$5:$D$239=E236)*('Cashflow Summary C19RM'!$R$5:$R$239)))</f>
        <v>0</v>
      </c>
      <c r="H236" s="629" cm="1">
        <f t="array" ref="H236">$F236*(SUMPRODUCT(('Cashflow Summary C19RM'!$K$5:$K$239&lt;&gt;1)*('Cashflow Summary C19RM'!$D$5:$D$239=E236)*('Cashflow Summary C19RM'!$S$5:$S$239)))</f>
        <v>0</v>
      </c>
      <c r="I236" s="630" cm="1">
        <f t="array" ref="I236">$F236*(SUMPRODUCT(('Cashflow Summary C19RM'!$K$5:$K$239&lt;&gt;1)*('Cashflow Summary C19RM'!$D$5:$D$239=E236)*('Cashflow Summary C19RM'!$T$5:$T$239)))</f>
        <v>0</v>
      </c>
      <c r="J236" s="630" cm="1">
        <f t="array" ref="J236">$F236*(SUMPRODUCT(('Cashflow Summary C19RM'!$K$5:$K$239&lt;&gt;1)*('Cashflow Summary C19RM'!$D$5:$D$239=E236)*('Cashflow Summary C19RM'!$U$5:$U$239)))</f>
        <v>0</v>
      </c>
      <c r="K236" s="631">
        <f t="shared" si="96"/>
        <v>0</v>
      </c>
      <c r="L236" s="686">
        <f t="shared" si="97"/>
        <v>0</v>
      </c>
      <c r="M236" s="630" cm="1">
        <f t="array" ref="M236">$L236*(SUMPRODUCT(('Cashflow Summary C19RM'!$K$5:$K$239&lt;&gt;1)*('Cashflow Summary C19RM'!$D$5:$D$239=E236)*('Cashflow Summary C19RM'!$V$5:$V$239)))</f>
        <v>0</v>
      </c>
      <c r="N236" s="630" cm="1">
        <f t="array" ref="N236">$L236*(SUMPRODUCT(('Cashflow Summary C19RM'!$K$5:$K$239&lt;&gt;1)*('Cashflow Summary C19RM'!$D$5:$D$239=E236)*('Cashflow Summary C19RM'!$W$5:$W$239)))</f>
        <v>0</v>
      </c>
      <c r="O236" s="630" cm="1">
        <f t="array" ref="O236">$L236*(SUMPRODUCT(('Cashflow Summary C19RM'!$K$5:$K$239&lt;&gt;1)*('Cashflow Summary C19RM'!$D$5:$D$239=E236)*('Cashflow Summary C19RM'!$X$5:$X$239)))</f>
        <v>0</v>
      </c>
      <c r="P236" s="630" cm="1">
        <f t="array" ref="P236">$L236*(SUMPRODUCT(('Cashflow Summary C19RM'!$K$5:$K$239&lt;&gt;1)*('Cashflow Summary C19RM'!$D$5:$D$239=E236)*('Cashflow Summary C19RM'!$Y$5:$Y$239)))</f>
        <v>0</v>
      </c>
      <c r="Q236" s="632">
        <f t="shared" si="98"/>
        <v>0</v>
      </c>
      <c r="R236" s="686">
        <f t="shared" si="99"/>
        <v>0</v>
      </c>
      <c r="S236" s="633" cm="1">
        <f t="array" ref="S236">$R236*(SUMPRODUCT(('Cashflow Summary C19RM'!$K$5:$K$239&lt;&gt;1)*('Cashflow Summary C19RM'!$D$5:$D$239=E236)*('Cashflow Summary C19RM'!$Z$5:$Z$239)))</f>
        <v>0</v>
      </c>
      <c r="T236" s="633" cm="1">
        <f t="array" ref="T236">$R236*(SUMPRODUCT(('Cashflow Summary C19RM'!$K$5:$K$239&lt;&gt;1)*('Cashflow Summary C19RM'!$D$5:$D$239=E236)*('Cashflow Summary C19RM'!$AA$5:$AA$239)))</f>
        <v>0</v>
      </c>
      <c r="U236" s="633" cm="1">
        <f t="array" ref="U236">$R236*(SUMPRODUCT(('Cashflow Summary C19RM'!$K$5:$K$239&lt;&gt;1)*('Cashflow Summary C19RM'!$D$5:$D$239=E236)*('Cashflow Summary C19RM'!$AB$5:$AB$239)))</f>
        <v>0</v>
      </c>
      <c r="V236" s="633" cm="1">
        <f t="array" ref="V236">$R236*(SUMPRODUCT(('Cashflow Summary C19RM'!$K$5:$K$239&lt;&gt;1)*('Cashflow Summary C19RM'!$D$5:$D$239=E236)*('Cashflow Summary C19RM'!$AC$5:$AC$239)))</f>
        <v>0</v>
      </c>
      <c r="W236" s="634">
        <f t="shared" si="100"/>
        <v>0</v>
      </c>
      <c r="X236" s="686">
        <f t="shared" si="101"/>
        <v>0</v>
      </c>
      <c r="Y236" s="633" cm="1">
        <f t="array" ref="Y236">$X236*(SUMPRODUCT(('Cashflow Summary C19RM'!$K$5:$K$239&lt;&gt;1)*('Cashflow Summary C19RM'!$D$5:$D$239=E236)*('Cashflow Summary C19RM'!$AD$5:$AD$239)))</f>
        <v>0</v>
      </c>
      <c r="Z236" s="633" cm="1">
        <f t="array" ref="Z236">$X236*(SUMPRODUCT(('Cashflow Summary C19RM'!$K$5:$K$239&lt;&gt;1)*('Cashflow Summary C19RM'!$D$5:$D$239=E236)*('Cashflow Summary C19RM'!$AE$5:$AE$239)))</f>
        <v>0</v>
      </c>
      <c r="AA236" s="633" cm="1">
        <f t="array" ref="AA236">$X236*(SUMPRODUCT(('Cashflow Summary C19RM'!$K$5:$K$239&lt;&gt;1)*('Cashflow Summary C19RM'!$D$5:$D$239=E236)*('Cashflow Summary C19RM'!$AF$5:$AF$239)))</f>
        <v>0</v>
      </c>
      <c r="AB236" s="630" cm="1">
        <f t="array" ref="AB236">$X236*(SUMPRODUCT(('Cashflow Summary C19RM'!$K$5:$K$239&lt;&gt;1)*('Cashflow Summary C19RM'!$D$5:$D$239=E236)*('Cashflow Summary C19RM'!$AG$5:$AG$239)))</f>
        <v>0</v>
      </c>
      <c r="AC236" s="634">
        <f t="shared" si="102"/>
        <v>0</v>
      </c>
      <c r="AD236" s="686">
        <f t="shared" si="103"/>
        <v>0</v>
      </c>
      <c r="AE236" s="628" cm="1">
        <f t="array" ref="AE236">$AD236*(SUMPRODUCT(('Cashflow Summary C19RM'!$K$5:$K$239&lt;&gt;1)*('Cashflow Summary C19RM'!$D$5:$D$239=E236)*('Cashflow Summary C19RM'!$AH$5:$AH$239)))</f>
        <v>0</v>
      </c>
      <c r="AF236" s="633" cm="1">
        <f t="array" ref="AF236">$AD236*(SUMPRODUCT(('Cashflow Summary C19RM'!$K$5:$K$239&lt;&gt;1)*('Cashflow Summary C19RM'!$D$5:$D$239=E236)*('Cashflow Summary C19RM'!$AI$5:$AI$239)))</f>
        <v>0</v>
      </c>
      <c r="AG236" s="633" cm="1">
        <f t="array" ref="AG236">$AD236*(SUMPRODUCT(('Cashflow Summary C19RM'!$K$5:$K$239&lt;&gt;1)*('Cashflow Summary C19RM'!$D$5:$D$239=E236)*('Cashflow Summary C19RM'!$AJ$5:$AJ$239)))</f>
        <v>0</v>
      </c>
      <c r="AH236" s="633" cm="1">
        <f t="array" ref="AH236">$AD236*(SUMPRODUCT(('Cashflow Summary C19RM'!$K$5:$K$239&lt;&gt;1)*('Cashflow Summary C19RM'!$D$5:$D$239=E236)*('Cashflow Summary C19RM'!$AK$5:$AO$239)))</f>
        <v>0</v>
      </c>
      <c r="AI236" s="634">
        <f t="shared" si="104"/>
        <v>0</v>
      </c>
      <c r="AJ236" s="875">
        <v>0</v>
      </c>
      <c r="AK236" s="872"/>
      <c r="AL236" s="873"/>
      <c r="AM236" s="873"/>
      <c r="AN236" s="873"/>
      <c r="AO236" s="874"/>
      <c r="AP236" s="635">
        <f t="shared" si="112"/>
        <v>0</v>
      </c>
      <c r="AQ236" s="636">
        <v>7.4</v>
      </c>
      <c r="AR236" s="707"/>
      <c r="AS236" s="310"/>
      <c r="AV236" s="228">
        <f t="shared" si="105"/>
        <v>0</v>
      </c>
      <c r="AW236" s="228">
        <f t="shared" si="106"/>
        <v>0</v>
      </c>
      <c r="AX236" s="228">
        <f t="shared" si="107"/>
        <v>0</v>
      </c>
      <c r="AY236" s="228">
        <f t="shared" si="108"/>
        <v>0</v>
      </c>
      <c r="AZ236" s="228">
        <f t="shared" si="109"/>
        <v>0</v>
      </c>
      <c r="BA236" s="228"/>
      <c r="BC236" s="345" cm="1">
        <f t="array" ref="BC236">IF(BM236&gt;=1,0,IFERROR(SUMPRODUCT(($G$11:$AH$11=$BC$16)*($G236:$AH236)),0))</f>
        <v>0</v>
      </c>
      <c r="BD236" s="345" cm="1">
        <f t="array" ref="BD236">IF(BM236&gt;=1,0,IFERROR(SUMPRODUCT(($G$11:$AH$11=$BD$16)*($G236:$AH236)),0))</f>
        <v>0</v>
      </c>
      <c r="BE236" s="345" cm="1">
        <f t="array" ref="BE236">IF(BM236&gt;=1,0,IFERROR(SUMPRODUCT(($G$11:$AH$11=$BE$16)*($G236:$AH236)),0))</f>
        <v>0</v>
      </c>
      <c r="BF236" s="345" cm="1">
        <f t="array" ref="BF236">IF(BM236&gt;=1,0,IFERROR(SUMPRODUCT(($G$11:$AH$11=$BF$16)*($G236:$AH236)),0))</f>
        <v>0</v>
      </c>
      <c r="BG236" s="345" cm="1">
        <f t="array" ref="BG236">IF(BM236&gt;=1,0,IFERROR(SUMPRODUCT(($G$11:$AH$11=$BG$16)*($G236:$AH236)),0))</f>
        <v>0</v>
      </c>
      <c r="BH236" s="345"/>
      <c r="BI236" s="343">
        <f t="shared" si="111"/>
        <v>0</v>
      </c>
      <c r="BJ236" s="230" t="s">
        <v>83</v>
      </c>
      <c r="BK236" cm="1">
        <f t="array" ref="BK236">(SUMPRODUCT(('Cashflow Summary C19RM'!$D$5:$D$451=E236)*('Cashflow Summary C19RM'!$BD$5:$BD$451)))</f>
        <v>0</v>
      </c>
      <c r="BL236" cm="1">
        <f t="array" ref="BL236">(SUMPRODUCT((SETUP!$D$20:$D$67=E236)*(SETUP!$R$20:$R$67)))</f>
        <v>0</v>
      </c>
      <c r="BM236" s="89">
        <f t="shared" si="110"/>
        <v>0</v>
      </c>
    </row>
    <row r="237" spans="2:97" s="89" customFormat="1" ht="15" customHeight="1" x14ac:dyDescent="0.35">
      <c r="B237" s="211" t="s">
        <v>697</v>
      </c>
      <c r="C237" s="699" t="s">
        <v>2750</v>
      </c>
      <c r="D237" s="1314"/>
      <c r="E237" s="1010" t="s">
        <v>22</v>
      </c>
      <c r="F237" s="697">
        <v>0</v>
      </c>
      <c r="G237" s="628" cm="1">
        <f t="array" ref="G237">$F237*(SUMPRODUCT(('Cashflow Summary C19RM'!$K$5:$K$239&lt;&gt;1)*('Cashflow Summary C19RM'!$D$5:$D$239=E237)*('Cashflow Summary C19RM'!$R$5:$R$239)))</f>
        <v>0</v>
      </c>
      <c r="H237" s="629" cm="1">
        <f t="array" ref="H237">$F237*(SUMPRODUCT(('Cashflow Summary C19RM'!$K$5:$K$239&lt;&gt;1)*('Cashflow Summary C19RM'!$D$5:$D$239=E237)*('Cashflow Summary C19RM'!$S$5:$S$239)))</f>
        <v>0</v>
      </c>
      <c r="I237" s="630" cm="1">
        <f t="array" ref="I237">$F237*(SUMPRODUCT(('Cashflow Summary C19RM'!$K$5:$K$239&lt;&gt;1)*('Cashflow Summary C19RM'!$D$5:$D$239=E237)*('Cashflow Summary C19RM'!$T$5:$T$239)))</f>
        <v>0</v>
      </c>
      <c r="J237" s="630" cm="1">
        <f t="array" ref="J237">$F237*(SUMPRODUCT(('Cashflow Summary C19RM'!$K$5:$K$239&lt;&gt;1)*('Cashflow Summary C19RM'!$D$5:$D$239=E237)*('Cashflow Summary C19RM'!$U$5:$U$239)))</f>
        <v>0</v>
      </c>
      <c r="K237" s="631">
        <f t="shared" si="96"/>
        <v>0</v>
      </c>
      <c r="L237" s="686">
        <f t="shared" si="97"/>
        <v>0</v>
      </c>
      <c r="M237" s="630" cm="1">
        <f t="array" ref="M237">$L237*(SUMPRODUCT(('Cashflow Summary C19RM'!$K$5:$K$239&lt;&gt;1)*('Cashflow Summary C19RM'!$D$5:$D$239=E237)*('Cashflow Summary C19RM'!$V$5:$V$239)))</f>
        <v>0</v>
      </c>
      <c r="N237" s="630" cm="1">
        <f t="array" ref="N237">$L237*(SUMPRODUCT(('Cashflow Summary C19RM'!$K$5:$K$239&lt;&gt;1)*('Cashflow Summary C19RM'!$D$5:$D$239=E237)*('Cashflow Summary C19RM'!$W$5:$W$239)))</f>
        <v>0</v>
      </c>
      <c r="O237" s="630" cm="1">
        <f t="array" ref="O237">$L237*(SUMPRODUCT(('Cashflow Summary C19RM'!$K$5:$K$239&lt;&gt;1)*('Cashflow Summary C19RM'!$D$5:$D$239=E237)*('Cashflow Summary C19RM'!$X$5:$X$239)))</f>
        <v>0</v>
      </c>
      <c r="P237" s="630" cm="1">
        <f t="array" ref="P237">$L237*(SUMPRODUCT(('Cashflow Summary C19RM'!$K$5:$K$239&lt;&gt;1)*('Cashflow Summary C19RM'!$D$5:$D$239=E237)*('Cashflow Summary C19RM'!$Y$5:$Y$239)))</f>
        <v>0</v>
      </c>
      <c r="Q237" s="632">
        <f t="shared" si="98"/>
        <v>0</v>
      </c>
      <c r="R237" s="686">
        <f t="shared" si="99"/>
        <v>0</v>
      </c>
      <c r="S237" s="633" cm="1">
        <f t="array" ref="S237">$R237*(SUMPRODUCT(('Cashflow Summary C19RM'!$K$5:$K$239&lt;&gt;1)*('Cashflow Summary C19RM'!$D$5:$D$239=E237)*('Cashflow Summary C19RM'!$Z$5:$Z$239)))</f>
        <v>0</v>
      </c>
      <c r="T237" s="633" cm="1">
        <f t="array" ref="T237">$R237*(SUMPRODUCT(('Cashflow Summary C19RM'!$K$5:$K$239&lt;&gt;1)*('Cashflow Summary C19RM'!$D$5:$D$239=E237)*('Cashflow Summary C19RM'!$AA$5:$AA$239)))</f>
        <v>0</v>
      </c>
      <c r="U237" s="633" cm="1">
        <f t="array" ref="U237">$R237*(SUMPRODUCT(('Cashflow Summary C19RM'!$K$5:$K$239&lt;&gt;1)*('Cashflow Summary C19RM'!$D$5:$D$239=E237)*('Cashflow Summary C19RM'!$AB$5:$AB$239)))</f>
        <v>0</v>
      </c>
      <c r="V237" s="633" cm="1">
        <f t="array" ref="V237">$R237*(SUMPRODUCT(('Cashflow Summary C19RM'!$K$5:$K$239&lt;&gt;1)*('Cashflow Summary C19RM'!$D$5:$D$239=E237)*('Cashflow Summary C19RM'!$AC$5:$AC$239)))</f>
        <v>0</v>
      </c>
      <c r="W237" s="634">
        <f t="shared" si="100"/>
        <v>0</v>
      </c>
      <c r="X237" s="686">
        <f t="shared" si="101"/>
        <v>0</v>
      </c>
      <c r="Y237" s="633" cm="1">
        <f t="array" ref="Y237">$X237*(SUMPRODUCT(('Cashflow Summary C19RM'!$K$5:$K$239&lt;&gt;1)*('Cashflow Summary C19RM'!$D$5:$D$239=E237)*('Cashflow Summary C19RM'!$AD$5:$AD$239)))</f>
        <v>0</v>
      </c>
      <c r="Z237" s="633" cm="1">
        <f t="array" ref="Z237">$X237*(SUMPRODUCT(('Cashflow Summary C19RM'!$K$5:$K$239&lt;&gt;1)*('Cashflow Summary C19RM'!$D$5:$D$239=E237)*('Cashflow Summary C19RM'!$AE$5:$AE$239)))</f>
        <v>0</v>
      </c>
      <c r="AA237" s="633" cm="1">
        <f t="array" ref="AA237">$X237*(SUMPRODUCT(('Cashflow Summary C19RM'!$K$5:$K$239&lt;&gt;1)*('Cashflow Summary C19RM'!$D$5:$D$239=E237)*('Cashflow Summary C19RM'!$AF$5:$AF$239)))</f>
        <v>0</v>
      </c>
      <c r="AB237" s="630" cm="1">
        <f t="array" ref="AB237">$X237*(SUMPRODUCT(('Cashflow Summary C19RM'!$K$5:$K$239&lt;&gt;1)*('Cashflow Summary C19RM'!$D$5:$D$239=E237)*('Cashflow Summary C19RM'!$AG$5:$AG$239)))</f>
        <v>0</v>
      </c>
      <c r="AC237" s="634">
        <f t="shared" si="102"/>
        <v>0</v>
      </c>
      <c r="AD237" s="686">
        <f t="shared" si="103"/>
        <v>0</v>
      </c>
      <c r="AE237" s="628" cm="1">
        <f t="array" ref="AE237">$AD237*(SUMPRODUCT(('Cashflow Summary C19RM'!$K$5:$K$239&lt;&gt;1)*('Cashflow Summary C19RM'!$D$5:$D$239=E237)*('Cashflow Summary C19RM'!$AH$5:$AH$239)))</f>
        <v>0</v>
      </c>
      <c r="AF237" s="633" cm="1">
        <f t="array" ref="AF237">$AD237*(SUMPRODUCT(('Cashflow Summary C19RM'!$K$5:$K$239&lt;&gt;1)*('Cashflow Summary C19RM'!$D$5:$D$239=E237)*('Cashflow Summary C19RM'!$AI$5:$AI$239)))</f>
        <v>0</v>
      </c>
      <c r="AG237" s="633" cm="1">
        <f t="array" ref="AG237">$AD237*(SUMPRODUCT(('Cashflow Summary C19RM'!$K$5:$K$239&lt;&gt;1)*('Cashflow Summary C19RM'!$D$5:$D$239=E237)*('Cashflow Summary C19RM'!$AJ$5:$AJ$239)))</f>
        <v>0</v>
      </c>
      <c r="AH237" s="633" cm="1">
        <f t="array" ref="AH237">$AD237*(SUMPRODUCT(('Cashflow Summary C19RM'!$K$5:$K$239&lt;&gt;1)*('Cashflow Summary C19RM'!$D$5:$D$239=E237)*('Cashflow Summary C19RM'!$AK$5:$AO$239)))</f>
        <v>0</v>
      </c>
      <c r="AI237" s="634">
        <f t="shared" si="104"/>
        <v>0</v>
      </c>
      <c r="AJ237" s="875">
        <v>0</v>
      </c>
      <c r="AK237" s="872"/>
      <c r="AL237" s="873"/>
      <c r="AM237" s="873"/>
      <c r="AN237" s="873"/>
      <c r="AO237" s="874"/>
      <c r="AP237" s="635">
        <f t="shared" si="112"/>
        <v>0</v>
      </c>
      <c r="AQ237" s="636">
        <v>7.4</v>
      </c>
      <c r="AR237" s="707"/>
      <c r="AS237" s="310"/>
      <c r="AV237" s="228">
        <f t="shared" si="105"/>
        <v>0</v>
      </c>
      <c r="AW237" s="228">
        <f t="shared" si="106"/>
        <v>0</v>
      </c>
      <c r="AX237" s="228">
        <f t="shared" si="107"/>
        <v>0</v>
      </c>
      <c r="AY237" s="228">
        <f t="shared" si="108"/>
        <v>0</v>
      </c>
      <c r="AZ237" s="228">
        <f t="shared" si="109"/>
        <v>0</v>
      </c>
      <c r="BA237" s="228"/>
      <c r="BC237" s="345" cm="1">
        <f t="array" ref="BC237">IF(BM237&gt;=1,0,IFERROR(SUMPRODUCT(($G$11:$AH$11=$BC$16)*($G237:$AH237)),0))</f>
        <v>0</v>
      </c>
      <c r="BD237" s="345" cm="1">
        <f t="array" ref="BD237">IF(BM237&gt;=1,0,IFERROR(SUMPRODUCT(($G$11:$AH$11=$BD$16)*($G237:$AH237)),0))</f>
        <v>0</v>
      </c>
      <c r="BE237" s="345" cm="1">
        <f t="array" ref="BE237">IF(BM237&gt;=1,0,IFERROR(SUMPRODUCT(($G$11:$AH$11=$BE$16)*($G237:$AH237)),0))</f>
        <v>0</v>
      </c>
      <c r="BF237" s="345" cm="1">
        <f t="array" ref="BF237">IF(BM237&gt;=1,0,IFERROR(SUMPRODUCT(($G$11:$AH$11=$BF$16)*($G237:$AH237)),0))</f>
        <v>0</v>
      </c>
      <c r="BG237" s="345" cm="1">
        <f t="array" ref="BG237">IF(BM237&gt;=1,0,IFERROR(SUMPRODUCT(($G$11:$AH$11=$BG$16)*($G237:$AH237)),0))</f>
        <v>0</v>
      </c>
      <c r="BH237" s="345"/>
      <c r="BI237" s="343">
        <f t="shared" si="111"/>
        <v>0</v>
      </c>
      <c r="BJ237" s="230" t="s">
        <v>83</v>
      </c>
      <c r="BK237" cm="1">
        <f t="array" ref="BK237">(SUMPRODUCT(('Cashflow Summary C19RM'!$D$5:$D$451=E237)*('Cashflow Summary C19RM'!$BD$5:$BD$451)))</f>
        <v>0</v>
      </c>
      <c r="BL237" cm="1">
        <f t="array" ref="BL237">(SUMPRODUCT((SETUP!$D$20:$D$67=E237)*(SETUP!$R$20:$R$67)))</f>
        <v>0</v>
      </c>
      <c r="BM237" s="89">
        <f t="shared" si="110"/>
        <v>0</v>
      </c>
    </row>
    <row r="238" spans="2:97" s="89" customFormat="1" ht="15" customHeight="1" x14ac:dyDescent="0.35">
      <c r="B238" s="211" t="s">
        <v>697</v>
      </c>
      <c r="C238" s="699" t="s">
        <v>2750</v>
      </c>
      <c r="D238" s="1314"/>
      <c r="E238" s="1010" t="s">
        <v>25</v>
      </c>
      <c r="F238" s="697">
        <v>0</v>
      </c>
      <c r="G238" s="628" cm="1">
        <f t="array" ref="G238">$F238*(SUMPRODUCT(('Cashflow Summary C19RM'!$K$5:$K$239&lt;&gt;1)*('Cashflow Summary C19RM'!$D$5:$D$239=E238)*('Cashflow Summary C19RM'!$R$5:$R$239)))</f>
        <v>0</v>
      </c>
      <c r="H238" s="629" cm="1">
        <f t="array" ref="H238">$F238*(SUMPRODUCT(('Cashflow Summary C19RM'!$K$5:$K$239&lt;&gt;1)*('Cashflow Summary C19RM'!$D$5:$D$239=E238)*('Cashflow Summary C19RM'!$S$5:$S$239)))</f>
        <v>0</v>
      </c>
      <c r="I238" s="630" cm="1">
        <f t="array" ref="I238">$F238*(SUMPRODUCT(('Cashflow Summary C19RM'!$K$5:$K$239&lt;&gt;1)*('Cashflow Summary C19RM'!$D$5:$D$239=E238)*('Cashflow Summary C19RM'!$T$5:$T$239)))</f>
        <v>0</v>
      </c>
      <c r="J238" s="630" cm="1">
        <f t="array" ref="J238">$F238*(SUMPRODUCT(('Cashflow Summary C19RM'!$K$5:$K$239&lt;&gt;1)*('Cashflow Summary C19RM'!$D$5:$D$239=E238)*('Cashflow Summary C19RM'!$U$5:$U$239)))</f>
        <v>0</v>
      </c>
      <c r="K238" s="631">
        <f t="shared" si="96"/>
        <v>0</v>
      </c>
      <c r="L238" s="686">
        <f t="shared" si="97"/>
        <v>0</v>
      </c>
      <c r="M238" s="630" cm="1">
        <f t="array" ref="M238">$L238*(SUMPRODUCT(('Cashflow Summary C19RM'!$K$5:$K$239&lt;&gt;1)*('Cashflow Summary C19RM'!$D$5:$D$239=E238)*('Cashflow Summary C19RM'!$V$5:$V$239)))</f>
        <v>0</v>
      </c>
      <c r="N238" s="630" cm="1">
        <f t="array" ref="N238">$L238*(SUMPRODUCT(('Cashflow Summary C19RM'!$K$5:$K$239&lt;&gt;1)*('Cashflow Summary C19RM'!$D$5:$D$239=E238)*('Cashflow Summary C19RM'!$W$5:$W$239)))</f>
        <v>0</v>
      </c>
      <c r="O238" s="630" cm="1">
        <f t="array" ref="O238">$L238*(SUMPRODUCT(('Cashflow Summary C19RM'!$K$5:$K$239&lt;&gt;1)*('Cashflow Summary C19RM'!$D$5:$D$239=E238)*('Cashflow Summary C19RM'!$X$5:$X$239)))</f>
        <v>0</v>
      </c>
      <c r="P238" s="630" cm="1">
        <f t="array" ref="P238">$L238*(SUMPRODUCT(('Cashflow Summary C19RM'!$K$5:$K$239&lt;&gt;1)*('Cashflow Summary C19RM'!$D$5:$D$239=E238)*('Cashflow Summary C19RM'!$Y$5:$Y$239)))</f>
        <v>0</v>
      </c>
      <c r="Q238" s="632">
        <f t="shared" si="98"/>
        <v>0</v>
      </c>
      <c r="R238" s="686">
        <f t="shared" si="99"/>
        <v>0</v>
      </c>
      <c r="S238" s="633" cm="1">
        <f t="array" ref="S238">$R238*(SUMPRODUCT(('Cashflow Summary C19RM'!$K$5:$K$239&lt;&gt;1)*('Cashflow Summary C19RM'!$D$5:$D$239=E238)*('Cashflow Summary C19RM'!$Z$5:$Z$239)))</f>
        <v>0</v>
      </c>
      <c r="T238" s="633" cm="1">
        <f t="array" ref="T238">$R238*(SUMPRODUCT(('Cashflow Summary C19RM'!$K$5:$K$239&lt;&gt;1)*('Cashflow Summary C19RM'!$D$5:$D$239=E238)*('Cashflow Summary C19RM'!$AA$5:$AA$239)))</f>
        <v>0</v>
      </c>
      <c r="U238" s="633" cm="1">
        <f t="array" ref="U238">$R238*(SUMPRODUCT(('Cashflow Summary C19RM'!$K$5:$K$239&lt;&gt;1)*('Cashflow Summary C19RM'!$D$5:$D$239=E238)*('Cashflow Summary C19RM'!$AB$5:$AB$239)))</f>
        <v>0</v>
      </c>
      <c r="V238" s="633" cm="1">
        <f t="array" ref="V238">$R238*(SUMPRODUCT(('Cashflow Summary C19RM'!$K$5:$K$239&lt;&gt;1)*('Cashflow Summary C19RM'!$D$5:$D$239=E238)*('Cashflow Summary C19RM'!$AC$5:$AC$239)))</f>
        <v>0</v>
      </c>
      <c r="W238" s="634">
        <f t="shared" si="100"/>
        <v>0</v>
      </c>
      <c r="X238" s="686">
        <f t="shared" si="101"/>
        <v>0</v>
      </c>
      <c r="Y238" s="633" cm="1">
        <f t="array" ref="Y238">$X238*(SUMPRODUCT(('Cashflow Summary C19RM'!$K$5:$K$239&lt;&gt;1)*('Cashflow Summary C19RM'!$D$5:$D$239=E238)*('Cashflow Summary C19RM'!$AD$5:$AD$239)))</f>
        <v>0</v>
      </c>
      <c r="Z238" s="633" cm="1">
        <f t="array" ref="Z238">$X238*(SUMPRODUCT(('Cashflow Summary C19RM'!$K$5:$K$239&lt;&gt;1)*('Cashflow Summary C19RM'!$D$5:$D$239=E238)*('Cashflow Summary C19RM'!$AE$5:$AE$239)))</f>
        <v>0</v>
      </c>
      <c r="AA238" s="633" cm="1">
        <f t="array" ref="AA238">$X238*(SUMPRODUCT(('Cashflow Summary C19RM'!$K$5:$K$239&lt;&gt;1)*('Cashflow Summary C19RM'!$D$5:$D$239=E238)*('Cashflow Summary C19RM'!$AF$5:$AF$239)))</f>
        <v>0</v>
      </c>
      <c r="AB238" s="630" cm="1">
        <f t="array" ref="AB238">$X238*(SUMPRODUCT(('Cashflow Summary C19RM'!$K$5:$K$239&lt;&gt;1)*('Cashflow Summary C19RM'!$D$5:$D$239=E238)*('Cashflow Summary C19RM'!$AG$5:$AG$239)))</f>
        <v>0</v>
      </c>
      <c r="AC238" s="634">
        <f t="shared" si="102"/>
        <v>0</v>
      </c>
      <c r="AD238" s="686">
        <f t="shared" si="103"/>
        <v>0</v>
      </c>
      <c r="AE238" s="628" cm="1">
        <f t="array" ref="AE238">$AD238*(SUMPRODUCT(('Cashflow Summary C19RM'!$K$5:$K$239&lt;&gt;1)*('Cashflow Summary C19RM'!$D$5:$D$239=E238)*('Cashflow Summary C19RM'!$AH$5:$AH$239)))</f>
        <v>0</v>
      </c>
      <c r="AF238" s="633" cm="1">
        <f t="array" ref="AF238">$AD238*(SUMPRODUCT(('Cashflow Summary C19RM'!$K$5:$K$239&lt;&gt;1)*('Cashflow Summary C19RM'!$D$5:$D$239=E238)*('Cashflow Summary C19RM'!$AI$5:$AI$239)))</f>
        <v>0</v>
      </c>
      <c r="AG238" s="633" cm="1">
        <f t="array" ref="AG238">$AD238*(SUMPRODUCT(('Cashflow Summary C19RM'!$K$5:$K$239&lt;&gt;1)*('Cashflow Summary C19RM'!$D$5:$D$239=E238)*('Cashflow Summary C19RM'!$AJ$5:$AJ$239)))</f>
        <v>0</v>
      </c>
      <c r="AH238" s="633" cm="1">
        <f t="array" ref="AH238">$AD238*(SUMPRODUCT(('Cashflow Summary C19RM'!$K$5:$K$239&lt;&gt;1)*('Cashflow Summary C19RM'!$D$5:$D$239=E238)*('Cashflow Summary C19RM'!$AK$5:$AO$239)))</f>
        <v>0</v>
      </c>
      <c r="AI238" s="634">
        <f t="shared" si="104"/>
        <v>0</v>
      </c>
      <c r="AJ238" s="875">
        <v>0</v>
      </c>
      <c r="AK238" s="872"/>
      <c r="AL238" s="873"/>
      <c r="AM238" s="873"/>
      <c r="AN238" s="873"/>
      <c r="AO238" s="874"/>
      <c r="AP238" s="635">
        <f t="shared" si="112"/>
        <v>0</v>
      </c>
      <c r="AQ238" s="636">
        <v>7.4</v>
      </c>
      <c r="AR238" s="707"/>
      <c r="AS238" s="310"/>
      <c r="AV238" s="228">
        <f t="shared" si="105"/>
        <v>0</v>
      </c>
      <c r="AW238" s="228">
        <f t="shared" si="106"/>
        <v>0</v>
      </c>
      <c r="AX238" s="228">
        <f t="shared" si="107"/>
        <v>0</v>
      </c>
      <c r="AY238" s="228">
        <f t="shared" si="108"/>
        <v>0</v>
      </c>
      <c r="AZ238" s="228">
        <f t="shared" si="109"/>
        <v>0</v>
      </c>
      <c r="BA238" s="228"/>
      <c r="BC238" s="345" cm="1">
        <f t="array" ref="BC238">IF(BM238&gt;=1,0,IFERROR(SUMPRODUCT(($G$11:$AH$11=$BC$16)*($G238:$AH238)),0))</f>
        <v>0</v>
      </c>
      <c r="BD238" s="345" cm="1">
        <f t="array" ref="BD238">IF(BM238&gt;=1,0,IFERROR(SUMPRODUCT(($G$11:$AH$11=$BD$16)*($G238:$AH238)),0))</f>
        <v>0</v>
      </c>
      <c r="BE238" s="345" cm="1">
        <f t="array" ref="BE238">IF(BM238&gt;=1,0,IFERROR(SUMPRODUCT(($G$11:$AH$11=$BE$16)*($G238:$AH238)),0))</f>
        <v>0</v>
      </c>
      <c r="BF238" s="345" cm="1">
        <f t="array" ref="BF238">IF(BM238&gt;=1,0,IFERROR(SUMPRODUCT(($G$11:$AH$11=$BF$16)*($G238:$AH238)),0))</f>
        <v>0</v>
      </c>
      <c r="BG238" s="345" cm="1">
        <f t="array" ref="BG238">IF(BM238&gt;=1,0,IFERROR(SUMPRODUCT(($G$11:$AH$11=$BG$16)*($G238:$AH238)),0))</f>
        <v>0</v>
      </c>
      <c r="BH238" s="345"/>
      <c r="BI238" s="343">
        <f t="shared" si="111"/>
        <v>0</v>
      </c>
      <c r="BJ238" s="230" t="s">
        <v>83</v>
      </c>
      <c r="BK238" cm="1">
        <f t="array" ref="BK238">(SUMPRODUCT(('Cashflow Summary C19RM'!$D$5:$D$451=E238)*('Cashflow Summary C19RM'!$BD$5:$BD$451)))</f>
        <v>0</v>
      </c>
      <c r="BL238" cm="1">
        <f t="array" ref="BL238">(SUMPRODUCT((SETUP!$D$20:$D$67=E238)*(SETUP!$R$20:$R$67)))</f>
        <v>0</v>
      </c>
      <c r="BM238" s="89">
        <f t="shared" si="110"/>
        <v>0</v>
      </c>
    </row>
    <row r="239" spans="2:97" s="89" customFormat="1" ht="15" customHeight="1" x14ac:dyDescent="0.35">
      <c r="B239" s="211" t="s">
        <v>697</v>
      </c>
      <c r="C239" s="699" t="s">
        <v>2750</v>
      </c>
      <c r="D239" s="1314"/>
      <c r="E239" s="1010" t="s">
        <v>28</v>
      </c>
      <c r="F239" s="697">
        <v>0</v>
      </c>
      <c r="G239" s="628" cm="1">
        <f t="array" ref="G239">$F239*(SUMPRODUCT(('Cashflow Summary C19RM'!$K$5:$K$239&lt;&gt;1)*('Cashflow Summary C19RM'!$D$5:$D$239=E239)*('Cashflow Summary C19RM'!$R$5:$R$239)))</f>
        <v>0</v>
      </c>
      <c r="H239" s="629" cm="1">
        <f t="array" ref="H239">$F239*(SUMPRODUCT(('Cashflow Summary C19RM'!$K$5:$K$239&lt;&gt;1)*('Cashflow Summary C19RM'!$D$5:$D$239=E239)*('Cashflow Summary C19RM'!$S$5:$S$239)))</f>
        <v>0</v>
      </c>
      <c r="I239" s="630" cm="1">
        <f t="array" ref="I239">$F239*(SUMPRODUCT(('Cashflow Summary C19RM'!$K$5:$K$239&lt;&gt;1)*('Cashflow Summary C19RM'!$D$5:$D$239=E239)*('Cashflow Summary C19RM'!$T$5:$T$239)))</f>
        <v>0</v>
      </c>
      <c r="J239" s="630" cm="1">
        <f t="array" ref="J239">$F239*(SUMPRODUCT(('Cashflow Summary C19RM'!$K$5:$K$239&lt;&gt;1)*('Cashflow Summary C19RM'!$D$5:$D$239=E239)*('Cashflow Summary C19RM'!$U$5:$U$239)))</f>
        <v>0</v>
      </c>
      <c r="K239" s="631">
        <f t="shared" si="96"/>
        <v>0</v>
      </c>
      <c r="L239" s="686">
        <f t="shared" si="97"/>
        <v>0</v>
      </c>
      <c r="M239" s="630" cm="1">
        <f t="array" ref="M239">$L239*(SUMPRODUCT(('Cashflow Summary C19RM'!$K$5:$K$239&lt;&gt;1)*('Cashflow Summary C19RM'!$D$5:$D$239=E239)*('Cashflow Summary C19RM'!$V$5:$V$239)))</f>
        <v>0</v>
      </c>
      <c r="N239" s="630" cm="1">
        <f t="array" ref="N239">$L239*(SUMPRODUCT(('Cashflow Summary C19RM'!$K$5:$K$239&lt;&gt;1)*('Cashflow Summary C19RM'!$D$5:$D$239=E239)*('Cashflow Summary C19RM'!$W$5:$W$239)))</f>
        <v>0</v>
      </c>
      <c r="O239" s="630" cm="1">
        <f t="array" ref="O239">$L239*(SUMPRODUCT(('Cashflow Summary C19RM'!$K$5:$K$239&lt;&gt;1)*('Cashflow Summary C19RM'!$D$5:$D$239=E239)*('Cashflow Summary C19RM'!$X$5:$X$239)))</f>
        <v>0</v>
      </c>
      <c r="P239" s="630" cm="1">
        <f t="array" ref="P239">$L239*(SUMPRODUCT(('Cashflow Summary C19RM'!$K$5:$K$239&lt;&gt;1)*('Cashflow Summary C19RM'!$D$5:$D$239=E239)*('Cashflow Summary C19RM'!$Y$5:$Y$239)))</f>
        <v>0</v>
      </c>
      <c r="Q239" s="632">
        <f t="shared" si="98"/>
        <v>0</v>
      </c>
      <c r="R239" s="686">
        <f t="shared" si="99"/>
        <v>0</v>
      </c>
      <c r="S239" s="633" cm="1">
        <f t="array" ref="S239">$R239*(SUMPRODUCT(('Cashflow Summary C19RM'!$K$5:$K$239&lt;&gt;1)*('Cashflow Summary C19RM'!$D$5:$D$239=E239)*('Cashflow Summary C19RM'!$Z$5:$Z$239)))</f>
        <v>0</v>
      </c>
      <c r="T239" s="633" cm="1">
        <f t="array" ref="T239">$R239*(SUMPRODUCT(('Cashflow Summary C19RM'!$K$5:$K$239&lt;&gt;1)*('Cashflow Summary C19RM'!$D$5:$D$239=E239)*('Cashflow Summary C19RM'!$AA$5:$AA$239)))</f>
        <v>0</v>
      </c>
      <c r="U239" s="633" cm="1">
        <f t="array" ref="U239">$R239*(SUMPRODUCT(('Cashflow Summary C19RM'!$K$5:$K$239&lt;&gt;1)*('Cashflow Summary C19RM'!$D$5:$D$239=E239)*('Cashflow Summary C19RM'!$AB$5:$AB$239)))</f>
        <v>0</v>
      </c>
      <c r="V239" s="633" cm="1">
        <f t="array" ref="V239">$R239*(SUMPRODUCT(('Cashflow Summary C19RM'!$K$5:$K$239&lt;&gt;1)*('Cashflow Summary C19RM'!$D$5:$D$239=E239)*('Cashflow Summary C19RM'!$AC$5:$AC$239)))</f>
        <v>0</v>
      </c>
      <c r="W239" s="634">
        <f t="shared" si="100"/>
        <v>0</v>
      </c>
      <c r="X239" s="686">
        <f t="shared" si="101"/>
        <v>0</v>
      </c>
      <c r="Y239" s="633" cm="1">
        <f t="array" ref="Y239">$X239*(SUMPRODUCT(('Cashflow Summary C19RM'!$K$5:$K$239&lt;&gt;1)*('Cashflow Summary C19RM'!$D$5:$D$239=E239)*('Cashflow Summary C19RM'!$AD$5:$AD$239)))</f>
        <v>0</v>
      </c>
      <c r="Z239" s="633" cm="1">
        <f t="array" ref="Z239">$X239*(SUMPRODUCT(('Cashflow Summary C19RM'!$K$5:$K$239&lt;&gt;1)*('Cashflow Summary C19RM'!$D$5:$D$239=E239)*('Cashflow Summary C19RM'!$AE$5:$AE$239)))</f>
        <v>0</v>
      </c>
      <c r="AA239" s="633" cm="1">
        <f t="array" ref="AA239">$X239*(SUMPRODUCT(('Cashflow Summary C19RM'!$K$5:$K$239&lt;&gt;1)*('Cashflow Summary C19RM'!$D$5:$D$239=E239)*('Cashflow Summary C19RM'!$AF$5:$AF$239)))</f>
        <v>0</v>
      </c>
      <c r="AB239" s="630" cm="1">
        <f t="array" ref="AB239">$X239*(SUMPRODUCT(('Cashflow Summary C19RM'!$K$5:$K$239&lt;&gt;1)*('Cashflow Summary C19RM'!$D$5:$D$239=E239)*('Cashflow Summary C19RM'!$AG$5:$AG$239)))</f>
        <v>0</v>
      </c>
      <c r="AC239" s="634">
        <f t="shared" si="102"/>
        <v>0</v>
      </c>
      <c r="AD239" s="686">
        <f t="shared" si="103"/>
        <v>0</v>
      </c>
      <c r="AE239" s="628" cm="1">
        <f t="array" ref="AE239">$AD239*(SUMPRODUCT(('Cashflow Summary C19RM'!$K$5:$K$239&lt;&gt;1)*('Cashflow Summary C19RM'!$D$5:$D$239=E239)*('Cashflow Summary C19RM'!$AH$5:$AH$239)))</f>
        <v>0</v>
      </c>
      <c r="AF239" s="633" cm="1">
        <f t="array" ref="AF239">$AD239*(SUMPRODUCT(('Cashflow Summary C19RM'!$K$5:$K$239&lt;&gt;1)*('Cashflow Summary C19RM'!$D$5:$D$239=E239)*('Cashflow Summary C19RM'!$AI$5:$AI$239)))</f>
        <v>0</v>
      </c>
      <c r="AG239" s="633" cm="1">
        <f t="array" ref="AG239">$AD239*(SUMPRODUCT(('Cashflow Summary C19RM'!$K$5:$K$239&lt;&gt;1)*('Cashflow Summary C19RM'!$D$5:$D$239=E239)*('Cashflow Summary C19RM'!$AJ$5:$AJ$239)))</f>
        <v>0</v>
      </c>
      <c r="AH239" s="633" cm="1">
        <f t="array" ref="AH239">$AD239*(SUMPRODUCT(('Cashflow Summary C19RM'!$K$5:$K$239&lt;&gt;1)*('Cashflow Summary C19RM'!$D$5:$D$239=E239)*('Cashflow Summary C19RM'!$AK$5:$AO$239)))</f>
        <v>0</v>
      </c>
      <c r="AI239" s="634">
        <f t="shared" si="104"/>
        <v>0</v>
      </c>
      <c r="AJ239" s="875">
        <v>0</v>
      </c>
      <c r="AK239" s="872"/>
      <c r="AL239" s="873"/>
      <c r="AM239" s="873"/>
      <c r="AN239" s="873"/>
      <c r="AO239" s="874"/>
      <c r="AP239" s="635">
        <f t="shared" si="112"/>
        <v>0</v>
      </c>
      <c r="AQ239" s="636">
        <v>7.4</v>
      </c>
      <c r="AR239" s="707"/>
      <c r="AS239" s="310"/>
      <c r="AV239" s="228">
        <f t="shared" si="105"/>
        <v>0</v>
      </c>
      <c r="AW239" s="228">
        <f t="shared" si="106"/>
        <v>0</v>
      </c>
      <c r="AX239" s="228">
        <f t="shared" si="107"/>
        <v>0</v>
      </c>
      <c r="AY239" s="228">
        <f t="shared" si="108"/>
        <v>0</v>
      </c>
      <c r="AZ239" s="228">
        <f t="shared" si="109"/>
        <v>0</v>
      </c>
      <c r="BA239" s="228"/>
      <c r="BC239" s="345" cm="1">
        <f t="array" ref="BC239">IF(BM239&gt;=1,0,IFERROR(SUMPRODUCT(($G$11:$AH$11=$BC$16)*($G239:$AH239)),0))</f>
        <v>0</v>
      </c>
      <c r="BD239" s="345" cm="1">
        <f t="array" ref="BD239">IF(BM239&gt;=1,0,IFERROR(SUMPRODUCT(($G$11:$AH$11=$BD$16)*($G239:$AH239)),0))</f>
        <v>0</v>
      </c>
      <c r="BE239" s="345" cm="1">
        <f t="array" ref="BE239">IF(BM239&gt;=1,0,IFERROR(SUMPRODUCT(($G$11:$AH$11=$BE$16)*($G239:$AH239)),0))</f>
        <v>0</v>
      </c>
      <c r="BF239" s="345" cm="1">
        <f t="array" ref="BF239">IF(BM239&gt;=1,0,IFERROR(SUMPRODUCT(($G$11:$AH$11=$BF$16)*($G239:$AH239)),0))</f>
        <v>0</v>
      </c>
      <c r="BG239" s="345" cm="1">
        <f t="array" ref="BG239">IF(BM239&gt;=1,0,IFERROR(SUMPRODUCT(($G$11:$AH$11=$BG$16)*($G239:$AH239)),0))</f>
        <v>0</v>
      </c>
      <c r="BH239" s="345"/>
      <c r="BI239" s="343">
        <f t="shared" si="111"/>
        <v>0</v>
      </c>
      <c r="BJ239" s="230" t="s">
        <v>83</v>
      </c>
      <c r="BK239" cm="1">
        <f t="array" ref="BK239">(SUMPRODUCT(('Cashflow Summary C19RM'!$D$5:$D$451=E239)*('Cashflow Summary C19RM'!$BD$5:$BD$451)))</f>
        <v>0</v>
      </c>
      <c r="BL239" cm="1">
        <f t="array" ref="BL239">(SUMPRODUCT((SETUP!$D$20:$D$67=E239)*(SETUP!$R$20:$R$67)))</f>
        <v>0</v>
      </c>
      <c r="BM239" s="89">
        <f t="shared" si="110"/>
        <v>0</v>
      </c>
    </row>
    <row r="240" spans="2:97" s="89" customFormat="1" ht="15" customHeight="1" x14ac:dyDescent="0.35">
      <c r="B240" s="211" t="s">
        <v>697</v>
      </c>
      <c r="C240" s="699" t="s">
        <v>2750</v>
      </c>
      <c r="D240" s="1314"/>
      <c r="E240" s="1010" t="s">
        <v>29</v>
      </c>
      <c r="F240" s="697">
        <v>0</v>
      </c>
      <c r="G240" s="628" cm="1">
        <f t="array" ref="G240">$F240*(SUMPRODUCT(('Cashflow Summary C19RM'!$K$5:$K$239&lt;&gt;1)*('Cashflow Summary C19RM'!$D$5:$D$239=E240)*('Cashflow Summary C19RM'!$R$5:$R$239)))</f>
        <v>0</v>
      </c>
      <c r="H240" s="629" cm="1">
        <f t="array" ref="H240">$F240*(SUMPRODUCT(('Cashflow Summary C19RM'!$K$5:$K$239&lt;&gt;1)*('Cashflow Summary C19RM'!$D$5:$D$239=E240)*('Cashflow Summary C19RM'!$S$5:$S$239)))</f>
        <v>0</v>
      </c>
      <c r="I240" s="630" cm="1">
        <f t="array" ref="I240">$F240*(SUMPRODUCT(('Cashflow Summary C19RM'!$K$5:$K$239&lt;&gt;1)*('Cashflow Summary C19RM'!$D$5:$D$239=E240)*('Cashflow Summary C19RM'!$T$5:$T$239)))</f>
        <v>0</v>
      </c>
      <c r="J240" s="630" cm="1">
        <f t="array" ref="J240">$F240*(SUMPRODUCT(('Cashflow Summary C19RM'!$K$5:$K$239&lt;&gt;1)*('Cashflow Summary C19RM'!$D$5:$D$239=E240)*('Cashflow Summary C19RM'!$U$5:$U$239)))</f>
        <v>0</v>
      </c>
      <c r="K240" s="631">
        <f t="shared" si="96"/>
        <v>0</v>
      </c>
      <c r="L240" s="686">
        <f t="shared" si="97"/>
        <v>0</v>
      </c>
      <c r="M240" s="630" cm="1">
        <f t="array" ref="M240">$L240*(SUMPRODUCT(('Cashflow Summary C19RM'!$K$5:$K$239&lt;&gt;1)*('Cashflow Summary C19RM'!$D$5:$D$239=E240)*('Cashflow Summary C19RM'!$V$5:$V$239)))</f>
        <v>0</v>
      </c>
      <c r="N240" s="630" cm="1">
        <f t="array" ref="N240">$L240*(SUMPRODUCT(('Cashflow Summary C19RM'!$K$5:$K$239&lt;&gt;1)*('Cashflow Summary C19RM'!$D$5:$D$239=E240)*('Cashflow Summary C19RM'!$W$5:$W$239)))</f>
        <v>0</v>
      </c>
      <c r="O240" s="630" cm="1">
        <f t="array" ref="O240">$L240*(SUMPRODUCT(('Cashflow Summary C19RM'!$K$5:$K$239&lt;&gt;1)*('Cashflow Summary C19RM'!$D$5:$D$239=E240)*('Cashflow Summary C19RM'!$X$5:$X$239)))</f>
        <v>0</v>
      </c>
      <c r="P240" s="630" cm="1">
        <f t="array" ref="P240">$L240*(SUMPRODUCT(('Cashflow Summary C19RM'!$K$5:$K$239&lt;&gt;1)*('Cashflow Summary C19RM'!$D$5:$D$239=E240)*('Cashflow Summary C19RM'!$Y$5:$Y$239)))</f>
        <v>0</v>
      </c>
      <c r="Q240" s="632">
        <f t="shared" si="98"/>
        <v>0</v>
      </c>
      <c r="R240" s="686">
        <f t="shared" si="99"/>
        <v>0</v>
      </c>
      <c r="S240" s="633" cm="1">
        <f t="array" ref="S240">$R240*(SUMPRODUCT(('Cashflow Summary C19RM'!$K$5:$K$239&lt;&gt;1)*('Cashflow Summary C19RM'!$D$5:$D$239=E240)*('Cashflow Summary C19RM'!$Z$5:$Z$239)))</f>
        <v>0</v>
      </c>
      <c r="T240" s="633" cm="1">
        <f t="array" ref="T240">$R240*(SUMPRODUCT(('Cashflow Summary C19RM'!$K$5:$K$239&lt;&gt;1)*('Cashflow Summary C19RM'!$D$5:$D$239=E240)*('Cashflow Summary C19RM'!$AA$5:$AA$239)))</f>
        <v>0</v>
      </c>
      <c r="U240" s="633" cm="1">
        <f t="array" ref="U240">$R240*(SUMPRODUCT(('Cashflow Summary C19RM'!$K$5:$K$239&lt;&gt;1)*('Cashflow Summary C19RM'!$D$5:$D$239=E240)*('Cashflow Summary C19RM'!$AB$5:$AB$239)))</f>
        <v>0</v>
      </c>
      <c r="V240" s="633" cm="1">
        <f t="array" ref="V240">$R240*(SUMPRODUCT(('Cashflow Summary C19RM'!$K$5:$K$239&lt;&gt;1)*('Cashflow Summary C19RM'!$D$5:$D$239=E240)*('Cashflow Summary C19RM'!$AC$5:$AC$239)))</f>
        <v>0</v>
      </c>
      <c r="W240" s="634">
        <f t="shared" si="100"/>
        <v>0</v>
      </c>
      <c r="X240" s="686">
        <f t="shared" si="101"/>
        <v>0</v>
      </c>
      <c r="Y240" s="633" cm="1">
        <f t="array" ref="Y240">$X240*(SUMPRODUCT(('Cashflow Summary C19RM'!$K$5:$K$239&lt;&gt;1)*('Cashflow Summary C19RM'!$D$5:$D$239=E240)*('Cashflow Summary C19RM'!$AD$5:$AD$239)))</f>
        <v>0</v>
      </c>
      <c r="Z240" s="633" cm="1">
        <f t="array" ref="Z240">$X240*(SUMPRODUCT(('Cashflow Summary C19RM'!$K$5:$K$239&lt;&gt;1)*('Cashflow Summary C19RM'!$D$5:$D$239=E240)*('Cashflow Summary C19RM'!$AE$5:$AE$239)))</f>
        <v>0</v>
      </c>
      <c r="AA240" s="633" cm="1">
        <f t="array" ref="AA240">$X240*(SUMPRODUCT(('Cashflow Summary C19RM'!$K$5:$K$239&lt;&gt;1)*('Cashflow Summary C19RM'!$D$5:$D$239=E240)*('Cashflow Summary C19RM'!$AF$5:$AF$239)))</f>
        <v>0</v>
      </c>
      <c r="AB240" s="630" cm="1">
        <f t="array" ref="AB240">$X240*(SUMPRODUCT(('Cashflow Summary C19RM'!$K$5:$K$239&lt;&gt;1)*('Cashflow Summary C19RM'!$D$5:$D$239=E240)*('Cashflow Summary C19RM'!$AG$5:$AG$239)))</f>
        <v>0</v>
      </c>
      <c r="AC240" s="634">
        <f t="shared" si="102"/>
        <v>0</v>
      </c>
      <c r="AD240" s="686">
        <f t="shared" si="103"/>
        <v>0</v>
      </c>
      <c r="AE240" s="628" cm="1">
        <f t="array" ref="AE240">$AD240*(SUMPRODUCT(('Cashflow Summary C19RM'!$K$5:$K$239&lt;&gt;1)*('Cashflow Summary C19RM'!$D$5:$D$239=E240)*('Cashflow Summary C19RM'!$AH$5:$AH$239)))</f>
        <v>0</v>
      </c>
      <c r="AF240" s="633" cm="1">
        <f t="array" ref="AF240">$AD240*(SUMPRODUCT(('Cashflow Summary C19RM'!$K$5:$K$239&lt;&gt;1)*('Cashflow Summary C19RM'!$D$5:$D$239=E240)*('Cashflow Summary C19RM'!$AI$5:$AI$239)))</f>
        <v>0</v>
      </c>
      <c r="AG240" s="633" cm="1">
        <f t="array" ref="AG240">$AD240*(SUMPRODUCT(('Cashflow Summary C19RM'!$K$5:$K$239&lt;&gt;1)*('Cashflow Summary C19RM'!$D$5:$D$239=E240)*('Cashflow Summary C19RM'!$AJ$5:$AJ$239)))</f>
        <v>0</v>
      </c>
      <c r="AH240" s="633" cm="1">
        <f t="array" ref="AH240">$AD240*(SUMPRODUCT(('Cashflow Summary C19RM'!$K$5:$K$239&lt;&gt;1)*('Cashflow Summary C19RM'!$D$5:$D$239=E240)*('Cashflow Summary C19RM'!$AK$5:$AO$239)))</f>
        <v>0</v>
      </c>
      <c r="AI240" s="634">
        <f t="shared" si="104"/>
        <v>0</v>
      </c>
      <c r="AJ240" s="875">
        <v>0</v>
      </c>
      <c r="AK240" s="872"/>
      <c r="AL240" s="873"/>
      <c r="AM240" s="873"/>
      <c r="AN240" s="873"/>
      <c r="AO240" s="874"/>
      <c r="AP240" s="635">
        <f t="shared" si="112"/>
        <v>0</v>
      </c>
      <c r="AQ240" s="636">
        <v>7.4</v>
      </c>
      <c r="AR240" s="707"/>
      <c r="AS240" s="726"/>
      <c r="AV240" s="228">
        <f t="shared" si="105"/>
        <v>0</v>
      </c>
      <c r="AW240" s="228">
        <f t="shared" si="106"/>
        <v>0</v>
      </c>
      <c r="AX240" s="228">
        <f t="shared" si="107"/>
        <v>0</v>
      </c>
      <c r="AY240" s="228">
        <f t="shared" si="108"/>
        <v>0</v>
      </c>
      <c r="AZ240" s="228">
        <f t="shared" si="109"/>
        <v>0</v>
      </c>
      <c r="BA240" s="228"/>
      <c r="BC240" s="345" cm="1">
        <f t="array" ref="BC240">IF(BM240&gt;=1,0,IFERROR(SUMPRODUCT(($G$11:$AH$11=$BC$16)*($G240:$AH240)),0))</f>
        <v>0</v>
      </c>
      <c r="BD240" s="345" cm="1">
        <f t="array" ref="BD240">IF(BM240&gt;=1,0,IFERROR(SUMPRODUCT(($G$11:$AH$11=$BD$16)*($G240:$AH240)),0))</f>
        <v>0</v>
      </c>
      <c r="BE240" s="345" cm="1">
        <f t="array" ref="BE240">IF(BM240&gt;=1,0,IFERROR(SUMPRODUCT(($G$11:$AH$11=$BE$16)*($G240:$AH240)),0))</f>
        <v>0</v>
      </c>
      <c r="BF240" s="345" cm="1">
        <f t="array" ref="BF240">IF(BM240&gt;=1,0,IFERROR(SUMPRODUCT(($G$11:$AH$11=$BF$16)*($G240:$AH240)),0))</f>
        <v>0</v>
      </c>
      <c r="BG240" s="345" cm="1">
        <f t="array" ref="BG240">IF(BM240&gt;=1,0,IFERROR(SUMPRODUCT(($G$11:$AH$11=$BG$16)*($G240:$AH240)),0))</f>
        <v>0</v>
      </c>
      <c r="BH240" s="345"/>
      <c r="BI240" s="343">
        <f t="shared" si="111"/>
        <v>0</v>
      </c>
      <c r="BJ240" s="230" t="s">
        <v>83</v>
      </c>
      <c r="BK240" cm="1">
        <f t="array" ref="BK240">(SUMPRODUCT(('Cashflow Summary C19RM'!$D$5:$D$451=E240)*('Cashflow Summary C19RM'!$BD$5:$BD$451)))</f>
        <v>0</v>
      </c>
      <c r="BL240" cm="1">
        <f t="array" ref="BL240">(SUMPRODUCT((SETUP!$D$20:$D$67=E240)*(SETUP!$R$20:$R$67)))</f>
        <v>0</v>
      </c>
      <c r="BM240" s="89">
        <f t="shared" si="110"/>
        <v>0</v>
      </c>
    </row>
    <row r="241" spans="1:97" s="89" customFormat="1" ht="15" customHeight="1" x14ac:dyDescent="0.35">
      <c r="B241" s="211" t="s">
        <v>697</v>
      </c>
      <c r="C241" s="699" t="s">
        <v>2750</v>
      </c>
      <c r="D241" s="1314"/>
      <c r="E241" s="1010" t="s">
        <v>30</v>
      </c>
      <c r="F241" s="697">
        <v>0</v>
      </c>
      <c r="G241" s="628" cm="1">
        <f t="array" ref="G241">$F241*(SUMPRODUCT(('Cashflow Summary C19RM'!$K$5:$K$239&lt;&gt;1)*('Cashflow Summary C19RM'!$D$5:$D$239=E241)*('Cashflow Summary C19RM'!$R$5:$R$239)))</f>
        <v>0</v>
      </c>
      <c r="H241" s="629" cm="1">
        <f t="array" ref="H241">$F241*(SUMPRODUCT(('Cashflow Summary C19RM'!$K$5:$K$239&lt;&gt;1)*('Cashflow Summary C19RM'!$D$5:$D$239=E241)*('Cashflow Summary C19RM'!$S$5:$S$239)))</f>
        <v>0</v>
      </c>
      <c r="I241" s="630" cm="1">
        <f t="array" ref="I241">$F241*(SUMPRODUCT(('Cashflow Summary C19RM'!$K$5:$K$239&lt;&gt;1)*('Cashflow Summary C19RM'!$D$5:$D$239=E241)*('Cashflow Summary C19RM'!$T$5:$T$239)))</f>
        <v>0</v>
      </c>
      <c r="J241" s="630" cm="1">
        <f t="array" ref="J241">$F241*(SUMPRODUCT(('Cashflow Summary C19RM'!$K$5:$K$239&lt;&gt;1)*('Cashflow Summary C19RM'!$D$5:$D$239=E241)*('Cashflow Summary C19RM'!$U$5:$U$239)))</f>
        <v>0</v>
      </c>
      <c r="K241" s="631">
        <f t="shared" si="96"/>
        <v>0</v>
      </c>
      <c r="L241" s="686">
        <f t="shared" si="97"/>
        <v>0</v>
      </c>
      <c r="M241" s="630" cm="1">
        <f t="array" ref="M241">$L241*(SUMPRODUCT(('Cashflow Summary C19RM'!$K$5:$K$239&lt;&gt;1)*('Cashflow Summary C19RM'!$D$5:$D$239=E241)*('Cashflow Summary C19RM'!$V$5:$V$239)))</f>
        <v>0</v>
      </c>
      <c r="N241" s="630" cm="1">
        <f t="array" ref="N241">$L241*(SUMPRODUCT(('Cashflow Summary C19RM'!$K$5:$K$239&lt;&gt;1)*('Cashflow Summary C19RM'!$D$5:$D$239=E241)*('Cashflow Summary C19RM'!$W$5:$W$239)))</f>
        <v>0</v>
      </c>
      <c r="O241" s="630" cm="1">
        <f t="array" ref="O241">$L241*(SUMPRODUCT(('Cashflow Summary C19RM'!$K$5:$K$239&lt;&gt;1)*('Cashflow Summary C19RM'!$D$5:$D$239=E241)*('Cashflow Summary C19RM'!$X$5:$X$239)))</f>
        <v>0</v>
      </c>
      <c r="P241" s="630" cm="1">
        <f t="array" ref="P241">$L241*(SUMPRODUCT(('Cashflow Summary C19RM'!$K$5:$K$239&lt;&gt;1)*('Cashflow Summary C19RM'!$D$5:$D$239=E241)*('Cashflow Summary C19RM'!$Y$5:$Y$239)))</f>
        <v>0</v>
      </c>
      <c r="Q241" s="632">
        <f t="shared" si="98"/>
        <v>0</v>
      </c>
      <c r="R241" s="686">
        <f t="shared" si="99"/>
        <v>0</v>
      </c>
      <c r="S241" s="633" cm="1">
        <f t="array" ref="S241">$R241*(SUMPRODUCT(('Cashflow Summary C19RM'!$K$5:$K$239&lt;&gt;1)*('Cashflow Summary C19RM'!$D$5:$D$239=E241)*('Cashflow Summary C19RM'!$Z$5:$Z$239)))</f>
        <v>0</v>
      </c>
      <c r="T241" s="633" cm="1">
        <f t="array" ref="T241">$R241*(SUMPRODUCT(('Cashflow Summary C19RM'!$K$5:$K$239&lt;&gt;1)*('Cashflow Summary C19RM'!$D$5:$D$239=E241)*('Cashflow Summary C19RM'!$AA$5:$AA$239)))</f>
        <v>0</v>
      </c>
      <c r="U241" s="633" cm="1">
        <f t="array" ref="U241">$R241*(SUMPRODUCT(('Cashflow Summary C19RM'!$K$5:$K$239&lt;&gt;1)*('Cashflow Summary C19RM'!$D$5:$D$239=E241)*('Cashflow Summary C19RM'!$AB$5:$AB$239)))</f>
        <v>0</v>
      </c>
      <c r="V241" s="633" cm="1">
        <f t="array" ref="V241">$R241*(SUMPRODUCT(('Cashflow Summary C19RM'!$K$5:$K$239&lt;&gt;1)*('Cashflow Summary C19RM'!$D$5:$D$239=E241)*('Cashflow Summary C19RM'!$AC$5:$AC$239)))</f>
        <v>0</v>
      </c>
      <c r="W241" s="634">
        <f t="shared" si="100"/>
        <v>0</v>
      </c>
      <c r="X241" s="686">
        <f t="shared" si="101"/>
        <v>0</v>
      </c>
      <c r="Y241" s="633" cm="1">
        <f t="array" ref="Y241">$X241*(SUMPRODUCT(('Cashflow Summary C19RM'!$K$5:$K$239&lt;&gt;1)*('Cashflow Summary C19RM'!$D$5:$D$239=E241)*('Cashflow Summary C19RM'!$AD$5:$AD$239)))</f>
        <v>0</v>
      </c>
      <c r="Z241" s="633" cm="1">
        <f t="array" ref="Z241">$X241*(SUMPRODUCT(('Cashflow Summary C19RM'!$K$5:$K$239&lt;&gt;1)*('Cashflow Summary C19RM'!$D$5:$D$239=E241)*('Cashflow Summary C19RM'!$AE$5:$AE$239)))</f>
        <v>0</v>
      </c>
      <c r="AA241" s="633" cm="1">
        <f t="array" ref="AA241">$X241*(SUMPRODUCT(('Cashflow Summary C19RM'!$K$5:$K$239&lt;&gt;1)*('Cashflow Summary C19RM'!$D$5:$D$239=E241)*('Cashflow Summary C19RM'!$AF$5:$AF$239)))</f>
        <v>0</v>
      </c>
      <c r="AB241" s="630" cm="1">
        <f t="array" ref="AB241">$X241*(SUMPRODUCT(('Cashflow Summary C19RM'!$K$5:$K$239&lt;&gt;1)*('Cashflow Summary C19RM'!$D$5:$D$239=E241)*('Cashflow Summary C19RM'!$AG$5:$AG$239)))</f>
        <v>0</v>
      </c>
      <c r="AC241" s="634">
        <f t="shared" si="102"/>
        <v>0</v>
      </c>
      <c r="AD241" s="686">
        <f t="shared" si="103"/>
        <v>0</v>
      </c>
      <c r="AE241" s="628" cm="1">
        <f t="array" ref="AE241">$AD241*(SUMPRODUCT(('Cashflow Summary C19RM'!$K$5:$K$239&lt;&gt;1)*('Cashflow Summary C19RM'!$D$5:$D$239=E241)*('Cashflow Summary C19RM'!$AH$5:$AH$239)))</f>
        <v>0</v>
      </c>
      <c r="AF241" s="633" cm="1">
        <f t="array" ref="AF241">$AD241*(SUMPRODUCT(('Cashflow Summary C19RM'!$K$5:$K$239&lt;&gt;1)*('Cashflow Summary C19RM'!$D$5:$D$239=E241)*('Cashflow Summary C19RM'!$AI$5:$AI$239)))</f>
        <v>0</v>
      </c>
      <c r="AG241" s="633" cm="1">
        <f t="array" ref="AG241">$AD241*(SUMPRODUCT(('Cashflow Summary C19RM'!$K$5:$K$239&lt;&gt;1)*('Cashflow Summary C19RM'!$D$5:$D$239=E241)*('Cashflow Summary C19RM'!$AJ$5:$AJ$239)))</f>
        <v>0</v>
      </c>
      <c r="AH241" s="633" cm="1">
        <f t="array" ref="AH241">$AD241*(SUMPRODUCT(('Cashflow Summary C19RM'!$K$5:$K$239&lt;&gt;1)*('Cashflow Summary C19RM'!$D$5:$D$239=E241)*('Cashflow Summary C19RM'!$AK$5:$AO$239)))</f>
        <v>0</v>
      </c>
      <c r="AI241" s="634">
        <f t="shared" si="104"/>
        <v>0</v>
      </c>
      <c r="AJ241" s="875">
        <v>0</v>
      </c>
      <c r="AK241" s="872"/>
      <c r="AL241" s="873"/>
      <c r="AM241" s="873"/>
      <c r="AN241" s="873"/>
      <c r="AO241" s="874"/>
      <c r="AP241" s="635">
        <f t="shared" si="112"/>
        <v>0</v>
      </c>
      <c r="AQ241" s="636">
        <v>7.4</v>
      </c>
      <c r="AR241" s="707"/>
      <c r="AS241" s="726"/>
      <c r="AV241" s="228">
        <f t="shared" si="105"/>
        <v>0</v>
      </c>
      <c r="AW241" s="228">
        <f t="shared" si="106"/>
        <v>0</v>
      </c>
      <c r="AX241" s="228">
        <f t="shared" si="107"/>
        <v>0</v>
      </c>
      <c r="AY241" s="228">
        <f t="shared" si="108"/>
        <v>0</v>
      </c>
      <c r="AZ241" s="228">
        <f t="shared" si="109"/>
        <v>0</v>
      </c>
      <c r="BA241" s="228"/>
      <c r="BC241" s="345" cm="1">
        <f t="array" ref="BC241">IF(BM241&gt;=1,0,IFERROR(SUMPRODUCT(($G$11:$AH$11=$BC$16)*($G241:$AH241)),0))</f>
        <v>0</v>
      </c>
      <c r="BD241" s="345" cm="1">
        <f t="array" ref="BD241">IF(BM241&gt;=1,0,IFERROR(SUMPRODUCT(($G$11:$AH$11=$BD$16)*($G241:$AH241)),0))</f>
        <v>0</v>
      </c>
      <c r="BE241" s="345" cm="1">
        <f t="array" ref="BE241">IF(BM241&gt;=1,0,IFERROR(SUMPRODUCT(($G$11:$AH$11=$BE$16)*($G241:$AH241)),0))</f>
        <v>0</v>
      </c>
      <c r="BF241" s="345" cm="1">
        <f t="array" ref="BF241">IF(BM241&gt;=1,0,IFERROR(SUMPRODUCT(($G$11:$AH$11=$BF$16)*($G241:$AH241)),0))</f>
        <v>0</v>
      </c>
      <c r="BG241" s="345" cm="1">
        <f t="array" ref="BG241">IF(BM241&gt;=1,0,IFERROR(SUMPRODUCT(($G$11:$AH$11=$BG$16)*($G241:$AH241)),0))</f>
        <v>0</v>
      </c>
      <c r="BH241" s="345"/>
      <c r="BI241" s="343">
        <f t="shared" si="111"/>
        <v>0</v>
      </c>
      <c r="BJ241" s="230" t="s">
        <v>83</v>
      </c>
      <c r="BK241" cm="1">
        <f t="array" ref="BK241">(SUMPRODUCT(('Cashflow Summary C19RM'!$D$5:$D$451=E241)*('Cashflow Summary C19RM'!$BD$5:$BD$451)))</f>
        <v>0</v>
      </c>
      <c r="BL241" cm="1">
        <f t="array" ref="BL241">(SUMPRODUCT((SETUP!$D$20:$D$67=E241)*(SETUP!$R$20:$R$67)))</f>
        <v>0</v>
      </c>
      <c r="BM241" s="89">
        <f t="shared" si="110"/>
        <v>0</v>
      </c>
    </row>
    <row r="242" spans="1:97" s="89" customFormat="1" ht="15" customHeight="1" thickBot="1" x14ac:dyDescent="0.4">
      <c r="B242" s="211" t="s">
        <v>697</v>
      </c>
      <c r="C242" s="699" t="s">
        <v>2750</v>
      </c>
      <c r="D242" s="1315"/>
      <c r="E242" s="1011" t="s">
        <v>31</v>
      </c>
      <c r="F242" s="720">
        <v>0</v>
      </c>
      <c r="G242" s="709" cm="1">
        <f t="array" ref="G242">$F242*(SUMPRODUCT(('Cashflow Summary C19RM'!$K$5:$K$239&lt;&gt;1)*('Cashflow Summary C19RM'!$D$5:$D$239=E242)*('Cashflow Summary C19RM'!$R$5:$R$239)))</f>
        <v>0</v>
      </c>
      <c r="H242" s="1005" cm="1">
        <f t="array" ref="H242">$F242*(SUMPRODUCT(('Cashflow Summary C19RM'!$K$5:$K$239&lt;&gt;1)*('Cashflow Summary C19RM'!$D$5:$D$239=E242)*('Cashflow Summary C19RM'!$S$5:$S$239)))</f>
        <v>0</v>
      </c>
      <c r="I242" s="989" cm="1">
        <f t="array" ref="I242">$F242*(SUMPRODUCT(('Cashflow Summary C19RM'!$K$5:$K$239&lt;&gt;1)*('Cashflow Summary C19RM'!$D$5:$D$239=E242)*('Cashflow Summary C19RM'!$T$5:$T$239)))</f>
        <v>0</v>
      </c>
      <c r="J242" s="989" cm="1">
        <f t="array" ref="J242">$F242*(SUMPRODUCT(('Cashflow Summary C19RM'!$K$5:$K$239&lt;&gt;1)*('Cashflow Summary C19RM'!$D$5:$D$239=E242)*('Cashflow Summary C19RM'!$U$5:$U$239)))</f>
        <v>0</v>
      </c>
      <c r="K242" s="712">
        <f t="shared" si="96"/>
        <v>0</v>
      </c>
      <c r="L242" s="711">
        <f t="shared" si="97"/>
        <v>0</v>
      </c>
      <c r="M242" s="989" cm="1">
        <f t="array" ref="M242">$L242*(SUMPRODUCT(('Cashflow Summary C19RM'!$K$5:$K$239&lt;&gt;1)*('Cashflow Summary C19RM'!$D$5:$D$239=E242)*('Cashflow Summary C19RM'!$V$5:$V$239)))</f>
        <v>0</v>
      </c>
      <c r="N242" s="989" cm="1">
        <f t="array" ref="N242">$L242*(SUMPRODUCT(('Cashflow Summary C19RM'!$K$5:$K$239&lt;&gt;1)*('Cashflow Summary C19RM'!$D$5:$D$239=E242)*('Cashflow Summary C19RM'!$W$5:$W$239)))</f>
        <v>0</v>
      </c>
      <c r="O242" s="989" cm="1">
        <f t="array" ref="O242">$L242*(SUMPRODUCT(('Cashflow Summary C19RM'!$K$5:$K$239&lt;&gt;1)*('Cashflow Summary C19RM'!$D$5:$D$239=E242)*('Cashflow Summary C19RM'!$X$5:$X$239)))</f>
        <v>0</v>
      </c>
      <c r="P242" s="989" cm="1">
        <f t="array" ref="P242">$L242*(SUMPRODUCT(('Cashflow Summary C19RM'!$K$5:$K$239&lt;&gt;1)*('Cashflow Summary C19RM'!$D$5:$D$239=E242)*('Cashflow Summary C19RM'!$Y$5:$Y$239)))</f>
        <v>0</v>
      </c>
      <c r="Q242" s="710">
        <f t="shared" si="98"/>
        <v>0</v>
      </c>
      <c r="R242" s="711">
        <f t="shared" si="99"/>
        <v>0</v>
      </c>
      <c r="S242" s="704" cm="1">
        <f t="array" ref="S242">$R242*(SUMPRODUCT(('Cashflow Summary C19RM'!$K$5:$K$239&lt;&gt;1)*('Cashflow Summary C19RM'!$D$5:$D$239=E242)*('Cashflow Summary C19RM'!$Z$5:$Z$239)))</f>
        <v>0</v>
      </c>
      <c r="T242" s="704" cm="1">
        <f t="array" ref="T242">$R242*(SUMPRODUCT(('Cashflow Summary C19RM'!$K$5:$K$239&lt;&gt;1)*('Cashflow Summary C19RM'!$D$5:$D$239=E242)*('Cashflow Summary C19RM'!$AA$5:$AA$239)))</f>
        <v>0</v>
      </c>
      <c r="U242" s="704" cm="1">
        <f t="array" ref="U242">$R242*(SUMPRODUCT(('Cashflow Summary C19RM'!$K$5:$K$239&lt;&gt;1)*('Cashflow Summary C19RM'!$D$5:$D$239=E242)*('Cashflow Summary C19RM'!$AB$5:$AB$239)))</f>
        <v>0</v>
      </c>
      <c r="V242" s="704" cm="1">
        <f t="array" ref="V242">$R242*(SUMPRODUCT(('Cashflow Summary C19RM'!$K$5:$K$239&lt;&gt;1)*('Cashflow Summary C19RM'!$D$5:$D$239=E242)*('Cashflow Summary C19RM'!$AC$5:$AC$239)))</f>
        <v>0</v>
      </c>
      <c r="W242" s="993">
        <f t="shared" si="100"/>
        <v>0</v>
      </c>
      <c r="X242" s="711">
        <f t="shared" si="101"/>
        <v>0</v>
      </c>
      <c r="Y242" s="704" cm="1">
        <f t="array" ref="Y242">$X242*(SUMPRODUCT(('Cashflow Summary C19RM'!$K$5:$K$239&lt;&gt;1)*('Cashflow Summary C19RM'!$D$5:$D$239=E242)*('Cashflow Summary C19RM'!$AD$5:$AD$239)))</f>
        <v>0</v>
      </c>
      <c r="Z242" s="704" cm="1">
        <f t="array" ref="Z242">$X242*(SUMPRODUCT(('Cashflow Summary C19RM'!$K$5:$K$239&lt;&gt;1)*('Cashflow Summary C19RM'!$D$5:$D$239=E242)*('Cashflow Summary C19RM'!$AE$5:$AE$239)))</f>
        <v>0</v>
      </c>
      <c r="AA242" s="704" cm="1">
        <f t="array" ref="AA242">$X242*(SUMPRODUCT(('Cashflow Summary C19RM'!$K$5:$K$239&lt;&gt;1)*('Cashflow Summary C19RM'!$D$5:$D$239=E242)*('Cashflow Summary C19RM'!$AF$5:$AF$239)))</f>
        <v>0</v>
      </c>
      <c r="AB242" s="989" cm="1">
        <f t="array" ref="AB242">$X242*(SUMPRODUCT(('Cashflow Summary C19RM'!$K$5:$K$239&lt;&gt;1)*('Cashflow Summary C19RM'!$D$5:$D$239=E242)*('Cashflow Summary C19RM'!$AG$5:$AG$239)))</f>
        <v>0</v>
      </c>
      <c r="AC242" s="993">
        <f t="shared" si="102"/>
        <v>0</v>
      </c>
      <c r="AD242" s="711">
        <f t="shared" si="103"/>
        <v>0</v>
      </c>
      <c r="AE242" s="709" cm="1">
        <f t="array" ref="AE242">$AD242*(SUMPRODUCT(('Cashflow Summary C19RM'!$K$5:$K$239&lt;&gt;1)*('Cashflow Summary C19RM'!$D$5:$D$239=E242)*('Cashflow Summary C19RM'!$AH$5:$AH$239)))</f>
        <v>0</v>
      </c>
      <c r="AF242" s="704" cm="1">
        <f t="array" ref="AF242">$AD242*(SUMPRODUCT(('Cashflow Summary C19RM'!$K$5:$K$239&lt;&gt;1)*('Cashflow Summary C19RM'!$D$5:$D$239=E242)*('Cashflow Summary C19RM'!$AI$5:$AI$239)))</f>
        <v>0</v>
      </c>
      <c r="AG242" s="704" cm="1">
        <f t="array" ref="AG242">$AD242*(SUMPRODUCT(('Cashflow Summary C19RM'!$K$5:$K$239&lt;&gt;1)*('Cashflow Summary C19RM'!$D$5:$D$239=E242)*('Cashflow Summary C19RM'!$AJ$5:$AJ$239)))</f>
        <v>0</v>
      </c>
      <c r="AH242" s="704" cm="1">
        <f t="array" ref="AH242">$AD242*(SUMPRODUCT(('Cashflow Summary C19RM'!$K$5:$K$239&lt;&gt;1)*('Cashflow Summary C19RM'!$D$5:$D$239=E242)*('Cashflow Summary C19RM'!$AK$5:$AO$239)))</f>
        <v>0</v>
      </c>
      <c r="AI242" s="993">
        <f t="shared" si="104"/>
        <v>0</v>
      </c>
      <c r="AJ242" s="990">
        <v>0</v>
      </c>
      <c r="AK242" s="1006"/>
      <c r="AL242" s="1007"/>
      <c r="AM242" s="1007"/>
      <c r="AN242" s="1007"/>
      <c r="AO242" s="1008"/>
      <c r="AP242" s="713">
        <f t="shared" si="112"/>
        <v>0</v>
      </c>
      <c r="AQ242" s="714">
        <v>7.4</v>
      </c>
      <c r="AR242" s="715"/>
      <c r="AS242" s="726" t="s">
        <v>213</v>
      </c>
      <c r="AV242" s="228">
        <f t="shared" si="105"/>
        <v>0</v>
      </c>
      <c r="AW242" s="228">
        <f t="shared" si="106"/>
        <v>0</v>
      </c>
      <c r="AX242" s="228">
        <f t="shared" si="107"/>
        <v>0</v>
      </c>
      <c r="AY242" s="228">
        <f t="shared" si="108"/>
        <v>0</v>
      </c>
      <c r="AZ242" s="228">
        <f t="shared" si="109"/>
        <v>0</v>
      </c>
      <c r="BA242" s="228"/>
      <c r="BC242" s="345" cm="1">
        <f t="array" ref="BC242">IF(BM242&gt;=1,0,IFERROR(SUMPRODUCT(($G$11:$AH$11=$BC$16)*($G242:$AH242)),0))</f>
        <v>0</v>
      </c>
      <c r="BD242" s="345" cm="1">
        <f t="array" ref="BD242">IF(BM242&gt;=1,0,IFERROR(SUMPRODUCT(($G$11:$AH$11=$BD$16)*($G242:$AH242)),0))</f>
        <v>0</v>
      </c>
      <c r="BE242" s="345" cm="1">
        <f t="array" ref="BE242">IF(BM242&gt;=1,0,IFERROR(SUMPRODUCT(($G$11:$AH$11=$BE$16)*($G242:$AH242)),0))</f>
        <v>0</v>
      </c>
      <c r="BF242" s="345" cm="1">
        <f t="array" ref="BF242">IF(BM242&gt;=1,0,IFERROR(SUMPRODUCT(($G$11:$AH$11=$BF$16)*($G242:$AH242)),0))</f>
        <v>0</v>
      </c>
      <c r="BG242" s="345" cm="1">
        <f t="array" ref="BG242">IF(BM242&gt;=1,0,IFERROR(SUMPRODUCT(($G$11:$AH$11=$BG$16)*($G242:$AH242)),0))</f>
        <v>0</v>
      </c>
      <c r="BH242" s="345"/>
      <c r="BI242" s="343">
        <f t="shared" si="111"/>
        <v>0</v>
      </c>
      <c r="BJ242" s="230" t="s">
        <v>83</v>
      </c>
      <c r="BK242" cm="1">
        <f t="array" ref="BK242">(SUMPRODUCT(('Cashflow Summary C19RM'!$D$5:$D$451=E242)*('Cashflow Summary C19RM'!$BD$5:$BD$451)))</f>
        <v>0</v>
      </c>
      <c r="BL242" cm="1">
        <f t="array" ref="BL242">(SUMPRODUCT((SETUP!$D$20:$D$67=E242)*(SETUP!$R$20:$R$67)))</f>
        <v>0</v>
      </c>
      <c r="BM242" s="89">
        <f t="shared" si="110"/>
        <v>0</v>
      </c>
    </row>
    <row r="243" spans="1:97" s="89" customFormat="1" ht="15" hidden="1" customHeight="1" x14ac:dyDescent="0.35">
      <c r="A243" s="175"/>
      <c r="B243" s="211"/>
      <c r="C243" s="290"/>
      <c r="D243" s="1004"/>
      <c r="E243" s="995"/>
      <c r="F243" s="697"/>
      <c r="G243" s="628"/>
      <c r="H243" s="633"/>
      <c r="I243" s="633"/>
      <c r="J243" s="633"/>
      <c r="K243" s="631"/>
      <c r="L243" s="686"/>
      <c r="M243" s="630"/>
      <c r="N243" s="630"/>
      <c r="O243" s="630"/>
      <c r="P243" s="630"/>
      <c r="Q243" s="632"/>
      <c r="R243" s="686"/>
      <c r="S243" s="633"/>
      <c r="T243" s="633"/>
      <c r="U243" s="633"/>
      <c r="V243" s="633"/>
      <c r="W243" s="631"/>
      <c r="X243" s="686"/>
      <c r="Y243" s="633"/>
      <c r="Z243" s="633"/>
      <c r="AA243" s="633"/>
      <c r="AB243" s="633"/>
      <c r="AC243" s="631"/>
      <c r="AD243" s="631"/>
      <c r="AE243" s="631"/>
      <c r="AF243" s="631"/>
      <c r="AG243" s="631"/>
      <c r="AH243" s="631"/>
      <c r="AI243" s="631"/>
      <c r="AJ243" s="876"/>
      <c r="AK243" s="876"/>
      <c r="AL243" s="876"/>
      <c r="AM243" s="876"/>
      <c r="AN243" s="876"/>
      <c r="AO243" s="876"/>
      <c r="AP243" s="635"/>
      <c r="AQ243" s="636"/>
      <c r="AR243" s="707"/>
      <c r="AS243" s="310"/>
      <c r="AV243" s="228"/>
      <c r="AW243" s="228"/>
      <c r="AX243" s="228"/>
      <c r="AY243" s="228"/>
      <c r="AZ243" s="228"/>
      <c r="BA243" s="228"/>
      <c r="BC243" s="345"/>
      <c r="BD243" s="345"/>
      <c r="BE243" s="345"/>
      <c r="BF243" s="345"/>
      <c r="BG243" s="345"/>
      <c r="BH243" s="345"/>
      <c r="BI243" s="343"/>
      <c r="BJ243" s="290"/>
      <c r="BK243"/>
      <c r="BL243"/>
    </row>
    <row r="244" spans="1:97" s="175" customFormat="1" ht="14.15" hidden="1" customHeight="1" x14ac:dyDescent="0.35">
      <c r="A244" s="89"/>
      <c r="B244" s="211"/>
      <c r="C244" s="293"/>
      <c r="D244" s="1316"/>
      <c r="E244" s="703"/>
      <c r="F244" s="697"/>
      <c r="G244" s="628"/>
      <c r="H244" s="633"/>
      <c r="I244" s="633"/>
      <c r="J244" s="633"/>
      <c r="K244" s="631"/>
      <c r="L244" s="686"/>
      <c r="M244" s="633"/>
      <c r="N244" s="633"/>
      <c r="O244" s="633"/>
      <c r="P244" s="633"/>
      <c r="Q244" s="632"/>
      <c r="R244" s="686"/>
      <c r="S244" s="633"/>
      <c r="T244" s="633"/>
      <c r="U244" s="633"/>
      <c r="V244" s="633"/>
      <c r="W244" s="631"/>
      <c r="X244" s="686"/>
      <c r="Y244" s="633"/>
      <c r="Z244" s="633"/>
      <c r="AA244" s="633"/>
      <c r="AB244" s="633"/>
      <c r="AC244" s="631"/>
      <c r="AD244" s="631"/>
      <c r="AE244" s="631"/>
      <c r="AF244" s="631"/>
      <c r="AG244" s="631"/>
      <c r="AH244" s="631"/>
      <c r="AI244" s="631"/>
      <c r="AJ244" s="876"/>
      <c r="AK244" s="876"/>
      <c r="AL244" s="876"/>
      <c r="AM244" s="876"/>
      <c r="AN244" s="876"/>
      <c r="AO244" s="876"/>
      <c r="AP244" s="635"/>
      <c r="AQ244" s="636"/>
      <c r="AR244" s="707"/>
      <c r="AS244" s="310"/>
      <c r="AV244" s="228"/>
      <c r="AW244" s="228"/>
      <c r="AX244" s="228"/>
      <c r="AY244" s="228"/>
      <c r="AZ244" s="228"/>
      <c r="BA244" s="228"/>
      <c r="BC244" s="345"/>
      <c r="BD244" s="345"/>
      <c r="BE244" s="345"/>
      <c r="BF244" s="345"/>
      <c r="BG244" s="345"/>
      <c r="BH244" s="345"/>
      <c r="BI244" s="343"/>
      <c r="BJ244" s="294"/>
      <c r="BK244"/>
      <c r="BL244"/>
      <c r="BM244" s="89"/>
    </row>
    <row r="245" spans="1:97" s="89" customFormat="1" ht="15" hidden="1" customHeight="1" x14ac:dyDescent="0.35">
      <c r="B245" s="211"/>
      <c r="C245" s="293"/>
      <c r="D245" s="1316"/>
      <c r="E245" s="703"/>
      <c r="F245" s="697"/>
      <c r="G245" s="638"/>
      <c r="H245" s="639"/>
      <c r="I245" s="639"/>
      <c r="J245" s="639"/>
      <c r="K245" s="631"/>
      <c r="L245" s="686"/>
      <c r="M245" s="630"/>
      <c r="N245" s="630"/>
      <c r="O245" s="630"/>
      <c r="P245" s="630"/>
      <c r="Q245" s="632"/>
      <c r="R245" s="686"/>
      <c r="S245" s="633"/>
      <c r="T245" s="633"/>
      <c r="U245" s="633"/>
      <c r="V245" s="633"/>
      <c r="W245" s="631"/>
      <c r="X245" s="686"/>
      <c r="Y245" s="633"/>
      <c r="Z245" s="633"/>
      <c r="AA245" s="633"/>
      <c r="AB245" s="633"/>
      <c r="AC245" s="631"/>
      <c r="AD245" s="631"/>
      <c r="AE245" s="631"/>
      <c r="AF245" s="631"/>
      <c r="AG245" s="631"/>
      <c r="AH245" s="631"/>
      <c r="AI245" s="631"/>
      <c r="AJ245" s="876"/>
      <c r="AK245" s="876"/>
      <c r="AL245" s="876"/>
      <c r="AM245" s="876"/>
      <c r="AN245" s="876"/>
      <c r="AO245" s="876"/>
      <c r="AP245" s="635"/>
      <c r="AQ245" s="636"/>
      <c r="AR245" s="707"/>
      <c r="AS245" s="310"/>
      <c r="AV245" s="228"/>
      <c r="AW245" s="228"/>
      <c r="AX245" s="228"/>
      <c r="AY245" s="228"/>
      <c r="AZ245" s="228"/>
      <c r="BA245" s="228"/>
      <c r="BC245" s="345"/>
      <c r="BD245" s="345"/>
      <c r="BE245" s="345"/>
      <c r="BF245" s="345"/>
      <c r="BG245" s="345"/>
      <c r="BH245" s="345"/>
      <c r="BI245" s="343"/>
      <c r="BJ245" s="294"/>
      <c r="BK245"/>
      <c r="BL245"/>
    </row>
    <row r="246" spans="1:97" s="89" customFormat="1" ht="15" hidden="1" customHeight="1" x14ac:dyDescent="0.35">
      <c r="B246" s="211"/>
      <c r="C246" s="293"/>
      <c r="D246" s="1316"/>
      <c r="E246" s="703"/>
      <c r="F246" s="697"/>
      <c r="G246" s="628"/>
      <c r="H246" s="633"/>
      <c r="I246" s="633"/>
      <c r="J246" s="633"/>
      <c r="K246" s="631"/>
      <c r="L246" s="686"/>
      <c r="M246" s="630"/>
      <c r="N246" s="630"/>
      <c r="O246" s="630"/>
      <c r="P246" s="630"/>
      <c r="Q246" s="632"/>
      <c r="R246" s="686"/>
      <c r="S246" s="633"/>
      <c r="T246" s="633"/>
      <c r="U246" s="633"/>
      <c r="V246" s="633"/>
      <c r="W246" s="631"/>
      <c r="X246" s="686"/>
      <c r="Y246" s="633"/>
      <c r="Z246" s="633"/>
      <c r="AA246" s="633"/>
      <c r="AB246" s="633"/>
      <c r="AC246" s="631"/>
      <c r="AD246" s="631"/>
      <c r="AE246" s="631"/>
      <c r="AF246" s="631"/>
      <c r="AG246" s="631"/>
      <c r="AH246" s="631"/>
      <c r="AI246" s="631"/>
      <c r="AJ246" s="876"/>
      <c r="AK246" s="876"/>
      <c r="AL246" s="876"/>
      <c r="AM246" s="876"/>
      <c r="AN246" s="876"/>
      <c r="AO246" s="876"/>
      <c r="AP246" s="635"/>
      <c r="AQ246" s="636"/>
      <c r="AR246" s="707"/>
      <c r="AS246" s="310"/>
      <c r="AV246" s="228"/>
      <c r="AW246" s="228"/>
      <c r="AX246" s="228"/>
      <c r="AY246" s="228"/>
      <c r="AZ246" s="228"/>
      <c r="BA246" s="228"/>
      <c r="BC246" s="345"/>
      <c r="BD246" s="345"/>
      <c r="BE246" s="345"/>
      <c r="BF246" s="345"/>
      <c r="BG246" s="345"/>
      <c r="BH246" s="345"/>
      <c r="BI246" s="343"/>
      <c r="BJ246" s="294"/>
      <c r="BK246"/>
      <c r="BL246"/>
    </row>
    <row r="247" spans="1:97" s="89" customFormat="1" ht="15" hidden="1" customHeight="1" x14ac:dyDescent="0.35">
      <c r="B247" s="211"/>
      <c r="C247" s="293"/>
      <c r="D247" s="1316"/>
      <c r="E247" s="703"/>
      <c r="F247" s="697"/>
      <c r="G247" s="628"/>
      <c r="H247" s="633"/>
      <c r="I247" s="633"/>
      <c r="J247" s="633"/>
      <c r="K247" s="631"/>
      <c r="L247" s="686"/>
      <c r="M247" s="633"/>
      <c r="N247" s="633"/>
      <c r="O247" s="633"/>
      <c r="P247" s="633"/>
      <c r="Q247" s="632"/>
      <c r="R247" s="686"/>
      <c r="S247" s="633"/>
      <c r="T247" s="633"/>
      <c r="U247" s="633"/>
      <c r="V247" s="633"/>
      <c r="W247" s="631"/>
      <c r="X247" s="686"/>
      <c r="Y247" s="633"/>
      <c r="Z247" s="633"/>
      <c r="AA247" s="633"/>
      <c r="AB247" s="633"/>
      <c r="AC247" s="631"/>
      <c r="AD247" s="631"/>
      <c r="AE247" s="631"/>
      <c r="AF247" s="631"/>
      <c r="AG247" s="631"/>
      <c r="AH247" s="631"/>
      <c r="AI247" s="631"/>
      <c r="AJ247" s="876"/>
      <c r="AK247" s="876"/>
      <c r="AL247" s="876"/>
      <c r="AM247" s="876"/>
      <c r="AN247" s="876"/>
      <c r="AO247" s="876"/>
      <c r="AP247" s="635"/>
      <c r="AQ247" s="636"/>
      <c r="AR247" s="707"/>
      <c r="AS247" s="310"/>
      <c r="AV247" s="228"/>
      <c r="AW247" s="228"/>
      <c r="AX247" s="228"/>
      <c r="AY247" s="228"/>
      <c r="AZ247" s="228"/>
      <c r="BA247" s="228"/>
      <c r="BC247" s="345"/>
      <c r="BD247" s="345"/>
      <c r="BE247" s="345"/>
      <c r="BF247" s="345"/>
      <c r="BG247" s="345"/>
      <c r="BH247" s="345"/>
      <c r="BI247" s="343"/>
      <c r="BJ247" s="294"/>
      <c r="BK247"/>
      <c r="BL247"/>
    </row>
    <row r="248" spans="1:97" s="89" customFormat="1" ht="15" hidden="1" customHeight="1" x14ac:dyDescent="0.35">
      <c r="B248" s="211"/>
      <c r="C248" s="293"/>
      <c r="D248" s="1316"/>
      <c r="E248" s="703"/>
      <c r="F248" s="697"/>
      <c r="G248" s="628"/>
      <c r="H248" s="633"/>
      <c r="I248" s="633"/>
      <c r="J248" s="633"/>
      <c r="K248" s="631"/>
      <c r="L248" s="686"/>
      <c r="M248" s="633"/>
      <c r="N248" s="633"/>
      <c r="O248" s="633"/>
      <c r="P248" s="633"/>
      <c r="Q248" s="632"/>
      <c r="R248" s="686"/>
      <c r="S248" s="633"/>
      <c r="T248" s="633"/>
      <c r="U248" s="633"/>
      <c r="V248" s="633"/>
      <c r="W248" s="631"/>
      <c r="X248" s="686"/>
      <c r="Y248" s="633"/>
      <c r="Z248" s="633"/>
      <c r="AA248" s="633"/>
      <c r="AB248" s="633"/>
      <c r="AC248" s="631"/>
      <c r="AD248" s="631"/>
      <c r="AE248" s="631"/>
      <c r="AF248" s="631"/>
      <c r="AG248" s="631"/>
      <c r="AH248" s="631"/>
      <c r="AI248" s="631"/>
      <c r="AJ248" s="876"/>
      <c r="AK248" s="876"/>
      <c r="AL248" s="876"/>
      <c r="AM248" s="876"/>
      <c r="AN248" s="876"/>
      <c r="AO248" s="876"/>
      <c r="AP248" s="635"/>
      <c r="AQ248" s="636"/>
      <c r="AR248" s="707"/>
      <c r="AS248" s="310"/>
      <c r="AV248" s="228"/>
      <c r="AW248" s="228"/>
      <c r="AX248" s="228"/>
      <c r="AY248" s="228"/>
      <c r="AZ248" s="228"/>
      <c r="BA248" s="228"/>
      <c r="BC248" s="345"/>
      <c r="BD248" s="345"/>
      <c r="BE248" s="345"/>
      <c r="BF248" s="345"/>
      <c r="BG248" s="345"/>
      <c r="BH248" s="345"/>
      <c r="BI248" s="343"/>
      <c r="BJ248" s="294"/>
      <c r="BK248"/>
      <c r="BL248"/>
    </row>
    <row r="249" spans="1:97" s="89" customFormat="1" ht="15" hidden="1" customHeight="1" x14ac:dyDescent="0.35">
      <c r="B249" s="211"/>
      <c r="C249" s="293"/>
      <c r="D249" s="1316"/>
      <c r="E249" s="703"/>
      <c r="F249" s="697"/>
      <c r="G249" s="628"/>
      <c r="H249" s="633"/>
      <c r="I249" s="633"/>
      <c r="J249" s="633"/>
      <c r="K249" s="631"/>
      <c r="L249" s="686"/>
      <c r="M249" s="633"/>
      <c r="N249" s="633"/>
      <c r="O249" s="633"/>
      <c r="P249" s="633"/>
      <c r="Q249" s="632"/>
      <c r="R249" s="686"/>
      <c r="S249" s="633"/>
      <c r="T249" s="633"/>
      <c r="U249" s="633"/>
      <c r="V249" s="633"/>
      <c r="W249" s="631"/>
      <c r="X249" s="686"/>
      <c r="Y249" s="633"/>
      <c r="Z249" s="633"/>
      <c r="AA249" s="633"/>
      <c r="AB249" s="633"/>
      <c r="AC249" s="631"/>
      <c r="AD249" s="631"/>
      <c r="AE249" s="631"/>
      <c r="AF249" s="631"/>
      <c r="AG249" s="631"/>
      <c r="AH249" s="631"/>
      <c r="AI249" s="631"/>
      <c r="AJ249" s="876"/>
      <c r="AK249" s="876"/>
      <c r="AL249" s="876"/>
      <c r="AM249" s="876"/>
      <c r="AN249" s="876"/>
      <c r="AO249" s="876"/>
      <c r="AP249" s="635"/>
      <c r="AQ249" s="636"/>
      <c r="AR249" s="707"/>
      <c r="AS249" s="310"/>
      <c r="AV249" s="228"/>
      <c r="AW249" s="228"/>
      <c r="AX249" s="228"/>
      <c r="AY249" s="228"/>
      <c r="AZ249" s="228"/>
      <c r="BA249" s="228"/>
      <c r="BC249" s="345"/>
      <c r="BD249" s="345"/>
      <c r="BE249" s="345"/>
      <c r="BF249" s="345"/>
      <c r="BG249" s="345"/>
      <c r="BH249" s="345"/>
      <c r="BI249" s="343"/>
      <c r="BJ249" s="294"/>
      <c r="BK249"/>
      <c r="BL249"/>
    </row>
    <row r="250" spans="1:97" s="89" customFormat="1" ht="15" hidden="1" customHeight="1" x14ac:dyDescent="0.35">
      <c r="B250" s="211"/>
      <c r="C250" s="293"/>
      <c r="D250" s="1316"/>
      <c r="E250" s="703"/>
      <c r="F250" s="697"/>
      <c r="G250" s="628"/>
      <c r="H250" s="633"/>
      <c r="I250" s="633"/>
      <c r="J250" s="633"/>
      <c r="K250" s="631"/>
      <c r="L250" s="686"/>
      <c r="M250" s="630"/>
      <c r="N250" s="630"/>
      <c r="O250" s="630"/>
      <c r="P250" s="630"/>
      <c r="Q250" s="632"/>
      <c r="R250" s="686"/>
      <c r="S250" s="633"/>
      <c r="T250" s="633"/>
      <c r="U250" s="633"/>
      <c r="V250" s="633"/>
      <c r="W250" s="631"/>
      <c r="X250" s="686"/>
      <c r="Y250" s="633"/>
      <c r="Z250" s="633"/>
      <c r="AA250" s="633"/>
      <c r="AB250" s="633"/>
      <c r="AC250" s="631"/>
      <c r="AD250" s="631"/>
      <c r="AE250" s="631"/>
      <c r="AF250" s="631"/>
      <c r="AG250" s="631"/>
      <c r="AH250" s="631"/>
      <c r="AI250" s="631"/>
      <c r="AJ250" s="876"/>
      <c r="AK250" s="876"/>
      <c r="AL250" s="876"/>
      <c r="AM250" s="876"/>
      <c r="AN250" s="876"/>
      <c r="AO250" s="876"/>
      <c r="AP250" s="635"/>
      <c r="AQ250" s="636"/>
      <c r="AR250" s="707"/>
      <c r="AS250" s="310"/>
      <c r="AV250" s="228"/>
      <c r="AW250" s="228"/>
      <c r="AX250" s="228"/>
      <c r="AY250" s="228"/>
      <c r="AZ250" s="228"/>
      <c r="BA250" s="228"/>
      <c r="BC250" s="345"/>
      <c r="BD250" s="345"/>
      <c r="BE250" s="345"/>
      <c r="BF250" s="345"/>
      <c r="BG250" s="345"/>
      <c r="BH250" s="345"/>
      <c r="BI250" s="343"/>
      <c r="BJ250" s="294"/>
      <c r="BK250"/>
      <c r="BL250"/>
    </row>
    <row r="251" spans="1:97" s="89" customFormat="1" ht="15" hidden="1" customHeight="1" x14ac:dyDescent="0.35">
      <c r="B251" s="211"/>
      <c r="C251" s="293"/>
      <c r="D251" s="1316"/>
      <c r="E251" s="703"/>
      <c r="F251" s="697"/>
      <c r="G251" s="628"/>
      <c r="H251" s="633"/>
      <c r="I251" s="633"/>
      <c r="J251" s="633"/>
      <c r="K251" s="631"/>
      <c r="L251" s="686"/>
      <c r="M251" s="633"/>
      <c r="N251" s="633"/>
      <c r="O251" s="633"/>
      <c r="P251" s="633"/>
      <c r="Q251" s="632"/>
      <c r="R251" s="686"/>
      <c r="S251" s="633"/>
      <c r="T251" s="633"/>
      <c r="U251" s="633"/>
      <c r="V251" s="633"/>
      <c r="W251" s="631"/>
      <c r="X251" s="686"/>
      <c r="Y251" s="633"/>
      <c r="Z251" s="633"/>
      <c r="AA251" s="633"/>
      <c r="AB251" s="633"/>
      <c r="AC251" s="631"/>
      <c r="AD251" s="631"/>
      <c r="AE251" s="631"/>
      <c r="AF251" s="631"/>
      <c r="AG251" s="631"/>
      <c r="AH251" s="631"/>
      <c r="AI251" s="631"/>
      <c r="AJ251" s="876"/>
      <c r="AK251" s="876"/>
      <c r="AL251" s="876"/>
      <c r="AM251" s="876"/>
      <c r="AN251" s="876"/>
      <c r="AO251" s="876"/>
      <c r="AP251" s="635"/>
      <c r="AQ251" s="636"/>
      <c r="AR251" s="707"/>
      <c r="AS251" s="310"/>
      <c r="AV251" s="228"/>
      <c r="AW251" s="228"/>
      <c r="AX251" s="228"/>
      <c r="AY251" s="228"/>
      <c r="AZ251" s="228"/>
      <c r="BA251" s="228"/>
      <c r="BC251" s="345"/>
      <c r="BD251" s="345"/>
      <c r="BE251" s="345"/>
      <c r="BF251" s="345"/>
      <c r="BG251" s="345"/>
      <c r="BH251" s="345"/>
      <c r="BI251" s="343"/>
      <c r="BJ251" s="294"/>
      <c r="BK251"/>
      <c r="BL251"/>
    </row>
    <row r="252" spans="1:97" s="89" customFormat="1" ht="15" hidden="1" customHeight="1" x14ac:dyDescent="0.35">
      <c r="B252" s="211"/>
      <c r="C252" s="293"/>
      <c r="D252" s="1316"/>
      <c r="E252" s="703"/>
      <c r="F252" s="697"/>
      <c r="G252" s="628"/>
      <c r="H252" s="633"/>
      <c r="I252" s="633"/>
      <c r="J252" s="633"/>
      <c r="K252" s="631"/>
      <c r="L252" s="686"/>
      <c r="M252" s="633"/>
      <c r="N252" s="633"/>
      <c r="O252" s="633"/>
      <c r="P252" s="633"/>
      <c r="Q252" s="632"/>
      <c r="R252" s="686"/>
      <c r="S252" s="633"/>
      <c r="T252" s="633"/>
      <c r="U252" s="633"/>
      <c r="V252" s="633"/>
      <c r="W252" s="631"/>
      <c r="X252" s="686"/>
      <c r="Y252" s="633"/>
      <c r="Z252" s="633"/>
      <c r="AA252" s="633"/>
      <c r="AB252" s="633"/>
      <c r="AC252" s="631"/>
      <c r="AD252" s="631"/>
      <c r="AE252" s="631"/>
      <c r="AF252" s="631"/>
      <c r="AG252" s="631"/>
      <c r="AH252" s="631"/>
      <c r="AI252" s="631"/>
      <c r="AJ252" s="876"/>
      <c r="AK252" s="876"/>
      <c r="AL252" s="876"/>
      <c r="AM252" s="876"/>
      <c r="AN252" s="876"/>
      <c r="AO252" s="876"/>
      <c r="AP252" s="635"/>
      <c r="AQ252" s="636"/>
      <c r="AR252" s="707"/>
      <c r="AS252" s="310"/>
      <c r="AV252" s="228"/>
      <c r="AW252" s="228"/>
      <c r="AX252" s="228"/>
      <c r="AY252" s="228"/>
      <c r="AZ252" s="228"/>
      <c r="BA252" s="228"/>
      <c r="BC252" s="345"/>
      <c r="BD252" s="345"/>
      <c r="BE252" s="345"/>
      <c r="BF252" s="345"/>
      <c r="BG252" s="345"/>
      <c r="BH252" s="345"/>
      <c r="BI252" s="343"/>
      <c r="BJ252" s="294"/>
      <c r="BK252"/>
      <c r="BL252"/>
    </row>
    <row r="253" spans="1:97" s="89" customFormat="1" ht="15" hidden="1" customHeight="1" x14ac:dyDescent="0.35">
      <c r="B253" s="211"/>
      <c r="C253" s="293"/>
      <c r="D253" s="1316"/>
      <c r="E253" s="703"/>
      <c r="F253" s="697"/>
      <c r="G253" s="628"/>
      <c r="H253" s="633"/>
      <c r="I253" s="633"/>
      <c r="J253" s="633"/>
      <c r="K253" s="631"/>
      <c r="L253" s="686"/>
      <c r="M253" s="633"/>
      <c r="N253" s="633"/>
      <c r="O253" s="633"/>
      <c r="P253" s="633"/>
      <c r="Q253" s="632"/>
      <c r="R253" s="686"/>
      <c r="S253" s="633"/>
      <c r="T253" s="633"/>
      <c r="U253" s="633"/>
      <c r="V253" s="633"/>
      <c r="W253" s="631"/>
      <c r="X253" s="686"/>
      <c r="Y253" s="633"/>
      <c r="Z253" s="633"/>
      <c r="AA253" s="633"/>
      <c r="AB253" s="633"/>
      <c r="AC253" s="631"/>
      <c r="AD253" s="631"/>
      <c r="AE253" s="631"/>
      <c r="AF253" s="631"/>
      <c r="AG253" s="631"/>
      <c r="AH253" s="631"/>
      <c r="AI253" s="631"/>
      <c r="AJ253" s="876"/>
      <c r="AK253" s="876"/>
      <c r="AL253" s="876"/>
      <c r="AM253" s="876"/>
      <c r="AN253" s="876"/>
      <c r="AO253" s="876"/>
      <c r="AP253" s="635"/>
      <c r="AQ253" s="636"/>
      <c r="AR253" s="707"/>
      <c r="AS253" s="310"/>
      <c r="AV253" s="228"/>
      <c r="AW253" s="228"/>
      <c r="AX253" s="228"/>
      <c r="AY253" s="228"/>
      <c r="AZ253" s="228"/>
      <c r="BA253" s="228"/>
      <c r="BC253" s="345"/>
      <c r="BD253" s="345"/>
      <c r="BE253" s="345"/>
      <c r="BF253" s="345"/>
      <c r="BG253" s="345"/>
      <c r="BH253" s="345"/>
      <c r="BI253" s="343"/>
      <c r="BJ253" s="294"/>
      <c r="BK253"/>
      <c r="BL253"/>
    </row>
    <row r="254" spans="1:97" s="89" customFormat="1" ht="18" hidden="1" customHeight="1" thickBot="1" x14ac:dyDescent="0.4">
      <c r="B254" s="292"/>
      <c r="C254" s="733"/>
      <c r="D254" s="1317"/>
      <c r="E254" s="708"/>
      <c r="F254" s="720"/>
      <c r="G254" s="709"/>
      <c r="H254" s="704"/>
      <c r="I254" s="704"/>
      <c r="J254" s="704"/>
      <c r="K254" s="712"/>
      <c r="L254" s="711"/>
      <c r="M254" s="709"/>
      <c r="N254" s="704"/>
      <c r="O254" s="704"/>
      <c r="P254" s="704"/>
      <c r="Q254" s="710"/>
      <c r="R254" s="711"/>
      <c r="S254" s="704"/>
      <c r="T254" s="704"/>
      <c r="U254" s="704"/>
      <c r="V254" s="704"/>
      <c r="W254" s="712"/>
      <c r="X254" s="711"/>
      <c r="Y254" s="709"/>
      <c r="Z254" s="704"/>
      <c r="AA254" s="704"/>
      <c r="AB254" s="704"/>
      <c r="AC254" s="712"/>
      <c r="AD254" s="712"/>
      <c r="AE254" s="712"/>
      <c r="AF254" s="712"/>
      <c r="AG254" s="712"/>
      <c r="AH254" s="712"/>
      <c r="AI254" s="712"/>
      <c r="AJ254" s="877"/>
      <c r="AK254" s="877"/>
      <c r="AL254" s="877"/>
      <c r="AM254" s="877"/>
      <c r="AN254" s="877"/>
      <c r="AO254" s="877"/>
      <c r="AP254" s="713"/>
      <c r="AQ254" s="714"/>
      <c r="AR254" s="715"/>
      <c r="AS254" s="312"/>
      <c r="AV254" s="228"/>
      <c r="AW254" s="228"/>
      <c r="AX254" s="228"/>
      <c r="AY254" s="228"/>
      <c r="AZ254" s="228"/>
      <c r="BA254" s="228"/>
      <c r="BC254" s="345"/>
      <c r="BD254" s="345"/>
      <c r="BE254" s="345"/>
      <c r="BF254" s="345"/>
      <c r="BG254" s="345"/>
      <c r="BH254" s="345"/>
      <c r="BI254" s="343"/>
      <c r="BJ254" s="295"/>
      <c r="BK254"/>
      <c r="BL254"/>
    </row>
    <row r="255" spans="1:97" s="89" customFormat="1" ht="13" hidden="1" customHeight="1" x14ac:dyDescent="0.3">
      <c r="B255" s="212"/>
      <c r="C255" s="728"/>
      <c r="D255" s="705"/>
      <c r="E255" s="702"/>
      <c r="F255" s="645"/>
      <c r="G255" s="628"/>
      <c r="H255" s="633"/>
      <c r="I255" s="633"/>
      <c r="J255" s="633"/>
      <c r="K255" s="631"/>
      <c r="L255" s="627"/>
      <c r="M255" s="630"/>
      <c r="N255" s="630"/>
      <c r="O255" s="630"/>
      <c r="P255" s="630"/>
      <c r="Q255" s="632"/>
      <c r="R255" s="627"/>
      <c r="S255" s="633"/>
      <c r="T255" s="633"/>
      <c r="U255" s="633"/>
      <c r="V255" s="633"/>
      <c r="W255" s="634"/>
      <c r="X255" s="627"/>
      <c r="Y255" s="633"/>
      <c r="Z255" s="633"/>
      <c r="AA255" s="633"/>
      <c r="AB255" s="633"/>
      <c r="AC255" s="634"/>
      <c r="AD255" s="634"/>
      <c r="AE255" s="634"/>
      <c r="AF255" s="634"/>
      <c r="AG255" s="634"/>
      <c r="AH255" s="634"/>
      <c r="AI255" s="634"/>
      <c r="AJ255" s="874"/>
      <c r="AK255" s="874"/>
      <c r="AL255" s="874"/>
      <c r="AM255" s="874"/>
      <c r="AN255" s="874"/>
      <c r="AO255" s="874"/>
      <c r="AP255" s="635"/>
      <c r="AQ255" s="646"/>
      <c r="AR255" s="647"/>
      <c r="AS255" s="313"/>
      <c r="AT255" s="177"/>
      <c r="AU255" s="178"/>
      <c r="AV255" s="228"/>
      <c r="AW255" s="228"/>
      <c r="AX255" s="228"/>
      <c r="AY255" s="228"/>
      <c r="AZ255" s="228"/>
      <c r="BA255" s="228"/>
      <c r="BB255" s="60"/>
      <c r="BC255" s="345"/>
      <c r="BD255" s="345"/>
      <c r="BE255" s="345"/>
      <c r="BF255" s="345"/>
      <c r="BG255" s="345"/>
      <c r="BH255" s="345"/>
      <c r="BI255" s="60"/>
      <c r="BJ255" s="60"/>
      <c r="BK255" s="60"/>
      <c r="BL255" s="60"/>
      <c r="BM255" s="60"/>
      <c r="BN255" s="60"/>
      <c r="BO255" s="60"/>
      <c r="BP255" s="60"/>
      <c r="BQ255" s="60"/>
      <c r="BR255" s="60"/>
      <c r="BS255" s="60"/>
      <c r="BT255" s="60"/>
      <c r="BU255" s="60"/>
      <c r="BV255" s="60"/>
      <c r="BW255" s="60"/>
      <c r="BX255" s="60"/>
      <c r="BY255" s="60"/>
      <c r="BZ255" s="60"/>
      <c r="CA255" s="60"/>
      <c r="CB255" s="60"/>
      <c r="CC255" s="60"/>
      <c r="CD255" s="60"/>
      <c r="CE255" s="60"/>
      <c r="CF255" s="60"/>
      <c r="CG255" s="60"/>
      <c r="CH255" s="60"/>
      <c r="CI255" s="60"/>
      <c r="CJ255" s="60"/>
      <c r="CK255" s="60"/>
      <c r="CL255" s="60"/>
      <c r="CM255" s="60"/>
      <c r="CN255" s="60"/>
      <c r="CO255" s="60"/>
      <c r="CP255" s="60"/>
      <c r="CQ255" s="60"/>
      <c r="CR255" s="60"/>
      <c r="CS255" s="60"/>
    </row>
    <row r="256" spans="1:97" s="89" customFormat="1" ht="13" hidden="1" customHeight="1" x14ac:dyDescent="0.3">
      <c r="B256" s="211"/>
      <c r="C256" s="211"/>
      <c r="D256" s="1318"/>
      <c r="E256" s="626"/>
      <c r="F256" s="645"/>
      <c r="G256" s="628"/>
      <c r="H256" s="633"/>
      <c r="I256" s="633"/>
      <c r="J256" s="633"/>
      <c r="K256" s="631"/>
      <c r="L256" s="627"/>
      <c r="M256" s="630"/>
      <c r="N256" s="630"/>
      <c r="O256" s="630"/>
      <c r="P256" s="630"/>
      <c r="Q256" s="632"/>
      <c r="R256" s="627"/>
      <c r="S256" s="633"/>
      <c r="T256" s="633"/>
      <c r="U256" s="633"/>
      <c r="V256" s="633"/>
      <c r="W256" s="634"/>
      <c r="X256" s="627"/>
      <c r="Y256" s="633"/>
      <c r="Z256" s="633"/>
      <c r="AA256" s="633"/>
      <c r="AB256" s="633"/>
      <c r="AC256" s="634"/>
      <c r="AD256" s="634"/>
      <c r="AE256" s="634"/>
      <c r="AF256" s="634"/>
      <c r="AG256" s="634"/>
      <c r="AH256" s="634"/>
      <c r="AI256" s="634"/>
      <c r="AJ256" s="874"/>
      <c r="AK256" s="874"/>
      <c r="AL256" s="874"/>
      <c r="AM256" s="874"/>
      <c r="AN256" s="874"/>
      <c r="AO256" s="874"/>
      <c r="AP256" s="635"/>
      <c r="AQ256" s="648"/>
      <c r="AR256" s="647"/>
      <c r="AS256" s="313"/>
      <c r="AT256" s="177"/>
      <c r="AU256" s="178"/>
      <c r="AV256" s="60"/>
      <c r="AW256" s="60"/>
      <c r="AX256" s="60"/>
      <c r="AY256" s="60"/>
      <c r="AZ256" s="228"/>
      <c r="BA256" s="60"/>
      <c r="BB256" s="60"/>
      <c r="BC256" s="345"/>
      <c r="BD256" s="345"/>
      <c r="BE256" s="345"/>
      <c r="BF256" s="345"/>
      <c r="BG256" s="345"/>
      <c r="BH256" s="345"/>
      <c r="BI256" s="60"/>
      <c r="BJ256" s="60"/>
      <c r="BK256" s="60"/>
      <c r="BL256" s="60"/>
      <c r="BM256" s="60"/>
      <c r="BN256" s="60"/>
      <c r="BO256" s="60"/>
      <c r="BP256" s="60"/>
      <c r="BQ256" s="60"/>
      <c r="BR256" s="60"/>
      <c r="BS256" s="60"/>
      <c r="BT256" s="60"/>
      <c r="BU256" s="60"/>
      <c r="BV256" s="60"/>
      <c r="BW256" s="60"/>
      <c r="BX256" s="60"/>
      <c r="BY256" s="60"/>
      <c r="BZ256" s="60"/>
      <c r="CA256" s="60"/>
      <c r="CB256" s="60"/>
      <c r="CC256" s="60"/>
      <c r="CD256" s="60"/>
      <c r="CE256" s="60"/>
      <c r="CF256" s="60"/>
      <c r="CG256" s="60"/>
      <c r="CH256" s="60"/>
      <c r="CI256" s="60"/>
      <c r="CJ256" s="60"/>
      <c r="CK256" s="60"/>
      <c r="CL256" s="60"/>
      <c r="CM256" s="60"/>
      <c r="CN256" s="60"/>
      <c r="CO256" s="60"/>
      <c r="CP256" s="60"/>
      <c r="CQ256" s="60"/>
      <c r="CR256" s="60"/>
      <c r="CS256" s="60"/>
    </row>
    <row r="257" spans="1:97" s="89" customFormat="1" ht="13" hidden="1" customHeight="1" x14ac:dyDescent="0.3">
      <c r="B257" s="211"/>
      <c r="C257" s="211"/>
      <c r="D257" s="1319"/>
      <c r="E257" s="626"/>
      <c r="F257" s="645"/>
      <c r="G257" s="628"/>
      <c r="H257" s="633"/>
      <c r="I257" s="633"/>
      <c r="J257" s="633"/>
      <c r="K257" s="631"/>
      <c r="L257" s="627"/>
      <c r="M257" s="630"/>
      <c r="N257" s="630"/>
      <c r="O257" s="630"/>
      <c r="P257" s="630"/>
      <c r="Q257" s="632"/>
      <c r="R257" s="627"/>
      <c r="S257" s="633"/>
      <c r="T257" s="633"/>
      <c r="U257" s="633"/>
      <c r="V257" s="633"/>
      <c r="W257" s="634"/>
      <c r="X257" s="627"/>
      <c r="Y257" s="633"/>
      <c r="Z257" s="633"/>
      <c r="AA257" s="633"/>
      <c r="AB257" s="633"/>
      <c r="AC257" s="634"/>
      <c r="AD257" s="634"/>
      <c r="AE257" s="634"/>
      <c r="AF257" s="634"/>
      <c r="AG257" s="634"/>
      <c r="AH257" s="634"/>
      <c r="AI257" s="634"/>
      <c r="AJ257" s="874"/>
      <c r="AK257" s="874"/>
      <c r="AL257" s="874"/>
      <c r="AM257" s="874"/>
      <c r="AN257" s="874"/>
      <c r="AO257" s="874"/>
      <c r="AP257" s="635"/>
      <c r="AQ257" s="648"/>
      <c r="AR257" s="647"/>
      <c r="AS257" s="313"/>
      <c r="AT257" s="177"/>
      <c r="AU257" s="178"/>
      <c r="AV257" s="60"/>
      <c r="AW257" s="60"/>
      <c r="AX257" s="60"/>
      <c r="AY257" s="60"/>
      <c r="AZ257" s="228"/>
      <c r="BA257" s="60"/>
      <c r="BB257" s="60"/>
      <c r="BC257" s="345"/>
      <c r="BD257" s="345"/>
      <c r="BE257" s="345"/>
      <c r="BF257" s="345"/>
      <c r="BG257" s="345"/>
      <c r="BH257" s="345"/>
      <c r="BI257" s="60"/>
      <c r="BJ257" s="60"/>
      <c r="BK257" s="60"/>
      <c r="BL257" s="60"/>
      <c r="BM257" s="60"/>
      <c r="BN257" s="60"/>
      <c r="BO257" s="60"/>
      <c r="BP257" s="60"/>
      <c r="BQ257" s="60"/>
      <c r="BR257" s="60"/>
      <c r="BS257" s="60"/>
      <c r="BT257" s="60"/>
      <c r="BU257" s="60"/>
      <c r="BV257" s="60"/>
      <c r="BW257" s="60"/>
      <c r="BX257" s="60"/>
      <c r="BY257" s="60"/>
      <c r="BZ257" s="60"/>
      <c r="CA257" s="60"/>
      <c r="CB257" s="60"/>
      <c r="CC257" s="60"/>
      <c r="CD257" s="60"/>
      <c r="CE257" s="60"/>
      <c r="CF257" s="60"/>
      <c r="CG257" s="60"/>
      <c r="CH257" s="60"/>
      <c r="CI257" s="60"/>
      <c r="CJ257" s="60"/>
      <c r="CK257" s="60"/>
      <c r="CL257" s="60"/>
      <c r="CM257" s="60"/>
      <c r="CN257" s="60"/>
      <c r="CO257" s="60"/>
      <c r="CP257" s="60"/>
      <c r="CQ257" s="60"/>
      <c r="CR257" s="60"/>
      <c r="CS257" s="60"/>
    </row>
    <row r="258" spans="1:97" s="89" customFormat="1" ht="13" hidden="1" customHeight="1" x14ac:dyDescent="0.3">
      <c r="B258" s="211"/>
      <c r="C258" s="211"/>
      <c r="D258" s="1319"/>
      <c r="E258" s="626"/>
      <c r="F258" s="645"/>
      <c r="G258" s="628"/>
      <c r="H258" s="633"/>
      <c r="I258" s="633"/>
      <c r="J258" s="633"/>
      <c r="K258" s="631"/>
      <c r="L258" s="627"/>
      <c r="M258" s="630"/>
      <c r="N258" s="630"/>
      <c r="O258" s="630"/>
      <c r="P258" s="630"/>
      <c r="Q258" s="632"/>
      <c r="R258" s="627"/>
      <c r="S258" s="633"/>
      <c r="T258" s="633"/>
      <c r="U258" s="633"/>
      <c r="V258" s="633"/>
      <c r="W258" s="634"/>
      <c r="X258" s="627"/>
      <c r="Y258" s="633"/>
      <c r="Z258" s="633"/>
      <c r="AA258" s="633"/>
      <c r="AB258" s="633"/>
      <c r="AC258" s="634"/>
      <c r="AD258" s="634"/>
      <c r="AE258" s="634"/>
      <c r="AF258" s="634"/>
      <c r="AG258" s="634"/>
      <c r="AH258" s="634"/>
      <c r="AI258" s="634"/>
      <c r="AJ258" s="874"/>
      <c r="AK258" s="874"/>
      <c r="AL258" s="874"/>
      <c r="AM258" s="874"/>
      <c r="AN258" s="874"/>
      <c r="AO258" s="874"/>
      <c r="AP258" s="635"/>
      <c r="AQ258" s="648"/>
      <c r="AR258" s="647"/>
      <c r="AS258" s="313"/>
      <c r="AT258" s="177"/>
      <c r="AU258" s="178"/>
      <c r="AV258" s="60"/>
      <c r="AW258" s="60"/>
      <c r="AX258" s="60"/>
      <c r="AY258" s="60"/>
      <c r="AZ258" s="228"/>
      <c r="BA258" s="60"/>
      <c r="BB258" s="60"/>
      <c r="BC258" s="345"/>
      <c r="BD258" s="345"/>
      <c r="BE258" s="345"/>
      <c r="BF258" s="345"/>
      <c r="BG258" s="345"/>
      <c r="BH258" s="345"/>
      <c r="BI258" s="60"/>
      <c r="BJ258" s="60"/>
      <c r="BK258" s="60"/>
      <c r="BL258" s="60"/>
      <c r="BM258" s="60"/>
      <c r="BN258" s="60"/>
      <c r="BO258" s="60"/>
      <c r="BP258" s="60"/>
      <c r="BQ258" s="60"/>
      <c r="BR258" s="60"/>
      <c r="BS258" s="60"/>
      <c r="BT258" s="60"/>
      <c r="BU258" s="60"/>
      <c r="BV258" s="60"/>
      <c r="BW258" s="60"/>
      <c r="BX258" s="60"/>
      <c r="BY258" s="60"/>
      <c r="BZ258" s="60"/>
      <c r="CA258" s="60"/>
      <c r="CB258" s="60"/>
      <c r="CC258" s="60"/>
      <c r="CD258" s="60"/>
      <c r="CE258" s="60"/>
      <c r="CF258" s="60"/>
      <c r="CG258" s="60"/>
      <c r="CH258" s="60"/>
      <c r="CI258" s="60"/>
      <c r="CJ258" s="60"/>
      <c r="CK258" s="60"/>
      <c r="CL258" s="60"/>
      <c r="CM258" s="60"/>
      <c r="CN258" s="60"/>
      <c r="CO258" s="60"/>
      <c r="CP258" s="60"/>
      <c r="CQ258" s="60"/>
      <c r="CR258" s="60"/>
      <c r="CS258" s="60"/>
    </row>
    <row r="259" spans="1:97" s="89" customFormat="1" ht="13" hidden="1" customHeight="1" x14ac:dyDescent="0.3">
      <c r="B259" s="211"/>
      <c r="C259" s="211"/>
      <c r="D259" s="1319"/>
      <c r="E259" s="626"/>
      <c r="F259" s="645"/>
      <c r="G259" s="628"/>
      <c r="H259" s="633"/>
      <c r="I259" s="633"/>
      <c r="J259" s="633"/>
      <c r="K259" s="631"/>
      <c r="L259" s="627"/>
      <c r="M259" s="630"/>
      <c r="N259" s="630"/>
      <c r="O259" s="630"/>
      <c r="P259" s="630"/>
      <c r="Q259" s="632"/>
      <c r="R259" s="627"/>
      <c r="S259" s="633"/>
      <c r="T259" s="633"/>
      <c r="U259" s="633"/>
      <c r="V259" s="633"/>
      <c r="W259" s="634"/>
      <c r="X259" s="627"/>
      <c r="Y259" s="633"/>
      <c r="Z259" s="633"/>
      <c r="AA259" s="633"/>
      <c r="AB259" s="633"/>
      <c r="AC259" s="634"/>
      <c r="AD259" s="634"/>
      <c r="AE259" s="634"/>
      <c r="AF259" s="634"/>
      <c r="AG259" s="634"/>
      <c r="AH259" s="634"/>
      <c r="AI259" s="634"/>
      <c r="AJ259" s="874"/>
      <c r="AK259" s="874"/>
      <c r="AL259" s="874"/>
      <c r="AM259" s="874"/>
      <c r="AN259" s="874"/>
      <c r="AO259" s="874"/>
      <c r="AP259" s="635"/>
      <c r="AQ259" s="648"/>
      <c r="AR259" s="647"/>
      <c r="AS259" s="313"/>
      <c r="AT259" s="177"/>
      <c r="AU259" s="178"/>
      <c r="AV259" s="60"/>
      <c r="AW259" s="60"/>
      <c r="AX259" s="60"/>
      <c r="AY259" s="60"/>
      <c r="AZ259" s="228"/>
      <c r="BA259" s="60"/>
      <c r="BB259" s="60"/>
      <c r="BC259" s="345"/>
      <c r="BD259" s="345"/>
      <c r="BE259" s="345"/>
      <c r="BF259" s="345"/>
      <c r="BG259" s="345"/>
      <c r="BH259" s="345"/>
      <c r="BI259" s="60"/>
      <c r="BJ259" s="60"/>
      <c r="BK259" s="60"/>
      <c r="BL259" s="60"/>
      <c r="BM259" s="60"/>
      <c r="BN259" s="60"/>
      <c r="BO259" s="60"/>
      <c r="BP259" s="60"/>
      <c r="BQ259" s="60"/>
      <c r="BR259" s="60"/>
      <c r="BS259" s="60"/>
      <c r="BT259" s="60"/>
      <c r="BU259" s="60"/>
      <c r="BV259" s="60"/>
      <c r="BW259" s="60"/>
      <c r="BX259" s="60"/>
      <c r="BY259" s="60"/>
      <c r="BZ259" s="60"/>
      <c r="CA259" s="60"/>
      <c r="CB259" s="60"/>
      <c r="CC259" s="60"/>
      <c r="CD259" s="60"/>
      <c r="CE259" s="60"/>
      <c r="CF259" s="60"/>
      <c r="CG259" s="60"/>
      <c r="CH259" s="60"/>
      <c r="CI259" s="60"/>
      <c r="CJ259" s="60"/>
      <c r="CK259" s="60"/>
      <c r="CL259" s="60"/>
      <c r="CM259" s="60"/>
      <c r="CN259" s="60"/>
      <c r="CO259" s="60"/>
      <c r="CP259" s="60"/>
      <c r="CQ259" s="60"/>
      <c r="CR259" s="60"/>
      <c r="CS259" s="60"/>
    </row>
    <row r="260" spans="1:97" s="89" customFormat="1" ht="13" hidden="1" customHeight="1" x14ac:dyDescent="0.3">
      <c r="B260" s="211"/>
      <c r="C260" s="211"/>
      <c r="D260" s="1319"/>
      <c r="E260" s="626"/>
      <c r="F260" s="645"/>
      <c r="G260" s="628"/>
      <c r="H260" s="633"/>
      <c r="I260" s="633"/>
      <c r="J260" s="633"/>
      <c r="K260" s="631"/>
      <c r="L260" s="627"/>
      <c r="M260" s="630"/>
      <c r="N260" s="630"/>
      <c r="O260" s="630"/>
      <c r="P260" s="630"/>
      <c r="Q260" s="632"/>
      <c r="R260" s="627"/>
      <c r="S260" s="633"/>
      <c r="T260" s="633"/>
      <c r="U260" s="633"/>
      <c r="V260" s="633"/>
      <c r="W260" s="634"/>
      <c r="X260" s="627"/>
      <c r="Y260" s="633"/>
      <c r="Z260" s="633"/>
      <c r="AA260" s="633"/>
      <c r="AB260" s="633"/>
      <c r="AC260" s="634"/>
      <c r="AD260" s="634"/>
      <c r="AE260" s="634"/>
      <c r="AF260" s="634"/>
      <c r="AG260" s="634"/>
      <c r="AH260" s="634"/>
      <c r="AI260" s="634"/>
      <c r="AJ260" s="874"/>
      <c r="AK260" s="874"/>
      <c r="AL260" s="874"/>
      <c r="AM260" s="874"/>
      <c r="AN260" s="874"/>
      <c r="AO260" s="874"/>
      <c r="AP260" s="635"/>
      <c r="AQ260" s="648"/>
      <c r="AR260" s="647"/>
      <c r="AS260" s="313"/>
      <c r="AT260" s="177"/>
      <c r="AU260" s="178"/>
      <c r="AV260" s="60"/>
      <c r="AW260" s="60"/>
      <c r="AX260" s="60"/>
      <c r="AY260" s="60"/>
      <c r="AZ260" s="228"/>
      <c r="BA260" s="60"/>
      <c r="BB260" s="60"/>
      <c r="BC260" s="345"/>
      <c r="BD260" s="345"/>
      <c r="BE260" s="345"/>
      <c r="BF260" s="345"/>
      <c r="BG260" s="345"/>
      <c r="BH260" s="345"/>
      <c r="BI260" s="60"/>
      <c r="BJ260" s="60"/>
      <c r="BK260" s="60"/>
      <c r="BL260" s="60"/>
      <c r="BM260" s="60"/>
      <c r="BN260" s="60"/>
      <c r="BO260" s="60"/>
      <c r="BP260" s="60"/>
      <c r="BQ260" s="60"/>
      <c r="BR260" s="60"/>
      <c r="BS260" s="60"/>
      <c r="BT260" s="60"/>
      <c r="BU260" s="60"/>
      <c r="BV260" s="60"/>
      <c r="BW260" s="60"/>
      <c r="BX260" s="60"/>
      <c r="BY260" s="60"/>
      <c r="BZ260" s="60"/>
      <c r="CA260" s="60"/>
      <c r="CB260" s="60"/>
      <c r="CC260" s="60"/>
      <c r="CD260" s="60"/>
      <c r="CE260" s="60"/>
      <c r="CF260" s="60"/>
      <c r="CG260" s="60"/>
      <c r="CH260" s="60"/>
      <c r="CI260" s="60"/>
      <c r="CJ260" s="60"/>
      <c r="CK260" s="60"/>
      <c r="CL260" s="60"/>
      <c r="CM260" s="60"/>
      <c r="CN260" s="60"/>
      <c r="CO260" s="60"/>
      <c r="CP260" s="60"/>
      <c r="CQ260" s="60"/>
      <c r="CR260" s="60"/>
      <c r="CS260" s="60"/>
    </row>
    <row r="261" spans="1:97" s="89" customFormat="1" ht="13" hidden="1" customHeight="1" x14ac:dyDescent="0.3">
      <c r="B261" s="211"/>
      <c r="C261" s="211"/>
      <c r="D261" s="1319"/>
      <c r="E261" s="626"/>
      <c r="F261" s="645"/>
      <c r="G261" s="628"/>
      <c r="H261" s="633"/>
      <c r="I261" s="633"/>
      <c r="J261" s="633"/>
      <c r="K261" s="631"/>
      <c r="L261" s="627"/>
      <c r="M261" s="630"/>
      <c r="N261" s="630"/>
      <c r="O261" s="630"/>
      <c r="P261" s="630"/>
      <c r="Q261" s="632"/>
      <c r="R261" s="627"/>
      <c r="S261" s="633"/>
      <c r="T261" s="633"/>
      <c r="U261" s="633"/>
      <c r="V261" s="633"/>
      <c r="W261" s="634"/>
      <c r="X261" s="627"/>
      <c r="Y261" s="633"/>
      <c r="Z261" s="633"/>
      <c r="AA261" s="633"/>
      <c r="AB261" s="633"/>
      <c r="AC261" s="634"/>
      <c r="AD261" s="634"/>
      <c r="AE261" s="634"/>
      <c r="AF261" s="634"/>
      <c r="AG261" s="634"/>
      <c r="AH261" s="634"/>
      <c r="AI261" s="634"/>
      <c r="AJ261" s="874"/>
      <c r="AK261" s="874"/>
      <c r="AL261" s="874"/>
      <c r="AM261" s="874"/>
      <c r="AN261" s="874"/>
      <c r="AO261" s="874"/>
      <c r="AP261" s="635"/>
      <c r="AQ261" s="648"/>
      <c r="AR261" s="647"/>
      <c r="AS261" s="313"/>
      <c r="AT261" s="177"/>
      <c r="AU261" s="178"/>
      <c r="AV261" s="60"/>
      <c r="AW261" s="60"/>
      <c r="AX261" s="60"/>
      <c r="AY261" s="60"/>
      <c r="AZ261" s="228"/>
      <c r="BA261" s="60"/>
      <c r="BB261" s="60"/>
      <c r="BC261" s="345"/>
      <c r="BD261" s="345"/>
      <c r="BE261" s="345"/>
      <c r="BF261" s="345"/>
      <c r="BG261" s="345"/>
      <c r="BH261" s="345"/>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row>
    <row r="262" spans="1:97" s="89" customFormat="1" ht="13" hidden="1" customHeight="1" x14ac:dyDescent="0.3">
      <c r="B262" s="211"/>
      <c r="C262" s="211"/>
      <c r="D262" s="1319"/>
      <c r="E262" s="626"/>
      <c r="F262" s="645"/>
      <c r="G262" s="628"/>
      <c r="H262" s="633"/>
      <c r="I262" s="633"/>
      <c r="J262" s="633"/>
      <c r="K262" s="631"/>
      <c r="L262" s="627"/>
      <c r="M262" s="630"/>
      <c r="N262" s="630"/>
      <c r="O262" s="630"/>
      <c r="P262" s="630"/>
      <c r="Q262" s="632"/>
      <c r="R262" s="627"/>
      <c r="S262" s="633"/>
      <c r="T262" s="633"/>
      <c r="U262" s="633"/>
      <c r="V262" s="633"/>
      <c r="W262" s="634"/>
      <c r="X262" s="627"/>
      <c r="Y262" s="633"/>
      <c r="Z262" s="633"/>
      <c r="AA262" s="633"/>
      <c r="AB262" s="633"/>
      <c r="AC262" s="634"/>
      <c r="AD262" s="634"/>
      <c r="AE262" s="634"/>
      <c r="AF262" s="634"/>
      <c r="AG262" s="634"/>
      <c r="AH262" s="634"/>
      <c r="AI262" s="634"/>
      <c r="AJ262" s="874"/>
      <c r="AK262" s="874"/>
      <c r="AL262" s="874"/>
      <c r="AM262" s="874"/>
      <c r="AN262" s="874"/>
      <c r="AO262" s="874"/>
      <c r="AP262" s="635"/>
      <c r="AQ262" s="648"/>
      <c r="AR262" s="647"/>
      <c r="AS262" s="313"/>
      <c r="AT262" s="177"/>
      <c r="AU262" s="178"/>
      <c r="AV262" s="60"/>
      <c r="AW262" s="60"/>
      <c r="AX262" s="60"/>
      <c r="AY262" s="60"/>
      <c r="AZ262" s="228"/>
      <c r="BA262" s="60"/>
      <c r="BB262" s="60"/>
      <c r="BC262" s="345"/>
      <c r="BD262" s="345"/>
      <c r="BE262" s="345"/>
      <c r="BF262" s="345"/>
      <c r="BG262" s="345"/>
      <c r="BH262" s="345"/>
      <c r="BI262" s="60"/>
      <c r="BJ262" s="60"/>
      <c r="BK262" s="60"/>
      <c r="BL262" s="60"/>
      <c r="BM262" s="60"/>
      <c r="BN262" s="60"/>
      <c r="BO262" s="60"/>
      <c r="BP262" s="60"/>
      <c r="BQ262" s="60"/>
      <c r="BR262" s="60"/>
      <c r="BS262" s="60"/>
      <c r="BT262" s="60"/>
      <c r="BU262" s="60"/>
      <c r="BV262" s="60"/>
      <c r="BW262" s="60"/>
      <c r="BX262" s="60"/>
      <c r="BY262" s="60"/>
      <c r="BZ262" s="60"/>
      <c r="CA262" s="60"/>
      <c r="CB262" s="60"/>
      <c r="CC262" s="60"/>
      <c r="CD262" s="60"/>
      <c r="CE262" s="60"/>
      <c r="CF262" s="60"/>
      <c r="CG262" s="60"/>
      <c r="CH262" s="60"/>
      <c r="CI262" s="60"/>
      <c r="CJ262" s="60"/>
      <c r="CK262" s="60"/>
      <c r="CL262" s="60"/>
      <c r="CM262" s="60"/>
      <c r="CN262" s="60"/>
      <c r="CO262" s="60"/>
      <c r="CP262" s="60"/>
      <c r="CQ262" s="60"/>
      <c r="CR262" s="60"/>
      <c r="CS262" s="60"/>
    </row>
    <row r="263" spans="1:97" s="89" customFormat="1" ht="16.399999999999999" hidden="1" customHeight="1" x14ac:dyDescent="0.3">
      <c r="B263" s="211"/>
      <c r="C263" s="211"/>
      <c r="D263" s="1319"/>
      <c r="E263" s="626"/>
      <c r="F263" s="645"/>
      <c r="G263" s="628"/>
      <c r="H263" s="633"/>
      <c r="I263" s="633"/>
      <c r="J263" s="633"/>
      <c r="K263" s="631"/>
      <c r="L263" s="627"/>
      <c r="M263" s="633"/>
      <c r="N263" s="633"/>
      <c r="O263" s="633"/>
      <c r="P263" s="633"/>
      <c r="Q263" s="632"/>
      <c r="R263" s="627"/>
      <c r="S263" s="633"/>
      <c r="T263" s="633"/>
      <c r="U263" s="633"/>
      <c r="V263" s="633"/>
      <c r="W263" s="634"/>
      <c r="X263" s="627"/>
      <c r="Y263" s="633"/>
      <c r="Z263" s="633"/>
      <c r="AA263" s="633"/>
      <c r="AB263" s="633"/>
      <c r="AC263" s="634"/>
      <c r="AD263" s="634"/>
      <c r="AE263" s="634"/>
      <c r="AF263" s="634"/>
      <c r="AG263" s="634"/>
      <c r="AH263" s="634"/>
      <c r="AI263" s="634"/>
      <c r="AJ263" s="874"/>
      <c r="AK263" s="874"/>
      <c r="AL263" s="874"/>
      <c r="AM263" s="874"/>
      <c r="AN263" s="874"/>
      <c r="AO263" s="874"/>
      <c r="AP263" s="635"/>
      <c r="AQ263" s="648"/>
      <c r="AR263" s="647"/>
      <c r="AS263" s="313"/>
      <c r="AT263" s="177"/>
      <c r="AU263" s="178"/>
      <c r="AV263" s="60"/>
      <c r="AW263" s="60"/>
      <c r="AX263" s="60"/>
      <c r="AY263" s="60"/>
      <c r="AZ263" s="228"/>
      <c r="BA263" s="60"/>
      <c r="BB263" s="60"/>
      <c r="BC263" s="345"/>
      <c r="BD263" s="345"/>
      <c r="BE263" s="345"/>
      <c r="BF263" s="345"/>
      <c r="BG263" s="345"/>
      <c r="BH263" s="345"/>
      <c r="BI263" s="60"/>
      <c r="BJ263" s="60"/>
      <c r="BK263" s="60"/>
      <c r="BL263" s="60"/>
      <c r="BM263" s="60"/>
      <c r="BN263" s="60"/>
      <c r="BO263" s="60"/>
      <c r="BP263" s="60"/>
      <c r="BQ263" s="60"/>
      <c r="BR263" s="60"/>
      <c r="BS263" s="60"/>
      <c r="BT263" s="60"/>
      <c r="BU263" s="60"/>
      <c r="BV263" s="60"/>
      <c r="BW263" s="60"/>
      <c r="BX263" s="60"/>
      <c r="BY263" s="60"/>
      <c r="BZ263" s="60"/>
      <c r="CA263" s="60"/>
      <c r="CB263" s="60"/>
      <c r="CC263" s="60"/>
      <c r="CD263" s="60"/>
      <c r="CE263" s="60"/>
      <c r="CF263" s="60"/>
      <c r="CG263" s="60"/>
      <c r="CH263" s="60"/>
      <c r="CI263" s="60"/>
      <c r="CJ263" s="60"/>
      <c r="CK263" s="60"/>
      <c r="CL263" s="60"/>
      <c r="CM263" s="60"/>
      <c r="CN263" s="60"/>
      <c r="CO263" s="60"/>
      <c r="CP263" s="60"/>
      <c r="CQ263" s="60"/>
      <c r="CR263" s="60"/>
      <c r="CS263" s="60"/>
    </row>
    <row r="264" spans="1:97" s="89" customFormat="1" ht="13" hidden="1" customHeight="1" x14ac:dyDescent="0.3">
      <c r="B264" s="211"/>
      <c r="C264" s="211"/>
      <c r="D264" s="1319"/>
      <c r="E264" s="626"/>
      <c r="F264" s="645"/>
      <c r="G264" s="638"/>
      <c r="H264" s="639"/>
      <c r="I264" s="639"/>
      <c r="J264" s="639"/>
      <c r="K264" s="631"/>
      <c r="L264" s="627"/>
      <c r="M264" s="630"/>
      <c r="N264" s="630"/>
      <c r="O264" s="630"/>
      <c r="P264" s="630"/>
      <c r="Q264" s="632"/>
      <c r="R264" s="627"/>
      <c r="S264" s="633"/>
      <c r="T264" s="633"/>
      <c r="U264" s="633"/>
      <c r="V264" s="633"/>
      <c r="W264" s="634"/>
      <c r="X264" s="627"/>
      <c r="Y264" s="633"/>
      <c r="Z264" s="633"/>
      <c r="AA264" s="633"/>
      <c r="AB264" s="633"/>
      <c r="AC264" s="634"/>
      <c r="AD264" s="634"/>
      <c r="AE264" s="634"/>
      <c r="AF264" s="634"/>
      <c r="AG264" s="634"/>
      <c r="AH264" s="634"/>
      <c r="AI264" s="634"/>
      <c r="AJ264" s="874"/>
      <c r="AK264" s="874"/>
      <c r="AL264" s="874"/>
      <c r="AM264" s="874"/>
      <c r="AN264" s="874"/>
      <c r="AO264" s="874"/>
      <c r="AP264" s="635"/>
      <c r="AQ264" s="648"/>
      <c r="AR264" s="647"/>
      <c r="AS264" s="313"/>
      <c r="AT264" s="177"/>
      <c r="AU264" s="178"/>
      <c r="AV264" s="60"/>
      <c r="AW264" s="60"/>
      <c r="AX264" s="60"/>
      <c r="AY264" s="60"/>
      <c r="AZ264" s="228"/>
      <c r="BA264" s="60"/>
      <c r="BB264" s="60"/>
      <c r="BC264" s="345"/>
      <c r="BD264" s="345"/>
      <c r="BE264" s="345"/>
      <c r="BF264" s="345"/>
      <c r="BG264" s="345"/>
      <c r="BH264" s="345"/>
      <c r="BI264" s="60"/>
      <c r="BJ264" s="60"/>
      <c r="BK264" s="60"/>
      <c r="BL264" s="60"/>
      <c r="BM264" s="60"/>
      <c r="BN264" s="60"/>
      <c r="BO264" s="60"/>
      <c r="BP264" s="60"/>
      <c r="BQ264" s="60"/>
      <c r="BR264" s="60"/>
      <c r="BS264" s="60"/>
      <c r="BT264" s="60"/>
      <c r="BU264" s="60"/>
      <c r="BV264" s="60"/>
      <c r="BW264" s="60"/>
      <c r="BX264" s="60"/>
      <c r="BY264" s="60"/>
      <c r="BZ264" s="60"/>
      <c r="CA264" s="60"/>
      <c r="CB264" s="60"/>
      <c r="CC264" s="60"/>
      <c r="CD264" s="60"/>
      <c r="CE264" s="60"/>
      <c r="CF264" s="60"/>
      <c r="CG264" s="60"/>
      <c r="CH264" s="60"/>
      <c r="CI264" s="60"/>
      <c r="CJ264" s="60"/>
      <c r="CK264" s="60"/>
      <c r="CL264" s="60"/>
      <c r="CM264" s="60"/>
      <c r="CN264" s="60"/>
      <c r="CO264" s="60"/>
      <c r="CP264" s="60"/>
      <c r="CQ264" s="60"/>
      <c r="CR264" s="60"/>
      <c r="CS264" s="60"/>
    </row>
    <row r="265" spans="1:97" s="89" customFormat="1" ht="16.399999999999999" hidden="1" customHeight="1" x14ac:dyDescent="0.3">
      <c r="B265" s="211"/>
      <c r="C265" s="211"/>
      <c r="D265" s="1319"/>
      <c r="E265" s="626"/>
      <c r="F265" s="645"/>
      <c r="G265" s="628"/>
      <c r="H265" s="633"/>
      <c r="I265" s="633"/>
      <c r="J265" s="633"/>
      <c r="K265" s="631"/>
      <c r="L265" s="627"/>
      <c r="M265" s="630"/>
      <c r="N265" s="630"/>
      <c r="O265" s="630"/>
      <c r="P265" s="630"/>
      <c r="Q265" s="632"/>
      <c r="R265" s="627"/>
      <c r="S265" s="633"/>
      <c r="T265" s="633"/>
      <c r="U265" s="633"/>
      <c r="V265" s="633"/>
      <c r="W265" s="634"/>
      <c r="X265" s="627"/>
      <c r="Y265" s="633"/>
      <c r="Z265" s="633"/>
      <c r="AA265" s="633"/>
      <c r="AB265" s="633"/>
      <c r="AC265" s="634"/>
      <c r="AD265" s="634"/>
      <c r="AE265" s="634"/>
      <c r="AF265" s="634"/>
      <c r="AG265" s="634"/>
      <c r="AH265" s="634"/>
      <c r="AI265" s="634"/>
      <c r="AJ265" s="874"/>
      <c r="AK265" s="874"/>
      <c r="AL265" s="874"/>
      <c r="AM265" s="874"/>
      <c r="AN265" s="874"/>
      <c r="AO265" s="874"/>
      <c r="AP265" s="635"/>
      <c r="AQ265" s="648"/>
      <c r="AR265" s="647"/>
      <c r="AS265" s="313"/>
      <c r="AT265" s="177"/>
      <c r="AU265" s="178"/>
      <c r="AV265" s="60"/>
      <c r="AW265" s="60"/>
      <c r="AX265" s="60"/>
      <c r="AY265" s="60"/>
      <c r="AZ265" s="228"/>
      <c r="BA265" s="60"/>
      <c r="BB265" s="60"/>
      <c r="BC265" s="345"/>
      <c r="BD265" s="345"/>
      <c r="BE265" s="345"/>
      <c r="BF265" s="345"/>
      <c r="BG265" s="345"/>
      <c r="BH265" s="345"/>
      <c r="BI265" s="60"/>
      <c r="BJ265" s="60"/>
      <c r="BK265" s="60"/>
      <c r="BL265" s="60"/>
      <c r="BM265" s="60"/>
      <c r="BN265" s="60"/>
      <c r="BO265" s="60"/>
      <c r="BP265" s="60"/>
      <c r="BQ265" s="60"/>
      <c r="BR265" s="60"/>
      <c r="BS265" s="60"/>
      <c r="BT265" s="60"/>
      <c r="BU265" s="60"/>
      <c r="BV265" s="60"/>
      <c r="BW265" s="60"/>
      <c r="BX265" s="60"/>
      <c r="BY265" s="60"/>
      <c r="BZ265" s="60"/>
      <c r="CA265" s="60"/>
      <c r="CB265" s="60"/>
      <c r="CC265" s="60"/>
      <c r="CD265" s="60"/>
      <c r="CE265" s="60"/>
      <c r="CF265" s="60"/>
      <c r="CG265" s="60"/>
      <c r="CH265" s="60"/>
      <c r="CI265" s="60"/>
      <c r="CJ265" s="60"/>
      <c r="CK265" s="60"/>
      <c r="CL265" s="60"/>
      <c r="CM265" s="60"/>
      <c r="CN265" s="60"/>
      <c r="CO265" s="60"/>
      <c r="CP265" s="60"/>
      <c r="CQ265" s="60"/>
      <c r="CR265" s="60"/>
      <c r="CS265" s="60"/>
    </row>
    <row r="266" spans="1:97" s="89" customFormat="1" ht="16.399999999999999" hidden="1" customHeight="1" x14ac:dyDescent="0.3">
      <c r="B266" s="211"/>
      <c r="C266" s="211"/>
      <c r="D266" s="1319"/>
      <c r="E266" s="626"/>
      <c r="F266" s="645"/>
      <c r="G266" s="628"/>
      <c r="H266" s="633"/>
      <c r="I266" s="633"/>
      <c r="J266" s="633"/>
      <c r="K266" s="631"/>
      <c r="L266" s="627"/>
      <c r="M266" s="633"/>
      <c r="N266" s="633"/>
      <c r="O266" s="633"/>
      <c r="P266" s="633"/>
      <c r="Q266" s="632"/>
      <c r="R266" s="627"/>
      <c r="S266" s="633"/>
      <c r="T266" s="633"/>
      <c r="U266" s="633"/>
      <c r="V266" s="633"/>
      <c r="W266" s="634"/>
      <c r="X266" s="627"/>
      <c r="Y266" s="633"/>
      <c r="Z266" s="633"/>
      <c r="AA266" s="633"/>
      <c r="AB266" s="633"/>
      <c r="AC266" s="634"/>
      <c r="AD266" s="634"/>
      <c r="AE266" s="634"/>
      <c r="AF266" s="634"/>
      <c r="AG266" s="634"/>
      <c r="AH266" s="634"/>
      <c r="AI266" s="634"/>
      <c r="AJ266" s="874"/>
      <c r="AK266" s="874"/>
      <c r="AL266" s="874"/>
      <c r="AM266" s="874"/>
      <c r="AN266" s="874"/>
      <c r="AO266" s="874"/>
      <c r="AP266" s="635"/>
      <c r="AQ266" s="648"/>
      <c r="AR266" s="647"/>
      <c r="AS266" s="313"/>
      <c r="AT266" s="177"/>
      <c r="AU266" s="178"/>
      <c r="AV266" s="60"/>
      <c r="AW266" s="60"/>
      <c r="AX266" s="60"/>
      <c r="AY266" s="60"/>
      <c r="AZ266" s="228"/>
      <c r="BA266" s="60"/>
      <c r="BB266" s="60"/>
      <c r="BC266" s="345"/>
      <c r="BD266" s="345"/>
      <c r="BE266" s="345"/>
      <c r="BF266" s="345"/>
      <c r="BG266" s="345"/>
      <c r="BH266" s="345"/>
      <c r="BI266" s="60"/>
      <c r="BJ266" s="60"/>
      <c r="BK266" s="60"/>
      <c r="BL266" s="60"/>
      <c r="BM266" s="60"/>
      <c r="BN266" s="60"/>
      <c r="BO266" s="60"/>
      <c r="BP266" s="60"/>
      <c r="BQ266" s="60"/>
      <c r="BR266" s="60"/>
      <c r="BS266" s="60"/>
      <c r="BT266" s="60"/>
      <c r="BU266" s="60"/>
      <c r="BV266" s="60"/>
      <c r="BW266" s="60"/>
      <c r="BX266" s="60"/>
      <c r="BY266" s="60"/>
      <c r="BZ266" s="60"/>
      <c r="CA266" s="60"/>
      <c r="CB266" s="60"/>
      <c r="CC266" s="60"/>
      <c r="CD266" s="60"/>
      <c r="CE266" s="60"/>
      <c r="CF266" s="60"/>
      <c r="CG266" s="60"/>
      <c r="CH266" s="60"/>
      <c r="CI266" s="60"/>
      <c r="CJ266" s="60"/>
      <c r="CK266" s="60"/>
      <c r="CL266" s="60"/>
      <c r="CM266" s="60"/>
      <c r="CN266" s="60"/>
      <c r="CO266" s="60"/>
      <c r="CP266" s="60"/>
      <c r="CQ266" s="60"/>
      <c r="CR266" s="60"/>
      <c r="CS266" s="60"/>
    </row>
    <row r="267" spans="1:97" s="89" customFormat="1" ht="13" hidden="1" customHeight="1" x14ac:dyDescent="0.3">
      <c r="B267" s="211"/>
      <c r="C267" s="211"/>
      <c r="D267" s="1319"/>
      <c r="E267" s="626"/>
      <c r="F267" s="645"/>
      <c r="G267" s="628"/>
      <c r="H267" s="633"/>
      <c r="I267" s="633"/>
      <c r="J267" s="633"/>
      <c r="K267" s="631"/>
      <c r="L267" s="627"/>
      <c r="M267" s="633"/>
      <c r="N267" s="633"/>
      <c r="O267" s="633"/>
      <c r="P267" s="633"/>
      <c r="Q267" s="632"/>
      <c r="R267" s="627"/>
      <c r="S267" s="633"/>
      <c r="T267" s="633"/>
      <c r="U267" s="633"/>
      <c r="V267" s="633"/>
      <c r="W267" s="634"/>
      <c r="X267" s="627"/>
      <c r="Y267" s="633"/>
      <c r="Z267" s="633"/>
      <c r="AA267" s="633"/>
      <c r="AB267" s="633"/>
      <c r="AC267" s="634"/>
      <c r="AD267" s="634"/>
      <c r="AE267" s="634"/>
      <c r="AF267" s="634"/>
      <c r="AG267" s="634"/>
      <c r="AH267" s="634"/>
      <c r="AI267" s="634"/>
      <c r="AJ267" s="874"/>
      <c r="AK267" s="874"/>
      <c r="AL267" s="874"/>
      <c r="AM267" s="874"/>
      <c r="AN267" s="874"/>
      <c r="AO267" s="874"/>
      <c r="AP267" s="635"/>
      <c r="AQ267" s="648"/>
      <c r="AR267" s="647"/>
      <c r="AS267" s="313"/>
      <c r="AT267" s="177"/>
      <c r="AU267" s="178"/>
      <c r="AV267" s="60"/>
      <c r="AW267" s="60"/>
      <c r="AX267" s="60"/>
      <c r="AY267" s="60"/>
      <c r="AZ267" s="228"/>
      <c r="BA267" s="60"/>
      <c r="BB267" s="60"/>
      <c r="BC267" s="345"/>
      <c r="BD267" s="345"/>
      <c r="BE267" s="345"/>
      <c r="BF267" s="345"/>
      <c r="BG267" s="345"/>
      <c r="BH267" s="345"/>
      <c r="BI267" s="60"/>
      <c r="BJ267" s="60"/>
      <c r="BK267" s="60"/>
      <c r="BL267" s="60"/>
      <c r="BM267" s="60"/>
      <c r="BN267" s="60"/>
      <c r="BO267" s="60"/>
      <c r="BP267" s="60"/>
      <c r="BQ267" s="60"/>
      <c r="BR267" s="60"/>
      <c r="BS267" s="60"/>
      <c r="BT267" s="60"/>
      <c r="BU267" s="60"/>
      <c r="BV267" s="60"/>
      <c r="BW267" s="60"/>
      <c r="BX267" s="60"/>
      <c r="BY267" s="60"/>
      <c r="BZ267" s="60"/>
      <c r="CA267" s="60"/>
      <c r="CB267" s="60"/>
      <c r="CC267" s="60"/>
      <c r="CD267" s="60"/>
      <c r="CE267" s="60"/>
      <c r="CF267" s="60"/>
      <c r="CG267" s="60"/>
      <c r="CH267" s="60"/>
      <c r="CI267" s="60"/>
      <c r="CJ267" s="60"/>
      <c r="CK267" s="60"/>
      <c r="CL267" s="60"/>
      <c r="CM267" s="60"/>
      <c r="CN267" s="60"/>
      <c r="CO267" s="60"/>
      <c r="CP267" s="60"/>
      <c r="CQ267" s="60"/>
      <c r="CR267" s="60"/>
      <c r="CS267" s="60"/>
    </row>
    <row r="268" spans="1:97" s="89" customFormat="1" ht="16.399999999999999" hidden="1" customHeight="1" x14ac:dyDescent="0.3">
      <c r="B268" s="211"/>
      <c r="C268" s="211"/>
      <c r="D268" s="1319"/>
      <c r="E268" s="626"/>
      <c r="F268" s="645"/>
      <c r="G268" s="628"/>
      <c r="H268" s="633"/>
      <c r="I268" s="633"/>
      <c r="J268" s="633"/>
      <c r="K268" s="631"/>
      <c r="L268" s="627"/>
      <c r="M268" s="633"/>
      <c r="N268" s="633"/>
      <c r="O268" s="633"/>
      <c r="P268" s="633"/>
      <c r="Q268" s="632"/>
      <c r="R268" s="627"/>
      <c r="S268" s="633"/>
      <c r="T268" s="633"/>
      <c r="U268" s="633"/>
      <c r="V268" s="633"/>
      <c r="W268" s="634"/>
      <c r="X268" s="627"/>
      <c r="Y268" s="633"/>
      <c r="Z268" s="633"/>
      <c r="AA268" s="633"/>
      <c r="AB268" s="633"/>
      <c r="AC268" s="634"/>
      <c r="AD268" s="634"/>
      <c r="AE268" s="634"/>
      <c r="AF268" s="634"/>
      <c r="AG268" s="634"/>
      <c r="AH268" s="634"/>
      <c r="AI268" s="634"/>
      <c r="AJ268" s="874"/>
      <c r="AK268" s="874"/>
      <c r="AL268" s="874"/>
      <c r="AM268" s="874"/>
      <c r="AN268" s="874"/>
      <c r="AO268" s="874"/>
      <c r="AP268" s="635"/>
      <c r="AQ268" s="648"/>
      <c r="AR268" s="647"/>
      <c r="AS268" s="313"/>
      <c r="AT268" s="177"/>
      <c r="AU268" s="178"/>
      <c r="AV268" s="60"/>
      <c r="AW268" s="60"/>
      <c r="AX268" s="60"/>
      <c r="AY268" s="60"/>
      <c r="AZ268" s="228"/>
      <c r="BA268" s="60"/>
      <c r="BB268" s="60"/>
      <c r="BC268" s="345"/>
      <c r="BD268" s="345"/>
      <c r="BE268" s="345"/>
      <c r="BF268" s="345"/>
      <c r="BG268" s="345"/>
      <c r="BH268" s="345"/>
      <c r="BI268" s="60"/>
      <c r="BJ268" s="60"/>
      <c r="BK268" s="60"/>
      <c r="BL268" s="60"/>
      <c r="BM268" s="60"/>
      <c r="BN268" s="60"/>
      <c r="BO268" s="60"/>
      <c r="BP268" s="60"/>
      <c r="BQ268" s="60"/>
      <c r="BR268" s="60"/>
      <c r="BS268" s="60"/>
      <c r="BT268" s="60"/>
      <c r="BU268" s="60"/>
      <c r="BV268" s="60"/>
      <c r="BW268" s="60"/>
      <c r="BX268" s="60"/>
      <c r="BY268" s="60"/>
      <c r="BZ268" s="60"/>
      <c r="CA268" s="60"/>
      <c r="CB268" s="60"/>
      <c r="CC268" s="60"/>
      <c r="CD268" s="60"/>
      <c r="CE268" s="60"/>
      <c r="CF268" s="60"/>
      <c r="CG268" s="60"/>
      <c r="CH268" s="60"/>
      <c r="CI268" s="60"/>
      <c r="CJ268" s="60"/>
      <c r="CK268" s="60"/>
      <c r="CL268" s="60"/>
      <c r="CM268" s="60"/>
      <c r="CN268" s="60"/>
      <c r="CO268" s="60"/>
      <c r="CP268" s="60"/>
      <c r="CQ268" s="60"/>
      <c r="CR268" s="60"/>
      <c r="CS268" s="60"/>
    </row>
    <row r="269" spans="1:97" s="89" customFormat="1" ht="16.399999999999999" hidden="1" customHeight="1" thickBot="1" x14ac:dyDescent="0.35">
      <c r="B269" s="211"/>
      <c r="C269" s="211"/>
      <c r="D269" s="1320"/>
      <c r="E269" s="637"/>
      <c r="F269" s="649"/>
      <c r="G269" s="650"/>
      <c r="H269" s="641"/>
      <c r="I269" s="641"/>
      <c r="J269" s="641"/>
      <c r="K269" s="642"/>
      <c r="L269" s="640"/>
      <c r="M269" s="641"/>
      <c r="N269" s="641"/>
      <c r="O269" s="641"/>
      <c r="P269" s="641"/>
      <c r="Q269" s="643"/>
      <c r="R269" s="640"/>
      <c r="S269" s="641"/>
      <c r="T269" s="641"/>
      <c r="U269" s="641"/>
      <c r="V269" s="641"/>
      <c r="W269" s="651"/>
      <c r="X269" s="640"/>
      <c r="Y269" s="641"/>
      <c r="Z269" s="641"/>
      <c r="AA269" s="641"/>
      <c r="AB269" s="641"/>
      <c r="AC269" s="651"/>
      <c r="AD269" s="651"/>
      <c r="AE269" s="651"/>
      <c r="AF269" s="651"/>
      <c r="AG269" s="651"/>
      <c r="AH269" s="651"/>
      <c r="AI269" s="651"/>
      <c r="AJ269" s="878"/>
      <c r="AK269" s="878"/>
      <c r="AL269" s="878"/>
      <c r="AM269" s="878"/>
      <c r="AN269" s="878"/>
      <c r="AO269" s="878"/>
      <c r="AP269" s="644"/>
      <c r="AQ269" s="652"/>
      <c r="AR269" s="653"/>
      <c r="AS269" s="313"/>
      <c r="AT269" s="177"/>
      <c r="AU269" s="178"/>
      <c r="AV269" s="60"/>
      <c r="AW269" s="60"/>
      <c r="AX269" s="60"/>
      <c r="AY269" s="60"/>
      <c r="AZ269" s="228"/>
      <c r="BA269" s="60"/>
      <c r="BB269" s="60"/>
      <c r="BC269" s="345"/>
      <c r="BD269" s="345"/>
      <c r="BE269" s="345"/>
      <c r="BF269" s="345"/>
      <c r="BG269" s="345"/>
      <c r="BH269" s="345"/>
      <c r="BI269" s="60"/>
      <c r="BJ269" s="60"/>
      <c r="BK269" s="60"/>
      <c r="BL269" s="60"/>
      <c r="BM269" s="60"/>
      <c r="BN269" s="60"/>
      <c r="BO269" s="60"/>
      <c r="BP269" s="60"/>
      <c r="BQ269" s="60"/>
      <c r="BR269" s="60"/>
      <c r="BS269" s="60"/>
      <c r="BT269" s="60"/>
      <c r="BU269" s="60"/>
      <c r="BV269" s="60"/>
      <c r="BW269" s="60"/>
      <c r="BX269" s="60"/>
      <c r="BY269" s="60"/>
      <c r="BZ269" s="60"/>
      <c r="CA269" s="60"/>
      <c r="CB269" s="60"/>
      <c r="CC269" s="60"/>
      <c r="CD269" s="60"/>
      <c r="CE269" s="60"/>
      <c r="CF269" s="60"/>
      <c r="CG269" s="60"/>
      <c r="CH269" s="60"/>
      <c r="CI269" s="60"/>
      <c r="CJ269" s="60"/>
      <c r="CK269" s="60"/>
      <c r="CL269" s="60"/>
      <c r="CM269" s="60"/>
      <c r="CN269" s="60"/>
      <c r="CO269" s="60"/>
      <c r="CP269" s="60"/>
      <c r="CQ269" s="60"/>
      <c r="CR269" s="60"/>
      <c r="CS269" s="60"/>
    </row>
    <row r="270" spans="1:97" s="89" customFormat="1" ht="13" customHeight="1" x14ac:dyDescent="0.3">
      <c r="D270" s="654"/>
      <c r="E270" s="662"/>
      <c r="F270" s="655"/>
      <c r="G270" s="663"/>
      <c r="H270" s="663"/>
      <c r="I270" s="663"/>
      <c r="J270" s="664"/>
      <c r="K270" s="664"/>
      <c r="L270" s="655"/>
      <c r="M270" s="664"/>
      <c r="N270" s="664"/>
      <c r="O270" s="664"/>
      <c r="P270" s="664"/>
      <c r="Q270" s="664"/>
      <c r="R270" s="655"/>
      <c r="S270" s="664"/>
      <c r="T270" s="664"/>
      <c r="U270" s="664"/>
      <c r="V270" s="664"/>
      <c r="W270" s="664"/>
      <c r="X270" s="655"/>
      <c r="Y270" s="664"/>
      <c r="Z270" s="664"/>
      <c r="AA270" s="664"/>
      <c r="AB270" s="664"/>
      <c r="AC270" s="664"/>
      <c r="AD270" s="664"/>
      <c r="AE270" s="664"/>
      <c r="AF270" s="664"/>
      <c r="AG270" s="664"/>
      <c r="AH270" s="664"/>
      <c r="AI270" s="664"/>
      <c r="AJ270" s="660"/>
      <c r="AK270" s="660"/>
      <c r="AL270" s="660"/>
      <c r="AM270" s="660"/>
      <c r="AN270" s="660"/>
      <c r="AO270" s="660"/>
      <c r="AP270" s="680"/>
      <c r="AQ270" s="470"/>
      <c r="AR270" s="470"/>
      <c r="AS270" s="313"/>
      <c r="AT270" s="289"/>
      <c r="AU270" s="178"/>
      <c r="AV270" s="177"/>
      <c r="AW270" s="60"/>
      <c r="AX270" s="60"/>
      <c r="AY270" s="60"/>
      <c r="AZ270" s="60"/>
      <c r="BA270" s="60"/>
      <c r="BB270" s="60"/>
      <c r="BC270" s="345"/>
      <c r="BD270" s="345"/>
      <c r="BE270" s="345"/>
      <c r="BF270" s="345"/>
      <c r="BG270" s="345"/>
      <c r="BH270" s="345"/>
      <c r="BI270" s="60"/>
      <c r="BJ270" s="60"/>
      <c r="BK270" s="60"/>
      <c r="BL270" s="60"/>
      <c r="BM270" s="60"/>
      <c r="BN270" s="60"/>
      <c r="BO270" s="60"/>
      <c r="BP270" s="60"/>
      <c r="BQ270" s="60"/>
      <c r="BR270" s="60"/>
      <c r="BS270" s="60"/>
      <c r="BT270" s="60"/>
      <c r="BU270" s="60"/>
      <c r="BV270" s="60"/>
      <c r="BW270" s="60"/>
      <c r="BX270" s="60"/>
      <c r="BY270" s="60"/>
      <c r="BZ270" s="60"/>
      <c r="CA270" s="60"/>
      <c r="CB270" s="60"/>
      <c r="CC270" s="60"/>
      <c r="CD270" s="60"/>
      <c r="CE270" s="60"/>
      <c r="CF270" s="60"/>
      <c r="CG270" s="60"/>
      <c r="CH270" s="60"/>
      <c r="CI270" s="60"/>
      <c r="CJ270" s="60"/>
      <c r="CK270" s="60"/>
      <c r="CL270" s="60"/>
      <c r="CM270" s="60"/>
      <c r="CN270" s="60"/>
      <c r="CO270" s="60"/>
      <c r="CP270" s="60"/>
      <c r="CQ270" s="60"/>
      <c r="CR270" s="60"/>
      <c r="CS270" s="60"/>
    </row>
    <row r="271" spans="1:97" s="89" customFormat="1" ht="13" customHeight="1" x14ac:dyDescent="0.3">
      <c r="D271" s="654"/>
      <c r="E271" s="662"/>
      <c r="F271" s="655"/>
      <c r="G271" s="663"/>
      <c r="H271" s="663"/>
      <c r="I271" s="663"/>
      <c r="J271" s="664"/>
      <c r="K271" s="664"/>
      <c r="L271" s="655"/>
      <c r="M271" s="664"/>
      <c r="N271" s="664"/>
      <c r="O271" s="664"/>
      <c r="P271" s="664"/>
      <c r="Q271" s="664"/>
      <c r="R271" s="655"/>
      <c r="S271" s="664"/>
      <c r="T271" s="664"/>
      <c r="U271" s="664"/>
      <c r="V271" s="664"/>
      <c r="W271" s="664"/>
      <c r="X271" s="655"/>
      <c r="Y271" s="664"/>
      <c r="Z271" s="664"/>
      <c r="AA271" s="664"/>
      <c r="AB271" s="664"/>
      <c r="AC271" s="664"/>
      <c r="AD271" s="664"/>
      <c r="AE271" s="664"/>
      <c r="AF271" s="664"/>
      <c r="AG271" s="664"/>
      <c r="AH271" s="664"/>
      <c r="AI271" s="664"/>
      <c r="AJ271" s="664"/>
      <c r="AK271" s="664"/>
      <c r="AL271" s="664"/>
      <c r="AM271" s="664"/>
      <c r="AN271" s="664"/>
      <c r="AO271" s="664"/>
      <c r="AP271" s="659"/>
      <c r="AQ271" s="470"/>
      <c r="AR271" s="470"/>
      <c r="AS271" s="313"/>
      <c r="AT271" s="289"/>
      <c r="AU271" s="178"/>
      <c r="AV271" s="177"/>
      <c r="AW271" s="60"/>
      <c r="AX271" s="60"/>
      <c r="AY271" s="60"/>
      <c r="AZ271" s="60"/>
      <c r="BA271" s="60"/>
      <c r="BB271" s="60"/>
      <c r="BC271" s="345"/>
      <c r="BD271" s="345"/>
      <c r="BE271" s="345"/>
      <c r="BF271" s="345"/>
      <c r="BG271" s="345"/>
      <c r="BH271" s="345"/>
      <c r="BI271" s="60"/>
      <c r="BJ271" s="60"/>
      <c r="BK271" s="60"/>
      <c r="BL271" s="60"/>
      <c r="BM271" s="60"/>
      <c r="BN271" s="60"/>
      <c r="BO271" s="60"/>
      <c r="BP271" s="60"/>
      <c r="BQ271" s="60"/>
      <c r="BR271" s="60"/>
      <c r="BS271" s="60"/>
      <c r="BT271" s="60"/>
      <c r="BU271" s="60"/>
      <c r="BV271" s="60"/>
      <c r="BW271" s="60"/>
      <c r="BX271" s="60"/>
      <c r="BY271" s="60"/>
      <c r="BZ271" s="60"/>
      <c r="CA271" s="60"/>
      <c r="CB271" s="60"/>
      <c r="CC271" s="60"/>
      <c r="CD271" s="60"/>
      <c r="CE271" s="60"/>
      <c r="CF271" s="60"/>
      <c r="CG271" s="60"/>
      <c r="CH271" s="60"/>
      <c r="CI271" s="60"/>
      <c r="CJ271" s="60"/>
      <c r="CK271" s="60"/>
      <c r="CL271" s="60"/>
      <c r="CM271" s="60"/>
      <c r="CN271" s="60"/>
      <c r="CO271" s="60"/>
      <c r="CP271" s="60"/>
      <c r="CQ271" s="60"/>
      <c r="CR271" s="60"/>
      <c r="CS271" s="60"/>
    </row>
    <row r="272" spans="1:97" s="185" customFormat="1" ht="22.4" customHeight="1" thickBot="1" x14ac:dyDescent="0.35">
      <c r="A272" s="89"/>
      <c r="B272" s="175"/>
      <c r="C272" s="175"/>
      <c r="D272" s="673" t="s">
        <v>743</v>
      </c>
      <c r="E272" s="675"/>
      <c r="F272" s="918"/>
      <c r="G272" s="625"/>
      <c r="H272" s="1304"/>
      <c r="I272" s="1304"/>
      <c r="J272" s="678"/>
      <c r="K272" s="678"/>
      <c r="L272" s="676"/>
      <c r="M272" s="678"/>
      <c r="N272" s="678"/>
      <c r="O272" s="678"/>
      <c r="P272" s="678"/>
      <c r="Q272" s="678"/>
      <c r="R272" s="676"/>
      <c r="S272" s="678"/>
      <c r="T272" s="678"/>
      <c r="U272" s="678"/>
      <c r="V272" s="678"/>
      <c r="W272" s="678"/>
      <c r="X272" s="676"/>
      <c r="Y272" s="678"/>
      <c r="Z272" s="678"/>
      <c r="AA272" s="678"/>
      <c r="AB272" s="678"/>
      <c r="AC272" s="678"/>
      <c r="AD272" s="678"/>
      <c r="AE272" s="678"/>
      <c r="AF272" s="678"/>
      <c r="AG272" s="678"/>
      <c r="AH272" s="678"/>
      <c r="AI272" s="678"/>
      <c r="AJ272" s="678"/>
      <c r="AK272" s="678"/>
      <c r="AL272" s="678"/>
      <c r="AM272" s="678"/>
      <c r="AN272" s="678"/>
      <c r="AO272" s="678"/>
      <c r="AP272" s="678"/>
      <c r="AQ272" s="678"/>
      <c r="AR272" s="679"/>
      <c r="AT272" s="303"/>
      <c r="AU272" s="305"/>
      <c r="AV272" s="304"/>
      <c r="AW272" s="186"/>
      <c r="AX272" s="186"/>
      <c r="AY272" s="186"/>
      <c r="AZ272" s="186"/>
      <c r="BA272" s="186"/>
      <c r="BB272" s="186"/>
      <c r="BC272" s="345"/>
      <c r="BD272" s="345"/>
      <c r="BE272" s="345"/>
      <c r="BF272" s="345"/>
      <c r="BG272" s="345"/>
      <c r="BH272" s="345"/>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c r="CH272" s="186"/>
      <c r="CI272" s="186"/>
      <c r="CJ272" s="186"/>
      <c r="CK272" s="186"/>
      <c r="CL272" s="186"/>
      <c r="CM272" s="186"/>
      <c r="CN272" s="186"/>
      <c r="CO272" s="186"/>
      <c r="CP272" s="186"/>
      <c r="CQ272" s="186"/>
      <c r="CR272" s="186"/>
      <c r="CS272" s="186"/>
    </row>
    <row r="273" spans="2:97" s="89" customFormat="1" ht="16.5" customHeight="1" x14ac:dyDescent="0.3">
      <c r="D273" s="1305" t="str">
        <f>D225</f>
        <v>Cost description (e.g: service provider,…)</v>
      </c>
      <c r="E273" s="1295"/>
      <c r="F273" s="1291" t="str">
        <f>VLOOKUP("Estimated % for QA/QC (7.5)",Language!$D$1583:$G$1845,$O$1,FALSE)</f>
        <v>Estimated % for QA/QC (7.5)</v>
      </c>
      <c r="G273" s="1294" t="str">
        <f>G14</f>
        <v>2021</v>
      </c>
      <c r="H273" s="1295"/>
      <c r="I273" s="1295"/>
      <c r="J273" s="1295"/>
      <c r="K273" s="1302"/>
      <c r="L273" s="1291" t="str">
        <f>F273</f>
        <v>Estimated % for QA/QC (7.5)</v>
      </c>
      <c r="M273" s="1294" t="str">
        <f>M14</f>
        <v>2022</v>
      </c>
      <c r="N273" s="1295"/>
      <c r="O273" s="1295"/>
      <c r="P273" s="1295"/>
      <c r="Q273" s="1302"/>
      <c r="R273" s="1291" t="str">
        <f>F273</f>
        <v>Estimated % for QA/QC (7.5)</v>
      </c>
      <c r="S273" s="1294" t="str">
        <f>S14</f>
        <v>2023</v>
      </c>
      <c r="T273" s="1295"/>
      <c r="U273" s="1295"/>
      <c r="V273" s="1295"/>
      <c r="W273" s="1302"/>
      <c r="X273" s="1291" t="str">
        <f>F273</f>
        <v>Estimated % for QA/QC (7.5)</v>
      </c>
      <c r="Y273" s="1294" t="str">
        <f>Y14</f>
        <v>2024</v>
      </c>
      <c r="Z273" s="1295"/>
      <c r="AA273" s="1295"/>
      <c r="AB273" s="1295"/>
      <c r="AC273" s="1296"/>
      <c r="AD273" s="1291" t="str">
        <f>L273</f>
        <v>Estimated % for QA/QC (7.5)</v>
      </c>
      <c r="AE273" s="1294" t="str">
        <f>AE14</f>
        <v>2025</v>
      </c>
      <c r="AF273" s="1295"/>
      <c r="AG273" s="1295"/>
      <c r="AH273" s="1295"/>
      <c r="AI273" s="1296"/>
      <c r="AJ273" s="1291" t="str">
        <f>R273</f>
        <v>Estimated % for QA/QC (7.5)</v>
      </c>
      <c r="AK273" s="1294" t="str">
        <f>AK14</f>
        <v/>
      </c>
      <c r="AL273" s="1295"/>
      <c r="AM273" s="1295"/>
      <c r="AN273" s="1295"/>
      <c r="AO273" s="1296"/>
      <c r="AP273" s="1300" t="str">
        <f>AP14</f>
        <v>Total grant period</v>
      </c>
      <c r="AQ273" s="1300" t="str">
        <f>AQ14</f>
        <v>Finance</v>
      </c>
      <c r="AR273" s="1310" t="str">
        <f>AR14</f>
        <v>Comments</v>
      </c>
      <c r="AS273" s="313"/>
      <c r="AT273" s="289"/>
      <c r="AU273" s="178"/>
      <c r="AV273" s="177"/>
      <c r="AW273" s="60"/>
      <c r="AX273" s="60"/>
      <c r="AY273" s="60"/>
      <c r="AZ273" s="60"/>
      <c r="BA273" s="60"/>
      <c r="BB273" s="60"/>
      <c r="BC273" s="345"/>
      <c r="BD273" s="345"/>
      <c r="BE273" s="345"/>
      <c r="BF273" s="345"/>
      <c r="BG273" s="345"/>
      <c r="BH273" s="345"/>
      <c r="BI273" s="60"/>
      <c r="BJ273" s="60"/>
      <c r="BK273" s="60"/>
      <c r="BL273" s="60"/>
      <c r="BM273" s="60"/>
      <c r="BN273" s="60"/>
      <c r="BO273" s="60"/>
      <c r="BP273" s="60"/>
      <c r="BQ273" s="60"/>
      <c r="BR273" s="60"/>
      <c r="BS273" s="60"/>
      <c r="BT273" s="60"/>
      <c r="BU273" s="60"/>
      <c r="BV273" s="60"/>
      <c r="BW273" s="60"/>
      <c r="BX273" s="60"/>
      <c r="BY273" s="60"/>
      <c r="BZ273" s="60"/>
      <c r="CA273" s="60"/>
      <c r="CB273" s="60"/>
      <c r="CC273" s="60"/>
      <c r="CD273" s="60"/>
      <c r="CE273" s="60"/>
      <c r="CF273" s="60"/>
      <c r="CG273" s="60"/>
      <c r="CH273" s="60"/>
      <c r="CI273" s="60"/>
      <c r="CJ273" s="60"/>
      <c r="CK273" s="60"/>
      <c r="CL273" s="60"/>
      <c r="CM273" s="60"/>
      <c r="CN273" s="60"/>
      <c r="CO273" s="60"/>
      <c r="CP273" s="60"/>
      <c r="CQ273" s="60"/>
      <c r="CR273" s="60"/>
      <c r="CS273" s="60"/>
    </row>
    <row r="274" spans="2:97" s="89" customFormat="1" ht="18" customHeight="1" thickBot="1" x14ac:dyDescent="0.35">
      <c r="D274" s="1306"/>
      <c r="E274" s="1307"/>
      <c r="F274" s="1292"/>
      <c r="G274" s="1297"/>
      <c r="H274" s="1298"/>
      <c r="I274" s="1298"/>
      <c r="J274" s="1298"/>
      <c r="K274" s="1303"/>
      <c r="L274" s="1292"/>
      <c r="M274" s="1297"/>
      <c r="N274" s="1298"/>
      <c r="O274" s="1298"/>
      <c r="P274" s="1298"/>
      <c r="Q274" s="1303"/>
      <c r="R274" s="1292"/>
      <c r="S274" s="1297"/>
      <c r="T274" s="1298"/>
      <c r="U274" s="1298"/>
      <c r="V274" s="1298"/>
      <c r="W274" s="1303"/>
      <c r="X274" s="1292"/>
      <c r="Y274" s="1297"/>
      <c r="Z274" s="1298"/>
      <c r="AA274" s="1298"/>
      <c r="AB274" s="1298"/>
      <c r="AC274" s="1299"/>
      <c r="AD274" s="1292"/>
      <c r="AE274" s="1297"/>
      <c r="AF274" s="1298"/>
      <c r="AG274" s="1298"/>
      <c r="AH274" s="1298"/>
      <c r="AI274" s="1299"/>
      <c r="AJ274" s="1292"/>
      <c r="AK274" s="1297"/>
      <c r="AL274" s="1298"/>
      <c r="AM274" s="1298"/>
      <c r="AN274" s="1298"/>
      <c r="AO274" s="1299"/>
      <c r="AP274" s="1301"/>
      <c r="AQ274" s="1301"/>
      <c r="AR274" s="1311"/>
      <c r="AS274" s="313"/>
      <c r="AT274" s="289"/>
      <c r="AU274" s="178"/>
      <c r="AV274" s="177"/>
      <c r="AW274" s="60"/>
      <c r="AX274" s="60"/>
      <c r="AY274" s="60"/>
      <c r="AZ274" s="60"/>
      <c r="BA274" s="60"/>
      <c r="BB274" s="60"/>
      <c r="BC274" s="345"/>
      <c r="BD274" s="345"/>
      <c r="BE274" s="345"/>
      <c r="BF274" s="345"/>
      <c r="BG274" s="345"/>
      <c r="BH274" s="345"/>
      <c r="BI274" s="60"/>
      <c r="BJ274" s="60"/>
      <c r="BK274" s="60"/>
      <c r="BL274" s="60"/>
      <c r="BM274" s="60"/>
      <c r="BN274" s="60"/>
      <c r="BO274" s="60"/>
      <c r="BP274" s="60"/>
      <c r="BQ274" s="60"/>
      <c r="BR274" s="60"/>
      <c r="BS274" s="60"/>
      <c r="BT274" s="60"/>
      <c r="BU274" s="60"/>
      <c r="BV274" s="60"/>
      <c r="BW274" s="60"/>
      <c r="BX274" s="60"/>
      <c r="BY274" s="60"/>
      <c r="BZ274" s="60"/>
      <c r="CA274" s="60"/>
      <c r="CB274" s="60"/>
      <c r="CC274" s="60"/>
      <c r="CD274" s="60"/>
      <c r="CE274" s="60"/>
      <c r="CF274" s="60"/>
      <c r="CG274" s="60"/>
      <c r="CH274" s="60"/>
      <c r="CI274" s="60"/>
      <c r="CJ274" s="60"/>
      <c r="CK274" s="60"/>
      <c r="CL274" s="60"/>
      <c r="CM274" s="60"/>
      <c r="CN274" s="60"/>
      <c r="CO274" s="60"/>
      <c r="CP274" s="60"/>
      <c r="CQ274" s="60"/>
      <c r="CR274" s="60"/>
      <c r="CS274" s="60"/>
    </row>
    <row r="275" spans="2:97" s="89" customFormat="1" ht="48.5" customHeight="1" thickBot="1" x14ac:dyDescent="0.35">
      <c r="D275" s="1308"/>
      <c r="E275" s="1309"/>
      <c r="F275" s="1293"/>
      <c r="G275" s="695" t="str">
        <f>G16</f>
        <v>Y1 Q1 cost</v>
      </c>
      <c r="H275" s="933" t="str">
        <f>H16</f>
        <v>Y1 Q2 cost</v>
      </c>
      <c r="I275" s="933" t="str">
        <f>I16</f>
        <v>Y1 Q3 cost</v>
      </c>
      <c r="J275" s="933" t="str">
        <f>J16</f>
        <v>Y1 Q4 cost</v>
      </c>
      <c r="K275" s="696" t="str">
        <f>K16</f>
        <v>Y1 Total cost</v>
      </c>
      <c r="L275" s="1293"/>
      <c r="M275" s="695" t="str">
        <f>M16</f>
        <v>Y2 Q1 cost</v>
      </c>
      <c r="N275" s="933" t="str">
        <f>N16</f>
        <v>Y2 Q2 cost</v>
      </c>
      <c r="O275" s="933" t="str">
        <f>O16</f>
        <v>Y2 Q3 cost</v>
      </c>
      <c r="P275" s="933" t="str">
        <f>P16</f>
        <v>Y2 Q4 cost</v>
      </c>
      <c r="Q275" s="696" t="str">
        <f>Q16</f>
        <v>Y2 Total cost</v>
      </c>
      <c r="R275" s="1293"/>
      <c r="S275" s="695" t="str">
        <f>S16</f>
        <v>Y3 Q1 cost</v>
      </c>
      <c r="T275" s="933" t="str">
        <f>T16</f>
        <v>Y3 Q2 cost</v>
      </c>
      <c r="U275" s="933" t="str">
        <f>U16</f>
        <v>Y3 Q3 cost</v>
      </c>
      <c r="V275" s="933" t="str">
        <f>V16</f>
        <v>Y3 Q4 cost</v>
      </c>
      <c r="W275" s="696" t="str">
        <f>W16</f>
        <v>Y3 Total cost</v>
      </c>
      <c r="X275" s="1293"/>
      <c r="Y275" s="695" t="str">
        <f>Y16</f>
        <v>Y4 Q1 cost</v>
      </c>
      <c r="Z275" s="933" t="str">
        <f>Z16</f>
        <v>Y4 Q2 cost</v>
      </c>
      <c r="AA275" s="933" t="str">
        <f>AA16</f>
        <v>Y4 Q3 cost</v>
      </c>
      <c r="AB275" s="933" t="str">
        <f>AB16</f>
        <v>Y4 Q4 cost</v>
      </c>
      <c r="AC275" s="933" t="str">
        <f>AC16</f>
        <v>Y4 Total cost</v>
      </c>
      <c r="AD275" s="1293"/>
      <c r="AE275" s="933" t="str">
        <f>AE16</f>
        <v>Y5 Q1 cost</v>
      </c>
      <c r="AF275" s="933" t="str">
        <f>AF16</f>
        <v>Y5 Q2 cost</v>
      </c>
      <c r="AG275" s="933" t="str">
        <f>AG16</f>
        <v>Y5 Q3 cost</v>
      </c>
      <c r="AH275" s="933" t="str">
        <f>AH16</f>
        <v>Y5 Q4 cost</v>
      </c>
      <c r="AI275" s="933" t="str">
        <f>AI16</f>
        <v>Y5 Total cost</v>
      </c>
      <c r="AJ275" s="1293"/>
      <c r="AK275" s="933" t="str">
        <f t="shared" ref="AK275:AQ275" si="113">AK16</f>
        <v>Y6 Q1 cost</v>
      </c>
      <c r="AL275" s="933" t="str">
        <f t="shared" si="113"/>
        <v>Y6 Q2 cost</v>
      </c>
      <c r="AM275" s="933" t="str">
        <f t="shared" si="113"/>
        <v>Y6 Q3 cost</v>
      </c>
      <c r="AN275" s="933" t="str">
        <f t="shared" si="113"/>
        <v>Y6 Q4 cost</v>
      </c>
      <c r="AO275" s="933" t="str">
        <f t="shared" si="113"/>
        <v>Y6 Total cost</v>
      </c>
      <c r="AP275" s="695" t="str">
        <f t="shared" si="113"/>
        <v>Total cost</v>
      </c>
      <c r="AQ275" s="695" t="str">
        <f t="shared" si="113"/>
        <v>Cost input</v>
      </c>
      <c r="AR275" s="1312"/>
      <c r="AS275" s="313"/>
      <c r="AT275" s="289"/>
      <c r="AU275" s="178"/>
      <c r="AV275" s="177"/>
      <c r="AW275" s="60"/>
      <c r="AX275" s="60"/>
      <c r="AY275" s="60"/>
      <c r="AZ275" s="60"/>
      <c r="BA275" s="60"/>
      <c r="BB275" s="60"/>
      <c r="BC275" s="345"/>
      <c r="BD275" s="345"/>
      <c r="BE275" s="345"/>
      <c r="BF275" s="345"/>
      <c r="BG275" s="345"/>
      <c r="BH275" s="345"/>
      <c r="BI275" s="60"/>
      <c r="BJ275" s="60"/>
      <c r="BK275" s="60"/>
      <c r="BL275" s="60"/>
      <c r="BM275" s="60"/>
      <c r="BN275" s="60"/>
      <c r="BO275" s="60"/>
      <c r="BP275" s="60"/>
      <c r="BQ275" s="60"/>
      <c r="BR275" s="60"/>
      <c r="BS275" s="60"/>
      <c r="BT275" s="60"/>
      <c r="BU275" s="60"/>
      <c r="BV275" s="60"/>
      <c r="BW275" s="60"/>
      <c r="BX275" s="60"/>
      <c r="BY275" s="60"/>
      <c r="BZ275" s="60"/>
      <c r="CA275" s="60"/>
      <c r="CB275" s="60"/>
      <c r="CC275" s="60"/>
      <c r="CD275" s="60"/>
      <c r="CE275" s="60"/>
      <c r="CF275" s="60"/>
      <c r="CG275" s="60"/>
      <c r="CH275" s="60"/>
      <c r="CI275" s="60"/>
      <c r="CJ275" s="60"/>
      <c r="CK275" s="60"/>
      <c r="CL275" s="60"/>
      <c r="CM275" s="60"/>
      <c r="CN275" s="60"/>
      <c r="CO275" s="60"/>
      <c r="CP275" s="60"/>
      <c r="CQ275" s="60"/>
      <c r="CR275" s="60"/>
      <c r="CS275" s="60"/>
    </row>
    <row r="276" spans="2:97" s="89" customFormat="1" ht="15" customHeight="1" thickBot="1" x14ac:dyDescent="0.4">
      <c r="B276" s="211" t="s">
        <v>748</v>
      </c>
      <c r="C276" s="698" t="s">
        <v>2751</v>
      </c>
      <c r="D276" s="1313" t="s">
        <v>83</v>
      </c>
      <c r="E276" s="1009" t="s">
        <v>32</v>
      </c>
      <c r="F276" s="996">
        <v>0</v>
      </c>
      <c r="G276" s="725" cm="1">
        <f t="array" ref="G276">$F276*(SUMPRODUCT(('Cashflow Summary C19RM'!$K$5:$K$239&lt;&gt;1)*('Cashflow Summary C19RM'!$D$5:$D$239=E276)*('Cashflow Summary C19RM'!$R$5:$R$239)))</f>
        <v>0</v>
      </c>
      <c r="H276" s="977" cm="1">
        <f t="array" ref="H276">$F276*(SUMPRODUCT(('Cashflow Summary C19RM'!$K$5:$K$239&lt;&gt;1)*('Cashflow Summary C19RM'!$D$5:$D$239=E276)*('Cashflow Summary C19RM'!$S$5:$S$239)))</f>
        <v>0</v>
      </c>
      <c r="I276" s="978" cm="1">
        <f t="array" ref="I276">$F276*(SUMPRODUCT(('Cashflow Summary C19RM'!$K$5:$K$239&lt;&gt;1)*('Cashflow Summary C19RM'!$D$5:$D$239=E276)*('Cashflow Summary C19RM'!$T$5:$T$239)))</f>
        <v>0</v>
      </c>
      <c r="J276" s="978" cm="1">
        <f t="array" ref="J276">$F276*(SUMPRODUCT(('Cashflow Summary C19RM'!$K$5:$K$239&lt;&gt;1)*('Cashflow Summary C19RM'!$D$5:$D$239=E276)*('Cashflow Summary C19RM'!$U$5:$U$239)))</f>
        <v>0</v>
      </c>
      <c r="K276" s="997">
        <f t="shared" ref="K276:K290" si="114">SUM(G276:J276)</f>
        <v>0</v>
      </c>
      <c r="L276" s="981">
        <f t="shared" ref="L276:L290" si="115">F276</f>
        <v>0</v>
      </c>
      <c r="M276" s="976" cm="1">
        <f t="array" ref="M276">$L276*(SUMPRODUCT(('Cashflow Summary C19RM'!$K$5:$K$239&lt;&gt;1)*('Cashflow Summary C19RM'!$D$5:$D$239=E276)*('Cashflow Summary C19RM'!$V$5:$V$239)))</f>
        <v>0</v>
      </c>
      <c r="N276" s="977" cm="1">
        <f t="array" ref="N276">$L276*(SUMPRODUCT(('Cashflow Summary C19RM'!$K$5:$K$239&lt;&gt;1)*('Cashflow Summary C19RM'!$D$5:$D$239=E276)*('Cashflow Summary C19RM'!$W$5:$W$239)))</f>
        <v>0</v>
      </c>
      <c r="O276" s="978" cm="1">
        <f t="array" ref="O276">$L276*(SUMPRODUCT(('Cashflow Summary C19RM'!$K$5:$K$239&lt;&gt;1)*('Cashflow Summary C19RM'!$D$5:$D$239=E276)*('Cashflow Summary C19RM'!$X$5:$X$239)))</f>
        <v>0</v>
      </c>
      <c r="P276" s="978" cm="1">
        <f t="array" ref="P276">$L276*(SUMPRODUCT(('Cashflow Summary C19RM'!$K$5:$K$239&lt;&gt;1)*('Cashflow Summary C19RM'!$D$5:$D$239=E276)*('Cashflow Summary C19RM'!$Y$5:$Y$239)))</f>
        <v>0</v>
      </c>
      <c r="Q276" s="980">
        <f t="shared" ref="Q276:Q290" si="116">SUM(M276:P276)</f>
        <v>0</v>
      </c>
      <c r="R276" s="981">
        <f t="shared" ref="R276:R290" si="117">F276</f>
        <v>0</v>
      </c>
      <c r="S276" s="976" cm="1">
        <f t="array" ref="S276">$R276*(SUMPRODUCT(('Cashflow Summary C19RM'!$K$5:$K$239&lt;&gt;1)*('Cashflow Summary C19RM'!$D$5:$D$239=E276)*('Cashflow Summary C19RM'!$Z$5:$Z$239)))</f>
        <v>0</v>
      </c>
      <c r="T276" s="977" cm="1">
        <f t="array" ref="T276">$R276*(SUMPRODUCT(('Cashflow Summary C19RM'!$K$5:$K$239&lt;&gt;1)*('Cashflow Summary C19RM'!$D$5:$D$239=E276)*('Cashflow Summary C19RM'!$AA$5:$AA$239)))</f>
        <v>0</v>
      </c>
      <c r="U276" s="978" cm="1">
        <f t="array" ref="U276">$R276*(SUMPRODUCT(('Cashflow Summary C19RM'!$K$5:$K$239&lt;&gt;1)*('Cashflow Summary C19RM'!$D$5:$D$239=E276)*('Cashflow Summary C19RM'!$AB$5:$AB$239)))</f>
        <v>0</v>
      </c>
      <c r="V276" s="978" cm="1">
        <f t="array" ref="V276">$R276*(SUMPRODUCT(('Cashflow Summary C19RM'!$K$5:$K$239&lt;&gt;1)*('Cashflow Summary C19RM'!$D$5:$D$239=E276)*('Cashflow Summary C19RM'!$AC$5:$AC$239)))</f>
        <v>0</v>
      </c>
      <c r="W276" s="982">
        <f t="shared" ref="W276:W290" si="118">SUM(S276:V276)</f>
        <v>0</v>
      </c>
      <c r="X276" s="981">
        <f t="shared" ref="X276:X290" si="119">F276</f>
        <v>0</v>
      </c>
      <c r="Y276" s="976" cm="1">
        <f t="array" ref="Y276">$X276*(SUMPRODUCT(('Cashflow Summary C19RM'!$K$5:$K$239&lt;&gt;1)*('Cashflow Summary C19RM'!$D$5:$D$239=E276)*('Cashflow Summary C19RM'!$AD$5:$AD$239)))</f>
        <v>0</v>
      </c>
      <c r="Z276" s="977" cm="1">
        <f t="array" ref="Z276">$X276*(SUMPRODUCT(('Cashflow Summary C19RM'!$K$5:$K$239&lt;&gt;1)*('Cashflow Summary C19RM'!$D$5:$D$239=E276)*('Cashflow Summary C19RM'!$AE$5:$AE$239)))</f>
        <v>0</v>
      </c>
      <c r="AA276" s="978" cm="1">
        <f t="array" ref="AA276">$X276*(SUMPRODUCT(('Cashflow Summary C19RM'!$K$5:$K$239&lt;&gt;1)*('Cashflow Summary C19RM'!$D$5:$D$239=E276)*('Cashflow Summary C19RM'!$AF$5:$AF$239)))</f>
        <v>0</v>
      </c>
      <c r="AB276" s="978" cm="1">
        <f t="array" ref="AB276">$X276*(SUMPRODUCT(('Cashflow Summary C19RM'!$K$5:$K$239&lt;&gt;1)*('Cashflow Summary C19RM'!$D$5:$D$239=E276)*('Cashflow Summary C19RM'!$AG$5:$AG$239)))</f>
        <v>0</v>
      </c>
      <c r="AC276" s="982">
        <f t="shared" ref="AC276:AC290" si="120">SUM(Y276:AB276)</f>
        <v>0</v>
      </c>
      <c r="AD276" s="981">
        <f t="shared" ref="AD276:AD290" si="121">L276</f>
        <v>0</v>
      </c>
      <c r="AE276" s="725" cm="1">
        <f t="array" ref="AE276">$AD276*(SUMPRODUCT(('Cashflow Summary C19RM'!$K$5:$K$239&lt;&gt;1)*('Cashflow Summary C19RM'!$D$5:$D$239=E276)*('Cashflow Summary C19RM'!$AH$5:$AH$239)))</f>
        <v>0</v>
      </c>
      <c r="AF276" s="976" cm="1">
        <f t="array" ref="AF276">$AD276*(SUMPRODUCT(('Cashflow Summary C19RM'!$K$5:$K$239&lt;&gt;1)*('Cashflow Summary C19RM'!$D$5:$D$239=E276)*('Cashflow Summary C19RM'!$AI$5:$AI$239)))</f>
        <v>0</v>
      </c>
      <c r="AG276" s="976" cm="1">
        <f t="array" ref="AG276">$AD276*(SUMPRODUCT(('Cashflow Summary C19RM'!$K$5:$K$239&lt;&gt;1)*('Cashflow Summary C19RM'!$D$5:$D$239=E276)*('Cashflow Summary C19RM'!$AJ$5:$AJ$239)))</f>
        <v>0</v>
      </c>
      <c r="AH276" s="976" cm="1">
        <f t="array" ref="AH276">$AD276*(SUMPRODUCT(('Cashflow Summary C19RM'!$K$5:$K$239&lt;&gt;1)*('Cashflow Summary C19RM'!$D$5:$D$239=E276)*('Cashflow Summary C19RM'!$AK$5:$AO$239)))</f>
        <v>0</v>
      </c>
      <c r="AI276" s="982">
        <f t="shared" ref="AI276:AI290" si="122">SUM(AE276:AH276)</f>
        <v>0</v>
      </c>
      <c r="AJ276" s="983">
        <v>0</v>
      </c>
      <c r="AK276" s="984"/>
      <c r="AL276" s="985"/>
      <c r="AM276" s="985"/>
      <c r="AN276" s="985"/>
      <c r="AO276" s="986"/>
      <c r="AP276" s="982">
        <f>K276+Q276+W276+AC276+AI276</f>
        <v>0</v>
      </c>
      <c r="AQ276" s="987">
        <v>7.5</v>
      </c>
      <c r="AR276" s="988"/>
      <c r="AS276" s="310"/>
      <c r="AV276" s="228">
        <f t="shared" ref="AV276:AV290" si="123">F276</f>
        <v>0</v>
      </c>
      <c r="AW276" s="228">
        <f t="shared" ref="AW276:AW290" si="124">L276</f>
        <v>0</v>
      </c>
      <c r="AX276" s="228">
        <f t="shared" ref="AX276:AX290" si="125">R276</f>
        <v>0</v>
      </c>
      <c r="AY276" s="228">
        <f t="shared" ref="AY276:AY290" si="126">X276</f>
        <v>0</v>
      </c>
      <c r="AZ276" s="228">
        <f t="shared" ref="AZ276:AZ290" si="127">AD276</f>
        <v>0</v>
      </c>
      <c r="BA276" s="228"/>
      <c r="BC276" s="345" cm="1">
        <f t="array" ref="BC276">IF(BM276&gt;=1,0,IFERROR(SUMPRODUCT(($G$11:$AH$11=$BC$16)*($G276:$AH276)),0))</f>
        <v>0</v>
      </c>
      <c r="BD276" s="345" cm="1">
        <f t="array" ref="BD276">IF(BM276&gt;=1,0,IFERROR(SUMPRODUCT(($G$11:$AH$11=$BD$16)*($G276:$AH276)),0))</f>
        <v>0</v>
      </c>
      <c r="BE276" s="345" cm="1">
        <f t="array" ref="BE276">IF(BM276&gt;=1,0,IFERROR(SUMPRODUCT(($G$11:$AH$11=$BE$16)*($G276:$AH276)),0))</f>
        <v>0</v>
      </c>
      <c r="BF276" s="345" cm="1">
        <f t="array" ref="BF276">IF(BM276&gt;=1,0,IFERROR(SUMPRODUCT(($G$11:$AH$11=$BF$16)*($G276:$AH276)),0))</f>
        <v>0</v>
      </c>
      <c r="BG276" s="345" cm="1">
        <f t="array" ref="BG276">IF(BM276&gt;=1,0,IFERROR(SUMPRODUCT(($G$11:$AH$11=$BG$16)*($G276:$AH276)),0))</f>
        <v>0</v>
      </c>
      <c r="BH276" s="345"/>
      <c r="BI276" s="343">
        <f>SUM(BC276:BG276)</f>
        <v>0</v>
      </c>
      <c r="BJ276" s="229" t="s">
        <v>83</v>
      </c>
      <c r="BK276" cm="1">
        <f t="array" ref="BK276">(SUMPRODUCT(('Cashflow Summary C19RM'!$D$5:$D$451=E276)*('Cashflow Summary C19RM'!$BD$5:$BD$451)))</f>
        <v>0</v>
      </c>
      <c r="BL276" cm="1">
        <f t="array" ref="BL276">(SUMPRODUCT((SETUP!$D$20:$D$67=E276)*(SETUP!$R$20:$R$67)))</f>
        <v>0</v>
      </c>
      <c r="BM276" s="89">
        <f t="shared" ref="BM276:BM290" si="128">SUM(BK276:BL276)</f>
        <v>0</v>
      </c>
    </row>
    <row r="277" spans="2:97" s="89" customFormat="1" ht="15" customHeight="1" x14ac:dyDescent="0.35">
      <c r="B277" s="211" t="s">
        <v>748</v>
      </c>
      <c r="C277" s="698" t="s">
        <v>2750</v>
      </c>
      <c r="D277" s="1314"/>
      <c r="E277" s="1010" t="s">
        <v>11</v>
      </c>
      <c r="F277" s="697">
        <v>0</v>
      </c>
      <c r="G277" s="628" cm="1">
        <f t="array" ref="G277">$F277*(SUMPRODUCT(('Cashflow Summary C19RM'!$K$5:$K$239&lt;&gt;1)*('Cashflow Summary C19RM'!$D$5:$D$239=E277)*('Cashflow Summary C19RM'!$R$5:$R$239)))</f>
        <v>0</v>
      </c>
      <c r="H277" s="629" cm="1">
        <f t="array" ref="H277">$F277*(SUMPRODUCT(('Cashflow Summary C19RM'!$K$5:$K$239&lt;&gt;1)*('Cashflow Summary C19RM'!$D$5:$D$239=E277)*('Cashflow Summary C19RM'!$S$5:$S$239)))</f>
        <v>0</v>
      </c>
      <c r="I277" s="630" cm="1">
        <f t="array" ref="I277">$F277*(SUMPRODUCT(('Cashflow Summary C19RM'!$K$5:$K$239&lt;&gt;1)*('Cashflow Summary C19RM'!$D$5:$D$239=E277)*('Cashflow Summary C19RM'!$T$5:$T$239)))</f>
        <v>0</v>
      </c>
      <c r="J277" s="630" cm="1">
        <f t="array" ref="J277">$F277*(SUMPRODUCT(('Cashflow Summary C19RM'!$K$5:$K$239&lt;&gt;1)*('Cashflow Summary C19RM'!$D$5:$D$239=E277)*('Cashflow Summary C19RM'!$U$5:$U$239)))</f>
        <v>0</v>
      </c>
      <c r="K277" s="631">
        <f t="shared" si="114"/>
        <v>0</v>
      </c>
      <c r="L277" s="686">
        <f t="shared" si="115"/>
        <v>0</v>
      </c>
      <c r="M277" s="630" cm="1">
        <f t="array" ref="M277">$L277*(SUMPRODUCT(('Cashflow Summary C19RM'!$K$5:$K$239&lt;&gt;1)*('Cashflow Summary C19RM'!$D$5:$D$239=E277)*('Cashflow Summary C19RM'!$V$5:$V$239)))</f>
        <v>0</v>
      </c>
      <c r="N277" s="630" cm="1">
        <f t="array" ref="N277">$L277*(SUMPRODUCT(('Cashflow Summary C19RM'!$K$5:$K$239&lt;&gt;1)*('Cashflow Summary C19RM'!$D$5:$D$239=E277)*('Cashflow Summary C19RM'!$W$5:$W$239)))</f>
        <v>0</v>
      </c>
      <c r="O277" s="630" cm="1">
        <f t="array" ref="O277">$L277*(SUMPRODUCT(('Cashflow Summary C19RM'!$K$5:$K$239&lt;&gt;1)*('Cashflow Summary C19RM'!$D$5:$D$239=E277)*('Cashflow Summary C19RM'!$X$5:$X$239)))</f>
        <v>0</v>
      </c>
      <c r="P277" s="630" cm="1">
        <f t="array" ref="P277">$L277*(SUMPRODUCT(('Cashflow Summary C19RM'!$K$5:$K$239&lt;&gt;1)*('Cashflow Summary C19RM'!$D$5:$D$239=E277)*('Cashflow Summary C19RM'!$Y$5:$Y$239)))</f>
        <v>0</v>
      </c>
      <c r="Q277" s="632">
        <f t="shared" si="116"/>
        <v>0</v>
      </c>
      <c r="R277" s="686">
        <f t="shared" si="117"/>
        <v>0</v>
      </c>
      <c r="S277" s="633" cm="1">
        <f t="array" ref="S277">$R277*(SUMPRODUCT(('Cashflow Summary C19RM'!$K$5:$K$239&lt;&gt;1)*('Cashflow Summary C19RM'!$D$5:$D$239=E277)*('Cashflow Summary C19RM'!$Z$5:$Z$239)))</f>
        <v>0</v>
      </c>
      <c r="T277" s="633" cm="1">
        <f t="array" ref="T277">$R277*(SUMPRODUCT(('Cashflow Summary C19RM'!$K$5:$K$239&lt;&gt;1)*('Cashflow Summary C19RM'!$D$5:$D$239=E277)*('Cashflow Summary C19RM'!$AA$5:$AA$239)))</f>
        <v>0</v>
      </c>
      <c r="U277" s="633" cm="1">
        <f t="array" ref="U277">$R277*(SUMPRODUCT(('Cashflow Summary C19RM'!$K$5:$K$239&lt;&gt;1)*('Cashflow Summary C19RM'!$D$5:$D$239=E277)*('Cashflow Summary C19RM'!$AB$5:$AB$239)))</f>
        <v>0</v>
      </c>
      <c r="V277" s="633" cm="1">
        <f t="array" ref="V277">$R277*(SUMPRODUCT(('Cashflow Summary C19RM'!$K$5:$K$239&lt;&gt;1)*('Cashflow Summary C19RM'!$D$5:$D$239=E277)*('Cashflow Summary C19RM'!$AC$5:$AC$239)))</f>
        <v>0</v>
      </c>
      <c r="W277" s="634">
        <f t="shared" si="118"/>
        <v>0</v>
      </c>
      <c r="X277" s="686">
        <f t="shared" si="119"/>
        <v>0</v>
      </c>
      <c r="Y277" s="633" cm="1">
        <f t="array" ref="Y277">$X277*(SUMPRODUCT(('Cashflow Summary C19RM'!$K$5:$K$239&lt;&gt;1)*('Cashflow Summary C19RM'!$D$5:$D$239=E277)*('Cashflow Summary C19RM'!$AD$5:$AD$239)))</f>
        <v>0</v>
      </c>
      <c r="Z277" s="633" cm="1">
        <f t="array" ref="Z277">$X277*(SUMPRODUCT(('Cashflow Summary C19RM'!$K$5:$K$239&lt;&gt;1)*('Cashflow Summary C19RM'!$D$5:$D$239=E277)*('Cashflow Summary C19RM'!$AE$5:$AE$239)))</f>
        <v>0</v>
      </c>
      <c r="AA277" s="633" cm="1">
        <f t="array" ref="AA277">$X277*(SUMPRODUCT(('Cashflow Summary C19RM'!$K$5:$K$239&lt;&gt;1)*('Cashflow Summary C19RM'!$D$5:$D$239=E277)*('Cashflow Summary C19RM'!$AF$5:$AF$239)))</f>
        <v>0</v>
      </c>
      <c r="AB277" s="630" cm="1">
        <f t="array" ref="AB277">$X277*(SUMPRODUCT(('Cashflow Summary C19RM'!$K$5:$K$239&lt;&gt;1)*('Cashflow Summary C19RM'!$D$5:$D$239=E277)*('Cashflow Summary C19RM'!$AG$5:$AG$239)))</f>
        <v>0</v>
      </c>
      <c r="AC277" s="634">
        <f t="shared" si="120"/>
        <v>0</v>
      </c>
      <c r="AD277" s="686">
        <f t="shared" si="121"/>
        <v>0</v>
      </c>
      <c r="AE277" s="628" cm="1">
        <f t="array" ref="AE277">$AD277*(SUMPRODUCT(('Cashflow Summary C19RM'!$K$5:$K$239&lt;&gt;1)*('Cashflow Summary C19RM'!$D$5:$D$239=E277)*('Cashflow Summary C19RM'!$AH$5:$AH$239)))</f>
        <v>0</v>
      </c>
      <c r="AF277" s="633" cm="1">
        <f t="array" ref="AF277">$AD277*(SUMPRODUCT(('Cashflow Summary C19RM'!$K$5:$K$239&lt;&gt;1)*('Cashflow Summary C19RM'!$D$5:$D$239=E277)*('Cashflow Summary C19RM'!$AI$5:$AI$239)))</f>
        <v>0</v>
      </c>
      <c r="AG277" s="633" cm="1">
        <f t="array" ref="AG277">$AD277*(SUMPRODUCT(('Cashflow Summary C19RM'!$K$5:$K$239&lt;&gt;1)*('Cashflow Summary C19RM'!$D$5:$D$239=E277)*('Cashflow Summary C19RM'!$AJ$5:$AJ$239)))</f>
        <v>0</v>
      </c>
      <c r="AH277" s="633" cm="1">
        <f t="array" ref="AH277">$AD277*(SUMPRODUCT(('Cashflow Summary C19RM'!$K$5:$K$239&lt;&gt;1)*('Cashflow Summary C19RM'!$D$5:$D$239=E277)*('Cashflow Summary C19RM'!$AK$5:$AO$239)))</f>
        <v>0</v>
      </c>
      <c r="AI277" s="634">
        <f t="shared" si="122"/>
        <v>0</v>
      </c>
      <c r="AJ277" s="875">
        <v>0</v>
      </c>
      <c r="AK277" s="872"/>
      <c r="AL277" s="873"/>
      <c r="AM277" s="873"/>
      <c r="AN277" s="873"/>
      <c r="AO277" s="874"/>
      <c r="AP277" s="635">
        <f t="shared" ref="AP277:AP290" si="129">K277+Q277+W277+AC277+AI277</f>
        <v>0</v>
      </c>
      <c r="AQ277" s="636">
        <v>7.5</v>
      </c>
      <c r="AR277" s="707"/>
      <c r="AS277" s="310"/>
      <c r="AV277" s="228">
        <f t="shared" si="123"/>
        <v>0</v>
      </c>
      <c r="AW277" s="228">
        <f t="shared" si="124"/>
        <v>0</v>
      </c>
      <c r="AX277" s="228">
        <f t="shared" si="125"/>
        <v>0</v>
      </c>
      <c r="AY277" s="228">
        <f t="shared" si="126"/>
        <v>0</v>
      </c>
      <c r="AZ277" s="228">
        <f t="shared" si="127"/>
        <v>0</v>
      </c>
      <c r="BA277" s="228"/>
      <c r="BC277" s="345" cm="1">
        <f t="array" ref="BC277">IF(BM277&gt;=1,0,IFERROR(SUMPRODUCT(($G$11:$AH$11=$BC$16)*($G277:$AH277)),0))</f>
        <v>0</v>
      </c>
      <c r="BD277" s="345" cm="1">
        <f t="array" ref="BD277">IF(BM277&gt;=1,0,IFERROR(SUMPRODUCT(($G$11:$AH$11=$BD$16)*($G277:$AH277)),0))</f>
        <v>0</v>
      </c>
      <c r="BE277" s="345" cm="1">
        <f t="array" ref="BE277">IF(BM277&gt;=1,0,IFERROR(SUMPRODUCT(($G$11:$AH$11=$BE$16)*($G277:$AH277)),0))</f>
        <v>0</v>
      </c>
      <c r="BF277" s="345" cm="1">
        <f t="array" ref="BF277">IF(BM277&gt;=1,0,IFERROR(SUMPRODUCT(($G$11:$AH$11=$BF$16)*($G277:$AH277)),0))</f>
        <v>0</v>
      </c>
      <c r="BG277" s="345" cm="1">
        <f t="array" ref="BG277">IF(BM277&gt;=1,0,IFERROR(SUMPRODUCT(($G$11:$AH$11=$BG$16)*($G277:$AH277)),0))</f>
        <v>0</v>
      </c>
      <c r="BH277" s="345"/>
      <c r="BI277" s="343">
        <f t="shared" ref="BI277:BI290" si="130">SUM(BC277:BG277)</f>
        <v>0</v>
      </c>
      <c r="BJ277" s="229" t="s">
        <v>83</v>
      </c>
      <c r="BK277" cm="1">
        <f t="array" ref="BK277">(SUMPRODUCT(('Cashflow Summary C19RM'!$D$5:$D$451=E277)*('Cashflow Summary C19RM'!$BD$5:$BD$451)))</f>
        <v>0</v>
      </c>
      <c r="BL277" cm="1">
        <f t="array" ref="BL277">(SUMPRODUCT((SETUP!$D$20:$D$67=E277)*(SETUP!$R$20:$R$67)))</f>
        <v>0</v>
      </c>
      <c r="BM277" s="89">
        <f t="shared" si="128"/>
        <v>0</v>
      </c>
    </row>
    <row r="278" spans="2:97" s="89" customFormat="1" ht="15" customHeight="1" x14ac:dyDescent="0.35">
      <c r="B278" s="211" t="s">
        <v>748</v>
      </c>
      <c r="C278" s="699" t="s">
        <v>2750</v>
      </c>
      <c r="D278" s="1314"/>
      <c r="E278" s="1010" t="s">
        <v>15</v>
      </c>
      <c r="F278" s="697">
        <v>0</v>
      </c>
      <c r="G278" s="628" cm="1">
        <f t="array" ref="G278">$F278*(SUMPRODUCT(('Cashflow Summary C19RM'!$K$5:$K$239&lt;&gt;1)*('Cashflow Summary C19RM'!$D$5:$D$239=E278)*('Cashflow Summary C19RM'!$R$5:$R$239)))</f>
        <v>0</v>
      </c>
      <c r="H278" s="629" cm="1">
        <f t="array" ref="H278">$F278*(SUMPRODUCT(('Cashflow Summary C19RM'!$K$5:$K$239&lt;&gt;1)*('Cashflow Summary C19RM'!$D$5:$D$239=E278)*('Cashflow Summary C19RM'!$S$5:$S$239)))</f>
        <v>0</v>
      </c>
      <c r="I278" s="630" cm="1">
        <f t="array" ref="I278">$F278*(SUMPRODUCT(('Cashflow Summary C19RM'!$K$5:$K$239&lt;&gt;1)*('Cashflow Summary C19RM'!$D$5:$D$239=E278)*('Cashflow Summary C19RM'!$T$5:$T$239)))</f>
        <v>0</v>
      </c>
      <c r="J278" s="630" cm="1">
        <f t="array" ref="J278">$F278*(SUMPRODUCT(('Cashflow Summary C19RM'!$K$5:$K$239&lt;&gt;1)*('Cashflow Summary C19RM'!$D$5:$D$239=E278)*('Cashflow Summary C19RM'!$U$5:$U$239)))</f>
        <v>0</v>
      </c>
      <c r="K278" s="631">
        <f t="shared" si="114"/>
        <v>0</v>
      </c>
      <c r="L278" s="686">
        <f t="shared" si="115"/>
        <v>0</v>
      </c>
      <c r="M278" s="630" cm="1">
        <f t="array" ref="M278">$L278*(SUMPRODUCT(('Cashflow Summary C19RM'!$K$5:$K$239&lt;&gt;1)*('Cashflow Summary C19RM'!$D$5:$D$239=E278)*('Cashflow Summary C19RM'!$V$5:$V$239)))</f>
        <v>0</v>
      </c>
      <c r="N278" s="630" cm="1">
        <f t="array" ref="N278">$L278*(SUMPRODUCT(('Cashflow Summary C19RM'!$K$5:$K$239&lt;&gt;1)*('Cashflow Summary C19RM'!$D$5:$D$239=E278)*('Cashflow Summary C19RM'!$W$5:$W$239)))</f>
        <v>0</v>
      </c>
      <c r="O278" s="630" cm="1">
        <f t="array" ref="O278">$L278*(SUMPRODUCT(('Cashflow Summary C19RM'!$K$5:$K$239&lt;&gt;1)*('Cashflow Summary C19RM'!$D$5:$D$239=E278)*('Cashflow Summary C19RM'!$X$5:$X$239)))</f>
        <v>0</v>
      </c>
      <c r="P278" s="630" cm="1">
        <f t="array" ref="P278">$L278*(SUMPRODUCT(('Cashflow Summary C19RM'!$K$5:$K$239&lt;&gt;1)*('Cashflow Summary C19RM'!$D$5:$D$239=E278)*('Cashflow Summary C19RM'!$Y$5:$Y$239)))</f>
        <v>0</v>
      </c>
      <c r="Q278" s="632">
        <f t="shared" si="116"/>
        <v>0</v>
      </c>
      <c r="R278" s="686">
        <f t="shared" si="117"/>
        <v>0</v>
      </c>
      <c r="S278" s="633" cm="1">
        <f t="array" ref="S278">$R278*(SUMPRODUCT(('Cashflow Summary C19RM'!$K$5:$K$239&lt;&gt;1)*('Cashflow Summary C19RM'!$D$5:$D$239=E278)*('Cashflow Summary C19RM'!$Z$5:$Z$239)))</f>
        <v>0</v>
      </c>
      <c r="T278" s="633" cm="1">
        <f t="array" ref="T278">$R278*(SUMPRODUCT(('Cashflow Summary C19RM'!$K$5:$K$239&lt;&gt;1)*('Cashflow Summary C19RM'!$D$5:$D$239=E278)*('Cashflow Summary C19RM'!$AA$5:$AA$239)))</f>
        <v>0</v>
      </c>
      <c r="U278" s="633" cm="1">
        <f t="array" ref="U278">$R278*(SUMPRODUCT(('Cashflow Summary C19RM'!$K$5:$K$239&lt;&gt;1)*('Cashflow Summary C19RM'!$D$5:$D$239=E278)*('Cashflow Summary C19RM'!$AB$5:$AB$239)))</f>
        <v>0</v>
      </c>
      <c r="V278" s="633" cm="1">
        <f t="array" ref="V278">$R278*(SUMPRODUCT(('Cashflow Summary C19RM'!$K$5:$K$239&lt;&gt;1)*('Cashflow Summary C19RM'!$D$5:$D$239=E278)*('Cashflow Summary C19RM'!$AC$5:$AC$239)))</f>
        <v>0</v>
      </c>
      <c r="W278" s="634">
        <f t="shared" si="118"/>
        <v>0</v>
      </c>
      <c r="X278" s="686">
        <f t="shared" si="119"/>
        <v>0</v>
      </c>
      <c r="Y278" s="633" cm="1">
        <f t="array" ref="Y278">$X278*(SUMPRODUCT(('Cashflow Summary C19RM'!$K$5:$K$239&lt;&gt;1)*('Cashflow Summary C19RM'!$D$5:$D$239=E278)*('Cashflow Summary C19RM'!$AD$5:$AD$239)))</f>
        <v>0</v>
      </c>
      <c r="Z278" s="633" cm="1">
        <f t="array" ref="Z278">$X278*(SUMPRODUCT(('Cashflow Summary C19RM'!$K$5:$K$239&lt;&gt;1)*('Cashflow Summary C19RM'!$D$5:$D$239=E278)*('Cashflow Summary C19RM'!$AE$5:$AE$239)))</f>
        <v>0</v>
      </c>
      <c r="AA278" s="633" cm="1">
        <f t="array" ref="AA278">$X278*(SUMPRODUCT(('Cashflow Summary C19RM'!$K$5:$K$239&lt;&gt;1)*('Cashflow Summary C19RM'!$D$5:$D$239=E278)*('Cashflow Summary C19RM'!$AF$5:$AF$239)))</f>
        <v>0</v>
      </c>
      <c r="AB278" s="630" cm="1">
        <f t="array" ref="AB278">$X278*(SUMPRODUCT(('Cashflow Summary C19RM'!$K$5:$K$239&lt;&gt;1)*('Cashflow Summary C19RM'!$D$5:$D$239=E278)*('Cashflow Summary C19RM'!$AG$5:$AG$239)))</f>
        <v>0</v>
      </c>
      <c r="AC278" s="634">
        <f t="shared" si="120"/>
        <v>0</v>
      </c>
      <c r="AD278" s="686">
        <f t="shared" si="121"/>
        <v>0</v>
      </c>
      <c r="AE278" s="628" cm="1">
        <f t="array" ref="AE278">$AD278*(SUMPRODUCT(('Cashflow Summary C19RM'!$K$5:$K$239&lt;&gt;1)*('Cashflow Summary C19RM'!$D$5:$D$239=E278)*('Cashflow Summary C19RM'!$AH$5:$AH$239)))</f>
        <v>0</v>
      </c>
      <c r="AF278" s="633" cm="1">
        <f t="array" ref="AF278">$AD278*(SUMPRODUCT(('Cashflow Summary C19RM'!$K$5:$K$239&lt;&gt;1)*('Cashflow Summary C19RM'!$D$5:$D$239=E278)*('Cashflow Summary C19RM'!$AI$5:$AI$239)))</f>
        <v>0</v>
      </c>
      <c r="AG278" s="633" cm="1">
        <f t="array" ref="AG278">$AD278*(SUMPRODUCT(('Cashflow Summary C19RM'!$K$5:$K$239&lt;&gt;1)*('Cashflow Summary C19RM'!$D$5:$D$239=E278)*('Cashflow Summary C19RM'!$AJ$5:$AJ$239)))</f>
        <v>0</v>
      </c>
      <c r="AH278" s="633" cm="1">
        <f t="array" ref="AH278">$AD278*(SUMPRODUCT(('Cashflow Summary C19RM'!$K$5:$K$239&lt;&gt;1)*('Cashflow Summary C19RM'!$D$5:$D$239=E278)*('Cashflow Summary C19RM'!$AK$5:$AO$239)))</f>
        <v>0</v>
      </c>
      <c r="AI278" s="634">
        <f t="shared" si="122"/>
        <v>0</v>
      </c>
      <c r="AJ278" s="875">
        <v>0</v>
      </c>
      <c r="AK278" s="872"/>
      <c r="AL278" s="873"/>
      <c r="AM278" s="873"/>
      <c r="AN278" s="873"/>
      <c r="AO278" s="874"/>
      <c r="AP278" s="635">
        <f t="shared" si="129"/>
        <v>0</v>
      </c>
      <c r="AQ278" s="636">
        <v>7.5</v>
      </c>
      <c r="AR278" s="707"/>
      <c r="AS278" s="310"/>
      <c r="AV278" s="228">
        <f t="shared" si="123"/>
        <v>0</v>
      </c>
      <c r="AW278" s="228">
        <f t="shared" si="124"/>
        <v>0</v>
      </c>
      <c r="AX278" s="228">
        <f t="shared" si="125"/>
        <v>0</v>
      </c>
      <c r="AY278" s="228">
        <f t="shared" si="126"/>
        <v>0</v>
      </c>
      <c r="AZ278" s="228">
        <f t="shared" si="127"/>
        <v>0</v>
      </c>
      <c r="BA278" s="228"/>
      <c r="BC278" s="345" cm="1">
        <f t="array" ref="BC278">IF(BM278&gt;=1,0,IFERROR(SUMPRODUCT(($G$11:$AH$11=$BC$16)*($G278:$AH278)),0))</f>
        <v>0</v>
      </c>
      <c r="BD278" s="345" cm="1">
        <f t="array" ref="BD278">IF(BM278&gt;=1,0,IFERROR(SUMPRODUCT(($G$11:$AH$11=$BD$16)*($G278:$AH278)),0))</f>
        <v>0</v>
      </c>
      <c r="BE278" s="345" cm="1">
        <f t="array" ref="BE278">IF(BM278&gt;=1,0,IFERROR(SUMPRODUCT(($G$11:$AH$11=$BE$16)*($G278:$AH278)),0))</f>
        <v>0</v>
      </c>
      <c r="BF278" s="345" cm="1">
        <f t="array" ref="BF278">IF(BM278&gt;=1,0,IFERROR(SUMPRODUCT(($G$11:$AH$11=$BF$16)*($G278:$AH278)),0))</f>
        <v>0</v>
      </c>
      <c r="BG278" s="345" cm="1">
        <f t="array" ref="BG278">IF(BM278&gt;=1,0,IFERROR(SUMPRODUCT(($G$11:$AH$11=$BG$16)*($G278:$AH278)),0))</f>
        <v>0</v>
      </c>
      <c r="BH278" s="345"/>
      <c r="BI278" s="343">
        <f t="shared" si="130"/>
        <v>0</v>
      </c>
      <c r="BJ278" s="230" t="s">
        <v>83</v>
      </c>
      <c r="BK278" cm="1">
        <f t="array" ref="BK278">(SUMPRODUCT(('Cashflow Summary C19RM'!$D$5:$D$451=E278)*('Cashflow Summary C19RM'!$BD$5:$BD$451)))</f>
        <v>0</v>
      </c>
      <c r="BL278" cm="1">
        <f t="array" ref="BL278">(SUMPRODUCT((SETUP!$D$20:$D$67=E278)*(SETUP!$R$20:$R$67)))</f>
        <v>0</v>
      </c>
      <c r="BM278" s="89">
        <f t="shared" si="128"/>
        <v>0</v>
      </c>
    </row>
    <row r="279" spans="2:97" s="89" customFormat="1" ht="15" customHeight="1" x14ac:dyDescent="0.35">
      <c r="B279" s="211" t="s">
        <v>748</v>
      </c>
      <c r="C279" s="699" t="s">
        <v>2750</v>
      </c>
      <c r="D279" s="1314"/>
      <c r="E279" s="1010" t="s">
        <v>13</v>
      </c>
      <c r="F279" s="697">
        <v>0</v>
      </c>
      <c r="G279" s="628" cm="1">
        <f t="array" ref="G279">$F279*(SUMPRODUCT(('Cashflow Summary C19RM'!$K$5:$K$239&lt;&gt;1)*('Cashflow Summary C19RM'!$D$5:$D$239=E279)*('Cashflow Summary C19RM'!$R$5:$R$239)))</f>
        <v>0</v>
      </c>
      <c r="H279" s="629" cm="1">
        <f t="array" ref="H279">$F279*(SUMPRODUCT(('Cashflow Summary C19RM'!$K$5:$K$239&lt;&gt;1)*('Cashflow Summary C19RM'!$D$5:$D$239=E279)*('Cashflow Summary C19RM'!$S$5:$S$239)))</f>
        <v>0</v>
      </c>
      <c r="I279" s="630" cm="1">
        <f t="array" ref="I279">$F279*(SUMPRODUCT(('Cashflow Summary C19RM'!$K$5:$K$239&lt;&gt;1)*('Cashflow Summary C19RM'!$D$5:$D$239=E279)*('Cashflow Summary C19RM'!$T$5:$T$239)))</f>
        <v>0</v>
      </c>
      <c r="J279" s="630" cm="1">
        <f t="array" ref="J279">$F279*(SUMPRODUCT(('Cashflow Summary C19RM'!$K$5:$K$239&lt;&gt;1)*('Cashflow Summary C19RM'!$D$5:$D$239=E279)*('Cashflow Summary C19RM'!$U$5:$U$239)))</f>
        <v>0</v>
      </c>
      <c r="K279" s="631">
        <f t="shared" si="114"/>
        <v>0</v>
      </c>
      <c r="L279" s="686">
        <f t="shared" si="115"/>
        <v>0</v>
      </c>
      <c r="M279" s="630" cm="1">
        <f t="array" ref="M279">$L279*(SUMPRODUCT(('Cashflow Summary C19RM'!$K$5:$K$239&lt;&gt;1)*('Cashflow Summary C19RM'!$D$5:$D$239=E279)*('Cashflow Summary C19RM'!$V$5:$V$239)))</f>
        <v>0</v>
      </c>
      <c r="N279" s="630" cm="1">
        <f t="array" ref="N279">$L279*(SUMPRODUCT(('Cashflow Summary C19RM'!$K$5:$K$239&lt;&gt;1)*('Cashflow Summary C19RM'!$D$5:$D$239=E279)*('Cashflow Summary C19RM'!$W$5:$W$239)))</f>
        <v>0</v>
      </c>
      <c r="O279" s="630" cm="1">
        <f t="array" ref="O279">$L279*(SUMPRODUCT(('Cashflow Summary C19RM'!$K$5:$K$239&lt;&gt;1)*('Cashflow Summary C19RM'!$D$5:$D$239=E279)*('Cashflow Summary C19RM'!$X$5:$X$239)))</f>
        <v>0</v>
      </c>
      <c r="P279" s="630" cm="1">
        <f t="array" ref="P279">$L279*(SUMPRODUCT(('Cashflow Summary C19RM'!$K$5:$K$239&lt;&gt;1)*('Cashflow Summary C19RM'!$D$5:$D$239=E279)*('Cashflow Summary C19RM'!$Y$5:$Y$239)))</f>
        <v>0</v>
      </c>
      <c r="Q279" s="632">
        <f t="shared" si="116"/>
        <v>0</v>
      </c>
      <c r="R279" s="686">
        <f t="shared" si="117"/>
        <v>0</v>
      </c>
      <c r="S279" s="633" cm="1">
        <f t="array" ref="S279">$R279*(SUMPRODUCT(('Cashflow Summary C19RM'!$K$5:$K$239&lt;&gt;1)*('Cashflow Summary C19RM'!$D$5:$D$239=E279)*('Cashflow Summary C19RM'!$Z$5:$Z$239)))</f>
        <v>0</v>
      </c>
      <c r="T279" s="633" cm="1">
        <f t="array" ref="T279">$R279*(SUMPRODUCT(('Cashflow Summary C19RM'!$K$5:$K$239&lt;&gt;1)*('Cashflow Summary C19RM'!$D$5:$D$239=E279)*('Cashflow Summary C19RM'!$AA$5:$AA$239)))</f>
        <v>0</v>
      </c>
      <c r="U279" s="633" cm="1">
        <f t="array" ref="U279">$R279*(SUMPRODUCT(('Cashflow Summary C19RM'!$K$5:$K$239&lt;&gt;1)*('Cashflow Summary C19RM'!$D$5:$D$239=E279)*('Cashflow Summary C19RM'!$AB$5:$AB$239)))</f>
        <v>0</v>
      </c>
      <c r="V279" s="633" cm="1">
        <f t="array" ref="V279">$R279*(SUMPRODUCT(('Cashflow Summary C19RM'!$K$5:$K$239&lt;&gt;1)*('Cashflow Summary C19RM'!$D$5:$D$239=E279)*('Cashflow Summary C19RM'!$AC$5:$AC$239)))</f>
        <v>0</v>
      </c>
      <c r="W279" s="634">
        <f t="shared" si="118"/>
        <v>0</v>
      </c>
      <c r="X279" s="686">
        <f t="shared" si="119"/>
        <v>0</v>
      </c>
      <c r="Y279" s="633" cm="1">
        <f t="array" ref="Y279">$X279*(SUMPRODUCT(('Cashflow Summary C19RM'!$K$5:$K$239&lt;&gt;1)*('Cashflow Summary C19RM'!$D$5:$D$239=E279)*('Cashflow Summary C19RM'!$AD$5:$AD$239)))</f>
        <v>0</v>
      </c>
      <c r="Z279" s="633" cm="1">
        <f t="array" ref="Z279">$X279*(SUMPRODUCT(('Cashflow Summary C19RM'!$K$5:$K$239&lt;&gt;1)*('Cashflow Summary C19RM'!$D$5:$D$239=E279)*('Cashflow Summary C19RM'!$AE$5:$AE$239)))</f>
        <v>0</v>
      </c>
      <c r="AA279" s="633" cm="1">
        <f t="array" ref="AA279">$X279*(SUMPRODUCT(('Cashflow Summary C19RM'!$K$5:$K$239&lt;&gt;1)*('Cashflow Summary C19RM'!$D$5:$D$239=E279)*('Cashflow Summary C19RM'!$AF$5:$AF$239)))</f>
        <v>0</v>
      </c>
      <c r="AB279" s="630" cm="1">
        <f t="array" ref="AB279">$X279*(SUMPRODUCT(('Cashflow Summary C19RM'!$K$5:$K$239&lt;&gt;1)*('Cashflow Summary C19RM'!$D$5:$D$239=E279)*('Cashflow Summary C19RM'!$AG$5:$AG$239)))</f>
        <v>0</v>
      </c>
      <c r="AC279" s="634">
        <f t="shared" si="120"/>
        <v>0</v>
      </c>
      <c r="AD279" s="686">
        <f t="shared" si="121"/>
        <v>0</v>
      </c>
      <c r="AE279" s="628" cm="1">
        <f t="array" ref="AE279">$AD279*(SUMPRODUCT(('Cashflow Summary C19RM'!$K$5:$K$239&lt;&gt;1)*('Cashflow Summary C19RM'!$D$5:$D$239=E279)*('Cashflow Summary C19RM'!$AH$5:$AH$239)))</f>
        <v>0</v>
      </c>
      <c r="AF279" s="633" cm="1">
        <f t="array" ref="AF279">$AD279*(SUMPRODUCT(('Cashflow Summary C19RM'!$K$5:$K$239&lt;&gt;1)*('Cashflow Summary C19RM'!$D$5:$D$239=E279)*('Cashflow Summary C19RM'!$AI$5:$AI$239)))</f>
        <v>0</v>
      </c>
      <c r="AG279" s="633" cm="1">
        <f t="array" ref="AG279">$AD279*(SUMPRODUCT(('Cashflow Summary C19RM'!$K$5:$K$239&lt;&gt;1)*('Cashflow Summary C19RM'!$D$5:$D$239=E279)*('Cashflow Summary C19RM'!$AJ$5:$AJ$239)))</f>
        <v>0</v>
      </c>
      <c r="AH279" s="633" cm="1">
        <f t="array" ref="AH279">$AD279*(SUMPRODUCT(('Cashflow Summary C19RM'!$K$5:$K$239&lt;&gt;1)*('Cashflow Summary C19RM'!$D$5:$D$239=E279)*('Cashflow Summary C19RM'!$AK$5:$AO$239)))</f>
        <v>0</v>
      </c>
      <c r="AI279" s="634">
        <f t="shared" si="122"/>
        <v>0</v>
      </c>
      <c r="AJ279" s="875">
        <v>0</v>
      </c>
      <c r="AK279" s="872"/>
      <c r="AL279" s="873"/>
      <c r="AM279" s="873"/>
      <c r="AN279" s="873"/>
      <c r="AO279" s="874"/>
      <c r="AP279" s="635">
        <f t="shared" si="129"/>
        <v>0</v>
      </c>
      <c r="AQ279" s="636">
        <v>7.5</v>
      </c>
      <c r="AR279" s="707"/>
      <c r="AS279" s="310"/>
      <c r="AV279" s="228">
        <f t="shared" si="123"/>
        <v>0</v>
      </c>
      <c r="AW279" s="228">
        <f t="shared" si="124"/>
        <v>0</v>
      </c>
      <c r="AX279" s="228">
        <f t="shared" si="125"/>
        <v>0</v>
      </c>
      <c r="AY279" s="228">
        <f t="shared" si="126"/>
        <v>0</v>
      </c>
      <c r="AZ279" s="228">
        <f t="shared" si="127"/>
        <v>0</v>
      </c>
      <c r="BA279" s="228"/>
      <c r="BC279" s="345" cm="1">
        <f t="array" ref="BC279">IF(BM279&gt;=1,0,IFERROR(SUMPRODUCT(($G$11:$AH$11=$BC$16)*($G279:$AH279)),0))</f>
        <v>0</v>
      </c>
      <c r="BD279" s="345" cm="1">
        <f t="array" ref="BD279">IF(BM279&gt;=1,0,IFERROR(SUMPRODUCT(($G$11:$AH$11=$BD$16)*($G279:$AH279)),0))</f>
        <v>0</v>
      </c>
      <c r="BE279" s="345" cm="1">
        <f t="array" ref="BE279">IF(BM279&gt;=1,0,IFERROR(SUMPRODUCT(($G$11:$AH$11=$BE$16)*($G279:$AH279)),0))</f>
        <v>0</v>
      </c>
      <c r="BF279" s="345" cm="1">
        <f t="array" ref="BF279">IF(BM279&gt;=1,0,IFERROR(SUMPRODUCT(($G$11:$AH$11=$BF$16)*($G279:$AH279)),0))</f>
        <v>0</v>
      </c>
      <c r="BG279" s="345" cm="1">
        <f t="array" ref="BG279">IF(BM279&gt;=1,0,IFERROR(SUMPRODUCT(($G$11:$AH$11=$BG$16)*($G279:$AH279)),0))</f>
        <v>0</v>
      </c>
      <c r="BH279" s="345"/>
      <c r="BI279" s="343">
        <f t="shared" si="130"/>
        <v>0</v>
      </c>
      <c r="BJ279" s="230" t="s">
        <v>83</v>
      </c>
      <c r="BK279" cm="1">
        <f t="array" ref="BK279">(SUMPRODUCT(('Cashflow Summary C19RM'!$D$5:$D$451=E279)*('Cashflow Summary C19RM'!$BD$5:$BD$451)))</f>
        <v>0</v>
      </c>
      <c r="BL279" cm="1">
        <f t="array" ref="BL279">(SUMPRODUCT((SETUP!$D$20:$D$67=E279)*(SETUP!$R$20:$R$67)))</f>
        <v>0</v>
      </c>
      <c r="BM279" s="89">
        <f t="shared" si="128"/>
        <v>0</v>
      </c>
    </row>
    <row r="280" spans="2:97" s="89" customFormat="1" ht="15" customHeight="1" x14ac:dyDescent="0.35">
      <c r="B280" s="211" t="s">
        <v>748</v>
      </c>
      <c r="C280" s="699" t="s">
        <v>2750</v>
      </c>
      <c r="D280" s="1314"/>
      <c r="E280" s="1010" t="s">
        <v>17</v>
      </c>
      <c r="F280" s="697">
        <v>0</v>
      </c>
      <c r="G280" s="628" cm="1">
        <f t="array" ref="G280">$F280*(SUMPRODUCT(('Cashflow Summary C19RM'!$K$5:$K$239&lt;&gt;1)*('Cashflow Summary C19RM'!$D$5:$D$239=E280)*('Cashflow Summary C19RM'!$R$5:$R$239)))</f>
        <v>0</v>
      </c>
      <c r="H280" s="629" cm="1">
        <f t="array" ref="H280">$F280*(SUMPRODUCT(('Cashflow Summary C19RM'!$K$5:$K$239&lt;&gt;1)*('Cashflow Summary C19RM'!$D$5:$D$239=E280)*('Cashflow Summary C19RM'!$S$5:$S$239)))</f>
        <v>0</v>
      </c>
      <c r="I280" s="630" cm="1">
        <f t="array" ref="I280">$F280*(SUMPRODUCT(('Cashflow Summary C19RM'!$K$5:$K$239&lt;&gt;1)*('Cashflow Summary C19RM'!$D$5:$D$239=E280)*('Cashflow Summary C19RM'!$T$5:$T$239)))</f>
        <v>0</v>
      </c>
      <c r="J280" s="630" cm="1">
        <f t="array" ref="J280">$F280*(SUMPRODUCT(('Cashflow Summary C19RM'!$K$5:$K$239&lt;&gt;1)*('Cashflow Summary C19RM'!$D$5:$D$239=E280)*('Cashflow Summary C19RM'!$U$5:$U$239)))</f>
        <v>0</v>
      </c>
      <c r="K280" s="631">
        <f t="shared" si="114"/>
        <v>0</v>
      </c>
      <c r="L280" s="686">
        <f t="shared" si="115"/>
        <v>0</v>
      </c>
      <c r="M280" s="630" cm="1">
        <f t="array" ref="M280">$L280*(SUMPRODUCT(('Cashflow Summary C19RM'!$K$5:$K$239&lt;&gt;1)*('Cashflow Summary C19RM'!$D$5:$D$239=E280)*('Cashflow Summary C19RM'!$V$5:$V$239)))</f>
        <v>0</v>
      </c>
      <c r="N280" s="630" cm="1">
        <f t="array" ref="N280">$L280*(SUMPRODUCT(('Cashflow Summary C19RM'!$K$5:$K$239&lt;&gt;1)*('Cashflow Summary C19RM'!$D$5:$D$239=E280)*('Cashflow Summary C19RM'!$W$5:$W$239)))</f>
        <v>0</v>
      </c>
      <c r="O280" s="630" cm="1">
        <f t="array" ref="O280">$L280*(SUMPRODUCT(('Cashflow Summary C19RM'!$K$5:$K$239&lt;&gt;1)*('Cashflow Summary C19RM'!$D$5:$D$239=E280)*('Cashflow Summary C19RM'!$X$5:$X$239)))</f>
        <v>0</v>
      </c>
      <c r="P280" s="630" cm="1">
        <f t="array" ref="P280">$L280*(SUMPRODUCT(('Cashflow Summary C19RM'!$K$5:$K$239&lt;&gt;1)*('Cashflow Summary C19RM'!$D$5:$D$239=E280)*('Cashflow Summary C19RM'!$Y$5:$Y$239)))</f>
        <v>0</v>
      </c>
      <c r="Q280" s="632">
        <f t="shared" si="116"/>
        <v>0</v>
      </c>
      <c r="R280" s="686">
        <f t="shared" si="117"/>
        <v>0</v>
      </c>
      <c r="S280" s="633" cm="1">
        <f t="array" ref="S280">$R280*(SUMPRODUCT(('Cashflow Summary C19RM'!$K$5:$K$239&lt;&gt;1)*('Cashflow Summary C19RM'!$D$5:$D$239=E280)*('Cashflow Summary C19RM'!$Z$5:$Z$239)))</f>
        <v>0</v>
      </c>
      <c r="T280" s="633" cm="1">
        <f t="array" ref="T280">$R280*(SUMPRODUCT(('Cashflow Summary C19RM'!$K$5:$K$239&lt;&gt;1)*('Cashflow Summary C19RM'!$D$5:$D$239=E280)*('Cashflow Summary C19RM'!$AA$5:$AA$239)))</f>
        <v>0</v>
      </c>
      <c r="U280" s="633" cm="1">
        <f t="array" ref="U280">$R280*(SUMPRODUCT(('Cashflow Summary C19RM'!$K$5:$K$239&lt;&gt;1)*('Cashflow Summary C19RM'!$D$5:$D$239=E280)*('Cashflow Summary C19RM'!$AB$5:$AB$239)))</f>
        <v>0</v>
      </c>
      <c r="V280" s="633" cm="1">
        <f t="array" ref="V280">$R280*(SUMPRODUCT(('Cashflow Summary C19RM'!$K$5:$K$239&lt;&gt;1)*('Cashflow Summary C19RM'!$D$5:$D$239=E280)*('Cashflow Summary C19RM'!$AC$5:$AC$239)))</f>
        <v>0</v>
      </c>
      <c r="W280" s="634">
        <f t="shared" si="118"/>
        <v>0</v>
      </c>
      <c r="X280" s="686">
        <f t="shared" si="119"/>
        <v>0</v>
      </c>
      <c r="Y280" s="633" cm="1">
        <f t="array" ref="Y280">$X280*(SUMPRODUCT(('Cashflow Summary C19RM'!$K$5:$K$239&lt;&gt;1)*('Cashflow Summary C19RM'!$D$5:$D$239=E280)*('Cashflow Summary C19RM'!$AD$5:$AD$239)))</f>
        <v>0</v>
      </c>
      <c r="Z280" s="633" cm="1">
        <f t="array" ref="Z280">$X280*(SUMPRODUCT(('Cashflow Summary C19RM'!$K$5:$K$239&lt;&gt;1)*('Cashflow Summary C19RM'!$D$5:$D$239=E280)*('Cashflow Summary C19RM'!$AE$5:$AE$239)))</f>
        <v>0</v>
      </c>
      <c r="AA280" s="633" cm="1">
        <f t="array" ref="AA280">$X280*(SUMPRODUCT(('Cashflow Summary C19RM'!$K$5:$K$239&lt;&gt;1)*('Cashflow Summary C19RM'!$D$5:$D$239=E280)*('Cashflow Summary C19RM'!$AF$5:$AF$239)))</f>
        <v>0</v>
      </c>
      <c r="AB280" s="630" cm="1">
        <f t="array" ref="AB280">$X280*(SUMPRODUCT(('Cashflow Summary C19RM'!$K$5:$K$239&lt;&gt;1)*('Cashflow Summary C19RM'!$D$5:$D$239=E280)*('Cashflow Summary C19RM'!$AG$5:$AG$239)))</f>
        <v>0</v>
      </c>
      <c r="AC280" s="634">
        <f t="shared" si="120"/>
        <v>0</v>
      </c>
      <c r="AD280" s="686">
        <f t="shared" si="121"/>
        <v>0</v>
      </c>
      <c r="AE280" s="628" cm="1">
        <f t="array" ref="AE280">$AD280*(SUMPRODUCT(('Cashflow Summary C19RM'!$K$5:$K$239&lt;&gt;1)*('Cashflow Summary C19RM'!$D$5:$D$239=E280)*('Cashflow Summary C19RM'!$AH$5:$AH$239)))</f>
        <v>0</v>
      </c>
      <c r="AF280" s="633" cm="1">
        <f t="array" ref="AF280">$AD280*(SUMPRODUCT(('Cashflow Summary C19RM'!$K$5:$K$239&lt;&gt;1)*('Cashflow Summary C19RM'!$D$5:$D$239=E280)*('Cashflow Summary C19RM'!$AI$5:$AI$239)))</f>
        <v>0</v>
      </c>
      <c r="AG280" s="633" cm="1">
        <f t="array" ref="AG280">$AD280*(SUMPRODUCT(('Cashflow Summary C19RM'!$K$5:$K$239&lt;&gt;1)*('Cashflow Summary C19RM'!$D$5:$D$239=E280)*('Cashflow Summary C19RM'!$AJ$5:$AJ$239)))</f>
        <v>0</v>
      </c>
      <c r="AH280" s="633" cm="1">
        <f t="array" ref="AH280">$AD280*(SUMPRODUCT(('Cashflow Summary C19RM'!$K$5:$K$239&lt;&gt;1)*('Cashflow Summary C19RM'!$D$5:$D$239=E280)*('Cashflow Summary C19RM'!$AK$5:$AO$239)))</f>
        <v>0</v>
      </c>
      <c r="AI280" s="634">
        <f t="shared" si="122"/>
        <v>0</v>
      </c>
      <c r="AJ280" s="875">
        <v>0</v>
      </c>
      <c r="AK280" s="872"/>
      <c r="AL280" s="873"/>
      <c r="AM280" s="873"/>
      <c r="AN280" s="873"/>
      <c r="AO280" s="874"/>
      <c r="AP280" s="635">
        <f t="shared" si="129"/>
        <v>0</v>
      </c>
      <c r="AQ280" s="636">
        <v>7.5</v>
      </c>
      <c r="AR280" s="707"/>
      <c r="AS280" s="310"/>
      <c r="AV280" s="228">
        <f t="shared" si="123"/>
        <v>0</v>
      </c>
      <c r="AW280" s="228">
        <f t="shared" si="124"/>
        <v>0</v>
      </c>
      <c r="AX280" s="228">
        <f t="shared" si="125"/>
        <v>0</v>
      </c>
      <c r="AY280" s="228">
        <f t="shared" si="126"/>
        <v>0</v>
      </c>
      <c r="AZ280" s="228">
        <f t="shared" si="127"/>
        <v>0</v>
      </c>
      <c r="BA280" s="228"/>
      <c r="BC280" s="345" cm="1">
        <f t="array" ref="BC280">IF(BM280&gt;=1,0,IFERROR(SUMPRODUCT(($G$11:$AH$11=$BC$16)*($G280:$AH280)),0))</f>
        <v>0</v>
      </c>
      <c r="BD280" s="345" cm="1">
        <f t="array" ref="BD280">IF(BM280&gt;=1,0,IFERROR(SUMPRODUCT(($G$11:$AH$11=$BD$16)*($G280:$AH280)),0))</f>
        <v>0</v>
      </c>
      <c r="BE280" s="345" cm="1">
        <f t="array" ref="BE280">IF(BM280&gt;=1,0,IFERROR(SUMPRODUCT(($G$11:$AH$11=$BE$16)*($G280:$AH280)),0))</f>
        <v>0</v>
      </c>
      <c r="BF280" s="345" cm="1">
        <f t="array" ref="BF280">IF(BM280&gt;=1,0,IFERROR(SUMPRODUCT(($G$11:$AH$11=$BF$16)*($G280:$AH280)),0))</f>
        <v>0</v>
      </c>
      <c r="BG280" s="345" cm="1">
        <f t="array" ref="BG280">IF(BM280&gt;=1,0,IFERROR(SUMPRODUCT(($G$11:$AH$11=$BG$16)*($G280:$AH280)),0))</f>
        <v>0</v>
      </c>
      <c r="BH280" s="345"/>
      <c r="BI280" s="343">
        <f t="shared" si="130"/>
        <v>0</v>
      </c>
      <c r="BJ280" s="230" t="s">
        <v>83</v>
      </c>
      <c r="BK280" cm="1">
        <f t="array" ref="BK280">(SUMPRODUCT(('Cashflow Summary C19RM'!$D$5:$D$451=E280)*('Cashflow Summary C19RM'!$BD$5:$BD$451)))</f>
        <v>0</v>
      </c>
      <c r="BL280" cm="1">
        <f t="array" ref="BL280">(SUMPRODUCT((SETUP!$D$20:$D$67=E280)*(SETUP!$R$20:$R$67)))</f>
        <v>0</v>
      </c>
      <c r="BM280" s="89">
        <f t="shared" si="128"/>
        <v>0</v>
      </c>
    </row>
    <row r="281" spans="2:97" s="89" customFormat="1" ht="15" customHeight="1" x14ac:dyDescent="0.35">
      <c r="B281" s="211" t="s">
        <v>748</v>
      </c>
      <c r="C281" s="699" t="s">
        <v>2750</v>
      </c>
      <c r="D281" s="1314"/>
      <c r="E281" s="1010" t="s">
        <v>19</v>
      </c>
      <c r="F281" s="697">
        <v>0</v>
      </c>
      <c r="G281" s="628" cm="1">
        <f t="array" ref="G281">$F281*(SUMPRODUCT(('Cashflow Summary C19RM'!$K$5:$K$239&lt;&gt;1)*('Cashflow Summary C19RM'!$D$5:$D$239=E281)*('Cashflow Summary C19RM'!$R$5:$R$239)))</f>
        <v>0</v>
      </c>
      <c r="H281" s="629" cm="1">
        <f t="array" ref="H281">$F281*(SUMPRODUCT(('Cashflow Summary C19RM'!$K$5:$K$239&lt;&gt;1)*('Cashflow Summary C19RM'!$D$5:$D$239=E281)*('Cashflow Summary C19RM'!$S$5:$S$239)))</f>
        <v>0</v>
      </c>
      <c r="I281" s="630" cm="1">
        <f t="array" ref="I281">$F281*(SUMPRODUCT(('Cashflow Summary C19RM'!$K$5:$K$239&lt;&gt;1)*('Cashflow Summary C19RM'!$D$5:$D$239=E281)*('Cashflow Summary C19RM'!$T$5:$T$239)))</f>
        <v>0</v>
      </c>
      <c r="J281" s="630" cm="1">
        <f t="array" ref="J281">$F281*(SUMPRODUCT(('Cashflow Summary C19RM'!$K$5:$K$239&lt;&gt;1)*('Cashflow Summary C19RM'!$D$5:$D$239=E281)*('Cashflow Summary C19RM'!$U$5:$U$239)))</f>
        <v>0</v>
      </c>
      <c r="K281" s="631">
        <f t="shared" si="114"/>
        <v>0</v>
      </c>
      <c r="L281" s="686">
        <f t="shared" si="115"/>
        <v>0</v>
      </c>
      <c r="M281" s="630" cm="1">
        <f t="array" ref="M281">$L281*(SUMPRODUCT(('Cashflow Summary C19RM'!$K$5:$K$239&lt;&gt;1)*('Cashflow Summary C19RM'!$D$5:$D$239=E281)*('Cashflow Summary C19RM'!$V$5:$V$239)))</f>
        <v>0</v>
      </c>
      <c r="N281" s="630" cm="1">
        <f t="array" ref="N281">$L281*(SUMPRODUCT(('Cashflow Summary C19RM'!$K$5:$K$239&lt;&gt;1)*('Cashflow Summary C19RM'!$D$5:$D$239=E281)*('Cashflow Summary C19RM'!$W$5:$W$239)))</f>
        <v>0</v>
      </c>
      <c r="O281" s="630" cm="1">
        <f t="array" ref="O281">$L281*(SUMPRODUCT(('Cashflow Summary C19RM'!$K$5:$K$239&lt;&gt;1)*('Cashflow Summary C19RM'!$D$5:$D$239=E281)*('Cashflow Summary C19RM'!$X$5:$X$239)))</f>
        <v>0</v>
      </c>
      <c r="P281" s="630" cm="1">
        <f t="array" ref="P281">$L281*(SUMPRODUCT(('Cashflow Summary C19RM'!$K$5:$K$239&lt;&gt;1)*('Cashflow Summary C19RM'!$D$5:$D$239=E281)*('Cashflow Summary C19RM'!$Y$5:$Y$239)))</f>
        <v>0</v>
      </c>
      <c r="Q281" s="632">
        <f t="shared" si="116"/>
        <v>0</v>
      </c>
      <c r="R281" s="686">
        <f t="shared" si="117"/>
        <v>0</v>
      </c>
      <c r="S281" s="633" cm="1">
        <f t="array" ref="S281">$R281*(SUMPRODUCT(('Cashflow Summary C19RM'!$K$5:$K$239&lt;&gt;1)*('Cashflow Summary C19RM'!$D$5:$D$239=E281)*('Cashflow Summary C19RM'!$Z$5:$Z$239)))</f>
        <v>0</v>
      </c>
      <c r="T281" s="633" cm="1">
        <f t="array" ref="T281">$R281*(SUMPRODUCT(('Cashflow Summary C19RM'!$K$5:$K$239&lt;&gt;1)*('Cashflow Summary C19RM'!$D$5:$D$239=E281)*('Cashflow Summary C19RM'!$AA$5:$AA$239)))</f>
        <v>0</v>
      </c>
      <c r="U281" s="633" cm="1">
        <f t="array" ref="U281">$R281*(SUMPRODUCT(('Cashflow Summary C19RM'!$K$5:$K$239&lt;&gt;1)*('Cashflow Summary C19RM'!$D$5:$D$239=E281)*('Cashflow Summary C19RM'!$AB$5:$AB$239)))</f>
        <v>0</v>
      </c>
      <c r="V281" s="633" cm="1">
        <f t="array" ref="V281">$R281*(SUMPRODUCT(('Cashflow Summary C19RM'!$K$5:$K$239&lt;&gt;1)*('Cashflow Summary C19RM'!$D$5:$D$239=E281)*('Cashflow Summary C19RM'!$AC$5:$AC$239)))</f>
        <v>0</v>
      </c>
      <c r="W281" s="634">
        <f t="shared" si="118"/>
        <v>0</v>
      </c>
      <c r="X281" s="686">
        <f t="shared" si="119"/>
        <v>0</v>
      </c>
      <c r="Y281" s="633" cm="1">
        <f t="array" ref="Y281">$X281*(SUMPRODUCT(('Cashflow Summary C19RM'!$K$5:$K$239&lt;&gt;1)*('Cashflow Summary C19RM'!$D$5:$D$239=E281)*('Cashflow Summary C19RM'!$AD$5:$AD$239)))</f>
        <v>0</v>
      </c>
      <c r="Z281" s="633" cm="1">
        <f t="array" ref="Z281">$X281*(SUMPRODUCT(('Cashflow Summary C19RM'!$K$5:$K$239&lt;&gt;1)*('Cashflow Summary C19RM'!$D$5:$D$239=E281)*('Cashflow Summary C19RM'!$AE$5:$AE$239)))</f>
        <v>0</v>
      </c>
      <c r="AA281" s="633" cm="1">
        <f t="array" ref="AA281">$X281*(SUMPRODUCT(('Cashflow Summary C19RM'!$K$5:$K$239&lt;&gt;1)*('Cashflow Summary C19RM'!$D$5:$D$239=E281)*('Cashflow Summary C19RM'!$AF$5:$AF$239)))</f>
        <v>0</v>
      </c>
      <c r="AB281" s="630" cm="1">
        <f t="array" ref="AB281">$X281*(SUMPRODUCT(('Cashflow Summary C19RM'!$K$5:$K$239&lt;&gt;1)*('Cashflow Summary C19RM'!$D$5:$D$239=E281)*('Cashflow Summary C19RM'!$AG$5:$AG$239)))</f>
        <v>0</v>
      </c>
      <c r="AC281" s="634">
        <f t="shared" si="120"/>
        <v>0</v>
      </c>
      <c r="AD281" s="686">
        <f t="shared" si="121"/>
        <v>0</v>
      </c>
      <c r="AE281" s="628" cm="1">
        <f t="array" ref="AE281">$AD281*(SUMPRODUCT(('Cashflow Summary C19RM'!$K$5:$K$239&lt;&gt;1)*('Cashflow Summary C19RM'!$D$5:$D$239=E281)*('Cashflow Summary C19RM'!$AH$5:$AH$239)))</f>
        <v>0</v>
      </c>
      <c r="AF281" s="633" cm="1">
        <f t="array" ref="AF281">$AD281*(SUMPRODUCT(('Cashflow Summary C19RM'!$K$5:$K$239&lt;&gt;1)*('Cashflow Summary C19RM'!$D$5:$D$239=E281)*('Cashflow Summary C19RM'!$AI$5:$AI$239)))</f>
        <v>0</v>
      </c>
      <c r="AG281" s="633" cm="1">
        <f t="array" ref="AG281">$AD281*(SUMPRODUCT(('Cashflow Summary C19RM'!$K$5:$K$239&lt;&gt;1)*('Cashflow Summary C19RM'!$D$5:$D$239=E281)*('Cashflow Summary C19RM'!$AJ$5:$AJ$239)))</f>
        <v>0</v>
      </c>
      <c r="AH281" s="633" cm="1">
        <f t="array" ref="AH281">$AD281*(SUMPRODUCT(('Cashflow Summary C19RM'!$K$5:$K$239&lt;&gt;1)*('Cashflow Summary C19RM'!$D$5:$D$239=E281)*('Cashflow Summary C19RM'!$AK$5:$AO$239)))</f>
        <v>0</v>
      </c>
      <c r="AI281" s="634">
        <f t="shared" si="122"/>
        <v>0</v>
      </c>
      <c r="AJ281" s="875">
        <v>0</v>
      </c>
      <c r="AK281" s="872"/>
      <c r="AL281" s="873"/>
      <c r="AM281" s="873"/>
      <c r="AN281" s="873"/>
      <c r="AO281" s="874"/>
      <c r="AP281" s="635">
        <f t="shared" si="129"/>
        <v>0</v>
      </c>
      <c r="AQ281" s="636">
        <v>7.5</v>
      </c>
      <c r="AR281" s="707"/>
      <c r="AS281" s="310"/>
      <c r="AV281" s="228">
        <f t="shared" si="123"/>
        <v>0</v>
      </c>
      <c r="AW281" s="228">
        <f t="shared" si="124"/>
        <v>0</v>
      </c>
      <c r="AX281" s="228">
        <f t="shared" si="125"/>
        <v>0</v>
      </c>
      <c r="AY281" s="228">
        <f t="shared" si="126"/>
        <v>0</v>
      </c>
      <c r="AZ281" s="228">
        <f t="shared" si="127"/>
        <v>0</v>
      </c>
      <c r="BA281" s="228"/>
      <c r="BC281" s="345" cm="1">
        <f t="array" ref="BC281">IF(BM281&gt;=1,0,IFERROR(SUMPRODUCT(($G$11:$AH$11=$BC$16)*($G281:$AH281)),0))</f>
        <v>0</v>
      </c>
      <c r="BD281" s="345" cm="1">
        <f t="array" ref="BD281">IF(BM281&gt;=1,0,IFERROR(SUMPRODUCT(($G$11:$AH$11=$BD$16)*($G281:$AH281)),0))</f>
        <v>0</v>
      </c>
      <c r="BE281" s="345" cm="1">
        <f t="array" ref="BE281">IF(BM281&gt;=1,0,IFERROR(SUMPRODUCT(($G$11:$AH$11=$BE$16)*($G281:$AH281)),0))</f>
        <v>0</v>
      </c>
      <c r="BF281" s="345" cm="1">
        <f t="array" ref="BF281">IF(BM281&gt;=1,0,IFERROR(SUMPRODUCT(($G$11:$AH$11=$BF$16)*($G281:$AH281)),0))</f>
        <v>0</v>
      </c>
      <c r="BG281" s="345" cm="1">
        <f t="array" ref="BG281">IF(BM281&gt;=1,0,IFERROR(SUMPRODUCT(($G$11:$AH$11=$BG$16)*($G281:$AH281)),0))</f>
        <v>0</v>
      </c>
      <c r="BH281" s="345"/>
      <c r="BI281" s="343">
        <f t="shared" si="130"/>
        <v>0</v>
      </c>
      <c r="BJ281" s="230" t="s">
        <v>83</v>
      </c>
      <c r="BK281" cm="1">
        <f t="array" ref="BK281">(SUMPRODUCT(('Cashflow Summary C19RM'!$D$5:$D$451=E281)*('Cashflow Summary C19RM'!$BD$5:$BD$451)))</f>
        <v>0</v>
      </c>
      <c r="BL281" cm="1">
        <f t="array" ref="BL281">(SUMPRODUCT((SETUP!$D$20:$D$67=E281)*(SETUP!$R$20:$R$67)))</f>
        <v>0</v>
      </c>
      <c r="BM281" s="89">
        <f t="shared" si="128"/>
        <v>0</v>
      </c>
    </row>
    <row r="282" spans="2:97" s="89" customFormat="1" ht="15" customHeight="1" x14ac:dyDescent="0.35">
      <c r="B282" s="211" t="s">
        <v>748</v>
      </c>
      <c r="C282" s="699" t="s">
        <v>2750</v>
      </c>
      <c r="D282" s="1314"/>
      <c r="E282" s="1010" t="s">
        <v>122</v>
      </c>
      <c r="F282" s="697">
        <v>0</v>
      </c>
      <c r="G282" s="628" cm="1">
        <f t="array" ref="G282">$F282*(SUMPRODUCT(('Cashflow Summary C19RM'!$K$5:$K$239&lt;&gt;1)*('Cashflow Summary C19RM'!$D$5:$D$239=E282)*('Cashflow Summary C19RM'!$R$5:$R$239)))</f>
        <v>0</v>
      </c>
      <c r="H282" s="629" cm="1">
        <f t="array" ref="H282">$F282*(SUMPRODUCT(('Cashflow Summary C19RM'!$K$5:$K$239&lt;&gt;1)*('Cashflow Summary C19RM'!$D$5:$D$239=E282)*('Cashflow Summary C19RM'!$S$5:$S$239)))</f>
        <v>0</v>
      </c>
      <c r="I282" s="630" cm="1">
        <f t="array" ref="I282">$F282*(SUMPRODUCT(('Cashflow Summary C19RM'!$K$5:$K$239&lt;&gt;1)*('Cashflow Summary C19RM'!$D$5:$D$239=E282)*('Cashflow Summary C19RM'!$T$5:$T$239)))</f>
        <v>0</v>
      </c>
      <c r="J282" s="630" cm="1">
        <f t="array" ref="J282">$F282*(SUMPRODUCT(('Cashflow Summary C19RM'!$K$5:$K$239&lt;&gt;1)*('Cashflow Summary C19RM'!$D$5:$D$239=E282)*('Cashflow Summary C19RM'!$U$5:$U$239)))</f>
        <v>0</v>
      </c>
      <c r="K282" s="631">
        <f t="shared" si="114"/>
        <v>0</v>
      </c>
      <c r="L282" s="686">
        <f t="shared" si="115"/>
        <v>0</v>
      </c>
      <c r="M282" s="630" cm="1">
        <f t="array" ref="M282">$L282*(SUMPRODUCT(('Cashflow Summary C19RM'!$K$5:$K$239&lt;&gt;1)*('Cashflow Summary C19RM'!$D$5:$D$239=E282)*('Cashflow Summary C19RM'!$V$5:$V$239)))</f>
        <v>0</v>
      </c>
      <c r="N282" s="630" cm="1">
        <f t="array" ref="N282">$L282*(SUMPRODUCT(('Cashflow Summary C19RM'!$K$5:$K$239&lt;&gt;1)*('Cashflow Summary C19RM'!$D$5:$D$239=E282)*('Cashflow Summary C19RM'!$W$5:$W$239)))</f>
        <v>0</v>
      </c>
      <c r="O282" s="630" cm="1">
        <f t="array" ref="O282">$L282*(SUMPRODUCT(('Cashflow Summary C19RM'!$K$5:$K$239&lt;&gt;1)*('Cashflow Summary C19RM'!$D$5:$D$239=E282)*('Cashflow Summary C19RM'!$X$5:$X$239)))</f>
        <v>0</v>
      </c>
      <c r="P282" s="630" cm="1">
        <f t="array" ref="P282">$L282*(SUMPRODUCT(('Cashflow Summary C19RM'!$K$5:$K$239&lt;&gt;1)*('Cashflow Summary C19RM'!$D$5:$D$239=E282)*('Cashflow Summary C19RM'!$Y$5:$Y$239)))</f>
        <v>0</v>
      </c>
      <c r="Q282" s="632">
        <f t="shared" si="116"/>
        <v>0</v>
      </c>
      <c r="R282" s="686">
        <f t="shared" si="117"/>
        <v>0</v>
      </c>
      <c r="S282" s="633" cm="1">
        <f t="array" ref="S282">$R282*(SUMPRODUCT(('Cashflow Summary C19RM'!$K$5:$K$239&lt;&gt;1)*('Cashflow Summary C19RM'!$D$5:$D$239=E282)*('Cashflow Summary C19RM'!$Z$5:$Z$239)))</f>
        <v>0</v>
      </c>
      <c r="T282" s="633" cm="1">
        <f t="array" ref="T282">$R282*(SUMPRODUCT(('Cashflow Summary C19RM'!$K$5:$K$239&lt;&gt;1)*('Cashflow Summary C19RM'!$D$5:$D$239=E282)*('Cashflow Summary C19RM'!$AA$5:$AA$239)))</f>
        <v>0</v>
      </c>
      <c r="U282" s="633" cm="1">
        <f t="array" ref="U282">$R282*(SUMPRODUCT(('Cashflow Summary C19RM'!$K$5:$K$239&lt;&gt;1)*('Cashflow Summary C19RM'!$D$5:$D$239=E282)*('Cashflow Summary C19RM'!$AB$5:$AB$239)))</f>
        <v>0</v>
      </c>
      <c r="V282" s="633" cm="1">
        <f t="array" ref="V282">$R282*(SUMPRODUCT(('Cashflow Summary C19RM'!$K$5:$K$239&lt;&gt;1)*('Cashflow Summary C19RM'!$D$5:$D$239=E282)*('Cashflow Summary C19RM'!$AC$5:$AC$239)))</f>
        <v>0</v>
      </c>
      <c r="W282" s="634">
        <f t="shared" si="118"/>
        <v>0</v>
      </c>
      <c r="X282" s="686">
        <f t="shared" si="119"/>
        <v>0</v>
      </c>
      <c r="Y282" s="633" cm="1">
        <f t="array" ref="Y282">$X282*(SUMPRODUCT(('Cashflow Summary C19RM'!$K$5:$K$239&lt;&gt;1)*('Cashflow Summary C19RM'!$D$5:$D$239=E282)*('Cashflow Summary C19RM'!$AD$5:$AD$239)))</f>
        <v>0</v>
      </c>
      <c r="Z282" s="633" cm="1">
        <f t="array" ref="Z282">$X282*(SUMPRODUCT(('Cashflow Summary C19RM'!$K$5:$K$239&lt;&gt;1)*('Cashflow Summary C19RM'!$D$5:$D$239=E282)*('Cashflow Summary C19RM'!$AE$5:$AE$239)))</f>
        <v>0</v>
      </c>
      <c r="AA282" s="633" cm="1">
        <f t="array" ref="AA282">$X282*(SUMPRODUCT(('Cashflow Summary C19RM'!$K$5:$K$239&lt;&gt;1)*('Cashflow Summary C19RM'!$D$5:$D$239=E282)*('Cashflow Summary C19RM'!$AF$5:$AF$239)))</f>
        <v>0</v>
      </c>
      <c r="AB282" s="630" cm="1">
        <f t="array" ref="AB282">$X282*(SUMPRODUCT(('Cashflow Summary C19RM'!$K$5:$K$239&lt;&gt;1)*('Cashflow Summary C19RM'!$D$5:$D$239=E282)*('Cashflow Summary C19RM'!$AG$5:$AG$239)))</f>
        <v>0</v>
      </c>
      <c r="AC282" s="634">
        <f t="shared" si="120"/>
        <v>0</v>
      </c>
      <c r="AD282" s="686">
        <f t="shared" si="121"/>
        <v>0</v>
      </c>
      <c r="AE282" s="628" cm="1">
        <f t="array" ref="AE282">$AD282*(SUMPRODUCT(('Cashflow Summary C19RM'!$K$5:$K$239&lt;&gt;1)*('Cashflow Summary C19RM'!$D$5:$D$239=E282)*('Cashflow Summary C19RM'!$AH$5:$AH$239)))</f>
        <v>0</v>
      </c>
      <c r="AF282" s="633" cm="1">
        <f t="array" ref="AF282">$AD282*(SUMPRODUCT(('Cashflow Summary C19RM'!$K$5:$K$239&lt;&gt;1)*('Cashflow Summary C19RM'!$D$5:$D$239=E282)*('Cashflow Summary C19RM'!$AI$5:$AI$239)))</f>
        <v>0</v>
      </c>
      <c r="AG282" s="633" cm="1">
        <f t="array" ref="AG282">$AD282*(SUMPRODUCT(('Cashflow Summary C19RM'!$K$5:$K$239&lt;&gt;1)*('Cashflow Summary C19RM'!$D$5:$D$239=E282)*('Cashflow Summary C19RM'!$AJ$5:$AJ$239)))</f>
        <v>0</v>
      </c>
      <c r="AH282" s="633" cm="1">
        <f t="array" ref="AH282">$AD282*(SUMPRODUCT(('Cashflow Summary C19RM'!$K$5:$K$239&lt;&gt;1)*('Cashflow Summary C19RM'!$D$5:$D$239=E282)*('Cashflow Summary C19RM'!$AK$5:$AO$239)))</f>
        <v>0</v>
      </c>
      <c r="AI282" s="634">
        <f t="shared" si="122"/>
        <v>0</v>
      </c>
      <c r="AJ282" s="875">
        <v>0</v>
      </c>
      <c r="AK282" s="872"/>
      <c r="AL282" s="873"/>
      <c r="AM282" s="873"/>
      <c r="AN282" s="873"/>
      <c r="AO282" s="874"/>
      <c r="AP282" s="635">
        <f t="shared" si="129"/>
        <v>0</v>
      </c>
      <c r="AQ282" s="636">
        <v>7.5</v>
      </c>
      <c r="AR282" s="707"/>
      <c r="AS282" s="310"/>
      <c r="AV282" s="228">
        <f t="shared" si="123"/>
        <v>0</v>
      </c>
      <c r="AW282" s="228">
        <f t="shared" si="124"/>
        <v>0</v>
      </c>
      <c r="AX282" s="228">
        <f t="shared" si="125"/>
        <v>0</v>
      </c>
      <c r="AY282" s="228">
        <f t="shared" si="126"/>
        <v>0</v>
      </c>
      <c r="AZ282" s="228">
        <f t="shared" si="127"/>
        <v>0</v>
      </c>
      <c r="BA282" s="228"/>
      <c r="BC282" s="345" cm="1">
        <f t="array" ref="BC282">IF(BM282&gt;=1,0,IFERROR(SUMPRODUCT(($G$11:$AH$11=$BC$16)*($G282:$AH282)),0))</f>
        <v>0</v>
      </c>
      <c r="BD282" s="345" cm="1">
        <f t="array" ref="BD282">IF(BM282&gt;=1,0,IFERROR(SUMPRODUCT(($G$11:$AH$11=$BD$16)*($G282:$AH282)),0))</f>
        <v>0</v>
      </c>
      <c r="BE282" s="345" cm="1">
        <f t="array" ref="BE282">IF(BM282&gt;=1,0,IFERROR(SUMPRODUCT(($G$11:$AH$11=$BE$16)*($G282:$AH282)),0))</f>
        <v>0</v>
      </c>
      <c r="BF282" s="345" cm="1">
        <f t="array" ref="BF282">IF(BM282&gt;=1,0,IFERROR(SUMPRODUCT(($G$11:$AH$11=$BF$16)*($G282:$AH282)),0))</f>
        <v>0</v>
      </c>
      <c r="BG282" s="345" cm="1">
        <f t="array" ref="BG282">IF(BM282&gt;=1,0,IFERROR(SUMPRODUCT(($G$11:$AH$11=$BG$16)*($G282:$AH282)),0))</f>
        <v>0</v>
      </c>
      <c r="BH282" s="345"/>
      <c r="BI282" s="343">
        <f t="shared" si="130"/>
        <v>0</v>
      </c>
      <c r="BJ282" s="230" t="s">
        <v>83</v>
      </c>
      <c r="BK282" cm="1">
        <f t="array" ref="BK282">(SUMPRODUCT(('Cashflow Summary C19RM'!$D$5:$D$451=E282)*('Cashflow Summary C19RM'!$BD$5:$BD$451)))</f>
        <v>0</v>
      </c>
      <c r="BL282" cm="1">
        <f t="array" ref="BL282">(SUMPRODUCT((SETUP!$D$20:$D$67=E282)*(SETUP!$R$20:$R$67)))</f>
        <v>0</v>
      </c>
      <c r="BM282" s="89">
        <f t="shared" si="128"/>
        <v>0</v>
      </c>
    </row>
    <row r="283" spans="2:97" s="89" customFormat="1" ht="15" customHeight="1" x14ac:dyDescent="0.35">
      <c r="B283" s="211" t="s">
        <v>748</v>
      </c>
      <c r="C283" s="699" t="s">
        <v>2750</v>
      </c>
      <c r="D283" s="1314"/>
      <c r="E283" s="1010" t="s">
        <v>21</v>
      </c>
      <c r="F283" s="697">
        <v>0</v>
      </c>
      <c r="G283" s="628" cm="1">
        <f t="array" ref="G283">$F283*(SUMPRODUCT(('Cashflow Summary C19RM'!$K$5:$K$239&lt;&gt;1)*('Cashflow Summary C19RM'!$D$5:$D$239=E283)*('Cashflow Summary C19RM'!$R$5:$R$239)))</f>
        <v>0</v>
      </c>
      <c r="H283" s="629" cm="1">
        <f t="array" ref="H283">$F283*(SUMPRODUCT(('Cashflow Summary C19RM'!$K$5:$K$239&lt;&gt;1)*('Cashflow Summary C19RM'!$D$5:$D$239=E283)*('Cashflow Summary C19RM'!$S$5:$S$239)))</f>
        <v>0</v>
      </c>
      <c r="I283" s="630" cm="1">
        <f t="array" ref="I283">$F283*(SUMPRODUCT(('Cashflow Summary C19RM'!$K$5:$K$239&lt;&gt;1)*('Cashflow Summary C19RM'!$D$5:$D$239=E283)*('Cashflow Summary C19RM'!$T$5:$T$239)))</f>
        <v>0</v>
      </c>
      <c r="J283" s="630" cm="1">
        <f t="array" ref="J283">$F283*(SUMPRODUCT(('Cashflow Summary C19RM'!$K$5:$K$239&lt;&gt;1)*('Cashflow Summary C19RM'!$D$5:$D$239=E283)*('Cashflow Summary C19RM'!$U$5:$U$239)))</f>
        <v>0</v>
      </c>
      <c r="K283" s="631">
        <f t="shared" si="114"/>
        <v>0</v>
      </c>
      <c r="L283" s="686">
        <f t="shared" si="115"/>
        <v>0</v>
      </c>
      <c r="M283" s="630" cm="1">
        <f t="array" ref="M283">$L283*(SUMPRODUCT(('Cashflow Summary C19RM'!$K$5:$K$239&lt;&gt;1)*('Cashflow Summary C19RM'!$D$5:$D$239=E283)*('Cashflow Summary C19RM'!$V$5:$V$239)))</f>
        <v>0</v>
      </c>
      <c r="N283" s="630" cm="1">
        <f t="array" ref="N283">$L283*(SUMPRODUCT(('Cashflow Summary C19RM'!$K$5:$K$239&lt;&gt;1)*('Cashflow Summary C19RM'!$D$5:$D$239=E283)*('Cashflow Summary C19RM'!$W$5:$W$239)))</f>
        <v>0</v>
      </c>
      <c r="O283" s="630" cm="1">
        <f t="array" ref="O283">$L283*(SUMPRODUCT(('Cashflow Summary C19RM'!$K$5:$K$239&lt;&gt;1)*('Cashflow Summary C19RM'!$D$5:$D$239=E283)*('Cashflow Summary C19RM'!$X$5:$X$239)))</f>
        <v>0</v>
      </c>
      <c r="P283" s="630" cm="1">
        <f t="array" ref="P283">$L283*(SUMPRODUCT(('Cashflow Summary C19RM'!$K$5:$K$239&lt;&gt;1)*('Cashflow Summary C19RM'!$D$5:$D$239=E283)*('Cashflow Summary C19RM'!$Y$5:$Y$239)))</f>
        <v>0</v>
      </c>
      <c r="Q283" s="632">
        <f t="shared" si="116"/>
        <v>0</v>
      </c>
      <c r="R283" s="686">
        <f t="shared" si="117"/>
        <v>0</v>
      </c>
      <c r="S283" s="633" cm="1">
        <f t="array" ref="S283">$R283*(SUMPRODUCT(('Cashflow Summary C19RM'!$K$5:$K$239&lt;&gt;1)*('Cashflow Summary C19RM'!$D$5:$D$239=E283)*('Cashflow Summary C19RM'!$Z$5:$Z$239)))</f>
        <v>0</v>
      </c>
      <c r="T283" s="633" cm="1">
        <f t="array" ref="T283">$R283*(SUMPRODUCT(('Cashflow Summary C19RM'!$K$5:$K$239&lt;&gt;1)*('Cashflow Summary C19RM'!$D$5:$D$239=E283)*('Cashflow Summary C19RM'!$AA$5:$AA$239)))</f>
        <v>0</v>
      </c>
      <c r="U283" s="633" cm="1">
        <f t="array" ref="U283">$R283*(SUMPRODUCT(('Cashflow Summary C19RM'!$K$5:$K$239&lt;&gt;1)*('Cashflow Summary C19RM'!$D$5:$D$239=E283)*('Cashflow Summary C19RM'!$AB$5:$AB$239)))</f>
        <v>0</v>
      </c>
      <c r="V283" s="633" cm="1">
        <f t="array" ref="V283">$R283*(SUMPRODUCT(('Cashflow Summary C19RM'!$K$5:$K$239&lt;&gt;1)*('Cashflow Summary C19RM'!$D$5:$D$239=E283)*('Cashflow Summary C19RM'!$AC$5:$AC$239)))</f>
        <v>0</v>
      </c>
      <c r="W283" s="634">
        <f t="shared" si="118"/>
        <v>0</v>
      </c>
      <c r="X283" s="686">
        <f t="shared" si="119"/>
        <v>0</v>
      </c>
      <c r="Y283" s="633" cm="1">
        <f t="array" ref="Y283">$X283*(SUMPRODUCT(('Cashflow Summary C19RM'!$K$5:$K$239&lt;&gt;1)*('Cashflow Summary C19RM'!$D$5:$D$239=E283)*('Cashflow Summary C19RM'!$AD$5:$AD$239)))</f>
        <v>0</v>
      </c>
      <c r="Z283" s="633" cm="1">
        <f t="array" ref="Z283">$X283*(SUMPRODUCT(('Cashflow Summary C19RM'!$K$5:$K$239&lt;&gt;1)*('Cashflow Summary C19RM'!$D$5:$D$239=E283)*('Cashflow Summary C19RM'!$AE$5:$AE$239)))</f>
        <v>0</v>
      </c>
      <c r="AA283" s="633" cm="1">
        <f t="array" ref="AA283">$X283*(SUMPRODUCT(('Cashflow Summary C19RM'!$K$5:$K$239&lt;&gt;1)*('Cashflow Summary C19RM'!$D$5:$D$239=E283)*('Cashflow Summary C19RM'!$AF$5:$AF$239)))</f>
        <v>0</v>
      </c>
      <c r="AB283" s="630" cm="1">
        <f t="array" ref="AB283">$X283*(SUMPRODUCT(('Cashflow Summary C19RM'!$K$5:$K$239&lt;&gt;1)*('Cashflow Summary C19RM'!$D$5:$D$239=E283)*('Cashflow Summary C19RM'!$AG$5:$AG$239)))</f>
        <v>0</v>
      </c>
      <c r="AC283" s="634">
        <f t="shared" si="120"/>
        <v>0</v>
      </c>
      <c r="AD283" s="686">
        <f t="shared" si="121"/>
        <v>0</v>
      </c>
      <c r="AE283" s="628" cm="1">
        <f t="array" ref="AE283">$AD283*(SUMPRODUCT(('Cashflow Summary C19RM'!$K$5:$K$239&lt;&gt;1)*('Cashflow Summary C19RM'!$D$5:$D$239=E283)*('Cashflow Summary C19RM'!$AH$5:$AH$239)))</f>
        <v>0</v>
      </c>
      <c r="AF283" s="633" cm="1">
        <f t="array" ref="AF283">$AD283*(SUMPRODUCT(('Cashflow Summary C19RM'!$K$5:$K$239&lt;&gt;1)*('Cashflow Summary C19RM'!$D$5:$D$239=E283)*('Cashflow Summary C19RM'!$AI$5:$AI$239)))</f>
        <v>0</v>
      </c>
      <c r="AG283" s="633" cm="1">
        <f t="array" ref="AG283">$AD283*(SUMPRODUCT(('Cashflow Summary C19RM'!$K$5:$K$239&lt;&gt;1)*('Cashflow Summary C19RM'!$D$5:$D$239=E283)*('Cashflow Summary C19RM'!$AJ$5:$AJ$239)))</f>
        <v>0</v>
      </c>
      <c r="AH283" s="633" cm="1">
        <f t="array" ref="AH283">$AD283*(SUMPRODUCT(('Cashflow Summary C19RM'!$K$5:$K$239&lt;&gt;1)*('Cashflow Summary C19RM'!$D$5:$D$239=E283)*('Cashflow Summary C19RM'!$AK$5:$AO$239)))</f>
        <v>0</v>
      </c>
      <c r="AI283" s="634">
        <f t="shared" si="122"/>
        <v>0</v>
      </c>
      <c r="AJ283" s="875">
        <v>0</v>
      </c>
      <c r="AK283" s="872"/>
      <c r="AL283" s="873"/>
      <c r="AM283" s="873"/>
      <c r="AN283" s="873"/>
      <c r="AO283" s="874"/>
      <c r="AP283" s="635">
        <f t="shared" si="129"/>
        <v>0</v>
      </c>
      <c r="AQ283" s="636">
        <v>7.5</v>
      </c>
      <c r="AR283" s="707"/>
      <c r="AS283" s="310"/>
      <c r="AV283" s="228">
        <f t="shared" si="123"/>
        <v>0</v>
      </c>
      <c r="AW283" s="228">
        <f t="shared" si="124"/>
        <v>0</v>
      </c>
      <c r="AX283" s="228">
        <f t="shared" si="125"/>
        <v>0</v>
      </c>
      <c r="AY283" s="228">
        <f t="shared" si="126"/>
        <v>0</v>
      </c>
      <c r="AZ283" s="228">
        <f t="shared" si="127"/>
        <v>0</v>
      </c>
      <c r="BA283" s="228"/>
      <c r="BC283" s="345" cm="1">
        <f t="array" ref="BC283">IF(BM283&gt;=1,0,IFERROR(SUMPRODUCT(($G$11:$AH$11=$BC$16)*($G283:$AH283)),0))</f>
        <v>0</v>
      </c>
      <c r="BD283" s="345" cm="1">
        <f t="array" ref="BD283">IF(BM283&gt;=1,0,IFERROR(SUMPRODUCT(($G$11:$AH$11=$BD$16)*($G283:$AH283)),0))</f>
        <v>0</v>
      </c>
      <c r="BE283" s="345" cm="1">
        <f t="array" ref="BE283">IF(BM283&gt;=1,0,IFERROR(SUMPRODUCT(($G$11:$AH$11=$BE$16)*($G283:$AH283)),0))</f>
        <v>0</v>
      </c>
      <c r="BF283" s="345" cm="1">
        <f t="array" ref="BF283">IF(BM283&gt;=1,0,IFERROR(SUMPRODUCT(($G$11:$AH$11=$BF$16)*($G283:$AH283)),0))</f>
        <v>0</v>
      </c>
      <c r="BG283" s="345" cm="1">
        <f t="array" ref="BG283">IF(BM283&gt;=1,0,IFERROR(SUMPRODUCT(($G$11:$AH$11=$BG$16)*($G283:$AH283)),0))</f>
        <v>0</v>
      </c>
      <c r="BH283" s="345"/>
      <c r="BI283" s="343">
        <f t="shared" si="130"/>
        <v>0</v>
      </c>
      <c r="BJ283" s="230" t="s">
        <v>83</v>
      </c>
      <c r="BK283" cm="1">
        <f t="array" ref="BK283">(SUMPRODUCT(('Cashflow Summary C19RM'!$D$5:$D$451=E283)*('Cashflow Summary C19RM'!$BD$5:$BD$451)))</f>
        <v>0</v>
      </c>
      <c r="BL283" cm="1">
        <f t="array" ref="BL283">(SUMPRODUCT((SETUP!$D$20:$D$67=E283)*(SETUP!$R$20:$R$67)))</f>
        <v>0</v>
      </c>
      <c r="BM283" s="89">
        <f t="shared" si="128"/>
        <v>0</v>
      </c>
    </row>
    <row r="284" spans="2:97" s="89" customFormat="1" ht="15" customHeight="1" x14ac:dyDescent="0.35">
      <c r="B284" s="211" t="s">
        <v>748</v>
      </c>
      <c r="C284" s="699" t="s">
        <v>2750</v>
      </c>
      <c r="D284" s="1314"/>
      <c r="E284" s="1010" t="s">
        <v>23</v>
      </c>
      <c r="F284" s="697">
        <v>0</v>
      </c>
      <c r="G284" s="628" cm="1">
        <f t="array" ref="G284">$F284*(SUMPRODUCT(('Cashflow Summary C19RM'!$K$5:$K$239&lt;&gt;1)*('Cashflow Summary C19RM'!$D$5:$D$239=E284)*('Cashflow Summary C19RM'!$R$5:$R$239)))</f>
        <v>0</v>
      </c>
      <c r="H284" s="629" cm="1">
        <f t="array" ref="H284">$F284*(SUMPRODUCT(('Cashflow Summary C19RM'!$K$5:$K$239&lt;&gt;1)*('Cashflow Summary C19RM'!$D$5:$D$239=E284)*('Cashflow Summary C19RM'!$S$5:$S$239)))</f>
        <v>0</v>
      </c>
      <c r="I284" s="630" cm="1">
        <f t="array" ref="I284">$F284*(SUMPRODUCT(('Cashflow Summary C19RM'!$K$5:$K$239&lt;&gt;1)*('Cashflow Summary C19RM'!$D$5:$D$239=E284)*('Cashflow Summary C19RM'!$T$5:$T$239)))</f>
        <v>0</v>
      </c>
      <c r="J284" s="630" cm="1">
        <f t="array" ref="J284">$F284*(SUMPRODUCT(('Cashflow Summary C19RM'!$K$5:$K$239&lt;&gt;1)*('Cashflow Summary C19RM'!$D$5:$D$239=E284)*('Cashflow Summary C19RM'!$U$5:$U$239)))</f>
        <v>0</v>
      </c>
      <c r="K284" s="631">
        <f t="shared" si="114"/>
        <v>0</v>
      </c>
      <c r="L284" s="686">
        <f t="shared" si="115"/>
        <v>0</v>
      </c>
      <c r="M284" s="630" cm="1">
        <f t="array" ref="M284">$L284*(SUMPRODUCT(('Cashflow Summary C19RM'!$K$5:$K$239&lt;&gt;1)*('Cashflow Summary C19RM'!$D$5:$D$239=E284)*('Cashflow Summary C19RM'!$V$5:$V$239)))</f>
        <v>0</v>
      </c>
      <c r="N284" s="630" cm="1">
        <f t="array" ref="N284">$L284*(SUMPRODUCT(('Cashflow Summary C19RM'!$K$5:$K$239&lt;&gt;1)*('Cashflow Summary C19RM'!$D$5:$D$239=E284)*('Cashflow Summary C19RM'!$W$5:$W$239)))</f>
        <v>0</v>
      </c>
      <c r="O284" s="630" cm="1">
        <f t="array" ref="O284">$L284*(SUMPRODUCT(('Cashflow Summary C19RM'!$K$5:$K$239&lt;&gt;1)*('Cashflow Summary C19RM'!$D$5:$D$239=E284)*('Cashflow Summary C19RM'!$X$5:$X$239)))</f>
        <v>0</v>
      </c>
      <c r="P284" s="630" cm="1">
        <f t="array" ref="P284">$L284*(SUMPRODUCT(('Cashflow Summary C19RM'!$K$5:$K$239&lt;&gt;1)*('Cashflow Summary C19RM'!$D$5:$D$239=E284)*('Cashflow Summary C19RM'!$Y$5:$Y$239)))</f>
        <v>0</v>
      </c>
      <c r="Q284" s="632">
        <f t="shared" si="116"/>
        <v>0</v>
      </c>
      <c r="R284" s="686">
        <f t="shared" si="117"/>
        <v>0</v>
      </c>
      <c r="S284" s="633" cm="1">
        <f t="array" ref="S284">$R284*(SUMPRODUCT(('Cashflow Summary C19RM'!$K$5:$K$239&lt;&gt;1)*('Cashflow Summary C19RM'!$D$5:$D$239=E284)*('Cashflow Summary C19RM'!$Z$5:$Z$239)))</f>
        <v>0</v>
      </c>
      <c r="T284" s="633" cm="1">
        <f t="array" ref="T284">$R284*(SUMPRODUCT(('Cashflow Summary C19RM'!$K$5:$K$239&lt;&gt;1)*('Cashflow Summary C19RM'!$D$5:$D$239=E284)*('Cashflow Summary C19RM'!$AA$5:$AA$239)))</f>
        <v>0</v>
      </c>
      <c r="U284" s="633" cm="1">
        <f t="array" ref="U284">$R284*(SUMPRODUCT(('Cashflow Summary C19RM'!$K$5:$K$239&lt;&gt;1)*('Cashflow Summary C19RM'!$D$5:$D$239=E284)*('Cashflow Summary C19RM'!$AB$5:$AB$239)))</f>
        <v>0</v>
      </c>
      <c r="V284" s="633" cm="1">
        <f t="array" ref="V284">$R284*(SUMPRODUCT(('Cashflow Summary C19RM'!$K$5:$K$239&lt;&gt;1)*('Cashflow Summary C19RM'!$D$5:$D$239=E284)*('Cashflow Summary C19RM'!$AC$5:$AC$239)))</f>
        <v>0</v>
      </c>
      <c r="W284" s="634">
        <f t="shared" si="118"/>
        <v>0</v>
      </c>
      <c r="X284" s="686">
        <f t="shared" si="119"/>
        <v>0</v>
      </c>
      <c r="Y284" s="633" cm="1">
        <f t="array" ref="Y284">$X284*(SUMPRODUCT(('Cashflow Summary C19RM'!$K$5:$K$239&lt;&gt;1)*('Cashflow Summary C19RM'!$D$5:$D$239=E284)*('Cashflow Summary C19RM'!$AD$5:$AD$239)))</f>
        <v>0</v>
      </c>
      <c r="Z284" s="633" cm="1">
        <f t="array" ref="Z284">$X284*(SUMPRODUCT(('Cashflow Summary C19RM'!$K$5:$K$239&lt;&gt;1)*('Cashflow Summary C19RM'!$D$5:$D$239=E284)*('Cashflow Summary C19RM'!$AE$5:$AE$239)))</f>
        <v>0</v>
      </c>
      <c r="AA284" s="633" cm="1">
        <f t="array" ref="AA284">$X284*(SUMPRODUCT(('Cashflow Summary C19RM'!$K$5:$K$239&lt;&gt;1)*('Cashflow Summary C19RM'!$D$5:$D$239=E284)*('Cashflow Summary C19RM'!$AF$5:$AF$239)))</f>
        <v>0</v>
      </c>
      <c r="AB284" s="630" cm="1">
        <f t="array" ref="AB284">$X284*(SUMPRODUCT(('Cashflow Summary C19RM'!$K$5:$K$239&lt;&gt;1)*('Cashflow Summary C19RM'!$D$5:$D$239=E284)*('Cashflow Summary C19RM'!$AG$5:$AG$239)))</f>
        <v>0</v>
      </c>
      <c r="AC284" s="634">
        <f t="shared" si="120"/>
        <v>0</v>
      </c>
      <c r="AD284" s="686">
        <f t="shared" si="121"/>
        <v>0</v>
      </c>
      <c r="AE284" s="628" cm="1">
        <f t="array" ref="AE284">$AD284*(SUMPRODUCT(('Cashflow Summary C19RM'!$K$5:$K$239&lt;&gt;1)*('Cashflow Summary C19RM'!$D$5:$D$239=E284)*('Cashflow Summary C19RM'!$AH$5:$AH$239)))</f>
        <v>0</v>
      </c>
      <c r="AF284" s="633" cm="1">
        <f t="array" ref="AF284">$AD284*(SUMPRODUCT(('Cashflow Summary C19RM'!$K$5:$K$239&lt;&gt;1)*('Cashflow Summary C19RM'!$D$5:$D$239=E284)*('Cashflow Summary C19RM'!$AI$5:$AI$239)))</f>
        <v>0</v>
      </c>
      <c r="AG284" s="633" cm="1">
        <f t="array" ref="AG284">$AD284*(SUMPRODUCT(('Cashflow Summary C19RM'!$K$5:$K$239&lt;&gt;1)*('Cashflow Summary C19RM'!$D$5:$D$239=E284)*('Cashflow Summary C19RM'!$AJ$5:$AJ$239)))</f>
        <v>0</v>
      </c>
      <c r="AH284" s="633" cm="1">
        <f t="array" ref="AH284">$AD284*(SUMPRODUCT(('Cashflow Summary C19RM'!$K$5:$K$239&lt;&gt;1)*('Cashflow Summary C19RM'!$D$5:$D$239=E284)*('Cashflow Summary C19RM'!$AK$5:$AO$239)))</f>
        <v>0</v>
      </c>
      <c r="AI284" s="634">
        <f t="shared" si="122"/>
        <v>0</v>
      </c>
      <c r="AJ284" s="875">
        <v>0</v>
      </c>
      <c r="AK284" s="872"/>
      <c r="AL284" s="873"/>
      <c r="AM284" s="873"/>
      <c r="AN284" s="873"/>
      <c r="AO284" s="874"/>
      <c r="AP284" s="635">
        <f t="shared" si="129"/>
        <v>0</v>
      </c>
      <c r="AQ284" s="636">
        <v>7.5</v>
      </c>
      <c r="AR284" s="707"/>
      <c r="AS284" s="310"/>
      <c r="AV284" s="228">
        <f t="shared" si="123"/>
        <v>0</v>
      </c>
      <c r="AW284" s="228">
        <f t="shared" si="124"/>
        <v>0</v>
      </c>
      <c r="AX284" s="228">
        <f t="shared" si="125"/>
        <v>0</v>
      </c>
      <c r="AY284" s="228">
        <f t="shared" si="126"/>
        <v>0</v>
      </c>
      <c r="AZ284" s="228">
        <f t="shared" si="127"/>
        <v>0</v>
      </c>
      <c r="BA284" s="228"/>
      <c r="BC284" s="345" cm="1">
        <f t="array" ref="BC284">IF(BM284&gt;=1,0,IFERROR(SUMPRODUCT(($G$11:$AH$11=$BC$16)*($G284:$AH284)),0))</f>
        <v>0</v>
      </c>
      <c r="BD284" s="345" cm="1">
        <f t="array" ref="BD284">IF(BM284&gt;=1,0,IFERROR(SUMPRODUCT(($G$11:$AH$11=$BD$16)*($G284:$AH284)),0))</f>
        <v>0</v>
      </c>
      <c r="BE284" s="345" cm="1">
        <f t="array" ref="BE284">IF(BM284&gt;=1,0,IFERROR(SUMPRODUCT(($G$11:$AH$11=$BE$16)*($G284:$AH284)),0))</f>
        <v>0</v>
      </c>
      <c r="BF284" s="345" cm="1">
        <f t="array" ref="BF284">IF(BM284&gt;=1,0,IFERROR(SUMPRODUCT(($G$11:$AH$11=$BF$16)*($G284:$AH284)),0))</f>
        <v>0</v>
      </c>
      <c r="BG284" s="345" cm="1">
        <f t="array" ref="BG284">IF(BM284&gt;=1,0,IFERROR(SUMPRODUCT(($G$11:$AH$11=$BG$16)*($G284:$AH284)),0))</f>
        <v>0</v>
      </c>
      <c r="BH284" s="345"/>
      <c r="BI284" s="343">
        <f t="shared" si="130"/>
        <v>0</v>
      </c>
      <c r="BJ284" s="230" t="s">
        <v>83</v>
      </c>
      <c r="BK284" cm="1">
        <f t="array" ref="BK284">(SUMPRODUCT(('Cashflow Summary C19RM'!$D$5:$D$451=E284)*('Cashflow Summary C19RM'!$BD$5:$BD$451)))</f>
        <v>0</v>
      </c>
      <c r="BL284" cm="1">
        <f t="array" ref="BL284">(SUMPRODUCT((SETUP!$D$20:$D$67=E284)*(SETUP!$R$20:$R$67)))</f>
        <v>0</v>
      </c>
      <c r="BM284" s="89">
        <f t="shared" si="128"/>
        <v>0</v>
      </c>
    </row>
    <row r="285" spans="2:97" s="89" customFormat="1" ht="15" customHeight="1" x14ac:dyDescent="0.35">
      <c r="B285" s="211" t="s">
        <v>748</v>
      </c>
      <c r="C285" s="699" t="s">
        <v>2750</v>
      </c>
      <c r="D285" s="1314"/>
      <c r="E285" s="1010" t="s">
        <v>22</v>
      </c>
      <c r="F285" s="697">
        <v>0</v>
      </c>
      <c r="G285" s="628" cm="1">
        <f t="array" ref="G285">$F285*(SUMPRODUCT(('Cashflow Summary C19RM'!$K$5:$K$239&lt;&gt;1)*('Cashflow Summary C19RM'!$D$5:$D$239=E285)*('Cashflow Summary C19RM'!$R$5:$R$239)))</f>
        <v>0</v>
      </c>
      <c r="H285" s="629" cm="1">
        <f t="array" ref="H285">$F285*(SUMPRODUCT(('Cashflow Summary C19RM'!$K$5:$K$239&lt;&gt;1)*('Cashflow Summary C19RM'!$D$5:$D$239=E285)*('Cashflow Summary C19RM'!$S$5:$S$239)))</f>
        <v>0</v>
      </c>
      <c r="I285" s="630" cm="1">
        <f t="array" ref="I285">$F285*(SUMPRODUCT(('Cashflow Summary C19RM'!$K$5:$K$239&lt;&gt;1)*('Cashflow Summary C19RM'!$D$5:$D$239=E285)*('Cashflow Summary C19RM'!$T$5:$T$239)))</f>
        <v>0</v>
      </c>
      <c r="J285" s="630" cm="1">
        <f t="array" ref="J285">$F285*(SUMPRODUCT(('Cashflow Summary C19RM'!$K$5:$K$239&lt;&gt;1)*('Cashflow Summary C19RM'!$D$5:$D$239=E285)*('Cashflow Summary C19RM'!$U$5:$U$239)))</f>
        <v>0</v>
      </c>
      <c r="K285" s="631">
        <f t="shared" si="114"/>
        <v>0</v>
      </c>
      <c r="L285" s="686">
        <f t="shared" si="115"/>
        <v>0</v>
      </c>
      <c r="M285" s="630" cm="1">
        <f t="array" ref="M285">$L285*(SUMPRODUCT(('Cashflow Summary C19RM'!$K$5:$K$239&lt;&gt;1)*('Cashflow Summary C19RM'!$D$5:$D$239=E285)*('Cashflow Summary C19RM'!$V$5:$V$239)))</f>
        <v>0</v>
      </c>
      <c r="N285" s="630" cm="1">
        <f t="array" ref="N285">$L285*(SUMPRODUCT(('Cashflow Summary C19RM'!$K$5:$K$239&lt;&gt;1)*('Cashflow Summary C19RM'!$D$5:$D$239=E285)*('Cashflow Summary C19RM'!$W$5:$W$239)))</f>
        <v>0</v>
      </c>
      <c r="O285" s="630" cm="1">
        <f t="array" ref="O285">$L285*(SUMPRODUCT(('Cashflow Summary C19RM'!$K$5:$K$239&lt;&gt;1)*('Cashflow Summary C19RM'!$D$5:$D$239=E285)*('Cashflow Summary C19RM'!$X$5:$X$239)))</f>
        <v>0</v>
      </c>
      <c r="P285" s="630" cm="1">
        <f t="array" ref="P285">$L285*(SUMPRODUCT(('Cashflow Summary C19RM'!$K$5:$K$239&lt;&gt;1)*('Cashflow Summary C19RM'!$D$5:$D$239=E285)*('Cashflow Summary C19RM'!$Y$5:$Y$239)))</f>
        <v>0</v>
      </c>
      <c r="Q285" s="632">
        <f t="shared" si="116"/>
        <v>0</v>
      </c>
      <c r="R285" s="686">
        <f t="shared" si="117"/>
        <v>0</v>
      </c>
      <c r="S285" s="633" cm="1">
        <f t="array" ref="S285">$R285*(SUMPRODUCT(('Cashflow Summary C19RM'!$K$5:$K$239&lt;&gt;1)*('Cashflow Summary C19RM'!$D$5:$D$239=E285)*('Cashflow Summary C19RM'!$Z$5:$Z$239)))</f>
        <v>0</v>
      </c>
      <c r="T285" s="633" cm="1">
        <f t="array" ref="T285">$R285*(SUMPRODUCT(('Cashflow Summary C19RM'!$K$5:$K$239&lt;&gt;1)*('Cashflow Summary C19RM'!$D$5:$D$239=E285)*('Cashflow Summary C19RM'!$AA$5:$AA$239)))</f>
        <v>0</v>
      </c>
      <c r="U285" s="633" cm="1">
        <f t="array" ref="U285">$R285*(SUMPRODUCT(('Cashflow Summary C19RM'!$K$5:$K$239&lt;&gt;1)*('Cashflow Summary C19RM'!$D$5:$D$239=E285)*('Cashflow Summary C19RM'!$AB$5:$AB$239)))</f>
        <v>0</v>
      </c>
      <c r="V285" s="633" cm="1">
        <f t="array" ref="V285">$R285*(SUMPRODUCT(('Cashflow Summary C19RM'!$K$5:$K$239&lt;&gt;1)*('Cashflow Summary C19RM'!$D$5:$D$239=E285)*('Cashflow Summary C19RM'!$AC$5:$AC$239)))</f>
        <v>0</v>
      </c>
      <c r="W285" s="634">
        <f t="shared" si="118"/>
        <v>0</v>
      </c>
      <c r="X285" s="686">
        <f t="shared" si="119"/>
        <v>0</v>
      </c>
      <c r="Y285" s="633" cm="1">
        <f t="array" ref="Y285">$X285*(SUMPRODUCT(('Cashflow Summary C19RM'!$K$5:$K$239&lt;&gt;1)*('Cashflow Summary C19RM'!$D$5:$D$239=E285)*('Cashflow Summary C19RM'!$AD$5:$AD$239)))</f>
        <v>0</v>
      </c>
      <c r="Z285" s="633" cm="1">
        <f t="array" ref="Z285">$X285*(SUMPRODUCT(('Cashflow Summary C19RM'!$K$5:$K$239&lt;&gt;1)*('Cashflow Summary C19RM'!$D$5:$D$239=E285)*('Cashflow Summary C19RM'!$AE$5:$AE$239)))</f>
        <v>0</v>
      </c>
      <c r="AA285" s="633" cm="1">
        <f t="array" ref="AA285">$X285*(SUMPRODUCT(('Cashflow Summary C19RM'!$K$5:$K$239&lt;&gt;1)*('Cashflow Summary C19RM'!$D$5:$D$239=E285)*('Cashflow Summary C19RM'!$AF$5:$AF$239)))</f>
        <v>0</v>
      </c>
      <c r="AB285" s="630" cm="1">
        <f t="array" ref="AB285">$X285*(SUMPRODUCT(('Cashflow Summary C19RM'!$K$5:$K$239&lt;&gt;1)*('Cashflow Summary C19RM'!$D$5:$D$239=E285)*('Cashflow Summary C19RM'!$AG$5:$AG$239)))</f>
        <v>0</v>
      </c>
      <c r="AC285" s="634">
        <f t="shared" si="120"/>
        <v>0</v>
      </c>
      <c r="AD285" s="686">
        <f t="shared" si="121"/>
        <v>0</v>
      </c>
      <c r="AE285" s="628" cm="1">
        <f t="array" ref="AE285">$AD285*(SUMPRODUCT(('Cashflow Summary C19RM'!$K$5:$K$239&lt;&gt;1)*('Cashflow Summary C19RM'!$D$5:$D$239=E285)*('Cashflow Summary C19RM'!$AH$5:$AH$239)))</f>
        <v>0</v>
      </c>
      <c r="AF285" s="633" cm="1">
        <f t="array" ref="AF285">$AD285*(SUMPRODUCT(('Cashflow Summary C19RM'!$K$5:$K$239&lt;&gt;1)*('Cashflow Summary C19RM'!$D$5:$D$239=E285)*('Cashflow Summary C19RM'!$AI$5:$AI$239)))</f>
        <v>0</v>
      </c>
      <c r="AG285" s="633" cm="1">
        <f t="array" ref="AG285">$AD285*(SUMPRODUCT(('Cashflow Summary C19RM'!$K$5:$K$239&lt;&gt;1)*('Cashflow Summary C19RM'!$D$5:$D$239=E285)*('Cashflow Summary C19RM'!$AJ$5:$AJ$239)))</f>
        <v>0</v>
      </c>
      <c r="AH285" s="633" cm="1">
        <f t="array" ref="AH285">$AD285*(SUMPRODUCT(('Cashflow Summary C19RM'!$K$5:$K$239&lt;&gt;1)*('Cashflow Summary C19RM'!$D$5:$D$239=E285)*('Cashflow Summary C19RM'!$AK$5:$AO$239)))</f>
        <v>0</v>
      </c>
      <c r="AI285" s="634">
        <f t="shared" si="122"/>
        <v>0</v>
      </c>
      <c r="AJ285" s="875">
        <v>0</v>
      </c>
      <c r="AK285" s="872"/>
      <c r="AL285" s="873"/>
      <c r="AM285" s="873"/>
      <c r="AN285" s="873"/>
      <c r="AO285" s="874"/>
      <c r="AP285" s="635">
        <f t="shared" si="129"/>
        <v>0</v>
      </c>
      <c r="AQ285" s="636">
        <v>7.5</v>
      </c>
      <c r="AR285" s="707"/>
      <c r="AS285" s="310"/>
      <c r="AV285" s="228">
        <f t="shared" si="123"/>
        <v>0</v>
      </c>
      <c r="AW285" s="228">
        <f t="shared" si="124"/>
        <v>0</v>
      </c>
      <c r="AX285" s="228">
        <f t="shared" si="125"/>
        <v>0</v>
      </c>
      <c r="AY285" s="228">
        <f t="shared" si="126"/>
        <v>0</v>
      </c>
      <c r="AZ285" s="228">
        <f t="shared" si="127"/>
        <v>0</v>
      </c>
      <c r="BA285" s="228"/>
      <c r="BC285" s="345" cm="1">
        <f t="array" ref="BC285">IF(BM285&gt;=1,0,IFERROR(SUMPRODUCT(($G$11:$AH$11=$BC$16)*($G285:$AH285)),0))</f>
        <v>0</v>
      </c>
      <c r="BD285" s="345" cm="1">
        <f t="array" ref="BD285">IF(BM285&gt;=1,0,IFERROR(SUMPRODUCT(($G$11:$AH$11=$BD$16)*($G285:$AH285)),0))</f>
        <v>0</v>
      </c>
      <c r="BE285" s="345" cm="1">
        <f t="array" ref="BE285">IF(BM285&gt;=1,0,IFERROR(SUMPRODUCT(($G$11:$AH$11=$BE$16)*($G285:$AH285)),0))</f>
        <v>0</v>
      </c>
      <c r="BF285" s="345" cm="1">
        <f t="array" ref="BF285">IF(BM285&gt;=1,0,IFERROR(SUMPRODUCT(($G$11:$AH$11=$BF$16)*($G285:$AH285)),0))</f>
        <v>0</v>
      </c>
      <c r="BG285" s="345" cm="1">
        <f t="array" ref="BG285">IF(BM285&gt;=1,0,IFERROR(SUMPRODUCT(($G$11:$AH$11=$BG$16)*($G285:$AH285)),0))</f>
        <v>0</v>
      </c>
      <c r="BH285" s="345"/>
      <c r="BI285" s="343">
        <f t="shared" si="130"/>
        <v>0</v>
      </c>
      <c r="BJ285" s="230" t="s">
        <v>83</v>
      </c>
      <c r="BK285" cm="1">
        <f t="array" ref="BK285">(SUMPRODUCT(('Cashflow Summary C19RM'!$D$5:$D$451=E285)*('Cashflow Summary C19RM'!$BD$5:$BD$451)))</f>
        <v>0</v>
      </c>
      <c r="BL285" cm="1">
        <f t="array" ref="BL285">(SUMPRODUCT((SETUP!$D$20:$D$67=E285)*(SETUP!$R$20:$R$67)))</f>
        <v>0</v>
      </c>
      <c r="BM285" s="89">
        <f t="shared" si="128"/>
        <v>0</v>
      </c>
    </row>
    <row r="286" spans="2:97" s="89" customFormat="1" ht="15" customHeight="1" x14ac:dyDescent="0.35">
      <c r="B286" s="211" t="s">
        <v>748</v>
      </c>
      <c r="C286" s="699" t="s">
        <v>2750</v>
      </c>
      <c r="D286" s="1314"/>
      <c r="E286" s="1010" t="s">
        <v>25</v>
      </c>
      <c r="F286" s="697">
        <v>0</v>
      </c>
      <c r="G286" s="628" cm="1">
        <f t="array" ref="G286">$F286*(SUMPRODUCT(('Cashflow Summary C19RM'!$K$5:$K$239&lt;&gt;1)*('Cashflow Summary C19RM'!$D$5:$D$239=E286)*('Cashflow Summary C19RM'!$R$5:$R$239)))</f>
        <v>0</v>
      </c>
      <c r="H286" s="629" cm="1">
        <f t="array" ref="H286">$F286*(SUMPRODUCT(('Cashflow Summary C19RM'!$K$5:$K$239&lt;&gt;1)*('Cashflow Summary C19RM'!$D$5:$D$239=E286)*('Cashflow Summary C19RM'!$S$5:$S$239)))</f>
        <v>0</v>
      </c>
      <c r="I286" s="630" cm="1">
        <f t="array" ref="I286">$F286*(SUMPRODUCT(('Cashflow Summary C19RM'!$K$5:$K$239&lt;&gt;1)*('Cashflow Summary C19RM'!$D$5:$D$239=E286)*('Cashflow Summary C19RM'!$T$5:$T$239)))</f>
        <v>0</v>
      </c>
      <c r="J286" s="630" cm="1">
        <f t="array" ref="J286">$F286*(SUMPRODUCT(('Cashflow Summary C19RM'!$K$5:$K$239&lt;&gt;1)*('Cashflow Summary C19RM'!$D$5:$D$239=E286)*('Cashflow Summary C19RM'!$U$5:$U$239)))</f>
        <v>0</v>
      </c>
      <c r="K286" s="631">
        <f t="shared" si="114"/>
        <v>0</v>
      </c>
      <c r="L286" s="686">
        <f t="shared" si="115"/>
        <v>0</v>
      </c>
      <c r="M286" s="630" cm="1">
        <f t="array" ref="M286">$L286*(SUMPRODUCT(('Cashflow Summary C19RM'!$K$5:$K$239&lt;&gt;1)*('Cashflow Summary C19RM'!$D$5:$D$239=E286)*('Cashflow Summary C19RM'!$V$5:$V$239)))</f>
        <v>0</v>
      </c>
      <c r="N286" s="630" cm="1">
        <f t="array" ref="N286">$L286*(SUMPRODUCT(('Cashflow Summary C19RM'!$K$5:$K$239&lt;&gt;1)*('Cashflow Summary C19RM'!$D$5:$D$239=E286)*('Cashflow Summary C19RM'!$W$5:$W$239)))</f>
        <v>0</v>
      </c>
      <c r="O286" s="630" cm="1">
        <f t="array" ref="O286">$L286*(SUMPRODUCT(('Cashflow Summary C19RM'!$K$5:$K$239&lt;&gt;1)*('Cashflow Summary C19RM'!$D$5:$D$239=E286)*('Cashflow Summary C19RM'!$X$5:$X$239)))</f>
        <v>0</v>
      </c>
      <c r="P286" s="630" cm="1">
        <f t="array" ref="P286">$L286*(SUMPRODUCT(('Cashflow Summary C19RM'!$K$5:$K$239&lt;&gt;1)*('Cashflow Summary C19RM'!$D$5:$D$239=E286)*('Cashflow Summary C19RM'!$Y$5:$Y$239)))</f>
        <v>0</v>
      </c>
      <c r="Q286" s="632">
        <f t="shared" si="116"/>
        <v>0</v>
      </c>
      <c r="R286" s="686">
        <f t="shared" si="117"/>
        <v>0</v>
      </c>
      <c r="S286" s="633" cm="1">
        <f t="array" ref="S286">$R286*(SUMPRODUCT(('Cashflow Summary C19RM'!$K$5:$K$239&lt;&gt;1)*('Cashflow Summary C19RM'!$D$5:$D$239=E286)*('Cashflow Summary C19RM'!$Z$5:$Z$239)))</f>
        <v>0</v>
      </c>
      <c r="T286" s="633" cm="1">
        <f t="array" ref="T286">$R286*(SUMPRODUCT(('Cashflow Summary C19RM'!$K$5:$K$239&lt;&gt;1)*('Cashflow Summary C19RM'!$D$5:$D$239=E286)*('Cashflow Summary C19RM'!$AA$5:$AA$239)))</f>
        <v>0</v>
      </c>
      <c r="U286" s="633" cm="1">
        <f t="array" ref="U286">$R286*(SUMPRODUCT(('Cashflow Summary C19RM'!$K$5:$K$239&lt;&gt;1)*('Cashflow Summary C19RM'!$D$5:$D$239=E286)*('Cashflow Summary C19RM'!$AB$5:$AB$239)))</f>
        <v>0</v>
      </c>
      <c r="V286" s="633" cm="1">
        <f t="array" ref="V286">$R286*(SUMPRODUCT(('Cashflow Summary C19RM'!$K$5:$K$239&lt;&gt;1)*('Cashflow Summary C19RM'!$D$5:$D$239=E286)*('Cashflow Summary C19RM'!$AC$5:$AC$239)))</f>
        <v>0</v>
      </c>
      <c r="W286" s="634">
        <f t="shared" si="118"/>
        <v>0</v>
      </c>
      <c r="X286" s="686">
        <f t="shared" si="119"/>
        <v>0</v>
      </c>
      <c r="Y286" s="633" cm="1">
        <f t="array" ref="Y286">$X286*(SUMPRODUCT(('Cashflow Summary C19RM'!$K$5:$K$239&lt;&gt;1)*('Cashflow Summary C19RM'!$D$5:$D$239=E286)*('Cashflow Summary C19RM'!$AD$5:$AD$239)))</f>
        <v>0</v>
      </c>
      <c r="Z286" s="633" cm="1">
        <f t="array" ref="Z286">$X286*(SUMPRODUCT(('Cashflow Summary C19RM'!$K$5:$K$239&lt;&gt;1)*('Cashflow Summary C19RM'!$D$5:$D$239=E286)*('Cashflow Summary C19RM'!$AE$5:$AE$239)))</f>
        <v>0</v>
      </c>
      <c r="AA286" s="633" cm="1">
        <f t="array" ref="AA286">$X286*(SUMPRODUCT(('Cashflow Summary C19RM'!$K$5:$K$239&lt;&gt;1)*('Cashflow Summary C19RM'!$D$5:$D$239=E286)*('Cashflow Summary C19RM'!$AF$5:$AF$239)))</f>
        <v>0</v>
      </c>
      <c r="AB286" s="630" cm="1">
        <f t="array" ref="AB286">$X286*(SUMPRODUCT(('Cashflow Summary C19RM'!$K$5:$K$239&lt;&gt;1)*('Cashflow Summary C19RM'!$D$5:$D$239=E286)*('Cashflow Summary C19RM'!$AG$5:$AG$239)))</f>
        <v>0</v>
      </c>
      <c r="AC286" s="634">
        <f t="shared" si="120"/>
        <v>0</v>
      </c>
      <c r="AD286" s="686">
        <f t="shared" si="121"/>
        <v>0</v>
      </c>
      <c r="AE286" s="628" cm="1">
        <f t="array" ref="AE286">$AD286*(SUMPRODUCT(('Cashflow Summary C19RM'!$K$5:$K$239&lt;&gt;1)*('Cashflow Summary C19RM'!$D$5:$D$239=E286)*('Cashflow Summary C19RM'!$AH$5:$AH$239)))</f>
        <v>0</v>
      </c>
      <c r="AF286" s="633" cm="1">
        <f t="array" ref="AF286">$AD286*(SUMPRODUCT(('Cashflow Summary C19RM'!$K$5:$K$239&lt;&gt;1)*('Cashflow Summary C19RM'!$D$5:$D$239=E286)*('Cashflow Summary C19RM'!$AI$5:$AI$239)))</f>
        <v>0</v>
      </c>
      <c r="AG286" s="633" cm="1">
        <f t="array" ref="AG286">$AD286*(SUMPRODUCT(('Cashflow Summary C19RM'!$K$5:$K$239&lt;&gt;1)*('Cashflow Summary C19RM'!$D$5:$D$239=E286)*('Cashflow Summary C19RM'!$AJ$5:$AJ$239)))</f>
        <v>0</v>
      </c>
      <c r="AH286" s="633" cm="1">
        <f t="array" ref="AH286">$AD286*(SUMPRODUCT(('Cashflow Summary C19RM'!$K$5:$K$239&lt;&gt;1)*('Cashflow Summary C19RM'!$D$5:$D$239=E286)*('Cashflow Summary C19RM'!$AK$5:$AO$239)))</f>
        <v>0</v>
      </c>
      <c r="AI286" s="634">
        <f t="shared" si="122"/>
        <v>0</v>
      </c>
      <c r="AJ286" s="875">
        <v>0</v>
      </c>
      <c r="AK286" s="872"/>
      <c r="AL286" s="873"/>
      <c r="AM286" s="873"/>
      <c r="AN286" s="873"/>
      <c r="AO286" s="874"/>
      <c r="AP286" s="635">
        <f t="shared" si="129"/>
        <v>0</v>
      </c>
      <c r="AQ286" s="636">
        <v>7.5</v>
      </c>
      <c r="AR286" s="707"/>
      <c r="AS286" s="310"/>
      <c r="AV286" s="228">
        <f t="shared" si="123"/>
        <v>0</v>
      </c>
      <c r="AW286" s="228">
        <f t="shared" si="124"/>
        <v>0</v>
      </c>
      <c r="AX286" s="228">
        <f t="shared" si="125"/>
        <v>0</v>
      </c>
      <c r="AY286" s="228">
        <f t="shared" si="126"/>
        <v>0</v>
      </c>
      <c r="AZ286" s="228">
        <f t="shared" si="127"/>
        <v>0</v>
      </c>
      <c r="BA286" s="228"/>
      <c r="BC286" s="345" cm="1">
        <f t="array" ref="BC286">IF(BM286&gt;=1,0,IFERROR(SUMPRODUCT(($G$11:$AH$11=$BC$16)*($G286:$AH286)),0))</f>
        <v>0</v>
      </c>
      <c r="BD286" s="345" cm="1">
        <f t="array" ref="BD286">IF(BM286&gt;=1,0,IFERROR(SUMPRODUCT(($G$11:$AH$11=$BD$16)*($G286:$AH286)),0))</f>
        <v>0</v>
      </c>
      <c r="BE286" s="345" cm="1">
        <f t="array" ref="BE286">IF(BM286&gt;=1,0,IFERROR(SUMPRODUCT(($G$11:$AH$11=$BE$16)*($G286:$AH286)),0))</f>
        <v>0</v>
      </c>
      <c r="BF286" s="345" cm="1">
        <f t="array" ref="BF286">IF(BM286&gt;=1,0,IFERROR(SUMPRODUCT(($G$11:$AH$11=$BF$16)*($G286:$AH286)),0))</f>
        <v>0</v>
      </c>
      <c r="BG286" s="345" cm="1">
        <f t="array" ref="BG286">IF(BM286&gt;=1,0,IFERROR(SUMPRODUCT(($G$11:$AH$11=$BG$16)*($G286:$AH286)),0))</f>
        <v>0</v>
      </c>
      <c r="BH286" s="345"/>
      <c r="BI286" s="343">
        <f t="shared" si="130"/>
        <v>0</v>
      </c>
      <c r="BJ286" s="230" t="s">
        <v>83</v>
      </c>
      <c r="BK286" cm="1">
        <f t="array" ref="BK286">(SUMPRODUCT(('Cashflow Summary C19RM'!$D$5:$D$451=E286)*('Cashflow Summary C19RM'!$BD$5:$BD$451)))</f>
        <v>0</v>
      </c>
      <c r="BL286" cm="1">
        <f t="array" ref="BL286">(SUMPRODUCT((SETUP!$D$20:$D$67=E286)*(SETUP!$R$20:$R$67)))</f>
        <v>0</v>
      </c>
      <c r="BM286" s="89">
        <f t="shared" si="128"/>
        <v>0</v>
      </c>
    </row>
    <row r="287" spans="2:97" s="89" customFormat="1" ht="15" customHeight="1" x14ac:dyDescent="0.35">
      <c r="B287" s="211" t="s">
        <v>748</v>
      </c>
      <c r="C287" s="699" t="s">
        <v>2750</v>
      </c>
      <c r="D287" s="1314"/>
      <c r="E287" s="1010" t="s">
        <v>28</v>
      </c>
      <c r="F287" s="697">
        <v>0</v>
      </c>
      <c r="G287" s="628" cm="1">
        <f t="array" ref="G287">$F287*(SUMPRODUCT(('Cashflow Summary C19RM'!$K$5:$K$239&lt;&gt;1)*('Cashflow Summary C19RM'!$D$5:$D$239=E287)*('Cashflow Summary C19RM'!$R$5:$R$239)))</f>
        <v>0</v>
      </c>
      <c r="H287" s="629" cm="1">
        <f t="array" ref="H287">$F287*(SUMPRODUCT(('Cashflow Summary C19RM'!$K$5:$K$239&lt;&gt;1)*('Cashflow Summary C19RM'!$D$5:$D$239=E287)*('Cashflow Summary C19RM'!$S$5:$S$239)))</f>
        <v>0</v>
      </c>
      <c r="I287" s="630" cm="1">
        <f t="array" ref="I287">$F287*(SUMPRODUCT(('Cashflow Summary C19RM'!$K$5:$K$239&lt;&gt;1)*('Cashflow Summary C19RM'!$D$5:$D$239=E287)*('Cashflow Summary C19RM'!$T$5:$T$239)))</f>
        <v>0</v>
      </c>
      <c r="J287" s="630" cm="1">
        <f t="array" ref="J287">$F287*(SUMPRODUCT(('Cashflow Summary C19RM'!$K$5:$K$239&lt;&gt;1)*('Cashflow Summary C19RM'!$D$5:$D$239=E287)*('Cashflow Summary C19RM'!$U$5:$U$239)))</f>
        <v>0</v>
      </c>
      <c r="K287" s="631">
        <f t="shared" si="114"/>
        <v>0</v>
      </c>
      <c r="L287" s="686">
        <f t="shared" si="115"/>
        <v>0</v>
      </c>
      <c r="M287" s="630" cm="1">
        <f t="array" ref="M287">$L287*(SUMPRODUCT(('Cashflow Summary C19RM'!$K$5:$K$239&lt;&gt;1)*('Cashflow Summary C19RM'!$D$5:$D$239=E287)*('Cashflow Summary C19RM'!$V$5:$V$239)))</f>
        <v>0</v>
      </c>
      <c r="N287" s="630" cm="1">
        <f t="array" ref="N287">$L287*(SUMPRODUCT(('Cashflow Summary C19RM'!$K$5:$K$239&lt;&gt;1)*('Cashflow Summary C19RM'!$D$5:$D$239=E287)*('Cashflow Summary C19RM'!$W$5:$W$239)))</f>
        <v>0</v>
      </c>
      <c r="O287" s="630" cm="1">
        <f t="array" ref="O287">$L287*(SUMPRODUCT(('Cashflow Summary C19RM'!$K$5:$K$239&lt;&gt;1)*('Cashflow Summary C19RM'!$D$5:$D$239=E287)*('Cashflow Summary C19RM'!$X$5:$X$239)))</f>
        <v>0</v>
      </c>
      <c r="P287" s="630" cm="1">
        <f t="array" ref="P287">$L287*(SUMPRODUCT(('Cashflow Summary C19RM'!$K$5:$K$239&lt;&gt;1)*('Cashflow Summary C19RM'!$D$5:$D$239=E287)*('Cashflow Summary C19RM'!$Y$5:$Y$239)))</f>
        <v>0</v>
      </c>
      <c r="Q287" s="632">
        <f t="shared" si="116"/>
        <v>0</v>
      </c>
      <c r="R287" s="686">
        <f t="shared" si="117"/>
        <v>0</v>
      </c>
      <c r="S287" s="633" cm="1">
        <f t="array" ref="S287">$R287*(SUMPRODUCT(('Cashflow Summary C19RM'!$K$5:$K$239&lt;&gt;1)*('Cashflow Summary C19RM'!$D$5:$D$239=E287)*('Cashflow Summary C19RM'!$Z$5:$Z$239)))</f>
        <v>0</v>
      </c>
      <c r="T287" s="633" cm="1">
        <f t="array" ref="T287">$R287*(SUMPRODUCT(('Cashflow Summary C19RM'!$K$5:$K$239&lt;&gt;1)*('Cashflow Summary C19RM'!$D$5:$D$239=E287)*('Cashflow Summary C19RM'!$AA$5:$AA$239)))</f>
        <v>0</v>
      </c>
      <c r="U287" s="633" cm="1">
        <f t="array" ref="U287">$R287*(SUMPRODUCT(('Cashflow Summary C19RM'!$K$5:$K$239&lt;&gt;1)*('Cashflow Summary C19RM'!$D$5:$D$239=E287)*('Cashflow Summary C19RM'!$AB$5:$AB$239)))</f>
        <v>0</v>
      </c>
      <c r="V287" s="633" cm="1">
        <f t="array" ref="V287">$R287*(SUMPRODUCT(('Cashflow Summary C19RM'!$K$5:$K$239&lt;&gt;1)*('Cashflow Summary C19RM'!$D$5:$D$239=E287)*('Cashflow Summary C19RM'!$AC$5:$AC$239)))</f>
        <v>0</v>
      </c>
      <c r="W287" s="634">
        <f t="shared" si="118"/>
        <v>0</v>
      </c>
      <c r="X287" s="686">
        <f t="shared" si="119"/>
        <v>0</v>
      </c>
      <c r="Y287" s="633" cm="1">
        <f t="array" ref="Y287">$X287*(SUMPRODUCT(('Cashflow Summary C19RM'!$K$5:$K$239&lt;&gt;1)*('Cashflow Summary C19RM'!$D$5:$D$239=E287)*('Cashflow Summary C19RM'!$AD$5:$AD$239)))</f>
        <v>0</v>
      </c>
      <c r="Z287" s="633" cm="1">
        <f t="array" ref="Z287">$X287*(SUMPRODUCT(('Cashflow Summary C19RM'!$K$5:$K$239&lt;&gt;1)*('Cashflow Summary C19RM'!$D$5:$D$239=E287)*('Cashflow Summary C19RM'!$AE$5:$AE$239)))</f>
        <v>0</v>
      </c>
      <c r="AA287" s="633" cm="1">
        <f t="array" ref="AA287">$X287*(SUMPRODUCT(('Cashflow Summary C19RM'!$K$5:$K$239&lt;&gt;1)*('Cashflow Summary C19RM'!$D$5:$D$239=E287)*('Cashflow Summary C19RM'!$AF$5:$AF$239)))</f>
        <v>0</v>
      </c>
      <c r="AB287" s="630" cm="1">
        <f t="array" ref="AB287">$X287*(SUMPRODUCT(('Cashflow Summary C19RM'!$K$5:$K$239&lt;&gt;1)*('Cashflow Summary C19RM'!$D$5:$D$239=E287)*('Cashflow Summary C19RM'!$AG$5:$AG$239)))</f>
        <v>0</v>
      </c>
      <c r="AC287" s="634">
        <f t="shared" si="120"/>
        <v>0</v>
      </c>
      <c r="AD287" s="686">
        <f t="shared" si="121"/>
        <v>0</v>
      </c>
      <c r="AE287" s="628" cm="1">
        <f t="array" ref="AE287">$AD287*(SUMPRODUCT(('Cashflow Summary C19RM'!$K$5:$K$239&lt;&gt;1)*('Cashflow Summary C19RM'!$D$5:$D$239=E287)*('Cashflow Summary C19RM'!$AH$5:$AH$239)))</f>
        <v>0</v>
      </c>
      <c r="AF287" s="633" cm="1">
        <f t="array" ref="AF287">$AD287*(SUMPRODUCT(('Cashflow Summary C19RM'!$K$5:$K$239&lt;&gt;1)*('Cashflow Summary C19RM'!$D$5:$D$239=E287)*('Cashflow Summary C19RM'!$AI$5:$AI$239)))</f>
        <v>0</v>
      </c>
      <c r="AG287" s="633" cm="1">
        <f t="array" ref="AG287">$AD287*(SUMPRODUCT(('Cashflow Summary C19RM'!$K$5:$K$239&lt;&gt;1)*('Cashflow Summary C19RM'!$D$5:$D$239=E287)*('Cashflow Summary C19RM'!$AJ$5:$AJ$239)))</f>
        <v>0</v>
      </c>
      <c r="AH287" s="633" cm="1">
        <f t="array" ref="AH287">$AD287*(SUMPRODUCT(('Cashflow Summary C19RM'!$K$5:$K$239&lt;&gt;1)*('Cashflow Summary C19RM'!$D$5:$D$239=E287)*('Cashflow Summary C19RM'!$AK$5:$AO$239)))</f>
        <v>0</v>
      </c>
      <c r="AI287" s="634">
        <f t="shared" si="122"/>
        <v>0</v>
      </c>
      <c r="AJ287" s="875">
        <v>0</v>
      </c>
      <c r="AK287" s="872"/>
      <c r="AL287" s="873"/>
      <c r="AM287" s="873"/>
      <c r="AN287" s="873"/>
      <c r="AO287" s="874"/>
      <c r="AP287" s="635">
        <f t="shared" si="129"/>
        <v>0</v>
      </c>
      <c r="AQ287" s="636">
        <v>7.5</v>
      </c>
      <c r="AR287" s="707"/>
      <c r="AS287" s="310"/>
      <c r="AV287" s="228">
        <f t="shared" si="123"/>
        <v>0</v>
      </c>
      <c r="AW287" s="228">
        <f t="shared" si="124"/>
        <v>0</v>
      </c>
      <c r="AX287" s="228">
        <f t="shared" si="125"/>
        <v>0</v>
      </c>
      <c r="AY287" s="228">
        <f t="shared" si="126"/>
        <v>0</v>
      </c>
      <c r="AZ287" s="228">
        <f t="shared" si="127"/>
        <v>0</v>
      </c>
      <c r="BA287" s="228"/>
      <c r="BC287" s="345" cm="1">
        <f t="array" ref="BC287">IF(BM287&gt;=1,0,IFERROR(SUMPRODUCT(($G$11:$AH$11=$BC$16)*($G287:$AH287)),0))</f>
        <v>0</v>
      </c>
      <c r="BD287" s="345" cm="1">
        <f t="array" ref="BD287">IF(BM287&gt;=1,0,IFERROR(SUMPRODUCT(($G$11:$AH$11=$BD$16)*($G287:$AH287)),0))</f>
        <v>0</v>
      </c>
      <c r="BE287" s="345" cm="1">
        <f t="array" ref="BE287">IF(BM287&gt;=1,0,IFERROR(SUMPRODUCT(($G$11:$AH$11=$BE$16)*($G287:$AH287)),0))</f>
        <v>0</v>
      </c>
      <c r="BF287" s="345" cm="1">
        <f t="array" ref="BF287">IF(BM287&gt;=1,0,IFERROR(SUMPRODUCT(($G$11:$AH$11=$BF$16)*($G287:$AH287)),0))</f>
        <v>0</v>
      </c>
      <c r="BG287" s="345" cm="1">
        <f t="array" ref="BG287">IF(BM287&gt;=1,0,IFERROR(SUMPRODUCT(($G$11:$AH$11=$BG$16)*($G287:$AH287)),0))</f>
        <v>0</v>
      </c>
      <c r="BH287" s="345"/>
      <c r="BI287" s="343">
        <f t="shared" si="130"/>
        <v>0</v>
      </c>
      <c r="BJ287" s="230" t="s">
        <v>83</v>
      </c>
      <c r="BK287" cm="1">
        <f t="array" ref="BK287">(SUMPRODUCT(('Cashflow Summary C19RM'!$D$5:$D$451=E287)*('Cashflow Summary C19RM'!$BD$5:$BD$451)))</f>
        <v>0</v>
      </c>
      <c r="BL287" cm="1">
        <f t="array" ref="BL287">(SUMPRODUCT((SETUP!$D$20:$D$67=E287)*(SETUP!$R$20:$R$67)))</f>
        <v>0</v>
      </c>
      <c r="BM287" s="89">
        <f t="shared" si="128"/>
        <v>0</v>
      </c>
    </row>
    <row r="288" spans="2:97" s="89" customFormat="1" ht="15" customHeight="1" x14ac:dyDescent="0.35">
      <c r="B288" s="211" t="s">
        <v>748</v>
      </c>
      <c r="C288" s="699" t="s">
        <v>2750</v>
      </c>
      <c r="D288" s="1314"/>
      <c r="E288" s="1010" t="s">
        <v>29</v>
      </c>
      <c r="F288" s="697">
        <v>0</v>
      </c>
      <c r="G288" s="628" cm="1">
        <f t="array" ref="G288">$F288*(SUMPRODUCT(('Cashflow Summary C19RM'!$K$5:$K$239&lt;&gt;1)*('Cashflow Summary C19RM'!$D$5:$D$239=E288)*('Cashflow Summary C19RM'!$R$5:$R$239)))</f>
        <v>0</v>
      </c>
      <c r="H288" s="629" cm="1">
        <f t="array" ref="H288">$F288*(SUMPRODUCT(('Cashflow Summary C19RM'!$K$5:$K$239&lt;&gt;1)*('Cashflow Summary C19RM'!$D$5:$D$239=E288)*('Cashflow Summary C19RM'!$S$5:$S$239)))</f>
        <v>0</v>
      </c>
      <c r="I288" s="630" cm="1">
        <f t="array" ref="I288">$F288*(SUMPRODUCT(('Cashflow Summary C19RM'!$K$5:$K$239&lt;&gt;1)*('Cashflow Summary C19RM'!$D$5:$D$239=E288)*('Cashflow Summary C19RM'!$T$5:$T$239)))</f>
        <v>0</v>
      </c>
      <c r="J288" s="630" cm="1">
        <f t="array" ref="J288">$F288*(SUMPRODUCT(('Cashflow Summary C19RM'!$K$5:$K$239&lt;&gt;1)*('Cashflow Summary C19RM'!$D$5:$D$239=E288)*('Cashflow Summary C19RM'!$U$5:$U$239)))</f>
        <v>0</v>
      </c>
      <c r="K288" s="631">
        <f t="shared" si="114"/>
        <v>0</v>
      </c>
      <c r="L288" s="686">
        <f t="shared" si="115"/>
        <v>0</v>
      </c>
      <c r="M288" s="630" cm="1">
        <f t="array" ref="M288">$L288*(SUMPRODUCT(('Cashflow Summary C19RM'!$K$5:$K$239&lt;&gt;1)*('Cashflow Summary C19RM'!$D$5:$D$239=E288)*('Cashflow Summary C19RM'!$V$5:$V$239)))</f>
        <v>0</v>
      </c>
      <c r="N288" s="630" cm="1">
        <f t="array" ref="N288">$L288*(SUMPRODUCT(('Cashflow Summary C19RM'!$K$5:$K$239&lt;&gt;1)*('Cashflow Summary C19RM'!$D$5:$D$239=E288)*('Cashflow Summary C19RM'!$W$5:$W$239)))</f>
        <v>0</v>
      </c>
      <c r="O288" s="630" cm="1">
        <f t="array" ref="O288">$L288*(SUMPRODUCT(('Cashflow Summary C19RM'!$K$5:$K$239&lt;&gt;1)*('Cashflow Summary C19RM'!$D$5:$D$239=E288)*('Cashflow Summary C19RM'!$X$5:$X$239)))</f>
        <v>0</v>
      </c>
      <c r="P288" s="630" cm="1">
        <f t="array" ref="P288">$L288*(SUMPRODUCT(('Cashflow Summary C19RM'!$K$5:$K$239&lt;&gt;1)*('Cashflow Summary C19RM'!$D$5:$D$239=E288)*('Cashflow Summary C19RM'!$Y$5:$Y$239)))</f>
        <v>0</v>
      </c>
      <c r="Q288" s="632">
        <f t="shared" si="116"/>
        <v>0</v>
      </c>
      <c r="R288" s="686">
        <f t="shared" si="117"/>
        <v>0</v>
      </c>
      <c r="S288" s="633" cm="1">
        <f t="array" ref="S288">$R288*(SUMPRODUCT(('Cashflow Summary C19RM'!$K$5:$K$239&lt;&gt;1)*('Cashflow Summary C19RM'!$D$5:$D$239=E288)*('Cashflow Summary C19RM'!$Z$5:$Z$239)))</f>
        <v>0</v>
      </c>
      <c r="T288" s="633" cm="1">
        <f t="array" ref="T288">$R288*(SUMPRODUCT(('Cashflow Summary C19RM'!$K$5:$K$239&lt;&gt;1)*('Cashflow Summary C19RM'!$D$5:$D$239=E288)*('Cashflow Summary C19RM'!$AA$5:$AA$239)))</f>
        <v>0</v>
      </c>
      <c r="U288" s="633" cm="1">
        <f t="array" ref="U288">$R288*(SUMPRODUCT(('Cashflow Summary C19RM'!$K$5:$K$239&lt;&gt;1)*('Cashflow Summary C19RM'!$D$5:$D$239=E288)*('Cashflow Summary C19RM'!$AB$5:$AB$239)))</f>
        <v>0</v>
      </c>
      <c r="V288" s="633" cm="1">
        <f t="array" ref="V288">$R288*(SUMPRODUCT(('Cashflow Summary C19RM'!$K$5:$K$239&lt;&gt;1)*('Cashflow Summary C19RM'!$D$5:$D$239=E288)*('Cashflow Summary C19RM'!$AC$5:$AC$239)))</f>
        <v>0</v>
      </c>
      <c r="W288" s="634">
        <f t="shared" si="118"/>
        <v>0</v>
      </c>
      <c r="X288" s="686">
        <f t="shared" si="119"/>
        <v>0</v>
      </c>
      <c r="Y288" s="633" cm="1">
        <f t="array" ref="Y288">$X288*(SUMPRODUCT(('Cashflow Summary C19RM'!$K$5:$K$239&lt;&gt;1)*('Cashflow Summary C19RM'!$D$5:$D$239=E288)*('Cashflow Summary C19RM'!$AD$5:$AD$239)))</f>
        <v>0</v>
      </c>
      <c r="Z288" s="633" cm="1">
        <f t="array" ref="Z288">$X288*(SUMPRODUCT(('Cashflow Summary C19RM'!$K$5:$K$239&lt;&gt;1)*('Cashflow Summary C19RM'!$D$5:$D$239=E288)*('Cashflow Summary C19RM'!$AE$5:$AE$239)))</f>
        <v>0</v>
      </c>
      <c r="AA288" s="633" cm="1">
        <f t="array" ref="AA288">$X288*(SUMPRODUCT(('Cashflow Summary C19RM'!$K$5:$K$239&lt;&gt;1)*('Cashflow Summary C19RM'!$D$5:$D$239=E288)*('Cashflow Summary C19RM'!$AF$5:$AF$239)))</f>
        <v>0</v>
      </c>
      <c r="AB288" s="630" cm="1">
        <f t="array" ref="AB288">$X288*(SUMPRODUCT(('Cashflow Summary C19RM'!$K$5:$K$239&lt;&gt;1)*('Cashflow Summary C19RM'!$D$5:$D$239=E288)*('Cashflow Summary C19RM'!$AG$5:$AG$239)))</f>
        <v>0</v>
      </c>
      <c r="AC288" s="634">
        <f t="shared" si="120"/>
        <v>0</v>
      </c>
      <c r="AD288" s="686">
        <f t="shared" si="121"/>
        <v>0</v>
      </c>
      <c r="AE288" s="628" cm="1">
        <f t="array" ref="AE288">$AD288*(SUMPRODUCT(('Cashflow Summary C19RM'!$K$5:$K$239&lt;&gt;1)*('Cashflow Summary C19RM'!$D$5:$D$239=E288)*('Cashflow Summary C19RM'!$AH$5:$AH$239)))</f>
        <v>0</v>
      </c>
      <c r="AF288" s="633" cm="1">
        <f t="array" ref="AF288">$AD288*(SUMPRODUCT(('Cashflow Summary C19RM'!$K$5:$K$239&lt;&gt;1)*('Cashflow Summary C19RM'!$D$5:$D$239=E288)*('Cashflow Summary C19RM'!$AI$5:$AI$239)))</f>
        <v>0</v>
      </c>
      <c r="AG288" s="633" cm="1">
        <f t="array" ref="AG288">$AD288*(SUMPRODUCT(('Cashflow Summary C19RM'!$K$5:$K$239&lt;&gt;1)*('Cashflow Summary C19RM'!$D$5:$D$239=E288)*('Cashflow Summary C19RM'!$AJ$5:$AJ$239)))</f>
        <v>0</v>
      </c>
      <c r="AH288" s="633" cm="1">
        <f t="array" ref="AH288">$AD288*(SUMPRODUCT(('Cashflow Summary C19RM'!$K$5:$K$239&lt;&gt;1)*('Cashflow Summary C19RM'!$D$5:$D$239=E288)*('Cashflow Summary C19RM'!$AK$5:$AO$239)))</f>
        <v>0</v>
      </c>
      <c r="AI288" s="634">
        <f t="shared" si="122"/>
        <v>0</v>
      </c>
      <c r="AJ288" s="875">
        <v>0</v>
      </c>
      <c r="AK288" s="872"/>
      <c r="AL288" s="873"/>
      <c r="AM288" s="873"/>
      <c r="AN288" s="873"/>
      <c r="AO288" s="874"/>
      <c r="AP288" s="635">
        <f t="shared" si="129"/>
        <v>0</v>
      </c>
      <c r="AQ288" s="636">
        <v>7.5</v>
      </c>
      <c r="AR288" s="707"/>
      <c r="AS288" s="726"/>
      <c r="AV288" s="228">
        <f t="shared" si="123"/>
        <v>0</v>
      </c>
      <c r="AW288" s="228">
        <f t="shared" si="124"/>
        <v>0</v>
      </c>
      <c r="AX288" s="228">
        <f t="shared" si="125"/>
        <v>0</v>
      </c>
      <c r="AY288" s="228">
        <f t="shared" si="126"/>
        <v>0</v>
      </c>
      <c r="AZ288" s="228">
        <f t="shared" si="127"/>
        <v>0</v>
      </c>
      <c r="BA288" s="228"/>
      <c r="BC288" s="345" cm="1">
        <f t="array" ref="BC288">IF(BM288&gt;=1,0,IFERROR(SUMPRODUCT(($G$11:$AH$11=$BC$16)*($G288:$AH288)),0))</f>
        <v>0</v>
      </c>
      <c r="BD288" s="345" cm="1">
        <f t="array" ref="BD288">IF(BM288&gt;=1,0,IFERROR(SUMPRODUCT(($G$11:$AH$11=$BD$16)*($G288:$AH288)),0))</f>
        <v>0</v>
      </c>
      <c r="BE288" s="345" cm="1">
        <f t="array" ref="BE288">IF(BM288&gt;=1,0,IFERROR(SUMPRODUCT(($G$11:$AH$11=$BE$16)*($G288:$AH288)),0))</f>
        <v>0</v>
      </c>
      <c r="BF288" s="345" cm="1">
        <f t="array" ref="BF288">IF(BM288&gt;=1,0,IFERROR(SUMPRODUCT(($G$11:$AH$11=$BF$16)*($G288:$AH288)),0))</f>
        <v>0</v>
      </c>
      <c r="BG288" s="345" cm="1">
        <f t="array" ref="BG288">IF(BM288&gt;=1,0,IFERROR(SUMPRODUCT(($G$11:$AH$11=$BG$16)*($G288:$AH288)),0))</f>
        <v>0</v>
      </c>
      <c r="BH288" s="345"/>
      <c r="BI288" s="343">
        <f t="shared" si="130"/>
        <v>0</v>
      </c>
      <c r="BJ288" s="230" t="s">
        <v>83</v>
      </c>
      <c r="BK288" cm="1">
        <f t="array" ref="BK288">(SUMPRODUCT(('Cashflow Summary C19RM'!$D$5:$D$451=E288)*('Cashflow Summary C19RM'!$BD$5:$BD$451)))</f>
        <v>0</v>
      </c>
      <c r="BL288" cm="1">
        <f t="array" ref="BL288">(SUMPRODUCT((SETUP!$D$20:$D$67=E288)*(SETUP!$R$20:$R$67)))</f>
        <v>0</v>
      </c>
      <c r="BM288" s="89">
        <f t="shared" si="128"/>
        <v>0</v>
      </c>
    </row>
    <row r="289" spans="1:97" s="89" customFormat="1" ht="15" customHeight="1" x14ac:dyDescent="0.35">
      <c r="B289" s="211" t="s">
        <v>748</v>
      </c>
      <c r="C289" s="699" t="s">
        <v>2750</v>
      </c>
      <c r="D289" s="1314"/>
      <c r="E289" s="1010" t="s">
        <v>30</v>
      </c>
      <c r="F289" s="697">
        <v>0</v>
      </c>
      <c r="G289" s="628" cm="1">
        <f t="array" ref="G289">$F289*(SUMPRODUCT(('Cashflow Summary C19RM'!$K$5:$K$239&lt;&gt;1)*('Cashflow Summary C19RM'!$D$5:$D$239=E289)*('Cashflow Summary C19RM'!$R$5:$R$239)))</f>
        <v>0</v>
      </c>
      <c r="H289" s="629" cm="1">
        <f t="array" ref="H289">$F289*(SUMPRODUCT(('Cashflow Summary C19RM'!$K$5:$K$239&lt;&gt;1)*('Cashflow Summary C19RM'!$D$5:$D$239=E289)*('Cashflow Summary C19RM'!$S$5:$S$239)))</f>
        <v>0</v>
      </c>
      <c r="I289" s="630" cm="1">
        <f t="array" ref="I289">$F289*(SUMPRODUCT(('Cashflow Summary C19RM'!$K$5:$K$239&lt;&gt;1)*('Cashflow Summary C19RM'!$D$5:$D$239=E289)*('Cashflow Summary C19RM'!$T$5:$T$239)))</f>
        <v>0</v>
      </c>
      <c r="J289" s="630" cm="1">
        <f t="array" ref="J289">$F289*(SUMPRODUCT(('Cashflow Summary C19RM'!$K$5:$K$239&lt;&gt;1)*('Cashflow Summary C19RM'!$D$5:$D$239=E289)*('Cashflow Summary C19RM'!$U$5:$U$239)))</f>
        <v>0</v>
      </c>
      <c r="K289" s="631">
        <f t="shared" si="114"/>
        <v>0</v>
      </c>
      <c r="L289" s="686">
        <f t="shared" si="115"/>
        <v>0</v>
      </c>
      <c r="M289" s="630" cm="1">
        <f t="array" ref="M289">$L289*(SUMPRODUCT(('Cashflow Summary C19RM'!$K$5:$K$239&lt;&gt;1)*('Cashflow Summary C19RM'!$D$5:$D$239=E289)*('Cashflow Summary C19RM'!$V$5:$V$239)))</f>
        <v>0</v>
      </c>
      <c r="N289" s="630" cm="1">
        <f t="array" ref="N289">$L289*(SUMPRODUCT(('Cashflow Summary C19RM'!$K$5:$K$239&lt;&gt;1)*('Cashflow Summary C19RM'!$D$5:$D$239=E289)*('Cashflow Summary C19RM'!$W$5:$W$239)))</f>
        <v>0</v>
      </c>
      <c r="O289" s="630" cm="1">
        <f t="array" ref="O289">$L289*(SUMPRODUCT(('Cashflow Summary C19RM'!$K$5:$K$239&lt;&gt;1)*('Cashflow Summary C19RM'!$D$5:$D$239=E289)*('Cashflow Summary C19RM'!$X$5:$X$239)))</f>
        <v>0</v>
      </c>
      <c r="P289" s="630" cm="1">
        <f t="array" ref="P289">$L289*(SUMPRODUCT(('Cashflow Summary C19RM'!$K$5:$K$239&lt;&gt;1)*('Cashflow Summary C19RM'!$D$5:$D$239=E289)*('Cashflow Summary C19RM'!$Y$5:$Y$239)))</f>
        <v>0</v>
      </c>
      <c r="Q289" s="632">
        <f t="shared" si="116"/>
        <v>0</v>
      </c>
      <c r="R289" s="686">
        <f t="shared" si="117"/>
        <v>0</v>
      </c>
      <c r="S289" s="633" cm="1">
        <f t="array" ref="S289">$R289*(SUMPRODUCT(('Cashflow Summary C19RM'!$K$5:$K$239&lt;&gt;1)*('Cashflow Summary C19RM'!$D$5:$D$239=E289)*('Cashflow Summary C19RM'!$Z$5:$Z$239)))</f>
        <v>0</v>
      </c>
      <c r="T289" s="633" cm="1">
        <f t="array" ref="T289">$R289*(SUMPRODUCT(('Cashflow Summary C19RM'!$K$5:$K$239&lt;&gt;1)*('Cashflow Summary C19RM'!$D$5:$D$239=E289)*('Cashflow Summary C19RM'!$AA$5:$AA$239)))</f>
        <v>0</v>
      </c>
      <c r="U289" s="633" cm="1">
        <f t="array" ref="U289">$R289*(SUMPRODUCT(('Cashflow Summary C19RM'!$K$5:$K$239&lt;&gt;1)*('Cashflow Summary C19RM'!$D$5:$D$239=E289)*('Cashflow Summary C19RM'!$AB$5:$AB$239)))</f>
        <v>0</v>
      </c>
      <c r="V289" s="633" cm="1">
        <f t="array" ref="V289">$R289*(SUMPRODUCT(('Cashflow Summary C19RM'!$K$5:$K$239&lt;&gt;1)*('Cashflow Summary C19RM'!$D$5:$D$239=E289)*('Cashflow Summary C19RM'!$AC$5:$AC$239)))</f>
        <v>0</v>
      </c>
      <c r="W289" s="634">
        <f t="shared" si="118"/>
        <v>0</v>
      </c>
      <c r="X289" s="686">
        <f t="shared" si="119"/>
        <v>0</v>
      </c>
      <c r="Y289" s="633" cm="1">
        <f t="array" ref="Y289">$X289*(SUMPRODUCT(('Cashflow Summary C19RM'!$K$5:$K$239&lt;&gt;1)*('Cashflow Summary C19RM'!$D$5:$D$239=E289)*('Cashflow Summary C19RM'!$AD$5:$AD$239)))</f>
        <v>0</v>
      </c>
      <c r="Z289" s="633" cm="1">
        <f t="array" ref="Z289">$X289*(SUMPRODUCT(('Cashflow Summary C19RM'!$K$5:$K$239&lt;&gt;1)*('Cashflow Summary C19RM'!$D$5:$D$239=E289)*('Cashflow Summary C19RM'!$AE$5:$AE$239)))</f>
        <v>0</v>
      </c>
      <c r="AA289" s="633" cm="1">
        <f t="array" ref="AA289">$X289*(SUMPRODUCT(('Cashflow Summary C19RM'!$K$5:$K$239&lt;&gt;1)*('Cashflow Summary C19RM'!$D$5:$D$239=E289)*('Cashflow Summary C19RM'!$AF$5:$AF$239)))</f>
        <v>0</v>
      </c>
      <c r="AB289" s="630" cm="1">
        <f t="array" ref="AB289">$X289*(SUMPRODUCT(('Cashflow Summary C19RM'!$K$5:$K$239&lt;&gt;1)*('Cashflow Summary C19RM'!$D$5:$D$239=E289)*('Cashflow Summary C19RM'!$AG$5:$AG$239)))</f>
        <v>0</v>
      </c>
      <c r="AC289" s="634">
        <f t="shared" si="120"/>
        <v>0</v>
      </c>
      <c r="AD289" s="686">
        <f t="shared" si="121"/>
        <v>0</v>
      </c>
      <c r="AE289" s="628" cm="1">
        <f t="array" ref="AE289">$AD289*(SUMPRODUCT(('Cashflow Summary C19RM'!$K$5:$K$239&lt;&gt;1)*('Cashflow Summary C19RM'!$D$5:$D$239=E289)*('Cashflow Summary C19RM'!$AH$5:$AH$239)))</f>
        <v>0</v>
      </c>
      <c r="AF289" s="633" cm="1">
        <f t="array" ref="AF289">$AD289*(SUMPRODUCT(('Cashflow Summary C19RM'!$K$5:$K$239&lt;&gt;1)*('Cashflow Summary C19RM'!$D$5:$D$239=E289)*('Cashflow Summary C19RM'!$AI$5:$AI$239)))</f>
        <v>0</v>
      </c>
      <c r="AG289" s="633" cm="1">
        <f t="array" ref="AG289">$AD289*(SUMPRODUCT(('Cashflow Summary C19RM'!$K$5:$K$239&lt;&gt;1)*('Cashflow Summary C19RM'!$D$5:$D$239=E289)*('Cashflow Summary C19RM'!$AJ$5:$AJ$239)))</f>
        <v>0</v>
      </c>
      <c r="AH289" s="633" cm="1">
        <f t="array" ref="AH289">$AD289*(SUMPRODUCT(('Cashflow Summary C19RM'!$K$5:$K$239&lt;&gt;1)*('Cashflow Summary C19RM'!$D$5:$D$239=E289)*('Cashflow Summary C19RM'!$AK$5:$AO$239)))</f>
        <v>0</v>
      </c>
      <c r="AI289" s="634">
        <f t="shared" si="122"/>
        <v>0</v>
      </c>
      <c r="AJ289" s="875">
        <v>0</v>
      </c>
      <c r="AK289" s="872"/>
      <c r="AL289" s="873"/>
      <c r="AM289" s="873"/>
      <c r="AN289" s="873"/>
      <c r="AO289" s="874"/>
      <c r="AP289" s="635">
        <f t="shared" si="129"/>
        <v>0</v>
      </c>
      <c r="AQ289" s="636">
        <v>7.5</v>
      </c>
      <c r="AR289" s="707"/>
      <c r="AS289" s="726"/>
      <c r="AV289" s="228">
        <f t="shared" si="123"/>
        <v>0</v>
      </c>
      <c r="AW289" s="228">
        <f t="shared" si="124"/>
        <v>0</v>
      </c>
      <c r="AX289" s="228">
        <f t="shared" si="125"/>
        <v>0</v>
      </c>
      <c r="AY289" s="228">
        <f t="shared" si="126"/>
        <v>0</v>
      </c>
      <c r="AZ289" s="228">
        <f t="shared" si="127"/>
        <v>0</v>
      </c>
      <c r="BA289" s="228"/>
      <c r="BC289" s="345" cm="1">
        <f t="array" ref="BC289">IF(BM289&gt;=1,0,IFERROR(SUMPRODUCT(($G$11:$AH$11=$BC$16)*($G289:$AH289)),0))</f>
        <v>0</v>
      </c>
      <c r="BD289" s="345" cm="1">
        <f t="array" ref="BD289">IF(BM289&gt;=1,0,IFERROR(SUMPRODUCT(($G$11:$AH$11=$BD$16)*($G289:$AH289)),0))</f>
        <v>0</v>
      </c>
      <c r="BE289" s="345" cm="1">
        <f t="array" ref="BE289">IF(BM289&gt;=1,0,IFERROR(SUMPRODUCT(($G$11:$AH$11=$BE$16)*($G289:$AH289)),0))</f>
        <v>0</v>
      </c>
      <c r="BF289" s="345" cm="1">
        <f t="array" ref="BF289">IF(BM289&gt;=1,0,IFERROR(SUMPRODUCT(($G$11:$AH$11=$BF$16)*($G289:$AH289)),0))</f>
        <v>0</v>
      </c>
      <c r="BG289" s="345" cm="1">
        <f t="array" ref="BG289">IF(BM289&gt;=1,0,IFERROR(SUMPRODUCT(($G$11:$AH$11=$BG$16)*($G289:$AH289)),0))</f>
        <v>0</v>
      </c>
      <c r="BH289" s="345"/>
      <c r="BI289" s="343">
        <f t="shared" si="130"/>
        <v>0</v>
      </c>
      <c r="BJ289" s="230" t="s">
        <v>83</v>
      </c>
      <c r="BK289" cm="1">
        <f t="array" ref="BK289">(SUMPRODUCT(('Cashflow Summary C19RM'!$D$5:$D$451=E289)*('Cashflow Summary C19RM'!$BD$5:$BD$451)))</f>
        <v>0</v>
      </c>
      <c r="BL289" cm="1">
        <f t="array" ref="BL289">(SUMPRODUCT((SETUP!$D$20:$D$67=E289)*(SETUP!$R$20:$R$67)))</f>
        <v>0</v>
      </c>
      <c r="BM289" s="89">
        <f t="shared" si="128"/>
        <v>0</v>
      </c>
    </row>
    <row r="290" spans="1:97" s="89" customFormat="1" ht="15" customHeight="1" thickBot="1" x14ac:dyDescent="0.4">
      <c r="B290" s="211" t="s">
        <v>748</v>
      </c>
      <c r="C290" s="699" t="s">
        <v>2750</v>
      </c>
      <c r="D290" s="1315"/>
      <c r="E290" s="1011" t="s">
        <v>31</v>
      </c>
      <c r="F290" s="720">
        <v>0</v>
      </c>
      <c r="G290" s="709" cm="1">
        <f t="array" ref="G290">$F290*(SUMPRODUCT(('Cashflow Summary C19RM'!$K$5:$K$239&lt;&gt;1)*('Cashflow Summary C19RM'!$D$5:$D$239=E290)*('Cashflow Summary C19RM'!$R$5:$R$239)))</f>
        <v>0</v>
      </c>
      <c r="H290" s="1005" cm="1">
        <f t="array" ref="H290">$F290*(SUMPRODUCT(('Cashflow Summary C19RM'!$K$5:$K$239&lt;&gt;1)*('Cashflow Summary C19RM'!$D$5:$D$239=E290)*('Cashflow Summary C19RM'!$S$5:$S$239)))</f>
        <v>0</v>
      </c>
      <c r="I290" s="989" cm="1">
        <f t="array" ref="I290">$F290*(SUMPRODUCT(('Cashflow Summary C19RM'!$K$5:$K$239&lt;&gt;1)*('Cashflow Summary C19RM'!$D$5:$D$239=E290)*('Cashflow Summary C19RM'!$T$5:$T$239)))</f>
        <v>0</v>
      </c>
      <c r="J290" s="989" cm="1">
        <f t="array" ref="J290">$F290*(SUMPRODUCT(('Cashflow Summary C19RM'!$K$5:$K$239&lt;&gt;1)*('Cashflow Summary C19RM'!$D$5:$D$239=E290)*('Cashflow Summary C19RM'!$U$5:$U$239)))</f>
        <v>0</v>
      </c>
      <c r="K290" s="712">
        <f t="shared" si="114"/>
        <v>0</v>
      </c>
      <c r="L290" s="711">
        <f t="shared" si="115"/>
        <v>0</v>
      </c>
      <c r="M290" s="989" cm="1">
        <f t="array" ref="M290">$L290*(SUMPRODUCT(('Cashflow Summary C19RM'!$K$5:$K$239&lt;&gt;1)*('Cashflow Summary C19RM'!$D$5:$D$239=E290)*('Cashflow Summary C19RM'!$V$5:$V$239)))</f>
        <v>0</v>
      </c>
      <c r="N290" s="989" cm="1">
        <f t="array" ref="N290">$L290*(SUMPRODUCT(('Cashflow Summary C19RM'!$K$5:$K$239&lt;&gt;1)*('Cashflow Summary C19RM'!$D$5:$D$239=E290)*('Cashflow Summary C19RM'!$W$5:$W$239)))</f>
        <v>0</v>
      </c>
      <c r="O290" s="989" cm="1">
        <f t="array" ref="O290">$L290*(SUMPRODUCT(('Cashflow Summary C19RM'!$K$5:$K$239&lt;&gt;1)*('Cashflow Summary C19RM'!$D$5:$D$239=E290)*('Cashflow Summary C19RM'!$X$5:$X$239)))</f>
        <v>0</v>
      </c>
      <c r="P290" s="989" cm="1">
        <f t="array" ref="P290">$L290*(SUMPRODUCT(('Cashflow Summary C19RM'!$K$5:$K$239&lt;&gt;1)*('Cashflow Summary C19RM'!$D$5:$D$239=E290)*('Cashflow Summary C19RM'!$Y$5:$Y$239)))</f>
        <v>0</v>
      </c>
      <c r="Q290" s="710">
        <f t="shared" si="116"/>
        <v>0</v>
      </c>
      <c r="R290" s="711">
        <f t="shared" si="117"/>
        <v>0</v>
      </c>
      <c r="S290" s="704" cm="1">
        <f t="array" ref="S290">$R290*(SUMPRODUCT(('Cashflow Summary C19RM'!$K$5:$K$239&lt;&gt;1)*('Cashflow Summary C19RM'!$D$5:$D$239=E290)*('Cashflow Summary C19RM'!$Z$5:$Z$239)))</f>
        <v>0</v>
      </c>
      <c r="T290" s="704" cm="1">
        <f t="array" ref="T290">$R290*(SUMPRODUCT(('Cashflow Summary C19RM'!$K$5:$K$239&lt;&gt;1)*('Cashflow Summary C19RM'!$D$5:$D$239=E290)*('Cashflow Summary C19RM'!$AA$5:$AA$239)))</f>
        <v>0</v>
      </c>
      <c r="U290" s="704" cm="1">
        <f t="array" ref="U290">$R290*(SUMPRODUCT(('Cashflow Summary C19RM'!$K$5:$K$239&lt;&gt;1)*('Cashflow Summary C19RM'!$D$5:$D$239=E290)*('Cashflow Summary C19RM'!$AB$5:$AB$239)))</f>
        <v>0</v>
      </c>
      <c r="V290" s="704" cm="1">
        <f t="array" ref="V290">$R290*(SUMPRODUCT(('Cashflow Summary C19RM'!$K$5:$K$239&lt;&gt;1)*('Cashflow Summary C19RM'!$D$5:$D$239=E290)*('Cashflow Summary C19RM'!$AC$5:$AC$239)))</f>
        <v>0</v>
      </c>
      <c r="W290" s="993">
        <f t="shared" si="118"/>
        <v>0</v>
      </c>
      <c r="X290" s="711">
        <f t="shared" si="119"/>
        <v>0</v>
      </c>
      <c r="Y290" s="704" cm="1">
        <f t="array" ref="Y290">$X290*(SUMPRODUCT(('Cashflow Summary C19RM'!$K$5:$K$239&lt;&gt;1)*('Cashflow Summary C19RM'!$D$5:$D$239=E290)*('Cashflow Summary C19RM'!$AD$5:$AD$239)))</f>
        <v>0</v>
      </c>
      <c r="Z290" s="704" cm="1">
        <f t="array" ref="Z290">$X290*(SUMPRODUCT(('Cashflow Summary C19RM'!$K$5:$K$239&lt;&gt;1)*('Cashflow Summary C19RM'!$D$5:$D$239=E290)*('Cashflow Summary C19RM'!$AE$5:$AE$239)))</f>
        <v>0</v>
      </c>
      <c r="AA290" s="704" cm="1">
        <f t="array" ref="AA290">$X290*(SUMPRODUCT(('Cashflow Summary C19RM'!$K$5:$K$239&lt;&gt;1)*('Cashflow Summary C19RM'!$D$5:$D$239=E290)*('Cashflow Summary C19RM'!$AF$5:$AF$239)))</f>
        <v>0</v>
      </c>
      <c r="AB290" s="989" cm="1">
        <f t="array" ref="AB290">$X290*(SUMPRODUCT(('Cashflow Summary C19RM'!$K$5:$K$239&lt;&gt;1)*('Cashflow Summary C19RM'!$D$5:$D$239=E290)*('Cashflow Summary C19RM'!$AG$5:$AG$239)))</f>
        <v>0</v>
      </c>
      <c r="AC290" s="993">
        <f t="shared" si="120"/>
        <v>0</v>
      </c>
      <c r="AD290" s="711">
        <f t="shared" si="121"/>
        <v>0</v>
      </c>
      <c r="AE290" s="709" cm="1">
        <f t="array" ref="AE290">$AD290*(SUMPRODUCT(('Cashflow Summary C19RM'!$K$5:$K$239&lt;&gt;1)*('Cashflow Summary C19RM'!$D$5:$D$239=E290)*('Cashflow Summary C19RM'!$AH$5:$AH$239)))</f>
        <v>0</v>
      </c>
      <c r="AF290" s="704" cm="1">
        <f t="array" ref="AF290">$AD290*(SUMPRODUCT(('Cashflow Summary C19RM'!$K$5:$K$239&lt;&gt;1)*('Cashflow Summary C19RM'!$D$5:$D$239=E290)*('Cashflow Summary C19RM'!$AI$5:$AI$239)))</f>
        <v>0</v>
      </c>
      <c r="AG290" s="704" cm="1">
        <f t="array" ref="AG290">$AD290*(SUMPRODUCT(('Cashflow Summary C19RM'!$K$5:$K$239&lt;&gt;1)*('Cashflow Summary C19RM'!$D$5:$D$239=E290)*('Cashflow Summary C19RM'!$AJ$5:$AJ$239)))</f>
        <v>0</v>
      </c>
      <c r="AH290" s="704" cm="1">
        <f t="array" ref="AH290">$AD290*(SUMPRODUCT(('Cashflow Summary C19RM'!$K$5:$K$239&lt;&gt;1)*('Cashflow Summary C19RM'!$D$5:$D$239=E290)*('Cashflow Summary C19RM'!$AK$5:$AO$239)))</f>
        <v>0</v>
      </c>
      <c r="AI290" s="993">
        <f t="shared" si="122"/>
        <v>0</v>
      </c>
      <c r="AJ290" s="990">
        <v>0</v>
      </c>
      <c r="AK290" s="1006"/>
      <c r="AL290" s="1007"/>
      <c r="AM290" s="1007"/>
      <c r="AN290" s="1007"/>
      <c r="AO290" s="1008"/>
      <c r="AP290" s="713">
        <f t="shared" si="129"/>
        <v>0</v>
      </c>
      <c r="AQ290" s="714">
        <v>7.5</v>
      </c>
      <c r="AR290" s="715"/>
      <c r="AS290" s="726" t="s">
        <v>213</v>
      </c>
      <c r="AV290" s="228">
        <f t="shared" si="123"/>
        <v>0</v>
      </c>
      <c r="AW290" s="228">
        <f t="shared" si="124"/>
        <v>0</v>
      </c>
      <c r="AX290" s="228">
        <f t="shared" si="125"/>
        <v>0</v>
      </c>
      <c r="AY290" s="228">
        <f t="shared" si="126"/>
        <v>0</v>
      </c>
      <c r="AZ290" s="228">
        <f t="shared" si="127"/>
        <v>0</v>
      </c>
      <c r="BA290" s="228"/>
      <c r="BC290" s="345" cm="1">
        <f t="array" ref="BC290">IF(BM290&gt;=1,0,IFERROR(SUMPRODUCT(($G$11:$AH$11=$BC$16)*($G290:$AH290)),0))</f>
        <v>0</v>
      </c>
      <c r="BD290" s="345" cm="1">
        <f t="array" ref="BD290">IF(BM290&gt;=1,0,IFERROR(SUMPRODUCT(($G$11:$AH$11=$BD$16)*($G290:$AH290)),0))</f>
        <v>0</v>
      </c>
      <c r="BE290" s="345" cm="1">
        <f t="array" ref="BE290">IF(BM290&gt;=1,0,IFERROR(SUMPRODUCT(($G$11:$AH$11=$BE$16)*($G290:$AH290)),0))</f>
        <v>0</v>
      </c>
      <c r="BF290" s="345" cm="1">
        <f t="array" ref="BF290">IF(BM290&gt;=1,0,IFERROR(SUMPRODUCT(($G$11:$AH$11=$BF$16)*($G290:$AH290)),0))</f>
        <v>0</v>
      </c>
      <c r="BG290" s="345" cm="1">
        <f t="array" ref="BG290">IF(BM290&gt;=1,0,IFERROR(SUMPRODUCT(($G$11:$AH$11=$BG$16)*($G290:$AH290)),0))</f>
        <v>0</v>
      </c>
      <c r="BH290" s="345"/>
      <c r="BI290" s="343">
        <f t="shared" si="130"/>
        <v>0</v>
      </c>
      <c r="BJ290" s="230" t="s">
        <v>83</v>
      </c>
      <c r="BK290" cm="1">
        <f t="array" ref="BK290">(SUMPRODUCT(('Cashflow Summary C19RM'!$D$5:$D$451=E290)*('Cashflow Summary C19RM'!$BD$5:$BD$451)))</f>
        <v>0</v>
      </c>
      <c r="BL290" cm="1">
        <f t="array" ref="BL290">(SUMPRODUCT((SETUP!$D$20:$D$67=E290)*(SETUP!$R$20:$R$67)))</f>
        <v>0</v>
      </c>
      <c r="BM290" s="89">
        <f t="shared" si="128"/>
        <v>0</v>
      </c>
    </row>
    <row r="291" spans="1:97" s="89" customFormat="1" ht="15" hidden="1" customHeight="1" x14ac:dyDescent="0.35">
      <c r="A291" s="175"/>
      <c r="B291" s="211"/>
      <c r="C291" s="290"/>
      <c r="D291" s="1004"/>
      <c r="E291" s="995"/>
      <c r="F291" s="697"/>
      <c r="G291" s="628"/>
      <c r="H291" s="633"/>
      <c r="I291" s="633"/>
      <c r="J291" s="633"/>
      <c r="K291" s="631"/>
      <c r="L291" s="686"/>
      <c r="M291" s="630"/>
      <c r="N291" s="630"/>
      <c r="O291" s="630"/>
      <c r="P291" s="630"/>
      <c r="Q291" s="632"/>
      <c r="R291" s="686"/>
      <c r="S291" s="633"/>
      <c r="T291" s="633"/>
      <c r="U291" s="633"/>
      <c r="V291" s="633"/>
      <c r="W291" s="631"/>
      <c r="X291" s="686"/>
      <c r="Y291" s="633"/>
      <c r="Z291" s="633"/>
      <c r="AA291" s="633"/>
      <c r="AB291" s="633"/>
      <c r="AC291" s="631"/>
      <c r="AD291" s="631"/>
      <c r="AE291" s="631"/>
      <c r="AF291" s="631"/>
      <c r="AG291" s="631"/>
      <c r="AH291" s="631"/>
      <c r="AI291" s="631"/>
      <c r="AJ291" s="631"/>
      <c r="AK291" s="631"/>
      <c r="AL291" s="631"/>
      <c r="AM291" s="631"/>
      <c r="AN291" s="631"/>
      <c r="AO291" s="631"/>
      <c r="AP291" s="635"/>
      <c r="AQ291" s="636"/>
      <c r="AR291" s="707"/>
      <c r="AS291" s="310"/>
      <c r="AV291" s="228"/>
      <c r="AW291" s="228"/>
      <c r="AX291" s="228"/>
      <c r="AY291" s="228"/>
      <c r="AZ291" s="228"/>
      <c r="BA291" s="228"/>
      <c r="BC291" s="345"/>
      <c r="BD291" s="345"/>
      <c r="BE291" s="345"/>
      <c r="BF291" s="345"/>
      <c r="BG291" s="345"/>
      <c r="BH291" s="345"/>
      <c r="BI291" s="343"/>
      <c r="BJ291" s="290"/>
      <c r="BK291"/>
      <c r="BL291"/>
    </row>
    <row r="292" spans="1:97" s="175" customFormat="1" ht="14.15" hidden="1" customHeight="1" x14ac:dyDescent="0.35">
      <c r="A292" s="89"/>
      <c r="B292" s="211"/>
      <c r="C292" s="293"/>
      <c r="D292" s="1316"/>
      <c r="E292" s="703"/>
      <c r="F292" s="697"/>
      <c r="G292" s="628"/>
      <c r="H292" s="633"/>
      <c r="I292" s="633"/>
      <c r="J292" s="633"/>
      <c r="K292" s="631"/>
      <c r="L292" s="686"/>
      <c r="M292" s="633"/>
      <c r="N292" s="633"/>
      <c r="O292" s="633"/>
      <c r="P292" s="633"/>
      <c r="Q292" s="632"/>
      <c r="R292" s="686"/>
      <c r="S292" s="633"/>
      <c r="T292" s="633"/>
      <c r="U292" s="633"/>
      <c r="V292" s="633"/>
      <c r="W292" s="631"/>
      <c r="X292" s="686"/>
      <c r="Y292" s="633"/>
      <c r="Z292" s="633"/>
      <c r="AA292" s="633"/>
      <c r="AB292" s="633"/>
      <c r="AC292" s="631"/>
      <c r="AD292" s="631"/>
      <c r="AE292" s="631"/>
      <c r="AF292" s="631"/>
      <c r="AG292" s="631"/>
      <c r="AH292" s="631"/>
      <c r="AI292" s="631"/>
      <c r="AJ292" s="631"/>
      <c r="AK292" s="631"/>
      <c r="AL292" s="631"/>
      <c r="AM292" s="631"/>
      <c r="AN292" s="631"/>
      <c r="AO292" s="631"/>
      <c r="AP292" s="635"/>
      <c r="AQ292" s="636"/>
      <c r="AR292" s="707"/>
      <c r="AS292" s="310"/>
      <c r="AV292" s="228"/>
      <c r="AW292" s="228"/>
      <c r="AX292" s="228"/>
      <c r="AY292" s="228"/>
      <c r="AZ292" s="228"/>
      <c r="BA292" s="228"/>
      <c r="BC292" s="345"/>
      <c r="BD292" s="345"/>
      <c r="BE292" s="345"/>
      <c r="BF292" s="345"/>
      <c r="BG292" s="345"/>
      <c r="BH292" s="345"/>
      <c r="BI292" s="343"/>
      <c r="BJ292" s="294"/>
      <c r="BK292"/>
      <c r="BL292"/>
      <c r="BM292" s="89"/>
    </row>
    <row r="293" spans="1:97" s="89" customFormat="1" ht="15" hidden="1" customHeight="1" x14ac:dyDescent="0.35">
      <c r="B293" s="211"/>
      <c r="C293" s="293"/>
      <c r="D293" s="1316"/>
      <c r="E293" s="703"/>
      <c r="F293" s="697"/>
      <c r="G293" s="638"/>
      <c r="H293" s="639"/>
      <c r="I293" s="639"/>
      <c r="J293" s="639"/>
      <c r="K293" s="631"/>
      <c r="L293" s="686"/>
      <c r="M293" s="630"/>
      <c r="N293" s="630"/>
      <c r="O293" s="630"/>
      <c r="P293" s="630"/>
      <c r="Q293" s="632"/>
      <c r="R293" s="686"/>
      <c r="S293" s="633"/>
      <c r="T293" s="633"/>
      <c r="U293" s="633"/>
      <c r="V293" s="633"/>
      <c r="W293" s="631"/>
      <c r="X293" s="686"/>
      <c r="Y293" s="633"/>
      <c r="Z293" s="633"/>
      <c r="AA293" s="633"/>
      <c r="AB293" s="633"/>
      <c r="AC293" s="631"/>
      <c r="AD293" s="631"/>
      <c r="AE293" s="631"/>
      <c r="AF293" s="631"/>
      <c r="AG293" s="631"/>
      <c r="AH293" s="631"/>
      <c r="AI293" s="631"/>
      <c r="AJ293" s="631"/>
      <c r="AK293" s="631"/>
      <c r="AL293" s="631"/>
      <c r="AM293" s="631"/>
      <c r="AN293" s="631"/>
      <c r="AO293" s="631"/>
      <c r="AP293" s="635"/>
      <c r="AQ293" s="636"/>
      <c r="AR293" s="707"/>
      <c r="AS293" s="310"/>
      <c r="AV293" s="228"/>
      <c r="AW293" s="228"/>
      <c r="AX293" s="228"/>
      <c r="AY293" s="228"/>
      <c r="AZ293" s="228"/>
      <c r="BA293" s="228"/>
      <c r="BC293" s="345"/>
      <c r="BD293" s="345"/>
      <c r="BE293" s="345"/>
      <c r="BF293" s="345"/>
      <c r="BG293" s="345"/>
      <c r="BH293" s="345"/>
      <c r="BI293" s="343"/>
      <c r="BJ293" s="294"/>
      <c r="BK293"/>
      <c r="BL293"/>
    </row>
    <row r="294" spans="1:97" s="89" customFormat="1" ht="15" hidden="1" customHeight="1" x14ac:dyDescent="0.35">
      <c r="B294" s="211"/>
      <c r="C294" s="293"/>
      <c r="D294" s="1316"/>
      <c r="E294" s="703"/>
      <c r="F294" s="697"/>
      <c r="G294" s="628"/>
      <c r="H294" s="633"/>
      <c r="I294" s="633"/>
      <c r="J294" s="633"/>
      <c r="K294" s="631"/>
      <c r="L294" s="686"/>
      <c r="M294" s="630"/>
      <c r="N294" s="630"/>
      <c r="O294" s="630"/>
      <c r="P294" s="630"/>
      <c r="Q294" s="632"/>
      <c r="R294" s="686"/>
      <c r="S294" s="633"/>
      <c r="T294" s="633"/>
      <c r="U294" s="633"/>
      <c r="V294" s="633"/>
      <c r="W294" s="631"/>
      <c r="X294" s="686"/>
      <c r="Y294" s="633"/>
      <c r="Z294" s="633"/>
      <c r="AA294" s="633"/>
      <c r="AB294" s="633"/>
      <c r="AC294" s="631"/>
      <c r="AD294" s="631"/>
      <c r="AE294" s="631"/>
      <c r="AF294" s="631"/>
      <c r="AG294" s="631"/>
      <c r="AH294" s="631"/>
      <c r="AI294" s="631"/>
      <c r="AJ294" s="631"/>
      <c r="AK294" s="631"/>
      <c r="AL294" s="631"/>
      <c r="AM294" s="631"/>
      <c r="AN294" s="631"/>
      <c r="AO294" s="631"/>
      <c r="AP294" s="635"/>
      <c r="AQ294" s="636"/>
      <c r="AR294" s="707"/>
      <c r="AS294" s="310"/>
      <c r="AV294" s="228"/>
      <c r="AW294" s="228"/>
      <c r="AX294" s="228"/>
      <c r="AY294" s="228"/>
      <c r="AZ294" s="228"/>
      <c r="BA294" s="228"/>
      <c r="BC294" s="345"/>
      <c r="BD294" s="345"/>
      <c r="BE294" s="345"/>
      <c r="BF294" s="345"/>
      <c r="BG294" s="345"/>
      <c r="BH294" s="345"/>
      <c r="BI294" s="343"/>
      <c r="BJ294" s="294"/>
      <c r="BK294"/>
      <c r="BL294"/>
    </row>
    <row r="295" spans="1:97" s="89" customFormat="1" ht="15" hidden="1" customHeight="1" x14ac:dyDescent="0.35">
      <c r="B295" s="211"/>
      <c r="C295" s="293"/>
      <c r="D295" s="1316"/>
      <c r="E295" s="703"/>
      <c r="F295" s="697"/>
      <c r="G295" s="628"/>
      <c r="H295" s="633"/>
      <c r="I295" s="633"/>
      <c r="J295" s="633"/>
      <c r="K295" s="631"/>
      <c r="L295" s="686"/>
      <c r="M295" s="633"/>
      <c r="N295" s="633"/>
      <c r="O295" s="633"/>
      <c r="P295" s="633"/>
      <c r="Q295" s="632"/>
      <c r="R295" s="686"/>
      <c r="S295" s="633"/>
      <c r="T295" s="633"/>
      <c r="U295" s="633"/>
      <c r="V295" s="633"/>
      <c r="W295" s="631"/>
      <c r="X295" s="686"/>
      <c r="Y295" s="633"/>
      <c r="Z295" s="633"/>
      <c r="AA295" s="633"/>
      <c r="AB295" s="633"/>
      <c r="AC295" s="631"/>
      <c r="AD295" s="631"/>
      <c r="AE295" s="631"/>
      <c r="AF295" s="631"/>
      <c r="AG295" s="631"/>
      <c r="AH295" s="631"/>
      <c r="AI295" s="631"/>
      <c r="AJ295" s="631"/>
      <c r="AK295" s="631"/>
      <c r="AL295" s="631"/>
      <c r="AM295" s="631"/>
      <c r="AN295" s="631"/>
      <c r="AO295" s="631"/>
      <c r="AP295" s="635"/>
      <c r="AQ295" s="636"/>
      <c r="AR295" s="707"/>
      <c r="AS295" s="310"/>
      <c r="AV295" s="228"/>
      <c r="AW295" s="228"/>
      <c r="AX295" s="228"/>
      <c r="AY295" s="228"/>
      <c r="AZ295" s="228"/>
      <c r="BA295" s="228"/>
      <c r="BC295" s="345"/>
      <c r="BD295" s="345"/>
      <c r="BE295" s="345"/>
      <c r="BF295" s="345"/>
      <c r="BG295" s="345"/>
      <c r="BH295" s="345"/>
      <c r="BI295" s="343"/>
      <c r="BJ295" s="294"/>
      <c r="BK295"/>
      <c r="BL295"/>
    </row>
    <row r="296" spans="1:97" s="89" customFormat="1" ht="15" hidden="1" customHeight="1" x14ac:dyDescent="0.35">
      <c r="B296" s="211"/>
      <c r="C296" s="293"/>
      <c r="D296" s="1316"/>
      <c r="E296" s="703"/>
      <c r="F296" s="697"/>
      <c r="G296" s="628"/>
      <c r="H296" s="633"/>
      <c r="I296" s="633"/>
      <c r="J296" s="633"/>
      <c r="K296" s="631"/>
      <c r="L296" s="686"/>
      <c r="M296" s="633"/>
      <c r="N296" s="633"/>
      <c r="O296" s="633"/>
      <c r="P296" s="633"/>
      <c r="Q296" s="632"/>
      <c r="R296" s="686"/>
      <c r="S296" s="633"/>
      <c r="T296" s="633"/>
      <c r="U296" s="633"/>
      <c r="V296" s="633"/>
      <c r="W296" s="631"/>
      <c r="X296" s="686"/>
      <c r="Y296" s="633"/>
      <c r="Z296" s="633"/>
      <c r="AA296" s="633"/>
      <c r="AB296" s="633"/>
      <c r="AC296" s="631"/>
      <c r="AD296" s="631"/>
      <c r="AE296" s="631"/>
      <c r="AF296" s="631"/>
      <c r="AG296" s="631"/>
      <c r="AH296" s="631"/>
      <c r="AI296" s="631"/>
      <c r="AJ296" s="631"/>
      <c r="AK296" s="631"/>
      <c r="AL296" s="631"/>
      <c r="AM296" s="631"/>
      <c r="AN296" s="631"/>
      <c r="AO296" s="631"/>
      <c r="AP296" s="635"/>
      <c r="AQ296" s="636"/>
      <c r="AR296" s="707"/>
      <c r="AS296" s="310"/>
      <c r="AV296" s="228"/>
      <c r="AW296" s="228"/>
      <c r="AX296" s="228"/>
      <c r="AY296" s="228"/>
      <c r="AZ296" s="228"/>
      <c r="BA296" s="228"/>
      <c r="BC296" s="345"/>
      <c r="BD296" s="345"/>
      <c r="BE296" s="345"/>
      <c r="BF296" s="345"/>
      <c r="BG296" s="345"/>
      <c r="BH296" s="345"/>
      <c r="BI296" s="343"/>
      <c r="BJ296" s="294"/>
      <c r="BK296"/>
      <c r="BL296"/>
    </row>
    <row r="297" spans="1:97" s="89" customFormat="1" ht="15" hidden="1" customHeight="1" x14ac:dyDescent="0.35">
      <c r="B297" s="211"/>
      <c r="C297" s="293"/>
      <c r="D297" s="1316"/>
      <c r="E297" s="703"/>
      <c r="F297" s="697"/>
      <c r="G297" s="628"/>
      <c r="H297" s="633"/>
      <c r="I297" s="633"/>
      <c r="J297" s="633"/>
      <c r="K297" s="631"/>
      <c r="L297" s="686"/>
      <c r="M297" s="633"/>
      <c r="N297" s="633"/>
      <c r="O297" s="633"/>
      <c r="P297" s="633"/>
      <c r="Q297" s="632"/>
      <c r="R297" s="686"/>
      <c r="S297" s="633"/>
      <c r="T297" s="633"/>
      <c r="U297" s="633"/>
      <c r="V297" s="633"/>
      <c r="W297" s="631"/>
      <c r="X297" s="686"/>
      <c r="Y297" s="633"/>
      <c r="Z297" s="633"/>
      <c r="AA297" s="633"/>
      <c r="AB297" s="633"/>
      <c r="AC297" s="631"/>
      <c r="AD297" s="631"/>
      <c r="AE297" s="631"/>
      <c r="AF297" s="631"/>
      <c r="AG297" s="631"/>
      <c r="AH297" s="631"/>
      <c r="AI297" s="631"/>
      <c r="AJ297" s="631"/>
      <c r="AK297" s="631"/>
      <c r="AL297" s="631"/>
      <c r="AM297" s="631"/>
      <c r="AN297" s="631"/>
      <c r="AO297" s="631"/>
      <c r="AP297" s="635"/>
      <c r="AQ297" s="636"/>
      <c r="AR297" s="707"/>
      <c r="AS297" s="310"/>
      <c r="AV297" s="228"/>
      <c r="AW297" s="228"/>
      <c r="AX297" s="228"/>
      <c r="AY297" s="228"/>
      <c r="AZ297" s="228"/>
      <c r="BA297" s="228"/>
      <c r="BC297" s="345"/>
      <c r="BD297" s="345"/>
      <c r="BE297" s="345"/>
      <c r="BF297" s="345"/>
      <c r="BG297" s="345"/>
      <c r="BH297" s="345"/>
      <c r="BI297" s="343"/>
      <c r="BJ297" s="294"/>
      <c r="BK297"/>
      <c r="BL297"/>
    </row>
    <row r="298" spans="1:97" s="89" customFormat="1" ht="15" hidden="1" customHeight="1" x14ac:dyDescent="0.35">
      <c r="B298" s="211"/>
      <c r="C298" s="293"/>
      <c r="D298" s="1316"/>
      <c r="E298" s="703"/>
      <c r="F298" s="697"/>
      <c r="G298" s="628"/>
      <c r="H298" s="633"/>
      <c r="I298" s="633"/>
      <c r="J298" s="633"/>
      <c r="K298" s="631"/>
      <c r="L298" s="686"/>
      <c r="M298" s="630"/>
      <c r="N298" s="630"/>
      <c r="O298" s="630"/>
      <c r="P298" s="630"/>
      <c r="Q298" s="632"/>
      <c r="R298" s="686"/>
      <c r="S298" s="633"/>
      <c r="T298" s="633"/>
      <c r="U298" s="633"/>
      <c r="V298" s="633"/>
      <c r="W298" s="631"/>
      <c r="X298" s="686"/>
      <c r="Y298" s="633"/>
      <c r="Z298" s="633"/>
      <c r="AA298" s="633"/>
      <c r="AB298" s="633"/>
      <c r="AC298" s="631"/>
      <c r="AD298" s="631"/>
      <c r="AE298" s="631"/>
      <c r="AF298" s="631"/>
      <c r="AG298" s="631"/>
      <c r="AH298" s="631"/>
      <c r="AI298" s="631"/>
      <c r="AJ298" s="631"/>
      <c r="AK298" s="631"/>
      <c r="AL298" s="631"/>
      <c r="AM298" s="631"/>
      <c r="AN298" s="631"/>
      <c r="AO298" s="631"/>
      <c r="AP298" s="635"/>
      <c r="AQ298" s="636"/>
      <c r="AR298" s="707"/>
      <c r="AS298" s="310"/>
      <c r="AV298" s="228"/>
      <c r="AW298" s="228"/>
      <c r="AX298" s="228"/>
      <c r="AY298" s="228"/>
      <c r="AZ298" s="228"/>
      <c r="BA298" s="228"/>
      <c r="BC298" s="345"/>
      <c r="BD298" s="345"/>
      <c r="BE298" s="345"/>
      <c r="BF298" s="345"/>
      <c r="BG298" s="345"/>
      <c r="BH298" s="345"/>
      <c r="BI298" s="343"/>
      <c r="BJ298" s="294"/>
      <c r="BK298"/>
      <c r="BL298"/>
    </row>
    <row r="299" spans="1:97" s="89" customFormat="1" ht="15" hidden="1" customHeight="1" x14ac:dyDescent="0.35">
      <c r="B299" s="211"/>
      <c r="C299" s="293"/>
      <c r="D299" s="1316"/>
      <c r="E299" s="703"/>
      <c r="F299" s="697"/>
      <c r="G299" s="628"/>
      <c r="H299" s="633"/>
      <c r="I299" s="633"/>
      <c r="J299" s="633"/>
      <c r="K299" s="631"/>
      <c r="L299" s="686"/>
      <c r="M299" s="633"/>
      <c r="N299" s="633"/>
      <c r="O299" s="633"/>
      <c r="P299" s="633"/>
      <c r="Q299" s="632"/>
      <c r="R299" s="686"/>
      <c r="S299" s="633"/>
      <c r="T299" s="633"/>
      <c r="U299" s="633"/>
      <c r="V299" s="633"/>
      <c r="W299" s="631"/>
      <c r="X299" s="686"/>
      <c r="Y299" s="633"/>
      <c r="Z299" s="633"/>
      <c r="AA299" s="633"/>
      <c r="AB299" s="633"/>
      <c r="AC299" s="631"/>
      <c r="AD299" s="631"/>
      <c r="AE299" s="631"/>
      <c r="AF299" s="631"/>
      <c r="AG299" s="631"/>
      <c r="AH299" s="631"/>
      <c r="AI299" s="631"/>
      <c r="AJ299" s="631"/>
      <c r="AK299" s="631"/>
      <c r="AL299" s="631"/>
      <c r="AM299" s="631"/>
      <c r="AN299" s="631"/>
      <c r="AO299" s="631"/>
      <c r="AP299" s="635"/>
      <c r="AQ299" s="636"/>
      <c r="AR299" s="707"/>
      <c r="AS299" s="310"/>
      <c r="AV299" s="228"/>
      <c r="AW299" s="228"/>
      <c r="AX299" s="228"/>
      <c r="AY299" s="228"/>
      <c r="AZ299" s="228"/>
      <c r="BA299" s="228"/>
      <c r="BC299" s="345"/>
      <c r="BD299" s="345"/>
      <c r="BE299" s="345"/>
      <c r="BF299" s="345"/>
      <c r="BG299" s="345"/>
      <c r="BH299" s="345"/>
      <c r="BI299" s="343"/>
      <c r="BJ299" s="294"/>
      <c r="BK299"/>
      <c r="BL299"/>
    </row>
    <row r="300" spans="1:97" s="89" customFormat="1" ht="15" hidden="1" customHeight="1" x14ac:dyDescent="0.35">
      <c r="B300" s="211"/>
      <c r="C300" s="293"/>
      <c r="D300" s="1316"/>
      <c r="E300" s="703"/>
      <c r="F300" s="697"/>
      <c r="G300" s="628"/>
      <c r="H300" s="633"/>
      <c r="I300" s="633"/>
      <c r="J300" s="633"/>
      <c r="K300" s="631"/>
      <c r="L300" s="686"/>
      <c r="M300" s="633"/>
      <c r="N300" s="633"/>
      <c r="O300" s="633"/>
      <c r="P300" s="633"/>
      <c r="Q300" s="632"/>
      <c r="R300" s="686"/>
      <c r="S300" s="633"/>
      <c r="T300" s="633"/>
      <c r="U300" s="633"/>
      <c r="V300" s="633"/>
      <c r="W300" s="631"/>
      <c r="X300" s="686"/>
      <c r="Y300" s="633"/>
      <c r="Z300" s="633"/>
      <c r="AA300" s="633"/>
      <c r="AB300" s="633"/>
      <c r="AC300" s="631"/>
      <c r="AD300" s="631"/>
      <c r="AE300" s="631"/>
      <c r="AF300" s="631"/>
      <c r="AG300" s="631"/>
      <c r="AH300" s="631"/>
      <c r="AI300" s="631"/>
      <c r="AJ300" s="631"/>
      <c r="AK300" s="631"/>
      <c r="AL300" s="631"/>
      <c r="AM300" s="631"/>
      <c r="AN300" s="631"/>
      <c r="AO300" s="631"/>
      <c r="AP300" s="635"/>
      <c r="AQ300" s="636"/>
      <c r="AR300" s="707"/>
      <c r="AS300" s="310"/>
      <c r="AV300" s="228"/>
      <c r="AW300" s="228"/>
      <c r="AX300" s="228"/>
      <c r="AY300" s="228"/>
      <c r="AZ300" s="228"/>
      <c r="BA300" s="228"/>
      <c r="BC300" s="345"/>
      <c r="BD300" s="345"/>
      <c r="BE300" s="345"/>
      <c r="BF300" s="345"/>
      <c r="BG300" s="345"/>
      <c r="BH300" s="345"/>
      <c r="BI300" s="343"/>
      <c r="BJ300" s="294"/>
      <c r="BK300"/>
      <c r="BL300"/>
    </row>
    <row r="301" spans="1:97" s="89" customFormat="1" ht="15" hidden="1" customHeight="1" x14ac:dyDescent="0.35">
      <c r="B301" s="211"/>
      <c r="C301" s="293"/>
      <c r="D301" s="1316"/>
      <c r="E301" s="703"/>
      <c r="F301" s="697"/>
      <c r="G301" s="628"/>
      <c r="H301" s="633"/>
      <c r="I301" s="633"/>
      <c r="J301" s="633"/>
      <c r="K301" s="631"/>
      <c r="L301" s="686"/>
      <c r="M301" s="633"/>
      <c r="N301" s="633"/>
      <c r="O301" s="633"/>
      <c r="P301" s="633"/>
      <c r="Q301" s="632"/>
      <c r="R301" s="686"/>
      <c r="S301" s="633"/>
      <c r="T301" s="633"/>
      <c r="U301" s="633"/>
      <c r="V301" s="633"/>
      <c r="W301" s="631"/>
      <c r="X301" s="686"/>
      <c r="Y301" s="633"/>
      <c r="Z301" s="633"/>
      <c r="AA301" s="633"/>
      <c r="AB301" s="633"/>
      <c r="AC301" s="631"/>
      <c r="AD301" s="631"/>
      <c r="AE301" s="631"/>
      <c r="AF301" s="631"/>
      <c r="AG301" s="631"/>
      <c r="AH301" s="631"/>
      <c r="AI301" s="631"/>
      <c r="AJ301" s="631"/>
      <c r="AK301" s="631"/>
      <c r="AL301" s="631"/>
      <c r="AM301" s="631"/>
      <c r="AN301" s="631"/>
      <c r="AO301" s="631"/>
      <c r="AP301" s="635"/>
      <c r="AQ301" s="636"/>
      <c r="AR301" s="707"/>
      <c r="AS301" s="310"/>
      <c r="AV301" s="228"/>
      <c r="AW301" s="228"/>
      <c r="AX301" s="228"/>
      <c r="AY301" s="228"/>
      <c r="AZ301" s="228"/>
      <c r="BA301" s="228"/>
      <c r="BC301" s="345"/>
      <c r="BD301" s="345"/>
      <c r="BE301" s="345"/>
      <c r="BF301" s="345"/>
      <c r="BG301" s="345"/>
      <c r="BH301" s="345"/>
      <c r="BI301" s="343"/>
      <c r="BJ301" s="294"/>
      <c r="BK301"/>
      <c r="BL301"/>
    </row>
    <row r="302" spans="1:97" s="89" customFormat="1" ht="15" hidden="1" customHeight="1" thickBot="1" x14ac:dyDescent="0.4">
      <c r="B302" s="291"/>
      <c r="C302" s="733"/>
      <c r="D302" s="1317"/>
      <c r="E302" s="708"/>
      <c r="F302" s="720"/>
      <c r="G302" s="709"/>
      <c r="H302" s="704"/>
      <c r="I302" s="704"/>
      <c r="J302" s="704"/>
      <c r="K302" s="712"/>
      <c r="L302" s="711"/>
      <c r="M302" s="709"/>
      <c r="N302" s="704"/>
      <c r="O302" s="704"/>
      <c r="P302" s="704"/>
      <c r="Q302" s="710"/>
      <c r="R302" s="711"/>
      <c r="S302" s="704"/>
      <c r="T302" s="704"/>
      <c r="U302" s="704"/>
      <c r="V302" s="704"/>
      <c r="W302" s="712"/>
      <c r="X302" s="711"/>
      <c r="Y302" s="709"/>
      <c r="Z302" s="704"/>
      <c r="AA302" s="704"/>
      <c r="AB302" s="704"/>
      <c r="AC302" s="712"/>
      <c r="AD302" s="712"/>
      <c r="AE302" s="712"/>
      <c r="AF302" s="712"/>
      <c r="AG302" s="712"/>
      <c r="AH302" s="712"/>
      <c r="AI302" s="712"/>
      <c r="AJ302" s="712"/>
      <c r="AK302" s="712"/>
      <c r="AL302" s="712"/>
      <c r="AM302" s="712"/>
      <c r="AN302" s="712"/>
      <c r="AO302" s="712"/>
      <c r="AP302" s="713"/>
      <c r="AQ302" s="714"/>
      <c r="AR302" s="715"/>
      <c r="AS302" s="312"/>
      <c r="AV302" s="228"/>
      <c r="AW302" s="228"/>
      <c r="AX302" s="228"/>
      <c r="AY302" s="228"/>
      <c r="AZ302" s="228"/>
      <c r="BA302" s="228"/>
      <c r="BC302" s="345"/>
      <c r="BD302" s="345"/>
      <c r="BE302" s="345"/>
      <c r="BF302" s="345"/>
      <c r="BG302" s="345"/>
      <c r="BH302" s="345"/>
      <c r="BI302" s="343"/>
      <c r="BJ302" s="295"/>
      <c r="BK302"/>
      <c r="BL302"/>
    </row>
    <row r="303" spans="1:97" s="89" customFormat="1" ht="13" hidden="1" customHeight="1" x14ac:dyDescent="0.3">
      <c r="B303" s="212"/>
      <c r="C303" s="728"/>
      <c r="D303" s="681"/>
      <c r="E303" s="683"/>
      <c r="F303" s="645"/>
      <c r="G303" s="628"/>
      <c r="H303" s="633"/>
      <c r="I303" s="633"/>
      <c r="J303" s="633"/>
      <c r="K303" s="631"/>
      <c r="L303" s="627"/>
      <c r="M303" s="630"/>
      <c r="N303" s="630"/>
      <c r="O303" s="630"/>
      <c r="P303" s="630"/>
      <c r="Q303" s="632"/>
      <c r="R303" s="627"/>
      <c r="S303" s="633"/>
      <c r="T303" s="633"/>
      <c r="U303" s="633"/>
      <c r="V303" s="633"/>
      <c r="W303" s="634"/>
      <c r="X303" s="627"/>
      <c r="Y303" s="633"/>
      <c r="Z303" s="633"/>
      <c r="AA303" s="633"/>
      <c r="AB303" s="633"/>
      <c r="AC303" s="634"/>
      <c r="AD303" s="634"/>
      <c r="AE303" s="634"/>
      <c r="AF303" s="634"/>
      <c r="AG303" s="634"/>
      <c r="AH303" s="634"/>
      <c r="AI303" s="634"/>
      <c r="AJ303" s="634"/>
      <c r="AK303" s="634"/>
      <c r="AL303" s="634"/>
      <c r="AM303" s="634"/>
      <c r="AN303" s="634"/>
      <c r="AO303" s="634"/>
      <c r="AP303" s="635"/>
      <c r="AQ303" s="646"/>
      <c r="AR303" s="647"/>
      <c r="AS303" s="313"/>
      <c r="AT303" s="177"/>
      <c r="AU303" s="178"/>
      <c r="AV303" s="228"/>
      <c r="AW303" s="228"/>
      <c r="AX303" s="228"/>
      <c r="AY303" s="228"/>
      <c r="AZ303" s="228"/>
      <c r="BA303" s="228"/>
      <c r="BB303" s="60"/>
      <c r="BC303" s="345"/>
      <c r="BD303" s="345"/>
      <c r="BE303" s="345"/>
      <c r="BF303" s="345"/>
      <c r="BG303" s="345"/>
      <c r="BH303" s="345"/>
      <c r="BI303" s="60"/>
      <c r="BJ303" s="60"/>
      <c r="BK303" s="60"/>
      <c r="BL303" s="60"/>
      <c r="BM303" s="60"/>
      <c r="BN303" s="60"/>
      <c r="BO303" s="60"/>
      <c r="BP303" s="60"/>
      <c r="BQ303" s="60"/>
      <c r="BR303" s="60"/>
      <c r="BS303" s="60"/>
      <c r="BT303" s="60"/>
      <c r="BU303" s="60"/>
      <c r="BV303" s="60"/>
      <c r="BW303" s="60"/>
      <c r="BX303" s="60"/>
      <c r="BY303" s="60"/>
      <c r="BZ303" s="60"/>
      <c r="CA303" s="60"/>
      <c r="CB303" s="60"/>
      <c r="CC303" s="60"/>
      <c r="CD303" s="60"/>
      <c r="CE303" s="60"/>
      <c r="CF303" s="60"/>
      <c r="CG303" s="60"/>
      <c r="CH303" s="60"/>
      <c r="CI303" s="60"/>
      <c r="CJ303" s="60"/>
      <c r="CK303" s="60"/>
      <c r="CL303" s="60"/>
      <c r="CM303" s="60"/>
      <c r="CN303" s="60"/>
      <c r="CO303" s="60"/>
      <c r="CP303" s="60"/>
      <c r="CQ303" s="60"/>
      <c r="CR303" s="60"/>
      <c r="CS303" s="60"/>
    </row>
    <row r="304" spans="1:97" s="89" customFormat="1" ht="13" hidden="1" customHeight="1" x14ac:dyDescent="0.3">
      <c r="B304" s="211"/>
      <c r="C304" s="211"/>
      <c r="D304" s="682"/>
      <c r="E304" s="683"/>
      <c r="F304" s="645"/>
      <c r="G304" s="628"/>
      <c r="H304" s="633"/>
      <c r="I304" s="633"/>
      <c r="J304" s="633"/>
      <c r="K304" s="631"/>
      <c r="L304" s="627"/>
      <c r="M304" s="630"/>
      <c r="N304" s="630"/>
      <c r="O304" s="630"/>
      <c r="P304" s="630"/>
      <c r="Q304" s="632"/>
      <c r="R304" s="627"/>
      <c r="S304" s="633"/>
      <c r="T304" s="633"/>
      <c r="U304" s="633"/>
      <c r="V304" s="633"/>
      <c r="W304" s="634"/>
      <c r="X304" s="627"/>
      <c r="Y304" s="633"/>
      <c r="Z304" s="633"/>
      <c r="AA304" s="633"/>
      <c r="AB304" s="633"/>
      <c r="AC304" s="634"/>
      <c r="AD304" s="634"/>
      <c r="AE304" s="634"/>
      <c r="AF304" s="634"/>
      <c r="AG304" s="634"/>
      <c r="AH304" s="634"/>
      <c r="AI304" s="634"/>
      <c r="AJ304" s="634"/>
      <c r="AK304" s="634"/>
      <c r="AL304" s="634"/>
      <c r="AM304" s="634"/>
      <c r="AN304" s="634"/>
      <c r="AO304" s="634"/>
      <c r="AP304" s="635"/>
      <c r="AQ304" s="648"/>
      <c r="AR304" s="647"/>
      <c r="AS304" s="313"/>
      <c r="AT304" s="177"/>
      <c r="AU304" s="178"/>
      <c r="AV304" s="60"/>
      <c r="AW304" s="60"/>
      <c r="AX304" s="60"/>
      <c r="AY304" s="60"/>
      <c r="AZ304" s="60"/>
      <c r="BA304" s="60"/>
      <c r="BB304" s="60"/>
      <c r="BC304" s="345"/>
      <c r="BD304" s="345"/>
      <c r="BE304" s="345"/>
      <c r="BF304" s="345"/>
      <c r="BG304" s="345"/>
      <c r="BH304" s="345"/>
      <c r="BI304" s="60"/>
      <c r="BJ304" s="60"/>
      <c r="BK304" s="60"/>
      <c r="BL304" s="60"/>
      <c r="BM304" s="60"/>
      <c r="BN304" s="60"/>
      <c r="BO304" s="60"/>
      <c r="BP304" s="60"/>
      <c r="BQ304" s="60"/>
      <c r="BR304" s="60"/>
      <c r="BS304" s="60"/>
      <c r="BT304" s="60"/>
      <c r="BU304" s="60"/>
      <c r="BV304" s="60"/>
      <c r="BW304" s="60"/>
      <c r="BX304" s="60"/>
      <c r="BY304" s="60"/>
      <c r="BZ304" s="60"/>
      <c r="CA304" s="60"/>
      <c r="CB304" s="60"/>
      <c r="CC304" s="60"/>
      <c r="CD304" s="60"/>
      <c r="CE304" s="60"/>
      <c r="CF304" s="60"/>
      <c r="CG304" s="60"/>
      <c r="CH304" s="60"/>
      <c r="CI304" s="60"/>
      <c r="CJ304" s="60"/>
      <c r="CK304" s="60"/>
      <c r="CL304" s="60"/>
      <c r="CM304" s="60"/>
      <c r="CN304" s="60"/>
      <c r="CO304" s="60"/>
      <c r="CP304" s="60"/>
      <c r="CQ304" s="60"/>
      <c r="CR304" s="60"/>
      <c r="CS304" s="60"/>
    </row>
    <row r="305" spans="1:97" s="89" customFormat="1" ht="13" hidden="1" customHeight="1" x14ac:dyDescent="0.3">
      <c r="B305" s="211"/>
      <c r="C305" s="211"/>
      <c r="D305" s="682"/>
      <c r="E305" s="626"/>
      <c r="F305" s="645"/>
      <c r="G305" s="628"/>
      <c r="H305" s="633"/>
      <c r="I305" s="633"/>
      <c r="J305" s="633"/>
      <c r="K305" s="631"/>
      <c r="L305" s="627"/>
      <c r="M305" s="630"/>
      <c r="N305" s="630"/>
      <c r="O305" s="630"/>
      <c r="P305" s="630"/>
      <c r="Q305" s="632"/>
      <c r="R305" s="627"/>
      <c r="S305" s="633"/>
      <c r="T305" s="633"/>
      <c r="U305" s="633"/>
      <c r="V305" s="633"/>
      <c r="W305" s="634"/>
      <c r="X305" s="627"/>
      <c r="Y305" s="633"/>
      <c r="Z305" s="633"/>
      <c r="AA305" s="633"/>
      <c r="AB305" s="633"/>
      <c r="AC305" s="634"/>
      <c r="AD305" s="634"/>
      <c r="AE305" s="634"/>
      <c r="AF305" s="634"/>
      <c r="AG305" s="634"/>
      <c r="AH305" s="634"/>
      <c r="AI305" s="634"/>
      <c r="AJ305" s="634"/>
      <c r="AK305" s="634"/>
      <c r="AL305" s="634"/>
      <c r="AM305" s="634"/>
      <c r="AN305" s="634"/>
      <c r="AO305" s="634"/>
      <c r="AP305" s="635"/>
      <c r="AQ305" s="648"/>
      <c r="AR305" s="647"/>
      <c r="AS305" s="313"/>
      <c r="AT305" s="177"/>
      <c r="AU305" s="178"/>
      <c r="AV305" s="60"/>
      <c r="AW305" s="60"/>
      <c r="AX305" s="60"/>
      <c r="AY305" s="60"/>
      <c r="AZ305" s="60"/>
      <c r="BA305" s="60"/>
      <c r="BB305" s="60"/>
      <c r="BC305" s="345"/>
      <c r="BD305" s="345"/>
      <c r="BE305" s="345"/>
      <c r="BF305" s="345"/>
      <c r="BG305" s="345"/>
      <c r="BH305" s="345"/>
      <c r="BI305" s="60"/>
      <c r="BJ305" s="60"/>
      <c r="BK305" s="60"/>
      <c r="BL305" s="60"/>
      <c r="BM305" s="60"/>
      <c r="BN305" s="60"/>
      <c r="BO305" s="60"/>
      <c r="BP305" s="60"/>
      <c r="BQ305" s="60"/>
      <c r="BR305" s="60"/>
      <c r="BS305" s="60"/>
      <c r="BT305" s="60"/>
      <c r="BU305" s="60"/>
      <c r="BV305" s="60"/>
      <c r="BW305" s="60"/>
      <c r="BX305" s="60"/>
      <c r="BY305" s="60"/>
      <c r="BZ305" s="60"/>
      <c r="CA305" s="60"/>
      <c r="CB305" s="60"/>
      <c r="CC305" s="60"/>
      <c r="CD305" s="60"/>
      <c r="CE305" s="60"/>
      <c r="CF305" s="60"/>
      <c r="CG305" s="60"/>
      <c r="CH305" s="60"/>
      <c r="CI305" s="60"/>
      <c r="CJ305" s="60"/>
      <c r="CK305" s="60"/>
      <c r="CL305" s="60"/>
      <c r="CM305" s="60"/>
      <c r="CN305" s="60"/>
      <c r="CO305" s="60"/>
      <c r="CP305" s="60"/>
      <c r="CQ305" s="60"/>
      <c r="CR305" s="60"/>
      <c r="CS305" s="60"/>
    </row>
    <row r="306" spans="1:97" s="89" customFormat="1" ht="13" hidden="1" customHeight="1" x14ac:dyDescent="0.3">
      <c r="B306" s="211"/>
      <c r="C306" s="211"/>
      <c r="D306" s="682"/>
      <c r="E306" s="626"/>
      <c r="F306" s="645"/>
      <c r="G306" s="628"/>
      <c r="H306" s="633"/>
      <c r="I306" s="633"/>
      <c r="J306" s="633"/>
      <c r="K306" s="631"/>
      <c r="L306" s="627"/>
      <c r="M306" s="630"/>
      <c r="N306" s="630"/>
      <c r="O306" s="630"/>
      <c r="P306" s="630"/>
      <c r="Q306" s="632"/>
      <c r="R306" s="627"/>
      <c r="S306" s="633"/>
      <c r="T306" s="633"/>
      <c r="U306" s="633"/>
      <c r="V306" s="633"/>
      <c r="W306" s="634"/>
      <c r="X306" s="627"/>
      <c r="Y306" s="633"/>
      <c r="Z306" s="633"/>
      <c r="AA306" s="633"/>
      <c r="AB306" s="633"/>
      <c r="AC306" s="634"/>
      <c r="AD306" s="634"/>
      <c r="AE306" s="634"/>
      <c r="AF306" s="634"/>
      <c r="AG306" s="634"/>
      <c r="AH306" s="634"/>
      <c r="AI306" s="634"/>
      <c r="AJ306" s="634"/>
      <c r="AK306" s="634"/>
      <c r="AL306" s="634"/>
      <c r="AM306" s="634"/>
      <c r="AN306" s="634"/>
      <c r="AO306" s="634"/>
      <c r="AP306" s="635"/>
      <c r="AQ306" s="648"/>
      <c r="AR306" s="647"/>
      <c r="AS306" s="313"/>
      <c r="AT306" s="177"/>
      <c r="AU306" s="178"/>
      <c r="AV306" s="60"/>
      <c r="AW306" s="60"/>
      <c r="AX306" s="60"/>
      <c r="AY306" s="60"/>
      <c r="AZ306" s="60"/>
      <c r="BA306" s="60"/>
      <c r="BB306" s="60"/>
      <c r="BC306" s="345"/>
      <c r="BD306" s="345"/>
      <c r="BE306" s="345"/>
      <c r="BF306" s="345"/>
      <c r="BG306" s="345"/>
      <c r="BH306" s="345"/>
      <c r="BI306" s="60"/>
      <c r="BJ306" s="60"/>
      <c r="BK306" s="60"/>
      <c r="BL306" s="60"/>
      <c r="BM306" s="60"/>
      <c r="BN306" s="60"/>
      <c r="BO306" s="60"/>
      <c r="BP306" s="60"/>
      <c r="BQ306" s="60"/>
      <c r="BR306" s="60"/>
      <c r="BS306" s="60"/>
      <c r="BT306" s="60"/>
      <c r="BU306" s="60"/>
      <c r="BV306" s="60"/>
      <c r="BW306" s="60"/>
      <c r="BX306" s="60"/>
      <c r="BY306" s="60"/>
      <c r="BZ306" s="60"/>
      <c r="CA306" s="60"/>
      <c r="CB306" s="60"/>
      <c r="CC306" s="60"/>
      <c r="CD306" s="60"/>
      <c r="CE306" s="60"/>
      <c r="CF306" s="60"/>
      <c r="CG306" s="60"/>
      <c r="CH306" s="60"/>
      <c r="CI306" s="60"/>
      <c r="CJ306" s="60"/>
      <c r="CK306" s="60"/>
      <c r="CL306" s="60"/>
      <c r="CM306" s="60"/>
      <c r="CN306" s="60"/>
      <c r="CO306" s="60"/>
      <c r="CP306" s="60"/>
      <c r="CQ306" s="60"/>
      <c r="CR306" s="60"/>
      <c r="CS306" s="60"/>
    </row>
    <row r="307" spans="1:97" s="89" customFormat="1" ht="13" hidden="1" customHeight="1" x14ac:dyDescent="0.3">
      <c r="B307" s="211"/>
      <c r="C307" s="211"/>
      <c r="D307" s="682"/>
      <c r="E307" s="626"/>
      <c r="F307" s="645"/>
      <c r="G307" s="628"/>
      <c r="H307" s="633"/>
      <c r="I307" s="633"/>
      <c r="J307" s="633"/>
      <c r="K307" s="631"/>
      <c r="L307" s="627"/>
      <c r="M307" s="630"/>
      <c r="N307" s="630"/>
      <c r="O307" s="630"/>
      <c r="P307" s="630"/>
      <c r="Q307" s="632"/>
      <c r="R307" s="627"/>
      <c r="S307" s="633"/>
      <c r="T307" s="633"/>
      <c r="U307" s="633"/>
      <c r="V307" s="633"/>
      <c r="W307" s="634"/>
      <c r="X307" s="627"/>
      <c r="Y307" s="633"/>
      <c r="Z307" s="633"/>
      <c r="AA307" s="633"/>
      <c r="AB307" s="633"/>
      <c r="AC307" s="634"/>
      <c r="AD307" s="634"/>
      <c r="AE307" s="634"/>
      <c r="AF307" s="634"/>
      <c r="AG307" s="634"/>
      <c r="AH307" s="634"/>
      <c r="AI307" s="634"/>
      <c r="AJ307" s="634"/>
      <c r="AK307" s="634"/>
      <c r="AL307" s="634"/>
      <c r="AM307" s="634"/>
      <c r="AN307" s="634"/>
      <c r="AO307" s="634"/>
      <c r="AP307" s="635"/>
      <c r="AQ307" s="648"/>
      <c r="AR307" s="647"/>
      <c r="AS307" s="313"/>
      <c r="AT307" s="177"/>
      <c r="AU307" s="178"/>
      <c r="AV307" s="60"/>
      <c r="AW307" s="60"/>
      <c r="AX307" s="60"/>
      <c r="AY307" s="60"/>
      <c r="AZ307" s="60"/>
      <c r="BA307" s="60"/>
      <c r="BB307" s="60"/>
      <c r="BC307" s="345"/>
      <c r="BD307" s="345"/>
      <c r="BE307" s="345"/>
      <c r="BF307" s="345"/>
      <c r="BG307" s="345"/>
      <c r="BH307" s="345"/>
      <c r="BI307" s="60"/>
      <c r="BJ307" s="60"/>
      <c r="BK307" s="60"/>
      <c r="BL307" s="60"/>
      <c r="BM307" s="60"/>
      <c r="BN307" s="60"/>
      <c r="BO307" s="60"/>
      <c r="BP307" s="60"/>
      <c r="BQ307" s="60"/>
      <c r="BR307" s="60"/>
      <c r="BS307" s="60"/>
      <c r="BT307" s="60"/>
      <c r="BU307" s="60"/>
      <c r="BV307" s="60"/>
      <c r="BW307" s="60"/>
      <c r="BX307" s="60"/>
      <c r="BY307" s="60"/>
      <c r="BZ307" s="60"/>
      <c r="CA307" s="60"/>
      <c r="CB307" s="60"/>
      <c r="CC307" s="60"/>
      <c r="CD307" s="60"/>
      <c r="CE307" s="60"/>
      <c r="CF307" s="60"/>
      <c r="CG307" s="60"/>
      <c r="CH307" s="60"/>
      <c r="CI307" s="60"/>
      <c r="CJ307" s="60"/>
      <c r="CK307" s="60"/>
      <c r="CL307" s="60"/>
      <c r="CM307" s="60"/>
      <c r="CN307" s="60"/>
      <c r="CO307" s="60"/>
      <c r="CP307" s="60"/>
      <c r="CQ307" s="60"/>
      <c r="CR307" s="60"/>
      <c r="CS307" s="60"/>
    </row>
    <row r="308" spans="1:97" s="89" customFormat="1" ht="13" hidden="1" customHeight="1" x14ac:dyDescent="0.3">
      <c r="B308" s="211"/>
      <c r="C308" s="211"/>
      <c r="D308" s="682"/>
      <c r="E308" s="626"/>
      <c r="F308" s="645"/>
      <c r="G308" s="628"/>
      <c r="H308" s="633"/>
      <c r="I308" s="633"/>
      <c r="J308" s="633"/>
      <c r="K308" s="631"/>
      <c r="L308" s="627"/>
      <c r="M308" s="630"/>
      <c r="N308" s="630"/>
      <c r="O308" s="630"/>
      <c r="P308" s="630"/>
      <c r="Q308" s="632"/>
      <c r="R308" s="627"/>
      <c r="S308" s="633"/>
      <c r="T308" s="633"/>
      <c r="U308" s="633"/>
      <c r="V308" s="633"/>
      <c r="W308" s="634"/>
      <c r="X308" s="627"/>
      <c r="Y308" s="633"/>
      <c r="Z308" s="633"/>
      <c r="AA308" s="633"/>
      <c r="AB308" s="633"/>
      <c r="AC308" s="634"/>
      <c r="AD308" s="634"/>
      <c r="AE308" s="634"/>
      <c r="AF308" s="634"/>
      <c r="AG308" s="634"/>
      <c r="AH308" s="634"/>
      <c r="AI308" s="634"/>
      <c r="AJ308" s="634"/>
      <c r="AK308" s="634"/>
      <c r="AL308" s="634"/>
      <c r="AM308" s="634"/>
      <c r="AN308" s="634"/>
      <c r="AO308" s="634"/>
      <c r="AP308" s="635"/>
      <c r="AQ308" s="648"/>
      <c r="AR308" s="647"/>
      <c r="AS308" s="313"/>
      <c r="AT308" s="177"/>
      <c r="AU308" s="178"/>
      <c r="AV308" s="60"/>
      <c r="AW308" s="60"/>
      <c r="AX308" s="60"/>
      <c r="AY308" s="60"/>
      <c r="AZ308" s="60"/>
      <c r="BA308" s="60"/>
      <c r="BB308" s="60"/>
      <c r="BC308" s="345"/>
      <c r="BD308" s="345"/>
      <c r="BE308" s="345"/>
      <c r="BF308" s="345"/>
      <c r="BG308" s="345"/>
      <c r="BH308" s="345"/>
      <c r="BI308" s="60"/>
      <c r="BJ308" s="60"/>
      <c r="BK308" s="60"/>
      <c r="BL308" s="60"/>
      <c r="BM308" s="60"/>
      <c r="BN308" s="60"/>
      <c r="BO308" s="60"/>
      <c r="BP308" s="60"/>
      <c r="BQ308" s="60"/>
      <c r="BR308" s="60"/>
      <c r="BS308" s="60"/>
      <c r="BT308" s="60"/>
      <c r="BU308" s="60"/>
      <c r="BV308" s="60"/>
      <c r="BW308" s="60"/>
      <c r="BX308" s="60"/>
      <c r="BY308" s="60"/>
      <c r="BZ308" s="60"/>
      <c r="CA308" s="60"/>
      <c r="CB308" s="60"/>
      <c r="CC308" s="60"/>
      <c r="CD308" s="60"/>
      <c r="CE308" s="60"/>
      <c r="CF308" s="60"/>
      <c r="CG308" s="60"/>
      <c r="CH308" s="60"/>
      <c r="CI308" s="60"/>
      <c r="CJ308" s="60"/>
      <c r="CK308" s="60"/>
      <c r="CL308" s="60"/>
      <c r="CM308" s="60"/>
      <c r="CN308" s="60"/>
      <c r="CO308" s="60"/>
      <c r="CP308" s="60"/>
      <c r="CQ308" s="60"/>
      <c r="CR308" s="60"/>
      <c r="CS308" s="60"/>
    </row>
    <row r="309" spans="1:97" s="89" customFormat="1" ht="13" hidden="1" customHeight="1" x14ac:dyDescent="0.3">
      <c r="B309" s="211"/>
      <c r="C309" s="211"/>
      <c r="D309" s="682"/>
      <c r="E309" s="626"/>
      <c r="F309" s="645"/>
      <c r="G309" s="628"/>
      <c r="H309" s="633"/>
      <c r="I309" s="633"/>
      <c r="J309" s="633"/>
      <c r="K309" s="631"/>
      <c r="L309" s="627"/>
      <c r="M309" s="630"/>
      <c r="N309" s="630"/>
      <c r="O309" s="630"/>
      <c r="P309" s="630"/>
      <c r="Q309" s="632"/>
      <c r="R309" s="627"/>
      <c r="S309" s="633"/>
      <c r="T309" s="633"/>
      <c r="U309" s="633"/>
      <c r="V309" s="633"/>
      <c r="W309" s="634"/>
      <c r="X309" s="627"/>
      <c r="Y309" s="633"/>
      <c r="Z309" s="633"/>
      <c r="AA309" s="633"/>
      <c r="AB309" s="633"/>
      <c r="AC309" s="634"/>
      <c r="AD309" s="634"/>
      <c r="AE309" s="634"/>
      <c r="AF309" s="634"/>
      <c r="AG309" s="634"/>
      <c r="AH309" s="634"/>
      <c r="AI309" s="634"/>
      <c r="AJ309" s="634"/>
      <c r="AK309" s="634"/>
      <c r="AL309" s="634"/>
      <c r="AM309" s="634"/>
      <c r="AN309" s="634"/>
      <c r="AO309" s="634"/>
      <c r="AP309" s="635"/>
      <c r="AQ309" s="648"/>
      <c r="AR309" s="647"/>
      <c r="AS309" s="313"/>
      <c r="AT309" s="177"/>
      <c r="AU309" s="178"/>
      <c r="AV309" s="60"/>
      <c r="AW309" s="60"/>
      <c r="AX309" s="60"/>
      <c r="AY309" s="60"/>
      <c r="AZ309" s="60"/>
      <c r="BA309" s="60"/>
      <c r="BB309" s="60"/>
      <c r="BC309" s="345"/>
      <c r="BD309" s="345"/>
      <c r="BE309" s="345"/>
      <c r="BF309" s="345"/>
      <c r="BG309" s="345"/>
      <c r="BH309" s="345"/>
      <c r="BI309" s="60"/>
      <c r="BJ309" s="60"/>
      <c r="BK309" s="60"/>
      <c r="BL309" s="60"/>
      <c r="BM309" s="60"/>
      <c r="BN309" s="60"/>
      <c r="BO309" s="60"/>
      <c r="BP309" s="60"/>
      <c r="BQ309" s="60"/>
      <c r="BR309" s="60"/>
      <c r="BS309" s="60"/>
      <c r="BT309" s="60"/>
      <c r="BU309" s="60"/>
      <c r="BV309" s="60"/>
      <c r="BW309" s="60"/>
      <c r="BX309" s="60"/>
      <c r="BY309" s="60"/>
      <c r="BZ309" s="60"/>
      <c r="CA309" s="60"/>
      <c r="CB309" s="60"/>
      <c r="CC309" s="60"/>
      <c r="CD309" s="60"/>
      <c r="CE309" s="60"/>
      <c r="CF309" s="60"/>
      <c r="CG309" s="60"/>
      <c r="CH309" s="60"/>
      <c r="CI309" s="60"/>
      <c r="CJ309" s="60"/>
      <c r="CK309" s="60"/>
      <c r="CL309" s="60"/>
      <c r="CM309" s="60"/>
      <c r="CN309" s="60"/>
      <c r="CO309" s="60"/>
      <c r="CP309" s="60"/>
      <c r="CQ309" s="60"/>
      <c r="CR309" s="60"/>
      <c r="CS309" s="60"/>
    </row>
    <row r="310" spans="1:97" s="89" customFormat="1" ht="13" hidden="1" customHeight="1" x14ac:dyDescent="0.3">
      <c r="B310" s="211"/>
      <c r="C310" s="211"/>
      <c r="D310" s="682"/>
      <c r="E310" s="626"/>
      <c r="F310" s="645"/>
      <c r="G310" s="628"/>
      <c r="H310" s="633"/>
      <c r="I310" s="633"/>
      <c r="J310" s="633"/>
      <c r="K310" s="631"/>
      <c r="L310" s="627"/>
      <c r="M310" s="630"/>
      <c r="N310" s="630"/>
      <c r="O310" s="630"/>
      <c r="P310" s="630"/>
      <c r="Q310" s="632"/>
      <c r="R310" s="627"/>
      <c r="S310" s="633"/>
      <c r="T310" s="633"/>
      <c r="U310" s="633"/>
      <c r="V310" s="633"/>
      <c r="W310" s="634"/>
      <c r="X310" s="627"/>
      <c r="Y310" s="633"/>
      <c r="Z310" s="633"/>
      <c r="AA310" s="633"/>
      <c r="AB310" s="633"/>
      <c r="AC310" s="634"/>
      <c r="AD310" s="634"/>
      <c r="AE310" s="634"/>
      <c r="AF310" s="634"/>
      <c r="AG310" s="634"/>
      <c r="AH310" s="634"/>
      <c r="AI310" s="634"/>
      <c r="AJ310" s="634"/>
      <c r="AK310" s="634"/>
      <c r="AL310" s="634"/>
      <c r="AM310" s="634"/>
      <c r="AN310" s="634"/>
      <c r="AO310" s="634"/>
      <c r="AP310" s="635"/>
      <c r="AQ310" s="648"/>
      <c r="AR310" s="647"/>
      <c r="AS310" s="313"/>
      <c r="AT310" s="177"/>
      <c r="AU310" s="178"/>
      <c r="AV310" s="60"/>
      <c r="AW310" s="60"/>
      <c r="AX310" s="60"/>
      <c r="AY310" s="60"/>
      <c r="AZ310" s="60"/>
      <c r="BA310" s="60"/>
      <c r="BB310" s="60"/>
      <c r="BC310" s="345"/>
      <c r="BD310" s="345"/>
      <c r="BE310" s="345"/>
      <c r="BF310" s="345"/>
      <c r="BG310" s="345"/>
      <c r="BH310" s="345"/>
      <c r="BI310" s="60"/>
      <c r="BJ310" s="60"/>
      <c r="BK310" s="60"/>
      <c r="BL310" s="60"/>
      <c r="BM310" s="60"/>
      <c r="BN310" s="60"/>
      <c r="BO310" s="60"/>
      <c r="BP310" s="60"/>
      <c r="BQ310" s="60"/>
      <c r="BR310" s="60"/>
      <c r="BS310" s="60"/>
      <c r="BT310" s="60"/>
      <c r="BU310" s="60"/>
      <c r="BV310" s="60"/>
      <c r="BW310" s="60"/>
      <c r="BX310" s="60"/>
      <c r="BY310" s="60"/>
      <c r="BZ310" s="60"/>
      <c r="CA310" s="60"/>
      <c r="CB310" s="60"/>
      <c r="CC310" s="60"/>
      <c r="CD310" s="60"/>
      <c r="CE310" s="60"/>
      <c r="CF310" s="60"/>
      <c r="CG310" s="60"/>
      <c r="CH310" s="60"/>
      <c r="CI310" s="60"/>
      <c r="CJ310" s="60"/>
      <c r="CK310" s="60"/>
      <c r="CL310" s="60"/>
      <c r="CM310" s="60"/>
      <c r="CN310" s="60"/>
      <c r="CO310" s="60"/>
      <c r="CP310" s="60"/>
      <c r="CQ310" s="60"/>
      <c r="CR310" s="60"/>
      <c r="CS310" s="60"/>
    </row>
    <row r="311" spans="1:97" s="89" customFormat="1" ht="16.399999999999999" hidden="1" customHeight="1" x14ac:dyDescent="0.3">
      <c r="B311" s="211"/>
      <c r="C311" s="211"/>
      <c r="D311" s="682"/>
      <c r="E311" s="626"/>
      <c r="F311" s="645"/>
      <c r="G311" s="628"/>
      <c r="H311" s="633"/>
      <c r="I311" s="633"/>
      <c r="J311" s="633"/>
      <c r="K311" s="631"/>
      <c r="L311" s="627"/>
      <c r="M311" s="633"/>
      <c r="N311" s="633"/>
      <c r="O311" s="633"/>
      <c r="P311" s="633"/>
      <c r="Q311" s="632"/>
      <c r="R311" s="627"/>
      <c r="S311" s="633"/>
      <c r="T311" s="633"/>
      <c r="U311" s="633"/>
      <c r="V311" s="633"/>
      <c r="W311" s="634"/>
      <c r="X311" s="627"/>
      <c r="Y311" s="633"/>
      <c r="Z311" s="633"/>
      <c r="AA311" s="633"/>
      <c r="AB311" s="633"/>
      <c r="AC311" s="634"/>
      <c r="AD311" s="634"/>
      <c r="AE311" s="634"/>
      <c r="AF311" s="634"/>
      <c r="AG311" s="634"/>
      <c r="AH311" s="634"/>
      <c r="AI311" s="634"/>
      <c r="AJ311" s="634"/>
      <c r="AK311" s="634"/>
      <c r="AL311" s="634"/>
      <c r="AM311" s="634"/>
      <c r="AN311" s="634"/>
      <c r="AO311" s="634"/>
      <c r="AP311" s="635"/>
      <c r="AQ311" s="648"/>
      <c r="AR311" s="647"/>
      <c r="AS311" s="313"/>
      <c r="AT311" s="177"/>
      <c r="AU311" s="178"/>
      <c r="AV311" s="60"/>
      <c r="AW311" s="60"/>
      <c r="AX311" s="60"/>
      <c r="AY311" s="60"/>
      <c r="AZ311" s="60"/>
      <c r="BA311" s="60"/>
      <c r="BB311" s="60"/>
      <c r="BC311" s="345"/>
      <c r="BD311" s="345"/>
      <c r="BE311" s="345"/>
      <c r="BF311" s="345"/>
      <c r="BG311" s="345"/>
      <c r="BH311" s="345"/>
      <c r="BI311" s="60"/>
      <c r="BJ311" s="60"/>
      <c r="BK311" s="60"/>
      <c r="BL311" s="60"/>
      <c r="BM311" s="60"/>
      <c r="BN311" s="60"/>
      <c r="BO311" s="60"/>
      <c r="BP311" s="60"/>
      <c r="BQ311" s="60"/>
      <c r="BR311" s="60"/>
      <c r="BS311" s="60"/>
      <c r="BT311" s="60"/>
      <c r="BU311" s="60"/>
      <c r="BV311" s="60"/>
      <c r="BW311" s="60"/>
      <c r="BX311" s="60"/>
      <c r="BY311" s="60"/>
      <c r="BZ311" s="60"/>
      <c r="CA311" s="60"/>
      <c r="CB311" s="60"/>
      <c r="CC311" s="60"/>
      <c r="CD311" s="60"/>
      <c r="CE311" s="60"/>
      <c r="CF311" s="60"/>
      <c r="CG311" s="60"/>
      <c r="CH311" s="60"/>
      <c r="CI311" s="60"/>
      <c r="CJ311" s="60"/>
      <c r="CK311" s="60"/>
      <c r="CL311" s="60"/>
      <c r="CM311" s="60"/>
      <c r="CN311" s="60"/>
      <c r="CO311" s="60"/>
      <c r="CP311" s="60"/>
      <c r="CQ311" s="60"/>
      <c r="CR311" s="60"/>
      <c r="CS311" s="60"/>
    </row>
    <row r="312" spans="1:97" s="89" customFormat="1" ht="13" hidden="1" customHeight="1" x14ac:dyDescent="0.3">
      <c r="B312" s="211"/>
      <c r="C312" s="211"/>
      <c r="D312" s="682"/>
      <c r="E312" s="626"/>
      <c r="F312" s="645"/>
      <c r="G312" s="638"/>
      <c r="H312" s="639"/>
      <c r="I312" s="639"/>
      <c r="J312" s="639"/>
      <c r="K312" s="631"/>
      <c r="L312" s="627"/>
      <c r="M312" s="630"/>
      <c r="N312" s="630"/>
      <c r="O312" s="630"/>
      <c r="P312" s="630"/>
      <c r="Q312" s="632"/>
      <c r="R312" s="627"/>
      <c r="S312" s="633"/>
      <c r="T312" s="633"/>
      <c r="U312" s="633"/>
      <c r="V312" s="633"/>
      <c r="W312" s="634"/>
      <c r="X312" s="627"/>
      <c r="Y312" s="633"/>
      <c r="Z312" s="633"/>
      <c r="AA312" s="633"/>
      <c r="AB312" s="633"/>
      <c r="AC312" s="634"/>
      <c r="AD312" s="634"/>
      <c r="AE312" s="634"/>
      <c r="AF312" s="634"/>
      <c r="AG312" s="634"/>
      <c r="AH312" s="634"/>
      <c r="AI312" s="634"/>
      <c r="AJ312" s="634"/>
      <c r="AK312" s="634"/>
      <c r="AL312" s="634"/>
      <c r="AM312" s="634"/>
      <c r="AN312" s="634"/>
      <c r="AO312" s="634"/>
      <c r="AP312" s="635"/>
      <c r="AQ312" s="648"/>
      <c r="AR312" s="647"/>
      <c r="AS312" s="313"/>
      <c r="AT312" s="177"/>
      <c r="AU312" s="178"/>
      <c r="AV312" s="60"/>
      <c r="AW312" s="60"/>
      <c r="AX312" s="60"/>
      <c r="AY312" s="60"/>
      <c r="AZ312" s="60"/>
      <c r="BA312" s="60"/>
      <c r="BB312" s="60"/>
      <c r="BC312" s="345"/>
      <c r="BD312" s="345"/>
      <c r="BE312" s="345"/>
      <c r="BF312" s="345"/>
      <c r="BG312" s="345"/>
      <c r="BH312" s="345"/>
      <c r="BI312" s="60"/>
      <c r="BJ312" s="60"/>
      <c r="BK312" s="60"/>
      <c r="BL312" s="60"/>
      <c r="BM312" s="60"/>
      <c r="BN312" s="60"/>
      <c r="BO312" s="60"/>
      <c r="BP312" s="60"/>
      <c r="BQ312" s="60"/>
      <c r="BR312" s="60"/>
      <c r="BS312" s="60"/>
      <c r="BT312" s="60"/>
      <c r="BU312" s="60"/>
      <c r="BV312" s="60"/>
      <c r="BW312" s="60"/>
      <c r="BX312" s="60"/>
      <c r="BY312" s="60"/>
      <c r="BZ312" s="60"/>
      <c r="CA312" s="60"/>
      <c r="CB312" s="60"/>
      <c r="CC312" s="60"/>
      <c r="CD312" s="60"/>
      <c r="CE312" s="60"/>
      <c r="CF312" s="60"/>
      <c r="CG312" s="60"/>
      <c r="CH312" s="60"/>
      <c r="CI312" s="60"/>
      <c r="CJ312" s="60"/>
      <c r="CK312" s="60"/>
      <c r="CL312" s="60"/>
      <c r="CM312" s="60"/>
      <c r="CN312" s="60"/>
      <c r="CO312" s="60"/>
      <c r="CP312" s="60"/>
      <c r="CQ312" s="60"/>
      <c r="CR312" s="60"/>
      <c r="CS312" s="60"/>
    </row>
    <row r="313" spans="1:97" s="89" customFormat="1" ht="16.399999999999999" hidden="1" customHeight="1" x14ac:dyDescent="0.3">
      <c r="B313" s="211"/>
      <c r="C313" s="211"/>
      <c r="D313" s="682"/>
      <c r="E313" s="626"/>
      <c r="F313" s="645"/>
      <c r="G313" s="628"/>
      <c r="H313" s="633"/>
      <c r="I313" s="633"/>
      <c r="J313" s="633"/>
      <c r="K313" s="631"/>
      <c r="L313" s="627"/>
      <c r="M313" s="630"/>
      <c r="N313" s="630"/>
      <c r="O313" s="630"/>
      <c r="P313" s="630"/>
      <c r="Q313" s="632"/>
      <c r="R313" s="627"/>
      <c r="S313" s="633"/>
      <c r="T313" s="633"/>
      <c r="U313" s="633"/>
      <c r="V313" s="633"/>
      <c r="W313" s="634"/>
      <c r="X313" s="627"/>
      <c r="Y313" s="633"/>
      <c r="Z313" s="633"/>
      <c r="AA313" s="633"/>
      <c r="AB313" s="633"/>
      <c r="AC313" s="634"/>
      <c r="AD313" s="634"/>
      <c r="AE313" s="634"/>
      <c r="AF313" s="634"/>
      <c r="AG313" s="634"/>
      <c r="AH313" s="634"/>
      <c r="AI313" s="634"/>
      <c r="AJ313" s="634"/>
      <c r="AK313" s="634"/>
      <c r="AL313" s="634"/>
      <c r="AM313" s="634"/>
      <c r="AN313" s="634"/>
      <c r="AO313" s="634"/>
      <c r="AP313" s="635"/>
      <c r="AQ313" s="648"/>
      <c r="AR313" s="647"/>
      <c r="AS313" s="313"/>
      <c r="AT313" s="177"/>
      <c r="AU313" s="178"/>
      <c r="AV313" s="60"/>
      <c r="AW313" s="60"/>
      <c r="AX313" s="60"/>
      <c r="AY313" s="60"/>
      <c r="AZ313" s="60"/>
      <c r="BA313" s="60"/>
      <c r="BB313" s="60"/>
      <c r="BC313" s="345"/>
      <c r="BD313" s="345"/>
      <c r="BE313" s="345"/>
      <c r="BF313" s="345"/>
      <c r="BG313" s="345"/>
      <c r="BH313" s="345"/>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row>
    <row r="314" spans="1:97" s="89" customFormat="1" ht="16.399999999999999" hidden="1" customHeight="1" x14ac:dyDescent="0.3">
      <c r="B314" s="211"/>
      <c r="C314" s="211"/>
      <c r="D314" s="682"/>
      <c r="E314" s="626"/>
      <c r="F314" s="645"/>
      <c r="G314" s="628"/>
      <c r="H314" s="633"/>
      <c r="I314" s="633"/>
      <c r="J314" s="633"/>
      <c r="K314" s="631"/>
      <c r="L314" s="627"/>
      <c r="M314" s="633"/>
      <c r="N314" s="633"/>
      <c r="O314" s="633"/>
      <c r="P314" s="633"/>
      <c r="Q314" s="632"/>
      <c r="R314" s="627"/>
      <c r="S314" s="633"/>
      <c r="T314" s="633"/>
      <c r="U314" s="633"/>
      <c r="V314" s="633"/>
      <c r="W314" s="634"/>
      <c r="X314" s="627"/>
      <c r="Y314" s="633"/>
      <c r="Z314" s="633"/>
      <c r="AA314" s="633"/>
      <c r="AB314" s="633"/>
      <c r="AC314" s="634"/>
      <c r="AD314" s="634"/>
      <c r="AE314" s="634"/>
      <c r="AF314" s="634"/>
      <c r="AG314" s="634"/>
      <c r="AH314" s="634"/>
      <c r="AI314" s="634"/>
      <c r="AJ314" s="634"/>
      <c r="AK314" s="634"/>
      <c r="AL314" s="634"/>
      <c r="AM314" s="634"/>
      <c r="AN314" s="634"/>
      <c r="AO314" s="634"/>
      <c r="AP314" s="635"/>
      <c r="AQ314" s="648"/>
      <c r="AR314" s="647"/>
      <c r="AS314" s="313"/>
      <c r="AT314" s="177"/>
      <c r="AU314" s="178"/>
      <c r="AV314" s="60"/>
      <c r="AW314" s="60"/>
      <c r="AX314" s="60"/>
      <c r="AY314" s="60"/>
      <c r="AZ314" s="60"/>
      <c r="BA314" s="60"/>
      <c r="BB314" s="60"/>
      <c r="BC314" s="345"/>
      <c r="BD314" s="345"/>
      <c r="BE314" s="345"/>
      <c r="BF314" s="345"/>
      <c r="BG314" s="345"/>
      <c r="BH314" s="345"/>
      <c r="BI314" s="60"/>
      <c r="BJ314" s="60"/>
      <c r="BK314" s="60"/>
      <c r="BL314" s="60"/>
      <c r="BM314" s="60"/>
      <c r="BN314" s="60"/>
      <c r="BO314" s="60"/>
      <c r="BP314" s="60"/>
      <c r="BQ314" s="60"/>
      <c r="BR314" s="60"/>
      <c r="BS314" s="60"/>
      <c r="BT314" s="60"/>
      <c r="BU314" s="60"/>
      <c r="BV314" s="60"/>
      <c r="BW314" s="60"/>
      <c r="BX314" s="60"/>
      <c r="BY314" s="60"/>
      <c r="BZ314" s="60"/>
      <c r="CA314" s="60"/>
      <c r="CB314" s="60"/>
      <c r="CC314" s="60"/>
      <c r="CD314" s="60"/>
      <c r="CE314" s="60"/>
      <c r="CF314" s="60"/>
      <c r="CG314" s="60"/>
      <c r="CH314" s="60"/>
      <c r="CI314" s="60"/>
      <c r="CJ314" s="60"/>
      <c r="CK314" s="60"/>
      <c r="CL314" s="60"/>
      <c r="CM314" s="60"/>
      <c r="CN314" s="60"/>
      <c r="CO314" s="60"/>
      <c r="CP314" s="60"/>
      <c r="CQ314" s="60"/>
      <c r="CR314" s="60"/>
      <c r="CS314" s="60"/>
    </row>
    <row r="315" spans="1:97" s="89" customFormat="1" ht="13" hidden="1" customHeight="1" x14ac:dyDescent="0.3">
      <c r="B315" s="211"/>
      <c r="C315" s="211"/>
      <c r="D315" s="682"/>
      <c r="E315" s="626"/>
      <c r="F315" s="645"/>
      <c r="G315" s="628"/>
      <c r="H315" s="633"/>
      <c r="I315" s="633"/>
      <c r="J315" s="633"/>
      <c r="K315" s="631"/>
      <c r="L315" s="627"/>
      <c r="M315" s="633"/>
      <c r="N315" s="633"/>
      <c r="O315" s="633"/>
      <c r="P315" s="633"/>
      <c r="Q315" s="632"/>
      <c r="R315" s="627"/>
      <c r="S315" s="633"/>
      <c r="T315" s="633"/>
      <c r="U315" s="633"/>
      <c r="V315" s="633"/>
      <c r="W315" s="634"/>
      <c r="X315" s="627"/>
      <c r="Y315" s="633"/>
      <c r="Z315" s="633"/>
      <c r="AA315" s="633"/>
      <c r="AB315" s="633"/>
      <c r="AC315" s="634"/>
      <c r="AD315" s="634"/>
      <c r="AE315" s="634"/>
      <c r="AF315" s="634"/>
      <c r="AG315" s="634"/>
      <c r="AH315" s="634"/>
      <c r="AI315" s="634"/>
      <c r="AJ315" s="634"/>
      <c r="AK315" s="634"/>
      <c r="AL315" s="634"/>
      <c r="AM315" s="634"/>
      <c r="AN315" s="634"/>
      <c r="AO315" s="634"/>
      <c r="AP315" s="635"/>
      <c r="AQ315" s="648"/>
      <c r="AR315" s="647"/>
      <c r="AS315" s="313"/>
      <c r="AT315" s="177"/>
      <c r="AU315" s="178"/>
      <c r="AV315" s="60"/>
      <c r="AW315" s="60"/>
      <c r="AX315" s="60"/>
      <c r="AY315" s="60"/>
      <c r="AZ315" s="60"/>
      <c r="BA315" s="60"/>
      <c r="BB315" s="60"/>
      <c r="BC315" s="345"/>
      <c r="BD315" s="345"/>
      <c r="BE315" s="345"/>
      <c r="BF315" s="345"/>
      <c r="BG315" s="345"/>
      <c r="BH315" s="345"/>
      <c r="BI315" s="60"/>
      <c r="BJ315" s="60"/>
      <c r="BK315" s="60"/>
      <c r="BL315" s="60"/>
      <c r="BM315" s="60"/>
      <c r="BN315" s="60"/>
      <c r="BO315" s="60"/>
      <c r="BP315" s="60"/>
      <c r="BQ315" s="60"/>
      <c r="BR315" s="60"/>
      <c r="BS315" s="60"/>
      <c r="BT315" s="60"/>
      <c r="BU315" s="60"/>
      <c r="BV315" s="60"/>
      <c r="BW315" s="60"/>
      <c r="BX315" s="60"/>
      <c r="BY315" s="60"/>
      <c r="BZ315" s="60"/>
      <c r="CA315" s="60"/>
      <c r="CB315" s="60"/>
      <c r="CC315" s="60"/>
      <c r="CD315" s="60"/>
      <c r="CE315" s="60"/>
      <c r="CF315" s="60"/>
      <c r="CG315" s="60"/>
      <c r="CH315" s="60"/>
      <c r="CI315" s="60"/>
      <c r="CJ315" s="60"/>
      <c r="CK315" s="60"/>
      <c r="CL315" s="60"/>
      <c r="CM315" s="60"/>
      <c r="CN315" s="60"/>
      <c r="CO315" s="60"/>
      <c r="CP315" s="60"/>
      <c r="CQ315" s="60"/>
      <c r="CR315" s="60"/>
      <c r="CS315" s="60"/>
    </row>
    <row r="316" spans="1:97" s="89" customFormat="1" ht="16.399999999999999" hidden="1" customHeight="1" x14ac:dyDescent="0.3">
      <c r="B316" s="211"/>
      <c r="C316" s="211"/>
      <c r="D316" s="682"/>
      <c r="E316" s="626"/>
      <c r="F316" s="645"/>
      <c r="G316" s="628"/>
      <c r="H316" s="633"/>
      <c r="I316" s="633"/>
      <c r="J316" s="633"/>
      <c r="K316" s="631"/>
      <c r="L316" s="627"/>
      <c r="M316" s="633"/>
      <c r="N316" s="633"/>
      <c r="O316" s="633"/>
      <c r="P316" s="633"/>
      <c r="Q316" s="632"/>
      <c r="R316" s="627"/>
      <c r="S316" s="633"/>
      <c r="T316" s="633"/>
      <c r="U316" s="633"/>
      <c r="V316" s="633"/>
      <c r="W316" s="634"/>
      <c r="X316" s="627"/>
      <c r="Y316" s="633"/>
      <c r="Z316" s="633"/>
      <c r="AA316" s="633"/>
      <c r="AB316" s="633"/>
      <c r="AC316" s="634"/>
      <c r="AD316" s="634"/>
      <c r="AE316" s="634"/>
      <c r="AF316" s="634"/>
      <c r="AG316" s="634"/>
      <c r="AH316" s="634"/>
      <c r="AI316" s="634"/>
      <c r="AJ316" s="634"/>
      <c r="AK316" s="634"/>
      <c r="AL316" s="634"/>
      <c r="AM316" s="634"/>
      <c r="AN316" s="634"/>
      <c r="AO316" s="634"/>
      <c r="AP316" s="635"/>
      <c r="AQ316" s="648"/>
      <c r="AR316" s="647"/>
      <c r="AS316" s="313"/>
      <c r="AT316" s="177"/>
      <c r="AU316" s="178"/>
      <c r="AV316" s="60"/>
      <c r="AW316" s="60"/>
      <c r="AX316" s="60"/>
      <c r="AY316" s="60"/>
      <c r="AZ316" s="60"/>
      <c r="BA316" s="60"/>
      <c r="BB316" s="60"/>
      <c r="BC316" s="345"/>
      <c r="BD316" s="345"/>
      <c r="BE316" s="345"/>
      <c r="BF316" s="345"/>
      <c r="BG316" s="345"/>
      <c r="BH316" s="345"/>
      <c r="BI316" s="60"/>
      <c r="BJ316" s="60"/>
      <c r="BK316" s="60"/>
      <c r="BL316" s="60"/>
      <c r="BM316" s="60"/>
      <c r="BN316" s="60"/>
      <c r="BO316" s="60"/>
      <c r="BP316" s="60"/>
      <c r="BQ316" s="60"/>
      <c r="BR316" s="60"/>
      <c r="BS316" s="60"/>
      <c r="BT316" s="60"/>
      <c r="BU316" s="60"/>
      <c r="BV316" s="60"/>
      <c r="BW316" s="60"/>
      <c r="BX316" s="60"/>
      <c r="BY316" s="60"/>
      <c r="BZ316" s="60"/>
      <c r="CA316" s="60"/>
      <c r="CB316" s="60"/>
      <c r="CC316" s="60"/>
      <c r="CD316" s="60"/>
      <c r="CE316" s="60"/>
      <c r="CF316" s="60"/>
      <c r="CG316" s="60"/>
      <c r="CH316" s="60"/>
      <c r="CI316" s="60"/>
      <c r="CJ316" s="60"/>
      <c r="CK316" s="60"/>
      <c r="CL316" s="60"/>
      <c r="CM316" s="60"/>
      <c r="CN316" s="60"/>
      <c r="CO316" s="60"/>
      <c r="CP316" s="60"/>
      <c r="CQ316" s="60"/>
      <c r="CR316" s="60"/>
      <c r="CS316" s="60"/>
    </row>
    <row r="317" spans="1:97" s="89" customFormat="1" ht="16.399999999999999" hidden="1" customHeight="1" thickBot="1" x14ac:dyDescent="0.35">
      <c r="B317" s="211"/>
      <c r="C317" s="211"/>
      <c r="D317" s="684"/>
      <c r="E317" s="637"/>
      <c r="F317" s="649"/>
      <c r="G317" s="650"/>
      <c r="H317" s="641"/>
      <c r="I317" s="641"/>
      <c r="J317" s="641"/>
      <c r="K317" s="642"/>
      <c r="L317" s="640"/>
      <c r="M317" s="641"/>
      <c r="N317" s="641"/>
      <c r="O317" s="641"/>
      <c r="P317" s="641"/>
      <c r="Q317" s="643"/>
      <c r="R317" s="640"/>
      <c r="S317" s="641"/>
      <c r="T317" s="641"/>
      <c r="U317" s="641"/>
      <c r="V317" s="641"/>
      <c r="W317" s="651"/>
      <c r="X317" s="640"/>
      <c r="Y317" s="641"/>
      <c r="Z317" s="641"/>
      <c r="AA317" s="641"/>
      <c r="AB317" s="641"/>
      <c r="AC317" s="651"/>
      <c r="AD317" s="651"/>
      <c r="AE317" s="651"/>
      <c r="AF317" s="651"/>
      <c r="AG317" s="651"/>
      <c r="AH317" s="651"/>
      <c r="AI317" s="651"/>
      <c r="AJ317" s="651"/>
      <c r="AK317" s="651"/>
      <c r="AL317" s="651"/>
      <c r="AM317" s="651"/>
      <c r="AN317" s="651"/>
      <c r="AO317" s="651"/>
      <c r="AP317" s="644"/>
      <c r="AQ317" s="652"/>
      <c r="AR317" s="653"/>
      <c r="AS317" s="313"/>
      <c r="AT317" s="177"/>
      <c r="AU317" s="178"/>
      <c r="AV317" s="60"/>
      <c r="AW317" s="60"/>
      <c r="AX317" s="60"/>
      <c r="AY317" s="60"/>
      <c r="AZ317" s="60"/>
      <c r="BA317" s="60"/>
      <c r="BB317" s="60"/>
      <c r="BC317" s="345"/>
      <c r="BD317" s="345"/>
      <c r="BE317" s="345"/>
      <c r="BF317" s="345"/>
      <c r="BG317" s="345"/>
      <c r="BH317" s="345"/>
      <c r="BI317" s="60"/>
      <c r="BJ317" s="60"/>
      <c r="BK317" s="60"/>
      <c r="BL317" s="60"/>
      <c r="BM317" s="60"/>
      <c r="BN317" s="60"/>
      <c r="BO317" s="60"/>
      <c r="BP317" s="60"/>
      <c r="BQ317" s="60"/>
      <c r="BR317" s="60"/>
      <c r="BS317" s="60"/>
      <c r="BT317" s="60"/>
      <c r="BU317" s="60"/>
      <c r="BV317" s="60"/>
      <c r="BW317" s="60"/>
      <c r="BX317" s="60"/>
      <c r="BY317" s="60"/>
      <c r="BZ317" s="60"/>
      <c r="CA317" s="60"/>
      <c r="CB317" s="60"/>
      <c r="CC317" s="60"/>
      <c r="CD317" s="60"/>
      <c r="CE317" s="60"/>
      <c r="CF317" s="60"/>
      <c r="CG317" s="60"/>
      <c r="CH317" s="60"/>
      <c r="CI317" s="60"/>
      <c r="CJ317" s="60"/>
      <c r="CK317" s="60"/>
      <c r="CL317" s="60"/>
      <c r="CM317" s="60"/>
      <c r="CN317" s="60"/>
      <c r="CO317" s="60"/>
      <c r="CP317" s="60"/>
      <c r="CQ317" s="60"/>
      <c r="CR317" s="60"/>
      <c r="CS317" s="60"/>
    </row>
    <row r="318" spans="1:97" x14ac:dyDescent="0.35">
      <c r="A318" s="89"/>
      <c r="D318" s="470"/>
      <c r="E318" s="470"/>
      <c r="F318" s="623"/>
      <c r="G318" s="470"/>
      <c r="H318" s="470"/>
      <c r="I318" s="470"/>
      <c r="J318" s="470"/>
      <c r="K318" s="470"/>
      <c r="L318" s="623"/>
      <c r="M318" s="470"/>
      <c r="N318" s="470"/>
      <c r="O318" s="470"/>
      <c r="P318" s="470"/>
      <c r="Q318" s="470"/>
      <c r="R318" s="623"/>
      <c r="S318" s="470"/>
      <c r="T318" s="470"/>
      <c r="U318" s="470"/>
      <c r="V318" s="470"/>
      <c r="W318" s="470"/>
      <c r="X318" s="623"/>
      <c r="Y318" s="470"/>
      <c r="Z318" s="470"/>
      <c r="AA318" s="470"/>
      <c r="AB318" s="470"/>
      <c r="AC318" s="470"/>
      <c r="AD318" s="470"/>
      <c r="AE318" s="470"/>
      <c r="AF318" s="470"/>
      <c r="AG318" s="470"/>
      <c r="AH318" s="470"/>
      <c r="AI318" s="470"/>
      <c r="AJ318" s="470"/>
      <c r="AK318" s="470"/>
      <c r="AL318" s="470"/>
      <c r="AM318" s="470"/>
      <c r="AN318" s="470"/>
      <c r="AO318" s="470"/>
      <c r="AP318" s="470"/>
      <c r="AQ318" s="470"/>
      <c r="AR318" s="624"/>
      <c r="BC318" s="345"/>
      <c r="BD318" s="345"/>
      <c r="BE318" s="345"/>
      <c r="BF318" s="345"/>
      <c r="BG318" s="345"/>
      <c r="BH318" s="345"/>
    </row>
    <row r="319" spans="1:97" s="185" customFormat="1" ht="22.4" customHeight="1" thickBot="1" x14ac:dyDescent="0.35">
      <c r="A319" s="89"/>
      <c r="B319" s="175"/>
      <c r="C319" s="175"/>
      <c r="D319" s="673" t="s">
        <v>744</v>
      </c>
      <c r="E319" s="675"/>
      <c r="F319" s="676"/>
      <c r="G319" s="918"/>
      <c r="H319" s="1304"/>
      <c r="I319" s="1304"/>
      <c r="J319" s="678"/>
      <c r="K319" s="678"/>
      <c r="L319" s="676"/>
      <c r="M319" s="678"/>
      <c r="N319" s="678"/>
      <c r="O319" s="678"/>
      <c r="P319" s="678"/>
      <c r="Q319" s="678"/>
      <c r="R319" s="676"/>
      <c r="S319" s="678"/>
      <c r="T319" s="678"/>
      <c r="U319" s="678"/>
      <c r="V319" s="678"/>
      <c r="W319" s="678"/>
      <c r="X319" s="676"/>
      <c r="Y319" s="678"/>
      <c r="Z319" s="678"/>
      <c r="AA319" s="678"/>
      <c r="AB319" s="678"/>
      <c r="AC319" s="678"/>
      <c r="AD319" s="678"/>
      <c r="AE319" s="678"/>
      <c r="AF319" s="678"/>
      <c r="AG319" s="678"/>
      <c r="AH319" s="678"/>
      <c r="AI319" s="678"/>
      <c r="AJ319" s="678"/>
      <c r="AK319" s="678"/>
      <c r="AL319" s="678"/>
      <c r="AM319" s="678"/>
      <c r="AN319" s="678"/>
      <c r="AO319" s="678"/>
      <c r="AP319" s="678"/>
      <c r="AQ319" s="678"/>
      <c r="AR319" s="679"/>
      <c r="AT319" s="303"/>
      <c r="AU319" s="305"/>
      <c r="AV319" s="304"/>
      <c r="AW319" s="186"/>
      <c r="AX319" s="186"/>
      <c r="AY319" s="186"/>
      <c r="AZ319" s="186"/>
      <c r="BA319" s="186"/>
      <c r="BB319" s="186"/>
      <c r="BC319" s="345"/>
      <c r="BD319" s="345"/>
      <c r="BE319" s="345"/>
      <c r="BF319" s="345"/>
      <c r="BG319" s="345"/>
      <c r="BH319" s="345"/>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c r="CH319" s="186"/>
      <c r="CI319" s="186"/>
      <c r="CJ319" s="186"/>
      <c r="CK319" s="186"/>
      <c r="CL319" s="186"/>
      <c r="CM319" s="186"/>
      <c r="CN319" s="186"/>
      <c r="CO319" s="186"/>
      <c r="CP319" s="186"/>
      <c r="CQ319" s="186"/>
      <c r="CR319" s="186"/>
      <c r="CS319" s="186"/>
    </row>
    <row r="320" spans="1:97" s="89" customFormat="1" ht="15" customHeight="1" x14ac:dyDescent="0.3">
      <c r="D320" s="1305" t="str">
        <f>D225</f>
        <v>Cost description (e.g: service provider,…)</v>
      </c>
      <c r="E320" s="1295"/>
      <c r="F320" s="1291" t="str">
        <f>VLOOKUP("Estimated % for other costs (7.7)",Language!$D$1583:$G$1845,$O$1,FALSE)</f>
        <v>Estimated % for other costs (7.7)</v>
      </c>
      <c r="G320" s="1294" t="str">
        <f>G14</f>
        <v>2021</v>
      </c>
      <c r="H320" s="1295"/>
      <c r="I320" s="1295"/>
      <c r="J320" s="1295"/>
      <c r="K320" s="1302"/>
      <c r="L320" s="1291" t="str">
        <f>F320</f>
        <v>Estimated % for other costs (7.7)</v>
      </c>
      <c r="M320" s="1294" t="str">
        <f>M14</f>
        <v>2022</v>
      </c>
      <c r="N320" s="1295"/>
      <c r="O320" s="1295"/>
      <c r="P320" s="1295"/>
      <c r="Q320" s="1302"/>
      <c r="R320" s="1291" t="str">
        <f t="shared" ref="R320" si="131">F320</f>
        <v>Estimated % for other costs (7.7)</v>
      </c>
      <c r="S320" s="1294" t="str">
        <f>S14</f>
        <v>2023</v>
      </c>
      <c r="T320" s="1295"/>
      <c r="U320" s="1295"/>
      <c r="V320" s="1295"/>
      <c r="W320" s="1302"/>
      <c r="X320" s="1291" t="str">
        <f t="shared" ref="X320" si="132">F320</f>
        <v>Estimated % for other costs (7.7)</v>
      </c>
      <c r="Y320" s="1294" t="str">
        <f>Y14</f>
        <v>2024</v>
      </c>
      <c r="Z320" s="1295"/>
      <c r="AA320" s="1295"/>
      <c r="AB320" s="1295"/>
      <c r="AC320" s="1296"/>
      <c r="AD320" s="1291" t="str">
        <f t="shared" ref="AD320" si="133">L320</f>
        <v>Estimated % for other costs (7.7)</v>
      </c>
      <c r="AE320" s="1294" t="str">
        <f>AE14</f>
        <v>2025</v>
      </c>
      <c r="AF320" s="1295"/>
      <c r="AG320" s="1295"/>
      <c r="AH320" s="1295"/>
      <c r="AI320" s="1296"/>
      <c r="AJ320" s="1291" t="str">
        <f t="shared" ref="AJ320" si="134">R320</f>
        <v>Estimated % for other costs (7.7)</v>
      </c>
      <c r="AK320" s="1294" t="str">
        <f>AK14</f>
        <v/>
      </c>
      <c r="AL320" s="1295"/>
      <c r="AM320" s="1295"/>
      <c r="AN320" s="1295"/>
      <c r="AO320" s="1296"/>
      <c r="AP320" s="1300" t="str">
        <f>AP14</f>
        <v>Total grant period</v>
      </c>
      <c r="AQ320" s="1300" t="str">
        <f>AQ14</f>
        <v>Finance</v>
      </c>
      <c r="AR320" s="1310" t="str">
        <f>AR14</f>
        <v>Comments</v>
      </c>
      <c r="AS320" s="313"/>
      <c r="AT320" s="289"/>
      <c r="AU320" s="178"/>
      <c r="AV320" s="177"/>
      <c r="AW320" s="60"/>
      <c r="AX320" s="60"/>
      <c r="AY320" s="60"/>
      <c r="AZ320" s="60"/>
      <c r="BA320" s="60"/>
      <c r="BB320" s="60"/>
      <c r="BC320" s="345"/>
      <c r="BD320" s="345"/>
      <c r="BE320" s="345"/>
      <c r="BF320" s="345"/>
      <c r="BG320" s="345"/>
      <c r="BH320" s="345"/>
      <c r="BI320" s="60"/>
      <c r="BJ320" s="60"/>
      <c r="BK320" s="60"/>
      <c r="BL320" s="60"/>
      <c r="BM320" s="60"/>
      <c r="BN320" s="60"/>
      <c r="BO320" s="60"/>
      <c r="BP320" s="60"/>
      <c r="BQ320" s="60"/>
      <c r="BR320" s="60"/>
      <c r="BS320" s="60"/>
      <c r="BT320" s="60"/>
      <c r="BU320" s="60"/>
      <c r="BV320" s="60"/>
      <c r="BW320" s="60"/>
      <c r="BX320" s="60"/>
      <c r="BY320" s="60"/>
      <c r="BZ320" s="60"/>
      <c r="CA320" s="60"/>
      <c r="CB320" s="60"/>
      <c r="CC320" s="60"/>
      <c r="CD320" s="60"/>
      <c r="CE320" s="60"/>
      <c r="CF320" s="60"/>
      <c r="CG320" s="60"/>
      <c r="CH320" s="60"/>
      <c r="CI320" s="60"/>
      <c r="CJ320" s="60"/>
      <c r="CK320" s="60"/>
      <c r="CL320" s="60"/>
      <c r="CM320" s="60"/>
      <c r="CN320" s="60"/>
      <c r="CO320" s="60"/>
      <c r="CP320" s="60"/>
      <c r="CQ320" s="60"/>
      <c r="CR320" s="60"/>
      <c r="CS320" s="60"/>
    </row>
    <row r="321" spans="2:97" s="89" customFormat="1" ht="15.75" customHeight="1" thickBot="1" x14ac:dyDescent="0.35">
      <c r="D321" s="1306"/>
      <c r="E321" s="1307"/>
      <c r="F321" s="1292"/>
      <c r="G321" s="1297"/>
      <c r="H321" s="1298"/>
      <c r="I321" s="1298"/>
      <c r="J321" s="1298"/>
      <c r="K321" s="1303"/>
      <c r="L321" s="1292"/>
      <c r="M321" s="1297"/>
      <c r="N321" s="1298"/>
      <c r="O321" s="1298"/>
      <c r="P321" s="1298"/>
      <c r="Q321" s="1303"/>
      <c r="R321" s="1292"/>
      <c r="S321" s="1297"/>
      <c r="T321" s="1298"/>
      <c r="U321" s="1298"/>
      <c r="V321" s="1298"/>
      <c r="W321" s="1303"/>
      <c r="X321" s="1292"/>
      <c r="Y321" s="1297"/>
      <c r="Z321" s="1298"/>
      <c r="AA321" s="1298"/>
      <c r="AB321" s="1298"/>
      <c r="AC321" s="1299"/>
      <c r="AD321" s="1292"/>
      <c r="AE321" s="1297"/>
      <c r="AF321" s="1298"/>
      <c r="AG321" s="1298"/>
      <c r="AH321" s="1298"/>
      <c r="AI321" s="1299"/>
      <c r="AJ321" s="1292"/>
      <c r="AK321" s="1297"/>
      <c r="AL321" s="1298"/>
      <c r="AM321" s="1298"/>
      <c r="AN321" s="1298"/>
      <c r="AO321" s="1299"/>
      <c r="AP321" s="1301">
        <f>AP15</f>
        <v>0</v>
      </c>
      <c r="AQ321" s="1301">
        <f>AQ15</f>
        <v>0</v>
      </c>
      <c r="AR321" s="1311"/>
      <c r="AS321" s="313"/>
      <c r="AT321" s="289"/>
      <c r="AU321" s="178"/>
      <c r="AV321" s="177"/>
      <c r="AW321" s="60"/>
      <c r="AX321" s="60"/>
      <c r="AY321" s="60"/>
      <c r="AZ321" s="60"/>
      <c r="BA321" s="60"/>
      <c r="BB321" s="60"/>
      <c r="BC321" s="345"/>
      <c r="BD321" s="345"/>
      <c r="BE321" s="345"/>
      <c r="BF321" s="345"/>
      <c r="BG321" s="345"/>
      <c r="BH321" s="345"/>
      <c r="BI321" s="60"/>
      <c r="BJ321" s="60"/>
      <c r="BK321" s="60"/>
      <c r="BL321" s="60"/>
      <c r="BM321" s="60"/>
      <c r="BN321" s="60"/>
      <c r="BO321" s="60"/>
      <c r="BP321" s="60"/>
      <c r="BQ321" s="60"/>
      <c r="BR321" s="60"/>
      <c r="BS321" s="60"/>
      <c r="BT321" s="60"/>
      <c r="BU321" s="60"/>
      <c r="BV321" s="60"/>
      <c r="BW321" s="60"/>
      <c r="BX321" s="60"/>
      <c r="BY321" s="60"/>
      <c r="BZ321" s="60"/>
      <c r="CA321" s="60"/>
      <c r="CB321" s="60"/>
      <c r="CC321" s="60"/>
      <c r="CD321" s="60"/>
      <c r="CE321" s="60"/>
      <c r="CF321" s="60"/>
      <c r="CG321" s="60"/>
      <c r="CH321" s="60"/>
      <c r="CI321" s="60"/>
      <c r="CJ321" s="60"/>
      <c r="CK321" s="60"/>
      <c r="CL321" s="60"/>
      <c r="CM321" s="60"/>
      <c r="CN321" s="60"/>
      <c r="CO321" s="60"/>
      <c r="CP321" s="60"/>
      <c r="CQ321" s="60"/>
      <c r="CR321" s="60"/>
      <c r="CS321" s="60"/>
    </row>
    <row r="322" spans="2:97" s="89" customFormat="1" ht="46" customHeight="1" thickBot="1" x14ac:dyDescent="0.35">
      <c r="D322" s="1308"/>
      <c r="E322" s="1309"/>
      <c r="F322" s="1293"/>
      <c r="G322" s="695" t="str">
        <f>G16</f>
        <v>Y1 Q1 cost</v>
      </c>
      <c r="H322" s="933" t="str">
        <f>H16</f>
        <v>Y1 Q2 cost</v>
      </c>
      <c r="I322" s="933" t="str">
        <f>I16</f>
        <v>Y1 Q3 cost</v>
      </c>
      <c r="J322" s="933" t="str">
        <f>J16</f>
        <v>Y1 Q4 cost</v>
      </c>
      <c r="K322" s="696" t="str">
        <f>K16</f>
        <v>Y1 Total cost</v>
      </c>
      <c r="L322" s="1293"/>
      <c r="M322" s="695" t="str">
        <f>M16</f>
        <v>Y2 Q1 cost</v>
      </c>
      <c r="N322" s="933" t="str">
        <f>N16</f>
        <v>Y2 Q2 cost</v>
      </c>
      <c r="O322" s="933" t="str">
        <f>O16</f>
        <v>Y2 Q3 cost</v>
      </c>
      <c r="P322" s="933" t="str">
        <f>P16</f>
        <v>Y2 Q4 cost</v>
      </c>
      <c r="Q322" s="696" t="str">
        <f>Q16</f>
        <v>Y2 Total cost</v>
      </c>
      <c r="R322" s="1293"/>
      <c r="S322" s="695" t="str">
        <f>S16</f>
        <v>Y3 Q1 cost</v>
      </c>
      <c r="T322" s="933" t="str">
        <f>T16</f>
        <v>Y3 Q2 cost</v>
      </c>
      <c r="U322" s="933" t="str">
        <f>U16</f>
        <v>Y3 Q3 cost</v>
      </c>
      <c r="V322" s="933" t="str">
        <f>V16</f>
        <v>Y3 Q4 cost</v>
      </c>
      <c r="W322" s="696" t="str">
        <f>W16</f>
        <v>Y3 Total cost</v>
      </c>
      <c r="X322" s="1293"/>
      <c r="Y322" s="695" t="str">
        <f>Y16</f>
        <v>Y4 Q1 cost</v>
      </c>
      <c r="Z322" s="933" t="str">
        <f>Z16</f>
        <v>Y4 Q2 cost</v>
      </c>
      <c r="AA322" s="933" t="str">
        <f>AA16</f>
        <v>Y4 Q3 cost</v>
      </c>
      <c r="AB322" s="933" t="str">
        <f>AB16</f>
        <v>Y4 Q4 cost</v>
      </c>
      <c r="AC322" s="933" t="str">
        <f>AC16</f>
        <v>Y4 Total cost</v>
      </c>
      <c r="AD322" s="1293"/>
      <c r="AE322" s="933" t="str">
        <f>AE16</f>
        <v>Y5 Q1 cost</v>
      </c>
      <c r="AF322" s="933" t="str">
        <f>AF16</f>
        <v>Y5 Q2 cost</v>
      </c>
      <c r="AG322" s="933" t="str">
        <f>AG16</f>
        <v>Y5 Q3 cost</v>
      </c>
      <c r="AH322" s="933" t="str">
        <f>AH16</f>
        <v>Y5 Q4 cost</v>
      </c>
      <c r="AI322" s="933" t="str">
        <f>AI16</f>
        <v>Y5 Total cost</v>
      </c>
      <c r="AJ322" s="1293"/>
      <c r="AK322" s="933" t="str">
        <f>AK16</f>
        <v>Y6 Q1 cost</v>
      </c>
      <c r="AL322" s="933" t="str">
        <f>AL16</f>
        <v>Y6 Q2 cost</v>
      </c>
      <c r="AM322" s="933" t="str">
        <f>AM16</f>
        <v>Y6 Q3 cost</v>
      </c>
      <c r="AN322" s="933" t="str">
        <f>AN16</f>
        <v>Y6 Q4 cost</v>
      </c>
      <c r="AO322" s="933" t="str">
        <f>AO16</f>
        <v>Y6 Total cost</v>
      </c>
      <c r="AP322" s="695" t="str">
        <f>AP16</f>
        <v>Total cost</v>
      </c>
      <c r="AQ322" s="695" t="str">
        <f>AQ16</f>
        <v>Cost input</v>
      </c>
      <c r="AR322" s="1312"/>
      <c r="AS322" s="313"/>
      <c r="AT322" s="289"/>
      <c r="AU322" s="178"/>
      <c r="AV322" s="177"/>
      <c r="AW322" s="60"/>
      <c r="AX322" s="60"/>
      <c r="AY322" s="60"/>
      <c r="AZ322" s="60"/>
      <c r="BA322" s="60"/>
      <c r="BB322" s="60"/>
      <c r="BC322" s="345"/>
      <c r="BD322" s="345"/>
      <c r="BE322" s="345"/>
      <c r="BF322" s="345"/>
      <c r="BG322" s="345"/>
      <c r="BH322" s="345"/>
      <c r="BI322" s="60"/>
      <c r="BJ322" s="60"/>
      <c r="BK322" s="60"/>
      <c r="BL322" s="60"/>
      <c r="BM322" s="60"/>
      <c r="BN322" s="60"/>
      <c r="BO322" s="60"/>
      <c r="BP322" s="60"/>
      <c r="BQ322" s="60"/>
      <c r="BR322" s="60"/>
      <c r="BS322" s="60"/>
      <c r="BT322" s="60"/>
      <c r="BU322" s="60"/>
      <c r="BV322" s="60"/>
      <c r="BW322" s="60"/>
      <c r="BX322" s="60"/>
      <c r="BY322" s="60"/>
      <c r="BZ322" s="60"/>
      <c r="CA322" s="60"/>
      <c r="CB322" s="60"/>
      <c r="CC322" s="60"/>
      <c r="CD322" s="60"/>
      <c r="CE322" s="60"/>
      <c r="CF322" s="60"/>
      <c r="CG322" s="60"/>
      <c r="CH322" s="60"/>
      <c r="CI322" s="60"/>
      <c r="CJ322" s="60"/>
      <c r="CK322" s="60"/>
      <c r="CL322" s="60"/>
      <c r="CM322" s="60"/>
      <c r="CN322" s="60"/>
      <c r="CO322" s="60"/>
      <c r="CP322" s="60"/>
      <c r="CQ322" s="60"/>
      <c r="CR322" s="60"/>
      <c r="CS322" s="60"/>
    </row>
    <row r="323" spans="2:97" s="89" customFormat="1" ht="15" customHeight="1" thickBot="1" x14ac:dyDescent="0.4">
      <c r="B323" s="211" t="s">
        <v>749</v>
      </c>
      <c r="C323" s="698" t="s">
        <v>2751</v>
      </c>
      <c r="D323" s="1313" t="s">
        <v>83</v>
      </c>
      <c r="E323" s="1009" t="s">
        <v>32</v>
      </c>
      <c r="F323" s="996">
        <v>0</v>
      </c>
      <c r="G323" s="725" cm="1">
        <f t="array" ref="G323">$F323*(SUMPRODUCT(('Cashflow Summary C19RM'!$K$5:$K$239&lt;&gt;1)*('Cashflow Summary C19RM'!$D$5:$D$239=E323)*('Cashflow Summary C19RM'!$R$5:$R$239)))</f>
        <v>0</v>
      </c>
      <c r="H323" s="977" cm="1">
        <f t="array" ref="H323">$F323*(SUMPRODUCT(('Cashflow Summary C19RM'!$K$5:$K$239&lt;&gt;1)*('Cashflow Summary C19RM'!$D$5:$D$239=E323)*('Cashflow Summary C19RM'!$S$5:$S$239)))</f>
        <v>0</v>
      </c>
      <c r="I323" s="978" cm="1">
        <f t="array" ref="I323">$F323*(SUMPRODUCT(('Cashflow Summary C19RM'!$K$5:$K$239&lt;&gt;1)*('Cashflow Summary C19RM'!$D$5:$D$239=E323)*('Cashflow Summary C19RM'!$T$5:$T$239)))</f>
        <v>0</v>
      </c>
      <c r="J323" s="978" cm="1">
        <f t="array" ref="J323">$F323*(SUMPRODUCT(('Cashflow Summary C19RM'!$K$5:$K$239&lt;&gt;1)*('Cashflow Summary C19RM'!$D$5:$D$239=E323)*('Cashflow Summary C19RM'!$U$5:$U$239)))</f>
        <v>0</v>
      </c>
      <c r="K323" s="997">
        <f t="shared" ref="K323:K337" si="135">SUM(G323:J323)</f>
        <v>0</v>
      </c>
      <c r="L323" s="981">
        <f t="shared" ref="L323:L337" si="136">F323</f>
        <v>0</v>
      </c>
      <c r="M323" s="976" cm="1">
        <f t="array" ref="M323">$L323*(SUMPRODUCT(('Cashflow Summary C19RM'!$K$5:$K$239&lt;&gt;1)*('Cashflow Summary C19RM'!$D$5:$D$239=E323)*('Cashflow Summary C19RM'!$V$5:$V$239)))</f>
        <v>0</v>
      </c>
      <c r="N323" s="977" cm="1">
        <f t="array" ref="N323">$L323*(SUMPRODUCT(('Cashflow Summary C19RM'!$K$5:$K$239&lt;&gt;1)*('Cashflow Summary C19RM'!$D$5:$D$239=E323)*('Cashflow Summary C19RM'!$W$5:$W$239)))</f>
        <v>0</v>
      </c>
      <c r="O323" s="978" cm="1">
        <f t="array" ref="O323">$L323*(SUMPRODUCT(('Cashflow Summary C19RM'!$K$5:$K$239&lt;&gt;1)*('Cashflow Summary C19RM'!$D$5:$D$239=E323)*('Cashflow Summary C19RM'!$X$5:$X$239)))</f>
        <v>0</v>
      </c>
      <c r="P323" s="978" cm="1">
        <f t="array" ref="P323">$L323*(SUMPRODUCT(('Cashflow Summary C19RM'!$K$5:$K$239&lt;&gt;1)*('Cashflow Summary C19RM'!$D$5:$D$239=E323)*('Cashflow Summary C19RM'!$Y$5:$Y$239)))</f>
        <v>0</v>
      </c>
      <c r="Q323" s="980">
        <f t="shared" ref="Q323:Q337" si="137">SUM(M323:P323)</f>
        <v>0</v>
      </c>
      <c r="R323" s="981">
        <f t="shared" ref="R323:R337" si="138">F323</f>
        <v>0</v>
      </c>
      <c r="S323" s="976" cm="1">
        <f t="array" ref="S323">$R323*(SUMPRODUCT(('Cashflow Summary C19RM'!$K$5:$K$239&lt;&gt;1)*('Cashflow Summary C19RM'!$D$5:$D$239=E323)*('Cashflow Summary C19RM'!$Z$5:$Z$239)))</f>
        <v>0</v>
      </c>
      <c r="T323" s="977" cm="1">
        <f t="array" ref="T323">$R323*(SUMPRODUCT(('Cashflow Summary C19RM'!$K$5:$K$239&lt;&gt;1)*('Cashflow Summary C19RM'!$D$5:$D$239=E323)*('Cashflow Summary C19RM'!$AA$5:$AA$239)))</f>
        <v>0</v>
      </c>
      <c r="U323" s="978" cm="1">
        <f t="array" ref="U323">$R323*(SUMPRODUCT(('Cashflow Summary C19RM'!$K$5:$K$239&lt;&gt;1)*('Cashflow Summary C19RM'!$D$5:$D$239=E323)*('Cashflow Summary C19RM'!$AB$5:$AB$239)))</f>
        <v>0</v>
      </c>
      <c r="V323" s="978" cm="1">
        <f t="array" ref="V323">$R323*(SUMPRODUCT(('Cashflow Summary C19RM'!$K$5:$K$239&lt;&gt;1)*('Cashflow Summary C19RM'!$D$5:$D$239=E323)*('Cashflow Summary C19RM'!$AC$5:$AC$239)))</f>
        <v>0</v>
      </c>
      <c r="W323" s="982">
        <f t="shared" ref="W323:W337" si="139">SUM(S323:V323)</f>
        <v>0</v>
      </c>
      <c r="X323" s="981">
        <f t="shared" ref="X323:X337" si="140">F323</f>
        <v>0</v>
      </c>
      <c r="Y323" s="976" cm="1">
        <f t="array" ref="Y323">$X323*(SUMPRODUCT(('Cashflow Summary C19RM'!$K$5:$K$239&lt;&gt;1)*('Cashflow Summary C19RM'!$D$5:$D$239=E323)*('Cashflow Summary C19RM'!$AD$5:$AD$239)))</f>
        <v>0</v>
      </c>
      <c r="Z323" s="977" cm="1">
        <f t="array" ref="Z323">$X323*(SUMPRODUCT(('Cashflow Summary C19RM'!$K$5:$K$239&lt;&gt;1)*('Cashflow Summary C19RM'!$D$5:$D$239=E323)*('Cashflow Summary C19RM'!$AE$5:$AE$239)))</f>
        <v>0</v>
      </c>
      <c r="AA323" s="978" cm="1">
        <f t="array" ref="AA323">$X323*(SUMPRODUCT(('Cashflow Summary C19RM'!$K$5:$K$239&lt;&gt;1)*('Cashflow Summary C19RM'!$D$5:$D$239=E323)*('Cashflow Summary C19RM'!$AF$5:$AF$239)))</f>
        <v>0</v>
      </c>
      <c r="AB323" s="978" cm="1">
        <f t="array" ref="AB323">$X323*(SUMPRODUCT(('Cashflow Summary C19RM'!$K$5:$K$239&lt;&gt;1)*('Cashflow Summary C19RM'!$D$5:$D$239=E323)*('Cashflow Summary C19RM'!$AG$5:$AG$239)))</f>
        <v>0</v>
      </c>
      <c r="AC323" s="982">
        <f t="shared" ref="AC323:AC337" si="141">SUM(Y323:AB323)</f>
        <v>0</v>
      </c>
      <c r="AD323" s="981">
        <f t="shared" ref="AD323:AD337" si="142">L323</f>
        <v>0</v>
      </c>
      <c r="AE323" s="725" cm="1">
        <f t="array" ref="AE323">$AD323*(SUMPRODUCT(('Cashflow Summary C19RM'!$K$5:$K$239&lt;&gt;1)*('Cashflow Summary C19RM'!$D$5:$D$239=E323)*('Cashflow Summary C19RM'!$AH$5:$AH$239)))</f>
        <v>0</v>
      </c>
      <c r="AF323" s="976" cm="1">
        <f t="array" ref="AF323">$AD323*(SUMPRODUCT(('Cashflow Summary C19RM'!$K$5:$K$239&lt;&gt;1)*('Cashflow Summary C19RM'!$D$5:$D$239=E323)*('Cashflow Summary C19RM'!$AI$5:$AI$239)))</f>
        <v>0</v>
      </c>
      <c r="AG323" s="976" cm="1">
        <f t="array" ref="AG323">$AD323*(SUMPRODUCT(('Cashflow Summary C19RM'!$K$5:$K$239&lt;&gt;1)*('Cashflow Summary C19RM'!$D$5:$D$239=E323)*('Cashflow Summary C19RM'!$AJ$5:$AJ$239)))</f>
        <v>0</v>
      </c>
      <c r="AH323" s="976" cm="1">
        <f t="array" ref="AH323">$AD323*(SUMPRODUCT(('Cashflow Summary C19RM'!$K$5:$K$239&lt;&gt;1)*('Cashflow Summary C19RM'!$D$5:$D$239=E323)*('Cashflow Summary C19RM'!$AK$5:$AO$239)))</f>
        <v>0</v>
      </c>
      <c r="AI323" s="982">
        <f t="shared" ref="AI323:AI337" si="143">SUM(AE323:AH323)</f>
        <v>0</v>
      </c>
      <c r="AJ323" s="983">
        <v>0</v>
      </c>
      <c r="AK323" s="984"/>
      <c r="AL323" s="985"/>
      <c r="AM323" s="985"/>
      <c r="AN323" s="985"/>
      <c r="AO323" s="986"/>
      <c r="AP323" s="982">
        <f>K323+Q323+W323+AC323+AI323</f>
        <v>0</v>
      </c>
      <c r="AQ323" s="987">
        <v>7.7</v>
      </c>
      <c r="AR323" s="988"/>
      <c r="AS323" s="310"/>
      <c r="AV323" s="228">
        <f t="shared" ref="AV323:AV337" si="144">F323</f>
        <v>0</v>
      </c>
      <c r="AW323" s="228">
        <f t="shared" ref="AW323:AW337" si="145">L323</f>
        <v>0</v>
      </c>
      <c r="AX323" s="228">
        <f t="shared" ref="AX323:AX337" si="146">R323</f>
        <v>0</v>
      </c>
      <c r="AY323" s="228">
        <f t="shared" ref="AY323:AY337" si="147">X323</f>
        <v>0</v>
      </c>
      <c r="AZ323" s="228">
        <f t="shared" ref="AZ323:AZ337" si="148">AD323</f>
        <v>0</v>
      </c>
      <c r="BA323" s="228"/>
      <c r="BC323" s="345" cm="1">
        <f t="array" ref="BC323">IF(BM323&gt;=1,0,IFERROR(SUMPRODUCT(($G$11:$AH$11=$BC$16)*($G323:$AH323)),0))</f>
        <v>0</v>
      </c>
      <c r="BD323" s="345" cm="1">
        <f t="array" ref="BD323">IF(BM323&gt;=1,0,IFERROR(SUMPRODUCT(($G$11:$AH$11=$BD$16)*($G323:$AH323)),0))</f>
        <v>0</v>
      </c>
      <c r="BE323" s="345" cm="1">
        <f t="array" ref="BE323">IF(BM323&gt;=1,0,IFERROR(SUMPRODUCT(($G$11:$AH$11=$BE$16)*($G323:$AH323)),0))</f>
        <v>0</v>
      </c>
      <c r="BF323" s="345" cm="1">
        <f t="array" ref="BF323">IF(BM323&gt;=1,0,IFERROR(SUMPRODUCT(($G$11:$AH$11=$BF$16)*($G323:$AH323)),0))</f>
        <v>0</v>
      </c>
      <c r="BG323" s="345" cm="1">
        <f t="array" ref="BG323">IF(BM323&gt;=1,0,IFERROR(SUMPRODUCT(($G$11:$AH$11=$BG$16)*($G323:$AH323)),0))</f>
        <v>0</v>
      </c>
      <c r="BH323" s="345"/>
      <c r="BI323" s="343">
        <f>SUM(BC323:BG323)</f>
        <v>0</v>
      </c>
      <c r="BJ323" s="229" t="s">
        <v>83</v>
      </c>
      <c r="BK323" cm="1">
        <f t="array" ref="BK323">(SUMPRODUCT(('Cashflow Summary C19RM'!$D$5:$D$451=E323)*('Cashflow Summary C19RM'!$BD$5:$BD$451)))</f>
        <v>0</v>
      </c>
      <c r="BL323" cm="1">
        <f t="array" ref="BL323">(SUMPRODUCT((SETUP!$D$20:$D$67=E323)*(SETUP!$R$20:$R$67)))</f>
        <v>0</v>
      </c>
      <c r="BM323" s="89">
        <f t="shared" ref="BM323:BM337" si="149">SUM(BK323:BL323)</f>
        <v>0</v>
      </c>
    </row>
    <row r="324" spans="2:97" s="89" customFormat="1" ht="15" customHeight="1" x14ac:dyDescent="0.35">
      <c r="B324" s="211" t="s">
        <v>749</v>
      </c>
      <c r="C324" s="698" t="s">
        <v>2750</v>
      </c>
      <c r="D324" s="1314"/>
      <c r="E324" s="1010" t="s">
        <v>11</v>
      </c>
      <c r="F324" s="697">
        <v>0</v>
      </c>
      <c r="G324" s="628" cm="1">
        <f t="array" ref="G324">$F324*(SUMPRODUCT(('Cashflow Summary C19RM'!$K$5:$K$239&lt;&gt;1)*('Cashflow Summary C19RM'!$D$5:$D$239=E324)*('Cashflow Summary C19RM'!$R$5:$R$239)))</f>
        <v>0</v>
      </c>
      <c r="H324" s="629" cm="1">
        <f t="array" ref="H324">$F324*(SUMPRODUCT(('Cashflow Summary C19RM'!$K$5:$K$239&lt;&gt;1)*('Cashflow Summary C19RM'!$D$5:$D$239=E324)*('Cashflow Summary C19RM'!$S$5:$S$239)))</f>
        <v>0</v>
      </c>
      <c r="I324" s="630" cm="1">
        <f t="array" ref="I324">$F324*(SUMPRODUCT(('Cashflow Summary C19RM'!$K$5:$K$239&lt;&gt;1)*('Cashflow Summary C19RM'!$D$5:$D$239=E324)*('Cashflow Summary C19RM'!$T$5:$T$239)))</f>
        <v>0</v>
      </c>
      <c r="J324" s="630" cm="1">
        <f t="array" ref="J324">$F324*(SUMPRODUCT(('Cashflow Summary C19RM'!$K$5:$K$239&lt;&gt;1)*('Cashflow Summary C19RM'!$D$5:$D$239=E324)*('Cashflow Summary C19RM'!$U$5:$U$239)))</f>
        <v>0</v>
      </c>
      <c r="K324" s="631">
        <f t="shared" si="135"/>
        <v>0</v>
      </c>
      <c r="L324" s="686">
        <f t="shared" si="136"/>
        <v>0</v>
      </c>
      <c r="M324" s="630" cm="1">
        <f t="array" ref="M324">$L324*(SUMPRODUCT(('Cashflow Summary C19RM'!$K$5:$K$239&lt;&gt;1)*('Cashflow Summary C19RM'!$D$5:$D$239=E324)*('Cashflow Summary C19RM'!$V$5:$V$239)))</f>
        <v>0</v>
      </c>
      <c r="N324" s="630" cm="1">
        <f t="array" ref="N324">$L324*(SUMPRODUCT(('Cashflow Summary C19RM'!$K$5:$K$239&lt;&gt;1)*('Cashflow Summary C19RM'!$D$5:$D$239=E324)*('Cashflow Summary C19RM'!$W$5:$W$239)))</f>
        <v>0</v>
      </c>
      <c r="O324" s="630" cm="1">
        <f t="array" ref="O324">$L324*(SUMPRODUCT(('Cashflow Summary C19RM'!$K$5:$K$239&lt;&gt;1)*('Cashflow Summary C19RM'!$D$5:$D$239=E324)*('Cashflow Summary C19RM'!$X$5:$X$239)))</f>
        <v>0</v>
      </c>
      <c r="P324" s="630" cm="1">
        <f t="array" ref="P324">$L324*(SUMPRODUCT(('Cashflow Summary C19RM'!$K$5:$K$239&lt;&gt;1)*('Cashflow Summary C19RM'!$D$5:$D$239=E324)*('Cashflow Summary C19RM'!$Y$5:$Y$239)))</f>
        <v>0</v>
      </c>
      <c r="Q324" s="632">
        <f t="shared" si="137"/>
        <v>0</v>
      </c>
      <c r="R324" s="686">
        <f t="shared" si="138"/>
        <v>0</v>
      </c>
      <c r="S324" s="633" cm="1">
        <f t="array" ref="S324">$R324*(SUMPRODUCT(('Cashflow Summary C19RM'!$K$5:$K$239&lt;&gt;1)*('Cashflow Summary C19RM'!$D$5:$D$239=E324)*('Cashflow Summary C19RM'!$Z$5:$Z$239)))</f>
        <v>0</v>
      </c>
      <c r="T324" s="633" cm="1">
        <f t="array" ref="T324">$R324*(SUMPRODUCT(('Cashflow Summary C19RM'!$K$5:$K$239&lt;&gt;1)*('Cashflow Summary C19RM'!$D$5:$D$239=E324)*('Cashflow Summary C19RM'!$AA$5:$AA$239)))</f>
        <v>0</v>
      </c>
      <c r="U324" s="633" cm="1">
        <f t="array" ref="U324">$R324*(SUMPRODUCT(('Cashflow Summary C19RM'!$K$5:$K$239&lt;&gt;1)*('Cashflow Summary C19RM'!$D$5:$D$239=E324)*('Cashflow Summary C19RM'!$AB$5:$AB$239)))</f>
        <v>0</v>
      </c>
      <c r="V324" s="633" cm="1">
        <f t="array" ref="V324">$R324*(SUMPRODUCT(('Cashflow Summary C19RM'!$K$5:$K$239&lt;&gt;1)*('Cashflow Summary C19RM'!$D$5:$D$239=E324)*('Cashflow Summary C19RM'!$AC$5:$AC$239)))</f>
        <v>0</v>
      </c>
      <c r="W324" s="634">
        <f t="shared" si="139"/>
        <v>0</v>
      </c>
      <c r="X324" s="686">
        <f t="shared" si="140"/>
        <v>0</v>
      </c>
      <c r="Y324" s="633" cm="1">
        <f t="array" ref="Y324">$X324*(SUMPRODUCT(('Cashflow Summary C19RM'!$K$5:$K$239&lt;&gt;1)*('Cashflow Summary C19RM'!$D$5:$D$239=E324)*('Cashflow Summary C19RM'!$AD$5:$AD$239)))</f>
        <v>0</v>
      </c>
      <c r="Z324" s="633" cm="1">
        <f t="array" ref="Z324">$X324*(SUMPRODUCT(('Cashflow Summary C19RM'!$K$5:$K$239&lt;&gt;1)*('Cashflow Summary C19RM'!$D$5:$D$239=E324)*('Cashflow Summary C19RM'!$AE$5:$AE$239)))</f>
        <v>0</v>
      </c>
      <c r="AA324" s="633" cm="1">
        <f t="array" ref="AA324">$X324*(SUMPRODUCT(('Cashflow Summary C19RM'!$K$5:$K$239&lt;&gt;1)*('Cashflow Summary C19RM'!$D$5:$D$239=E324)*('Cashflow Summary C19RM'!$AF$5:$AF$239)))</f>
        <v>0</v>
      </c>
      <c r="AB324" s="630" cm="1">
        <f t="array" ref="AB324">$X324*(SUMPRODUCT(('Cashflow Summary C19RM'!$K$5:$K$239&lt;&gt;1)*('Cashflow Summary C19RM'!$D$5:$D$239=E324)*('Cashflow Summary C19RM'!$AG$5:$AG$239)))</f>
        <v>0</v>
      </c>
      <c r="AC324" s="634">
        <f t="shared" si="141"/>
        <v>0</v>
      </c>
      <c r="AD324" s="686">
        <f t="shared" si="142"/>
        <v>0</v>
      </c>
      <c r="AE324" s="628" cm="1">
        <f t="array" ref="AE324">$AD324*(SUMPRODUCT(('Cashflow Summary C19RM'!$K$5:$K$239&lt;&gt;1)*('Cashflow Summary C19RM'!$D$5:$D$239=E324)*('Cashflow Summary C19RM'!$AH$5:$AH$239)))</f>
        <v>0</v>
      </c>
      <c r="AF324" s="633" cm="1">
        <f t="array" ref="AF324">$AD324*(SUMPRODUCT(('Cashflow Summary C19RM'!$K$5:$K$239&lt;&gt;1)*('Cashflow Summary C19RM'!$D$5:$D$239=E324)*('Cashflow Summary C19RM'!$AI$5:$AI$239)))</f>
        <v>0</v>
      </c>
      <c r="AG324" s="633" cm="1">
        <f t="array" ref="AG324">$AD324*(SUMPRODUCT(('Cashflow Summary C19RM'!$K$5:$K$239&lt;&gt;1)*('Cashflow Summary C19RM'!$D$5:$D$239=E324)*('Cashflow Summary C19RM'!$AJ$5:$AJ$239)))</f>
        <v>0</v>
      </c>
      <c r="AH324" s="633" cm="1">
        <f t="array" ref="AH324">$AD324*(SUMPRODUCT(('Cashflow Summary C19RM'!$K$5:$K$239&lt;&gt;1)*('Cashflow Summary C19RM'!$D$5:$D$239=E324)*('Cashflow Summary C19RM'!$AK$5:$AO$239)))</f>
        <v>0</v>
      </c>
      <c r="AI324" s="634">
        <f t="shared" si="143"/>
        <v>0</v>
      </c>
      <c r="AJ324" s="875">
        <v>0</v>
      </c>
      <c r="AK324" s="872"/>
      <c r="AL324" s="873"/>
      <c r="AM324" s="873"/>
      <c r="AN324" s="873"/>
      <c r="AO324" s="874"/>
      <c r="AP324" s="635">
        <f t="shared" ref="AP324:AP337" si="150">K324+Q324+W324+AC324+AI324</f>
        <v>0</v>
      </c>
      <c r="AQ324" s="636">
        <v>7.7</v>
      </c>
      <c r="AR324" s="707"/>
      <c r="AS324" s="310"/>
      <c r="AV324" s="228">
        <f t="shared" si="144"/>
        <v>0</v>
      </c>
      <c r="AW324" s="228">
        <f t="shared" si="145"/>
        <v>0</v>
      </c>
      <c r="AX324" s="228">
        <f t="shared" si="146"/>
        <v>0</v>
      </c>
      <c r="AY324" s="228">
        <f t="shared" si="147"/>
        <v>0</v>
      </c>
      <c r="AZ324" s="228">
        <f t="shared" si="148"/>
        <v>0</v>
      </c>
      <c r="BA324" s="228"/>
      <c r="BC324" s="345" cm="1">
        <f t="array" ref="BC324">IF(BM324&gt;=1,0,IFERROR(SUMPRODUCT(($G$11:$AH$11=$BC$16)*($G324:$AH324)),0))</f>
        <v>0</v>
      </c>
      <c r="BD324" s="345" cm="1">
        <f t="array" ref="BD324">IF(BM324&gt;=1,0,IFERROR(SUMPRODUCT(($G$11:$AH$11=$BD$16)*($G324:$AH324)),0))</f>
        <v>0</v>
      </c>
      <c r="BE324" s="345" cm="1">
        <f t="array" ref="BE324">IF(BM324&gt;=1,0,IFERROR(SUMPRODUCT(($G$11:$AH$11=$BE$16)*($G324:$AH324)),0))</f>
        <v>0</v>
      </c>
      <c r="BF324" s="345" cm="1">
        <f t="array" ref="BF324">IF(BM324&gt;=1,0,IFERROR(SUMPRODUCT(($G$11:$AH$11=$BF$16)*($G324:$AH324)),0))</f>
        <v>0</v>
      </c>
      <c r="BG324" s="345" cm="1">
        <f t="array" ref="BG324">IF(BM324&gt;=1,0,IFERROR(SUMPRODUCT(($G$11:$AH$11=$BG$16)*($G324:$AH324)),0))</f>
        <v>0</v>
      </c>
      <c r="BH324" s="345"/>
      <c r="BI324" s="343">
        <f t="shared" ref="BI324:BI337" si="151">SUM(BC324:BG324)</f>
        <v>0</v>
      </c>
      <c r="BJ324" s="229" t="s">
        <v>83</v>
      </c>
      <c r="BK324" cm="1">
        <f t="array" ref="BK324">(SUMPRODUCT(('Cashflow Summary C19RM'!$D$5:$D$451=E324)*('Cashflow Summary C19RM'!$BD$5:$BD$451)))</f>
        <v>0</v>
      </c>
      <c r="BL324" cm="1">
        <f t="array" ref="BL324">(SUMPRODUCT((SETUP!$D$20:$D$67=E324)*(SETUP!$R$20:$R$67)))</f>
        <v>0</v>
      </c>
      <c r="BM324" s="89">
        <f t="shared" si="149"/>
        <v>0</v>
      </c>
    </row>
    <row r="325" spans="2:97" s="89" customFormat="1" ht="15" customHeight="1" x14ac:dyDescent="0.35">
      <c r="B325" s="211" t="s">
        <v>749</v>
      </c>
      <c r="C325" s="699" t="s">
        <v>2750</v>
      </c>
      <c r="D325" s="1314"/>
      <c r="E325" s="1010" t="s">
        <v>15</v>
      </c>
      <c r="F325" s="697">
        <v>0</v>
      </c>
      <c r="G325" s="628" cm="1">
        <f t="array" ref="G325">$F325*(SUMPRODUCT(('Cashflow Summary C19RM'!$K$5:$K$239&lt;&gt;1)*('Cashflow Summary C19RM'!$D$5:$D$239=E325)*('Cashflow Summary C19RM'!$R$5:$R$239)))</f>
        <v>0</v>
      </c>
      <c r="H325" s="629" cm="1">
        <f t="array" ref="H325">$F325*(SUMPRODUCT(('Cashflow Summary C19RM'!$K$5:$K$239&lt;&gt;1)*('Cashflow Summary C19RM'!$D$5:$D$239=E325)*('Cashflow Summary C19RM'!$S$5:$S$239)))</f>
        <v>0</v>
      </c>
      <c r="I325" s="630" cm="1">
        <f t="array" ref="I325">$F325*(SUMPRODUCT(('Cashflow Summary C19RM'!$K$5:$K$239&lt;&gt;1)*('Cashflow Summary C19RM'!$D$5:$D$239=E325)*('Cashflow Summary C19RM'!$T$5:$T$239)))</f>
        <v>0</v>
      </c>
      <c r="J325" s="630" cm="1">
        <f t="array" ref="J325">$F325*(SUMPRODUCT(('Cashflow Summary C19RM'!$K$5:$K$239&lt;&gt;1)*('Cashflow Summary C19RM'!$D$5:$D$239=E325)*('Cashflow Summary C19RM'!$U$5:$U$239)))</f>
        <v>0</v>
      </c>
      <c r="K325" s="631">
        <f t="shared" si="135"/>
        <v>0</v>
      </c>
      <c r="L325" s="686">
        <f t="shared" si="136"/>
        <v>0</v>
      </c>
      <c r="M325" s="630" cm="1">
        <f t="array" ref="M325">$L325*(SUMPRODUCT(('Cashflow Summary C19RM'!$K$5:$K$239&lt;&gt;1)*('Cashflow Summary C19RM'!$D$5:$D$239=E325)*('Cashflow Summary C19RM'!$V$5:$V$239)))</f>
        <v>0</v>
      </c>
      <c r="N325" s="630" cm="1">
        <f t="array" ref="N325">$L325*(SUMPRODUCT(('Cashflow Summary C19RM'!$K$5:$K$239&lt;&gt;1)*('Cashflow Summary C19RM'!$D$5:$D$239=E325)*('Cashflow Summary C19RM'!$W$5:$W$239)))</f>
        <v>0</v>
      </c>
      <c r="O325" s="630" cm="1">
        <f t="array" ref="O325">$L325*(SUMPRODUCT(('Cashflow Summary C19RM'!$K$5:$K$239&lt;&gt;1)*('Cashflow Summary C19RM'!$D$5:$D$239=E325)*('Cashflow Summary C19RM'!$X$5:$X$239)))</f>
        <v>0</v>
      </c>
      <c r="P325" s="630" cm="1">
        <f t="array" ref="P325">$L325*(SUMPRODUCT(('Cashflow Summary C19RM'!$K$5:$K$239&lt;&gt;1)*('Cashflow Summary C19RM'!$D$5:$D$239=E325)*('Cashflow Summary C19RM'!$Y$5:$Y$239)))</f>
        <v>0</v>
      </c>
      <c r="Q325" s="632">
        <f t="shared" si="137"/>
        <v>0</v>
      </c>
      <c r="R325" s="686">
        <f t="shared" si="138"/>
        <v>0</v>
      </c>
      <c r="S325" s="633" cm="1">
        <f t="array" ref="S325">$R325*(SUMPRODUCT(('Cashflow Summary C19RM'!$K$5:$K$239&lt;&gt;1)*('Cashflow Summary C19RM'!$D$5:$D$239=E325)*('Cashflow Summary C19RM'!$Z$5:$Z$239)))</f>
        <v>0</v>
      </c>
      <c r="T325" s="633" cm="1">
        <f t="array" ref="T325">$R325*(SUMPRODUCT(('Cashflow Summary C19RM'!$K$5:$K$239&lt;&gt;1)*('Cashflow Summary C19RM'!$D$5:$D$239=E325)*('Cashflow Summary C19RM'!$AA$5:$AA$239)))</f>
        <v>0</v>
      </c>
      <c r="U325" s="633" cm="1">
        <f t="array" ref="U325">$R325*(SUMPRODUCT(('Cashflow Summary C19RM'!$K$5:$K$239&lt;&gt;1)*('Cashflow Summary C19RM'!$D$5:$D$239=E325)*('Cashflow Summary C19RM'!$AB$5:$AB$239)))</f>
        <v>0</v>
      </c>
      <c r="V325" s="633" cm="1">
        <f t="array" ref="V325">$R325*(SUMPRODUCT(('Cashflow Summary C19RM'!$K$5:$K$239&lt;&gt;1)*('Cashflow Summary C19RM'!$D$5:$D$239=E325)*('Cashflow Summary C19RM'!$AC$5:$AC$239)))</f>
        <v>0</v>
      </c>
      <c r="W325" s="634">
        <f t="shared" si="139"/>
        <v>0</v>
      </c>
      <c r="X325" s="686">
        <f t="shared" si="140"/>
        <v>0</v>
      </c>
      <c r="Y325" s="633" cm="1">
        <f t="array" ref="Y325">$X325*(SUMPRODUCT(('Cashflow Summary C19RM'!$K$5:$K$239&lt;&gt;1)*('Cashflow Summary C19RM'!$D$5:$D$239=E325)*('Cashflow Summary C19RM'!$AD$5:$AD$239)))</f>
        <v>0</v>
      </c>
      <c r="Z325" s="633" cm="1">
        <f t="array" ref="Z325">$X325*(SUMPRODUCT(('Cashflow Summary C19RM'!$K$5:$K$239&lt;&gt;1)*('Cashflow Summary C19RM'!$D$5:$D$239=E325)*('Cashflow Summary C19RM'!$AE$5:$AE$239)))</f>
        <v>0</v>
      </c>
      <c r="AA325" s="633" cm="1">
        <f t="array" ref="AA325">$X325*(SUMPRODUCT(('Cashflow Summary C19RM'!$K$5:$K$239&lt;&gt;1)*('Cashflow Summary C19RM'!$D$5:$D$239=E325)*('Cashflow Summary C19RM'!$AF$5:$AF$239)))</f>
        <v>0</v>
      </c>
      <c r="AB325" s="630" cm="1">
        <f t="array" ref="AB325">$X325*(SUMPRODUCT(('Cashflow Summary C19RM'!$K$5:$K$239&lt;&gt;1)*('Cashflow Summary C19RM'!$D$5:$D$239=E325)*('Cashflow Summary C19RM'!$AG$5:$AG$239)))</f>
        <v>0</v>
      </c>
      <c r="AC325" s="634">
        <f t="shared" si="141"/>
        <v>0</v>
      </c>
      <c r="AD325" s="686">
        <f t="shared" si="142"/>
        <v>0</v>
      </c>
      <c r="AE325" s="628" cm="1">
        <f t="array" ref="AE325">$AD325*(SUMPRODUCT(('Cashflow Summary C19RM'!$K$5:$K$239&lt;&gt;1)*('Cashflow Summary C19RM'!$D$5:$D$239=E325)*('Cashflow Summary C19RM'!$AH$5:$AH$239)))</f>
        <v>0</v>
      </c>
      <c r="AF325" s="633" cm="1">
        <f t="array" ref="AF325">$AD325*(SUMPRODUCT(('Cashflow Summary C19RM'!$K$5:$K$239&lt;&gt;1)*('Cashflow Summary C19RM'!$D$5:$D$239=E325)*('Cashflow Summary C19RM'!$AI$5:$AI$239)))</f>
        <v>0</v>
      </c>
      <c r="AG325" s="633" cm="1">
        <f t="array" ref="AG325">$AD325*(SUMPRODUCT(('Cashflow Summary C19RM'!$K$5:$K$239&lt;&gt;1)*('Cashflow Summary C19RM'!$D$5:$D$239=E325)*('Cashflow Summary C19RM'!$AJ$5:$AJ$239)))</f>
        <v>0</v>
      </c>
      <c r="AH325" s="633" cm="1">
        <f t="array" ref="AH325">$AD325*(SUMPRODUCT(('Cashflow Summary C19RM'!$K$5:$K$239&lt;&gt;1)*('Cashflow Summary C19RM'!$D$5:$D$239=E325)*('Cashflow Summary C19RM'!$AK$5:$AO$239)))</f>
        <v>0</v>
      </c>
      <c r="AI325" s="634">
        <f t="shared" si="143"/>
        <v>0</v>
      </c>
      <c r="AJ325" s="875">
        <v>0</v>
      </c>
      <c r="AK325" s="872"/>
      <c r="AL325" s="873"/>
      <c r="AM325" s="873"/>
      <c r="AN325" s="873"/>
      <c r="AO325" s="874"/>
      <c r="AP325" s="635">
        <f t="shared" si="150"/>
        <v>0</v>
      </c>
      <c r="AQ325" s="636">
        <v>7.7</v>
      </c>
      <c r="AR325" s="707"/>
      <c r="AS325" s="310"/>
      <c r="AV325" s="228">
        <f t="shared" si="144"/>
        <v>0</v>
      </c>
      <c r="AW325" s="228">
        <f t="shared" si="145"/>
        <v>0</v>
      </c>
      <c r="AX325" s="228">
        <f t="shared" si="146"/>
        <v>0</v>
      </c>
      <c r="AY325" s="228">
        <f t="shared" si="147"/>
        <v>0</v>
      </c>
      <c r="AZ325" s="228">
        <f t="shared" si="148"/>
        <v>0</v>
      </c>
      <c r="BA325" s="228"/>
      <c r="BC325" s="345" cm="1">
        <f t="array" ref="BC325">IF(BM325&gt;=1,0,IFERROR(SUMPRODUCT(($G$11:$AH$11=$BC$16)*($G325:$AH325)),0))</f>
        <v>0</v>
      </c>
      <c r="BD325" s="345" cm="1">
        <f t="array" ref="BD325">IF(BM325&gt;=1,0,IFERROR(SUMPRODUCT(($G$11:$AH$11=$BD$16)*($G325:$AH325)),0))</f>
        <v>0</v>
      </c>
      <c r="BE325" s="345" cm="1">
        <f t="array" ref="BE325">IF(BM325&gt;=1,0,IFERROR(SUMPRODUCT(($G$11:$AH$11=$BE$16)*($G325:$AH325)),0))</f>
        <v>0</v>
      </c>
      <c r="BF325" s="345" cm="1">
        <f t="array" ref="BF325">IF(BM325&gt;=1,0,IFERROR(SUMPRODUCT(($G$11:$AH$11=$BF$16)*($G325:$AH325)),0))</f>
        <v>0</v>
      </c>
      <c r="BG325" s="345" cm="1">
        <f t="array" ref="BG325">IF(BM325&gt;=1,0,IFERROR(SUMPRODUCT(($G$11:$AH$11=$BG$16)*($G325:$AH325)),0))</f>
        <v>0</v>
      </c>
      <c r="BH325" s="345"/>
      <c r="BI325" s="343">
        <f t="shared" si="151"/>
        <v>0</v>
      </c>
      <c r="BJ325" s="230" t="s">
        <v>83</v>
      </c>
      <c r="BK325" cm="1">
        <f t="array" ref="BK325">(SUMPRODUCT(('Cashflow Summary C19RM'!$D$5:$D$451=E325)*('Cashflow Summary C19RM'!$BD$5:$BD$451)))</f>
        <v>0</v>
      </c>
      <c r="BL325" cm="1">
        <f t="array" ref="BL325">(SUMPRODUCT((SETUP!$D$20:$D$67=E325)*(SETUP!$R$20:$R$67)))</f>
        <v>0</v>
      </c>
      <c r="BM325" s="89">
        <f t="shared" si="149"/>
        <v>0</v>
      </c>
    </row>
    <row r="326" spans="2:97" s="89" customFormat="1" ht="15" customHeight="1" x14ac:dyDescent="0.35">
      <c r="B326" s="211" t="s">
        <v>749</v>
      </c>
      <c r="C326" s="699" t="s">
        <v>2750</v>
      </c>
      <c r="D326" s="1314"/>
      <c r="E326" s="1010" t="s">
        <v>13</v>
      </c>
      <c r="F326" s="697">
        <v>0</v>
      </c>
      <c r="G326" s="628" cm="1">
        <f t="array" ref="G326">$F326*(SUMPRODUCT(('Cashflow Summary C19RM'!$K$5:$K$239&lt;&gt;1)*('Cashflow Summary C19RM'!$D$5:$D$239=E326)*('Cashflow Summary C19RM'!$R$5:$R$239)))</f>
        <v>0</v>
      </c>
      <c r="H326" s="629" cm="1">
        <f t="array" ref="H326">$F326*(SUMPRODUCT(('Cashflow Summary C19RM'!$K$5:$K$239&lt;&gt;1)*('Cashflow Summary C19RM'!$D$5:$D$239=E326)*('Cashflow Summary C19RM'!$S$5:$S$239)))</f>
        <v>0</v>
      </c>
      <c r="I326" s="630" cm="1">
        <f t="array" ref="I326">$F326*(SUMPRODUCT(('Cashflow Summary C19RM'!$K$5:$K$239&lt;&gt;1)*('Cashflow Summary C19RM'!$D$5:$D$239=E326)*('Cashflow Summary C19RM'!$T$5:$T$239)))</f>
        <v>0</v>
      </c>
      <c r="J326" s="630" cm="1">
        <f t="array" ref="J326">$F326*(SUMPRODUCT(('Cashflow Summary C19RM'!$K$5:$K$239&lt;&gt;1)*('Cashflow Summary C19RM'!$D$5:$D$239=E326)*('Cashflow Summary C19RM'!$U$5:$U$239)))</f>
        <v>0</v>
      </c>
      <c r="K326" s="631">
        <f t="shared" si="135"/>
        <v>0</v>
      </c>
      <c r="L326" s="686">
        <f t="shared" si="136"/>
        <v>0</v>
      </c>
      <c r="M326" s="630" cm="1">
        <f t="array" ref="M326">$L326*(SUMPRODUCT(('Cashflow Summary C19RM'!$K$5:$K$239&lt;&gt;1)*('Cashflow Summary C19RM'!$D$5:$D$239=E326)*('Cashflow Summary C19RM'!$V$5:$V$239)))</f>
        <v>0</v>
      </c>
      <c r="N326" s="630" cm="1">
        <f t="array" ref="N326">$L326*(SUMPRODUCT(('Cashflow Summary C19RM'!$K$5:$K$239&lt;&gt;1)*('Cashflow Summary C19RM'!$D$5:$D$239=E326)*('Cashflow Summary C19RM'!$W$5:$W$239)))</f>
        <v>0</v>
      </c>
      <c r="O326" s="630" cm="1">
        <f t="array" ref="O326">$L326*(SUMPRODUCT(('Cashflow Summary C19RM'!$K$5:$K$239&lt;&gt;1)*('Cashflow Summary C19RM'!$D$5:$D$239=E326)*('Cashflow Summary C19RM'!$X$5:$X$239)))</f>
        <v>0</v>
      </c>
      <c r="P326" s="630" cm="1">
        <f t="array" ref="P326">$L326*(SUMPRODUCT(('Cashflow Summary C19RM'!$K$5:$K$239&lt;&gt;1)*('Cashflow Summary C19RM'!$D$5:$D$239=E326)*('Cashflow Summary C19RM'!$Y$5:$Y$239)))</f>
        <v>0</v>
      </c>
      <c r="Q326" s="632">
        <f t="shared" si="137"/>
        <v>0</v>
      </c>
      <c r="R326" s="686">
        <f t="shared" si="138"/>
        <v>0</v>
      </c>
      <c r="S326" s="633" cm="1">
        <f t="array" ref="S326">$R326*(SUMPRODUCT(('Cashflow Summary C19RM'!$K$5:$K$239&lt;&gt;1)*('Cashflow Summary C19RM'!$D$5:$D$239=E326)*('Cashflow Summary C19RM'!$Z$5:$Z$239)))</f>
        <v>0</v>
      </c>
      <c r="T326" s="633" cm="1">
        <f t="array" ref="T326">$R326*(SUMPRODUCT(('Cashflow Summary C19RM'!$K$5:$K$239&lt;&gt;1)*('Cashflow Summary C19RM'!$D$5:$D$239=E326)*('Cashflow Summary C19RM'!$AA$5:$AA$239)))</f>
        <v>0</v>
      </c>
      <c r="U326" s="633" cm="1">
        <f t="array" ref="U326">$R326*(SUMPRODUCT(('Cashflow Summary C19RM'!$K$5:$K$239&lt;&gt;1)*('Cashflow Summary C19RM'!$D$5:$D$239=E326)*('Cashflow Summary C19RM'!$AB$5:$AB$239)))</f>
        <v>0</v>
      </c>
      <c r="V326" s="633" cm="1">
        <f t="array" ref="V326">$R326*(SUMPRODUCT(('Cashflow Summary C19RM'!$K$5:$K$239&lt;&gt;1)*('Cashflow Summary C19RM'!$D$5:$D$239=E326)*('Cashflow Summary C19RM'!$AC$5:$AC$239)))</f>
        <v>0</v>
      </c>
      <c r="W326" s="634">
        <f t="shared" si="139"/>
        <v>0</v>
      </c>
      <c r="X326" s="686">
        <f t="shared" si="140"/>
        <v>0</v>
      </c>
      <c r="Y326" s="633" cm="1">
        <f t="array" ref="Y326">$X326*(SUMPRODUCT(('Cashflow Summary C19RM'!$K$5:$K$239&lt;&gt;1)*('Cashflow Summary C19RM'!$D$5:$D$239=E326)*('Cashflow Summary C19RM'!$AD$5:$AD$239)))</f>
        <v>0</v>
      </c>
      <c r="Z326" s="633" cm="1">
        <f t="array" ref="Z326">$X326*(SUMPRODUCT(('Cashflow Summary C19RM'!$K$5:$K$239&lt;&gt;1)*('Cashflow Summary C19RM'!$D$5:$D$239=E326)*('Cashflow Summary C19RM'!$AE$5:$AE$239)))</f>
        <v>0</v>
      </c>
      <c r="AA326" s="633" cm="1">
        <f t="array" ref="AA326">$X326*(SUMPRODUCT(('Cashflow Summary C19RM'!$K$5:$K$239&lt;&gt;1)*('Cashflow Summary C19RM'!$D$5:$D$239=E326)*('Cashflow Summary C19RM'!$AF$5:$AF$239)))</f>
        <v>0</v>
      </c>
      <c r="AB326" s="630" cm="1">
        <f t="array" ref="AB326">$X326*(SUMPRODUCT(('Cashflow Summary C19RM'!$K$5:$K$239&lt;&gt;1)*('Cashflow Summary C19RM'!$D$5:$D$239=E326)*('Cashflow Summary C19RM'!$AG$5:$AG$239)))</f>
        <v>0</v>
      </c>
      <c r="AC326" s="634">
        <f t="shared" si="141"/>
        <v>0</v>
      </c>
      <c r="AD326" s="686">
        <f t="shared" si="142"/>
        <v>0</v>
      </c>
      <c r="AE326" s="628" cm="1">
        <f t="array" ref="AE326">$AD326*(SUMPRODUCT(('Cashflow Summary C19RM'!$K$5:$K$239&lt;&gt;1)*('Cashflow Summary C19RM'!$D$5:$D$239=E326)*('Cashflow Summary C19RM'!$AH$5:$AH$239)))</f>
        <v>0</v>
      </c>
      <c r="AF326" s="633" cm="1">
        <f t="array" ref="AF326">$AD326*(SUMPRODUCT(('Cashflow Summary C19RM'!$K$5:$K$239&lt;&gt;1)*('Cashflow Summary C19RM'!$D$5:$D$239=E326)*('Cashflow Summary C19RM'!$AI$5:$AI$239)))</f>
        <v>0</v>
      </c>
      <c r="AG326" s="633" cm="1">
        <f t="array" ref="AG326">$AD326*(SUMPRODUCT(('Cashflow Summary C19RM'!$K$5:$K$239&lt;&gt;1)*('Cashflow Summary C19RM'!$D$5:$D$239=E326)*('Cashflow Summary C19RM'!$AJ$5:$AJ$239)))</f>
        <v>0</v>
      </c>
      <c r="AH326" s="633" cm="1">
        <f t="array" ref="AH326">$AD326*(SUMPRODUCT(('Cashflow Summary C19RM'!$K$5:$K$239&lt;&gt;1)*('Cashflow Summary C19RM'!$D$5:$D$239=E326)*('Cashflow Summary C19RM'!$AK$5:$AO$239)))</f>
        <v>0</v>
      </c>
      <c r="AI326" s="634">
        <f t="shared" si="143"/>
        <v>0</v>
      </c>
      <c r="AJ326" s="875">
        <v>0</v>
      </c>
      <c r="AK326" s="872"/>
      <c r="AL326" s="873"/>
      <c r="AM326" s="873"/>
      <c r="AN326" s="873"/>
      <c r="AO326" s="874"/>
      <c r="AP326" s="635">
        <f t="shared" si="150"/>
        <v>0</v>
      </c>
      <c r="AQ326" s="636">
        <v>7.7</v>
      </c>
      <c r="AR326" s="707"/>
      <c r="AS326" s="310"/>
      <c r="AV326" s="228">
        <f t="shared" si="144"/>
        <v>0</v>
      </c>
      <c r="AW326" s="228">
        <f t="shared" si="145"/>
        <v>0</v>
      </c>
      <c r="AX326" s="228">
        <f t="shared" si="146"/>
        <v>0</v>
      </c>
      <c r="AY326" s="228">
        <f t="shared" si="147"/>
        <v>0</v>
      </c>
      <c r="AZ326" s="228">
        <f t="shared" si="148"/>
        <v>0</v>
      </c>
      <c r="BA326" s="228"/>
      <c r="BC326" s="345" cm="1">
        <f t="array" ref="BC326">IF(BM326&gt;=1,0,IFERROR(SUMPRODUCT(($G$11:$AH$11=$BC$16)*($G326:$AH326)),0))</f>
        <v>0</v>
      </c>
      <c r="BD326" s="345" cm="1">
        <f t="array" ref="BD326">IF(BM326&gt;=1,0,IFERROR(SUMPRODUCT(($G$11:$AH$11=$BD$16)*($G326:$AH326)),0))</f>
        <v>0</v>
      </c>
      <c r="BE326" s="345" cm="1">
        <f t="array" ref="BE326">IF(BM326&gt;=1,0,IFERROR(SUMPRODUCT(($G$11:$AH$11=$BE$16)*($G326:$AH326)),0))</f>
        <v>0</v>
      </c>
      <c r="BF326" s="345" cm="1">
        <f t="array" ref="BF326">IF(BM326&gt;=1,0,IFERROR(SUMPRODUCT(($G$11:$AH$11=$BF$16)*($G326:$AH326)),0))</f>
        <v>0</v>
      </c>
      <c r="BG326" s="345" cm="1">
        <f t="array" ref="BG326">IF(BM326&gt;=1,0,IFERROR(SUMPRODUCT(($G$11:$AH$11=$BG$16)*($G326:$AH326)),0))</f>
        <v>0</v>
      </c>
      <c r="BH326" s="345"/>
      <c r="BI326" s="343">
        <f t="shared" si="151"/>
        <v>0</v>
      </c>
      <c r="BJ326" s="230" t="s">
        <v>83</v>
      </c>
      <c r="BK326" cm="1">
        <f t="array" ref="BK326">(SUMPRODUCT(('Cashflow Summary C19RM'!$D$5:$D$451=E326)*('Cashflow Summary C19RM'!$BD$5:$BD$451)))</f>
        <v>0</v>
      </c>
      <c r="BL326" cm="1">
        <f t="array" ref="BL326">(SUMPRODUCT((SETUP!$D$20:$D$67=E326)*(SETUP!$R$20:$R$67)))</f>
        <v>0</v>
      </c>
      <c r="BM326" s="89">
        <f t="shared" si="149"/>
        <v>0</v>
      </c>
    </row>
    <row r="327" spans="2:97" s="89" customFormat="1" ht="15" customHeight="1" x14ac:dyDescent="0.35">
      <c r="B327" s="211" t="s">
        <v>749</v>
      </c>
      <c r="C327" s="699" t="s">
        <v>2750</v>
      </c>
      <c r="D327" s="1314"/>
      <c r="E327" s="1010" t="s">
        <v>17</v>
      </c>
      <c r="F327" s="697">
        <v>0</v>
      </c>
      <c r="G327" s="628" cm="1">
        <f t="array" ref="G327">$F327*(SUMPRODUCT(('Cashflow Summary C19RM'!$K$5:$K$239&lt;&gt;1)*('Cashflow Summary C19RM'!$D$5:$D$239=E327)*('Cashflow Summary C19RM'!$R$5:$R$239)))</f>
        <v>0</v>
      </c>
      <c r="H327" s="629" cm="1">
        <f t="array" ref="H327">$F327*(SUMPRODUCT(('Cashflow Summary C19RM'!$K$5:$K$239&lt;&gt;1)*('Cashflow Summary C19RM'!$D$5:$D$239=E327)*('Cashflow Summary C19RM'!$S$5:$S$239)))</f>
        <v>0</v>
      </c>
      <c r="I327" s="630" cm="1">
        <f t="array" ref="I327">$F327*(SUMPRODUCT(('Cashflow Summary C19RM'!$K$5:$K$239&lt;&gt;1)*('Cashflow Summary C19RM'!$D$5:$D$239=E327)*('Cashflow Summary C19RM'!$T$5:$T$239)))</f>
        <v>0</v>
      </c>
      <c r="J327" s="630" cm="1">
        <f t="array" ref="J327">$F327*(SUMPRODUCT(('Cashflow Summary C19RM'!$K$5:$K$239&lt;&gt;1)*('Cashflow Summary C19RM'!$D$5:$D$239=E327)*('Cashflow Summary C19RM'!$U$5:$U$239)))</f>
        <v>0</v>
      </c>
      <c r="K327" s="631">
        <f t="shared" si="135"/>
        <v>0</v>
      </c>
      <c r="L327" s="686">
        <f t="shared" si="136"/>
        <v>0</v>
      </c>
      <c r="M327" s="630" cm="1">
        <f t="array" ref="M327">$L327*(SUMPRODUCT(('Cashflow Summary C19RM'!$K$5:$K$239&lt;&gt;1)*('Cashflow Summary C19RM'!$D$5:$D$239=E327)*('Cashflow Summary C19RM'!$V$5:$V$239)))</f>
        <v>0</v>
      </c>
      <c r="N327" s="630" cm="1">
        <f t="array" ref="N327">$L327*(SUMPRODUCT(('Cashflow Summary C19RM'!$K$5:$K$239&lt;&gt;1)*('Cashflow Summary C19RM'!$D$5:$D$239=E327)*('Cashflow Summary C19RM'!$W$5:$W$239)))</f>
        <v>0</v>
      </c>
      <c r="O327" s="630" cm="1">
        <f t="array" ref="O327">$L327*(SUMPRODUCT(('Cashflow Summary C19RM'!$K$5:$K$239&lt;&gt;1)*('Cashflow Summary C19RM'!$D$5:$D$239=E327)*('Cashflow Summary C19RM'!$X$5:$X$239)))</f>
        <v>0</v>
      </c>
      <c r="P327" s="630" cm="1">
        <f t="array" ref="P327">$L327*(SUMPRODUCT(('Cashflow Summary C19RM'!$K$5:$K$239&lt;&gt;1)*('Cashflow Summary C19RM'!$D$5:$D$239=E327)*('Cashflow Summary C19RM'!$Y$5:$Y$239)))</f>
        <v>0</v>
      </c>
      <c r="Q327" s="632">
        <f t="shared" si="137"/>
        <v>0</v>
      </c>
      <c r="R327" s="686">
        <f t="shared" si="138"/>
        <v>0</v>
      </c>
      <c r="S327" s="633" cm="1">
        <f t="array" ref="S327">$R327*(SUMPRODUCT(('Cashflow Summary C19RM'!$K$5:$K$239&lt;&gt;1)*('Cashflow Summary C19RM'!$D$5:$D$239=E327)*('Cashflow Summary C19RM'!$Z$5:$Z$239)))</f>
        <v>0</v>
      </c>
      <c r="T327" s="633" cm="1">
        <f t="array" ref="T327">$R327*(SUMPRODUCT(('Cashflow Summary C19RM'!$K$5:$K$239&lt;&gt;1)*('Cashflow Summary C19RM'!$D$5:$D$239=E327)*('Cashflow Summary C19RM'!$AA$5:$AA$239)))</f>
        <v>0</v>
      </c>
      <c r="U327" s="633" cm="1">
        <f t="array" ref="U327">$R327*(SUMPRODUCT(('Cashflow Summary C19RM'!$K$5:$K$239&lt;&gt;1)*('Cashflow Summary C19RM'!$D$5:$D$239=E327)*('Cashflow Summary C19RM'!$AB$5:$AB$239)))</f>
        <v>0</v>
      </c>
      <c r="V327" s="633" cm="1">
        <f t="array" ref="V327">$R327*(SUMPRODUCT(('Cashflow Summary C19RM'!$K$5:$K$239&lt;&gt;1)*('Cashflow Summary C19RM'!$D$5:$D$239=E327)*('Cashflow Summary C19RM'!$AC$5:$AC$239)))</f>
        <v>0</v>
      </c>
      <c r="W327" s="634">
        <f t="shared" si="139"/>
        <v>0</v>
      </c>
      <c r="X327" s="686">
        <f t="shared" si="140"/>
        <v>0</v>
      </c>
      <c r="Y327" s="633" cm="1">
        <f t="array" ref="Y327">$X327*(SUMPRODUCT(('Cashflow Summary C19RM'!$K$5:$K$239&lt;&gt;1)*('Cashflow Summary C19RM'!$D$5:$D$239=E327)*('Cashflow Summary C19RM'!$AD$5:$AD$239)))</f>
        <v>0</v>
      </c>
      <c r="Z327" s="633" cm="1">
        <f t="array" ref="Z327">$X327*(SUMPRODUCT(('Cashflow Summary C19RM'!$K$5:$K$239&lt;&gt;1)*('Cashflow Summary C19RM'!$D$5:$D$239=E327)*('Cashflow Summary C19RM'!$AE$5:$AE$239)))</f>
        <v>0</v>
      </c>
      <c r="AA327" s="633" cm="1">
        <f t="array" ref="AA327">$X327*(SUMPRODUCT(('Cashflow Summary C19RM'!$K$5:$K$239&lt;&gt;1)*('Cashflow Summary C19RM'!$D$5:$D$239=E327)*('Cashflow Summary C19RM'!$AF$5:$AF$239)))</f>
        <v>0</v>
      </c>
      <c r="AB327" s="630" cm="1">
        <f t="array" ref="AB327">$X327*(SUMPRODUCT(('Cashflow Summary C19RM'!$K$5:$K$239&lt;&gt;1)*('Cashflow Summary C19RM'!$D$5:$D$239=E327)*('Cashflow Summary C19RM'!$AG$5:$AG$239)))</f>
        <v>0</v>
      </c>
      <c r="AC327" s="634">
        <f t="shared" si="141"/>
        <v>0</v>
      </c>
      <c r="AD327" s="686">
        <f t="shared" si="142"/>
        <v>0</v>
      </c>
      <c r="AE327" s="628" cm="1">
        <f t="array" ref="AE327">$AD327*(SUMPRODUCT(('Cashflow Summary C19RM'!$K$5:$K$239&lt;&gt;1)*('Cashflow Summary C19RM'!$D$5:$D$239=E327)*('Cashflow Summary C19RM'!$AH$5:$AH$239)))</f>
        <v>0</v>
      </c>
      <c r="AF327" s="633" cm="1">
        <f t="array" ref="AF327">$AD327*(SUMPRODUCT(('Cashflow Summary C19RM'!$K$5:$K$239&lt;&gt;1)*('Cashflow Summary C19RM'!$D$5:$D$239=E327)*('Cashflow Summary C19RM'!$AI$5:$AI$239)))</f>
        <v>0</v>
      </c>
      <c r="AG327" s="633" cm="1">
        <f t="array" ref="AG327">$AD327*(SUMPRODUCT(('Cashflow Summary C19RM'!$K$5:$K$239&lt;&gt;1)*('Cashflow Summary C19RM'!$D$5:$D$239=E327)*('Cashflow Summary C19RM'!$AJ$5:$AJ$239)))</f>
        <v>0</v>
      </c>
      <c r="AH327" s="633" cm="1">
        <f t="array" ref="AH327">$AD327*(SUMPRODUCT(('Cashflow Summary C19RM'!$K$5:$K$239&lt;&gt;1)*('Cashflow Summary C19RM'!$D$5:$D$239=E327)*('Cashflow Summary C19RM'!$AK$5:$AO$239)))</f>
        <v>0</v>
      </c>
      <c r="AI327" s="634">
        <f t="shared" si="143"/>
        <v>0</v>
      </c>
      <c r="AJ327" s="875">
        <v>0</v>
      </c>
      <c r="AK327" s="872"/>
      <c r="AL327" s="873"/>
      <c r="AM327" s="873"/>
      <c r="AN327" s="873"/>
      <c r="AO327" s="874"/>
      <c r="AP327" s="635">
        <f t="shared" si="150"/>
        <v>0</v>
      </c>
      <c r="AQ327" s="636">
        <v>7.7</v>
      </c>
      <c r="AR327" s="707"/>
      <c r="AS327" s="310"/>
      <c r="AV327" s="228">
        <f t="shared" si="144"/>
        <v>0</v>
      </c>
      <c r="AW327" s="228">
        <f t="shared" si="145"/>
        <v>0</v>
      </c>
      <c r="AX327" s="228">
        <f t="shared" si="146"/>
        <v>0</v>
      </c>
      <c r="AY327" s="228">
        <f t="shared" si="147"/>
        <v>0</v>
      </c>
      <c r="AZ327" s="228">
        <f t="shared" si="148"/>
        <v>0</v>
      </c>
      <c r="BA327" s="228"/>
      <c r="BC327" s="345" cm="1">
        <f t="array" ref="BC327">IF(BM327&gt;=1,0,IFERROR(SUMPRODUCT(($G$11:$AH$11=$BC$16)*($G327:$AH327)),0))</f>
        <v>0</v>
      </c>
      <c r="BD327" s="345" cm="1">
        <f t="array" ref="BD327">IF(BM327&gt;=1,0,IFERROR(SUMPRODUCT(($G$11:$AH$11=$BD$16)*($G327:$AH327)),0))</f>
        <v>0</v>
      </c>
      <c r="BE327" s="345" cm="1">
        <f t="array" ref="BE327">IF(BM327&gt;=1,0,IFERROR(SUMPRODUCT(($G$11:$AH$11=$BE$16)*($G327:$AH327)),0))</f>
        <v>0</v>
      </c>
      <c r="BF327" s="345" cm="1">
        <f t="array" ref="BF327">IF(BM327&gt;=1,0,IFERROR(SUMPRODUCT(($G$11:$AH$11=$BF$16)*($G327:$AH327)),0))</f>
        <v>0</v>
      </c>
      <c r="BG327" s="345" cm="1">
        <f t="array" ref="BG327">IF(BM327&gt;=1,0,IFERROR(SUMPRODUCT(($G$11:$AH$11=$BG$16)*($G327:$AH327)),0))</f>
        <v>0</v>
      </c>
      <c r="BH327" s="345"/>
      <c r="BI327" s="343">
        <f t="shared" si="151"/>
        <v>0</v>
      </c>
      <c r="BJ327" s="230" t="s">
        <v>83</v>
      </c>
      <c r="BK327" cm="1">
        <f t="array" ref="BK327">(SUMPRODUCT(('Cashflow Summary C19RM'!$D$5:$D$451=E327)*('Cashflow Summary C19RM'!$BD$5:$BD$451)))</f>
        <v>0</v>
      </c>
      <c r="BL327" cm="1">
        <f t="array" ref="BL327">(SUMPRODUCT((SETUP!$D$20:$D$67=E327)*(SETUP!$R$20:$R$67)))</f>
        <v>0</v>
      </c>
      <c r="BM327" s="89">
        <f t="shared" si="149"/>
        <v>0</v>
      </c>
    </row>
    <row r="328" spans="2:97" s="89" customFormat="1" ht="15" customHeight="1" x14ac:dyDescent="0.35">
      <c r="B328" s="211" t="s">
        <v>749</v>
      </c>
      <c r="C328" s="699" t="s">
        <v>2750</v>
      </c>
      <c r="D328" s="1314"/>
      <c r="E328" s="1010" t="s">
        <v>19</v>
      </c>
      <c r="F328" s="697">
        <v>0</v>
      </c>
      <c r="G328" s="628" cm="1">
        <f t="array" ref="G328">$F328*(SUMPRODUCT(('Cashflow Summary C19RM'!$K$5:$K$239&lt;&gt;1)*('Cashflow Summary C19RM'!$D$5:$D$239=E328)*('Cashflow Summary C19RM'!$R$5:$R$239)))</f>
        <v>0</v>
      </c>
      <c r="H328" s="629" cm="1">
        <f t="array" ref="H328">$F328*(SUMPRODUCT(('Cashflow Summary C19RM'!$K$5:$K$239&lt;&gt;1)*('Cashflow Summary C19RM'!$D$5:$D$239=E328)*('Cashflow Summary C19RM'!$S$5:$S$239)))</f>
        <v>0</v>
      </c>
      <c r="I328" s="630" cm="1">
        <f t="array" ref="I328">$F328*(SUMPRODUCT(('Cashflow Summary C19RM'!$K$5:$K$239&lt;&gt;1)*('Cashflow Summary C19RM'!$D$5:$D$239=E328)*('Cashflow Summary C19RM'!$T$5:$T$239)))</f>
        <v>0</v>
      </c>
      <c r="J328" s="630" cm="1">
        <f t="array" ref="J328">$F328*(SUMPRODUCT(('Cashflow Summary C19RM'!$K$5:$K$239&lt;&gt;1)*('Cashflow Summary C19RM'!$D$5:$D$239=E328)*('Cashflow Summary C19RM'!$U$5:$U$239)))</f>
        <v>0</v>
      </c>
      <c r="K328" s="631">
        <f t="shared" si="135"/>
        <v>0</v>
      </c>
      <c r="L328" s="686">
        <f t="shared" si="136"/>
        <v>0</v>
      </c>
      <c r="M328" s="630" cm="1">
        <f t="array" ref="M328">$L328*(SUMPRODUCT(('Cashflow Summary C19RM'!$K$5:$K$239&lt;&gt;1)*('Cashflow Summary C19RM'!$D$5:$D$239=E328)*('Cashflow Summary C19RM'!$V$5:$V$239)))</f>
        <v>0</v>
      </c>
      <c r="N328" s="630" cm="1">
        <f t="array" ref="N328">$L328*(SUMPRODUCT(('Cashflow Summary C19RM'!$K$5:$K$239&lt;&gt;1)*('Cashflow Summary C19RM'!$D$5:$D$239=E328)*('Cashflow Summary C19RM'!$W$5:$W$239)))</f>
        <v>0</v>
      </c>
      <c r="O328" s="630" cm="1">
        <f t="array" ref="O328">$L328*(SUMPRODUCT(('Cashflow Summary C19RM'!$K$5:$K$239&lt;&gt;1)*('Cashflow Summary C19RM'!$D$5:$D$239=E328)*('Cashflow Summary C19RM'!$X$5:$X$239)))</f>
        <v>0</v>
      </c>
      <c r="P328" s="630" cm="1">
        <f t="array" ref="P328">$L328*(SUMPRODUCT(('Cashflow Summary C19RM'!$K$5:$K$239&lt;&gt;1)*('Cashflow Summary C19RM'!$D$5:$D$239=E328)*('Cashflow Summary C19RM'!$Y$5:$Y$239)))</f>
        <v>0</v>
      </c>
      <c r="Q328" s="632">
        <f t="shared" si="137"/>
        <v>0</v>
      </c>
      <c r="R328" s="686">
        <f t="shared" si="138"/>
        <v>0</v>
      </c>
      <c r="S328" s="633" cm="1">
        <f t="array" ref="S328">$R328*(SUMPRODUCT(('Cashflow Summary C19RM'!$K$5:$K$239&lt;&gt;1)*('Cashflow Summary C19RM'!$D$5:$D$239=E328)*('Cashflow Summary C19RM'!$Z$5:$Z$239)))</f>
        <v>0</v>
      </c>
      <c r="T328" s="633" cm="1">
        <f t="array" ref="T328">$R328*(SUMPRODUCT(('Cashflow Summary C19RM'!$K$5:$K$239&lt;&gt;1)*('Cashflow Summary C19RM'!$D$5:$D$239=E328)*('Cashflow Summary C19RM'!$AA$5:$AA$239)))</f>
        <v>0</v>
      </c>
      <c r="U328" s="633" cm="1">
        <f t="array" ref="U328">$R328*(SUMPRODUCT(('Cashflow Summary C19RM'!$K$5:$K$239&lt;&gt;1)*('Cashflow Summary C19RM'!$D$5:$D$239=E328)*('Cashflow Summary C19RM'!$AB$5:$AB$239)))</f>
        <v>0</v>
      </c>
      <c r="V328" s="633" cm="1">
        <f t="array" ref="V328">$R328*(SUMPRODUCT(('Cashflow Summary C19RM'!$K$5:$K$239&lt;&gt;1)*('Cashflow Summary C19RM'!$D$5:$D$239=E328)*('Cashflow Summary C19RM'!$AC$5:$AC$239)))</f>
        <v>0</v>
      </c>
      <c r="W328" s="634">
        <f t="shared" si="139"/>
        <v>0</v>
      </c>
      <c r="X328" s="686">
        <f t="shared" si="140"/>
        <v>0</v>
      </c>
      <c r="Y328" s="633" cm="1">
        <f t="array" ref="Y328">$X328*(SUMPRODUCT(('Cashflow Summary C19RM'!$K$5:$K$239&lt;&gt;1)*('Cashflow Summary C19RM'!$D$5:$D$239=E328)*('Cashflow Summary C19RM'!$AD$5:$AD$239)))</f>
        <v>0</v>
      </c>
      <c r="Z328" s="633" cm="1">
        <f t="array" ref="Z328">$X328*(SUMPRODUCT(('Cashflow Summary C19RM'!$K$5:$K$239&lt;&gt;1)*('Cashflow Summary C19RM'!$D$5:$D$239=E328)*('Cashflow Summary C19RM'!$AE$5:$AE$239)))</f>
        <v>0</v>
      </c>
      <c r="AA328" s="633" cm="1">
        <f t="array" ref="AA328">$X328*(SUMPRODUCT(('Cashflow Summary C19RM'!$K$5:$K$239&lt;&gt;1)*('Cashflow Summary C19RM'!$D$5:$D$239=E328)*('Cashflow Summary C19RM'!$AF$5:$AF$239)))</f>
        <v>0</v>
      </c>
      <c r="AB328" s="630" cm="1">
        <f t="array" ref="AB328">$X328*(SUMPRODUCT(('Cashflow Summary C19RM'!$K$5:$K$239&lt;&gt;1)*('Cashflow Summary C19RM'!$D$5:$D$239=E328)*('Cashflow Summary C19RM'!$AG$5:$AG$239)))</f>
        <v>0</v>
      </c>
      <c r="AC328" s="634">
        <f t="shared" si="141"/>
        <v>0</v>
      </c>
      <c r="AD328" s="686">
        <f t="shared" si="142"/>
        <v>0</v>
      </c>
      <c r="AE328" s="628" cm="1">
        <f t="array" ref="AE328">$AD328*(SUMPRODUCT(('Cashflow Summary C19RM'!$K$5:$K$239&lt;&gt;1)*('Cashflow Summary C19RM'!$D$5:$D$239=E328)*('Cashflow Summary C19RM'!$AH$5:$AH$239)))</f>
        <v>0</v>
      </c>
      <c r="AF328" s="633" cm="1">
        <f t="array" ref="AF328">$AD328*(SUMPRODUCT(('Cashflow Summary C19RM'!$K$5:$K$239&lt;&gt;1)*('Cashflow Summary C19RM'!$D$5:$D$239=E328)*('Cashflow Summary C19RM'!$AI$5:$AI$239)))</f>
        <v>0</v>
      </c>
      <c r="AG328" s="633" cm="1">
        <f t="array" ref="AG328">$AD328*(SUMPRODUCT(('Cashflow Summary C19RM'!$K$5:$K$239&lt;&gt;1)*('Cashflow Summary C19RM'!$D$5:$D$239=E328)*('Cashflow Summary C19RM'!$AJ$5:$AJ$239)))</f>
        <v>0</v>
      </c>
      <c r="AH328" s="633" cm="1">
        <f t="array" ref="AH328">$AD328*(SUMPRODUCT(('Cashflow Summary C19RM'!$K$5:$K$239&lt;&gt;1)*('Cashflow Summary C19RM'!$D$5:$D$239=E328)*('Cashflow Summary C19RM'!$AK$5:$AO$239)))</f>
        <v>0</v>
      </c>
      <c r="AI328" s="634">
        <f t="shared" si="143"/>
        <v>0</v>
      </c>
      <c r="AJ328" s="875">
        <v>0</v>
      </c>
      <c r="AK328" s="872"/>
      <c r="AL328" s="873"/>
      <c r="AM328" s="873"/>
      <c r="AN328" s="873"/>
      <c r="AO328" s="874"/>
      <c r="AP328" s="635">
        <f t="shared" si="150"/>
        <v>0</v>
      </c>
      <c r="AQ328" s="636">
        <v>7.7</v>
      </c>
      <c r="AR328" s="707"/>
      <c r="AS328" s="310"/>
      <c r="AV328" s="228">
        <f t="shared" si="144"/>
        <v>0</v>
      </c>
      <c r="AW328" s="228">
        <f t="shared" si="145"/>
        <v>0</v>
      </c>
      <c r="AX328" s="228">
        <f t="shared" si="146"/>
        <v>0</v>
      </c>
      <c r="AY328" s="228">
        <f t="shared" si="147"/>
        <v>0</v>
      </c>
      <c r="AZ328" s="228">
        <f t="shared" si="148"/>
        <v>0</v>
      </c>
      <c r="BA328" s="228"/>
      <c r="BC328" s="345" cm="1">
        <f t="array" ref="BC328">IF(BM328&gt;=1,0,IFERROR(SUMPRODUCT(($G$11:$AH$11=$BC$16)*($G328:$AH328)),0))</f>
        <v>0</v>
      </c>
      <c r="BD328" s="345" cm="1">
        <f t="array" ref="BD328">IF(BM328&gt;=1,0,IFERROR(SUMPRODUCT(($G$11:$AH$11=$BD$16)*($G328:$AH328)),0))</f>
        <v>0</v>
      </c>
      <c r="BE328" s="345" cm="1">
        <f t="array" ref="BE328">IF(BM328&gt;=1,0,IFERROR(SUMPRODUCT(($G$11:$AH$11=$BE$16)*($G328:$AH328)),0))</f>
        <v>0</v>
      </c>
      <c r="BF328" s="345" cm="1">
        <f t="array" ref="BF328">IF(BM328&gt;=1,0,IFERROR(SUMPRODUCT(($G$11:$AH$11=$BF$16)*($G328:$AH328)),0))</f>
        <v>0</v>
      </c>
      <c r="BG328" s="345" cm="1">
        <f t="array" ref="BG328">IF(BM328&gt;=1,0,IFERROR(SUMPRODUCT(($G$11:$AH$11=$BG$16)*($G328:$AH328)),0))</f>
        <v>0</v>
      </c>
      <c r="BH328" s="345"/>
      <c r="BI328" s="343">
        <f t="shared" si="151"/>
        <v>0</v>
      </c>
      <c r="BJ328" s="230" t="s">
        <v>83</v>
      </c>
      <c r="BK328" cm="1">
        <f t="array" ref="BK328">(SUMPRODUCT(('Cashflow Summary C19RM'!$D$5:$D$451=E328)*('Cashflow Summary C19RM'!$BD$5:$BD$451)))</f>
        <v>0</v>
      </c>
      <c r="BL328" cm="1">
        <f t="array" ref="BL328">(SUMPRODUCT((SETUP!$D$20:$D$67=E328)*(SETUP!$R$20:$R$67)))</f>
        <v>0</v>
      </c>
      <c r="BM328" s="89">
        <f t="shared" si="149"/>
        <v>0</v>
      </c>
    </row>
    <row r="329" spans="2:97" s="89" customFormat="1" ht="15" customHeight="1" x14ac:dyDescent="0.35">
      <c r="B329" s="211" t="s">
        <v>749</v>
      </c>
      <c r="C329" s="699" t="s">
        <v>2750</v>
      </c>
      <c r="D329" s="1314"/>
      <c r="E329" s="1010" t="s">
        <v>122</v>
      </c>
      <c r="F329" s="697">
        <v>0</v>
      </c>
      <c r="G329" s="628" cm="1">
        <f t="array" ref="G329">$F329*(SUMPRODUCT(('Cashflow Summary C19RM'!$K$5:$K$239&lt;&gt;1)*('Cashflow Summary C19RM'!$D$5:$D$239=E329)*('Cashflow Summary C19RM'!$R$5:$R$239)))</f>
        <v>0</v>
      </c>
      <c r="H329" s="629" cm="1">
        <f t="array" ref="H329">$F329*(SUMPRODUCT(('Cashflow Summary C19RM'!$K$5:$K$239&lt;&gt;1)*('Cashflow Summary C19RM'!$D$5:$D$239=E329)*('Cashflow Summary C19RM'!$S$5:$S$239)))</f>
        <v>0</v>
      </c>
      <c r="I329" s="630" cm="1">
        <f t="array" ref="I329">$F329*(SUMPRODUCT(('Cashflow Summary C19RM'!$K$5:$K$239&lt;&gt;1)*('Cashflow Summary C19RM'!$D$5:$D$239=E329)*('Cashflow Summary C19RM'!$T$5:$T$239)))</f>
        <v>0</v>
      </c>
      <c r="J329" s="630" cm="1">
        <f t="array" ref="J329">$F329*(SUMPRODUCT(('Cashflow Summary C19RM'!$K$5:$K$239&lt;&gt;1)*('Cashflow Summary C19RM'!$D$5:$D$239=E329)*('Cashflow Summary C19RM'!$U$5:$U$239)))</f>
        <v>0</v>
      </c>
      <c r="K329" s="631">
        <f t="shared" si="135"/>
        <v>0</v>
      </c>
      <c r="L329" s="686">
        <f t="shared" si="136"/>
        <v>0</v>
      </c>
      <c r="M329" s="630" cm="1">
        <f t="array" ref="M329">$L329*(SUMPRODUCT(('Cashflow Summary C19RM'!$K$5:$K$239&lt;&gt;1)*('Cashflow Summary C19RM'!$D$5:$D$239=E329)*('Cashflow Summary C19RM'!$V$5:$V$239)))</f>
        <v>0</v>
      </c>
      <c r="N329" s="630" cm="1">
        <f t="array" ref="N329">$L329*(SUMPRODUCT(('Cashflow Summary C19RM'!$K$5:$K$239&lt;&gt;1)*('Cashflow Summary C19RM'!$D$5:$D$239=E329)*('Cashflow Summary C19RM'!$W$5:$W$239)))</f>
        <v>0</v>
      </c>
      <c r="O329" s="630" cm="1">
        <f t="array" ref="O329">$L329*(SUMPRODUCT(('Cashflow Summary C19RM'!$K$5:$K$239&lt;&gt;1)*('Cashflow Summary C19RM'!$D$5:$D$239=E329)*('Cashflow Summary C19RM'!$X$5:$X$239)))</f>
        <v>0</v>
      </c>
      <c r="P329" s="630" cm="1">
        <f t="array" ref="P329">$L329*(SUMPRODUCT(('Cashflow Summary C19RM'!$K$5:$K$239&lt;&gt;1)*('Cashflow Summary C19RM'!$D$5:$D$239=E329)*('Cashflow Summary C19RM'!$Y$5:$Y$239)))</f>
        <v>0</v>
      </c>
      <c r="Q329" s="632">
        <f t="shared" si="137"/>
        <v>0</v>
      </c>
      <c r="R329" s="686">
        <f t="shared" si="138"/>
        <v>0</v>
      </c>
      <c r="S329" s="633" cm="1">
        <f t="array" ref="S329">$R329*(SUMPRODUCT(('Cashflow Summary C19RM'!$K$5:$K$239&lt;&gt;1)*('Cashflow Summary C19RM'!$D$5:$D$239=E329)*('Cashflow Summary C19RM'!$Z$5:$Z$239)))</f>
        <v>0</v>
      </c>
      <c r="T329" s="633" cm="1">
        <f t="array" ref="T329">$R329*(SUMPRODUCT(('Cashflow Summary C19RM'!$K$5:$K$239&lt;&gt;1)*('Cashflow Summary C19RM'!$D$5:$D$239=E329)*('Cashflow Summary C19RM'!$AA$5:$AA$239)))</f>
        <v>0</v>
      </c>
      <c r="U329" s="633" cm="1">
        <f t="array" ref="U329">$R329*(SUMPRODUCT(('Cashflow Summary C19RM'!$K$5:$K$239&lt;&gt;1)*('Cashflow Summary C19RM'!$D$5:$D$239=E329)*('Cashflow Summary C19RM'!$AB$5:$AB$239)))</f>
        <v>0</v>
      </c>
      <c r="V329" s="633" cm="1">
        <f t="array" ref="V329">$R329*(SUMPRODUCT(('Cashflow Summary C19RM'!$K$5:$K$239&lt;&gt;1)*('Cashflow Summary C19RM'!$D$5:$D$239=E329)*('Cashflow Summary C19RM'!$AC$5:$AC$239)))</f>
        <v>0</v>
      </c>
      <c r="W329" s="634">
        <f t="shared" si="139"/>
        <v>0</v>
      </c>
      <c r="X329" s="686">
        <f t="shared" si="140"/>
        <v>0</v>
      </c>
      <c r="Y329" s="633" cm="1">
        <f t="array" ref="Y329">$X329*(SUMPRODUCT(('Cashflow Summary C19RM'!$K$5:$K$239&lt;&gt;1)*('Cashflow Summary C19RM'!$D$5:$D$239=E329)*('Cashflow Summary C19RM'!$AD$5:$AD$239)))</f>
        <v>0</v>
      </c>
      <c r="Z329" s="633" cm="1">
        <f t="array" ref="Z329">$X329*(SUMPRODUCT(('Cashflow Summary C19RM'!$K$5:$K$239&lt;&gt;1)*('Cashflow Summary C19RM'!$D$5:$D$239=E329)*('Cashflow Summary C19RM'!$AE$5:$AE$239)))</f>
        <v>0</v>
      </c>
      <c r="AA329" s="633" cm="1">
        <f t="array" ref="AA329">$X329*(SUMPRODUCT(('Cashflow Summary C19RM'!$K$5:$K$239&lt;&gt;1)*('Cashflow Summary C19RM'!$D$5:$D$239=E329)*('Cashflow Summary C19RM'!$AF$5:$AF$239)))</f>
        <v>0</v>
      </c>
      <c r="AB329" s="630" cm="1">
        <f t="array" ref="AB329">$X329*(SUMPRODUCT(('Cashflow Summary C19RM'!$K$5:$K$239&lt;&gt;1)*('Cashflow Summary C19RM'!$D$5:$D$239=E329)*('Cashflow Summary C19RM'!$AG$5:$AG$239)))</f>
        <v>0</v>
      </c>
      <c r="AC329" s="634">
        <f t="shared" si="141"/>
        <v>0</v>
      </c>
      <c r="AD329" s="686">
        <f t="shared" si="142"/>
        <v>0</v>
      </c>
      <c r="AE329" s="628" cm="1">
        <f t="array" ref="AE329">$AD329*(SUMPRODUCT(('Cashflow Summary C19RM'!$K$5:$K$239&lt;&gt;1)*('Cashflow Summary C19RM'!$D$5:$D$239=E329)*('Cashflow Summary C19RM'!$AH$5:$AH$239)))</f>
        <v>0</v>
      </c>
      <c r="AF329" s="633" cm="1">
        <f t="array" ref="AF329">$AD329*(SUMPRODUCT(('Cashflow Summary C19RM'!$K$5:$K$239&lt;&gt;1)*('Cashflow Summary C19RM'!$D$5:$D$239=E329)*('Cashflow Summary C19RM'!$AI$5:$AI$239)))</f>
        <v>0</v>
      </c>
      <c r="AG329" s="633" cm="1">
        <f t="array" ref="AG329">$AD329*(SUMPRODUCT(('Cashflow Summary C19RM'!$K$5:$K$239&lt;&gt;1)*('Cashflow Summary C19RM'!$D$5:$D$239=E329)*('Cashflow Summary C19RM'!$AJ$5:$AJ$239)))</f>
        <v>0</v>
      </c>
      <c r="AH329" s="633" cm="1">
        <f t="array" ref="AH329">$AD329*(SUMPRODUCT(('Cashflow Summary C19RM'!$K$5:$K$239&lt;&gt;1)*('Cashflow Summary C19RM'!$D$5:$D$239=E329)*('Cashflow Summary C19RM'!$AK$5:$AO$239)))</f>
        <v>0</v>
      </c>
      <c r="AI329" s="634">
        <f t="shared" si="143"/>
        <v>0</v>
      </c>
      <c r="AJ329" s="875">
        <v>0</v>
      </c>
      <c r="AK329" s="872"/>
      <c r="AL329" s="873"/>
      <c r="AM329" s="873"/>
      <c r="AN329" s="873"/>
      <c r="AO329" s="874"/>
      <c r="AP329" s="635">
        <f t="shared" si="150"/>
        <v>0</v>
      </c>
      <c r="AQ329" s="636">
        <v>7.7</v>
      </c>
      <c r="AR329" s="707"/>
      <c r="AS329" s="310"/>
      <c r="AV329" s="228">
        <f t="shared" si="144"/>
        <v>0</v>
      </c>
      <c r="AW329" s="228">
        <f t="shared" si="145"/>
        <v>0</v>
      </c>
      <c r="AX329" s="228">
        <f t="shared" si="146"/>
        <v>0</v>
      </c>
      <c r="AY329" s="228">
        <f t="shared" si="147"/>
        <v>0</v>
      </c>
      <c r="AZ329" s="228">
        <f t="shared" si="148"/>
        <v>0</v>
      </c>
      <c r="BA329" s="228"/>
      <c r="BC329" s="345" cm="1">
        <f t="array" ref="BC329">IF(BM329&gt;=1,0,IFERROR(SUMPRODUCT(($G$11:$AH$11=$BC$16)*($G329:$AH329)),0))</f>
        <v>0</v>
      </c>
      <c r="BD329" s="345" cm="1">
        <f t="array" ref="BD329">IF(BM329&gt;=1,0,IFERROR(SUMPRODUCT(($G$11:$AH$11=$BD$16)*($G329:$AH329)),0))</f>
        <v>0</v>
      </c>
      <c r="BE329" s="345" cm="1">
        <f t="array" ref="BE329">IF(BM329&gt;=1,0,IFERROR(SUMPRODUCT(($G$11:$AH$11=$BE$16)*($G329:$AH329)),0))</f>
        <v>0</v>
      </c>
      <c r="BF329" s="345" cm="1">
        <f t="array" ref="BF329">IF(BM329&gt;=1,0,IFERROR(SUMPRODUCT(($G$11:$AH$11=$BF$16)*($G329:$AH329)),0))</f>
        <v>0</v>
      </c>
      <c r="BG329" s="345" cm="1">
        <f t="array" ref="BG329">IF(BM329&gt;=1,0,IFERROR(SUMPRODUCT(($G$11:$AH$11=$BG$16)*($G329:$AH329)),0))</f>
        <v>0</v>
      </c>
      <c r="BH329" s="345"/>
      <c r="BI329" s="343">
        <f t="shared" si="151"/>
        <v>0</v>
      </c>
      <c r="BJ329" s="230" t="s">
        <v>83</v>
      </c>
      <c r="BK329" cm="1">
        <f t="array" ref="BK329">(SUMPRODUCT(('Cashflow Summary C19RM'!$D$5:$D$451=E329)*('Cashflow Summary C19RM'!$BD$5:$BD$451)))</f>
        <v>0</v>
      </c>
      <c r="BL329" cm="1">
        <f t="array" ref="BL329">(SUMPRODUCT((SETUP!$D$20:$D$67=E329)*(SETUP!$R$20:$R$67)))</f>
        <v>0</v>
      </c>
      <c r="BM329" s="89">
        <f t="shared" si="149"/>
        <v>0</v>
      </c>
    </row>
    <row r="330" spans="2:97" s="89" customFormat="1" ht="15" customHeight="1" x14ac:dyDescent="0.35">
      <c r="B330" s="211" t="s">
        <v>749</v>
      </c>
      <c r="C330" s="699" t="s">
        <v>2750</v>
      </c>
      <c r="D330" s="1314"/>
      <c r="E330" s="1010" t="s">
        <v>21</v>
      </c>
      <c r="F330" s="697">
        <v>0</v>
      </c>
      <c r="G330" s="628" cm="1">
        <f t="array" ref="G330">$F330*(SUMPRODUCT(('Cashflow Summary C19RM'!$K$5:$K$239&lt;&gt;1)*('Cashflow Summary C19RM'!$D$5:$D$239=E330)*('Cashflow Summary C19RM'!$R$5:$R$239)))</f>
        <v>0</v>
      </c>
      <c r="H330" s="629" cm="1">
        <f t="array" ref="H330">$F330*(SUMPRODUCT(('Cashflow Summary C19RM'!$K$5:$K$239&lt;&gt;1)*('Cashflow Summary C19RM'!$D$5:$D$239=E330)*('Cashflow Summary C19RM'!$S$5:$S$239)))</f>
        <v>0</v>
      </c>
      <c r="I330" s="630" cm="1">
        <f t="array" ref="I330">$F330*(SUMPRODUCT(('Cashflow Summary C19RM'!$K$5:$K$239&lt;&gt;1)*('Cashflow Summary C19RM'!$D$5:$D$239=E330)*('Cashflow Summary C19RM'!$T$5:$T$239)))</f>
        <v>0</v>
      </c>
      <c r="J330" s="630" cm="1">
        <f t="array" ref="J330">$F330*(SUMPRODUCT(('Cashflow Summary C19RM'!$K$5:$K$239&lt;&gt;1)*('Cashflow Summary C19RM'!$D$5:$D$239=E330)*('Cashflow Summary C19RM'!$U$5:$U$239)))</f>
        <v>0</v>
      </c>
      <c r="K330" s="631">
        <f t="shared" si="135"/>
        <v>0</v>
      </c>
      <c r="L330" s="686">
        <f t="shared" si="136"/>
        <v>0</v>
      </c>
      <c r="M330" s="630" cm="1">
        <f t="array" ref="M330">$L330*(SUMPRODUCT(('Cashflow Summary C19RM'!$K$5:$K$239&lt;&gt;1)*('Cashflow Summary C19RM'!$D$5:$D$239=E330)*('Cashflow Summary C19RM'!$V$5:$V$239)))</f>
        <v>0</v>
      </c>
      <c r="N330" s="630" cm="1">
        <f t="array" ref="N330">$L330*(SUMPRODUCT(('Cashflow Summary C19RM'!$K$5:$K$239&lt;&gt;1)*('Cashflow Summary C19RM'!$D$5:$D$239=E330)*('Cashflow Summary C19RM'!$W$5:$W$239)))</f>
        <v>0</v>
      </c>
      <c r="O330" s="630" cm="1">
        <f t="array" ref="O330">$L330*(SUMPRODUCT(('Cashflow Summary C19RM'!$K$5:$K$239&lt;&gt;1)*('Cashflow Summary C19RM'!$D$5:$D$239=E330)*('Cashflow Summary C19RM'!$X$5:$X$239)))</f>
        <v>0</v>
      </c>
      <c r="P330" s="630" cm="1">
        <f t="array" ref="P330">$L330*(SUMPRODUCT(('Cashflow Summary C19RM'!$K$5:$K$239&lt;&gt;1)*('Cashflow Summary C19RM'!$D$5:$D$239=E330)*('Cashflow Summary C19RM'!$Y$5:$Y$239)))</f>
        <v>0</v>
      </c>
      <c r="Q330" s="632">
        <f t="shared" si="137"/>
        <v>0</v>
      </c>
      <c r="R330" s="686">
        <f t="shared" si="138"/>
        <v>0</v>
      </c>
      <c r="S330" s="633" cm="1">
        <f t="array" ref="S330">$R330*(SUMPRODUCT(('Cashflow Summary C19RM'!$K$5:$K$239&lt;&gt;1)*('Cashflow Summary C19RM'!$D$5:$D$239=E330)*('Cashflow Summary C19RM'!$Z$5:$Z$239)))</f>
        <v>0</v>
      </c>
      <c r="T330" s="633" cm="1">
        <f t="array" ref="T330">$R330*(SUMPRODUCT(('Cashflow Summary C19RM'!$K$5:$K$239&lt;&gt;1)*('Cashflow Summary C19RM'!$D$5:$D$239=E330)*('Cashflow Summary C19RM'!$AA$5:$AA$239)))</f>
        <v>0</v>
      </c>
      <c r="U330" s="633" cm="1">
        <f t="array" ref="U330">$R330*(SUMPRODUCT(('Cashflow Summary C19RM'!$K$5:$K$239&lt;&gt;1)*('Cashflow Summary C19RM'!$D$5:$D$239=E330)*('Cashflow Summary C19RM'!$AB$5:$AB$239)))</f>
        <v>0</v>
      </c>
      <c r="V330" s="633" cm="1">
        <f t="array" ref="V330">$R330*(SUMPRODUCT(('Cashflow Summary C19RM'!$K$5:$K$239&lt;&gt;1)*('Cashflow Summary C19RM'!$D$5:$D$239=E330)*('Cashflow Summary C19RM'!$AC$5:$AC$239)))</f>
        <v>0</v>
      </c>
      <c r="W330" s="634">
        <f t="shared" si="139"/>
        <v>0</v>
      </c>
      <c r="X330" s="686">
        <f t="shared" si="140"/>
        <v>0</v>
      </c>
      <c r="Y330" s="633" cm="1">
        <f t="array" ref="Y330">$X330*(SUMPRODUCT(('Cashflow Summary C19RM'!$K$5:$K$239&lt;&gt;1)*('Cashflow Summary C19RM'!$D$5:$D$239=E330)*('Cashflow Summary C19RM'!$AD$5:$AD$239)))</f>
        <v>0</v>
      </c>
      <c r="Z330" s="633" cm="1">
        <f t="array" ref="Z330">$X330*(SUMPRODUCT(('Cashflow Summary C19RM'!$K$5:$K$239&lt;&gt;1)*('Cashflow Summary C19RM'!$D$5:$D$239=E330)*('Cashflow Summary C19RM'!$AE$5:$AE$239)))</f>
        <v>0</v>
      </c>
      <c r="AA330" s="633" cm="1">
        <f t="array" ref="AA330">$X330*(SUMPRODUCT(('Cashflow Summary C19RM'!$K$5:$K$239&lt;&gt;1)*('Cashflow Summary C19RM'!$D$5:$D$239=E330)*('Cashflow Summary C19RM'!$AF$5:$AF$239)))</f>
        <v>0</v>
      </c>
      <c r="AB330" s="630" cm="1">
        <f t="array" ref="AB330">$X330*(SUMPRODUCT(('Cashflow Summary C19RM'!$K$5:$K$239&lt;&gt;1)*('Cashflow Summary C19RM'!$D$5:$D$239=E330)*('Cashflow Summary C19RM'!$AG$5:$AG$239)))</f>
        <v>0</v>
      </c>
      <c r="AC330" s="634">
        <f t="shared" si="141"/>
        <v>0</v>
      </c>
      <c r="AD330" s="686">
        <f t="shared" si="142"/>
        <v>0</v>
      </c>
      <c r="AE330" s="628" cm="1">
        <f t="array" ref="AE330">$AD330*(SUMPRODUCT(('Cashflow Summary C19RM'!$K$5:$K$239&lt;&gt;1)*('Cashflow Summary C19RM'!$D$5:$D$239=E330)*('Cashflow Summary C19RM'!$AH$5:$AH$239)))</f>
        <v>0</v>
      </c>
      <c r="AF330" s="633" cm="1">
        <f t="array" ref="AF330">$AD330*(SUMPRODUCT(('Cashflow Summary C19RM'!$K$5:$K$239&lt;&gt;1)*('Cashflow Summary C19RM'!$D$5:$D$239=E330)*('Cashflow Summary C19RM'!$AI$5:$AI$239)))</f>
        <v>0</v>
      </c>
      <c r="AG330" s="633" cm="1">
        <f t="array" ref="AG330">$AD330*(SUMPRODUCT(('Cashflow Summary C19RM'!$K$5:$K$239&lt;&gt;1)*('Cashflow Summary C19RM'!$D$5:$D$239=E330)*('Cashflow Summary C19RM'!$AJ$5:$AJ$239)))</f>
        <v>0</v>
      </c>
      <c r="AH330" s="633" cm="1">
        <f t="array" ref="AH330">$AD330*(SUMPRODUCT(('Cashflow Summary C19RM'!$K$5:$K$239&lt;&gt;1)*('Cashflow Summary C19RM'!$D$5:$D$239=E330)*('Cashflow Summary C19RM'!$AK$5:$AO$239)))</f>
        <v>0</v>
      </c>
      <c r="AI330" s="634">
        <f t="shared" si="143"/>
        <v>0</v>
      </c>
      <c r="AJ330" s="875">
        <v>0</v>
      </c>
      <c r="AK330" s="872"/>
      <c r="AL330" s="873"/>
      <c r="AM330" s="873"/>
      <c r="AN330" s="873"/>
      <c r="AO330" s="874"/>
      <c r="AP330" s="635">
        <f t="shared" si="150"/>
        <v>0</v>
      </c>
      <c r="AQ330" s="636">
        <v>7.7</v>
      </c>
      <c r="AR330" s="707"/>
      <c r="AS330" s="310"/>
      <c r="AV330" s="228">
        <f t="shared" si="144"/>
        <v>0</v>
      </c>
      <c r="AW330" s="228">
        <f t="shared" si="145"/>
        <v>0</v>
      </c>
      <c r="AX330" s="228">
        <f t="shared" si="146"/>
        <v>0</v>
      </c>
      <c r="AY330" s="228">
        <f t="shared" si="147"/>
        <v>0</v>
      </c>
      <c r="AZ330" s="228">
        <f t="shared" si="148"/>
        <v>0</v>
      </c>
      <c r="BA330" s="228"/>
      <c r="BC330" s="345" cm="1">
        <f t="array" ref="BC330">IF(BM330&gt;=1,0,IFERROR(SUMPRODUCT(($G$11:$AH$11=$BC$16)*($G330:$AH330)),0))</f>
        <v>0</v>
      </c>
      <c r="BD330" s="345" cm="1">
        <f t="array" ref="BD330">IF(BM330&gt;=1,0,IFERROR(SUMPRODUCT(($G$11:$AH$11=$BD$16)*($G330:$AH330)),0))</f>
        <v>0</v>
      </c>
      <c r="BE330" s="345" cm="1">
        <f t="array" ref="BE330">IF(BM330&gt;=1,0,IFERROR(SUMPRODUCT(($G$11:$AH$11=$BE$16)*($G330:$AH330)),0))</f>
        <v>0</v>
      </c>
      <c r="BF330" s="345" cm="1">
        <f t="array" ref="BF330">IF(BM330&gt;=1,0,IFERROR(SUMPRODUCT(($G$11:$AH$11=$BF$16)*($G330:$AH330)),0))</f>
        <v>0</v>
      </c>
      <c r="BG330" s="345" cm="1">
        <f t="array" ref="BG330">IF(BM330&gt;=1,0,IFERROR(SUMPRODUCT(($G$11:$AH$11=$BG$16)*($G330:$AH330)),0))</f>
        <v>0</v>
      </c>
      <c r="BH330" s="345"/>
      <c r="BI330" s="343">
        <f t="shared" si="151"/>
        <v>0</v>
      </c>
      <c r="BJ330" s="230" t="s">
        <v>83</v>
      </c>
      <c r="BK330" cm="1">
        <f t="array" ref="BK330">(SUMPRODUCT(('Cashflow Summary C19RM'!$D$5:$D$451=E330)*('Cashflow Summary C19RM'!$BD$5:$BD$451)))</f>
        <v>0</v>
      </c>
      <c r="BL330" cm="1">
        <f t="array" ref="BL330">(SUMPRODUCT((SETUP!$D$20:$D$67=E330)*(SETUP!$R$20:$R$67)))</f>
        <v>0</v>
      </c>
      <c r="BM330" s="89">
        <f t="shared" si="149"/>
        <v>0</v>
      </c>
    </row>
    <row r="331" spans="2:97" s="89" customFormat="1" ht="15" customHeight="1" x14ac:dyDescent="0.35">
      <c r="B331" s="211" t="s">
        <v>749</v>
      </c>
      <c r="C331" s="699" t="s">
        <v>2750</v>
      </c>
      <c r="D331" s="1314"/>
      <c r="E331" s="1010" t="s">
        <v>23</v>
      </c>
      <c r="F331" s="697">
        <v>0</v>
      </c>
      <c r="G331" s="628" cm="1">
        <f t="array" ref="G331">$F331*(SUMPRODUCT(('Cashflow Summary C19RM'!$K$5:$K$239&lt;&gt;1)*('Cashflow Summary C19RM'!$D$5:$D$239=E331)*('Cashflow Summary C19RM'!$R$5:$R$239)))</f>
        <v>0</v>
      </c>
      <c r="H331" s="629" cm="1">
        <f t="array" ref="H331">$F331*(SUMPRODUCT(('Cashflow Summary C19RM'!$K$5:$K$239&lt;&gt;1)*('Cashflow Summary C19RM'!$D$5:$D$239=E331)*('Cashflow Summary C19RM'!$S$5:$S$239)))</f>
        <v>0</v>
      </c>
      <c r="I331" s="630" cm="1">
        <f t="array" ref="I331">$F331*(SUMPRODUCT(('Cashflow Summary C19RM'!$K$5:$K$239&lt;&gt;1)*('Cashflow Summary C19RM'!$D$5:$D$239=E331)*('Cashflow Summary C19RM'!$T$5:$T$239)))</f>
        <v>0</v>
      </c>
      <c r="J331" s="630" cm="1">
        <f t="array" ref="J331">$F331*(SUMPRODUCT(('Cashflow Summary C19RM'!$K$5:$K$239&lt;&gt;1)*('Cashflow Summary C19RM'!$D$5:$D$239=E331)*('Cashflow Summary C19RM'!$U$5:$U$239)))</f>
        <v>0</v>
      </c>
      <c r="K331" s="631">
        <f t="shared" si="135"/>
        <v>0</v>
      </c>
      <c r="L331" s="686">
        <f t="shared" si="136"/>
        <v>0</v>
      </c>
      <c r="M331" s="630" cm="1">
        <f t="array" ref="M331">$L331*(SUMPRODUCT(('Cashflow Summary C19RM'!$K$5:$K$239&lt;&gt;1)*('Cashflow Summary C19RM'!$D$5:$D$239=E331)*('Cashflow Summary C19RM'!$V$5:$V$239)))</f>
        <v>0</v>
      </c>
      <c r="N331" s="630" cm="1">
        <f t="array" ref="N331">$L331*(SUMPRODUCT(('Cashflow Summary C19RM'!$K$5:$K$239&lt;&gt;1)*('Cashflow Summary C19RM'!$D$5:$D$239=E331)*('Cashflow Summary C19RM'!$W$5:$W$239)))</f>
        <v>0</v>
      </c>
      <c r="O331" s="630" cm="1">
        <f t="array" ref="O331">$L331*(SUMPRODUCT(('Cashflow Summary C19RM'!$K$5:$K$239&lt;&gt;1)*('Cashflow Summary C19RM'!$D$5:$D$239=E331)*('Cashflow Summary C19RM'!$X$5:$X$239)))</f>
        <v>0</v>
      </c>
      <c r="P331" s="630" cm="1">
        <f t="array" ref="P331">$L331*(SUMPRODUCT(('Cashflow Summary C19RM'!$K$5:$K$239&lt;&gt;1)*('Cashflow Summary C19RM'!$D$5:$D$239=E331)*('Cashflow Summary C19RM'!$Y$5:$Y$239)))</f>
        <v>0</v>
      </c>
      <c r="Q331" s="632">
        <f t="shared" si="137"/>
        <v>0</v>
      </c>
      <c r="R331" s="686">
        <f t="shared" si="138"/>
        <v>0</v>
      </c>
      <c r="S331" s="633" cm="1">
        <f t="array" ref="S331">$R331*(SUMPRODUCT(('Cashflow Summary C19RM'!$K$5:$K$239&lt;&gt;1)*('Cashflow Summary C19RM'!$D$5:$D$239=E331)*('Cashflow Summary C19RM'!$Z$5:$Z$239)))</f>
        <v>0</v>
      </c>
      <c r="T331" s="633" cm="1">
        <f t="array" ref="T331">$R331*(SUMPRODUCT(('Cashflow Summary C19RM'!$K$5:$K$239&lt;&gt;1)*('Cashflow Summary C19RM'!$D$5:$D$239=E331)*('Cashflow Summary C19RM'!$AA$5:$AA$239)))</f>
        <v>0</v>
      </c>
      <c r="U331" s="633" cm="1">
        <f t="array" ref="U331">$R331*(SUMPRODUCT(('Cashflow Summary C19RM'!$K$5:$K$239&lt;&gt;1)*('Cashflow Summary C19RM'!$D$5:$D$239=E331)*('Cashflow Summary C19RM'!$AB$5:$AB$239)))</f>
        <v>0</v>
      </c>
      <c r="V331" s="633" cm="1">
        <f t="array" ref="V331">$R331*(SUMPRODUCT(('Cashflow Summary C19RM'!$K$5:$K$239&lt;&gt;1)*('Cashflow Summary C19RM'!$D$5:$D$239=E331)*('Cashflow Summary C19RM'!$AC$5:$AC$239)))</f>
        <v>0</v>
      </c>
      <c r="W331" s="634">
        <f t="shared" si="139"/>
        <v>0</v>
      </c>
      <c r="X331" s="686">
        <f t="shared" si="140"/>
        <v>0</v>
      </c>
      <c r="Y331" s="633" cm="1">
        <f t="array" ref="Y331">$X331*(SUMPRODUCT(('Cashflow Summary C19RM'!$K$5:$K$239&lt;&gt;1)*('Cashflow Summary C19RM'!$D$5:$D$239=E331)*('Cashflow Summary C19RM'!$AD$5:$AD$239)))</f>
        <v>0</v>
      </c>
      <c r="Z331" s="633" cm="1">
        <f t="array" ref="Z331">$X331*(SUMPRODUCT(('Cashflow Summary C19RM'!$K$5:$K$239&lt;&gt;1)*('Cashflow Summary C19RM'!$D$5:$D$239=E331)*('Cashflow Summary C19RM'!$AE$5:$AE$239)))</f>
        <v>0</v>
      </c>
      <c r="AA331" s="633" cm="1">
        <f t="array" ref="AA331">$X331*(SUMPRODUCT(('Cashflow Summary C19RM'!$K$5:$K$239&lt;&gt;1)*('Cashflow Summary C19RM'!$D$5:$D$239=E331)*('Cashflow Summary C19RM'!$AF$5:$AF$239)))</f>
        <v>0</v>
      </c>
      <c r="AB331" s="630" cm="1">
        <f t="array" ref="AB331">$X331*(SUMPRODUCT(('Cashflow Summary C19RM'!$K$5:$K$239&lt;&gt;1)*('Cashflow Summary C19RM'!$D$5:$D$239=E331)*('Cashflow Summary C19RM'!$AG$5:$AG$239)))</f>
        <v>0</v>
      </c>
      <c r="AC331" s="634">
        <f t="shared" si="141"/>
        <v>0</v>
      </c>
      <c r="AD331" s="686">
        <f t="shared" si="142"/>
        <v>0</v>
      </c>
      <c r="AE331" s="628" cm="1">
        <f t="array" ref="AE331">$AD331*(SUMPRODUCT(('Cashflow Summary C19RM'!$K$5:$K$239&lt;&gt;1)*('Cashflow Summary C19RM'!$D$5:$D$239=E331)*('Cashflow Summary C19RM'!$AH$5:$AH$239)))</f>
        <v>0</v>
      </c>
      <c r="AF331" s="633" cm="1">
        <f t="array" ref="AF331">$AD331*(SUMPRODUCT(('Cashflow Summary C19RM'!$K$5:$K$239&lt;&gt;1)*('Cashflow Summary C19RM'!$D$5:$D$239=E331)*('Cashflow Summary C19RM'!$AI$5:$AI$239)))</f>
        <v>0</v>
      </c>
      <c r="AG331" s="633" cm="1">
        <f t="array" ref="AG331">$AD331*(SUMPRODUCT(('Cashflow Summary C19RM'!$K$5:$K$239&lt;&gt;1)*('Cashflow Summary C19RM'!$D$5:$D$239=E331)*('Cashflow Summary C19RM'!$AJ$5:$AJ$239)))</f>
        <v>0</v>
      </c>
      <c r="AH331" s="633" cm="1">
        <f t="array" ref="AH331">$AD331*(SUMPRODUCT(('Cashflow Summary C19RM'!$K$5:$K$239&lt;&gt;1)*('Cashflow Summary C19RM'!$D$5:$D$239=E331)*('Cashflow Summary C19RM'!$AK$5:$AO$239)))</f>
        <v>0</v>
      </c>
      <c r="AI331" s="634">
        <f t="shared" si="143"/>
        <v>0</v>
      </c>
      <c r="AJ331" s="875">
        <v>0</v>
      </c>
      <c r="AK331" s="872"/>
      <c r="AL331" s="873"/>
      <c r="AM331" s="873"/>
      <c r="AN331" s="873"/>
      <c r="AO331" s="874"/>
      <c r="AP331" s="635">
        <f t="shared" si="150"/>
        <v>0</v>
      </c>
      <c r="AQ331" s="636">
        <v>7.7</v>
      </c>
      <c r="AR331" s="707"/>
      <c r="AS331" s="310"/>
      <c r="AV331" s="228">
        <f t="shared" si="144"/>
        <v>0</v>
      </c>
      <c r="AW331" s="228">
        <f t="shared" si="145"/>
        <v>0</v>
      </c>
      <c r="AX331" s="228">
        <f t="shared" si="146"/>
        <v>0</v>
      </c>
      <c r="AY331" s="228">
        <f t="shared" si="147"/>
        <v>0</v>
      </c>
      <c r="AZ331" s="228">
        <f t="shared" si="148"/>
        <v>0</v>
      </c>
      <c r="BA331" s="228"/>
      <c r="BC331" s="345" cm="1">
        <f t="array" ref="BC331">IF(BM331&gt;=1,0,IFERROR(SUMPRODUCT(($G$11:$AH$11=$BC$16)*($G331:$AH331)),0))</f>
        <v>0</v>
      </c>
      <c r="BD331" s="345" cm="1">
        <f t="array" ref="BD331">IF(BM331&gt;=1,0,IFERROR(SUMPRODUCT(($G$11:$AH$11=$BD$16)*($G331:$AH331)),0))</f>
        <v>0</v>
      </c>
      <c r="BE331" s="345" cm="1">
        <f t="array" ref="BE331">IF(BM331&gt;=1,0,IFERROR(SUMPRODUCT(($G$11:$AH$11=$BE$16)*($G331:$AH331)),0))</f>
        <v>0</v>
      </c>
      <c r="BF331" s="345" cm="1">
        <f t="array" ref="BF331">IF(BM331&gt;=1,0,IFERROR(SUMPRODUCT(($G$11:$AH$11=$BF$16)*($G331:$AH331)),0))</f>
        <v>0</v>
      </c>
      <c r="BG331" s="345" cm="1">
        <f t="array" ref="BG331">IF(BM331&gt;=1,0,IFERROR(SUMPRODUCT(($G$11:$AH$11=$BG$16)*($G331:$AH331)),0))</f>
        <v>0</v>
      </c>
      <c r="BH331" s="345"/>
      <c r="BI331" s="343">
        <f t="shared" si="151"/>
        <v>0</v>
      </c>
      <c r="BJ331" s="230" t="s">
        <v>83</v>
      </c>
      <c r="BK331" cm="1">
        <f t="array" ref="BK331">(SUMPRODUCT(('Cashflow Summary C19RM'!$D$5:$D$451=E331)*('Cashflow Summary C19RM'!$BD$5:$BD$451)))</f>
        <v>0</v>
      </c>
      <c r="BL331" cm="1">
        <f t="array" ref="BL331">(SUMPRODUCT((SETUP!$D$20:$D$67=E331)*(SETUP!$R$20:$R$67)))</f>
        <v>0</v>
      </c>
      <c r="BM331" s="89">
        <f t="shared" si="149"/>
        <v>0</v>
      </c>
    </row>
    <row r="332" spans="2:97" s="89" customFormat="1" ht="15" customHeight="1" x14ac:dyDescent="0.35">
      <c r="B332" s="211" t="s">
        <v>749</v>
      </c>
      <c r="C332" s="699" t="s">
        <v>2750</v>
      </c>
      <c r="D332" s="1314"/>
      <c r="E332" s="1010" t="s">
        <v>22</v>
      </c>
      <c r="F332" s="697">
        <v>0</v>
      </c>
      <c r="G332" s="628" cm="1">
        <f t="array" ref="G332">$F332*(SUMPRODUCT(('Cashflow Summary C19RM'!$K$5:$K$239&lt;&gt;1)*('Cashflow Summary C19RM'!$D$5:$D$239=E332)*('Cashflow Summary C19RM'!$R$5:$R$239)))</f>
        <v>0</v>
      </c>
      <c r="H332" s="629" cm="1">
        <f t="array" ref="H332">$F332*(SUMPRODUCT(('Cashflow Summary C19RM'!$K$5:$K$239&lt;&gt;1)*('Cashflow Summary C19RM'!$D$5:$D$239=E332)*('Cashflow Summary C19RM'!$S$5:$S$239)))</f>
        <v>0</v>
      </c>
      <c r="I332" s="630" cm="1">
        <f t="array" ref="I332">$F332*(SUMPRODUCT(('Cashflow Summary C19RM'!$K$5:$K$239&lt;&gt;1)*('Cashflow Summary C19RM'!$D$5:$D$239=E332)*('Cashflow Summary C19RM'!$T$5:$T$239)))</f>
        <v>0</v>
      </c>
      <c r="J332" s="630" cm="1">
        <f t="array" ref="J332">$F332*(SUMPRODUCT(('Cashflow Summary C19RM'!$K$5:$K$239&lt;&gt;1)*('Cashflow Summary C19RM'!$D$5:$D$239=E332)*('Cashflow Summary C19RM'!$U$5:$U$239)))</f>
        <v>0</v>
      </c>
      <c r="K332" s="631">
        <f t="shared" si="135"/>
        <v>0</v>
      </c>
      <c r="L332" s="686">
        <f t="shared" si="136"/>
        <v>0</v>
      </c>
      <c r="M332" s="630" cm="1">
        <f t="array" ref="M332">$L332*(SUMPRODUCT(('Cashflow Summary C19RM'!$K$5:$K$239&lt;&gt;1)*('Cashflow Summary C19RM'!$D$5:$D$239=E332)*('Cashflow Summary C19RM'!$V$5:$V$239)))</f>
        <v>0</v>
      </c>
      <c r="N332" s="630" cm="1">
        <f t="array" ref="N332">$L332*(SUMPRODUCT(('Cashflow Summary C19RM'!$K$5:$K$239&lt;&gt;1)*('Cashflow Summary C19RM'!$D$5:$D$239=E332)*('Cashflow Summary C19RM'!$W$5:$W$239)))</f>
        <v>0</v>
      </c>
      <c r="O332" s="630" cm="1">
        <f t="array" ref="O332">$L332*(SUMPRODUCT(('Cashflow Summary C19RM'!$K$5:$K$239&lt;&gt;1)*('Cashflow Summary C19RM'!$D$5:$D$239=E332)*('Cashflow Summary C19RM'!$X$5:$X$239)))</f>
        <v>0</v>
      </c>
      <c r="P332" s="630" cm="1">
        <f t="array" ref="P332">$L332*(SUMPRODUCT(('Cashflow Summary C19RM'!$K$5:$K$239&lt;&gt;1)*('Cashflow Summary C19RM'!$D$5:$D$239=E332)*('Cashflow Summary C19RM'!$Y$5:$Y$239)))</f>
        <v>0</v>
      </c>
      <c r="Q332" s="632">
        <f t="shared" si="137"/>
        <v>0</v>
      </c>
      <c r="R332" s="686">
        <f t="shared" si="138"/>
        <v>0</v>
      </c>
      <c r="S332" s="633" cm="1">
        <f t="array" ref="S332">$R332*(SUMPRODUCT(('Cashflow Summary C19RM'!$K$5:$K$239&lt;&gt;1)*('Cashflow Summary C19RM'!$D$5:$D$239=E332)*('Cashflow Summary C19RM'!$Z$5:$Z$239)))</f>
        <v>0</v>
      </c>
      <c r="T332" s="633" cm="1">
        <f t="array" ref="T332">$R332*(SUMPRODUCT(('Cashflow Summary C19RM'!$K$5:$K$239&lt;&gt;1)*('Cashflow Summary C19RM'!$D$5:$D$239=E332)*('Cashflow Summary C19RM'!$AA$5:$AA$239)))</f>
        <v>0</v>
      </c>
      <c r="U332" s="633" cm="1">
        <f t="array" ref="U332">$R332*(SUMPRODUCT(('Cashflow Summary C19RM'!$K$5:$K$239&lt;&gt;1)*('Cashflow Summary C19RM'!$D$5:$D$239=E332)*('Cashflow Summary C19RM'!$AB$5:$AB$239)))</f>
        <v>0</v>
      </c>
      <c r="V332" s="633" cm="1">
        <f t="array" ref="V332">$R332*(SUMPRODUCT(('Cashflow Summary C19RM'!$K$5:$K$239&lt;&gt;1)*('Cashflow Summary C19RM'!$D$5:$D$239=E332)*('Cashflow Summary C19RM'!$AC$5:$AC$239)))</f>
        <v>0</v>
      </c>
      <c r="W332" s="634">
        <f t="shared" si="139"/>
        <v>0</v>
      </c>
      <c r="X332" s="686">
        <f t="shared" si="140"/>
        <v>0</v>
      </c>
      <c r="Y332" s="633" cm="1">
        <f t="array" ref="Y332">$X332*(SUMPRODUCT(('Cashflow Summary C19RM'!$K$5:$K$239&lt;&gt;1)*('Cashflow Summary C19RM'!$D$5:$D$239=E332)*('Cashflow Summary C19RM'!$AD$5:$AD$239)))</f>
        <v>0</v>
      </c>
      <c r="Z332" s="633" cm="1">
        <f t="array" ref="Z332">$X332*(SUMPRODUCT(('Cashflow Summary C19RM'!$K$5:$K$239&lt;&gt;1)*('Cashflow Summary C19RM'!$D$5:$D$239=E332)*('Cashflow Summary C19RM'!$AE$5:$AE$239)))</f>
        <v>0</v>
      </c>
      <c r="AA332" s="633" cm="1">
        <f t="array" ref="AA332">$X332*(SUMPRODUCT(('Cashflow Summary C19RM'!$K$5:$K$239&lt;&gt;1)*('Cashflow Summary C19RM'!$D$5:$D$239=E332)*('Cashflow Summary C19RM'!$AF$5:$AF$239)))</f>
        <v>0</v>
      </c>
      <c r="AB332" s="630" cm="1">
        <f t="array" ref="AB332">$X332*(SUMPRODUCT(('Cashflow Summary C19RM'!$K$5:$K$239&lt;&gt;1)*('Cashflow Summary C19RM'!$D$5:$D$239=E332)*('Cashflow Summary C19RM'!$AG$5:$AG$239)))</f>
        <v>0</v>
      </c>
      <c r="AC332" s="634">
        <f t="shared" si="141"/>
        <v>0</v>
      </c>
      <c r="AD332" s="686">
        <f t="shared" si="142"/>
        <v>0</v>
      </c>
      <c r="AE332" s="628" cm="1">
        <f t="array" ref="AE332">$AD332*(SUMPRODUCT(('Cashflow Summary C19RM'!$K$5:$K$239&lt;&gt;1)*('Cashflow Summary C19RM'!$D$5:$D$239=E332)*('Cashflow Summary C19RM'!$AH$5:$AH$239)))</f>
        <v>0</v>
      </c>
      <c r="AF332" s="633" cm="1">
        <f t="array" ref="AF332">$AD332*(SUMPRODUCT(('Cashflow Summary C19RM'!$K$5:$K$239&lt;&gt;1)*('Cashflow Summary C19RM'!$D$5:$D$239=E332)*('Cashflow Summary C19RM'!$AI$5:$AI$239)))</f>
        <v>0</v>
      </c>
      <c r="AG332" s="633" cm="1">
        <f t="array" ref="AG332">$AD332*(SUMPRODUCT(('Cashflow Summary C19RM'!$K$5:$K$239&lt;&gt;1)*('Cashflow Summary C19RM'!$D$5:$D$239=E332)*('Cashflow Summary C19RM'!$AJ$5:$AJ$239)))</f>
        <v>0</v>
      </c>
      <c r="AH332" s="633" cm="1">
        <f t="array" ref="AH332">$AD332*(SUMPRODUCT(('Cashflow Summary C19RM'!$K$5:$K$239&lt;&gt;1)*('Cashflow Summary C19RM'!$D$5:$D$239=E332)*('Cashflow Summary C19RM'!$AK$5:$AO$239)))</f>
        <v>0</v>
      </c>
      <c r="AI332" s="634">
        <f t="shared" si="143"/>
        <v>0</v>
      </c>
      <c r="AJ332" s="875">
        <v>0</v>
      </c>
      <c r="AK332" s="872"/>
      <c r="AL332" s="873"/>
      <c r="AM332" s="873"/>
      <c r="AN332" s="873"/>
      <c r="AO332" s="874"/>
      <c r="AP332" s="635">
        <f t="shared" si="150"/>
        <v>0</v>
      </c>
      <c r="AQ332" s="636">
        <v>7.7</v>
      </c>
      <c r="AR332" s="707"/>
      <c r="AS332" s="310"/>
      <c r="AV332" s="228">
        <f t="shared" si="144"/>
        <v>0</v>
      </c>
      <c r="AW332" s="228">
        <f t="shared" si="145"/>
        <v>0</v>
      </c>
      <c r="AX332" s="228">
        <f t="shared" si="146"/>
        <v>0</v>
      </c>
      <c r="AY332" s="228">
        <f t="shared" si="147"/>
        <v>0</v>
      </c>
      <c r="AZ332" s="228">
        <f t="shared" si="148"/>
        <v>0</v>
      </c>
      <c r="BA332" s="228"/>
      <c r="BC332" s="345" cm="1">
        <f t="array" ref="BC332">IF(BM332&gt;=1,0,IFERROR(SUMPRODUCT(($G$11:$AH$11=$BC$16)*($G332:$AH332)),0))</f>
        <v>0</v>
      </c>
      <c r="BD332" s="345" cm="1">
        <f t="array" ref="BD332">IF(BM332&gt;=1,0,IFERROR(SUMPRODUCT(($G$11:$AH$11=$BD$16)*($G332:$AH332)),0))</f>
        <v>0</v>
      </c>
      <c r="BE332" s="345" cm="1">
        <f t="array" ref="BE332">IF(BM332&gt;=1,0,IFERROR(SUMPRODUCT(($G$11:$AH$11=$BE$16)*($G332:$AH332)),0))</f>
        <v>0</v>
      </c>
      <c r="BF332" s="345" cm="1">
        <f t="array" ref="BF332">IF(BM332&gt;=1,0,IFERROR(SUMPRODUCT(($G$11:$AH$11=$BF$16)*($G332:$AH332)),0))</f>
        <v>0</v>
      </c>
      <c r="BG332" s="345" cm="1">
        <f t="array" ref="BG332">IF(BM332&gt;=1,0,IFERROR(SUMPRODUCT(($G$11:$AH$11=$BG$16)*($G332:$AH332)),0))</f>
        <v>0</v>
      </c>
      <c r="BH332" s="345"/>
      <c r="BI332" s="343">
        <f t="shared" si="151"/>
        <v>0</v>
      </c>
      <c r="BJ332" s="230" t="s">
        <v>83</v>
      </c>
      <c r="BK332" cm="1">
        <f t="array" ref="BK332">(SUMPRODUCT(('Cashflow Summary C19RM'!$D$5:$D$451=E332)*('Cashflow Summary C19RM'!$BD$5:$BD$451)))</f>
        <v>0</v>
      </c>
      <c r="BL332" cm="1">
        <f t="array" ref="BL332">(SUMPRODUCT((SETUP!$D$20:$D$67=E332)*(SETUP!$R$20:$R$67)))</f>
        <v>0</v>
      </c>
      <c r="BM332" s="89">
        <f t="shared" si="149"/>
        <v>0</v>
      </c>
    </row>
    <row r="333" spans="2:97" s="89" customFormat="1" ht="15" customHeight="1" x14ac:dyDescent="0.35">
      <c r="B333" s="211" t="s">
        <v>749</v>
      </c>
      <c r="C333" s="699" t="s">
        <v>2750</v>
      </c>
      <c r="D333" s="1314"/>
      <c r="E333" s="1010" t="s">
        <v>25</v>
      </c>
      <c r="F333" s="697">
        <v>0</v>
      </c>
      <c r="G333" s="628" cm="1">
        <f t="array" ref="G333">$F333*(SUMPRODUCT(('Cashflow Summary C19RM'!$K$5:$K$239&lt;&gt;1)*('Cashflow Summary C19RM'!$D$5:$D$239=E333)*('Cashflow Summary C19RM'!$R$5:$R$239)))</f>
        <v>0</v>
      </c>
      <c r="H333" s="629" cm="1">
        <f t="array" ref="H333">$F333*(SUMPRODUCT(('Cashflow Summary C19RM'!$K$5:$K$239&lt;&gt;1)*('Cashflow Summary C19RM'!$D$5:$D$239=E333)*('Cashflow Summary C19RM'!$S$5:$S$239)))</f>
        <v>0</v>
      </c>
      <c r="I333" s="630" cm="1">
        <f t="array" ref="I333">$F333*(SUMPRODUCT(('Cashflow Summary C19RM'!$K$5:$K$239&lt;&gt;1)*('Cashflow Summary C19RM'!$D$5:$D$239=E333)*('Cashflow Summary C19RM'!$T$5:$T$239)))</f>
        <v>0</v>
      </c>
      <c r="J333" s="630" cm="1">
        <f t="array" ref="J333">$F333*(SUMPRODUCT(('Cashflow Summary C19RM'!$K$5:$K$239&lt;&gt;1)*('Cashflow Summary C19RM'!$D$5:$D$239=E333)*('Cashflow Summary C19RM'!$U$5:$U$239)))</f>
        <v>0</v>
      </c>
      <c r="K333" s="631">
        <f t="shared" si="135"/>
        <v>0</v>
      </c>
      <c r="L333" s="686">
        <f t="shared" si="136"/>
        <v>0</v>
      </c>
      <c r="M333" s="630" cm="1">
        <f t="array" ref="M333">$L333*(SUMPRODUCT(('Cashflow Summary C19RM'!$K$5:$K$239&lt;&gt;1)*('Cashflow Summary C19RM'!$D$5:$D$239=E333)*('Cashflow Summary C19RM'!$V$5:$V$239)))</f>
        <v>0</v>
      </c>
      <c r="N333" s="630" cm="1">
        <f t="array" ref="N333">$L333*(SUMPRODUCT(('Cashflow Summary C19RM'!$K$5:$K$239&lt;&gt;1)*('Cashflow Summary C19RM'!$D$5:$D$239=E333)*('Cashflow Summary C19RM'!$W$5:$W$239)))</f>
        <v>0</v>
      </c>
      <c r="O333" s="630" cm="1">
        <f t="array" ref="O333">$L333*(SUMPRODUCT(('Cashflow Summary C19RM'!$K$5:$K$239&lt;&gt;1)*('Cashflow Summary C19RM'!$D$5:$D$239=E333)*('Cashflow Summary C19RM'!$X$5:$X$239)))</f>
        <v>0</v>
      </c>
      <c r="P333" s="630" cm="1">
        <f t="array" ref="P333">$L333*(SUMPRODUCT(('Cashflow Summary C19RM'!$K$5:$K$239&lt;&gt;1)*('Cashflow Summary C19RM'!$D$5:$D$239=E333)*('Cashflow Summary C19RM'!$Y$5:$Y$239)))</f>
        <v>0</v>
      </c>
      <c r="Q333" s="632">
        <f t="shared" si="137"/>
        <v>0</v>
      </c>
      <c r="R333" s="686">
        <f t="shared" si="138"/>
        <v>0</v>
      </c>
      <c r="S333" s="633" cm="1">
        <f t="array" ref="S333">$R333*(SUMPRODUCT(('Cashflow Summary C19RM'!$K$5:$K$239&lt;&gt;1)*('Cashflow Summary C19RM'!$D$5:$D$239=E333)*('Cashflow Summary C19RM'!$Z$5:$Z$239)))</f>
        <v>0</v>
      </c>
      <c r="T333" s="633" cm="1">
        <f t="array" ref="T333">$R333*(SUMPRODUCT(('Cashflow Summary C19RM'!$K$5:$K$239&lt;&gt;1)*('Cashflow Summary C19RM'!$D$5:$D$239=E333)*('Cashflow Summary C19RM'!$AA$5:$AA$239)))</f>
        <v>0</v>
      </c>
      <c r="U333" s="633" cm="1">
        <f t="array" ref="U333">$R333*(SUMPRODUCT(('Cashflow Summary C19RM'!$K$5:$K$239&lt;&gt;1)*('Cashflow Summary C19RM'!$D$5:$D$239=E333)*('Cashflow Summary C19RM'!$AB$5:$AB$239)))</f>
        <v>0</v>
      </c>
      <c r="V333" s="633" cm="1">
        <f t="array" ref="V333">$R333*(SUMPRODUCT(('Cashflow Summary C19RM'!$K$5:$K$239&lt;&gt;1)*('Cashflow Summary C19RM'!$D$5:$D$239=E333)*('Cashflow Summary C19RM'!$AC$5:$AC$239)))</f>
        <v>0</v>
      </c>
      <c r="W333" s="634">
        <f t="shared" si="139"/>
        <v>0</v>
      </c>
      <c r="X333" s="686">
        <f t="shared" si="140"/>
        <v>0</v>
      </c>
      <c r="Y333" s="633" cm="1">
        <f t="array" ref="Y333">$X333*(SUMPRODUCT(('Cashflow Summary C19RM'!$K$5:$K$239&lt;&gt;1)*('Cashflow Summary C19RM'!$D$5:$D$239=E333)*('Cashflow Summary C19RM'!$AD$5:$AD$239)))</f>
        <v>0</v>
      </c>
      <c r="Z333" s="633" cm="1">
        <f t="array" ref="Z333">$X333*(SUMPRODUCT(('Cashflow Summary C19RM'!$K$5:$K$239&lt;&gt;1)*('Cashflow Summary C19RM'!$D$5:$D$239=E333)*('Cashflow Summary C19RM'!$AE$5:$AE$239)))</f>
        <v>0</v>
      </c>
      <c r="AA333" s="633" cm="1">
        <f t="array" ref="AA333">$X333*(SUMPRODUCT(('Cashflow Summary C19RM'!$K$5:$K$239&lt;&gt;1)*('Cashflow Summary C19RM'!$D$5:$D$239=E333)*('Cashflow Summary C19RM'!$AF$5:$AF$239)))</f>
        <v>0</v>
      </c>
      <c r="AB333" s="630" cm="1">
        <f t="array" ref="AB333">$X333*(SUMPRODUCT(('Cashflow Summary C19RM'!$K$5:$K$239&lt;&gt;1)*('Cashflow Summary C19RM'!$D$5:$D$239=E333)*('Cashflow Summary C19RM'!$AG$5:$AG$239)))</f>
        <v>0</v>
      </c>
      <c r="AC333" s="634">
        <f t="shared" si="141"/>
        <v>0</v>
      </c>
      <c r="AD333" s="686">
        <f t="shared" si="142"/>
        <v>0</v>
      </c>
      <c r="AE333" s="628" cm="1">
        <f t="array" ref="AE333">$AD333*(SUMPRODUCT(('Cashflow Summary C19RM'!$K$5:$K$239&lt;&gt;1)*('Cashflow Summary C19RM'!$D$5:$D$239=E333)*('Cashflow Summary C19RM'!$AH$5:$AH$239)))</f>
        <v>0</v>
      </c>
      <c r="AF333" s="633" cm="1">
        <f t="array" ref="AF333">$AD333*(SUMPRODUCT(('Cashflow Summary C19RM'!$K$5:$K$239&lt;&gt;1)*('Cashflow Summary C19RM'!$D$5:$D$239=E333)*('Cashflow Summary C19RM'!$AI$5:$AI$239)))</f>
        <v>0</v>
      </c>
      <c r="AG333" s="633" cm="1">
        <f t="array" ref="AG333">$AD333*(SUMPRODUCT(('Cashflow Summary C19RM'!$K$5:$K$239&lt;&gt;1)*('Cashflow Summary C19RM'!$D$5:$D$239=E333)*('Cashflow Summary C19RM'!$AJ$5:$AJ$239)))</f>
        <v>0</v>
      </c>
      <c r="AH333" s="633" cm="1">
        <f t="array" ref="AH333">$AD333*(SUMPRODUCT(('Cashflow Summary C19RM'!$K$5:$K$239&lt;&gt;1)*('Cashflow Summary C19RM'!$D$5:$D$239=E333)*('Cashflow Summary C19RM'!$AK$5:$AO$239)))</f>
        <v>0</v>
      </c>
      <c r="AI333" s="634">
        <f t="shared" si="143"/>
        <v>0</v>
      </c>
      <c r="AJ333" s="875">
        <v>0</v>
      </c>
      <c r="AK333" s="872"/>
      <c r="AL333" s="873"/>
      <c r="AM333" s="873"/>
      <c r="AN333" s="873"/>
      <c r="AO333" s="874"/>
      <c r="AP333" s="635">
        <f t="shared" si="150"/>
        <v>0</v>
      </c>
      <c r="AQ333" s="636">
        <v>7.7</v>
      </c>
      <c r="AR333" s="707"/>
      <c r="AS333" s="310"/>
      <c r="AV333" s="228">
        <f t="shared" si="144"/>
        <v>0</v>
      </c>
      <c r="AW333" s="228">
        <f t="shared" si="145"/>
        <v>0</v>
      </c>
      <c r="AX333" s="228">
        <f t="shared" si="146"/>
        <v>0</v>
      </c>
      <c r="AY333" s="228">
        <f t="shared" si="147"/>
        <v>0</v>
      </c>
      <c r="AZ333" s="228">
        <f t="shared" si="148"/>
        <v>0</v>
      </c>
      <c r="BA333" s="228"/>
      <c r="BC333" s="345" cm="1">
        <f t="array" ref="BC333">IF(BM333&gt;=1,0,IFERROR(SUMPRODUCT(($G$11:$AH$11=$BC$16)*($G333:$AH333)),0))</f>
        <v>0</v>
      </c>
      <c r="BD333" s="345" cm="1">
        <f t="array" ref="BD333">IF(BM333&gt;=1,0,IFERROR(SUMPRODUCT(($G$11:$AH$11=$BD$16)*($G333:$AH333)),0))</f>
        <v>0</v>
      </c>
      <c r="BE333" s="345" cm="1">
        <f t="array" ref="BE333">IF(BM333&gt;=1,0,IFERROR(SUMPRODUCT(($G$11:$AH$11=$BE$16)*($G333:$AH333)),0))</f>
        <v>0</v>
      </c>
      <c r="BF333" s="345" cm="1">
        <f t="array" ref="BF333">IF(BM333&gt;=1,0,IFERROR(SUMPRODUCT(($G$11:$AH$11=$BF$16)*($G333:$AH333)),0))</f>
        <v>0</v>
      </c>
      <c r="BG333" s="345" cm="1">
        <f t="array" ref="BG333">IF(BM333&gt;=1,0,IFERROR(SUMPRODUCT(($G$11:$AH$11=$BG$16)*($G333:$AH333)),0))</f>
        <v>0</v>
      </c>
      <c r="BH333" s="345"/>
      <c r="BI333" s="343">
        <f t="shared" si="151"/>
        <v>0</v>
      </c>
      <c r="BJ333" s="230" t="s">
        <v>83</v>
      </c>
      <c r="BK333" cm="1">
        <f t="array" ref="BK333">(SUMPRODUCT(('Cashflow Summary C19RM'!$D$5:$D$451=E333)*('Cashflow Summary C19RM'!$BD$5:$BD$451)))</f>
        <v>0</v>
      </c>
      <c r="BL333" cm="1">
        <f t="array" ref="BL333">(SUMPRODUCT((SETUP!$D$20:$D$67=E333)*(SETUP!$R$20:$R$67)))</f>
        <v>0</v>
      </c>
      <c r="BM333" s="89">
        <f t="shared" si="149"/>
        <v>0</v>
      </c>
    </row>
    <row r="334" spans="2:97" s="89" customFormat="1" ht="15" customHeight="1" x14ac:dyDescent="0.35">
      <c r="B334" s="211" t="s">
        <v>749</v>
      </c>
      <c r="C334" s="699" t="s">
        <v>2750</v>
      </c>
      <c r="D334" s="1314"/>
      <c r="E334" s="1010" t="s">
        <v>28</v>
      </c>
      <c r="F334" s="697">
        <v>0</v>
      </c>
      <c r="G334" s="628" cm="1">
        <f t="array" ref="G334">$F334*(SUMPRODUCT(('Cashflow Summary C19RM'!$K$5:$K$239&lt;&gt;1)*('Cashflow Summary C19RM'!$D$5:$D$239=E334)*('Cashflow Summary C19RM'!$R$5:$R$239)))</f>
        <v>0</v>
      </c>
      <c r="H334" s="629" cm="1">
        <f t="array" ref="H334">$F334*(SUMPRODUCT(('Cashflow Summary C19RM'!$K$5:$K$239&lt;&gt;1)*('Cashflow Summary C19RM'!$D$5:$D$239=E334)*('Cashflow Summary C19RM'!$S$5:$S$239)))</f>
        <v>0</v>
      </c>
      <c r="I334" s="630" cm="1">
        <f t="array" ref="I334">$F334*(SUMPRODUCT(('Cashflow Summary C19RM'!$K$5:$K$239&lt;&gt;1)*('Cashflow Summary C19RM'!$D$5:$D$239=E334)*('Cashflow Summary C19RM'!$T$5:$T$239)))</f>
        <v>0</v>
      </c>
      <c r="J334" s="630" cm="1">
        <f t="array" ref="J334">$F334*(SUMPRODUCT(('Cashflow Summary C19RM'!$K$5:$K$239&lt;&gt;1)*('Cashflow Summary C19RM'!$D$5:$D$239=E334)*('Cashflow Summary C19RM'!$U$5:$U$239)))</f>
        <v>0</v>
      </c>
      <c r="K334" s="631">
        <f t="shared" si="135"/>
        <v>0</v>
      </c>
      <c r="L334" s="686">
        <f t="shared" si="136"/>
        <v>0</v>
      </c>
      <c r="M334" s="630" cm="1">
        <f t="array" ref="M334">$L334*(SUMPRODUCT(('Cashflow Summary C19RM'!$K$5:$K$239&lt;&gt;1)*('Cashflow Summary C19RM'!$D$5:$D$239=E334)*('Cashflow Summary C19RM'!$V$5:$V$239)))</f>
        <v>0</v>
      </c>
      <c r="N334" s="630" cm="1">
        <f t="array" ref="N334">$L334*(SUMPRODUCT(('Cashflow Summary C19RM'!$K$5:$K$239&lt;&gt;1)*('Cashflow Summary C19RM'!$D$5:$D$239=E334)*('Cashflow Summary C19RM'!$W$5:$W$239)))</f>
        <v>0</v>
      </c>
      <c r="O334" s="630" cm="1">
        <f t="array" ref="O334">$L334*(SUMPRODUCT(('Cashflow Summary C19RM'!$K$5:$K$239&lt;&gt;1)*('Cashflow Summary C19RM'!$D$5:$D$239=E334)*('Cashflow Summary C19RM'!$X$5:$X$239)))</f>
        <v>0</v>
      </c>
      <c r="P334" s="630" cm="1">
        <f t="array" ref="P334">$L334*(SUMPRODUCT(('Cashflow Summary C19RM'!$K$5:$K$239&lt;&gt;1)*('Cashflow Summary C19RM'!$D$5:$D$239=E334)*('Cashflow Summary C19RM'!$Y$5:$Y$239)))</f>
        <v>0</v>
      </c>
      <c r="Q334" s="632">
        <f t="shared" si="137"/>
        <v>0</v>
      </c>
      <c r="R334" s="686">
        <f t="shared" si="138"/>
        <v>0</v>
      </c>
      <c r="S334" s="633" cm="1">
        <f t="array" ref="S334">$R334*(SUMPRODUCT(('Cashflow Summary C19RM'!$K$5:$K$239&lt;&gt;1)*('Cashflow Summary C19RM'!$D$5:$D$239=E334)*('Cashflow Summary C19RM'!$Z$5:$Z$239)))</f>
        <v>0</v>
      </c>
      <c r="T334" s="633" cm="1">
        <f t="array" ref="T334">$R334*(SUMPRODUCT(('Cashflow Summary C19RM'!$K$5:$K$239&lt;&gt;1)*('Cashflow Summary C19RM'!$D$5:$D$239=E334)*('Cashflow Summary C19RM'!$AA$5:$AA$239)))</f>
        <v>0</v>
      </c>
      <c r="U334" s="633" cm="1">
        <f t="array" ref="U334">$R334*(SUMPRODUCT(('Cashflow Summary C19RM'!$K$5:$K$239&lt;&gt;1)*('Cashflow Summary C19RM'!$D$5:$D$239=E334)*('Cashflow Summary C19RM'!$AB$5:$AB$239)))</f>
        <v>0</v>
      </c>
      <c r="V334" s="633" cm="1">
        <f t="array" ref="V334">$R334*(SUMPRODUCT(('Cashflow Summary C19RM'!$K$5:$K$239&lt;&gt;1)*('Cashflow Summary C19RM'!$D$5:$D$239=E334)*('Cashflow Summary C19RM'!$AC$5:$AC$239)))</f>
        <v>0</v>
      </c>
      <c r="W334" s="634">
        <f t="shared" si="139"/>
        <v>0</v>
      </c>
      <c r="X334" s="686">
        <f t="shared" si="140"/>
        <v>0</v>
      </c>
      <c r="Y334" s="633" cm="1">
        <f t="array" ref="Y334">$X334*(SUMPRODUCT(('Cashflow Summary C19RM'!$K$5:$K$239&lt;&gt;1)*('Cashflow Summary C19RM'!$D$5:$D$239=E334)*('Cashflow Summary C19RM'!$AD$5:$AD$239)))</f>
        <v>0</v>
      </c>
      <c r="Z334" s="633" cm="1">
        <f t="array" ref="Z334">$X334*(SUMPRODUCT(('Cashflow Summary C19RM'!$K$5:$K$239&lt;&gt;1)*('Cashflow Summary C19RM'!$D$5:$D$239=E334)*('Cashflow Summary C19RM'!$AE$5:$AE$239)))</f>
        <v>0</v>
      </c>
      <c r="AA334" s="633" cm="1">
        <f t="array" ref="AA334">$X334*(SUMPRODUCT(('Cashflow Summary C19RM'!$K$5:$K$239&lt;&gt;1)*('Cashflow Summary C19RM'!$D$5:$D$239=E334)*('Cashflow Summary C19RM'!$AF$5:$AF$239)))</f>
        <v>0</v>
      </c>
      <c r="AB334" s="630" cm="1">
        <f t="array" ref="AB334">$X334*(SUMPRODUCT(('Cashflow Summary C19RM'!$K$5:$K$239&lt;&gt;1)*('Cashflow Summary C19RM'!$D$5:$D$239=E334)*('Cashflow Summary C19RM'!$AG$5:$AG$239)))</f>
        <v>0</v>
      </c>
      <c r="AC334" s="634">
        <f t="shared" si="141"/>
        <v>0</v>
      </c>
      <c r="AD334" s="686">
        <f t="shared" si="142"/>
        <v>0</v>
      </c>
      <c r="AE334" s="628" cm="1">
        <f t="array" ref="AE334">$AD334*(SUMPRODUCT(('Cashflow Summary C19RM'!$K$5:$K$239&lt;&gt;1)*('Cashflow Summary C19RM'!$D$5:$D$239=E334)*('Cashflow Summary C19RM'!$AH$5:$AH$239)))</f>
        <v>0</v>
      </c>
      <c r="AF334" s="633" cm="1">
        <f t="array" ref="AF334">$AD334*(SUMPRODUCT(('Cashflow Summary C19RM'!$K$5:$K$239&lt;&gt;1)*('Cashflow Summary C19RM'!$D$5:$D$239=E334)*('Cashflow Summary C19RM'!$AI$5:$AI$239)))</f>
        <v>0</v>
      </c>
      <c r="AG334" s="633" cm="1">
        <f t="array" ref="AG334">$AD334*(SUMPRODUCT(('Cashflow Summary C19RM'!$K$5:$K$239&lt;&gt;1)*('Cashflow Summary C19RM'!$D$5:$D$239=E334)*('Cashflow Summary C19RM'!$AJ$5:$AJ$239)))</f>
        <v>0</v>
      </c>
      <c r="AH334" s="633" cm="1">
        <f t="array" ref="AH334">$AD334*(SUMPRODUCT(('Cashflow Summary C19RM'!$K$5:$K$239&lt;&gt;1)*('Cashflow Summary C19RM'!$D$5:$D$239=E334)*('Cashflow Summary C19RM'!$AK$5:$AO$239)))</f>
        <v>0</v>
      </c>
      <c r="AI334" s="634">
        <f t="shared" si="143"/>
        <v>0</v>
      </c>
      <c r="AJ334" s="875">
        <v>0</v>
      </c>
      <c r="AK334" s="872"/>
      <c r="AL334" s="873"/>
      <c r="AM334" s="873"/>
      <c r="AN334" s="873"/>
      <c r="AO334" s="874"/>
      <c r="AP334" s="635">
        <f t="shared" si="150"/>
        <v>0</v>
      </c>
      <c r="AQ334" s="636">
        <v>7.7</v>
      </c>
      <c r="AR334" s="707"/>
      <c r="AS334" s="310"/>
      <c r="AV334" s="228">
        <f t="shared" si="144"/>
        <v>0</v>
      </c>
      <c r="AW334" s="228">
        <f t="shared" si="145"/>
        <v>0</v>
      </c>
      <c r="AX334" s="228">
        <f t="shared" si="146"/>
        <v>0</v>
      </c>
      <c r="AY334" s="228">
        <f t="shared" si="147"/>
        <v>0</v>
      </c>
      <c r="AZ334" s="228">
        <f t="shared" si="148"/>
        <v>0</v>
      </c>
      <c r="BA334" s="228"/>
      <c r="BC334" s="345" cm="1">
        <f t="array" ref="BC334">IF(BM334&gt;=1,0,IFERROR(SUMPRODUCT(($G$11:$AH$11=$BC$16)*($G334:$AH334)),0))</f>
        <v>0</v>
      </c>
      <c r="BD334" s="345" cm="1">
        <f t="array" ref="BD334">IF(BM334&gt;=1,0,IFERROR(SUMPRODUCT(($G$11:$AH$11=$BD$16)*($G334:$AH334)),0))</f>
        <v>0</v>
      </c>
      <c r="BE334" s="345" cm="1">
        <f t="array" ref="BE334">IF(BM334&gt;=1,0,IFERROR(SUMPRODUCT(($G$11:$AH$11=$BE$16)*($G334:$AH334)),0))</f>
        <v>0</v>
      </c>
      <c r="BF334" s="345" cm="1">
        <f t="array" ref="BF334">IF(BM334&gt;=1,0,IFERROR(SUMPRODUCT(($G$11:$AH$11=$BF$16)*($G334:$AH334)),0))</f>
        <v>0</v>
      </c>
      <c r="BG334" s="345" cm="1">
        <f t="array" ref="BG334">IF(BM334&gt;=1,0,IFERROR(SUMPRODUCT(($G$11:$AH$11=$BG$16)*($G334:$AH334)),0))</f>
        <v>0</v>
      </c>
      <c r="BH334" s="345"/>
      <c r="BI334" s="343">
        <f t="shared" si="151"/>
        <v>0</v>
      </c>
      <c r="BJ334" s="230" t="s">
        <v>83</v>
      </c>
      <c r="BK334" cm="1">
        <f t="array" ref="BK334">(SUMPRODUCT(('Cashflow Summary C19RM'!$D$5:$D$451=E334)*('Cashflow Summary C19RM'!$BD$5:$BD$451)))</f>
        <v>0</v>
      </c>
      <c r="BL334" cm="1">
        <f t="array" ref="BL334">(SUMPRODUCT((SETUP!$D$20:$D$67=E334)*(SETUP!$R$20:$R$67)))</f>
        <v>0</v>
      </c>
      <c r="BM334" s="89">
        <f t="shared" si="149"/>
        <v>0</v>
      </c>
    </row>
    <row r="335" spans="2:97" s="89" customFormat="1" ht="15" customHeight="1" x14ac:dyDescent="0.35">
      <c r="B335" s="211" t="s">
        <v>749</v>
      </c>
      <c r="C335" s="699" t="s">
        <v>2750</v>
      </c>
      <c r="D335" s="1314"/>
      <c r="E335" s="1010" t="s">
        <v>29</v>
      </c>
      <c r="F335" s="697">
        <v>0</v>
      </c>
      <c r="G335" s="628" cm="1">
        <f t="array" ref="G335">$F335*(SUMPRODUCT(('Cashflow Summary C19RM'!$K$5:$K$239&lt;&gt;1)*('Cashflow Summary C19RM'!$D$5:$D$239=E335)*('Cashflow Summary C19RM'!$R$5:$R$239)))</f>
        <v>0</v>
      </c>
      <c r="H335" s="629" cm="1">
        <f t="array" ref="H335">$F335*(SUMPRODUCT(('Cashflow Summary C19RM'!$K$5:$K$239&lt;&gt;1)*('Cashflow Summary C19RM'!$D$5:$D$239=E335)*('Cashflow Summary C19RM'!$S$5:$S$239)))</f>
        <v>0</v>
      </c>
      <c r="I335" s="630" cm="1">
        <f t="array" ref="I335">$F335*(SUMPRODUCT(('Cashflow Summary C19RM'!$K$5:$K$239&lt;&gt;1)*('Cashflow Summary C19RM'!$D$5:$D$239=E335)*('Cashflow Summary C19RM'!$T$5:$T$239)))</f>
        <v>0</v>
      </c>
      <c r="J335" s="630" cm="1">
        <f t="array" ref="J335">$F335*(SUMPRODUCT(('Cashflow Summary C19RM'!$K$5:$K$239&lt;&gt;1)*('Cashflow Summary C19RM'!$D$5:$D$239=E335)*('Cashflow Summary C19RM'!$U$5:$U$239)))</f>
        <v>0</v>
      </c>
      <c r="K335" s="631">
        <f t="shared" si="135"/>
        <v>0</v>
      </c>
      <c r="L335" s="686">
        <f t="shared" si="136"/>
        <v>0</v>
      </c>
      <c r="M335" s="630" cm="1">
        <f t="array" ref="M335">$L335*(SUMPRODUCT(('Cashflow Summary C19RM'!$K$5:$K$239&lt;&gt;1)*('Cashflow Summary C19RM'!$D$5:$D$239=E335)*('Cashflow Summary C19RM'!$V$5:$V$239)))</f>
        <v>0</v>
      </c>
      <c r="N335" s="630" cm="1">
        <f t="array" ref="N335">$L335*(SUMPRODUCT(('Cashflow Summary C19RM'!$K$5:$K$239&lt;&gt;1)*('Cashflow Summary C19RM'!$D$5:$D$239=E335)*('Cashflow Summary C19RM'!$W$5:$W$239)))</f>
        <v>0</v>
      </c>
      <c r="O335" s="630" cm="1">
        <f t="array" ref="O335">$L335*(SUMPRODUCT(('Cashflow Summary C19RM'!$K$5:$K$239&lt;&gt;1)*('Cashflow Summary C19RM'!$D$5:$D$239=E335)*('Cashflow Summary C19RM'!$X$5:$X$239)))</f>
        <v>0</v>
      </c>
      <c r="P335" s="630" cm="1">
        <f t="array" ref="P335">$L335*(SUMPRODUCT(('Cashflow Summary C19RM'!$K$5:$K$239&lt;&gt;1)*('Cashflow Summary C19RM'!$D$5:$D$239=E335)*('Cashflow Summary C19RM'!$Y$5:$Y$239)))</f>
        <v>0</v>
      </c>
      <c r="Q335" s="632">
        <f t="shared" si="137"/>
        <v>0</v>
      </c>
      <c r="R335" s="686">
        <f t="shared" si="138"/>
        <v>0</v>
      </c>
      <c r="S335" s="633" cm="1">
        <f t="array" ref="S335">$R335*(SUMPRODUCT(('Cashflow Summary C19RM'!$K$5:$K$239&lt;&gt;1)*('Cashflow Summary C19RM'!$D$5:$D$239=E335)*('Cashflow Summary C19RM'!$Z$5:$Z$239)))</f>
        <v>0</v>
      </c>
      <c r="T335" s="633" cm="1">
        <f t="array" ref="T335">$R335*(SUMPRODUCT(('Cashflow Summary C19RM'!$K$5:$K$239&lt;&gt;1)*('Cashflow Summary C19RM'!$D$5:$D$239=E335)*('Cashflow Summary C19RM'!$AA$5:$AA$239)))</f>
        <v>0</v>
      </c>
      <c r="U335" s="633" cm="1">
        <f t="array" ref="U335">$R335*(SUMPRODUCT(('Cashflow Summary C19RM'!$K$5:$K$239&lt;&gt;1)*('Cashflow Summary C19RM'!$D$5:$D$239=E335)*('Cashflow Summary C19RM'!$AB$5:$AB$239)))</f>
        <v>0</v>
      </c>
      <c r="V335" s="633" cm="1">
        <f t="array" ref="V335">$R335*(SUMPRODUCT(('Cashflow Summary C19RM'!$K$5:$K$239&lt;&gt;1)*('Cashflow Summary C19RM'!$D$5:$D$239=E335)*('Cashflow Summary C19RM'!$AC$5:$AC$239)))</f>
        <v>0</v>
      </c>
      <c r="W335" s="634">
        <f t="shared" si="139"/>
        <v>0</v>
      </c>
      <c r="X335" s="686">
        <f t="shared" si="140"/>
        <v>0</v>
      </c>
      <c r="Y335" s="633" cm="1">
        <f t="array" ref="Y335">$X335*(SUMPRODUCT(('Cashflow Summary C19RM'!$K$5:$K$239&lt;&gt;1)*('Cashflow Summary C19RM'!$D$5:$D$239=E335)*('Cashflow Summary C19RM'!$AD$5:$AD$239)))</f>
        <v>0</v>
      </c>
      <c r="Z335" s="633" cm="1">
        <f t="array" ref="Z335">$X335*(SUMPRODUCT(('Cashflow Summary C19RM'!$K$5:$K$239&lt;&gt;1)*('Cashflow Summary C19RM'!$D$5:$D$239=E335)*('Cashflow Summary C19RM'!$AE$5:$AE$239)))</f>
        <v>0</v>
      </c>
      <c r="AA335" s="633" cm="1">
        <f t="array" ref="AA335">$X335*(SUMPRODUCT(('Cashflow Summary C19RM'!$K$5:$K$239&lt;&gt;1)*('Cashflow Summary C19RM'!$D$5:$D$239=E335)*('Cashflow Summary C19RM'!$AF$5:$AF$239)))</f>
        <v>0</v>
      </c>
      <c r="AB335" s="630" cm="1">
        <f t="array" ref="AB335">$X335*(SUMPRODUCT(('Cashflow Summary C19RM'!$K$5:$K$239&lt;&gt;1)*('Cashflow Summary C19RM'!$D$5:$D$239=E335)*('Cashflow Summary C19RM'!$AG$5:$AG$239)))</f>
        <v>0</v>
      </c>
      <c r="AC335" s="634">
        <f t="shared" si="141"/>
        <v>0</v>
      </c>
      <c r="AD335" s="686">
        <f t="shared" si="142"/>
        <v>0</v>
      </c>
      <c r="AE335" s="628" cm="1">
        <f t="array" ref="AE335">$AD335*(SUMPRODUCT(('Cashflow Summary C19RM'!$K$5:$K$239&lt;&gt;1)*('Cashflow Summary C19RM'!$D$5:$D$239=E335)*('Cashflow Summary C19RM'!$AH$5:$AH$239)))</f>
        <v>0</v>
      </c>
      <c r="AF335" s="633" cm="1">
        <f t="array" ref="AF335">$AD335*(SUMPRODUCT(('Cashflow Summary C19RM'!$K$5:$K$239&lt;&gt;1)*('Cashflow Summary C19RM'!$D$5:$D$239=E335)*('Cashflow Summary C19RM'!$AI$5:$AI$239)))</f>
        <v>0</v>
      </c>
      <c r="AG335" s="633" cm="1">
        <f t="array" ref="AG335">$AD335*(SUMPRODUCT(('Cashflow Summary C19RM'!$K$5:$K$239&lt;&gt;1)*('Cashflow Summary C19RM'!$D$5:$D$239=E335)*('Cashflow Summary C19RM'!$AJ$5:$AJ$239)))</f>
        <v>0</v>
      </c>
      <c r="AH335" s="633" cm="1">
        <f t="array" ref="AH335">$AD335*(SUMPRODUCT(('Cashflow Summary C19RM'!$K$5:$K$239&lt;&gt;1)*('Cashflow Summary C19RM'!$D$5:$D$239=E335)*('Cashflow Summary C19RM'!$AK$5:$AO$239)))</f>
        <v>0</v>
      </c>
      <c r="AI335" s="634">
        <f t="shared" si="143"/>
        <v>0</v>
      </c>
      <c r="AJ335" s="875">
        <v>0</v>
      </c>
      <c r="AK335" s="872"/>
      <c r="AL335" s="873"/>
      <c r="AM335" s="873"/>
      <c r="AN335" s="873"/>
      <c r="AO335" s="874"/>
      <c r="AP335" s="635">
        <f t="shared" si="150"/>
        <v>0</v>
      </c>
      <c r="AQ335" s="636">
        <v>7.7</v>
      </c>
      <c r="AR335" s="707"/>
      <c r="AS335" s="726"/>
      <c r="AV335" s="228">
        <f t="shared" si="144"/>
        <v>0</v>
      </c>
      <c r="AW335" s="228">
        <f t="shared" si="145"/>
        <v>0</v>
      </c>
      <c r="AX335" s="228">
        <f t="shared" si="146"/>
        <v>0</v>
      </c>
      <c r="AY335" s="228">
        <f t="shared" si="147"/>
        <v>0</v>
      </c>
      <c r="AZ335" s="228">
        <f t="shared" si="148"/>
        <v>0</v>
      </c>
      <c r="BA335" s="228"/>
      <c r="BC335" s="345" cm="1">
        <f t="array" ref="BC335">IF(BM335&gt;=1,0,IFERROR(SUMPRODUCT(($G$11:$AH$11=$BC$16)*($G335:$AH335)),0))</f>
        <v>0</v>
      </c>
      <c r="BD335" s="345" cm="1">
        <f t="array" ref="BD335">IF(BM335&gt;=1,0,IFERROR(SUMPRODUCT(($G$11:$AH$11=$BD$16)*($G335:$AH335)),0))</f>
        <v>0</v>
      </c>
      <c r="BE335" s="345" cm="1">
        <f t="array" ref="BE335">IF(BM335&gt;=1,0,IFERROR(SUMPRODUCT(($G$11:$AH$11=$BE$16)*($G335:$AH335)),0))</f>
        <v>0</v>
      </c>
      <c r="BF335" s="345" cm="1">
        <f t="array" ref="BF335">IF(BM335&gt;=1,0,IFERROR(SUMPRODUCT(($G$11:$AH$11=$BF$16)*($G335:$AH335)),0))</f>
        <v>0</v>
      </c>
      <c r="BG335" s="345" cm="1">
        <f t="array" ref="BG335">IF(BM335&gt;=1,0,IFERROR(SUMPRODUCT(($G$11:$AH$11=$BG$16)*($G335:$AH335)),0))</f>
        <v>0</v>
      </c>
      <c r="BH335" s="345"/>
      <c r="BI335" s="343">
        <f t="shared" si="151"/>
        <v>0</v>
      </c>
      <c r="BJ335" s="230" t="s">
        <v>83</v>
      </c>
      <c r="BK335" cm="1">
        <f t="array" ref="BK335">(SUMPRODUCT(('Cashflow Summary C19RM'!$D$5:$D$451=E335)*('Cashflow Summary C19RM'!$BD$5:$BD$451)))</f>
        <v>0</v>
      </c>
      <c r="BL335" cm="1">
        <f t="array" ref="BL335">(SUMPRODUCT((SETUP!$D$20:$D$67=E335)*(SETUP!$R$20:$R$67)))</f>
        <v>0</v>
      </c>
      <c r="BM335" s="89">
        <f t="shared" si="149"/>
        <v>0</v>
      </c>
    </row>
    <row r="336" spans="2:97" s="89" customFormat="1" ht="15" customHeight="1" x14ac:dyDescent="0.35">
      <c r="B336" s="211" t="s">
        <v>749</v>
      </c>
      <c r="C336" s="699" t="s">
        <v>2750</v>
      </c>
      <c r="D336" s="1314"/>
      <c r="E336" s="1010" t="s">
        <v>30</v>
      </c>
      <c r="F336" s="697">
        <v>0</v>
      </c>
      <c r="G336" s="628" cm="1">
        <f t="array" ref="G336">$F336*(SUMPRODUCT(('Cashflow Summary C19RM'!$K$5:$K$239&lt;&gt;1)*('Cashflow Summary C19RM'!$D$5:$D$239=E336)*('Cashflow Summary C19RM'!$R$5:$R$239)))</f>
        <v>0</v>
      </c>
      <c r="H336" s="629" cm="1">
        <f t="array" ref="H336">$F336*(SUMPRODUCT(('Cashflow Summary C19RM'!$K$5:$K$239&lt;&gt;1)*('Cashflow Summary C19RM'!$D$5:$D$239=E336)*('Cashflow Summary C19RM'!$S$5:$S$239)))</f>
        <v>0</v>
      </c>
      <c r="I336" s="630" cm="1">
        <f t="array" ref="I336">$F336*(SUMPRODUCT(('Cashflow Summary C19RM'!$K$5:$K$239&lt;&gt;1)*('Cashflow Summary C19RM'!$D$5:$D$239=E336)*('Cashflow Summary C19RM'!$T$5:$T$239)))</f>
        <v>0</v>
      </c>
      <c r="J336" s="630" cm="1">
        <f t="array" ref="J336">$F336*(SUMPRODUCT(('Cashflow Summary C19RM'!$K$5:$K$239&lt;&gt;1)*('Cashflow Summary C19RM'!$D$5:$D$239=E336)*('Cashflow Summary C19RM'!$U$5:$U$239)))</f>
        <v>0</v>
      </c>
      <c r="K336" s="631">
        <f t="shared" si="135"/>
        <v>0</v>
      </c>
      <c r="L336" s="686">
        <f t="shared" si="136"/>
        <v>0</v>
      </c>
      <c r="M336" s="630" cm="1">
        <f t="array" ref="M336">$L336*(SUMPRODUCT(('Cashflow Summary C19RM'!$K$5:$K$239&lt;&gt;1)*('Cashflow Summary C19RM'!$D$5:$D$239=E336)*('Cashflow Summary C19RM'!$V$5:$V$239)))</f>
        <v>0</v>
      </c>
      <c r="N336" s="630" cm="1">
        <f t="array" ref="N336">$L336*(SUMPRODUCT(('Cashflow Summary C19RM'!$K$5:$K$239&lt;&gt;1)*('Cashflow Summary C19RM'!$D$5:$D$239=E336)*('Cashflow Summary C19RM'!$W$5:$W$239)))</f>
        <v>0</v>
      </c>
      <c r="O336" s="630" cm="1">
        <f t="array" ref="O336">$L336*(SUMPRODUCT(('Cashflow Summary C19RM'!$K$5:$K$239&lt;&gt;1)*('Cashflow Summary C19RM'!$D$5:$D$239=E336)*('Cashflow Summary C19RM'!$X$5:$X$239)))</f>
        <v>0</v>
      </c>
      <c r="P336" s="630" cm="1">
        <f t="array" ref="P336">$L336*(SUMPRODUCT(('Cashflow Summary C19RM'!$K$5:$K$239&lt;&gt;1)*('Cashflow Summary C19RM'!$D$5:$D$239=E336)*('Cashflow Summary C19RM'!$Y$5:$Y$239)))</f>
        <v>0</v>
      </c>
      <c r="Q336" s="632">
        <f t="shared" si="137"/>
        <v>0</v>
      </c>
      <c r="R336" s="686">
        <f t="shared" si="138"/>
        <v>0</v>
      </c>
      <c r="S336" s="633" cm="1">
        <f t="array" ref="S336">$R336*(SUMPRODUCT(('Cashflow Summary C19RM'!$K$5:$K$239&lt;&gt;1)*('Cashflow Summary C19RM'!$D$5:$D$239=E336)*('Cashflow Summary C19RM'!$Z$5:$Z$239)))</f>
        <v>0</v>
      </c>
      <c r="T336" s="633" cm="1">
        <f t="array" ref="T336">$R336*(SUMPRODUCT(('Cashflow Summary C19RM'!$K$5:$K$239&lt;&gt;1)*('Cashflow Summary C19RM'!$D$5:$D$239=E336)*('Cashflow Summary C19RM'!$AA$5:$AA$239)))</f>
        <v>0</v>
      </c>
      <c r="U336" s="633" cm="1">
        <f t="array" ref="U336">$R336*(SUMPRODUCT(('Cashflow Summary C19RM'!$K$5:$K$239&lt;&gt;1)*('Cashflow Summary C19RM'!$D$5:$D$239=E336)*('Cashflow Summary C19RM'!$AB$5:$AB$239)))</f>
        <v>0</v>
      </c>
      <c r="V336" s="633" cm="1">
        <f t="array" ref="V336">$R336*(SUMPRODUCT(('Cashflow Summary C19RM'!$K$5:$K$239&lt;&gt;1)*('Cashflow Summary C19RM'!$D$5:$D$239=E336)*('Cashflow Summary C19RM'!$AC$5:$AC$239)))</f>
        <v>0</v>
      </c>
      <c r="W336" s="634">
        <f t="shared" si="139"/>
        <v>0</v>
      </c>
      <c r="X336" s="686">
        <f t="shared" si="140"/>
        <v>0</v>
      </c>
      <c r="Y336" s="633" cm="1">
        <f t="array" ref="Y336">$X336*(SUMPRODUCT(('Cashflow Summary C19RM'!$K$5:$K$239&lt;&gt;1)*('Cashflow Summary C19RM'!$D$5:$D$239=E336)*('Cashflow Summary C19RM'!$AD$5:$AD$239)))</f>
        <v>0</v>
      </c>
      <c r="Z336" s="633" cm="1">
        <f t="array" ref="Z336">$X336*(SUMPRODUCT(('Cashflow Summary C19RM'!$K$5:$K$239&lt;&gt;1)*('Cashflow Summary C19RM'!$D$5:$D$239=E336)*('Cashflow Summary C19RM'!$AE$5:$AE$239)))</f>
        <v>0</v>
      </c>
      <c r="AA336" s="633" cm="1">
        <f t="array" ref="AA336">$X336*(SUMPRODUCT(('Cashflow Summary C19RM'!$K$5:$K$239&lt;&gt;1)*('Cashflow Summary C19RM'!$D$5:$D$239=E336)*('Cashflow Summary C19RM'!$AF$5:$AF$239)))</f>
        <v>0</v>
      </c>
      <c r="AB336" s="630" cm="1">
        <f t="array" ref="AB336">$X336*(SUMPRODUCT(('Cashflow Summary C19RM'!$K$5:$K$239&lt;&gt;1)*('Cashflow Summary C19RM'!$D$5:$D$239=E336)*('Cashflow Summary C19RM'!$AG$5:$AG$239)))</f>
        <v>0</v>
      </c>
      <c r="AC336" s="634">
        <f t="shared" si="141"/>
        <v>0</v>
      </c>
      <c r="AD336" s="686">
        <f t="shared" si="142"/>
        <v>0</v>
      </c>
      <c r="AE336" s="628" cm="1">
        <f t="array" ref="AE336">$AD336*(SUMPRODUCT(('Cashflow Summary C19RM'!$K$5:$K$239&lt;&gt;1)*('Cashflow Summary C19RM'!$D$5:$D$239=E336)*('Cashflow Summary C19RM'!$AH$5:$AH$239)))</f>
        <v>0</v>
      </c>
      <c r="AF336" s="633" cm="1">
        <f t="array" ref="AF336">$AD336*(SUMPRODUCT(('Cashflow Summary C19RM'!$K$5:$K$239&lt;&gt;1)*('Cashflow Summary C19RM'!$D$5:$D$239=E336)*('Cashflow Summary C19RM'!$AI$5:$AI$239)))</f>
        <v>0</v>
      </c>
      <c r="AG336" s="633" cm="1">
        <f t="array" ref="AG336">$AD336*(SUMPRODUCT(('Cashflow Summary C19RM'!$K$5:$K$239&lt;&gt;1)*('Cashflow Summary C19RM'!$D$5:$D$239=E336)*('Cashflow Summary C19RM'!$AJ$5:$AJ$239)))</f>
        <v>0</v>
      </c>
      <c r="AH336" s="633" cm="1">
        <f t="array" ref="AH336">$AD336*(SUMPRODUCT(('Cashflow Summary C19RM'!$K$5:$K$239&lt;&gt;1)*('Cashflow Summary C19RM'!$D$5:$D$239=E336)*('Cashflow Summary C19RM'!$AK$5:$AO$239)))</f>
        <v>0</v>
      </c>
      <c r="AI336" s="634">
        <f t="shared" si="143"/>
        <v>0</v>
      </c>
      <c r="AJ336" s="875">
        <v>0</v>
      </c>
      <c r="AK336" s="872"/>
      <c r="AL336" s="873"/>
      <c r="AM336" s="873"/>
      <c r="AN336" s="873"/>
      <c r="AO336" s="874"/>
      <c r="AP336" s="635">
        <f t="shared" si="150"/>
        <v>0</v>
      </c>
      <c r="AQ336" s="636">
        <v>7.7</v>
      </c>
      <c r="AR336" s="707"/>
      <c r="AS336" s="726"/>
      <c r="AV336" s="228">
        <f t="shared" si="144"/>
        <v>0</v>
      </c>
      <c r="AW336" s="228">
        <f t="shared" si="145"/>
        <v>0</v>
      </c>
      <c r="AX336" s="228">
        <f t="shared" si="146"/>
        <v>0</v>
      </c>
      <c r="AY336" s="228">
        <f t="shared" si="147"/>
        <v>0</v>
      </c>
      <c r="AZ336" s="228">
        <f t="shared" si="148"/>
        <v>0</v>
      </c>
      <c r="BA336" s="228"/>
      <c r="BC336" s="345" cm="1">
        <f t="array" ref="BC336">IF(BM336&gt;=1,0,IFERROR(SUMPRODUCT(($G$11:$AH$11=$BC$16)*($G336:$AH336)),0))</f>
        <v>0</v>
      </c>
      <c r="BD336" s="345" cm="1">
        <f t="array" ref="BD336">IF(BM336&gt;=1,0,IFERROR(SUMPRODUCT(($G$11:$AH$11=$BD$16)*($G336:$AH336)),0))</f>
        <v>0</v>
      </c>
      <c r="BE336" s="345" cm="1">
        <f t="array" ref="BE336">IF(BM336&gt;=1,0,IFERROR(SUMPRODUCT(($G$11:$AH$11=$BE$16)*($G336:$AH336)),0))</f>
        <v>0</v>
      </c>
      <c r="BF336" s="345" cm="1">
        <f t="array" ref="BF336">IF(BM336&gt;=1,0,IFERROR(SUMPRODUCT(($G$11:$AH$11=$BF$16)*($G336:$AH336)),0))</f>
        <v>0</v>
      </c>
      <c r="BG336" s="345" cm="1">
        <f t="array" ref="BG336">IF(BM336&gt;=1,0,IFERROR(SUMPRODUCT(($G$11:$AH$11=$BG$16)*($G336:$AH336)),0))</f>
        <v>0</v>
      </c>
      <c r="BH336" s="345"/>
      <c r="BI336" s="343">
        <f t="shared" si="151"/>
        <v>0</v>
      </c>
      <c r="BJ336" s="230" t="s">
        <v>83</v>
      </c>
      <c r="BK336" cm="1">
        <f t="array" ref="BK336">(SUMPRODUCT(('Cashflow Summary C19RM'!$D$5:$D$451=E336)*('Cashflow Summary C19RM'!$BD$5:$BD$451)))</f>
        <v>0</v>
      </c>
      <c r="BL336" cm="1">
        <f t="array" ref="BL336">(SUMPRODUCT((SETUP!$D$20:$D$67=E336)*(SETUP!$R$20:$R$67)))</f>
        <v>0</v>
      </c>
      <c r="BM336" s="89">
        <f t="shared" si="149"/>
        <v>0</v>
      </c>
    </row>
    <row r="337" spans="1:97" s="89" customFormat="1" ht="15" customHeight="1" thickBot="1" x14ac:dyDescent="0.4">
      <c r="B337" s="211" t="s">
        <v>749</v>
      </c>
      <c r="C337" s="699" t="s">
        <v>2750</v>
      </c>
      <c r="D337" s="1315"/>
      <c r="E337" s="1011" t="s">
        <v>31</v>
      </c>
      <c r="F337" s="720">
        <v>0</v>
      </c>
      <c r="G337" s="709" cm="1">
        <f t="array" ref="G337">$F337*(SUMPRODUCT(('Cashflow Summary C19RM'!$K$5:$K$239&lt;&gt;1)*('Cashflow Summary C19RM'!$D$5:$D$239=E337)*('Cashflow Summary C19RM'!$R$5:$R$239)))</f>
        <v>0</v>
      </c>
      <c r="H337" s="1005" cm="1">
        <f t="array" ref="H337">$F337*(SUMPRODUCT(('Cashflow Summary C19RM'!$K$5:$K$239&lt;&gt;1)*('Cashflow Summary C19RM'!$D$5:$D$239=E337)*('Cashflow Summary C19RM'!$S$5:$S$239)))</f>
        <v>0</v>
      </c>
      <c r="I337" s="989" cm="1">
        <f t="array" ref="I337">$F337*(SUMPRODUCT(('Cashflow Summary C19RM'!$K$5:$K$239&lt;&gt;1)*('Cashflow Summary C19RM'!$D$5:$D$239=E337)*('Cashflow Summary C19RM'!$T$5:$T$239)))</f>
        <v>0</v>
      </c>
      <c r="J337" s="989" cm="1">
        <f t="array" ref="J337">$F337*(SUMPRODUCT(('Cashflow Summary C19RM'!$K$5:$K$239&lt;&gt;1)*('Cashflow Summary C19RM'!$D$5:$D$239=E337)*('Cashflow Summary C19RM'!$U$5:$U$239)))</f>
        <v>0</v>
      </c>
      <c r="K337" s="712">
        <f t="shared" si="135"/>
        <v>0</v>
      </c>
      <c r="L337" s="711">
        <f t="shared" si="136"/>
        <v>0</v>
      </c>
      <c r="M337" s="989" cm="1">
        <f t="array" ref="M337">$L337*(SUMPRODUCT(('Cashflow Summary C19RM'!$K$5:$K$239&lt;&gt;1)*('Cashflow Summary C19RM'!$D$5:$D$239=E337)*('Cashflow Summary C19RM'!$V$5:$V$239)))</f>
        <v>0</v>
      </c>
      <c r="N337" s="989" cm="1">
        <f t="array" ref="N337">$L337*(SUMPRODUCT(('Cashflow Summary C19RM'!$K$5:$K$239&lt;&gt;1)*('Cashflow Summary C19RM'!$D$5:$D$239=E337)*('Cashflow Summary C19RM'!$W$5:$W$239)))</f>
        <v>0</v>
      </c>
      <c r="O337" s="989" cm="1">
        <f t="array" ref="O337">$L337*(SUMPRODUCT(('Cashflow Summary C19RM'!$K$5:$K$239&lt;&gt;1)*('Cashflow Summary C19RM'!$D$5:$D$239=E337)*('Cashflow Summary C19RM'!$X$5:$X$239)))</f>
        <v>0</v>
      </c>
      <c r="P337" s="989" cm="1">
        <f t="array" ref="P337">$L337*(SUMPRODUCT(('Cashflow Summary C19RM'!$K$5:$K$239&lt;&gt;1)*('Cashflow Summary C19RM'!$D$5:$D$239=E337)*('Cashflow Summary C19RM'!$Y$5:$Y$239)))</f>
        <v>0</v>
      </c>
      <c r="Q337" s="710">
        <f t="shared" si="137"/>
        <v>0</v>
      </c>
      <c r="R337" s="711">
        <f t="shared" si="138"/>
        <v>0</v>
      </c>
      <c r="S337" s="704" cm="1">
        <f t="array" ref="S337">$R337*(SUMPRODUCT(('Cashflow Summary C19RM'!$K$5:$K$239&lt;&gt;1)*('Cashflow Summary C19RM'!$D$5:$D$239=E337)*('Cashflow Summary C19RM'!$Z$5:$Z$239)))</f>
        <v>0</v>
      </c>
      <c r="T337" s="704" cm="1">
        <f t="array" ref="T337">$R337*(SUMPRODUCT(('Cashflow Summary C19RM'!$K$5:$K$239&lt;&gt;1)*('Cashflow Summary C19RM'!$D$5:$D$239=E337)*('Cashflow Summary C19RM'!$AA$5:$AA$239)))</f>
        <v>0</v>
      </c>
      <c r="U337" s="704" cm="1">
        <f t="array" ref="U337">$R337*(SUMPRODUCT(('Cashflow Summary C19RM'!$K$5:$K$239&lt;&gt;1)*('Cashflow Summary C19RM'!$D$5:$D$239=E337)*('Cashflow Summary C19RM'!$AB$5:$AB$239)))</f>
        <v>0</v>
      </c>
      <c r="V337" s="704" cm="1">
        <f t="array" ref="V337">$R337*(SUMPRODUCT(('Cashflow Summary C19RM'!$K$5:$K$239&lt;&gt;1)*('Cashflow Summary C19RM'!$D$5:$D$239=E337)*('Cashflow Summary C19RM'!$AC$5:$AC$239)))</f>
        <v>0</v>
      </c>
      <c r="W337" s="993">
        <f t="shared" si="139"/>
        <v>0</v>
      </c>
      <c r="X337" s="711">
        <f t="shared" si="140"/>
        <v>0</v>
      </c>
      <c r="Y337" s="704" cm="1">
        <f t="array" ref="Y337">$X337*(SUMPRODUCT(('Cashflow Summary C19RM'!$K$5:$K$239&lt;&gt;1)*('Cashflow Summary C19RM'!$D$5:$D$239=E337)*('Cashflow Summary C19RM'!$AD$5:$AD$239)))</f>
        <v>0</v>
      </c>
      <c r="Z337" s="704" cm="1">
        <f t="array" ref="Z337">$X337*(SUMPRODUCT(('Cashflow Summary C19RM'!$K$5:$K$239&lt;&gt;1)*('Cashflow Summary C19RM'!$D$5:$D$239=E337)*('Cashflow Summary C19RM'!$AE$5:$AE$239)))</f>
        <v>0</v>
      </c>
      <c r="AA337" s="704" cm="1">
        <f t="array" ref="AA337">$X337*(SUMPRODUCT(('Cashflow Summary C19RM'!$K$5:$K$239&lt;&gt;1)*('Cashflow Summary C19RM'!$D$5:$D$239=E337)*('Cashflow Summary C19RM'!$AF$5:$AF$239)))</f>
        <v>0</v>
      </c>
      <c r="AB337" s="989" cm="1">
        <f t="array" ref="AB337">$X337*(SUMPRODUCT(('Cashflow Summary C19RM'!$K$5:$K$239&lt;&gt;1)*('Cashflow Summary C19RM'!$D$5:$D$239=E337)*('Cashflow Summary C19RM'!$AG$5:$AG$239)))</f>
        <v>0</v>
      </c>
      <c r="AC337" s="993">
        <f t="shared" si="141"/>
        <v>0</v>
      </c>
      <c r="AD337" s="711">
        <f t="shared" si="142"/>
        <v>0</v>
      </c>
      <c r="AE337" s="709" cm="1">
        <f t="array" ref="AE337">$AD337*(SUMPRODUCT(('Cashflow Summary C19RM'!$K$5:$K$239&lt;&gt;1)*('Cashflow Summary C19RM'!$D$5:$D$239=E337)*('Cashflow Summary C19RM'!$AH$5:$AH$239)))</f>
        <v>0</v>
      </c>
      <c r="AF337" s="704" cm="1">
        <f t="array" ref="AF337">$AD337*(SUMPRODUCT(('Cashflow Summary C19RM'!$K$5:$K$239&lt;&gt;1)*('Cashflow Summary C19RM'!$D$5:$D$239=E337)*('Cashflow Summary C19RM'!$AI$5:$AI$239)))</f>
        <v>0</v>
      </c>
      <c r="AG337" s="704" cm="1">
        <f t="array" ref="AG337">$AD337*(SUMPRODUCT(('Cashflow Summary C19RM'!$K$5:$K$239&lt;&gt;1)*('Cashflow Summary C19RM'!$D$5:$D$239=E337)*('Cashflow Summary C19RM'!$AJ$5:$AJ$239)))</f>
        <v>0</v>
      </c>
      <c r="AH337" s="704" cm="1">
        <f t="array" ref="AH337">$AD337*(SUMPRODUCT(('Cashflow Summary C19RM'!$K$5:$K$239&lt;&gt;1)*('Cashflow Summary C19RM'!$D$5:$D$239=E337)*('Cashflow Summary C19RM'!$AK$5:$AO$239)))</f>
        <v>0</v>
      </c>
      <c r="AI337" s="993">
        <f t="shared" si="143"/>
        <v>0</v>
      </c>
      <c r="AJ337" s="990">
        <v>0</v>
      </c>
      <c r="AK337" s="1006"/>
      <c r="AL337" s="1007"/>
      <c r="AM337" s="1007"/>
      <c r="AN337" s="1007"/>
      <c r="AO337" s="1008"/>
      <c r="AP337" s="713">
        <f t="shared" si="150"/>
        <v>0</v>
      </c>
      <c r="AQ337" s="714">
        <v>7.7</v>
      </c>
      <c r="AR337" s="715"/>
      <c r="AS337" s="726" t="s">
        <v>213</v>
      </c>
      <c r="AV337" s="228">
        <f t="shared" si="144"/>
        <v>0</v>
      </c>
      <c r="AW337" s="228">
        <f t="shared" si="145"/>
        <v>0</v>
      </c>
      <c r="AX337" s="228">
        <f t="shared" si="146"/>
        <v>0</v>
      </c>
      <c r="AY337" s="228">
        <f t="shared" si="147"/>
        <v>0</v>
      </c>
      <c r="AZ337" s="228">
        <f t="shared" si="148"/>
        <v>0</v>
      </c>
      <c r="BA337" s="228"/>
      <c r="BC337" s="345" cm="1">
        <f t="array" ref="BC337">IF(BM337&gt;=1,0,IFERROR(SUMPRODUCT(($G$11:$AH$11=$BC$16)*($G337:$AH337)),0))</f>
        <v>0</v>
      </c>
      <c r="BD337" s="345" cm="1">
        <f t="array" ref="BD337">IF(BM337&gt;=1,0,IFERROR(SUMPRODUCT(($G$11:$AH$11=$BD$16)*($G337:$AH337)),0))</f>
        <v>0</v>
      </c>
      <c r="BE337" s="345" cm="1">
        <f t="array" ref="BE337">IF(BM337&gt;=1,0,IFERROR(SUMPRODUCT(($G$11:$AH$11=$BE$16)*($G337:$AH337)),0))</f>
        <v>0</v>
      </c>
      <c r="BF337" s="345" cm="1">
        <f t="array" ref="BF337">IF(BM337&gt;=1,0,IFERROR(SUMPRODUCT(($G$11:$AH$11=$BF$16)*($G337:$AH337)),0))</f>
        <v>0</v>
      </c>
      <c r="BG337" s="345" cm="1">
        <f t="array" ref="BG337">IF(BM337&gt;=1,0,IFERROR(SUMPRODUCT(($G$11:$AH$11=$BG$16)*($G337:$AH337)),0))</f>
        <v>0</v>
      </c>
      <c r="BH337" s="345"/>
      <c r="BI337" s="343">
        <f t="shared" si="151"/>
        <v>0</v>
      </c>
      <c r="BJ337" s="230" t="s">
        <v>83</v>
      </c>
      <c r="BK337" cm="1">
        <f t="array" ref="BK337">(SUMPRODUCT(('Cashflow Summary C19RM'!$D$5:$D$451=E337)*('Cashflow Summary C19RM'!$BD$5:$BD$451)))</f>
        <v>0</v>
      </c>
      <c r="BL337" cm="1">
        <f t="array" ref="BL337">(SUMPRODUCT((SETUP!$D$20:$D$67=E337)*(SETUP!$R$20:$R$67)))</f>
        <v>0</v>
      </c>
      <c r="BM337" s="89">
        <f t="shared" si="149"/>
        <v>0</v>
      </c>
    </row>
    <row r="338" spans="1:97" s="89" customFormat="1" ht="15" hidden="1" customHeight="1" x14ac:dyDescent="0.35">
      <c r="A338" s="175"/>
      <c r="B338" s="211"/>
      <c r="C338" s="290"/>
      <c r="D338" s="1004"/>
      <c r="E338" s="995"/>
      <c r="F338" s="697"/>
      <c r="G338" s="628"/>
      <c r="H338" s="633"/>
      <c r="I338" s="633"/>
      <c r="J338" s="633"/>
      <c r="K338" s="631"/>
      <c r="L338" s="686"/>
      <c r="M338" s="630"/>
      <c r="N338" s="630"/>
      <c r="O338" s="630"/>
      <c r="P338" s="630"/>
      <c r="Q338" s="632"/>
      <c r="R338" s="686"/>
      <c r="S338" s="633"/>
      <c r="T338" s="633"/>
      <c r="U338" s="633"/>
      <c r="V338" s="633"/>
      <c r="W338" s="631"/>
      <c r="X338" s="686"/>
      <c r="Y338" s="633"/>
      <c r="Z338" s="633"/>
      <c r="AA338" s="633"/>
      <c r="AB338" s="633"/>
      <c r="AC338" s="631"/>
      <c r="AD338" s="631"/>
      <c r="AE338" s="631"/>
      <c r="AF338" s="631"/>
      <c r="AG338" s="631"/>
      <c r="AH338" s="631"/>
      <c r="AI338" s="631"/>
      <c r="AJ338" s="631"/>
      <c r="AK338" s="631"/>
      <c r="AL338" s="631"/>
      <c r="AM338" s="631"/>
      <c r="AN338" s="631"/>
      <c r="AO338" s="631"/>
      <c r="AP338" s="635"/>
      <c r="AQ338" s="636"/>
      <c r="AR338" s="707"/>
      <c r="AS338" s="310"/>
      <c r="AV338" s="228"/>
      <c r="AW338" s="228"/>
      <c r="AX338" s="228"/>
      <c r="AY338" s="228"/>
      <c r="AZ338" s="228"/>
      <c r="BA338" s="228"/>
      <c r="BC338" s="345"/>
      <c r="BD338" s="345"/>
      <c r="BE338" s="345"/>
      <c r="BF338" s="345"/>
      <c r="BG338" s="345"/>
      <c r="BH338" s="345"/>
      <c r="BI338" s="343"/>
      <c r="BJ338" s="290"/>
      <c r="BK338"/>
      <c r="BL338"/>
    </row>
    <row r="339" spans="1:97" s="175" customFormat="1" ht="14.15" hidden="1" customHeight="1" x14ac:dyDescent="0.35">
      <c r="A339" s="89"/>
      <c r="B339" s="211"/>
      <c r="C339" s="293"/>
      <c r="D339" s="1285"/>
      <c r="E339" s="703"/>
      <c r="F339" s="697"/>
      <c r="G339" s="628"/>
      <c r="H339" s="633"/>
      <c r="I339" s="633"/>
      <c r="J339" s="633"/>
      <c r="K339" s="631"/>
      <c r="L339" s="686"/>
      <c r="M339" s="633"/>
      <c r="N339" s="633"/>
      <c r="O339" s="633"/>
      <c r="P339" s="633"/>
      <c r="Q339" s="632"/>
      <c r="R339" s="686"/>
      <c r="S339" s="633"/>
      <c r="T339" s="633"/>
      <c r="U339" s="633"/>
      <c r="V339" s="633"/>
      <c r="W339" s="631"/>
      <c r="X339" s="686"/>
      <c r="Y339" s="633"/>
      <c r="Z339" s="633"/>
      <c r="AA339" s="633"/>
      <c r="AB339" s="633"/>
      <c r="AC339" s="631"/>
      <c r="AD339" s="631"/>
      <c r="AE339" s="631"/>
      <c r="AF339" s="631"/>
      <c r="AG339" s="631"/>
      <c r="AH339" s="631"/>
      <c r="AI339" s="631"/>
      <c r="AJ339" s="631"/>
      <c r="AK339" s="631"/>
      <c r="AL339" s="631"/>
      <c r="AM339" s="631"/>
      <c r="AN339" s="631"/>
      <c r="AO339" s="631"/>
      <c r="AP339" s="635"/>
      <c r="AQ339" s="636"/>
      <c r="AR339" s="707"/>
      <c r="AS339" s="310"/>
      <c r="AV339" s="228"/>
      <c r="AW339" s="228"/>
      <c r="AX339" s="228"/>
      <c r="AY339" s="228"/>
      <c r="AZ339" s="228"/>
      <c r="BA339" s="228"/>
      <c r="BC339" s="345"/>
      <c r="BD339" s="345"/>
      <c r="BE339" s="345"/>
      <c r="BF339" s="345"/>
      <c r="BG339" s="345"/>
      <c r="BH339" s="345"/>
      <c r="BI339" s="343"/>
      <c r="BJ339" s="294"/>
      <c r="BK339"/>
      <c r="BL339"/>
      <c r="BM339" s="89"/>
    </row>
    <row r="340" spans="1:97" s="89" customFormat="1" ht="15" hidden="1" customHeight="1" x14ac:dyDescent="0.35">
      <c r="B340" s="211"/>
      <c r="C340" s="293"/>
      <c r="D340" s="1286"/>
      <c r="E340" s="703"/>
      <c r="F340" s="697"/>
      <c r="G340" s="638"/>
      <c r="H340" s="639"/>
      <c r="I340" s="639"/>
      <c r="J340" s="639"/>
      <c r="K340" s="631"/>
      <c r="L340" s="686"/>
      <c r="M340" s="630"/>
      <c r="N340" s="630"/>
      <c r="O340" s="630"/>
      <c r="P340" s="630"/>
      <c r="Q340" s="632"/>
      <c r="R340" s="686"/>
      <c r="S340" s="633"/>
      <c r="T340" s="633"/>
      <c r="U340" s="633"/>
      <c r="V340" s="633"/>
      <c r="W340" s="631"/>
      <c r="X340" s="686"/>
      <c r="Y340" s="633"/>
      <c r="Z340" s="633"/>
      <c r="AA340" s="633"/>
      <c r="AB340" s="633"/>
      <c r="AC340" s="631"/>
      <c r="AD340" s="631"/>
      <c r="AE340" s="631"/>
      <c r="AF340" s="631"/>
      <c r="AG340" s="631"/>
      <c r="AH340" s="631"/>
      <c r="AI340" s="631"/>
      <c r="AJ340" s="631"/>
      <c r="AK340" s="631"/>
      <c r="AL340" s="631"/>
      <c r="AM340" s="631"/>
      <c r="AN340" s="631"/>
      <c r="AO340" s="631"/>
      <c r="AP340" s="635"/>
      <c r="AQ340" s="636"/>
      <c r="AR340" s="707"/>
      <c r="AS340" s="310"/>
      <c r="AV340" s="228"/>
      <c r="AW340" s="228"/>
      <c r="AX340" s="228"/>
      <c r="AY340" s="228"/>
      <c r="AZ340" s="228"/>
      <c r="BA340" s="228"/>
      <c r="BC340" s="345"/>
      <c r="BD340" s="345"/>
      <c r="BE340" s="345"/>
      <c r="BF340" s="345"/>
      <c r="BG340" s="345"/>
      <c r="BH340" s="345"/>
      <c r="BI340" s="343"/>
      <c r="BJ340" s="294"/>
      <c r="BK340"/>
      <c r="BL340"/>
    </row>
    <row r="341" spans="1:97" s="89" customFormat="1" ht="15" hidden="1" customHeight="1" x14ac:dyDescent="0.35">
      <c r="B341" s="211"/>
      <c r="C341" s="293"/>
      <c r="D341" s="1286"/>
      <c r="E341" s="703"/>
      <c r="F341" s="697"/>
      <c r="G341" s="628"/>
      <c r="H341" s="633"/>
      <c r="I341" s="633"/>
      <c r="J341" s="633"/>
      <c r="K341" s="631"/>
      <c r="L341" s="686"/>
      <c r="M341" s="630"/>
      <c r="N341" s="630"/>
      <c r="O341" s="630"/>
      <c r="P341" s="630"/>
      <c r="Q341" s="632"/>
      <c r="R341" s="686"/>
      <c r="S341" s="633"/>
      <c r="T341" s="633"/>
      <c r="U341" s="633"/>
      <c r="V341" s="633"/>
      <c r="W341" s="631"/>
      <c r="X341" s="686"/>
      <c r="Y341" s="633"/>
      <c r="Z341" s="633"/>
      <c r="AA341" s="633"/>
      <c r="AB341" s="633"/>
      <c r="AC341" s="631"/>
      <c r="AD341" s="631"/>
      <c r="AE341" s="631"/>
      <c r="AF341" s="631"/>
      <c r="AG341" s="631"/>
      <c r="AH341" s="631"/>
      <c r="AI341" s="631"/>
      <c r="AJ341" s="631"/>
      <c r="AK341" s="631"/>
      <c r="AL341" s="631"/>
      <c r="AM341" s="631"/>
      <c r="AN341" s="631"/>
      <c r="AO341" s="631"/>
      <c r="AP341" s="635"/>
      <c r="AQ341" s="636"/>
      <c r="AR341" s="707"/>
      <c r="AS341" s="310"/>
      <c r="AV341" s="228"/>
      <c r="AW341" s="228"/>
      <c r="AX341" s="228"/>
      <c r="AY341" s="228"/>
      <c r="AZ341" s="228"/>
      <c r="BA341" s="228"/>
      <c r="BC341" s="345"/>
      <c r="BD341" s="345"/>
      <c r="BE341" s="345"/>
      <c r="BF341" s="345"/>
      <c r="BG341" s="345"/>
      <c r="BH341" s="345"/>
      <c r="BI341" s="343"/>
      <c r="BJ341" s="294"/>
      <c r="BK341"/>
      <c r="BL341"/>
    </row>
    <row r="342" spans="1:97" s="89" customFormat="1" ht="15" hidden="1" customHeight="1" x14ac:dyDescent="0.35">
      <c r="B342" s="211"/>
      <c r="C342" s="293"/>
      <c r="D342" s="1286"/>
      <c r="E342" s="703"/>
      <c r="F342" s="697"/>
      <c r="G342" s="628"/>
      <c r="H342" s="633"/>
      <c r="I342" s="633"/>
      <c r="J342" s="633"/>
      <c r="K342" s="631"/>
      <c r="L342" s="686"/>
      <c r="M342" s="633"/>
      <c r="N342" s="633"/>
      <c r="O342" s="633"/>
      <c r="P342" s="633"/>
      <c r="Q342" s="632"/>
      <c r="R342" s="686"/>
      <c r="S342" s="633"/>
      <c r="T342" s="633"/>
      <c r="U342" s="633"/>
      <c r="V342" s="633"/>
      <c r="W342" s="631"/>
      <c r="X342" s="686"/>
      <c r="Y342" s="633"/>
      <c r="Z342" s="633"/>
      <c r="AA342" s="633"/>
      <c r="AB342" s="633"/>
      <c r="AC342" s="631"/>
      <c r="AD342" s="631"/>
      <c r="AE342" s="631"/>
      <c r="AF342" s="631"/>
      <c r="AG342" s="631"/>
      <c r="AH342" s="631"/>
      <c r="AI342" s="631"/>
      <c r="AJ342" s="631"/>
      <c r="AK342" s="631"/>
      <c r="AL342" s="631"/>
      <c r="AM342" s="631"/>
      <c r="AN342" s="631"/>
      <c r="AO342" s="631"/>
      <c r="AP342" s="635"/>
      <c r="AQ342" s="636"/>
      <c r="AR342" s="707"/>
      <c r="AS342" s="310"/>
      <c r="AV342" s="228"/>
      <c r="AW342" s="228"/>
      <c r="AX342" s="228"/>
      <c r="AY342" s="228"/>
      <c r="AZ342" s="228"/>
      <c r="BA342" s="228"/>
      <c r="BC342" s="345"/>
      <c r="BD342" s="345"/>
      <c r="BE342" s="345"/>
      <c r="BF342" s="345"/>
      <c r="BG342" s="345"/>
      <c r="BH342" s="345"/>
      <c r="BI342" s="343"/>
      <c r="BJ342" s="294"/>
      <c r="BK342"/>
      <c r="BL342"/>
    </row>
    <row r="343" spans="1:97" s="89" customFormat="1" ht="15" hidden="1" customHeight="1" x14ac:dyDescent="0.35">
      <c r="B343" s="211"/>
      <c r="C343" s="293"/>
      <c r="D343" s="1286"/>
      <c r="E343" s="703"/>
      <c r="F343" s="697"/>
      <c r="G343" s="628"/>
      <c r="H343" s="633"/>
      <c r="I343" s="633"/>
      <c r="J343" s="633"/>
      <c r="K343" s="631"/>
      <c r="L343" s="686"/>
      <c r="M343" s="633"/>
      <c r="N343" s="633"/>
      <c r="O343" s="633"/>
      <c r="P343" s="633"/>
      <c r="Q343" s="632"/>
      <c r="R343" s="686"/>
      <c r="S343" s="633"/>
      <c r="T343" s="633"/>
      <c r="U343" s="633"/>
      <c r="V343" s="633"/>
      <c r="W343" s="631"/>
      <c r="X343" s="686"/>
      <c r="Y343" s="633"/>
      <c r="Z343" s="633"/>
      <c r="AA343" s="633"/>
      <c r="AB343" s="633"/>
      <c r="AC343" s="631"/>
      <c r="AD343" s="631"/>
      <c r="AE343" s="631"/>
      <c r="AF343" s="631"/>
      <c r="AG343" s="631"/>
      <c r="AH343" s="631"/>
      <c r="AI343" s="631"/>
      <c r="AJ343" s="631"/>
      <c r="AK343" s="631"/>
      <c r="AL343" s="631"/>
      <c r="AM343" s="631"/>
      <c r="AN343" s="631"/>
      <c r="AO343" s="631"/>
      <c r="AP343" s="635"/>
      <c r="AQ343" s="636"/>
      <c r="AR343" s="707"/>
      <c r="AS343" s="310"/>
      <c r="AV343" s="228"/>
      <c r="AW343" s="228"/>
      <c r="AX343" s="228"/>
      <c r="AY343" s="228"/>
      <c r="AZ343" s="228"/>
      <c r="BA343" s="228"/>
      <c r="BC343" s="345"/>
      <c r="BD343" s="345"/>
      <c r="BE343" s="345"/>
      <c r="BF343" s="345"/>
      <c r="BG343" s="345"/>
      <c r="BH343" s="345"/>
      <c r="BI343" s="343"/>
      <c r="BJ343" s="294"/>
      <c r="BK343"/>
      <c r="BL343"/>
    </row>
    <row r="344" spans="1:97" s="89" customFormat="1" ht="15" hidden="1" customHeight="1" x14ac:dyDescent="0.35">
      <c r="B344" s="211"/>
      <c r="C344" s="293"/>
      <c r="D344" s="1286"/>
      <c r="E344" s="703"/>
      <c r="F344" s="697"/>
      <c r="G344" s="628"/>
      <c r="H344" s="633"/>
      <c r="I344" s="633"/>
      <c r="J344" s="633"/>
      <c r="K344" s="631"/>
      <c r="L344" s="686"/>
      <c r="M344" s="633"/>
      <c r="N344" s="633"/>
      <c r="O344" s="633"/>
      <c r="P344" s="633"/>
      <c r="Q344" s="632"/>
      <c r="R344" s="686"/>
      <c r="S344" s="633"/>
      <c r="T344" s="633"/>
      <c r="U344" s="633"/>
      <c r="V344" s="633"/>
      <c r="W344" s="631"/>
      <c r="X344" s="686"/>
      <c r="Y344" s="633"/>
      <c r="Z344" s="633"/>
      <c r="AA344" s="633"/>
      <c r="AB344" s="633"/>
      <c r="AC344" s="631"/>
      <c r="AD344" s="631"/>
      <c r="AE344" s="631"/>
      <c r="AF344" s="631"/>
      <c r="AG344" s="631"/>
      <c r="AH344" s="631"/>
      <c r="AI344" s="631"/>
      <c r="AJ344" s="631"/>
      <c r="AK344" s="631"/>
      <c r="AL344" s="631"/>
      <c r="AM344" s="631"/>
      <c r="AN344" s="631"/>
      <c r="AO344" s="631"/>
      <c r="AP344" s="635"/>
      <c r="AQ344" s="636"/>
      <c r="AR344" s="707"/>
      <c r="AS344" s="310"/>
      <c r="AV344" s="228"/>
      <c r="AW344" s="228"/>
      <c r="AX344" s="228"/>
      <c r="AY344" s="228"/>
      <c r="AZ344" s="228"/>
      <c r="BA344" s="228"/>
      <c r="BC344" s="345"/>
      <c r="BD344" s="345"/>
      <c r="BE344" s="345"/>
      <c r="BF344" s="345"/>
      <c r="BG344" s="345"/>
      <c r="BH344" s="345"/>
      <c r="BI344" s="343"/>
      <c r="BJ344" s="294"/>
      <c r="BK344"/>
      <c r="BL344"/>
    </row>
    <row r="345" spans="1:97" s="89" customFormat="1" ht="15" hidden="1" customHeight="1" x14ac:dyDescent="0.35">
      <c r="B345" s="211"/>
      <c r="C345" s="293"/>
      <c r="D345" s="1286"/>
      <c r="E345" s="703"/>
      <c r="F345" s="697"/>
      <c r="G345" s="628"/>
      <c r="H345" s="633"/>
      <c r="I345" s="633"/>
      <c r="J345" s="633"/>
      <c r="K345" s="631"/>
      <c r="L345" s="686"/>
      <c r="M345" s="630"/>
      <c r="N345" s="630"/>
      <c r="O345" s="630"/>
      <c r="P345" s="630"/>
      <c r="Q345" s="632"/>
      <c r="R345" s="686"/>
      <c r="S345" s="633"/>
      <c r="T345" s="633"/>
      <c r="U345" s="633"/>
      <c r="V345" s="633"/>
      <c r="W345" s="631"/>
      <c r="X345" s="686"/>
      <c r="Y345" s="633"/>
      <c r="Z345" s="633"/>
      <c r="AA345" s="633"/>
      <c r="AB345" s="633"/>
      <c r="AC345" s="631"/>
      <c r="AD345" s="631"/>
      <c r="AE345" s="631"/>
      <c r="AF345" s="631"/>
      <c r="AG345" s="631"/>
      <c r="AH345" s="631"/>
      <c r="AI345" s="631"/>
      <c r="AJ345" s="631"/>
      <c r="AK345" s="631"/>
      <c r="AL345" s="631"/>
      <c r="AM345" s="631"/>
      <c r="AN345" s="631"/>
      <c r="AO345" s="631"/>
      <c r="AP345" s="635"/>
      <c r="AQ345" s="636"/>
      <c r="AR345" s="707"/>
      <c r="AS345" s="310"/>
      <c r="AV345" s="228"/>
      <c r="AW345" s="228"/>
      <c r="AX345" s="228"/>
      <c r="AY345" s="228"/>
      <c r="AZ345" s="228"/>
      <c r="BA345" s="228"/>
      <c r="BC345" s="345"/>
      <c r="BD345" s="345"/>
      <c r="BE345" s="345"/>
      <c r="BF345" s="345"/>
      <c r="BG345" s="345"/>
      <c r="BH345" s="345"/>
      <c r="BI345" s="343"/>
      <c r="BJ345" s="294"/>
      <c r="BK345"/>
      <c r="BL345"/>
    </row>
    <row r="346" spans="1:97" s="89" customFormat="1" ht="15" hidden="1" customHeight="1" x14ac:dyDescent="0.35">
      <c r="B346" s="211"/>
      <c r="C346" s="293"/>
      <c r="D346" s="1286"/>
      <c r="E346" s="703"/>
      <c r="F346" s="697"/>
      <c r="G346" s="628"/>
      <c r="H346" s="633"/>
      <c r="I346" s="633"/>
      <c r="J346" s="633"/>
      <c r="K346" s="631"/>
      <c r="L346" s="686"/>
      <c r="M346" s="633"/>
      <c r="N346" s="633"/>
      <c r="O346" s="633"/>
      <c r="P346" s="633"/>
      <c r="Q346" s="632"/>
      <c r="R346" s="686"/>
      <c r="S346" s="633"/>
      <c r="T346" s="633"/>
      <c r="U346" s="633"/>
      <c r="V346" s="633"/>
      <c r="W346" s="631"/>
      <c r="X346" s="686"/>
      <c r="Y346" s="633"/>
      <c r="Z346" s="633"/>
      <c r="AA346" s="633"/>
      <c r="AB346" s="633"/>
      <c r="AC346" s="631"/>
      <c r="AD346" s="631"/>
      <c r="AE346" s="631"/>
      <c r="AF346" s="631"/>
      <c r="AG346" s="631"/>
      <c r="AH346" s="631"/>
      <c r="AI346" s="631"/>
      <c r="AJ346" s="631"/>
      <c r="AK346" s="631"/>
      <c r="AL346" s="631"/>
      <c r="AM346" s="631"/>
      <c r="AN346" s="631"/>
      <c r="AO346" s="631"/>
      <c r="AP346" s="635"/>
      <c r="AQ346" s="636"/>
      <c r="AR346" s="707"/>
      <c r="AS346" s="310"/>
      <c r="AV346" s="228"/>
      <c r="AW346" s="228"/>
      <c r="AX346" s="228"/>
      <c r="AY346" s="228"/>
      <c r="AZ346" s="228"/>
      <c r="BA346" s="228"/>
      <c r="BC346" s="345"/>
      <c r="BD346" s="345"/>
      <c r="BE346" s="345"/>
      <c r="BF346" s="345"/>
      <c r="BG346" s="345"/>
      <c r="BH346" s="345"/>
      <c r="BI346" s="343"/>
      <c r="BJ346" s="294"/>
      <c r="BK346"/>
      <c r="BL346"/>
    </row>
    <row r="347" spans="1:97" s="89" customFormat="1" ht="15" hidden="1" customHeight="1" x14ac:dyDescent="0.35">
      <c r="B347" s="211"/>
      <c r="C347" s="293"/>
      <c r="D347" s="1286"/>
      <c r="E347" s="703"/>
      <c r="F347" s="697"/>
      <c r="G347" s="628"/>
      <c r="H347" s="633"/>
      <c r="I347" s="633"/>
      <c r="J347" s="633"/>
      <c r="K347" s="631"/>
      <c r="L347" s="686"/>
      <c r="M347" s="633"/>
      <c r="N347" s="633"/>
      <c r="O347" s="633"/>
      <c r="P347" s="633"/>
      <c r="Q347" s="632"/>
      <c r="R347" s="686"/>
      <c r="S347" s="633"/>
      <c r="T347" s="633"/>
      <c r="U347" s="633"/>
      <c r="V347" s="633"/>
      <c r="W347" s="631"/>
      <c r="X347" s="686"/>
      <c r="Y347" s="633"/>
      <c r="Z347" s="633"/>
      <c r="AA347" s="633"/>
      <c r="AB347" s="633"/>
      <c r="AC347" s="631"/>
      <c r="AD347" s="631"/>
      <c r="AE347" s="631"/>
      <c r="AF347" s="631"/>
      <c r="AG347" s="631"/>
      <c r="AH347" s="631"/>
      <c r="AI347" s="631"/>
      <c r="AJ347" s="631"/>
      <c r="AK347" s="631"/>
      <c r="AL347" s="631"/>
      <c r="AM347" s="631"/>
      <c r="AN347" s="631"/>
      <c r="AO347" s="631"/>
      <c r="AP347" s="635"/>
      <c r="AQ347" s="636"/>
      <c r="AR347" s="707"/>
      <c r="AS347" s="310"/>
      <c r="AV347" s="228"/>
      <c r="AW347" s="228"/>
      <c r="AX347" s="228"/>
      <c r="AY347" s="228"/>
      <c r="AZ347" s="228"/>
      <c r="BA347" s="228"/>
      <c r="BC347" s="345"/>
      <c r="BD347" s="345"/>
      <c r="BE347" s="345"/>
      <c r="BF347" s="345"/>
      <c r="BG347" s="345"/>
      <c r="BH347" s="345"/>
      <c r="BI347" s="343"/>
      <c r="BJ347" s="294"/>
      <c r="BK347"/>
      <c r="BL347"/>
    </row>
    <row r="348" spans="1:97" s="89" customFormat="1" ht="15" hidden="1" customHeight="1" x14ac:dyDescent="0.35">
      <c r="B348" s="211"/>
      <c r="C348" s="293"/>
      <c r="D348" s="1286"/>
      <c r="E348" s="703"/>
      <c r="F348" s="697"/>
      <c r="G348" s="628"/>
      <c r="H348" s="633"/>
      <c r="I348" s="633"/>
      <c r="J348" s="633"/>
      <c r="K348" s="631"/>
      <c r="L348" s="686"/>
      <c r="M348" s="633"/>
      <c r="N348" s="633"/>
      <c r="O348" s="633"/>
      <c r="P348" s="633"/>
      <c r="Q348" s="632"/>
      <c r="R348" s="686"/>
      <c r="S348" s="633"/>
      <c r="T348" s="633"/>
      <c r="U348" s="633"/>
      <c r="V348" s="633"/>
      <c r="W348" s="631"/>
      <c r="X348" s="686"/>
      <c r="Y348" s="633"/>
      <c r="Z348" s="633"/>
      <c r="AA348" s="633"/>
      <c r="AB348" s="633"/>
      <c r="AC348" s="631"/>
      <c r="AD348" s="631"/>
      <c r="AE348" s="631"/>
      <c r="AF348" s="631"/>
      <c r="AG348" s="631"/>
      <c r="AH348" s="631"/>
      <c r="AI348" s="631"/>
      <c r="AJ348" s="631"/>
      <c r="AK348" s="631"/>
      <c r="AL348" s="631"/>
      <c r="AM348" s="631"/>
      <c r="AN348" s="631"/>
      <c r="AO348" s="631"/>
      <c r="AP348" s="635"/>
      <c r="AQ348" s="636"/>
      <c r="AR348" s="707"/>
      <c r="AS348" s="310"/>
      <c r="AV348" s="228"/>
      <c r="AW348" s="228"/>
      <c r="AX348" s="228"/>
      <c r="AY348" s="228"/>
      <c r="AZ348" s="228"/>
      <c r="BA348" s="228"/>
      <c r="BC348" s="345"/>
      <c r="BD348" s="345"/>
      <c r="BE348" s="345"/>
      <c r="BF348" s="345"/>
      <c r="BG348" s="345"/>
      <c r="BH348" s="345"/>
      <c r="BI348" s="343"/>
      <c r="BJ348" s="294"/>
      <c r="BK348"/>
      <c r="BL348"/>
    </row>
    <row r="349" spans="1:97" s="89" customFormat="1" ht="15" hidden="1" customHeight="1" thickBot="1" x14ac:dyDescent="0.4">
      <c r="B349" s="292"/>
      <c r="C349" s="733"/>
      <c r="D349" s="1287"/>
      <c r="E349" s="708"/>
      <c r="F349" s="697"/>
      <c r="G349" s="709"/>
      <c r="H349" s="704"/>
      <c r="I349" s="704"/>
      <c r="J349" s="704"/>
      <c r="K349" s="712"/>
      <c r="L349" s="711"/>
      <c r="M349" s="709"/>
      <c r="N349" s="704"/>
      <c r="O349" s="704"/>
      <c r="P349" s="704"/>
      <c r="Q349" s="710"/>
      <c r="R349" s="711"/>
      <c r="S349" s="704"/>
      <c r="T349" s="704"/>
      <c r="U349" s="704"/>
      <c r="V349" s="704"/>
      <c r="W349" s="712"/>
      <c r="X349" s="711"/>
      <c r="Y349" s="709"/>
      <c r="Z349" s="704"/>
      <c r="AA349" s="704"/>
      <c r="AB349" s="704"/>
      <c r="AC349" s="712"/>
      <c r="AD349" s="712"/>
      <c r="AE349" s="712"/>
      <c r="AF349" s="712"/>
      <c r="AG349" s="712"/>
      <c r="AH349" s="712"/>
      <c r="AI349" s="712"/>
      <c r="AJ349" s="712"/>
      <c r="AK349" s="712"/>
      <c r="AL349" s="712"/>
      <c r="AM349" s="712"/>
      <c r="AN349" s="712"/>
      <c r="AO349" s="712"/>
      <c r="AP349" s="713"/>
      <c r="AQ349" s="714"/>
      <c r="AR349" s="715"/>
      <c r="AS349" s="312"/>
      <c r="AV349" s="228"/>
      <c r="AW349" s="228"/>
      <c r="AX349" s="228"/>
      <c r="AY349" s="228"/>
      <c r="AZ349" s="228"/>
      <c r="BA349" s="228"/>
      <c r="BC349" s="345"/>
      <c r="BD349" s="345"/>
      <c r="BE349" s="345"/>
      <c r="BF349" s="345"/>
      <c r="BG349" s="345"/>
      <c r="BH349" s="345"/>
      <c r="BI349" s="343"/>
      <c r="BJ349" s="295"/>
      <c r="BK349"/>
      <c r="BL349"/>
    </row>
    <row r="350" spans="1:97" s="89" customFormat="1" ht="13" hidden="1" customHeight="1" x14ac:dyDescent="0.3">
      <c r="B350" s="212"/>
      <c r="C350" s="728"/>
      <c r="D350" s="734"/>
      <c r="E350" s="735"/>
      <c r="F350" s="697"/>
      <c r="G350" s="72"/>
      <c r="H350" s="65"/>
      <c r="I350" s="65"/>
      <c r="J350" s="65"/>
      <c r="K350" s="68"/>
      <c r="L350" s="217"/>
      <c r="M350" s="69"/>
      <c r="N350" s="69"/>
      <c r="O350" s="69"/>
      <c r="P350" s="69"/>
      <c r="Q350" s="67"/>
      <c r="R350" s="217"/>
      <c r="S350" s="65"/>
      <c r="T350" s="65"/>
      <c r="U350" s="65"/>
      <c r="V350" s="65"/>
      <c r="W350" s="66"/>
      <c r="X350" s="736"/>
      <c r="Y350" s="65"/>
      <c r="Z350" s="65"/>
      <c r="AA350" s="65"/>
      <c r="AB350" s="65"/>
      <c r="AC350" s="66"/>
      <c r="AD350" s="66"/>
      <c r="AE350" s="66"/>
      <c r="AF350" s="66"/>
      <c r="AG350" s="66"/>
      <c r="AH350" s="66"/>
      <c r="AI350" s="66"/>
      <c r="AJ350" s="66"/>
      <c r="AK350" s="66"/>
      <c r="AL350" s="66"/>
      <c r="AM350" s="66"/>
      <c r="AN350" s="66"/>
      <c r="AO350" s="66"/>
      <c r="AP350" s="71"/>
      <c r="AQ350" s="176"/>
      <c r="AR350" s="114"/>
      <c r="AS350" s="313"/>
      <c r="AT350" s="177"/>
      <c r="AU350" s="178"/>
      <c r="AV350" s="228"/>
      <c r="AW350" s="228"/>
      <c r="AX350" s="228"/>
      <c r="AY350" s="228"/>
      <c r="AZ350" s="228"/>
      <c r="BA350" s="228"/>
      <c r="BB350" s="60"/>
      <c r="BC350" s="345"/>
      <c r="BD350" s="345"/>
      <c r="BE350" s="346"/>
      <c r="BF350" s="347"/>
      <c r="BG350" s="347"/>
      <c r="BH350" s="347"/>
      <c r="BI350" s="60"/>
      <c r="BJ350" s="60"/>
      <c r="BK350" s="60"/>
      <c r="BL350" s="60"/>
      <c r="BM350" s="60"/>
      <c r="BN350" s="60"/>
      <c r="BO350" s="60"/>
      <c r="BP350" s="60"/>
      <c r="BQ350" s="60"/>
      <c r="BR350" s="60"/>
      <c r="BS350" s="60"/>
      <c r="BT350" s="60"/>
      <c r="BU350" s="60"/>
      <c r="BV350" s="60"/>
      <c r="BW350" s="60"/>
      <c r="BX350" s="60"/>
      <c r="BY350" s="60"/>
      <c r="BZ350" s="60"/>
      <c r="CA350" s="60"/>
      <c r="CB350" s="60"/>
      <c r="CC350" s="60"/>
      <c r="CD350" s="60"/>
      <c r="CE350" s="60"/>
      <c r="CF350" s="60"/>
      <c r="CG350" s="60"/>
      <c r="CH350" s="60"/>
      <c r="CI350" s="60"/>
      <c r="CJ350" s="60"/>
      <c r="CK350" s="60"/>
      <c r="CL350" s="60"/>
      <c r="CM350" s="60"/>
      <c r="CN350" s="60"/>
      <c r="CO350" s="60"/>
      <c r="CP350" s="60"/>
      <c r="CQ350" s="60"/>
      <c r="CR350" s="60"/>
      <c r="CS350" s="60"/>
    </row>
    <row r="351" spans="1:97" s="89" customFormat="1" ht="13" hidden="1" customHeight="1" x14ac:dyDescent="0.3">
      <c r="B351" s="211"/>
      <c r="C351" s="211"/>
      <c r="D351" s="1288"/>
      <c r="E351" s="309"/>
      <c r="F351" s="697"/>
      <c r="G351" s="72"/>
      <c r="H351" s="65"/>
      <c r="I351" s="65"/>
      <c r="J351" s="65"/>
      <c r="K351" s="68"/>
      <c r="L351" s="217"/>
      <c r="M351" s="69"/>
      <c r="N351" s="69"/>
      <c r="O351" s="69"/>
      <c r="P351" s="69"/>
      <c r="Q351" s="67"/>
      <c r="R351" s="217"/>
      <c r="S351" s="65"/>
      <c r="T351" s="65"/>
      <c r="U351" s="65"/>
      <c r="V351" s="65"/>
      <c r="W351" s="66"/>
      <c r="X351" s="736"/>
      <c r="Y351" s="65"/>
      <c r="Z351" s="65"/>
      <c r="AA351" s="65"/>
      <c r="AB351" s="65"/>
      <c r="AC351" s="66"/>
      <c r="AD351" s="66"/>
      <c r="AE351" s="66"/>
      <c r="AF351" s="66"/>
      <c r="AG351" s="66"/>
      <c r="AH351" s="66"/>
      <c r="AI351" s="66"/>
      <c r="AJ351" s="66"/>
      <c r="AK351" s="66"/>
      <c r="AL351" s="66"/>
      <c r="AM351" s="66"/>
      <c r="AN351" s="66"/>
      <c r="AO351" s="66"/>
      <c r="AP351" s="71"/>
      <c r="AQ351" s="179"/>
      <c r="AR351" s="114"/>
      <c r="AS351" s="313"/>
      <c r="AT351" s="177"/>
      <c r="AU351" s="178"/>
      <c r="AV351" s="60"/>
      <c r="AW351" s="60"/>
      <c r="AX351" s="60"/>
      <c r="AY351" s="60"/>
      <c r="AZ351" s="60"/>
      <c r="BA351" s="60"/>
      <c r="BB351" s="60"/>
      <c r="BC351" s="345"/>
      <c r="BD351" s="345"/>
      <c r="BE351" s="346"/>
      <c r="BF351" s="347"/>
      <c r="BG351" s="347"/>
      <c r="BH351" s="347"/>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c r="CK351" s="60"/>
      <c r="CL351" s="60"/>
      <c r="CM351" s="60"/>
      <c r="CN351" s="60"/>
      <c r="CO351" s="60"/>
      <c r="CP351" s="60"/>
      <c r="CQ351" s="60"/>
      <c r="CR351" s="60"/>
      <c r="CS351" s="60"/>
    </row>
    <row r="352" spans="1:97" s="89" customFormat="1" ht="13" hidden="1" customHeight="1" x14ac:dyDescent="0.3">
      <c r="B352" s="211"/>
      <c r="C352" s="211"/>
      <c r="D352" s="1289"/>
      <c r="E352" s="309"/>
      <c r="F352" s="697"/>
      <c r="G352" s="72"/>
      <c r="H352" s="65"/>
      <c r="I352" s="65"/>
      <c r="J352" s="65"/>
      <c r="K352" s="68"/>
      <c r="L352" s="217"/>
      <c r="M352" s="69"/>
      <c r="N352" s="69"/>
      <c r="O352" s="69"/>
      <c r="P352" s="69"/>
      <c r="Q352" s="67"/>
      <c r="R352" s="217"/>
      <c r="S352" s="65"/>
      <c r="T352" s="65"/>
      <c r="U352" s="65"/>
      <c r="V352" s="65"/>
      <c r="W352" s="66"/>
      <c r="X352" s="736"/>
      <c r="Y352" s="65"/>
      <c r="Z352" s="65"/>
      <c r="AA352" s="65"/>
      <c r="AB352" s="65"/>
      <c r="AC352" s="66"/>
      <c r="AD352" s="66"/>
      <c r="AE352" s="66"/>
      <c r="AF352" s="66"/>
      <c r="AG352" s="66"/>
      <c r="AH352" s="66"/>
      <c r="AI352" s="66"/>
      <c r="AJ352" s="66"/>
      <c r="AK352" s="66"/>
      <c r="AL352" s="66"/>
      <c r="AM352" s="66"/>
      <c r="AN352" s="66"/>
      <c r="AO352" s="66"/>
      <c r="AP352" s="71"/>
      <c r="AQ352" s="179"/>
      <c r="AR352" s="114"/>
      <c r="AS352" s="313"/>
      <c r="AT352" s="177"/>
      <c r="AU352" s="178"/>
      <c r="AV352" s="60"/>
      <c r="AW352" s="60"/>
      <c r="AX352" s="60"/>
      <c r="AY352" s="60"/>
      <c r="AZ352" s="60"/>
      <c r="BA352" s="60"/>
      <c r="BB352" s="60"/>
      <c r="BC352" s="345"/>
      <c r="BD352" s="345"/>
      <c r="BE352" s="346"/>
      <c r="BF352" s="347"/>
      <c r="BG352" s="347"/>
      <c r="BH352" s="347"/>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c r="CK352" s="60"/>
      <c r="CL352" s="60"/>
      <c r="CM352" s="60"/>
      <c r="CN352" s="60"/>
      <c r="CO352" s="60"/>
      <c r="CP352" s="60"/>
      <c r="CQ352" s="60"/>
      <c r="CR352" s="60"/>
      <c r="CS352" s="60"/>
    </row>
    <row r="353" spans="1:97" s="89" customFormat="1" ht="13" hidden="1" customHeight="1" x14ac:dyDescent="0.3">
      <c r="B353" s="211"/>
      <c r="C353" s="211"/>
      <c r="D353" s="1289"/>
      <c r="E353" s="309"/>
      <c r="F353" s="697"/>
      <c r="G353" s="72"/>
      <c r="H353" s="65"/>
      <c r="I353" s="65"/>
      <c r="J353" s="65"/>
      <c r="K353" s="68"/>
      <c r="L353" s="217"/>
      <c r="M353" s="69"/>
      <c r="N353" s="69"/>
      <c r="O353" s="69"/>
      <c r="P353" s="69"/>
      <c r="Q353" s="67"/>
      <c r="R353" s="217"/>
      <c r="S353" s="65"/>
      <c r="T353" s="65"/>
      <c r="U353" s="65"/>
      <c r="V353" s="65"/>
      <c r="W353" s="66"/>
      <c r="X353" s="736"/>
      <c r="Y353" s="65"/>
      <c r="Z353" s="65"/>
      <c r="AA353" s="65"/>
      <c r="AB353" s="65"/>
      <c r="AC353" s="66"/>
      <c r="AD353" s="66"/>
      <c r="AE353" s="66"/>
      <c r="AF353" s="66"/>
      <c r="AG353" s="66"/>
      <c r="AH353" s="66"/>
      <c r="AI353" s="66"/>
      <c r="AJ353" s="66"/>
      <c r="AK353" s="66"/>
      <c r="AL353" s="66"/>
      <c r="AM353" s="66"/>
      <c r="AN353" s="66"/>
      <c r="AO353" s="66"/>
      <c r="AP353" s="71"/>
      <c r="AQ353" s="179"/>
      <c r="AR353" s="114"/>
      <c r="AS353" s="313"/>
      <c r="AT353" s="177"/>
      <c r="AU353" s="178"/>
      <c r="AV353" s="60"/>
      <c r="AW353" s="60"/>
      <c r="AX353" s="60"/>
      <c r="AY353" s="60"/>
      <c r="AZ353" s="60"/>
      <c r="BA353" s="60"/>
      <c r="BB353" s="60"/>
      <c r="BC353" s="345"/>
      <c r="BD353" s="345"/>
      <c r="BE353" s="346"/>
      <c r="BF353" s="347"/>
      <c r="BG353" s="347"/>
      <c r="BH353" s="347"/>
      <c r="BI353" s="60"/>
      <c r="BJ353" s="60"/>
      <c r="BK353" s="60"/>
      <c r="BL353" s="60"/>
      <c r="BM353" s="60"/>
      <c r="BN353" s="60"/>
      <c r="BO353" s="60"/>
      <c r="BP353" s="60"/>
      <c r="BQ353" s="60"/>
      <c r="BR353" s="60"/>
      <c r="BS353" s="60"/>
      <c r="BT353" s="60"/>
      <c r="BU353" s="60"/>
      <c r="BV353" s="60"/>
      <c r="BW353" s="60"/>
      <c r="BX353" s="60"/>
      <c r="BY353" s="60"/>
      <c r="BZ353" s="60"/>
      <c r="CA353" s="60"/>
      <c r="CB353" s="60"/>
      <c r="CC353" s="60"/>
      <c r="CD353" s="60"/>
      <c r="CE353" s="60"/>
      <c r="CF353" s="60"/>
      <c r="CG353" s="60"/>
      <c r="CH353" s="60"/>
      <c r="CI353" s="60"/>
      <c r="CJ353" s="60"/>
      <c r="CK353" s="60"/>
      <c r="CL353" s="60"/>
      <c r="CM353" s="60"/>
      <c r="CN353" s="60"/>
      <c r="CO353" s="60"/>
      <c r="CP353" s="60"/>
      <c r="CQ353" s="60"/>
      <c r="CR353" s="60"/>
      <c r="CS353" s="60"/>
    </row>
    <row r="354" spans="1:97" s="89" customFormat="1" ht="13" hidden="1" customHeight="1" x14ac:dyDescent="0.3">
      <c r="B354" s="211"/>
      <c r="C354" s="211"/>
      <c r="D354" s="1289"/>
      <c r="E354" s="309"/>
      <c r="F354" s="697"/>
      <c r="G354" s="72"/>
      <c r="H354" s="65"/>
      <c r="I354" s="65"/>
      <c r="J354" s="65"/>
      <c r="K354" s="68"/>
      <c r="L354" s="217"/>
      <c r="M354" s="69"/>
      <c r="N354" s="69"/>
      <c r="O354" s="69"/>
      <c r="P354" s="69"/>
      <c r="Q354" s="67"/>
      <c r="R354" s="217"/>
      <c r="S354" s="65"/>
      <c r="T354" s="65"/>
      <c r="U354" s="65"/>
      <c r="V354" s="65"/>
      <c r="W354" s="66"/>
      <c r="X354" s="736"/>
      <c r="Y354" s="65"/>
      <c r="Z354" s="65"/>
      <c r="AA354" s="65"/>
      <c r="AB354" s="65"/>
      <c r="AC354" s="66"/>
      <c r="AD354" s="66"/>
      <c r="AE354" s="66"/>
      <c r="AF354" s="66"/>
      <c r="AG354" s="66"/>
      <c r="AH354" s="66"/>
      <c r="AI354" s="66"/>
      <c r="AJ354" s="66"/>
      <c r="AK354" s="66"/>
      <c r="AL354" s="66"/>
      <c r="AM354" s="66"/>
      <c r="AN354" s="66"/>
      <c r="AO354" s="66"/>
      <c r="AP354" s="71"/>
      <c r="AQ354" s="179"/>
      <c r="AR354" s="114"/>
      <c r="AS354" s="313"/>
      <c r="AT354" s="177"/>
      <c r="AU354" s="178"/>
      <c r="AV354" s="60"/>
      <c r="AW354" s="60"/>
      <c r="AX354" s="60"/>
      <c r="AY354" s="60"/>
      <c r="AZ354" s="60"/>
      <c r="BA354" s="60"/>
      <c r="BB354" s="60"/>
      <c r="BC354" s="345"/>
      <c r="BD354" s="345"/>
      <c r="BE354" s="346"/>
      <c r="BF354" s="347"/>
      <c r="BG354" s="347"/>
      <c r="BH354" s="347"/>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row>
    <row r="355" spans="1:97" s="89" customFormat="1" ht="13" hidden="1" customHeight="1" x14ac:dyDescent="0.3">
      <c r="B355" s="211"/>
      <c r="C355" s="211"/>
      <c r="D355" s="1289"/>
      <c r="E355" s="309"/>
      <c r="F355" s="697"/>
      <c r="G355" s="72"/>
      <c r="H355" s="65"/>
      <c r="I355" s="65"/>
      <c r="J355" s="65"/>
      <c r="K355" s="68"/>
      <c r="L355" s="217"/>
      <c r="M355" s="69"/>
      <c r="N355" s="69"/>
      <c r="O355" s="69"/>
      <c r="P355" s="69"/>
      <c r="Q355" s="67"/>
      <c r="R355" s="217"/>
      <c r="S355" s="65"/>
      <c r="T355" s="65"/>
      <c r="U355" s="65"/>
      <c r="V355" s="65"/>
      <c r="W355" s="66"/>
      <c r="X355" s="736"/>
      <c r="Y355" s="65"/>
      <c r="Z355" s="65"/>
      <c r="AA355" s="65"/>
      <c r="AB355" s="65"/>
      <c r="AC355" s="66"/>
      <c r="AD355" s="66"/>
      <c r="AE355" s="66"/>
      <c r="AF355" s="66"/>
      <c r="AG355" s="66"/>
      <c r="AH355" s="66"/>
      <c r="AI355" s="66"/>
      <c r="AJ355" s="66"/>
      <c r="AK355" s="66"/>
      <c r="AL355" s="66"/>
      <c r="AM355" s="66"/>
      <c r="AN355" s="66"/>
      <c r="AO355" s="66"/>
      <c r="AP355" s="71"/>
      <c r="AQ355" s="179"/>
      <c r="AR355" s="114"/>
      <c r="AS355" s="313"/>
      <c r="AT355" s="177"/>
      <c r="AU355" s="178"/>
      <c r="AV355" s="60"/>
      <c r="AW355" s="60"/>
      <c r="AX355" s="60"/>
      <c r="AY355" s="60"/>
      <c r="AZ355" s="60"/>
      <c r="BA355" s="60"/>
      <c r="BB355" s="60"/>
      <c r="BC355" s="345"/>
      <c r="BD355" s="345"/>
      <c r="BE355" s="346"/>
      <c r="BF355" s="347"/>
      <c r="BG355" s="347"/>
      <c r="BH355" s="347"/>
      <c r="BI355" s="60"/>
      <c r="BJ355" s="60"/>
      <c r="BK355" s="60"/>
      <c r="BL355" s="60"/>
      <c r="BM355" s="60"/>
      <c r="BN355" s="60"/>
      <c r="BO355" s="60"/>
      <c r="BP355" s="60"/>
      <c r="BQ355" s="60"/>
      <c r="BR355" s="60"/>
      <c r="BS355" s="60"/>
      <c r="BT355" s="60"/>
      <c r="BU355" s="60"/>
      <c r="BV355" s="60"/>
      <c r="BW355" s="60"/>
      <c r="BX355" s="60"/>
      <c r="BY355" s="60"/>
      <c r="BZ355" s="60"/>
      <c r="CA355" s="60"/>
      <c r="CB355" s="60"/>
      <c r="CC355" s="60"/>
      <c r="CD355" s="60"/>
      <c r="CE355" s="60"/>
      <c r="CF355" s="60"/>
      <c r="CG355" s="60"/>
      <c r="CH355" s="60"/>
      <c r="CI355" s="60"/>
      <c r="CJ355" s="60"/>
      <c r="CK355" s="60"/>
      <c r="CL355" s="60"/>
      <c r="CM355" s="60"/>
      <c r="CN355" s="60"/>
      <c r="CO355" s="60"/>
      <c r="CP355" s="60"/>
      <c r="CQ355" s="60"/>
      <c r="CR355" s="60"/>
      <c r="CS355" s="60"/>
    </row>
    <row r="356" spans="1:97" s="89" customFormat="1" ht="13" hidden="1" customHeight="1" x14ac:dyDescent="0.3">
      <c r="B356" s="211"/>
      <c r="C356" s="211"/>
      <c r="D356" s="1289"/>
      <c r="E356" s="309"/>
      <c r="F356" s="697"/>
      <c r="G356" s="72"/>
      <c r="H356" s="65"/>
      <c r="I356" s="65"/>
      <c r="J356" s="65"/>
      <c r="K356" s="68"/>
      <c r="L356" s="217"/>
      <c r="M356" s="69"/>
      <c r="N356" s="69"/>
      <c r="O356" s="69"/>
      <c r="P356" s="69"/>
      <c r="Q356" s="67"/>
      <c r="R356" s="217"/>
      <c r="S356" s="65"/>
      <c r="T356" s="65"/>
      <c r="U356" s="65"/>
      <c r="V356" s="65"/>
      <c r="W356" s="66"/>
      <c r="X356" s="736"/>
      <c r="Y356" s="65"/>
      <c r="Z356" s="65"/>
      <c r="AA356" s="65"/>
      <c r="AB356" s="65"/>
      <c r="AC356" s="66"/>
      <c r="AD356" s="66"/>
      <c r="AE356" s="66"/>
      <c r="AF356" s="66"/>
      <c r="AG356" s="66"/>
      <c r="AH356" s="66"/>
      <c r="AI356" s="66"/>
      <c r="AJ356" s="66"/>
      <c r="AK356" s="66"/>
      <c r="AL356" s="66"/>
      <c r="AM356" s="66"/>
      <c r="AN356" s="66"/>
      <c r="AO356" s="66"/>
      <c r="AP356" s="71"/>
      <c r="AQ356" s="179"/>
      <c r="AR356" s="114"/>
      <c r="AS356" s="313"/>
      <c r="AT356" s="177"/>
      <c r="AU356" s="178"/>
      <c r="AV356" s="60"/>
      <c r="AW356" s="60"/>
      <c r="AX356" s="60"/>
      <c r="AY356" s="60"/>
      <c r="AZ356" s="60"/>
      <c r="BA356" s="60"/>
      <c r="BB356" s="60"/>
      <c r="BC356" s="345"/>
      <c r="BD356" s="345"/>
      <c r="BE356" s="346"/>
      <c r="BF356" s="347"/>
      <c r="BG356" s="347"/>
      <c r="BH356" s="347"/>
      <c r="BI356" s="60"/>
      <c r="BJ356" s="60"/>
      <c r="BK356" s="60"/>
      <c r="BL356" s="60"/>
      <c r="BM356" s="60"/>
      <c r="BN356" s="60"/>
      <c r="BO356" s="60"/>
      <c r="BP356" s="60"/>
      <c r="BQ356" s="60"/>
      <c r="BR356" s="60"/>
      <c r="BS356" s="60"/>
      <c r="BT356" s="60"/>
      <c r="BU356" s="60"/>
      <c r="BV356" s="60"/>
      <c r="BW356" s="60"/>
      <c r="BX356" s="60"/>
      <c r="BY356" s="60"/>
      <c r="BZ356" s="60"/>
      <c r="CA356" s="60"/>
      <c r="CB356" s="60"/>
      <c r="CC356" s="60"/>
      <c r="CD356" s="60"/>
      <c r="CE356" s="60"/>
      <c r="CF356" s="60"/>
      <c r="CG356" s="60"/>
      <c r="CH356" s="60"/>
      <c r="CI356" s="60"/>
      <c r="CJ356" s="60"/>
      <c r="CK356" s="60"/>
      <c r="CL356" s="60"/>
      <c r="CM356" s="60"/>
      <c r="CN356" s="60"/>
      <c r="CO356" s="60"/>
      <c r="CP356" s="60"/>
      <c r="CQ356" s="60"/>
      <c r="CR356" s="60"/>
      <c r="CS356" s="60"/>
    </row>
    <row r="357" spans="1:97" s="89" customFormat="1" ht="13" hidden="1" customHeight="1" x14ac:dyDescent="0.3">
      <c r="B357" s="211"/>
      <c r="C357" s="211"/>
      <c r="D357" s="1289"/>
      <c r="E357" s="309"/>
      <c r="F357" s="697"/>
      <c r="G357" s="72"/>
      <c r="H357" s="65"/>
      <c r="I357" s="65"/>
      <c r="J357" s="65"/>
      <c r="K357" s="68"/>
      <c r="L357" s="217"/>
      <c r="M357" s="69"/>
      <c r="N357" s="69"/>
      <c r="O357" s="69"/>
      <c r="P357" s="69"/>
      <c r="Q357" s="67"/>
      <c r="R357" s="217"/>
      <c r="S357" s="65"/>
      <c r="T357" s="65"/>
      <c r="U357" s="65"/>
      <c r="V357" s="65"/>
      <c r="W357" s="66"/>
      <c r="X357" s="736"/>
      <c r="Y357" s="65"/>
      <c r="Z357" s="65"/>
      <c r="AA357" s="65"/>
      <c r="AB357" s="65"/>
      <c r="AC357" s="66"/>
      <c r="AD357" s="66"/>
      <c r="AE357" s="66"/>
      <c r="AF357" s="66"/>
      <c r="AG357" s="66"/>
      <c r="AH357" s="66"/>
      <c r="AI357" s="66"/>
      <c r="AJ357" s="66"/>
      <c r="AK357" s="66"/>
      <c r="AL357" s="66"/>
      <c r="AM357" s="66"/>
      <c r="AN357" s="66"/>
      <c r="AO357" s="66"/>
      <c r="AP357" s="71"/>
      <c r="AQ357" s="179"/>
      <c r="AR357" s="114"/>
      <c r="AS357" s="313"/>
      <c r="AT357" s="177"/>
      <c r="AU357" s="178"/>
      <c r="AV357" s="60"/>
      <c r="AW357" s="60"/>
      <c r="AX357" s="60"/>
      <c r="AY357" s="60"/>
      <c r="AZ357" s="60"/>
      <c r="BA357" s="60"/>
      <c r="BB357" s="60"/>
      <c r="BC357" s="345"/>
      <c r="BD357" s="345"/>
      <c r="BE357" s="346"/>
      <c r="BF357" s="347"/>
      <c r="BG357" s="347"/>
      <c r="BH357" s="347"/>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row>
    <row r="358" spans="1:97" s="89" customFormat="1" ht="16.399999999999999" hidden="1" customHeight="1" x14ac:dyDescent="0.3">
      <c r="B358" s="211"/>
      <c r="C358" s="211"/>
      <c r="D358" s="1289"/>
      <c r="E358" s="309"/>
      <c r="F358" s="697"/>
      <c r="G358" s="72"/>
      <c r="H358" s="65"/>
      <c r="I358" s="65"/>
      <c r="J358" s="65"/>
      <c r="K358" s="68"/>
      <c r="L358" s="217"/>
      <c r="M358" s="65"/>
      <c r="N358" s="65"/>
      <c r="O358" s="65"/>
      <c r="P358" s="65"/>
      <c r="Q358" s="67"/>
      <c r="R358" s="217"/>
      <c r="S358" s="65"/>
      <c r="T358" s="65"/>
      <c r="U358" s="65"/>
      <c r="V358" s="65"/>
      <c r="W358" s="66"/>
      <c r="X358" s="736"/>
      <c r="Y358" s="65"/>
      <c r="Z358" s="65"/>
      <c r="AA358" s="65"/>
      <c r="AB358" s="65"/>
      <c r="AC358" s="66"/>
      <c r="AD358" s="66"/>
      <c r="AE358" s="66"/>
      <c r="AF358" s="66"/>
      <c r="AG358" s="66"/>
      <c r="AH358" s="66"/>
      <c r="AI358" s="66"/>
      <c r="AJ358" s="66"/>
      <c r="AK358" s="66"/>
      <c r="AL358" s="66"/>
      <c r="AM358" s="66"/>
      <c r="AN358" s="66"/>
      <c r="AO358" s="66"/>
      <c r="AP358" s="71"/>
      <c r="AQ358" s="179"/>
      <c r="AR358" s="114"/>
      <c r="AS358" s="313"/>
      <c r="AT358" s="177"/>
      <c r="AU358" s="178"/>
      <c r="AV358" s="60"/>
      <c r="AW358" s="60"/>
      <c r="AX358" s="60"/>
      <c r="AY358" s="60"/>
      <c r="AZ358" s="60"/>
      <c r="BA358" s="60"/>
      <c r="BB358" s="60"/>
      <c r="BC358" s="345"/>
      <c r="BD358" s="345"/>
      <c r="BE358" s="346"/>
      <c r="BF358" s="347"/>
      <c r="BG358" s="347"/>
      <c r="BH358" s="347"/>
      <c r="BI358" s="60"/>
      <c r="BJ358" s="60"/>
      <c r="BK358" s="60"/>
      <c r="BL358" s="60"/>
      <c r="BM358" s="60"/>
      <c r="BN358" s="60"/>
      <c r="BO358" s="60"/>
      <c r="BP358" s="60"/>
      <c r="BQ358" s="60"/>
      <c r="BR358" s="60"/>
      <c r="BS358" s="60"/>
      <c r="BT358" s="60"/>
      <c r="BU358" s="60"/>
      <c r="BV358" s="60"/>
      <c r="BW358" s="60"/>
      <c r="BX358" s="60"/>
      <c r="BY358" s="60"/>
      <c r="BZ358" s="60"/>
      <c r="CA358" s="60"/>
      <c r="CB358" s="60"/>
      <c r="CC358" s="60"/>
      <c r="CD358" s="60"/>
      <c r="CE358" s="60"/>
      <c r="CF358" s="60"/>
      <c r="CG358" s="60"/>
      <c r="CH358" s="60"/>
      <c r="CI358" s="60"/>
      <c r="CJ358" s="60"/>
      <c r="CK358" s="60"/>
      <c r="CL358" s="60"/>
      <c r="CM358" s="60"/>
      <c r="CN358" s="60"/>
      <c r="CO358" s="60"/>
      <c r="CP358" s="60"/>
      <c r="CQ358" s="60"/>
      <c r="CR358" s="60"/>
      <c r="CS358" s="60"/>
    </row>
    <row r="359" spans="1:97" s="89" customFormat="1" ht="13" hidden="1" customHeight="1" x14ac:dyDescent="0.3">
      <c r="B359" s="211"/>
      <c r="C359" s="211"/>
      <c r="D359" s="1289"/>
      <c r="E359" s="309"/>
      <c r="F359" s="697"/>
      <c r="G359" s="73"/>
      <c r="H359" s="70"/>
      <c r="I359" s="70"/>
      <c r="J359" s="70"/>
      <c r="K359" s="68"/>
      <c r="L359" s="217"/>
      <c r="M359" s="69"/>
      <c r="N359" s="69"/>
      <c r="O359" s="69"/>
      <c r="P359" s="69"/>
      <c r="Q359" s="67"/>
      <c r="R359" s="217"/>
      <c r="S359" s="65"/>
      <c r="T359" s="65"/>
      <c r="U359" s="65"/>
      <c r="V359" s="65"/>
      <c r="W359" s="66"/>
      <c r="X359" s="736"/>
      <c r="Y359" s="65"/>
      <c r="Z359" s="65"/>
      <c r="AA359" s="65"/>
      <c r="AB359" s="65"/>
      <c r="AC359" s="66"/>
      <c r="AD359" s="66"/>
      <c r="AE359" s="66"/>
      <c r="AF359" s="66"/>
      <c r="AG359" s="66"/>
      <c r="AH359" s="66"/>
      <c r="AI359" s="66"/>
      <c r="AJ359" s="66"/>
      <c r="AK359" s="66"/>
      <c r="AL359" s="66"/>
      <c r="AM359" s="66"/>
      <c r="AN359" s="66"/>
      <c r="AO359" s="66"/>
      <c r="AP359" s="71"/>
      <c r="AQ359" s="179"/>
      <c r="AR359" s="114"/>
      <c r="AS359" s="313"/>
      <c r="AT359" s="177"/>
      <c r="AU359" s="178"/>
      <c r="AV359" s="60"/>
      <c r="AW359" s="60"/>
      <c r="AX359" s="60"/>
      <c r="AY359" s="60"/>
      <c r="AZ359" s="60"/>
      <c r="BA359" s="60"/>
      <c r="BB359" s="60"/>
      <c r="BC359" s="345"/>
      <c r="BD359" s="345"/>
      <c r="BE359" s="346"/>
      <c r="BF359" s="347"/>
      <c r="BG359" s="347"/>
      <c r="BH359" s="347"/>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c r="CK359" s="60"/>
      <c r="CL359" s="60"/>
      <c r="CM359" s="60"/>
      <c r="CN359" s="60"/>
      <c r="CO359" s="60"/>
      <c r="CP359" s="60"/>
      <c r="CQ359" s="60"/>
      <c r="CR359" s="60"/>
      <c r="CS359" s="60"/>
    </row>
    <row r="360" spans="1:97" s="89" customFormat="1" ht="16.399999999999999" hidden="1" customHeight="1" x14ac:dyDescent="0.3">
      <c r="B360" s="211"/>
      <c r="C360" s="211"/>
      <c r="D360" s="1289"/>
      <c r="E360" s="309"/>
      <c r="F360" s="697"/>
      <c r="G360" s="72"/>
      <c r="H360" s="65"/>
      <c r="I360" s="65"/>
      <c r="J360" s="65"/>
      <c r="K360" s="68"/>
      <c r="L360" s="217"/>
      <c r="M360" s="69"/>
      <c r="N360" s="69"/>
      <c r="O360" s="69"/>
      <c r="P360" s="69"/>
      <c r="Q360" s="67"/>
      <c r="R360" s="217"/>
      <c r="S360" s="65"/>
      <c r="T360" s="65"/>
      <c r="U360" s="65"/>
      <c r="V360" s="65"/>
      <c r="W360" s="66"/>
      <c r="X360" s="736"/>
      <c r="Y360" s="65"/>
      <c r="Z360" s="65"/>
      <c r="AA360" s="65"/>
      <c r="AB360" s="65"/>
      <c r="AC360" s="66"/>
      <c r="AD360" s="66"/>
      <c r="AE360" s="66"/>
      <c r="AF360" s="66"/>
      <c r="AG360" s="66"/>
      <c r="AH360" s="66"/>
      <c r="AI360" s="66"/>
      <c r="AJ360" s="66"/>
      <c r="AK360" s="66"/>
      <c r="AL360" s="66"/>
      <c r="AM360" s="66"/>
      <c r="AN360" s="66"/>
      <c r="AO360" s="66"/>
      <c r="AP360" s="71"/>
      <c r="AQ360" s="179"/>
      <c r="AR360" s="114"/>
      <c r="AS360" s="313"/>
      <c r="AT360" s="177"/>
      <c r="AU360" s="178"/>
      <c r="AV360" s="60"/>
      <c r="AW360" s="60"/>
      <c r="AX360" s="60"/>
      <c r="AY360" s="60"/>
      <c r="AZ360" s="60"/>
      <c r="BA360" s="60"/>
      <c r="BB360" s="60"/>
      <c r="BC360" s="345"/>
      <c r="BD360" s="345"/>
      <c r="BE360" s="346"/>
      <c r="BF360" s="347"/>
      <c r="BG360" s="347"/>
      <c r="BH360" s="347"/>
      <c r="BI360" s="60"/>
      <c r="BJ360" s="60"/>
      <c r="BK360" s="60"/>
      <c r="BL360" s="60"/>
      <c r="BM360" s="60"/>
      <c r="BN360" s="60"/>
      <c r="BO360" s="60"/>
      <c r="BP360" s="60"/>
      <c r="BQ360" s="60"/>
      <c r="BR360" s="60"/>
      <c r="BS360" s="60"/>
      <c r="BT360" s="60"/>
      <c r="BU360" s="60"/>
      <c r="BV360" s="60"/>
      <c r="BW360" s="60"/>
      <c r="BX360" s="60"/>
      <c r="BY360" s="60"/>
      <c r="BZ360" s="60"/>
      <c r="CA360" s="60"/>
      <c r="CB360" s="60"/>
      <c r="CC360" s="60"/>
      <c r="CD360" s="60"/>
      <c r="CE360" s="60"/>
      <c r="CF360" s="60"/>
      <c r="CG360" s="60"/>
      <c r="CH360" s="60"/>
      <c r="CI360" s="60"/>
      <c r="CJ360" s="60"/>
      <c r="CK360" s="60"/>
      <c r="CL360" s="60"/>
      <c r="CM360" s="60"/>
      <c r="CN360" s="60"/>
      <c r="CO360" s="60"/>
      <c r="CP360" s="60"/>
      <c r="CQ360" s="60"/>
      <c r="CR360" s="60"/>
      <c r="CS360" s="60"/>
    </row>
    <row r="361" spans="1:97" s="89" customFormat="1" ht="16.399999999999999" hidden="1" customHeight="1" x14ac:dyDescent="0.3">
      <c r="B361" s="211"/>
      <c r="C361" s="211"/>
      <c r="D361" s="1289"/>
      <c r="E361" s="309"/>
      <c r="F361" s="697"/>
      <c r="G361" s="72"/>
      <c r="H361" s="65"/>
      <c r="I361" s="65"/>
      <c r="J361" s="65"/>
      <c r="K361" s="68"/>
      <c r="L361" s="217"/>
      <c r="M361" s="65"/>
      <c r="N361" s="65"/>
      <c r="O361" s="65"/>
      <c r="P361" s="65"/>
      <c r="Q361" s="67"/>
      <c r="R361" s="217"/>
      <c r="S361" s="65"/>
      <c r="T361" s="65"/>
      <c r="U361" s="65"/>
      <c r="V361" s="65"/>
      <c r="W361" s="66"/>
      <c r="X361" s="736"/>
      <c r="Y361" s="65"/>
      <c r="Z361" s="65"/>
      <c r="AA361" s="65"/>
      <c r="AB361" s="65"/>
      <c r="AC361" s="66"/>
      <c r="AD361" s="66"/>
      <c r="AE361" s="66"/>
      <c r="AF361" s="66"/>
      <c r="AG361" s="66"/>
      <c r="AH361" s="66"/>
      <c r="AI361" s="66"/>
      <c r="AJ361" s="66"/>
      <c r="AK361" s="66"/>
      <c r="AL361" s="66"/>
      <c r="AM361" s="66"/>
      <c r="AN361" s="66"/>
      <c r="AO361" s="66"/>
      <c r="AP361" s="71"/>
      <c r="AQ361" s="179"/>
      <c r="AR361" s="114"/>
      <c r="AS361" s="313"/>
      <c r="AT361" s="177"/>
      <c r="AU361" s="178"/>
      <c r="AV361" s="60"/>
      <c r="AW361" s="60"/>
      <c r="AX361" s="60"/>
      <c r="AY361" s="60"/>
      <c r="AZ361" s="60"/>
      <c r="BA361" s="60"/>
      <c r="BB361" s="60"/>
      <c r="BC361" s="345"/>
      <c r="BD361" s="345"/>
      <c r="BE361" s="346"/>
      <c r="BF361" s="347"/>
      <c r="BG361" s="347"/>
      <c r="BH361" s="347"/>
      <c r="BI361" s="60"/>
      <c r="BJ361" s="60"/>
      <c r="BK361" s="60"/>
      <c r="BL361" s="60"/>
      <c r="BM361" s="60"/>
      <c r="BN361" s="60"/>
      <c r="BO361" s="60"/>
      <c r="BP361" s="60"/>
      <c r="BQ361" s="60"/>
      <c r="BR361" s="60"/>
      <c r="BS361" s="60"/>
      <c r="BT361" s="60"/>
      <c r="BU361" s="60"/>
      <c r="BV361" s="60"/>
      <c r="BW361" s="60"/>
      <c r="BX361" s="60"/>
      <c r="BY361" s="60"/>
      <c r="BZ361" s="60"/>
      <c r="CA361" s="60"/>
      <c r="CB361" s="60"/>
      <c r="CC361" s="60"/>
      <c r="CD361" s="60"/>
      <c r="CE361" s="60"/>
      <c r="CF361" s="60"/>
      <c r="CG361" s="60"/>
      <c r="CH361" s="60"/>
      <c r="CI361" s="60"/>
      <c r="CJ361" s="60"/>
      <c r="CK361" s="60"/>
      <c r="CL361" s="60"/>
      <c r="CM361" s="60"/>
      <c r="CN361" s="60"/>
      <c r="CO361" s="60"/>
      <c r="CP361" s="60"/>
      <c r="CQ361" s="60"/>
      <c r="CR361" s="60"/>
      <c r="CS361" s="60"/>
    </row>
    <row r="362" spans="1:97" s="89" customFormat="1" ht="13" hidden="1" customHeight="1" x14ac:dyDescent="0.3">
      <c r="B362" s="211"/>
      <c r="C362" s="211"/>
      <c r="D362" s="1289"/>
      <c r="E362" s="309"/>
      <c r="F362" s="697"/>
      <c r="G362" s="72"/>
      <c r="H362" s="65"/>
      <c r="I362" s="65"/>
      <c r="J362" s="65"/>
      <c r="K362" s="68"/>
      <c r="L362" s="217"/>
      <c r="M362" s="65"/>
      <c r="N362" s="65"/>
      <c r="O362" s="65"/>
      <c r="P362" s="65"/>
      <c r="Q362" s="67"/>
      <c r="R362" s="217"/>
      <c r="S362" s="65"/>
      <c r="T362" s="65"/>
      <c r="U362" s="65"/>
      <c r="V362" s="65"/>
      <c r="W362" s="66"/>
      <c r="X362" s="736"/>
      <c r="Y362" s="65"/>
      <c r="Z362" s="65"/>
      <c r="AA362" s="65"/>
      <c r="AB362" s="65"/>
      <c r="AC362" s="66"/>
      <c r="AD362" s="66"/>
      <c r="AE362" s="66"/>
      <c r="AF362" s="66"/>
      <c r="AG362" s="66"/>
      <c r="AH362" s="66"/>
      <c r="AI362" s="66"/>
      <c r="AJ362" s="66"/>
      <c r="AK362" s="66"/>
      <c r="AL362" s="66"/>
      <c r="AM362" s="66"/>
      <c r="AN362" s="66"/>
      <c r="AO362" s="66"/>
      <c r="AP362" s="71"/>
      <c r="AQ362" s="179"/>
      <c r="AR362" s="114"/>
      <c r="AS362" s="313"/>
      <c r="AT362" s="177"/>
      <c r="AU362" s="178"/>
      <c r="AV362" s="60"/>
      <c r="AW362" s="60"/>
      <c r="AX362" s="60"/>
      <c r="AY362" s="60"/>
      <c r="AZ362" s="60"/>
      <c r="BA362" s="60"/>
      <c r="BB362" s="60"/>
      <c r="BC362" s="345"/>
      <c r="BD362" s="345"/>
      <c r="BE362" s="346"/>
      <c r="BF362" s="347"/>
      <c r="BG362" s="347"/>
      <c r="BH362" s="347"/>
      <c r="BI362" s="60"/>
      <c r="BJ362" s="60"/>
      <c r="BK362" s="60"/>
      <c r="BL362" s="60"/>
      <c r="BM362" s="60"/>
      <c r="BN362" s="60"/>
      <c r="BO362" s="60"/>
      <c r="BP362" s="60"/>
      <c r="BQ362" s="60"/>
      <c r="BR362" s="60"/>
      <c r="BS362" s="60"/>
      <c r="BT362" s="60"/>
      <c r="BU362" s="60"/>
      <c r="BV362" s="60"/>
      <c r="BW362" s="60"/>
      <c r="BX362" s="60"/>
      <c r="BY362" s="60"/>
      <c r="BZ362" s="60"/>
      <c r="CA362" s="60"/>
      <c r="CB362" s="60"/>
      <c r="CC362" s="60"/>
      <c r="CD362" s="60"/>
      <c r="CE362" s="60"/>
      <c r="CF362" s="60"/>
      <c r="CG362" s="60"/>
      <c r="CH362" s="60"/>
      <c r="CI362" s="60"/>
      <c r="CJ362" s="60"/>
      <c r="CK362" s="60"/>
      <c r="CL362" s="60"/>
      <c r="CM362" s="60"/>
      <c r="CN362" s="60"/>
      <c r="CO362" s="60"/>
      <c r="CP362" s="60"/>
      <c r="CQ362" s="60"/>
      <c r="CR362" s="60"/>
      <c r="CS362" s="60"/>
    </row>
    <row r="363" spans="1:97" s="89" customFormat="1" ht="16.399999999999999" hidden="1" customHeight="1" x14ac:dyDescent="0.3">
      <c r="B363" s="211"/>
      <c r="C363" s="211"/>
      <c r="D363" s="1289"/>
      <c r="E363" s="309"/>
      <c r="F363" s="697"/>
      <c r="G363" s="72"/>
      <c r="H363" s="65"/>
      <c r="I363" s="65"/>
      <c r="J363" s="65"/>
      <c r="K363" s="68"/>
      <c r="L363" s="217"/>
      <c r="M363" s="65"/>
      <c r="N363" s="65"/>
      <c r="O363" s="65"/>
      <c r="P363" s="65"/>
      <c r="Q363" s="67"/>
      <c r="R363" s="217"/>
      <c r="S363" s="65"/>
      <c r="T363" s="65"/>
      <c r="U363" s="65"/>
      <c r="V363" s="65"/>
      <c r="W363" s="66"/>
      <c r="X363" s="736"/>
      <c r="Y363" s="65"/>
      <c r="Z363" s="65"/>
      <c r="AA363" s="65"/>
      <c r="AB363" s="65"/>
      <c r="AC363" s="66"/>
      <c r="AD363" s="66"/>
      <c r="AE363" s="66"/>
      <c r="AF363" s="66"/>
      <c r="AG363" s="66"/>
      <c r="AH363" s="66"/>
      <c r="AI363" s="66"/>
      <c r="AJ363" s="66"/>
      <c r="AK363" s="66"/>
      <c r="AL363" s="66"/>
      <c r="AM363" s="66"/>
      <c r="AN363" s="66"/>
      <c r="AO363" s="66"/>
      <c r="AP363" s="71"/>
      <c r="AQ363" s="179"/>
      <c r="AR363" s="114"/>
      <c r="AS363" s="313"/>
      <c r="AT363" s="177"/>
      <c r="AU363" s="178"/>
      <c r="AV363" s="60"/>
      <c r="AW363" s="60"/>
      <c r="AX363" s="60"/>
      <c r="AY363" s="60"/>
      <c r="AZ363" s="60"/>
      <c r="BA363" s="60"/>
      <c r="BB363" s="60"/>
      <c r="BC363" s="345"/>
      <c r="BD363" s="345"/>
      <c r="BE363" s="346"/>
      <c r="BF363" s="347"/>
      <c r="BG363" s="347"/>
      <c r="BH363" s="347"/>
      <c r="BI363" s="60"/>
      <c r="BJ363" s="60"/>
      <c r="BK363" s="60"/>
      <c r="BL363" s="60"/>
      <c r="BM363" s="60"/>
      <c r="BN363" s="60"/>
      <c r="BO363" s="60"/>
      <c r="BP363" s="60"/>
      <c r="BQ363" s="60"/>
      <c r="BR363" s="60"/>
      <c r="BS363" s="60"/>
      <c r="BT363" s="60"/>
      <c r="BU363" s="60"/>
      <c r="BV363" s="60"/>
      <c r="BW363" s="60"/>
      <c r="BX363" s="60"/>
      <c r="BY363" s="60"/>
      <c r="BZ363" s="60"/>
      <c r="CA363" s="60"/>
      <c r="CB363" s="60"/>
      <c r="CC363" s="60"/>
      <c r="CD363" s="60"/>
      <c r="CE363" s="60"/>
      <c r="CF363" s="60"/>
      <c r="CG363" s="60"/>
      <c r="CH363" s="60"/>
      <c r="CI363" s="60"/>
      <c r="CJ363" s="60"/>
      <c r="CK363" s="60"/>
      <c r="CL363" s="60"/>
      <c r="CM363" s="60"/>
      <c r="CN363" s="60"/>
      <c r="CO363" s="60"/>
      <c r="CP363" s="60"/>
      <c r="CQ363" s="60"/>
      <c r="CR363" s="60"/>
      <c r="CS363" s="60"/>
    </row>
    <row r="364" spans="1:97" s="89" customFormat="1" ht="16.399999999999999" hidden="1" customHeight="1" thickBot="1" x14ac:dyDescent="0.35">
      <c r="B364" s="211"/>
      <c r="C364" s="211"/>
      <c r="D364" s="1290"/>
      <c r="E364" s="311"/>
      <c r="F364" s="697"/>
      <c r="G364" s="79"/>
      <c r="H364" s="74"/>
      <c r="I364" s="74"/>
      <c r="J364" s="74"/>
      <c r="K364" s="75"/>
      <c r="L364" s="218"/>
      <c r="M364" s="74"/>
      <c r="N364" s="74"/>
      <c r="O364" s="74"/>
      <c r="P364" s="74"/>
      <c r="Q364" s="76"/>
      <c r="R364" s="218"/>
      <c r="S364" s="74"/>
      <c r="T364" s="74"/>
      <c r="U364" s="74"/>
      <c r="V364" s="74"/>
      <c r="W364" s="77"/>
      <c r="X364" s="737"/>
      <c r="Y364" s="74"/>
      <c r="Z364" s="74"/>
      <c r="AA364" s="74"/>
      <c r="AB364" s="74"/>
      <c r="AC364" s="77"/>
      <c r="AD364" s="77"/>
      <c r="AE364" s="77"/>
      <c r="AF364" s="77"/>
      <c r="AG364" s="77"/>
      <c r="AH364" s="77"/>
      <c r="AI364" s="77"/>
      <c r="AJ364" s="77"/>
      <c r="AK364" s="77"/>
      <c r="AL364" s="77"/>
      <c r="AM364" s="77"/>
      <c r="AN364" s="77"/>
      <c r="AO364" s="77"/>
      <c r="AP364" s="78"/>
      <c r="AQ364" s="180"/>
      <c r="AR364" s="115"/>
      <c r="AS364" s="313"/>
      <c r="AT364" s="177"/>
      <c r="AU364" s="178"/>
      <c r="AV364" s="60"/>
      <c r="AW364" s="60"/>
      <c r="AX364" s="60"/>
      <c r="AY364" s="60"/>
      <c r="AZ364" s="60"/>
      <c r="BA364" s="60"/>
      <c r="BB364" s="60"/>
      <c r="BC364" s="345"/>
      <c r="BD364" s="345"/>
      <c r="BE364" s="346"/>
      <c r="BF364" s="347"/>
      <c r="BG364" s="347"/>
      <c r="BH364" s="347"/>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row>
    <row r="365" spans="1:97" hidden="1" x14ac:dyDescent="0.35">
      <c r="A365" s="89"/>
    </row>
    <row r="366" spans="1:97" x14ac:dyDescent="0.35">
      <c r="A366" s="89"/>
    </row>
    <row r="367" spans="1:97" x14ac:dyDescent="0.35">
      <c r="A367" s="89"/>
    </row>
    <row r="368" spans="1:97" x14ac:dyDescent="0.35">
      <c r="A368" s="89"/>
    </row>
    <row r="369" spans="1:1" x14ac:dyDescent="0.35">
      <c r="A369" s="89"/>
    </row>
    <row r="370" spans="1:1" x14ac:dyDescent="0.35">
      <c r="A370" s="89"/>
    </row>
    <row r="371" spans="1:1" x14ac:dyDescent="0.35">
      <c r="A371" s="185"/>
    </row>
    <row r="372" spans="1:1" x14ac:dyDescent="0.35">
      <c r="A372" s="89"/>
    </row>
    <row r="373" spans="1:1" x14ac:dyDescent="0.35">
      <c r="A373" s="89"/>
    </row>
    <row r="374" spans="1:1" x14ac:dyDescent="0.35">
      <c r="A374" s="89"/>
    </row>
    <row r="375" spans="1:1" x14ac:dyDescent="0.35">
      <c r="A375" s="89"/>
    </row>
    <row r="376" spans="1:1" x14ac:dyDescent="0.35">
      <c r="A376" s="89"/>
    </row>
    <row r="377" spans="1:1" x14ac:dyDescent="0.35">
      <c r="A377" s="89"/>
    </row>
    <row r="378" spans="1:1" x14ac:dyDescent="0.35">
      <c r="A378" s="89"/>
    </row>
    <row r="379" spans="1:1" x14ac:dyDescent="0.35">
      <c r="A379" s="89"/>
    </row>
    <row r="380" spans="1:1" x14ac:dyDescent="0.35">
      <c r="A380" s="89"/>
    </row>
    <row r="381" spans="1:1" x14ac:dyDescent="0.35">
      <c r="A381" s="89"/>
    </row>
    <row r="382" spans="1:1" x14ac:dyDescent="0.35">
      <c r="A382" s="89"/>
    </row>
    <row r="383" spans="1:1" x14ac:dyDescent="0.35">
      <c r="A383" s="89"/>
    </row>
    <row r="384" spans="1:1" x14ac:dyDescent="0.35">
      <c r="A384" s="89"/>
    </row>
    <row r="385" spans="1:1" x14ac:dyDescent="0.35">
      <c r="A385" s="89"/>
    </row>
    <row r="386" spans="1:1" x14ac:dyDescent="0.35">
      <c r="A386" s="89"/>
    </row>
    <row r="387" spans="1:1" x14ac:dyDescent="0.35">
      <c r="A387" s="89"/>
    </row>
    <row r="388" spans="1:1" x14ac:dyDescent="0.35">
      <c r="A388" s="89"/>
    </row>
    <row r="389" spans="1:1" x14ac:dyDescent="0.35">
      <c r="A389" s="89"/>
    </row>
    <row r="390" spans="1:1" x14ac:dyDescent="0.35">
      <c r="A390" s="89"/>
    </row>
    <row r="391" spans="1:1" x14ac:dyDescent="0.35">
      <c r="A391" s="89"/>
    </row>
    <row r="392" spans="1:1" x14ac:dyDescent="0.35">
      <c r="A392" s="89"/>
    </row>
    <row r="393" spans="1:1" x14ac:dyDescent="0.35">
      <c r="A393" s="89"/>
    </row>
    <row r="394" spans="1:1" x14ac:dyDescent="0.35">
      <c r="A394" s="89"/>
    </row>
    <row r="395" spans="1:1" x14ac:dyDescent="0.35">
      <c r="A395" s="89"/>
    </row>
    <row r="396" spans="1:1" x14ac:dyDescent="0.35">
      <c r="A396" s="89"/>
    </row>
    <row r="397" spans="1:1" x14ac:dyDescent="0.35">
      <c r="A397" s="89"/>
    </row>
    <row r="398" spans="1:1" x14ac:dyDescent="0.35">
      <c r="A398" s="89"/>
    </row>
    <row r="399" spans="1:1" x14ac:dyDescent="0.35">
      <c r="A399" s="89"/>
    </row>
    <row r="400" spans="1:1" x14ac:dyDescent="0.35">
      <c r="A400" s="89"/>
    </row>
    <row r="401" spans="1:1" x14ac:dyDescent="0.35">
      <c r="A401" s="89"/>
    </row>
    <row r="402" spans="1:1" x14ac:dyDescent="0.35">
      <c r="A402" s="89"/>
    </row>
    <row r="403" spans="1:1" x14ac:dyDescent="0.35">
      <c r="A403" s="89"/>
    </row>
    <row r="404" spans="1:1" x14ac:dyDescent="0.35">
      <c r="A404" s="89"/>
    </row>
    <row r="405" spans="1:1" x14ac:dyDescent="0.35">
      <c r="A405" s="89"/>
    </row>
    <row r="406" spans="1:1" x14ac:dyDescent="0.35">
      <c r="A406" s="89"/>
    </row>
    <row r="407" spans="1:1" x14ac:dyDescent="0.35">
      <c r="A407" s="89"/>
    </row>
    <row r="408" spans="1:1" x14ac:dyDescent="0.35">
      <c r="A408" s="89"/>
    </row>
    <row r="409" spans="1:1" x14ac:dyDescent="0.35">
      <c r="A409" s="89"/>
    </row>
    <row r="410" spans="1:1" x14ac:dyDescent="0.35">
      <c r="A410" s="89"/>
    </row>
    <row r="411" spans="1:1" x14ac:dyDescent="0.35">
      <c r="A411" s="89"/>
    </row>
    <row r="412" spans="1:1" x14ac:dyDescent="0.35">
      <c r="A412" s="175"/>
    </row>
    <row r="413" spans="1:1" x14ac:dyDescent="0.35">
      <c r="A413" s="89"/>
    </row>
    <row r="414" spans="1:1" x14ac:dyDescent="0.35">
      <c r="A414" s="89"/>
    </row>
    <row r="415" spans="1:1" x14ac:dyDescent="0.35">
      <c r="A415" s="89"/>
    </row>
    <row r="416" spans="1:1" x14ac:dyDescent="0.35">
      <c r="A416" s="89"/>
    </row>
    <row r="417" spans="1:1" x14ac:dyDescent="0.35">
      <c r="A417" s="89"/>
    </row>
    <row r="418" spans="1:1" x14ac:dyDescent="0.35">
      <c r="A418" s="89"/>
    </row>
    <row r="419" spans="1:1" x14ac:dyDescent="0.35">
      <c r="A419" s="89"/>
    </row>
    <row r="420" spans="1:1" x14ac:dyDescent="0.35">
      <c r="A420" s="89"/>
    </row>
    <row r="421" spans="1:1" x14ac:dyDescent="0.35">
      <c r="A421" s="89"/>
    </row>
    <row r="422" spans="1:1" x14ac:dyDescent="0.35">
      <c r="A422" s="89"/>
    </row>
    <row r="423" spans="1:1" x14ac:dyDescent="0.35">
      <c r="A423" s="89"/>
    </row>
    <row r="424" spans="1:1" x14ac:dyDescent="0.35">
      <c r="A424" s="89"/>
    </row>
    <row r="425" spans="1:1" x14ac:dyDescent="0.35">
      <c r="A425" s="89"/>
    </row>
    <row r="426" spans="1:1" x14ac:dyDescent="0.35">
      <c r="A426" s="89"/>
    </row>
    <row r="427" spans="1:1" x14ac:dyDescent="0.35">
      <c r="A427" s="89"/>
    </row>
    <row r="428" spans="1:1" x14ac:dyDescent="0.35">
      <c r="A428" s="89"/>
    </row>
    <row r="429" spans="1:1" x14ac:dyDescent="0.35">
      <c r="A429" s="89"/>
    </row>
    <row r="430" spans="1:1" x14ac:dyDescent="0.35">
      <c r="A430" s="89"/>
    </row>
    <row r="431" spans="1:1" x14ac:dyDescent="0.35">
      <c r="A431" s="89"/>
    </row>
    <row r="432" spans="1:1" x14ac:dyDescent="0.35">
      <c r="A432" s="89"/>
    </row>
    <row r="433" spans="1:1" x14ac:dyDescent="0.35">
      <c r="A433" s="89"/>
    </row>
    <row r="434" spans="1:1" x14ac:dyDescent="0.35">
      <c r="A434" s="89"/>
    </row>
    <row r="435" spans="1:1" x14ac:dyDescent="0.35">
      <c r="A435" s="89"/>
    </row>
    <row r="436" spans="1:1" x14ac:dyDescent="0.35">
      <c r="A436" s="89"/>
    </row>
    <row r="437" spans="1:1" x14ac:dyDescent="0.35">
      <c r="A437" s="89"/>
    </row>
    <row r="438" spans="1:1" x14ac:dyDescent="0.35">
      <c r="A438" s="89"/>
    </row>
    <row r="439" spans="1:1" x14ac:dyDescent="0.35">
      <c r="A439" s="89"/>
    </row>
    <row r="440" spans="1:1" x14ac:dyDescent="0.35">
      <c r="A440" s="175"/>
    </row>
    <row r="441" spans="1:1" x14ac:dyDescent="0.35">
      <c r="A441" s="89"/>
    </row>
    <row r="442" spans="1:1" x14ac:dyDescent="0.35">
      <c r="A442" s="89"/>
    </row>
    <row r="443" spans="1:1" x14ac:dyDescent="0.35">
      <c r="A443" s="89"/>
    </row>
    <row r="444" spans="1:1" x14ac:dyDescent="0.35">
      <c r="A444" s="89"/>
    </row>
    <row r="445" spans="1:1" x14ac:dyDescent="0.35">
      <c r="A445" s="89"/>
    </row>
    <row r="446" spans="1:1" x14ac:dyDescent="0.35">
      <c r="A446" s="89"/>
    </row>
    <row r="447" spans="1:1" x14ac:dyDescent="0.35">
      <c r="A447" s="89"/>
    </row>
    <row r="448" spans="1:1" x14ac:dyDescent="0.35">
      <c r="A448" s="89"/>
    </row>
    <row r="449" spans="1:1" x14ac:dyDescent="0.35">
      <c r="A449" s="89"/>
    </row>
    <row r="450" spans="1:1" x14ac:dyDescent="0.35">
      <c r="A450" s="89"/>
    </row>
    <row r="451" spans="1:1" x14ac:dyDescent="0.35">
      <c r="A451" s="89"/>
    </row>
    <row r="452" spans="1:1" x14ac:dyDescent="0.35">
      <c r="A452" s="89"/>
    </row>
    <row r="453" spans="1:1" x14ac:dyDescent="0.35">
      <c r="A453" s="89"/>
    </row>
    <row r="454" spans="1:1" x14ac:dyDescent="0.35">
      <c r="A454" s="89"/>
    </row>
    <row r="455" spans="1:1" x14ac:dyDescent="0.35">
      <c r="A455" s="89"/>
    </row>
    <row r="456" spans="1:1" x14ac:dyDescent="0.35">
      <c r="A456" s="89"/>
    </row>
    <row r="457" spans="1:1" x14ac:dyDescent="0.35">
      <c r="A457" s="89"/>
    </row>
    <row r="458" spans="1:1" x14ac:dyDescent="0.35">
      <c r="A458" s="89"/>
    </row>
    <row r="459" spans="1:1" x14ac:dyDescent="0.35">
      <c r="A459" s="89"/>
    </row>
    <row r="460" spans="1:1" x14ac:dyDescent="0.35">
      <c r="A460" s="89"/>
    </row>
    <row r="461" spans="1:1" x14ac:dyDescent="0.35">
      <c r="A461" s="89"/>
    </row>
    <row r="462" spans="1:1" x14ac:dyDescent="0.35">
      <c r="A462" s="89"/>
    </row>
    <row r="463" spans="1:1" x14ac:dyDescent="0.35">
      <c r="A463" s="89"/>
    </row>
    <row r="464" spans="1:1" x14ac:dyDescent="0.35">
      <c r="A464" s="89"/>
    </row>
    <row r="465" spans="1:1" x14ac:dyDescent="0.35">
      <c r="A465" s="89"/>
    </row>
    <row r="466" spans="1:1" x14ac:dyDescent="0.35">
      <c r="A466" s="89"/>
    </row>
    <row r="467" spans="1:1" x14ac:dyDescent="0.35">
      <c r="A467" s="89"/>
    </row>
    <row r="468" spans="1:1" x14ac:dyDescent="0.35">
      <c r="A468" s="89"/>
    </row>
    <row r="469" spans="1:1" x14ac:dyDescent="0.35">
      <c r="A469" s="89"/>
    </row>
    <row r="470" spans="1:1" x14ac:dyDescent="0.35">
      <c r="A470" s="89"/>
    </row>
    <row r="471" spans="1:1" x14ac:dyDescent="0.35">
      <c r="A471" s="89"/>
    </row>
    <row r="472" spans="1:1" x14ac:dyDescent="0.35">
      <c r="A472" s="89"/>
    </row>
    <row r="473" spans="1:1" x14ac:dyDescent="0.35">
      <c r="A473" s="89"/>
    </row>
    <row r="474" spans="1:1" x14ac:dyDescent="0.35">
      <c r="A474" s="89"/>
    </row>
    <row r="475" spans="1:1" x14ac:dyDescent="0.35">
      <c r="A475" s="89"/>
    </row>
    <row r="476" spans="1:1" x14ac:dyDescent="0.35">
      <c r="A476" s="89"/>
    </row>
    <row r="477" spans="1:1" x14ac:dyDescent="0.35">
      <c r="A477" s="89"/>
    </row>
    <row r="478" spans="1:1" x14ac:dyDescent="0.35">
      <c r="A478" s="89"/>
    </row>
    <row r="479" spans="1:1" x14ac:dyDescent="0.35">
      <c r="A479" s="89"/>
    </row>
    <row r="480" spans="1:1" x14ac:dyDescent="0.35">
      <c r="A480" s="89"/>
    </row>
    <row r="481" spans="1:1" x14ac:dyDescent="0.35">
      <c r="A481" s="175"/>
    </row>
    <row r="482" spans="1:1" x14ac:dyDescent="0.35">
      <c r="A482" s="89"/>
    </row>
    <row r="483" spans="1:1" x14ac:dyDescent="0.35">
      <c r="A483" s="89"/>
    </row>
    <row r="484" spans="1:1" x14ac:dyDescent="0.35">
      <c r="A484" s="89"/>
    </row>
    <row r="485" spans="1:1" x14ac:dyDescent="0.35">
      <c r="A485" s="89"/>
    </row>
    <row r="486" spans="1:1" x14ac:dyDescent="0.35">
      <c r="A486" s="89"/>
    </row>
    <row r="487" spans="1:1" x14ac:dyDescent="0.35">
      <c r="A487" s="89"/>
    </row>
    <row r="488" spans="1:1" x14ac:dyDescent="0.35">
      <c r="A488" s="89"/>
    </row>
    <row r="489" spans="1:1" x14ac:dyDescent="0.35">
      <c r="A489" s="89"/>
    </row>
    <row r="490" spans="1:1" x14ac:dyDescent="0.35">
      <c r="A490" s="89"/>
    </row>
    <row r="491" spans="1:1" x14ac:dyDescent="0.35">
      <c r="A491" s="89"/>
    </row>
    <row r="492" spans="1:1" x14ac:dyDescent="0.35">
      <c r="A492" s="89"/>
    </row>
    <row r="493" spans="1:1" x14ac:dyDescent="0.35">
      <c r="A493" s="89"/>
    </row>
    <row r="494" spans="1:1" x14ac:dyDescent="0.35">
      <c r="A494" s="89"/>
    </row>
    <row r="495" spans="1:1" x14ac:dyDescent="0.35">
      <c r="A495" s="89"/>
    </row>
    <row r="496" spans="1:1" x14ac:dyDescent="0.35">
      <c r="A496" s="89"/>
    </row>
    <row r="497" spans="1:1" x14ac:dyDescent="0.35">
      <c r="A497" s="89"/>
    </row>
    <row r="498" spans="1:1" x14ac:dyDescent="0.35">
      <c r="A498" s="89"/>
    </row>
    <row r="499" spans="1:1" x14ac:dyDescent="0.35">
      <c r="A499" s="89"/>
    </row>
    <row r="500" spans="1:1" x14ac:dyDescent="0.35">
      <c r="A500" s="89"/>
    </row>
    <row r="501" spans="1:1" x14ac:dyDescent="0.35">
      <c r="A501" s="89"/>
    </row>
    <row r="502" spans="1:1" x14ac:dyDescent="0.35">
      <c r="A502" s="89"/>
    </row>
    <row r="503" spans="1:1" x14ac:dyDescent="0.35">
      <c r="A503" s="89"/>
    </row>
    <row r="504" spans="1:1" x14ac:dyDescent="0.35">
      <c r="A504" s="89"/>
    </row>
    <row r="505" spans="1:1" x14ac:dyDescent="0.35">
      <c r="A505" s="89"/>
    </row>
    <row r="506" spans="1:1" x14ac:dyDescent="0.35">
      <c r="A506" s="89"/>
    </row>
    <row r="507" spans="1:1" x14ac:dyDescent="0.35">
      <c r="A507" s="89"/>
    </row>
    <row r="508" spans="1:1" x14ac:dyDescent="0.35">
      <c r="A508" s="89"/>
    </row>
  </sheetData>
  <sheetProtection algorithmName="SHA-512" hashValue="43yr9GaN+j1Tl52h7mFSI2noOHUrJhUqDjoD+1QRNp4UlpKqp47OFb+aZhONmtEsU6k/8YFpOX7M6/oqDOQliA==" saltValue="UpnzfibI0WDBFpt2BCQ3rA==" spinCount="100000" sheet="1" formatColumns="0" autoFilter="0"/>
  <mergeCells count="179">
    <mergeCell ref="P3:Q3"/>
    <mergeCell ref="E5:E6"/>
    <mergeCell ref="F5:F6"/>
    <mergeCell ref="H5:I6"/>
    <mergeCell ref="J5:L6"/>
    <mergeCell ref="N5:O6"/>
    <mergeCell ref="E1:M1"/>
    <mergeCell ref="O1:O2"/>
    <mergeCell ref="E3:E4"/>
    <mergeCell ref="F3:F4"/>
    <mergeCell ref="H3:I4"/>
    <mergeCell ref="J3:L4"/>
    <mergeCell ref="N3:O4"/>
    <mergeCell ref="D7:R7"/>
    <mergeCell ref="D8:R8"/>
    <mergeCell ref="F13:G13"/>
    <mergeCell ref="D14:E16"/>
    <mergeCell ref="F14:F16"/>
    <mergeCell ref="G14:K15"/>
    <mergeCell ref="L14:L16"/>
    <mergeCell ref="M14:Q15"/>
    <mergeCell ref="R14:R16"/>
    <mergeCell ref="AK14:AO15"/>
    <mergeCell ref="AP14:AP15"/>
    <mergeCell ref="AQ14:AQ15"/>
    <mergeCell ref="AR14:AR16"/>
    <mergeCell ref="D17:D31"/>
    <mergeCell ref="G33:H33"/>
    <mergeCell ref="S14:W15"/>
    <mergeCell ref="X14:X16"/>
    <mergeCell ref="Y14:AC15"/>
    <mergeCell ref="AD14:AD16"/>
    <mergeCell ref="AE14:AI15"/>
    <mergeCell ref="AJ14:AJ16"/>
    <mergeCell ref="AP34:AP35"/>
    <mergeCell ref="AQ34:AQ35"/>
    <mergeCell ref="AR34:AR36"/>
    <mergeCell ref="AS34:AS36"/>
    <mergeCell ref="D37:D51"/>
    <mergeCell ref="S34:W35"/>
    <mergeCell ref="X34:X36"/>
    <mergeCell ref="Y34:AC35"/>
    <mergeCell ref="AD34:AD36"/>
    <mergeCell ref="AE34:AI35"/>
    <mergeCell ref="AJ34:AJ36"/>
    <mergeCell ref="D34:E36"/>
    <mergeCell ref="F34:F36"/>
    <mergeCell ref="G34:K35"/>
    <mergeCell ref="L34:L36"/>
    <mergeCell ref="M34:Q35"/>
    <mergeCell ref="R34:R36"/>
    <mergeCell ref="D53:D63"/>
    <mergeCell ref="D65:D78"/>
    <mergeCell ref="D80:F80"/>
    <mergeCell ref="H80:I80"/>
    <mergeCell ref="J80:K80"/>
    <mergeCell ref="D81:E83"/>
    <mergeCell ref="F81:F83"/>
    <mergeCell ref="G81:K82"/>
    <mergeCell ref="AK34:AO35"/>
    <mergeCell ref="AR81:AR83"/>
    <mergeCell ref="AS81:AS83"/>
    <mergeCell ref="D84:D98"/>
    <mergeCell ref="D100:D110"/>
    <mergeCell ref="D112:D125"/>
    <mergeCell ref="D128:F128"/>
    <mergeCell ref="H128:I128"/>
    <mergeCell ref="AD81:AD83"/>
    <mergeCell ref="AE81:AI82"/>
    <mergeCell ref="AJ81:AJ83"/>
    <mergeCell ref="AK81:AO82"/>
    <mergeCell ref="AP81:AP82"/>
    <mergeCell ref="AQ81:AQ82"/>
    <mergeCell ref="L81:L83"/>
    <mergeCell ref="M81:Q82"/>
    <mergeCell ref="R81:R83"/>
    <mergeCell ref="S81:W82"/>
    <mergeCell ref="X81:X83"/>
    <mergeCell ref="Y81:AC82"/>
    <mergeCell ref="AR129:AR131"/>
    <mergeCell ref="AS129:AS131"/>
    <mergeCell ref="D132:D146"/>
    <mergeCell ref="S129:W130"/>
    <mergeCell ref="X129:X131"/>
    <mergeCell ref="Y129:AC130"/>
    <mergeCell ref="AD129:AD131"/>
    <mergeCell ref="AE129:AI130"/>
    <mergeCell ref="AJ129:AJ131"/>
    <mergeCell ref="D129:E131"/>
    <mergeCell ref="F129:F131"/>
    <mergeCell ref="G129:K130"/>
    <mergeCell ref="L129:L131"/>
    <mergeCell ref="M129:Q130"/>
    <mergeCell ref="R129:R131"/>
    <mergeCell ref="D148:D158"/>
    <mergeCell ref="D160:D173"/>
    <mergeCell ref="H177:I177"/>
    <mergeCell ref="D178:E180"/>
    <mergeCell ref="F178:F180"/>
    <mergeCell ref="G178:K179"/>
    <mergeCell ref="AK129:AO130"/>
    <mergeCell ref="AP129:AP130"/>
    <mergeCell ref="AQ129:AQ130"/>
    <mergeCell ref="AR178:AR180"/>
    <mergeCell ref="AS178:AS180"/>
    <mergeCell ref="D181:D195"/>
    <mergeCell ref="D197:D207"/>
    <mergeCell ref="D209:D222"/>
    <mergeCell ref="H224:I224"/>
    <mergeCell ref="AD178:AD180"/>
    <mergeCell ref="AE178:AI179"/>
    <mergeCell ref="AJ178:AJ180"/>
    <mergeCell ref="AK178:AO179"/>
    <mergeCell ref="AP178:AP179"/>
    <mergeCell ref="AQ178:AQ179"/>
    <mergeCell ref="L178:L180"/>
    <mergeCell ref="M178:Q179"/>
    <mergeCell ref="R178:R180"/>
    <mergeCell ref="S178:W179"/>
    <mergeCell ref="X178:X180"/>
    <mergeCell ref="Y178:AC179"/>
    <mergeCell ref="AR225:AR227"/>
    <mergeCell ref="D228:D242"/>
    <mergeCell ref="D244:D254"/>
    <mergeCell ref="S225:W226"/>
    <mergeCell ref="X225:X227"/>
    <mergeCell ref="Y225:AC226"/>
    <mergeCell ref="AD225:AD227"/>
    <mergeCell ref="AE225:AI226"/>
    <mergeCell ref="AJ225:AJ227"/>
    <mergeCell ref="D225:E227"/>
    <mergeCell ref="F225:F227"/>
    <mergeCell ref="G225:K226"/>
    <mergeCell ref="L225:L227"/>
    <mergeCell ref="M225:Q226"/>
    <mergeCell ref="R225:R227"/>
    <mergeCell ref="D256:D269"/>
    <mergeCell ref="H272:I272"/>
    <mergeCell ref="D273:E275"/>
    <mergeCell ref="F273:F275"/>
    <mergeCell ref="G273:K274"/>
    <mergeCell ref="L273:L275"/>
    <mergeCell ref="AK225:AO226"/>
    <mergeCell ref="AP225:AP226"/>
    <mergeCell ref="AQ225:AQ226"/>
    <mergeCell ref="AP273:AP274"/>
    <mergeCell ref="AQ273:AQ274"/>
    <mergeCell ref="H319:I319"/>
    <mergeCell ref="D320:E322"/>
    <mergeCell ref="F320:F322"/>
    <mergeCell ref="G320:K321"/>
    <mergeCell ref="AE273:AI274"/>
    <mergeCell ref="AJ273:AJ275"/>
    <mergeCell ref="AK273:AO274"/>
    <mergeCell ref="AR320:AR322"/>
    <mergeCell ref="D323:D337"/>
    <mergeCell ref="AR273:AR275"/>
    <mergeCell ref="M273:Q274"/>
    <mergeCell ref="R273:R275"/>
    <mergeCell ref="S273:W274"/>
    <mergeCell ref="X273:X275"/>
    <mergeCell ref="Y273:AC274"/>
    <mergeCell ref="AD273:AD275"/>
    <mergeCell ref="D276:D290"/>
    <mergeCell ref="D292:D302"/>
    <mergeCell ref="D339:D349"/>
    <mergeCell ref="D351:D364"/>
    <mergeCell ref="AD320:AD322"/>
    <mergeCell ref="AE320:AI321"/>
    <mergeCell ref="AJ320:AJ322"/>
    <mergeCell ref="AK320:AO321"/>
    <mergeCell ref="AP320:AP321"/>
    <mergeCell ref="AQ320:AQ321"/>
    <mergeCell ref="L320:L322"/>
    <mergeCell ref="M320:Q321"/>
    <mergeCell ref="R320:R322"/>
    <mergeCell ref="S320:W321"/>
    <mergeCell ref="X320:X322"/>
    <mergeCell ref="Y320:AC321"/>
  </mergeCells>
  <dataValidations count="2">
    <dataValidation type="decimal" allowBlank="1" showInputMessage="1" showErrorMessage="1" error="% must be between 0.1 to 100" sqref="F276:F302 X17:X31 R17:R31 L17:L31 F323:F364 X37:X63 R37:R63 L37:L63 F37:F63 X84:X110 R84:R110 L84:L110 F84:F110 X132:X158 R132:R158 L132:L158 X181:X207 R181:R207 L181:L207 F132:F158 F181:F207 X228:X254 R228:R254 L228:L254 F228:F254 X276:X302 R276:R302 L276:L302 R323:R349 L323:L349 X323:X349 F17:F31" xr:uid="{B07A1E62-9A14-49E5-A6A4-677A9ACDB89B}">
      <formula1>0</formula1>
      <formula2>1</formula2>
    </dataValidation>
    <dataValidation type="decimal" allowBlank="1" showInputMessage="1" showErrorMessage="1" sqref="X64:X78 F64:F78 L64:L78 R64:R78 X255:X269 F255:F269 L255:L269 R255:R269 X111:X126 F111:F126 L111:L126 R111:R126 X159:X173 F159:F173 L159:L173 R159:R173 X208:X222 F208:F222 L208:L222 R208:R222 X303:X317 F303:F317 L303:L317 R303:R317 X350:X364 R350:R364 L350:L364" xr:uid="{C8557A15-5DF7-446B-9C1E-B939F07A201C}">
      <formula1>0</formula1>
      <formula2>10</formula2>
    </dataValidation>
  </dataValidations>
  <hyperlinks>
    <hyperlink ref="X8:Y9" location="'RSSH- HPM &amp;Lab System'!A50" display="'RSSH- HPM &amp;Lab System'!A50" xr:uid="{64F1C214-E254-43B1-A50E-5B7485C83819}"/>
  </hyperlink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 id="{579FD987-CC39-4883-9DB9-12052989763F}">
            <xm:f>SETUP!$K$20='Master Data-C19RM'!$J$10</xm:f>
            <x14:dxf>
              <fill>
                <patternFill>
                  <bgColor rgb="FF2705D1"/>
                </patternFill>
              </fill>
            </x14:dxf>
          </x14:cfRule>
          <x14:cfRule type="expression" priority="2" id="{971208C7-1671-419C-B707-D690BB29A8D8}">
            <xm:f>SETUP!$K$20='Master Data-C19RM'!$J$9</xm:f>
            <x14:dxf>
              <fill>
                <patternFill>
                  <bgColor rgb="FFF75535"/>
                </patternFill>
              </fill>
            </x14:dxf>
          </x14:cfRule>
          <xm:sqref>E1:M1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35048-3A4F-41B4-840A-1605E20B792E}">
  <dimension ref="A2:G11"/>
  <sheetViews>
    <sheetView zoomScale="60" zoomScaleNormal="60" workbookViewId="0">
      <selection activeCell="K17" sqref="K17"/>
    </sheetView>
  </sheetViews>
  <sheetFormatPr defaultRowHeight="14.5" x14ac:dyDescent="0.35"/>
  <cols>
    <col min="1" max="1" width="15.81640625" customWidth="1"/>
    <col min="2" max="2" width="29.08984375" customWidth="1"/>
    <col min="3" max="3" width="34.36328125" customWidth="1"/>
    <col min="4" max="4" width="22.1796875" customWidth="1"/>
    <col min="5" max="5" width="34" customWidth="1"/>
    <col min="6" max="6" width="5.1796875" customWidth="1"/>
    <col min="7" max="7" width="27.453125" customWidth="1"/>
  </cols>
  <sheetData>
    <row r="2" spans="1:7" ht="15" thickBot="1" x14ac:dyDescent="0.4"/>
    <row r="3" spans="1:7" ht="55" customHeight="1" thickBot="1" x14ac:dyDescent="0.4">
      <c r="B3" s="119" t="s">
        <v>1947</v>
      </c>
      <c r="C3" s="120" t="s">
        <v>1948</v>
      </c>
      <c r="D3" s="120" t="s">
        <v>3051</v>
      </c>
      <c r="E3" s="119" t="s">
        <v>3050</v>
      </c>
      <c r="G3" s="119" t="s">
        <v>3668</v>
      </c>
    </row>
    <row r="4" spans="1:7" ht="21.5" thickBot="1" x14ac:dyDescent="0.55000000000000004">
      <c r="A4" s="153" t="s">
        <v>1977</v>
      </c>
      <c r="B4" s="356">
        <f>SUM('Cashflow Summary C19RM'!$BA$5:$BA$103)</f>
        <v>0</v>
      </c>
      <c r="C4" s="118">
        <f>SUM('HPM costs-C19RM'!$BI$17:$BI$350)</f>
        <v>0</v>
      </c>
      <c r="D4" s="118">
        <f>SUM('Fixed Cost-C19RM'!AO5:AO300)</f>
        <v>0</v>
      </c>
      <c r="E4" s="118">
        <f>SUM('Detailed BudgetC19RM'!BK6:BK74)</f>
        <v>0</v>
      </c>
      <c r="G4" s="118">
        <f>E4-(B4+C4+D4)</f>
        <v>0</v>
      </c>
    </row>
    <row r="5" spans="1:7" ht="21.5" thickBot="1" x14ac:dyDescent="0.55000000000000004">
      <c r="A5" s="354" t="s">
        <v>83</v>
      </c>
      <c r="B5" s="357" cm="1">
        <f t="array" ref="B5">SUMPRODUCT(('Cashflow Summary C19RM'!$BB$5:$BB$103=$A$5)*('Cashflow Summary C19RM'!$BA$5:$BA$103))</f>
        <v>0</v>
      </c>
      <c r="C5" s="358" cm="1">
        <f t="array" ref="C5">IFERROR((SUMPRODUCT(('HPM costs-C19RM'!$BJ$17:$BJ$350=A5)*('HPM costs-C19RM'!$BI$17:$BI$350))),0)</f>
        <v>0</v>
      </c>
      <c r="D5" s="358" cm="1">
        <f t="array" ref="D5">IFERROR((SUMPRODUCT(('Fixed Cost-C19RM'!$B$5:$B$300=A5)*('Fixed Cost-C19RM'!$AO$5:$AO$300))),0)</f>
        <v>0</v>
      </c>
      <c r="E5" s="358" cm="1">
        <f t="array" ref="E5">IFERROR((SUMPRODUCT(('Detailed BudgetC19RM'!$BS$6:$BS$74=A5)*('Detailed BudgetC19RM'!$BK$6:$BK$74))),0)</f>
        <v>0</v>
      </c>
      <c r="G5" s="358">
        <f>E5-(B5+C5+D5)</f>
        <v>0</v>
      </c>
    </row>
    <row r="8" spans="1:7" x14ac:dyDescent="0.35">
      <c r="B8" s="1026"/>
      <c r="C8" s="1026"/>
      <c r="D8" s="1026"/>
      <c r="E8" s="1026"/>
      <c r="F8" s="1026"/>
    </row>
    <row r="11" spans="1:7" ht="21" x14ac:dyDescent="0.5">
      <c r="E11" s="958"/>
    </row>
  </sheetData>
  <sheetProtection algorithmName="SHA-512" hashValue="pYsTzLBV+LJLM1WV2a9dK6nosxnLok3snUqHxy5TrGPbYgYdG+GgxkBaiDP0MCujNzf1AtmYFBs8acaoPaxPLQ==" saltValue="fVyN1yfjbyP1FIf+ifuh7g=="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927C1-9197-46F7-9992-C02AC3644B05}">
  <dimension ref="A1"/>
  <sheetViews>
    <sheetView workbookViewId="0">
      <selection activeCell="O9" sqref="O9"/>
    </sheetView>
  </sheetViews>
  <sheetFormatPr defaultRowHeight="14.5" x14ac:dyDescent="0.35"/>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5EBEA-38FA-4DC6-BA1A-6DEA61E85741}">
  <dimension ref="A1:AK245"/>
  <sheetViews>
    <sheetView topLeftCell="M1" zoomScaleNormal="100" workbookViewId="0">
      <selection activeCell="Y23" sqref="Y23"/>
    </sheetView>
  </sheetViews>
  <sheetFormatPr defaultRowHeight="14.5" x14ac:dyDescent="0.35"/>
  <cols>
    <col min="1" max="1" width="39.1796875" bestFit="1" customWidth="1"/>
    <col min="2" max="2" width="22.453125" bestFit="1" customWidth="1"/>
    <col min="3" max="3" width="4.81640625" bestFit="1" customWidth="1"/>
    <col min="4" max="4" width="15.453125" bestFit="1" customWidth="1"/>
    <col min="5" max="5" width="13.81640625" bestFit="1" customWidth="1"/>
    <col min="6" max="6" width="4.81640625" bestFit="1" customWidth="1"/>
    <col min="7" max="7" width="14.453125" bestFit="1" customWidth="1"/>
    <col min="8" max="8" width="13.1796875" customWidth="1"/>
    <col min="9" max="10" width="5.81640625" customWidth="1"/>
    <col min="11" max="11" width="17" bestFit="1" customWidth="1"/>
    <col min="12" max="12" width="2.81640625" bestFit="1" customWidth="1"/>
    <col min="13" max="13" width="5.81640625" customWidth="1"/>
    <col min="14" max="14" width="12.54296875" bestFit="1" customWidth="1"/>
    <col min="15" max="15" width="2.81640625" bestFit="1" customWidth="1"/>
    <col min="16" max="16" width="3" bestFit="1" customWidth="1"/>
    <col min="17" max="17" width="14.90625" customWidth="1"/>
    <col min="18" max="20" width="2.81640625" bestFit="1" customWidth="1"/>
    <col min="21" max="22" width="4.81640625" bestFit="1" customWidth="1"/>
    <col min="23" max="23" width="10.36328125" bestFit="1" customWidth="1"/>
    <col min="24" max="26" width="8.81640625" customWidth="1"/>
    <col min="27" max="27" width="12.81640625" customWidth="1"/>
    <col min="28" max="28" width="29" customWidth="1"/>
    <col min="29" max="29" width="48.54296875" customWidth="1"/>
    <col min="30" max="30" width="28.81640625" bestFit="1" customWidth="1"/>
    <col min="31" max="32" width="9.1796875" customWidth="1"/>
    <col min="33" max="33" width="72.81640625" bestFit="1" customWidth="1"/>
    <col min="34" max="34" width="9.1796875" customWidth="1"/>
    <col min="35" max="35" width="10.54296875" customWidth="1"/>
    <col min="36" max="36" width="72.81640625" bestFit="1" customWidth="1"/>
    <col min="37" max="37" width="126.90625" bestFit="1" customWidth="1"/>
    <col min="38" max="38" width="12" customWidth="1"/>
  </cols>
  <sheetData>
    <row r="1" spans="1:37" x14ac:dyDescent="0.35">
      <c r="A1" t="s">
        <v>56</v>
      </c>
      <c r="B1" s="149" t="s">
        <v>57</v>
      </c>
      <c r="C1" t="e">
        <f>#REF!</f>
        <v>#REF!</v>
      </c>
      <c r="D1" t="e">
        <f>#REF!</f>
        <v>#REF!</v>
      </c>
      <c r="E1" t="e">
        <f>#REF!</f>
        <v>#REF!</v>
      </c>
      <c r="F1" t="e">
        <f>#REF!</f>
        <v>#REF!</v>
      </c>
      <c r="G1" t="str">
        <f>'C19RM 2021-Pharma'!AR12</f>
        <v>2025</v>
      </c>
      <c r="H1" t="str">
        <f>'C19RM 2021-Pharma'!AY12</f>
        <v/>
      </c>
      <c r="K1" s="148">
        <f>IMP_ST_DATE</f>
        <v>44197</v>
      </c>
      <c r="P1" t="s">
        <v>56</v>
      </c>
      <c r="Q1" t="s">
        <v>130</v>
      </c>
    </row>
    <row r="2" spans="1:37" x14ac:dyDescent="0.35">
      <c r="A2">
        <v>1</v>
      </c>
      <c r="B2" s="149" t="s">
        <v>58</v>
      </c>
      <c r="C2" s="57">
        <f>IF(SETUP!E7="USD",SETUP!D14,SETUP!V72)</f>
        <v>1.0065</v>
      </c>
      <c r="D2" s="57">
        <f>C2</f>
        <v>1.0065</v>
      </c>
      <c r="E2" s="57">
        <f>C2</f>
        <v>1.0065</v>
      </c>
      <c r="F2" s="57">
        <f>C2</f>
        <v>1.0065</v>
      </c>
      <c r="G2">
        <f>C2</f>
        <v>1.0065</v>
      </c>
      <c r="H2">
        <f>C2</f>
        <v>1.0065</v>
      </c>
      <c r="K2" s="148">
        <f>SETUP!L14</f>
        <v>46022</v>
      </c>
      <c r="N2" s="86" t="str">
        <f>IF(O2="","-",Q2)</f>
        <v>Jan21 - Mar21</v>
      </c>
      <c r="O2">
        <f>IF(P2&gt;$L$4,"",P2)</f>
        <v>1</v>
      </c>
      <c r="P2">
        <v>1</v>
      </c>
      <c r="Q2" t="str">
        <f>IF(OR(MONTH(IMP_ST_DATE)=3,MONTH(IMP_ST_DATE)=6,MONTH(IMP_ST_DATE)=9),(TEXT(IMP_ST_DATE,"MMM")&amp;TEXT(IMP_ST_DATE,"YY")&amp;" - "&amp;TEXT(EDATE(IMP_ST_DATE,3),"MMM")&amp;TEXT((EDATE(IMP_ST_DATE,3)),"YY")),IF(OR(MONTH(IMP_ST_DATE)=2,MONTH(IMP_ST_DATE)=5,MONTH(IMP_ST_DATE)=8,MONTH(IMP_ST_DATE)=11),(TEXT(IMP_ST_DATE,"MMM")&amp;TEXT(IMP_ST_DATE,"YY")&amp;" - "&amp;TEXT(EDATE(IMP_ST_DATE,1),"MMM")&amp;TEXT((EDATE(IMP_ST_DATE,1)),"YY")),(TEXT(IMP_ST_DATE,"MMM")&amp;TEXT(IMP_ST_DATE,"YY")&amp;" - "&amp;TEXT(EDATE(IMP_ST_DATE,2),"MMM")&amp;TEXT((EDATE(IMP_ST_DATE,2)),"YY"))))</f>
        <v>Jan21 - Mar21</v>
      </c>
      <c r="R2">
        <v>3</v>
      </c>
      <c r="S2">
        <v>1</v>
      </c>
      <c r="T2">
        <v>2</v>
      </c>
      <c r="U2" t="str">
        <f>TEXT((IF(OR(MONTH(IMP_ST_DATE)=3,MONTH(IMP_ST_DATE)=6,MONTH(IMP_ST_DATE)=9),(TEXT(IMP_ST_DATE,"MMM")&amp;TEXT(IMP_ST_DATE,"YY")),IF(OR(MONTH(IMP_ST_DATE)=2,MONTH(IMP_ST_DATE)=5,MONTH(IMP_ST_DATE)=8,MONTH(IMP_ST_DATE)=11),(TEXT(IMP_ST_DATE,"MMM")&amp;TEXT(IMP_ST_DATE,"YY")),(TEXT(IMP_ST_DATE,"MMM")&amp;TEXT(IMP_ST_DATE,"YY"))))),"YYYY")</f>
        <v>2021</v>
      </c>
      <c r="V2" t="str">
        <f>TEXT(IF(OR(MONTH(IMP_ST_DATE)=3,MONTH(IMP_ST_DATE)=6,MONTH(IMP_ST_DATE)=9),(TEXT(EDATE(IMP_ST_DATE,3),"MMM")&amp;TEXT((EDATE(IMP_ST_DATE,3)),"YY")),IF(OR(MONTH(IMP_ST_DATE)=2,MONTH(IMP_ST_DATE)=5,MONTH(IMP_ST_DATE)=8,MONTH(IMP_ST_DATE)=11),(TEXT(EDATE(IMP_ST_DATE,1),"MMM")&amp;TEXT((EDATE(IMP_ST_DATE,1)),"YY")),(TEXT(EDATE(IMP_ST_DATE,2),"MMM")&amp;TEXT((EDATE(IMP_ST_DATE,2)),"YY")))),"YYYY")</f>
        <v>2021</v>
      </c>
      <c r="W2" t="str">
        <f>IF(O2&lt;&gt;"",(IF(U2=X2,U2,((U2&amp;" - "&amp;V5)))))</f>
        <v>2021</v>
      </c>
      <c r="X2" t="str">
        <f>IF(V5&lt;&gt;"",V5,IF(V4&lt;&gt;"",V4,IF(V3&lt;&gt;"",V3,V2)))</f>
        <v>2021</v>
      </c>
      <c r="AA2" s="330" t="s">
        <v>4</v>
      </c>
      <c r="AB2" s="330" t="s">
        <v>614</v>
      </c>
      <c r="AC2" s="330" t="s">
        <v>615</v>
      </c>
      <c r="AD2" s="331" t="s">
        <v>616</v>
      </c>
      <c r="AE2" s="402" t="s">
        <v>173</v>
      </c>
      <c r="AI2" s="320"/>
    </row>
    <row r="3" spans="1:37" x14ac:dyDescent="0.35">
      <c r="B3" s="149"/>
      <c r="E3" s="24"/>
      <c r="N3" s="86" t="str">
        <f t="shared" ref="N3:N25" si="0">IF(O3="","-",Q3)</f>
        <v>Apr21 - Jun21</v>
      </c>
      <c r="O3">
        <f t="shared" ref="O3:O25" si="1">IF(P3&gt;$L$4,"",P3)</f>
        <v>2</v>
      </c>
      <c r="P3">
        <v>2</v>
      </c>
      <c r="Q3" t="str">
        <f>IF(OR(MONTH(IMP_ST_DATE)=3,MONTH(IMP_ST_DATE)=6,MONTH(IMP_ST_DATE)=9),(TEXT(EDATE(IMP_ST_DATE,4),"MMM")&amp;TEXT((EDATE(IMP_ST_DATE,4)),"YY")&amp;" - "&amp;TEXT(EDATE(IMP_ST_DATE,6),"MMM")&amp;TEXT((EDATE(IMP_ST_DATE,6)),"YY")),IF(OR(MONTH(IMP_ST_DATE)=2,MONTH(IMP_ST_DATE)=5,MONTH(IMP_ST_DATE)=8,MONTH(IMP_ST_DATE)=11),(TEXT(EDATE(IMP_ST_DATE,2),"MMM")&amp;TEXT((EDATE(IMP_ST_DATE,2)),"YY")&amp;" - "&amp;TEXT(EDATE(IMP_ST_DATE,4),"MMM")&amp;TEXT((EDATE(IMP_ST_DATE,4)),"YY")),(TEXT(EDATE(IMP_ST_DATE,3),"MMM")&amp;TEXT((EDATE(IMP_ST_DATE,3)),"YY")&amp;" - "&amp;TEXT(EDATE(IMP_ST_DATE,5),"MMM")&amp;TEXT((EDATE(IMP_ST_DATE,5)),"YY"))))</f>
        <v>Apr21 - Jun21</v>
      </c>
      <c r="R3">
        <v>6</v>
      </c>
      <c r="S3">
        <v>4</v>
      </c>
      <c r="T3">
        <v>5</v>
      </c>
      <c r="AA3" s="322" t="s">
        <v>36</v>
      </c>
      <c r="AB3" s="323" t="s">
        <v>649</v>
      </c>
      <c r="AC3" s="323" t="s">
        <v>1990</v>
      </c>
      <c r="AD3" s="324" t="s">
        <v>620</v>
      </c>
      <c r="AE3" s="319" t="s">
        <v>2173</v>
      </c>
      <c r="AF3" t="str">
        <f>INDEX('Master Data'!$AA$3:$AA$300,MATCH(AG3,'Master Data'!$AB$3:$AB$300,0),)</f>
        <v>HIV</v>
      </c>
      <c r="AG3" t="str" cm="1">
        <f t="array" ref="AG3">INDEX('Master Data'!$AB$3:$AB$300,MATCH(0,INDEX(COUNTIF($AG$2:AG2,'Master Data'!$AB$3:$AB$300),),0))</f>
        <v>Differentiated HIV Testing Services</v>
      </c>
    </row>
    <row r="4" spans="1:37" x14ac:dyDescent="0.35">
      <c r="B4" s="149"/>
      <c r="E4" s="24"/>
      <c r="K4" s="362">
        <f>DATEDIF(K1,K2,"M")+1</f>
        <v>60</v>
      </c>
      <c r="L4">
        <f>ROUND(K4/3,0)</f>
        <v>20</v>
      </c>
      <c r="N4" s="86" t="str">
        <f t="shared" si="0"/>
        <v>Jul21 - Sep21</v>
      </c>
      <c r="O4">
        <f t="shared" si="1"/>
        <v>3</v>
      </c>
      <c r="P4">
        <v>3</v>
      </c>
      <c r="Q4" t="str">
        <f>IF(OR(MONTH(IMP_ST_DATE)=3,MONTH(IMP_ST_DATE)=6,MONTH(IMP_ST_DATE)=9),(TEXT(EDATE(IMP_ST_DATE,7),"MMM")&amp;TEXT((EDATE(IMP_ST_DATE,7)),"YY")&amp;" - "&amp;TEXT(EDATE(IMP_ST_DATE,9),"MMM")&amp;TEXT((EDATE(IMP_ST_DATE,9)),"YY")),IF(OR(MONTH(IMP_ST_DATE)=2,MONTH(IMP_ST_DATE)=5,MONTH(IMP_ST_DATE)=8,MONTH(IMP_ST_DATE)=11),(TEXT(EDATE(IMP_ST_DATE,5),"MMM")&amp;TEXT((EDATE(IMP_ST_DATE,5)),"YY")&amp;" - "&amp;TEXT(EDATE(IMP_ST_DATE,7),"MMM")&amp;TEXT((EDATE(IMP_ST_DATE,7)),"YY")),(TEXT(EDATE(IMP_ST_DATE,6),"MMM")&amp;TEXT((EDATE(IMP_ST_DATE,6)),"YY")&amp;" - "&amp;TEXT(EDATE(IMP_ST_DATE,8),"MMM")&amp;TEXT((EDATE(IMP_ST_DATE,8)),"YY"))))</f>
        <v>Jul21 - Sep21</v>
      </c>
      <c r="R4">
        <v>9</v>
      </c>
      <c r="S4">
        <v>7</v>
      </c>
      <c r="T4">
        <v>8</v>
      </c>
      <c r="AA4" s="325" t="s">
        <v>36</v>
      </c>
      <c r="AB4" s="326" t="s">
        <v>649</v>
      </c>
      <c r="AC4" s="326" t="s">
        <v>1990</v>
      </c>
      <c r="AD4" s="327" t="s">
        <v>621</v>
      </c>
      <c r="AE4" s="319" t="s">
        <v>2174</v>
      </c>
      <c r="AF4" t="str">
        <f>INDEX('Master Data'!$AA$3:$AA$300,MATCH(AG4,'Master Data'!$AB$3:$AB$300,0),)</f>
        <v>HIV</v>
      </c>
      <c r="AG4" t="str" cm="1">
        <f t="array" ref="AG4">INDEX('Master Data'!$AB$3:$AB$300,MATCH(0,INDEX(COUNTIF($AG$2:AG3,'Master Data'!$AB$3:$AB$300),),0))</f>
        <v>Elimination of vertical transmission of HIV, syphilis and hepatitis B</v>
      </c>
      <c r="AI4" s="321" t="s">
        <v>4</v>
      </c>
      <c r="AJ4" s="321" t="s">
        <v>614</v>
      </c>
      <c r="AK4" s="321" t="s">
        <v>615</v>
      </c>
    </row>
    <row r="5" spans="1:37" ht="15" thickBot="1" x14ac:dyDescent="0.4">
      <c r="A5" t="s">
        <v>610</v>
      </c>
      <c r="B5">
        <v>1</v>
      </c>
      <c r="E5" s="24"/>
      <c r="K5" t="str">
        <f>IF(OR(MONTH(IMP_ST_DATE)=3,MONTH(IMP_ST_DATE)=6,MONTH(IMP_ST_DATE)=9),(TEXT(EDATE(IMP_ST_DATE,10),"MMM")&amp;TEXT(EDATE(IMP_ST_DATE,10),"YY")&amp;" - "&amp;TEXT(EDATE(IMP_ST_DATE,12),"MMM")&amp;TEXT((EDATE(IMP_ST_DATE,12)),"YY")),"")</f>
        <v/>
      </c>
      <c r="N5" s="86" t="str">
        <f t="shared" si="0"/>
        <v>Oct21 - Dec21</v>
      </c>
      <c r="O5">
        <f t="shared" si="1"/>
        <v>4</v>
      </c>
      <c r="P5">
        <v>4</v>
      </c>
      <c r="Q5" t="str">
        <f>IF(OR(MONTH(IMP_ST_DATE)=3,MONTH(IMP_ST_DATE)=6,MONTH(IMP_ST_DATE)=9),(TEXT(EDATE(IMP_ST_DATE,10),"MMM")&amp;TEXT(EDATE(IMP_ST_DATE,10),"YY")&amp;" - "&amp;TEXT(EDATE(IMP_ST_DATE,12),"MMM")&amp;TEXT((EDATE(IMP_ST_DATE,12)),"YY")),IF(OR(MONTH(IMP_ST_DATE)=2,MONTH(IMP_ST_DATE)=5,MONTH(IMP_ST_DATE)=8,MONTH(IMP_ST_DATE)=11),(TEXT(EDATE(IMP_ST_DATE,8),"MMM")&amp;TEXT((EDATE(IMP_ST_DATE,8)),"YY")&amp;" - "&amp;TEXT(EDATE(IMP_ST_DATE,10),"MMM")&amp;TEXT((EDATE(IMP_ST_DATE,10)),"YY")),(TEXT(EDATE(IMP_ST_DATE,9),"MMM")&amp;TEXT((EDATE(IMP_ST_DATE,9)),"YY")&amp;" - "&amp;TEXT(EDATE(IMP_ST_DATE,11),"MMM")&amp;TEXT((EDATE(IMP_ST_DATE,11)),"YY"))))</f>
        <v>Oct21 - Dec21</v>
      </c>
      <c r="R5">
        <v>12</v>
      </c>
      <c r="S5">
        <v>10</v>
      </c>
      <c r="T5">
        <v>11</v>
      </c>
      <c r="V5" t="str">
        <f>TEXT(IF(OR(MONTH(IMP_ST_DATE)=3,MONTH(IMP_ST_DATE)=6,MONTH(IMP_ST_DATE)=9),(TEXT(EDATE(IMP_ST_DATE,12),"MMM")&amp;TEXT((EDATE(IMP_ST_DATE,12)),"YY")),IF(OR(MONTH(IMP_ST_DATE)=2,MONTH(IMP_ST_DATE)=5,MONTH(IMP_ST_DATE)=8,MONTH(IMP_ST_DATE)=11),(TEXT(EDATE(IMP_ST_DATE,10),"MMM")&amp;TEXT((EDATE(IMP_ST_DATE,10)),"YY")),(TEXT(EDATE(IMP_ST_DATE,11),"MMM")&amp;TEXT((EDATE(IMP_ST_DATE,11)),"YY")))),"YYYY")</f>
        <v>2021</v>
      </c>
      <c r="AA5" s="325" t="s">
        <v>36</v>
      </c>
      <c r="AB5" s="328" t="s">
        <v>649</v>
      </c>
      <c r="AC5" s="328" t="s">
        <v>1990</v>
      </c>
      <c r="AD5" s="329" t="s">
        <v>622</v>
      </c>
      <c r="AE5" s="319" t="s">
        <v>2175</v>
      </c>
      <c r="AF5" t="str">
        <f>INDEX('Master Data'!$AA$3:$AA$300,MATCH(AG5,'Master Data'!$AB$3:$AB$300,0),)</f>
        <v>HIV</v>
      </c>
      <c r="AG5" t="str" cm="1">
        <f t="array" ref="AG5">INDEX('Master Data'!$AB$3:$AB$300,MATCH(0,INDEX(COUNTIF($AG$2:AG4,'Master Data'!$AB$3:$AB$300),),0))</f>
        <v>Prevention package for adolescent girls and young women (AGYW) and male sexual partners in high HIV incidence settings</v>
      </c>
      <c r="AI5" t="s">
        <v>36</v>
      </c>
      <c r="AJ5" t="s">
        <v>649</v>
      </c>
      <c r="AK5" t="s">
        <v>650</v>
      </c>
    </row>
    <row r="6" spans="1:37" x14ac:dyDescent="0.35">
      <c r="A6" t="s">
        <v>157</v>
      </c>
      <c r="B6">
        <v>1</v>
      </c>
      <c r="D6" s="1404" t="s">
        <v>74</v>
      </c>
      <c r="E6" s="223" t="s">
        <v>660</v>
      </c>
      <c r="H6" t="s">
        <v>3078</v>
      </c>
      <c r="K6" t="str">
        <f>IF(OR(MONTH(IMP_ST_DATE)=2,MONTH(IMP_ST_DATE)=5,MONTH(IMP_ST_DATE)=8,MONTH(IMP_ST_DATE)=11),(TEXT(EDATE(IMP_ST_DATE,8),"MMM")&amp;TEXT(IMP_ST_DATE,"YY")&amp;" - "&amp;TEXT(EDATE(IMP_ST_DATE,10),"MMM")&amp;TEXT((EDATE(IMP_ST_DATE,10)),"YY")),"")</f>
        <v/>
      </c>
      <c r="N6" s="86" t="str">
        <f t="shared" si="0"/>
        <v>Jan22 - Mar22</v>
      </c>
      <c r="O6">
        <f t="shared" si="1"/>
        <v>5</v>
      </c>
      <c r="P6">
        <v>5</v>
      </c>
      <c r="Q6" t="str">
        <f>IF(OR(MONTH(IMP_ST_DATE)=3,MONTH(IMP_ST_DATE)=6,MONTH(IMP_ST_DATE)=9),(TEXT(EDATE(IMP_ST_DATE,13),"MMM")&amp;TEXT((EDATE(IMP_ST_DATE,13)),"YY")&amp;" - "&amp;TEXT(EDATE(IMP_ST_DATE,15),"MMM")&amp;TEXT((EDATE(IMP_ST_DATE,15)),"YY")),IF(OR(MONTH(IMP_ST_DATE)=2,MONTH(IMP_ST_DATE)=5,MONTH(IMP_ST_DATE)=8,MONTH(IMP_ST_DATE)=11),(TEXT(EDATE(IMP_ST_DATE,11),"MMM")&amp;TEXT((EDATE(IMP_ST_DATE,11)),"YY")&amp;" - "&amp;TEXT(EDATE(IMP_ST_DATE,13),"MMM")&amp;TEXT((EDATE(IMP_ST_DATE,13)),"YY")),(TEXT(EDATE(IMP_ST_DATE,12),"MMM")&amp;TEXT((EDATE(IMP_ST_DATE,12)),"YY")&amp;" - "&amp;TEXT(EDATE(IMP_ST_DATE,14),"MMM")&amp;TEXT((EDATE(IMP_ST_DATE,14)),"YY"))))</f>
        <v>Jan22 - Mar22</v>
      </c>
      <c r="R6">
        <v>15</v>
      </c>
      <c r="S6">
        <v>13</v>
      </c>
      <c r="T6">
        <v>14</v>
      </c>
      <c r="U6" t="str">
        <f>TEXT(IF(OR(MONTH(IMP_ST_DATE)=3,MONTH(IMP_ST_DATE)=6,MONTH(IMP_ST_DATE)=9),(TEXT(EDATE(IMP_ST_DATE,13),"MMM")&amp;TEXT((EDATE(IMP_ST_DATE,13)),"YY")),IF(OR(MONTH(IMP_ST_DATE)=2,MONTH(IMP_ST_DATE)=5,MONTH(IMP_ST_DATE)=8,MONTH(IMP_ST_DATE)=11),(TEXT(EDATE(IMP_ST_DATE,11),"MMM")&amp;TEXT((EDATE(IMP_ST_DATE,11)),"YY")),(TEXT(EDATE(IMP_ST_DATE,12),"MMM")&amp;TEXT((EDATE(IMP_ST_DATE,12)),"YY")))),"YYYY")</f>
        <v>2022</v>
      </c>
      <c r="W6" t="str">
        <f>IF(O6&lt;&gt;"",(IF(U6=X6,U6,((U6&amp;" - "&amp;V9)))),"")</f>
        <v>2022</v>
      </c>
      <c r="X6" t="str">
        <f>IF(V9&lt;&gt;"",V9,IF(V8&lt;&gt;"",V8,IF(V7&lt;&gt;"",V7,V6)))</f>
        <v>2022</v>
      </c>
      <c r="AA6" s="325" t="s">
        <v>36</v>
      </c>
      <c r="AB6" s="326" t="s">
        <v>649</v>
      </c>
      <c r="AC6" s="326" t="s">
        <v>650</v>
      </c>
      <c r="AD6" s="327" t="s">
        <v>620</v>
      </c>
      <c r="AE6" s="319" t="s">
        <v>2176</v>
      </c>
      <c r="AF6" t="str">
        <f>INDEX('Master Data'!$AA$3:$AA$300,MATCH(AG6,'Master Data'!$AB$3:$AB$300,0),)</f>
        <v>HIV</v>
      </c>
      <c r="AG6" t="str" cm="1">
        <f t="array" ref="AG6">INDEX('Master Data'!$AB$3:$AB$300,MATCH(0,INDEX(COUNTIF($AG$2:AG5,'Master Data'!$AB$3:$AB$300),),0))</f>
        <v>Prevention package for men who have sex with men (MSM) and their sexual partners</v>
      </c>
      <c r="AI6" t="s">
        <v>36</v>
      </c>
      <c r="AJ6" t="s">
        <v>649</v>
      </c>
      <c r="AK6" t="s">
        <v>652</v>
      </c>
    </row>
    <row r="7" spans="1:37" ht="15" thickBot="1" x14ac:dyDescent="0.4">
      <c r="A7" t="s">
        <v>158</v>
      </c>
      <c r="B7">
        <v>1</v>
      </c>
      <c r="D7" s="1405"/>
      <c r="E7" s="224" t="s">
        <v>687</v>
      </c>
      <c r="H7" t="s">
        <v>3079</v>
      </c>
      <c r="N7" s="86" t="str">
        <f t="shared" si="0"/>
        <v>Apr22 - Jun22</v>
      </c>
      <c r="O7">
        <f t="shared" si="1"/>
        <v>6</v>
      </c>
      <c r="P7">
        <v>6</v>
      </c>
      <c r="Q7" t="str">
        <f>IF(OR(MONTH(IMP_ST_DATE)=3,MONTH(IMP_ST_DATE)=6,MONTH(IMP_ST_DATE)=9),(TEXT(EDATE(IMP_ST_DATE,16),"MMM")&amp;TEXT((EDATE(IMP_ST_DATE,16)),"YY")&amp;" - "&amp;TEXT(EDATE(IMP_ST_DATE,18),"MMM")&amp;TEXT((EDATE(IMP_ST_DATE,18)),"YY")),IF(OR(MONTH(IMP_ST_DATE)=2,MONTH(IMP_ST_DATE)=5,MONTH(IMP_ST_DATE)=8,MONTH(IMP_ST_DATE)=11),(TEXT(EDATE(IMP_ST_DATE,14),"MMM")&amp;TEXT((EDATE(IMP_ST_DATE,14)),"YY")&amp;" - "&amp;TEXT(EDATE(IMP_ST_DATE,16),"MMM")&amp;TEXT((EDATE(IMP_ST_DATE,16)),"YY")),(TEXT(EDATE(IMP_ST_DATE,15),"MMM")&amp;TEXT((EDATE(IMP_ST_DATE,15)),"YY")&amp;" - "&amp;TEXT(EDATE(IMP_ST_DATE,17),"MMM")&amp;TEXT((EDATE(IMP_ST_DATE,17)),"YY"))))</f>
        <v>Apr22 - Jun22</v>
      </c>
      <c r="R7">
        <v>18</v>
      </c>
      <c r="S7">
        <v>16</v>
      </c>
      <c r="T7">
        <v>17</v>
      </c>
      <c r="AA7" s="325" t="s">
        <v>36</v>
      </c>
      <c r="AB7" s="328" t="s">
        <v>649</v>
      </c>
      <c r="AC7" s="328" t="s">
        <v>650</v>
      </c>
      <c r="AD7" s="329" t="s">
        <v>621</v>
      </c>
      <c r="AE7" s="319" t="s">
        <v>2177</v>
      </c>
      <c r="AF7" t="str">
        <f>INDEX('Master Data'!$AA$3:$AA$300,MATCH(AG7,'Master Data'!$AB$3:$AB$300,0),)</f>
        <v>HIV</v>
      </c>
      <c r="AG7" t="str" cm="1">
        <f t="array" ref="AG7">INDEX('Master Data'!$AB$3:$AB$300,MATCH(0,INDEX(COUNTIF($AG$2:AG6,'Master Data'!$AB$3:$AB$300),),0))</f>
        <v>Prevention package for other vulnerable populations (OVP)</v>
      </c>
      <c r="AI7" t="s">
        <v>36</v>
      </c>
      <c r="AJ7" t="s">
        <v>649</v>
      </c>
      <c r="AK7" t="s">
        <v>651</v>
      </c>
    </row>
    <row r="8" spans="1:37" ht="15" thickBot="1" x14ac:dyDescent="0.4">
      <c r="A8" t="s">
        <v>611</v>
      </c>
      <c r="B8">
        <v>1</v>
      </c>
      <c r="D8" s="225" t="s">
        <v>97</v>
      </c>
      <c r="E8" s="225" t="s">
        <v>2665</v>
      </c>
      <c r="H8" t="s">
        <v>3080</v>
      </c>
      <c r="N8" s="86" t="str">
        <f t="shared" si="0"/>
        <v>Jul22 - Sep22</v>
      </c>
      <c r="O8">
        <f t="shared" si="1"/>
        <v>7</v>
      </c>
      <c r="P8">
        <v>7</v>
      </c>
      <c r="Q8" t="str">
        <f>IF(OR(MONTH(IMP_ST_DATE)=3,MONTH(IMP_ST_DATE)=6,MONTH(IMP_ST_DATE)=9),(TEXT(EDATE(IMP_ST_DATE,19),"MMM")&amp;TEXT((EDATE(IMP_ST_DATE,19)),"YY")&amp;" - "&amp;TEXT(EDATE(IMP_ST_DATE,21),"MMM")&amp;TEXT((EDATE(IMP_ST_DATE,21)),"YY")),IF(OR(MONTH(IMP_ST_DATE)=2,MONTH(IMP_ST_DATE)=5,MONTH(IMP_ST_DATE)=8,MONTH(IMP_ST_DATE)=11),(TEXT(EDATE(IMP_ST_DATE,17),"MMM")&amp;TEXT((EDATE(IMP_ST_DATE,17)),"YY")&amp;" - "&amp;TEXT(EDATE(IMP_ST_DATE,19),"MMM")&amp;TEXT((EDATE(IMP_ST_DATE,19)),"YY")),(TEXT(EDATE(IMP_ST_DATE,18),"MMM")&amp;TEXT((EDATE(IMP_ST_DATE,18)),"YY")&amp;" - "&amp;TEXT(EDATE(IMP_ST_DATE,20),"MMM")&amp;TEXT((EDATE(IMP_ST_DATE,20)),"YY"))))</f>
        <v>Jul22 - Sep22</v>
      </c>
      <c r="R8">
        <v>21</v>
      </c>
      <c r="S8">
        <v>19</v>
      </c>
      <c r="T8">
        <v>20</v>
      </c>
      <c r="AA8" s="325" t="s">
        <v>36</v>
      </c>
      <c r="AB8" s="326" t="s">
        <v>649</v>
      </c>
      <c r="AC8" s="326" t="s">
        <v>650</v>
      </c>
      <c r="AD8" s="327" t="s">
        <v>622</v>
      </c>
      <c r="AE8" s="319" t="s">
        <v>2178</v>
      </c>
      <c r="AF8" t="str">
        <f>INDEX('Master Data'!$AA$3:$AA$300,MATCH(AG8,'Master Data'!$AB$3:$AB$300,0),)</f>
        <v>HIV</v>
      </c>
      <c r="AG8" t="str" cm="1">
        <f t="array" ref="AG8">INDEX('Master Data'!$AB$3:$AB$300,MATCH(0,INDEX(COUNTIF($AG$2:AG7,'Master Data'!$AB$3:$AB$300),),0))</f>
        <v>Prevention package for people in prisons and other closed settings</v>
      </c>
      <c r="AI8" t="s">
        <v>36</v>
      </c>
      <c r="AJ8" t="s">
        <v>649</v>
      </c>
      <c r="AK8" t="s">
        <v>653</v>
      </c>
    </row>
    <row r="9" spans="1:37" ht="17" thickBot="1" x14ac:dyDescent="0.4">
      <c r="A9" t="s">
        <v>160</v>
      </c>
      <c r="B9">
        <v>1</v>
      </c>
      <c r="D9" s="225" t="s">
        <v>688</v>
      </c>
      <c r="E9" s="225" t="s">
        <v>689</v>
      </c>
      <c r="H9" t="s">
        <v>3081</v>
      </c>
      <c r="N9" s="86" t="str">
        <f t="shared" si="0"/>
        <v>Oct22 - Dec22</v>
      </c>
      <c r="O9">
        <f t="shared" si="1"/>
        <v>8</v>
      </c>
      <c r="P9">
        <v>8</v>
      </c>
      <c r="Q9" t="str">
        <f>IF(OR(MONTH(IMP_ST_DATE)=3,MONTH(IMP_ST_DATE)=6,MONTH(IMP_ST_DATE)=9),(TEXT(EDATE(IMP_ST_DATE,22),"MMM")&amp;TEXT((EDATE(IMP_ST_DATE,22)),"YY")&amp;" - "&amp;TEXT(EDATE(IMP_ST_DATE,24),"MMM")&amp;TEXT((EDATE(IMP_ST_DATE,24)),"YY")),IF(OR(MONTH(IMP_ST_DATE)=2,MONTH(IMP_ST_DATE)=5,MONTH(IMP_ST_DATE)=8,MONTH(IMP_ST_DATE)=11),(TEXT(EDATE(IMP_ST_DATE,20),"MMM")&amp;TEXT((EDATE(IMP_ST_DATE,20)),"YY")&amp;" - "&amp;TEXT(EDATE(IMP_ST_DATE,22),"MMM")&amp;TEXT((EDATE(IMP_ST_DATE,22)),"YY")),(TEXT(EDATE(IMP_ST_DATE,21),"MMM")&amp;TEXT((EDATE(IMP_ST_DATE,21)),"YY")&amp;" - "&amp;TEXT(EDATE(IMP_ST_DATE,23),"MMM")&amp;TEXT((EDATE(IMP_ST_DATE,23)),"YY"))))</f>
        <v>Oct22 - Dec22</v>
      </c>
      <c r="R9">
        <v>24</v>
      </c>
      <c r="S9">
        <v>22</v>
      </c>
      <c r="T9">
        <v>23</v>
      </c>
      <c r="V9" t="str">
        <f>IF(O9&lt;&gt;"",TEXT(IF(OR(MONTH(IMP_ST_DATE)=3,MONTH(IMP_ST_DATE)=6,MONTH(IMP_ST_DATE)=9),(TEXT(EDATE(IMP_ST_DATE,24),"MMM")&amp;TEXT((EDATE(IMP_ST_DATE,24)),"YY")),IF(OR(MONTH(IMP_ST_DATE)=2,MONTH(IMP_ST_DATE)=5,MONTH(IMP_ST_DATE)=8,MONTH(IMP_ST_DATE)=11),(TEXT(EDATE(IMP_ST_DATE,22),"MMM")&amp;TEXT((EDATE(IMP_ST_DATE,22)),"YY")),(TEXT(EDATE(IMP_ST_DATE,23),"MMM")&amp;TEXT((EDATE(IMP_ST_DATE,23)),"YY")))),"YYYY"),"")</f>
        <v>2022</v>
      </c>
      <c r="AA9" s="325" t="s">
        <v>36</v>
      </c>
      <c r="AB9" s="328" t="s">
        <v>649</v>
      </c>
      <c r="AC9" s="328" t="s">
        <v>652</v>
      </c>
      <c r="AD9" s="329" t="s">
        <v>620</v>
      </c>
      <c r="AE9" s="319" t="s">
        <v>2179</v>
      </c>
      <c r="AF9" t="str">
        <f>INDEX('Master Data'!$AA$3:$AA$300,MATCH(AG9,'Master Data'!$AB$3:$AB$300,0),)</f>
        <v>HIV</v>
      </c>
      <c r="AG9" t="str" cm="1">
        <f t="array" ref="AG9">INDEX('Master Data'!$AB$3:$AB$300,MATCH(0,INDEX(COUNTIF($AG$2:AG8,'Master Data'!$AB$3:$AB$300),),0))</f>
        <v>Prevention package for people who use drugs (PUD) and their sexual partners</v>
      </c>
      <c r="AI9" t="s">
        <v>36</v>
      </c>
      <c r="AJ9" t="s">
        <v>649</v>
      </c>
      <c r="AK9" t="s">
        <v>1980</v>
      </c>
    </row>
    <row r="10" spans="1:37" ht="15" thickBot="1" x14ac:dyDescent="0.4">
      <c r="A10" t="s">
        <v>161</v>
      </c>
      <c r="B10">
        <v>1</v>
      </c>
      <c r="D10" s="225" t="s">
        <v>95</v>
      </c>
      <c r="E10" s="225" t="s">
        <v>690</v>
      </c>
      <c r="H10" t="s">
        <v>3082</v>
      </c>
      <c r="N10" s="86" t="str">
        <f t="shared" si="0"/>
        <v>Jan23 - Mar23</v>
      </c>
      <c r="O10">
        <f t="shared" si="1"/>
        <v>9</v>
      </c>
      <c r="P10">
        <v>9</v>
      </c>
      <c r="Q10" t="str">
        <f>IF(OR(MONTH(IMP_ST_DATE)=3,MONTH(IMP_ST_DATE)=6,MONTH(IMP_ST_DATE)=9),(TEXT(EDATE(IMP_ST_DATE,25),"MMM")&amp;TEXT((EDATE(IMP_ST_DATE,25)),"YY")&amp;" - "&amp;TEXT(EDATE(IMP_ST_DATE,27),"MMM")&amp;TEXT((EDATE(IMP_ST_DATE,27)),"YY")),IF(OR(MONTH(IMP_ST_DATE)=2,MONTH(IMP_ST_DATE)=5,MONTH(IMP_ST_DATE)=8,MONTH(IMP_ST_DATE)=11),(TEXT(EDATE(IMP_ST_DATE,23),"MMM")&amp;TEXT((EDATE(IMP_ST_DATE,23)),"YY")&amp;" - "&amp;TEXT(EDATE(IMP_ST_DATE,25),"MMM")&amp;TEXT((EDATE(IMP_ST_DATE,25)),"YY")),(TEXT(EDATE(IMP_ST_DATE,24),"MMM")&amp;TEXT((EDATE(IMP_ST_DATE,24)),"YY")&amp;" - "&amp;TEXT(EDATE(IMP_ST_DATE,26),"MMM")&amp;TEXT((EDATE(IMP_ST_DATE,26)),"YY"))))</f>
        <v>Jan23 - Mar23</v>
      </c>
      <c r="R10">
        <v>27</v>
      </c>
      <c r="S10">
        <v>25</v>
      </c>
      <c r="T10">
        <v>26</v>
      </c>
      <c r="U10" t="str">
        <f>TEXT(IF(OR(MONTH(IMP_ST_DATE)=3,MONTH(IMP_ST_DATE)=6,MONTH(IMP_ST_DATE)=9),(TEXT(EDATE(IMP_ST_DATE,25),"MMM")&amp;TEXT((EDATE(IMP_ST_DATE,25)),"YY")),IF(OR(MONTH(IMP_ST_DATE)=2,MONTH(IMP_ST_DATE)=5,MONTH(IMP_ST_DATE)=8,MONTH(IMP_ST_DATE)=11),(TEXT(EDATE(IMP_ST_DATE,23),"MMM")&amp;TEXT((EDATE(IMP_ST_DATE,23)),"YY")),(TEXT(EDATE(IMP_ST_DATE,24),"MMM")&amp;TEXT((EDATE(IMP_ST_DATE,24)),"YY")))),"YYYY")</f>
        <v>2023</v>
      </c>
      <c r="W10" t="str">
        <f>IF(O10&lt;&gt;"",(IF(U10=X10,U10,((U10&amp;" - "&amp;V13)))),"")</f>
        <v>2023</v>
      </c>
      <c r="X10" t="str">
        <f>IF(V13&lt;&gt;"",V13,(IF(V12&lt;&gt;"",V12,(IF(V11&lt;&gt;"",V11,V10)))))</f>
        <v>2023</v>
      </c>
      <c r="AA10" s="325" t="s">
        <v>36</v>
      </c>
      <c r="AB10" s="326" t="s">
        <v>649</v>
      </c>
      <c r="AC10" s="326" t="s">
        <v>652</v>
      </c>
      <c r="AD10" s="327" t="s">
        <v>621</v>
      </c>
      <c r="AE10" s="319" t="s">
        <v>2180</v>
      </c>
      <c r="AF10" t="str">
        <f>INDEX('Master Data'!$AA$3:$AA$300,MATCH(AG10,'Master Data'!$AB$3:$AB$300,0),)</f>
        <v>HIV</v>
      </c>
      <c r="AG10" t="str" cm="1">
        <f t="array" ref="AG10">INDEX('Master Data'!$AB$3:$AB$300,MATCH(0,INDEX(COUNTIF($AG$2:AG9,'Master Data'!$AB$3:$AB$300),),0))</f>
        <v>Prevention package for sex workers, their clients and other sexual partners</v>
      </c>
      <c r="AI10" t="s">
        <v>36</v>
      </c>
      <c r="AJ10" t="s">
        <v>649</v>
      </c>
      <c r="AK10" t="s">
        <v>1978</v>
      </c>
    </row>
    <row r="11" spans="1:37" ht="15" thickBot="1" x14ac:dyDescent="0.4">
      <c r="A11" t="s">
        <v>162</v>
      </c>
      <c r="B11">
        <v>1</v>
      </c>
      <c r="D11" s="225" t="s">
        <v>113</v>
      </c>
      <c r="E11" s="225" t="s">
        <v>691</v>
      </c>
      <c r="H11" t="s">
        <v>3083</v>
      </c>
      <c r="N11" s="86" t="str">
        <f t="shared" si="0"/>
        <v>Apr23 - Jun23</v>
      </c>
      <c r="O11">
        <f t="shared" si="1"/>
        <v>10</v>
      </c>
      <c r="P11">
        <v>10</v>
      </c>
      <c r="Q11" t="str">
        <f>IF(OR(MONTH(IMP_ST_DATE)=3,MONTH(IMP_ST_DATE)=6,MONTH(IMP_ST_DATE)=9),(TEXT(EDATE(IMP_ST_DATE,28),"MMM")&amp;TEXT((EDATE(IMP_ST_DATE,28)),"YY")&amp;" - "&amp;TEXT(EDATE(IMP_ST_DATE,30),"MMM")&amp;TEXT((EDATE(IMP_ST_DATE,30)),"YY")),IF(OR(MONTH(IMP_ST_DATE)=2,MONTH(IMP_ST_DATE)=5,MONTH(IMP_ST_DATE)=8,MONTH(IMP_ST_DATE)=11),(TEXT(EDATE(IMP_ST_DATE,26),"MMM")&amp;TEXT((EDATE(IMP_ST_DATE,26)),"YY")&amp;" - "&amp;TEXT(EDATE(IMP_ST_DATE,28),"MMM")&amp;TEXT((EDATE(IMP_ST_DATE,28)),"YY")),(TEXT(EDATE(IMP_ST_DATE,27),"MMM")&amp;TEXT((EDATE(IMP_ST_DATE,27)),"YY")&amp;" - "&amp;TEXT(EDATE(IMP_ST_DATE,29),"MMM")&amp;TEXT((EDATE(IMP_ST_DATE,29)),"YY"))))</f>
        <v>Apr23 - Jun23</v>
      </c>
      <c r="R11">
        <v>30</v>
      </c>
      <c r="S11">
        <v>28</v>
      </c>
      <c r="T11">
        <v>29</v>
      </c>
      <c r="AA11" s="325" t="s">
        <v>36</v>
      </c>
      <c r="AB11" s="328" t="s">
        <v>649</v>
      </c>
      <c r="AC11" s="328" t="s">
        <v>652</v>
      </c>
      <c r="AD11" s="329" t="s">
        <v>622</v>
      </c>
      <c r="AE11" s="319" t="s">
        <v>2181</v>
      </c>
      <c r="AF11" t="str">
        <f>INDEX('Master Data'!$AA$3:$AA$300,MATCH(AG11,'Master Data'!$AB$3:$AB$300,0),)</f>
        <v>HIV</v>
      </c>
      <c r="AG11" t="str" cm="1">
        <f t="array" ref="AG11">INDEX('Master Data'!$AB$3:$AB$300,MATCH(0,INDEX(COUNTIF($AG$2:AG10,'Master Data'!$AB$3:$AB$300),),0))</f>
        <v>Prevention package for transgender people and their sexual partners</v>
      </c>
      <c r="AI11" t="s">
        <v>36</v>
      </c>
      <c r="AJ11" t="s">
        <v>649</v>
      </c>
      <c r="AK11" t="s">
        <v>1979</v>
      </c>
    </row>
    <row r="12" spans="1:37" ht="15" thickBot="1" x14ac:dyDescent="0.4">
      <c r="A12" t="s">
        <v>163</v>
      </c>
      <c r="B12">
        <v>1</v>
      </c>
      <c r="D12" s="225" t="s">
        <v>87</v>
      </c>
      <c r="E12" s="225" t="s">
        <v>124</v>
      </c>
      <c r="H12" t="s">
        <v>3084</v>
      </c>
      <c r="N12" s="86" t="str">
        <f t="shared" si="0"/>
        <v>Jul23 - Sep23</v>
      </c>
      <c r="O12">
        <f t="shared" si="1"/>
        <v>11</v>
      </c>
      <c r="P12">
        <v>11</v>
      </c>
      <c r="Q12" t="str">
        <f>IF(OR(MONTH(IMP_ST_DATE)=3,MONTH(IMP_ST_DATE)=6,MONTH(IMP_ST_DATE)=9),(TEXT(EDATE(IMP_ST_DATE,31),"MMM")&amp;TEXT((EDATE(IMP_ST_DATE,31)),"YY")&amp;" - "&amp;TEXT(EDATE(IMP_ST_DATE,33),"MMM")&amp;TEXT((EDATE(IMP_ST_DATE,33)),"YY")),IF(OR(MONTH(IMP_ST_DATE)=2,MONTH(IMP_ST_DATE)=5,MONTH(IMP_ST_DATE)=8,MONTH(IMP_ST_DATE)=11),(TEXT(EDATE(IMP_ST_DATE,29),"MMM")&amp;TEXT((EDATE(IMP_ST_DATE,29)),"YY")&amp;" - "&amp;TEXT(EDATE(IMP_ST_DATE,31),"MMM")&amp;TEXT((EDATE(IMP_ST_DATE,31)),"YY")),(TEXT(EDATE(IMP_ST_DATE,30),"MMM")&amp;TEXT((EDATE(IMP_ST_DATE,30)),"YY")&amp;" - "&amp;TEXT(EDATE(IMP_ST_DATE,32),"MMM")&amp;TEXT((EDATE(IMP_ST_DATE,32)),"YY"))))</f>
        <v>Jul23 - Sep23</v>
      </c>
      <c r="R12">
        <v>33</v>
      </c>
      <c r="S12">
        <v>31</v>
      </c>
      <c r="T12">
        <v>32</v>
      </c>
      <c r="AA12" s="325" t="s">
        <v>36</v>
      </c>
      <c r="AB12" s="326" t="s">
        <v>649</v>
      </c>
      <c r="AC12" s="326" t="s">
        <v>1980</v>
      </c>
      <c r="AD12" s="327" t="s">
        <v>620</v>
      </c>
      <c r="AE12" s="319" t="s">
        <v>2182</v>
      </c>
      <c r="AF12" t="str">
        <f>INDEX('Master Data'!$AA$3:$AA$300,MATCH(AG12,'Master Data'!$AB$3:$AB$300,0),)</f>
        <v>HIV</v>
      </c>
      <c r="AG12" t="str" cm="1">
        <f t="array" ref="AG12">INDEX('Master Data'!$AB$3:$AB$300,MATCH(0,INDEX(COUNTIF($AG$2:AG11,'Master Data'!$AB$3:$AB$300),),0))</f>
        <v>TB/HIV</v>
      </c>
      <c r="AI12" t="s">
        <v>36</v>
      </c>
      <c r="AJ12" t="s">
        <v>649</v>
      </c>
      <c r="AK12" t="s">
        <v>1990</v>
      </c>
    </row>
    <row r="13" spans="1:37" ht="15" thickBot="1" x14ac:dyDescent="0.4">
      <c r="A13" t="s">
        <v>164</v>
      </c>
      <c r="B13">
        <v>1</v>
      </c>
      <c r="D13" s="225" t="s">
        <v>91</v>
      </c>
      <c r="E13" s="225" t="s">
        <v>91</v>
      </c>
      <c r="H13" t="s">
        <v>3085</v>
      </c>
      <c r="N13" s="86" t="str">
        <f>IF(O13="","-",Q13)</f>
        <v>Oct23 - Dec23</v>
      </c>
      <c r="O13">
        <f t="shared" si="1"/>
        <v>12</v>
      </c>
      <c r="P13">
        <v>12</v>
      </c>
      <c r="Q13" t="str">
        <f>IF(OR(MONTH(IMP_ST_DATE)=3,MONTH(IMP_ST_DATE)=6,MONTH(IMP_ST_DATE)=9),(TEXT(EDATE(IMP_ST_DATE,34),"MMM")&amp;TEXT((EDATE(IMP_ST_DATE,34)),"YY")&amp;" - "&amp;TEXT(EDATE(IMP_ST_DATE,36),"MMM")&amp;TEXT((EDATE(IMP_ST_DATE,36)),"YY")),IF(OR(MONTH(IMP_ST_DATE)=2,MONTH(IMP_ST_DATE)=5,MONTH(IMP_ST_DATE)=8,MONTH(IMP_ST_DATE)=11),(TEXT(EDATE(IMP_ST_DATE,32),"MMM")&amp;TEXT((EDATE(IMP_ST_DATE,32)),"YY")&amp;" - "&amp;TEXT(EDATE(IMP_ST_DATE,34),"MMM")&amp;TEXT((EDATE(IMP_ST_DATE,34)),"YY")),(TEXT(EDATE(IMP_ST_DATE,33),"MMM")&amp;TEXT((EDATE(IMP_ST_DATE,33)),"YY")&amp;" - "&amp;TEXT(EDATE(IMP_ST_DATE,35),"MMM")&amp;TEXT((EDATE(IMP_ST_DATE,35)),"YY"))))</f>
        <v>Oct23 - Dec23</v>
      </c>
      <c r="R13">
        <v>36</v>
      </c>
      <c r="S13">
        <v>34</v>
      </c>
      <c r="T13">
        <v>35</v>
      </c>
      <c r="V13" t="str">
        <f>IF(O13&lt;&gt;"",TEXT(IF(OR(MONTH(IMP_ST_DATE)=3,MONTH(IMP_ST_DATE)=6,MONTH(IMP_ST_DATE)=9),(TEXT(EDATE(IMP_ST_DATE,36),"MMM")&amp;TEXT((EDATE(IMP_ST_DATE,36)),"YY")),IF(OR(MONTH(IMP_ST_DATE)=2,MONTH(IMP_ST_DATE)=5,MONTH(IMP_ST_DATE)=8,MONTH(IMP_ST_DATE)=11),(TEXT(EDATE(IMP_ST_DATE,34),"MMM")&amp;TEXT((EDATE(IMP_ST_DATE,34)),"YY")),(TEXT(EDATE(IMP_ST_DATE,35),"MMM")&amp;TEXT((EDATE(IMP_ST_DATE,35)),"YY")))),"YYYY"),"")</f>
        <v>2023</v>
      </c>
      <c r="AA13" s="325" t="s">
        <v>36</v>
      </c>
      <c r="AB13" s="328" t="s">
        <v>649</v>
      </c>
      <c r="AC13" s="328" t="s">
        <v>1980</v>
      </c>
      <c r="AD13" s="329" t="s">
        <v>621</v>
      </c>
      <c r="AE13" s="319" t="s">
        <v>2183</v>
      </c>
      <c r="AF13" t="str">
        <f>INDEX('Master Data'!$AA$3:$AA$300,MATCH(AG13,'Master Data'!$AB$3:$AB$300,0),)</f>
        <v>HIV</v>
      </c>
      <c r="AG13" t="str" cm="1">
        <f t="array" ref="AG13">INDEX('Master Data'!$AB$3:$AB$300,MATCH(0,INDEX(COUNTIF($AG$2:AG12,'Master Data'!$AB$3:$AB$300),),0))</f>
        <v>Treatment, care and support</v>
      </c>
      <c r="AI13" t="s">
        <v>36</v>
      </c>
      <c r="AJ13" t="s">
        <v>649</v>
      </c>
      <c r="AK13" t="s">
        <v>1991</v>
      </c>
    </row>
    <row r="14" spans="1:37" ht="15.5" customHeight="1" thickBot="1" x14ac:dyDescent="0.4">
      <c r="A14" t="s">
        <v>178</v>
      </c>
      <c r="B14">
        <v>1</v>
      </c>
      <c r="D14" s="225" t="s">
        <v>93</v>
      </c>
      <c r="E14" s="225" t="s">
        <v>124</v>
      </c>
      <c r="H14" t="s">
        <v>3086</v>
      </c>
      <c r="N14" s="86" t="str">
        <f t="shared" si="0"/>
        <v>Jan24 - Mar24</v>
      </c>
      <c r="O14">
        <f t="shared" si="1"/>
        <v>13</v>
      </c>
      <c r="P14">
        <v>13</v>
      </c>
      <c r="Q14" s="61" t="str">
        <f>IF(OR(MONTH(IMP_ST_DATE)=3,MONTH(IMP_ST_DATE)=6,MONTH(IMP_ST_DATE)=9),(TEXT(EDATE(IMP_ST_DATE,37),"MMM")&amp;TEXT((EDATE(IMP_ST_DATE,37)),"YY")&amp;" - "&amp;TEXT(EDATE(IMP_ST_DATE,39),"MMM")&amp;TEXT((EDATE(IMP_ST_DATE,39)),"YY")),IF(OR(MONTH(IMP_ST_DATE)=2,MONTH(IMP_ST_DATE)=5,MONTH(IMP_ST_DATE)=8,MONTH(IMP_ST_DATE)=11),(TEXT(EDATE(IMP_ST_DATE,35),"MMM")&amp;TEXT((EDATE(IMP_ST_DATE,35)),"YY")&amp;" - "&amp;TEXT(EDATE(IMP_ST_DATE,37),"MMM")&amp;TEXT((EDATE(IMP_ST_DATE,37)),"YY")),(TEXT(EDATE(IMP_ST_DATE,36),"MMM")&amp;TEXT((EDATE(IMP_ST_DATE,36)),"YY")&amp;" - "&amp;TEXT(EDATE(IMP_ST_DATE,38),"MMM")&amp;TEXT((EDATE(IMP_ST_DATE,38)),"YY"))))</f>
        <v>Jan24 - Mar24</v>
      </c>
      <c r="R14">
        <v>39</v>
      </c>
      <c r="S14">
        <v>37</v>
      </c>
      <c r="T14">
        <v>38</v>
      </c>
      <c r="U14" t="str">
        <f>TEXT(IF(OR(MONTH(IMP_ST_DATE)=3,MONTH(IMP_ST_DATE)=6,MONTH(IMP_ST_DATE)=9),(TEXT(EDATE(IMP_ST_DATE,37),"MMM")&amp;TEXT((EDATE(IMP_ST_DATE,37)),"YY")),IF(OR(MONTH(IMP_ST_DATE)=2,MONTH(IMP_ST_DATE)=5,MONTH(IMP_ST_DATE)=8,MONTH(IMP_ST_DATE)=11),(TEXT(EDATE(IMP_ST_DATE,35),"MMM")&amp;TEXT((EDATE(IMP_ST_DATE,35)),"YY")),(TEXT(EDATE(IMP_ST_DATE,36),"MMM")&amp;TEXT((EDATE(IMP_ST_DATE,36)),"YY")))),"YYYY")</f>
        <v>2024</v>
      </c>
      <c r="W14" t="str">
        <f>IF(O14&lt;&gt;"",(IF(U14=X14,U14,((U14&amp;" - "&amp;V17)))),"")</f>
        <v>2024</v>
      </c>
      <c r="X14" t="str">
        <f>IF(V17&lt;&gt;"",V17,IF(V16&lt;&gt;"",V16,IF(V15&lt;&gt;"",V15,V14)))</f>
        <v>2024</v>
      </c>
      <c r="AA14" s="325" t="s">
        <v>36</v>
      </c>
      <c r="AB14" s="326" t="s">
        <v>649</v>
      </c>
      <c r="AC14" s="326" t="s">
        <v>1980</v>
      </c>
      <c r="AD14" s="327" t="s">
        <v>622</v>
      </c>
      <c r="AE14" s="319" t="s">
        <v>2184</v>
      </c>
      <c r="AF14" t="str">
        <f>INDEX('Master Data'!$AA$3:$AA$300,MATCH(AG14,'Master Data'!$AB$3:$AB$300,0),)</f>
        <v>Malaria</v>
      </c>
      <c r="AG14" t="str" cm="1">
        <f t="array" ref="AG14">INDEX('Master Data'!$AB$3:$AB$300,MATCH(0,INDEX(COUNTIF($AG$2:AG13,'Master Data'!$AB$3:$AB$300),),0))</f>
        <v>Vector control</v>
      </c>
      <c r="AI14" t="s">
        <v>36</v>
      </c>
      <c r="AJ14" t="s">
        <v>645</v>
      </c>
      <c r="AK14" t="s">
        <v>648</v>
      </c>
    </row>
    <row r="15" spans="1:37" ht="18" customHeight="1" thickBot="1" x14ac:dyDescent="0.4">
      <c r="A15" t="s">
        <v>150</v>
      </c>
      <c r="B15">
        <v>1</v>
      </c>
      <c r="D15" s="225" t="s">
        <v>101</v>
      </c>
      <c r="E15" s="225" t="s">
        <v>101</v>
      </c>
      <c r="N15" s="86" t="str">
        <f t="shared" si="0"/>
        <v>Apr24 - Jun24</v>
      </c>
      <c r="O15">
        <f t="shared" si="1"/>
        <v>14</v>
      </c>
      <c r="P15">
        <v>14</v>
      </c>
      <c r="Q15" s="61" t="str">
        <f>IF(OR(MONTH(IMP_ST_DATE)=3,MONTH(IMP_ST_DATE)=6,MONTH(IMP_ST_DATE)=9),(TEXT(EDATE(IMP_ST_DATE,40),"MMM")&amp;TEXT((EDATE(IMP_ST_DATE,40)),"YY")&amp;" - "&amp;TEXT(EDATE(IMP_ST_DATE,42),"MMM")&amp;TEXT((EDATE(IMP_ST_DATE,42)),"YY")),IF(OR(MONTH(IMP_ST_DATE)=2,MONTH(IMP_ST_DATE)=5,MONTH(IMP_ST_DATE)=8,MONTH(IMP_ST_DATE)=11),(TEXT(EDATE(IMP_ST_DATE,38),"MMM")&amp;TEXT((EDATE(IMP_ST_DATE,38)),"YY")&amp;" - "&amp;TEXT(EDATE(IMP_ST_DATE,40),"MMM")&amp;TEXT((EDATE(IMP_ST_DATE,40)),"YY")),(TEXT(EDATE(IMP_ST_DATE,39),"MMM")&amp;TEXT((EDATE(IMP_ST_DATE,39)),"YY")&amp;" - "&amp;TEXT(EDATE(IMP_ST_DATE,41),"MMM")&amp;TEXT((EDATE(IMP_ST_DATE,41)),"YY"))))</f>
        <v>Apr24 - Jun24</v>
      </c>
      <c r="R15">
        <v>42</v>
      </c>
      <c r="S15">
        <v>40</v>
      </c>
      <c r="T15">
        <v>41</v>
      </c>
      <c r="AA15" s="325" t="s">
        <v>36</v>
      </c>
      <c r="AB15" s="328" t="s">
        <v>649</v>
      </c>
      <c r="AC15" s="328" t="s">
        <v>1978</v>
      </c>
      <c r="AD15" s="329" t="s">
        <v>620</v>
      </c>
      <c r="AE15" s="319" t="s">
        <v>2185</v>
      </c>
      <c r="AF15" t="str">
        <f>INDEX('Master Data'!$AA$3:$AA$300,MATCH(AG15,'Master Data'!$AB$3:$AB$300,0),)</f>
        <v>Malaria</v>
      </c>
      <c r="AG15" t="str" cm="1">
        <f t="array" ref="AG15">INDEX('Master Data'!$AB$3:$AB$300,MATCH(0,INDEX(COUNTIF($AG$2:AG14,'Master Data'!$AB$3:$AB$300),),0))</f>
        <v>Specific prevention interventions (SPI)</v>
      </c>
      <c r="AI15" t="s">
        <v>36</v>
      </c>
      <c r="AJ15" t="s">
        <v>645</v>
      </c>
      <c r="AK15" t="s">
        <v>646</v>
      </c>
    </row>
    <row r="16" spans="1:37" ht="17.5" customHeight="1" thickBot="1" x14ac:dyDescent="0.4">
      <c r="A16" t="s">
        <v>151</v>
      </c>
      <c r="B16">
        <v>1</v>
      </c>
      <c r="D16" s="225" t="s">
        <v>102</v>
      </c>
      <c r="E16" s="225" t="s">
        <v>692</v>
      </c>
      <c r="N16" s="86" t="str">
        <f t="shared" si="0"/>
        <v>Jul24 - Sep24</v>
      </c>
      <c r="O16">
        <f t="shared" si="1"/>
        <v>15</v>
      </c>
      <c r="P16">
        <v>15</v>
      </c>
      <c r="Q16" s="61" t="str">
        <f>IF(OR(MONTH(IMP_ST_DATE)=3,MONTH(IMP_ST_DATE)=6,MONTH(IMP_ST_DATE)=9),(TEXT(EDATE(IMP_ST_DATE,43),"MMM")&amp;TEXT((EDATE(IMP_ST_DATE,43)),"YY")&amp;" - "&amp;TEXT(EDATE(IMP_ST_DATE,45),"MMM")&amp;TEXT((EDATE(IMP_ST_DATE,45)),"YY")),IF(OR(MONTH(IMP_ST_DATE)=2,MONTH(IMP_ST_DATE)=5,MONTH(IMP_ST_DATE)=8,MONTH(IMP_ST_DATE)=11),(TEXT(EDATE(IMP_ST_DATE,41),"MMM")&amp;TEXT((EDATE(IMP_ST_DATE,41)),"YY")&amp;" - "&amp;TEXT(EDATE(IMP_ST_DATE,43),"MMM")&amp;TEXT((EDATE(IMP_ST_DATE,43)),"YY")),(TEXT(EDATE(IMP_ST_DATE,42),"MMM")&amp;TEXT((EDATE(IMP_ST_DATE,42)),"YY")&amp;" - "&amp;TEXT(EDATE(IMP_ST_DATE,44),"MMM")&amp;TEXT((EDATE(IMP_ST_DATE,44)),"YY"))))</f>
        <v>Jul24 - Sep24</v>
      </c>
      <c r="R16">
        <v>45</v>
      </c>
      <c r="S16">
        <v>43</v>
      </c>
      <c r="T16">
        <v>44</v>
      </c>
      <c r="AA16" s="325" t="s">
        <v>36</v>
      </c>
      <c r="AB16" s="326" t="s">
        <v>649</v>
      </c>
      <c r="AC16" s="326" t="s">
        <v>1978</v>
      </c>
      <c r="AD16" s="327" t="s">
        <v>621</v>
      </c>
      <c r="AE16" s="319" t="s">
        <v>2186</v>
      </c>
      <c r="AF16" t="str">
        <f>INDEX('Master Data'!$AA$3:$AA$300,MATCH(AG16,'Master Data'!$AB$3:$AB$300,0),)</f>
        <v>Malaria</v>
      </c>
      <c r="AG16" t="str" cm="1">
        <f t="array" ref="AG16">INDEX('Master Data'!$AB$3:$AB$300,MATCH(0,INDEX(COUNTIF($AG$2:AG15,'Master Data'!$AB$3:$AB$300),),0))</f>
        <v>Case management</v>
      </c>
      <c r="AI16" t="s">
        <v>36</v>
      </c>
      <c r="AJ16" t="s">
        <v>645</v>
      </c>
      <c r="AK16" t="s">
        <v>647</v>
      </c>
    </row>
    <row r="17" spans="1:37" ht="15" thickBot="1" x14ac:dyDescent="0.4">
      <c r="A17" t="s">
        <v>152</v>
      </c>
      <c r="B17">
        <v>1</v>
      </c>
      <c r="D17" s="225" t="s">
        <v>98</v>
      </c>
      <c r="E17" s="225" t="s">
        <v>693</v>
      </c>
      <c r="N17" s="86" t="str">
        <f t="shared" si="0"/>
        <v>Oct24 - Dec24</v>
      </c>
      <c r="O17">
        <f t="shared" si="1"/>
        <v>16</v>
      </c>
      <c r="P17">
        <v>16</v>
      </c>
      <c r="Q17" t="str">
        <f>IF(OR(MONTH(IMP_ST_DATE)=3,MONTH(IMP_ST_DATE)=6,MONTH(IMP_ST_DATE)=9),(TEXT(EDATE(IMP_ST_DATE,46),"MMM")&amp;TEXT((EDATE(IMP_ST_DATE,46)),"YY")&amp;" - "&amp;TEXT(EDATE(IMP_ST_DATE,48),"MMM")&amp;TEXT((EDATE(IMP_ST_DATE,48)),"YY")),IF(OR(MONTH(IMP_ST_DATE)=2,MONTH(IMP_ST_DATE)=5,MONTH(IMP_ST_DATE)=8,MONTH(IMP_ST_DATE)=11),(TEXT(EDATE(IMP_ST_DATE,44),"MMM")&amp;TEXT((EDATE(IMP_ST_DATE,44)),"YY")&amp;" - "&amp;TEXT(EDATE(IMP_ST_DATE,46),"MMM")&amp;TEXT((EDATE(IMP_ST_DATE,46)),"YY")),(TEXT(EDATE(IMP_ST_DATE,45),"MMM")&amp;TEXT((EDATE(IMP_ST_DATE,45)),"YY")&amp;" - "&amp;TEXT(EDATE(IMP_ST_DATE,47),"MMM")&amp;TEXT((EDATE(IMP_ST_DATE,47)),"YY"))))</f>
        <v>Oct24 - Dec24</v>
      </c>
      <c r="R17">
        <v>48</v>
      </c>
      <c r="S17">
        <v>46</v>
      </c>
      <c r="T17">
        <v>47</v>
      </c>
      <c r="V17" t="str">
        <f>IF(O17&lt;&gt;"",TEXT(IF(OR(MONTH(IMP_ST_DATE)=3,MONTH(IMP_ST_DATE)=6,MONTH(IMP_ST_DATE)=9),(TEXT(EDATE(IMP_ST_DATE,48),"MMM")&amp;TEXT((EDATE(IMP_ST_DATE,48)),"YY")),IF(OR(MONTH(IMP_ST_DATE)=2,MONTH(IMP_ST_DATE)=5,MONTH(IMP_ST_DATE)=8,MONTH(IMP_ST_DATE)=11),(TEXT(EDATE(IMP_ST_DATE,46),"MMM")&amp;TEXT((EDATE(IMP_ST_DATE,46)),"YY")),(TEXT(EDATE(IMP_ST_DATE,47),"MMM")&amp;TEXT((EDATE(IMP_ST_DATE,47)),"YY")))),"YYYY"),"")</f>
        <v>2024</v>
      </c>
      <c r="AA17" s="325" t="s">
        <v>36</v>
      </c>
      <c r="AB17" s="328" t="s">
        <v>649</v>
      </c>
      <c r="AC17" s="328" t="s">
        <v>1978</v>
      </c>
      <c r="AD17" s="329" t="s">
        <v>622</v>
      </c>
      <c r="AE17" s="319" t="s">
        <v>2187</v>
      </c>
      <c r="AF17" t="str">
        <f>INDEX('Master Data'!$AA$3:$AA$300,MATCH(AG17,'Master Data'!$AB$3:$AB$300,0),)</f>
        <v>TB</v>
      </c>
      <c r="AG17" t="str" cm="1">
        <f t="array" ref="AG17">INDEX('Master Data'!$AB$3:$AB$300,MATCH(0,INDEX(COUNTIF($AG$2:AG16,'Master Data'!$AB$3:$AB$300),),0))</f>
        <v>Collaboration with other providers and sectors</v>
      </c>
      <c r="AI17" t="s">
        <v>36</v>
      </c>
      <c r="AJ17" t="s">
        <v>645</v>
      </c>
      <c r="AK17" t="s">
        <v>734</v>
      </c>
    </row>
    <row r="18" spans="1:37" ht="17.5" customHeight="1" thickBot="1" x14ac:dyDescent="0.4">
      <c r="A18" t="s">
        <v>154</v>
      </c>
      <c r="B18">
        <v>1</v>
      </c>
      <c r="D18" s="225" t="s">
        <v>100</v>
      </c>
      <c r="E18" s="225" t="s">
        <v>694</v>
      </c>
      <c r="N18" t="str">
        <f t="shared" si="0"/>
        <v>Jan25 - Mar25</v>
      </c>
      <c r="O18">
        <f t="shared" si="1"/>
        <v>17</v>
      </c>
      <c r="P18">
        <v>17</v>
      </c>
      <c r="Q18" s="61" t="str">
        <f>IF(OR(MONTH(IMP_ST_DATE)=3,MONTH(IMP_ST_DATE)=6,MONTH(IMP_ST_DATE)=9),(TEXT(EDATE(IMP_ST_DATE,49),"MMM")&amp;TEXT((EDATE(IMP_ST_DATE,49)),"YY")&amp;" - "&amp;TEXT(EDATE(IMP_ST_DATE,51),"MMM")&amp;TEXT((EDATE(IMP_ST_DATE,51)),"YY")),IF(OR(MONTH(IMP_ST_DATE)=2,MONTH(IMP_ST_DATE)=5,MONTH(IMP_ST_DATE)=8,MONTH(IMP_ST_DATE)=11),(TEXT(EDATE(IMP_ST_DATE,47),"MMM")&amp;TEXT((EDATE(IMP_ST_DATE,47)),"YY")&amp;" - "&amp;TEXT(EDATE(IMP_ST_DATE,49),"MMM")&amp;TEXT((EDATE(IMP_ST_DATE,49)),"YY")),(TEXT(EDATE(IMP_ST_DATE,48),"MMM")&amp;TEXT((EDATE(IMP_ST_DATE,48)),"YY")&amp;" - "&amp;TEXT(EDATE(IMP_ST_DATE,50),"MMM")&amp;TEXT((EDATE(IMP_ST_DATE,50)),"YY"))))</f>
        <v>Jan25 - Mar25</v>
      </c>
      <c r="R18">
        <v>51</v>
      </c>
      <c r="S18">
        <v>49</v>
      </c>
      <c r="T18">
        <v>50</v>
      </c>
      <c r="U18" t="str">
        <f>TEXT(IF(OR(MONTH(IMP_ST_DATE)=3,MONTH(IMP_ST_DATE)=6,MONTH(IMP_ST_DATE)=9),(TEXT(EDATE(IMP_ST_DATE,49),"MMM")&amp;TEXT((EDATE(IMP_ST_DATE,49)),"YY")),IF(OR(MONTH(IMP_ST_DATE)=2,MONTH(IMP_ST_DATE)=5,MONTH(IMP_ST_DATE)=8,MONTH(IMP_ST_DATE)=11),(TEXT(EDATE(IMP_ST_DATE,47),"MMM")&amp;TEXT((EDATE(IMP_ST_DATE,47)),"YY")),(TEXT(EDATE(IMP_ST_DATE,48),"MMM")&amp;TEXT((EDATE(IMP_ST_DATE,48)),"YY")))),"YYYY")</f>
        <v>2025</v>
      </c>
      <c r="W18" t="str">
        <f>IF(O18&lt;&gt;"",(IF(U18=X18,U18,((U18&amp;" - "&amp;V21)))),"")</f>
        <v>2025</v>
      </c>
      <c r="X18" t="str">
        <f>IF(V21&lt;&gt;"",V21,IF(V20&lt;&gt;"",V20,IF(V19&lt;&gt;"",V19,V18)))</f>
        <v>2025</v>
      </c>
      <c r="AA18" s="325" t="s">
        <v>36</v>
      </c>
      <c r="AB18" s="326" t="s">
        <v>649</v>
      </c>
      <c r="AC18" s="326" t="s">
        <v>1979</v>
      </c>
      <c r="AD18" s="327" t="s">
        <v>620</v>
      </c>
      <c r="AE18" s="319" t="s">
        <v>2188</v>
      </c>
      <c r="AF18" t="str">
        <f>INDEX('Master Data'!$AA$3:$AA$300,MATCH(AG18,'Master Data'!$AB$3:$AB$300,0),)</f>
        <v>TB</v>
      </c>
      <c r="AG18" t="str" cm="1">
        <f t="array" ref="AG18">INDEX('Master Data'!$AB$3:$AB$300,MATCH(0,INDEX(COUNTIF($AG$2:AG17,'Master Data'!$AB$3:$AB$300),),0))</f>
        <v>Drug-resistant (DR)-TB diagnosis, treatment and care</v>
      </c>
      <c r="AI18" t="s">
        <v>36</v>
      </c>
      <c r="AJ18" t="s">
        <v>617</v>
      </c>
      <c r="AK18" t="s">
        <v>618</v>
      </c>
    </row>
    <row r="19" spans="1:37" ht="15.5" customHeight="1" x14ac:dyDescent="0.35">
      <c r="A19" t="s">
        <v>153</v>
      </c>
      <c r="B19">
        <v>1</v>
      </c>
      <c r="E19" s="24"/>
      <c r="N19" t="str">
        <f t="shared" si="0"/>
        <v>Apr25 - Jun25</v>
      </c>
      <c r="O19">
        <f t="shared" si="1"/>
        <v>18</v>
      </c>
      <c r="P19">
        <v>18</v>
      </c>
      <c r="Q19" s="61" t="str">
        <f>IF(OR(MONTH(IMP_ST_DATE)=3,MONTH(IMP_ST_DATE)=6,MONTH(IMP_ST_DATE)=9),(TEXT(EDATE(IMP_ST_DATE,52),"MMM")&amp;TEXT((EDATE(IMP_ST_DATE,52)),"YY")&amp;" - "&amp;TEXT(EDATE(IMP_ST_DATE,54),"MMM")&amp;TEXT((EDATE(IMP_ST_DATE,54)),"YY")),IF(OR(MONTH(IMP_ST_DATE)=2,MONTH(IMP_ST_DATE)=5,MONTH(IMP_ST_DATE)=8,MONTH(IMP_ST_DATE)=11),(TEXT(EDATE(IMP_ST_DATE,50),"MMM")&amp;TEXT((EDATE(IMP_ST_DATE,50)),"YY")&amp;" - "&amp;TEXT(EDATE(IMP_ST_DATE,52),"MMM")&amp;TEXT((EDATE(IMP_ST_DATE,52)),"YY")),(TEXT(EDATE(IMP_ST_DATE,51),"MMM")&amp;TEXT((EDATE(IMP_ST_DATE,51)),"YY")&amp;" - "&amp;TEXT(EDATE(IMP_ST_DATE,53),"MMM")&amp;TEXT((EDATE(IMP_ST_DATE,53)),"YY"))))</f>
        <v>Apr25 - Jun25</v>
      </c>
      <c r="R19">
        <v>54</v>
      </c>
      <c r="S19">
        <v>52</v>
      </c>
      <c r="T19">
        <v>53</v>
      </c>
      <c r="AA19" s="325" t="s">
        <v>36</v>
      </c>
      <c r="AB19" s="328" t="s">
        <v>649</v>
      </c>
      <c r="AC19" s="328" t="s">
        <v>1979</v>
      </c>
      <c r="AD19" s="329" t="s">
        <v>621</v>
      </c>
      <c r="AE19" s="319" t="s">
        <v>2189</v>
      </c>
      <c r="AF19" t="str">
        <f>INDEX('Master Data'!$AA$3:$AA$300,MATCH(AG19,'Master Data'!$AB$3:$AB$300,0),)</f>
        <v>TB</v>
      </c>
      <c r="AG19" t="str" cm="1">
        <f t="array" ref="AG19">INDEX('Master Data'!$AB$3:$AB$300,MATCH(0,INDEX(COUNTIF($AG$2:AG18,'Master Data'!$AB$3:$AB$300),),0))</f>
        <v>Key and vulnerable populations (KVP) – TB/DR-TB</v>
      </c>
      <c r="AI19" t="s">
        <v>36</v>
      </c>
      <c r="AJ19" t="s">
        <v>617</v>
      </c>
      <c r="AK19" t="s">
        <v>623</v>
      </c>
    </row>
    <row r="20" spans="1:37" ht="17" customHeight="1" x14ac:dyDescent="0.35">
      <c r="A20" t="s">
        <v>155</v>
      </c>
      <c r="B20">
        <v>1</v>
      </c>
      <c r="E20" s="24"/>
      <c r="N20" t="str">
        <f t="shared" si="0"/>
        <v>Jul25 - Sep25</v>
      </c>
      <c r="O20">
        <f t="shared" si="1"/>
        <v>19</v>
      </c>
      <c r="P20">
        <v>19</v>
      </c>
      <c r="Q20" s="61" t="str">
        <f>IF(OR(MONTH(IMP_ST_DATE)=3,MONTH(IMP_ST_DATE)=6,MONTH(IMP_ST_DATE)=9),(TEXT(EDATE(IMP_ST_DATE,55),"MMM")&amp;TEXT((EDATE(IMP_ST_DATE,55)),"YY")&amp;" - "&amp;TEXT(EDATE(IMP_ST_DATE,57),"MMM")&amp;TEXT((EDATE(IMP_ST_DATE,57)),"YY")),IF(OR(MONTH(IMP_ST_DATE)=2,MONTH(IMP_ST_DATE)=5,MONTH(IMP_ST_DATE)=8,MONTH(IMP_ST_DATE)=11),(TEXT(EDATE(IMP_ST_DATE,53),"MMM")&amp;TEXT((EDATE(IMP_ST_DATE,53)),"YY")&amp;" - "&amp;TEXT(EDATE(IMP_ST_DATE,55),"MMM")&amp;TEXT((EDATE(IMP_ST_DATE,55)),"YY")),(TEXT(EDATE(IMP_ST_DATE,54),"MMM")&amp;TEXT((EDATE(IMP_ST_DATE,54)),"YY")&amp;" - "&amp;TEXT(EDATE(IMP_ST_DATE,56),"MMM")&amp;TEXT((EDATE(IMP_ST_DATE,56)),"YY"))))</f>
        <v>Jul25 - Sep25</v>
      </c>
      <c r="R20">
        <v>57</v>
      </c>
      <c r="S20">
        <v>55</v>
      </c>
      <c r="T20">
        <v>56</v>
      </c>
      <c r="AA20" s="325" t="s">
        <v>36</v>
      </c>
      <c r="AB20" s="326" t="s">
        <v>649</v>
      </c>
      <c r="AC20" s="326" t="s">
        <v>1979</v>
      </c>
      <c r="AD20" s="327" t="s">
        <v>622</v>
      </c>
      <c r="AE20" s="319" t="s">
        <v>2190</v>
      </c>
      <c r="AF20" t="str">
        <f>INDEX('Master Data'!$AA$3:$AA$300,MATCH(AG20,'Master Data'!$AB$3:$AB$300,0),)</f>
        <v>TB</v>
      </c>
      <c r="AG20" t="str" cm="1">
        <f t="array" ref="AG20">INDEX('Master Data'!$AB$3:$AB$300,MATCH(0,INDEX(COUNTIF($AG$2:AG19,'Master Data'!$AB$3:$AB$300),),0))</f>
        <v>TB diagnosis, treatment and care</v>
      </c>
      <c r="AI20" t="s">
        <v>36</v>
      </c>
      <c r="AJ20" t="s">
        <v>617</v>
      </c>
      <c r="AK20" t="s">
        <v>624</v>
      </c>
    </row>
    <row r="21" spans="1:37" x14ac:dyDescent="0.35">
      <c r="A21" t="s">
        <v>165</v>
      </c>
      <c r="B21">
        <v>1</v>
      </c>
      <c r="E21" s="24"/>
      <c r="N21" t="str">
        <f t="shared" si="0"/>
        <v>Oct25 - Dec25</v>
      </c>
      <c r="O21">
        <f t="shared" si="1"/>
        <v>20</v>
      </c>
      <c r="P21">
        <v>20</v>
      </c>
      <c r="Q21" t="str">
        <f>IF(OR(MONTH(IMP_ST_DATE)=3,MONTH(IMP_ST_DATE)=6,MONTH(IMP_ST_DATE)=9),(TEXT(EDATE(IMP_ST_DATE,58),"MMM")&amp;TEXT((EDATE(IMP_ST_DATE,58)),"YY")&amp;" - "&amp;TEXT(EDATE(IMP_ST_DATE,60),"MMM")&amp;TEXT((EDATE(IMP_ST_DATE,60)),"YY")),IF(OR(MONTH(IMP_ST_DATE)=2,MONTH(IMP_ST_DATE)=5,MONTH(IMP_ST_DATE)=8,MONTH(IMP_ST_DATE)=11),(TEXT(EDATE(IMP_ST_DATE,59),"MMM")&amp;TEXT((EDATE(IMP_ST_DATE,59)),"YY")&amp;" - "&amp;TEXT(EDATE(IMP_ST_DATE,58),"MMM")&amp;TEXT((EDATE(IMP_ST_DATE,58)),"YY")),(TEXT(EDATE(IMP_ST_DATE,57),"MMM")&amp;TEXT((EDATE(IMP_ST_DATE,57)),"YY")&amp;" - "&amp;TEXT(EDATE(IMP_ST_DATE,59),"MMM")&amp;TEXT((EDATE(IMP_ST_DATE,59)),"YY"))))</f>
        <v>Oct25 - Dec25</v>
      </c>
      <c r="R21">
        <v>60</v>
      </c>
      <c r="S21">
        <v>58</v>
      </c>
      <c r="T21">
        <v>59</v>
      </c>
      <c r="V21" t="str">
        <f>IF(O21&lt;&gt;"",TEXT(IF(OR(MONTH(IMP_ST_DATE)=3,MONTH(IMP_ST_DATE)=6,MONTH(IMP_ST_DATE)=9),(TEXT(EDATE(IMP_ST_DATE,60),"MMM")&amp;TEXT((EDATE(IMP_ST_DATE,60)),"YY")),IF(OR(MONTH(IMP_ST_DATE)=2,MONTH(IMP_ST_DATE)=5,MONTH(IMP_ST_DATE)=8,MONTH(IMP_ST_DATE)=11),(TEXT(EDATE(IMP_ST_DATE,58),"MMM")&amp;TEXT((EDATE(IMP_ST_DATE,58)),"YY")),(TEXT(EDATE(IMP_ST_DATE,59),"MMM")&amp;TEXT((EDATE(IMP_ST_DATE,59)),"YY")))),"YYYY"),"")</f>
        <v>2025</v>
      </c>
      <c r="AA21" s="325" t="s">
        <v>36</v>
      </c>
      <c r="AB21" s="328" t="s">
        <v>649</v>
      </c>
      <c r="AC21" s="328" t="s">
        <v>1991</v>
      </c>
      <c r="AD21" s="329" t="s">
        <v>620</v>
      </c>
      <c r="AE21" s="319" t="s">
        <v>2191</v>
      </c>
      <c r="AF21" t="str">
        <f>INDEX('Master Data'!$AA$3:$AA$300,MATCH(AG21,'Master Data'!$AB$3:$AB$300,0),)</f>
        <v>TB</v>
      </c>
      <c r="AG21" t="str" cm="1">
        <f t="array" ref="AG21">INDEX('Master Data'!$AB$3:$AB$300,MATCH(0,INDEX(COUNTIF($AG$2:AG20,'Master Data'!$AB$3:$AB$300),),0))</f>
        <v>TB/DR-TB Prevention</v>
      </c>
      <c r="AI21" t="s">
        <v>36</v>
      </c>
      <c r="AJ21" t="s">
        <v>637</v>
      </c>
      <c r="AK21" t="s">
        <v>638</v>
      </c>
    </row>
    <row r="22" spans="1:37" ht="15.5" customHeight="1" x14ac:dyDescent="0.35">
      <c r="A22" t="s">
        <v>159</v>
      </c>
      <c r="B22">
        <v>1</v>
      </c>
      <c r="E22" s="24"/>
      <c r="N22" t="str">
        <f t="shared" si="0"/>
        <v>-</v>
      </c>
      <c r="O22" t="str">
        <f t="shared" si="1"/>
        <v/>
      </c>
      <c r="P22">
        <v>21</v>
      </c>
      <c r="Q22" t="str">
        <f>IF(OR(MONTH(IMP_ST_DATE)=3,MONTH(IMP_ST_DATE)=6,MONTH(IMP_ST_DATE)=9),(TEXT(EDATE(IMP_ST_DATE,61),"MMM")&amp;TEXT((EDATE(IMP_ST_DATE,61)),"YY")&amp;" - "&amp;TEXT(EDATE(IMP_ST_DATE,63),"MMM")&amp;TEXT((EDATE(IMP_ST_DATE,63)),"YY")),IF(OR(MONTH(IMP_ST_DATE)=2,MONTH(IMP_ST_DATE)=5,MONTH(IMP_ST_DATE)=8,MONTH(IMP_ST_DATE)=11),(TEXT(EDATE(IMP_ST_DATE,62),"MMM")&amp;TEXT((EDATE(IMP_ST_DATE,62)),"YY")&amp;" - "&amp;TEXT(EDATE(IMP_ST_DATE,61),"MMM")&amp;TEXT((EDATE(IMP_ST_DATE,61)),"YY")),(TEXT(EDATE(IMP_ST_DATE,60),"MMM")&amp;TEXT((EDATE(IMP_ST_DATE,60)),"YY")&amp;" - "&amp;TEXT(EDATE(IMP_ST_DATE,62),"MMM")&amp;TEXT((EDATE(IMP_ST_DATE,62)),"YY"))))</f>
        <v>Jan26 - Mar26</v>
      </c>
      <c r="R22">
        <v>63</v>
      </c>
      <c r="S22">
        <v>61</v>
      </c>
      <c r="T22">
        <v>62</v>
      </c>
      <c r="U22" t="str">
        <f>TEXT(IF(OR(MONTH(IMP_ST_DATE)=3,MONTH(IMP_ST_DATE)=6,MONTH(IMP_ST_DATE)=9),(TEXT(EDATE(IMP_ST_DATE,61),"MMM")&amp;TEXT((EDATE(IMP_ST_DATE,61)),"YY")),IF(OR(MONTH(IMP_ST_DATE)=2,MONTH(IMP_ST_DATE)=5,MONTH(IMP_ST_DATE)=8,MONTH(IMP_ST_DATE)=11),(TEXT(EDATE(IMP_ST_DATE,59),"MMM")&amp;TEXT((EDATE(IMP_ST_DATE,59)),"YY")),(TEXT(EDATE(IMP_ST_DATE,60),"MMM")&amp;TEXT((EDATE(IMP_ST_DATE,60)),"YY")))),"YYYY")</f>
        <v>2026</v>
      </c>
      <c r="V22" t="str">
        <f>IF(O22="","",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W22" t="str">
        <f>IF(O22&lt;&gt;"",(IF(U22=X22,U22,((U22&amp;" - "&amp;V25)))),"")</f>
        <v/>
      </c>
      <c r="X22" t="str">
        <f>IF(V25&lt;&gt;"",V25,IF(V24&lt;&gt;"",V24,IF(V23&lt;&gt;"",V23,V22)))</f>
        <v/>
      </c>
      <c r="AA22" s="325" t="s">
        <v>36</v>
      </c>
      <c r="AB22" s="326" t="s">
        <v>649</v>
      </c>
      <c r="AC22" s="326" t="s">
        <v>1991</v>
      </c>
      <c r="AD22" s="327" t="s">
        <v>621</v>
      </c>
      <c r="AE22" s="319" t="s">
        <v>2192</v>
      </c>
      <c r="AF22" t="e">
        <f>INDEX('Master Data'!$AA$3:$AA$300,MATCH(AG22,'Master Data'!$AB$3:$AB$300,0),)</f>
        <v>#N/A</v>
      </c>
      <c r="AG22" cm="1">
        <f t="array" ref="AG22">INDEX('Master Data'!$AB$3:$AB$300,MATCH(0,INDEX(COUNTIF($AG$2:AG21,'Master Data'!$AB$3:$AB$300),),0))</f>
        <v>0</v>
      </c>
      <c r="AI22" t="s">
        <v>36</v>
      </c>
      <c r="AJ22" t="s">
        <v>637</v>
      </c>
      <c r="AK22" t="s">
        <v>639</v>
      </c>
    </row>
    <row r="23" spans="1:37" x14ac:dyDescent="0.35">
      <c r="A23" t="s">
        <v>156</v>
      </c>
      <c r="B23">
        <v>1</v>
      </c>
      <c r="E23" s="24"/>
      <c r="N23" t="str">
        <f t="shared" si="0"/>
        <v>-</v>
      </c>
      <c r="O23" t="str">
        <f t="shared" si="1"/>
        <v/>
      </c>
      <c r="P23">
        <v>22</v>
      </c>
      <c r="Q23" t="str">
        <f>IF(OR(MONTH(IMP_ST_DATE)=3,MONTH(IMP_ST_DATE)=6,MONTH(IMP_ST_DATE)=9),(TEXT(EDATE(IMP_ST_DATE,64),"MMM")&amp;TEXT((EDATE(IMP_ST_DATE,64)),"YY")&amp;" - "&amp;TEXT(EDATE(IMP_ST_DATE,66),"MMM")&amp;TEXT((EDATE(IMP_ST_DATE,66)),"YY")),IF(OR(MONTH(IMP_ST_DATE)=2,MONTH(IMP_ST_DATE)=5,MONTH(IMP_ST_DATE)=8,MONTH(IMP_ST_DATE)=11),(TEXT(EDATE(IMP_ST_DATE,65),"MMM")&amp;TEXT((EDATE(IMP_ST_DATE,65)),"YY")&amp;" - "&amp;TEXT(EDATE(IMP_ST_DATE,64),"MMM")&amp;TEXT((EDATE(IMP_ST_DATE,64)),"YY")),(TEXT(EDATE(IMP_ST_DATE,63),"MMM")&amp;TEXT((EDATE(IMP_ST_DATE,63)),"YY")&amp;" - "&amp;TEXT(EDATE(IMP_ST_DATE,65),"MMM")&amp;TEXT((EDATE(IMP_ST_DATE,65)),"YY"))))</f>
        <v>Apr26 - Jun26</v>
      </c>
      <c r="R23">
        <v>66</v>
      </c>
      <c r="S23">
        <v>64</v>
      </c>
      <c r="T23">
        <v>65</v>
      </c>
      <c r="V23" t="str">
        <f>IF(O23="","",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AA23" s="325" t="s">
        <v>36</v>
      </c>
      <c r="AB23" s="328" t="s">
        <v>649</v>
      </c>
      <c r="AC23" s="328" t="s">
        <v>1991</v>
      </c>
      <c r="AD23" s="329" t="s">
        <v>622</v>
      </c>
      <c r="AE23" s="319" t="s">
        <v>2193</v>
      </c>
      <c r="AF23" t="e">
        <f>INDEX('Master Data'!$AA$3:$AA$300,MATCH(AG23,'Master Data'!$AB$3:$AB$300,0),)</f>
        <v>#N/A</v>
      </c>
      <c r="AG23" t="e" cm="1">
        <f t="array" ref="AG23">INDEX('Master Data'!$AB$3:$AB$300,MATCH(0,INDEX(COUNTIF($AG$2:AG22,'Master Data'!$AB$3:$AB$300),),0))</f>
        <v>#N/A</v>
      </c>
      <c r="AI23" t="s">
        <v>36</v>
      </c>
      <c r="AJ23" t="s">
        <v>637</v>
      </c>
      <c r="AK23" t="s">
        <v>640</v>
      </c>
    </row>
    <row r="24" spans="1:37" x14ac:dyDescent="0.35">
      <c r="A24" t="s">
        <v>166</v>
      </c>
      <c r="B24">
        <v>1</v>
      </c>
      <c r="E24" s="24"/>
      <c r="N24" t="str">
        <f t="shared" si="0"/>
        <v>-</v>
      </c>
      <c r="O24" t="str">
        <f t="shared" si="1"/>
        <v/>
      </c>
      <c r="P24">
        <v>23</v>
      </c>
      <c r="Q24" t="str">
        <f>IF(OR(MONTH(IMP_ST_DATE)=3,MONTH(IMP_ST_DATE)=6,MONTH(IMP_ST_DATE)=9),(TEXT(EDATE(IMP_ST_DATE,67),"MMM")&amp;TEXT((EDATE(IMP_ST_DATE,67)),"YY")&amp;" - "&amp;TEXT(EDATE(IMP_ST_DATE,69),"MMM")&amp;TEXT((EDATE(IMP_ST_DATE,69)),"YY")),IF(OR(MONTH(IMP_ST_DATE)=2,MONTH(IMP_ST_DATE)=5,MONTH(IMP_ST_DATE)=8,MONTH(IMP_ST_DATE)=11),(TEXT(EDATE(IMP_ST_DATE,68),"MMM")&amp;TEXT((EDATE(IMP_ST_DATE,68)),"YY")&amp;" - "&amp;TEXT(EDATE(IMP_ST_DATE,67),"MMM")&amp;TEXT((EDATE(IMP_ST_DATE,67)),"YY")),(TEXT(EDATE(IMP_ST_DATE,66),"MMM")&amp;TEXT((EDATE(IMP_ST_DATE,66)),"YY")&amp;" - "&amp;TEXT(EDATE(IMP_ST_DATE,68),"MMM")&amp;TEXT((EDATE(IMP_ST_DATE,68)),"YY"))))</f>
        <v>Jul26 - Sep26</v>
      </c>
      <c r="R24">
        <v>69</v>
      </c>
      <c r="S24">
        <v>67</v>
      </c>
      <c r="T24">
        <v>68</v>
      </c>
      <c r="V24" t="str">
        <f>IF(O24="","",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4" s="325" t="s">
        <v>36</v>
      </c>
      <c r="AB24" s="326" t="s">
        <v>649</v>
      </c>
      <c r="AC24" s="326" t="s">
        <v>651</v>
      </c>
      <c r="AD24" s="327" t="s">
        <v>620</v>
      </c>
      <c r="AE24" s="319" t="s">
        <v>2194</v>
      </c>
      <c r="AF24" t="e">
        <f>INDEX('Master Data'!$AA$3:$AA$300,MATCH(AG24,'Master Data'!$AB$3:$AB$300,0),)</f>
        <v>#N/A</v>
      </c>
      <c r="AG24" t="e" cm="1">
        <f t="array" ref="AG24">INDEX('Master Data'!$AB$3:$AB$300,MATCH(0,INDEX(COUNTIF($AG$2:AG23,'Master Data'!$AB$3:$AB$300),),0))</f>
        <v>#N/A</v>
      </c>
      <c r="AI24" t="s">
        <v>36</v>
      </c>
      <c r="AJ24" t="s">
        <v>633</v>
      </c>
      <c r="AK24" t="s">
        <v>634</v>
      </c>
    </row>
    <row r="25" spans="1:37" x14ac:dyDescent="0.35">
      <c r="A25" t="s">
        <v>167</v>
      </c>
      <c r="B25">
        <v>1</v>
      </c>
      <c r="E25" s="24"/>
      <c r="N25" t="str">
        <f t="shared" si="0"/>
        <v>-</v>
      </c>
      <c r="O25" t="str">
        <f t="shared" si="1"/>
        <v/>
      </c>
      <c r="P25">
        <v>24</v>
      </c>
      <c r="Q25" t="str">
        <f>IF(OR(MONTH(IMP_ST_DATE)=3,MONTH(IMP_ST_DATE)=6,MONTH(IMP_ST_DATE)=9),(TEXT(EDATE(IMP_ST_DATE,70),"MMM")&amp;TEXT((EDATE(IMP_ST_DATE,70)),"YY")&amp;" - "&amp;TEXT(EDATE(IMP_ST_DATE,72),"MMM")&amp;TEXT((EDATE(IMP_ST_DATE,72)),"YY")),IF(OR(MONTH(IMP_ST_DATE)=2,MONTH(IMP_ST_DATE)=5,MONTH(IMP_ST_DATE)=8,MONTH(IMP_ST_DATE)=11),(TEXT(EDATE(IMP_ST_DATE,71),"MMM")&amp;TEXT((EDATE(IMP_ST_DATE,71)),"YY")&amp;" - "&amp;TEXT(EDATE(IMP_ST_DATE,70),"MMM")&amp;TEXT((EDATE(IMP_ST_DATE,70)),"YY")),(TEXT(EDATE(IMP_ST_DATE,69),"MMM")&amp;TEXT((EDATE(IMP_ST_DATE,69)),"YY")&amp;" - "&amp;TEXT(EDATE(IMP_ST_DATE,71),"MMM")&amp;TEXT((EDATE(IMP_ST_DATE,71)),"YY"))))</f>
        <v>Oct26 - Dec26</v>
      </c>
      <c r="R25">
        <v>72</v>
      </c>
      <c r="S25">
        <v>70</v>
      </c>
      <c r="T25">
        <v>71</v>
      </c>
      <c r="V25" t="str">
        <f>IF(O25="","",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5" s="325" t="s">
        <v>36</v>
      </c>
      <c r="AB25" s="328" t="s">
        <v>649</v>
      </c>
      <c r="AC25" s="328" t="s">
        <v>651</v>
      </c>
      <c r="AD25" s="329" t="s">
        <v>621</v>
      </c>
      <c r="AE25" s="319" t="s">
        <v>2195</v>
      </c>
      <c r="AF25" t="e">
        <f>INDEX('Master Data'!$AA$3:$AA$300,MATCH(AG25,'Master Data'!$AB$3:$AB$300,0),)</f>
        <v>#N/A</v>
      </c>
      <c r="AG25" t="e" cm="1">
        <f t="array" ref="AG25">INDEX('Master Data'!$AB$3:$AB$300,MATCH(0,INDEX(COUNTIF($AG$2:AG24,'Master Data'!$AB$3:$AB$300),),0))</f>
        <v>#N/A</v>
      </c>
      <c r="AI25" t="s">
        <v>36</v>
      </c>
      <c r="AJ25" t="s">
        <v>633</v>
      </c>
      <c r="AK25" t="s">
        <v>635</v>
      </c>
    </row>
    <row r="26" spans="1:37" x14ac:dyDescent="0.35">
      <c r="A26" t="s">
        <v>2427</v>
      </c>
      <c r="B26">
        <v>1</v>
      </c>
      <c r="E26" s="24"/>
      <c r="AA26" s="325" t="s">
        <v>36</v>
      </c>
      <c r="AB26" s="326" t="s">
        <v>649</v>
      </c>
      <c r="AC26" s="326" t="s">
        <v>651</v>
      </c>
      <c r="AD26" s="327" t="s">
        <v>622</v>
      </c>
      <c r="AE26" s="319" t="s">
        <v>2196</v>
      </c>
      <c r="AF26" t="e">
        <f>INDEX('Master Data'!$AA$3:$AA$300,MATCH(AG26,'Master Data'!$AB$3:$AB$300,0),)</f>
        <v>#N/A</v>
      </c>
      <c r="AG26" t="e" cm="1">
        <f t="array" ref="AG26">INDEX('Master Data'!$AB$3:$AB$300,MATCH(0,INDEX(COUNTIF($AG$2:AG25,'Master Data'!$AB$3:$AB$300),),0))</f>
        <v>#N/A</v>
      </c>
      <c r="AI26" t="s">
        <v>36</v>
      </c>
      <c r="AJ26" t="s">
        <v>633</v>
      </c>
      <c r="AK26" t="s">
        <v>636</v>
      </c>
    </row>
    <row r="27" spans="1:37" x14ac:dyDescent="0.35">
      <c r="B27" s="149"/>
      <c r="E27" s="24"/>
      <c r="AA27" s="325" t="s">
        <v>36</v>
      </c>
      <c r="AB27" s="328" t="s">
        <v>649</v>
      </c>
      <c r="AC27" s="328" t="s">
        <v>653</v>
      </c>
      <c r="AD27" s="329" t="s">
        <v>620</v>
      </c>
      <c r="AE27" s="319" t="s">
        <v>2197</v>
      </c>
      <c r="AF27" t="e">
        <f>INDEX('Master Data'!$AA$3:$AA$300,MATCH(AG27,'Master Data'!$AB$3:$AB$300,0),)</f>
        <v>#N/A</v>
      </c>
      <c r="AG27" t="e" cm="1">
        <f t="array" ref="AG27">INDEX('Master Data'!$AB$3:$AB$300,MATCH(0,INDEX(COUNTIF($AG$2:AG26,'Master Data'!$AB$3:$AB$300),),0))</f>
        <v>#N/A</v>
      </c>
      <c r="AI27" t="s">
        <v>36</v>
      </c>
      <c r="AJ27" t="s">
        <v>731</v>
      </c>
      <c r="AK27" t="s">
        <v>629</v>
      </c>
    </row>
    <row r="28" spans="1:37" x14ac:dyDescent="0.35">
      <c r="B28" s="149"/>
      <c r="E28" s="24"/>
      <c r="AA28" s="325" t="s">
        <v>36</v>
      </c>
      <c r="AB28" s="326" t="s">
        <v>649</v>
      </c>
      <c r="AC28" s="326" t="s">
        <v>653</v>
      </c>
      <c r="AD28" s="327" t="s">
        <v>621</v>
      </c>
      <c r="AE28" s="319" t="s">
        <v>2198</v>
      </c>
      <c r="AF28" t="e">
        <f>INDEX('Master Data'!$AA$3:$AA$300,MATCH(AG28,'Master Data'!$AB$3:$AB$300,0),)</f>
        <v>#N/A</v>
      </c>
      <c r="AG28" t="e" cm="1">
        <f t="array" ref="AG28">INDEX('Master Data'!$AB$3:$AB$300,MATCH(0,INDEX(COUNTIF($AG$2:AG27,'Master Data'!$AB$3:$AB$300),),0))</f>
        <v>#N/A</v>
      </c>
      <c r="AI28" t="s">
        <v>36</v>
      </c>
      <c r="AJ28" t="s">
        <v>731</v>
      </c>
      <c r="AK28" t="s">
        <v>631</v>
      </c>
    </row>
    <row r="29" spans="1:37" x14ac:dyDescent="0.35">
      <c r="B29" s="149"/>
      <c r="E29" s="24"/>
      <c r="AA29" s="325" t="s">
        <v>36</v>
      </c>
      <c r="AB29" s="328" t="s">
        <v>649</v>
      </c>
      <c r="AC29" s="328" t="s">
        <v>653</v>
      </c>
      <c r="AD29" s="329" t="s">
        <v>622</v>
      </c>
      <c r="AE29" s="319" t="s">
        <v>2199</v>
      </c>
      <c r="AF29" t="e">
        <f>INDEX('Master Data'!$AA$3:$AA$300,MATCH(AG29,'Master Data'!$AB$3:$AB$300,0),)</f>
        <v>#N/A</v>
      </c>
      <c r="AG29" t="e" cm="1">
        <f t="array" ref="AG29">INDEX('Master Data'!$AB$3:$AB$300,MATCH(0,INDEX(COUNTIF($AG$2:AG28,'Master Data'!$AB$3:$AB$300),),0))</f>
        <v>#N/A</v>
      </c>
      <c r="AI29" t="s">
        <v>36</v>
      </c>
      <c r="AJ29" t="s">
        <v>731</v>
      </c>
      <c r="AK29" t="s">
        <v>632</v>
      </c>
    </row>
    <row r="30" spans="1:37" x14ac:dyDescent="0.35">
      <c r="B30" s="149"/>
      <c r="E30" s="24"/>
      <c r="AA30" s="325" t="s">
        <v>36</v>
      </c>
      <c r="AB30" s="326" t="s">
        <v>645</v>
      </c>
      <c r="AC30" s="326" t="s">
        <v>648</v>
      </c>
      <c r="AD30" s="327" t="s">
        <v>620</v>
      </c>
      <c r="AE30" s="319" t="s">
        <v>2200</v>
      </c>
      <c r="AF30" t="e">
        <f>INDEX('Master Data'!$AA$3:$AA$300,MATCH(AG30,'Master Data'!$AB$3:$AB$300,0),)</f>
        <v>#N/A</v>
      </c>
      <c r="AG30" t="e" cm="1">
        <f t="array" ref="AG30">INDEX('Master Data'!$AB$3:$AB$300,MATCH(0,INDEX(COUNTIF($AG$2:AG29,'Master Data'!$AB$3:$AB$300),),0))</f>
        <v>#N/A</v>
      </c>
      <c r="AI30" t="s">
        <v>36</v>
      </c>
      <c r="AJ30" t="s">
        <v>731</v>
      </c>
      <c r="AK30" t="s">
        <v>630</v>
      </c>
    </row>
    <row r="31" spans="1:37" x14ac:dyDescent="0.35">
      <c r="B31" s="149"/>
      <c r="E31" s="24"/>
      <c r="AA31" s="325" t="s">
        <v>36</v>
      </c>
      <c r="AB31" s="328" t="s">
        <v>645</v>
      </c>
      <c r="AC31" s="328" t="s">
        <v>648</v>
      </c>
      <c r="AD31" s="329" t="s">
        <v>621</v>
      </c>
      <c r="AE31" s="319" t="s">
        <v>2201</v>
      </c>
      <c r="AF31" t="e">
        <f>INDEX('Master Data'!$AA$3:$AA$300,MATCH(AG31,'Master Data'!$AB$3:$AB$300,0),)</f>
        <v>#N/A</v>
      </c>
      <c r="AG31" t="e" cm="1">
        <f t="array" ref="AG31">INDEX('Master Data'!$AB$3:$AB$300,MATCH(0,INDEX(COUNTIF($AG$2:AG30,'Master Data'!$AB$3:$AB$300),),0))</f>
        <v>#N/A</v>
      </c>
      <c r="AI31" t="s">
        <v>36</v>
      </c>
      <c r="AJ31" t="s">
        <v>731</v>
      </c>
      <c r="AK31" t="s">
        <v>732</v>
      </c>
    </row>
    <row r="32" spans="1:37" x14ac:dyDescent="0.35">
      <c r="B32" s="149"/>
      <c r="E32" s="24"/>
      <c r="AA32" s="325" t="s">
        <v>36</v>
      </c>
      <c r="AB32" s="326" t="s">
        <v>645</v>
      </c>
      <c r="AC32" s="326" t="s">
        <v>648</v>
      </c>
      <c r="AD32" s="327" t="s">
        <v>622</v>
      </c>
      <c r="AE32" s="319" t="s">
        <v>2202</v>
      </c>
      <c r="AF32" t="e">
        <f>INDEX('Master Data'!$AA$3:$AA$300,MATCH(AG32,'Master Data'!$AB$3:$AB$300,0),)</f>
        <v>#N/A</v>
      </c>
      <c r="AG32" t="e" cm="1">
        <f t="array" ref="AG32">INDEX('Master Data'!$AB$3:$AB$300,MATCH(0,INDEX(COUNTIF($AG$2:AG31,'Master Data'!$AB$3:$AB$300),),0))</f>
        <v>#N/A</v>
      </c>
      <c r="AI32" t="s">
        <v>36</v>
      </c>
      <c r="AJ32" t="s">
        <v>625</v>
      </c>
      <c r="AK32" t="s">
        <v>626</v>
      </c>
    </row>
    <row r="33" spans="2:37" x14ac:dyDescent="0.35">
      <c r="B33" s="149"/>
      <c r="E33" s="24"/>
      <c r="AA33" s="325" t="s">
        <v>36</v>
      </c>
      <c r="AB33" s="328" t="s">
        <v>645</v>
      </c>
      <c r="AC33" s="328" t="s">
        <v>646</v>
      </c>
      <c r="AD33" s="329" t="s">
        <v>620</v>
      </c>
      <c r="AE33" s="319" t="s">
        <v>2203</v>
      </c>
      <c r="AF33" t="e">
        <f>INDEX('Master Data'!$AA$3:$AA$300,MATCH(AG33,'Master Data'!$AB$3:$AB$300,0),)</f>
        <v>#N/A</v>
      </c>
      <c r="AG33" t="e" cm="1">
        <f t="array" ref="AG33">INDEX('Master Data'!$AB$3:$AB$300,MATCH(0,INDEX(COUNTIF($AG$2:AG32,'Master Data'!$AB$3:$AB$300),),0))</f>
        <v>#N/A</v>
      </c>
      <c r="AI33" t="s">
        <v>36</v>
      </c>
      <c r="AJ33" t="s">
        <v>625</v>
      </c>
      <c r="AK33" t="s">
        <v>627</v>
      </c>
    </row>
    <row r="34" spans="2:37" x14ac:dyDescent="0.35">
      <c r="AA34" s="325" t="s">
        <v>36</v>
      </c>
      <c r="AB34" s="326" t="s">
        <v>645</v>
      </c>
      <c r="AC34" s="326" t="s">
        <v>646</v>
      </c>
      <c r="AD34" s="327" t="s">
        <v>621</v>
      </c>
      <c r="AE34" s="319" t="s">
        <v>2204</v>
      </c>
      <c r="AF34" t="e">
        <f>INDEX('Master Data'!$AA$3:$AA$300,MATCH(AG34,'Master Data'!$AB$3:$AB$300,0),)</f>
        <v>#N/A</v>
      </c>
      <c r="AG34" t="e" cm="1">
        <f t="array" ref="AG34">INDEX('Master Data'!$AB$3:$AB$300,MATCH(0,INDEX(COUNTIF($AG$2:AG33,'Master Data'!$AB$3:$AB$300),),0))</f>
        <v>#N/A</v>
      </c>
      <c r="AI34" t="s">
        <v>36</v>
      </c>
      <c r="AJ34" t="s">
        <v>625</v>
      </c>
      <c r="AK34" t="s">
        <v>628</v>
      </c>
    </row>
    <row r="35" spans="2:37" x14ac:dyDescent="0.35">
      <c r="AA35" s="325" t="s">
        <v>36</v>
      </c>
      <c r="AB35" s="328" t="s">
        <v>645</v>
      </c>
      <c r="AC35" s="328" t="s">
        <v>646</v>
      </c>
      <c r="AD35" s="329" t="s">
        <v>622</v>
      </c>
      <c r="AE35" s="319" t="s">
        <v>2205</v>
      </c>
      <c r="AF35" t="e">
        <f>INDEX('Master Data'!$AA$3:$AA$300,MATCH(AG35,'Master Data'!$AB$3:$AB$300,0),)</f>
        <v>#N/A</v>
      </c>
      <c r="AG35" t="e" cm="1">
        <f t="array" ref="AG35">INDEX('Master Data'!$AB$3:$AB$300,MATCH(0,INDEX(COUNTIF($AG$2:AG34,'Master Data'!$AB$3:$AB$300),),0))</f>
        <v>#N/A</v>
      </c>
      <c r="AI35" t="s">
        <v>36</v>
      </c>
      <c r="AJ35" t="s">
        <v>658</v>
      </c>
      <c r="AK35" t="s">
        <v>659</v>
      </c>
    </row>
    <row r="36" spans="2:37" x14ac:dyDescent="0.35">
      <c r="AA36" s="325" t="s">
        <v>36</v>
      </c>
      <c r="AB36" s="326" t="s">
        <v>645</v>
      </c>
      <c r="AC36" s="326" t="s">
        <v>647</v>
      </c>
      <c r="AD36" s="327" t="s">
        <v>620</v>
      </c>
      <c r="AE36" s="319" t="s">
        <v>2206</v>
      </c>
      <c r="AF36" t="e">
        <f>INDEX('Master Data'!$AA$3:$AA$300,MATCH(AG36,'Master Data'!$AB$3:$AB$300,0),)</f>
        <v>#N/A</v>
      </c>
      <c r="AG36" t="e" cm="1">
        <f t="array" ref="AG36">INDEX('Master Data'!$AB$3:$AB$300,MATCH(0,INDEX(COUNTIF($AG$2:AG35,'Master Data'!$AB$3:$AB$300),),0))</f>
        <v>#N/A</v>
      </c>
      <c r="AI36" t="s">
        <v>36</v>
      </c>
      <c r="AJ36" t="s">
        <v>658</v>
      </c>
      <c r="AK36" t="s">
        <v>735</v>
      </c>
    </row>
    <row r="37" spans="2:37" x14ac:dyDescent="0.35">
      <c r="AA37" s="325" t="s">
        <v>36</v>
      </c>
      <c r="AB37" s="328" t="s">
        <v>645</v>
      </c>
      <c r="AC37" s="328" t="s">
        <v>647</v>
      </c>
      <c r="AD37" s="329" t="s">
        <v>621</v>
      </c>
      <c r="AE37" s="319" t="s">
        <v>2207</v>
      </c>
      <c r="AF37" t="e">
        <f>INDEX('Master Data'!$AA$3:$AA$300,MATCH(AG37,'Master Data'!$AB$3:$AB$300,0),)</f>
        <v>#N/A</v>
      </c>
      <c r="AG37" t="e" cm="1">
        <f t="array" ref="AG37">INDEX('Master Data'!$AB$3:$AB$300,MATCH(0,INDEX(COUNTIF($AG$2:AG36,'Master Data'!$AB$3:$AB$300),),0))</f>
        <v>#N/A</v>
      </c>
      <c r="AI37" t="s">
        <v>36</v>
      </c>
      <c r="AJ37" t="s">
        <v>654</v>
      </c>
      <c r="AK37" t="s">
        <v>657</v>
      </c>
    </row>
    <row r="38" spans="2:37" x14ac:dyDescent="0.35">
      <c r="AA38" s="325" t="s">
        <v>36</v>
      </c>
      <c r="AB38" s="326" t="s">
        <v>645</v>
      </c>
      <c r="AC38" s="326" t="s">
        <v>647</v>
      </c>
      <c r="AD38" s="327" t="s">
        <v>622</v>
      </c>
      <c r="AE38" s="319" t="s">
        <v>2208</v>
      </c>
      <c r="AF38" t="e">
        <f>INDEX('Master Data'!$AA$3:$AA$300,MATCH(AG38,'Master Data'!$AB$3:$AB$300,0),)</f>
        <v>#N/A</v>
      </c>
      <c r="AG38" t="e" cm="1">
        <f t="array" ref="AG38">INDEX('Master Data'!$AB$3:$AB$300,MATCH(0,INDEX(COUNTIF($AG$2:AG37,'Master Data'!$AB$3:$AB$300),),0))</f>
        <v>#N/A</v>
      </c>
      <c r="AI38" t="s">
        <v>36</v>
      </c>
      <c r="AJ38" t="s">
        <v>654</v>
      </c>
      <c r="AK38" t="s">
        <v>1954</v>
      </c>
    </row>
    <row r="39" spans="2:37" x14ac:dyDescent="0.35">
      <c r="AA39" s="325" t="s">
        <v>36</v>
      </c>
      <c r="AB39" s="328" t="s">
        <v>645</v>
      </c>
      <c r="AC39" s="328" t="s">
        <v>734</v>
      </c>
      <c r="AD39" s="329" t="s">
        <v>620</v>
      </c>
      <c r="AE39" s="319" t="s">
        <v>2209</v>
      </c>
      <c r="AF39" t="e">
        <f>INDEX('Master Data'!$AA$3:$AA$300,MATCH(AG39,'Master Data'!$AB$3:$AB$300,0),)</f>
        <v>#N/A</v>
      </c>
      <c r="AG39" t="e" cm="1">
        <f t="array" ref="AG39">INDEX('Master Data'!$AB$3:$AB$300,MATCH(0,INDEX(COUNTIF($AG$2:AG38,'Master Data'!$AB$3:$AB$300),),0))</f>
        <v>#N/A</v>
      </c>
      <c r="AI39" t="s">
        <v>36</v>
      </c>
      <c r="AJ39" t="s">
        <v>654</v>
      </c>
      <c r="AK39" t="s">
        <v>1955</v>
      </c>
    </row>
    <row r="40" spans="2:37" x14ac:dyDescent="0.35">
      <c r="AA40" s="325" t="s">
        <v>36</v>
      </c>
      <c r="AB40" s="326" t="s">
        <v>645</v>
      </c>
      <c r="AC40" s="326" t="s">
        <v>734</v>
      </c>
      <c r="AD40" s="327" t="s">
        <v>621</v>
      </c>
      <c r="AE40" s="319" t="s">
        <v>2210</v>
      </c>
      <c r="AF40" t="e">
        <f>INDEX('Master Data'!$AA$3:$AA$300,MATCH(AG40,'Master Data'!$AB$3:$AB$300,0),)</f>
        <v>#N/A</v>
      </c>
      <c r="AG40" t="e" cm="1">
        <f t="array" ref="AG40">INDEX('Master Data'!$AB$3:$AB$300,MATCH(0,INDEX(COUNTIF($AG$2:AG39,'Master Data'!$AB$3:$AB$300),),0))</f>
        <v>#N/A</v>
      </c>
      <c r="AI40" t="s">
        <v>36</v>
      </c>
      <c r="AJ40" t="s">
        <v>654</v>
      </c>
      <c r="AK40" t="s">
        <v>656</v>
      </c>
    </row>
    <row r="41" spans="2:37" x14ac:dyDescent="0.35">
      <c r="AA41" s="325" t="s">
        <v>36</v>
      </c>
      <c r="AB41" s="328" t="s">
        <v>645</v>
      </c>
      <c r="AC41" s="328" t="s">
        <v>734</v>
      </c>
      <c r="AD41" s="329" t="s">
        <v>622</v>
      </c>
      <c r="AE41" s="319" t="s">
        <v>2211</v>
      </c>
      <c r="AF41" t="e">
        <f>INDEX('Master Data'!$AA$3:$AA$300,MATCH(AG41,'Master Data'!$AB$3:$AB$300,0),)</f>
        <v>#N/A</v>
      </c>
      <c r="AG41" t="e" cm="1">
        <f t="array" ref="AG41">INDEX('Master Data'!$AB$3:$AB$300,MATCH(0,INDEX(COUNTIF($AG$2:AG40,'Master Data'!$AB$3:$AB$300),),0))</f>
        <v>#N/A</v>
      </c>
      <c r="AI41" t="s">
        <v>36</v>
      </c>
      <c r="AJ41" t="s">
        <v>654</v>
      </c>
      <c r="AK41" t="s">
        <v>655</v>
      </c>
    </row>
    <row r="42" spans="2:37" x14ac:dyDescent="0.35">
      <c r="AA42" s="325" t="s">
        <v>36</v>
      </c>
      <c r="AB42" s="326" t="s">
        <v>1951</v>
      </c>
      <c r="AC42" s="326" t="s">
        <v>733</v>
      </c>
      <c r="AD42" s="327" t="s">
        <v>620</v>
      </c>
      <c r="AE42" s="319" t="s">
        <v>2212</v>
      </c>
      <c r="AF42" t="e">
        <f>INDEX('Master Data'!$AA$3:$AA$300,MATCH(AG42,'Master Data'!$AB$3:$AB$300,0),)</f>
        <v>#N/A</v>
      </c>
      <c r="AG42" t="e" cm="1">
        <f t="array" ref="AG42">INDEX('Master Data'!$AB$3:$AB$300,MATCH(0,INDEX(COUNTIF($AG$2:AG41,'Master Data'!$AB$3:$AB$300),),0))</f>
        <v>#N/A</v>
      </c>
      <c r="AI42" t="s">
        <v>36</v>
      </c>
      <c r="AJ42" t="s">
        <v>654</v>
      </c>
      <c r="AK42" t="s">
        <v>1956</v>
      </c>
    </row>
    <row r="43" spans="2:37" x14ac:dyDescent="0.35">
      <c r="AA43" s="325" t="s">
        <v>36</v>
      </c>
      <c r="AB43" s="328" t="s">
        <v>1951</v>
      </c>
      <c r="AC43" s="328" t="s">
        <v>733</v>
      </c>
      <c r="AD43" s="329" t="s">
        <v>621</v>
      </c>
      <c r="AE43" s="319" t="s">
        <v>2213</v>
      </c>
      <c r="AF43" t="e">
        <f>INDEX('Master Data'!$AA$3:$AA$300,MATCH(AG43,'Master Data'!$AB$3:$AB$300,0),)</f>
        <v>#N/A</v>
      </c>
      <c r="AG43" t="e" cm="1">
        <f t="array" ref="AG43">INDEX('Master Data'!$AB$3:$AB$300,MATCH(0,INDEX(COUNTIF($AG$2:AG42,'Master Data'!$AB$3:$AB$300),),0))</f>
        <v>#N/A</v>
      </c>
      <c r="AI43" t="s">
        <v>36</v>
      </c>
      <c r="AJ43" t="s">
        <v>1951</v>
      </c>
      <c r="AK43" t="s">
        <v>733</v>
      </c>
    </row>
    <row r="44" spans="2:37" x14ac:dyDescent="0.35">
      <c r="AA44" s="325" t="s">
        <v>36</v>
      </c>
      <c r="AB44" s="326" t="s">
        <v>1951</v>
      </c>
      <c r="AC44" s="326" t="s">
        <v>733</v>
      </c>
      <c r="AD44" s="327" t="s">
        <v>622</v>
      </c>
      <c r="AE44" s="319" t="s">
        <v>2214</v>
      </c>
      <c r="AF44" t="e">
        <f>INDEX('Master Data'!$AA$3:$AA$300,MATCH(AG44,'Master Data'!$AB$3:$AB$300,0),)</f>
        <v>#N/A</v>
      </c>
      <c r="AG44" t="e" cm="1">
        <f t="array" ref="AG44">INDEX('Master Data'!$AB$3:$AB$300,MATCH(0,INDEX(COUNTIF($AG$2:AG43,'Master Data'!$AB$3:$AB$300),),0))</f>
        <v>#N/A</v>
      </c>
      <c r="AI44" t="s">
        <v>36</v>
      </c>
      <c r="AJ44" t="s">
        <v>1951</v>
      </c>
      <c r="AK44" t="s">
        <v>641</v>
      </c>
    </row>
    <row r="45" spans="2:37" x14ac:dyDescent="0.35">
      <c r="AA45" s="325" t="s">
        <v>36</v>
      </c>
      <c r="AB45" s="328" t="s">
        <v>1951</v>
      </c>
      <c r="AC45" s="328" t="s">
        <v>641</v>
      </c>
      <c r="AD45" s="329" t="s">
        <v>620</v>
      </c>
      <c r="AE45" s="319" t="s">
        <v>2215</v>
      </c>
      <c r="AF45" t="e">
        <f>INDEX('Master Data'!$AA$3:$AA$300,MATCH(AG45,'Master Data'!$AB$3:$AB$300,0),)</f>
        <v>#N/A</v>
      </c>
      <c r="AG45" t="e" cm="1">
        <f t="array" ref="AG45">INDEX('Master Data'!$AB$3:$AB$300,MATCH(0,INDEX(COUNTIF($AG$2:AG44,'Master Data'!$AB$3:$AB$300),),0))</f>
        <v>#N/A</v>
      </c>
      <c r="AI45" t="s">
        <v>36</v>
      </c>
      <c r="AJ45" t="s">
        <v>1951</v>
      </c>
      <c r="AK45" t="s">
        <v>642</v>
      </c>
    </row>
    <row r="46" spans="2:37" x14ac:dyDescent="0.35">
      <c r="AA46" s="325" t="s">
        <v>36</v>
      </c>
      <c r="AB46" s="326" t="s">
        <v>1951</v>
      </c>
      <c r="AC46" s="326" t="s">
        <v>641</v>
      </c>
      <c r="AD46" s="327" t="s">
        <v>621</v>
      </c>
      <c r="AE46" s="319" t="s">
        <v>2216</v>
      </c>
      <c r="AF46" t="e">
        <f>INDEX('Master Data'!$AA$3:$AA$300,MATCH(AG46,'Master Data'!$AB$3:$AB$300,0),)</f>
        <v>#N/A</v>
      </c>
      <c r="AG46" t="e" cm="1">
        <f t="array" ref="AG46">INDEX('Master Data'!$AB$3:$AB$300,MATCH(0,INDEX(COUNTIF($AG$2:AG45,'Master Data'!$AB$3:$AB$300),),0))</f>
        <v>#N/A</v>
      </c>
      <c r="AI46" t="s">
        <v>36</v>
      </c>
      <c r="AJ46" t="s">
        <v>1951</v>
      </c>
      <c r="AK46" t="s">
        <v>643</v>
      </c>
    </row>
    <row r="47" spans="2:37" x14ac:dyDescent="0.35">
      <c r="AA47" s="325" t="s">
        <v>36</v>
      </c>
      <c r="AB47" s="328" t="s">
        <v>1951</v>
      </c>
      <c r="AC47" s="328" t="s">
        <v>641</v>
      </c>
      <c r="AD47" s="329" t="s">
        <v>622</v>
      </c>
      <c r="AE47" s="319" t="s">
        <v>2217</v>
      </c>
      <c r="AF47" t="e">
        <f>INDEX('Master Data'!$AA$3:$AA$300,MATCH(AG47,'Master Data'!$AB$3:$AB$300,0),)</f>
        <v>#N/A</v>
      </c>
      <c r="AG47" t="e" cm="1">
        <f t="array" ref="AG47">INDEX('Master Data'!$AB$3:$AB$300,MATCH(0,INDEX(COUNTIF($AG$2:AG46,'Master Data'!$AB$3:$AB$300),),0))</f>
        <v>#N/A</v>
      </c>
      <c r="AI47" t="s">
        <v>36</v>
      </c>
      <c r="AJ47" t="s">
        <v>1951</v>
      </c>
      <c r="AK47" t="s">
        <v>644</v>
      </c>
    </row>
    <row r="48" spans="2:37" x14ac:dyDescent="0.35">
      <c r="AA48" s="325" t="s">
        <v>36</v>
      </c>
      <c r="AB48" s="326" t="s">
        <v>1951</v>
      </c>
      <c r="AC48" s="326" t="s">
        <v>642</v>
      </c>
      <c r="AD48" s="327" t="s">
        <v>620</v>
      </c>
      <c r="AE48" s="319" t="s">
        <v>2218</v>
      </c>
      <c r="AF48" t="e">
        <f>INDEX('Master Data'!$AA$3:$AA$300,MATCH(AG48,'Master Data'!$AB$3:$AB$300,0),)</f>
        <v>#N/A</v>
      </c>
      <c r="AG48" t="e" cm="1">
        <f t="array" ref="AG48">INDEX('Master Data'!$AB$3:$AB$300,MATCH(0,INDEX(COUNTIF($AG$2:AG47,'Master Data'!$AB$3:$AB$300),),0))</f>
        <v>#N/A</v>
      </c>
      <c r="AI48" t="s">
        <v>36</v>
      </c>
      <c r="AJ48" t="s">
        <v>1950</v>
      </c>
      <c r="AK48" t="s">
        <v>1981</v>
      </c>
    </row>
    <row r="49" spans="27:37" x14ac:dyDescent="0.35">
      <c r="AA49" s="325" t="s">
        <v>36</v>
      </c>
      <c r="AB49" s="328" t="s">
        <v>1951</v>
      </c>
      <c r="AC49" s="328" t="s">
        <v>642</v>
      </c>
      <c r="AD49" s="329" t="s">
        <v>621</v>
      </c>
      <c r="AE49" s="319" t="s">
        <v>2219</v>
      </c>
      <c r="AF49" t="e">
        <f>INDEX('Master Data'!$AA$3:$AA$300,MATCH(AG49,'Master Data'!$AB$3:$AB$300,0),)</f>
        <v>#N/A</v>
      </c>
      <c r="AG49" t="e" cm="1">
        <f t="array" ref="AG49">INDEX('Master Data'!$AB$3:$AB$300,MATCH(0,INDEX(COUNTIF($AG$2:AG48,'Master Data'!$AB$3:$AB$300),),0))</f>
        <v>#N/A</v>
      </c>
      <c r="AI49" t="s">
        <v>36</v>
      </c>
      <c r="AJ49" t="s">
        <v>1950</v>
      </c>
      <c r="AK49" t="s">
        <v>1982</v>
      </c>
    </row>
    <row r="50" spans="27:37" x14ac:dyDescent="0.35">
      <c r="AA50" s="325" t="s">
        <v>36</v>
      </c>
      <c r="AB50" s="326" t="s">
        <v>1951</v>
      </c>
      <c r="AC50" s="326" t="s">
        <v>642</v>
      </c>
      <c r="AD50" s="327" t="s">
        <v>622</v>
      </c>
      <c r="AE50" s="319" t="s">
        <v>2220</v>
      </c>
      <c r="AF50" t="e">
        <f>INDEX('Master Data'!$AA$3:$AA$300,MATCH(AG50,'Master Data'!$AB$3:$AB$300,0),)</f>
        <v>#N/A</v>
      </c>
      <c r="AG50" t="e" cm="1">
        <f t="array" ref="AG50">INDEX('Master Data'!$AB$3:$AB$300,MATCH(0,INDEX(COUNTIF($AG$2:AG49,'Master Data'!$AB$3:$AB$300),),0))</f>
        <v>#N/A</v>
      </c>
      <c r="AI50" t="s">
        <v>36</v>
      </c>
      <c r="AJ50" t="s">
        <v>1950</v>
      </c>
      <c r="AK50" t="s">
        <v>1983</v>
      </c>
    </row>
    <row r="51" spans="27:37" x14ac:dyDescent="0.35">
      <c r="AA51" s="325" t="s">
        <v>36</v>
      </c>
      <c r="AB51" s="328" t="s">
        <v>1951</v>
      </c>
      <c r="AC51" s="328" t="s">
        <v>643</v>
      </c>
      <c r="AD51" s="329" t="s">
        <v>620</v>
      </c>
      <c r="AE51" s="319" t="s">
        <v>2221</v>
      </c>
      <c r="AF51" t="e">
        <f>INDEX('Master Data'!$AA$3:$AA$300,MATCH(AG51,'Master Data'!$AB$3:$AB$300,0),)</f>
        <v>#N/A</v>
      </c>
      <c r="AG51" t="e" cm="1">
        <f t="array" ref="AG51">INDEX('Master Data'!$AB$3:$AB$300,MATCH(0,INDEX(COUNTIF($AG$2:AG50,'Master Data'!$AB$3:$AB$300),),0))</f>
        <v>#N/A</v>
      </c>
      <c r="AI51" t="s">
        <v>37</v>
      </c>
      <c r="AJ51" t="s">
        <v>756</v>
      </c>
      <c r="AK51" t="s">
        <v>760</v>
      </c>
    </row>
    <row r="52" spans="27:37" x14ac:dyDescent="0.35">
      <c r="AA52" s="325" t="s">
        <v>36</v>
      </c>
      <c r="AB52" s="326" t="s">
        <v>1951</v>
      </c>
      <c r="AC52" s="326" t="s">
        <v>643</v>
      </c>
      <c r="AD52" s="327" t="s">
        <v>621</v>
      </c>
      <c r="AE52" s="319" t="s">
        <v>2222</v>
      </c>
      <c r="AF52" t="e">
        <f>INDEX('Master Data'!$AA$3:$AA$300,MATCH(AG52,'Master Data'!$AB$3:$AB$300,0),)</f>
        <v>#N/A</v>
      </c>
      <c r="AG52" t="e" cm="1">
        <f t="array" ref="AG52">INDEX('Master Data'!$AB$3:$AB$300,MATCH(0,INDEX(COUNTIF($AG$2:AG51,'Master Data'!$AB$3:$AB$300),),0))</f>
        <v>#N/A</v>
      </c>
      <c r="AI52" t="s">
        <v>37</v>
      </c>
      <c r="AJ52" t="s">
        <v>756</v>
      </c>
      <c r="AK52" t="s">
        <v>757</v>
      </c>
    </row>
    <row r="53" spans="27:37" x14ac:dyDescent="0.35">
      <c r="AA53" s="325" t="s">
        <v>36</v>
      </c>
      <c r="AB53" s="328" t="s">
        <v>1951</v>
      </c>
      <c r="AC53" s="328" t="s">
        <v>643</v>
      </c>
      <c r="AD53" s="329" t="s">
        <v>622</v>
      </c>
      <c r="AE53" s="319" t="s">
        <v>2223</v>
      </c>
      <c r="AF53" t="e">
        <f>INDEX('Master Data'!$AA$3:$AA$300,MATCH(AG53,'Master Data'!$AB$3:$AB$300,0),)</f>
        <v>#N/A</v>
      </c>
      <c r="AG53" t="e" cm="1">
        <f t="array" ref="AG53">INDEX('Master Data'!$AB$3:$AB$300,MATCH(0,INDEX(COUNTIF($AG$2:AG52,'Master Data'!$AB$3:$AB$300),),0))</f>
        <v>#N/A</v>
      </c>
      <c r="AI53" t="s">
        <v>37</v>
      </c>
      <c r="AJ53" t="s">
        <v>756</v>
      </c>
      <c r="AK53" t="s">
        <v>1989</v>
      </c>
    </row>
    <row r="54" spans="27:37" x14ac:dyDescent="0.35">
      <c r="AA54" s="325" t="s">
        <v>36</v>
      </c>
      <c r="AB54" s="326" t="s">
        <v>1951</v>
      </c>
      <c r="AC54" s="326" t="s">
        <v>644</v>
      </c>
      <c r="AD54" s="327" t="s">
        <v>620</v>
      </c>
      <c r="AE54" s="319" t="s">
        <v>2224</v>
      </c>
      <c r="AF54" t="e">
        <f>INDEX('Master Data'!$AA$3:$AA$300,MATCH(AG54,'Master Data'!$AB$3:$AB$300,0),)</f>
        <v>#N/A</v>
      </c>
      <c r="AG54" t="e" cm="1">
        <f t="array" ref="AG54">INDEX('Master Data'!$AB$3:$AB$300,MATCH(0,INDEX(COUNTIF($AG$2:AG53,'Master Data'!$AB$3:$AB$300),),0))</f>
        <v>#N/A</v>
      </c>
      <c r="AI54" t="s">
        <v>37</v>
      </c>
      <c r="AJ54" t="s">
        <v>756</v>
      </c>
      <c r="AK54" t="s">
        <v>759</v>
      </c>
    </row>
    <row r="55" spans="27:37" x14ac:dyDescent="0.35">
      <c r="AA55" s="325" t="s">
        <v>36</v>
      </c>
      <c r="AB55" s="328" t="s">
        <v>1951</v>
      </c>
      <c r="AC55" s="328" t="s">
        <v>644</v>
      </c>
      <c r="AD55" s="329" t="s">
        <v>621</v>
      </c>
      <c r="AE55" s="319" t="s">
        <v>2225</v>
      </c>
      <c r="AF55" t="e">
        <f>INDEX('Master Data'!$AA$3:$AA$300,MATCH(AG55,'Master Data'!$AB$3:$AB$300,0),)</f>
        <v>#N/A</v>
      </c>
      <c r="AG55" t="e" cm="1">
        <f t="array" ref="AG55">INDEX('Master Data'!$AB$3:$AB$300,MATCH(0,INDEX(COUNTIF($AG$2:AG54,'Master Data'!$AB$3:$AB$300),),0))</f>
        <v>#N/A</v>
      </c>
      <c r="AI55" t="s">
        <v>37</v>
      </c>
      <c r="AJ55" t="s">
        <v>756</v>
      </c>
      <c r="AK55" t="s">
        <v>758</v>
      </c>
    </row>
    <row r="56" spans="27:37" x14ac:dyDescent="0.35">
      <c r="AA56" s="325" t="s">
        <v>36</v>
      </c>
      <c r="AB56" s="326" t="s">
        <v>1951</v>
      </c>
      <c r="AC56" s="326" t="s">
        <v>644</v>
      </c>
      <c r="AD56" s="327" t="s">
        <v>622</v>
      </c>
      <c r="AE56" s="319" t="s">
        <v>2226</v>
      </c>
      <c r="AF56" t="e">
        <f>INDEX('Master Data'!$AA$3:$AA$300,MATCH(AG56,'Master Data'!$AB$3:$AB$300,0),)</f>
        <v>#N/A</v>
      </c>
      <c r="AG56" t="e" cm="1">
        <f t="array" ref="AG56">INDEX('Master Data'!$AB$3:$AB$300,MATCH(0,INDEX(COUNTIF($AG$2:AG55,'Master Data'!$AB$3:$AB$300),),0))</f>
        <v>#N/A</v>
      </c>
      <c r="AI56" t="s">
        <v>37</v>
      </c>
      <c r="AJ56" t="s">
        <v>754</v>
      </c>
      <c r="AK56" t="s">
        <v>755</v>
      </c>
    </row>
    <row r="57" spans="27:37" x14ac:dyDescent="0.35">
      <c r="AA57" s="325" t="s">
        <v>36</v>
      </c>
      <c r="AB57" s="326" t="s">
        <v>617</v>
      </c>
      <c r="AC57" s="326" t="s">
        <v>618</v>
      </c>
      <c r="AD57" s="327" t="s">
        <v>620</v>
      </c>
      <c r="AE57" s="319" t="s">
        <v>2227</v>
      </c>
      <c r="AF57" t="e">
        <f>INDEX('Master Data'!$AA$3:$AA$300,MATCH(AG57,'Master Data'!$AB$3:$AB$300,0),)</f>
        <v>#N/A</v>
      </c>
      <c r="AG57" t="e" cm="1">
        <f t="array" ref="AG57">INDEX('Master Data'!$AB$3:$AB$300,MATCH(0,INDEX(COUNTIF($AG$2:AG56,'Master Data'!$AB$3:$AB$300),),0))</f>
        <v>#N/A</v>
      </c>
      <c r="AI57" t="s">
        <v>37</v>
      </c>
      <c r="AJ57" t="s">
        <v>754</v>
      </c>
      <c r="AK57" t="s">
        <v>1967</v>
      </c>
    </row>
    <row r="58" spans="27:37" x14ac:dyDescent="0.35">
      <c r="AA58" s="325" t="s">
        <v>36</v>
      </c>
      <c r="AB58" s="328" t="s">
        <v>617</v>
      </c>
      <c r="AC58" s="328" t="s">
        <v>618</v>
      </c>
      <c r="AD58" s="329" t="s">
        <v>621</v>
      </c>
      <c r="AE58" s="319" t="s">
        <v>2228</v>
      </c>
      <c r="AF58" t="e">
        <f>INDEX('Master Data'!$AA$3:$AA$300,MATCH(AG58,'Master Data'!$AB$3:$AB$300,0),)</f>
        <v>#N/A</v>
      </c>
      <c r="AG58" t="e" cm="1">
        <f t="array" ref="AG58">INDEX('Master Data'!$AB$3:$AB$300,MATCH(0,INDEX(COUNTIF($AG$2:AG57,'Master Data'!$AB$3:$AB$300),),0))</f>
        <v>#N/A</v>
      </c>
      <c r="AI58" t="s">
        <v>37</v>
      </c>
      <c r="AJ58" t="s">
        <v>754</v>
      </c>
      <c r="AK58" t="s">
        <v>1964</v>
      </c>
    </row>
    <row r="59" spans="27:37" x14ac:dyDescent="0.35">
      <c r="AA59" s="325" t="s">
        <v>36</v>
      </c>
      <c r="AB59" s="326" t="s">
        <v>617</v>
      </c>
      <c r="AC59" s="326" t="s">
        <v>618</v>
      </c>
      <c r="AD59" s="327" t="s">
        <v>622</v>
      </c>
      <c r="AE59" s="319" t="s">
        <v>2229</v>
      </c>
      <c r="AF59" t="e">
        <f>INDEX('Master Data'!$AA$3:$AA$300,MATCH(AG59,'Master Data'!$AB$3:$AB$300,0),)</f>
        <v>#N/A</v>
      </c>
      <c r="AG59" t="e" cm="1">
        <f t="array" ref="AG59">INDEX('Master Data'!$AB$3:$AB$300,MATCH(0,INDEX(COUNTIF($AG$2:AG58,'Master Data'!$AB$3:$AB$300),),0))</f>
        <v>#N/A</v>
      </c>
      <c r="AI59" t="s">
        <v>37</v>
      </c>
      <c r="AJ59" t="s">
        <v>754</v>
      </c>
      <c r="AK59" t="s">
        <v>1965</v>
      </c>
    </row>
    <row r="60" spans="27:37" x14ac:dyDescent="0.35">
      <c r="AA60" s="325" t="s">
        <v>36</v>
      </c>
      <c r="AB60" s="328" t="s">
        <v>617</v>
      </c>
      <c r="AC60" s="328" t="s">
        <v>623</v>
      </c>
      <c r="AD60" s="329" t="s">
        <v>620</v>
      </c>
      <c r="AE60" s="319" t="s">
        <v>2230</v>
      </c>
      <c r="AF60" t="e">
        <f>INDEX('Master Data'!$AA$3:$AA$300,MATCH(AG60,'Master Data'!$AB$3:$AB$300,0),)</f>
        <v>#N/A</v>
      </c>
      <c r="AG60" t="e" cm="1">
        <f t="array" ref="AG60">INDEX('Master Data'!$AB$3:$AB$300,MATCH(0,INDEX(COUNTIF($AG$2:AG59,'Master Data'!$AB$3:$AB$300),),0))</f>
        <v>#N/A</v>
      </c>
      <c r="AI60" t="s">
        <v>37</v>
      </c>
      <c r="AJ60" t="s">
        <v>754</v>
      </c>
      <c r="AK60" t="s">
        <v>1966</v>
      </c>
    </row>
    <row r="61" spans="27:37" x14ac:dyDescent="0.35">
      <c r="AA61" s="325" t="s">
        <v>36</v>
      </c>
      <c r="AB61" s="326" t="s">
        <v>617</v>
      </c>
      <c r="AC61" s="326" t="s">
        <v>623</v>
      </c>
      <c r="AD61" s="327" t="s">
        <v>621</v>
      </c>
      <c r="AE61" s="319" t="s">
        <v>2231</v>
      </c>
      <c r="AF61" t="e">
        <f>INDEX('Master Data'!$AA$3:$AA$300,MATCH(AG61,'Master Data'!$AB$3:$AB$300,0),)</f>
        <v>#N/A</v>
      </c>
      <c r="AG61" t="e" cm="1">
        <f t="array" ref="AG61">INDEX('Master Data'!$AB$3:$AB$300,MATCH(0,INDEX(COUNTIF($AG$2:AG60,'Master Data'!$AB$3:$AB$300),),0))</f>
        <v>#N/A</v>
      </c>
      <c r="AI61" t="s">
        <v>37</v>
      </c>
      <c r="AJ61" t="s">
        <v>754</v>
      </c>
      <c r="AK61" t="s">
        <v>1968</v>
      </c>
    </row>
    <row r="62" spans="27:37" x14ac:dyDescent="0.35">
      <c r="AA62" s="325" t="s">
        <v>36</v>
      </c>
      <c r="AB62" s="328" t="s">
        <v>617</v>
      </c>
      <c r="AC62" s="328" t="s">
        <v>623</v>
      </c>
      <c r="AD62" s="329" t="s">
        <v>622</v>
      </c>
      <c r="AE62" s="319" t="s">
        <v>2232</v>
      </c>
      <c r="AF62" t="e">
        <f>INDEX('Master Data'!$AA$3:$AA$300,MATCH(AG62,'Master Data'!$AB$3:$AB$300,0),)</f>
        <v>#N/A</v>
      </c>
      <c r="AG62" t="e" cm="1">
        <f t="array" ref="AG62">INDEX('Master Data'!$AB$3:$AB$300,MATCH(0,INDEX(COUNTIF($AG$2:AG61,'Master Data'!$AB$3:$AB$300),),0))</f>
        <v>#N/A</v>
      </c>
      <c r="AI62" t="s">
        <v>37</v>
      </c>
      <c r="AJ62" t="s">
        <v>752</v>
      </c>
      <c r="AK62" t="s">
        <v>753</v>
      </c>
    </row>
    <row r="63" spans="27:37" x14ac:dyDescent="0.35">
      <c r="AA63" s="325" t="s">
        <v>36</v>
      </c>
      <c r="AB63" s="326" t="s">
        <v>617</v>
      </c>
      <c r="AC63" s="326" t="s">
        <v>624</v>
      </c>
      <c r="AD63" s="327" t="s">
        <v>620</v>
      </c>
      <c r="AE63" s="319" t="s">
        <v>2233</v>
      </c>
      <c r="AF63" t="e">
        <f>INDEX('Master Data'!$AA$3:$AA$300,MATCH(AG63,'Master Data'!$AB$3:$AB$300,0),)</f>
        <v>#N/A</v>
      </c>
      <c r="AG63" t="e" cm="1">
        <f t="array" ref="AG63">INDEX('Master Data'!$AB$3:$AB$300,MATCH(0,INDEX(COUNTIF($AG$2:AG62,'Master Data'!$AB$3:$AB$300),),0))</f>
        <v>#N/A</v>
      </c>
      <c r="AI63" t="s">
        <v>37</v>
      </c>
      <c r="AJ63" t="s">
        <v>752</v>
      </c>
      <c r="AK63" t="s">
        <v>1959</v>
      </c>
    </row>
    <row r="64" spans="27:37" x14ac:dyDescent="0.35">
      <c r="AA64" s="325" t="s">
        <v>36</v>
      </c>
      <c r="AB64" s="328" t="s">
        <v>617</v>
      </c>
      <c r="AC64" s="328" t="s">
        <v>624</v>
      </c>
      <c r="AD64" s="329" t="s">
        <v>621</v>
      </c>
      <c r="AE64" s="319" t="s">
        <v>2234</v>
      </c>
      <c r="AF64" t="e">
        <f>INDEX('Master Data'!$AA$3:$AA$300,MATCH(AG64,'Master Data'!$AB$3:$AB$300,0),)</f>
        <v>#N/A</v>
      </c>
      <c r="AG64" t="e" cm="1">
        <f t="array" ref="AG64">INDEX('Master Data'!$AB$3:$AB$300,MATCH(0,INDEX(COUNTIF($AG$2:AG63,'Master Data'!$AB$3:$AB$300),),0))</f>
        <v>#N/A</v>
      </c>
      <c r="AI64" t="s">
        <v>37</v>
      </c>
      <c r="AJ64" t="s">
        <v>752</v>
      </c>
      <c r="AK64" t="s">
        <v>1960</v>
      </c>
    </row>
    <row r="65" spans="27:37" x14ac:dyDescent="0.35">
      <c r="AA65" s="325" t="s">
        <v>36</v>
      </c>
      <c r="AB65" s="326" t="s">
        <v>617</v>
      </c>
      <c r="AC65" s="326" t="s">
        <v>624</v>
      </c>
      <c r="AD65" s="327" t="s">
        <v>622</v>
      </c>
      <c r="AE65" s="319" t="s">
        <v>2235</v>
      </c>
      <c r="AF65" t="e">
        <f>INDEX('Master Data'!$AA$3:$AA$300,MATCH(AG65,'Master Data'!$AB$3:$AB$300,0),)</f>
        <v>#N/A</v>
      </c>
      <c r="AG65" t="e" cm="1">
        <f t="array" ref="AG65">INDEX('Master Data'!$AB$3:$AB$300,MATCH(0,INDEX(COUNTIF($AG$2:AG64,'Master Data'!$AB$3:$AB$300),),0))</f>
        <v>#N/A</v>
      </c>
      <c r="AI65" t="s">
        <v>37</v>
      </c>
      <c r="AJ65" t="s">
        <v>752</v>
      </c>
      <c r="AK65" t="s">
        <v>1961</v>
      </c>
    </row>
    <row r="66" spans="27:37" x14ac:dyDescent="0.35">
      <c r="AA66" s="325" t="s">
        <v>36</v>
      </c>
      <c r="AB66" s="328" t="s">
        <v>637</v>
      </c>
      <c r="AC66" s="328" t="s">
        <v>638</v>
      </c>
      <c r="AD66" s="329" t="s">
        <v>620</v>
      </c>
      <c r="AE66" s="319" t="s">
        <v>2236</v>
      </c>
      <c r="AF66" t="e">
        <f>INDEX('Master Data'!$AA$3:$AA$300,MATCH(AG66,'Master Data'!$AB$3:$AB$300,0),)</f>
        <v>#N/A</v>
      </c>
      <c r="AG66" t="e" cm="1">
        <f t="array" ref="AG66">INDEX('Master Data'!$AB$3:$AB$300,MATCH(0,INDEX(COUNTIF($AG$2:AG65,'Master Data'!$AB$3:$AB$300),),0))</f>
        <v>#N/A</v>
      </c>
      <c r="AI66" t="s">
        <v>37</v>
      </c>
      <c r="AJ66" t="s">
        <v>752</v>
      </c>
      <c r="AK66" t="s">
        <v>1962</v>
      </c>
    </row>
    <row r="67" spans="27:37" x14ac:dyDescent="0.35">
      <c r="AA67" s="325" t="s">
        <v>36</v>
      </c>
      <c r="AB67" s="326" t="s">
        <v>637</v>
      </c>
      <c r="AC67" s="326" t="s">
        <v>638</v>
      </c>
      <c r="AD67" s="327" t="s">
        <v>621</v>
      </c>
      <c r="AE67" s="319" t="s">
        <v>2237</v>
      </c>
      <c r="AF67" t="e">
        <f>INDEX('Master Data'!$AA$3:$AA$300,MATCH(AG67,'Master Data'!$AB$3:$AB$300,0),)</f>
        <v>#N/A</v>
      </c>
      <c r="AG67" t="e" cm="1">
        <f t="array" ref="AG67">INDEX('Master Data'!$AB$3:$AB$300,MATCH(0,INDEX(COUNTIF($AG$2:AG66,'Master Data'!$AB$3:$AB$300),),0))</f>
        <v>#N/A</v>
      </c>
      <c r="AI67" t="s">
        <v>37</v>
      </c>
      <c r="AJ67" t="s">
        <v>752</v>
      </c>
      <c r="AK67" t="s">
        <v>1963</v>
      </c>
    </row>
    <row r="68" spans="27:37" x14ac:dyDescent="0.35">
      <c r="AA68" s="325" t="s">
        <v>36</v>
      </c>
      <c r="AB68" s="328" t="s">
        <v>637</v>
      </c>
      <c r="AC68" s="328" t="s">
        <v>638</v>
      </c>
      <c r="AD68" s="329" t="s">
        <v>622</v>
      </c>
      <c r="AE68" s="319" t="s">
        <v>2238</v>
      </c>
      <c r="AF68" t="e">
        <f>INDEX('Master Data'!$AA$3:$AA$300,MATCH(AG68,'Master Data'!$AB$3:$AB$300,0),)</f>
        <v>#N/A</v>
      </c>
      <c r="AG68" t="e" cm="1">
        <f t="array" ref="AG68">INDEX('Master Data'!$AB$3:$AB$300,MATCH(0,INDEX(COUNTIF($AG$2:AG67,'Master Data'!$AB$3:$AB$300),),0))</f>
        <v>#N/A</v>
      </c>
      <c r="AI68" t="s">
        <v>185</v>
      </c>
      <c r="AJ68" t="s">
        <v>185</v>
      </c>
      <c r="AK68" t="s">
        <v>185</v>
      </c>
    </row>
    <row r="69" spans="27:37" x14ac:dyDescent="0.35">
      <c r="AA69" s="325" t="s">
        <v>36</v>
      </c>
      <c r="AB69" s="326" t="s">
        <v>637</v>
      </c>
      <c r="AC69" s="326" t="s">
        <v>639</v>
      </c>
      <c r="AD69" s="327" t="s">
        <v>620</v>
      </c>
      <c r="AE69" s="319" t="s">
        <v>2239</v>
      </c>
      <c r="AF69" t="e">
        <f>INDEX('Master Data'!$AA$3:$AA$300,MATCH(AG69,'Master Data'!$AB$3:$AB$300,0),)</f>
        <v>#N/A</v>
      </c>
      <c r="AG69" t="e" cm="1">
        <f t="array" ref="AG69">INDEX('Master Data'!$AB$3:$AB$300,MATCH(0,INDEX(COUNTIF($AG$2:AG68,'Master Data'!$AB$3:$AB$300),),0))</f>
        <v>#N/A</v>
      </c>
      <c r="AI69" t="s">
        <v>39</v>
      </c>
      <c r="AJ69" t="s">
        <v>658</v>
      </c>
      <c r="AK69" t="s">
        <v>659</v>
      </c>
    </row>
    <row r="70" spans="27:37" x14ac:dyDescent="0.35">
      <c r="AA70" s="325" t="s">
        <v>36</v>
      </c>
      <c r="AB70" s="328" t="s">
        <v>637</v>
      </c>
      <c r="AC70" s="328" t="s">
        <v>639</v>
      </c>
      <c r="AD70" s="329" t="s">
        <v>621</v>
      </c>
      <c r="AE70" s="319" t="s">
        <v>2240</v>
      </c>
      <c r="AF70" t="e">
        <f>INDEX('Master Data'!$AA$3:$AA$300,MATCH(AG70,'Master Data'!$AB$3:$AB$300,0),)</f>
        <v>#N/A</v>
      </c>
      <c r="AG70" t="e" cm="1">
        <f t="array" ref="AG70">INDEX('Master Data'!$AB$3:$AB$300,MATCH(0,INDEX(COUNTIF($AG$2:AG69,'Master Data'!$AB$3:$AB$300),),0))</f>
        <v>#N/A</v>
      </c>
      <c r="AI70" t="s">
        <v>39</v>
      </c>
      <c r="AJ70" t="s">
        <v>658</v>
      </c>
      <c r="AK70" t="s">
        <v>735</v>
      </c>
    </row>
    <row r="71" spans="27:37" x14ac:dyDescent="0.35">
      <c r="AA71" s="325" t="s">
        <v>36</v>
      </c>
      <c r="AB71" s="326" t="s">
        <v>637</v>
      </c>
      <c r="AC71" s="326" t="s">
        <v>639</v>
      </c>
      <c r="AD71" s="327" t="s">
        <v>622</v>
      </c>
      <c r="AE71" s="319" t="s">
        <v>2241</v>
      </c>
      <c r="AF71" t="e">
        <f>INDEX('Master Data'!$AA$3:$AA$300,MATCH(AG71,'Master Data'!$AB$3:$AB$300,0),)</f>
        <v>#N/A</v>
      </c>
      <c r="AG71" t="e" cm="1">
        <f t="array" ref="AG71">INDEX('Master Data'!$AB$3:$AB$300,MATCH(0,INDEX(COUNTIF($AG$2:AG70,'Master Data'!$AB$3:$AB$300),),0))</f>
        <v>#N/A</v>
      </c>
      <c r="AI71" t="s">
        <v>39</v>
      </c>
      <c r="AJ71" t="s">
        <v>658</v>
      </c>
      <c r="AK71" t="s">
        <v>1946</v>
      </c>
    </row>
    <row r="72" spans="27:37" x14ac:dyDescent="0.35">
      <c r="AA72" s="325" t="s">
        <v>36</v>
      </c>
      <c r="AB72" s="328" t="s">
        <v>637</v>
      </c>
      <c r="AC72" s="328" t="s">
        <v>640</v>
      </c>
      <c r="AD72" s="329" t="s">
        <v>620</v>
      </c>
      <c r="AE72" s="319" t="s">
        <v>2242</v>
      </c>
      <c r="AF72" t="e">
        <f>INDEX('Master Data'!$AA$3:$AA$300,MATCH(AG72,'Master Data'!$AB$3:$AB$300,0),)</f>
        <v>#N/A</v>
      </c>
      <c r="AG72" t="e" cm="1">
        <f t="array" ref="AG72">INDEX('Master Data'!$AB$3:$AB$300,MATCH(0,INDEX(COUNTIF($AG$2:AG71,'Master Data'!$AB$3:$AB$300),),0))</f>
        <v>#N/A</v>
      </c>
      <c r="AI72" t="s">
        <v>39</v>
      </c>
      <c r="AJ72" t="s">
        <v>1939</v>
      </c>
      <c r="AK72" t="s">
        <v>1970</v>
      </c>
    </row>
    <row r="73" spans="27:37" x14ac:dyDescent="0.35">
      <c r="AA73" s="325" t="s">
        <v>36</v>
      </c>
      <c r="AB73" s="326" t="s">
        <v>637</v>
      </c>
      <c r="AC73" s="326" t="s">
        <v>640</v>
      </c>
      <c r="AD73" s="327" t="s">
        <v>621</v>
      </c>
      <c r="AE73" s="319" t="s">
        <v>2243</v>
      </c>
      <c r="AF73" t="e">
        <f>INDEX('Master Data'!$AA$3:$AA$300,MATCH(AG73,'Master Data'!$AB$3:$AB$300,0),)</f>
        <v>#N/A</v>
      </c>
      <c r="AG73" t="e" cm="1">
        <f t="array" ref="AG73">INDEX('Master Data'!$AB$3:$AB$300,MATCH(0,INDEX(COUNTIF($AG$2:AG72,'Master Data'!$AB$3:$AB$300),),0))</f>
        <v>#N/A</v>
      </c>
      <c r="AI73" t="s">
        <v>39</v>
      </c>
      <c r="AJ73" t="s">
        <v>1940</v>
      </c>
      <c r="AK73" t="s">
        <v>1974</v>
      </c>
    </row>
    <row r="74" spans="27:37" x14ac:dyDescent="0.35">
      <c r="AA74" s="325" t="s">
        <v>36</v>
      </c>
      <c r="AB74" s="328" t="s">
        <v>637</v>
      </c>
      <c r="AC74" s="328" t="s">
        <v>640</v>
      </c>
      <c r="AD74" s="329" t="s">
        <v>622</v>
      </c>
      <c r="AE74" s="319" t="s">
        <v>2244</v>
      </c>
      <c r="AF74" t="e">
        <f>INDEX('Master Data'!$AA$3:$AA$300,MATCH(AG74,'Master Data'!$AB$3:$AB$300,0),)</f>
        <v>#N/A</v>
      </c>
      <c r="AG74" t="e" cm="1">
        <f t="array" ref="AG74">INDEX('Master Data'!$AB$3:$AB$300,MATCH(0,INDEX(COUNTIF($AG$2:AG73,'Master Data'!$AB$3:$AB$300),),0))</f>
        <v>#N/A</v>
      </c>
      <c r="AI74" t="s">
        <v>39</v>
      </c>
      <c r="AJ74" t="s">
        <v>1940</v>
      </c>
      <c r="AK74" t="s">
        <v>1992</v>
      </c>
    </row>
    <row r="75" spans="27:37" x14ac:dyDescent="0.35">
      <c r="AA75" s="325" t="s">
        <v>36</v>
      </c>
      <c r="AB75" s="326" t="s">
        <v>633</v>
      </c>
      <c r="AC75" s="326" t="s">
        <v>634</v>
      </c>
      <c r="AD75" s="327" t="s">
        <v>620</v>
      </c>
      <c r="AE75" s="319" t="s">
        <v>2245</v>
      </c>
      <c r="AF75" t="e">
        <f>INDEX('Master Data'!$AA$3:$AA$300,MATCH(AG75,'Master Data'!$AB$3:$AB$300,0),)</f>
        <v>#N/A</v>
      </c>
      <c r="AG75" t="e" cm="1">
        <f t="array" ref="AG75">INDEX('Master Data'!$AB$3:$AB$300,MATCH(0,INDEX(COUNTIF($AG$2:AG74,'Master Data'!$AB$3:$AB$300),),0))</f>
        <v>#N/A</v>
      </c>
      <c r="AI75" t="s">
        <v>39</v>
      </c>
      <c r="AJ75" t="s">
        <v>1952</v>
      </c>
      <c r="AK75" t="s">
        <v>1957</v>
      </c>
    </row>
    <row r="76" spans="27:37" x14ac:dyDescent="0.35">
      <c r="AA76" s="325" t="s">
        <v>36</v>
      </c>
      <c r="AB76" s="328" t="s">
        <v>633</v>
      </c>
      <c r="AC76" s="328" t="s">
        <v>634</v>
      </c>
      <c r="AD76" s="329" t="s">
        <v>621</v>
      </c>
      <c r="AE76" s="319" t="s">
        <v>2246</v>
      </c>
      <c r="AF76" t="e">
        <f>INDEX('Master Data'!$AA$3:$AA$300,MATCH(AG76,'Master Data'!$AB$3:$AB$300,0),)</f>
        <v>#N/A</v>
      </c>
      <c r="AG76" t="e" cm="1">
        <f t="array" ref="AG76">INDEX('Master Data'!$AB$3:$AB$300,MATCH(0,INDEX(COUNTIF($AG$2:AG75,'Master Data'!$AB$3:$AB$300),),0))</f>
        <v>#N/A</v>
      </c>
      <c r="AI76" t="s">
        <v>39</v>
      </c>
      <c r="AJ76" t="s">
        <v>1952</v>
      </c>
      <c r="AK76" t="s">
        <v>1958</v>
      </c>
    </row>
    <row r="77" spans="27:37" x14ac:dyDescent="0.35">
      <c r="AA77" s="325" t="s">
        <v>36</v>
      </c>
      <c r="AB77" s="326" t="s">
        <v>633</v>
      </c>
      <c r="AC77" s="326" t="s">
        <v>634</v>
      </c>
      <c r="AD77" s="327" t="s">
        <v>622</v>
      </c>
      <c r="AE77" s="319" t="s">
        <v>2247</v>
      </c>
      <c r="AF77" t="e">
        <f>INDEX('Master Data'!$AA$3:$AA$300,MATCH(AG77,'Master Data'!$AB$3:$AB$300,0),)</f>
        <v>#N/A</v>
      </c>
      <c r="AG77" t="e" cm="1">
        <f t="array" ref="AG77">INDEX('Master Data'!$AB$3:$AB$300,MATCH(0,INDEX(COUNTIF($AG$2:AG76,'Master Data'!$AB$3:$AB$300),),0))</f>
        <v>#N/A</v>
      </c>
      <c r="AI77" t="s">
        <v>39</v>
      </c>
      <c r="AJ77" t="s">
        <v>1953</v>
      </c>
      <c r="AK77" t="s">
        <v>1941</v>
      </c>
    </row>
    <row r="78" spans="27:37" x14ac:dyDescent="0.35">
      <c r="AA78" s="325" t="s">
        <v>36</v>
      </c>
      <c r="AB78" s="328" t="s">
        <v>633</v>
      </c>
      <c r="AC78" s="328" t="s">
        <v>635</v>
      </c>
      <c r="AD78" s="329" t="s">
        <v>620</v>
      </c>
      <c r="AE78" s="319" t="s">
        <v>2248</v>
      </c>
      <c r="AF78" t="e">
        <f>INDEX('Master Data'!$AA$3:$AA$300,MATCH(AG78,'Master Data'!$AB$3:$AB$300,0),)</f>
        <v>#N/A</v>
      </c>
      <c r="AG78" t="e" cm="1">
        <f t="array" ref="AG78">INDEX('Master Data'!$AB$3:$AB$300,MATCH(0,INDEX(COUNTIF($AG$2:AG77,'Master Data'!$AB$3:$AB$300),),0))</f>
        <v>#N/A</v>
      </c>
      <c r="AI78" t="s">
        <v>39</v>
      </c>
      <c r="AJ78" t="s">
        <v>1953</v>
      </c>
      <c r="AK78" t="s">
        <v>1942</v>
      </c>
    </row>
    <row r="79" spans="27:37" x14ac:dyDescent="0.35">
      <c r="AA79" s="325" t="s">
        <v>36</v>
      </c>
      <c r="AB79" s="326" t="s">
        <v>633</v>
      </c>
      <c r="AC79" s="326" t="s">
        <v>635</v>
      </c>
      <c r="AD79" s="327" t="s">
        <v>621</v>
      </c>
      <c r="AE79" s="319" t="s">
        <v>2249</v>
      </c>
      <c r="AF79" t="e">
        <f>INDEX('Master Data'!$AA$3:$AA$300,MATCH(AG79,'Master Data'!$AB$3:$AB$300,0),)</f>
        <v>#N/A</v>
      </c>
      <c r="AG79" t="e" cm="1">
        <f t="array" ref="AG79">INDEX('Master Data'!$AB$3:$AB$300,MATCH(0,INDEX(COUNTIF($AG$2:AG78,'Master Data'!$AB$3:$AB$300),),0))</f>
        <v>#N/A</v>
      </c>
      <c r="AI79" t="s">
        <v>39</v>
      </c>
      <c r="AJ79" t="s">
        <v>1953</v>
      </c>
      <c r="AK79" t="s">
        <v>1943</v>
      </c>
    </row>
    <row r="80" spans="27:37" x14ac:dyDescent="0.35">
      <c r="AA80" s="325" t="s">
        <v>36</v>
      </c>
      <c r="AB80" s="328" t="s">
        <v>633</v>
      </c>
      <c r="AC80" s="328" t="s">
        <v>635</v>
      </c>
      <c r="AD80" s="329" t="s">
        <v>622</v>
      </c>
      <c r="AE80" s="319" t="s">
        <v>2250</v>
      </c>
      <c r="AF80" t="e">
        <f>INDEX('Master Data'!$AA$3:$AA$300,MATCH(AG80,'Master Data'!$AB$3:$AB$300,0),)</f>
        <v>#N/A</v>
      </c>
      <c r="AG80" t="e" cm="1">
        <f t="array" ref="AG80">INDEX('Master Data'!$AB$3:$AB$300,MATCH(0,INDEX(COUNTIF($AG$2:AG79,'Master Data'!$AB$3:$AB$300),),0))</f>
        <v>#N/A</v>
      </c>
      <c r="AI80" t="s">
        <v>39</v>
      </c>
      <c r="AJ80" t="s">
        <v>1953</v>
      </c>
      <c r="AK80" t="s">
        <v>1971</v>
      </c>
    </row>
    <row r="81" spans="27:37" x14ac:dyDescent="0.35">
      <c r="AA81" s="325" t="s">
        <v>36</v>
      </c>
      <c r="AB81" s="326" t="s">
        <v>633</v>
      </c>
      <c r="AC81" s="326" t="s">
        <v>636</v>
      </c>
      <c r="AD81" s="327" t="s">
        <v>620</v>
      </c>
      <c r="AE81" s="319" t="s">
        <v>2251</v>
      </c>
      <c r="AF81" t="e">
        <f>INDEX('Master Data'!$AA$3:$AA$300,MATCH(AG81,'Master Data'!$AB$3:$AB$300,0),)</f>
        <v>#N/A</v>
      </c>
      <c r="AG81" t="e" cm="1">
        <f t="array" ref="AG81">INDEX('Master Data'!$AB$3:$AB$300,MATCH(0,INDEX(COUNTIF($AG$2:AG80,'Master Data'!$AB$3:$AB$300),),0))</f>
        <v>#N/A</v>
      </c>
      <c r="AI81" t="s">
        <v>39</v>
      </c>
      <c r="AJ81" t="s">
        <v>1953</v>
      </c>
      <c r="AK81" t="s">
        <v>1972</v>
      </c>
    </row>
    <row r="82" spans="27:37" x14ac:dyDescent="0.35">
      <c r="AA82" s="325" t="s">
        <v>36</v>
      </c>
      <c r="AB82" s="328" t="s">
        <v>633</v>
      </c>
      <c r="AC82" s="328" t="s">
        <v>636</v>
      </c>
      <c r="AD82" s="329" t="s">
        <v>621</v>
      </c>
      <c r="AE82" s="319" t="s">
        <v>2252</v>
      </c>
      <c r="AF82" t="e">
        <f>INDEX('Master Data'!$AA$3:$AA$300,MATCH(AG82,'Master Data'!$AB$3:$AB$300,0),)</f>
        <v>#N/A</v>
      </c>
      <c r="AG82" t="e" cm="1">
        <f t="array" ref="AG82">INDEX('Master Data'!$AB$3:$AB$300,MATCH(0,INDEX(COUNTIF($AG$2:AG81,'Master Data'!$AB$3:$AB$300),),0))</f>
        <v>#N/A</v>
      </c>
      <c r="AI82" t="s">
        <v>39</v>
      </c>
      <c r="AJ82" t="s">
        <v>1953</v>
      </c>
      <c r="AK82" t="s">
        <v>1973</v>
      </c>
    </row>
    <row r="83" spans="27:37" x14ac:dyDescent="0.35">
      <c r="AA83" s="325" t="s">
        <v>36</v>
      </c>
      <c r="AB83" s="326" t="s">
        <v>633</v>
      </c>
      <c r="AC83" s="326" t="s">
        <v>636</v>
      </c>
      <c r="AD83" s="327" t="s">
        <v>622</v>
      </c>
      <c r="AE83" s="319" t="s">
        <v>2253</v>
      </c>
      <c r="AF83" t="e">
        <f>INDEX('Master Data'!$AA$3:$AA$300,MATCH(AG83,'Master Data'!$AB$3:$AB$300,0),)</f>
        <v>#N/A</v>
      </c>
      <c r="AG83" t="e" cm="1">
        <f t="array" ref="AG83">INDEX('Master Data'!$AB$3:$AB$300,MATCH(0,INDEX(COUNTIF($AG$2:AG82,'Master Data'!$AB$3:$AB$300),),0))</f>
        <v>#N/A</v>
      </c>
      <c r="AI83" t="s">
        <v>39</v>
      </c>
      <c r="AJ83" t="s">
        <v>1988</v>
      </c>
      <c r="AK83" t="s">
        <v>1944</v>
      </c>
    </row>
    <row r="84" spans="27:37" x14ac:dyDescent="0.35">
      <c r="AA84" s="325" t="s">
        <v>36</v>
      </c>
      <c r="AB84" s="328" t="s">
        <v>731</v>
      </c>
      <c r="AC84" s="328" t="s">
        <v>629</v>
      </c>
      <c r="AD84" s="329" t="s">
        <v>620</v>
      </c>
      <c r="AE84" s="319" t="s">
        <v>2254</v>
      </c>
      <c r="AF84" t="e">
        <f>INDEX('Master Data'!$AA$3:$AA$300,MATCH(AG84,'Master Data'!$AB$3:$AB$300,0),)</f>
        <v>#N/A</v>
      </c>
      <c r="AG84" t="e" cm="1">
        <f t="array" ref="AG84">INDEX('Master Data'!$AB$3:$AB$300,MATCH(0,INDEX(COUNTIF($AG$2:AG83,'Master Data'!$AB$3:$AB$300),),0))</f>
        <v>#N/A</v>
      </c>
      <c r="AI84" t="s">
        <v>39</v>
      </c>
      <c r="AJ84" t="s">
        <v>1988</v>
      </c>
      <c r="AK84" t="s">
        <v>1945</v>
      </c>
    </row>
    <row r="85" spans="27:37" x14ac:dyDescent="0.35">
      <c r="AA85" s="325" t="s">
        <v>36</v>
      </c>
      <c r="AB85" s="326" t="s">
        <v>731</v>
      </c>
      <c r="AC85" s="326" t="s">
        <v>629</v>
      </c>
      <c r="AD85" s="327" t="s">
        <v>621</v>
      </c>
      <c r="AE85" s="319" t="s">
        <v>2255</v>
      </c>
      <c r="AF85" t="e">
        <f>INDEX('Master Data'!$AA$3:$AA$300,MATCH(AG85,'Master Data'!$AB$3:$AB$300,0),)</f>
        <v>#N/A</v>
      </c>
      <c r="AG85" t="e" cm="1">
        <f t="array" ref="AG85">INDEX('Master Data'!$AB$3:$AB$300,MATCH(0,INDEX(COUNTIF($AG$2:AG84,'Master Data'!$AB$3:$AB$300),),0))</f>
        <v>#N/A</v>
      </c>
    </row>
    <row r="86" spans="27:37" x14ac:dyDescent="0.35">
      <c r="AA86" s="325" t="s">
        <v>36</v>
      </c>
      <c r="AB86" s="328" t="s">
        <v>731</v>
      </c>
      <c r="AC86" s="328" t="s">
        <v>629</v>
      </c>
      <c r="AD86" s="329" t="s">
        <v>622</v>
      </c>
      <c r="AE86" s="319" t="s">
        <v>2256</v>
      </c>
      <c r="AF86" t="e">
        <f>INDEX('Master Data'!$AA$3:$AA$300,MATCH(AG86,'Master Data'!$AB$3:$AB$300,0),)</f>
        <v>#N/A</v>
      </c>
      <c r="AG86" t="e" cm="1">
        <f t="array" ref="AG86">INDEX('Master Data'!$AB$3:$AB$300,MATCH(0,INDEX(COUNTIF($AG$2:AG85,'Master Data'!$AB$3:$AB$300),),0))</f>
        <v>#N/A</v>
      </c>
    </row>
    <row r="87" spans="27:37" x14ac:dyDescent="0.35">
      <c r="AA87" s="325" t="s">
        <v>36</v>
      </c>
      <c r="AB87" s="326" t="s">
        <v>731</v>
      </c>
      <c r="AC87" s="326" t="s">
        <v>631</v>
      </c>
      <c r="AD87" s="327" t="s">
        <v>620</v>
      </c>
      <c r="AE87" s="319" t="s">
        <v>2257</v>
      </c>
      <c r="AF87" t="e">
        <f>INDEX('Master Data'!$AA$3:$AA$300,MATCH(AG87,'Master Data'!$AB$3:$AB$300,0),)</f>
        <v>#N/A</v>
      </c>
      <c r="AG87" t="e" cm="1">
        <f t="array" ref="AG87">INDEX('Master Data'!$AB$3:$AB$300,MATCH(0,INDEX(COUNTIF($AG$2:AG86,'Master Data'!$AB$3:$AB$300),),0))</f>
        <v>#N/A</v>
      </c>
    </row>
    <row r="88" spans="27:37" x14ac:dyDescent="0.35">
      <c r="AA88" s="325" t="s">
        <v>36</v>
      </c>
      <c r="AB88" s="328" t="s">
        <v>731</v>
      </c>
      <c r="AC88" s="328" t="s">
        <v>631</v>
      </c>
      <c r="AD88" s="329" t="s">
        <v>621</v>
      </c>
      <c r="AE88" s="319" t="s">
        <v>2258</v>
      </c>
      <c r="AF88" t="e">
        <f>INDEX('Master Data'!$AA$3:$AA$300,MATCH(AG88,'Master Data'!$AB$3:$AB$300,0),)</f>
        <v>#N/A</v>
      </c>
      <c r="AG88" t="e" cm="1">
        <f t="array" ref="AG88">INDEX('Master Data'!$AB$3:$AB$300,MATCH(0,INDEX(COUNTIF($AG$2:AG87,'Master Data'!$AB$3:$AB$300),),0))</f>
        <v>#N/A</v>
      </c>
    </row>
    <row r="89" spans="27:37" x14ac:dyDescent="0.35">
      <c r="AA89" s="325" t="s">
        <v>36</v>
      </c>
      <c r="AB89" s="326" t="s">
        <v>731</v>
      </c>
      <c r="AC89" s="326" t="s">
        <v>631</v>
      </c>
      <c r="AD89" s="327" t="s">
        <v>622</v>
      </c>
      <c r="AE89" s="319" t="s">
        <v>2259</v>
      </c>
      <c r="AF89" t="e">
        <f>INDEX('Master Data'!$AA$3:$AA$300,MATCH(AG89,'Master Data'!$AB$3:$AB$300,0),)</f>
        <v>#N/A</v>
      </c>
      <c r="AG89" t="e" cm="1">
        <f t="array" ref="AG89">INDEX('Master Data'!$AB$3:$AB$300,MATCH(0,INDEX(COUNTIF($AG$2:AG88,'Master Data'!$AB$3:$AB$300),),0))</f>
        <v>#N/A</v>
      </c>
    </row>
    <row r="90" spans="27:37" x14ac:dyDescent="0.35">
      <c r="AA90" s="325" t="s">
        <v>36</v>
      </c>
      <c r="AB90" s="328" t="s">
        <v>731</v>
      </c>
      <c r="AC90" s="328" t="s">
        <v>632</v>
      </c>
      <c r="AD90" s="329" t="s">
        <v>620</v>
      </c>
      <c r="AE90" s="319" t="s">
        <v>2260</v>
      </c>
      <c r="AF90" t="e">
        <f>INDEX('Master Data'!$AA$3:$AA$300,MATCH(AG90,'Master Data'!$AB$3:$AB$300,0),)</f>
        <v>#N/A</v>
      </c>
      <c r="AG90" t="e" cm="1">
        <f t="array" ref="AG90">INDEX('Master Data'!$AB$3:$AB$300,MATCH(0,INDEX(COUNTIF($AG$2:AG89,'Master Data'!$AB$3:$AB$300),),0))</f>
        <v>#N/A</v>
      </c>
    </row>
    <row r="91" spans="27:37" x14ac:dyDescent="0.35">
      <c r="AA91" s="325" t="s">
        <v>36</v>
      </c>
      <c r="AB91" s="326" t="s">
        <v>731</v>
      </c>
      <c r="AC91" s="326" t="s">
        <v>632</v>
      </c>
      <c r="AD91" s="327" t="s">
        <v>621</v>
      </c>
      <c r="AE91" s="319" t="s">
        <v>2261</v>
      </c>
      <c r="AF91" t="e">
        <f>INDEX('Master Data'!$AA$3:$AA$300,MATCH(AG91,'Master Data'!$AB$3:$AB$300,0),)</f>
        <v>#N/A</v>
      </c>
      <c r="AG91" t="e" cm="1">
        <f t="array" ref="AG91">INDEX('Master Data'!$AB$3:$AB$300,MATCH(0,INDEX(COUNTIF($AG$2:AG90,'Master Data'!$AB$3:$AB$300),),0))</f>
        <v>#N/A</v>
      </c>
    </row>
    <row r="92" spans="27:37" x14ac:dyDescent="0.35">
      <c r="AA92" s="325" t="s">
        <v>36</v>
      </c>
      <c r="AB92" s="328" t="s">
        <v>731</v>
      </c>
      <c r="AC92" s="328" t="s">
        <v>632</v>
      </c>
      <c r="AD92" s="329" t="s">
        <v>622</v>
      </c>
      <c r="AE92" s="319" t="s">
        <v>2262</v>
      </c>
      <c r="AF92" t="e">
        <f>INDEX('Master Data'!$AA$3:$AA$300,MATCH(AG92,'Master Data'!$AB$3:$AB$300,0),)</f>
        <v>#N/A</v>
      </c>
      <c r="AG92" t="e" cm="1">
        <f t="array" ref="AG92">INDEX('Master Data'!$AB$3:$AB$300,MATCH(0,INDEX(COUNTIF($AG$2:AG91,'Master Data'!$AB$3:$AB$300),),0))</f>
        <v>#N/A</v>
      </c>
    </row>
    <row r="93" spans="27:37" x14ac:dyDescent="0.35">
      <c r="AA93" s="325" t="s">
        <v>36</v>
      </c>
      <c r="AB93" s="326" t="s">
        <v>731</v>
      </c>
      <c r="AC93" s="326" t="s">
        <v>630</v>
      </c>
      <c r="AD93" s="327" t="s">
        <v>620</v>
      </c>
      <c r="AE93" s="319" t="s">
        <v>2263</v>
      </c>
      <c r="AF93" t="e">
        <f>INDEX('Master Data'!$AA$3:$AA$300,MATCH(AG93,'Master Data'!$AB$3:$AB$300,0),)</f>
        <v>#N/A</v>
      </c>
      <c r="AG93" t="e" cm="1">
        <f t="array" ref="AG93">INDEX('Master Data'!$AB$3:$AB$300,MATCH(0,INDEX(COUNTIF($AG$2:AG92,'Master Data'!$AB$3:$AB$300),),0))</f>
        <v>#N/A</v>
      </c>
    </row>
    <row r="94" spans="27:37" x14ac:dyDescent="0.35">
      <c r="AA94" s="325" t="s">
        <v>36</v>
      </c>
      <c r="AB94" s="328" t="s">
        <v>731</v>
      </c>
      <c r="AC94" s="328" t="s">
        <v>630</v>
      </c>
      <c r="AD94" s="329" t="s">
        <v>621</v>
      </c>
      <c r="AE94" s="319" t="s">
        <v>2264</v>
      </c>
      <c r="AF94" t="e">
        <f>INDEX('Master Data'!$AA$3:$AA$300,MATCH(AG94,'Master Data'!$AB$3:$AB$300,0),)</f>
        <v>#N/A</v>
      </c>
      <c r="AG94" t="e" cm="1">
        <f t="array" ref="AG94">INDEX('Master Data'!$AB$3:$AB$300,MATCH(0,INDEX(COUNTIF($AG$2:AG93,'Master Data'!$AB$3:$AB$300),),0))</f>
        <v>#N/A</v>
      </c>
    </row>
    <row r="95" spans="27:37" x14ac:dyDescent="0.35">
      <c r="AA95" s="325" t="s">
        <v>36</v>
      </c>
      <c r="AB95" s="326" t="s">
        <v>731</v>
      </c>
      <c r="AC95" s="326" t="s">
        <v>630</v>
      </c>
      <c r="AD95" s="327" t="s">
        <v>622</v>
      </c>
      <c r="AE95" s="319" t="s">
        <v>2265</v>
      </c>
      <c r="AF95" t="e">
        <f>INDEX('Master Data'!$AA$3:$AA$300,MATCH(AG95,'Master Data'!$AB$3:$AB$300,0),)</f>
        <v>#N/A</v>
      </c>
      <c r="AG95" t="e" cm="1">
        <f t="array" ref="AG95">INDEX('Master Data'!$AB$3:$AB$300,MATCH(0,INDEX(COUNTIF($AG$2:AG94,'Master Data'!$AB$3:$AB$300),),0))</f>
        <v>#N/A</v>
      </c>
    </row>
    <row r="96" spans="27:37" x14ac:dyDescent="0.35">
      <c r="AA96" s="325" t="s">
        <v>36</v>
      </c>
      <c r="AB96" s="328" t="s">
        <v>731</v>
      </c>
      <c r="AC96" s="328" t="s">
        <v>732</v>
      </c>
      <c r="AD96" s="329" t="s">
        <v>620</v>
      </c>
      <c r="AE96" s="319" t="s">
        <v>2266</v>
      </c>
      <c r="AF96" t="e">
        <f>INDEX('Master Data'!$AA$3:$AA$300,MATCH(AG96,'Master Data'!$AB$3:$AB$300,0),)</f>
        <v>#N/A</v>
      </c>
      <c r="AG96" t="e" cm="1">
        <f t="array" ref="AG96">INDEX('Master Data'!$AB$3:$AB$300,MATCH(0,INDEX(COUNTIF($AG$2:AG95,'Master Data'!$AB$3:$AB$300),),0))</f>
        <v>#N/A</v>
      </c>
    </row>
    <row r="97" spans="27:33" x14ac:dyDescent="0.35">
      <c r="AA97" s="325" t="s">
        <v>36</v>
      </c>
      <c r="AB97" s="326" t="s">
        <v>731</v>
      </c>
      <c r="AC97" s="326" t="s">
        <v>732</v>
      </c>
      <c r="AD97" s="327" t="s">
        <v>621</v>
      </c>
      <c r="AE97" s="319" t="s">
        <v>2267</v>
      </c>
      <c r="AF97" t="e">
        <f>INDEX('Master Data'!$AA$3:$AA$300,MATCH(AG97,'Master Data'!$AB$3:$AB$300,0),)</f>
        <v>#N/A</v>
      </c>
      <c r="AG97" t="e" cm="1">
        <f t="array" ref="AG97">INDEX('Master Data'!$AB$3:$AB$300,MATCH(0,INDEX(COUNTIF($AG$2:AG96,'Master Data'!$AB$3:$AB$300),),0))</f>
        <v>#N/A</v>
      </c>
    </row>
    <row r="98" spans="27:33" x14ac:dyDescent="0.35">
      <c r="AA98" s="325" t="s">
        <v>36</v>
      </c>
      <c r="AB98" s="328" t="s">
        <v>731</v>
      </c>
      <c r="AC98" s="328" t="s">
        <v>732</v>
      </c>
      <c r="AD98" s="329" t="s">
        <v>622</v>
      </c>
      <c r="AE98" s="319" t="s">
        <v>2268</v>
      </c>
      <c r="AF98" t="e">
        <f>INDEX('Master Data'!$AA$3:$AA$300,MATCH(AG98,'Master Data'!$AB$3:$AB$300,0),)</f>
        <v>#N/A</v>
      </c>
      <c r="AG98" t="e" cm="1">
        <f t="array" ref="AG98">INDEX('Master Data'!$AB$3:$AB$300,MATCH(0,INDEX(COUNTIF($AG$2:AG97,'Master Data'!$AB$3:$AB$300),),0))</f>
        <v>#N/A</v>
      </c>
    </row>
    <row r="99" spans="27:33" x14ac:dyDescent="0.35">
      <c r="AA99" s="325" t="s">
        <v>36</v>
      </c>
      <c r="AB99" s="326" t="s">
        <v>625</v>
      </c>
      <c r="AC99" s="326" t="s">
        <v>626</v>
      </c>
      <c r="AD99" s="327" t="s">
        <v>620</v>
      </c>
      <c r="AE99" s="319" t="s">
        <v>2269</v>
      </c>
      <c r="AF99" t="e">
        <f>INDEX('Master Data'!$AA$3:$AA$300,MATCH(AG99,'Master Data'!$AB$3:$AB$300,0),)</f>
        <v>#N/A</v>
      </c>
      <c r="AG99" t="e" cm="1">
        <f t="array" ref="AG99">INDEX('Master Data'!$AB$3:$AB$300,MATCH(0,INDEX(COUNTIF($AG$2:AG98,'Master Data'!$AB$3:$AB$300),),0))</f>
        <v>#N/A</v>
      </c>
    </row>
    <row r="100" spans="27:33" x14ac:dyDescent="0.35">
      <c r="AA100" s="325" t="s">
        <v>36</v>
      </c>
      <c r="AB100" s="328" t="s">
        <v>625</v>
      </c>
      <c r="AC100" s="328" t="s">
        <v>626</v>
      </c>
      <c r="AD100" s="329" t="s">
        <v>621</v>
      </c>
      <c r="AE100" s="319" t="s">
        <v>2270</v>
      </c>
      <c r="AF100" t="e">
        <f>INDEX('Master Data'!$AA$3:$AA$300,MATCH(AG100,'Master Data'!$AB$3:$AB$300,0),)</f>
        <v>#N/A</v>
      </c>
      <c r="AG100" t="e" cm="1">
        <f t="array" ref="AG100">INDEX('Master Data'!$AB$3:$AB$300,MATCH(0,INDEX(COUNTIF($AG$2:AG99,'Master Data'!$AB$3:$AB$300),),0))</f>
        <v>#N/A</v>
      </c>
    </row>
    <row r="101" spans="27:33" x14ac:dyDescent="0.35">
      <c r="AA101" s="325" t="s">
        <v>36</v>
      </c>
      <c r="AB101" s="326" t="s">
        <v>625</v>
      </c>
      <c r="AC101" s="326" t="s">
        <v>626</v>
      </c>
      <c r="AD101" s="327" t="s">
        <v>622</v>
      </c>
      <c r="AE101" s="319" t="s">
        <v>2271</v>
      </c>
      <c r="AF101" t="e">
        <f>INDEX('Master Data'!$AA$3:$AA$300,MATCH(AG101,'Master Data'!$AB$3:$AB$300,0),)</f>
        <v>#N/A</v>
      </c>
      <c r="AG101" t="e" cm="1">
        <f t="array" ref="AG101">INDEX('Master Data'!$AB$3:$AB$300,MATCH(0,INDEX(COUNTIF($AG$2:AG100,'Master Data'!$AB$3:$AB$300),),0))</f>
        <v>#N/A</v>
      </c>
    </row>
    <row r="102" spans="27:33" x14ac:dyDescent="0.35">
      <c r="AA102" s="325" t="s">
        <v>36</v>
      </c>
      <c r="AB102" s="328" t="s">
        <v>625</v>
      </c>
      <c r="AC102" s="328" t="s">
        <v>627</v>
      </c>
      <c r="AD102" s="329" t="s">
        <v>620</v>
      </c>
      <c r="AE102" s="319" t="s">
        <v>2272</v>
      </c>
      <c r="AF102" t="e">
        <f>INDEX('Master Data'!$AA$3:$AA$300,MATCH(AG102,'Master Data'!$AB$3:$AB$300,0),)</f>
        <v>#N/A</v>
      </c>
      <c r="AG102" t="e" cm="1">
        <f t="array" ref="AG102">INDEX('Master Data'!$AB$3:$AB$300,MATCH(0,INDEX(COUNTIF($AG$2:AG101,'Master Data'!$AB$3:$AB$300),),0))</f>
        <v>#N/A</v>
      </c>
    </row>
    <row r="103" spans="27:33" x14ac:dyDescent="0.35">
      <c r="AA103" s="325" t="s">
        <v>36</v>
      </c>
      <c r="AB103" s="326" t="s">
        <v>625</v>
      </c>
      <c r="AC103" s="326" t="s">
        <v>627</v>
      </c>
      <c r="AD103" s="327" t="s">
        <v>621</v>
      </c>
      <c r="AE103" s="319" t="s">
        <v>2273</v>
      </c>
      <c r="AF103" t="e">
        <f>INDEX('Master Data'!$AA$3:$AA$300,MATCH(AG103,'Master Data'!$AB$3:$AB$300,0),)</f>
        <v>#N/A</v>
      </c>
      <c r="AG103" t="e" cm="1">
        <f t="array" ref="AG103">INDEX('Master Data'!$AB$3:$AB$300,MATCH(0,INDEX(COUNTIF($AG$2:AG102,'Master Data'!$AB$3:$AB$300),),0))</f>
        <v>#N/A</v>
      </c>
    </row>
    <row r="104" spans="27:33" x14ac:dyDescent="0.35">
      <c r="AA104" s="325" t="s">
        <v>36</v>
      </c>
      <c r="AB104" s="328" t="s">
        <v>625</v>
      </c>
      <c r="AC104" s="328" t="s">
        <v>627</v>
      </c>
      <c r="AD104" s="329" t="s">
        <v>622</v>
      </c>
      <c r="AE104" s="319" t="s">
        <v>2274</v>
      </c>
      <c r="AF104" t="e">
        <f>INDEX('Master Data'!$AA$3:$AA$300,MATCH(AG104,'Master Data'!$AB$3:$AB$300,0),)</f>
        <v>#N/A</v>
      </c>
      <c r="AG104" t="e" cm="1">
        <f t="array" ref="AG104">INDEX('Master Data'!$AB$3:$AB$300,MATCH(0,INDEX(COUNTIF($AG$2:AG103,'Master Data'!$AB$3:$AB$300),),0))</f>
        <v>#N/A</v>
      </c>
    </row>
    <row r="105" spans="27:33" x14ac:dyDescent="0.35">
      <c r="AA105" s="325" t="s">
        <v>36</v>
      </c>
      <c r="AB105" s="326" t="s">
        <v>625</v>
      </c>
      <c r="AC105" s="326" t="s">
        <v>628</v>
      </c>
      <c r="AD105" s="327" t="s">
        <v>620</v>
      </c>
      <c r="AE105" s="319" t="s">
        <v>2275</v>
      </c>
      <c r="AF105" t="e">
        <f>INDEX('Master Data'!$AA$3:$AA$300,MATCH(AG105,'Master Data'!$AB$3:$AB$300,0),)</f>
        <v>#N/A</v>
      </c>
      <c r="AG105" t="e" cm="1">
        <f t="array" ref="AG105">INDEX('Master Data'!$AB$3:$AB$300,MATCH(0,INDEX(COUNTIF($AG$2:AG104,'Master Data'!$AB$3:$AB$300),),0))</f>
        <v>#N/A</v>
      </c>
    </row>
    <row r="106" spans="27:33" x14ac:dyDescent="0.35">
      <c r="AA106" s="325" t="s">
        <v>36</v>
      </c>
      <c r="AB106" s="328" t="s">
        <v>625</v>
      </c>
      <c r="AC106" s="328" t="s">
        <v>628</v>
      </c>
      <c r="AD106" s="329" t="s">
        <v>621</v>
      </c>
      <c r="AE106" s="319" t="s">
        <v>2276</v>
      </c>
      <c r="AF106" t="e">
        <f>INDEX('Master Data'!$AA$3:$AA$300,MATCH(AG106,'Master Data'!$AB$3:$AB$300,0),)</f>
        <v>#N/A</v>
      </c>
      <c r="AG106" t="e" cm="1">
        <f t="array" ref="AG106">INDEX('Master Data'!$AB$3:$AB$300,MATCH(0,INDEX(COUNTIF($AG$2:AG105,'Master Data'!$AB$3:$AB$300),),0))</f>
        <v>#N/A</v>
      </c>
    </row>
    <row r="107" spans="27:33" x14ac:dyDescent="0.35">
      <c r="AA107" s="325" t="s">
        <v>36</v>
      </c>
      <c r="AB107" s="326" t="s">
        <v>625</v>
      </c>
      <c r="AC107" s="326" t="s">
        <v>628</v>
      </c>
      <c r="AD107" s="327" t="s">
        <v>622</v>
      </c>
      <c r="AE107" s="319" t="s">
        <v>2277</v>
      </c>
      <c r="AF107" t="e">
        <f>INDEX('Master Data'!$AA$3:$AA$300,MATCH(AG107,'Master Data'!$AB$3:$AB$300,0),)</f>
        <v>#N/A</v>
      </c>
      <c r="AG107" t="e" cm="1">
        <f t="array" ref="AG107">INDEX('Master Data'!$AB$3:$AB$300,MATCH(0,INDEX(COUNTIF($AG$2:AG106,'Master Data'!$AB$3:$AB$300),),0))</f>
        <v>#N/A</v>
      </c>
    </row>
    <row r="108" spans="27:33" x14ac:dyDescent="0.35">
      <c r="AA108" s="325" t="s">
        <v>36</v>
      </c>
      <c r="AB108" s="328" t="s">
        <v>1950</v>
      </c>
      <c r="AC108" s="328" t="s">
        <v>1981</v>
      </c>
      <c r="AD108" s="329" t="s">
        <v>620</v>
      </c>
      <c r="AE108" s="319" t="s">
        <v>2278</v>
      </c>
      <c r="AF108" t="e">
        <f>INDEX('Master Data'!$AA$3:$AA$300,MATCH(AG108,'Master Data'!$AB$3:$AB$300,0),)</f>
        <v>#N/A</v>
      </c>
      <c r="AG108" t="e" cm="1">
        <f t="array" ref="AG108">INDEX('Master Data'!$AB$3:$AB$300,MATCH(0,INDEX(COUNTIF($AG$2:AG107,'Master Data'!$AB$3:$AB$300),),0))</f>
        <v>#N/A</v>
      </c>
    </row>
    <row r="109" spans="27:33" x14ac:dyDescent="0.35">
      <c r="AA109" s="325" t="s">
        <v>36</v>
      </c>
      <c r="AB109" s="326" t="s">
        <v>1950</v>
      </c>
      <c r="AC109" s="326" t="s">
        <v>1981</v>
      </c>
      <c r="AD109" s="327" t="s">
        <v>621</v>
      </c>
      <c r="AE109" s="319" t="s">
        <v>2279</v>
      </c>
      <c r="AF109" t="e">
        <f>INDEX('Master Data'!$AA$3:$AA$300,MATCH(AG109,'Master Data'!$AB$3:$AB$300,0),)</f>
        <v>#N/A</v>
      </c>
      <c r="AG109" t="e" cm="1">
        <f t="array" ref="AG109">INDEX('Master Data'!$AB$3:$AB$300,MATCH(0,INDEX(COUNTIF($AG$2:AG108,'Master Data'!$AB$3:$AB$300),),0))</f>
        <v>#N/A</v>
      </c>
    </row>
    <row r="110" spans="27:33" x14ac:dyDescent="0.35">
      <c r="AA110" s="325" t="s">
        <v>36</v>
      </c>
      <c r="AB110" s="328" t="s">
        <v>1950</v>
      </c>
      <c r="AC110" s="328" t="s">
        <v>1981</v>
      </c>
      <c r="AD110" s="329" t="s">
        <v>622</v>
      </c>
      <c r="AE110" s="319" t="s">
        <v>2280</v>
      </c>
      <c r="AF110" t="e">
        <f>INDEX('Master Data'!$AA$3:$AA$300,MATCH(AG110,'Master Data'!$AB$3:$AB$300,0),)</f>
        <v>#N/A</v>
      </c>
      <c r="AG110" t="e" cm="1">
        <f t="array" ref="AG110">INDEX('Master Data'!$AB$3:$AB$300,MATCH(0,INDEX(COUNTIF($AG$2:AG109,'Master Data'!$AB$3:$AB$300),),0))</f>
        <v>#N/A</v>
      </c>
    </row>
    <row r="111" spans="27:33" x14ac:dyDescent="0.35">
      <c r="AA111" s="325" t="s">
        <v>36</v>
      </c>
      <c r="AB111" s="326" t="s">
        <v>1950</v>
      </c>
      <c r="AC111" s="326" t="s">
        <v>1982</v>
      </c>
      <c r="AD111" s="327" t="s">
        <v>620</v>
      </c>
      <c r="AE111" s="319" t="s">
        <v>2281</v>
      </c>
      <c r="AF111" t="e">
        <f>INDEX('Master Data'!$AA$3:$AA$300,MATCH(AG111,'Master Data'!$AB$3:$AB$300,0),)</f>
        <v>#N/A</v>
      </c>
      <c r="AG111" t="e" cm="1">
        <f t="array" ref="AG111">INDEX('Master Data'!$AB$3:$AB$300,MATCH(0,INDEX(COUNTIF($AG$2:AG110,'Master Data'!$AB$3:$AB$300),),0))</f>
        <v>#N/A</v>
      </c>
    </row>
    <row r="112" spans="27:33" x14ac:dyDescent="0.35">
      <c r="AA112" s="325" t="s">
        <v>36</v>
      </c>
      <c r="AB112" s="328" t="s">
        <v>1950</v>
      </c>
      <c r="AC112" s="328" t="s">
        <v>1982</v>
      </c>
      <c r="AD112" s="329" t="s">
        <v>621</v>
      </c>
      <c r="AE112" s="319" t="s">
        <v>2282</v>
      </c>
      <c r="AF112" t="e">
        <f>INDEX('Master Data'!$AA$3:$AA$300,MATCH(AG112,'Master Data'!$AB$3:$AB$300,0),)</f>
        <v>#N/A</v>
      </c>
      <c r="AG112" t="e" cm="1">
        <f t="array" ref="AG112">INDEX('Master Data'!$AB$3:$AB$300,MATCH(0,INDEX(COUNTIF($AG$2:AG111,'Master Data'!$AB$3:$AB$300),),0))</f>
        <v>#N/A</v>
      </c>
    </row>
    <row r="113" spans="27:33" x14ac:dyDescent="0.35">
      <c r="AA113" s="325" t="s">
        <v>36</v>
      </c>
      <c r="AB113" s="326" t="s">
        <v>1950</v>
      </c>
      <c r="AC113" s="326" t="s">
        <v>1982</v>
      </c>
      <c r="AD113" s="327" t="s">
        <v>622</v>
      </c>
      <c r="AE113" s="319" t="s">
        <v>2283</v>
      </c>
      <c r="AF113" t="e">
        <f>INDEX('Master Data'!$AA$3:$AA$300,MATCH(AG113,'Master Data'!$AB$3:$AB$300,0),)</f>
        <v>#N/A</v>
      </c>
      <c r="AG113" t="e" cm="1">
        <f t="array" ref="AG113">INDEX('Master Data'!$AB$3:$AB$300,MATCH(0,INDEX(COUNTIF($AG$2:AG112,'Master Data'!$AB$3:$AB$300),),0))</f>
        <v>#N/A</v>
      </c>
    </row>
    <row r="114" spans="27:33" x14ac:dyDescent="0.35">
      <c r="AA114" s="325" t="s">
        <v>36</v>
      </c>
      <c r="AB114" s="328" t="s">
        <v>1950</v>
      </c>
      <c r="AC114" s="328" t="s">
        <v>1983</v>
      </c>
      <c r="AD114" s="329" t="s">
        <v>620</v>
      </c>
      <c r="AE114" s="319" t="s">
        <v>2284</v>
      </c>
      <c r="AF114" t="e">
        <f>INDEX('Master Data'!$AA$3:$AA$300,MATCH(AG114,'Master Data'!$AB$3:$AB$300,0),)</f>
        <v>#N/A</v>
      </c>
      <c r="AG114" t="e" cm="1">
        <f t="array" ref="AG114">INDEX('Master Data'!$AB$3:$AB$300,MATCH(0,INDEX(COUNTIF($AG$2:AG113,'Master Data'!$AB$3:$AB$300),),0))</f>
        <v>#N/A</v>
      </c>
    </row>
    <row r="115" spans="27:33" x14ac:dyDescent="0.35">
      <c r="AA115" s="325" t="s">
        <v>36</v>
      </c>
      <c r="AB115" s="326" t="s">
        <v>1950</v>
      </c>
      <c r="AC115" s="326" t="s">
        <v>1983</v>
      </c>
      <c r="AD115" s="327" t="s">
        <v>621</v>
      </c>
      <c r="AE115" s="319" t="s">
        <v>2285</v>
      </c>
      <c r="AF115" t="e">
        <f>INDEX('Master Data'!$AA$3:$AA$300,MATCH(AG115,'Master Data'!$AB$3:$AB$300,0),)</f>
        <v>#N/A</v>
      </c>
      <c r="AG115" t="e" cm="1">
        <f t="array" ref="AG115">INDEX('Master Data'!$AB$3:$AB$300,MATCH(0,INDEX(COUNTIF($AG$2:AG114,'Master Data'!$AB$3:$AB$300),),0))</f>
        <v>#N/A</v>
      </c>
    </row>
    <row r="116" spans="27:33" x14ac:dyDescent="0.35">
      <c r="AA116" s="325" t="s">
        <v>36</v>
      </c>
      <c r="AB116" s="328" t="s">
        <v>1950</v>
      </c>
      <c r="AC116" s="328" t="s">
        <v>1983</v>
      </c>
      <c r="AD116" s="329" t="s">
        <v>622</v>
      </c>
      <c r="AE116" s="319" t="s">
        <v>2286</v>
      </c>
      <c r="AF116" t="e">
        <f>INDEX('Master Data'!$AA$3:$AA$300,MATCH(AG116,'Master Data'!$AB$3:$AB$300,0),)</f>
        <v>#N/A</v>
      </c>
      <c r="AG116" t="e" cm="1">
        <f t="array" ref="AG116">INDEX('Master Data'!$AB$3:$AB$300,MATCH(0,INDEX(COUNTIF($AG$2:AG115,'Master Data'!$AB$3:$AB$300),),0))</f>
        <v>#N/A</v>
      </c>
    </row>
    <row r="117" spans="27:33" x14ac:dyDescent="0.35">
      <c r="AA117" s="325" t="s">
        <v>36</v>
      </c>
      <c r="AB117" s="326" t="s">
        <v>658</v>
      </c>
      <c r="AC117" s="326" t="s">
        <v>659</v>
      </c>
      <c r="AD117" s="327" t="s">
        <v>620</v>
      </c>
      <c r="AE117" s="319" t="s">
        <v>2287</v>
      </c>
      <c r="AF117" t="e">
        <f>INDEX('Master Data'!$AA$3:$AA$300,MATCH(AG117,'Master Data'!$AB$3:$AB$300,0),)</f>
        <v>#N/A</v>
      </c>
      <c r="AG117" t="e" cm="1">
        <f t="array" ref="AG117">INDEX('Master Data'!$AB$3:$AB$300,MATCH(0,INDEX(COUNTIF($AG$2:AG116,'Master Data'!$AB$3:$AB$300),),0))</f>
        <v>#N/A</v>
      </c>
    </row>
    <row r="118" spans="27:33" x14ac:dyDescent="0.35">
      <c r="AA118" s="325" t="s">
        <v>36</v>
      </c>
      <c r="AB118" s="328" t="s">
        <v>658</v>
      </c>
      <c r="AC118" s="328" t="s">
        <v>659</v>
      </c>
      <c r="AD118" s="329" t="s">
        <v>621</v>
      </c>
      <c r="AE118" s="319" t="s">
        <v>2288</v>
      </c>
      <c r="AF118" t="e">
        <f>INDEX('Master Data'!$AA$3:$AA$300,MATCH(AG118,'Master Data'!$AB$3:$AB$300,0),)</f>
        <v>#N/A</v>
      </c>
      <c r="AG118" t="e" cm="1">
        <f t="array" ref="AG118">INDEX('Master Data'!$AB$3:$AB$300,MATCH(0,INDEX(COUNTIF($AG$2:AG117,'Master Data'!$AB$3:$AB$300),),0))</f>
        <v>#N/A</v>
      </c>
    </row>
    <row r="119" spans="27:33" x14ac:dyDescent="0.35">
      <c r="AA119" s="325" t="s">
        <v>36</v>
      </c>
      <c r="AB119" s="326" t="s">
        <v>658</v>
      </c>
      <c r="AC119" s="326" t="s">
        <v>659</v>
      </c>
      <c r="AD119" s="327" t="s">
        <v>622</v>
      </c>
      <c r="AE119" s="319" t="s">
        <v>2289</v>
      </c>
      <c r="AF119" t="e">
        <f>INDEX('Master Data'!$AA$3:$AA$300,MATCH(AG119,'Master Data'!$AB$3:$AB$300,0),)</f>
        <v>#N/A</v>
      </c>
      <c r="AG119" t="e" cm="1">
        <f t="array" ref="AG119">INDEX('Master Data'!$AB$3:$AB$300,MATCH(0,INDEX(COUNTIF($AG$2:AG118,'Master Data'!$AB$3:$AB$300),),0))</f>
        <v>#N/A</v>
      </c>
    </row>
    <row r="120" spans="27:33" x14ac:dyDescent="0.35">
      <c r="AA120" s="325" t="s">
        <v>36</v>
      </c>
      <c r="AB120" s="328" t="s">
        <v>658</v>
      </c>
      <c r="AC120" s="328" t="s">
        <v>735</v>
      </c>
      <c r="AD120" s="329" t="s">
        <v>620</v>
      </c>
      <c r="AE120" s="319" t="s">
        <v>2290</v>
      </c>
      <c r="AF120" t="e">
        <f>INDEX('Master Data'!$AA$3:$AA$300,MATCH(AG120,'Master Data'!$AB$3:$AB$300,0),)</f>
        <v>#N/A</v>
      </c>
      <c r="AG120" t="e" cm="1">
        <f t="array" ref="AG120">INDEX('Master Data'!$AB$3:$AB$300,MATCH(0,INDEX(COUNTIF($AG$2:AG119,'Master Data'!$AB$3:$AB$300),),0))</f>
        <v>#N/A</v>
      </c>
    </row>
    <row r="121" spans="27:33" x14ac:dyDescent="0.35">
      <c r="AA121" s="325" t="s">
        <v>36</v>
      </c>
      <c r="AB121" s="326" t="s">
        <v>658</v>
      </c>
      <c r="AC121" s="326" t="s">
        <v>735</v>
      </c>
      <c r="AD121" s="327" t="s">
        <v>621</v>
      </c>
      <c r="AE121" s="319" t="s">
        <v>2291</v>
      </c>
      <c r="AF121" t="e">
        <f>INDEX('Master Data'!$AA$3:$AA$300,MATCH(AG121,'Master Data'!$AB$3:$AB$300,0),)</f>
        <v>#N/A</v>
      </c>
      <c r="AG121" t="e" cm="1">
        <f t="array" ref="AG121">INDEX('Master Data'!$AB$3:$AB$300,MATCH(0,INDEX(COUNTIF($AG$2:AG120,'Master Data'!$AB$3:$AB$300),),0))</f>
        <v>#N/A</v>
      </c>
    </row>
    <row r="122" spans="27:33" x14ac:dyDescent="0.35">
      <c r="AA122" s="325" t="s">
        <v>36</v>
      </c>
      <c r="AB122" s="328" t="s">
        <v>658</v>
      </c>
      <c r="AC122" s="328" t="s">
        <v>735</v>
      </c>
      <c r="AD122" s="329" t="s">
        <v>622</v>
      </c>
      <c r="AE122" s="319" t="s">
        <v>2292</v>
      </c>
      <c r="AF122" t="e">
        <f>INDEX('Master Data'!$AA$3:$AA$300,MATCH(AG122,'Master Data'!$AB$3:$AB$300,0),)</f>
        <v>#N/A</v>
      </c>
      <c r="AG122" t="e" cm="1">
        <f t="array" ref="AG122">INDEX('Master Data'!$AB$3:$AB$300,MATCH(0,INDEX(COUNTIF($AG$2:AG121,'Master Data'!$AB$3:$AB$300),),0))</f>
        <v>#N/A</v>
      </c>
    </row>
    <row r="123" spans="27:33" x14ac:dyDescent="0.35">
      <c r="AA123" s="325" t="s">
        <v>36</v>
      </c>
      <c r="AB123" s="326" t="s">
        <v>654</v>
      </c>
      <c r="AC123" s="326" t="s">
        <v>657</v>
      </c>
      <c r="AD123" s="327" t="s">
        <v>620</v>
      </c>
      <c r="AE123" s="319" t="s">
        <v>2293</v>
      </c>
      <c r="AF123" t="e">
        <f>INDEX('Master Data'!$AA$3:$AA$300,MATCH(AG123,'Master Data'!$AB$3:$AB$300,0),)</f>
        <v>#N/A</v>
      </c>
      <c r="AG123" t="e" cm="1">
        <f t="array" ref="AG123">INDEX('Master Data'!$AB$3:$AB$300,MATCH(0,INDEX(COUNTIF($AG$2:AG122,'Master Data'!$AB$3:$AB$300),),0))</f>
        <v>#N/A</v>
      </c>
    </row>
    <row r="124" spans="27:33" x14ac:dyDescent="0.35">
      <c r="AA124" s="325" t="s">
        <v>36</v>
      </c>
      <c r="AB124" s="328" t="s">
        <v>654</v>
      </c>
      <c r="AC124" s="328" t="s">
        <v>657</v>
      </c>
      <c r="AD124" s="329" t="s">
        <v>621</v>
      </c>
      <c r="AE124" s="319" t="s">
        <v>2294</v>
      </c>
      <c r="AF124" t="e">
        <f>INDEX('Master Data'!$AA$3:$AA$300,MATCH(AG124,'Master Data'!$AB$3:$AB$300,0),)</f>
        <v>#N/A</v>
      </c>
      <c r="AG124" t="e" cm="1">
        <f t="array" ref="AG124">INDEX('Master Data'!$AB$3:$AB$300,MATCH(0,INDEX(COUNTIF($AG$2:AG123,'Master Data'!$AB$3:$AB$300),),0))</f>
        <v>#N/A</v>
      </c>
    </row>
    <row r="125" spans="27:33" x14ac:dyDescent="0.35">
      <c r="AA125" s="325" t="s">
        <v>36</v>
      </c>
      <c r="AB125" s="326" t="s">
        <v>654</v>
      </c>
      <c r="AC125" s="326" t="s">
        <v>657</v>
      </c>
      <c r="AD125" s="327" t="s">
        <v>622</v>
      </c>
      <c r="AE125" s="319" t="s">
        <v>2295</v>
      </c>
      <c r="AF125" t="e">
        <f>INDEX('Master Data'!$AA$3:$AA$300,MATCH(AG125,'Master Data'!$AB$3:$AB$300,0),)</f>
        <v>#N/A</v>
      </c>
      <c r="AG125" t="e" cm="1">
        <f t="array" ref="AG125">INDEX('Master Data'!$AB$3:$AB$300,MATCH(0,INDEX(COUNTIF($AG$2:AG124,'Master Data'!$AB$3:$AB$300),),0))</f>
        <v>#N/A</v>
      </c>
    </row>
    <row r="126" spans="27:33" x14ac:dyDescent="0.35">
      <c r="AA126" s="325" t="s">
        <v>36</v>
      </c>
      <c r="AB126" s="328" t="s">
        <v>654</v>
      </c>
      <c r="AC126" s="328" t="s">
        <v>1954</v>
      </c>
      <c r="AD126" s="329" t="s">
        <v>620</v>
      </c>
      <c r="AE126" s="319" t="s">
        <v>2296</v>
      </c>
      <c r="AF126" t="e">
        <f>INDEX('Master Data'!$AA$3:$AA$300,MATCH(AG126,'Master Data'!$AB$3:$AB$300,0),)</f>
        <v>#N/A</v>
      </c>
      <c r="AG126" t="e" cm="1">
        <f t="array" ref="AG126">INDEX('Master Data'!$AB$3:$AB$300,MATCH(0,INDEX(COUNTIF($AG$2:AG125,'Master Data'!$AB$3:$AB$300),),0))</f>
        <v>#N/A</v>
      </c>
    </row>
    <row r="127" spans="27:33" x14ac:dyDescent="0.35">
      <c r="AA127" s="325" t="s">
        <v>36</v>
      </c>
      <c r="AB127" s="326" t="s">
        <v>654</v>
      </c>
      <c r="AC127" s="326" t="s">
        <v>1954</v>
      </c>
      <c r="AD127" s="327" t="s">
        <v>621</v>
      </c>
      <c r="AE127" s="319" t="s">
        <v>2297</v>
      </c>
      <c r="AF127" t="e">
        <f>INDEX('Master Data'!$AA$3:$AA$300,MATCH(AG127,'Master Data'!$AB$3:$AB$300,0),)</f>
        <v>#N/A</v>
      </c>
      <c r="AG127" t="e" cm="1">
        <f t="array" ref="AG127">INDEX('Master Data'!$AB$3:$AB$300,MATCH(0,INDEX(COUNTIF($AG$2:AG126,'Master Data'!$AB$3:$AB$300),),0))</f>
        <v>#N/A</v>
      </c>
    </row>
    <row r="128" spans="27:33" x14ac:dyDescent="0.35">
      <c r="AA128" s="325" t="s">
        <v>36</v>
      </c>
      <c r="AB128" s="328" t="s">
        <v>654</v>
      </c>
      <c r="AC128" s="328" t="s">
        <v>1954</v>
      </c>
      <c r="AD128" s="329" t="s">
        <v>622</v>
      </c>
      <c r="AE128" s="319" t="s">
        <v>2298</v>
      </c>
      <c r="AF128" t="e">
        <f>INDEX('Master Data'!$AA$3:$AA$300,MATCH(AG128,'Master Data'!$AB$3:$AB$300,0),)</f>
        <v>#N/A</v>
      </c>
      <c r="AG128" t="e" cm="1">
        <f t="array" ref="AG128">INDEX('Master Data'!$AB$3:$AB$300,MATCH(0,INDEX(COUNTIF($AG$2:AG127,'Master Data'!$AB$3:$AB$300),),0))</f>
        <v>#N/A</v>
      </c>
    </row>
    <row r="129" spans="27:33" x14ac:dyDescent="0.35">
      <c r="AA129" s="325" t="s">
        <v>36</v>
      </c>
      <c r="AB129" s="326" t="s">
        <v>654</v>
      </c>
      <c r="AC129" s="326" t="s">
        <v>1955</v>
      </c>
      <c r="AD129" s="327" t="s">
        <v>620</v>
      </c>
      <c r="AE129" s="319" t="s">
        <v>2299</v>
      </c>
      <c r="AF129" t="e">
        <f>INDEX('Master Data'!$AA$3:$AA$300,MATCH(AG129,'Master Data'!$AB$3:$AB$300,0),)</f>
        <v>#N/A</v>
      </c>
      <c r="AG129" t="e" cm="1">
        <f t="array" ref="AG129">INDEX('Master Data'!$AB$3:$AB$300,MATCH(0,INDEX(COUNTIF($AG$2:AG128,'Master Data'!$AB$3:$AB$300),),0))</f>
        <v>#N/A</v>
      </c>
    </row>
    <row r="130" spans="27:33" x14ac:dyDescent="0.35">
      <c r="AA130" s="325" t="s">
        <v>36</v>
      </c>
      <c r="AB130" s="328" t="s">
        <v>654</v>
      </c>
      <c r="AC130" s="328" t="s">
        <v>1955</v>
      </c>
      <c r="AD130" s="329" t="s">
        <v>621</v>
      </c>
      <c r="AE130" s="319" t="s">
        <v>2300</v>
      </c>
      <c r="AF130" t="e">
        <f>INDEX('Master Data'!$AA$3:$AA$300,MATCH(AG130,'Master Data'!$AB$3:$AB$300,0),)</f>
        <v>#N/A</v>
      </c>
      <c r="AG130" t="e" cm="1">
        <f t="array" ref="AG130">INDEX('Master Data'!$AB$3:$AB$300,MATCH(0,INDEX(COUNTIF($AG$2:AG129,'Master Data'!$AB$3:$AB$300),),0))</f>
        <v>#N/A</v>
      </c>
    </row>
    <row r="131" spans="27:33" x14ac:dyDescent="0.35">
      <c r="AA131" s="325" t="s">
        <v>36</v>
      </c>
      <c r="AB131" s="326" t="s">
        <v>654</v>
      </c>
      <c r="AC131" s="326" t="s">
        <v>1955</v>
      </c>
      <c r="AD131" s="327" t="s">
        <v>622</v>
      </c>
      <c r="AE131" s="319" t="s">
        <v>2301</v>
      </c>
      <c r="AF131" t="e">
        <f>INDEX('Master Data'!$AA$3:$AA$300,MATCH(AG131,'Master Data'!$AB$3:$AB$300,0),)</f>
        <v>#N/A</v>
      </c>
      <c r="AG131" t="e" cm="1">
        <f t="array" ref="AG131">INDEX('Master Data'!$AB$3:$AB$300,MATCH(0,INDEX(COUNTIF($AG$2:AG130,'Master Data'!$AB$3:$AB$300),),0))</f>
        <v>#N/A</v>
      </c>
    </row>
    <row r="132" spans="27:33" x14ac:dyDescent="0.35">
      <c r="AA132" s="325" t="s">
        <v>36</v>
      </c>
      <c r="AB132" s="328" t="s">
        <v>654</v>
      </c>
      <c r="AC132" s="328" t="s">
        <v>656</v>
      </c>
      <c r="AD132" s="329" t="s">
        <v>620</v>
      </c>
      <c r="AE132" s="319" t="s">
        <v>2302</v>
      </c>
      <c r="AF132" t="e">
        <f>INDEX('Master Data'!$AA$3:$AA$300,MATCH(AG132,'Master Data'!$AB$3:$AB$300,0),)</f>
        <v>#N/A</v>
      </c>
      <c r="AG132" t="e" cm="1">
        <f t="array" ref="AG132">INDEX('Master Data'!$AB$3:$AB$300,MATCH(0,INDEX(COUNTIF($AG$2:AG131,'Master Data'!$AB$3:$AB$300),),0))</f>
        <v>#N/A</v>
      </c>
    </row>
    <row r="133" spans="27:33" x14ac:dyDescent="0.35">
      <c r="AA133" s="325" t="s">
        <v>36</v>
      </c>
      <c r="AB133" s="326" t="s">
        <v>654</v>
      </c>
      <c r="AC133" s="326" t="s">
        <v>656</v>
      </c>
      <c r="AD133" s="327" t="s">
        <v>621</v>
      </c>
      <c r="AE133" s="319" t="s">
        <v>2303</v>
      </c>
      <c r="AF133" t="e">
        <f>INDEX('Master Data'!$AA$3:$AA$300,MATCH(AG133,'Master Data'!$AB$3:$AB$300,0),)</f>
        <v>#N/A</v>
      </c>
      <c r="AG133" t="e" cm="1">
        <f t="array" ref="AG133">INDEX('Master Data'!$AB$3:$AB$300,MATCH(0,INDEX(COUNTIF($AG$2:AG132,'Master Data'!$AB$3:$AB$300),),0))</f>
        <v>#N/A</v>
      </c>
    </row>
    <row r="134" spans="27:33" x14ac:dyDescent="0.35">
      <c r="AA134" s="325" t="s">
        <v>36</v>
      </c>
      <c r="AB134" s="328" t="s">
        <v>654</v>
      </c>
      <c r="AC134" s="328" t="s">
        <v>656</v>
      </c>
      <c r="AD134" s="329" t="s">
        <v>622</v>
      </c>
      <c r="AE134" s="319" t="s">
        <v>2304</v>
      </c>
      <c r="AF134" t="e">
        <f>INDEX('Master Data'!$AA$3:$AA$300,MATCH(AG134,'Master Data'!$AB$3:$AB$300,0),)</f>
        <v>#N/A</v>
      </c>
      <c r="AG134" t="e" cm="1">
        <f t="array" ref="AG134">INDEX('Master Data'!$AB$3:$AB$300,MATCH(0,INDEX(COUNTIF($AG$2:AG133,'Master Data'!$AB$3:$AB$300),),0))</f>
        <v>#N/A</v>
      </c>
    </row>
    <row r="135" spans="27:33" x14ac:dyDescent="0.35">
      <c r="AA135" s="325" t="s">
        <v>36</v>
      </c>
      <c r="AB135" s="326" t="s">
        <v>654</v>
      </c>
      <c r="AC135" s="326" t="s">
        <v>655</v>
      </c>
      <c r="AD135" s="327" t="s">
        <v>620</v>
      </c>
      <c r="AE135" s="319" t="s">
        <v>2305</v>
      </c>
      <c r="AF135" t="e">
        <f>INDEX('Master Data'!$AA$3:$AA$300,MATCH(AG135,'Master Data'!$AB$3:$AB$300,0),)</f>
        <v>#N/A</v>
      </c>
      <c r="AG135" t="e" cm="1">
        <f t="array" ref="AG135">INDEX('Master Data'!$AB$3:$AB$300,MATCH(0,INDEX(COUNTIF($AG$2:AG134,'Master Data'!$AB$3:$AB$300),),0))</f>
        <v>#N/A</v>
      </c>
    </row>
    <row r="136" spans="27:33" x14ac:dyDescent="0.35">
      <c r="AA136" s="325" t="s">
        <v>36</v>
      </c>
      <c r="AB136" s="328" t="s">
        <v>654</v>
      </c>
      <c r="AC136" s="328" t="s">
        <v>655</v>
      </c>
      <c r="AD136" s="329" t="s">
        <v>621</v>
      </c>
      <c r="AE136" s="319" t="s">
        <v>2306</v>
      </c>
      <c r="AF136" t="e">
        <f>INDEX('Master Data'!$AA$3:$AA$300,MATCH(AG136,'Master Data'!$AB$3:$AB$300,0),)</f>
        <v>#N/A</v>
      </c>
      <c r="AG136" t="e" cm="1">
        <f t="array" ref="AG136">INDEX('Master Data'!$AB$3:$AB$300,MATCH(0,INDEX(COUNTIF($AG$2:AG135,'Master Data'!$AB$3:$AB$300),),0))</f>
        <v>#N/A</v>
      </c>
    </row>
    <row r="137" spans="27:33" x14ac:dyDescent="0.35">
      <c r="AA137" s="325" t="s">
        <v>36</v>
      </c>
      <c r="AB137" s="326" t="s">
        <v>654</v>
      </c>
      <c r="AC137" s="326" t="s">
        <v>655</v>
      </c>
      <c r="AD137" s="327" t="s">
        <v>622</v>
      </c>
      <c r="AE137" s="319" t="s">
        <v>2307</v>
      </c>
      <c r="AF137" t="e">
        <f>INDEX('Master Data'!$AA$3:$AA$300,MATCH(AG137,'Master Data'!$AB$3:$AB$300,0),)</f>
        <v>#N/A</v>
      </c>
      <c r="AG137" t="e" cm="1">
        <f t="array" ref="AG137">INDEX('Master Data'!$AB$3:$AB$300,MATCH(0,INDEX(COUNTIF($AG$2:AG136,'Master Data'!$AB$3:$AB$300),),0))</f>
        <v>#N/A</v>
      </c>
    </row>
    <row r="138" spans="27:33" x14ac:dyDescent="0.35">
      <c r="AA138" s="325" t="s">
        <v>36</v>
      </c>
      <c r="AB138" s="328" t="s">
        <v>654</v>
      </c>
      <c r="AC138" s="328" t="s">
        <v>1956</v>
      </c>
      <c r="AD138" s="329" t="s">
        <v>620</v>
      </c>
      <c r="AE138" s="319" t="s">
        <v>2308</v>
      </c>
      <c r="AF138" t="e">
        <f>INDEX('Master Data'!$AA$3:$AA$300,MATCH(AG138,'Master Data'!$AB$3:$AB$300,0),)</f>
        <v>#N/A</v>
      </c>
      <c r="AG138" t="e" cm="1">
        <f t="array" ref="AG138">INDEX('Master Data'!$AB$3:$AB$300,MATCH(0,INDEX(COUNTIF($AG$2:AG137,'Master Data'!$AB$3:$AB$300),),0))</f>
        <v>#N/A</v>
      </c>
    </row>
    <row r="139" spans="27:33" x14ac:dyDescent="0.35">
      <c r="AA139" s="325" t="s">
        <v>36</v>
      </c>
      <c r="AB139" s="326" t="s">
        <v>654</v>
      </c>
      <c r="AC139" s="326" t="s">
        <v>1956</v>
      </c>
      <c r="AD139" s="327" t="s">
        <v>621</v>
      </c>
      <c r="AE139" s="319" t="s">
        <v>2309</v>
      </c>
      <c r="AF139" t="e">
        <f>INDEX('Master Data'!$AA$3:$AA$300,MATCH(AG139,'Master Data'!$AB$3:$AB$300,0),)</f>
        <v>#N/A</v>
      </c>
      <c r="AG139" t="e" cm="1">
        <f t="array" ref="AG139">INDEX('Master Data'!$AB$3:$AB$300,MATCH(0,INDEX(COUNTIF($AG$2:AG138,'Master Data'!$AB$3:$AB$300),),0))</f>
        <v>#N/A</v>
      </c>
    </row>
    <row r="140" spans="27:33" x14ac:dyDescent="0.35">
      <c r="AA140" s="325" t="s">
        <v>36</v>
      </c>
      <c r="AB140" s="328" t="s">
        <v>654</v>
      </c>
      <c r="AC140" s="328" t="s">
        <v>1956</v>
      </c>
      <c r="AD140" s="329" t="s">
        <v>622</v>
      </c>
      <c r="AE140" s="319" t="s">
        <v>2310</v>
      </c>
      <c r="AF140" t="e">
        <f>INDEX('Master Data'!$AA$3:$AA$300,MATCH(AG140,'Master Data'!$AB$3:$AB$300,0),)</f>
        <v>#N/A</v>
      </c>
      <c r="AG140" t="e" cm="1">
        <f t="array" ref="AG140">INDEX('Master Data'!$AB$3:$AB$300,MATCH(0,INDEX(COUNTIF($AG$2:AG139,'Master Data'!$AB$3:$AB$300),),0))</f>
        <v>#N/A</v>
      </c>
    </row>
    <row r="141" spans="27:33" x14ac:dyDescent="0.35">
      <c r="AA141" s="332" t="s">
        <v>37</v>
      </c>
      <c r="AB141" s="318" t="s">
        <v>752</v>
      </c>
      <c r="AC141" s="318" t="s">
        <v>1959</v>
      </c>
      <c r="AD141" s="318" t="s">
        <v>620</v>
      </c>
      <c r="AE141" s="319" t="s">
        <v>2311</v>
      </c>
      <c r="AF141" t="e">
        <f>INDEX('Master Data'!$AA$3:$AA$300,MATCH(AG141,'Master Data'!$AB$3:$AB$300,0),)</f>
        <v>#N/A</v>
      </c>
      <c r="AG141" t="e" cm="1">
        <f t="array" ref="AG141">INDEX('Master Data'!$AB$3:$AB$300,MATCH(0,INDEX(COUNTIF($AG$2:AG140,'Master Data'!$AB$3:$AB$300),),0))</f>
        <v>#N/A</v>
      </c>
    </row>
    <row r="142" spans="27:33" x14ac:dyDescent="0.35">
      <c r="AA142" s="319" t="s">
        <v>37</v>
      </c>
      <c r="AB142" s="319" t="s">
        <v>752</v>
      </c>
      <c r="AC142" s="319" t="s">
        <v>1959</v>
      </c>
      <c r="AD142" s="319" t="s">
        <v>621</v>
      </c>
      <c r="AE142" s="319" t="s">
        <v>2312</v>
      </c>
      <c r="AF142" t="e">
        <f>INDEX('Master Data'!$AA$3:$AA$300,MATCH(AG142,'Master Data'!$AB$3:$AB$300,0),)</f>
        <v>#N/A</v>
      </c>
      <c r="AG142" t="e" cm="1">
        <f t="array" ref="AG142">INDEX('Master Data'!$AB$3:$AB$300,MATCH(0,INDEX(COUNTIF($AG$2:AG141,'Master Data'!$AB$3:$AB$300),),0))</f>
        <v>#N/A</v>
      </c>
    </row>
    <row r="143" spans="27:33" x14ac:dyDescent="0.35">
      <c r="AA143" s="318" t="s">
        <v>37</v>
      </c>
      <c r="AB143" s="318" t="s">
        <v>752</v>
      </c>
      <c r="AC143" s="318" t="s">
        <v>1959</v>
      </c>
      <c r="AD143" s="318" t="s">
        <v>622</v>
      </c>
      <c r="AE143" s="319" t="s">
        <v>2313</v>
      </c>
      <c r="AF143" t="e">
        <f>INDEX('Master Data'!$AA$3:$AA$300,MATCH(AG143,'Master Data'!$AB$3:$AB$300,0),)</f>
        <v>#N/A</v>
      </c>
      <c r="AG143" t="e" cm="1">
        <f t="array" ref="AG143">INDEX('Master Data'!$AB$3:$AB$300,MATCH(0,INDEX(COUNTIF($AG$2:AG142,'Master Data'!$AB$3:$AB$300),),0))</f>
        <v>#N/A</v>
      </c>
    </row>
    <row r="144" spans="27:33" x14ac:dyDescent="0.35">
      <c r="AA144" s="319" t="s">
        <v>37</v>
      </c>
      <c r="AB144" s="319" t="s">
        <v>752</v>
      </c>
      <c r="AC144" s="319" t="s">
        <v>1960</v>
      </c>
      <c r="AD144" s="319" t="s">
        <v>620</v>
      </c>
      <c r="AE144" s="319" t="s">
        <v>2314</v>
      </c>
      <c r="AF144" t="e">
        <f>INDEX('Master Data'!$AA$3:$AA$300,MATCH(AG144,'Master Data'!$AB$3:$AB$300,0),)</f>
        <v>#N/A</v>
      </c>
      <c r="AG144" t="e" cm="1">
        <f t="array" ref="AG144">INDEX('Master Data'!$AB$3:$AB$300,MATCH(0,INDEX(COUNTIF($AG$2:AG143,'Master Data'!$AB$3:$AB$300),),0))</f>
        <v>#N/A</v>
      </c>
    </row>
    <row r="145" spans="27:33" x14ac:dyDescent="0.35">
      <c r="AA145" s="319" t="s">
        <v>37</v>
      </c>
      <c r="AB145" s="319" t="s">
        <v>752</v>
      </c>
      <c r="AC145" s="319" t="s">
        <v>1960</v>
      </c>
      <c r="AD145" s="319" t="s">
        <v>621</v>
      </c>
      <c r="AE145" s="319" t="s">
        <v>2315</v>
      </c>
      <c r="AF145" t="e">
        <f>INDEX('Master Data'!$AA$3:$AA$300,MATCH(AG145,'Master Data'!$AB$3:$AB$300,0),)</f>
        <v>#N/A</v>
      </c>
      <c r="AG145" t="e" cm="1">
        <f t="array" ref="AG145">INDEX('Master Data'!$AB$3:$AB$300,MATCH(0,INDEX(COUNTIF($AG$2:AG144,'Master Data'!$AB$3:$AB$300),),0))</f>
        <v>#N/A</v>
      </c>
    </row>
    <row r="146" spans="27:33" x14ac:dyDescent="0.35">
      <c r="AA146" s="319" t="s">
        <v>37</v>
      </c>
      <c r="AB146" s="319" t="s">
        <v>752</v>
      </c>
      <c r="AC146" s="319" t="s">
        <v>1960</v>
      </c>
      <c r="AD146" s="319" t="s">
        <v>622</v>
      </c>
      <c r="AE146" s="319" t="s">
        <v>2316</v>
      </c>
      <c r="AF146" t="e">
        <f>INDEX('Master Data'!$AA$3:$AA$300,MATCH(AG146,'Master Data'!$AB$3:$AB$300,0),)</f>
        <v>#N/A</v>
      </c>
      <c r="AG146" t="e" cm="1">
        <f t="array" ref="AG146">INDEX('Master Data'!$AB$3:$AB$300,MATCH(0,INDEX(COUNTIF($AG$2:AG145,'Master Data'!$AB$3:$AB$300),),0))</f>
        <v>#N/A</v>
      </c>
    </row>
    <row r="147" spans="27:33" x14ac:dyDescent="0.35">
      <c r="AA147" s="319" t="s">
        <v>37</v>
      </c>
      <c r="AB147" s="319" t="s">
        <v>752</v>
      </c>
      <c r="AC147" s="319" t="s">
        <v>1961</v>
      </c>
      <c r="AD147" s="319" t="s">
        <v>620</v>
      </c>
      <c r="AE147" s="319" t="s">
        <v>2317</v>
      </c>
      <c r="AF147" t="e">
        <f>INDEX('Master Data'!$AA$3:$AA$300,MATCH(AG147,'Master Data'!$AB$3:$AB$300,0),)</f>
        <v>#N/A</v>
      </c>
      <c r="AG147" t="e" cm="1">
        <f t="array" ref="AG147">INDEX('Master Data'!$AB$3:$AB$300,MATCH(0,INDEX(COUNTIF($AG$2:AG146,'Master Data'!$AB$3:$AB$300),),0))</f>
        <v>#N/A</v>
      </c>
    </row>
    <row r="148" spans="27:33" x14ac:dyDescent="0.35">
      <c r="AA148" s="319" t="s">
        <v>37</v>
      </c>
      <c r="AB148" s="319" t="s">
        <v>752</v>
      </c>
      <c r="AC148" s="319" t="s">
        <v>1961</v>
      </c>
      <c r="AD148" s="319" t="s">
        <v>621</v>
      </c>
      <c r="AE148" s="319" t="s">
        <v>2318</v>
      </c>
      <c r="AF148" t="e">
        <f>INDEX('Master Data'!$AA$3:$AA$300,MATCH(AG148,'Master Data'!$AB$3:$AB$300,0),)</f>
        <v>#N/A</v>
      </c>
      <c r="AG148" t="e" cm="1">
        <f t="array" ref="AG148">INDEX('Master Data'!$AB$3:$AB$300,MATCH(0,INDEX(COUNTIF($AG$2:AG147,'Master Data'!$AB$3:$AB$300),),0))</f>
        <v>#N/A</v>
      </c>
    </row>
    <row r="149" spans="27:33" x14ac:dyDescent="0.35">
      <c r="AA149" s="319" t="s">
        <v>37</v>
      </c>
      <c r="AB149" s="319" t="s">
        <v>752</v>
      </c>
      <c r="AC149" s="319" t="s">
        <v>1961</v>
      </c>
      <c r="AD149" s="319" t="s">
        <v>622</v>
      </c>
      <c r="AE149" s="319" t="s">
        <v>2319</v>
      </c>
      <c r="AF149" t="e">
        <f>INDEX('Master Data'!$AA$3:$AA$300,MATCH(AG149,'Master Data'!$AB$3:$AB$300,0),)</f>
        <v>#N/A</v>
      </c>
      <c r="AG149" t="e" cm="1">
        <f t="array" ref="AG149">INDEX('Master Data'!$AB$3:$AB$300,MATCH(0,INDEX(COUNTIF($AG$2:AG148,'Master Data'!$AB$3:$AB$300),),0))</f>
        <v>#N/A</v>
      </c>
    </row>
    <row r="150" spans="27:33" x14ac:dyDescent="0.35">
      <c r="AA150" s="319" t="s">
        <v>37</v>
      </c>
      <c r="AB150" s="319" t="s">
        <v>752</v>
      </c>
      <c r="AC150" s="319" t="s">
        <v>1962</v>
      </c>
      <c r="AD150" s="319" t="s">
        <v>620</v>
      </c>
      <c r="AE150" s="319" t="s">
        <v>2320</v>
      </c>
      <c r="AF150" t="e">
        <f>INDEX('Master Data'!$AA$3:$AA$300,MATCH(AG150,'Master Data'!$AB$3:$AB$300,0),)</f>
        <v>#N/A</v>
      </c>
      <c r="AG150" t="e" cm="1">
        <f t="array" ref="AG150">INDEX('Master Data'!$AB$3:$AB$300,MATCH(0,INDEX(COUNTIF($AG$2:AG149,'Master Data'!$AB$3:$AB$300),),0))</f>
        <v>#N/A</v>
      </c>
    </row>
    <row r="151" spans="27:33" x14ac:dyDescent="0.35">
      <c r="AA151" s="318" t="s">
        <v>37</v>
      </c>
      <c r="AB151" s="318" t="s">
        <v>752</v>
      </c>
      <c r="AC151" s="318" t="s">
        <v>1962</v>
      </c>
      <c r="AD151" s="318" t="s">
        <v>621</v>
      </c>
      <c r="AE151" s="319" t="s">
        <v>2321</v>
      </c>
      <c r="AF151" t="e">
        <f>INDEX('Master Data'!$AA$3:$AA$300,MATCH(AG151,'Master Data'!$AB$3:$AB$300,0),)</f>
        <v>#N/A</v>
      </c>
      <c r="AG151" t="e" cm="1">
        <f t="array" ref="AG151">INDEX('Master Data'!$AB$3:$AB$300,MATCH(0,INDEX(COUNTIF($AG$2:AG150,'Master Data'!$AB$3:$AB$300),),0))</f>
        <v>#N/A</v>
      </c>
    </row>
    <row r="152" spans="27:33" x14ac:dyDescent="0.35">
      <c r="AA152" s="319" t="s">
        <v>37</v>
      </c>
      <c r="AB152" s="319" t="s">
        <v>752</v>
      </c>
      <c r="AC152" s="319" t="s">
        <v>1962</v>
      </c>
      <c r="AD152" s="319" t="s">
        <v>622</v>
      </c>
      <c r="AE152" s="319" t="s">
        <v>2322</v>
      </c>
      <c r="AF152" t="e">
        <f>INDEX('Master Data'!$AA$3:$AA$300,MATCH(AG152,'Master Data'!$AB$3:$AB$300,0),)</f>
        <v>#N/A</v>
      </c>
      <c r="AG152" t="e" cm="1">
        <f t="array" ref="AG152">INDEX('Master Data'!$AB$3:$AB$300,MATCH(0,INDEX(COUNTIF($AG$2:AG151,'Master Data'!$AB$3:$AB$300),),0))</f>
        <v>#N/A</v>
      </c>
    </row>
    <row r="153" spans="27:33" x14ac:dyDescent="0.35">
      <c r="AA153" s="318" t="s">
        <v>37</v>
      </c>
      <c r="AB153" s="318" t="s">
        <v>752</v>
      </c>
      <c r="AC153" s="318" t="s">
        <v>1963</v>
      </c>
      <c r="AD153" s="318" t="s">
        <v>620</v>
      </c>
      <c r="AE153" s="319" t="s">
        <v>2323</v>
      </c>
      <c r="AF153" t="e">
        <f>INDEX('Master Data'!$AA$3:$AA$300,MATCH(AG153,'Master Data'!$AB$3:$AB$300,0),)</f>
        <v>#N/A</v>
      </c>
      <c r="AG153" t="e" cm="1">
        <f t="array" ref="AG153">INDEX('Master Data'!$AB$3:$AB$300,MATCH(0,INDEX(COUNTIF($AG$2:AG152,'Master Data'!$AB$3:$AB$300),),0))</f>
        <v>#N/A</v>
      </c>
    </row>
    <row r="154" spans="27:33" x14ac:dyDescent="0.35">
      <c r="AA154" s="319" t="s">
        <v>37</v>
      </c>
      <c r="AB154" s="319" t="s">
        <v>752</v>
      </c>
      <c r="AC154" s="319" t="s">
        <v>1963</v>
      </c>
      <c r="AD154" s="319" t="s">
        <v>621</v>
      </c>
      <c r="AE154" s="319" t="s">
        <v>2324</v>
      </c>
      <c r="AF154" t="e">
        <f>INDEX('Master Data'!$AA$3:$AA$300,MATCH(AG154,'Master Data'!$AB$3:$AB$300,0),)</f>
        <v>#N/A</v>
      </c>
      <c r="AG154" t="e" cm="1">
        <f t="array" ref="AG154">INDEX('Master Data'!$AB$3:$AB$300,MATCH(0,INDEX(COUNTIF($AG$2:AG153,'Master Data'!$AB$3:$AB$300),),0))</f>
        <v>#N/A</v>
      </c>
    </row>
    <row r="155" spans="27:33" x14ac:dyDescent="0.35">
      <c r="AA155" s="318" t="s">
        <v>37</v>
      </c>
      <c r="AB155" s="318" t="s">
        <v>752</v>
      </c>
      <c r="AC155" s="318" t="s">
        <v>1963</v>
      </c>
      <c r="AD155" s="318" t="s">
        <v>622</v>
      </c>
      <c r="AE155" s="319" t="s">
        <v>2325</v>
      </c>
      <c r="AF155" t="e">
        <f>INDEX('Master Data'!$AA$3:$AA$300,MATCH(AG155,'Master Data'!$AB$3:$AB$300,0),)</f>
        <v>#N/A</v>
      </c>
      <c r="AG155" t="e" cm="1">
        <f t="array" ref="AG155">INDEX('Master Data'!$AB$3:$AB$300,MATCH(0,INDEX(COUNTIF($AG$2:AG154,'Master Data'!$AB$3:$AB$300),),0))</f>
        <v>#N/A</v>
      </c>
    </row>
    <row r="156" spans="27:33" x14ac:dyDescent="0.35">
      <c r="AA156" s="319" t="s">
        <v>37</v>
      </c>
      <c r="AB156" s="319" t="s">
        <v>752</v>
      </c>
      <c r="AC156" s="319" t="s">
        <v>753</v>
      </c>
      <c r="AD156" s="319" t="s">
        <v>620</v>
      </c>
      <c r="AE156" s="319" t="s">
        <v>2326</v>
      </c>
      <c r="AF156" t="e">
        <f>INDEX('Master Data'!$AA$3:$AA$300,MATCH(AG156,'Master Data'!$AB$3:$AB$300,0),)</f>
        <v>#N/A</v>
      </c>
      <c r="AG156" t="e" cm="1">
        <f t="array" ref="AG156">INDEX('Master Data'!$AB$3:$AB$300,MATCH(0,INDEX(COUNTIF($AG$2:AG155,'Master Data'!$AB$3:$AB$300),),0))</f>
        <v>#N/A</v>
      </c>
    </row>
    <row r="157" spans="27:33" x14ac:dyDescent="0.35">
      <c r="AA157" s="319" t="s">
        <v>37</v>
      </c>
      <c r="AB157" s="319" t="s">
        <v>752</v>
      </c>
      <c r="AC157" s="319" t="s">
        <v>753</v>
      </c>
      <c r="AD157" s="319" t="s">
        <v>621</v>
      </c>
      <c r="AE157" s="319" t="s">
        <v>2327</v>
      </c>
      <c r="AF157" t="e">
        <f>INDEX('Master Data'!$AA$3:$AA$300,MATCH(AG157,'Master Data'!$AB$3:$AB$300,0),)</f>
        <v>#N/A</v>
      </c>
      <c r="AG157" t="e" cm="1">
        <f t="array" ref="AG157">INDEX('Master Data'!$AB$3:$AB$300,MATCH(0,INDEX(COUNTIF($AG$2:AG156,'Master Data'!$AB$3:$AB$300),),0))</f>
        <v>#N/A</v>
      </c>
    </row>
    <row r="158" spans="27:33" x14ac:dyDescent="0.35">
      <c r="AA158" s="319" t="s">
        <v>37</v>
      </c>
      <c r="AB158" s="319" t="s">
        <v>752</v>
      </c>
      <c r="AC158" s="319" t="s">
        <v>753</v>
      </c>
      <c r="AD158" s="319" t="s">
        <v>622</v>
      </c>
      <c r="AE158" s="319" t="s">
        <v>2328</v>
      </c>
      <c r="AF158" t="e">
        <f>INDEX('Master Data'!$AA$3:$AA$300,MATCH(AG158,'Master Data'!$AB$3:$AB$300,0),)</f>
        <v>#N/A</v>
      </c>
      <c r="AG158" t="e" cm="1">
        <f t="array" ref="AG158">INDEX('Master Data'!$AB$3:$AB$300,MATCH(0,INDEX(COUNTIF($AG$2:AG157,'Master Data'!$AB$3:$AB$300),),0))</f>
        <v>#N/A</v>
      </c>
    </row>
    <row r="159" spans="27:33" x14ac:dyDescent="0.35">
      <c r="AA159" s="318" t="s">
        <v>37</v>
      </c>
      <c r="AB159" s="318" t="s">
        <v>754</v>
      </c>
      <c r="AC159" s="318" t="s">
        <v>755</v>
      </c>
      <c r="AD159" s="318" t="s">
        <v>620</v>
      </c>
      <c r="AE159" s="319" t="s">
        <v>2329</v>
      </c>
      <c r="AF159" t="e">
        <f>INDEX('Master Data'!$AA$3:$AA$300,MATCH(AG159,'Master Data'!$AB$3:$AB$300,0),)</f>
        <v>#N/A</v>
      </c>
      <c r="AG159" t="e" cm="1">
        <f t="array" ref="AG159">INDEX('Master Data'!$AB$3:$AB$300,MATCH(0,INDEX(COUNTIF($AG$2:AG158,'Master Data'!$AB$3:$AB$300),),0))</f>
        <v>#N/A</v>
      </c>
    </row>
    <row r="160" spans="27:33" x14ac:dyDescent="0.35">
      <c r="AA160" s="319" t="s">
        <v>37</v>
      </c>
      <c r="AB160" s="319" t="s">
        <v>754</v>
      </c>
      <c r="AC160" s="319" t="s">
        <v>755</v>
      </c>
      <c r="AD160" s="319" t="s">
        <v>621</v>
      </c>
      <c r="AE160" s="319" t="s">
        <v>2330</v>
      </c>
      <c r="AF160" t="e">
        <f>INDEX('Master Data'!$AA$3:$AA$300,MATCH(AG160,'Master Data'!$AB$3:$AB$300,0),)</f>
        <v>#N/A</v>
      </c>
      <c r="AG160" t="e" cm="1">
        <f t="array" ref="AG160">INDEX('Master Data'!$AB$3:$AB$300,MATCH(0,INDEX(COUNTIF($AG$2:AG159,'Master Data'!$AB$3:$AB$300),),0))</f>
        <v>#N/A</v>
      </c>
    </row>
    <row r="161" spans="27:33" x14ac:dyDescent="0.35">
      <c r="AA161" s="318" t="s">
        <v>37</v>
      </c>
      <c r="AB161" s="318" t="s">
        <v>754</v>
      </c>
      <c r="AC161" s="318" t="s">
        <v>755</v>
      </c>
      <c r="AD161" s="318" t="s">
        <v>622</v>
      </c>
      <c r="AE161" s="319" t="s">
        <v>2331</v>
      </c>
      <c r="AF161" t="e">
        <f>INDEX('Master Data'!$AA$3:$AA$300,MATCH(AG161,'Master Data'!$AB$3:$AB$300,0),)</f>
        <v>#N/A</v>
      </c>
      <c r="AG161" t="e" cm="1">
        <f t="array" ref="AG161">INDEX('Master Data'!$AB$3:$AB$300,MATCH(0,INDEX(COUNTIF($AG$2:AG160,'Master Data'!$AB$3:$AB$300),),0))</f>
        <v>#N/A</v>
      </c>
    </row>
    <row r="162" spans="27:33" x14ac:dyDescent="0.35">
      <c r="AA162" s="319" t="s">
        <v>37</v>
      </c>
      <c r="AB162" s="319" t="s">
        <v>754</v>
      </c>
      <c r="AC162" s="319" t="s">
        <v>1964</v>
      </c>
      <c r="AD162" s="319" t="s">
        <v>620</v>
      </c>
      <c r="AE162" s="319" t="s">
        <v>2332</v>
      </c>
      <c r="AF162" t="e">
        <f>INDEX('Master Data'!$AA$3:$AA$300,MATCH(AG162,'Master Data'!$AB$3:$AB$300,0),)</f>
        <v>#N/A</v>
      </c>
      <c r="AG162" t="e" cm="1">
        <f t="array" ref="AG162">INDEX('Master Data'!$AB$3:$AB$300,MATCH(0,INDEX(COUNTIF($AG$2:AG161,'Master Data'!$AB$3:$AB$300),),0))</f>
        <v>#N/A</v>
      </c>
    </row>
    <row r="163" spans="27:33" x14ac:dyDescent="0.35">
      <c r="AA163" s="318" t="s">
        <v>37</v>
      </c>
      <c r="AB163" s="318" t="s">
        <v>754</v>
      </c>
      <c r="AC163" s="318" t="s">
        <v>1964</v>
      </c>
      <c r="AD163" s="318" t="s">
        <v>621</v>
      </c>
      <c r="AE163" s="319" t="s">
        <v>2333</v>
      </c>
      <c r="AF163" t="e">
        <f>INDEX('Master Data'!$AA$3:$AA$300,MATCH(AG163,'Master Data'!$AB$3:$AB$300,0),)</f>
        <v>#N/A</v>
      </c>
      <c r="AG163" t="e" cm="1">
        <f t="array" ref="AG163">INDEX('Master Data'!$AB$3:$AB$300,MATCH(0,INDEX(COUNTIF($AG$2:AG162,'Master Data'!$AB$3:$AB$300),),0))</f>
        <v>#N/A</v>
      </c>
    </row>
    <row r="164" spans="27:33" x14ac:dyDescent="0.35">
      <c r="AA164" s="319" t="s">
        <v>37</v>
      </c>
      <c r="AB164" s="319" t="s">
        <v>754</v>
      </c>
      <c r="AC164" s="319" t="s">
        <v>1964</v>
      </c>
      <c r="AD164" s="319" t="s">
        <v>622</v>
      </c>
      <c r="AE164" s="319" t="s">
        <v>2334</v>
      </c>
      <c r="AF164" t="e">
        <f>INDEX('Master Data'!$AA$3:$AA$300,MATCH(AG164,'Master Data'!$AB$3:$AB$300,0),)</f>
        <v>#N/A</v>
      </c>
      <c r="AG164" t="e" cm="1">
        <f t="array" ref="AG164">INDEX('Master Data'!$AB$3:$AB$300,MATCH(0,INDEX(COUNTIF($AG$2:AG163,'Master Data'!$AB$3:$AB$300),),0))</f>
        <v>#N/A</v>
      </c>
    </row>
    <row r="165" spans="27:33" x14ac:dyDescent="0.35">
      <c r="AA165" s="319" t="s">
        <v>37</v>
      </c>
      <c r="AB165" s="319" t="s">
        <v>754</v>
      </c>
      <c r="AC165" s="319" t="s">
        <v>1965</v>
      </c>
      <c r="AD165" s="319" t="s">
        <v>620</v>
      </c>
      <c r="AE165" s="319" t="s">
        <v>2335</v>
      </c>
      <c r="AF165" t="e">
        <f>INDEX('Master Data'!$AA$3:$AA$300,MATCH(AG165,'Master Data'!$AB$3:$AB$300,0),)</f>
        <v>#N/A</v>
      </c>
      <c r="AG165" t="e" cm="1">
        <f t="array" ref="AG165">INDEX('Master Data'!$AB$3:$AB$300,MATCH(0,INDEX(COUNTIF($AG$2:AG164,'Master Data'!$AB$3:$AB$300),),0))</f>
        <v>#N/A</v>
      </c>
    </row>
    <row r="166" spans="27:33" x14ac:dyDescent="0.35">
      <c r="AA166" s="319" t="s">
        <v>37</v>
      </c>
      <c r="AB166" s="319" t="s">
        <v>754</v>
      </c>
      <c r="AC166" s="319" t="s">
        <v>1965</v>
      </c>
      <c r="AD166" s="319" t="s">
        <v>621</v>
      </c>
      <c r="AE166" s="319" t="s">
        <v>2336</v>
      </c>
      <c r="AF166" t="e">
        <f>INDEX('Master Data'!$AA$3:$AA$300,MATCH(AG166,'Master Data'!$AB$3:$AB$300,0),)</f>
        <v>#N/A</v>
      </c>
      <c r="AG166" t="e" cm="1">
        <f t="array" ref="AG166">INDEX('Master Data'!$AB$3:$AB$300,MATCH(0,INDEX(COUNTIF($AG$2:AG165,'Master Data'!$AB$3:$AB$300),),0))</f>
        <v>#N/A</v>
      </c>
    </row>
    <row r="167" spans="27:33" x14ac:dyDescent="0.35">
      <c r="AA167" s="319" t="s">
        <v>37</v>
      </c>
      <c r="AB167" s="319" t="s">
        <v>754</v>
      </c>
      <c r="AC167" s="319" t="s">
        <v>1965</v>
      </c>
      <c r="AD167" s="319" t="s">
        <v>622</v>
      </c>
      <c r="AE167" s="319" t="s">
        <v>2337</v>
      </c>
      <c r="AF167" t="e">
        <f>INDEX('Master Data'!$AA$3:$AA$300,MATCH(AG167,'Master Data'!$AB$3:$AB$300,0),)</f>
        <v>#N/A</v>
      </c>
      <c r="AG167" t="e" cm="1">
        <f t="array" ref="AG167">INDEX('Master Data'!$AB$3:$AB$300,MATCH(0,INDEX(COUNTIF($AG$2:AG166,'Master Data'!$AB$3:$AB$300),),0))</f>
        <v>#N/A</v>
      </c>
    </row>
    <row r="168" spans="27:33" x14ac:dyDescent="0.35">
      <c r="AA168" s="319" t="s">
        <v>37</v>
      </c>
      <c r="AB168" s="319" t="s">
        <v>754</v>
      </c>
      <c r="AC168" s="319" t="s">
        <v>1966</v>
      </c>
      <c r="AD168" s="319" t="s">
        <v>620</v>
      </c>
      <c r="AE168" s="319" t="s">
        <v>2338</v>
      </c>
      <c r="AF168" t="e">
        <f>INDEX('Master Data'!$AA$3:$AA$300,MATCH(AG168,'Master Data'!$AB$3:$AB$300,0),)</f>
        <v>#N/A</v>
      </c>
      <c r="AG168" t="e" cm="1">
        <f t="array" ref="AG168">INDEX('Master Data'!$AB$3:$AB$300,MATCH(0,INDEX(COUNTIF($AG$2:AG167,'Master Data'!$AB$3:$AB$300),),0))</f>
        <v>#N/A</v>
      </c>
    </row>
    <row r="169" spans="27:33" x14ac:dyDescent="0.35">
      <c r="AA169" s="318" t="s">
        <v>37</v>
      </c>
      <c r="AB169" s="318" t="s">
        <v>754</v>
      </c>
      <c r="AC169" s="318" t="s">
        <v>1966</v>
      </c>
      <c r="AD169" s="318" t="s">
        <v>621</v>
      </c>
      <c r="AE169" s="319" t="s">
        <v>2339</v>
      </c>
      <c r="AF169" t="e">
        <f>INDEX('Master Data'!$AA$3:$AA$300,MATCH(AG169,'Master Data'!$AB$3:$AB$300,0),)</f>
        <v>#N/A</v>
      </c>
      <c r="AG169" t="e" cm="1">
        <f t="array" ref="AG169">INDEX('Master Data'!$AB$3:$AB$300,MATCH(0,INDEX(COUNTIF($AG$2:AG168,'Master Data'!$AB$3:$AB$300),),0))</f>
        <v>#N/A</v>
      </c>
    </row>
    <row r="170" spans="27:33" x14ac:dyDescent="0.35">
      <c r="AA170" s="319" t="s">
        <v>37</v>
      </c>
      <c r="AB170" s="319" t="s">
        <v>754</v>
      </c>
      <c r="AC170" s="319" t="s">
        <v>1966</v>
      </c>
      <c r="AD170" s="319" t="s">
        <v>622</v>
      </c>
      <c r="AE170" s="319" t="s">
        <v>2340</v>
      </c>
      <c r="AF170" t="e">
        <f>INDEX('Master Data'!$AA$3:$AA$300,MATCH(AG170,'Master Data'!$AB$3:$AB$300,0),)</f>
        <v>#N/A</v>
      </c>
      <c r="AG170" t="e" cm="1">
        <f t="array" ref="AG170">INDEX('Master Data'!$AB$3:$AB$300,MATCH(0,INDEX(COUNTIF($AG$2:AG169,'Master Data'!$AB$3:$AB$300),),0))</f>
        <v>#N/A</v>
      </c>
    </row>
    <row r="171" spans="27:33" x14ac:dyDescent="0.35">
      <c r="AA171" s="318" t="s">
        <v>37</v>
      </c>
      <c r="AB171" s="318" t="s">
        <v>754</v>
      </c>
      <c r="AC171" s="318" t="s">
        <v>1967</v>
      </c>
      <c r="AD171" s="318" t="s">
        <v>620</v>
      </c>
      <c r="AE171" s="319" t="s">
        <v>2341</v>
      </c>
      <c r="AF171" t="e">
        <f>INDEX('Master Data'!$AA$3:$AA$300,MATCH(AG171,'Master Data'!$AB$3:$AB$300,0),)</f>
        <v>#N/A</v>
      </c>
      <c r="AG171" t="e" cm="1">
        <f t="array" ref="AG171">INDEX('Master Data'!$AB$3:$AB$300,MATCH(0,INDEX(COUNTIF($AG$2:AG170,'Master Data'!$AB$3:$AB$300),),0))</f>
        <v>#N/A</v>
      </c>
    </row>
    <row r="172" spans="27:33" x14ac:dyDescent="0.35">
      <c r="AA172" s="319" t="s">
        <v>37</v>
      </c>
      <c r="AB172" s="319" t="s">
        <v>754</v>
      </c>
      <c r="AC172" s="319" t="s">
        <v>1967</v>
      </c>
      <c r="AD172" s="319" t="s">
        <v>621</v>
      </c>
      <c r="AE172" s="319" t="s">
        <v>2342</v>
      </c>
      <c r="AF172" t="e">
        <f>INDEX('Master Data'!$AA$3:$AA$300,MATCH(AG172,'Master Data'!$AB$3:$AB$300,0),)</f>
        <v>#N/A</v>
      </c>
      <c r="AG172" t="e" cm="1">
        <f t="array" ref="AG172">INDEX('Master Data'!$AB$3:$AB$300,MATCH(0,INDEX(COUNTIF($AG$2:AG171,'Master Data'!$AB$3:$AB$300),),0))</f>
        <v>#N/A</v>
      </c>
    </row>
    <row r="173" spans="27:33" x14ac:dyDescent="0.35">
      <c r="AA173" s="318" t="s">
        <v>37</v>
      </c>
      <c r="AB173" s="318" t="s">
        <v>754</v>
      </c>
      <c r="AC173" s="318" t="s">
        <v>1967</v>
      </c>
      <c r="AD173" s="318" t="s">
        <v>622</v>
      </c>
      <c r="AE173" s="319" t="s">
        <v>2343</v>
      </c>
      <c r="AF173" t="e">
        <f>INDEX('Master Data'!$AA$3:$AA$300,MATCH(AG173,'Master Data'!$AB$3:$AB$300,0),)</f>
        <v>#N/A</v>
      </c>
      <c r="AG173" t="e" cm="1">
        <f t="array" ref="AG173">INDEX('Master Data'!$AB$3:$AB$300,MATCH(0,INDEX(COUNTIF($AG$2:AG172,'Master Data'!$AB$3:$AB$300),),0))</f>
        <v>#N/A</v>
      </c>
    </row>
    <row r="174" spans="27:33" x14ac:dyDescent="0.35">
      <c r="AA174" s="319" t="s">
        <v>37</v>
      </c>
      <c r="AB174" s="319" t="s">
        <v>754</v>
      </c>
      <c r="AC174" s="319" t="s">
        <v>1968</v>
      </c>
      <c r="AD174" s="319" t="s">
        <v>620</v>
      </c>
      <c r="AE174" s="319" t="s">
        <v>2344</v>
      </c>
      <c r="AF174" t="e">
        <f>INDEX('Master Data'!$AA$3:$AA$300,MATCH(AG174,'Master Data'!$AB$3:$AB$300,0),)</f>
        <v>#N/A</v>
      </c>
      <c r="AG174" t="e" cm="1">
        <f t="array" ref="AG174">INDEX('Master Data'!$AB$3:$AB$300,MATCH(0,INDEX(COUNTIF($AG$2:AG173,'Master Data'!$AB$3:$AB$300),),0))</f>
        <v>#N/A</v>
      </c>
    </row>
    <row r="175" spans="27:33" x14ac:dyDescent="0.35">
      <c r="AA175" s="318" t="s">
        <v>37</v>
      </c>
      <c r="AB175" s="318" t="s">
        <v>754</v>
      </c>
      <c r="AC175" s="318" t="s">
        <v>1968</v>
      </c>
      <c r="AD175" s="318" t="s">
        <v>621</v>
      </c>
      <c r="AE175" s="319" t="s">
        <v>2345</v>
      </c>
      <c r="AF175" t="e">
        <f>INDEX('Master Data'!$AA$3:$AA$300,MATCH(AG175,'Master Data'!$AB$3:$AB$300,0),)</f>
        <v>#N/A</v>
      </c>
      <c r="AG175" t="e" cm="1">
        <f t="array" ref="AG175">INDEX('Master Data'!$AB$3:$AB$300,MATCH(0,INDEX(COUNTIF($AG$2:AG174,'Master Data'!$AB$3:$AB$300),),0))</f>
        <v>#N/A</v>
      </c>
    </row>
    <row r="176" spans="27:33" x14ac:dyDescent="0.35">
      <c r="AA176" s="319" t="s">
        <v>37</v>
      </c>
      <c r="AB176" s="319" t="s">
        <v>754</v>
      </c>
      <c r="AC176" s="319" t="s">
        <v>1968</v>
      </c>
      <c r="AD176" s="319" t="s">
        <v>622</v>
      </c>
      <c r="AE176" s="319" t="s">
        <v>2346</v>
      </c>
      <c r="AF176" t="e">
        <f>INDEX('Master Data'!$AA$3:$AA$300,MATCH(AG176,'Master Data'!$AB$3:$AB$300,0),)</f>
        <v>#N/A</v>
      </c>
      <c r="AG176" t="e" cm="1">
        <f t="array" ref="AG176">INDEX('Master Data'!$AB$3:$AB$300,MATCH(0,INDEX(COUNTIF($AG$2:AG175,'Master Data'!$AB$3:$AB$300),),0))</f>
        <v>#N/A</v>
      </c>
    </row>
    <row r="177" spans="27:33" x14ac:dyDescent="0.35">
      <c r="AA177" s="333" t="s">
        <v>37</v>
      </c>
      <c r="AB177" s="318" t="s">
        <v>756</v>
      </c>
      <c r="AC177" s="318" t="s">
        <v>757</v>
      </c>
      <c r="AD177" s="318" t="s">
        <v>620</v>
      </c>
      <c r="AE177" s="319" t="s">
        <v>2347</v>
      </c>
      <c r="AF177" t="e">
        <f>INDEX('Master Data'!$AA$3:$AA$300,MATCH(AG177,'Master Data'!$AB$3:$AB$300,0),)</f>
        <v>#N/A</v>
      </c>
      <c r="AG177" t="e" cm="1">
        <f t="array" ref="AG177">INDEX('Master Data'!$AB$3:$AB$300,MATCH(0,INDEX(COUNTIF($AG$2:AG176,'Master Data'!$AB$3:$AB$300),),0))</f>
        <v>#N/A</v>
      </c>
    </row>
    <row r="178" spans="27:33" x14ac:dyDescent="0.35">
      <c r="AA178" s="319" t="s">
        <v>37</v>
      </c>
      <c r="AB178" s="319" t="s">
        <v>756</v>
      </c>
      <c r="AC178" s="319" t="s">
        <v>757</v>
      </c>
      <c r="AD178" s="319" t="s">
        <v>621</v>
      </c>
      <c r="AE178" s="319" t="s">
        <v>2348</v>
      </c>
      <c r="AF178" t="e">
        <f>INDEX('Master Data'!$AA$3:$AA$300,MATCH(AG178,'Master Data'!$AB$3:$AB$300,0),)</f>
        <v>#N/A</v>
      </c>
      <c r="AG178" t="e" cm="1">
        <f t="array" ref="AG178">INDEX('Master Data'!$AB$3:$AB$300,MATCH(0,INDEX(COUNTIF($AG$2:AG177,'Master Data'!$AB$3:$AB$300),),0))</f>
        <v>#N/A</v>
      </c>
    </row>
    <row r="179" spans="27:33" x14ac:dyDescent="0.35">
      <c r="AA179" s="318" t="s">
        <v>37</v>
      </c>
      <c r="AB179" s="318" t="s">
        <v>756</v>
      </c>
      <c r="AC179" s="318" t="s">
        <v>757</v>
      </c>
      <c r="AD179" s="318" t="s">
        <v>622</v>
      </c>
      <c r="AE179" s="319" t="s">
        <v>2349</v>
      </c>
      <c r="AF179" t="e">
        <f>INDEX('Master Data'!$AA$3:$AA$300,MATCH(AG179,'Master Data'!$AB$3:$AB$300,0),)</f>
        <v>#N/A</v>
      </c>
      <c r="AG179" t="e" cm="1">
        <f t="array" ref="AG179">INDEX('Master Data'!$AB$3:$AB$300,MATCH(0,INDEX(COUNTIF($AG$2:AG178,'Master Data'!$AB$3:$AB$300),),0))</f>
        <v>#N/A</v>
      </c>
    </row>
    <row r="180" spans="27:33" x14ac:dyDescent="0.35">
      <c r="AA180" s="319" t="s">
        <v>37</v>
      </c>
      <c r="AB180" s="319" t="s">
        <v>756</v>
      </c>
      <c r="AC180" s="319" t="s">
        <v>1989</v>
      </c>
      <c r="AD180" s="319" t="s">
        <v>620</v>
      </c>
      <c r="AE180" s="319" t="s">
        <v>2350</v>
      </c>
      <c r="AF180" t="e">
        <f>INDEX('Master Data'!$AA$3:$AA$300,MATCH(AG180,'Master Data'!$AB$3:$AB$300,0),)</f>
        <v>#N/A</v>
      </c>
      <c r="AG180" t="e" cm="1">
        <f t="array" ref="AG180">INDEX('Master Data'!$AB$3:$AB$300,MATCH(0,INDEX(COUNTIF($AG$2:AG179,'Master Data'!$AB$3:$AB$300),),0))</f>
        <v>#N/A</v>
      </c>
    </row>
    <row r="181" spans="27:33" x14ac:dyDescent="0.35">
      <c r="AA181" s="318" t="s">
        <v>37</v>
      </c>
      <c r="AB181" s="318" t="s">
        <v>756</v>
      </c>
      <c r="AC181" s="318" t="s">
        <v>1989</v>
      </c>
      <c r="AD181" s="318" t="s">
        <v>621</v>
      </c>
      <c r="AE181" s="319" t="s">
        <v>2351</v>
      </c>
      <c r="AF181" t="e">
        <f>INDEX('Master Data'!$AA$3:$AA$300,MATCH(AG181,'Master Data'!$AB$3:$AB$300,0),)</f>
        <v>#N/A</v>
      </c>
      <c r="AG181" t="e" cm="1">
        <f t="array" ref="AG181">INDEX('Master Data'!$AB$3:$AB$300,MATCH(0,INDEX(COUNTIF($AG$2:AG180,'Master Data'!$AB$3:$AB$300),),0))</f>
        <v>#N/A</v>
      </c>
    </row>
    <row r="182" spans="27:33" x14ac:dyDescent="0.35">
      <c r="AA182" s="319" t="s">
        <v>37</v>
      </c>
      <c r="AB182" s="319" t="s">
        <v>756</v>
      </c>
      <c r="AC182" s="319" t="s">
        <v>1989</v>
      </c>
      <c r="AD182" s="319" t="s">
        <v>622</v>
      </c>
      <c r="AE182" s="319" t="s">
        <v>2352</v>
      </c>
      <c r="AF182" t="e">
        <f>INDEX('Master Data'!$AA$3:$AA$300,MATCH(AG182,'Master Data'!$AB$3:$AB$300,0),)</f>
        <v>#N/A</v>
      </c>
      <c r="AG182" t="e" cm="1">
        <f t="array" ref="AG182">INDEX('Master Data'!$AB$3:$AB$300,MATCH(0,INDEX(COUNTIF($AG$2:AG181,'Master Data'!$AB$3:$AB$300),),0))</f>
        <v>#N/A</v>
      </c>
    </row>
    <row r="183" spans="27:33" x14ac:dyDescent="0.35">
      <c r="AA183" s="318" t="s">
        <v>37</v>
      </c>
      <c r="AB183" s="318" t="s">
        <v>756</v>
      </c>
      <c r="AC183" s="318" t="s">
        <v>758</v>
      </c>
      <c r="AD183" s="318" t="s">
        <v>620</v>
      </c>
      <c r="AE183" s="319" t="s">
        <v>2353</v>
      </c>
      <c r="AF183" t="e">
        <f>INDEX('Master Data'!$AA$3:$AA$300,MATCH(AG183,'Master Data'!$AB$3:$AB$300,0),)</f>
        <v>#N/A</v>
      </c>
      <c r="AG183" t="e" cm="1">
        <f t="array" ref="AG183">INDEX('Master Data'!$AB$3:$AB$300,MATCH(0,INDEX(COUNTIF($AG$2:AG182,'Master Data'!$AB$3:$AB$300),),0))</f>
        <v>#N/A</v>
      </c>
    </row>
    <row r="184" spans="27:33" x14ac:dyDescent="0.35">
      <c r="AA184" s="319" t="s">
        <v>37</v>
      </c>
      <c r="AB184" s="319" t="s">
        <v>756</v>
      </c>
      <c r="AC184" s="319" t="s">
        <v>758</v>
      </c>
      <c r="AD184" s="319" t="s">
        <v>621</v>
      </c>
      <c r="AE184" s="319" t="s">
        <v>2354</v>
      </c>
      <c r="AF184" t="e">
        <f>INDEX('Master Data'!$AA$3:$AA$300,MATCH(AG184,'Master Data'!$AB$3:$AB$300,0),)</f>
        <v>#N/A</v>
      </c>
      <c r="AG184" t="e" cm="1">
        <f t="array" ref="AG184">INDEX('Master Data'!$AB$3:$AB$300,MATCH(0,INDEX(COUNTIF($AG$2:AG183,'Master Data'!$AB$3:$AB$300),),0))</f>
        <v>#N/A</v>
      </c>
    </row>
    <row r="185" spans="27:33" x14ac:dyDescent="0.35">
      <c r="AA185" s="318" t="s">
        <v>37</v>
      </c>
      <c r="AB185" s="318" t="s">
        <v>756</v>
      </c>
      <c r="AC185" s="318" t="s">
        <v>758</v>
      </c>
      <c r="AD185" s="318" t="s">
        <v>622</v>
      </c>
      <c r="AE185" s="319" t="s">
        <v>2355</v>
      </c>
      <c r="AF185" t="e">
        <f>INDEX('Master Data'!$AA$3:$AA$300,MATCH(AG185,'Master Data'!$AB$3:$AB$300,0),)</f>
        <v>#N/A</v>
      </c>
      <c r="AG185" t="e" cm="1">
        <f t="array" ref="AG185">INDEX('Master Data'!$AB$3:$AB$300,MATCH(0,INDEX(COUNTIF($AG$2:AG184,'Master Data'!$AB$3:$AB$300),),0))</f>
        <v>#N/A</v>
      </c>
    </row>
    <row r="186" spans="27:33" x14ac:dyDescent="0.35">
      <c r="AA186" s="319" t="s">
        <v>37</v>
      </c>
      <c r="AB186" s="319" t="s">
        <v>756</v>
      </c>
      <c r="AC186" s="319" t="s">
        <v>759</v>
      </c>
      <c r="AD186" s="319" t="s">
        <v>620</v>
      </c>
      <c r="AE186" s="319" t="s">
        <v>2356</v>
      </c>
      <c r="AF186" t="e">
        <f>INDEX('Master Data'!$AA$3:$AA$300,MATCH(AG186,'Master Data'!$AB$3:$AB$300,0),)</f>
        <v>#N/A</v>
      </c>
      <c r="AG186" t="e" cm="1">
        <f t="array" ref="AG186">INDEX('Master Data'!$AB$3:$AB$300,MATCH(0,INDEX(COUNTIF($AG$2:AG185,'Master Data'!$AB$3:$AB$300),),0))</f>
        <v>#N/A</v>
      </c>
    </row>
    <row r="187" spans="27:33" x14ac:dyDescent="0.35">
      <c r="AA187" s="319" t="s">
        <v>37</v>
      </c>
      <c r="AB187" s="319" t="s">
        <v>756</v>
      </c>
      <c r="AC187" s="319" t="s">
        <v>759</v>
      </c>
      <c r="AD187" s="319" t="s">
        <v>621</v>
      </c>
      <c r="AE187" s="319" t="s">
        <v>2357</v>
      </c>
      <c r="AF187" t="e">
        <f>INDEX('Master Data'!$AA$3:$AA$300,MATCH(AG187,'Master Data'!$AB$3:$AB$300,0),)</f>
        <v>#N/A</v>
      </c>
      <c r="AG187" t="e" cm="1">
        <f t="array" ref="AG187">INDEX('Master Data'!$AB$3:$AB$300,MATCH(0,INDEX(COUNTIF($AG$2:AG186,'Master Data'!$AB$3:$AB$300),),0))</f>
        <v>#N/A</v>
      </c>
    </row>
    <row r="188" spans="27:33" x14ac:dyDescent="0.35">
      <c r="AA188" s="319" t="s">
        <v>37</v>
      </c>
      <c r="AB188" s="319" t="s">
        <v>756</v>
      </c>
      <c r="AC188" s="319" t="s">
        <v>759</v>
      </c>
      <c r="AD188" s="319" t="s">
        <v>622</v>
      </c>
      <c r="AE188" s="319" t="s">
        <v>2358</v>
      </c>
      <c r="AF188" t="e">
        <f>INDEX('Master Data'!$AA$3:$AA$300,MATCH(AG188,'Master Data'!$AB$3:$AB$300,0),)</f>
        <v>#N/A</v>
      </c>
      <c r="AG188" t="e" cm="1">
        <f t="array" ref="AG188">INDEX('Master Data'!$AB$3:$AB$300,MATCH(0,INDEX(COUNTIF($AG$2:AG187,'Master Data'!$AB$3:$AB$300),),0))</f>
        <v>#N/A</v>
      </c>
    </row>
    <row r="189" spans="27:33" x14ac:dyDescent="0.35">
      <c r="AA189" s="319" t="s">
        <v>37</v>
      </c>
      <c r="AB189" s="319" t="s">
        <v>756</v>
      </c>
      <c r="AC189" s="319" t="s">
        <v>760</v>
      </c>
      <c r="AD189" s="319" t="s">
        <v>620</v>
      </c>
      <c r="AE189" s="319" t="s">
        <v>2359</v>
      </c>
      <c r="AF189" t="e">
        <f>INDEX('Master Data'!$AA$3:$AA$300,MATCH(AG189,'Master Data'!$AB$3:$AB$300,0),)</f>
        <v>#N/A</v>
      </c>
      <c r="AG189" t="e" cm="1">
        <f t="array" ref="AG189">INDEX('Master Data'!$AB$3:$AB$300,MATCH(0,INDEX(COUNTIF($AG$2:AG188,'Master Data'!$AB$3:$AB$300),),0))</f>
        <v>#N/A</v>
      </c>
    </row>
    <row r="190" spans="27:33" x14ac:dyDescent="0.35">
      <c r="AA190" s="319" t="s">
        <v>37</v>
      </c>
      <c r="AB190" s="319" t="s">
        <v>756</v>
      </c>
      <c r="AC190" s="319" t="s">
        <v>760</v>
      </c>
      <c r="AD190" s="319" t="s">
        <v>621</v>
      </c>
      <c r="AE190" s="319" t="s">
        <v>2360</v>
      </c>
      <c r="AF190" t="e">
        <f>INDEX('Master Data'!$AA$3:$AA$300,MATCH(AG190,'Master Data'!$AB$3:$AB$300,0),)</f>
        <v>#N/A</v>
      </c>
      <c r="AG190" t="e" cm="1">
        <f t="array" ref="AG190">INDEX('Master Data'!$AB$3:$AB$300,MATCH(0,INDEX(COUNTIF($AG$2:AG189,'Master Data'!$AB$3:$AB$300),),0))</f>
        <v>#N/A</v>
      </c>
    </row>
    <row r="191" spans="27:33" x14ac:dyDescent="0.35">
      <c r="AA191" s="319" t="s">
        <v>37</v>
      </c>
      <c r="AB191" s="319" t="s">
        <v>756</v>
      </c>
      <c r="AC191" s="319" t="s">
        <v>760</v>
      </c>
      <c r="AD191" s="319" t="s">
        <v>622</v>
      </c>
      <c r="AE191" s="319" t="s">
        <v>2361</v>
      </c>
      <c r="AF191" t="e">
        <f>INDEX('Master Data'!$AA$3:$AA$300,MATCH(AG191,'Master Data'!$AB$3:$AB$300,0),)</f>
        <v>#N/A</v>
      </c>
      <c r="AG191" t="e" cm="1">
        <f t="array" ref="AG191">INDEX('Master Data'!$AB$3:$AB$300,MATCH(0,INDEX(COUNTIF($AG$2:AG190,'Master Data'!$AB$3:$AB$300),),0))</f>
        <v>#N/A</v>
      </c>
    </row>
    <row r="192" spans="27:33" x14ac:dyDescent="0.35">
      <c r="AA192" s="319" t="s">
        <v>39</v>
      </c>
      <c r="AB192" s="319" t="s">
        <v>1939</v>
      </c>
      <c r="AC192" s="319" t="s">
        <v>1970</v>
      </c>
      <c r="AD192" s="319" t="s">
        <v>620</v>
      </c>
      <c r="AE192" s="319" t="s">
        <v>2362</v>
      </c>
      <c r="AF192" t="e">
        <f>INDEX('Master Data'!$AA$3:$AA$300,MATCH(AG192,'Master Data'!$AB$3:$AB$300,0),)</f>
        <v>#N/A</v>
      </c>
      <c r="AG192" t="e" cm="1">
        <f t="array" ref="AG192">INDEX('Master Data'!$AB$3:$AB$300,MATCH(0,INDEX(COUNTIF($AG$2:AG191,'Master Data'!$AB$3:$AB$300),),0))</f>
        <v>#N/A</v>
      </c>
    </row>
    <row r="193" spans="27:33" x14ac:dyDescent="0.35">
      <c r="AA193" s="319" t="s">
        <v>39</v>
      </c>
      <c r="AB193" s="319" t="s">
        <v>1939</v>
      </c>
      <c r="AC193" s="319" t="s">
        <v>1970</v>
      </c>
      <c r="AD193" s="319" t="s">
        <v>621</v>
      </c>
      <c r="AE193" s="319" t="s">
        <v>2363</v>
      </c>
      <c r="AF193" t="e">
        <f>INDEX('Master Data'!$AA$3:$AA$300,MATCH(AG193,'Master Data'!$AB$3:$AB$300,0),)</f>
        <v>#N/A</v>
      </c>
      <c r="AG193" t="e" cm="1">
        <f t="array" ref="AG193">INDEX('Master Data'!$AB$3:$AB$300,MATCH(0,INDEX(COUNTIF($AG$2:AG192,'Master Data'!$AB$3:$AB$300),),0))</f>
        <v>#N/A</v>
      </c>
    </row>
    <row r="194" spans="27:33" x14ac:dyDescent="0.35">
      <c r="AA194" s="319" t="s">
        <v>39</v>
      </c>
      <c r="AB194" s="319" t="s">
        <v>1939</v>
      </c>
      <c r="AC194" s="319" t="s">
        <v>1970</v>
      </c>
      <c r="AD194" s="319" t="s">
        <v>622</v>
      </c>
      <c r="AE194" s="319" t="s">
        <v>2364</v>
      </c>
      <c r="AF194" t="e">
        <f>INDEX('Master Data'!$AA$3:$AA$300,MATCH(AG194,'Master Data'!$AB$3:$AB$300,0),)</f>
        <v>#N/A</v>
      </c>
      <c r="AG194" t="e" cm="1">
        <f t="array" ref="AG194">INDEX('Master Data'!$AB$3:$AB$300,MATCH(0,INDEX(COUNTIF($AG$2:AG193,'Master Data'!$AB$3:$AB$300),),0))</f>
        <v>#N/A</v>
      </c>
    </row>
    <row r="195" spans="27:33" x14ac:dyDescent="0.35">
      <c r="AA195" s="319" t="s">
        <v>39</v>
      </c>
      <c r="AB195" s="319" t="s">
        <v>1952</v>
      </c>
      <c r="AC195" s="319" t="s">
        <v>1957</v>
      </c>
      <c r="AD195" s="319" t="s">
        <v>620</v>
      </c>
      <c r="AE195" s="319" t="s">
        <v>2365</v>
      </c>
      <c r="AF195" t="e">
        <f>INDEX('Master Data'!$AA$3:$AA$300,MATCH(AG195,'Master Data'!$AB$3:$AB$300,0),)</f>
        <v>#N/A</v>
      </c>
      <c r="AG195" t="e" cm="1">
        <f t="array" ref="AG195">INDEX('Master Data'!$AB$3:$AB$300,MATCH(0,INDEX(COUNTIF($AG$2:AG194,'Master Data'!$AB$3:$AB$300),),0))</f>
        <v>#N/A</v>
      </c>
    </row>
    <row r="196" spans="27:33" x14ac:dyDescent="0.35">
      <c r="AA196" s="319" t="s">
        <v>39</v>
      </c>
      <c r="AB196" s="319" t="s">
        <v>1952</v>
      </c>
      <c r="AC196" s="319" t="s">
        <v>1957</v>
      </c>
      <c r="AD196" s="319" t="s">
        <v>621</v>
      </c>
      <c r="AE196" s="319" t="s">
        <v>2366</v>
      </c>
      <c r="AF196" t="e">
        <f>INDEX('Master Data'!$AA$3:$AA$300,MATCH(AG196,'Master Data'!$AB$3:$AB$300,0),)</f>
        <v>#N/A</v>
      </c>
      <c r="AG196" t="e" cm="1">
        <f t="array" ref="AG196">INDEX('Master Data'!$AB$3:$AB$300,MATCH(0,INDEX(COUNTIF($AG$2:AG195,'Master Data'!$AB$3:$AB$300),),0))</f>
        <v>#N/A</v>
      </c>
    </row>
    <row r="197" spans="27:33" x14ac:dyDescent="0.35">
      <c r="AA197" s="319" t="s">
        <v>39</v>
      </c>
      <c r="AB197" s="319" t="s">
        <v>1952</v>
      </c>
      <c r="AC197" s="319" t="s">
        <v>1957</v>
      </c>
      <c r="AD197" s="319" t="s">
        <v>622</v>
      </c>
      <c r="AE197" s="319" t="s">
        <v>2367</v>
      </c>
      <c r="AF197" t="e">
        <f>INDEX('Master Data'!$AA$3:$AA$300,MATCH(AG197,'Master Data'!$AB$3:$AB$300,0),)</f>
        <v>#N/A</v>
      </c>
      <c r="AG197" t="e" cm="1">
        <f t="array" ref="AG197">INDEX('Master Data'!$AB$3:$AB$300,MATCH(0,INDEX(COUNTIF($AG$2:AG196,'Master Data'!$AB$3:$AB$300),),0))</f>
        <v>#N/A</v>
      </c>
    </row>
    <row r="198" spans="27:33" x14ac:dyDescent="0.35">
      <c r="AA198" s="319" t="s">
        <v>39</v>
      </c>
      <c r="AB198" s="319" t="s">
        <v>1952</v>
      </c>
      <c r="AC198" s="319" t="s">
        <v>1958</v>
      </c>
      <c r="AD198" s="319" t="s">
        <v>620</v>
      </c>
      <c r="AE198" s="319" t="s">
        <v>2368</v>
      </c>
      <c r="AF198" t="e">
        <f>INDEX('Master Data'!$AA$3:$AA$300,MATCH(AG198,'Master Data'!$AB$3:$AB$300,0),)</f>
        <v>#N/A</v>
      </c>
      <c r="AG198" t="e" cm="1">
        <f t="array" ref="AG198">INDEX('Master Data'!$AB$3:$AB$300,MATCH(0,INDEX(COUNTIF($AG$2:AG197,'Master Data'!$AB$3:$AB$300),),0))</f>
        <v>#N/A</v>
      </c>
    </row>
    <row r="199" spans="27:33" x14ac:dyDescent="0.35">
      <c r="AA199" s="319" t="s">
        <v>39</v>
      </c>
      <c r="AB199" s="319" t="s">
        <v>1952</v>
      </c>
      <c r="AC199" s="319" t="s">
        <v>1958</v>
      </c>
      <c r="AD199" s="319" t="s">
        <v>621</v>
      </c>
      <c r="AE199" s="319" t="s">
        <v>2369</v>
      </c>
      <c r="AF199" t="e">
        <f>INDEX('Master Data'!$AA$3:$AA$300,MATCH(AG199,'Master Data'!$AB$3:$AB$300,0),)</f>
        <v>#N/A</v>
      </c>
      <c r="AG199" t="e" cm="1">
        <f t="array" ref="AG199">INDEX('Master Data'!$AB$3:$AB$300,MATCH(0,INDEX(COUNTIF($AG$2:AG198,'Master Data'!$AB$3:$AB$300),),0))</f>
        <v>#N/A</v>
      </c>
    </row>
    <row r="200" spans="27:33" x14ac:dyDescent="0.35">
      <c r="AA200" s="319" t="s">
        <v>39</v>
      </c>
      <c r="AB200" s="319" t="s">
        <v>1952</v>
      </c>
      <c r="AC200" s="319" t="s">
        <v>1958</v>
      </c>
      <c r="AD200" s="319" t="s">
        <v>622</v>
      </c>
      <c r="AE200" s="319" t="s">
        <v>2370</v>
      </c>
      <c r="AF200" t="e">
        <f>INDEX('Master Data'!$AA$3:$AA$300,MATCH(AG200,'Master Data'!$AB$3:$AB$300,0),)</f>
        <v>#N/A</v>
      </c>
      <c r="AG200" t="e" cm="1">
        <f t="array" ref="AG200">INDEX('Master Data'!$AB$3:$AB$300,MATCH(0,INDEX(COUNTIF($AG$2:AG199,'Master Data'!$AB$3:$AB$300),),0))</f>
        <v>#N/A</v>
      </c>
    </row>
    <row r="201" spans="27:33" x14ac:dyDescent="0.35">
      <c r="AA201" s="319" t="s">
        <v>39</v>
      </c>
      <c r="AB201" s="319" t="s">
        <v>1953</v>
      </c>
      <c r="AC201" s="319" t="s">
        <v>1971</v>
      </c>
      <c r="AD201" s="319" t="s">
        <v>620</v>
      </c>
      <c r="AE201" s="319" t="s">
        <v>2371</v>
      </c>
      <c r="AF201" t="e">
        <f>INDEX('Master Data'!$AA$3:$AA$300,MATCH(AG201,'Master Data'!$AB$3:$AB$300,0),)</f>
        <v>#N/A</v>
      </c>
      <c r="AG201" t="e" cm="1">
        <f t="array" ref="AG201">INDEX('Master Data'!$AB$3:$AB$300,MATCH(0,INDEX(COUNTIF($AG$2:AG200,'Master Data'!$AB$3:$AB$300),),0))</f>
        <v>#N/A</v>
      </c>
    </row>
    <row r="202" spans="27:33" x14ac:dyDescent="0.35">
      <c r="AA202" s="319" t="s">
        <v>39</v>
      </c>
      <c r="AB202" s="319" t="s">
        <v>1953</v>
      </c>
      <c r="AC202" s="319" t="s">
        <v>1971</v>
      </c>
      <c r="AD202" s="319" t="s">
        <v>621</v>
      </c>
      <c r="AE202" s="319" t="s">
        <v>2372</v>
      </c>
      <c r="AF202" t="e">
        <f>INDEX('Master Data'!$AA$3:$AA$300,MATCH(AG202,'Master Data'!$AB$3:$AB$300,0),)</f>
        <v>#N/A</v>
      </c>
      <c r="AG202" t="e" cm="1">
        <f t="array" ref="AG202">INDEX('Master Data'!$AB$3:$AB$300,MATCH(0,INDEX(COUNTIF($AG$2:AG201,'Master Data'!$AB$3:$AB$300),),0))</f>
        <v>#N/A</v>
      </c>
    </row>
    <row r="203" spans="27:33" x14ac:dyDescent="0.35">
      <c r="AA203" s="319" t="s">
        <v>39</v>
      </c>
      <c r="AB203" s="319" t="s">
        <v>1953</v>
      </c>
      <c r="AC203" s="319" t="s">
        <v>1971</v>
      </c>
      <c r="AD203" s="319" t="s">
        <v>622</v>
      </c>
      <c r="AE203" s="319" t="s">
        <v>2373</v>
      </c>
      <c r="AF203" t="e">
        <f>INDEX('Master Data'!$AA$3:$AA$300,MATCH(AG203,'Master Data'!$AB$3:$AB$300,0),)</f>
        <v>#N/A</v>
      </c>
      <c r="AG203" t="e" cm="1">
        <f t="array" ref="AG203">INDEX('Master Data'!$AB$3:$AB$300,MATCH(0,INDEX(COUNTIF($AG$2:AG202,'Master Data'!$AB$3:$AB$300),),0))</f>
        <v>#N/A</v>
      </c>
    </row>
    <row r="204" spans="27:33" x14ac:dyDescent="0.35">
      <c r="AA204" s="319" t="s">
        <v>39</v>
      </c>
      <c r="AB204" s="319" t="s">
        <v>1953</v>
      </c>
      <c r="AC204" s="319" t="s">
        <v>1941</v>
      </c>
      <c r="AD204" s="319" t="s">
        <v>620</v>
      </c>
      <c r="AE204" s="319" t="s">
        <v>2374</v>
      </c>
      <c r="AF204" t="e">
        <f>INDEX('Master Data'!$AA$3:$AA$300,MATCH(AG204,'Master Data'!$AB$3:$AB$300,0),)</f>
        <v>#N/A</v>
      </c>
      <c r="AG204" t="e" cm="1">
        <f t="array" ref="AG204">INDEX('Master Data'!$AB$3:$AB$300,MATCH(0,INDEX(COUNTIF($AG$2:AG203,'Master Data'!$AB$3:$AB$300),),0))</f>
        <v>#N/A</v>
      </c>
    </row>
    <row r="205" spans="27:33" x14ac:dyDescent="0.35">
      <c r="AA205" s="319" t="s">
        <v>39</v>
      </c>
      <c r="AB205" s="319" t="s">
        <v>1953</v>
      </c>
      <c r="AC205" s="319" t="s">
        <v>1941</v>
      </c>
      <c r="AD205" s="319" t="s">
        <v>621</v>
      </c>
      <c r="AE205" s="319" t="s">
        <v>2375</v>
      </c>
      <c r="AF205" t="e">
        <f>INDEX('Master Data'!$AA$3:$AA$300,MATCH(AG205,'Master Data'!$AB$3:$AB$300,0),)</f>
        <v>#N/A</v>
      </c>
      <c r="AG205" t="e" cm="1">
        <f t="array" ref="AG205">INDEX('Master Data'!$AB$3:$AB$300,MATCH(0,INDEX(COUNTIF($AG$2:AG204,'Master Data'!$AB$3:$AB$300),),0))</f>
        <v>#N/A</v>
      </c>
    </row>
    <row r="206" spans="27:33" x14ac:dyDescent="0.35">
      <c r="AA206" s="319" t="s">
        <v>39</v>
      </c>
      <c r="AB206" s="319" t="s">
        <v>1953</v>
      </c>
      <c r="AC206" s="319" t="s">
        <v>1941</v>
      </c>
      <c r="AD206" s="319" t="s">
        <v>622</v>
      </c>
      <c r="AE206" s="319" t="s">
        <v>2376</v>
      </c>
      <c r="AF206" t="e">
        <f>INDEX('Master Data'!$AA$3:$AA$300,MATCH(AG206,'Master Data'!$AB$3:$AB$300,0),)</f>
        <v>#N/A</v>
      </c>
      <c r="AG206" t="e" cm="1">
        <f t="array" ref="AG206">INDEX('Master Data'!$AB$3:$AB$300,MATCH(0,INDEX(COUNTIF($AG$2:AG205,'Master Data'!$AB$3:$AB$300),),0))</f>
        <v>#N/A</v>
      </c>
    </row>
    <row r="207" spans="27:33" x14ac:dyDescent="0.35">
      <c r="AA207" s="319" t="s">
        <v>39</v>
      </c>
      <c r="AB207" s="319" t="s">
        <v>1953</v>
      </c>
      <c r="AC207" s="319" t="s">
        <v>1972</v>
      </c>
      <c r="AD207" s="319" t="s">
        <v>620</v>
      </c>
      <c r="AE207" s="319" t="s">
        <v>2377</v>
      </c>
      <c r="AF207" t="e">
        <f>INDEX('Master Data'!$AA$3:$AA$300,MATCH(AG207,'Master Data'!$AB$3:$AB$300,0),)</f>
        <v>#N/A</v>
      </c>
      <c r="AG207" t="e" cm="1">
        <f t="array" ref="AG207">INDEX('Master Data'!$AB$3:$AB$300,MATCH(0,INDEX(COUNTIF($AG$2:AG206,'Master Data'!$AB$3:$AB$300),),0))</f>
        <v>#N/A</v>
      </c>
    </row>
    <row r="208" spans="27:33" x14ac:dyDescent="0.35">
      <c r="AA208" s="319" t="s">
        <v>39</v>
      </c>
      <c r="AB208" s="319" t="s">
        <v>1953</v>
      </c>
      <c r="AC208" s="319" t="s">
        <v>1972</v>
      </c>
      <c r="AD208" s="319" t="s">
        <v>621</v>
      </c>
      <c r="AE208" s="319" t="s">
        <v>2378</v>
      </c>
      <c r="AF208" t="e">
        <f>INDEX('Master Data'!$AA$3:$AA$300,MATCH(AG208,'Master Data'!$AB$3:$AB$300,0),)</f>
        <v>#N/A</v>
      </c>
      <c r="AG208" t="e" cm="1">
        <f t="array" ref="AG208">INDEX('Master Data'!$AB$3:$AB$300,MATCH(0,INDEX(COUNTIF($AG$2:AG207,'Master Data'!$AB$3:$AB$300),),0))</f>
        <v>#N/A</v>
      </c>
    </row>
    <row r="209" spans="27:33" x14ac:dyDescent="0.35">
      <c r="AA209" s="319" t="s">
        <v>39</v>
      </c>
      <c r="AB209" s="319" t="s">
        <v>1953</v>
      </c>
      <c r="AC209" s="319" t="s">
        <v>1972</v>
      </c>
      <c r="AD209" s="319" t="s">
        <v>622</v>
      </c>
      <c r="AE209" s="319" t="s">
        <v>2379</v>
      </c>
      <c r="AF209" t="e">
        <f>INDEX('Master Data'!$AA$3:$AA$300,MATCH(AG209,'Master Data'!$AB$3:$AB$300,0),)</f>
        <v>#N/A</v>
      </c>
      <c r="AG209" t="e" cm="1">
        <f t="array" ref="AG209">INDEX('Master Data'!$AB$3:$AB$300,MATCH(0,INDEX(COUNTIF($AG$2:AG208,'Master Data'!$AB$3:$AB$300),),0))</f>
        <v>#N/A</v>
      </c>
    </row>
    <row r="210" spans="27:33" x14ac:dyDescent="0.35">
      <c r="AA210" s="319" t="s">
        <v>39</v>
      </c>
      <c r="AB210" s="319" t="s">
        <v>1953</v>
      </c>
      <c r="AC210" s="319" t="s">
        <v>1942</v>
      </c>
      <c r="AD210" s="319" t="s">
        <v>620</v>
      </c>
      <c r="AE210" s="319" t="s">
        <v>2380</v>
      </c>
      <c r="AF210" t="e">
        <f>INDEX('Master Data'!$AA$3:$AA$300,MATCH(AG210,'Master Data'!$AB$3:$AB$300,0),)</f>
        <v>#N/A</v>
      </c>
      <c r="AG210" t="e" cm="1">
        <f t="array" ref="AG210">INDEX('Master Data'!$AB$3:$AB$300,MATCH(0,INDEX(COUNTIF($AG$2:AG209,'Master Data'!$AB$3:$AB$300),),0))</f>
        <v>#N/A</v>
      </c>
    </row>
    <row r="211" spans="27:33" x14ac:dyDescent="0.35">
      <c r="AA211" s="319" t="s">
        <v>39</v>
      </c>
      <c r="AB211" s="319" t="s">
        <v>1953</v>
      </c>
      <c r="AC211" s="319" t="s">
        <v>1942</v>
      </c>
      <c r="AD211" s="319" t="s">
        <v>621</v>
      </c>
      <c r="AE211" s="319" t="s">
        <v>2381</v>
      </c>
      <c r="AF211" t="e">
        <f>INDEX('Master Data'!$AA$3:$AA$300,MATCH(AG211,'Master Data'!$AB$3:$AB$300,0),)</f>
        <v>#N/A</v>
      </c>
      <c r="AG211" t="e" cm="1">
        <f t="array" ref="AG211">INDEX('Master Data'!$AB$3:$AB$300,MATCH(0,INDEX(COUNTIF($AG$2:AG210,'Master Data'!$AB$3:$AB$300),),0))</f>
        <v>#N/A</v>
      </c>
    </row>
    <row r="212" spans="27:33" x14ac:dyDescent="0.35">
      <c r="AA212" s="319" t="s">
        <v>39</v>
      </c>
      <c r="AB212" s="319" t="s">
        <v>1953</v>
      </c>
      <c r="AC212" s="319" t="s">
        <v>1942</v>
      </c>
      <c r="AD212" s="319" t="s">
        <v>622</v>
      </c>
      <c r="AE212" s="319" t="s">
        <v>2382</v>
      </c>
      <c r="AF212" t="e">
        <f>INDEX('Master Data'!$AA$3:$AA$300,MATCH(AG212,'Master Data'!$AB$3:$AB$300,0),)</f>
        <v>#N/A</v>
      </c>
      <c r="AG212" t="e" cm="1">
        <f t="array" ref="AG212">INDEX('Master Data'!$AB$3:$AB$300,MATCH(0,INDEX(COUNTIF($AG$2:AG211,'Master Data'!$AB$3:$AB$300),),0))</f>
        <v>#N/A</v>
      </c>
    </row>
    <row r="213" spans="27:33" x14ac:dyDescent="0.35">
      <c r="AA213" s="319" t="s">
        <v>39</v>
      </c>
      <c r="AB213" s="319" t="s">
        <v>1953</v>
      </c>
      <c r="AC213" s="319" t="s">
        <v>1943</v>
      </c>
      <c r="AD213" s="319" t="s">
        <v>620</v>
      </c>
      <c r="AE213" s="319" t="s">
        <v>2383</v>
      </c>
      <c r="AF213" t="e">
        <f>INDEX('Master Data'!$AA$3:$AA$300,MATCH(AG213,'Master Data'!$AB$3:$AB$300,0),)</f>
        <v>#N/A</v>
      </c>
      <c r="AG213" t="e" cm="1">
        <f t="array" ref="AG213">INDEX('Master Data'!$AB$3:$AB$300,MATCH(0,INDEX(COUNTIF($AG$2:AG212,'Master Data'!$AB$3:$AB$300),),0))</f>
        <v>#N/A</v>
      </c>
    </row>
    <row r="214" spans="27:33" x14ac:dyDescent="0.35">
      <c r="AA214" s="319" t="s">
        <v>39</v>
      </c>
      <c r="AB214" s="319" t="s">
        <v>1953</v>
      </c>
      <c r="AC214" s="319" t="s">
        <v>1943</v>
      </c>
      <c r="AD214" s="319" t="s">
        <v>621</v>
      </c>
      <c r="AE214" s="319" t="s">
        <v>2384</v>
      </c>
      <c r="AF214" t="e">
        <f>INDEX('Master Data'!$AA$3:$AA$300,MATCH(AG214,'Master Data'!$AB$3:$AB$300,0),)</f>
        <v>#N/A</v>
      </c>
      <c r="AG214" t="e" cm="1">
        <f t="array" ref="AG214">INDEX('Master Data'!$AB$3:$AB$300,MATCH(0,INDEX(COUNTIF($AG$2:AG213,'Master Data'!$AB$3:$AB$300),),0))</f>
        <v>#N/A</v>
      </c>
    </row>
    <row r="215" spans="27:33" x14ac:dyDescent="0.35">
      <c r="AA215" s="319" t="s">
        <v>39</v>
      </c>
      <c r="AB215" s="319" t="s">
        <v>1953</v>
      </c>
      <c r="AC215" s="319" t="s">
        <v>1943</v>
      </c>
      <c r="AD215" s="319" t="s">
        <v>622</v>
      </c>
      <c r="AE215" s="319" t="s">
        <v>2385</v>
      </c>
      <c r="AF215" t="e">
        <f>INDEX('Master Data'!$AA$3:$AA$300,MATCH(AG215,'Master Data'!$AB$3:$AB$300,0),)</f>
        <v>#N/A</v>
      </c>
      <c r="AG215" t="e" cm="1">
        <f t="array" ref="AG215">INDEX('Master Data'!$AB$3:$AB$300,MATCH(0,INDEX(COUNTIF($AG$2:AG214,'Master Data'!$AB$3:$AB$300),),0))</f>
        <v>#N/A</v>
      </c>
    </row>
    <row r="216" spans="27:33" x14ac:dyDescent="0.35">
      <c r="AA216" s="319" t="s">
        <v>39</v>
      </c>
      <c r="AB216" s="319" t="s">
        <v>1953</v>
      </c>
      <c r="AC216" s="319" t="s">
        <v>1973</v>
      </c>
      <c r="AD216" s="319" t="s">
        <v>620</v>
      </c>
      <c r="AE216" s="319" t="s">
        <v>2386</v>
      </c>
      <c r="AF216" t="e">
        <f>INDEX('Master Data'!$AA$3:$AA$300,MATCH(AG216,'Master Data'!$AB$3:$AB$300,0),)</f>
        <v>#N/A</v>
      </c>
      <c r="AG216" t="e" cm="1">
        <f t="array" ref="AG216">INDEX('Master Data'!$AB$3:$AB$300,MATCH(0,INDEX(COUNTIF($AG$2:AG215,'Master Data'!$AB$3:$AB$300),),0))</f>
        <v>#N/A</v>
      </c>
    </row>
    <row r="217" spans="27:33" x14ac:dyDescent="0.35">
      <c r="AA217" s="319" t="s">
        <v>39</v>
      </c>
      <c r="AB217" s="319" t="s">
        <v>1953</v>
      </c>
      <c r="AC217" s="319" t="s">
        <v>1973</v>
      </c>
      <c r="AD217" s="319" t="s">
        <v>621</v>
      </c>
      <c r="AE217" s="319" t="s">
        <v>2387</v>
      </c>
      <c r="AF217" t="e">
        <f>INDEX('Master Data'!$AA$3:$AA$300,MATCH(AG217,'Master Data'!$AB$3:$AB$300,0),)</f>
        <v>#N/A</v>
      </c>
      <c r="AG217" t="e" cm="1">
        <f t="array" ref="AG217">INDEX('Master Data'!$AB$3:$AB$300,MATCH(0,INDEX(COUNTIF($AG$2:AG216,'Master Data'!$AB$3:$AB$300),),0))</f>
        <v>#N/A</v>
      </c>
    </row>
    <row r="218" spans="27:33" x14ac:dyDescent="0.35">
      <c r="AA218" s="319" t="s">
        <v>39</v>
      </c>
      <c r="AB218" s="319" t="s">
        <v>1953</v>
      </c>
      <c r="AC218" s="319" t="s">
        <v>1973</v>
      </c>
      <c r="AD218" s="319" t="s">
        <v>622</v>
      </c>
      <c r="AE218" s="319" t="s">
        <v>2388</v>
      </c>
      <c r="AF218" t="e">
        <f>INDEX('Master Data'!$AA$3:$AA$300,MATCH(AG218,'Master Data'!$AB$3:$AB$300,0),)</f>
        <v>#N/A</v>
      </c>
      <c r="AG218" t="e" cm="1">
        <f t="array" ref="AG218">INDEX('Master Data'!$AB$3:$AB$300,MATCH(0,INDEX(COUNTIF($AG$2:AG217,'Master Data'!$AB$3:$AB$300),),0))</f>
        <v>#N/A</v>
      </c>
    </row>
    <row r="219" spans="27:33" x14ac:dyDescent="0.35">
      <c r="AA219" s="319" t="s">
        <v>39</v>
      </c>
      <c r="AB219" s="319" t="s">
        <v>1988</v>
      </c>
      <c r="AC219" s="319" t="s">
        <v>1944</v>
      </c>
      <c r="AD219" s="319" t="s">
        <v>620</v>
      </c>
      <c r="AE219" s="319" t="s">
        <v>2389</v>
      </c>
      <c r="AF219" t="e">
        <f>INDEX('Master Data'!$AA$3:$AA$300,MATCH(AG219,'Master Data'!$AB$3:$AB$300,0),)</f>
        <v>#N/A</v>
      </c>
      <c r="AG219" t="e" cm="1">
        <f t="array" ref="AG219">INDEX('Master Data'!$AB$3:$AB$300,MATCH(0,INDEX(COUNTIF($AG$2:AG218,'Master Data'!$AB$3:$AB$300),),0))</f>
        <v>#N/A</v>
      </c>
    </row>
    <row r="220" spans="27:33" x14ac:dyDescent="0.35">
      <c r="AA220" s="319" t="s">
        <v>39</v>
      </c>
      <c r="AB220" s="319" t="s">
        <v>1988</v>
      </c>
      <c r="AC220" s="319" t="s">
        <v>1944</v>
      </c>
      <c r="AD220" s="319" t="s">
        <v>621</v>
      </c>
      <c r="AE220" s="319" t="s">
        <v>2390</v>
      </c>
      <c r="AF220" t="e">
        <f>INDEX('Master Data'!$AA$3:$AA$300,MATCH(AG220,'Master Data'!$AB$3:$AB$300,0),)</f>
        <v>#N/A</v>
      </c>
      <c r="AG220" t="e" cm="1">
        <f t="array" ref="AG220">INDEX('Master Data'!$AB$3:$AB$300,MATCH(0,INDEX(COUNTIF($AG$2:AG219,'Master Data'!$AB$3:$AB$300),),0))</f>
        <v>#N/A</v>
      </c>
    </row>
    <row r="221" spans="27:33" x14ac:dyDescent="0.35">
      <c r="AA221" s="319" t="s">
        <v>39</v>
      </c>
      <c r="AB221" s="319" t="s">
        <v>1988</v>
      </c>
      <c r="AC221" s="319" t="s">
        <v>1944</v>
      </c>
      <c r="AD221" s="319" t="s">
        <v>622</v>
      </c>
      <c r="AE221" s="319" t="s">
        <v>2391</v>
      </c>
      <c r="AF221" t="e">
        <f>INDEX('Master Data'!$AA$3:$AA$300,MATCH(AG221,'Master Data'!$AB$3:$AB$300,0),)</f>
        <v>#N/A</v>
      </c>
      <c r="AG221" t="e" cm="1">
        <f t="array" ref="AG221">INDEX('Master Data'!$AB$3:$AB$300,MATCH(0,INDEX(COUNTIF($AG$2:AG220,'Master Data'!$AB$3:$AB$300),),0))</f>
        <v>#N/A</v>
      </c>
    </row>
    <row r="222" spans="27:33" x14ac:dyDescent="0.35">
      <c r="AA222" s="319" t="s">
        <v>39</v>
      </c>
      <c r="AB222" s="319" t="s">
        <v>1988</v>
      </c>
      <c r="AC222" s="319" t="s">
        <v>1945</v>
      </c>
      <c r="AD222" s="319" t="s">
        <v>620</v>
      </c>
      <c r="AE222" s="319" t="s">
        <v>2392</v>
      </c>
      <c r="AF222" t="e">
        <f>INDEX('Master Data'!$AA$3:$AA$300,MATCH(AG222,'Master Data'!$AB$3:$AB$300,0),)</f>
        <v>#N/A</v>
      </c>
      <c r="AG222" t="e" cm="1">
        <f t="array" ref="AG222">INDEX('Master Data'!$AB$3:$AB$300,MATCH(0,INDEX(COUNTIF($AG$2:AG221,'Master Data'!$AB$3:$AB$300),),0))</f>
        <v>#N/A</v>
      </c>
    </row>
    <row r="223" spans="27:33" x14ac:dyDescent="0.35">
      <c r="AA223" s="319" t="s">
        <v>39</v>
      </c>
      <c r="AB223" s="319" t="s">
        <v>1988</v>
      </c>
      <c r="AC223" s="319" t="s">
        <v>1945</v>
      </c>
      <c r="AD223" s="319" t="s">
        <v>621</v>
      </c>
      <c r="AE223" s="319" t="s">
        <v>2393</v>
      </c>
      <c r="AF223" t="e">
        <f>INDEX('Master Data'!$AA$3:$AA$300,MATCH(AG223,'Master Data'!$AB$3:$AB$300,0),)</f>
        <v>#N/A</v>
      </c>
      <c r="AG223" t="e" cm="1">
        <f t="array" ref="AG223">INDEX('Master Data'!$AB$3:$AB$300,MATCH(0,INDEX(COUNTIF($AG$2:AG222,'Master Data'!$AB$3:$AB$300),),0))</f>
        <v>#N/A</v>
      </c>
    </row>
    <row r="224" spans="27:33" x14ac:dyDescent="0.35">
      <c r="AA224" s="319" t="s">
        <v>39</v>
      </c>
      <c r="AB224" s="319" t="s">
        <v>1988</v>
      </c>
      <c r="AC224" s="319" t="s">
        <v>1945</v>
      </c>
      <c r="AD224" s="319" t="s">
        <v>622</v>
      </c>
      <c r="AE224" s="319" t="s">
        <v>2394</v>
      </c>
      <c r="AF224" t="e">
        <f>INDEX('Master Data'!$AA$3:$AA$300,MATCH(AG224,'Master Data'!$AB$3:$AB$300,0),)</f>
        <v>#N/A</v>
      </c>
      <c r="AG224" t="e" cm="1">
        <f t="array" ref="AG224">INDEX('Master Data'!$AB$3:$AB$300,MATCH(0,INDEX(COUNTIF($AG$2:AG223,'Master Data'!$AB$3:$AB$300),),0))</f>
        <v>#N/A</v>
      </c>
    </row>
    <row r="225" spans="27:33" x14ac:dyDescent="0.35">
      <c r="AA225" s="319" t="s">
        <v>39</v>
      </c>
      <c r="AB225" s="319" t="s">
        <v>1940</v>
      </c>
      <c r="AC225" s="319" t="s">
        <v>1992</v>
      </c>
      <c r="AD225" s="319" t="s">
        <v>620</v>
      </c>
      <c r="AE225" s="319" t="s">
        <v>2395</v>
      </c>
      <c r="AF225" t="e">
        <f>INDEX('Master Data'!$AA$3:$AA$300,MATCH(AG225,'Master Data'!$AB$3:$AB$300,0),)</f>
        <v>#N/A</v>
      </c>
      <c r="AG225" t="e" cm="1">
        <f t="array" ref="AG225">INDEX('Master Data'!$AB$3:$AB$300,MATCH(0,INDEX(COUNTIF($AG$2:AG224,'Master Data'!$AB$3:$AB$300),),0))</f>
        <v>#N/A</v>
      </c>
    </row>
    <row r="226" spans="27:33" x14ac:dyDescent="0.35">
      <c r="AA226" s="319" t="s">
        <v>39</v>
      </c>
      <c r="AB226" s="319" t="s">
        <v>1940</v>
      </c>
      <c r="AC226" s="319" t="s">
        <v>1992</v>
      </c>
      <c r="AD226" s="319" t="s">
        <v>621</v>
      </c>
      <c r="AE226" s="319" t="s">
        <v>2396</v>
      </c>
      <c r="AF226" t="e">
        <f>INDEX('Master Data'!$AA$3:$AA$300,MATCH(AG226,'Master Data'!$AB$3:$AB$300,0),)</f>
        <v>#N/A</v>
      </c>
      <c r="AG226" t="e" cm="1">
        <f t="array" ref="AG226">INDEX('Master Data'!$AB$3:$AB$300,MATCH(0,INDEX(COUNTIF($AG$2:AG225,'Master Data'!$AB$3:$AB$300),),0))</f>
        <v>#N/A</v>
      </c>
    </row>
    <row r="227" spans="27:33" x14ac:dyDescent="0.35">
      <c r="AA227" s="319" t="s">
        <v>39</v>
      </c>
      <c r="AB227" s="319" t="s">
        <v>1940</v>
      </c>
      <c r="AC227" s="319" t="s">
        <v>1992</v>
      </c>
      <c r="AD227" s="319" t="s">
        <v>622</v>
      </c>
      <c r="AE227" s="319" t="s">
        <v>2397</v>
      </c>
      <c r="AF227" t="e">
        <f>INDEX('Master Data'!$AA$3:$AA$300,MATCH(AG227,'Master Data'!$AB$3:$AB$300,0),)</f>
        <v>#N/A</v>
      </c>
      <c r="AG227" t="e" cm="1">
        <f t="array" ref="AG227">INDEX('Master Data'!$AB$3:$AB$300,MATCH(0,INDEX(COUNTIF($AG$2:AG226,'Master Data'!$AB$3:$AB$300),),0))</f>
        <v>#N/A</v>
      </c>
    </row>
    <row r="228" spans="27:33" x14ac:dyDescent="0.35">
      <c r="AA228" s="319" t="s">
        <v>39</v>
      </c>
      <c r="AB228" s="319" t="s">
        <v>1940</v>
      </c>
      <c r="AC228" s="319" t="s">
        <v>1974</v>
      </c>
      <c r="AD228" s="319" t="s">
        <v>620</v>
      </c>
      <c r="AE228" s="319" t="s">
        <v>2398</v>
      </c>
      <c r="AF228" t="e">
        <f>INDEX('Master Data'!$AA$3:$AA$300,MATCH(AG228,'Master Data'!$AB$3:$AB$300,0),)</f>
        <v>#N/A</v>
      </c>
      <c r="AG228" t="e" cm="1">
        <f t="array" ref="AG228">INDEX('Master Data'!$AB$3:$AB$300,MATCH(0,INDEX(COUNTIF($AG$2:AG227,'Master Data'!$AB$3:$AB$300),),0))</f>
        <v>#N/A</v>
      </c>
    </row>
    <row r="229" spans="27:33" x14ac:dyDescent="0.35">
      <c r="AA229" s="319" t="s">
        <v>39</v>
      </c>
      <c r="AB229" s="319" t="s">
        <v>1940</v>
      </c>
      <c r="AC229" s="319" t="s">
        <v>1974</v>
      </c>
      <c r="AD229" s="319" t="s">
        <v>621</v>
      </c>
      <c r="AE229" s="319" t="s">
        <v>2399</v>
      </c>
      <c r="AF229" t="e">
        <f>INDEX('Master Data'!$AA$3:$AA$300,MATCH(AG229,'Master Data'!$AB$3:$AB$300,0),)</f>
        <v>#N/A</v>
      </c>
      <c r="AG229" t="e" cm="1">
        <f t="array" ref="AG229">INDEX('Master Data'!$AB$3:$AB$300,MATCH(0,INDEX(COUNTIF($AG$2:AG228,'Master Data'!$AB$3:$AB$300),),0))</f>
        <v>#N/A</v>
      </c>
    </row>
    <row r="230" spans="27:33" x14ac:dyDescent="0.35">
      <c r="AA230" s="319" t="s">
        <v>39</v>
      </c>
      <c r="AB230" s="319" t="s">
        <v>1940</v>
      </c>
      <c r="AC230" s="319" t="s">
        <v>1974</v>
      </c>
      <c r="AD230" s="319" t="s">
        <v>622</v>
      </c>
      <c r="AE230" s="319" t="s">
        <v>2400</v>
      </c>
      <c r="AF230" t="e">
        <f>INDEX('Master Data'!$AA$3:$AA$300,MATCH(AG230,'Master Data'!$AB$3:$AB$300,0),)</f>
        <v>#N/A</v>
      </c>
      <c r="AG230" t="e" cm="1">
        <f t="array" ref="AG230">INDEX('Master Data'!$AB$3:$AB$300,MATCH(0,INDEX(COUNTIF($AG$2:AG229,'Master Data'!$AB$3:$AB$300),),0))</f>
        <v>#N/A</v>
      </c>
    </row>
    <row r="231" spans="27:33" x14ac:dyDescent="0.35">
      <c r="AA231" s="319" t="s">
        <v>39</v>
      </c>
      <c r="AB231" s="319" t="s">
        <v>658</v>
      </c>
      <c r="AC231" s="319" t="s">
        <v>659</v>
      </c>
      <c r="AD231" s="319" t="s">
        <v>620</v>
      </c>
      <c r="AE231" s="319" t="s">
        <v>2401</v>
      </c>
      <c r="AF231" t="e">
        <f>INDEX('Master Data'!$AA$3:$AA$300,MATCH(AG231,'Master Data'!$AB$3:$AB$300,0),)</f>
        <v>#N/A</v>
      </c>
      <c r="AG231" t="e" cm="1">
        <f t="array" ref="AG231">INDEX('Master Data'!$AB$3:$AB$300,MATCH(0,INDEX(COUNTIF($AG$2:AG230,'Master Data'!$AB$3:$AB$300),),0))</f>
        <v>#N/A</v>
      </c>
    </row>
    <row r="232" spans="27:33" x14ac:dyDescent="0.35">
      <c r="AA232" s="319" t="s">
        <v>39</v>
      </c>
      <c r="AB232" s="319" t="s">
        <v>658</v>
      </c>
      <c r="AC232" s="319" t="s">
        <v>659</v>
      </c>
      <c r="AD232" s="319" t="s">
        <v>621</v>
      </c>
      <c r="AE232" s="319" t="s">
        <v>2402</v>
      </c>
      <c r="AF232" t="e">
        <f>INDEX('Master Data'!$AA$3:$AA$300,MATCH(AG232,'Master Data'!$AB$3:$AB$300,0),)</f>
        <v>#N/A</v>
      </c>
      <c r="AG232" t="e" cm="1">
        <f t="array" ref="AG232">INDEX('Master Data'!$AB$3:$AB$300,MATCH(0,INDEX(COUNTIF($AG$2:AG231,'Master Data'!$AB$3:$AB$300),),0))</f>
        <v>#N/A</v>
      </c>
    </row>
    <row r="233" spans="27:33" x14ac:dyDescent="0.35">
      <c r="AA233" s="319" t="s">
        <v>39</v>
      </c>
      <c r="AB233" s="319" t="s">
        <v>658</v>
      </c>
      <c r="AC233" s="319" t="s">
        <v>659</v>
      </c>
      <c r="AD233" s="319" t="s">
        <v>622</v>
      </c>
      <c r="AE233" s="319" t="s">
        <v>2403</v>
      </c>
      <c r="AF233" t="e">
        <f>INDEX('Master Data'!$AA$3:$AA$300,MATCH(AG233,'Master Data'!$AB$3:$AB$300,0),)</f>
        <v>#N/A</v>
      </c>
      <c r="AG233" t="e" cm="1">
        <f t="array" ref="AG233">INDEX('Master Data'!$AB$3:$AB$300,MATCH(0,INDEX(COUNTIF($AG$2:AG232,'Master Data'!$AB$3:$AB$300),),0))</f>
        <v>#N/A</v>
      </c>
    </row>
    <row r="234" spans="27:33" x14ac:dyDescent="0.35">
      <c r="AA234" s="319" t="s">
        <v>39</v>
      </c>
      <c r="AB234" s="319" t="s">
        <v>658</v>
      </c>
      <c r="AC234" s="319" t="s">
        <v>735</v>
      </c>
      <c r="AD234" s="319" t="s">
        <v>620</v>
      </c>
      <c r="AE234" s="319" t="s">
        <v>2404</v>
      </c>
      <c r="AF234" t="e">
        <f>INDEX('Master Data'!$AA$3:$AA$300,MATCH(AG234,'Master Data'!$AB$3:$AB$300,0),)</f>
        <v>#N/A</v>
      </c>
      <c r="AG234" t="e" cm="1">
        <f t="array" ref="AG234">INDEX('Master Data'!$AB$3:$AB$300,MATCH(0,INDEX(COUNTIF($AG$2:AG233,'Master Data'!$AB$3:$AB$300),),0))</f>
        <v>#N/A</v>
      </c>
    </row>
    <row r="235" spans="27:33" x14ac:dyDescent="0.35">
      <c r="AA235" s="319" t="s">
        <v>39</v>
      </c>
      <c r="AB235" s="319" t="s">
        <v>658</v>
      </c>
      <c r="AC235" s="319" t="s">
        <v>735</v>
      </c>
      <c r="AD235" s="319" t="s">
        <v>621</v>
      </c>
      <c r="AE235" s="319" t="s">
        <v>2405</v>
      </c>
      <c r="AF235" t="e">
        <f>INDEX('Master Data'!$AA$3:$AA$300,MATCH(AG235,'Master Data'!$AB$3:$AB$300,0),)</f>
        <v>#N/A</v>
      </c>
      <c r="AG235" t="e" cm="1">
        <f t="array" ref="AG235">INDEX('Master Data'!$AB$3:$AB$300,MATCH(0,INDEX(COUNTIF($AG$2:AG234,'Master Data'!$AB$3:$AB$300),),0))</f>
        <v>#N/A</v>
      </c>
    </row>
    <row r="236" spans="27:33" x14ac:dyDescent="0.35">
      <c r="AA236" s="319" t="s">
        <v>39</v>
      </c>
      <c r="AB236" s="319" t="s">
        <v>658</v>
      </c>
      <c r="AC236" s="319" t="s">
        <v>735</v>
      </c>
      <c r="AD236" s="319" t="s">
        <v>622</v>
      </c>
      <c r="AE236" s="319" t="s">
        <v>2406</v>
      </c>
      <c r="AF236" t="e">
        <f>INDEX('Master Data'!$AA$3:$AA$300,MATCH(AG236,'Master Data'!$AB$3:$AB$300,0),)</f>
        <v>#N/A</v>
      </c>
      <c r="AG236" t="e" cm="1">
        <f t="array" ref="AG236">INDEX('Master Data'!$AB$3:$AB$300,MATCH(0,INDEX(COUNTIF($AG$2:AG235,'Master Data'!$AB$3:$AB$300),),0))</f>
        <v>#N/A</v>
      </c>
    </row>
    <row r="237" spans="27:33" x14ac:dyDescent="0.35">
      <c r="AA237" s="319" t="s">
        <v>39</v>
      </c>
      <c r="AB237" s="319" t="s">
        <v>658</v>
      </c>
      <c r="AC237" s="319" t="s">
        <v>1946</v>
      </c>
      <c r="AD237" s="319" t="s">
        <v>620</v>
      </c>
      <c r="AE237" s="319" t="s">
        <v>2407</v>
      </c>
      <c r="AF237" t="e">
        <f>INDEX('Master Data'!$AA$3:$AA$300,MATCH(AG237,'Master Data'!$AB$3:$AB$300,0),)</f>
        <v>#N/A</v>
      </c>
      <c r="AG237" t="e" cm="1">
        <f t="array" ref="AG237">INDEX('Master Data'!$AB$3:$AB$300,MATCH(0,INDEX(COUNTIF($AG$2:AG236,'Master Data'!$AB$3:$AB$300),),0))</f>
        <v>#N/A</v>
      </c>
    </row>
    <row r="238" spans="27:33" x14ac:dyDescent="0.35">
      <c r="AA238" s="319" t="s">
        <v>39</v>
      </c>
      <c r="AB238" s="319" t="s">
        <v>658</v>
      </c>
      <c r="AC238" s="319" t="s">
        <v>1946</v>
      </c>
      <c r="AD238" s="319" t="s">
        <v>621</v>
      </c>
      <c r="AE238" s="319" t="s">
        <v>2408</v>
      </c>
      <c r="AF238" t="e">
        <f>INDEX('Master Data'!$AA$3:$AA$300,MATCH(AG238,'Master Data'!$AB$3:$AB$300,0),)</f>
        <v>#N/A</v>
      </c>
      <c r="AG238" t="e" cm="1">
        <f t="array" ref="AG238">INDEX('Master Data'!$AB$3:$AB$300,MATCH(0,INDEX(COUNTIF($AG$2:AG237,'Master Data'!$AB$3:$AB$300),),0))</f>
        <v>#N/A</v>
      </c>
    </row>
    <row r="239" spans="27:33" x14ac:dyDescent="0.35">
      <c r="AA239" s="319" t="s">
        <v>39</v>
      </c>
      <c r="AB239" s="319" t="s">
        <v>658</v>
      </c>
      <c r="AC239" s="319" t="s">
        <v>1946</v>
      </c>
      <c r="AD239" s="319" t="s">
        <v>622</v>
      </c>
      <c r="AE239" s="319" t="s">
        <v>2409</v>
      </c>
      <c r="AF239" t="e">
        <f>INDEX('Master Data'!$AA$3:$AA$300,MATCH(AG239,'Master Data'!$AB$3:$AB$300,0),)</f>
        <v>#N/A</v>
      </c>
      <c r="AG239" t="e" cm="1">
        <f t="array" ref="AG239">INDEX('Master Data'!$AB$3:$AB$300,MATCH(0,INDEX(COUNTIF($AG$2:AG238,'Master Data'!$AB$3:$AB$300),),0))</f>
        <v>#N/A</v>
      </c>
    </row>
    <row r="240" spans="27:33" x14ac:dyDescent="0.35">
      <c r="AA240" s="319"/>
      <c r="AB240" s="319"/>
      <c r="AC240" s="319"/>
      <c r="AD240" s="319"/>
    </row>
    <row r="241" spans="27:30" x14ac:dyDescent="0.35">
      <c r="AA241" s="319"/>
      <c r="AB241" s="319"/>
      <c r="AC241" s="319"/>
      <c r="AD241" s="319"/>
    </row>
    <row r="242" spans="27:30" x14ac:dyDescent="0.35">
      <c r="AA242" s="319"/>
      <c r="AB242" s="319"/>
      <c r="AC242" s="319"/>
      <c r="AD242" s="319"/>
    </row>
    <row r="243" spans="27:30" x14ac:dyDescent="0.35">
      <c r="AA243" s="319"/>
      <c r="AB243" s="319"/>
      <c r="AC243" s="319"/>
      <c r="AD243" s="319"/>
    </row>
    <row r="244" spans="27:30" x14ac:dyDescent="0.35">
      <c r="AA244" s="319"/>
      <c r="AB244" s="319"/>
      <c r="AC244" s="319"/>
      <c r="AD244" s="319"/>
    </row>
    <row r="245" spans="27:30" x14ac:dyDescent="0.35">
      <c r="AA245" s="319"/>
      <c r="AB245" s="319"/>
      <c r="AC245" s="319"/>
      <c r="AD245" s="319"/>
    </row>
  </sheetData>
  <sheetProtection algorithmName="SHA-512" hashValue="UGMwiHyLc07nj02j4DCdfC6+X0dY+vjriHkEncwXiwN8pgRvOKRSeIAF71HlpsPhT0Mb10pq+rDaz1LzeDa2yg==" saltValue="zivCPSoMCE0zB7lL3uFlXA==" spinCount="100000" sheet="1" objects="1" scenarios="1"/>
  <mergeCells count="1">
    <mergeCell ref="D6:D7"/>
  </mergeCells>
  <phoneticPr fontId="46" type="noConversion"/>
  <dataValidations count="1">
    <dataValidation allowBlank="1" sqref="AB3:AC140" xr:uid="{33575008-D078-41CC-A3DF-304E8CF632C0}"/>
  </dataValidations>
  <pageMargins left="0.7" right="0.7" top="0.75" bottom="0.75" header="0.3" footer="0.3"/>
  <pageSetup orientation="portrait" horizontalDpi="90" verticalDpi="90"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81B9-E4BE-4C21-A9E0-B62234FC82FC}">
  <dimension ref="A1:AP44"/>
  <sheetViews>
    <sheetView topLeftCell="C1" zoomScaleNormal="100" workbookViewId="0">
      <selection activeCell="J16" sqref="J16"/>
    </sheetView>
  </sheetViews>
  <sheetFormatPr defaultColWidth="8.81640625" defaultRowHeight="14.5" x14ac:dyDescent="0.35"/>
  <cols>
    <col min="1" max="1" width="39.1796875" bestFit="1" customWidth="1"/>
    <col min="2" max="2" width="22.453125" bestFit="1" customWidth="1"/>
    <col min="3" max="3" width="6.81640625" customWidth="1"/>
    <col min="4" max="4" width="15.453125" bestFit="1" customWidth="1"/>
    <col min="5" max="5" width="13.81640625" bestFit="1" customWidth="1"/>
    <col min="6" max="6" width="13.54296875" customWidth="1"/>
    <col min="7" max="7" width="14.453125" bestFit="1" customWidth="1"/>
    <col min="8" max="8" width="13.1796875" customWidth="1"/>
    <col min="9" max="9" width="5.81640625" customWidth="1"/>
    <col min="10" max="10" width="19.08984375" customWidth="1"/>
    <col min="11" max="11" width="17" bestFit="1" customWidth="1"/>
    <col min="12" max="12" width="2.81640625" bestFit="1" customWidth="1"/>
    <col min="13" max="13" width="5.81640625" customWidth="1"/>
    <col min="14" max="14" width="12.54296875" bestFit="1" customWidth="1"/>
    <col min="15" max="15" width="2.81640625" bestFit="1" customWidth="1"/>
    <col min="16" max="16" width="3" bestFit="1" customWidth="1"/>
    <col min="17" max="17" width="13.81640625" customWidth="1"/>
    <col min="18" max="20" width="2.81640625" bestFit="1" customWidth="1"/>
    <col min="21" max="22" width="4.81640625" bestFit="1" customWidth="1"/>
    <col min="23" max="23" width="10.36328125" bestFit="1" customWidth="1"/>
    <col min="24" max="26" width="8.81640625" customWidth="1"/>
    <col min="27" max="27" width="12.81640625" customWidth="1"/>
    <col min="28" max="28" width="29" customWidth="1"/>
    <col min="29" max="29" width="48.54296875" customWidth="1"/>
    <col min="30" max="30" width="28.81640625" bestFit="1" customWidth="1"/>
    <col min="31" max="32" width="9.1796875" customWidth="1"/>
    <col min="33" max="33" width="11.1796875" customWidth="1"/>
    <col min="34" max="34" width="7.90625" customWidth="1"/>
    <col min="35" max="35" width="10.54296875" customWidth="1"/>
    <col min="36" max="36" width="16.81640625" customWidth="1"/>
    <col min="37" max="37" width="45.1796875" customWidth="1"/>
    <col min="38" max="38" width="12" customWidth="1"/>
    <col min="41" max="41" width="14.6328125" customWidth="1"/>
    <col min="42" max="42" width="14.453125" customWidth="1"/>
  </cols>
  <sheetData>
    <row r="1" spans="1:42" x14ac:dyDescent="0.35">
      <c r="A1" t="s">
        <v>56</v>
      </c>
      <c r="B1" s="149" t="s">
        <v>57</v>
      </c>
      <c r="C1" t="str">
        <f>'C19RM 2021-Pharma'!P12</f>
        <v>2021</v>
      </c>
      <c r="D1" t="str">
        <f>'C19RM 2021-Pharma'!W12</f>
        <v>2022</v>
      </c>
      <c r="E1" t="str">
        <f>'C19RM 2021-Pharma'!AD12</f>
        <v>2023</v>
      </c>
      <c r="F1" t="str">
        <f>'C19RM 2021-Pharma'!AK12</f>
        <v>2024</v>
      </c>
      <c r="G1" t="str">
        <f>'C19RM 2021-Pharma'!AR12</f>
        <v>2025</v>
      </c>
      <c r="H1" t="str">
        <f>'C19RM 2021-Pharma'!AY12</f>
        <v/>
      </c>
      <c r="K1" s="148">
        <f>IMP_ST_DATE</f>
        <v>44197</v>
      </c>
      <c r="P1" t="s">
        <v>56</v>
      </c>
      <c r="Q1" t="s">
        <v>130</v>
      </c>
    </row>
    <row r="2" spans="1:42" x14ac:dyDescent="0.35">
      <c r="A2">
        <v>1</v>
      </c>
      <c r="B2" s="149" t="s">
        <v>58</v>
      </c>
      <c r="C2" s="57">
        <f>IF(SETUP!E7="USD",SETUP!D14,SETUP!V72)</f>
        <v>1.0065</v>
      </c>
      <c r="D2" s="57">
        <f>C2</f>
        <v>1.0065</v>
      </c>
      <c r="E2" s="57">
        <f>C2</f>
        <v>1.0065</v>
      </c>
      <c r="F2" s="57">
        <f>C2</f>
        <v>1.0065</v>
      </c>
      <c r="G2">
        <f>C2</f>
        <v>1.0065</v>
      </c>
      <c r="H2">
        <f>C2</f>
        <v>1.0065</v>
      </c>
      <c r="K2" s="148">
        <f>SETUP!L14</f>
        <v>46022</v>
      </c>
      <c r="N2" s="86" t="str">
        <f>IF(O2="","-",Q2)</f>
        <v>Jan21 - Mar21</v>
      </c>
      <c r="O2">
        <f>IF(P2&gt;$L$4,"",P2)</f>
        <v>1</v>
      </c>
      <c r="P2">
        <v>1</v>
      </c>
      <c r="Q2" t="str">
        <f>IF(OR(MONTH(IMP_ST_DATE)=3,MONTH(IMP_ST_DATE)=6,MONTH(IMP_ST_DATE)=9),(TEXT(IMP_ST_DATE,"MMM")&amp;TEXT(IMP_ST_DATE,"YY")&amp;" - "&amp;TEXT(EDATE(IMP_ST_DATE,3),"MMM")&amp;TEXT((EDATE(IMP_ST_DATE,3)),"YY")),IF(OR(MONTH(IMP_ST_DATE)=2,MONTH(IMP_ST_DATE)=5,MONTH(IMP_ST_DATE)=8,MONTH(IMP_ST_DATE)=11),(TEXT(IMP_ST_DATE,"MMM")&amp;TEXT(IMP_ST_DATE,"YY")&amp;" - "&amp;TEXT(EDATE(IMP_ST_DATE,1),"MMM")&amp;TEXT((EDATE(IMP_ST_DATE,1)),"YY")),(TEXT(IMP_ST_DATE,"MMM")&amp;TEXT(IMP_ST_DATE,"YY")&amp;" - "&amp;TEXT(EDATE(IMP_ST_DATE,2),"MMM")&amp;TEXT((EDATE(IMP_ST_DATE,2)),"YY"))))</f>
        <v>Jan21 - Mar21</v>
      </c>
      <c r="R2">
        <v>3</v>
      </c>
      <c r="S2">
        <v>1</v>
      </c>
      <c r="T2">
        <v>2</v>
      </c>
      <c r="U2" t="str">
        <f>TEXT((IF(OR(MONTH(IMP_ST_DATE)=3,MONTH(IMP_ST_DATE)=6,MONTH(IMP_ST_DATE)=9),(TEXT(IMP_ST_DATE,"MMM")&amp;TEXT(IMP_ST_DATE,"YY")),IF(OR(MONTH(IMP_ST_DATE)=2,MONTH(IMP_ST_DATE)=5,MONTH(IMP_ST_DATE)=8,MONTH(IMP_ST_DATE)=11),(TEXT(IMP_ST_DATE,"MMM")&amp;TEXT(IMP_ST_DATE,"YY")),(TEXT(IMP_ST_DATE,"MMM")&amp;TEXT(IMP_ST_DATE,"YY"))))),"YYYY")</f>
        <v>2021</v>
      </c>
      <c r="V2" t="str">
        <f>TEXT(IF(OR(MONTH(IMP_ST_DATE)=3,MONTH(IMP_ST_DATE)=6,MONTH(IMP_ST_DATE)=9),(TEXT(EDATE(IMP_ST_DATE,3),"MMM")&amp;TEXT((EDATE(IMP_ST_DATE,3)),"YY")),IF(OR(MONTH(IMP_ST_DATE)=2,MONTH(IMP_ST_DATE)=5,MONTH(IMP_ST_DATE)=8,MONTH(IMP_ST_DATE)=11),(TEXT(EDATE(IMP_ST_DATE,1),"MMM")&amp;TEXT((EDATE(IMP_ST_DATE,1)),"YY")),(TEXT(EDATE(IMP_ST_DATE,2),"MMM")&amp;TEXT((EDATE(IMP_ST_DATE,2)),"YY")))),"YYYY")</f>
        <v>2021</v>
      </c>
      <c r="W2" t="str">
        <f>IF($O$2&lt;&gt;"",(IF($U$2=$X$2,$U$2,(($U$2&amp;" - "&amp;$V$5)))))</f>
        <v>2021</v>
      </c>
      <c r="X2" t="str">
        <f>IF($V$5&lt;&gt;"",$V$5,IF($V$4&lt;&gt;"",$V$4,IF($V$3&lt;&gt;"",$V$3,$V$2)))</f>
        <v>2021</v>
      </c>
      <c r="Y2" t="s">
        <v>83</v>
      </c>
      <c r="AA2" s="330" t="s">
        <v>4</v>
      </c>
      <c r="AB2" s="330" t="s">
        <v>614</v>
      </c>
      <c r="AC2" s="330" t="s">
        <v>615</v>
      </c>
      <c r="AD2" s="331" t="s">
        <v>616</v>
      </c>
      <c r="AE2" s="402" t="s">
        <v>173</v>
      </c>
      <c r="AI2" s="320"/>
    </row>
    <row r="3" spans="1:42" x14ac:dyDescent="0.35">
      <c r="B3" s="149"/>
      <c r="E3" s="24"/>
      <c r="N3" s="86" t="str">
        <f t="shared" ref="N3:N12" si="0">IF(O3="","-",Q3)</f>
        <v>Apr21 - Jun21</v>
      </c>
      <c r="O3">
        <f t="shared" ref="O3:O25" si="1">IF(P3&gt;$L$4,"",P3)</f>
        <v>2</v>
      </c>
      <c r="P3">
        <v>2</v>
      </c>
      <c r="Q3" t="str">
        <f>IF(OR(MONTH(IMP_ST_DATE)=3,MONTH(IMP_ST_DATE)=6,MONTH(IMP_ST_DATE)=9),(TEXT(EDATE(IMP_ST_DATE,4),"MMM")&amp;TEXT((EDATE(IMP_ST_DATE,4)),"YY")&amp;" - "&amp;TEXT(EDATE(IMP_ST_DATE,6),"MMM")&amp;TEXT((EDATE(IMP_ST_DATE,6)),"YY")),IF(OR(MONTH(IMP_ST_DATE)=2,MONTH(IMP_ST_DATE)=5,MONTH(IMP_ST_DATE)=8,MONTH(IMP_ST_DATE)=11),(TEXT(EDATE(IMP_ST_DATE,2),"MMM")&amp;TEXT((EDATE(IMP_ST_DATE,2)),"YY")&amp;" - "&amp;TEXT(EDATE(IMP_ST_DATE,4),"MMM")&amp;TEXT((EDATE(IMP_ST_DATE,4)),"YY")),(TEXT(EDATE(IMP_ST_DATE,3),"MMM")&amp;TEXT((EDATE(IMP_ST_DATE,3)),"YY")&amp;" - "&amp;TEXT(EDATE(IMP_ST_DATE,5),"MMM")&amp;TEXT((EDATE(IMP_ST_DATE,5)),"YY"))))</f>
        <v>Apr21 - Jun21</v>
      </c>
      <c r="R3">
        <v>6</v>
      </c>
      <c r="S3">
        <v>4</v>
      </c>
      <c r="T3">
        <v>5</v>
      </c>
      <c r="AA3" s="322" t="s">
        <v>83</v>
      </c>
      <c r="AB3" s="323" t="s">
        <v>2749</v>
      </c>
      <c r="AC3" s="323" t="s">
        <v>3111</v>
      </c>
      <c r="AD3" s="324" t="s">
        <v>619</v>
      </c>
      <c r="AE3" s="319" t="s">
        <v>2173</v>
      </c>
      <c r="AF3" t="str">
        <f>INDEX('Master Data-C19RM'!$AA$3:$AA$44,MATCH(AG3,'Master Data-C19RM'!$AB$3:$AB$44,0),)</f>
        <v>C19RM</v>
      </c>
      <c r="AG3" t="str" cm="1">
        <f t="array" ref="AG3">INDEX('Master Data-C19RM'!$AB$3:$AB$44,MATCH(0,INDEX(COUNTIF($AG$2:AG2,'Master Data-C19RM'!$AB$3:$AB$44),),0))</f>
        <v>C19RM 2021</v>
      </c>
    </row>
    <row r="4" spans="1:42" x14ac:dyDescent="0.35">
      <c r="B4" s="149"/>
      <c r="E4" s="24"/>
      <c r="K4" s="362">
        <f>DATEDIF(K1,K2,"M")+1</f>
        <v>60</v>
      </c>
      <c r="L4">
        <f>ROUND(K4/3,0)</f>
        <v>20</v>
      </c>
      <c r="N4" s="86" t="str">
        <f t="shared" si="0"/>
        <v>Jul21 - Sep21</v>
      </c>
      <c r="O4">
        <f t="shared" si="1"/>
        <v>3</v>
      </c>
      <c r="P4">
        <v>3</v>
      </c>
      <c r="Q4" t="str">
        <f>IF(OR(MONTH(IMP_ST_DATE)=3,MONTH(IMP_ST_DATE)=6,MONTH(IMP_ST_DATE)=9),(TEXT(EDATE(IMP_ST_DATE,7),"MMM")&amp;TEXT((EDATE(IMP_ST_DATE,7)),"YY")&amp;" - "&amp;TEXT(EDATE(IMP_ST_DATE,9),"MMM")&amp;TEXT((EDATE(IMP_ST_DATE,9)),"YY")),IF(OR(MONTH(IMP_ST_DATE)=2,MONTH(IMP_ST_DATE)=5,MONTH(IMP_ST_DATE)=8,MONTH(IMP_ST_DATE)=11),(TEXT(EDATE(IMP_ST_DATE,5),"MMM")&amp;TEXT((EDATE(IMP_ST_DATE,5)),"YY")&amp;" - "&amp;TEXT(EDATE(IMP_ST_DATE,7),"MMM")&amp;TEXT((EDATE(IMP_ST_DATE,7)),"YY")),(TEXT(EDATE(IMP_ST_DATE,6),"MMM")&amp;TEXT((EDATE(IMP_ST_DATE,6)),"YY")&amp;" - "&amp;TEXT(EDATE(IMP_ST_DATE,8),"MMM")&amp;TEXT((EDATE(IMP_ST_DATE,8)),"YY"))))</f>
        <v>Jul21 - Sep21</v>
      </c>
      <c r="R4">
        <v>9</v>
      </c>
      <c r="S4">
        <v>7</v>
      </c>
      <c r="T4">
        <v>8</v>
      </c>
      <c r="AA4" s="325" t="s">
        <v>83</v>
      </c>
      <c r="AB4" s="326" t="s">
        <v>2749</v>
      </c>
      <c r="AC4" s="326" t="s">
        <v>3111</v>
      </c>
      <c r="AD4" s="327" t="s">
        <v>3118</v>
      </c>
      <c r="AE4" s="319" t="s">
        <v>2174</v>
      </c>
      <c r="AF4" t="e">
        <f>INDEX('Master Data-C19RM'!$AA$3:$AA$44,MATCH(AG4,'Master Data-C19RM'!$AB$3:$AB$44,0),)</f>
        <v>#N/A</v>
      </c>
      <c r="AG4" t="e" cm="1">
        <f t="array" ref="AG4">INDEX('Master Data-C19RM'!$AB$3:$AB$44,MATCH(0,INDEX(COUNTIF($AG$2:AG3,'Master Data-C19RM'!$AB$3:$AB$44),),0))</f>
        <v>#N/A</v>
      </c>
      <c r="AI4" s="321" t="s">
        <v>4</v>
      </c>
      <c r="AJ4" s="321" t="s">
        <v>614</v>
      </c>
      <c r="AK4" s="321" t="s">
        <v>615</v>
      </c>
      <c r="AM4" t="s">
        <v>83</v>
      </c>
      <c r="AN4" t="s">
        <v>2749</v>
      </c>
      <c r="AO4" t="s">
        <v>3111</v>
      </c>
      <c r="AP4" t="s">
        <v>619</v>
      </c>
    </row>
    <row r="5" spans="1:42" ht="15" thickBot="1" x14ac:dyDescent="0.4">
      <c r="A5" t="s">
        <v>610</v>
      </c>
      <c r="B5">
        <v>1</v>
      </c>
      <c r="E5" s="24"/>
      <c r="K5" t="str">
        <f>IF(OR(MONTH(IMP_ST_DATE)=3,MONTH(IMP_ST_DATE)=6,MONTH(IMP_ST_DATE)=9),(TEXT(EDATE(IMP_ST_DATE,10),"MMM")&amp;TEXT(EDATE(IMP_ST_DATE,10),"YY")&amp;" - "&amp;TEXT(EDATE(IMP_ST_DATE,12),"MMM")&amp;TEXT((EDATE(IMP_ST_DATE,12)),"YY")),"")</f>
        <v/>
      </c>
      <c r="N5" s="86" t="str">
        <f t="shared" si="0"/>
        <v>Oct21 - Dec21</v>
      </c>
      <c r="O5">
        <f t="shared" si="1"/>
        <v>4</v>
      </c>
      <c r="P5">
        <v>4</v>
      </c>
      <c r="Q5" t="str">
        <f>IF(OR(MONTH(IMP_ST_DATE)=3,MONTH(IMP_ST_DATE)=6,MONTH(IMP_ST_DATE)=9),(TEXT(EDATE(IMP_ST_DATE,10),"MMM")&amp;TEXT(EDATE(IMP_ST_DATE,10),"YY")&amp;" - "&amp;TEXT(EDATE(IMP_ST_DATE,12),"MMM")&amp;TEXT((EDATE(IMP_ST_DATE,12)),"YY")),IF(OR(MONTH(IMP_ST_DATE)=2,MONTH(IMP_ST_DATE)=5,MONTH(IMP_ST_DATE)=8,MONTH(IMP_ST_DATE)=11),(TEXT(EDATE(IMP_ST_DATE,8),"MMM")&amp;TEXT((EDATE(IMP_ST_DATE,8)),"YY")&amp;" - "&amp;TEXT(EDATE(IMP_ST_DATE,10),"MMM")&amp;TEXT((EDATE(IMP_ST_DATE,10)),"YY")),(TEXT(EDATE(IMP_ST_DATE,9),"MMM")&amp;TEXT((EDATE(IMP_ST_DATE,9)),"YY")&amp;" - "&amp;TEXT(EDATE(IMP_ST_DATE,11),"MMM")&amp;TEXT((EDATE(IMP_ST_DATE,11)),"YY"))))</f>
        <v>Oct21 - Dec21</v>
      </c>
      <c r="R5">
        <v>12</v>
      </c>
      <c r="S5">
        <v>10</v>
      </c>
      <c r="T5">
        <v>11</v>
      </c>
      <c r="V5" t="str">
        <f>TEXT(IF(OR(MONTH(IMP_ST_DATE)=3,MONTH(IMP_ST_DATE)=6,MONTH(IMP_ST_DATE)=9),(TEXT(EDATE(IMP_ST_DATE,12),"MMM")&amp;TEXT((EDATE(IMP_ST_DATE,12)),"YY")),IF(OR(MONTH(IMP_ST_DATE)=2,MONTH(IMP_ST_DATE)=5,MONTH(IMP_ST_DATE)=8,MONTH(IMP_ST_DATE)=11),(TEXT(EDATE(IMP_ST_DATE,10),"MMM")&amp;TEXT((EDATE(IMP_ST_DATE,10)),"YY")),(TEXT(EDATE(IMP_ST_DATE,11),"MMM")&amp;TEXT((EDATE(IMP_ST_DATE,11)),"YY")))),"YYYY")</f>
        <v>2021</v>
      </c>
      <c r="AA5" s="325" t="s">
        <v>83</v>
      </c>
      <c r="AB5" s="328" t="s">
        <v>2749</v>
      </c>
      <c r="AC5" s="328" t="s">
        <v>3111</v>
      </c>
      <c r="AD5" s="329" t="s">
        <v>620</v>
      </c>
      <c r="AE5" s="319" t="s">
        <v>2175</v>
      </c>
      <c r="AF5" t="e">
        <f>INDEX('Master Data-C19RM'!$AA$3:$AA$44,MATCH(AG5,'Master Data-C19RM'!$AB$3:$AB$44,0),)</f>
        <v>#N/A</v>
      </c>
      <c r="AG5" t="e" cm="1">
        <f t="array" ref="AG5">INDEX('Master Data-C19RM'!$AB$3:$AB$44,MATCH(0,INDEX(COUNTIF($AG$2:AG4,'Master Data-C19RM'!$AB$3:$AB$44),),0))</f>
        <v>#N/A</v>
      </c>
      <c r="AI5" t="s">
        <v>83</v>
      </c>
      <c r="AJ5" t="s">
        <v>2749</v>
      </c>
      <c r="AK5" t="s">
        <v>3111</v>
      </c>
      <c r="AO5" t="s">
        <v>3119</v>
      </c>
      <c r="AP5" t="s">
        <v>3118</v>
      </c>
    </row>
    <row r="6" spans="1:42" x14ac:dyDescent="0.35">
      <c r="A6" t="s">
        <v>157</v>
      </c>
      <c r="B6">
        <v>1</v>
      </c>
      <c r="D6" s="1404" t="s">
        <v>74</v>
      </c>
      <c r="E6" s="223" t="s">
        <v>660</v>
      </c>
      <c r="H6" t="s">
        <v>3078</v>
      </c>
      <c r="K6" t="str">
        <f>IF(OR(MONTH(IMP_ST_DATE)=2,MONTH(IMP_ST_DATE)=5,MONTH(IMP_ST_DATE)=8,MONTH(IMP_ST_DATE)=11),(TEXT(EDATE(IMP_ST_DATE,8),"MMM")&amp;TEXT(IMP_ST_DATE,"YY")&amp;" - "&amp;TEXT(EDATE(IMP_ST_DATE,10),"MMM")&amp;TEXT((EDATE(IMP_ST_DATE,10)),"YY")),"")</f>
        <v/>
      </c>
      <c r="N6" s="86" t="str">
        <f t="shared" si="0"/>
        <v>Jan22 - Mar22</v>
      </c>
      <c r="O6">
        <f t="shared" si="1"/>
        <v>5</v>
      </c>
      <c r="P6">
        <v>5</v>
      </c>
      <c r="Q6" t="str">
        <f>IF(OR(MONTH(IMP_ST_DATE)=3,MONTH(IMP_ST_DATE)=6,MONTH(IMP_ST_DATE)=9),(TEXT(EDATE(IMP_ST_DATE,13),"MMM")&amp;TEXT((EDATE(IMP_ST_DATE,13)),"YY")&amp;" - "&amp;TEXT(EDATE(IMP_ST_DATE,15),"MMM")&amp;TEXT((EDATE(IMP_ST_DATE,15)),"YY")),IF(OR(MONTH(IMP_ST_DATE)=2,MONTH(IMP_ST_DATE)=5,MONTH(IMP_ST_DATE)=8,MONTH(IMP_ST_DATE)=11),(TEXT(EDATE(IMP_ST_DATE,11),"MMM")&amp;TEXT((EDATE(IMP_ST_DATE,11)),"YY")&amp;" - "&amp;TEXT(EDATE(IMP_ST_DATE,13),"MMM")&amp;TEXT((EDATE(IMP_ST_DATE,13)),"YY")),(TEXT(EDATE(IMP_ST_DATE,12),"MMM")&amp;TEXT((EDATE(IMP_ST_DATE,12)),"YY")&amp;" - "&amp;TEXT(EDATE(IMP_ST_DATE,14),"MMM")&amp;TEXT((EDATE(IMP_ST_DATE,14)),"YY"))))</f>
        <v>Jan22 - Mar22</v>
      </c>
      <c r="R6">
        <v>15</v>
      </c>
      <c r="S6">
        <v>13</v>
      </c>
      <c r="T6">
        <v>14</v>
      </c>
      <c r="U6" t="str">
        <f>TEXT(IF(OR(MONTH(IMP_ST_DATE)=3,MONTH(IMP_ST_DATE)=6,MONTH(IMP_ST_DATE)=9),(TEXT(EDATE(IMP_ST_DATE,13),"MMM")&amp;TEXT((EDATE(IMP_ST_DATE,13)),"YY")),IF(OR(MONTH(IMP_ST_DATE)=2,MONTH(IMP_ST_DATE)=5,MONTH(IMP_ST_DATE)=8,MONTH(IMP_ST_DATE)=11),(TEXT(EDATE(IMP_ST_DATE,11),"MMM")&amp;TEXT((EDATE(IMP_ST_DATE,11)),"YY")),(TEXT(EDATE(IMP_ST_DATE,12),"MMM")&amp;TEXT((EDATE(IMP_ST_DATE,12)),"YY")))),"YYYY")</f>
        <v>2022</v>
      </c>
      <c r="W6" t="str">
        <f>IF($O$6&lt;&gt;"",(IF($U$6=$X$6,$U$6,(($U$6&amp;" - "&amp;$V$9)))),"")</f>
        <v>2022</v>
      </c>
      <c r="X6" t="str">
        <f>IF($V$9&lt;&gt;"",$V$9,IF($V$8&lt;&gt;"",$V$8,IF($V$7&lt;&gt;"",$V$7,$V$6)))</f>
        <v>2022</v>
      </c>
      <c r="AA6" s="325" t="s">
        <v>83</v>
      </c>
      <c r="AB6" s="326" t="s">
        <v>2749</v>
      </c>
      <c r="AC6" s="326" t="s">
        <v>3111</v>
      </c>
      <c r="AD6" s="327" t="s">
        <v>1995</v>
      </c>
      <c r="AE6" s="319" t="s">
        <v>2176</v>
      </c>
      <c r="AF6" t="e">
        <f>INDEX('Master Data-C19RM'!$AA$3:$AA$44,MATCH(AG6,'Master Data-C19RM'!$AB$3:$AB$44,0),)</f>
        <v>#N/A</v>
      </c>
      <c r="AG6" t="e" cm="1">
        <f t="array" ref="AG6">INDEX('Master Data-C19RM'!$AB$3:$AB$44,MATCH(0,INDEX(COUNTIF($AG$2:AG5,'Master Data-C19RM'!$AB$3:$AB$44),),0))</f>
        <v>#N/A</v>
      </c>
      <c r="AI6" t="s">
        <v>83</v>
      </c>
      <c r="AJ6" t="s">
        <v>2749</v>
      </c>
      <c r="AK6" t="s">
        <v>3119</v>
      </c>
      <c r="AO6" t="s">
        <v>3134</v>
      </c>
      <c r="AP6" t="s">
        <v>620</v>
      </c>
    </row>
    <row r="7" spans="1:42" ht="15" thickBot="1" x14ac:dyDescent="0.4">
      <c r="A7" t="s">
        <v>158</v>
      </c>
      <c r="B7">
        <v>1</v>
      </c>
      <c r="D7" s="1405"/>
      <c r="E7" s="224" t="s">
        <v>687</v>
      </c>
      <c r="H7" t="s">
        <v>3079</v>
      </c>
      <c r="N7" s="86" t="str">
        <f t="shared" si="0"/>
        <v>Apr22 - Jun22</v>
      </c>
      <c r="O7">
        <f t="shared" si="1"/>
        <v>6</v>
      </c>
      <c r="P7">
        <v>6</v>
      </c>
      <c r="Q7" t="str">
        <f>IF(OR(MONTH(IMP_ST_DATE)=3,MONTH(IMP_ST_DATE)=6,MONTH(IMP_ST_DATE)=9),(TEXT(EDATE(IMP_ST_DATE,16),"MMM")&amp;TEXT((EDATE(IMP_ST_DATE,16)),"YY")&amp;" - "&amp;TEXT(EDATE(IMP_ST_DATE,18),"MMM")&amp;TEXT((EDATE(IMP_ST_DATE,18)),"YY")),IF(OR(MONTH(IMP_ST_DATE)=2,MONTH(IMP_ST_DATE)=5,MONTH(IMP_ST_DATE)=8,MONTH(IMP_ST_DATE)=11),(TEXT(EDATE(IMP_ST_DATE,14),"MMM")&amp;TEXT((EDATE(IMP_ST_DATE,14)),"YY")&amp;" - "&amp;TEXT(EDATE(IMP_ST_DATE,16),"MMM")&amp;TEXT((EDATE(IMP_ST_DATE,16)),"YY")),(TEXT(EDATE(IMP_ST_DATE,15),"MMM")&amp;TEXT((EDATE(IMP_ST_DATE,15)),"YY")&amp;" - "&amp;TEXT(EDATE(IMP_ST_DATE,17),"MMM")&amp;TEXT((EDATE(IMP_ST_DATE,17)),"YY"))))</f>
        <v>Apr22 - Jun22</v>
      </c>
      <c r="R7">
        <v>18</v>
      </c>
      <c r="S7">
        <v>16</v>
      </c>
      <c r="T7">
        <v>17</v>
      </c>
      <c r="AA7" s="325" t="s">
        <v>83</v>
      </c>
      <c r="AB7" s="328" t="s">
        <v>2749</v>
      </c>
      <c r="AC7" s="328" t="s">
        <v>3111</v>
      </c>
      <c r="AD7" s="329" t="s">
        <v>750</v>
      </c>
      <c r="AE7" s="319" t="s">
        <v>2177</v>
      </c>
      <c r="AF7" t="e">
        <f>INDEX('Master Data-C19RM'!$AA$3:$AA$44,MATCH(AG7,'Master Data-C19RM'!$AB$3:$AB$44,0),)</f>
        <v>#N/A</v>
      </c>
      <c r="AG7" t="e" cm="1">
        <f t="array" ref="AG7">INDEX('Master Data-C19RM'!$AB$3:$AB$44,MATCH(0,INDEX(COUNTIF($AG$2:AG6,'Master Data-C19RM'!$AB$3:$AB$44),),0))</f>
        <v>#N/A</v>
      </c>
      <c r="AI7" t="s">
        <v>83</v>
      </c>
      <c r="AJ7" t="s">
        <v>2749</v>
      </c>
      <c r="AK7" t="s">
        <v>3134</v>
      </c>
      <c r="AO7" t="s">
        <v>3137</v>
      </c>
      <c r="AP7" t="s">
        <v>621</v>
      </c>
    </row>
    <row r="8" spans="1:42" ht="15" thickBot="1" x14ac:dyDescent="0.4">
      <c r="A8" t="s">
        <v>611</v>
      </c>
      <c r="B8">
        <v>1</v>
      </c>
      <c r="D8" s="225" t="s">
        <v>97</v>
      </c>
      <c r="E8" s="225" t="s">
        <v>2665</v>
      </c>
      <c r="H8" t="s">
        <v>3080</v>
      </c>
      <c r="J8" t="s">
        <v>3781</v>
      </c>
      <c r="N8" s="86" t="str">
        <f t="shared" si="0"/>
        <v>Jul22 - Sep22</v>
      </c>
      <c r="O8">
        <f t="shared" si="1"/>
        <v>7</v>
      </c>
      <c r="P8">
        <v>7</v>
      </c>
      <c r="Q8" t="str">
        <f>IF(OR(MONTH(IMP_ST_DATE)=3,MONTH(IMP_ST_DATE)=6,MONTH(IMP_ST_DATE)=9),(TEXT(EDATE(IMP_ST_DATE,19),"MMM")&amp;TEXT((EDATE(IMP_ST_DATE,19)),"YY")&amp;" - "&amp;TEXT(EDATE(IMP_ST_DATE,21),"MMM")&amp;TEXT((EDATE(IMP_ST_DATE,21)),"YY")),IF(OR(MONTH(IMP_ST_DATE)=2,MONTH(IMP_ST_DATE)=5,MONTH(IMP_ST_DATE)=8,MONTH(IMP_ST_DATE)=11),(TEXT(EDATE(IMP_ST_DATE,17),"MMM")&amp;TEXT((EDATE(IMP_ST_DATE,17)),"YY")&amp;" - "&amp;TEXT(EDATE(IMP_ST_DATE,19),"MMM")&amp;TEXT((EDATE(IMP_ST_DATE,19)),"YY")),(TEXT(EDATE(IMP_ST_DATE,18),"MMM")&amp;TEXT((EDATE(IMP_ST_DATE,18)),"YY")&amp;" - "&amp;TEXT(EDATE(IMP_ST_DATE,20),"MMM")&amp;TEXT((EDATE(IMP_ST_DATE,20)),"YY"))))</f>
        <v>Jul22 - Sep22</v>
      </c>
      <c r="R8">
        <v>21</v>
      </c>
      <c r="S8">
        <v>19</v>
      </c>
      <c r="T8">
        <v>20</v>
      </c>
      <c r="AA8" s="325" t="s">
        <v>83</v>
      </c>
      <c r="AB8" s="326" t="s">
        <v>2749</v>
      </c>
      <c r="AC8" s="326" t="s">
        <v>3111</v>
      </c>
      <c r="AD8" s="327" t="s">
        <v>622</v>
      </c>
      <c r="AE8" s="319" t="s">
        <v>2178</v>
      </c>
      <c r="AF8" t="e">
        <f>INDEX('Master Data-C19RM'!$AA$3:$AA$44,MATCH(AG8,'Master Data-C19RM'!$AB$3:$AB$44,0),)</f>
        <v>#N/A</v>
      </c>
      <c r="AG8" t="e" cm="1">
        <f t="array" ref="AG8">INDEX('Master Data-C19RM'!$AB$3:$AB$44,MATCH(0,INDEX(COUNTIF($AG$2:AG7,'Master Data-C19RM'!$AB$3:$AB$44),),0))</f>
        <v>#N/A</v>
      </c>
      <c r="AI8" t="s">
        <v>83</v>
      </c>
      <c r="AJ8" t="s">
        <v>2749</v>
      </c>
      <c r="AK8" t="s">
        <v>3137</v>
      </c>
      <c r="AO8" t="s">
        <v>3141</v>
      </c>
      <c r="AP8" t="s">
        <v>750</v>
      </c>
    </row>
    <row r="9" spans="1:42" ht="14.5" customHeight="1" thickBot="1" x14ac:dyDescent="0.4">
      <c r="A9" t="s">
        <v>160</v>
      </c>
      <c r="B9">
        <v>1</v>
      </c>
      <c r="D9" s="225" t="s">
        <v>688</v>
      </c>
      <c r="E9" s="225" t="s">
        <v>689</v>
      </c>
      <c r="H9" t="s">
        <v>3081</v>
      </c>
      <c r="J9" t="s">
        <v>3789</v>
      </c>
      <c r="N9" s="86" t="str">
        <f t="shared" si="0"/>
        <v>Oct22 - Dec22</v>
      </c>
      <c r="O9">
        <f t="shared" si="1"/>
        <v>8</v>
      </c>
      <c r="P9">
        <v>8</v>
      </c>
      <c r="Q9" t="str">
        <f>IF(OR(MONTH(IMP_ST_DATE)=3,MONTH(IMP_ST_DATE)=6,MONTH(IMP_ST_DATE)=9),(TEXT(EDATE(IMP_ST_DATE,22),"MMM")&amp;TEXT((EDATE(IMP_ST_DATE,22)),"YY")&amp;" - "&amp;TEXT(EDATE(IMP_ST_DATE,24),"MMM")&amp;TEXT((EDATE(IMP_ST_DATE,24)),"YY")),IF(OR(MONTH(IMP_ST_DATE)=2,MONTH(IMP_ST_DATE)=5,MONTH(IMP_ST_DATE)=8,MONTH(IMP_ST_DATE)=11),(TEXT(EDATE(IMP_ST_DATE,20),"MMM")&amp;TEXT((EDATE(IMP_ST_DATE,20)),"YY")&amp;" - "&amp;TEXT(EDATE(IMP_ST_DATE,22),"MMM")&amp;TEXT((EDATE(IMP_ST_DATE,22)),"YY")),(TEXT(EDATE(IMP_ST_DATE,21),"MMM")&amp;TEXT((EDATE(IMP_ST_DATE,21)),"YY")&amp;" - "&amp;TEXT(EDATE(IMP_ST_DATE,23),"MMM")&amp;TEXT((EDATE(IMP_ST_DATE,23)),"YY"))))</f>
        <v>Oct22 - Dec22</v>
      </c>
      <c r="R9">
        <v>24</v>
      </c>
      <c r="S9">
        <v>22</v>
      </c>
      <c r="T9">
        <v>23</v>
      </c>
      <c r="V9" t="str">
        <f>IF(O9&lt;&gt;"",TEXT(IF(OR(MONTH(IMP_ST_DATE)=3,MONTH(IMP_ST_DATE)=6,MONTH(IMP_ST_DATE)=9),(TEXT(EDATE(IMP_ST_DATE,24),"MMM")&amp;TEXT((EDATE(IMP_ST_DATE,24)),"YY")),IF(OR(MONTH(IMP_ST_DATE)=2,MONTH(IMP_ST_DATE)=5,MONTH(IMP_ST_DATE)=8,MONTH(IMP_ST_DATE)=11),(TEXT(EDATE(IMP_ST_DATE,22),"MMM")&amp;TEXT((EDATE(IMP_ST_DATE,22)),"YY")),(TEXT(EDATE(IMP_ST_DATE,23),"MMM")&amp;TEXT((EDATE(IMP_ST_DATE,23)),"YY")))),"YYYY"),"")</f>
        <v>2022</v>
      </c>
      <c r="AA9" s="325" t="s">
        <v>83</v>
      </c>
      <c r="AB9" s="328" t="s">
        <v>2749</v>
      </c>
      <c r="AC9" s="328" t="s">
        <v>3111</v>
      </c>
      <c r="AD9" s="329" t="s">
        <v>751</v>
      </c>
      <c r="AE9" s="319" t="s">
        <v>2179</v>
      </c>
      <c r="AF9" t="e">
        <f>INDEX('Master Data-C19RM'!$AA$3:$AA$44,MATCH(AG9,'Master Data-C19RM'!$AB$3:$AB$44,0),)</f>
        <v>#N/A</v>
      </c>
      <c r="AG9" t="e" cm="1">
        <f t="array" ref="AG9">INDEX('Master Data-C19RM'!$AB$3:$AB$44,MATCH(0,INDEX(COUNTIF($AG$2:AG8,'Master Data-C19RM'!$AB$3:$AB$44),),0))</f>
        <v>#N/A</v>
      </c>
      <c r="AI9" t="s">
        <v>83</v>
      </c>
      <c r="AJ9" t="s">
        <v>2749</v>
      </c>
      <c r="AK9" t="s">
        <v>3141</v>
      </c>
      <c r="AO9" t="s">
        <v>3145</v>
      </c>
      <c r="AP9" t="s">
        <v>622</v>
      </c>
    </row>
    <row r="10" spans="1:42" ht="15" thickBot="1" x14ac:dyDescent="0.4">
      <c r="A10" t="s">
        <v>161</v>
      </c>
      <c r="B10">
        <v>1</v>
      </c>
      <c r="D10" s="225" t="s">
        <v>95</v>
      </c>
      <c r="E10" s="225" t="s">
        <v>690</v>
      </c>
      <c r="H10" t="s">
        <v>3082</v>
      </c>
      <c r="J10" t="s">
        <v>3670</v>
      </c>
      <c r="N10" s="86" t="str">
        <f t="shared" si="0"/>
        <v>Jan23 - Mar23</v>
      </c>
      <c r="O10">
        <f t="shared" si="1"/>
        <v>9</v>
      </c>
      <c r="P10">
        <v>9</v>
      </c>
      <c r="Q10" t="str">
        <f>IF(OR(MONTH(IMP_ST_DATE)=3,MONTH(IMP_ST_DATE)=6,MONTH(IMP_ST_DATE)=9),(TEXT(EDATE(IMP_ST_DATE,25),"MMM")&amp;TEXT((EDATE(IMP_ST_DATE,25)),"YY")&amp;" - "&amp;TEXT(EDATE(IMP_ST_DATE,27),"MMM")&amp;TEXT((EDATE(IMP_ST_DATE,27)),"YY")),IF(OR(MONTH(IMP_ST_DATE)=2,MONTH(IMP_ST_DATE)=5,MONTH(IMP_ST_DATE)=8,MONTH(IMP_ST_DATE)=11),(TEXT(EDATE(IMP_ST_DATE,23),"MMM")&amp;TEXT((EDATE(IMP_ST_DATE,23)),"YY")&amp;" - "&amp;TEXT(EDATE(IMP_ST_DATE,25),"MMM")&amp;TEXT((EDATE(IMP_ST_DATE,25)),"YY")),(TEXT(EDATE(IMP_ST_DATE,24),"MMM")&amp;TEXT((EDATE(IMP_ST_DATE,24)),"YY")&amp;" - "&amp;TEXT(EDATE(IMP_ST_DATE,26),"MMM")&amp;TEXT((EDATE(IMP_ST_DATE,26)),"YY"))))</f>
        <v>Jan23 - Mar23</v>
      </c>
      <c r="R10">
        <v>27</v>
      </c>
      <c r="S10">
        <v>25</v>
      </c>
      <c r="T10">
        <v>26</v>
      </c>
      <c r="U10" t="str">
        <f>TEXT(IF(OR(MONTH(IMP_ST_DATE)=3,MONTH(IMP_ST_DATE)=6,MONTH(IMP_ST_DATE)=9),(TEXT(EDATE(IMP_ST_DATE,25),"MMM")&amp;TEXT((EDATE(IMP_ST_DATE,25)),"YY")),IF(OR(MONTH(IMP_ST_DATE)=2,MONTH(IMP_ST_DATE)=5,MONTH(IMP_ST_DATE)=8,MONTH(IMP_ST_DATE)=11),(TEXT(EDATE(IMP_ST_DATE,23),"MMM")&amp;TEXT((EDATE(IMP_ST_DATE,23)),"YY")),(TEXT(EDATE(IMP_ST_DATE,24),"MMM")&amp;TEXT((EDATE(IMP_ST_DATE,24)),"YY")))),"YYYY")</f>
        <v>2023</v>
      </c>
      <c r="W10" t="str">
        <f>IF($O$10&lt;&gt;"",(IF($U$10=$X$10,$U$10,(($U$10&amp;" - "&amp;$V$13)))),"")</f>
        <v>2023</v>
      </c>
      <c r="X10" t="str">
        <f>IF($V$13&lt;&gt;"",$V$13,(IF($V$12&lt;&gt;"",$V$12,(IF($V$11&lt;&gt;"",$V$11,$V$10)))))</f>
        <v>2023</v>
      </c>
      <c r="AA10" s="325" t="s">
        <v>83</v>
      </c>
      <c r="AB10" s="326" t="s">
        <v>2749</v>
      </c>
      <c r="AC10" s="326" t="s">
        <v>3119</v>
      </c>
      <c r="AD10" s="327" t="s">
        <v>619</v>
      </c>
      <c r="AE10" s="319" t="s">
        <v>2180</v>
      </c>
      <c r="AF10" t="e">
        <f>INDEX('Master Data-C19RM'!$AA$3:$AA$44,MATCH(AG10,'Master Data-C19RM'!$AB$3:$AB$44,0),)</f>
        <v>#N/A</v>
      </c>
      <c r="AG10" t="e" cm="1">
        <f t="array" ref="AG10">INDEX('Master Data-C19RM'!$AB$3:$AB$44,MATCH(0,INDEX(COUNTIF($AG$2:AG9,'Master Data-C19RM'!$AB$3:$AB$44),),0))</f>
        <v>#N/A</v>
      </c>
      <c r="AI10" t="s">
        <v>83</v>
      </c>
      <c r="AJ10" t="s">
        <v>2749</v>
      </c>
      <c r="AK10" t="s">
        <v>3145</v>
      </c>
      <c r="AP10" t="s">
        <v>751</v>
      </c>
    </row>
    <row r="11" spans="1:42" ht="15" thickBot="1" x14ac:dyDescent="0.4">
      <c r="A11" t="s">
        <v>162</v>
      </c>
      <c r="B11">
        <v>1</v>
      </c>
      <c r="D11" s="225" t="s">
        <v>113</v>
      </c>
      <c r="E11" s="225" t="s">
        <v>691</v>
      </c>
      <c r="H11" t="s">
        <v>3083</v>
      </c>
      <c r="N11" s="86" t="str">
        <f t="shared" si="0"/>
        <v>Apr23 - Jun23</v>
      </c>
      <c r="O11">
        <f t="shared" si="1"/>
        <v>10</v>
      </c>
      <c r="P11">
        <v>10</v>
      </c>
      <c r="Q11" t="str">
        <f>IF(OR(MONTH(IMP_ST_DATE)=3,MONTH(IMP_ST_DATE)=6,MONTH(IMP_ST_DATE)=9),(TEXT(EDATE(IMP_ST_DATE,28),"MMM")&amp;TEXT((EDATE(IMP_ST_DATE,28)),"YY")&amp;" - "&amp;TEXT(EDATE(IMP_ST_DATE,30),"MMM")&amp;TEXT((EDATE(IMP_ST_DATE,30)),"YY")),IF(OR(MONTH(IMP_ST_DATE)=2,MONTH(IMP_ST_DATE)=5,MONTH(IMP_ST_DATE)=8,MONTH(IMP_ST_DATE)=11),(TEXT(EDATE(IMP_ST_DATE,26),"MMM")&amp;TEXT((EDATE(IMP_ST_DATE,26)),"YY")&amp;" - "&amp;TEXT(EDATE(IMP_ST_DATE,28),"MMM")&amp;TEXT((EDATE(IMP_ST_DATE,28)),"YY")),(TEXT(EDATE(IMP_ST_DATE,27),"MMM")&amp;TEXT((EDATE(IMP_ST_DATE,27)),"YY")&amp;" - "&amp;TEXT(EDATE(IMP_ST_DATE,29),"MMM")&amp;TEXT((EDATE(IMP_ST_DATE,29)),"YY"))))</f>
        <v>Apr23 - Jun23</v>
      </c>
      <c r="R11">
        <v>30</v>
      </c>
      <c r="S11">
        <v>28</v>
      </c>
      <c r="T11">
        <v>29</v>
      </c>
      <c r="AA11" s="325" t="s">
        <v>83</v>
      </c>
      <c r="AB11" s="328" t="s">
        <v>2749</v>
      </c>
      <c r="AC11" s="328" t="s">
        <v>3119</v>
      </c>
      <c r="AD11" s="329" t="s">
        <v>3118</v>
      </c>
      <c r="AE11" s="319" t="s">
        <v>2181</v>
      </c>
      <c r="AF11" t="e">
        <f>INDEX('Master Data-C19RM'!$AA$3:$AA$44,MATCH(AG11,'Master Data-C19RM'!$AB$3:$AB$44,0),)</f>
        <v>#N/A</v>
      </c>
      <c r="AG11" t="e" cm="1">
        <f t="array" ref="AG11">INDEX('Master Data-C19RM'!$AB$3:$AB$44,MATCH(0,INDEX(COUNTIF($AG$2:AG10,'Master Data-C19RM'!$AB$3:$AB$44),),0))</f>
        <v>#N/A</v>
      </c>
    </row>
    <row r="12" spans="1:42" ht="15" thickBot="1" x14ac:dyDescent="0.4">
      <c r="A12" t="s">
        <v>163</v>
      </c>
      <c r="B12">
        <v>1</v>
      </c>
      <c r="D12" s="225" t="s">
        <v>87</v>
      </c>
      <c r="E12" s="225" t="s">
        <v>124</v>
      </c>
      <c r="H12" t="s">
        <v>3084</v>
      </c>
      <c r="N12" s="86" t="str">
        <f t="shared" si="0"/>
        <v>Jul23 - Sep23</v>
      </c>
      <c r="O12">
        <f t="shared" si="1"/>
        <v>11</v>
      </c>
      <c r="P12">
        <v>11</v>
      </c>
      <c r="Q12" t="str">
        <f>IF(OR(MONTH(IMP_ST_DATE)=3,MONTH(IMP_ST_DATE)=6,MONTH(IMP_ST_DATE)=9),(TEXT(EDATE(IMP_ST_DATE,31),"MMM")&amp;TEXT((EDATE(IMP_ST_DATE,31)),"YY")&amp;" - "&amp;TEXT(EDATE(IMP_ST_DATE,33),"MMM")&amp;TEXT((EDATE(IMP_ST_DATE,33)),"YY")),IF(OR(MONTH(IMP_ST_DATE)=2,MONTH(IMP_ST_DATE)=5,MONTH(IMP_ST_DATE)=8,MONTH(IMP_ST_DATE)=11),(TEXT(EDATE(IMP_ST_DATE,29),"MMM")&amp;TEXT((EDATE(IMP_ST_DATE,29)),"YY")&amp;" - "&amp;TEXT(EDATE(IMP_ST_DATE,31),"MMM")&amp;TEXT((EDATE(IMP_ST_DATE,31)),"YY")),(TEXT(EDATE(IMP_ST_DATE,30),"MMM")&amp;TEXT((EDATE(IMP_ST_DATE,30)),"YY")&amp;" - "&amp;TEXT(EDATE(IMP_ST_DATE,32),"MMM")&amp;TEXT((EDATE(IMP_ST_DATE,32)),"YY"))))</f>
        <v>Jul23 - Sep23</v>
      </c>
      <c r="R12">
        <v>33</v>
      </c>
      <c r="S12">
        <v>31</v>
      </c>
      <c r="T12">
        <v>32</v>
      </c>
      <c r="AA12" s="325" t="s">
        <v>83</v>
      </c>
      <c r="AB12" s="326" t="s">
        <v>2749</v>
      </c>
      <c r="AC12" s="326" t="s">
        <v>3119</v>
      </c>
      <c r="AD12" s="327" t="s">
        <v>620</v>
      </c>
      <c r="AE12" s="319" t="s">
        <v>2182</v>
      </c>
      <c r="AF12" t="e">
        <f>INDEX('Master Data-C19RM'!$AA$3:$AA$44,MATCH(AG12,'Master Data-C19RM'!$AB$3:$AB$44,0),)</f>
        <v>#N/A</v>
      </c>
      <c r="AG12" t="e" cm="1">
        <f t="array" ref="AG12">INDEX('Master Data-C19RM'!$AB$3:$AB$44,MATCH(0,INDEX(COUNTIF($AG$2:AG11,'Master Data-C19RM'!$AB$3:$AB$44),),0))</f>
        <v>#N/A</v>
      </c>
    </row>
    <row r="13" spans="1:42" ht="15" thickBot="1" x14ac:dyDescent="0.4">
      <c r="A13" t="s">
        <v>164</v>
      </c>
      <c r="B13">
        <v>1</v>
      </c>
      <c r="D13" s="225" t="s">
        <v>91</v>
      </c>
      <c r="E13" s="225" t="s">
        <v>91</v>
      </c>
      <c r="H13" t="s">
        <v>3085</v>
      </c>
      <c r="N13" s="86" t="str">
        <f>IF(O13="","-",Q13)</f>
        <v>Oct23 - Dec23</v>
      </c>
      <c r="O13">
        <f t="shared" si="1"/>
        <v>12</v>
      </c>
      <c r="P13">
        <v>12</v>
      </c>
      <c r="Q13" t="str">
        <f>IF(OR(MONTH(IMP_ST_DATE)=3,MONTH(IMP_ST_DATE)=6,MONTH(IMP_ST_DATE)=9),(TEXT(EDATE(IMP_ST_DATE,34),"MMM")&amp;TEXT((EDATE(IMP_ST_DATE,34)),"YY")&amp;" - "&amp;TEXT(EDATE(IMP_ST_DATE,36),"MMM")&amp;TEXT((EDATE(IMP_ST_DATE,36)),"YY")),IF(OR(MONTH(IMP_ST_DATE)=2,MONTH(IMP_ST_DATE)=5,MONTH(IMP_ST_DATE)=8,MONTH(IMP_ST_DATE)=11),(TEXT(EDATE(IMP_ST_DATE,32),"MMM")&amp;TEXT((EDATE(IMP_ST_DATE,32)),"YY")&amp;" - "&amp;TEXT(EDATE(IMP_ST_DATE,34),"MMM")&amp;TEXT((EDATE(IMP_ST_DATE,34)),"YY")),(TEXT(EDATE(IMP_ST_DATE,33),"MMM")&amp;TEXT((EDATE(IMP_ST_DATE,33)),"YY")&amp;" - "&amp;TEXT(EDATE(IMP_ST_DATE,35),"MMM")&amp;TEXT((EDATE(IMP_ST_DATE,35)),"YY"))))</f>
        <v>Oct23 - Dec23</v>
      </c>
      <c r="R13">
        <v>36</v>
      </c>
      <c r="S13">
        <v>34</v>
      </c>
      <c r="T13">
        <v>35</v>
      </c>
      <c r="V13" t="str">
        <f>IF(O13&lt;&gt;"",TEXT(IF(OR(MONTH(IMP_ST_DATE)=3,MONTH(IMP_ST_DATE)=6,MONTH(IMP_ST_DATE)=9),(TEXT(EDATE(IMP_ST_DATE,36),"MMM")&amp;TEXT((EDATE(IMP_ST_DATE,36)),"YY")),IF(OR(MONTH(IMP_ST_DATE)=2,MONTH(IMP_ST_DATE)=5,MONTH(IMP_ST_DATE)=8,MONTH(IMP_ST_DATE)=11),(TEXT(EDATE(IMP_ST_DATE,34),"MMM")&amp;TEXT((EDATE(IMP_ST_DATE,34)),"YY")),(TEXT(EDATE(IMP_ST_DATE,35),"MMM")&amp;TEXT((EDATE(IMP_ST_DATE,35)),"YY")))),"YYYY"),"")</f>
        <v>2023</v>
      </c>
      <c r="AA13" s="325" t="s">
        <v>83</v>
      </c>
      <c r="AB13" s="328" t="s">
        <v>2749</v>
      </c>
      <c r="AC13" s="328" t="s">
        <v>3119</v>
      </c>
      <c r="AD13" s="329" t="s">
        <v>621</v>
      </c>
      <c r="AE13" s="319" t="s">
        <v>2183</v>
      </c>
      <c r="AF13" t="e">
        <f>INDEX('Master Data-C19RM'!$AA$3:$AA$44,MATCH(AG13,'Master Data-C19RM'!$AB$3:$AB$44,0),)</f>
        <v>#N/A</v>
      </c>
      <c r="AG13" t="e" cm="1">
        <f t="array" ref="AG13">INDEX('Master Data-C19RM'!$AB$3:$AB$44,MATCH(0,INDEX(COUNTIF($AG$2:AG12,'Master Data-C19RM'!$AB$3:$AB$44),),0))</f>
        <v>#N/A</v>
      </c>
    </row>
    <row r="14" spans="1:42" ht="16.5" customHeight="1" thickBot="1" x14ac:dyDescent="0.4">
      <c r="A14" t="s">
        <v>178</v>
      </c>
      <c r="B14">
        <v>1</v>
      </c>
      <c r="D14" s="225" t="s">
        <v>93</v>
      </c>
      <c r="E14" s="225" t="s">
        <v>124</v>
      </c>
      <c r="H14" t="s">
        <v>3086</v>
      </c>
      <c r="N14" s="86" t="str">
        <f t="shared" ref="N14:N25" si="2">IF(O14="","-",Q14)</f>
        <v>Jan24 - Mar24</v>
      </c>
      <c r="O14">
        <f t="shared" si="1"/>
        <v>13</v>
      </c>
      <c r="P14">
        <v>13</v>
      </c>
      <c r="Q14" s="61" t="str">
        <f>IF(OR(MONTH(IMP_ST_DATE)=3,MONTH(IMP_ST_DATE)=6,MONTH(IMP_ST_DATE)=9),(TEXT(EDATE(IMP_ST_DATE,37),"MMM")&amp;TEXT((EDATE(IMP_ST_DATE,37)),"YY")&amp;" - "&amp;TEXT(EDATE(IMP_ST_DATE,39),"MMM")&amp;TEXT((EDATE(IMP_ST_DATE,39)),"YY")),IF(OR(MONTH(IMP_ST_DATE)=2,MONTH(IMP_ST_DATE)=5,MONTH(IMP_ST_DATE)=8,MONTH(IMP_ST_DATE)=11),(TEXT(EDATE(IMP_ST_DATE,35),"MMM")&amp;TEXT((EDATE(IMP_ST_DATE,35)),"YY")&amp;" - "&amp;TEXT(EDATE(IMP_ST_DATE,37),"MMM")&amp;TEXT((EDATE(IMP_ST_DATE,37)),"YY")),(TEXT(EDATE(IMP_ST_DATE,36),"MMM")&amp;TEXT((EDATE(IMP_ST_DATE,36)),"YY")&amp;" - "&amp;TEXT(EDATE(IMP_ST_DATE,38),"MMM")&amp;TEXT((EDATE(IMP_ST_DATE,38)),"YY"))))</f>
        <v>Jan24 - Mar24</v>
      </c>
      <c r="R14">
        <v>39</v>
      </c>
      <c r="S14">
        <v>37</v>
      </c>
      <c r="T14">
        <v>38</v>
      </c>
      <c r="U14" t="str">
        <f>TEXT(IF(OR(MONTH(IMP_ST_DATE)=3,MONTH(IMP_ST_DATE)=6,MONTH(IMP_ST_DATE)=9),(TEXT(EDATE(IMP_ST_DATE,37),"MMM")&amp;TEXT((EDATE(IMP_ST_DATE,37)),"YY")),IF(OR(MONTH(IMP_ST_DATE)=2,MONTH(IMP_ST_DATE)=5,MONTH(IMP_ST_DATE)=8,MONTH(IMP_ST_DATE)=11),(TEXT(EDATE(IMP_ST_DATE,35),"MMM")&amp;TEXT((EDATE(IMP_ST_DATE,35)),"YY")),(TEXT(EDATE(IMP_ST_DATE,36),"MMM")&amp;TEXT((EDATE(IMP_ST_DATE,36)),"YY")))),"YYYY")</f>
        <v>2024</v>
      </c>
      <c r="W14" t="str">
        <f>IF($O$14&lt;&gt;"",(IF($U$14=$X$14,$U$14,(($U$14&amp;" - "&amp;$V$17)))),"")</f>
        <v>2024</v>
      </c>
      <c r="X14" t="str">
        <f>IF($V$17&lt;&gt;"",$V$17,IF($V$16&lt;&gt;"",$V$16,IF($V$15&lt;&gt;"",$V$15,$V$14)))</f>
        <v>2024</v>
      </c>
      <c r="AA14" s="325" t="s">
        <v>83</v>
      </c>
      <c r="AB14" s="326" t="s">
        <v>2749</v>
      </c>
      <c r="AC14" s="326" t="s">
        <v>3119</v>
      </c>
      <c r="AD14" s="327" t="s">
        <v>750</v>
      </c>
      <c r="AE14" s="319" t="s">
        <v>2184</v>
      </c>
      <c r="AF14" t="e">
        <f>INDEX('Master Data-C19RM'!$AA$3:$AA$44,MATCH(AG14,'Master Data-C19RM'!$AB$3:$AB$44,0),)</f>
        <v>#N/A</v>
      </c>
      <c r="AG14" t="e" cm="1">
        <f t="array" ref="AG14">INDEX('Master Data-C19RM'!$AB$3:$AB$44,MATCH(0,INDEX(COUNTIF($AG$2:AG13,'Master Data-C19RM'!$AB$3:$AB$44),),0))</f>
        <v>#N/A</v>
      </c>
    </row>
    <row r="15" spans="1:42" ht="18.5" customHeight="1" thickBot="1" x14ac:dyDescent="0.4">
      <c r="A15" t="s">
        <v>150</v>
      </c>
      <c r="B15">
        <v>1</v>
      </c>
      <c r="D15" s="225" t="s">
        <v>101</v>
      </c>
      <c r="E15" s="225" t="s">
        <v>101</v>
      </c>
      <c r="N15" s="86" t="str">
        <f t="shared" si="2"/>
        <v>Apr24 - Jun24</v>
      </c>
      <c r="O15">
        <f t="shared" si="1"/>
        <v>14</v>
      </c>
      <c r="P15">
        <v>14</v>
      </c>
      <c r="Q15" s="61" t="str">
        <f>IF(OR(MONTH(IMP_ST_DATE)=3,MONTH(IMP_ST_DATE)=6,MONTH(IMP_ST_DATE)=9),(TEXT(EDATE(IMP_ST_DATE,40),"MMM")&amp;TEXT((EDATE(IMP_ST_DATE,40)),"YY")&amp;" - "&amp;TEXT(EDATE(IMP_ST_DATE,42),"MMM")&amp;TEXT((EDATE(IMP_ST_DATE,42)),"YY")),IF(OR(MONTH(IMP_ST_DATE)=2,MONTH(IMP_ST_DATE)=5,MONTH(IMP_ST_DATE)=8,MONTH(IMP_ST_DATE)=11),(TEXT(EDATE(IMP_ST_DATE,38),"MMM")&amp;TEXT((EDATE(IMP_ST_DATE,38)),"YY")&amp;" - "&amp;TEXT(EDATE(IMP_ST_DATE,40),"MMM")&amp;TEXT((EDATE(IMP_ST_DATE,40)),"YY")),(TEXT(EDATE(IMP_ST_DATE,39),"MMM")&amp;TEXT((EDATE(IMP_ST_DATE,39)),"YY")&amp;" - "&amp;TEXT(EDATE(IMP_ST_DATE,41),"MMM")&amp;TEXT((EDATE(IMP_ST_DATE,41)),"YY"))))</f>
        <v>Apr24 - Jun24</v>
      </c>
      <c r="R15">
        <v>42</v>
      </c>
      <c r="S15">
        <v>40</v>
      </c>
      <c r="T15">
        <v>41</v>
      </c>
      <c r="AA15" s="325" t="s">
        <v>83</v>
      </c>
      <c r="AB15" s="328" t="s">
        <v>2749</v>
      </c>
      <c r="AC15" s="328" t="s">
        <v>3119</v>
      </c>
      <c r="AD15" s="329" t="s">
        <v>622</v>
      </c>
      <c r="AE15" s="319" t="s">
        <v>2185</v>
      </c>
      <c r="AF15" t="e">
        <f>INDEX('Master Data-C19RM'!$AA$3:$AA$44,MATCH(AG15,'Master Data-C19RM'!$AB$3:$AB$44,0),)</f>
        <v>#N/A</v>
      </c>
      <c r="AG15" t="e" cm="1">
        <f t="array" ref="AG15">INDEX('Master Data-C19RM'!$AB$3:$AB$44,MATCH(0,INDEX(COUNTIF($AG$2:AG14,'Master Data-C19RM'!$AB$3:$AB$44),),0))</f>
        <v>#N/A</v>
      </c>
    </row>
    <row r="16" spans="1:42" ht="16.5" customHeight="1" thickBot="1" x14ac:dyDescent="0.4">
      <c r="A16" t="s">
        <v>151</v>
      </c>
      <c r="B16">
        <v>1</v>
      </c>
      <c r="D16" s="225" t="s">
        <v>102</v>
      </c>
      <c r="E16" s="225" t="s">
        <v>692</v>
      </c>
      <c r="N16" s="86" t="str">
        <f t="shared" si="2"/>
        <v>Jul24 - Sep24</v>
      </c>
      <c r="O16">
        <f t="shared" si="1"/>
        <v>15</v>
      </c>
      <c r="P16">
        <v>15</v>
      </c>
      <c r="Q16" s="61" t="str">
        <f>IF(OR(MONTH(IMP_ST_DATE)=3,MONTH(IMP_ST_DATE)=6,MONTH(IMP_ST_DATE)=9),(TEXT(EDATE(IMP_ST_DATE,43),"MMM")&amp;TEXT((EDATE(IMP_ST_DATE,43)),"YY")&amp;" - "&amp;TEXT(EDATE(IMP_ST_DATE,45),"MMM")&amp;TEXT((EDATE(IMP_ST_DATE,45)),"YY")),IF(OR(MONTH(IMP_ST_DATE)=2,MONTH(IMP_ST_DATE)=5,MONTH(IMP_ST_DATE)=8,MONTH(IMP_ST_DATE)=11),(TEXT(EDATE(IMP_ST_DATE,41),"MMM")&amp;TEXT((EDATE(IMP_ST_DATE,41)),"YY")&amp;" - "&amp;TEXT(EDATE(IMP_ST_DATE,43),"MMM")&amp;TEXT((EDATE(IMP_ST_DATE,43)),"YY")),(TEXT(EDATE(IMP_ST_DATE,42),"MMM")&amp;TEXT((EDATE(IMP_ST_DATE,42)),"YY")&amp;" - "&amp;TEXT(EDATE(IMP_ST_DATE,44),"MMM")&amp;TEXT((EDATE(IMP_ST_DATE,44)),"YY"))))</f>
        <v>Jul24 - Sep24</v>
      </c>
      <c r="R16">
        <v>45</v>
      </c>
      <c r="S16">
        <v>43</v>
      </c>
      <c r="T16">
        <v>44</v>
      </c>
      <c r="AA16" s="325" t="s">
        <v>83</v>
      </c>
      <c r="AB16" s="326" t="s">
        <v>2749</v>
      </c>
      <c r="AC16" s="326" t="s">
        <v>3119</v>
      </c>
      <c r="AD16" s="327" t="s">
        <v>751</v>
      </c>
      <c r="AE16" s="319" t="s">
        <v>2186</v>
      </c>
      <c r="AF16" t="e">
        <f>INDEX('Master Data-C19RM'!$AA$3:$AA$44,MATCH(AG16,'Master Data-C19RM'!$AB$3:$AB$44,0),)</f>
        <v>#N/A</v>
      </c>
      <c r="AG16" t="e" cm="1">
        <f t="array" ref="AG16">INDEX('Master Data-C19RM'!$AB$3:$AB$44,MATCH(0,INDEX(COUNTIF($AG$2:AG15,'Master Data-C19RM'!$AB$3:$AB$44),),0))</f>
        <v>#N/A</v>
      </c>
    </row>
    <row r="17" spans="1:33" ht="17.5" customHeight="1" thickBot="1" x14ac:dyDescent="0.4">
      <c r="A17" t="s">
        <v>152</v>
      </c>
      <c r="B17">
        <v>1</v>
      </c>
      <c r="D17" s="225" t="s">
        <v>98</v>
      </c>
      <c r="E17" s="225" t="s">
        <v>693</v>
      </c>
      <c r="N17" s="86" t="str">
        <f t="shared" si="2"/>
        <v>Oct24 - Dec24</v>
      </c>
      <c r="O17">
        <f t="shared" si="1"/>
        <v>16</v>
      </c>
      <c r="P17">
        <v>16</v>
      </c>
      <c r="Q17" s="61" t="str">
        <f>IF(OR(MONTH(IMP_ST_DATE)=3,MONTH(IMP_ST_DATE)=6,MONTH(IMP_ST_DATE)=9),(TEXT(EDATE(IMP_ST_DATE,46),"MMM")&amp;TEXT((EDATE(IMP_ST_DATE,46)),"YY")&amp;" - "&amp;TEXT(EDATE(IMP_ST_DATE,48),"MMM")&amp;TEXT((EDATE(IMP_ST_DATE,48)),"YY")),IF(OR(MONTH(IMP_ST_DATE)=2,MONTH(IMP_ST_DATE)=5,MONTH(IMP_ST_DATE)=8,MONTH(IMP_ST_DATE)=11),(TEXT(EDATE(IMP_ST_DATE,44),"MMM")&amp;TEXT((EDATE(IMP_ST_DATE,44)),"YY")&amp;" - "&amp;TEXT(EDATE(IMP_ST_DATE,46),"MMM")&amp;TEXT((EDATE(IMP_ST_DATE,46)),"YY")),(TEXT(EDATE(IMP_ST_DATE,45),"MMM")&amp;TEXT((EDATE(IMP_ST_DATE,45)),"YY")&amp;" - "&amp;TEXT(EDATE(IMP_ST_DATE,47),"MMM")&amp;TEXT((EDATE(IMP_ST_DATE,47)),"YY"))))</f>
        <v>Oct24 - Dec24</v>
      </c>
      <c r="R17">
        <v>48</v>
      </c>
      <c r="S17">
        <v>46</v>
      </c>
      <c r="T17">
        <v>47</v>
      </c>
      <c r="V17" t="str">
        <f>IF(O17&lt;&gt;"",TEXT(IF(OR(MONTH(IMP_ST_DATE)=3,MONTH(IMP_ST_DATE)=6,MONTH(IMP_ST_DATE)=9),(TEXT(EDATE(IMP_ST_DATE,48),"MMM")&amp;TEXT((EDATE(IMP_ST_DATE,48)),"YY")),IF(OR(MONTH(IMP_ST_DATE)=2,MONTH(IMP_ST_DATE)=5,MONTH(IMP_ST_DATE)=8,MONTH(IMP_ST_DATE)=11),(TEXT(EDATE(IMP_ST_DATE,46),"MMM")&amp;TEXT((EDATE(IMP_ST_DATE,46)),"YY")),(TEXT(EDATE(IMP_ST_DATE,47),"MMM")&amp;TEXT((EDATE(IMP_ST_DATE,47)),"YY")))),"YYYY"),"")</f>
        <v>2024</v>
      </c>
      <c r="AA17" s="325" t="s">
        <v>83</v>
      </c>
      <c r="AB17" s="328" t="s">
        <v>2749</v>
      </c>
      <c r="AC17" s="328" t="s">
        <v>3134</v>
      </c>
      <c r="AD17" s="329" t="s">
        <v>619</v>
      </c>
      <c r="AE17" s="319" t="s">
        <v>2187</v>
      </c>
      <c r="AF17" t="e">
        <f>INDEX('Master Data-C19RM'!$AA$3:$AA$44,MATCH(AG17,'Master Data-C19RM'!$AB$3:$AB$44,0),)</f>
        <v>#N/A</v>
      </c>
      <c r="AG17" t="e" cm="1">
        <f t="array" ref="AG17">INDEX('Master Data-C19RM'!$AB$3:$AB$44,MATCH(0,INDEX(COUNTIF($AG$2:AG16,'Master Data-C19RM'!$AB$3:$AB$44),),0))</f>
        <v>#N/A</v>
      </c>
    </row>
    <row r="18" spans="1:33" ht="14.5" customHeight="1" thickBot="1" x14ac:dyDescent="0.4">
      <c r="A18" t="s">
        <v>154</v>
      </c>
      <c r="B18">
        <v>1</v>
      </c>
      <c r="D18" s="225" t="s">
        <v>100</v>
      </c>
      <c r="E18" s="225" t="s">
        <v>694</v>
      </c>
      <c r="N18" t="str">
        <f t="shared" si="2"/>
        <v>Jan25 - Mar25</v>
      </c>
      <c r="O18">
        <f t="shared" si="1"/>
        <v>17</v>
      </c>
      <c r="P18">
        <v>17</v>
      </c>
      <c r="Q18" s="61" t="str">
        <f>IF(OR(MONTH(IMP_ST_DATE)=3,MONTH(IMP_ST_DATE)=6,MONTH(IMP_ST_DATE)=9),(TEXT(EDATE(IMP_ST_DATE,49),"MMM")&amp;TEXT((EDATE(IMP_ST_DATE,49)),"YY")&amp;" - "&amp;TEXT(EDATE(IMP_ST_DATE,51),"MMM")&amp;TEXT((EDATE(IMP_ST_DATE,51)),"YY")),IF(OR(MONTH(IMP_ST_DATE)=2,MONTH(IMP_ST_DATE)=5,MONTH(IMP_ST_DATE)=8,MONTH(IMP_ST_DATE)=11),(TEXT(EDATE(IMP_ST_DATE,47),"MMM")&amp;TEXT((EDATE(IMP_ST_DATE,47)),"YY")&amp;" - "&amp;TEXT(EDATE(IMP_ST_DATE,49),"MMM")&amp;TEXT((EDATE(IMP_ST_DATE,49)),"YY")),(TEXT(EDATE(IMP_ST_DATE,48),"MMM")&amp;TEXT((EDATE(IMP_ST_DATE,48)),"YY")&amp;" - "&amp;TEXT(EDATE(IMP_ST_DATE,50),"MMM")&amp;TEXT((EDATE(IMP_ST_DATE,50)),"YY"))))</f>
        <v>Jan25 - Mar25</v>
      </c>
      <c r="R18">
        <v>51</v>
      </c>
      <c r="S18">
        <v>49</v>
      </c>
      <c r="T18">
        <v>50</v>
      </c>
      <c r="U18" t="str">
        <f>TEXT(IF(OR(MONTH(IMP_ST_DATE)=3,MONTH(IMP_ST_DATE)=6,MONTH(IMP_ST_DATE)=9),(TEXT(EDATE(IMP_ST_DATE,49),"MMM")&amp;TEXT((EDATE(IMP_ST_DATE,49)),"YY")),IF(OR(MONTH(IMP_ST_DATE)=2,MONTH(IMP_ST_DATE)=5,MONTH(IMP_ST_DATE)=8,MONTH(IMP_ST_DATE)=11),(TEXT(EDATE(IMP_ST_DATE,47),"MMM")&amp;TEXT((EDATE(IMP_ST_DATE,47)),"YY")),(TEXT(EDATE(IMP_ST_DATE,48),"MMM")&amp;TEXT((EDATE(IMP_ST_DATE,48)),"YY")))),"YYYY")</f>
        <v>2025</v>
      </c>
      <c r="W18" t="str">
        <f>IF($O$18&lt;&gt;"",(IF($U$18=$X$18,$U$18,(($U$18&amp;" - "&amp;$V$21)))),"")</f>
        <v>2025</v>
      </c>
      <c r="X18" t="str">
        <f>IF($V$21&lt;&gt;"",$V$21,IF($V$20&lt;&gt;"",$V$20,IF($V$19&lt;&gt;"",$V$19,$V$18)))</f>
        <v>2025</v>
      </c>
      <c r="AA18" s="325" t="s">
        <v>83</v>
      </c>
      <c r="AB18" s="326" t="s">
        <v>2749</v>
      </c>
      <c r="AC18" s="326" t="s">
        <v>3134</v>
      </c>
      <c r="AD18" s="327" t="s">
        <v>3118</v>
      </c>
      <c r="AE18" s="319" t="s">
        <v>2188</v>
      </c>
      <c r="AF18" t="e">
        <f>INDEX('Master Data-C19RM'!$AA$3:$AA$44,MATCH(AG18,'Master Data-C19RM'!$AB$3:$AB$44,0),)</f>
        <v>#N/A</v>
      </c>
      <c r="AG18" t="e" cm="1">
        <f t="array" ref="AG18">INDEX('Master Data-C19RM'!$AB$3:$AB$44,MATCH(0,INDEX(COUNTIF($AG$2:AG17,'Master Data-C19RM'!$AB$3:$AB$44),),0))</f>
        <v>#N/A</v>
      </c>
    </row>
    <row r="19" spans="1:33" ht="15.5" customHeight="1" x14ac:dyDescent="0.35">
      <c r="A19" t="s">
        <v>153</v>
      </c>
      <c r="B19">
        <v>1</v>
      </c>
      <c r="E19" s="24"/>
      <c r="N19" t="str">
        <f t="shared" si="2"/>
        <v>Apr25 - Jun25</v>
      </c>
      <c r="O19">
        <f t="shared" si="1"/>
        <v>18</v>
      </c>
      <c r="P19">
        <v>18</v>
      </c>
      <c r="Q19" s="61" t="str">
        <f>IF(OR(MONTH(IMP_ST_DATE)=3,MONTH(IMP_ST_DATE)=6,MONTH(IMP_ST_DATE)=9),(TEXT(EDATE(IMP_ST_DATE,52),"MMM")&amp;TEXT((EDATE(IMP_ST_DATE,52)),"YY")&amp;" - "&amp;TEXT(EDATE(IMP_ST_DATE,54),"MMM")&amp;TEXT((EDATE(IMP_ST_DATE,54)),"YY")),IF(OR(MONTH(IMP_ST_DATE)=2,MONTH(IMP_ST_DATE)=5,MONTH(IMP_ST_DATE)=8,MONTH(IMP_ST_DATE)=11),(TEXT(EDATE(IMP_ST_DATE,50),"MMM")&amp;TEXT((EDATE(IMP_ST_DATE,50)),"YY")&amp;" - "&amp;TEXT(EDATE(IMP_ST_DATE,52),"MMM")&amp;TEXT((EDATE(IMP_ST_DATE,52)),"YY")),(TEXT(EDATE(IMP_ST_DATE,51),"MMM")&amp;TEXT((EDATE(IMP_ST_DATE,51)),"YY")&amp;" - "&amp;TEXT(EDATE(IMP_ST_DATE,53),"MMM")&amp;TEXT((EDATE(IMP_ST_DATE,53)),"YY"))))</f>
        <v>Apr25 - Jun25</v>
      </c>
      <c r="R19">
        <v>54</v>
      </c>
      <c r="S19">
        <v>52</v>
      </c>
      <c r="T19">
        <v>53</v>
      </c>
      <c r="AA19" s="325" t="s">
        <v>83</v>
      </c>
      <c r="AB19" s="328" t="s">
        <v>2749</v>
      </c>
      <c r="AC19" s="328" t="s">
        <v>3134</v>
      </c>
      <c r="AD19" s="329" t="s">
        <v>620</v>
      </c>
      <c r="AE19" s="319" t="s">
        <v>2189</v>
      </c>
      <c r="AF19" t="e">
        <f>INDEX('Master Data-C19RM'!$AA$3:$AA$44,MATCH(AG19,'Master Data-C19RM'!$AB$3:$AB$44,0),)</f>
        <v>#N/A</v>
      </c>
      <c r="AG19" t="e" cm="1">
        <f t="array" ref="AG19">INDEX('Master Data-C19RM'!$AB$3:$AB$44,MATCH(0,INDEX(COUNTIF($AG$2:AG18,'Master Data-C19RM'!$AB$3:$AB$44),),0))</f>
        <v>#N/A</v>
      </c>
    </row>
    <row r="20" spans="1:33" ht="17.5" customHeight="1" x14ac:dyDescent="0.35">
      <c r="A20" t="s">
        <v>155</v>
      </c>
      <c r="B20">
        <v>1</v>
      </c>
      <c r="E20" s="24"/>
      <c r="N20" t="str">
        <f t="shared" si="2"/>
        <v>Jul25 - Sep25</v>
      </c>
      <c r="O20">
        <f t="shared" si="1"/>
        <v>19</v>
      </c>
      <c r="P20">
        <v>19</v>
      </c>
      <c r="Q20" s="61" t="str">
        <f>IF(OR(MONTH(IMP_ST_DATE)=3,MONTH(IMP_ST_DATE)=6,MONTH(IMP_ST_DATE)=9),(TEXT(EDATE(IMP_ST_DATE,55),"MMM")&amp;TEXT((EDATE(IMP_ST_DATE,55)),"YY")&amp;" - "&amp;TEXT(EDATE(IMP_ST_DATE,57),"MMM")&amp;TEXT((EDATE(IMP_ST_DATE,57)),"YY")),IF(OR(MONTH(IMP_ST_DATE)=2,MONTH(IMP_ST_DATE)=5,MONTH(IMP_ST_DATE)=8,MONTH(IMP_ST_DATE)=11),(TEXT(EDATE(IMP_ST_DATE,53),"MMM")&amp;TEXT((EDATE(IMP_ST_DATE,53)),"YY")&amp;" - "&amp;TEXT(EDATE(IMP_ST_DATE,55),"MMM")&amp;TEXT((EDATE(IMP_ST_DATE,55)),"YY")),(TEXT(EDATE(IMP_ST_DATE,54),"MMM")&amp;TEXT((EDATE(IMP_ST_DATE,54)),"YY")&amp;" - "&amp;TEXT(EDATE(IMP_ST_DATE,56),"MMM")&amp;TEXT((EDATE(IMP_ST_DATE,56)),"YY"))))</f>
        <v>Jul25 - Sep25</v>
      </c>
      <c r="R20">
        <v>57</v>
      </c>
      <c r="S20">
        <v>55</v>
      </c>
      <c r="T20">
        <v>56</v>
      </c>
      <c r="AA20" s="325" t="s">
        <v>83</v>
      </c>
      <c r="AB20" s="326" t="s">
        <v>2749</v>
      </c>
      <c r="AC20" s="326" t="s">
        <v>3134</v>
      </c>
      <c r="AD20" s="327" t="s">
        <v>621</v>
      </c>
      <c r="AE20" s="319" t="s">
        <v>2190</v>
      </c>
      <c r="AF20" t="e">
        <f>INDEX('Master Data-C19RM'!$AA$3:$AA$44,MATCH(AG20,'Master Data-C19RM'!$AB$3:$AB$44,0),)</f>
        <v>#N/A</v>
      </c>
      <c r="AG20" t="e" cm="1">
        <f t="array" ref="AG20">INDEX('Master Data-C19RM'!$AB$3:$AB$44,MATCH(0,INDEX(COUNTIF($AG$2:AG19,'Master Data-C19RM'!$AB$3:$AB$44),),0))</f>
        <v>#N/A</v>
      </c>
    </row>
    <row r="21" spans="1:33" ht="15" customHeight="1" x14ac:dyDescent="0.35">
      <c r="A21" t="s">
        <v>165</v>
      </c>
      <c r="B21">
        <v>1</v>
      </c>
      <c r="E21" s="24"/>
      <c r="N21" t="str">
        <f t="shared" si="2"/>
        <v>Oct25 - Dec25</v>
      </c>
      <c r="O21">
        <f t="shared" si="1"/>
        <v>20</v>
      </c>
      <c r="P21">
        <v>20</v>
      </c>
      <c r="Q21" s="61" t="str">
        <f>IF(OR(MONTH(IMP_ST_DATE)=3,MONTH(IMP_ST_DATE)=6,MONTH(IMP_ST_DATE)=9),(TEXT(EDATE(IMP_ST_DATE,58),"MMM")&amp;TEXT((EDATE(IMP_ST_DATE,58)),"YY")&amp;" - "&amp;TEXT(EDATE(IMP_ST_DATE,60),"MMM")&amp;TEXT((EDATE(IMP_ST_DATE,60)),"YY")),IF(OR(MONTH(IMP_ST_DATE)=2,MONTH(IMP_ST_DATE)=5,MONTH(IMP_ST_DATE)=8,MONTH(IMP_ST_DATE)=11),(TEXT(EDATE(IMP_ST_DATE,56),"MMM")&amp;TEXT((EDATE(IMP_ST_DATE,56)),"YY")&amp;" - "&amp;TEXT(EDATE(IMP_ST_DATE,58),"MMM")&amp;TEXT((EDATE(IMP_ST_DATE,58)),"YY")),(TEXT(EDATE(IMP_ST_DATE,57),"MMM")&amp;TEXT((EDATE(IMP_ST_DATE,57)),"YY")&amp;" - "&amp;TEXT(EDATE(IMP_ST_DATE,59),"MMM")&amp;TEXT((EDATE(IMP_ST_DATE,59)),"YY"))))</f>
        <v>Oct25 - Dec25</v>
      </c>
      <c r="R21">
        <v>60</v>
      </c>
      <c r="S21">
        <v>58</v>
      </c>
      <c r="T21">
        <v>59</v>
      </c>
      <c r="V21" t="str">
        <f>IF(O21&lt;&gt;"",TEXT(IF(OR(MONTH(IMP_ST_DATE)=3,MONTH(IMP_ST_DATE)=6,MONTH(IMP_ST_DATE)=9),(TEXT(EDATE(IMP_ST_DATE,60),"MMM")&amp;TEXT((EDATE(IMP_ST_DATE,60)),"YY")),IF(OR(MONTH(IMP_ST_DATE)=2,MONTH(IMP_ST_DATE)=5,MONTH(IMP_ST_DATE)=8,MONTH(IMP_ST_DATE)=11),(TEXT(EDATE(IMP_ST_DATE,58),"MMM")&amp;TEXT((EDATE(IMP_ST_DATE,58)),"YY")),(TEXT(EDATE(IMP_ST_DATE,59),"MMM")&amp;TEXT((EDATE(IMP_ST_DATE,59)),"YY")))),"YYYY"),"")</f>
        <v>2025</v>
      </c>
      <c r="AA21" s="325" t="s">
        <v>83</v>
      </c>
      <c r="AB21" s="328" t="s">
        <v>2749</v>
      </c>
      <c r="AC21" s="328" t="s">
        <v>3134</v>
      </c>
      <c r="AD21" s="329" t="s">
        <v>750</v>
      </c>
      <c r="AE21" s="319" t="s">
        <v>2191</v>
      </c>
      <c r="AF21" t="e">
        <f>INDEX('Master Data-C19RM'!$AA$3:$AA$44,MATCH(AG21,'Master Data-C19RM'!$AB$3:$AB$44,0),)</f>
        <v>#N/A</v>
      </c>
      <c r="AG21" t="e" cm="1">
        <f t="array" ref="AG21">INDEX('Master Data-C19RM'!$AB$3:$AB$44,MATCH(0,INDEX(COUNTIF($AG$2:AG20,'Master Data-C19RM'!$AB$3:$AB$44),),0))</f>
        <v>#N/A</v>
      </c>
    </row>
    <row r="22" spans="1:33" ht="14.5" customHeight="1" x14ac:dyDescent="0.35">
      <c r="A22" t="s">
        <v>159</v>
      </c>
      <c r="B22">
        <v>1</v>
      </c>
      <c r="E22" s="24"/>
      <c r="N22" t="str">
        <f t="shared" si="2"/>
        <v>-</v>
      </c>
      <c r="O22" t="str">
        <f t="shared" si="1"/>
        <v/>
      </c>
      <c r="P22">
        <v>21</v>
      </c>
      <c r="Q22" s="61" t="str">
        <f>IF(OR(MONTH(IMP_ST_DATE)=3,MONTH(IMP_ST_DATE)=6,MONTH(IMP_ST_DATE)=9),(TEXT(EDATE(IMP_ST_DATE,61),"MMM")&amp;TEXT((EDATE(IMP_ST_DATE,61)),"YY")&amp;" - "&amp;TEXT(EDATE(IMP_ST_DATE,63),"MMM")&amp;TEXT((EDATE(IMP_ST_DATE,63)),"YY")),IF(OR(MONTH(IMP_ST_DATE)=2,MONTH(IMP_ST_DATE)=5,MONTH(IMP_ST_DATE)=8,MONTH(IMP_ST_DATE)=11),(TEXT(EDATE(IMP_ST_DATE,59),"MMM")&amp;TEXT((EDATE(IMP_ST_DATE,59)),"YY")&amp;" - "&amp;TEXT(EDATE(IMP_ST_DATE,61),"MMM")&amp;TEXT((EDATE(IMP_ST_DATE,61)),"YY")),(TEXT(EDATE(IMP_ST_DATE,60),"MMM")&amp;TEXT((EDATE(IMP_ST_DATE,60)),"YY")&amp;" - "&amp;TEXT(EDATE(IMP_ST_DATE,62),"MMM")&amp;TEXT((EDATE(IMP_ST_DATE,62)),"YY"))))</f>
        <v>Jan26 - Mar26</v>
      </c>
      <c r="R22">
        <v>63</v>
      </c>
      <c r="S22">
        <v>61</v>
      </c>
      <c r="T22">
        <v>62</v>
      </c>
      <c r="U22" t="str">
        <f>TEXT(IF(OR(MONTH(IMP_ST_DATE)=3,MONTH(IMP_ST_DATE)=6,MONTH(IMP_ST_DATE)=9),(TEXT(EDATE(IMP_ST_DATE,61),"MMM")&amp;TEXT((EDATE(IMP_ST_DATE,61)),"YY")),IF(OR(MONTH(IMP_ST_DATE)=2,MONTH(IMP_ST_DATE)=5,MONTH(IMP_ST_DATE)=8,MONTH(IMP_ST_DATE)=11),(TEXT(EDATE(IMP_ST_DATE,59),"MMM")&amp;TEXT((EDATE(IMP_ST_DATE,59)),"YY")),(TEXT(EDATE(IMP_ST_DATE,60),"MMM")&amp;TEXT((EDATE(IMP_ST_DATE,60)),"YY")))),"YYYY")</f>
        <v>2026</v>
      </c>
      <c r="V22" t="str">
        <f>IF(O22="","",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W22" t="str">
        <f>IF($O$22&lt;&gt;"",(IF($U$22=$X$22,$U$22,(($U$22&amp;" - "&amp;$V$25)))),"")</f>
        <v/>
      </c>
      <c r="X22" t="str">
        <f>IF($V$25&lt;&gt;"",$V$25,IF($V$24&lt;&gt;"",$V$24,IF($V$23&lt;&gt;"",$V$23,$V$22)))</f>
        <v/>
      </c>
      <c r="AA22" s="325" t="s">
        <v>83</v>
      </c>
      <c r="AB22" s="326" t="s">
        <v>2749</v>
      </c>
      <c r="AC22" s="326" t="s">
        <v>3134</v>
      </c>
      <c r="AD22" s="327" t="s">
        <v>622</v>
      </c>
      <c r="AE22" s="319" t="s">
        <v>2192</v>
      </c>
      <c r="AF22" t="e">
        <f>INDEX('Master Data-C19RM'!$AA$3:$AA$44,MATCH(AG22,'Master Data-C19RM'!$AB$3:$AB$44,0),)</f>
        <v>#N/A</v>
      </c>
      <c r="AG22" t="e" cm="1">
        <f t="array" ref="AG22">INDEX('Master Data-C19RM'!$AB$3:$AB$44,MATCH(0,INDEX(COUNTIF($AG$2:AG21,'Master Data-C19RM'!$AB$3:$AB$44),),0))</f>
        <v>#N/A</v>
      </c>
    </row>
    <row r="23" spans="1:33" ht="14" customHeight="1" x14ac:dyDescent="0.35">
      <c r="A23" t="s">
        <v>156</v>
      </c>
      <c r="B23">
        <v>1</v>
      </c>
      <c r="E23" s="24"/>
      <c r="N23" t="str">
        <f t="shared" si="2"/>
        <v>-</v>
      </c>
      <c r="O23" t="str">
        <f t="shared" si="1"/>
        <v/>
      </c>
      <c r="P23">
        <v>22</v>
      </c>
      <c r="Q23" s="61" t="str">
        <f>IF(OR(MONTH(IMP_ST_DATE)=3,MONTH(IMP_ST_DATE)=6,MONTH(IMP_ST_DATE)=9),(TEXT(EDATE(IMP_ST_DATE,64),"MMM")&amp;TEXT((EDATE(IMP_ST_DATE,64)),"YY")&amp;" - "&amp;TEXT(EDATE(IMP_ST_DATE,66),"MMM")&amp;TEXT((EDATE(IMP_ST_DATE,66)),"YY")),IF(OR(MONTH(IMP_ST_DATE)=2,MONTH(IMP_ST_DATE)=5,MONTH(IMP_ST_DATE)=8,MONTH(IMP_ST_DATE)=11),(TEXT(EDATE(IMP_ST_DATE,62),"MMM")&amp;TEXT((EDATE(IMP_ST_DATE,62)),"YY")&amp;" - "&amp;TEXT(EDATE(IMP_ST_DATE,64),"MMM")&amp;TEXT((EDATE(IMP_ST_DATE,64)),"YY")),(TEXT(EDATE(IMP_ST_DATE,63),"MMM")&amp;TEXT((EDATE(IMP_ST_DATE,63)),"YY")&amp;" - "&amp;TEXT(EDATE(IMP_ST_DATE,65),"MMM")&amp;TEXT((EDATE(IMP_ST_DATE,65)),"YY"))))</f>
        <v>Apr26 - Jun26</v>
      </c>
      <c r="R23">
        <v>66</v>
      </c>
      <c r="S23">
        <v>64</v>
      </c>
      <c r="T23">
        <v>65</v>
      </c>
      <c r="V23" t="str">
        <f>IF(O23="","",TEXT(IF(OR(MONTH(IMP_ST_DATE)=3,MONTH(IMP_ST_DATE)=6,MONTH(IMP_ST_DATE)=9),(TEXT(EDATE(IMP_ST_DATE,63),"MMM")&amp;TEXT((EDATE(IMP_ST_DATE,63)),"YY")),IF(OR(MONTH(IMP_ST_DATE)=2,MONTH(IMP_ST_DATE)=5,MONTH(IMP_ST_DATE)=8,MONTH(IMP_ST_DATE)=11),(TEXT(EDATE(IMP_ST_DATE,61),"MMM")&amp;TEXT((EDATE(IMP_ST_DATE,61)),"YY")),(TEXT(EDATE(IMP_ST_DATE,62),"MMM")&amp;TEXT((EDATE(IMP_ST_DATE,62)),"YY")))),"yyyy"))</f>
        <v/>
      </c>
      <c r="AA23" s="325" t="s">
        <v>83</v>
      </c>
      <c r="AB23" s="328" t="s">
        <v>2749</v>
      </c>
      <c r="AC23" s="328" t="s">
        <v>3134</v>
      </c>
      <c r="AD23" s="329" t="s">
        <v>751</v>
      </c>
      <c r="AE23" s="319" t="s">
        <v>2193</v>
      </c>
      <c r="AF23" t="e">
        <f>INDEX('Master Data-C19RM'!$AA$3:$AA$44,MATCH(AG23,'Master Data-C19RM'!$AB$3:$AB$44,0),)</f>
        <v>#N/A</v>
      </c>
      <c r="AG23" t="e" cm="1">
        <f t="array" ref="AG23">INDEX('Master Data-C19RM'!$AB$3:$AB$44,MATCH(0,INDEX(COUNTIF($AG$2:AG22,'Master Data-C19RM'!$AB$3:$AB$44),),0))</f>
        <v>#N/A</v>
      </c>
    </row>
    <row r="24" spans="1:33" ht="15" customHeight="1" x14ac:dyDescent="0.35">
      <c r="A24" t="s">
        <v>166</v>
      </c>
      <c r="B24">
        <v>1</v>
      </c>
      <c r="E24" s="24"/>
      <c r="N24" t="str">
        <f t="shared" si="2"/>
        <v>-</v>
      </c>
      <c r="O24" t="str">
        <f t="shared" si="1"/>
        <v/>
      </c>
      <c r="P24">
        <v>23</v>
      </c>
      <c r="Q24" s="61" t="str">
        <f>IF(OR(MONTH(IMP_ST_DATE)=3,MONTH(IMP_ST_DATE)=6,MONTH(IMP_ST_DATE)=9),(TEXT(EDATE(IMP_ST_DATE,67),"MMM")&amp;TEXT((EDATE(IMP_ST_DATE,67)),"YY")&amp;" - "&amp;TEXT(EDATE(IMP_ST_DATE,69),"MMM")&amp;TEXT((EDATE(IMP_ST_DATE,69)),"YY")),IF(OR(MONTH(IMP_ST_DATE)=2,MONTH(IMP_ST_DATE)=5,MONTH(IMP_ST_DATE)=8,MONTH(IMP_ST_DATE)=11),(TEXT(EDATE(IMP_ST_DATE,65),"MMM")&amp;TEXT((EDATE(IMP_ST_DATE,65)),"YY")&amp;" - "&amp;TEXT(EDATE(IMP_ST_DATE,67),"MMM")&amp;TEXT((EDATE(IMP_ST_DATE,67)),"YY")),(TEXT(EDATE(IMP_ST_DATE,66),"MMM")&amp;TEXT((EDATE(IMP_ST_DATE,66)),"YY")&amp;" - "&amp;TEXT(EDATE(IMP_ST_DATE,68),"MMM")&amp;TEXT((EDATE(IMP_ST_DATE,68)),"YY"))))</f>
        <v>Jul26 - Sep26</v>
      </c>
      <c r="R24">
        <v>69</v>
      </c>
      <c r="S24">
        <v>67</v>
      </c>
      <c r="T24">
        <v>68</v>
      </c>
      <c r="V24" t="str">
        <f>IF(O24="","",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4" s="325" t="s">
        <v>83</v>
      </c>
      <c r="AB24" s="326" t="s">
        <v>2749</v>
      </c>
      <c r="AC24" s="326" t="s">
        <v>3137</v>
      </c>
      <c r="AD24" s="327" t="s">
        <v>619</v>
      </c>
      <c r="AE24" s="319" t="s">
        <v>2194</v>
      </c>
      <c r="AF24" t="e">
        <f>INDEX('Master Data-C19RM'!$AA$3:$AA$44,MATCH(AG24,'Master Data-C19RM'!$AB$3:$AB$44,0),)</f>
        <v>#N/A</v>
      </c>
      <c r="AG24" t="e" cm="1">
        <f t="array" ref="AG24">INDEX('Master Data-C19RM'!$AB$3:$AB$44,MATCH(0,INDEX(COUNTIF($AG$2:AG23,'Master Data-C19RM'!$AB$3:$AB$44),),0))</f>
        <v>#N/A</v>
      </c>
    </row>
    <row r="25" spans="1:33" ht="15" customHeight="1" x14ac:dyDescent="0.35">
      <c r="A25" t="s">
        <v>167</v>
      </c>
      <c r="B25">
        <v>1</v>
      </c>
      <c r="E25" s="24"/>
      <c r="N25" t="str">
        <f t="shared" si="2"/>
        <v>-</v>
      </c>
      <c r="O25" t="str">
        <f t="shared" si="1"/>
        <v/>
      </c>
      <c r="P25">
        <v>24</v>
      </c>
      <c r="Q25" s="61" t="str">
        <f>IF(OR(MONTH(IMP_ST_DATE)=3,MONTH(IMP_ST_DATE)=6,MONTH(IMP_ST_DATE)=9),(TEXT(EDATE(IMP_ST_DATE,70),"MMM")&amp;TEXT((EDATE(IMP_ST_DATE,70)),"YY")&amp;" - "&amp;TEXT(EDATE(IMP_ST_DATE,72),"MMM")&amp;TEXT((EDATE(IMP_ST_DATE,72)),"YY")),IF(OR(MONTH(IMP_ST_DATE)=2,MONTH(IMP_ST_DATE)=5,MONTH(IMP_ST_DATE)=8,MONTH(IMP_ST_DATE)=11),(TEXT(EDATE(IMP_ST_DATE,68),"MMM")&amp;TEXT((EDATE(IMP_ST_DATE,68)),"YY")&amp;" - "&amp;TEXT(EDATE(IMP_ST_DATE,70),"MMM")&amp;TEXT((EDATE(IMP_ST_DATE,70)),"YY")),(TEXT(EDATE(IMP_ST_DATE,69),"MMM")&amp;TEXT((EDATE(IMP_ST_DATE,69)),"YY")&amp;" - "&amp;TEXT(EDATE(IMP_ST_DATE,71),"MMM")&amp;TEXT((EDATE(IMP_ST_DATE,71)),"YY"))))</f>
        <v>Oct26 - Dec26</v>
      </c>
      <c r="R25">
        <v>72</v>
      </c>
      <c r="S25">
        <v>70</v>
      </c>
      <c r="T25">
        <v>71</v>
      </c>
      <c r="V25" t="str">
        <f>IF(O25="","",TEXT(IF(OR(MONTH(IMP_ST_DATE)=3,MONTH(IMP_ST_DATE)=6,MONTH(IMP_ST_DATE)=9),(TEXT(EDATE(IMP_ST_DATE,69),"MMM")&amp;TEXT((EDATE(IMP_ST_DATE,69)),"YY")),IF(OR(MONTH(IMP_ST_DATE)=2,MONTH(IMP_ST_DATE)=5,MONTH(IMP_ST_DATE)=8,MONTH(IMP_ST_DATE)=11),(TEXT(EDATE(IMP_ST_DATE,67),"MMM")&amp;TEXT((EDATE(IMP_ST_DATE,67)),"YY")),(TEXT(EDATE(IMP_ST_DATE,68),"MMM")&amp;TEXT((EDATE(IMP_ST_DATE,68)),"YY")))),"yyyy"))</f>
        <v/>
      </c>
      <c r="AA25" s="325" t="s">
        <v>83</v>
      </c>
      <c r="AB25" s="328" t="s">
        <v>2749</v>
      </c>
      <c r="AC25" s="328" t="s">
        <v>3137</v>
      </c>
      <c r="AD25" s="329" t="s">
        <v>3118</v>
      </c>
      <c r="AE25" s="319" t="s">
        <v>2195</v>
      </c>
      <c r="AF25" t="e">
        <f>INDEX('Master Data-C19RM'!$AA$3:$AA$44,MATCH(AG25,'Master Data-C19RM'!$AB$3:$AB$44,0),)</f>
        <v>#N/A</v>
      </c>
      <c r="AG25" t="e" cm="1">
        <f t="array" ref="AG25">INDEX('Master Data-C19RM'!$AB$3:$AB$44,MATCH(0,INDEX(COUNTIF($AG$2:AG24,'Master Data-C19RM'!$AB$3:$AB$44),),0))</f>
        <v>#N/A</v>
      </c>
    </row>
    <row r="26" spans="1:33" x14ac:dyDescent="0.35">
      <c r="A26" t="s">
        <v>2427</v>
      </c>
      <c r="B26">
        <v>1</v>
      </c>
      <c r="E26" s="24"/>
      <c r="AA26" s="325" t="s">
        <v>83</v>
      </c>
      <c r="AB26" s="326" t="s">
        <v>2749</v>
      </c>
      <c r="AC26" s="326" t="s">
        <v>3137</v>
      </c>
      <c r="AD26" s="327" t="s">
        <v>620</v>
      </c>
      <c r="AE26" s="319" t="s">
        <v>2196</v>
      </c>
      <c r="AF26" t="e">
        <f>INDEX('Master Data-C19RM'!$AA$3:$AA$44,MATCH(AG26,'Master Data-C19RM'!$AB$3:$AB$44,0),)</f>
        <v>#N/A</v>
      </c>
      <c r="AG26" t="e" cm="1">
        <f t="array" ref="AG26">INDEX('Master Data-C19RM'!$AB$3:$AB$44,MATCH(0,INDEX(COUNTIF($AG$2:AG25,'Master Data-C19RM'!$AB$3:$AB$44),),0))</f>
        <v>#N/A</v>
      </c>
    </row>
    <row r="27" spans="1:33" x14ac:dyDescent="0.35">
      <c r="B27" s="149"/>
      <c r="E27" s="24"/>
      <c r="AA27" s="325" t="s">
        <v>83</v>
      </c>
      <c r="AB27" s="328" t="s">
        <v>2749</v>
      </c>
      <c r="AC27" s="328" t="s">
        <v>3137</v>
      </c>
      <c r="AD27" s="329" t="s">
        <v>621</v>
      </c>
      <c r="AE27" s="319" t="s">
        <v>2197</v>
      </c>
      <c r="AF27" t="e">
        <f>INDEX('Master Data-C19RM'!$AA$3:$AA$44,MATCH(AG27,'Master Data-C19RM'!$AB$3:$AB$44,0),)</f>
        <v>#N/A</v>
      </c>
      <c r="AG27" t="e" cm="1">
        <f t="array" ref="AG27">INDEX('Master Data-C19RM'!$AB$3:$AB$44,MATCH(0,INDEX(COUNTIF($AG$2:AG26,'Master Data-C19RM'!$AB$3:$AB$44),),0))</f>
        <v>#N/A</v>
      </c>
    </row>
    <row r="28" spans="1:33" x14ac:dyDescent="0.35">
      <c r="B28" s="149"/>
      <c r="E28" s="24"/>
      <c r="AA28" s="325" t="s">
        <v>83</v>
      </c>
      <c r="AB28" s="326" t="s">
        <v>2749</v>
      </c>
      <c r="AC28" s="326" t="s">
        <v>3137</v>
      </c>
      <c r="AD28" s="327" t="s">
        <v>750</v>
      </c>
      <c r="AE28" s="319" t="s">
        <v>2198</v>
      </c>
      <c r="AF28" t="e">
        <f>INDEX('Master Data-C19RM'!$AA$3:$AA$44,MATCH(AG28,'Master Data-C19RM'!$AB$3:$AB$44,0),)</f>
        <v>#N/A</v>
      </c>
      <c r="AG28" t="e" cm="1">
        <f t="array" ref="AG28">INDEX('Master Data-C19RM'!$AB$3:$AB$44,MATCH(0,INDEX(COUNTIF($AG$2:AG27,'Master Data-C19RM'!$AB$3:$AB$44),),0))</f>
        <v>#N/A</v>
      </c>
    </row>
    <row r="29" spans="1:33" x14ac:dyDescent="0.35">
      <c r="B29" s="149"/>
      <c r="E29" s="24"/>
      <c r="AA29" s="325" t="s">
        <v>83</v>
      </c>
      <c r="AB29" s="328" t="s">
        <v>2749</v>
      </c>
      <c r="AC29" s="328" t="s">
        <v>3137</v>
      </c>
      <c r="AD29" s="329" t="s">
        <v>622</v>
      </c>
      <c r="AE29" s="319" t="s">
        <v>2199</v>
      </c>
      <c r="AF29" t="e">
        <f>INDEX('Master Data-C19RM'!$AA$3:$AA$44,MATCH(AG29,'Master Data-C19RM'!$AB$3:$AB$44,0),)</f>
        <v>#N/A</v>
      </c>
      <c r="AG29" t="e" cm="1">
        <f t="array" ref="AG29">INDEX('Master Data-C19RM'!$AB$3:$AB$44,MATCH(0,INDEX(COUNTIF($AG$2:AG28,'Master Data-C19RM'!$AB$3:$AB$44),),0))</f>
        <v>#N/A</v>
      </c>
    </row>
    <row r="30" spans="1:33" x14ac:dyDescent="0.35">
      <c r="B30" s="149"/>
      <c r="E30" s="24"/>
      <c r="AA30" s="325" t="s">
        <v>83</v>
      </c>
      <c r="AB30" s="326" t="s">
        <v>2749</v>
      </c>
      <c r="AC30" s="326" t="s">
        <v>3137</v>
      </c>
      <c r="AD30" s="327" t="s">
        <v>751</v>
      </c>
      <c r="AE30" s="319" t="s">
        <v>2200</v>
      </c>
      <c r="AF30" t="e">
        <f>INDEX('Master Data-C19RM'!$AA$3:$AA$44,MATCH(AG30,'Master Data-C19RM'!$AB$3:$AB$44,0),)</f>
        <v>#N/A</v>
      </c>
      <c r="AG30" t="e" cm="1">
        <f t="array" ref="AG30">INDEX('Master Data-C19RM'!$AB$3:$AB$44,MATCH(0,INDEX(COUNTIF($AG$2:AG29,'Master Data-C19RM'!$AB$3:$AB$44),),0))</f>
        <v>#N/A</v>
      </c>
    </row>
    <row r="31" spans="1:33" x14ac:dyDescent="0.35">
      <c r="B31" s="149"/>
      <c r="E31" s="24"/>
      <c r="AA31" s="325" t="s">
        <v>83</v>
      </c>
      <c r="AB31" s="328" t="s">
        <v>2749</v>
      </c>
      <c r="AC31" s="328" t="s">
        <v>3141</v>
      </c>
      <c r="AD31" s="329" t="s">
        <v>619</v>
      </c>
      <c r="AE31" s="319" t="s">
        <v>2201</v>
      </c>
      <c r="AF31" t="e">
        <f>INDEX('Master Data-C19RM'!$AA$3:$AA$44,MATCH(AG31,'Master Data-C19RM'!$AB$3:$AB$44,0),)</f>
        <v>#N/A</v>
      </c>
      <c r="AG31" t="e" cm="1">
        <f t="array" ref="AG31">INDEX('Master Data-C19RM'!$AB$3:$AB$44,MATCH(0,INDEX(COUNTIF($AG$2:AG30,'Master Data-C19RM'!$AB$3:$AB$44),),0))</f>
        <v>#N/A</v>
      </c>
    </row>
    <row r="32" spans="1:33" x14ac:dyDescent="0.35">
      <c r="B32" s="149"/>
      <c r="E32" s="24"/>
      <c r="AA32" s="325" t="s">
        <v>83</v>
      </c>
      <c r="AB32" s="326" t="s">
        <v>2749</v>
      </c>
      <c r="AC32" s="326" t="s">
        <v>3141</v>
      </c>
      <c r="AD32" s="327" t="s">
        <v>3118</v>
      </c>
      <c r="AE32" s="319" t="s">
        <v>2202</v>
      </c>
      <c r="AF32" t="e">
        <f>INDEX('Master Data-C19RM'!$AA$3:$AA$44,MATCH(AG32,'Master Data-C19RM'!$AB$3:$AB$44,0),)</f>
        <v>#N/A</v>
      </c>
      <c r="AG32" t="e" cm="1">
        <f t="array" ref="AG32">INDEX('Master Data-C19RM'!$AB$3:$AB$44,MATCH(0,INDEX(COUNTIF($AG$2:AG31,'Master Data-C19RM'!$AB$3:$AB$44),),0))</f>
        <v>#N/A</v>
      </c>
    </row>
    <row r="33" spans="2:33" x14ac:dyDescent="0.35">
      <c r="B33" s="149"/>
      <c r="E33" s="24"/>
      <c r="AA33" s="325" t="s">
        <v>83</v>
      </c>
      <c r="AB33" s="328" t="s">
        <v>2749</v>
      </c>
      <c r="AC33" s="328" t="s">
        <v>3141</v>
      </c>
      <c r="AD33" s="329" t="s">
        <v>620</v>
      </c>
      <c r="AE33" s="319" t="s">
        <v>2203</v>
      </c>
      <c r="AF33" t="e">
        <f>INDEX('Master Data-C19RM'!$AA$3:$AA$44,MATCH(AG33,'Master Data-C19RM'!$AB$3:$AB$44,0),)</f>
        <v>#N/A</v>
      </c>
      <c r="AG33" t="e" cm="1">
        <f t="array" ref="AG33">INDEX('Master Data-C19RM'!$AB$3:$AB$44,MATCH(0,INDEX(COUNTIF($AG$2:AG32,'Master Data-C19RM'!$AB$3:$AB$44),),0))</f>
        <v>#N/A</v>
      </c>
    </row>
    <row r="34" spans="2:33" x14ac:dyDescent="0.35">
      <c r="AA34" s="325" t="s">
        <v>83</v>
      </c>
      <c r="AB34" s="326" t="s">
        <v>2749</v>
      </c>
      <c r="AC34" s="326" t="s">
        <v>3141</v>
      </c>
      <c r="AD34" s="327" t="s">
        <v>621</v>
      </c>
      <c r="AE34" s="319" t="s">
        <v>2204</v>
      </c>
      <c r="AF34" t="e">
        <f>INDEX('Master Data-C19RM'!$AA$3:$AA$44,MATCH(AG34,'Master Data-C19RM'!$AB$3:$AB$44,0),)</f>
        <v>#N/A</v>
      </c>
      <c r="AG34" t="e" cm="1">
        <f t="array" ref="AG34">INDEX('Master Data-C19RM'!$AB$3:$AB$44,MATCH(0,INDEX(COUNTIF($AG$2:AG33,'Master Data-C19RM'!$AB$3:$AB$44),),0))</f>
        <v>#N/A</v>
      </c>
    </row>
    <row r="35" spans="2:33" x14ac:dyDescent="0.35">
      <c r="AA35" s="325" t="s">
        <v>83</v>
      </c>
      <c r="AB35" s="328" t="s">
        <v>2749</v>
      </c>
      <c r="AC35" s="328" t="s">
        <v>3141</v>
      </c>
      <c r="AD35" s="329" t="s">
        <v>750</v>
      </c>
      <c r="AE35" s="319" t="s">
        <v>2205</v>
      </c>
      <c r="AF35" t="e">
        <f>INDEX('Master Data-C19RM'!$AA$3:$AA$44,MATCH(AG35,'Master Data-C19RM'!$AB$3:$AB$44,0),)</f>
        <v>#N/A</v>
      </c>
      <c r="AG35" t="e" cm="1">
        <f t="array" ref="AG35">INDEX('Master Data-C19RM'!$AB$3:$AB$44,MATCH(0,INDEX(COUNTIF($AG$2:AG34,'Master Data-C19RM'!$AB$3:$AB$44),),0))</f>
        <v>#N/A</v>
      </c>
    </row>
    <row r="36" spans="2:33" x14ac:dyDescent="0.35">
      <c r="AA36" s="325" t="s">
        <v>83</v>
      </c>
      <c r="AB36" s="326" t="s">
        <v>2749</v>
      </c>
      <c r="AC36" s="326" t="s">
        <v>3141</v>
      </c>
      <c r="AD36" s="327" t="s">
        <v>622</v>
      </c>
      <c r="AE36" s="319" t="s">
        <v>2206</v>
      </c>
      <c r="AF36" t="e">
        <f>INDEX('Master Data-C19RM'!$AA$3:$AA$44,MATCH(AG36,'Master Data-C19RM'!$AB$3:$AB$44,0),)</f>
        <v>#N/A</v>
      </c>
      <c r="AG36" t="e" cm="1">
        <f t="array" ref="AG36">INDEX('Master Data-C19RM'!$AB$3:$AB$44,MATCH(0,INDEX(COUNTIF($AG$2:AG35,'Master Data-C19RM'!$AB$3:$AB$44),),0))</f>
        <v>#N/A</v>
      </c>
    </row>
    <row r="37" spans="2:33" x14ac:dyDescent="0.35">
      <c r="AA37" s="325" t="s">
        <v>83</v>
      </c>
      <c r="AB37" s="328" t="s">
        <v>2749</v>
      </c>
      <c r="AC37" s="328" t="s">
        <v>3141</v>
      </c>
      <c r="AD37" s="329" t="s">
        <v>751</v>
      </c>
      <c r="AE37" s="319" t="s">
        <v>2207</v>
      </c>
      <c r="AF37" t="e">
        <f>INDEX('Master Data-C19RM'!$AA$3:$AA$44,MATCH(AG37,'Master Data-C19RM'!$AB$3:$AB$44,0),)</f>
        <v>#N/A</v>
      </c>
      <c r="AG37" t="e" cm="1">
        <f t="array" ref="AG37">INDEX('Master Data-C19RM'!$AB$3:$AB$44,MATCH(0,INDEX(COUNTIF($AG$2:AG36,'Master Data-C19RM'!$AB$3:$AB$44),),0))</f>
        <v>#N/A</v>
      </c>
    </row>
    <row r="38" spans="2:33" x14ac:dyDescent="0.35">
      <c r="AA38" s="325" t="s">
        <v>83</v>
      </c>
      <c r="AB38" s="326" t="s">
        <v>2749</v>
      </c>
      <c r="AC38" s="326" t="s">
        <v>3145</v>
      </c>
      <c r="AD38" s="327" t="s">
        <v>619</v>
      </c>
      <c r="AE38" s="319" t="s">
        <v>2208</v>
      </c>
      <c r="AF38" t="e">
        <f>INDEX('Master Data-C19RM'!$AA$3:$AA$44,MATCH(AG38,'Master Data-C19RM'!$AB$3:$AB$44,0),)</f>
        <v>#N/A</v>
      </c>
      <c r="AG38" t="e" cm="1">
        <f t="array" ref="AG38">INDEX('Master Data-C19RM'!$AB$3:$AB$44,MATCH(0,INDEX(COUNTIF($AG$2:AG37,'Master Data-C19RM'!$AB$3:$AB$44),),0))</f>
        <v>#N/A</v>
      </c>
    </row>
    <row r="39" spans="2:33" x14ac:dyDescent="0.35">
      <c r="AA39" s="325" t="s">
        <v>83</v>
      </c>
      <c r="AB39" s="328" t="s">
        <v>2749</v>
      </c>
      <c r="AC39" s="328" t="s">
        <v>3145</v>
      </c>
      <c r="AD39" s="329" t="s">
        <v>3118</v>
      </c>
      <c r="AE39" s="319" t="s">
        <v>2209</v>
      </c>
      <c r="AF39" t="e">
        <f>INDEX('Master Data-C19RM'!$AA$3:$AA$44,MATCH(AG39,'Master Data-C19RM'!$AB$3:$AB$44,0),)</f>
        <v>#N/A</v>
      </c>
      <c r="AG39" t="e" cm="1">
        <f t="array" ref="AG39">INDEX('Master Data-C19RM'!$AB$3:$AB$44,MATCH(0,INDEX(COUNTIF($AG$2:AG38,'Master Data-C19RM'!$AB$3:$AB$44),),0))</f>
        <v>#N/A</v>
      </c>
    </row>
    <row r="40" spans="2:33" x14ac:dyDescent="0.35">
      <c r="AA40" s="325" t="s">
        <v>83</v>
      </c>
      <c r="AB40" s="326" t="s">
        <v>2749</v>
      </c>
      <c r="AC40" s="326" t="s">
        <v>3145</v>
      </c>
      <c r="AD40" s="327" t="s">
        <v>620</v>
      </c>
      <c r="AE40" s="319" t="s">
        <v>2210</v>
      </c>
      <c r="AF40" t="e">
        <f>INDEX('Master Data-C19RM'!$AA$3:$AA$44,MATCH(AG40,'Master Data-C19RM'!$AB$3:$AB$44,0),)</f>
        <v>#N/A</v>
      </c>
      <c r="AG40" t="e" cm="1">
        <f t="array" ref="AG40">INDEX('Master Data-C19RM'!$AB$3:$AB$44,MATCH(0,INDEX(COUNTIF($AG$2:AG39,'Master Data-C19RM'!$AB$3:$AB$44),),0))</f>
        <v>#N/A</v>
      </c>
    </row>
    <row r="41" spans="2:33" x14ac:dyDescent="0.35">
      <c r="AA41" s="325" t="s">
        <v>83</v>
      </c>
      <c r="AB41" s="328" t="s">
        <v>2749</v>
      </c>
      <c r="AC41" s="328" t="s">
        <v>3145</v>
      </c>
      <c r="AD41" s="329" t="s">
        <v>621</v>
      </c>
      <c r="AE41" s="319" t="s">
        <v>2211</v>
      </c>
      <c r="AF41" t="e">
        <f>INDEX('Master Data-C19RM'!$AA$3:$AA$44,MATCH(AG41,'Master Data-C19RM'!$AB$3:$AB$44,0),)</f>
        <v>#N/A</v>
      </c>
      <c r="AG41" t="e" cm="1">
        <f t="array" ref="AG41">INDEX('Master Data-C19RM'!$AB$3:$AB$44,MATCH(0,INDEX(COUNTIF($AG$2:AG40,'Master Data-C19RM'!$AB$3:$AB$44),),0))</f>
        <v>#N/A</v>
      </c>
    </row>
    <row r="42" spans="2:33" x14ac:dyDescent="0.35">
      <c r="AA42" s="325" t="s">
        <v>83</v>
      </c>
      <c r="AB42" s="326" t="s">
        <v>2749</v>
      </c>
      <c r="AC42" s="326" t="s">
        <v>3145</v>
      </c>
      <c r="AD42" s="327" t="s">
        <v>750</v>
      </c>
      <c r="AE42" s="319" t="s">
        <v>2212</v>
      </c>
      <c r="AF42" t="e">
        <f>INDEX('Master Data-C19RM'!$AA$3:$AA$44,MATCH(AG42,'Master Data-C19RM'!$AB$3:$AB$44,0),)</f>
        <v>#N/A</v>
      </c>
      <c r="AG42" t="e" cm="1">
        <f t="array" ref="AG42">INDEX('Master Data-C19RM'!$AB$3:$AB$44,MATCH(0,INDEX(COUNTIF($AG$2:AG41,'Master Data-C19RM'!$AB$3:$AB$44),),0))</f>
        <v>#N/A</v>
      </c>
    </row>
    <row r="43" spans="2:33" x14ac:dyDescent="0.35">
      <c r="AA43" s="325" t="s">
        <v>83</v>
      </c>
      <c r="AB43" s="328" t="s">
        <v>2749</v>
      </c>
      <c r="AC43" s="328" t="s">
        <v>3145</v>
      </c>
      <c r="AD43" s="329" t="s">
        <v>622</v>
      </c>
      <c r="AE43" s="319" t="s">
        <v>2213</v>
      </c>
      <c r="AF43" t="e">
        <f>INDEX('Master Data-C19RM'!$AA$3:$AA$44,MATCH(AG43,'Master Data-C19RM'!$AB$3:$AB$44,0),)</f>
        <v>#N/A</v>
      </c>
      <c r="AG43" t="e" cm="1">
        <f t="array" ref="AG43">INDEX('Master Data-C19RM'!$AB$3:$AB$44,MATCH(0,INDEX(COUNTIF($AG$2:AG42,'Master Data-C19RM'!$AB$3:$AB$44),),0))</f>
        <v>#N/A</v>
      </c>
    </row>
    <row r="44" spans="2:33" x14ac:dyDescent="0.35">
      <c r="AA44" s="325" t="s">
        <v>83</v>
      </c>
      <c r="AB44" s="326" t="s">
        <v>2749</v>
      </c>
      <c r="AC44" s="326" t="s">
        <v>3145</v>
      </c>
      <c r="AD44" s="327" t="s">
        <v>751</v>
      </c>
      <c r="AE44" s="319" t="s">
        <v>2214</v>
      </c>
      <c r="AF44" t="e">
        <f>INDEX('Master Data-C19RM'!$AA$3:$AA$44,MATCH(AG44,'Master Data-C19RM'!$AB$3:$AB$44,0),)</f>
        <v>#N/A</v>
      </c>
      <c r="AG44" t="e" cm="1">
        <f t="array" ref="AG44">INDEX('Master Data-C19RM'!$AB$3:$AB$44,MATCH(0,INDEX(COUNTIF($AG$2:AG43,'Master Data-C19RM'!$AB$3:$AB$44),),0))</f>
        <v>#N/A</v>
      </c>
    </row>
  </sheetData>
  <sheetProtection algorithmName="SHA-512" hashValue="zLo9meiJCAX2Jd9mCa/XWdfmbzaaFRBzb5tlRtPfZrN7sdhHWPiX7UOXdU3yY9KddGXBBIlpLXvaTl6uMnANTQ==" saltValue="jXK98flI1t3Ed2WbRWgGaA==" spinCount="100000" sheet="1" objects="1" scenarios="1"/>
  <mergeCells count="1">
    <mergeCell ref="D6:D7"/>
  </mergeCells>
  <phoneticPr fontId="46" type="noConversion"/>
  <dataValidations count="1">
    <dataValidation allowBlank="1" sqref="AB3:AC44" xr:uid="{7F757DDA-8AC8-496F-97E1-F8D47482AD55}"/>
  </dataValidations>
  <pageMargins left="0.7" right="0.7" top="0.75" bottom="0.75" header="0.3" footer="0.3"/>
  <pageSetup orientation="portrait" horizontalDpi="90" verticalDpi="90"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theme="0" tint="-0.499984740745262"/>
  </sheetPr>
  <dimension ref="A1:R1928"/>
  <sheetViews>
    <sheetView showGridLines="0" topLeftCell="E1" zoomScale="80" zoomScaleNormal="80" workbookViewId="0">
      <pane ySplit="1" topLeftCell="A56" activePane="bottomLeft" state="frozen"/>
      <selection activeCell="J1701" sqref="J1701"/>
      <selection pane="bottomLeft" activeCell="I69" sqref="I69"/>
    </sheetView>
  </sheetViews>
  <sheetFormatPr defaultColWidth="9.1796875" defaultRowHeight="10.5" x14ac:dyDescent="0.25"/>
  <cols>
    <col min="1" max="1" width="15.54296875" style="90" customWidth="1"/>
    <col min="2" max="2" width="18.6328125" style="90" customWidth="1"/>
    <col min="3" max="3" width="6" style="90" customWidth="1"/>
    <col min="4" max="4" width="58.81640625" style="90" customWidth="1"/>
    <col min="5" max="5" width="56.90625" style="90" customWidth="1"/>
    <col min="6" max="6" width="65.90625" style="90" customWidth="1"/>
    <col min="7" max="7" width="63.1796875" style="90" customWidth="1"/>
    <col min="8" max="16384" width="9.1796875" style="90"/>
  </cols>
  <sheetData>
    <row r="1" spans="1:18" ht="12" x14ac:dyDescent="0.25">
      <c r="A1" s="94" t="s">
        <v>4</v>
      </c>
      <c r="B1" s="94" t="s">
        <v>169</v>
      </c>
      <c r="C1" s="94" t="s">
        <v>245</v>
      </c>
      <c r="D1" s="94" t="s">
        <v>68</v>
      </c>
      <c r="E1" s="95" t="s">
        <v>69</v>
      </c>
      <c r="F1" s="96" t="s">
        <v>70</v>
      </c>
      <c r="G1" s="103" t="s">
        <v>71</v>
      </c>
      <c r="Q1" s="90" t="s">
        <v>4</v>
      </c>
      <c r="R1" s="90" t="s">
        <v>246</v>
      </c>
    </row>
    <row r="2" spans="1:18" ht="12" x14ac:dyDescent="0.25">
      <c r="A2" s="90" t="s">
        <v>247</v>
      </c>
      <c r="B2" s="90" t="s">
        <v>247</v>
      </c>
      <c r="C2" s="94" t="s">
        <v>248</v>
      </c>
      <c r="D2" s="108" t="s">
        <v>249</v>
      </c>
      <c r="E2" s="744" t="s">
        <v>249</v>
      </c>
      <c r="F2" s="745" t="s">
        <v>2727</v>
      </c>
      <c r="G2" s="746" t="s">
        <v>2728</v>
      </c>
    </row>
    <row r="3" spans="1:18" ht="12" x14ac:dyDescent="0.25">
      <c r="A3" s="90" t="s">
        <v>247</v>
      </c>
      <c r="B3" s="90" t="s">
        <v>247</v>
      </c>
      <c r="C3" s="90" t="s">
        <v>248</v>
      </c>
      <c r="D3" s="108" t="s">
        <v>2734</v>
      </c>
      <c r="E3" s="97" t="s">
        <v>2734</v>
      </c>
      <c r="F3" s="98" t="s">
        <v>738</v>
      </c>
      <c r="G3" s="104" t="s">
        <v>739</v>
      </c>
      <c r="I3" s="90" t="s">
        <v>249</v>
      </c>
      <c r="Q3" s="90" t="s">
        <v>187</v>
      </c>
      <c r="R3" s="90" t="s">
        <v>2734</v>
      </c>
    </row>
    <row r="4" spans="1:18" ht="12" x14ac:dyDescent="0.25">
      <c r="A4" s="90" t="s">
        <v>247</v>
      </c>
      <c r="B4" s="90" t="s">
        <v>247</v>
      </c>
      <c r="C4" s="90" t="s">
        <v>248</v>
      </c>
      <c r="D4" s="116" t="s">
        <v>250</v>
      </c>
      <c r="E4" s="97" t="s">
        <v>250</v>
      </c>
      <c r="F4" s="98" t="s">
        <v>251</v>
      </c>
      <c r="G4" s="104" t="s">
        <v>252</v>
      </c>
      <c r="Q4" s="90" t="s">
        <v>37</v>
      </c>
      <c r="R4" s="90" t="s">
        <v>250</v>
      </c>
    </row>
    <row r="5" spans="1:18" ht="12" x14ac:dyDescent="0.25">
      <c r="A5" s="90" t="s">
        <v>247</v>
      </c>
      <c r="B5" s="90" t="s">
        <v>247</v>
      </c>
      <c r="C5" s="90" t="s">
        <v>248</v>
      </c>
      <c r="D5" s="108" t="s">
        <v>253</v>
      </c>
      <c r="E5" s="97" t="s">
        <v>253</v>
      </c>
      <c r="F5" s="98" t="s">
        <v>254</v>
      </c>
      <c r="G5" s="104" t="s">
        <v>255</v>
      </c>
      <c r="Q5" s="90" t="s">
        <v>39</v>
      </c>
      <c r="R5" s="117" t="s">
        <v>256</v>
      </c>
    </row>
    <row r="6" spans="1:18" ht="12" x14ac:dyDescent="0.25">
      <c r="A6" s="90" t="s">
        <v>247</v>
      </c>
      <c r="B6" s="90" t="s">
        <v>247</v>
      </c>
      <c r="C6" s="90" t="s">
        <v>248</v>
      </c>
      <c r="D6" s="108" t="s">
        <v>256</v>
      </c>
      <c r="E6" s="97" t="s">
        <v>256</v>
      </c>
      <c r="F6" s="98" t="s">
        <v>257</v>
      </c>
      <c r="G6" s="104" t="s">
        <v>258</v>
      </c>
      <c r="Q6" s="90" t="s">
        <v>36</v>
      </c>
      <c r="R6" s="90" t="s">
        <v>253</v>
      </c>
    </row>
    <row r="7" spans="1:18" ht="12" x14ac:dyDescent="0.25">
      <c r="A7" s="90" t="s">
        <v>247</v>
      </c>
      <c r="B7" s="90" t="s">
        <v>247</v>
      </c>
      <c r="C7" s="90" t="s">
        <v>248</v>
      </c>
      <c r="D7" s="108" t="s">
        <v>2578</v>
      </c>
      <c r="E7" s="97" t="s">
        <v>2578</v>
      </c>
      <c r="F7" s="98" t="s">
        <v>2580</v>
      </c>
      <c r="G7" s="104" t="s">
        <v>2581</v>
      </c>
      <c r="Q7" s="90" t="s">
        <v>2004</v>
      </c>
      <c r="R7" s="90" t="s">
        <v>2578</v>
      </c>
    </row>
    <row r="8" spans="1:18" ht="12" x14ac:dyDescent="0.25">
      <c r="A8" s="90" t="s">
        <v>247</v>
      </c>
      <c r="B8" s="90" t="s">
        <v>247</v>
      </c>
      <c r="C8" s="90" t="s">
        <v>248</v>
      </c>
      <c r="D8" s="108" t="s">
        <v>259</v>
      </c>
      <c r="E8" s="97" t="s">
        <v>259</v>
      </c>
      <c r="F8" s="98" t="s">
        <v>260</v>
      </c>
      <c r="G8" s="104" t="s">
        <v>261</v>
      </c>
      <c r="Q8" s="90">
        <v>0</v>
      </c>
      <c r="R8" s="90" t="s">
        <v>249</v>
      </c>
    </row>
    <row r="9" spans="1:18" ht="12" x14ac:dyDescent="0.25">
      <c r="A9" s="90" t="s">
        <v>247</v>
      </c>
      <c r="B9" s="90" t="s">
        <v>247</v>
      </c>
      <c r="C9" s="90" t="s">
        <v>248</v>
      </c>
      <c r="D9" s="116" t="s">
        <v>262</v>
      </c>
      <c r="E9" s="97" t="s">
        <v>262</v>
      </c>
      <c r="F9" s="98" t="s">
        <v>263</v>
      </c>
      <c r="G9" s="104" t="s">
        <v>264</v>
      </c>
    </row>
    <row r="10" spans="1:18" ht="12" x14ac:dyDescent="0.25">
      <c r="A10" s="90" t="s">
        <v>247</v>
      </c>
      <c r="B10" s="90" t="s">
        <v>247</v>
      </c>
      <c r="C10" s="90" t="s">
        <v>248</v>
      </c>
      <c r="D10" s="116" t="s">
        <v>265</v>
      </c>
      <c r="E10" s="97" t="s">
        <v>265</v>
      </c>
      <c r="F10" s="98" t="s">
        <v>266</v>
      </c>
      <c r="G10" s="104" t="s">
        <v>267</v>
      </c>
    </row>
    <row r="11" spans="1:18" ht="12" x14ac:dyDescent="0.25">
      <c r="A11" s="90" t="s">
        <v>247</v>
      </c>
      <c r="B11" s="90" t="s">
        <v>247</v>
      </c>
      <c r="C11" s="90" t="s">
        <v>248</v>
      </c>
      <c r="D11" s="116" t="s">
        <v>2158</v>
      </c>
      <c r="E11" s="97" t="s">
        <v>2158</v>
      </c>
      <c r="F11" s="98" t="s">
        <v>2582</v>
      </c>
      <c r="G11" s="104" t="s">
        <v>2583</v>
      </c>
    </row>
    <row r="12" spans="1:18" ht="12" x14ac:dyDescent="0.25">
      <c r="A12" s="90" t="s">
        <v>247</v>
      </c>
      <c r="B12" s="90" t="s">
        <v>247</v>
      </c>
      <c r="C12" s="90" t="s">
        <v>248</v>
      </c>
      <c r="D12" s="109" t="s">
        <v>0</v>
      </c>
      <c r="E12" s="99" t="s">
        <v>0</v>
      </c>
      <c r="F12" s="100" t="s">
        <v>268</v>
      </c>
      <c r="G12" s="105" t="s">
        <v>269</v>
      </c>
      <c r="I12" s="90" t="s">
        <v>0</v>
      </c>
      <c r="Q12" s="90" t="s">
        <v>83</v>
      </c>
      <c r="R12" s="90" t="s">
        <v>259</v>
      </c>
    </row>
    <row r="13" spans="1:18" ht="24" x14ac:dyDescent="0.25">
      <c r="A13" s="90" t="s">
        <v>247</v>
      </c>
      <c r="B13" s="90" t="s">
        <v>247</v>
      </c>
      <c r="C13" s="90" t="s">
        <v>248</v>
      </c>
      <c r="D13" s="109" t="s">
        <v>2161</v>
      </c>
      <c r="E13" s="99" t="s">
        <v>2161</v>
      </c>
      <c r="F13" s="100" t="s">
        <v>2584</v>
      </c>
      <c r="G13" s="105" t="s">
        <v>2585</v>
      </c>
    </row>
    <row r="14" spans="1:18" ht="12" x14ac:dyDescent="0.25">
      <c r="A14" s="90" t="s">
        <v>247</v>
      </c>
      <c r="B14" s="90" t="s">
        <v>247</v>
      </c>
      <c r="C14" s="90" t="s">
        <v>248</v>
      </c>
      <c r="D14" s="406" t="s">
        <v>270</v>
      </c>
      <c r="E14" s="99" t="s">
        <v>270</v>
      </c>
      <c r="F14" s="100" t="s">
        <v>271</v>
      </c>
      <c r="G14" s="105" t="s">
        <v>272</v>
      </c>
      <c r="I14" s="90" t="s">
        <v>270</v>
      </c>
    </row>
    <row r="15" spans="1:18" ht="24" x14ac:dyDescent="0.25">
      <c r="A15" s="90" t="s">
        <v>247</v>
      </c>
      <c r="B15" s="90" t="s">
        <v>247</v>
      </c>
      <c r="C15" s="90" t="s">
        <v>248</v>
      </c>
      <c r="D15" s="406" t="s">
        <v>2162</v>
      </c>
      <c r="E15" s="99" t="s">
        <v>2162</v>
      </c>
      <c r="F15" s="100" t="s">
        <v>2586</v>
      </c>
      <c r="G15" s="105" t="s">
        <v>2587</v>
      </c>
    </row>
    <row r="16" spans="1:18" ht="12" x14ac:dyDescent="0.25">
      <c r="A16" s="90" t="s">
        <v>247</v>
      </c>
      <c r="B16" s="90" t="s">
        <v>247</v>
      </c>
      <c r="C16" s="90" t="s">
        <v>248</v>
      </c>
      <c r="D16" s="109" t="s">
        <v>737</v>
      </c>
      <c r="E16" s="99" t="s">
        <v>2413</v>
      </c>
      <c r="F16" s="100" t="s">
        <v>275</v>
      </c>
      <c r="G16" s="105" t="s">
        <v>276</v>
      </c>
      <c r="I16" s="90" t="s">
        <v>273</v>
      </c>
    </row>
    <row r="17" spans="1:9" ht="24" x14ac:dyDescent="0.25">
      <c r="A17" s="90" t="s">
        <v>247</v>
      </c>
      <c r="B17" s="90" t="s">
        <v>247</v>
      </c>
      <c r="C17" s="90" t="s">
        <v>248</v>
      </c>
      <c r="D17" s="109" t="s">
        <v>2729</v>
      </c>
      <c r="E17" s="99" t="s">
        <v>2729</v>
      </c>
      <c r="F17" s="100" t="s">
        <v>2730</v>
      </c>
      <c r="G17" s="105" t="s">
        <v>2731</v>
      </c>
    </row>
    <row r="18" spans="1:9" ht="12" x14ac:dyDescent="0.25">
      <c r="A18" s="90" t="s">
        <v>247</v>
      </c>
      <c r="B18" s="90" t="s">
        <v>247</v>
      </c>
      <c r="C18" s="90" t="s">
        <v>248</v>
      </c>
      <c r="D18" s="109" t="s">
        <v>2</v>
      </c>
      <c r="E18" s="99" t="s">
        <v>2</v>
      </c>
      <c r="F18" s="100" t="s">
        <v>277</v>
      </c>
      <c r="G18" s="105" t="s">
        <v>278</v>
      </c>
      <c r="I18" s="90" t="s">
        <v>2</v>
      </c>
    </row>
    <row r="19" spans="1:9" ht="24" x14ac:dyDescent="0.25">
      <c r="A19" s="90" t="s">
        <v>247</v>
      </c>
      <c r="B19" s="90" t="s">
        <v>247</v>
      </c>
      <c r="C19" s="90" t="s">
        <v>248</v>
      </c>
      <c r="D19" s="109" t="s">
        <v>2163</v>
      </c>
      <c r="E19" s="99" t="s">
        <v>2163</v>
      </c>
      <c r="F19" s="100" t="s">
        <v>2588</v>
      </c>
      <c r="G19" s="105" t="s">
        <v>2589</v>
      </c>
    </row>
    <row r="20" spans="1:9" ht="24" x14ac:dyDescent="0.25">
      <c r="A20" s="90" t="s">
        <v>247</v>
      </c>
      <c r="B20" s="90" t="s">
        <v>247</v>
      </c>
      <c r="C20" s="90" t="s">
        <v>248</v>
      </c>
      <c r="D20" s="109" t="s">
        <v>2691</v>
      </c>
      <c r="E20" s="99" t="s">
        <v>2691</v>
      </c>
      <c r="F20" s="100" t="s">
        <v>2683</v>
      </c>
      <c r="G20" s="105" t="s">
        <v>2687</v>
      </c>
    </row>
    <row r="21" spans="1:9" ht="12" x14ac:dyDescent="0.25">
      <c r="A21" s="90" t="s">
        <v>247</v>
      </c>
      <c r="B21" s="90" t="s">
        <v>247</v>
      </c>
      <c r="C21" s="90" t="s">
        <v>248</v>
      </c>
      <c r="D21" s="109" t="s">
        <v>1976</v>
      </c>
      <c r="E21" s="99" t="s">
        <v>1976</v>
      </c>
      <c r="F21" s="100" t="s">
        <v>2590</v>
      </c>
      <c r="G21" s="105" t="s">
        <v>2591</v>
      </c>
    </row>
    <row r="22" spans="1:9" ht="12" x14ac:dyDescent="0.25">
      <c r="A22" s="90" t="s">
        <v>247</v>
      </c>
      <c r="B22" s="90" t="s">
        <v>247</v>
      </c>
      <c r="C22" s="90" t="s">
        <v>248</v>
      </c>
      <c r="D22" s="109" t="s">
        <v>282</v>
      </c>
      <c r="E22" s="99" t="s">
        <v>3</v>
      </c>
      <c r="F22" s="100" t="s">
        <v>283</v>
      </c>
      <c r="G22" s="105" t="s">
        <v>284</v>
      </c>
      <c r="I22" s="90" t="s">
        <v>282</v>
      </c>
    </row>
    <row r="23" spans="1:9" ht="24" x14ac:dyDescent="0.25">
      <c r="A23" s="90" t="s">
        <v>247</v>
      </c>
      <c r="B23" s="90" t="s">
        <v>247</v>
      </c>
      <c r="C23" s="90" t="s">
        <v>3785</v>
      </c>
      <c r="D23" s="109" t="s">
        <v>2666</v>
      </c>
      <c r="E23" s="99" t="s">
        <v>2666</v>
      </c>
      <c r="F23" s="100" t="s">
        <v>2688</v>
      </c>
      <c r="G23" s="105" t="s">
        <v>3786</v>
      </c>
    </row>
    <row r="24" spans="1:9" ht="12" x14ac:dyDescent="0.25">
      <c r="A24" s="90" t="s">
        <v>247</v>
      </c>
      <c r="B24" s="90" t="s">
        <v>247</v>
      </c>
      <c r="C24" s="90" t="s">
        <v>248</v>
      </c>
      <c r="D24" s="109" t="s">
        <v>279</v>
      </c>
      <c r="E24" s="99" t="s">
        <v>279</v>
      </c>
      <c r="F24" s="100" t="s">
        <v>280</v>
      </c>
      <c r="G24" s="106" t="s">
        <v>281</v>
      </c>
      <c r="I24" s="90" t="s">
        <v>279</v>
      </c>
    </row>
    <row r="25" spans="1:9" ht="12" x14ac:dyDescent="0.25">
      <c r="A25" s="90" t="s">
        <v>247</v>
      </c>
      <c r="B25" s="90" t="s">
        <v>247</v>
      </c>
      <c r="C25" s="90" t="s">
        <v>248</v>
      </c>
      <c r="D25" s="109" t="s">
        <v>2414</v>
      </c>
      <c r="E25" s="99" t="s">
        <v>2414</v>
      </c>
      <c r="F25" s="100" t="s">
        <v>2592</v>
      </c>
      <c r="G25" s="106" t="s">
        <v>2593</v>
      </c>
    </row>
    <row r="26" spans="1:9" ht="12" x14ac:dyDescent="0.25">
      <c r="A26" s="90" t="s">
        <v>247</v>
      </c>
      <c r="B26" s="90" t="s">
        <v>247</v>
      </c>
      <c r="C26" s="90" t="s">
        <v>248</v>
      </c>
      <c r="D26" s="109" t="s">
        <v>2659</v>
      </c>
      <c r="E26" s="99" t="s">
        <v>2659</v>
      </c>
      <c r="F26" s="100" t="s">
        <v>2660</v>
      </c>
      <c r="G26" s="106" t="s">
        <v>2661</v>
      </c>
    </row>
    <row r="27" spans="1:9" ht="12" x14ac:dyDescent="0.25">
      <c r="A27" s="90" t="s">
        <v>247</v>
      </c>
      <c r="B27" s="90" t="s">
        <v>247</v>
      </c>
      <c r="C27" s="90" t="s">
        <v>248</v>
      </c>
      <c r="D27" s="109" t="s">
        <v>285</v>
      </c>
      <c r="E27" s="99" t="s">
        <v>285</v>
      </c>
      <c r="F27" s="100" t="s">
        <v>286</v>
      </c>
      <c r="G27" s="105" t="s">
        <v>287</v>
      </c>
      <c r="I27" s="90" t="s">
        <v>285</v>
      </c>
    </row>
    <row r="28" spans="1:9" ht="12" x14ac:dyDescent="0.25">
      <c r="A28" s="90" t="s">
        <v>247</v>
      </c>
      <c r="B28" s="90" t="s">
        <v>247</v>
      </c>
      <c r="C28" s="90" t="s">
        <v>248</v>
      </c>
      <c r="D28" s="109" t="s">
        <v>288</v>
      </c>
      <c r="E28" s="99" t="s">
        <v>289</v>
      </c>
      <c r="F28" s="100" t="s">
        <v>290</v>
      </c>
      <c r="G28" s="105" t="s">
        <v>291</v>
      </c>
      <c r="I28" s="90" t="s">
        <v>288</v>
      </c>
    </row>
    <row r="29" spans="1:9" ht="12" x14ac:dyDescent="0.25">
      <c r="A29" s="90" t="s">
        <v>247</v>
      </c>
      <c r="B29" s="90" t="s">
        <v>247</v>
      </c>
      <c r="C29" s="90" t="s">
        <v>248</v>
      </c>
      <c r="D29" s="109" t="s">
        <v>292</v>
      </c>
      <c r="E29" s="99" t="s">
        <v>293</v>
      </c>
      <c r="F29" s="100" t="s">
        <v>294</v>
      </c>
      <c r="G29" s="105" t="s">
        <v>295</v>
      </c>
      <c r="I29" s="90" t="s">
        <v>292</v>
      </c>
    </row>
    <row r="30" spans="1:9" ht="12" x14ac:dyDescent="0.25">
      <c r="A30" s="90" t="s">
        <v>247</v>
      </c>
      <c r="B30" s="90" t="s">
        <v>247</v>
      </c>
      <c r="C30" s="90" t="s">
        <v>248</v>
      </c>
      <c r="D30" s="109" t="s">
        <v>296</v>
      </c>
      <c r="E30" s="99" t="s">
        <v>297</v>
      </c>
      <c r="F30" s="100" t="s">
        <v>298</v>
      </c>
      <c r="G30" s="105" t="s">
        <v>299</v>
      </c>
      <c r="I30" s="90" t="s">
        <v>296</v>
      </c>
    </row>
    <row r="31" spans="1:9" ht="12" x14ac:dyDescent="0.25">
      <c r="A31" s="90" t="s">
        <v>247</v>
      </c>
      <c r="B31" s="90" t="s">
        <v>247</v>
      </c>
      <c r="C31" s="90" t="s">
        <v>248</v>
      </c>
      <c r="D31" s="109" t="s">
        <v>303</v>
      </c>
      <c r="E31" s="99" t="s">
        <v>143</v>
      </c>
      <c r="F31" s="100" t="s">
        <v>304</v>
      </c>
      <c r="G31" s="105" t="s">
        <v>305</v>
      </c>
      <c r="I31" s="90" t="s">
        <v>303</v>
      </c>
    </row>
    <row r="32" spans="1:9" ht="12" x14ac:dyDescent="0.25">
      <c r="A32" s="90" t="s">
        <v>247</v>
      </c>
      <c r="B32" s="90" t="s">
        <v>247</v>
      </c>
      <c r="C32" s="90" t="s">
        <v>248</v>
      </c>
      <c r="D32" s="109" t="s">
        <v>2669</v>
      </c>
      <c r="E32" s="99" t="s">
        <v>2669</v>
      </c>
      <c r="F32" s="100" t="s">
        <v>2684</v>
      </c>
      <c r="G32" s="105" t="s">
        <v>2689</v>
      </c>
      <c r="I32" s="90" t="s">
        <v>306</v>
      </c>
    </row>
    <row r="33" spans="1:9" ht="12" x14ac:dyDescent="0.25">
      <c r="A33" s="90" t="s">
        <v>247</v>
      </c>
      <c r="B33" s="90" t="s">
        <v>247</v>
      </c>
      <c r="C33" s="90" t="s">
        <v>248</v>
      </c>
      <c r="D33" s="109" t="s">
        <v>307</v>
      </c>
      <c r="E33" s="99" t="s">
        <v>307</v>
      </c>
      <c r="F33" s="100" t="s">
        <v>308</v>
      </c>
      <c r="G33" s="105" t="s">
        <v>309</v>
      </c>
      <c r="I33" s="90" t="s">
        <v>307</v>
      </c>
    </row>
    <row r="34" spans="1:9" ht="12" x14ac:dyDescent="0.25">
      <c r="A34" s="90" t="s">
        <v>247</v>
      </c>
      <c r="B34" s="90" t="s">
        <v>247</v>
      </c>
      <c r="C34" s="90" t="s">
        <v>248</v>
      </c>
      <c r="D34" s="109" t="s">
        <v>665</v>
      </c>
      <c r="E34" s="99" t="s">
        <v>665</v>
      </c>
      <c r="F34" s="100" t="s">
        <v>2594</v>
      </c>
      <c r="G34" s="105" t="s">
        <v>2595</v>
      </c>
    </row>
    <row r="35" spans="1:9" ht="12" x14ac:dyDescent="0.25">
      <c r="A35" s="90" t="s">
        <v>247</v>
      </c>
      <c r="B35" s="90" t="s">
        <v>247</v>
      </c>
      <c r="C35" s="90" t="s">
        <v>248</v>
      </c>
      <c r="D35" s="109" t="s">
        <v>1937</v>
      </c>
      <c r="E35" s="99" t="s">
        <v>1937</v>
      </c>
      <c r="F35" s="100" t="s">
        <v>2596</v>
      </c>
      <c r="G35" s="105" t="s">
        <v>2597</v>
      </c>
    </row>
    <row r="36" spans="1:9" ht="12" x14ac:dyDescent="0.25">
      <c r="A36" s="90" t="s">
        <v>247</v>
      </c>
      <c r="B36" s="90" t="s">
        <v>247</v>
      </c>
      <c r="C36" s="90" t="s">
        <v>248</v>
      </c>
      <c r="D36" s="109" t="s">
        <v>1938</v>
      </c>
      <c r="E36" s="99" t="s">
        <v>1938</v>
      </c>
      <c r="F36" s="100" t="s">
        <v>2598</v>
      </c>
      <c r="G36" s="105" t="s">
        <v>2599</v>
      </c>
    </row>
    <row r="37" spans="1:9" ht="12" x14ac:dyDescent="0.25">
      <c r="A37" s="90" t="s">
        <v>247</v>
      </c>
      <c r="B37" s="90" t="s">
        <v>247</v>
      </c>
      <c r="C37" s="90" t="s">
        <v>248</v>
      </c>
      <c r="D37" s="109" t="s">
        <v>59</v>
      </c>
      <c r="E37" s="99" t="s">
        <v>59</v>
      </c>
      <c r="F37" s="100" t="s">
        <v>2600</v>
      </c>
      <c r="G37" s="105" t="s">
        <v>2601</v>
      </c>
    </row>
    <row r="38" spans="1:9" ht="12" x14ac:dyDescent="0.25">
      <c r="A38" s="90" t="s">
        <v>247</v>
      </c>
      <c r="B38" s="90" t="s">
        <v>247</v>
      </c>
      <c r="C38" s="90" t="s">
        <v>248</v>
      </c>
      <c r="D38" s="109" t="s">
        <v>60</v>
      </c>
      <c r="E38" s="99" t="s">
        <v>60</v>
      </c>
      <c r="F38" s="100" t="s">
        <v>2602</v>
      </c>
      <c r="G38" s="105" t="s">
        <v>2603</v>
      </c>
    </row>
    <row r="39" spans="1:9" ht="12" x14ac:dyDescent="0.25">
      <c r="A39" s="90" t="s">
        <v>247</v>
      </c>
      <c r="B39" s="90" t="s">
        <v>247</v>
      </c>
      <c r="C39" s="90" t="s">
        <v>248</v>
      </c>
      <c r="D39" s="109" t="s">
        <v>2417</v>
      </c>
      <c r="E39" s="99" t="s">
        <v>2417</v>
      </c>
      <c r="F39" s="100" t="s">
        <v>2604</v>
      </c>
      <c r="G39" s="105" t="s">
        <v>2605</v>
      </c>
    </row>
    <row r="40" spans="1:9" ht="12" x14ac:dyDescent="0.25">
      <c r="A40" s="90" t="s">
        <v>247</v>
      </c>
      <c r="B40" s="90" t="s">
        <v>247</v>
      </c>
      <c r="C40" s="90" t="s">
        <v>248</v>
      </c>
      <c r="D40" s="109" t="s">
        <v>666</v>
      </c>
      <c r="E40" s="99" t="s">
        <v>666</v>
      </c>
      <c r="F40" s="100" t="s">
        <v>2606</v>
      </c>
      <c r="G40" s="105" t="s">
        <v>2607</v>
      </c>
    </row>
    <row r="41" spans="1:9" ht="48" x14ac:dyDescent="0.25">
      <c r="A41" s="90" t="s">
        <v>247</v>
      </c>
      <c r="B41" s="90" t="s">
        <v>247</v>
      </c>
      <c r="C41" s="90" t="s">
        <v>248</v>
      </c>
      <c r="D41" s="109" t="s">
        <v>2165</v>
      </c>
      <c r="E41" s="99" t="s">
        <v>2165</v>
      </c>
      <c r="F41" s="100" t="s">
        <v>2608</v>
      </c>
      <c r="G41" s="105" t="s">
        <v>2609</v>
      </c>
    </row>
    <row r="42" spans="1:9" ht="12" x14ac:dyDescent="0.25">
      <c r="A42" s="90" t="s">
        <v>247</v>
      </c>
      <c r="B42" s="90" t="s">
        <v>247</v>
      </c>
      <c r="C42" s="90" t="s">
        <v>248</v>
      </c>
      <c r="D42" s="109" t="s">
        <v>2416</v>
      </c>
      <c r="E42" s="99" t="s">
        <v>2416</v>
      </c>
      <c r="F42" s="100" t="s">
        <v>2610</v>
      </c>
      <c r="G42" s="105" t="s">
        <v>2611</v>
      </c>
    </row>
    <row r="43" spans="1:9" ht="12" x14ac:dyDescent="0.25">
      <c r="A43" s="90" t="s">
        <v>247</v>
      </c>
      <c r="B43" s="90" t="s">
        <v>247</v>
      </c>
      <c r="C43" s="90" t="s">
        <v>248</v>
      </c>
      <c r="D43" s="109" t="s">
        <v>310</v>
      </c>
      <c r="E43" s="99" t="s">
        <v>310</v>
      </c>
      <c r="F43" s="100" t="s">
        <v>311</v>
      </c>
      <c r="G43" s="105" t="s">
        <v>310</v>
      </c>
      <c r="I43" s="90" t="s">
        <v>310</v>
      </c>
    </row>
    <row r="44" spans="1:9" ht="24" x14ac:dyDescent="0.25">
      <c r="A44" s="90" t="s">
        <v>247</v>
      </c>
      <c r="B44" s="90" t="s">
        <v>247</v>
      </c>
      <c r="C44" s="90" t="s">
        <v>248</v>
      </c>
      <c r="D44" s="109" t="s">
        <v>2415</v>
      </c>
      <c r="E44" s="99" t="s">
        <v>2415</v>
      </c>
      <c r="F44" s="100" t="s">
        <v>2612</v>
      </c>
      <c r="G44" s="105" t="s">
        <v>3780</v>
      </c>
    </row>
    <row r="45" spans="1:9" ht="12" x14ac:dyDescent="0.25">
      <c r="A45" s="90" t="s">
        <v>247</v>
      </c>
      <c r="B45" s="90" t="s">
        <v>247</v>
      </c>
      <c r="C45" s="90" t="s">
        <v>248</v>
      </c>
      <c r="D45" s="109" t="s">
        <v>2159</v>
      </c>
      <c r="E45" s="99" t="s">
        <v>2159</v>
      </c>
      <c r="F45" s="100" t="s">
        <v>2613</v>
      </c>
      <c r="G45" s="105" t="s">
        <v>2614</v>
      </c>
    </row>
    <row r="46" spans="1:9" ht="12" x14ac:dyDescent="0.25">
      <c r="A46" s="90" t="s">
        <v>247</v>
      </c>
      <c r="B46" s="90" t="s">
        <v>247</v>
      </c>
      <c r="C46" s="90" t="s">
        <v>248</v>
      </c>
      <c r="D46" s="109" t="s">
        <v>2160</v>
      </c>
      <c r="E46" s="99" t="s">
        <v>2160</v>
      </c>
      <c r="F46" s="100" t="s">
        <v>2615</v>
      </c>
      <c r="G46" s="105" t="s">
        <v>2616</v>
      </c>
    </row>
    <row r="47" spans="1:9" ht="12" x14ac:dyDescent="0.25">
      <c r="A47" s="90" t="s">
        <v>247</v>
      </c>
      <c r="B47" s="90" t="s">
        <v>247</v>
      </c>
      <c r="C47" s="90" t="s">
        <v>248</v>
      </c>
      <c r="D47" s="109" t="s">
        <v>312</v>
      </c>
      <c r="E47" s="99" t="s">
        <v>312</v>
      </c>
      <c r="F47" s="100" t="s">
        <v>313</v>
      </c>
      <c r="G47" s="105" t="s">
        <v>314</v>
      </c>
      <c r="I47" s="90" t="s">
        <v>312</v>
      </c>
    </row>
    <row r="48" spans="1:9" ht="12" x14ac:dyDescent="0.25">
      <c r="A48" s="90" t="s">
        <v>247</v>
      </c>
      <c r="B48" s="90" t="s">
        <v>247</v>
      </c>
      <c r="C48" s="90" t="s">
        <v>248</v>
      </c>
      <c r="D48" s="109" t="s">
        <v>2166</v>
      </c>
      <c r="E48" s="99" t="s">
        <v>2166</v>
      </c>
      <c r="F48" s="100" t="s">
        <v>2617</v>
      </c>
      <c r="G48" s="105" t="s">
        <v>2618</v>
      </c>
    </row>
    <row r="49" spans="1:9" ht="12" x14ac:dyDescent="0.25">
      <c r="A49" s="90" t="s">
        <v>247</v>
      </c>
      <c r="B49" s="90" t="s">
        <v>247</v>
      </c>
      <c r="C49" s="90" t="s">
        <v>248</v>
      </c>
      <c r="D49" s="109" t="s">
        <v>2171</v>
      </c>
      <c r="E49" s="99" t="s">
        <v>2171</v>
      </c>
      <c r="F49" s="100" t="s">
        <v>2619</v>
      </c>
      <c r="G49" s="105" t="s">
        <v>2620</v>
      </c>
    </row>
    <row r="50" spans="1:9" ht="24" x14ac:dyDescent="0.25">
      <c r="A50" s="90" t="s">
        <v>247</v>
      </c>
      <c r="B50" s="90" t="s">
        <v>247</v>
      </c>
      <c r="C50" s="90" t="s">
        <v>248</v>
      </c>
      <c r="D50" s="109" t="s">
        <v>2167</v>
      </c>
      <c r="E50" s="99" t="s">
        <v>2167</v>
      </c>
      <c r="F50" s="100" t="s">
        <v>2621</v>
      </c>
      <c r="G50" s="105" t="s">
        <v>2622</v>
      </c>
    </row>
    <row r="51" spans="1:9" ht="24" x14ac:dyDescent="0.25">
      <c r="A51" s="90" t="s">
        <v>247</v>
      </c>
      <c r="B51" s="90" t="s">
        <v>247</v>
      </c>
      <c r="C51" s="90" t="s">
        <v>248</v>
      </c>
      <c r="D51" s="109" t="s">
        <v>2168</v>
      </c>
      <c r="E51" s="99" t="s">
        <v>2168</v>
      </c>
      <c r="F51" s="100" t="s">
        <v>2623</v>
      </c>
      <c r="G51" s="105" t="s">
        <v>2624</v>
      </c>
    </row>
    <row r="52" spans="1:9" ht="12" x14ac:dyDescent="0.25">
      <c r="A52" s="90" t="s">
        <v>247</v>
      </c>
      <c r="B52" s="90" t="s">
        <v>247</v>
      </c>
      <c r="C52" s="90" t="s">
        <v>248</v>
      </c>
      <c r="D52" s="109" t="s">
        <v>2169</v>
      </c>
      <c r="E52" s="99" t="s">
        <v>2169</v>
      </c>
      <c r="F52" s="100" t="s">
        <v>2625</v>
      </c>
      <c r="G52" s="105" t="s">
        <v>2626</v>
      </c>
    </row>
    <row r="53" spans="1:9" ht="12" x14ac:dyDescent="0.25">
      <c r="A53" s="90" t="s">
        <v>247</v>
      </c>
      <c r="B53" s="90" t="s">
        <v>247</v>
      </c>
      <c r="C53" s="90" t="s">
        <v>248</v>
      </c>
      <c r="D53" s="109" t="s">
        <v>1</v>
      </c>
      <c r="E53" s="99" t="s">
        <v>1</v>
      </c>
      <c r="F53" s="100" t="s">
        <v>315</v>
      </c>
      <c r="G53" s="105" t="s">
        <v>316</v>
      </c>
      <c r="I53" s="90" t="s">
        <v>1</v>
      </c>
    </row>
    <row r="54" spans="1:9" ht="12" x14ac:dyDescent="0.25">
      <c r="A54" s="90" t="s">
        <v>247</v>
      </c>
      <c r="B54" s="90" t="s">
        <v>247</v>
      </c>
      <c r="C54" s="90" t="s">
        <v>248</v>
      </c>
      <c r="D54" s="109" t="s">
        <v>2164</v>
      </c>
      <c r="E54" s="99" t="s">
        <v>2164</v>
      </c>
      <c r="F54" s="100" t="s">
        <v>2627</v>
      </c>
      <c r="G54" s="105" t="s">
        <v>2628</v>
      </c>
    </row>
    <row r="55" spans="1:9" ht="24" x14ac:dyDescent="0.25">
      <c r="A55" s="90" t="s">
        <v>247</v>
      </c>
      <c r="B55" s="90" t="s">
        <v>247</v>
      </c>
      <c r="C55" s="90" t="s">
        <v>248</v>
      </c>
      <c r="D55" s="109" t="s">
        <v>300</v>
      </c>
      <c r="E55" s="99" t="s">
        <v>300</v>
      </c>
      <c r="F55" s="100" t="s">
        <v>301</v>
      </c>
      <c r="G55" s="105" t="s">
        <v>302</v>
      </c>
      <c r="I55" s="90" t="s">
        <v>300</v>
      </c>
    </row>
    <row r="56" spans="1:9" ht="24" x14ac:dyDescent="0.25">
      <c r="A56" s="90" t="s">
        <v>247</v>
      </c>
      <c r="B56" s="90" t="s">
        <v>247</v>
      </c>
      <c r="C56" s="90" t="s">
        <v>248</v>
      </c>
      <c r="D56" s="109" t="s">
        <v>2667</v>
      </c>
      <c r="E56" s="99" t="s">
        <v>2667</v>
      </c>
      <c r="F56" s="100" t="s">
        <v>2685</v>
      </c>
      <c r="G56" s="105" t="s">
        <v>2682</v>
      </c>
      <c r="I56" s="90" t="s">
        <v>317</v>
      </c>
    </row>
    <row r="57" spans="1:9" ht="24" x14ac:dyDescent="0.25">
      <c r="A57" s="90" t="s">
        <v>247</v>
      </c>
      <c r="B57" s="90" t="s">
        <v>247</v>
      </c>
      <c r="C57" s="90" t="s">
        <v>248</v>
      </c>
      <c r="D57" s="109" t="s">
        <v>2668</v>
      </c>
      <c r="E57" s="99" t="s">
        <v>2668</v>
      </c>
      <c r="F57" s="100" t="s">
        <v>2686</v>
      </c>
      <c r="G57" s="105" t="s">
        <v>2690</v>
      </c>
      <c r="I57" s="90" t="s">
        <v>318</v>
      </c>
    </row>
    <row r="58" spans="1:9" ht="12" x14ac:dyDescent="0.25">
      <c r="A58" s="90" t="s">
        <v>247</v>
      </c>
      <c r="B58" s="90" t="s">
        <v>247</v>
      </c>
      <c r="C58" s="90" t="s">
        <v>248</v>
      </c>
      <c r="D58" s="109" t="s">
        <v>2418</v>
      </c>
      <c r="E58" s="99" t="s">
        <v>2418</v>
      </c>
      <c r="F58" s="100" t="s">
        <v>2419</v>
      </c>
      <c r="G58" s="105" t="s">
        <v>2420</v>
      </c>
      <c r="I58" s="90" t="s">
        <v>319</v>
      </c>
    </row>
    <row r="59" spans="1:9" ht="12" x14ac:dyDescent="0.25">
      <c r="A59" s="90" t="s">
        <v>247</v>
      </c>
      <c r="B59" s="90" t="s">
        <v>247</v>
      </c>
      <c r="C59" s="90" t="s">
        <v>248</v>
      </c>
      <c r="D59" s="109" t="s">
        <v>320</v>
      </c>
      <c r="E59" s="99" t="s">
        <v>320</v>
      </c>
      <c r="F59" s="100" t="s">
        <v>321</v>
      </c>
      <c r="G59" s="105" t="s">
        <v>322</v>
      </c>
      <c r="I59" s="90" t="s">
        <v>320</v>
      </c>
    </row>
    <row r="60" spans="1:9" ht="12" x14ac:dyDescent="0.25">
      <c r="A60" s="90" t="s">
        <v>247</v>
      </c>
      <c r="B60" s="90" t="s">
        <v>247</v>
      </c>
      <c r="C60" s="90" t="s">
        <v>248</v>
      </c>
      <c r="D60" s="109" t="s">
        <v>72</v>
      </c>
      <c r="E60" s="99" t="s">
        <v>72</v>
      </c>
      <c r="F60" s="100" t="s">
        <v>323</v>
      </c>
      <c r="G60" s="105" t="s">
        <v>324</v>
      </c>
      <c r="I60" s="90" t="s">
        <v>325</v>
      </c>
    </row>
    <row r="61" spans="1:9" ht="12" x14ac:dyDescent="0.25">
      <c r="A61" s="90" t="s">
        <v>247</v>
      </c>
      <c r="B61" s="90" t="s">
        <v>247</v>
      </c>
      <c r="C61" s="90" t="s">
        <v>248</v>
      </c>
      <c r="D61" s="109" t="s">
        <v>74</v>
      </c>
      <c r="E61" s="99" t="s">
        <v>74</v>
      </c>
      <c r="F61" s="100" t="s">
        <v>326</v>
      </c>
      <c r="G61" s="105" t="s">
        <v>327</v>
      </c>
      <c r="I61" s="90" t="s">
        <v>63</v>
      </c>
    </row>
    <row r="62" spans="1:9" ht="12" x14ac:dyDescent="0.25">
      <c r="A62" s="90" t="s">
        <v>247</v>
      </c>
      <c r="B62" s="90" t="s">
        <v>247</v>
      </c>
      <c r="C62" s="90" t="s">
        <v>248</v>
      </c>
      <c r="D62" s="109" t="s">
        <v>3790</v>
      </c>
      <c r="E62" s="99" t="s">
        <v>3790</v>
      </c>
      <c r="F62" s="100" t="s">
        <v>3792</v>
      </c>
      <c r="G62" s="105" t="s">
        <v>3793</v>
      </c>
      <c r="I62" s="90" t="s">
        <v>79</v>
      </c>
    </row>
    <row r="63" spans="1:9" ht="12" x14ac:dyDescent="0.25">
      <c r="A63" s="90" t="s">
        <v>247</v>
      </c>
      <c r="B63" s="90" t="s">
        <v>247</v>
      </c>
      <c r="C63" s="90" t="s">
        <v>248</v>
      </c>
      <c r="D63" s="109" t="s">
        <v>328</v>
      </c>
      <c r="E63" s="99" t="s">
        <v>328</v>
      </c>
      <c r="F63" s="100" t="s">
        <v>329</v>
      </c>
      <c r="G63" s="105" t="s">
        <v>330</v>
      </c>
      <c r="I63" s="90" t="s">
        <v>328</v>
      </c>
    </row>
    <row r="64" spans="1:9" ht="12" x14ac:dyDescent="0.25">
      <c r="A64" s="90" t="s">
        <v>247</v>
      </c>
      <c r="B64" s="90" t="s">
        <v>247</v>
      </c>
      <c r="C64" s="90" t="s">
        <v>248</v>
      </c>
      <c r="D64" s="109" t="s">
        <v>78</v>
      </c>
      <c r="E64" s="99" t="s">
        <v>78</v>
      </c>
      <c r="F64" s="100" t="s">
        <v>331</v>
      </c>
      <c r="G64" s="105" t="s">
        <v>332</v>
      </c>
      <c r="I64" s="90" t="s">
        <v>78</v>
      </c>
    </row>
    <row r="65" spans="1:7" ht="48" x14ac:dyDescent="0.25">
      <c r="A65" s="90" t="s">
        <v>247</v>
      </c>
      <c r="B65" s="90" t="s">
        <v>247</v>
      </c>
      <c r="C65" s="90" t="s">
        <v>248</v>
      </c>
      <c r="D65" s="109" t="s">
        <v>3791</v>
      </c>
      <c r="E65" s="99" t="s">
        <v>3791</v>
      </c>
      <c r="F65" s="100" t="s">
        <v>2629</v>
      </c>
      <c r="G65" s="105" t="s">
        <v>2630</v>
      </c>
    </row>
    <row r="66" spans="1:7" ht="36" x14ac:dyDescent="0.25">
      <c r="A66" s="90" t="s">
        <v>247</v>
      </c>
      <c r="B66" s="90" t="s">
        <v>247</v>
      </c>
      <c r="C66" s="90" t="s">
        <v>248</v>
      </c>
      <c r="D66" s="109" t="s">
        <v>2421</v>
      </c>
      <c r="E66" s="99" t="s">
        <v>2170</v>
      </c>
      <c r="F66" s="100" t="s">
        <v>2631</v>
      </c>
      <c r="G66" s="105" t="s">
        <v>2632</v>
      </c>
    </row>
    <row r="67" spans="1:7" ht="12" x14ac:dyDescent="0.25">
      <c r="A67" s="90" t="s">
        <v>247</v>
      </c>
      <c r="B67" s="90" t="s">
        <v>247</v>
      </c>
      <c r="C67" s="90" t="s">
        <v>248</v>
      </c>
      <c r="D67" s="109" t="s">
        <v>3661</v>
      </c>
      <c r="E67" s="99" t="s">
        <v>3661</v>
      </c>
      <c r="F67" s="100" t="s">
        <v>3776</v>
      </c>
      <c r="G67" s="105" t="s">
        <v>3777</v>
      </c>
    </row>
    <row r="68" spans="1:7" ht="12" x14ac:dyDescent="0.25">
      <c r="A68" s="90" t="s">
        <v>247</v>
      </c>
      <c r="B68" s="90" t="s">
        <v>247</v>
      </c>
      <c r="C68" s="90" t="s">
        <v>248</v>
      </c>
      <c r="D68" s="109" t="s">
        <v>3669</v>
      </c>
      <c r="E68" s="99" t="s">
        <v>3669</v>
      </c>
      <c r="F68" s="100" t="s">
        <v>3778</v>
      </c>
      <c r="G68" s="105" t="s">
        <v>3779</v>
      </c>
    </row>
    <row r="69" spans="1:7" ht="227.5" customHeight="1" x14ac:dyDescent="0.25">
      <c r="A69" s="90" t="s">
        <v>36</v>
      </c>
      <c r="B69" s="90" t="s">
        <v>333</v>
      </c>
      <c r="C69" s="90" t="s">
        <v>2006</v>
      </c>
      <c r="D69" s="109" t="s">
        <v>2007</v>
      </c>
      <c r="E69" s="99" t="s">
        <v>2007</v>
      </c>
      <c r="F69" s="100" t="s">
        <v>2453</v>
      </c>
      <c r="G69" s="105" t="s">
        <v>2454</v>
      </c>
    </row>
    <row r="70" spans="1:7" ht="12" x14ac:dyDescent="0.25">
      <c r="A70" s="90" t="s">
        <v>36</v>
      </c>
      <c r="B70" s="90" t="s">
        <v>333</v>
      </c>
      <c r="C70" s="90" t="s">
        <v>2008</v>
      </c>
      <c r="D70" s="109" t="s">
        <v>613</v>
      </c>
      <c r="E70" s="99" t="s">
        <v>613</v>
      </c>
      <c r="F70" s="100" t="s">
        <v>2455</v>
      </c>
      <c r="G70" s="105" t="s">
        <v>613</v>
      </c>
    </row>
    <row r="71" spans="1:7" ht="138.5" customHeight="1" x14ac:dyDescent="0.25">
      <c r="A71" s="90" t="s">
        <v>36</v>
      </c>
      <c r="B71" s="90" t="s">
        <v>333</v>
      </c>
      <c r="C71" s="90" t="s">
        <v>2009</v>
      </c>
      <c r="D71" s="109" t="s">
        <v>2439</v>
      </c>
      <c r="E71" s="99" t="s">
        <v>2439</v>
      </c>
      <c r="F71" s="100" t="s">
        <v>2633</v>
      </c>
      <c r="G71" s="105" t="s">
        <v>2634</v>
      </c>
    </row>
    <row r="72" spans="1:7" ht="312" x14ac:dyDescent="0.25">
      <c r="A72" s="90" t="s">
        <v>36</v>
      </c>
      <c r="B72" s="90" t="s">
        <v>333</v>
      </c>
      <c r="C72" s="90" t="s">
        <v>2010</v>
      </c>
      <c r="D72" s="109" t="s">
        <v>2011</v>
      </c>
      <c r="E72" s="99" t="s">
        <v>2011</v>
      </c>
      <c r="F72" s="100" t="s">
        <v>2456</v>
      </c>
      <c r="G72" s="105" t="s">
        <v>2457</v>
      </c>
    </row>
    <row r="73" spans="1:7" ht="12" x14ac:dyDescent="0.25">
      <c r="A73" s="90" t="s">
        <v>36</v>
      </c>
      <c r="B73" s="90" t="s">
        <v>333</v>
      </c>
      <c r="C73" s="90" t="s">
        <v>2012</v>
      </c>
      <c r="D73" s="109" t="s">
        <v>613</v>
      </c>
      <c r="E73" s="99" t="s">
        <v>613</v>
      </c>
      <c r="F73" s="100" t="s">
        <v>2455</v>
      </c>
      <c r="G73" s="105" t="s">
        <v>613</v>
      </c>
    </row>
    <row r="74" spans="1:7" ht="157" customHeight="1" x14ac:dyDescent="0.25">
      <c r="A74" s="90" t="s">
        <v>36</v>
      </c>
      <c r="B74" s="90" t="s">
        <v>333</v>
      </c>
      <c r="C74" s="90" t="s">
        <v>2013</v>
      </c>
      <c r="D74" s="109" t="s">
        <v>2444</v>
      </c>
      <c r="E74" s="99" t="s">
        <v>2444</v>
      </c>
      <c r="F74" s="100" t="s">
        <v>2635</v>
      </c>
      <c r="G74" s="105" t="s">
        <v>2636</v>
      </c>
    </row>
    <row r="75" spans="1:7" ht="192" x14ac:dyDescent="0.25">
      <c r="A75" s="90" t="s">
        <v>36</v>
      </c>
      <c r="B75" s="90" t="s">
        <v>333</v>
      </c>
      <c r="C75" s="90" t="s">
        <v>2014</v>
      </c>
      <c r="D75" s="109" t="s">
        <v>2658</v>
      </c>
      <c r="E75" s="99" t="s">
        <v>2658</v>
      </c>
      <c r="F75" s="100" t="s">
        <v>2458</v>
      </c>
      <c r="G75" s="105" t="s">
        <v>2459</v>
      </c>
    </row>
    <row r="76" spans="1:7" ht="12" x14ac:dyDescent="0.25">
      <c r="A76" s="90" t="s">
        <v>36</v>
      </c>
      <c r="B76" s="90" t="s">
        <v>333</v>
      </c>
      <c r="C76" s="90" t="s">
        <v>2015</v>
      </c>
      <c r="D76" s="109" t="s">
        <v>613</v>
      </c>
      <c r="E76" s="99" t="s">
        <v>613</v>
      </c>
      <c r="F76" s="100" t="s">
        <v>2455</v>
      </c>
      <c r="G76" s="105" t="s">
        <v>613</v>
      </c>
    </row>
    <row r="77" spans="1:7" ht="143.5" customHeight="1" x14ac:dyDescent="0.25">
      <c r="A77" s="90" t="s">
        <v>36</v>
      </c>
      <c r="B77" s="90" t="s">
        <v>333</v>
      </c>
      <c r="C77" s="90" t="s">
        <v>2016</v>
      </c>
      <c r="D77" s="282" t="s">
        <v>2445</v>
      </c>
      <c r="E77" s="281" t="s">
        <v>2445</v>
      </c>
      <c r="F77" s="283" t="s">
        <v>2637</v>
      </c>
      <c r="G77" s="284" t="s">
        <v>2638</v>
      </c>
    </row>
    <row r="78" spans="1:7" ht="48" x14ac:dyDescent="0.25">
      <c r="A78" s="90" t="s">
        <v>36</v>
      </c>
      <c r="B78" s="90" t="s">
        <v>333</v>
      </c>
      <c r="C78" s="90" t="s">
        <v>2017</v>
      </c>
      <c r="D78" s="109" t="s">
        <v>2018</v>
      </c>
      <c r="E78" s="99" t="s">
        <v>2018</v>
      </c>
      <c r="F78" s="100" t="s">
        <v>2460</v>
      </c>
      <c r="G78" s="105" t="s">
        <v>2461</v>
      </c>
    </row>
    <row r="79" spans="1:7" ht="12" x14ac:dyDescent="0.25">
      <c r="A79" s="90" t="s">
        <v>36</v>
      </c>
      <c r="B79" s="90" t="s">
        <v>333</v>
      </c>
      <c r="D79" s="109"/>
      <c r="E79" s="101"/>
      <c r="F79" s="101"/>
      <c r="G79" s="101"/>
    </row>
    <row r="80" spans="1:7" ht="12" x14ac:dyDescent="0.25">
      <c r="A80" s="90" t="s">
        <v>83</v>
      </c>
      <c r="B80" s="90" t="s">
        <v>2751</v>
      </c>
      <c r="C80" s="90" t="s">
        <v>334</v>
      </c>
      <c r="D80" s="109" t="s">
        <v>3270</v>
      </c>
      <c r="E80" s="99" t="s">
        <v>3270</v>
      </c>
      <c r="F80" s="100" t="s">
        <v>3671</v>
      </c>
      <c r="G80" s="105" t="s">
        <v>3672</v>
      </c>
    </row>
    <row r="81" spans="1:7" ht="12" x14ac:dyDescent="0.25">
      <c r="A81" s="90" t="s">
        <v>83</v>
      </c>
      <c r="B81" s="90" t="s">
        <v>2751</v>
      </c>
      <c r="C81" s="90" t="s">
        <v>334</v>
      </c>
      <c r="D81" s="109" t="s">
        <v>0</v>
      </c>
      <c r="E81" s="99" t="s">
        <v>0</v>
      </c>
      <c r="F81" s="100" t="s">
        <v>268</v>
      </c>
      <c r="G81" s="105" t="s">
        <v>269</v>
      </c>
    </row>
    <row r="82" spans="1:7" ht="12" x14ac:dyDescent="0.25">
      <c r="A82" s="90" t="s">
        <v>83</v>
      </c>
      <c r="B82" s="90" t="s">
        <v>2751</v>
      </c>
      <c r="C82" s="90" t="s">
        <v>334</v>
      </c>
      <c r="D82" s="160" t="s">
        <v>1</v>
      </c>
      <c r="E82" s="161" t="s">
        <v>1</v>
      </c>
      <c r="F82" s="162" t="s">
        <v>315</v>
      </c>
      <c r="G82" s="163" t="s">
        <v>316</v>
      </c>
    </row>
    <row r="83" spans="1:7" ht="12" x14ac:dyDescent="0.25">
      <c r="A83" s="90" t="s">
        <v>83</v>
      </c>
      <c r="B83" s="90" t="s">
        <v>2751</v>
      </c>
      <c r="C83" s="90" t="s">
        <v>334</v>
      </c>
      <c r="D83" s="160" t="s">
        <v>2</v>
      </c>
      <c r="E83" s="161" t="s">
        <v>2</v>
      </c>
      <c r="F83" s="162" t="s">
        <v>277</v>
      </c>
      <c r="G83" s="163" t="s">
        <v>278</v>
      </c>
    </row>
    <row r="84" spans="1:7" ht="12" x14ac:dyDescent="0.25">
      <c r="A84" s="90" t="s">
        <v>83</v>
      </c>
      <c r="B84" s="90" t="s">
        <v>2751</v>
      </c>
      <c r="C84" s="90" t="s">
        <v>334</v>
      </c>
      <c r="D84" s="109" t="s">
        <v>3</v>
      </c>
      <c r="E84" s="99" t="s">
        <v>3</v>
      </c>
      <c r="F84" s="100" t="s">
        <v>283</v>
      </c>
      <c r="G84" s="105" t="s">
        <v>2020</v>
      </c>
    </row>
    <row r="85" spans="1:7" ht="360" x14ac:dyDescent="0.25">
      <c r="A85" s="90" t="s">
        <v>83</v>
      </c>
      <c r="B85" s="90" t="s">
        <v>2751</v>
      </c>
      <c r="C85" s="90">
        <v>1</v>
      </c>
      <c r="D85" s="109" t="s">
        <v>3664</v>
      </c>
      <c r="E85" s="99" t="s">
        <v>3782</v>
      </c>
      <c r="F85" s="100" t="s">
        <v>3673</v>
      </c>
      <c r="G85" s="105" t="s">
        <v>3674</v>
      </c>
    </row>
    <row r="86" spans="1:7" ht="12" x14ac:dyDescent="0.25">
      <c r="A86" s="90" t="s">
        <v>83</v>
      </c>
      <c r="B86" s="90" t="s">
        <v>2751</v>
      </c>
      <c r="C86" s="90">
        <v>1</v>
      </c>
      <c r="D86" s="109" t="s">
        <v>75</v>
      </c>
      <c r="E86" s="99" t="s">
        <v>75</v>
      </c>
      <c r="F86" s="100" t="s">
        <v>2022</v>
      </c>
      <c r="G86" s="105" t="s">
        <v>2023</v>
      </c>
    </row>
    <row r="87" spans="1:7" ht="12" x14ac:dyDescent="0.25">
      <c r="A87" s="90" t="s">
        <v>83</v>
      </c>
      <c r="B87" s="90" t="s">
        <v>2751</v>
      </c>
      <c r="C87" s="90">
        <v>1</v>
      </c>
      <c r="D87" s="109" t="s">
        <v>76</v>
      </c>
      <c r="E87" s="99" t="s">
        <v>76</v>
      </c>
      <c r="F87" s="100" t="s">
        <v>2024</v>
      </c>
      <c r="G87" s="105" t="s">
        <v>2025</v>
      </c>
    </row>
    <row r="88" spans="1:7" ht="12" x14ac:dyDescent="0.25">
      <c r="A88" s="90" t="s">
        <v>83</v>
      </c>
      <c r="B88" s="90" t="s">
        <v>2751</v>
      </c>
      <c r="C88" s="90">
        <v>1</v>
      </c>
      <c r="D88" s="109" t="s">
        <v>8</v>
      </c>
      <c r="E88" s="99" t="s">
        <v>8</v>
      </c>
      <c r="F88" s="100" t="s">
        <v>2026</v>
      </c>
      <c r="G88" s="105" t="s">
        <v>2027</v>
      </c>
    </row>
    <row r="89" spans="1:7" ht="12" x14ac:dyDescent="0.25">
      <c r="A89" s="90" t="s">
        <v>83</v>
      </c>
      <c r="B89" s="90" t="s">
        <v>2751</v>
      </c>
      <c r="C89" s="90">
        <v>1</v>
      </c>
      <c r="D89" s="109" t="s">
        <v>225</v>
      </c>
      <c r="E89" s="99" t="s">
        <v>225</v>
      </c>
      <c r="F89" s="100" t="s">
        <v>335</v>
      </c>
      <c r="G89" s="105" t="s">
        <v>336</v>
      </c>
    </row>
    <row r="90" spans="1:7" ht="12" x14ac:dyDescent="0.25">
      <c r="A90" s="90" t="s">
        <v>83</v>
      </c>
      <c r="B90" s="90" t="s">
        <v>2751</v>
      </c>
      <c r="C90" s="90">
        <v>1</v>
      </c>
      <c r="D90" s="109" t="s">
        <v>74</v>
      </c>
      <c r="E90" s="99" t="s">
        <v>74</v>
      </c>
      <c r="F90" s="100" t="s">
        <v>2028</v>
      </c>
      <c r="G90" s="105" t="s">
        <v>2029</v>
      </c>
    </row>
    <row r="91" spans="1:7" ht="12" x14ac:dyDescent="0.25">
      <c r="A91" s="90" t="s">
        <v>83</v>
      </c>
      <c r="B91" s="90" t="s">
        <v>2751</v>
      </c>
      <c r="C91" s="90">
        <v>1</v>
      </c>
      <c r="D91" s="109" t="s">
        <v>2030</v>
      </c>
      <c r="E91" s="99" t="s">
        <v>2030</v>
      </c>
      <c r="F91" s="100" t="s">
        <v>2467</v>
      </c>
      <c r="G91" s="105" t="s">
        <v>2462</v>
      </c>
    </row>
    <row r="92" spans="1:7" ht="12" x14ac:dyDescent="0.25">
      <c r="A92" s="90" t="s">
        <v>83</v>
      </c>
      <c r="B92" s="90" t="s">
        <v>2751</v>
      </c>
      <c r="C92" s="90">
        <v>1</v>
      </c>
      <c r="D92" s="109" t="s">
        <v>64</v>
      </c>
      <c r="E92" s="99" t="s">
        <v>64</v>
      </c>
      <c r="F92" s="100" t="s">
        <v>2031</v>
      </c>
      <c r="G92" s="105" t="s">
        <v>2032</v>
      </c>
    </row>
    <row r="93" spans="1:7" ht="12" x14ac:dyDescent="0.25">
      <c r="A93" s="90" t="s">
        <v>83</v>
      </c>
      <c r="B93" s="90" t="s">
        <v>2751</v>
      </c>
      <c r="C93" s="90">
        <v>1</v>
      </c>
      <c r="D93" s="109" t="s">
        <v>130</v>
      </c>
      <c r="E93" s="99" t="s">
        <v>130</v>
      </c>
      <c r="F93" s="100" t="s">
        <v>2468</v>
      </c>
      <c r="G93" s="105" t="s">
        <v>2524</v>
      </c>
    </row>
    <row r="94" spans="1:7" ht="12" x14ac:dyDescent="0.25">
      <c r="A94" s="90" t="s">
        <v>83</v>
      </c>
      <c r="B94" s="90" t="s">
        <v>2751</v>
      </c>
      <c r="C94" s="90">
        <v>1</v>
      </c>
      <c r="D94" s="109" t="s">
        <v>226</v>
      </c>
      <c r="E94" s="99" t="s">
        <v>226</v>
      </c>
      <c r="F94" s="100" t="s">
        <v>2469</v>
      </c>
      <c r="G94" s="105" t="s">
        <v>2525</v>
      </c>
    </row>
    <row r="95" spans="1:7" ht="12" x14ac:dyDescent="0.25">
      <c r="A95" s="90" t="s">
        <v>83</v>
      </c>
      <c r="B95" s="90" t="s">
        <v>2751</v>
      </c>
      <c r="C95" s="90">
        <v>1</v>
      </c>
      <c r="D95" s="109" t="s">
        <v>227</v>
      </c>
      <c r="E95" s="99" t="s">
        <v>227</v>
      </c>
      <c r="F95" s="100" t="s">
        <v>2033</v>
      </c>
      <c r="G95" s="105" t="s">
        <v>2034</v>
      </c>
    </row>
    <row r="96" spans="1:7" ht="12" x14ac:dyDescent="0.25">
      <c r="A96" s="90" t="s">
        <v>83</v>
      </c>
      <c r="B96" s="90" t="s">
        <v>2751</v>
      </c>
      <c r="C96" s="90">
        <v>1</v>
      </c>
      <c r="D96" s="109" t="s">
        <v>228</v>
      </c>
      <c r="E96" s="99" t="s">
        <v>228</v>
      </c>
      <c r="F96" s="100" t="s">
        <v>2035</v>
      </c>
      <c r="G96" s="105" t="s">
        <v>2036</v>
      </c>
    </row>
    <row r="97" spans="1:7" ht="12" x14ac:dyDescent="0.25">
      <c r="A97" s="90" t="s">
        <v>83</v>
      </c>
      <c r="B97" s="90" t="s">
        <v>2751</v>
      </c>
      <c r="C97" s="90">
        <v>1</v>
      </c>
      <c r="D97" s="109" t="s">
        <v>229</v>
      </c>
      <c r="E97" s="99" t="s">
        <v>229</v>
      </c>
      <c r="F97" s="100" t="s">
        <v>2037</v>
      </c>
      <c r="G97" s="105" t="s">
        <v>2038</v>
      </c>
    </row>
    <row r="98" spans="1:7" ht="12" x14ac:dyDescent="0.25">
      <c r="A98" s="90" t="s">
        <v>83</v>
      </c>
      <c r="B98" s="90" t="s">
        <v>2751</v>
      </c>
      <c r="C98" s="90">
        <v>1</v>
      </c>
      <c r="D98" s="109" t="s">
        <v>230</v>
      </c>
      <c r="E98" s="99" t="s">
        <v>230</v>
      </c>
      <c r="F98" s="100" t="s">
        <v>2039</v>
      </c>
      <c r="G98" s="105" t="s">
        <v>2040</v>
      </c>
    </row>
    <row r="99" spans="1:7" ht="12" x14ac:dyDescent="0.25">
      <c r="A99" s="90" t="s">
        <v>83</v>
      </c>
      <c r="B99" s="90" t="s">
        <v>2751</v>
      </c>
      <c r="C99" s="90">
        <v>1</v>
      </c>
      <c r="D99" s="109" t="s">
        <v>231</v>
      </c>
      <c r="E99" s="99" t="s">
        <v>231</v>
      </c>
      <c r="F99" s="100" t="s">
        <v>2041</v>
      </c>
      <c r="G99" s="105" t="s">
        <v>2042</v>
      </c>
    </row>
    <row r="100" spans="1:7" ht="12" x14ac:dyDescent="0.25">
      <c r="A100" s="90" t="s">
        <v>83</v>
      </c>
      <c r="B100" s="90" t="s">
        <v>2751</v>
      </c>
      <c r="C100" s="90">
        <v>1</v>
      </c>
      <c r="D100" s="109" t="s">
        <v>2043</v>
      </c>
      <c r="E100" s="99" t="s">
        <v>2043</v>
      </c>
      <c r="F100" s="100" t="s">
        <v>2470</v>
      </c>
      <c r="G100" s="105" t="s">
        <v>2526</v>
      </c>
    </row>
    <row r="101" spans="1:7" ht="12" x14ac:dyDescent="0.25">
      <c r="A101" s="90" t="s">
        <v>83</v>
      </c>
      <c r="B101" s="90" t="s">
        <v>2751</v>
      </c>
      <c r="C101" s="90">
        <v>1</v>
      </c>
      <c r="D101" s="109" t="s">
        <v>130</v>
      </c>
      <c r="E101" s="99" t="s">
        <v>130</v>
      </c>
      <c r="F101" s="100" t="s">
        <v>2468</v>
      </c>
      <c r="G101" s="105" t="s">
        <v>2524</v>
      </c>
    </row>
    <row r="102" spans="1:7" ht="12" x14ac:dyDescent="0.25">
      <c r="A102" s="90" t="s">
        <v>83</v>
      </c>
      <c r="B102" s="90" t="s">
        <v>2751</v>
      </c>
      <c r="C102" s="90">
        <v>1</v>
      </c>
      <c r="D102" s="109" t="s">
        <v>232</v>
      </c>
      <c r="E102" s="99" t="s">
        <v>232</v>
      </c>
      <c r="F102" s="100" t="s">
        <v>2044</v>
      </c>
      <c r="G102" s="105" t="s">
        <v>2045</v>
      </c>
    </row>
    <row r="103" spans="1:7" ht="12" x14ac:dyDescent="0.25">
      <c r="A103" s="90" t="s">
        <v>83</v>
      </c>
      <c r="B103" s="90" t="s">
        <v>2751</v>
      </c>
      <c r="C103" s="90">
        <v>1</v>
      </c>
      <c r="D103" s="109" t="s">
        <v>233</v>
      </c>
      <c r="E103" s="99" t="s">
        <v>233</v>
      </c>
      <c r="F103" s="100" t="s">
        <v>2046</v>
      </c>
      <c r="G103" s="105" t="s">
        <v>2047</v>
      </c>
    </row>
    <row r="104" spans="1:7" ht="12" x14ac:dyDescent="0.25">
      <c r="A104" s="90" t="s">
        <v>83</v>
      </c>
      <c r="B104" s="90" t="s">
        <v>2751</v>
      </c>
      <c r="C104" s="90">
        <v>1</v>
      </c>
      <c r="D104" s="109" t="s">
        <v>234</v>
      </c>
      <c r="E104" s="99" t="s">
        <v>234</v>
      </c>
      <c r="F104" s="100" t="s">
        <v>2048</v>
      </c>
      <c r="G104" s="105" t="s">
        <v>2049</v>
      </c>
    </row>
    <row r="105" spans="1:7" ht="12" x14ac:dyDescent="0.25">
      <c r="A105" s="90" t="s">
        <v>83</v>
      </c>
      <c r="B105" s="90" t="s">
        <v>2751</v>
      </c>
      <c r="C105" s="90">
        <v>1</v>
      </c>
      <c r="D105" s="109" t="s">
        <v>235</v>
      </c>
      <c r="E105" s="99" t="s">
        <v>235</v>
      </c>
      <c r="F105" s="100" t="s">
        <v>2050</v>
      </c>
      <c r="G105" s="105" t="s">
        <v>2051</v>
      </c>
    </row>
    <row r="106" spans="1:7" ht="12" x14ac:dyDescent="0.25">
      <c r="A106" s="90" t="s">
        <v>83</v>
      </c>
      <c r="B106" s="90" t="s">
        <v>2751</v>
      </c>
      <c r="C106" s="90">
        <v>1</v>
      </c>
      <c r="D106" s="109" t="s">
        <v>236</v>
      </c>
      <c r="E106" s="99" t="s">
        <v>236</v>
      </c>
      <c r="F106" s="100" t="s">
        <v>2052</v>
      </c>
      <c r="G106" s="105" t="s">
        <v>2053</v>
      </c>
    </row>
    <row r="107" spans="1:7" ht="12" x14ac:dyDescent="0.25">
      <c r="A107" s="90" t="s">
        <v>83</v>
      </c>
      <c r="B107" s="90" t="s">
        <v>2751</v>
      </c>
      <c r="C107" s="90">
        <v>1</v>
      </c>
      <c r="D107" s="109" t="s">
        <v>237</v>
      </c>
      <c r="E107" s="99" t="s">
        <v>237</v>
      </c>
      <c r="F107" s="100" t="s">
        <v>2054</v>
      </c>
      <c r="G107" s="105" t="s">
        <v>2055</v>
      </c>
    </row>
    <row r="108" spans="1:7" ht="12" x14ac:dyDescent="0.25">
      <c r="A108" s="90" t="s">
        <v>83</v>
      </c>
      <c r="B108" s="90" t="s">
        <v>2751</v>
      </c>
      <c r="C108" s="90">
        <v>1</v>
      </c>
      <c r="D108" s="109" t="s">
        <v>2056</v>
      </c>
      <c r="E108" s="99" t="s">
        <v>2056</v>
      </c>
      <c r="F108" s="100" t="s">
        <v>2471</v>
      </c>
      <c r="G108" s="105" t="s">
        <v>2527</v>
      </c>
    </row>
    <row r="109" spans="1:7" ht="12" x14ac:dyDescent="0.25">
      <c r="A109" s="90" t="s">
        <v>83</v>
      </c>
      <c r="B109" s="90" t="s">
        <v>2751</v>
      </c>
      <c r="C109" s="90">
        <v>1</v>
      </c>
      <c r="D109" s="109" t="s">
        <v>130</v>
      </c>
      <c r="E109" s="99" t="s">
        <v>130</v>
      </c>
      <c r="F109" s="100" t="s">
        <v>2468</v>
      </c>
      <c r="G109" s="105" t="s">
        <v>2524</v>
      </c>
    </row>
    <row r="110" spans="1:7" ht="12" x14ac:dyDescent="0.25">
      <c r="A110" s="90" t="s">
        <v>83</v>
      </c>
      <c r="B110" s="90" t="s">
        <v>2751</v>
      </c>
      <c r="C110" s="90">
        <v>1</v>
      </c>
      <c r="D110" s="109" t="s">
        <v>238</v>
      </c>
      <c r="E110" s="99" t="s">
        <v>238</v>
      </c>
      <c r="F110" s="100" t="s">
        <v>2057</v>
      </c>
      <c r="G110" s="105" t="s">
        <v>2058</v>
      </c>
    </row>
    <row r="111" spans="1:7" ht="12" x14ac:dyDescent="0.25">
      <c r="A111" s="90" t="s">
        <v>83</v>
      </c>
      <c r="B111" s="90" t="s">
        <v>2751</v>
      </c>
      <c r="C111" s="90">
        <v>1</v>
      </c>
      <c r="D111" s="109" t="s">
        <v>239</v>
      </c>
      <c r="E111" s="99" t="s">
        <v>239</v>
      </c>
      <c r="F111" s="100" t="s">
        <v>2059</v>
      </c>
      <c r="G111" s="105" t="s">
        <v>2060</v>
      </c>
    </row>
    <row r="112" spans="1:7" ht="12" x14ac:dyDescent="0.25">
      <c r="A112" s="90" t="s">
        <v>83</v>
      </c>
      <c r="B112" s="90" t="s">
        <v>2751</v>
      </c>
      <c r="C112" s="90">
        <v>1</v>
      </c>
      <c r="D112" s="109" t="s">
        <v>240</v>
      </c>
      <c r="E112" s="99" t="s">
        <v>240</v>
      </c>
      <c r="F112" s="100" t="s">
        <v>2061</v>
      </c>
      <c r="G112" s="105" t="s">
        <v>2062</v>
      </c>
    </row>
    <row r="113" spans="1:7" ht="12" x14ac:dyDescent="0.25">
      <c r="A113" s="90" t="s">
        <v>83</v>
      </c>
      <c r="B113" s="90" t="s">
        <v>2751</v>
      </c>
      <c r="C113" s="90">
        <v>1</v>
      </c>
      <c r="D113" s="109" t="s">
        <v>241</v>
      </c>
      <c r="E113" s="99" t="s">
        <v>241</v>
      </c>
      <c r="F113" s="100" t="s">
        <v>2063</v>
      </c>
      <c r="G113" s="105" t="s">
        <v>2064</v>
      </c>
    </row>
    <row r="114" spans="1:7" ht="12" x14ac:dyDescent="0.25">
      <c r="A114" s="90" t="s">
        <v>83</v>
      </c>
      <c r="B114" s="90" t="s">
        <v>2751</v>
      </c>
      <c r="C114" s="90">
        <v>1</v>
      </c>
      <c r="D114" s="109" t="s">
        <v>242</v>
      </c>
      <c r="E114" s="99" t="s">
        <v>242</v>
      </c>
      <c r="F114" s="100" t="s">
        <v>2065</v>
      </c>
      <c r="G114" s="105" t="s">
        <v>2066</v>
      </c>
    </row>
    <row r="115" spans="1:7" ht="12" x14ac:dyDescent="0.25">
      <c r="A115" s="90" t="s">
        <v>83</v>
      </c>
      <c r="B115" s="90" t="s">
        <v>2751</v>
      </c>
      <c r="C115" s="90">
        <v>1</v>
      </c>
      <c r="D115" s="109" t="s">
        <v>243</v>
      </c>
      <c r="E115" s="99" t="s">
        <v>243</v>
      </c>
      <c r="F115" s="100" t="s">
        <v>2067</v>
      </c>
      <c r="G115" s="105" t="s">
        <v>2068</v>
      </c>
    </row>
    <row r="116" spans="1:7" ht="12" x14ac:dyDescent="0.25">
      <c r="A116" s="90" t="s">
        <v>83</v>
      </c>
      <c r="B116" s="90" t="s">
        <v>2751</v>
      </c>
      <c r="C116" s="90">
        <v>1</v>
      </c>
      <c r="D116" s="109" t="s">
        <v>2069</v>
      </c>
      <c r="E116" s="99" t="s">
        <v>2069</v>
      </c>
      <c r="F116" s="100" t="s">
        <v>2472</v>
      </c>
      <c r="G116" s="105" t="s">
        <v>2528</v>
      </c>
    </row>
    <row r="117" spans="1:7" ht="12" x14ac:dyDescent="0.25">
      <c r="A117" s="90" t="s">
        <v>83</v>
      </c>
      <c r="B117" s="90" t="s">
        <v>2751</v>
      </c>
      <c r="C117" s="90">
        <v>1</v>
      </c>
      <c r="D117" s="109" t="s">
        <v>130</v>
      </c>
      <c r="E117" s="99" t="s">
        <v>130</v>
      </c>
      <c r="F117" s="100" t="s">
        <v>2468</v>
      </c>
      <c r="G117" s="105" t="s">
        <v>2524</v>
      </c>
    </row>
    <row r="118" spans="1:7" ht="12" x14ac:dyDescent="0.25">
      <c r="A118" s="90" t="s">
        <v>83</v>
      </c>
      <c r="B118" s="90" t="s">
        <v>2751</v>
      </c>
      <c r="C118" s="90">
        <v>1</v>
      </c>
      <c r="D118" s="109" t="s">
        <v>337</v>
      </c>
      <c r="E118" s="99" t="s">
        <v>337</v>
      </c>
      <c r="F118" s="100" t="s">
        <v>2070</v>
      </c>
      <c r="G118" s="105" t="s">
        <v>2071</v>
      </c>
    </row>
    <row r="119" spans="1:7" ht="12" x14ac:dyDescent="0.25">
      <c r="A119" s="90" t="s">
        <v>83</v>
      </c>
      <c r="B119" s="90" t="s">
        <v>2751</v>
      </c>
      <c r="C119" s="90">
        <v>1</v>
      </c>
      <c r="D119" s="109" t="s">
        <v>338</v>
      </c>
      <c r="E119" s="99" t="s">
        <v>338</v>
      </c>
      <c r="F119" s="100" t="s">
        <v>2072</v>
      </c>
      <c r="G119" s="105" t="s">
        <v>2073</v>
      </c>
    </row>
    <row r="120" spans="1:7" ht="12" x14ac:dyDescent="0.25">
      <c r="A120" s="90" t="s">
        <v>83</v>
      </c>
      <c r="B120" s="90" t="s">
        <v>2751</v>
      </c>
      <c r="C120" s="90">
        <v>1</v>
      </c>
      <c r="D120" s="109" t="s">
        <v>339</v>
      </c>
      <c r="E120" s="99" t="s">
        <v>339</v>
      </c>
      <c r="F120" s="100" t="s">
        <v>2074</v>
      </c>
      <c r="G120" s="105" t="s">
        <v>2075</v>
      </c>
    </row>
    <row r="121" spans="1:7" ht="12" x14ac:dyDescent="0.25">
      <c r="A121" s="90" t="s">
        <v>83</v>
      </c>
      <c r="B121" s="90" t="s">
        <v>2751</v>
      </c>
      <c r="C121" s="90">
        <v>1</v>
      </c>
      <c r="D121" s="282" t="s">
        <v>340</v>
      </c>
      <c r="E121" s="281" t="s">
        <v>340</v>
      </c>
      <c r="F121" s="283" t="s">
        <v>2076</v>
      </c>
      <c r="G121" s="284" t="s">
        <v>2077</v>
      </c>
    </row>
    <row r="122" spans="1:7" ht="12" x14ac:dyDescent="0.25">
      <c r="A122" s="90" t="s">
        <v>83</v>
      </c>
      <c r="B122" s="90" t="s">
        <v>2751</v>
      </c>
      <c r="C122" s="90">
        <v>1</v>
      </c>
      <c r="D122" s="109" t="s">
        <v>341</v>
      </c>
      <c r="E122" s="99" t="s">
        <v>341</v>
      </c>
      <c r="F122" s="100" t="s">
        <v>2078</v>
      </c>
      <c r="G122" s="105" t="s">
        <v>2079</v>
      </c>
    </row>
    <row r="123" spans="1:7" ht="12" x14ac:dyDescent="0.25">
      <c r="A123" s="90" t="s">
        <v>83</v>
      </c>
      <c r="B123" s="90" t="s">
        <v>2751</v>
      </c>
      <c r="C123" s="90">
        <v>1</v>
      </c>
      <c r="D123" s="109" t="s">
        <v>342</v>
      </c>
      <c r="E123" s="99" t="s">
        <v>342</v>
      </c>
      <c r="F123" s="100" t="s">
        <v>2080</v>
      </c>
      <c r="G123" s="105" t="s">
        <v>2081</v>
      </c>
    </row>
    <row r="124" spans="1:7" ht="12" x14ac:dyDescent="0.25">
      <c r="A124" s="90" t="s">
        <v>83</v>
      </c>
      <c r="B124" s="90" t="s">
        <v>2751</v>
      </c>
      <c r="C124" s="90">
        <v>1</v>
      </c>
      <c r="D124" s="109" t="s">
        <v>2082</v>
      </c>
      <c r="E124" s="99" t="s">
        <v>2082</v>
      </c>
      <c r="F124" s="100" t="s">
        <v>2473</v>
      </c>
      <c r="G124" s="105" t="s">
        <v>2529</v>
      </c>
    </row>
    <row r="125" spans="1:7" ht="12" x14ac:dyDescent="0.25">
      <c r="A125" s="90" t="s">
        <v>83</v>
      </c>
      <c r="B125" s="90" t="s">
        <v>2751</v>
      </c>
      <c r="C125" s="90">
        <v>1</v>
      </c>
      <c r="D125" s="109" t="s">
        <v>130</v>
      </c>
      <c r="E125" s="99" t="s">
        <v>130</v>
      </c>
      <c r="F125" s="100" t="s">
        <v>2468</v>
      </c>
      <c r="G125" s="105" t="s">
        <v>2524</v>
      </c>
    </row>
    <row r="126" spans="1:7" ht="12" x14ac:dyDescent="0.25">
      <c r="A126" s="90" t="s">
        <v>83</v>
      </c>
      <c r="B126" s="90" t="s">
        <v>2751</v>
      </c>
      <c r="C126" s="90">
        <v>1</v>
      </c>
      <c r="D126" s="109" t="s">
        <v>2737</v>
      </c>
      <c r="E126" s="99" t="s">
        <v>2737</v>
      </c>
      <c r="F126" s="100" t="s">
        <v>3675</v>
      </c>
      <c r="G126" s="105" t="s">
        <v>3676</v>
      </c>
    </row>
    <row r="127" spans="1:7" ht="12" x14ac:dyDescent="0.25">
      <c r="A127" s="90" t="s">
        <v>83</v>
      </c>
      <c r="B127" s="90" t="s">
        <v>2751</v>
      </c>
      <c r="C127" s="90">
        <v>1</v>
      </c>
      <c r="D127" s="109" t="s">
        <v>2738</v>
      </c>
      <c r="E127" s="99" t="s">
        <v>2738</v>
      </c>
      <c r="F127" s="100" t="s">
        <v>3677</v>
      </c>
      <c r="G127" s="105" t="s">
        <v>3678</v>
      </c>
    </row>
    <row r="128" spans="1:7" ht="12" x14ac:dyDescent="0.25">
      <c r="A128" s="90" t="s">
        <v>83</v>
      </c>
      <c r="B128" s="90" t="s">
        <v>2751</v>
      </c>
      <c r="C128" s="90">
        <v>1</v>
      </c>
      <c r="D128" s="109" t="s">
        <v>2739</v>
      </c>
      <c r="E128" s="99" t="s">
        <v>2739</v>
      </c>
      <c r="F128" s="100" t="s">
        <v>3679</v>
      </c>
      <c r="G128" s="105" t="s">
        <v>3680</v>
      </c>
    </row>
    <row r="129" spans="1:7" ht="12" x14ac:dyDescent="0.25">
      <c r="A129" s="90" t="s">
        <v>83</v>
      </c>
      <c r="B129" s="90" t="s">
        <v>2751</v>
      </c>
      <c r="C129" s="90">
        <v>1</v>
      </c>
      <c r="D129" s="109" t="s">
        <v>2740</v>
      </c>
      <c r="E129" s="99" t="s">
        <v>2740</v>
      </c>
      <c r="F129" s="100" t="s">
        <v>3681</v>
      </c>
      <c r="G129" s="105" t="s">
        <v>3682</v>
      </c>
    </row>
    <row r="130" spans="1:7" ht="12" x14ac:dyDescent="0.25">
      <c r="A130" s="90" t="s">
        <v>83</v>
      </c>
      <c r="B130" s="90" t="s">
        <v>2751</v>
      </c>
      <c r="C130" s="90">
        <v>1</v>
      </c>
      <c r="D130" s="109" t="s">
        <v>2741</v>
      </c>
      <c r="E130" s="99" t="s">
        <v>2741</v>
      </c>
      <c r="F130" s="100" t="s">
        <v>3683</v>
      </c>
      <c r="G130" s="105" t="s">
        <v>3684</v>
      </c>
    </row>
    <row r="131" spans="1:7" ht="12" x14ac:dyDescent="0.25">
      <c r="A131" s="90" t="s">
        <v>83</v>
      </c>
      <c r="B131" s="90" t="s">
        <v>2751</v>
      </c>
      <c r="C131" s="90">
        <v>1</v>
      </c>
      <c r="D131" s="109" t="s">
        <v>2742</v>
      </c>
      <c r="E131" s="99" t="s">
        <v>2742</v>
      </c>
      <c r="F131" s="100" t="s">
        <v>3685</v>
      </c>
      <c r="G131" s="105" t="s">
        <v>3686</v>
      </c>
    </row>
    <row r="132" spans="1:7" ht="12" x14ac:dyDescent="0.25">
      <c r="A132" s="90" t="s">
        <v>83</v>
      </c>
      <c r="B132" s="90" t="s">
        <v>2751</v>
      </c>
      <c r="C132" s="90">
        <v>1</v>
      </c>
      <c r="D132" s="109" t="s">
        <v>3590</v>
      </c>
      <c r="E132" s="99" t="s">
        <v>3590</v>
      </c>
      <c r="F132" s="100" t="s">
        <v>3687</v>
      </c>
      <c r="G132" s="105" t="s">
        <v>3688</v>
      </c>
    </row>
    <row r="133" spans="1:7" ht="12" x14ac:dyDescent="0.25">
      <c r="A133" s="90" t="s">
        <v>83</v>
      </c>
      <c r="B133" s="90" t="s">
        <v>2751</v>
      </c>
      <c r="C133" s="90">
        <v>1</v>
      </c>
      <c r="D133" s="109" t="s">
        <v>130</v>
      </c>
      <c r="E133" s="99" t="s">
        <v>130</v>
      </c>
      <c r="F133" s="100" t="s">
        <v>2468</v>
      </c>
      <c r="G133" s="105" t="s">
        <v>2524</v>
      </c>
    </row>
    <row r="134" spans="1:7" ht="12" x14ac:dyDescent="0.25">
      <c r="A134" s="90" t="s">
        <v>83</v>
      </c>
      <c r="B134" s="90" t="s">
        <v>2751</v>
      </c>
      <c r="C134" s="90">
        <v>1</v>
      </c>
      <c r="D134" s="109" t="s">
        <v>2743</v>
      </c>
      <c r="E134" s="99" t="s">
        <v>2743</v>
      </c>
      <c r="F134" s="100" t="s">
        <v>3689</v>
      </c>
      <c r="G134" s="105" t="s">
        <v>3690</v>
      </c>
    </row>
    <row r="135" spans="1:7" ht="12" x14ac:dyDescent="0.25">
      <c r="A135" s="90" t="s">
        <v>83</v>
      </c>
      <c r="B135" s="90" t="s">
        <v>2751</v>
      </c>
      <c r="C135" s="90">
        <v>1</v>
      </c>
      <c r="D135" s="109" t="s">
        <v>2744</v>
      </c>
      <c r="E135" s="99" t="s">
        <v>2744</v>
      </c>
      <c r="F135" s="100" t="s">
        <v>3691</v>
      </c>
      <c r="G135" s="105" t="s">
        <v>3692</v>
      </c>
    </row>
    <row r="136" spans="1:7" ht="12" x14ac:dyDescent="0.25">
      <c r="A136" s="90" t="s">
        <v>83</v>
      </c>
      <c r="B136" s="90" t="s">
        <v>2751</v>
      </c>
      <c r="C136" s="90">
        <v>1</v>
      </c>
      <c r="D136" s="109" t="s">
        <v>2745</v>
      </c>
      <c r="E136" s="99" t="s">
        <v>2745</v>
      </c>
      <c r="F136" s="100" t="s">
        <v>3693</v>
      </c>
      <c r="G136" s="105" t="s">
        <v>3694</v>
      </c>
    </row>
    <row r="137" spans="1:7" ht="12" x14ac:dyDescent="0.25">
      <c r="A137" s="90" t="s">
        <v>83</v>
      </c>
      <c r="B137" s="90" t="s">
        <v>2751</v>
      </c>
      <c r="C137" s="90">
        <v>1</v>
      </c>
      <c r="D137" s="109" t="s">
        <v>2746</v>
      </c>
      <c r="E137" s="99" t="s">
        <v>2746</v>
      </c>
      <c r="F137" s="100" t="s">
        <v>3695</v>
      </c>
      <c r="G137" s="105" t="s">
        <v>3696</v>
      </c>
    </row>
    <row r="138" spans="1:7" ht="12" x14ac:dyDescent="0.25">
      <c r="A138" s="90" t="s">
        <v>83</v>
      </c>
      <c r="B138" s="90" t="s">
        <v>2751</v>
      </c>
      <c r="C138" s="90">
        <v>1</v>
      </c>
      <c r="D138" s="109" t="s">
        <v>2747</v>
      </c>
      <c r="E138" s="99" t="s">
        <v>2747</v>
      </c>
      <c r="F138" s="100" t="s">
        <v>3697</v>
      </c>
      <c r="G138" s="105" t="s">
        <v>3698</v>
      </c>
    </row>
    <row r="139" spans="1:7" ht="12" x14ac:dyDescent="0.25">
      <c r="A139" s="90" t="s">
        <v>83</v>
      </c>
      <c r="B139" s="90" t="s">
        <v>2751</v>
      </c>
      <c r="C139" s="90">
        <v>1</v>
      </c>
      <c r="D139" s="109" t="s">
        <v>2748</v>
      </c>
      <c r="E139" s="99" t="s">
        <v>2748</v>
      </c>
      <c r="F139" s="100" t="s">
        <v>3699</v>
      </c>
      <c r="G139" s="105" t="s">
        <v>3700</v>
      </c>
    </row>
    <row r="140" spans="1:7" ht="12" x14ac:dyDescent="0.25">
      <c r="A140" s="90" t="s">
        <v>83</v>
      </c>
      <c r="B140" s="90" t="s">
        <v>2751</v>
      </c>
      <c r="C140" s="90">
        <v>1</v>
      </c>
      <c r="D140" s="109" t="s">
        <v>3591</v>
      </c>
      <c r="E140" s="99" t="s">
        <v>3591</v>
      </c>
      <c r="F140" s="100" t="s">
        <v>3701</v>
      </c>
      <c r="G140" s="105" t="s">
        <v>3702</v>
      </c>
    </row>
    <row r="141" spans="1:7" ht="12" x14ac:dyDescent="0.25">
      <c r="A141" s="90" t="s">
        <v>83</v>
      </c>
      <c r="B141" s="90" t="s">
        <v>2751</v>
      </c>
      <c r="C141" s="90">
        <v>1</v>
      </c>
      <c r="D141" s="109" t="s">
        <v>191</v>
      </c>
      <c r="E141" s="99" t="s">
        <v>191</v>
      </c>
      <c r="F141" s="100" t="s">
        <v>343</v>
      </c>
      <c r="G141" s="105" t="s">
        <v>2083</v>
      </c>
    </row>
    <row r="142" spans="1:7" ht="12" x14ac:dyDescent="0.25">
      <c r="A142" s="90" t="s">
        <v>83</v>
      </c>
      <c r="B142" s="90" t="s">
        <v>2751</v>
      </c>
      <c r="C142" s="90">
        <v>1</v>
      </c>
      <c r="D142" s="160" t="s">
        <v>244</v>
      </c>
      <c r="E142" s="161" t="s">
        <v>244</v>
      </c>
      <c r="F142" s="162" t="s">
        <v>344</v>
      </c>
      <c r="G142" s="163" t="s">
        <v>345</v>
      </c>
    </row>
    <row r="143" spans="1:7" ht="12" x14ac:dyDescent="0.25">
      <c r="A143" s="90" t="s">
        <v>83</v>
      </c>
      <c r="B143" s="90" t="s">
        <v>2751</v>
      </c>
      <c r="C143" s="90">
        <v>1</v>
      </c>
      <c r="D143" s="160" t="s">
        <v>2084</v>
      </c>
      <c r="E143" s="161" t="s">
        <v>2084</v>
      </c>
      <c r="F143" s="100" t="s">
        <v>2474</v>
      </c>
      <c r="G143" s="163" t="s">
        <v>2530</v>
      </c>
    </row>
    <row r="144" spans="1:7" ht="12" x14ac:dyDescent="0.25">
      <c r="A144" s="90" t="s">
        <v>83</v>
      </c>
      <c r="B144" s="90" t="s">
        <v>2751</v>
      </c>
      <c r="C144" s="90">
        <v>1</v>
      </c>
      <c r="D144" s="109" t="s">
        <v>616</v>
      </c>
      <c r="E144" s="99" t="s">
        <v>616</v>
      </c>
      <c r="F144" s="100" t="s">
        <v>2085</v>
      </c>
      <c r="G144" s="105" t="s">
        <v>349</v>
      </c>
    </row>
    <row r="145" spans="1:7" ht="12" x14ac:dyDescent="0.25">
      <c r="A145" s="90" t="s">
        <v>83</v>
      </c>
      <c r="B145" s="90" t="s">
        <v>2751</v>
      </c>
      <c r="C145" s="90">
        <v>1</v>
      </c>
      <c r="D145" s="109" t="s">
        <v>193</v>
      </c>
      <c r="E145" s="99" t="s">
        <v>193</v>
      </c>
      <c r="F145" s="100" t="s">
        <v>350</v>
      </c>
      <c r="G145" s="105" t="s">
        <v>2086</v>
      </c>
    </row>
    <row r="146" spans="1:7" ht="12" x14ac:dyDescent="0.25">
      <c r="A146" s="90" t="s">
        <v>83</v>
      </c>
      <c r="B146" s="90" t="s">
        <v>2751</v>
      </c>
      <c r="C146" s="90">
        <v>1</v>
      </c>
      <c r="D146" s="109" t="s">
        <v>145</v>
      </c>
      <c r="E146" s="99" t="s">
        <v>145</v>
      </c>
      <c r="F146" s="100" t="s">
        <v>351</v>
      </c>
      <c r="G146" s="105" t="s">
        <v>352</v>
      </c>
    </row>
    <row r="147" spans="1:7" ht="360" x14ac:dyDescent="0.25">
      <c r="A147" s="90" t="s">
        <v>83</v>
      </c>
      <c r="B147" s="90" t="s">
        <v>2751</v>
      </c>
      <c r="C147" s="90">
        <v>2</v>
      </c>
      <c r="D147" s="109" t="s">
        <v>2021</v>
      </c>
      <c r="E147" s="99" t="s">
        <v>2021</v>
      </c>
      <c r="F147" s="100" t="s">
        <v>2450</v>
      </c>
      <c r="G147" s="105" t="s">
        <v>2451</v>
      </c>
    </row>
    <row r="148" spans="1:7" ht="12" x14ac:dyDescent="0.25">
      <c r="A148" s="90" t="s">
        <v>83</v>
      </c>
      <c r="B148" s="90" t="s">
        <v>2751</v>
      </c>
      <c r="C148" s="90">
        <v>2</v>
      </c>
      <c r="D148" s="109" t="s">
        <v>75</v>
      </c>
      <c r="E148" s="99" t="s">
        <v>75</v>
      </c>
      <c r="F148" s="100" t="s">
        <v>2022</v>
      </c>
      <c r="G148" s="105" t="s">
        <v>2023</v>
      </c>
    </row>
    <row r="149" spans="1:7" ht="12" x14ac:dyDescent="0.25">
      <c r="A149" s="90" t="s">
        <v>83</v>
      </c>
      <c r="B149" s="90" t="s">
        <v>2751</v>
      </c>
      <c r="C149" s="90">
        <v>2</v>
      </c>
      <c r="D149" s="109" t="s">
        <v>76</v>
      </c>
      <c r="E149" s="99" t="s">
        <v>76</v>
      </c>
      <c r="F149" s="100" t="s">
        <v>2024</v>
      </c>
      <c r="G149" s="105" t="s">
        <v>2025</v>
      </c>
    </row>
    <row r="150" spans="1:7" ht="12" x14ac:dyDescent="0.25">
      <c r="A150" s="90" t="s">
        <v>83</v>
      </c>
      <c r="B150" s="90" t="s">
        <v>2751</v>
      </c>
      <c r="C150" s="90">
        <v>2</v>
      </c>
      <c r="D150" s="109" t="s">
        <v>8</v>
      </c>
      <c r="E150" s="99" t="s">
        <v>8</v>
      </c>
      <c r="F150" s="100" t="s">
        <v>2026</v>
      </c>
      <c r="G150" s="105" t="s">
        <v>2027</v>
      </c>
    </row>
    <row r="151" spans="1:7" ht="12" x14ac:dyDescent="0.25">
      <c r="A151" s="90" t="s">
        <v>83</v>
      </c>
      <c r="B151" s="90" t="s">
        <v>2751</v>
      </c>
      <c r="C151" s="90">
        <v>2</v>
      </c>
      <c r="D151" s="109" t="s">
        <v>225</v>
      </c>
      <c r="E151" s="99" t="s">
        <v>225</v>
      </c>
      <c r="F151" s="100" t="s">
        <v>335</v>
      </c>
      <c r="G151" s="105" t="s">
        <v>336</v>
      </c>
    </row>
    <row r="152" spans="1:7" ht="12" x14ac:dyDescent="0.25">
      <c r="A152" s="90" t="s">
        <v>83</v>
      </c>
      <c r="B152" s="90" t="s">
        <v>2751</v>
      </c>
      <c r="C152" s="90">
        <v>2</v>
      </c>
      <c r="D152" s="109" t="s">
        <v>74</v>
      </c>
      <c r="E152" s="99" t="s">
        <v>74</v>
      </c>
      <c r="F152" s="100" t="s">
        <v>2028</v>
      </c>
      <c r="G152" s="105" t="s">
        <v>2029</v>
      </c>
    </row>
    <row r="153" spans="1:7" ht="12" x14ac:dyDescent="0.25">
      <c r="A153" s="90" t="s">
        <v>83</v>
      </c>
      <c r="B153" s="90" t="s">
        <v>2751</v>
      </c>
      <c r="C153" s="90">
        <v>2</v>
      </c>
      <c r="D153" s="109" t="s">
        <v>2030</v>
      </c>
      <c r="E153" s="99" t="s">
        <v>2030</v>
      </c>
      <c r="F153" s="100" t="s">
        <v>2467</v>
      </c>
      <c r="G153" s="105" t="s">
        <v>2462</v>
      </c>
    </row>
    <row r="154" spans="1:7" ht="12" x14ac:dyDescent="0.25">
      <c r="A154" s="90" t="s">
        <v>83</v>
      </c>
      <c r="B154" s="90" t="s">
        <v>2751</v>
      </c>
      <c r="C154" s="90">
        <v>2</v>
      </c>
      <c r="D154" s="109" t="s">
        <v>64</v>
      </c>
      <c r="E154" s="99" t="s">
        <v>64</v>
      </c>
      <c r="F154" s="100" t="s">
        <v>2031</v>
      </c>
      <c r="G154" s="105" t="s">
        <v>2032</v>
      </c>
    </row>
    <row r="155" spans="1:7" ht="12" x14ac:dyDescent="0.25">
      <c r="A155" s="90" t="s">
        <v>83</v>
      </c>
      <c r="B155" s="90" t="s">
        <v>2751</v>
      </c>
      <c r="C155" s="90">
        <v>2</v>
      </c>
      <c r="D155" s="109" t="s">
        <v>130</v>
      </c>
      <c r="E155" s="99" t="s">
        <v>130</v>
      </c>
      <c r="F155" s="100" t="s">
        <v>2468</v>
      </c>
      <c r="G155" s="105" t="s">
        <v>2524</v>
      </c>
    </row>
    <row r="156" spans="1:7" ht="12" x14ac:dyDescent="0.25">
      <c r="A156" s="90" t="s">
        <v>83</v>
      </c>
      <c r="B156" s="90" t="s">
        <v>2751</v>
      </c>
      <c r="C156" s="90">
        <v>2</v>
      </c>
      <c r="D156" s="109" t="s">
        <v>226</v>
      </c>
      <c r="E156" s="99" t="s">
        <v>226</v>
      </c>
      <c r="F156" s="100" t="s">
        <v>2469</v>
      </c>
      <c r="G156" s="105" t="s">
        <v>2525</v>
      </c>
    </row>
    <row r="157" spans="1:7" ht="12" x14ac:dyDescent="0.25">
      <c r="A157" s="90" t="s">
        <v>83</v>
      </c>
      <c r="B157" s="90" t="s">
        <v>2751</v>
      </c>
      <c r="C157" s="90">
        <v>2</v>
      </c>
      <c r="D157" s="109" t="s">
        <v>227</v>
      </c>
      <c r="E157" s="99" t="s">
        <v>227</v>
      </c>
      <c r="F157" s="100" t="s">
        <v>2033</v>
      </c>
      <c r="G157" s="105" t="s">
        <v>2034</v>
      </c>
    </row>
    <row r="158" spans="1:7" ht="12" x14ac:dyDescent="0.25">
      <c r="A158" s="90" t="s">
        <v>83</v>
      </c>
      <c r="B158" s="90" t="s">
        <v>2751</v>
      </c>
      <c r="C158" s="90">
        <v>2</v>
      </c>
      <c r="D158" s="109" t="s">
        <v>228</v>
      </c>
      <c r="E158" s="99" t="s">
        <v>228</v>
      </c>
      <c r="F158" s="100" t="s">
        <v>2035</v>
      </c>
      <c r="G158" s="105" t="s">
        <v>2036</v>
      </c>
    </row>
    <row r="159" spans="1:7" ht="12" x14ac:dyDescent="0.25">
      <c r="A159" s="90" t="s">
        <v>83</v>
      </c>
      <c r="B159" s="90" t="s">
        <v>2751</v>
      </c>
      <c r="C159" s="90">
        <v>2</v>
      </c>
      <c r="D159" s="109" t="s">
        <v>229</v>
      </c>
      <c r="E159" s="99" t="s">
        <v>229</v>
      </c>
      <c r="F159" s="100" t="s">
        <v>2037</v>
      </c>
      <c r="G159" s="105" t="s">
        <v>2038</v>
      </c>
    </row>
    <row r="160" spans="1:7" ht="12" x14ac:dyDescent="0.25">
      <c r="A160" s="90" t="s">
        <v>83</v>
      </c>
      <c r="B160" s="90" t="s">
        <v>2751</v>
      </c>
      <c r="C160" s="90">
        <v>2</v>
      </c>
      <c r="D160" s="109" t="s">
        <v>230</v>
      </c>
      <c r="E160" s="99" t="s">
        <v>230</v>
      </c>
      <c r="F160" s="100" t="s">
        <v>2039</v>
      </c>
      <c r="G160" s="105" t="s">
        <v>2040</v>
      </c>
    </row>
    <row r="161" spans="1:7" ht="12" x14ac:dyDescent="0.25">
      <c r="A161" s="90" t="s">
        <v>83</v>
      </c>
      <c r="B161" s="90" t="s">
        <v>2751</v>
      </c>
      <c r="C161" s="90">
        <v>2</v>
      </c>
      <c r="D161" s="109" t="s">
        <v>231</v>
      </c>
      <c r="E161" s="99" t="s">
        <v>231</v>
      </c>
      <c r="F161" s="100" t="s">
        <v>2041</v>
      </c>
      <c r="G161" s="105" t="s">
        <v>2042</v>
      </c>
    </row>
    <row r="162" spans="1:7" ht="12" x14ac:dyDescent="0.25">
      <c r="A162" s="90" t="s">
        <v>83</v>
      </c>
      <c r="B162" s="90" t="s">
        <v>2751</v>
      </c>
      <c r="C162" s="90">
        <v>2</v>
      </c>
      <c r="D162" s="109" t="s">
        <v>2043</v>
      </c>
      <c r="E162" s="99" t="s">
        <v>2043</v>
      </c>
      <c r="F162" s="100" t="s">
        <v>2470</v>
      </c>
      <c r="G162" s="105" t="s">
        <v>2526</v>
      </c>
    </row>
    <row r="163" spans="1:7" ht="12" x14ac:dyDescent="0.25">
      <c r="A163" s="90" t="s">
        <v>83</v>
      </c>
      <c r="B163" s="90" t="s">
        <v>2751</v>
      </c>
      <c r="C163" s="90">
        <v>2</v>
      </c>
      <c r="D163" s="109" t="s">
        <v>130</v>
      </c>
      <c r="E163" s="99" t="s">
        <v>130</v>
      </c>
      <c r="F163" s="100" t="s">
        <v>2468</v>
      </c>
      <c r="G163" s="105" t="s">
        <v>2524</v>
      </c>
    </row>
    <row r="164" spans="1:7" ht="12" x14ac:dyDescent="0.25">
      <c r="A164" s="90" t="s">
        <v>83</v>
      </c>
      <c r="B164" s="90" t="s">
        <v>2751</v>
      </c>
      <c r="C164" s="90">
        <v>2</v>
      </c>
      <c r="D164" s="109" t="s">
        <v>232</v>
      </c>
      <c r="E164" s="99" t="s">
        <v>232</v>
      </c>
      <c r="F164" s="100" t="s">
        <v>2044</v>
      </c>
      <c r="G164" s="105" t="s">
        <v>2045</v>
      </c>
    </row>
    <row r="165" spans="1:7" ht="12" x14ac:dyDescent="0.25">
      <c r="A165" s="90" t="s">
        <v>83</v>
      </c>
      <c r="B165" s="90" t="s">
        <v>2751</v>
      </c>
      <c r="C165" s="90">
        <v>2</v>
      </c>
      <c r="D165" s="109" t="s">
        <v>233</v>
      </c>
      <c r="E165" s="99" t="s">
        <v>233</v>
      </c>
      <c r="F165" s="100" t="s">
        <v>2046</v>
      </c>
      <c r="G165" s="105" t="s">
        <v>2047</v>
      </c>
    </row>
    <row r="166" spans="1:7" ht="12" x14ac:dyDescent="0.25">
      <c r="A166" s="90" t="s">
        <v>83</v>
      </c>
      <c r="B166" s="90" t="s">
        <v>2751</v>
      </c>
      <c r="C166" s="90">
        <v>2</v>
      </c>
      <c r="D166" s="109" t="s">
        <v>234</v>
      </c>
      <c r="E166" s="99" t="s">
        <v>234</v>
      </c>
      <c r="F166" s="100" t="s">
        <v>2048</v>
      </c>
      <c r="G166" s="105" t="s">
        <v>2049</v>
      </c>
    </row>
    <row r="167" spans="1:7" ht="12" x14ac:dyDescent="0.25">
      <c r="A167" s="90" t="s">
        <v>83</v>
      </c>
      <c r="B167" s="90" t="s">
        <v>2751</v>
      </c>
      <c r="C167" s="90">
        <v>2</v>
      </c>
      <c r="D167" s="109" t="s">
        <v>235</v>
      </c>
      <c r="E167" s="99" t="s">
        <v>235</v>
      </c>
      <c r="F167" s="100" t="s">
        <v>2050</v>
      </c>
      <c r="G167" s="105" t="s">
        <v>2051</v>
      </c>
    </row>
    <row r="168" spans="1:7" ht="12" x14ac:dyDescent="0.25">
      <c r="A168" s="90" t="s">
        <v>83</v>
      </c>
      <c r="B168" s="90" t="s">
        <v>2751</v>
      </c>
      <c r="C168" s="90">
        <v>2</v>
      </c>
      <c r="D168" s="109" t="s">
        <v>236</v>
      </c>
      <c r="E168" s="99" t="s">
        <v>236</v>
      </c>
      <c r="F168" s="100" t="s">
        <v>2052</v>
      </c>
      <c r="G168" s="105" t="s">
        <v>2053</v>
      </c>
    </row>
    <row r="169" spans="1:7" ht="12" x14ac:dyDescent="0.25">
      <c r="A169" s="90" t="s">
        <v>83</v>
      </c>
      <c r="B169" s="90" t="s">
        <v>2751</v>
      </c>
      <c r="C169" s="90">
        <v>2</v>
      </c>
      <c r="D169" s="109" t="s">
        <v>237</v>
      </c>
      <c r="E169" s="99" t="s">
        <v>237</v>
      </c>
      <c r="F169" s="100" t="s">
        <v>2054</v>
      </c>
      <c r="G169" s="105" t="s">
        <v>2055</v>
      </c>
    </row>
    <row r="170" spans="1:7" ht="12" x14ac:dyDescent="0.25">
      <c r="A170" s="90" t="s">
        <v>83</v>
      </c>
      <c r="B170" s="90" t="s">
        <v>2751</v>
      </c>
      <c r="C170" s="90">
        <v>2</v>
      </c>
      <c r="D170" s="109" t="s">
        <v>2056</v>
      </c>
      <c r="E170" s="99" t="s">
        <v>2056</v>
      </c>
      <c r="F170" s="100" t="s">
        <v>2471</v>
      </c>
      <c r="G170" s="105" t="s">
        <v>2527</v>
      </c>
    </row>
    <row r="171" spans="1:7" ht="12" x14ac:dyDescent="0.25">
      <c r="A171" s="90" t="s">
        <v>83</v>
      </c>
      <c r="B171" s="90" t="s">
        <v>2751</v>
      </c>
      <c r="C171" s="90">
        <v>2</v>
      </c>
      <c r="D171" s="109" t="s">
        <v>130</v>
      </c>
      <c r="E171" s="99" t="s">
        <v>130</v>
      </c>
      <c r="F171" s="100" t="s">
        <v>2468</v>
      </c>
      <c r="G171" s="105" t="s">
        <v>2524</v>
      </c>
    </row>
    <row r="172" spans="1:7" ht="12" x14ac:dyDescent="0.25">
      <c r="A172" s="90" t="s">
        <v>83</v>
      </c>
      <c r="B172" s="90" t="s">
        <v>2751</v>
      </c>
      <c r="C172" s="90">
        <v>2</v>
      </c>
      <c r="D172" s="109" t="s">
        <v>238</v>
      </c>
      <c r="E172" s="99" t="s">
        <v>238</v>
      </c>
      <c r="F172" s="100" t="s">
        <v>2057</v>
      </c>
      <c r="G172" s="105" t="s">
        <v>2058</v>
      </c>
    </row>
    <row r="173" spans="1:7" ht="12" x14ac:dyDescent="0.25">
      <c r="A173" s="90" t="s">
        <v>83</v>
      </c>
      <c r="B173" s="90" t="s">
        <v>2751</v>
      </c>
      <c r="C173" s="90">
        <v>2</v>
      </c>
      <c r="D173" s="109" t="s">
        <v>239</v>
      </c>
      <c r="E173" s="99" t="s">
        <v>239</v>
      </c>
      <c r="F173" s="100" t="s">
        <v>2059</v>
      </c>
      <c r="G173" s="105" t="s">
        <v>2060</v>
      </c>
    </row>
    <row r="174" spans="1:7" ht="12" x14ac:dyDescent="0.25">
      <c r="A174" s="90" t="s">
        <v>83</v>
      </c>
      <c r="B174" s="90" t="s">
        <v>2751</v>
      </c>
      <c r="C174" s="90">
        <v>2</v>
      </c>
      <c r="D174" s="109" t="s">
        <v>240</v>
      </c>
      <c r="E174" s="99" t="s">
        <v>240</v>
      </c>
      <c r="F174" s="100" t="s">
        <v>2061</v>
      </c>
      <c r="G174" s="105" t="s">
        <v>2062</v>
      </c>
    </row>
    <row r="175" spans="1:7" ht="12" x14ac:dyDescent="0.25">
      <c r="A175" s="90" t="s">
        <v>83</v>
      </c>
      <c r="B175" s="90" t="s">
        <v>2751</v>
      </c>
      <c r="C175" s="90">
        <v>2</v>
      </c>
      <c r="D175" s="109" t="s">
        <v>241</v>
      </c>
      <c r="E175" s="99" t="s">
        <v>241</v>
      </c>
      <c r="F175" s="100" t="s">
        <v>2063</v>
      </c>
      <c r="G175" s="105" t="s">
        <v>2064</v>
      </c>
    </row>
    <row r="176" spans="1:7" ht="12" x14ac:dyDescent="0.25">
      <c r="A176" s="90" t="s">
        <v>83</v>
      </c>
      <c r="B176" s="90" t="s">
        <v>2751</v>
      </c>
      <c r="C176" s="90">
        <v>2</v>
      </c>
      <c r="D176" s="109" t="s">
        <v>242</v>
      </c>
      <c r="E176" s="99" t="s">
        <v>242</v>
      </c>
      <c r="F176" s="100" t="s">
        <v>2065</v>
      </c>
      <c r="G176" s="105" t="s">
        <v>2066</v>
      </c>
    </row>
    <row r="177" spans="1:7" ht="12" x14ac:dyDescent="0.25">
      <c r="A177" s="90" t="s">
        <v>83</v>
      </c>
      <c r="B177" s="90" t="s">
        <v>2751</v>
      </c>
      <c r="C177" s="90">
        <v>2</v>
      </c>
      <c r="D177" s="109" t="s">
        <v>243</v>
      </c>
      <c r="E177" s="99" t="s">
        <v>243</v>
      </c>
      <c r="F177" s="100" t="s">
        <v>2067</v>
      </c>
      <c r="G177" s="105" t="s">
        <v>2068</v>
      </c>
    </row>
    <row r="178" spans="1:7" ht="12" x14ac:dyDescent="0.25">
      <c r="A178" s="90" t="s">
        <v>83</v>
      </c>
      <c r="B178" s="90" t="s">
        <v>2751</v>
      </c>
      <c r="C178" s="90">
        <v>2</v>
      </c>
      <c r="D178" s="109" t="s">
        <v>2069</v>
      </c>
      <c r="E178" s="99" t="s">
        <v>2069</v>
      </c>
      <c r="F178" s="100" t="s">
        <v>2472</v>
      </c>
      <c r="G178" s="105" t="s">
        <v>2528</v>
      </c>
    </row>
    <row r="179" spans="1:7" ht="12" x14ac:dyDescent="0.25">
      <c r="A179" s="90" t="s">
        <v>83</v>
      </c>
      <c r="B179" s="90" t="s">
        <v>2751</v>
      </c>
      <c r="C179" s="90">
        <v>2</v>
      </c>
      <c r="D179" s="109" t="s">
        <v>130</v>
      </c>
      <c r="E179" s="99" t="s">
        <v>130</v>
      </c>
      <c r="F179" s="100" t="s">
        <v>2468</v>
      </c>
      <c r="G179" s="105" t="s">
        <v>2524</v>
      </c>
    </row>
    <row r="180" spans="1:7" ht="12" x14ac:dyDescent="0.25">
      <c r="A180" s="90" t="s">
        <v>83</v>
      </c>
      <c r="B180" s="90" t="s">
        <v>2751</v>
      </c>
      <c r="C180" s="90">
        <v>2</v>
      </c>
      <c r="D180" s="109" t="s">
        <v>337</v>
      </c>
      <c r="E180" s="99" t="s">
        <v>337</v>
      </c>
      <c r="F180" s="100" t="s">
        <v>2070</v>
      </c>
      <c r="G180" s="105" t="s">
        <v>2071</v>
      </c>
    </row>
    <row r="181" spans="1:7" ht="12" x14ac:dyDescent="0.25">
      <c r="A181" s="90" t="s">
        <v>83</v>
      </c>
      <c r="B181" s="90" t="s">
        <v>2751</v>
      </c>
      <c r="C181" s="90">
        <v>2</v>
      </c>
      <c r="D181" s="109" t="s">
        <v>338</v>
      </c>
      <c r="E181" s="99" t="s">
        <v>338</v>
      </c>
      <c r="F181" s="100" t="s">
        <v>2072</v>
      </c>
      <c r="G181" s="105" t="s">
        <v>2073</v>
      </c>
    </row>
    <row r="182" spans="1:7" ht="12" x14ac:dyDescent="0.25">
      <c r="A182" s="90" t="s">
        <v>83</v>
      </c>
      <c r="B182" s="90" t="s">
        <v>2751</v>
      </c>
      <c r="C182" s="90">
        <v>2</v>
      </c>
      <c r="D182" s="109" t="s">
        <v>339</v>
      </c>
      <c r="E182" s="99" t="s">
        <v>339</v>
      </c>
      <c r="F182" s="100" t="s">
        <v>2074</v>
      </c>
      <c r="G182" s="105" t="s">
        <v>2075</v>
      </c>
    </row>
    <row r="183" spans="1:7" ht="12" x14ac:dyDescent="0.25">
      <c r="A183" s="90" t="s">
        <v>83</v>
      </c>
      <c r="B183" s="90" t="s">
        <v>2751</v>
      </c>
      <c r="C183" s="90">
        <v>2</v>
      </c>
      <c r="D183" s="109" t="s">
        <v>340</v>
      </c>
      <c r="E183" s="99" t="s">
        <v>340</v>
      </c>
      <c r="F183" s="100" t="s">
        <v>2076</v>
      </c>
      <c r="G183" s="105" t="s">
        <v>2077</v>
      </c>
    </row>
    <row r="184" spans="1:7" ht="12" x14ac:dyDescent="0.25">
      <c r="A184" s="90" t="s">
        <v>83</v>
      </c>
      <c r="B184" s="90" t="s">
        <v>2751</v>
      </c>
      <c r="C184" s="90">
        <v>2</v>
      </c>
      <c r="D184" s="109" t="s">
        <v>341</v>
      </c>
      <c r="E184" s="99" t="s">
        <v>341</v>
      </c>
      <c r="F184" s="100" t="s">
        <v>2078</v>
      </c>
      <c r="G184" s="105" t="s">
        <v>2079</v>
      </c>
    </row>
    <row r="185" spans="1:7" ht="12" x14ac:dyDescent="0.25">
      <c r="A185" s="90" t="s">
        <v>83</v>
      </c>
      <c r="B185" s="90" t="s">
        <v>2751</v>
      </c>
      <c r="C185" s="90">
        <v>2</v>
      </c>
      <c r="D185" s="109" t="s">
        <v>342</v>
      </c>
      <c r="E185" s="99" t="s">
        <v>342</v>
      </c>
      <c r="F185" s="100" t="s">
        <v>2080</v>
      </c>
      <c r="G185" s="105" t="s">
        <v>2081</v>
      </c>
    </row>
    <row r="186" spans="1:7" ht="12" x14ac:dyDescent="0.25">
      <c r="A186" s="90" t="s">
        <v>83</v>
      </c>
      <c r="B186" s="90" t="s">
        <v>2751</v>
      </c>
      <c r="C186" s="90">
        <v>2</v>
      </c>
      <c r="D186" s="160" t="s">
        <v>2082</v>
      </c>
      <c r="E186" s="161" t="s">
        <v>2082</v>
      </c>
      <c r="F186" s="162" t="s">
        <v>2473</v>
      </c>
      <c r="G186" s="163" t="s">
        <v>2529</v>
      </c>
    </row>
    <row r="187" spans="1:7" ht="12" x14ac:dyDescent="0.25">
      <c r="A187" s="90" t="s">
        <v>83</v>
      </c>
      <c r="B187" s="90" t="s">
        <v>2751</v>
      </c>
      <c r="C187" s="90">
        <v>2</v>
      </c>
      <c r="D187" s="160" t="s">
        <v>191</v>
      </c>
      <c r="E187" s="161" t="s">
        <v>191</v>
      </c>
      <c r="F187" s="162" t="s">
        <v>343</v>
      </c>
      <c r="G187" s="163" t="s">
        <v>2083</v>
      </c>
    </row>
    <row r="188" spans="1:7" ht="12" x14ac:dyDescent="0.25">
      <c r="A188" s="90" t="s">
        <v>83</v>
      </c>
      <c r="B188" s="90" t="s">
        <v>2751</v>
      </c>
      <c r="C188" s="90">
        <v>2</v>
      </c>
      <c r="D188" s="109" t="s">
        <v>244</v>
      </c>
      <c r="E188" s="99" t="s">
        <v>244</v>
      </c>
      <c r="F188" s="100" t="s">
        <v>344</v>
      </c>
      <c r="G188" s="105" t="s">
        <v>345</v>
      </c>
    </row>
    <row r="189" spans="1:7" ht="12" x14ac:dyDescent="0.25">
      <c r="A189" s="90" t="s">
        <v>83</v>
      </c>
      <c r="B189" s="90" t="s">
        <v>2751</v>
      </c>
      <c r="C189" s="90">
        <v>2</v>
      </c>
      <c r="D189" s="109" t="s">
        <v>2084</v>
      </c>
      <c r="E189" s="99" t="s">
        <v>2084</v>
      </c>
      <c r="F189" s="100" t="s">
        <v>2474</v>
      </c>
      <c r="G189" s="105" t="s">
        <v>2530</v>
      </c>
    </row>
    <row r="190" spans="1:7" ht="12" x14ac:dyDescent="0.25">
      <c r="A190" s="90" t="s">
        <v>83</v>
      </c>
      <c r="B190" s="90" t="s">
        <v>2751</v>
      </c>
      <c r="C190" s="90">
        <v>2</v>
      </c>
      <c r="D190" s="109" t="s">
        <v>211</v>
      </c>
      <c r="E190" s="99" t="s">
        <v>211</v>
      </c>
      <c r="F190" s="100" t="s">
        <v>2085</v>
      </c>
      <c r="G190" s="105" t="s">
        <v>349</v>
      </c>
    </row>
    <row r="191" spans="1:7" ht="12" x14ac:dyDescent="0.25">
      <c r="A191" s="90" t="s">
        <v>83</v>
      </c>
      <c r="B191" s="90" t="s">
        <v>2751</v>
      </c>
      <c r="C191" s="90">
        <v>2</v>
      </c>
      <c r="D191" s="109" t="s">
        <v>193</v>
      </c>
      <c r="E191" s="99" t="s">
        <v>193</v>
      </c>
      <c r="F191" s="100" t="s">
        <v>350</v>
      </c>
      <c r="G191" s="105" t="s">
        <v>2086</v>
      </c>
    </row>
    <row r="192" spans="1:7" ht="12" x14ac:dyDescent="0.25">
      <c r="A192" s="90" t="s">
        <v>83</v>
      </c>
      <c r="B192" s="90" t="s">
        <v>2751</v>
      </c>
      <c r="C192" s="90">
        <v>2</v>
      </c>
      <c r="D192" s="109" t="s">
        <v>145</v>
      </c>
      <c r="E192" s="99" t="s">
        <v>145</v>
      </c>
      <c r="F192" s="100" t="s">
        <v>351</v>
      </c>
      <c r="G192" s="105" t="s">
        <v>352</v>
      </c>
    </row>
    <row r="193" spans="1:7" ht="360" x14ac:dyDescent="0.25">
      <c r="A193" s="90" t="s">
        <v>83</v>
      </c>
      <c r="B193" s="90" t="s">
        <v>2751</v>
      </c>
      <c r="C193" s="90">
        <v>3</v>
      </c>
      <c r="D193" s="109" t="s">
        <v>2021</v>
      </c>
      <c r="E193" s="99" t="s">
        <v>2021</v>
      </c>
      <c r="F193" s="100" t="s">
        <v>2450</v>
      </c>
      <c r="G193" s="105" t="s">
        <v>2451</v>
      </c>
    </row>
    <row r="194" spans="1:7" ht="12" x14ac:dyDescent="0.25">
      <c r="A194" s="90" t="s">
        <v>83</v>
      </c>
      <c r="B194" s="90" t="s">
        <v>2751</v>
      </c>
      <c r="C194" s="90">
        <v>3</v>
      </c>
      <c r="D194" s="109" t="s">
        <v>75</v>
      </c>
      <c r="E194" s="99" t="s">
        <v>75</v>
      </c>
      <c r="F194" s="100" t="s">
        <v>2022</v>
      </c>
      <c r="G194" s="105" t="s">
        <v>2023</v>
      </c>
    </row>
    <row r="195" spans="1:7" ht="12" x14ac:dyDescent="0.25">
      <c r="A195" s="90" t="s">
        <v>83</v>
      </c>
      <c r="B195" s="90" t="s">
        <v>2751</v>
      </c>
      <c r="C195" s="90">
        <v>3</v>
      </c>
      <c r="D195" s="109" t="s">
        <v>76</v>
      </c>
      <c r="E195" s="99" t="s">
        <v>76</v>
      </c>
      <c r="F195" s="100" t="s">
        <v>2024</v>
      </c>
      <c r="G195" s="105" t="s">
        <v>2025</v>
      </c>
    </row>
    <row r="196" spans="1:7" ht="12" x14ac:dyDescent="0.25">
      <c r="A196" s="90" t="s">
        <v>83</v>
      </c>
      <c r="B196" s="90" t="s">
        <v>2751</v>
      </c>
      <c r="C196" s="90">
        <v>3</v>
      </c>
      <c r="D196" s="109" t="s">
        <v>8</v>
      </c>
      <c r="E196" s="99" t="s">
        <v>8</v>
      </c>
      <c r="F196" s="100" t="s">
        <v>2026</v>
      </c>
      <c r="G196" s="105" t="s">
        <v>2027</v>
      </c>
    </row>
    <row r="197" spans="1:7" ht="12" x14ac:dyDescent="0.25">
      <c r="A197" s="90" t="s">
        <v>83</v>
      </c>
      <c r="B197" s="90" t="s">
        <v>2751</v>
      </c>
      <c r="C197" s="90">
        <v>3</v>
      </c>
      <c r="D197" s="109" t="s">
        <v>225</v>
      </c>
      <c r="E197" s="99" t="s">
        <v>225</v>
      </c>
      <c r="F197" s="100" t="s">
        <v>335</v>
      </c>
      <c r="G197" s="105" t="s">
        <v>336</v>
      </c>
    </row>
    <row r="198" spans="1:7" ht="12" x14ac:dyDescent="0.25">
      <c r="A198" s="90" t="s">
        <v>83</v>
      </c>
      <c r="B198" s="90" t="s">
        <v>2751</v>
      </c>
      <c r="C198" s="90">
        <v>3</v>
      </c>
      <c r="D198" s="109" t="s">
        <v>74</v>
      </c>
      <c r="E198" s="99" t="s">
        <v>74</v>
      </c>
      <c r="F198" s="100" t="s">
        <v>2028</v>
      </c>
      <c r="G198" s="105" t="s">
        <v>2029</v>
      </c>
    </row>
    <row r="199" spans="1:7" ht="12" x14ac:dyDescent="0.25">
      <c r="A199" s="90" t="s">
        <v>83</v>
      </c>
      <c r="B199" s="90" t="s">
        <v>2751</v>
      </c>
      <c r="C199" s="90">
        <v>3</v>
      </c>
      <c r="D199" s="109" t="s">
        <v>2030</v>
      </c>
      <c r="E199" s="99" t="s">
        <v>2030</v>
      </c>
      <c r="F199" s="100" t="s">
        <v>2467</v>
      </c>
      <c r="G199" s="105" t="s">
        <v>2462</v>
      </c>
    </row>
    <row r="200" spans="1:7" ht="12" x14ac:dyDescent="0.25">
      <c r="A200" s="90" t="s">
        <v>83</v>
      </c>
      <c r="B200" s="90" t="s">
        <v>2751</v>
      </c>
      <c r="C200" s="90">
        <v>3</v>
      </c>
      <c r="D200" s="109" t="s">
        <v>64</v>
      </c>
      <c r="E200" s="99" t="s">
        <v>64</v>
      </c>
      <c r="F200" s="100" t="s">
        <v>2031</v>
      </c>
      <c r="G200" s="105" t="s">
        <v>2032</v>
      </c>
    </row>
    <row r="201" spans="1:7" ht="12" x14ac:dyDescent="0.25">
      <c r="A201" s="90" t="s">
        <v>83</v>
      </c>
      <c r="B201" s="90" t="s">
        <v>2751</v>
      </c>
      <c r="C201" s="90">
        <v>3</v>
      </c>
      <c r="D201" s="109" t="s">
        <v>130</v>
      </c>
      <c r="E201" s="99" t="s">
        <v>130</v>
      </c>
      <c r="F201" s="100" t="s">
        <v>2468</v>
      </c>
      <c r="G201" s="105" t="s">
        <v>2524</v>
      </c>
    </row>
    <row r="202" spans="1:7" ht="12" x14ac:dyDescent="0.25">
      <c r="A202" s="90" t="s">
        <v>83</v>
      </c>
      <c r="B202" s="90" t="s">
        <v>2751</v>
      </c>
      <c r="C202" s="90">
        <v>3</v>
      </c>
      <c r="D202" s="109" t="s">
        <v>226</v>
      </c>
      <c r="E202" s="99" t="s">
        <v>226</v>
      </c>
      <c r="F202" s="100" t="s">
        <v>2469</v>
      </c>
      <c r="G202" s="105" t="s">
        <v>2525</v>
      </c>
    </row>
    <row r="203" spans="1:7" ht="12" x14ac:dyDescent="0.25">
      <c r="A203" s="90" t="s">
        <v>83</v>
      </c>
      <c r="B203" s="90" t="s">
        <v>2751</v>
      </c>
      <c r="C203" s="90">
        <v>3</v>
      </c>
      <c r="D203" s="109" t="s">
        <v>227</v>
      </c>
      <c r="E203" s="99" t="s">
        <v>227</v>
      </c>
      <c r="F203" s="100" t="s">
        <v>2033</v>
      </c>
      <c r="G203" s="105" t="s">
        <v>2034</v>
      </c>
    </row>
    <row r="204" spans="1:7" ht="12" x14ac:dyDescent="0.25">
      <c r="A204" s="90" t="s">
        <v>83</v>
      </c>
      <c r="B204" s="90" t="s">
        <v>2751</v>
      </c>
      <c r="C204" s="90">
        <v>3</v>
      </c>
      <c r="D204" s="109" t="s">
        <v>228</v>
      </c>
      <c r="E204" s="99" t="s">
        <v>228</v>
      </c>
      <c r="F204" s="100" t="s">
        <v>2035</v>
      </c>
      <c r="G204" s="105" t="s">
        <v>2036</v>
      </c>
    </row>
    <row r="205" spans="1:7" ht="12" x14ac:dyDescent="0.25">
      <c r="A205" s="90" t="s">
        <v>83</v>
      </c>
      <c r="B205" s="90" t="s">
        <v>2751</v>
      </c>
      <c r="C205" s="90">
        <v>3</v>
      </c>
      <c r="D205" s="109" t="s">
        <v>229</v>
      </c>
      <c r="E205" s="99" t="s">
        <v>229</v>
      </c>
      <c r="F205" s="100" t="s">
        <v>2037</v>
      </c>
      <c r="G205" s="105" t="s">
        <v>2038</v>
      </c>
    </row>
    <row r="206" spans="1:7" ht="12" x14ac:dyDescent="0.25">
      <c r="A206" s="90" t="s">
        <v>83</v>
      </c>
      <c r="B206" s="90" t="s">
        <v>2751</v>
      </c>
      <c r="C206" s="90">
        <v>3</v>
      </c>
      <c r="D206" s="109" t="s">
        <v>230</v>
      </c>
      <c r="E206" s="99" t="s">
        <v>230</v>
      </c>
      <c r="F206" s="100" t="s">
        <v>2039</v>
      </c>
      <c r="G206" s="105" t="s">
        <v>2040</v>
      </c>
    </row>
    <row r="207" spans="1:7" ht="12" x14ac:dyDescent="0.25">
      <c r="A207" s="90" t="s">
        <v>83</v>
      </c>
      <c r="B207" s="90" t="s">
        <v>2751</v>
      </c>
      <c r="C207" s="90">
        <v>3</v>
      </c>
      <c r="D207" s="109" t="s">
        <v>231</v>
      </c>
      <c r="E207" s="99" t="s">
        <v>231</v>
      </c>
      <c r="F207" s="100" t="s">
        <v>2041</v>
      </c>
      <c r="G207" s="105" t="s">
        <v>2042</v>
      </c>
    </row>
    <row r="208" spans="1:7" ht="12" x14ac:dyDescent="0.25">
      <c r="A208" s="90" t="s">
        <v>83</v>
      </c>
      <c r="B208" s="90" t="s">
        <v>2751</v>
      </c>
      <c r="C208" s="90">
        <v>3</v>
      </c>
      <c r="D208" s="109" t="s">
        <v>2043</v>
      </c>
      <c r="E208" s="99" t="s">
        <v>2043</v>
      </c>
      <c r="F208" s="100" t="s">
        <v>2470</v>
      </c>
      <c r="G208" s="105" t="s">
        <v>2526</v>
      </c>
    </row>
    <row r="209" spans="1:7" ht="12" x14ac:dyDescent="0.25">
      <c r="A209" s="90" t="s">
        <v>83</v>
      </c>
      <c r="B209" s="90" t="s">
        <v>2751</v>
      </c>
      <c r="C209" s="90">
        <v>3</v>
      </c>
      <c r="D209" s="109" t="s">
        <v>130</v>
      </c>
      <c r="E209" s="99" t="s">
        <v>130</v>
      </c>
      <c r="F209" s="100" t="s">
        <v>2468</v>
      </c>
      <c r="G209" s="105" t="s">
        <v>2524</v>
      </c>
    </row>
    <row r="210" spans="1:7" ht="12" x14ac:dyDescent="0.25">
      <c r="A210" s="90" t="s">
        <v>83</v>
      </c>
      <c r="B210" s="90" t="s">
        <v>2751</v>
      </c>
      <c r="C210" s="90">
        <v>3</v>
      </c>
      <c r="D210" s="109" t="s">
        <v>232</v>
      </c>
      <c r="E210" s="99" t="s">
        <v>232</v>
      </c>
      <c r="F210" s="100" t="s">
        <v>2044</v>
      </c>
      <c r="G210" s="105" t="s">
        <v>2045</v>
      </c>
    </row>
    <row r="211" spans="1:7" ht="12" x14ac:dyDescent="0.25">
      <c r="A211" s="90" t="s">
        <v>83</v>
      </c>
      <c r="B211" s="90" t="s">
        <v>2751</v>
      </c>
      <c r="C211" s="90">
        <v>3</v>
      </c>
      <c r="D211" s="109" t="s">
        <v>233</v>
      </c>
      <c r="E211" s="99" t="s">
        <v>233</v>
      </c>
      <c r="F211" s="100" t="s">
        <v>2046</v>
      </c>
      <c r="G211" s="105" t="s">
        <v>2047</v>
      </c>
    </row>
    <row r="212" spans="1:7" ht="12" x14ac:dyDescent="0.25">
      <c r="A212" s="90" t="s">
        <v>83</v>
      </c>
      <c r="B212" s="90" t="s">
        <v>2751</v>
      </c>
      <c r="C212" s="90">
        <v>3</v>
      </c>
      <c r="D212" s="109" t="s">
        <v>234</v>
      </c>
      <c r="E212" s="99" t="s">
        <v>234</v>
      </c>
      <c r="F212" s="100" t="s">
        <v>2048</v>
      </c>
      <c r="G212" s="105" t="s">
        <v>2049</v>
      </c>
    </row>
    <row r="213" spans="1:7" ht="12" x14ac:dyDescent="0.25">
      <c r="A213" s="90" t="s">
        <v>83</v>
      </c>
      <c r="B213" s="90" t="s">
        <v>2751</v>
      </c>
      <c r="C213" s="90">
        <v>3</v>
      </c>
      <c r="D213" s="109" t="s">
        <v>235</v>
      </c>
      <c r="E213" s="99" t="s">
        <v>235</v>
      </c>
      <c r="F213" s="100" t="s">
        <v>2050</v>
      </c>
      <c r="G213" s="105" t="s">
        <v>2051</v>
      </c>
    </row>
    <row r="214" spans="1:7" ht="12" x14ac:dyDescent="0.25">
      <c r="A214" s="90" t="s">
        <v>83</v>
      </c>
      <c r="B214" s="90" t="s">
        <v>2751</v>
      </c>
      <c r="C214" s="90">
        <v>3</v>
      </c>
      <c r="D214" s="109" t="s">
        <v>236</v>
      </c>
      <c r="E214" s="99" t="s">
        <v>236</v>
      </c>
      <c r="F214" s="100" t="s">
        <v>2052</v>
      </c>
      <c r="G214" s="105" t="s">
        <v>2053</v>
      </c>
    </row>
    <row r="215" spans="1:7" ht="12" x14ac:dyDescent="0.25">
      <c r="A215" s="90" t="s">
        <v>83</v>
      </c>
      <c r="B215" s="90" t="s">
        <v>2751</v>
      </c>
      <c r="C215" s="90">
        <v>3</v>
      </c>
      <c r="D215" s="109" t="s">
        <v>237</v>
      </c>
      <c r="E215" s="99" t="s">
        <v>237</v>
      </c>
      <c r="F215" s="100" t="s">
        <v>2054</v>
      </c>
      <c r="G215" s="105" t="s">
        <v>2055</v>
      </c>
    </row>
    <row r="216" spans="1:7" ht="12" x14ac:dyDescent="0.25">
      <c r="A216" s="90" t="s">
        <v>83</v>
      </c>
      <c r="B216" s="90" t="s">
        <v>2751</v>
      </c>
      <c r="C216" s="90">
        <v>3</v>
      </c>
      <c r="D216" s="109" t="s">
        <v>2056</v>
      </c>
      <c r="E216" s="99" t="s">
        <v>2056</v>
      </c>
      <c r="F216" s="100" t="s">
        <v>2471</v>
      </c>
      <c r="G216" s="105" t="s">
        <v>2527</v>
      </c>
    </row>
    <row r="217" spans="1:7" ht="12" x14ac:dyDescent="0.25">
      <c r="A217" s="90" t="s">
        <v>83</v>
      </c>
      <c r="B217" s="90" t="s">
        <v>2751</v>
      </c>
      <c r="C217" s="90">
        <v>3</v>
      </c>
      <c r="D217" s="109" t="s">
        <v>130</v>
      </c>
      <c r="E217" s="99" t="s">
        <v>130</v>
      </c>
      <c r="F217" s="100" t="s">
        <v>2468</v>
      </c>
      <c r="G217" s="105" t="s">
        <v>2524</v>
      </c>
    </row>
    <row r="218" spans="1:7" ht="12" x14ac:dyDescent="0.25">
      <c r="A218" s="90" t="s">
        <v>83</v>
      </c>
      <c r="B218" s="90" t="s">
        <v>2751</v>
      </c>
      <c r="C218" s="90">
        <v>3</v>
      </c>
      <c r="D218" s="109" t="s">
        <v>238</v>
      </c>
      <c r="E218" s="99" t="s">
        <v>238</v>
      </c>
      <c r="F218" s="100" t="s">
        <v>2057</v>
      </c>
      <c r="G218" s="105" t="s">
        <v>2058</v>
      </c>
    </row>
    <row r="219" spans="1:7" ht="12" x14ac:dyDescent="0.25">
      <c r="A219" s="90" t="s">
        <v>83</v>
      </c>
      <c r="B219" s="90" t="s">
        <v>2751</v>
      </c>
      <c r="C219" s="90">
        <v>3</v>
      </c>
      <c r="D219" s="109" t="s">
        <v>239</v>
      </c>
      <c r="E219" s="99" t="s">
        <v>239</v>
      </c>
      <c r="F219" s="100" t="s">
        <v>2059</v>
      </c>
      <c r="G219" s="105" t="s">
        <v>2060</v>
      </c>
    </row>
    <row r="220" spans="1:7" ht="12" x14ac:dyDescent="0.25">
      <c r="A220" s="90" t="s">
        <v>83</v>
      </c>
      <c r="B220" s="90" t="s">
        <v>2751</v>
      </c>
      <c r="C220" s="90">
        <v>3</v>
      </c>
      <c r="D220" s="109" t="s">
        <v>240</v>
      </c>
      <c r="E220" s="99" t="s">
        <v>240</v>
      </c>
      <c r="F220" s="100" t="s">
        <v>2061</v>
      </c>
      <c r="G220" s="105" t="s">
        <v>2062</v>
      </c>
    </row>
    <row r="221" spans="1:7" ht="12" x14ac:dyDescent="0.25">
      <c r="A221" s="90" t="s">
        <v>83</v>
      </c>
      <c r="B221" s="90" t="s">
        <v>2751</v>
      </c>
      <c r="C221" s="90">
        <v>3</v>
      </c>
      <c r="D221" s="109" t="s">
        <v>241</v>
      </c>
      <c r="E221" s="99" t="s">
        <v>241</v>
      </c>
      <c r="F221" s="100" t="s">
        <v>2063</v>
      </c>
      <c r="G221" s="105" t="s">
        <v>2064</v>
      </c>
    </row>
    <row r="222" spans="1:7" ht="12" x14ac:dyDescent="0.25">
      <c r="A222" s="90" t="s">
        <v>83</v>
      </c>
      <c r="B222" s="90" t="s">
        <v>2751</v>
      </c>
      <c r="C222" s="90">
        <v>3</v>
      </c>
      <c r="D222" s="109" t="s">
        <v>242</v>
      </c>
      <c r="E222" s="99" t="s">
        <v>242</v>
      </c>
      <c r="F222" s="100" t="s">
        <v>2065</v>
      </c>
      <c r="G222" s="105" t="s">
        <v>2066</v>
      </c>
    </row>
    <row r="223" spans="1:7" ht="12" x14ac:dyDescent="0.25">
      <c r="A223" s="90" t="s">
        <v>83</v>
      </c>
      <c r="B223" s="90" t="s">
        <v>2751</v>
      </c>
      <c r="C223" s="90">
        <v>3</v>
      </c>
      <c r="D223" s="109" t="s">
        <v>243</v>
      </c>
      <c r="E223" s="99" t="s">
        <v>243</v>
      </c>
      <c r="F223" s="100" t="s">
        <v>2067</v>
      </c>
      <c r="G223" s="105" t="s">
        <v>2068</v>
      </c>
    </row>
    <row r="224" spans="1:7" ht="12" x14ac:dyDescent="0.25">
      <c r="A224" s="90" t="s">
        <v>83</v>
      </c>
      <c r="B224" s="90" t="s">
        <v>2751</v>
      </c>
      <c r="C224" s="90">
        <v>3</v>
      </c>
      <c r="D224" s="109" t="s">
        <v>2069</v>
      </c>
      <c r="E224" s="99" t="s">
        <v>2069</v>
      </c>
      <c r="F224" s="100" t="s">
        <v>2472</v>
      </c>
      <c r="G224" s="105" t="s">
        <v>2528</v>
      </c>
    </row>
    <row r="225" spans="1:7" ht="12" x14ac:dyDescent="0.25">
      <c r="A225" s="90" t="s">
        <v>83</v>
      </c>
      <c r="B225" s="90" t="s">
        <v>2751</v>
      </c>
      <c r="C225" s="90">
        <v>3</v>
      </c>
      <c r="D225" s="109" t="s">
        <v>130</v>
      </c>
      <c r="E225" s="99" t="s">
        <v>130</v>
      </c>
      <c r="F225" s="100" t="s">
        <v>2468</v>
      </c>
      <c r="G225" s="105" t="s">
        <v>2524</v>
      </c>
    </row>
    <row r="226" spans="1:7" ht="12" x14ac:dyDescent="0.25">
      <c r="A226" s="90" t="s">
        <v>83</v>
      </c>
      <c r="B226" s="90" t="s">
        <v>2751</v>
      </c>
      <c r="C226" s="90">
        <v>3</v>
      </c>
      <c r="D226" s="109" t="s">
        <v>337</v>
      </c>
      <c r="E226" s="99" t="s">
        <v>337</v>
      </c>
      <c r="F226" s="100" t="s">
        <v>2070</v>
      </c>
      <c r="G226" s="105" t="s">
        <v>2071</v>
      </c>
    </row>
    <row r="227" spans="1:7" ht="12" x14ac:dyDescent="0.25">
      <c r="A227" s="90" t="s">
        <v>83</v>
      </c>
      <c r="B227" s="90" t="s">
        <v>2751</v>
      </c>
      <c r="C227" s="90">
        <v>3</v>
      </c>
      <c r="D227" s="109" t="s">
        <v>338</v>
      </c>
      <c r="E227" s="99" t="s">
        <v>338</v>
      </c>
      <c r="F227" s="100" t="s">
        <v>2072</v>
      </c>
      <c r="G227" s="105" t="s">
        <v>2073</v>
      </c>
    </row>
    <row r="228" spans="1:7" ht="12" x14ac:dyDescent="0.25">
      <c r="A228" s="90" t="s">
        <v>83</v>
      </c>
      <c r="B228" s="90" t="s">
        <v>2751</v>
      </c>
      <c r="C228" s="90">
        <v>3</v>
      </c>
      <c r="D228" s="109" t="s">
        <v>339</v>
      </c>
      <c r="E228" s="99" t="s">
        <v>339</v>
      </c>
      <c r="F228" s="100" t="s">
        <v>2074</v>
      </c>
      <c r="G228" s="105" t="s">
        <v>2075</v>
      </c>
    </row>
    <row r="229" spans="1:7" ht="12" x14ac:dyDescent="0.25">
      <c r="A229" s="90" t="s">
        <v>83</v>
      </c>
      <c r="B229" s="90" t="s">
        <v>2751</v>
      </c>
      <c r="C229" s="90">
        <v>3</v>
      </c>
      <c r="D229" s="109" t="s">
        <v>340</v>
      </c>
      <c r="E229" s="99" t="s">
        <v>340</v>
      </c>
      <c r="F229" s="100" t="s">
        <v>2076</v>
      </c>
      <c r="G229" s="105" t="s">
        <v>2077</v>
      </c>
    </row>
    <row r="230" spans="1:7" ht="12" x14ac:dyDescent="0.25">
      <c r="A230" s="90" t="s">
        <v>83</v>
      </c>
      <c r="B230" s="90" t="s">
        <v>2751</v>
      </c>
      <c r="C230" s="90">
        <v>3</v>
      </c>
      <c r="D230" s="160" t="s">
        <v>341</v>
      </c>
      <c r="E230" s="161" t="s">
        <v>341</v>
      </c>
      <c r="F230" s="162" t="s">
        <v>2078</v>
      </c>
      <c r="G230" s="163" t="s">
        <v>2079</v>
      </c>
    </row>
    <row r="231" spans="1:7" ht="12" x14ac:dyDescent="0.25">
      <c r="A231" s="90" t="s">
        <v>83</v>
      </c>
      <c r="B231" s="90" t="s">
        <v>2751</v>
      </c>
      <c r="C231" s="90">
        <v>3</v>
      </c>
      <c r="D231" s="160" t="s">
        <v>342</v>
      </c>
      <c r="E231" s="161" t="s">
        <v>342</v>
      </c>
      <c r="F231" s="162" t="s">
        <v>2080</v>
      </c>
      <c r="G231" s="163" t="s">
        <v>2081</v>
      </c>
    </row>
    <row r="232" spans="1:7" ht="12" x14ac:dyDescent="0.25">
      <c r="A232" s="90" t="s">
        <v>83</v>
      </c>
      <c r="B232" s="90" t="s">
        <v>2751</v>
      </c>
      <c r="C232" s="90">
        <v>3</v>
      </c>
      <c r="D232" s="109" t="s">
        <v>2082</v>
      </c>
      <c r="E232" s="99" t="s">
        <v>2082</v>
      </c>
      <c r="F232" s="100" t="s">
        <v>2473</v>
      </c>
      <c r="G232" s="105" t="s">
        <v>2529</v>
      </c>
    </row>
    <row r="233" spans="1:7" ht="12" x14ac:dyDescent="0.25">
      <c r="A233" s="90" t="s">
        <v>83</v>
      </c>
      <c r="B233" s="90" t="s">
        <v>2751</v>
      </c>
      <c r="C233" s="90">
        <v>3</v>
      </c>
      <c r="D233" s="109" t="s">
        <v>191</v>
      </c>
      <c r="E233" s="99" t="s">
        <v>191</v>
      </c>
      <c r="F233" s="100" t="s">
        <v>343</v>
      </c>
      <c r="G233" s="105" t="s">
        <v>2083</v>
      </c>
    </row>
    <row r="234" spans="1:7" ht="12" x14ac:dyDescent="0.25">
      <c r="A234" s="90" t="s">
        <v>83</v>
      </c>
      <c r="B234" s="90" t="s">
        <v>2751</v>
      </c>
      <c r="C234" s="90">
        <v>3</v>
      </c>
      <c r="D234" s="109" t="s">
        <v>244</v>
      </c>
      <c r="E234" s="99" t="s">
        <v>244</v>
      </c>
      <c r="F234" s="100" t="s">
        <v>344</v>
      </c>
      <c r="G234" s="105" t="s">
        <v>345</v>
      </c>
    </row>
    <row r="235" spans="1:7" ht="12" x14ac:dyDescent="0.25">
      <c r="A235" s="90" t="s">
        <v>83</v>
      </c>
      <c r="B235" s="90" t="s">
        <v>2751</v>
      </c>
      <c r="C235" s="90">
        <v>3</v>
      </c>
      <c r="D235" s="109" t="s">
        <v>2084</v>
      </c>
      <c r="E235" s="99" t="s">
        <v>2084</v>
      </c>
      <c r="F235" s="100" t="s">
        <v>2474</v>
      </c>
      <c r="G235" s="105" t="s">
        <v>2530</v>
      </c>
    </row>
    <row r="236" spans="1:7" ht="12" x14ac:dyDescent="0.25">
      <c r="A236" s="90" t="s">
        <v>83</v>
      </c>
      <c r="B236" s="90" t="s">
        <v>2751</v>
      </c>
      <c r="C236" s="90">
        <v>3</v>
      </c>
      <c r="D236" s="109" t="s">
        <v>211</v>
      </c>
      <c r="E236" s="99" t="s">
        <v>211</v>
      </c>
      <c r="F236" s="100" t="s">
        <v>2085</v>
      </c>
      <c r="G236" s="105" t="s">
        <v>349</v>
      </c>
    </row>
    <row r="237" spans="1:7" ht="12" x14ac:dyDescent="0.25">
      <c r="A237" s="90" t="s">
        <v>83</v>
      </c>
      <c r="B237" s="90" t="s">
        <v>2751</v>
      </c>
      <c r="C237" s="90">
        <v>3</v>
      </c>
      <c r="D237" s="109" t="s">
        <v>193</v>
      </c>
      <c r="E237" s="99" t="s">
        <v>193</v>
      </c>
      <c r="F237" s="100" t="s">
        <v>350</v>
      </c>
      <c r="G237" s="105" t="s">
        <v>2086</v>
      </c>
    </row>
    <row r="238" spans="1:7" ht="12" x14ac:dyDescent="0.25">
      <c r="A238" s="90" t="s">
        <v>83</v>
      </c>
      <c r="B238" s="90" t="s">
        <v>2751</v>
      </c>
      <c r="C238" s="90">
        <v>3</v>
      </c>
      <c r="D238" s="109" t="s">
        <v>145</v>
      </c>
      <c r="E238" s="99" t="s">
        <v>145</v>
      </c>
      <c r="F238" s="100" t="s">
        <v>351</v>
      </c>
      <c r="G238" s="105" t="s">
        <v>352</v>
      </c>
    </row>
    <row r="239" spans="1:7" ht="360" x14ac:dyDescent="0.25">
      <c r="A239" s="90" t="s">
        <v>83</v>
      </c>
      <c r="B239" s="90" t="s">
        <v>2751</v>
      </c>
      <c r="C239" s="90">
        <v>4</v>
      </c>
      <c r="D239" s="109" t="s">
        <v>2021</v>
      </c>
      <c r="E239" s="99" t="s">
        <v>2021</v>
      </c>
      <c r="F239" s="100" t="s">
        <v>2450</v>
      </c>
      <c r="G239" s="105" t="s">
        <v>2451</v>
      </c>
    </row>
    <row r="240" spans="1:7" ht="12" x14ac:dyDescent="0.25">
      <c r="A240" s="90" t="s">
        <v>83</v>
      </c>
      <c r="B240" s="90" t="s">
        <v>2751</v>
      </c>
      <c r="C240" s="90">
        <v>4</v>
      </c>
      <c r="D240" s="109" t="s">
        <v>75</v>
      </c>
      <c r="E240" s="99" t="s">
        <v>75</v>
      </c>
      <c r="F240" s="100" t="s">
        <v>2022</v>
      </c>
      <c r="G240" s="105" t="s">
        <v>2023</v>
      </c>
    </row>
    <row r="241" spans="1:7" ht="12" x14ac:dyDescent="0.25">
      <c r="A241" s="90" t="s">
        <v>83</v>
      </c>
      <c r="B241" s="90" t="s">
        <v>2751</v>
      </c>
      <c r="C241" s="90">
        <v>4</v>
      </c>
      <c r="D241" s="109" t="s">
        <v>76</v>
      </c>
      <c r="E241" s="99" t="s">
        <v>76</v>
      </c>
      <c r="F241" s="100" t="s">
        <v>2024</v>
      </c>
      <c r="G241" s="105" t="s">
        <v>2025</v>
      </c>
    </row>
    <row r="242" spans="1:7" ht="12" x14ac:dyDescent="0.25">
      <c r="A242" s="90" t="s">
        <v>83</v>
      </c>
      <c r="B242" s="90" t="s">
        <v>2751</v>
      </c>
      <c r="C242" s="90">
        <v>4</v>
      </c>
      <c r="D242" s="109" t="s">
        <v>8</v>
      </c>
      <c r="E242" s="99" t="s">
        <v>8</v>
      </c>
      <c r="F242" s="100" t="s">
        <v>2026</v>
      </c>
      <c r="G242" s="105" t="s">
        <v>2027</v>
      </c>
    </row>
    <row r="243" spans="1:7" ht="12" x14ac:dyDescent="0.25">
      <c r="A243" s="90" t="s">
        <v>83</v>
      </c>
      <c r="B243" s="90" t="s">
        <v>2751</v>
      </c>
      <c r="C243" s="90">
        <v>4</v>
      </c>
      <c r="D243" s="109" t="s">
        <v>225</v>
      </c>
      <c r="E243" s="99" t="s">
        <v>225</v>
      </c>
      <c r="F243" s="100" t="s">
        <v>335</v>
      </c>
      <c r="G243" s="105" t="s">
        <v>336</v>
      </c>
    </row>
    <row r="244" spans="1:7" ht="12" x14ac:dyDescent="0.25">
      <c r="A244" s="90" t="s">
        <v>83</v>
      </c>
      <c r="B244" s="90" t="s">
        <v>2751</v>
      </c>
      <c r="C244" s="90">
        <v>4</v>
      </c>
      <c r="D244" s="109" t="s">
        <v>74</v>
      </c>
      <c r="E244" s="99" t="s">
        <v>74</v>
      </c>
      <c r="F244" s="100" t="s">
        <v>2028</v>
      </c>
      <c r="G244" s="105" t="s">
        <v>2029</v>
      </c>
    </row>
    <row r="245" spans="1:7" ht="12" x14ac:dyDescent="0.25">
      <c r="A245" s="90" t="s">
        <v>83</v>
      </c>
      <c r="B245" s="90" t="s">
        <v>2751</v>
      </c>
      <c r="C245" s="90">
        <v>4</v>
      </c>
      <c r="D245" s="109" t="s">
        <v>2030</v>
      </c>
      <c r="E245" s="99" t="s">
        <v>2030</v>
      </c>
      <c r="F245" s="100" t="s">
        <v>2467</v>
      </c>
      <c r="G245" s="105" t="s">
        <v>2462</v>
      </c>
    </row>
    <row r="246" spans="1:7" ht="12" x14ac:dyDescent="0.25">
      <c r="A246" s="90" t="s">
        <v>83</v>
      </c>
      <c r="B246" s="90" t="s">
        <v>2751</v>
      </c>
      <c r="C246" s="90">
        <v>4</v>
      </c>
      <c r="D246" s="109" t="s">
        <v>64</v>
      </c>
      <c r="E246" s="99" t="s">
        <v>64</v>
      </c>
      <c r="F246" s="100" t="s">
        <v>2031</v>
      </c>
      <c r="G246" s="105" t="s">
        <v>2032</v>
      </c>
    </row>
    <row r="247" spans="1:7" ht="12" x14ac:dyDescent="0.25">
      <c r="A247" s="90" t="s">
        <v>83</v>
      </c>
      <c r="B247" s="90" t="s">
        <v>2751</v>
      </c>
      <c r="C247" s="90">
        <v>4</v>
      </c>
      <c r="D247" s="109" t="s">
        <v>130</v>
      </c>
      <c r="E247" s="99" t="s">
        <v>130</v>
      </c>
      <c r="F247" s="100" t="s">
        <v>2468</v>
      </c>
      <c r="G247" s="105" t="s">
        <v>2524</v>
      </c>
    </row>
    <row r="248" spans="1:7" ht="12" x14ac:dyDescent="0.25">
      <c r="A248" s="90" t="s">
        <v>83</v>
      </c>
      <c r="B248" s="90" t="s">
        <v>2751</v>
      </c>
      <c r="C248" s="90">
        <v>4</v>
      </c>
      <c r="D248" s="109" t="s">
        <v>226</v>
      </c>
      <c r="E248" s="99" t="s">
        <v>226</v>
      </c>
      <c r="F248" s="100" t="s">
        <v>2469</v>
      </c>
      <c r="G248" s="105" t="s">
        <v>2525</v>
      </c>
    </row>
    <row r="249" spans="1:7" ht="12" x14ac:dyDescent="0.25">
      <c r="A249" s="90" t="s">
        <v>83</v>
      </c>
      <c r="B249" s="90" t="s">
        <v>2751</v>
      </c>
      <c r="C249" s="90">
        <v>4</v>
      </c>
      <c r="D249" s="109" t="s">
        <v>227</v>
      </c>
      <c r="E249" s="99" t="s">
        <v>227</v>
      </c>
      <c r="F249" s="100" t="s">
        <v>2033</v>
      </c>
      <c r="G249" s="105" t="s">
        <v>2034</v>
      </c>
    </row>
    <row r="250" spans="1:7" ht="12" x14ac:dyDescent="0.25">
      <c r="A250" s="90" t="s">
        <v>83</v>
      </c>
      <c r="B250" s="90" t="s">
        <v>2751</v>
      </c>
      <c r="C250" s="90">
        <v>4</v>
      </c>
      <c r="D250" s="109" t="s">
        <v>228</v>
      </c>
      <c r="E250" s="99" t="s">
        <v>228</v>
      </c>
      <c r="F250" s="100" t="s">
        <v>2035</v>
      </c>
      <c r="G250" s="105" t="s">
        <v>2036</v>
      </c>
    </row>
    <row r="251" spans="1:7" ht="12" x14ac:dyDescent="0.25">
      <c r="A251" s="90" t="s">
        <v>83</v>
      </c>
      <c r="B251" s="90" t="s">
        <v>2751</v>
      </c>
      <c r="C251" s="90">
        <v>4</v>
      </c>
      <c r="D251" s="109" t="s">
        <v>229</v>
      </c>
      <c r="E251" s="99" t="s">
        <v>229</v>
      </c>
      <c r="F251" s="100" t="s">
        <v>2037</v>
      </c>
      <c r="G251" s="105" t="s">
        <v>2038</v>
      </c>
    </row>
    <row r="252" spans="1:7" ht="12" x14ac:dyDescent="0.25">
      <c r="A252" s="90" t="s">
        <v>83</v>
      </c>
      <c r="B252" s="90" t="s">
        <v>2751</v>
      </c>
      <c r="C252" s="90">
        <v>4</v>
      </c>
      <c r="D252" s="109" t="s">
        <v>230</v>
      </c>
      <c r="E252" s="99" t="s">
        <v>230</v>
      </c>
      <c r="F252" s="100" t="s">
        <v>2039</v>
      </c>
      <c r="G252" s="105" t="s">
        <v>2040</v>
      </c>
    </row>
    <row r="253" spans="1:7" ht="12" x14ac:dyDescent="0.25">
      <c r="A253" s="90" t="s">
        <v>83</v>
      </c>
      <c r="B253" s="90" t="s">
        <v>2751</v>
      </c>
      <c r="C253" s="90">
        <v>4</v>
      </c>
      <c r="D253" s="109" t="s">
        <v>231</v>
      </c>
      <c r="E253" s="99" t="s">
        <v>231</v>
      </c>
      <c r="F253" s="100" t="s">
        <v>2041</v>
      </c>
      <c r="G253" s="105" t="s">
        <v>2042</v>
      </c>
    </row>
    <row r="254" spans="1:7" ht="12" x14ac:dyDescent="0.25">
      <c r="A254" s="90" t="s">
        <v>83</v>
      </c>
      <c r="B254" s="90" t="s">
        <v>2751</v>
      </c>
      <c r="C254" s="90">
        <v>4</v>
      </c>
      <c r="D254" s="109" t="s">
        <v>2043</v>
      </c>
      <c r="E254" s="99" t="s">
        <v>2043</v>
      </c>
      <c r="F254" s="100" t="s">
        <v>2470</v>
      </c>
      <c r="G254" s="105" t="s">
        <v>2526</v>
      </c>
    </row>
    <row r="255" spans="1:7" ht="12" x14ac:dyDescent="0.25">
      <c r="A255" s="90" t="s">
        <v>83</v>
      </c>
      <c r="B255" s="90" t="s">
        <v>2751</v>
      </c>
      <c r="C255" s="90">
        <v>4</v>
      </c>
      <c r="D255" s="109" t="s">
        <v>130</v>
      </c>
      <c r="E255" s="99" t="s">
        <v>130</v>
      </c>
      <c r="F255" s="100" t="s">
        <v>2468</v>
      </c>
      <c r="G255" s="105" t="s">
        <v>2524</v>
      </c>
    </row>
    <row r="256" spans="1:7" ht="12" x14ac:dyDescent="0.25">
      <c r="A256" s="90" t="s">
        <v>83</v>
      </c>
      <c r="B256" s="90" t="s">
        <v>2751</v>
      </c>
      <c r="C256" s="90">
        <v>4</v>
      </c>
      <c r="D256" s="109" t="s">
        <v>232</v>
      </c>
      <c r="E256" s="99" t="s">
        <v>232</v>
      </c>
      <c r="F256" s="100" t="s">
        <v>2044</v>
      </c>
      <c r="G256" s="105" t="s">
        <v>2045</v>
      </c>
    </row>
    <row r="257" spans="1:7" ht="12" x14ac:dyDescent="0.25">
      <c r="A257" s="90" t="s">
        <v>83</v>
      </c>
      <c r="B257" s="90" t="s">
        <v>2751</v>
      </c>
      <c r="C257" s="90">
        <v>4</v>
      </c>
      <c r="D257" s="109" t="s">
        <v>233</v>
      </c>
      <c r="E257" s="99" t="s">
        <v>233</v>
      </c>
      <c r="F257" s="100" t="s">
        <v>2046</v>
      </c>
      <c r="G257" s="105" t="s">
        <v>2047</v>
      </c>
    </row>
    <row r="258" spans="1:7" ht="12" x14ac:dyDescent="0.25">
      <c r="A258" s="90" t="s">
        <v>83</v>
      </c>
      <c r="B258" s="90" t="s">
        <v>2751</v>
      </c>
      <c r="C258" s="90">
        <v>4</v>
      </c>
      <c r="D258" s="109" t="s">
        <v>234</v>
      </c>
      <c r="E258" s="99" t="s">
        <v>234</v>
      </c>
      <c r="F258" s="100" t="s">
        <v>2048</v>
      </c>
      <c r="G258" s="105" t="s">
        <v>2049</v>
      </c>
    </row>
    <row r="259" spans="1:7" ht="12" x14ac:dyDescent="0.25">
      <c r="A259" s="90" t="s">
        <v>83</v>
      </c>
      <c r="B259" s="90" t="s">
        <v>2751</v>
      </c>
      <c r="C259" s="90">
        <v>4</v>
      </c>
      <c r="D259" s="109" t="s">
        <v>235</v>
      </c>
      <c r="E259" s="99" t="s">
        <v>235</v>
      </c>
      <c r="F259" s="100" t="s">
        <v>2050</v>
      </c>
      <c r="G259" s="105" t="s">
        <v>2051</v>
      </c>
    </row>
    <row r="260" spans="1:7" ht="12" x14ac:dyDescent="0.25">
      <c r="A260" s="90" t="s">
        <v>83</v>
      </c>
      <c r="B260" s="90" t="s">
        <v>2751</v>
      </c>
      <c r="C260" s="90">
        <v>4</v>
      </c>
      <c r="D260" s="109" t="s">
        <v>236</v>
      </c>
      <c r="E260" s="99" t="s">
        <v>236</v>
      </c>
      <c r="F260" s="100" t="s">
        <v>2052</v>
      </c>
      <c r="G260" s="105" t="s">
        <v>2053</v>
      </c>
    </row>
    <row r="261" spans="1:7" ht="12" x14ac:dyDescent="0.25">
      <c r="A261" s="90" t="s">
        <v>83</v>
      </c>
      <c r="B261" s="90" t="s">
        <v>2751</v>
      </c>
      <c r="C261" s="90">
        <v>4</v>
      </c>
      <c r="D261" s="109" t="s">
        <v>237</v>
      </c>
      <c r="E261" s="99" t="s">
        <v>237</v>
      </c>
      <c r="F261" s="100" t="s">
        <v>2054</v>
      </c>
      <c r="G261" s="105" t="s">
        <v>2055</v>
      </c>
    </row>
    <row r="262" spans="1:7" ht="12" x14ac:dyDescent="0.25">
      <c r="A262" s="90" t="s">
        <v>83</v>
      </c>
      <c r="B262" s="90" t="s">
        <v>2751</v>
      </c>
      <c r="C262" s="90">
        <v>4</v>
      </c>
      <c r="D262" s="109" t="s">
        <v>2056</v>
      </c>
      <c r="E262" s="99" t="s">
        <v>2056</v>
      </c>
      <c r="F262" s="100" t="s">
        <v>2471</v>
      </c>
      <c r="G262" s="105" t="s">
        <v>2527</v>
      </c>
    </row>
    <row r="263" spans="1:7" ht="12" x14ac:dyDescent="0.25">
      <c r="A263" s="90" t="s">
        <v>83</v>
      </c>
      <c r="B263" s="90" t="s">
        <v>2751</v>
      </c>
      <c r="C263" s="90">
        <v>4</v>
      </c>
      <c r="D263" s="109" t="s">
        <v>130</v>
      </c>
      <c r="E263" s="99" t="s">
        <v>130</v>
      </c>
      <c r="F263" s="100" t="s">
        <v>2468</v>
      </c>
      <c r="G263" s="105" t="s">
        <v>2524</v>
      </c>
    </row>
    <row r="264" spans="1:7" ht="12" x14ac:dyDescent="0.25">
      <c r="A264" s="90" t="s">
        <v>83</v>
      </c>
      <c r="B264" s="90" t="s">
        <v>2751</v>
      </c>
      <c r="C264" s="90">
        <v>4</v>
      </c>
      <c r="D264" s="109" t="s">
        <v>238</v>
      </c>
      <c r="E264" s="99" t="s">
        <v>238</v>
      </c>
      <c r="F264" s="100" t="s">
        <v>2057</v>
      </c>
      <c r="G264" s="105" t="s">
        <v>2058</v>
      </c>
    </row>
    <row r="265" spans="1:7" ht="12" x14ac:dyDescent="0.25">
      <c r="A265" s="90" t="s">
        <v>83</v>
      </c>
      <c r="B265" s="90" t="s">
        <v>2751</v>
      </c>
      <c r="C265" s="90">
        <v>4</v>
      </c>
      <c r="D265" s="109" t="s">
        <v>239</v>
      </c>
      <c r="E265" s="99" t="s">
        <v>239</v>
      </c>
      <c r="F265" s="100" t="s">
        <v>2059</v>
      </c>
      <c r="G265" s="105" t="s">
        <v>2060</v>
      </c>
    </row>
    <row r="266" spans="1:7" ht="12" x14ac:dyDescent="0.25">
      <c r="A266" s="90" t="s">
        <v>83</v>
      </c>
      <c r="B266" s="90" t="s">
        <v>2751</v>
      </c>
      <c r="C266" s="90">
        <v>4</v>
      </c>
      <c r="D266" s="109" t="s">
        <v>240</v>
      </c>
      <c r="E266" s="99" t="s">
        <v>240</v>
      </c>
      <c r="F266" s="100" t="s">
        <v>2061</v>
      </c>
      <c r="G266" s="105" t="s">
        <v>2062</v>
      </c>
    </row>
    <row r="267" spans="1:7" ht="12" x14ac:dyDescent="0.25">
      <c r="A267" s="90" t="s">
        <v>83</v>
      </c>
      <c r="B267" s="90" t="s">
        <v>2751</v>
      </c>
      <c r="C267" s="90">
        <v>4</v>
      </c>
      <c r="D267" s="109" t="s">
        <v>241</v>
      </c>
      <c r="E267" s="99" t="s">
        <v>241</v>
      </c>
      <c r="F267" s="100" t="s">
        <v>2063</v>
      </c>
      <c r="G267" s="105" t="s">
        <v>2064</v>
      </c>
    </row>
    <row r="268" spans="1:7" ht="12" x14ac:dyDescent="0.25">
      <c r="A268" s="90" t="s">
        <v>83</v>
      </c>
      <c r="B268" s="90" t="s">
        <v>2751</v>
      </c>
      <c r="C268" s="90">
        <v>4</v>
      </c>
      <c r="D268" s="109" t="s">
        <v>242</v>
      </c>
      <c r="E268" s="99" t="s">
        <v>242</v>
      </c>
      <c r="F268" s="100" t="s">
        <v>2065</v>
      </c>
      <c r="G268" s="105" t="s">
        <v>2066</v>
      </c>
    </row>
    <row r="269" spans="1:7" ht="12" x14ac:dyDescent="0.25">
      <c r="A269" s="90" t="s">
        <v>83</v>
      </c>
      <c r="B269" s="90" t="s">
        <v>2751</v>
      </c>
      <c r="C269" s="90">
        <v>4</v>
      </c>
      <c r="D269" s="109" t="s">
        <v>243</v>
      </c>
      <c r="E269" s="99" t="s">
        <v>243</v>
      </c>
      <c r="F269" s="100" t="s">
        <v>2067</v>
      </c>
      <c r="G269" s="105" t="s">
        <v>2068</v>
      </c>
    </row>
    <row r="270" spans="1:7" ht="12" x14ac:dyDescent="0.25">
      <c r="A270" s="90" t="s">
        <v>83</v>
      </c>
      <c r="B270" s="90" t="s">
        <v>2751</v>
      </c>
      <c r="C270" s="90">
        <v>4</v>
      </c>
      <c r="D270" s="109" t="s">
        <v>2069</v>
      </c>
      <c r="E270" s="99" t="s">
        <v>2069</v>
      </c>
      <c r="F270" s="100" t="s">
        <v>2472</v>
      </c>
      <c r="G270" s="105" t="s">
        <v>2528</v>
      </c>
    </row>
    <row r="271" spans="1:7" ht="12" x14ac:dyDescent="0.25">
      <c r="A271" s="90" t="s">
        <v>83</v>
      </c>
      <c r="B271" s="90" t="s">
        <v>2751</v>
      </c>
      <c r="C271" s="90">
        <v>4</v>
      </c>
      <c r="D271" s="109" t="s">
        <v>130</v>
      </c>
      <c r="E271" s="99" t="s">
        <v>130</v>
      </c>
      <c r="F271" s="100" t="s">
        <v>2468</v>
      </c>
      <c r="G271" s="105" t="s">
        <v>2524</v>
      </c>
    </row>
    <row r="272" spans="1:7" ht="12" x14ac:dyDescent="0.25">
      <c r="A272" s="90" t="s">
        <v>83</v>
      </c>
      <c r="B272" s="90" t="s">
        <v>2751</v>
      </c>
      <c r="C272" s="90">
        <v>4</v>
      </c>
      <c r="D272" s="109" t="s">
        <v>337</v>
      </c>
      <c r="E272" s="99" t="s">
        <v>337</v>
      </c>
      <c r="F272" s="100" t="s">
        <v>2070</v>
      </c>
      <c r="G272" s="105" t="s">
        <v>2071</v>
      </c>
    </row>
    <row r="273" spans="1:7" ht="12" x14ac:dyDescent="0.25">
      <c r="A273" s="90" t="s">
        <v>83</v>
      </c>
      <c r="B273" s="90" t="s">
        <v>2751</v>
      </c>
      <c r="C273" s="90">
        <v>4</v>
      </c>
      <c r="D273" s="109" t="s">
        <v>338</v>
      </c>
      <c r="E273" s="99" t="s">
        <v>338</v>
      </c>
      <c r="F273" s="100" t="s">
        <v>2072</v>
      </c>
      <c r="G273" s="105" t="s">
        <v>2073</v>
      </c>
    </row>
    <row r="274" spans="1:7" ht="12" x14ac:dyDescent="0.25">
      <c r="A274" s="90" t="s">
        <v>83</v>
      </c>
      <c r="B274" s="90" t="s">
        <v>2751</v>
      </c>
      <c r="C274" s="90">
        <v>4</v>
      </c>
      <c r="D274" s="109" t="s">
        <v>339</v>
      </c>
      <c r="E274" s="99" t="s">
        <v>339</v>
      </c>
      <c r="F274" s="100" t="s">
        <v>2074</v>
      </c>
      <c r="G274" s="105" t="s">
        <v>2075</v>
      </c>
    </row>
    <row r="275" spans="1:7" ht="12" x14ac:dyDescent="0.25">
      <c r="A275" s="90" t="s">
        <v>83</v>
      </c>
      <c r="B275" s="90" t="s">
        <v>2751</v>
      </c>
      <c r="C275" s="90">
        <v>4</v>
      </c>
      <c r="D275" s="109" t="s">
        <v>340</v>
      </c>
      <c r="E275" s="99" t="s">
        <v>340</v>
      </c>
      <c r="F275" s="100" t="s">
        <v>2076</v>
      </c>
      <c r="G275" s="105" t="s">
        <v>2077</v>
      </c>
    </row>
    <row r="276" spans="1:7" ht="12" x14ac:dyDescent="0.25">
      <c r="A276" s="90" t="s">
        <v>83</v>
      </c>
      <c r="B276" s="90" t="s">
        <v>2751</v>
      </c>
      <c r="C276" s="90">
        <v>4</v>
      </c>
      <c r="D276" s="109" t="s">
        <v>341</v>
      </c>
      <c r="E276" s="99" t="s">
        <v>341</v>
      </c>
      <c r="F276" s="100" t="s">
        <v>2078</v>
      </c>
      <c r="G276" s="105" t="s">
        <v>2079</v>
      </c>
    </row>
    <row r="277" spans="1:7" ht="12" x14ac:dyDescent="0.25">
      <c r="A277" s="90" t="s">
        <v>83</v>
      </c>
      <c r="B277" s="90" t="s">
        <v>2751</v>
      </c>
      <c r="C277" s="90">
        <v>4</v>
      </c>
      <c r="D277" s="109" t="s">
        <v>342</v>
      </c>
      <c r="E277" s="99" t="s">
        <v>342</v>
      </c>
      <c r="F277" s="100" t="s">
        <v>2080</v>
      </c>
      <c r="G277" s="105" t="s">
        <v>2081</v>
      </c>
    </row>
    <row r="278" spans="1:7" ht="12" x14ac:dyDescent="0.25">
      <c r="A278" s="90" t="s">
        <v>83</v>
      </c>
      <c r="B278" s="90" t="s">
        <v>2751</v>
      </c>
      <c r="C278" s="90">
        <v>4</v>
      </c>
      <c r="D278" s="109" t="s">
        <v>2082</v>
      </c>
      <c r="E278" s="99" t="s">
        <v>2082</v>
      </c>
      <c r="F278" s="100" t="s">
        <v>2473</v>
      </c>
      <c r="G278" s="105" t="s">
        <v>2529</v>
      </c>
    </row>
    <row r="279" spans="1:7" ht="12" x14ac:dyDescent="0.25">
      <c r="A279" s="90" t="s">
        <v>83</v>
      </c>
      <c r="B279" s="90" t="s">
        <v>2751</v>
      </c>
      <c r="C279" s="90">
        <v>4</v>
      </c>
      <c r="D279" s="109" t="s">
        <v>191</v>
      </c>
      <c r="E279" s="99" t="s">
        <v>191</v>
      </c>
      <c r="F279" s="100" t="s">
        <v>343</v>
      </c>
      <c r="G279" s="105" t="s">
        <v>2083</v>
      </c>
    </row>
    <row r="280" spans="1:7" ht="12" x14ac:dyDescent="0.25">
      <c r="A280" s="90" t="s">
        <v>83</v>
      </c>
      <c r="B280" s="90" t="s">
        <v>2751</v>
      </c>
      <c r="C280" s="90">
        <v>4</v>
      </c>
      <c r="D280" s="109" t="s">
        <v>244</v>
      </c>
      <c r="E280" s="99" t="s">
        <v>244</v>
      </c>
      <c r="F280" s="100" t="s">
        <v>344</v>
      </c>
      <c r="G280" s="105" t="s">
        <v>345</v>
      </c>
    </row>
    <row r="281" spans="1:7" ht="12" x14ac:dyDescent="0.25">
      <c r="A281" s="90" t="s">
        <v>83</v>
      </c>
      <c r="B281" s="90" t="s">
        <v>2751</v>
      </c>
      <c r="C281" s="90">
        <v>4</v>
      </c>
      <c r="D281" s="109" t="s">
        <v>2084</v>
      </c>
      <c r="E281" s="99" t="s">
        <v>2084</v>
      </c>
      <c r="F281" s="100" t="s">
        <v>2474</v>
      </c>
      <c r="G281" s="105" t="s">
        <v>2530</v>
      </c>
    </row>
    <row r="282" spans="1:7" ht="12" x14ac:dyDescent="0.25">
      <c r="A282" s="90" t="s">
        <v>83</v>
      </c>
      <c r="B282" s="90" t="s">
        <v>2751</v>
      </c>
      <c r="C282" s="90">
        <v>4</v>
      </c>
      <c r="D282" s="109" t="s">
        <v>211</v>
      </c>
      <c r="E282" s="99" t="s">
        <v>211</v>
      </c>
      <c r="F282" s="100" t="s">
        <v>2085</v>
      </c>
      <c r="G282" s="105" t="s">
        <v>349</v>
      </c>
    </row>
    <row r="283" spans="1:7" ht="12" x14ac:dyDescent="0.25">
      <c r="A283" s="90" t="s">
        <v>83</v>
      </c>
      <c r="B283" s="90" t="s">
        <v>2751</v>
      </c>
      <c r="C283" s="90">
        <v>4</v>
      </c>
      <c r="D283" s="109" t="s">
        <v>193</v>
      </c>
      <c r="E283" s="99" t="s">
        <v>193</v>
      </c>
      <c r="F283" s="100" t="s">
        <v>350</v>
      </c>
      <c r="G283" s="105" t="s">
        <v>2086</v>
      </c>
    </row>
    <row r="284" spans="1:7" ht="12" x14ac:dyDescent="0.25">
      <c r="A284" s="90" t="s">
        <v>83</v>
      </c>
      <c r="B284" s="90" t="s">
        <v>2751</v>
      </c>
      <c r="C284" s="90">
        <v>4</v>
      </c>
      <c r="D284" s="109" t="s">
        <v>145</v>
      </c>
      <c r="E284" s="99" t="s">
        <v>145</v>
      </c>
      <c r="F284" s="100" t="s">
        <v>351</v>
      </c>
      <c r="G284" s="105" t="s">
        <v>352</v>
      </c>
    </row>
    <row r="285" spans="1:7" ht="12" x14ac:dyDescent="0.25">
      <c r="A285" s="90" t="s">
        <v>83</v>
      </c>
      <c r="B285" s="90" t="s">
        <v>2751</v>
      </c>
      <c r="D285" s="109"/>
      <c r="E285" s="101"/>
      <c r="F285" s="101"/>
      <c r="G285" s="101"/>
    </row>
    <row r="286" spans="1:7" ht="12" x14ac:dyDescent="0.25">
      <c r="A286" s="90" t="s">
        <v>83</v>
      </c>
      <c r="B286" s="90" t="s">
        <v>2750</v>
      </c>
      <c r="C286" s="90" t="s">
        <v>334</v>
      </c>
      <c r="D286" s="109" t="s">
        <v>265</v>
      </c>
      <c r="E286" s="99" t="s">
        <v>265</v>
      </c>
      <c r="F286" s="100" t="s">
        <v>3783</v>
      </c>
      <c r="G286" s="105" t="s">
        <v>3784</v>
      </c>
    </row>
    <row r="287" spans="1:7" ht="12" x14ac:dyDescent="0.25">
      <c r="A287" s="90" t="s">
        <v>83</v>
      </c>
      <c r="B287" s="90" t="s">
        <v>2750</v>
      </c>
      <c r="C287" s="90" t="s">
        <v>334</v>
      </c>
      <c r="D287" s="109" t="s">
        <v>0</v>
      </c>
      <c r="E287" s="99" t="s">
        <v>0</v>
      </c>
      <c r="F287" s="100" t="s">
        <v>268</v>
      </c>
      <c r="G287" s="105" t="s">
        <v>269</v>
      </c>
    </row>
    <row r="288" spans="1:7" ht="12" x14ac:dyDescent="0.25">
      <c r="A288" s="90" t="s">
        <v>83</v>
      </c>
      <c r="B288" s="90" t="s">
        <v>2750</v>
      </c>
      <c r="C288" s="90" t="s">
        <v>334</v>
      </c>
      <c r="D288" s="109" t="s">
        <v>1</v>
      </c>
      <c r="E288" s="99" t="s">
        <v>1</v>
      </c>
      <c r="F288" s="100" t="s">
        <v>315</v>
      </c>
      <c r="G288" s="105" t="s">
        <v>316</v>
      </c>
    </row>
    <row r="289" spans="1:7" ht="12" x14ac:dyDescent="0.25">
      <c r="A289" s="90" t="s">
        <v>83</v>
      </c>
      <c r="B289" s="90" t="s">
        <v>2750</v>
      </c>
      <c r="C289" s="90" t="s">
        <v>334</v>
      </c>
      <c r="D289" s="109" t="s">
        <v>2</v>
      </c>
      <c r="E289" s="99" t="s">
        <v>2</v>
      </c>
      <c r="F289" s="100" t="s">
        <v>277</v>
      </c>
      <c r="G289" s="105" t="s">
        <v>278</v>
      </c>
    </row>
    <row r="290" spans="1:7" ht="12" x14ac:dyDescent="0.25">
      <c r="A290" s="90" t="s">
        <v>83</v>
      </c>
      <c r="B290" s="90" t="s">
        <v>2750</v>
      </c>
      <c r="C290" s="90" t="s">
        <v>334</v>
      </c>
      <c r="D290" s="109" t="s">
        <v>3</v>
      </c>
      <c r="E290" s="99" t="s">
        <v>3</v>
      </c>
      <c r="F290" s="100" t="s">
        <v>283</v>
      </c>
      <c r="G290" s="105" t="s">
        <v>2020</v>
      </c>
    </row>
    <row r="291" spans="1:7" ht="360" x14ac:dyDescent="0.25">
      <c r="A291" s="90" t="s">
        <v>83</v>
      </c>
      <c r="B291" s="90" t="s">
        <v>2750</v>
      </c>
      <c r="C291" s="90">
        <v>1</v>
      </c>
      <c r="D291" s="109" t="s">
        <v>3703</v>
      </c>
      <c r="E291" s="99" t="s">
        <v>3703</v>
      </c>
      <c r="F291" s="100" t="s">
        <v>3704</v>
      </c>
      <c r="G291" s="105" t="s">
        <v>3705</v>
      </c>
    </row>
    <row r="292" spans="1:7" ht="12" x14ac:dyDescent="0.25">
      <c r="A292" s="90" t="s">
        <v>83</v>
      </c>
      <c r="B292" s="90" t="s">
        <v>2750</v>
      </c>
      <c r="C292" s="90">
        <v>1</v>
      </c>
      <c r="D292" s="109" t="s">
        <v>75</v>
      </c>
      <c r="E292" s="99" t="s">
        <v>75</v>
      </c>
      <c r="F292" s="100" t="s">
        <v>2022</v>
      </c>
      <c r="G292" s="105" t="s">
        <v>2023</v>
      </c>
    </row>
    <row r="293" spans="1:7" ht="12" x14ac:dyDescent="0.25">
      <c r="A293" s="90" t="s">
        <v>83</v>
      </c>
      <c r="B293" s="90" t="s">
        <v>2750</v>
      </c>
      <c r="C293" s="90">
        <v>1</v>
      </c>
      <c r="D293" s="109" t="s">
        <v>2000</v>
      </c>
      <c r="E293" s="99" t="s">
        <v>2000</v>
      </c>
      <c r="F293" s="100" t="s">
        <v>2452</v>
      </c>
      <c r="G293" s="105" t="s">
        <v>2531</v>
      </c>
    </row>
    <row r="294" spans="1:7" ht="12" x14ac:dyDescent="0.25">
      <c r="A294" s="90" t="s">
        <v>83</v>
      </c>
      <c r="B294" s="90" t="s">
        <v>2750</v>
      </c>
      <c r="C294" s="90">
        <v>1</v>
      </c>
      <c r="D294" s="109" t="s">
        <v>2001</v>
      </c>
      <c r="E294" s="99" t="s">
        <v>2001</v>
      </c>
      <c r="F294" s="100" t="s">
        <v>2475</v>
      </c>
      <c r="G294" s="105" t="s">
        <v>2532</v>
      </c>
    </row>
    <row r="295" spans="1:7" ht="12" x14ac:dyDescent="0.25">
      <c r="A295" s="90" t="s">
        <v>83</v>
      </c>
      <c r="B295" s="90" t="s">
        <v>2750</v>
      </c>
      <c r="C295" s="90">
        <v>1</v>
      </c>
      <c r="D295" s="109" t="s">
        <v>225</v>
      </c>
      <c r="E295" s="99" t="s">
        <v>225</v>
      </c>
      <c r="F295" s="100" t="s">
        <v>335</v>
      </c>
      <c r="G295" s="105" t="s">
        <v>336</v>
      </c>
    </row>
    <row r="296" spans="1:7" ht="12" x14ac:dyDescent="0.25">
      <c r="A296" s="90" t="s">
        <v>83</v>
      </c>
      <c r="B296" s="90" t="s">
        <v>2750</v>
      </c>
      <c r="C296" s="90">
        <v>1</v>
      </c>
      <c r="D296" s="109" t="s">
        <v>74</v>
      </c>
      <c r="E296" s="99" t="s">
        <v>74</v>
      </c>
      <c r="F296" s="100" t="s">
        <v>2028</v>
      </c>
      <c r="G296" s="105" t="s">
        <v>2029</v>
      </c>
    </row>
    <row r="297" spans="1:7" ht="12" x14ac:dyDescent="0.25">
      <c r="A297" s="90" t="s">
        <v>83</v>
      </c>
      <c r="B297" s="90" t="s">
        <v>2750</v>
      </c>
      <c r="C297" s="90">
        <v>1</v>
      </c>
      <c r="D297" s="109" t="s">
        <v>2030</v>
      </c>
      <c r="E297" s="99" t="s">
        <v>2030</v>
      </c>
      <c r="F297" s="100" t="s">
        <v>2467</v>
      </c>
      <c r="G297" s="105" t="s">
        <v>2462</v>
      </c>
    </row>
    <row r="298" spans="1:7" ht="12" x14ac:dyDescent="0.25">
      <c r="A298" s="90" t="s">
        <v>83</v>
      </c>
      <c r="B298" s="90" t="s">
        <v>2750</v>
      </c>
      <c r="C298" s="90">
        <v>1</v>
      </c>
      <c r="D298" s="109" t="s">
        <v>64</v>
      </c>
      <c r="E298" s="99" t="s">
        <v>64</v>
      </c>
      <c r="F298" s="100" t="s">
        <v>2031</v>
      </c>
      <c r="G298" s="105" t="s">
        <v>2087</v>
      </c>
    </row>
    <row r="299" spans="1:7" ht="12" x14ac:dyDescent="0.25">
      <c r="A299" s="90" t="s">
        <v>83</v>
      </c>
      <c r="B299" s="90" t="s">
        <v>2750</v>
      </c>
      <c r="C299" s="90">
        <v>1</v>
      </c>
      <c r="D299" s="109" t="s">
        <v>130</v>
      </c>
      <c r="E299" s="99" t="s">
        <v>130</v>
      </c>
      <c r="F299" s="100" t="s">
        <v>2468</v>
      </c>
      <c r="G299" s="105" t="s">
        <v>2524</v>
      </c>
    </row>
    <row r="300" spans="1:7" ht="12" x14ac:dyDescent="0.25">
      <c r="A300" s="90" t="s">
        <v>83</v>
      </c>
      <c r="B300" s="90" t="s">
        <v>2750</v>
      </c>
      <c r="C300" s="90">
        <v>1</v>
      </c>
      <c r="D300" s="109" t="s">
        <v>226</v>
      </c>
      <c r="E300" s="99" t="s">
        <v>226</v>
      </c>
      <c r="F300" s="100" t="s">
        <v>2088</v>
      </c>
      <c r="G300" s="105" t="s">
        <v>2089</v>
      </c>
    </row>
    <row r="301" spans="1:7" ht="12" x14ac:dyDescent="0.25">
      <c r="A301" s="90" t="s">
        <v>83</v>
      </c>
      <c r="B301" s="90" t="s">
        <v>2750</v>
      </c>
      <c r="C301" s="90">
        <v>1</v>
      </c>
      <c r="D301" s="109" t="s">
        <v>227</v>
      </c>
      <c r="E301" s="99" t="s">
        <v>227</v>
      </c>
      <c r="F301" s="100" t="s">
        <v>2033</v>
      </c>
      <c r="G301" s="105" t="s">
        <v>2034</v>
      </c>
    </row>
    <row r="302" spans="1:7" ht="12" x14ac:dyDescent="0.25">
      <c r="A302" s="90" t="s">
        <v>83</v>
      </c>
      <c r="B302" s="90" t="s">
        <v>2750</v>
      </c>
      <c r="C302" s="90">
        <v>1</v>
      </c>
      <c r="D302" s="109" t="s">
        <v>228</v>
      </c>
      <c r="E302" s="99" t="s">
        <v>228</v>
      </c>
      <c r="F302" s="100" t="s">
        <v>2035</v>
      </c>
      <c r="G302" s="105" t="s">
        <v>2036</v>
      </c>
    </row>
    <row r="303" spans="1:7" ht="12" x14ac:dyDescent="0.25">
      <c r="A303" s="90" t="s">
        <v>83</v>
      </c>
      <c r="B303" s="90" t="s">
        <v>2750</v>
      </c>
      <c r="C303" s="90">
        <v>1</v>
      </c>
      <c r="D303" s="109" t="s">
        <v>229</v>
      </c>
      <c r="E303" s="99" t="s">
        <v>229</v>
      </c>
      <c r="F303" s="100" t="s">
        <v>2037</v>
      </c>
      <c r="G303" s="105" t="s">
        <v>2038</v>
      </c>
    </row>
    <row r="304" spans="1:7" ht="12" x14ac:dyDescent="0.25">
      <c r="A304" s="90" t="s">
        <v>83</v>
      </c>
      <c r="B304" s="90" t="s">
        <v>2750</v>
      </c>
      <c r="C304" s="90">
        <v>1</v>
      </c>
      <c r="D304" s="109" t="s">
        <v>230</v>
      </c>
      <c r="E304" s="99" t="s">
        <v>230</v>
      </c>
      <c r="F304" s="100" t="s">
        <v>2039</v>
      </c>
      <c r="G304" s="105" t="s">
        <v>2040</v>
      </c>
    </row>
    <row r="305" spans="1:7" ht="12" x14ac:dyDescent="0.25">
      <c r="A305" s="90" t="s">
        <v>83</v>
      </c>
      <c r="B305" s="90" t="s">
        <v>2750</v>
      </c>
      <c r="C305" s="90">
        <v>1</v>
      </c>
      <c r="D305" s="109" t="s">
        <v>231</v>
      </c>
      <c r="E305" s="99" t="s">
        <v>231</v>
      </c>
      <c r="F305" s="100" t="s">
        <v>2041</v>
      </c>
      <c r="G305" s="105" t="s">
        <v>2042</v>
      </c>
    </row>
    <row r="306" spans="1:7" ht="12" x14ac:dyDescent="0.25">
      <c r="A306" s="90" t="s">
        <v>83</v>
      </c>
      <c r="B306" s="90" t="s">
        <v>2750</v>
      </c>
      <c r="C306" s="90">
        <v>1</v>
      </c>
      <c r="D306" s="109" t="s">
        <v>2043</v>
      </c>
      <c r="E306" s="99" t="s">
        <v>2043</v>
      </c>
      <c r="F306" s="100" t="s">
        <v>2470</v>
      </c>
      <c r="G306" s="105" t="s">
        <v>2526</v>
      </c>
    </row>
    <row r="307" spans="1:7" ht="12" x14ac:dyDescent="0.25">
      <c r="A307" s="90" t="s">
        <v>83</v>
      </c>
      <c r="B307" s="90" t="s">
        <v>2750</v>
      </c>
      <c r="C307" s="90">
        <v>1</v>
      </c>
      <c r="D307" s="109" t="s">
        <v>130</v>
      </c>
      <c r="E307" s="99" t="s">
        <v>130</v>
      </c>
      <c r="F307" s="100" t="s">
        <v>2468</v>
      </c>
      <c r="G307" s="105" t="s">
        <v>2524</v>
      </c>
    </row>
    <row r="308" spans="1:7" ht="12" x14ac:dyDescent="0.25">
      <c r="A308" s="90" t="s">
        <v>83</v>
      </c>
      <c r="B308" s="90" t="s">
        <v>2750</v>
      </c>
      <c r="C308" s="90">
        <v>1</v>
      </c>
      <c r="D308" s="109" t="s">
        <v>232</v>
      </c>
      <c r="E308" s="99" t="s">
        <v>232</v>
      </c>
      <c r="F308" s="102" t="s">
        <v>2044</v>
      </c>
      <c r="G308" s="107" t="s">
        <v>2045</v>
      </c>
    </row>
    <row r="309" spans="1:7" ht="12" x14ac:dyDescent="0.25">
      <c r="A309" s="90" t="s">
        <v>83</v>
      </c>
      <c r="B309" s="90" t="s">
        <v>2750</v>
      </c>
      <c r="C309" s="90">
        <v>1</v>
      </c>
      <c r="D309" s="109" t="s">
        <v>233</v>
      </c>
      <c r="E309" s="99" t="s">
        <v>233</v>
      </c>
      <c r="F309" s="100" t="s">
        <v>2046</v>
      </c>
      <c r="G309" s="105" t="s">
        <v>2047</v>
      </c>
    </row>
    <row r="310" spans="1:7" ht="12" x14ac:dyDescent="0.25">
      <c r="A310" s="90" t="s">
        <v>83</v>
      </c>
      <c r="B310" s="90" t="s">
        <v>2750</v>
      </c>
      <c r="C310" s="90">
        <v>1</v>
      </c>
      <c r="D310" s="109" t="s">
        <v>234</v>
      </c>
      <c r="E310" s="99" t="s">
        <v>234</v>
      </c>
      <c r="F310" s="100" t="s">
        <v>2048</v>
      </c>
      <c r="G310" s="105" t="s">
        <v>2049</v>
      </c>
    </row>
    <row r="311" spans="1:7" ht="12" x14ac:dyDescent="0.25">
      <c r="A311" s="90" t="s">
        <v>83</v>
      </c>
      <c r="B311" s="90" t="s">
        <v>2750</v>
      </c>
      <c r="C311" s="90">
        <v>1</v>
      </c>
      <c r="D311" s="109" t="s">
        <v>235</v>
      </c>
      <c r="E311" s="99" t="s">
        <v>235</v>
      </c>
      <c r="F311" s="100" t="s">
        <v>2050</v>
      </c>
      <c r="G311" s="105" t="s">
        <v>2051</v>
      </c>
    </row>
    <row r="312" spans="1:7" ht="12" x14ac:dyDescent="0.25">
      <c r="A312" s="90" t="s">
        <v>83</v>
      </c>
      <c r="B312" s="90" t="s">
        <v>2750</v>
      </c>
      <c r="C312" s="90">
        <v>1</v>
      </c>
      <c r="D312" s="109" t="s">
        <v>236</v>
      </c>
      <c r="E312" s="99" t="s">
        <v>236</v>
      </c>
      <c r="F312" s="100" t="s">
        <v>2052</v>
      </c>
      <c r="G312" s="105" t="s">
        <v>2053</v>
      </c>
    </row>
    <row r="313" spans="1:7" ht="12" x14ac:dyDescent="0.25">
      <c r="A313" s="90" t="s">
        <v>83</v>
      </c>
      <c r="B313" s="90" t="s">
        <v>2750</v>
      </c>
      <c r="C313" s="90">
        <v>1</v>
      </c>
      <c r="D313" s="109" t="s">
        <v>237</v>
      </c>
      <c r="E313" s="99" t="s">
        <v>237</v>
      </c>
      <c r="F313" s="102" t="s">
        <v>2054</v>
      </c>
      <c r="G313" s="107" t="s">
        <v>2055</v>
      </c>
    </row>
    <row r="314" spans="1:7" ht="12" x14ac:dyDescent="0.25">
      <c r="A314" s="90" t="s">
        <v>83</v>
      </c>
      <c r="B314" s="90" t="s">
        <v>2750</v>
      </c>
      <c r="C314" s="90">
        <v>1</v>
      </c>
      <c r="D314" s="109" t="s">
        <v>2056</v>
      </c>
      <c r="E314" s="99" t="s">
        <v>2056</v>
      </c>
      <c r="F314" s="100" t="s">
        <v>2471</v>
      </c>
      <c r="G314" s="105" t="s">
        <v>2527</v>
      </c>
    </row>
    <row r="315" spans="1:7" ht="12" x14ac:dyDescent="0.25">
      <c r="A315" s="90" t="s">
        <v>83</v>
      </c>
      <c r="B315" s="90" t="s">
        <v>2750</v>
      </c>
      <c r="C315" s="90">
        <v>1</v>
      </c>
      <c r="D315" s="109" t="s">
        <v>130</v>
      </c>
      <c r="E315" s="99" t="s">
        <v>130</v>
      </c>
      <c r="F315" s="100" t="s">
        <v>2468</v>
      </c>
      <c r="G315" s="105" t="s">
        <v>2524</v>
      </c>
    </row>
    <row r="316" spans="1:7" ht="12" x14ac:dyDescent="0.25">
      <c r="A316" s="90" t="s">
        <v>83</v>
      </c>
      <c r="B316" s="90" t="s">
        <v>2750</v>
      </c>
      <c r="C316" s="90">
        <v>1</v>
      </c>
      <c r="D316" s="109" t="s">
        <v>238</v>
      </c>
      <c r="E316" s="99" t="s">
        <v>238</v>
      </c>
      <c r="F316" s="100" t="s">
        <v>2057</v>
      </c>
      <c r="G316" s="105" t="s">
        <v>2058</v>
      </c>
    </row>
    <row r="317" spans="1:7" ht="12" x14ac:dyDescent="0.25">
      <c r="A317" s="90" t="s">
        <v>83</v>
      </c>
      <c r="B317" s="90" t="s">
        <v>2750</v>
      </c>
      <c r="C317" s="90">
        <v>1</v>
      </c>
      <c r="D317" s="109" t="s">
        <v>239</v>
      </c>
      <c r="E317" s="99" t="s">
        <v>239</v>
      </c>
      <c r="F317" s="100" t="s">
        <v>2059</v>
      </c>
      <c r="G317" s="105" t="s">
        <v>2060</v>
      </c>
    </row>
    <row r="318" spans="1:7" ht="12" x14ac:dyDescent="0.25">
      <c r="A318" s="90" t="s">
        <v>83</v>
      </c>
      <c r="B318" s="90" t="s">
        <v>2750</v>
      </c>
      <c r="C318" s="90">
        <v>1</v>
      </c>
      <c r="D318" s="160" t="s">
        <v>240</v>
      </c>
      <c r="E318" s="161" t="s">
        <v>240</v>
      </c>
      <c r="F318" s="162" t="s">
        <v>2061</v>
      </c>
      <c r="G318" s="163" t="s">
        <v>2062</v>
      </c>
    </row>
    <row r="319" spans="1:7" ht="12" x14ac:dyDescent="0.25">
      <c r="A319" s="90" t="s">
        <v>83</v>
      </c>
      <c r="B319" s="90" t="s">
        <v>2750</v>
      </c>
      <c r="C319" s="90">
        <v>1</v>
      </c>
      <c r="D319" s="109" t="s">
        <v>241</v>
      </c>
      <c r="E319" s="99" t="s">
        <v>241</v>
      </c>
      <c r="F319" s="100" t="s">
        <v>2063</v>
      </c>
      <c r="G319" s="105" t="s">
        <v>2064</v>
      </c>
    </row>
    <row r="320" spans="1:7" ht="12" x14ac:dyDescent="0.25">
      <c r="A320" s="90" t="s">
        <v>83</v>
      </c>
      <c r="B320" s="90" t="s">
        <v>2750</v>
      </c>
      <c r="C320" s="90">
        <v>1</v>
      </c>
      <c r="D320" s="109" t="s">
        <v>242</v>
      </c>
      <c r="E320" s="99" t="s">
        <v>242</v>
      </c>
      <c r="F320" s="100" t="s">
        <v>2065</v>
      </c>
      <c r="G320" s="105" t="s">
        <v>2066</v>
      </c>
    </row>
    <row r="321" spans="1:7" ht="12" x14ac:dyDescent="0.25">
      <c r="A321" s="90" t="s">
        <v>83</v>
      </c>
      <c r="B321" s="90" t="s">
        <v>2750</v>
      </c>
      <c r="C321" s="90">
        <v>1</v>
      </c>
      <c r="D321" s="109" t="s">
        <v>243</v>
      </c>
      <c r="E321" s="99" t="s">
        <v>243</v>
      </c>
      <c r="F321" s="100" t="s">
        <v>2067</v>
      </c>
      <c r="G321" s="105" t="s">
        <v>2068</v>
      </c>
    </row>
    <row r="322" spans="1:7" ht="12" x14ac:dyDescent="0.25">
      <c r="A322" s="90" t="s">
        <v>83</v>
      </c>
      <c r="B322" s="90" t="s">
        <v>2750</v>
      </c>
      <c r="C322" s="90">
        <v>1</v>
      </c>
      <c r="D322" s="109" t="s">
        <v>2069</v>
      </c>
      <c r="E322" s="99" t="s">
        <v>2069</v>
      </c>
      <c r="F322" s="100" t="s">
        <v>2472</v>
      </c>
      <c r="G322" s="105" t="s">
        <v>2528</v>
      </c>
    </row>
    <row r="323" spans="1:7" ht="12" x14ac:dyDescent="0.25">
      <c r="A323" s="90" t="s">
        <v>83</v>
      </c>
      <c r="B323" s="90" t="s">
        <v>2750</v>
      </c>
      <c r="C323" s="90">
        <v>1</v>
      </c>
      <c r="D323" s="109" t="s">
        <v>130</v>
      </c>
      <c r="E323" s="99" t="s">
        <v>130</v>
      </c>
      <c r="F323" s="100" t="s">
        <v>2468</v>
      </c>
      <c r="G323" s="105" t="s">
        <v>2524</v>
      </c>
    </row>
    <row r="324" spans="1:7" ht="12" x14ac:dyDescent="0.25">
      <c r="A324" s="90" t="s">
        <v>83</v>
      </c>
      <c r="B324" s="90" t="s">
        <v>2750</v>
      </c>
      <c r="C324" s="90">
        <v>1</v>
      </c>
      <c r="D324" s="109" t="s">
        <v>337</v>
      </c>
      <c r="E324" s="99" t="s">
        <v>337</v>
      </c>
      <c r="F324" s="100" t="s">
        <v>2070</v>
      </c>
      <c r="G324" s="105" t="s">
        <v>2071</v>
      </c>
    </row>
    <row r="325" spans="1:7" ht="12" x14ac:dyDescent="0.25">
      <c r="A325" s="90" t="s">
        <v>83</v>
      </c>
      <c r="B325" s="90" t="s">
        <v>2750</v>
      </c>
      <c r="C325" s="90">
        <v>1</v>
      </c>
      <c r="D325" s="109" t="s">
        <v>338</v>
      </c>
      <c r="E325" s="99" t="s">
        <v>338</v>
      </c>
      <c r="F325" s="100" t="s">
        <v>2072</v>
      </c>
      <c r="G325" s="105" t="s">
        <v>2073</v>
      </c>
    </row>
    <row r="326" spans="1:7" ht="12" x14ac:dyDescent="0.25">
      <c r="A326" s="90" t="s">
        <v>83</v>
      </c>
      <c r="B326" s="90" t="s">
        <v>2750</v>
      </c>
      <c r="C326" s="90">
        <v>1</v>
      </c>
      <c r="D326" s="109" t="s">
        <v>339</v>
      </c>
      <c r="E326" s="99" t="s">
        <v>339</v>
      </c>
      <c r="F326" s="100" t="s">
        <v>2074</v>
      </c>
      <c r="G326" s="105" t="s">
        <v>2075</v>
      </c>
    </row>
    <row r="327" spans="1:7" ht="12" x14ac:dyDescent="0.25">
      <c r="A327" s="90" t="s">
        <v>83</v>
      </c>
      <c r="B327" s="90" t="s">
        <v>2750</v>
      </c>
      <c r="C327" s="90">
        <v>1</v>
      </c>
      <c r="D327" s="109" t="s">
        <v>340</v>
      </c>
      <c r="E327" s="99" t="s">
        <v>340</v>
      </c>
      <c r="F327" s="100" t="s">
        <v>2076</v>
      </c>
      <c r="G327" s="105" t="s">
        <v>2077</v>
      </c>
    </row>
    <row r="328" spans="1:7" ht="12" x14ac:dyDescent="0.25">
      <c r="A328" s="90" t="s">
        <v>83</v>
      </c>
      <c r="B328" s="90" t="s">
        <v>2750</v>
      </c>
      <c r="C328" s="90">
        <v>1</v>
      </c>
      <c r="D328" s="109" t="s">
        <v>341</v>
      </c>
      <c r="E328" s="99" t="s">
        <v>341</v>
      </c>
      <c r="F328" s="100" t="s">
        <v>2078</v>
      </c>
      <c r="G328" s="105" t="s">
        <v>2079</v>
      </c>
    </row>
    <row r="329" spans="1:7" ht="12" x14ac:dyDescent="0.25">
      <c r="A329" s="90" t="s">
        <v>83</v>
      </c>
      <c r="B329" s="90" t="s">
        <v>2750</v>
      </c>
      <c r="C329" s="90">
        <v>1</v>
      </c>
      <c r="D329" s="109" t="s">
        <v>342</v>
      </c>
      <c r="E329" s="99" t="s">
        <v>342</v>
      </c>
      <c r="F329" s="100" t="s">
        <v>2080</v>
      </c>
      <c r="G329" s="105" t="s">
        <v>2081</v>
      </c>
    </row>
    <row r="330" spans="1:7" ht="12" x14ac:dyDescent="0.25">
      <c r="A330" s="90" t="s">
        <v>83</v>
      </c>
      <c r="B330" s="90" t="s">
        <v>2750</v>
      </c>
      <c r="C330" s="90">
        <v>1</v>
      </c>
      <c r="D330" s="109" t="s">
        <v>2082</v>
      </c>
      <c r="E330" s="99" t="s">
        <v>2082</v>
      </c>
      <c r="F330" s="100" t="s">
        <v>2473</v>
      </c>
      <c r="G330" s="105" t="s">
        <v>2529</v>
      </c>
    </row>
    <row r="331" spans="1:7" ht="12" x14ac:dyDescent="0.25">
      <c r="A331" s="90" t="s">
        <v>83</v>
      </c>
      <c r="B331" s="90" t="s">
        <v>2750</v>
      </c>
      <c r="C331" s="90">
        <v>1</v>
      </c>
      <c r="D331" s="109" t="s">
        <v>130</v>
      </c>
      <c r="E331" s="99" t="s">
        <v>130</v>
      </c>
      <c r="F331" s="100" t="s">
        <v>2468</v>
      </c>
      <c r="G331" s="105" t="s">
        <v>2524</v>
      </c>
    </row>
    <row r="332" spans="1:7" ht="12" x14ac:dyDescent="0.25">
      <c r="A332" s="90" t="s">
        <v>83</v>
      </c>
      <c r="B332" s="90" t="s">
        <v>2750</v>
      </c>
      <c r="C332" s="90">
        <v>1</v>
      </c>
      <c r="D332" s="109" t="s">
        <v>2737</v>
      </c>
      <c r="E332" s="99" t="s">
        <v>2737</v>
      </c>
      <c r="F332" s="100" t="s">
        <v>3675</v>
      </c>
      <c r="G332" s="105" t="s">
        <v>3676</v>
      </c>
    </row>
    <row r="333" spans="1:7" ht="12" x14ac:dyDescent="0.25">
      <c r="A333" s="90" t="s">
        <v>83</v>
      </c>
      <c r="B333" s="90" t="s">
        <v>2750</v>
      </c>
      <c r="C333" s="90">
        <v>1</v>
      </c>
      <c r="D333" s="109" t="s">
        <v>2738</v>
      </c>
      <c r="E333" s="99" t="s">
        <v>2738</v>
      </c>
      <c r="F333" s="100" t="s">
        <v>3677</v>
      </c>
      <c r="G333" s="105" t="s">
        <v>3678</v>
      </c>
    </row>
    <row r="334" spans="1:7" ht="12" x14ac:dyDescent="0.25">
      <c r="A334" s="90" t="s">
        <v>83</v>
      </c>
      <c r="B334" s="90" t="s">
        <v>2750</v>
      </c>
      <c r="C334" s="90">
        <v>1</v>
      </c>
      <c r="D334" s="109" t="s">
        <v>2739</v>
      </c>
      <c r="E334" s="99" t="s">
        <v>2739</v>
      </c>
      <c r="F334" s="100" t="s">
        <v>3679</v>
      </c>
      <c r="G334" s="105" t="s">
        <v>3680</v>
      </c>
    </row>
    <row r="335" spans="1:7" ht="12" x14ac:dyDescent="0.25">
      <c r="A335" s="90" t="s">
        <v>83</v>
      </c>
      <c r="B335" s="90" t="s">
        <v>2750</v>
      </c>
      <c r="C335" s="90">
        <v>1</v>
      </c>
      <c r="D335" s="109" t="s">
        <v>2740</v>
      </c>
      <c r="E335" s="99" t="s">
        <v>2740</v>
      </c>
      <c r="F335" s="100" t="s">
        <v>3681</v>
      </c>
      <c r="G335" s="105" t="s">
        <v>3682</v>
      </c>
    </row>
    <row r="336" spans="1:7" ht="12" x14ac:dyDescent="0.25">
      <c r="A336" s="90" t="s">
        <v>83</v>
      </c>
      <c r="B336" s="90" t="s">
        <v>2750</v>
      </c>
      <c r="C336" s="90">
        <v>1</v>
      </c>
      <c r="D336" s="109" t="s">
        <v>2741</v>
      </c>
      <c r="E336" s="99" t="s">
        <v>2741</v>
      </c>
      <c r="F336" s="100" t="s">
        <v>3683</v>
      </c>
      <c r="G336" s="105" t="s">
        <v>3684</v>
      </c>
    </row>
    <row r="337" spans="1:7" ht="12" x14ac:dyDescent="0.25">
      <c r="A337" s="90" t="s">
        <v>83</v>
      </c>
      <c r="B337" s="90" t="s">
        <v>2750</v>
      </c>
      <c r="C337" s="90">
        <v>1</v>
      </c>
      <c r="D337" s="109" t="s">
        <v>2742</v>
      </c>
      <c r="E337" s="99" t="s">
        <v>2742</v>
      </c>
      <c r="F337" s="100" t="s">
        <v>3685</v>
      </c>
      <c r="G337" s="105" t="s">
        <v>3686</v>
      </c>
    </row>
    <row r="338" spans="1:7" ht="12" x14ac:dyDescent="0.25">
      <c r="A338" s="90" t="s">
        <v>83</v>
      </c>
      <c r="B338" s="90" t="s">
        <v>2750</v>
      </c>
      <c r="C338" s="90">
        <v>1</v>
      </c>
      <c r="D338" s="109" t="s">
        <v>3590</v>
      </c>
      <c r="E338" s="99" t="s">
        <v>3590</v>
      </c>
      <c r="F338" s="100" t="s">
        <v>3687</v>
      </c>
      <c r="G338" s="105" t="s">
        <v>3688</v>
      </c>
    </row>
    <row r="339" spans="1:7" ht="12" x14ac:dyDescent="0.25">
      <c r="A339" s="90" t="s">
        <v>83</v>
      </c>
      <c r="B339" s="90" t="s">
        <v>2750</v>
      </c>
      <c r="C339" s="90">
        <v>1</v>
      </c>
      <c r="D339" s="109" t="s">
        <v>130</v>
      </c>
      <c r="E339" s="99" t="s">
        <v>130</v>
      </c>
      <c r="F339" s="100" t="s">
        <v>2468</v>
      </c>
      <c r="G339" s="105" t="s">
        <v>2524</v>
      </c>
    </row>
    <row r="340" spans="1:7" ht="12" x14ac:dyDescent="0.25">
      <c r="A340" s="90" t="s">
        <v>83</v>
      </c>
      <c r="B340" s="90" t="s">
        <v>2750</v>
      </c>
      <c r="C340" s="90">
        <v>1</v>
      </c>
      <c r="D340" s="109" t="s">
        <v>2743</v>
      </c>
      <c r="E340" s="99" t="s">
        <v>2743</v>
      </c>
      <c r="F340" s="100" t="s">
        <v>3689</v>
      </c>
      <c r="G340" s="105" t="s">
        <v>3690</v>
      </c>
    </row>
    <row r="341" spans="1:7" ht="12" x14ac:dyDescent="0.25">
      <c r="A341" s="90" t="s">
        <v>83</v>
      </c>
      <c r="B341" s="90" t="s">
        <v>2750</v>
      </c>
      <c r="C341" s="90">
        <v>1</v>
      </c>
      <c r="D341" s="109" t="s">
        <v>2744</v>
      </c>
      <c r="E341" s="99" t="s">
        <v>2744</v>
      </c>
      <c r="F341" s="100" t="s">
        <v>3691</v>
      </c>
      <c r="G341" s="105" t="s">
        <v>3692</v>
      </c>
    </row>
    <row r="342" spans="1:7" ht="12" x14ac:dyDescent="0.25">
      <c r="A342" s="90" t="s">
        <v>83</v>
      </c>
      <c r="B342" s="90" t="s">
        <v>2750</v>
      </c>
      <c r="C342" s="90">
        <v>1</v>
      </c>
      <c r="D342" s="109" t="s">
        <v>2745</v>
      </c>
      <c r="E342" s="99" t="s">
        <v>2745</v>
      </c>
      <c r="F342" s="100" t="s">
        <v>3693</v>
      </c>
      <c r="G342" s="105" t="s">
        <v>3694</v>
      </c>
    </row>
    <row r="343" spans="1:7" ht="12" x14ac:dyDescent="0.25">
      <c r="A343" s="90" t="s">
        <v>83</v>
      </c>
      <c r="B343" s="90" t="s">
        <v>2750</v>
      </c>
      <c r="C343" s="90">
        <v>1</v>
      </c>
      <c r="D343" s="109" t="s">
        <v>2746</v>
      </c>
      <c r="E343" s="99" t="s">
        <v>2746</v>
      </c>
      <c r="F343" s="100" t="s">
        <v>3695</v>
      </c>
      <c r="G343" s="105" t="s">
        <v>3696</v>
      </c>
    </row>
    <row r="344" spans="1:7" ht="12" x14ac:dyDescent="0.25">
      <c r="A344" s="90" t="s">
        <v>83</v>
      </c>
      <c r="B344" s="90" t="s">
        <v>2750</v>
      </c>
      <c r="C344" s="90">
        <v>1</v>
      </c>
      <c r="D344" s="109" t="s">
        <v>2747</v>
      </c>
      <c r="E344" s="99" t="s">
        <v>2747</v>
      </c>
      <c r="F344" s="100" t="s">
        <v>3697</v>
      </c>
      <c r="G344" s="105" t="s">
        <v>3698</v>
      </c>
    </row>
    <row r="345" spans="1:7" ht="12" x14ac:dyDescent="0.25">
      <c r="A345" s="90" t="s">
        <v>83</v>
      </c>
      <c r="B345" s="90" t="s">
        <v>2750</v>
      </c>
      <c r="C345" s="90">
        <v>1</v>
      </c>
      <c r="D345" s="109" t="s">
        <v>2748</v>
      </c>
      <c r="E345" s="99" t="s">
        <v>2748</v>
      </c>
      <c r="F345" s="100" t="s">
        <v>3699</v>
      </c>
      <c r="G345" s="105" t="s">
        <v>3700</v>
      </c>
    </row>
    <row r="346" spans="1:7" ht="12" x14ac:dyDescent="0.25">
      <c r="A346" s="90" t="s">
        <v>83</v>
      </c>
      <c r="B346" s="90" t="s">
        <v>2750</v>
      </c>
      <c r="C346" s="90">
        <v>1</v>
      </c>
      <c r="D346" s="109" t="s">
        <v>3591</v>
      </c>
      <c r="E346" s="99" t="s">
        <v>3591</v>
      </c>
      <c r="F346" s="100" t="s">
        <v>3701</v>
      </c>
      <c r="G346" s="105" t="s">
        <v>3702</v>
      </c>
    </row>
    <row r="347" spans="1:7" ht="12" x14ac:dyDescent="0.25">
      <c r="A347" s="90" t="s">
        <v>83</v>
      </c>
      <c r="B347" s="90" t="s">
        <v>2750</v>
      </c>
      <c r="C347" s="90">
        <v>1</v>
      </c>
      <c r="D347" s="109" t="s">
        <v>191</v>
      </c>
      <c r="E347" s="99" t="s">
        <v>191</v>
      </c>
      <c r="F347" s="100" t="s">
        <v>343</v>
      </c>
      <c r="G347" s="105" t="s">
        <v>2090</v>
      </c>
    </row>
    <row r="348" spans="1:7" ht="12" x14ac:dyDescent="0.25">
      <c r="A348" s="90" t="s">
        <v>83</v>
      </c>
      <c r="B348" s="90" t="s">
        <v>2750</v>
      </c>
      <c r="C348" s="90">
        <v>1</v>
      </c>
      <c r="D348" s="109" t="s">
        <v>244</v>
      </c>
      <c r="E348" s="99" t="s">
        <v>244</v>
      </c>
      <c r="F348" s="100" t="s">
        <v>344</v>
      </c>
      <c r="G348" s="105" t="s">
        <v>345</v>
      </c>
    </row>
    <row r="349" spans="1:7" ht="12" x14ac:dyDescent="0.25">
      <c r="A349" s="90" t="s">
        <v>83</v>
      </c>
      <c r="B349" s="90" t="s">
        <v>2750</v>
      </c>
      <c r="C349" s="90">
        <v>1</v>
      </c>
      <c r="D349" s="109" t="s">
        <v>2084</v>
      </c>
      <c r="E349" s="99" t="s">
        <v>2084</v>
      </c>
      <c r="F349" s="100" t="s">
        <v>2474</v>
      </c>
      <c r="G349" s="105" t="s">
        <v>2530</v>
      </c>
    </row>
    <row r="350" spans="1:7" ht="12" x14ac:dyDescent="0.25">
      <c r="A350" s="90" t="s">
        <v>83</v>
      </c>
      <c r="B350" s="90" t="s">
        <v>2750</v>
      </c>
      <c r="C350" s="90">
        <v>1</v>
      </c>
      <c r="D350" s="109" t="s">
        <v>616</v>
      </c>
      <c r="E350" s="99" t="s">
        <v>616</v>
      </c>
      <c r="F350" s="100" t="s">
        <v>2085</v>
      </c>
      <c r="G350" s="105" t="s">
        <v>349</v>
      </c>
    </row>
    <row r="351" spans="1:7" ht="12" x14ac:dyDescent="0.25">
      <c r="A351" s="90" t="s">
        <v>83</v>
      </c>
      <c r="B351" s="90" t="s">
        <v>2750</v>
      </c>
      <c r="C351" s="90">
        <v>1</v>
      </c>
      <c r="D351" s="109" t="s">
        <v>193</v>
      </c>
      <c r="E351" s="99" t="s">
        <v>193</v>
      </c>
      <c r="F351" s="100" t="s">
        <v>350</v>
      </c>
      <c r="G351" s="105" t="s">
        <v>2086</v>
      </c>
    </row>
    <row r="352" spans="1:7" ht="12" x14ac:dyDescent="0.25">
      <c r="A352" s="90" t="s">
        <v>83</v>
      </c>
      <c r="B352" s="90" t="s">
        <v>2750</v>
      </c>
      <c r="C352" s="90">
        <v>1</v>
      </c>
      <c r="D352" s="109" t="s">
        <v>145</v>
      </c>
      <c r="E352" s="99" t="s">
        <v>145</v>
      </c>
      <c r="F352" s="100" t="s">
        <v>351</v>
      </c>
      <c r="G352" s="105" t="s">
        <v>352</v>
      </c>
    </row>
    <row r="353" spans="1:7" ht="351.5" customHeight="1" x14ac:dyDescent="0.25">
      <c r="A353" s="90" t="s">
        <v>83</v>
      </c>
      <c r="B353" s="90" t="s">
        <v>2750</v>
      </c>
      <c r="C353" s="90">
        <v>2</v>
      </c>
      <c r="D353" s="109" t="s">
        <v>3703</v>
      </c>
      <c r="E353" s="99" t="s">
        <v>3703</v>
      </c>
      <c r="F353" s="100" t="s">
        <v>3704</v>
      </c>
      <c r="G353" s="105" t="s">
        <v>3705</v>
      </c>
    </row>
    <row r="354" spans="1:7" ht="12" x14ac:dyDescent="0.25">
      <c r="A354" s="90" t="s">
        <v>83</v>
      </c>
      <c r="B354" s="90" t="s">
        <v>2750</v>
      </c>
      <c r="C354" s="90">
        <v>2</v>
      </c>
      <c r="D354" s="109" t="s">
        <v>75</v>
      </c>
      <c r="E354" s="99" t="s">
        <v>75</v>
      </c>
      <c r="F354" s="100" t="s">
        <v>2022</v>
      </c>
      <c r="G354" s="105" t="s">
        <v>2023</v>
      </c>
    </row>
    <row r="355" spans="1:7" ht="12" x14ac:dyDescent="0.25">
      <c r="A355" s="90" t="s">
        <v>83</v>
      </c>
      <c r="B355" s="90" t="s">
        <v>2750</v>
      </c>
      <c r="C355" s="90">
        <v>2</v>
      </c>
      <c r="D355" s="109" t="s">
        <v>2000</v>
      </c>
      <c r="E355" s="99" t="s">
        <v>2000</v>
      </c>
      <c r="F355" s="100" t="s">
        <v>2452</v>
      </c>
      <c r="G355" s="105" t="s">
        <v>2531</v>
      </c>
    </row>
    <row r="356" spans="1:7" ht="12" x14ac:dyDescent="0.25">
      <c r="A356" s="90" t="s">
        <v>83</v>
      </c>
      <c r="B356" s="90" t="s">
        <v>2750</v>
      </c>
      <c r="C356" s="90">
        <v>2</v>
      </c>
      <c r="D356" s="109" t="s">
        <v>2001</v>
      </c>
      <c r="E356" s="99" t="s">
        <v>2001</v>
      </c>
      <c r="F356" s="100" t="s">
        <v>2475</v>
      </c>
      <c r="G356" s="105" t="s">
        <v>2532</v>
      </c>
    </row>
    <row r="357" spans="1:7" ht="12" x14ac:dyDescent="0.25">
      <c r="A357" s="90" t="s">
        <v>83</v>
      </c>
      <c r="B357" s="90" t="s">
        <v>2750</v>
      </c>
      <c r="C357" s="90">
        <v>2</v>
      </c>
      <c r="D357" s="109" t="s">
        <v>225</v>
      </c>
      <c r="E357" s="99" t="s">
        <v>225</v>
      </c>
      <c r="F357" s="100" t="s">
        <v>335</v>
      </c>
      <c r="G357" s="105" t="s">
        <v>336</v>
      </c>
    </row>
    <row r="358" spans="1:7" ht="12" x14ac:dyDescent="0.25">
      <c r="A358" s="90" t="s">
        <v>83</v>
      </c>
      <c r="B358" s="90" t="s">
        <v>2750</v>
      </c>
      <c r="C358" s="90">
        <v>2</v>
      </c>
      <c r="D358" s="109" t="s">
        <v>74</v>
      </c>
      <c r="E358" s="99" t="s">
        <v>74</v>
      </c>
      <c r="F358" s="100" t="s">
        <v>2028</v>
      </c>
      <c r="G358" s="105" t="s">
        <v>2029</v>
      </c>
    </row>
    <row r="359" spans="1:7" ht="12" x14ac:dyDescent="0.25">
      <c r="A359" s="90" t="s">
        <v>83</v>
      </c>
      <c r="B359" s="90" t="s">
        <v>2750</v>
      </c>
      <c r="C359" s="90">
        <v>2</v>
      </c>
      <c r="D359" s="109" t="s">
        <v>2030</v>
      </c>
      <c r="E359" s="99" t="s">
        <v>2030</v>
      </c>
      <c r="F359" s="100" t="s">
        <v>2467</v>
      </c>
      <c r="G359" s="105" t="s">
        <v>2462</v>
      </c>
    </row>
    <row r="360" spans="1:7" ht="12" x14ac:dyDescent="0.25">
      <c r="A360" s="90" t="s">
        <v>83</v>
      </c>
      <c r="B360" s="90" t="s">
        <v>2750</v>
      </c>
      <c r="C360" s="90">
        <v>2</v>
      </c>
      <c r="D360" s="109" t="s">
        <v>64</v>
      </c>
      <c r="E360" s="99" t="s">
        <v>64</v>
      </c>
      <c r="F360" s="100" t="s">
        <v>2031</v>
      </c>
      <c r="G360" s="105" t="s">
        <v>2087</v>
      </c>
    </row>
    <row r="361" spans="1:7" ht="12" x14ac:dyDescent="0.25">
      <c r="A361" s="90" t="s">
        <v>83</v>
      </c>
      <c r="B361" s="90" t="s">
        <v>2750</v>
      </c>
      <c r="C361" s="90">
        <v>2</v>
      </c>
      <c r="D361" s="109" t="s">
        <v>130</v>
      </c>
      <c r="E361" s="99" t="s">
        <v>130</v>
      </c>
      <c r="F361" s="100" t="s">
        <v>2468</v>
      </c>
      <c r="G361" s="105" t="s">
        <v>2524</v>
      </c>
    </row>
    <row r="362" spans="1:7" ht="12" x14ac:dyDescent="0.25">
      <c r="A362" s="90" t="s">
        <v>83</v>
      </c>
      <c r="B362" s="90" t="s">
        <v>2750</v>
      </c>
      <c r="C362" s="90">
        <v>2</v>
      </c>
      <c r="D362" s="109" t="s">
        <v>226</v>
      </c>
      <c r="E362" s="99" t="s">
        <v>226</v>
      </c>
      <c r="F362" s="100" t="s">
        <v>2088</v>
      </c>
      <c r="G362" s="105" t="s">
        <v>2089</v>
      </c>
    </row>
    <row r="363" spans="1:7" ht="12" x14ac:dyDescent="0.25">
      <c r="A363" s="90" t="s">
        <v>83</v>
      </c>
      <c r="B363" s="90" t="s">
        <v>2750</v>
      </c>
      <c r="C363" s="90">
        <v>2</v>
      </c>
      <c r="D363" s="109" t="s">
        <v>227</v>
      </c>
      <c r="E363" s="99" t="s">
        <v>227</v>
      </c>
      <c r="F363" s="100" t="s">
        <v>2033</v>
      </c>
      <c r="G363" s="105" t="s">
        <v>2034</v>
      </c>
    </row>
    <row r="364" spans="1:7" ht="12" x14ac:dyDescent="0.25">
      <c r="A364" s="90" t="s">
        <v>83</v>
      </c>
      <c r="B364" s="90" t="s">
        <v>2750</v>
      </c>
      <c r="C364" s="90">
        <v>2</v>
      </c>
      <c r="D364" s="109" t="s">
        <v>228</v>
      </c>
      <c r="E364" s="99" t="s">
        <v>228</v>
      </c>
      <c r="F364" s="100" t="s">
        <v>2035</v>
      </c>
      <c r="G364" s="105" t="s">
        <v>2036</v>
      </c>
    </row>
    <row r="365" spans="1:7" ht="12" x14ac:dyDescent="0.25">
      <c r="A365" s="90" t="s">
        <v>83</v>
      </c>
      <c r="B365" s="90" t="s">
        <v>2750</v>
      </c>
      <c r="C365" s="90">
        <v>2</v>
      </c>
      <c r="D365" s="109" t="s">
        <v>229</v>
      </c>
      <c r="E365" s="99" t="s">
        <v>229</v>
      </c>
      <c r="F365" s="100" t="s">
        <v>2037</v>
      </c>
      <c r="G365" s="105" t="s">
        <v>2038</v>
      </c>
    </row>
    <row r="366" spans="1:7" ht="12" x14ac:dyDescent="0.25">
      <c r="A366" s="90" t="s">
        <v>83</v>
      </c>
      <c r="B366" s="90" t="s">
        <v>2750</v>
      </c>
      <c r="C366" s="90">
        <v>2</v>
      </c>
      <c r="D366" s="109" t="s">
        <v>230</v>
      </c>
      <c r="E366" s="99" t="s">
        <v>230</v>
      </c>
      <c r="F366" s="100" t="s">
        <v>2039</v>
      </c>
      <c r="G366" s="105" t="s">
        <v>2040</v>
      </c>
    </row>
    <row r="367" spans="1:7" ht="12" x14ac:dyDescent="0.25">
      <c r="A367" s="90" t="s">
        <v>83</v>
      </c>
      <c r="B367" s="90" t="s">
        <v>2750</v>
      </c>
      <c r="C367" s="90">
        <v>2</v>
      </c>
      <c r="D367" s="109" t="s">
        <v>231</v>
      </c>
      <c r="E367" s="99" t="s">
        <v>231</v>
      </c>
      <c r="F367" s="100" t="s">
        <v>2041</v>
      </c>
      <c r="G367" s="105" t="s">
        <v>2042</v>
      </c>
    </row>
    <row r="368" spans="1:7" ht="12" x14ac:dyDescent="0.25">
      <c r="A368" s="90" t="s">
        <v>83</v>
      </c>
      <c r="B368" s="90" t="s">
        <v>2750</v>
      </c>
      <c r="C368" s="90">
        <v>2</v>
      </c>
      <c r="D368" s="109" t="s">
        <v>2043</v>
      </c>
      <c r="E368" s="99" t="s">
        <v>2043</v>
      </c>
      <c r="F368" s="100" t="s">
        <v>2470</v>
      </c>
      <c r="G368" s="105" t="s">
        <v>2526</v>
      </c>
    </row>
    <row r="369" spans="1:7" ht="12" x14ac:dyDescent="0.25">
      <c r="A369" s="90" t="s">
        <v>83</v>
      </c>
      <c r="B369" s="90" t="s">
        <v>2750</v>
      </c>
      <c r="C369" s="90">
        <v>2</v>
      </c>
      <c r="D369" s="109" t="s">
        <v>130</v>
      </c>
      <c r="E369" s="99" t="s">
        <v>130</v>
      </c>
      <c r="F369" s="100" t="s">
        <v>2468</v>
      </c>
      <c r="G369" s="105" t="s">
        <v>2524</v>
      </c>
    </row>
    <row r="370" spans="1:7" ht="12" x14ac:dyDescent="0.25">
      <c r="A370" s="90" t="s">
        <v>83</v>
      </c>
      <c r="B370" s="90" t="s">
        <v>2750</v>
      </c>
      <c r="C370" s="90">
        <v>2</v>
      </c>
      <c r="D370" s="109" t="s">
        <v>232</v>
      </c>
      <c r="E370" s="99" t="s">
        <v>232</v>
      </c>
      <c r="F370" s="100" t="s">
        <v>2044</v>
      </c>
      <c r="G370" s="105" t="s">
        <v>2045</v>
      </c>
    </row>
    <row r="371" spans="1:7" ht="12" x14ac:dyDescent="0.25">
      <c r="A371" s="90" t="s">
        <v>83</v>
      </c>
      <c r="B371" s="90" t="s">
        <v>2750</v>
      </c>
      <c r="C371" s="90">
        <v>2</v>
      </c>
      <c r="D371" s="109" t="s">
        <v>233</v>
      </c>
      <c r="E371" s="99" t="s">
        <v>233</v>
      </c>
      <c r="F371" s="100" t="s">
        <v>2046</v>
      </c>
      <c r="G371" s="105" t="s">
        <v>2047</v>
      </c>
    </row>
    <row r="372" spans="1:7" ht="12" x14ac:dyDescent="0.25">
      <c r="A372" s="90" t="s">
        <v>83</v>
      </c>
      <c r="B372" s="90" t="s">
        <v>2750</v>
      </c>
      <c r="C372" s="90">
        <v>2</v>
      </c>
      <c r="D372" s="109" t="s">
        <v>234</v>
      </c>
      <c r="E372" s="99" t="s">
        <v>234</v>
      </c>
      <c r="F372" s="100" t="s">
        <v>2048</v>
      </c>
      <c r="G372" s="105" t="s">
        <v>2049</v>
      </c>
    </row>
    <row r="373" spans="1:7" ht="12" x14ac:dyDescent="0.25">
      <c r="A373" s="90" t="s">
        <v>83</v>
      </c>
      <c r="B373" s="90" t="s">
        <v>2750</v>
      </c>
      <c r="C373" s="90">
        <v>2</v>
      </c>
      <c r="D373" s="109" t="s">
        <v>235</v>
      </c>
      <c r="E373" s="99" t="s">
        <v>235</v>
      </c>
      <c r="F373" s="102" t="s">
        <v>2050</v>
      </c>
      <c r="G373" s="107" t="s">
        <v>2051</v>
      </c>
    </row>
    <row r="374" spans="1:7" ht="12" x14ac:dyDescent="0.25">
      <c r="A374" s="90" t="s">
        <v>83</v>
      </c>
      <c r="B374" s="90" t="s">
        <v>2750</v>
      </c>
      <c r="C374" s="90">
        <v>2</v>
      </c>
      <c r="D374" s="109" t="s">
        <v>236</v>
      </c>
      <c r="E374" s="99" t="s">
        <v>236</v>
      </c>
      <c r="F374" s="100" t="s">
        <v>2052</v>
      </c>
      <c r="G374" s="105" t="s">
        <v>2053</v>
      </c>
    </row>
    <row r="375" spans="1:7" ht="12" x14ac:dyDescent="0.25">
      <c r="A375" s="90" t="s">
        <v>83</v>
      </c>
      <c r="B375" s="90" t="s">
        <v>2750</v>
      </c>
      <c r="C375" s="90">
        <v>2</v>
      </c>
      <c r="D375" s="109" t="s">
        <v>237</v>
      </c>
      <c r="E375" s="99" t="s">
        <v>237</v>
      </c>
      <c r="F375" s="100" t="s">
        <v>2054</v>
      </c>
      <c r="G375" s="105" t="s">
        <v>2055</v>
      </c>
    </row>
    <row r="376" spans="1:7" ht="12" x14ac:dyDescent="0.25">
      <c r="A376" s="90" t="s">
        <v>83</v>
      </c>
      <c r="B376" s="90" t="s">
        <v>2750</v>
      </c>
      <c r="C376" s="90">
        <v>2</v>
      </c>
      <c r="D376" s="109" t="s">
        <v>2056</v>
      </c>
      <c r="E376" s="99" t="s">
        <v>2056</v>
      </c>
      <c r="F376" s="100" t="s">
        <v>2471</v>
      </c>
      <c r="G376" s="105" t="s">
        <v>2527</v>
      </c>
    </row>
    <row r="377" spans="1:7" ht="12" x14ac:dyDescent="0.25">
      <c r="A377" s="90" t="s">
        <v>83</v>
      </c>
      <c r="B377" s="90" t="s">
        <v>2750</v>
      </c>
      <c r="C377" s="90">
        <v>2</v>
      </c>
      <c r="D377" s="109" t="s">
        <v>130</v>
      </c>
      <c r="E377" s="99" t="s">
        <v>130</v>
      </c>
      <c r="F377" s="100" t="s">
        <v>2468</v>
      </c>
      <c r="G377" s="105" t="s">
        <v>2524</v>
      </c>
    </row>
    <row r="378" spans="1:7" ht="12" x14ac:dyDescent="0.25">
      <c r="A378" s="90" t="s">
        <v>83</v>
      </c>
      <c r="B378" s="90" t="s">
        <v>2750</v>
      </c>
      <c r="C378" s="90">
        <v>2</v>
      </c>
      <c r="D378" s="109" t="s">
        <v>238</v>
      </c>
      <c r="E378" s="99" t="s">
        <v>238</v>
      </c>
      <c r="F378" s="100" t="s">
        <v>2057</v>
      </c>
      <c r="G378" s="105" t="s">
        <v>2058</v>
      </c>
    </row>
    <row r="379" spans="1:7" ht="12" x14ac:dyDescent="0.25">
      <c r="A379" s="90" t="s">
        <v>83</v>
      </c>
      <c r="B379" s="90" t="s">
        <v>2750</v>
      </c>
      <c r="C379" s="90">
        <v>2</v>
      </c>
      <c r="D379" s="109" t="s">
        <v>239</v>
      </c>
      <c r="E379" s="99" t="s">
        <v>239</v>
      </c>
      <c r="F379" s="100" t="s">
        <v>2059</v>
      </c>
      <c r="G379" s="105" t="s">
        <v>2060</v>
      </c>
    </row>
    <row r="380" spans="1:7" ht="12" x14ac:dyDescent="0.25">
      <c r="A380" s="90" t="s">
        <v>83</v>
      </c>
      <c r="B380" s="90" t="s">
        <v>2750</v>
      </c>
      <c r="C380" s="90">
        <v>2</v>
      </c>
      <c r="D380" s="109" t="s">
        <v>240</v>
      </c>
      <c r="E380" s="99" t="s">
        <v>240</v>
      </c>
      <c r="F380" s="100" t="s">
        <v>2061</v>
      </c>
      <c r="G380" s="105" t="s">
        <v>2062</v>
      </c>
    </row>
    <row r="381" spans="1:7" ht="12" x14ac:dyDescent="0.25">
      <c r="A381" s="90" t="s">
        <v>83</v>
      </c>
      <c r="B381" s="90" t="s">
        <v>2750</v>
      </c>
      <c r="C381" s="90">
        <v>2</v>
      </c>
      <c r="D381" s="109" t="s">
        <v>241</v>
      </c>
      <c r="E381" s="99" t="s">
        <v>241</v>
      </c>
      <c r="F381" s="100" t="s">
        <v>2063</v>
      </c>
      <c r="G381" s="105" t="s">
        <v>2064</v>
      </c>
    </row>
    <row r="382" spans="1:7" ht="12" x14ac:dyDescent="0.25">
      <c r="A382" s="90" t="s">
        <v>83</v>
      </c>
      <c r="B382" s="90" t="s">
        <v>2750</v>
      </c>
      <c r="C382" s="90">
        <v>2</v>
      </c>
      <c r="D382" s="109" t="s">
        <v>242</v>
      </c>
      <c r="E382" s="99" t="s">
        <v>242</v>
      </c>
      <c r="F382" s="100" t="s">
        <v>2065</v>
      </c>
      <c r="G382" s="105" t="s">
        <v>2066</v>
      </c>
    </row>
    <row r="383" spans="1:7" ht="12" x14ac:dyDescent="0.25">
      <c r="A383" s="90" t="s">
        <v>83</v>
      </c>
      <c r="B383" s="90" t="s">
        <v>2750</v>
      </c>
      <c r="C383" s="90">
        <v>2</v>
      </c>
      <c r="D383" s="109" t="s">
        <v>243</v>
      </c>
      <c r="E383" s="99" t="s">
        <v>243</v>
      </c>
      <c r="F383" s="100" t="s">
        <v>2067</v>
      </c>
      <c r="G383" s="105" t="s">
        <v>2068</v>
      </c>
    </row>
    <row r="384" spans="1:7" ht="12" x14ac:dyDescent="0.25">
      <c r="A384" s="90" t="s">
        <v>83</v>
      </c>
      <c r="B384" s="90" t="s">
        <v>2750</v>
      </c>
      <c r="C384" s="90">
        <v>2</v>
      </c>
      <c r="D384" s="109" t="s">
        <v>2069</v>
      </c>
      <c r="E384" s="99" t="s">
        <v>2069</v>
      </c>
      <c r="F384" s="100" t="s">
        <v>2472</v>
      </c>
      <c r="G384" s="105" t="s">
        <v>2528</v>
      </c>
    </row>
    <row r="385" spans="1:7" ht="12" x14ac:dyDescent="0.25">
      <c r="A385" s="90" t="s">
        <v>83</v>
      </c>
      <c r="B385" s="90" t="s">
        <v>2750</v>
      </c>
      <c r="C385" s="90">
        <v>2</v>
      </c>
      <c r="D385" s="109" t="s">
        <v>130</v>
      </c>
      <c r="E385" s="99" t="s">
        <v>130</v>
      </c>
      <c r="F385" s="100" t="s">
        <v>2468</v>
      </c>
      <c r="G385" s="105" t="s">
        <v>2524</v>
      </c>
    </row>
    <row r="386" spans="1:7" ht="12" x14ac:dyDescent="0.25">
      <c r="A386" s="90" t="s">
        <v>83</v>
      </c>
      <c r="B386" s="90" t="s">
        <v>2750</v>
      </c>
      <c r="C386" s="90">
        <v>2</v>
      </c>
      <c r="D386" s="109" t="s">
        <v>337</v>
      </c>
      <c r="E386" s="99" t="s">
        <v>337</v>
      </c>
      <c r="F386" s="100" t="s">
        <v>2070</v>
      </c>
      <c r="G386" s="105" t="s">
        <v>2071</v>
      </c>
    </row>
    <row r="387" spans="1:7" ht="12" x14ac:dyDescent="0.25">
      <c r="A387" s="90" t="s">
        <v>83</v>
      </c>
      <c r="B387" s="90" t="s">
        <v>2750</v>
      </c>
      <c r="C387" s="90">
        <v>2</v>
      </c>
      <c r="D387" s="109" t="s">
        <v>338</v>
      </c>
      <c r="E387" s="99" t="s">
        <v>338</v>
      </c>
      <c r="F387" s="100" t="s">
        <v>2072</v>
      </c>
      <c r="G387" s="105" t="s">
        <v>2073</v>
      </c>
    </row>
    <row r="388" spans="1:7" ht="12" x14ac:dyDescent="0.25">
      <c r="A388" s="90" t="s">
        <v>83</v>
      </c>
      <c r="B388" s="90" t="s">
        <v>2750</v>
      </c>
      <c r="C388" s="90">
        <v>2</v>
      </c>
      <c r="D388" s="109" t="s">
        <v>339</v>
      </c>
      <c r="E388" s="99" t="s">
        <v>339</v>
      </c>
      <c r="F388" s="100" t="s">
        <v>2074</v>
      </c>
      <c r="G388" s="105" t="s">
        <v>2075</v>
      </c>
    </row>
    <row r="389" spans="1:7" ht="12" x14ac:dyDescent="0.25">
      <c r="A389" s="90" t="s">
        <v>83</v>
      </c>
      <c r="B389" s="90" t="s">
        <v>2750</v>
      </c>
      <c r="C389" s="90">
        <v>2</v>
      </c>
      <c r="D389" s="109" t="s">
        <v>340</v>
      </c>
      <c r="E389" s="99" t="s">
        <v>340</v>
      </c>
      <c r="F389" s="100" t="s">
        <v>2076</v>
      </c>
      <c r="G389" s="105" t="s">
        <v>2077</v>
      </c>
    </row>
    <row r="390" spans="1:7" ht="12" x14ac:dyDescent="0.25">
      <c r="A390" s="90" t="s">
        <v>83</v>
      </c>
      <c r="B390" s="90" t="s">
        <v>2750</v>
      </c>
      <c r="C390" s="90">
        <v>2</v>
      </c>
      <c r="D390" s="109" t="s">
        <v>341</v>
      </c>
      <c r="E390" s="99" t="s">
        <v>341</v>
      </c>
      <c r="F390" s="100" t="s">
        <v>2078</v>
      </c>
      <c r="G390" s="105" t="s">
        <v>2079</v>
      </c>
    </row>
    <row r="391" spans="1:7" ht="12" x14ac:dyDescent="0.25">
      <c r="A391" s="90" t="s">
        <v>83</v>
      </c>
      <c r="B391" s="90" t="s">
        <v>2750</v>
      </c>
      <c r="C391" s="90">
        <v>2</v>
      </c>
      <c r="D391" s="109" t="s">
        <v>342</v>
      </c>
      <c r="E391" s="99" t="s">
        <v>342</v>
      </c>
      <c r="F391" s="100" t="s">
        <v>2080</v>
      </c>
      <c r="G391" s="105" t="s">
        <v>2081</v>
      </c>
    </row>
    <row r="392" spans="1:7" ht="12" x14ac:dyDescent="0.25">
      <c r="A392" s="90" t="s">
        <v>83</v>
      </c>
      <c r="B392" s="90" t="s">
        <v>2750</v>
      </c>
      <c r="C392" s="90">
        <v>2</v>
      </c>
      <c r="D392" s="109" t="s">
        <v>2082</v>
      </c>
      <c r="E392" s="99" t="s">
        <v>2082</v>
      </c>
      <c r="F392" s="100" t="s">
        <v>2473</v>
      </c>
      <c r="G392" s="105" t="s">
        <v>2529</v>
      </c>
    </row>
    <row r="393" spans="1:7" ht="12" x14ac:dyDescent="0.25">
      <c r="A393" s="90" t="s">
        <v>83</v>
      </c>
      <c r="B393" s="90" t="s">
        <v>2750</v>
      </c>
      <c r="C393" s="90">
        <v>2</v>
      </c>
      <c r="D393" s="109" t="s">
        <v>191</v>
      </c>
      <c r="E393" s="99" t="s">
        <v>191</v>
      </c>
      <c r="F393" s="100" t="s">
        <v>343</v>
      </c>
      <c r="G393" s="105" t="s">
        <v>2090</v>
      </c>
    </row>
    <row r="394" spans="1:7" ht="12" x14ac:dyDescent="0.25">
      <c r="A394" s="90" t="s">
        <v>83</v>
      </c>
      <c r="B394" s="90" t="s">
        <v>2750</v>
      </c>
      <c r="C394" s="90">
        <v>2</v>
      </c>
      <c r="D394" s="109" t="s">
        <v>244</v>
      </c>
      <c r="E394" s="99" t="s">
        <v>244</v>
      </c>
      <c r="F394" s="100" t="s">
        <v>344</v>
      </c>
      <c r="G394" s="105" t="s">
        <v>345</v>
      </c>
    </row>
    <row r="395" spans="1:7" ht="12" x14ac:dyDescent="0.25">
      <c r="A395" s="90" t="s">
        <v>83</v>
      </c>
      <c r="B395" s="90" t="s">
        <v>2750</v>
      </c>
      <c r="C395" s="90">
        <v>2</v>
      </c>
      <c r="D395" s="109" t="s">
        <v>2084</v>
      </c>
      <c r="E395" s="99" t="s">
        <v>2084</v>
      </c>
      <c r="F395" s="100" t="s">
        <v>2474</v>
      </c>
      <c r="G395" s="105" t="s">
        <v>2530</v>
      </c>
    </row>
    <row r="396" spans="1:7" ht="12" x14ac:dyDescent="0.25">
      <c r="A396" s="90" t="s">
        <v>83</v>
      </c>
      <c r="B396" s="90" t="s">
        <v>2750</v>
      </c>
      <c r="C396" s="90">
        <v>2</v>
      </c>
      <c r="D396" s="109" t="s">
        <v>616</v>
      </c>
      <c r="E396" s="99" t="s">
        <v>616</v>
      </c>
      <c r="F396" s="100" t="s">
        <v>2085</v>
      </c>
      <c r="G396" s="105" t="s">
        <v>349</v>
      </c>
    </row>
    <row r="397" spans="1:7" ht="12" x14ac:dyDescent="0.25">
      <c r="A397" s="90" t="s">
        <v>83</v>
      </c>
      <c r="B397" s="90" t="s">
        <v>2750</v>
      </c>
      <c r="C397" s="90">
        <v>2</v>
      </c>
      <c r="D397" s="109" t="s">
        <v>193</v>
      </c>
      <c r="E397" s="99" t="s">
        <v>193</v>
      </c>
      <c r="F397" s="100" t="s">
        <v>350</v>
      </c>
      <c r="G397" s="105" t="s">
        <v>2086</v>
      </c>
    </row>
    <row r="398" spans="1:7" ht="12" x14ac:dyDescent="0.25">
      <c r="A398" s="90" t="s">
        <v>83</v>
      </c>
      <c r="B398" s="90" t="s">
        <v>2750</v>
      </c>
      <c r="C398" s="90">
        <v>2</v>
      </c>
      <c r="D398" s="109" t="s">
        <v>145</v>
      </c>
      <c r="E398" s="99" t="s">
        <v>145</v>
      </c>
      <c r="F398" s="100" t="s">
        <v>351</v>
      </c>
      <c r="G398" s="105" t="s">
        <v>352</v>
      </c>
    </row>
    <row r="399" spans="1:7" ht="360" x14ac:dyDescent="0.25">
      <c r="A399" s="90" t="s">
        <v>83</v>
      </c>
      <c r="B399" s="90" t="s">
        <v>2750</v>
      </c>
      <c r="C399" s="90">
        <v>3</v>
      </c>
      <c r="D399" s="109" t="s">
        <v>3703</v>
      </c>
      <c r="E399" s="99" t="s">
        <v>3703</v>
      </c>
      <c r="F399" s="100" t="s">
        <v>3704</v>
      </c>
      <c r="G399" s="105" t="s">
        <v>3705</v>
      </c>
    </row>
    <row r="400" spans="1:7" ht="12" x14ac:dyDescent="0.25">
      <c r="A400" s="90" t="s">
        <v>83</v>
      </c>
      <c r="B400" s="90" t="s">
        <v>2750</v>
      </c>
      <c r="C400" s="90">
        <v>3</v>
      </c>
      <c r="D400" s="109" t="s">
        <v>75</v>
      </c>
      <c r="E400" s="99" t="s">
        <v>75</v>
      </c>
      <c r="F400" s="100" t="s">
        <v>2022</v>
      </c>
      <c r="G400" s="105" t="s">
        <v>2023</v>
      </c>
    </row>
    <row r="401" spans="1:7" ht="12" x14ac:dyDescent="0.25">
      <c r="A401" s="90" t="s">
        <v>83</v>
      </c>
      <c r="B401" s="90" t="s">
        <v>2750</v>
      </c>
      <c r="C401" s="90">
        <v>3</v>
      </c>
      <c r="D401" s="109" t="s">
        <v>2000</v>
      </c>
      <c r="E401" s="99" t="s">
        <v>2000</v>
      </c>
      <c r="F401" s="100" t="s">
        <v>2452</v>
      </c>
      <c r="G401" s="105" t="s">
        <v>2531</v>
      </c>
    </row>
    <row r="402" spans="1:7" ht="12" x14ac:dyDescent="0.25">
      <c r="A402" s="90" t="s">
        <v>83</v>
      </c>
      <c r="B402" s="90" t="s">
        <v>2750</v>
      </c>
      <c r="C402" s="90">
        <v>3</v>
      </c>
      <c r="D402" s="109" t="s">
        <v>2001</v>
      </c>
      <c r="E402" s="99" t="s">
        <v>2001</v>
      </c>
      <c r="F402" s="100" t="s">
        <v>2475</v>
      </c>
      <c r="G402" s="105" t="s">
        <v>2532</v>
      </c>
    </row>
    <row r="403" spans="1:7" ht="12" x14ac:dyDescent="0.25">
      <c r="A403" s="90" t="s">
        <v>83</v>
      </c>
      <c r="B403" s="90" t="s">
        <v>2750</v>
      </c>
      <c r="C403" s="90">
        <v>3</v>
      </c>
      <c r="D403" s="109" t="s">
        <v>225</v>
      </c>
      <c r="E403" s="99" t="s">
        <v>225</v>
      </c>
      <c r="F403" s="100" t="s">
        <v>335</v>
      </c>
      <c r="G403" s="105" t="s">
        <v>336</v>
      </c>
    </row>
    <row r="404" spans="1:7" ht="12" x14ac:dyDescent="0.25">
      <c r="A404" s="90" t="s">
        <v>83</v>
      </c>
      <c r="B404" s="90" t="s">
        <v>2750</v>
      </c>
      <c r="C404" s="90">
        <v>3</v>
      </c>
      <c r="D404" s="109" t="s">
        <v>74</v>
      </c>
      <c r="E404" s="99" t="s">
        <v>74</v>
      </c>
      <c r="F404" s="100" t="s">
        <v>2028</v>
      </c>
      <c r="G404" s="105" t="s">
        <v>2029</v>
      </c>
    </row>
    <row r="405" spans="1:7" ht="12" x14ac:dyDescent="0.25">
      <c r="A405" s="90" t="s">
        <v>83</v>
      </c>
      <c r="B405" s="90" t="s">
        <v>2750</v>
      </c>
      <c r="C405" s="90">
        <v>3</v>
      </c>
      <c r="D405" s="109" t="s">
        <v>2030</v>
      </c>
      <c r="E405" s="99" t="s">
        <v>2030</v>
      </c>
      <c r="F405" s="100" t="s">
        <v>2467</v>
      </c>
      <c r="G405" s="105" t="s">
        <v>2462</v>
      </c>
    </row>
    <row r="406" spans="1:7" ht="12" x14ac:dyDescent="0.25">
      <c r="A406" s="90" t="s">
        <v>83</v>
      </c>
      <c r="B406" s="90" t="s">
        <v>2750</v>
      </c>
      <c r="C406" s="90">
        <v>3</v>
      </c>
      <c r="D406" s="109" t="s">
        <v>64</v>
      </c>
      <c r="E406" s="99" t="s">
        <v>64</v>
      </c>
      <c r="F406" s="100" t="s">
        <v>2031</v>
      </c>
      <c r="G406" s="105" t="s">
        <v>2087</v>
      </c>
    </row>
    <row r="407" spans="1:7" ht="12" x14ac:dyDescent="0.25">
      <c r="A407" s="90" t="s">
        <v>83</v>
      </c>
      <c r="B407" s="90" t="s">
        <v>2750</v>
      </c>
      <c r="C407" s="90">
        <v>3</v>
      </c>
      <c r="D407" s="109" t="s">
        <v>130</v>
      </c>
      <c r="E407" s="99" t="s">
        <v>130</v>
      </c>
      <c r="F407" s="100" t="s">
        <v>2468</v>
      </c>
      <c r="G407" s="105" t="s">
        <v>2524</v>
      </c>
    </row>
    <row r="408" spans="1:7" ht="12" x14ac:dyDescent="0.25">
      <c r="A408" s="90" t="s">
        <v>83</v>
      </c>
      <c r="B408" s="90" t="s">
        <v>2750</v>
      </c>
      <c r="C408" s="90">
        <v>3</v>
      </c>
      <c r="D408" s="109" t="s">
        <v>226</v>
      </c>
      <c r="E408" s="99" t="s">
        <v>226</v>
      </c>
      <c r="F408" s="100" t="s">
        <v>2088</v>
      </c>
      <c r="G408" s="105" t="s">
        <v>2089</v>
      </c>
    </row>
    <row r="409" spans="1:7" ht="12" x14ac:dyDescent="0.25">
      <c r="A409" s="90" t="s">
        <v>83</v>
      </c>
      <c r="B409" s="90" t="s">
        <v>2750</v>
      </c>
      <c r="C409" s="90">
        <v>3</v>
      </c>
      <c r="D409" s="109" t="s">
        <v>227</v>
      </c>
      <c r="E409" s="99" t="s">
        <v>227</v>
      </c>
      <c r="F409" s="100" t="s">
        <v>2033</v>
      </c>
      <c r="G409" s="105" t="s">
        <v>2034</v>
      </c>
    </row>
    <row r="410" spans="1:7" ht="12" x14ac:dyDescent="0.25">
      <c r="A410" s="90" t="s">
        <v>83</v>
      </c>
      <c r="B410" s="90" t="s">
        <v>2750</v>
      </c>
      <c r="C410" s="90">
        <v>3</v>
      </c>
      <c r="D410" s="109" t="s">
        <v>228</v>
      </c>
      <c r="E410" s="99" t="s">
        <v>228</v>
      </c>
      <c r="F410" s="100" t="s">
        <v>2035</v>
      </c>
      <c r="G410" s="105" t="s">
        <v>2036</v>
      </c>
    </row>
    <row r="411" spans="1:7" ht="12" x14ac:dyDescent="0.25">
      <c r="A411" s="90" t="s">
        <v>83</v>
      </c>
      <c r="B411" s="90" t="s">
        <v>2750</v>
      </c>
      <c r="C411" s="90">
        <v>3</v>
      </c>
      <c r="D411" s="109" t="s">
        <v>229</v>
      </c>
      <c r="E411" s="99" t="s">
        <v>229</v>
      </c>
      <c r="F411" s="100" t="s">
        <v>2037</v>
      </c>
      <c r="G411" s="105" t="s">
        <v>2038</v>
      </c>
    </row>
    <row r="412" spans="1:7" ht="12" x14ac:dyDescent="0.25">
      <c r="A412" s="90" t="s">
        <v>83</v>
      </c>
      <c r="B412" s="90" t="s">
        <v>2750</v>
      </c>
      <c r="C412" s="90">
        <v>3</v>
      </c>
      <c r="D412" s="109" t="s">
        <v>230</v>
      </c>
      <c r="E412" s="99" t="s">
        <v>230</v>
      </c>
      <c r="F412" s="100" t="s">
        <v>2039</v>
      </c>
      <c r="G412" s="105" t="s">
        <v>2040</v>
      </c>
    </row>
    <row r="413" spans="1:7" ht="12" x14ac:dyDescent="0.25">
      <c r="A413" s="90" t="s">
        <v>83</v>
      </c>
      <c r="B413" s="90" t="s">
        <v>2750</v>
      </c>
      <c r="C413" s="90">
        <v>3</v>
      </c>
      <c r="D413" s="109" t="s">
        <v>231</v>
      </c>
      <c r="E413" s="99" t="s">
        <v>231</v>
      </c>
      <c r="F413" s="100" t="s">
        <v>2041</v>
      </c>
      <c r="G413" s="105" t="s">
        <v>2042</v>
      </c>
    </row>
    <row r="414" spans="1:7" ht="12" x14ac:dyDescent="0.25">
      <c r="A414" s="90" t="s">
        <v>83</v>
      </c>
      <c r="B414" s="90" t="s">
        <v>2750</v>
      </c>
      <c r="C414" s="90">
        <v>3</v>
      </c>
      <c r="D414" s="109" t="s">
        <v>2043</v>
      </c>
      <c r="E414" s="99" t="s">
        <v>2043</v>
      </c>
      <c r="F414" s="100" t="s">
        <v>2470</v>
      </c>
      <c r="G414" s="105" t="s">
        <v>2526</v>
      </c>
    </row>
    <row r="415" spans="1:7" ht="12" x14ac:dyDescent="0.25">
      <c r="A415" s="90" t="s">
        <v>83</v>
      </c>
      <c r="B415" s="90" t="s">
        <v>2750</v>
      </c>
      <c r="C415" s="90">
        <v>3</v>
      </c>
      <c r="D415" s="109" t="s">
        <v>130</v>
      </c>
      <c r="E415" s="99" t="s">
        <v>130</v>
      </c>
      <c r="F415" s="100" t="s">
        <v>2468</v>
      </c>
      <c r="G415" s="105" t="s">
        <v>2524</v>
      </c>
    </row>
    <row r="416" spans="1:7" ht="12" x14ac:dyDescent="0.25">
      <c r="A416" s="90" t="s">
        <v>83</v>
      </c>
      <c r="B416" s="90" t="s">
        <v>2750</v>
      </c>
      <c r="C416" s="90">
        <v>3</v>
      </c>
      <c r="D416" s="109" t="s">
        <v>232</v>
      </c>
      <c r="E416" s="99" t="s">
        <v>232</v>
      </c>
      <c r="F416" s="100" t="s">
        <v>2044</v>
      </c>
      <c r="G416" s="105" t="s">
        <v>2045</v>
      </c>
    </row>
    <row r="417" spans="1:7" ht="12" x14ac:dyDescent="0.25">
      <c r="A417" s="90" t="s">
        <v>83</v>
      </c>
      <c r="B417" s="90" t="s">
        <v>2750</v>
      </c>
      <c r="C417" s="90">
        <v>3</v>
      </c>
      <c r="D417" s="109" t="s">
        <v>233</v>
      </c>
      <c r="E417" s="99" t="s">
        <v>233</v>
      </c>
      <c r="F417" s="102" t="s">
        <v>2046</v>
      </c>
      <c r="G417" s="107" t="s">
        <v>2047</v>
      </c>
    </row>
    <row r="418" spans="1:7" ht="12" x14ac:dyDescent="0.25">
      <c r="A418" s="90" t="s">
        <v>83</v>
      </c>
      <c r="B418" s="90" t="s">
        <v>2750</v>
      </c>
      <c r="C418" s="90">
        <v>3</v>
      </c>
      <c r="D418" s="109" t="s">
        <v>234</v>
      </c>
      <c r="E418" s="99" t="s">
        <v>234</v>
      </c>
      <c r="F418" s="100" t="s">
        <v>2048</v>
      </c>
      <c r="G418" s="105" t="s">
        <v>2049</v>
      </c>
    </row>
    <row r="419" spans="1:7" ht="12" x14ac:dyDescent="0.25">
      <c r="A419" s="90" t="s">
        <v>83</v>
      </c>
      <c r="B419" s="90" t="s">
        <v>2750</v>
      </c>
      <c r="C419" s="90">
        <v>3</v>
      </c>
      <c r="D419" s="109" t="s">
        <v>235</v>
      </c>
      <c r="E419" s="99" t="s">
        <v>235</v>
      </c>
      <c r="F419" s="100" t="s">
        <v>2050</v>
      </c>
      <c r="G419" s="105" t="s">
        <v>2051</v>
      </c>
    </row>
    <row r="420" spans="1:7" ht="12" x14ac:dyDescent="0.25">
      <c r="A420" s="90" t="s">
        <v>83</v>
      </c>
      <c r="B420" s="90" t="s">
        <v>2750</v>
      </c>
      <c r="C420" s="90">
        <v>3</v>
      </c>
      <c r="D420" s="109" t="s">
        <v>236</v>
      </c>
      <c r="E420" s="99" t="s">
        <v>236</v>
      </c>
      <c r="F420" s="100" t="s">
        <v>2052</v>
      </c>
      <c r="G420" s="105" t="s">
        <v>2053</v>
      </c>
    </row>
    <row r="421" spans="1:7" ht="12" x14ac:dyDescent="0.25">
      <c r="A421" s="90" t="s">
        <v>83</v>
      </c>
      <c r="B421" s="90" t="s">
        <v>2750</v>
      </c>
      <c r="C421" s="90">
        <v>3</v>
      </c>
      <c r="D421" s="109" t="s">
        <v>237</v>
      </c>
      <c r="E421" s="99" t="s">
        <v>237</v>
      </c>
      <c r="F421" s="100" t="s">
        <v>2054</v>
      </c>
      <c r="G421" s="105" t="s">
        <v>2055</v>
      </c>
    </row>
    <row r="422" spans="1:7" ht="12" x14ac:dyDescent="0.25">
      <c r="A422" s="90" t="s">
        <v>83</v>
      </c>
      <c r="B422" s="90" t="s">
        <v>2750</v>
      </c>
      <c r="C422" s="90">
        <v>3</v>
      </c>
      <c r="D422" s="160" t="s">
        <v>2056</v>
      </c>
      <c r="E422" s="161" t="s">
        <v>2056</v>
      </c>
      <c r="F422" s="162" t="s">
        <v>2471</v>
      </c>
      <c r="G422" s="163" t="s">
        <v>2527</v>
      </c>
    </row>
    <row r="423" spans="1:7" ht="12" x14ac:dyDescent="0.25">
      <c r="A423" s="90" t="s">
        <v>83</v>
      </c>
      <c r="B423" s="90" t="s">
        <v>2750</v>
      </c>
      <c r="C423" s="90">
        <v>3</v>
      </c>
      <c r="D423" s="109" t="s">
        <v>130</v>
      </c>
      <c r="E423" s="99" t="s">
        <v>130</v>
      </c>
      <c r="F423" s="100" t="s">
        <v>2468</v>
      </c>
      <c r="G423" s="105" t="s">
        <v>2524</v>
      </c>
    </row>
    <row r="424" spans="1:7" ht="12" x14ac:dyDescent="0.25">
      <c r="A424" s="90" t="s">
        <v>83</v>
      </c>
      <c r="B424" s="90" t="s">
        <v>2750</v>
      </c>
      <c r="C424" s="90">
        <v>3</v>
      </c>
      <c r="D424" s="109" t="s">
        <v>238</v>
      </c>
      <c r="E424" s="99" t="s">
        <v>238</v>
      </c>
      <c r="F424" s="100" t="s">
        <v>2057</v>
      </c>
      <c r="G424" s="105" t="s">
        <v>2058</v>
      </c>
    </row>
    <row r="425" spans="1:7" ht="12" x14ac:dyDescent="0.25">
      <c r="A425" s="90" t="s">
        <v>83</v>
      </c>
      <c r="B425" s="90" t="s">
        <v>2750</v>
      </c>
      <c r="C425" s="90">
        <v>3</v>
      </c>
      <c r="D425" s="109" t="s">
        <v>239</v>
      </c>
      <c r="E425" s="99" t="s">
        <v>239</v>
      </c>
      <c r="F425" s="100" t="s">
        <v>2059</v>
      </c>
      <c r="G425" s="105" t="s">
        <v>2060</v>
      </c>
    </row>
    <row r="426" spans="1:7" ht="12" x14ac:dyDescent="0.25">
      <c r="A426" s="90" t="s">
        <v>83</v>
      </c>
      <c r="B426" s="90" t="s">
        <v>2750</v>
      </c>
      <c r="C426" s="90">
        <v>3</v>
      </c>
      <c r="D426" s="109" t="s">
        <v>240</v>
      </c>
      <c r="E426" s="99" t="s">
        <v>240</v>
      </c>
      <c r="F426" s="100" t="s">
        <v>2061</v>
      </c>
      <c r="G426" s="105" t="s">
        <v>2062</v>
      </c>
    </row>
    <row r="427" spans="1:7" ht="12" x14ac:dyDescent="0.25">
      <c r="A427" s="90" t="s">
        <v>83</v>
      </c>
      <c r="B427" s="90" t="s">
        <v>2750</v>
      </c>
      <c r="C427" s="90">
        <v>3</v>
      </c>
      <c r="D427" s="109" t="s">
        <v>241</v>
      </c>
      <c r="E427" s="99" t="s">
        <v>241</v>
      </c>
      <c r="F427" s="100" t="s">
        <v>2063</v>
      </c>
      <c r="G427" s="105" t="s">
        <v>2064</v>
      </c>
    </row>
    <row r="428" spans="1:7" ht="12" x14ac:dyDescent="0.25">
      <c r="A428" s="90" t="s">
        <v>83</v>
      </c>
      <c r="B428" s="90" t="s">
        <v>2750</v>
      </c>
      <c r="C428" s="90">
        <v>3</v>
      </c>
      <c r="D428" s="109" t="s">
        <v>242</v>
      </c>
      <c r="E428" s="99" t="s">
        <v>242</v>
      </c>
      <c r="F428" s="100" t="s">
        <v>2065</v>
      </c>
      <c r="G428" s="105" t="s">
        <v>2066</v>
      </c>
    </row>
    <row r="429" spans="1:7" ht="12" x14ac:dyDescent="0.25">
      <c r="A429" s="90" t="s">
        <v>83</v>
      </c>
      <c r="B429" s="90" t="s">
        <v>2750</v>
      </c>
      <c r="C429" s="90">
        <v>3</v>
      </c>
      <c r="D429" s="109" t="s">
        <v>243</v>
      </c>
      <c r="E429" s="99" t="s">
        <v>243</v>
      </c>
      <c r="F429" s="100" t="s">
        <v>2067</v>
      </c>
      <c r="G429" s="105" t="s">
        <v>2068</v>
      </c>
    </row>
    <row r="430" spans="1:7" ht="12" x14ac:dyDescent="0.25">
      <c r="A430" s="90" t="s">
        <v>83</v>
      </c>
      <c r="B430" s="90" t="s">
        <v>2750</v>
      </c>
      <c r="C430" s="90">
        <v>3</v>
      </c>
      <c r="D430" s="109" t="s">
        <v>2069</v>
      </c>
      <c r="E430" s="99" t="s">
        <v>2069</v>
      </c>
      <c r="F430" s="100" t="s">
        <v>2472</v>
      </c>
      <c r="G430" s="105" t="s">
        <v>2528</v>
      </c>
    </row>
    <row r="431" spans="1:7" ht="12" x14ac:dyDescent="0.25">
      <c r="A431" s="90" t="s">
        <v>83</v>
      </c>
      <c r="B431" s="90" t="s">
        <v>2750</v>
      </c>
      <c r="C431" s="90">
        <v>3</v>
      </c>
      <c r="D431" s="109" t="s">
        <v>130</v>
      </c>
      <c r="E431" s="99" t="s">
        <v>130</v>
      </c>
      <c r="F431" s="100" t="s">
        <v>2468</v>
      </c>
      <c r="G431" s="105" t="s">
        <v>2524</v>
      </c>
    </row>
    <row r="432" spans="1:7" ht="12" x14ac:dyDescent="0.25">
      <c r="A432" s="90" t="s">
        <v>83</v>
      </c>
      <c r="B432" s="90" t="s">
        <v>2750</v>
      </c>
      <c r="C432" s="90">
        <v>3</v>
      </c>
      <c r="D432" s="109" t="s">
        <v>337</v>
      </c>
      <c r="E432" s="99" t="s">
        <v>337</v>
      </c>
      <c r="F432" s="100" t="s">
        <v>2070</v>
      </c>
      <c r="G432" s="105" t="s">
        <v>2071</v>
      </c>
    </row>
    <row r="433" spans="1:7" ht="12" x14ac:dyDescent="0.25">
      <c r="A433" s="90" t="s">
        <v>83</v>
      </c>
      <c r="B433" s="90" t="s">
        <v>2750</v>
      </c>
      <c r="C433" s="90">
        <v>3</v>
      </c>
      <c r="D433" s="109" t="s">
        <v>338</v>
      </c>
      <c r="E433" s="99" t="s">
        <v>338</v>
      </c>
      <c r="F433" s="100" t="s">
        <v>2072</v>
      </c>
      <c r="G433" s="105" t="s">
        <v>2073</v>
      </c>
    </row>
    <row r="434" spans="1:7" ht="12" x14ac:dyDescent="0.25">
      <c r="A434" s="90" t="s">
        <v>83</v>
      </c>
      <c r="B434" s="90" t="s">
        <v>2750</v>
      </c>
      <c r="C434" s="90">
        <v>3</v>
      </c>
      <c r="D434" s="109" t="s">
        <v>339</v>
      </c>
      <c r="E434" s="99" t="s">
        <v>339</v>
      </c>
      <c r="F434" s="100" t="s">
        <v>2074</v>
      </c>
      <c r="G434" s="105" t="s">
        <v>2075</v>
      </c>
    </row>
    <row r="435" spans="1:7" ht="12" x14ac:dyDescent="0.25">
      <c r="A435" s="90" t="s">
        <v>83</v>
      </c>
      <c r="B435" s="90" t="s">
        <v>2750</v>
      </c>
      <c r="C435" s="90">
        <v>3</v>
      </c>
      <c r="D435" s="109" t="s">
        <v>340</v>
      </c>
      <c r="E435" s="99" t="s">
        <v>340</v>
      </c>
      <c r="F435" s="100" t="s">
        <v>2076</v>
      </c>
      <c r="G435" s="105" t="s">
        <v>2077</v>
      </c>
    </row>
    <row r="436" spans="1:7" ht="12" x14ac:dyDescent="0.25">
      <c r="A436" s="90" t="s">
        <v>83</v>
      </c>
      <c r="B436" s="90" t="s">
        <v>2750</v>
      </c>
      <c r="C436" s="90">
        <v>3</v>
      </c>
      <c r="D436" s="109" t="s">
        <v>341</v>
      </c>
      <c r="E436" s="99" t="s">
        <v>341</v>
      </c>
      <c r="F436" s="100" t="s">
        <v>2078</v>
      </c>
      <c r="G436" s="105" t="s">
        <v>2079</v>
      </c>
    </row>
    <row r="437" spans="1:7" ht="12" x14ac:dyDescent="0.25">
      <c r="A437" s="90" t="s">
        <v>83</v>
      </c>
      <c r="B437" s="90" t="s">
        <v>2750</v>
      </c>
      <c r="C437" s="90">
        <v>3</v>
      </c>
      <c r="D437" s="109" t="s">
        <v>342</v>
      </c>
      <c r="E437" s="99" t="s">
        <v>342</v>
      </c>
      <c r="F437" s="100" t="s">
        <v>2080</v>
      </c>
      <c r="G437" s="105" t="s">
        <v>2081</v>
      </c>
    </row>
    <row r="438" spans="1:7" ht="12" x14ac:dyDescent="0.25">
      <c r="A438" s="90" t="s">
        <v>83</v>
      </c>
      <c r="B438" s="90" t="s">
        <v>2750</v>
      </c>
      <c r="C438" s="90">
        <v>3</v>
      </c>
      <c r="D438" s="109" t="s">
        <v>2082</v>
      </c>
      <c r="E438" s="99" t="s">
        <v>2082</v>
      </c>
      <c r="F438" s="100" t="s">
        <v>2473</v>
      </c>
      <c r="G438" s="105" t="s">
        <v>2529</v>
      </c>
    </row>
    <row r="439" spans="1:7" ht="12" x14ac:dyDescent="0.25">
      <c r="A439" s="90" t="s">
        <v>83</v>
      </c>
      <c r="B439" s="90" t="s">
        <v>2750</v>
      </c>
      <c r="C439" s="90">
        <v>3</v>
      </c>
      <c r="D439" s="109" t="s">
        <v>191</v>
      </c>
      <c r="E439" s="99" t="s">
        <v>191</v>
      </c>
      <c r="F439" s="100" t="s">
        <v>343</v>
      </c>
      <c r="G439" s="105" t="s">
        <v>2090</v>
      </c>
    </row>
    <row r="440" spans="1:7" ht="12" x14ac:dyDescent="0.25">
      <c r="A440" s="90" t="s">
        <v>83</v>
      </c>
      <c r="B440" s="90" t="s">
        <v>2750</v>
      </c>
      <c r="C440" s="90">
        <v>3</v>
      </c>
      <c r="D440" s="109" t="s">
        <v>244</v>
      </c>
      <c r="E440" s="99" t="s">
        <v>244</v>
      </c>
      <c r="F440" s="100" t="s">
        <v>344</v>
      </c>
      <c r="G440" s="105" t="s">
        <v>345</v>
      </c>
    </row>
    <row r="441" spans="1:7" ht="12" x14ac:dyDescent="0.25">
      <c r="A441" s="90" t="s">
        <v>83</v>
      </c>
      <c r="B441" s="90" t="s">
        <v>2750</v>
      </c>
      <c r="C441" s="90">
        <v>3</v>
      </c>
      <c r="D441" s="109" t="s">
        <v>2084</v>
      </c>
      <c r="E441" s="99" t="s">
        <v>2084</v>
      </c>
      <c r="F441" s="100" t="s">
        <v>2474</v>
      </c>
      <c r="G441" s="105" t="s">
        <v>2530</v>
      </c>
    </row>
    <row r="442" spans="1:7" ht="12" x14ac:dyDescent="0.25">
      <c r="A442" s="90" t="s">
        <v>83</v>
      </c>
      <c r="B442" s="90" t="s">
        <v>2750</v>
      </c>
      <c r="C442" s="90">
        <v>3</v>
      </c>
      <c r="D442" s="109" t="s">
        <v>616</v>
      </c>
      <c r="E442" s="99" t="s">
        <v>616</v>
      </c>
      <c r="F442" s="100" t="s">
        <v>2085</v>
      </c>
      <c r="G442" s="105" t="s">
        <v>349</v>
      </c>
    </row>
    <row r="443" spans="1:7" ht="12" x14ac:dyDescent="0.25">
      <c r="A443" s="90" t="s">
        <v>83</v>
      </c>
      <c r="B443" s="90" t="s">
        <v>2750</v>
      </c>
      <c r="C443" s="90">
        <v>3</v>
      </c>
      <c r="D443" s="109" t="s">
        <v>193</v>
      </c>
      <c r="E443" s="99" t="s">
        <v>193</v>
      </c>
      <c r="F443" s="100" t="s">
        <v>350</v>
      </c>
      <c r="G443" s="105" t="s">
        <v>2086</v>
      </c>
    </row>
    <row r="444" spans="1:7" ht="12" x14ac:dyDescent="0.25">
      <c r="A444" s="90" t="s">
        <v>83</v>
      </c>
      <c r="B444" s="90" t="s">
        <v>2750</v>
      </c>
      <c r="C444" s="90">
        <v>3</v>
      </c>
      <c r="D444" s="109" t="s">
        <v>145</v>
      </c>
      <c r="E444" s="99" t="s">
        <v>145</v>
      </c>
      <c r="F444" s="100" t="s">
        <v>351</v>
      </c>
      <c r="G444" s="105" t="s">
        <v>352</v>
      </c>
    </row>
    <row r="445" spans="1:7" ht="360" x14ac:dyDescent="0.25">
      <c r="A445" s="90" t="s">
        <v>83</v>
      </c>
      <c r="B445" s="90" t="s">
        <v>2750</v>
      </c>
      <c r="C445" s="90">
        <v>4</v>
      </c>
      <c r="D445" s="109" t="s">
        <v>3703</v>
      </c>
      <c r="E445" s="99" t="s">
        <v>3703</v>
      </c>
      <c r="F445" s="100" t="s">
        <v>3704</v>
      </c>
      <c r="G445" s="105" t="s">
        <v>3705</v>
      </c>
    </row>
    <row r="446" spans="1:7" ht="12" x14ac:dyDescent="0.25">
      <c r="A446" s="90" t="s">
        <v>83</v>
      </c>
      <c r="B446" s="90" t="s">
        <v>2750</v>
      </c>
      <c r="C446" s="90">
        <v>4</v>
      </c>
      <c r="D446" s="109" t="s">
        <v>75</v>
      </c>
      <c r="E446" s="99" t="s">
        <v>75</v>
      </c>
      <c r="F446" s="100" t="s">
        <v>2022</v>
      </c>
      <c r="G446" s="105" t="s">
        <v>2023</v>
      </c>
    </row>
    <row r="447" spans="1:7" ht="12" x14ac:dyDescent="0.25">
      <c r="A447" s="90" t="s">
        <v>83</v>
      </c>
      <c r="B447" s="90" t="s">
        <v>2750</v>
      </c>
      <c r="C447" s="90">
        <v>4</v>
      </c>
      <c r="D447" s="109" t="s">
        <v>2000</v>
      </c>
      <c r="E447" s="99" t="s">
        <v>2000</v>
      </c>
      <c r="F447" s="100" t="s">
        <v>2452</v>
      </c>
      <c r="G447" s="105" t="s">
        <v>2531</v>
      </c>
    </row>
    <row r="448" spans="1:7" ht="12" x14ac:dyDescent="0.25">
      <c r="A448" s="90" t="s">
        <v>83</v>
      </c>
      <c r="B448" s="90" t="s">
        <v>2750</v>
      </c>
      <c r="C448" s="90">
        <v>4</v>
      </c>
      <c r="D448" s="109" t="s">
        <v>2001</v>
      </c>
      <c r="E448" s="99" t="s">
        <v>2001</v>
      </c>
      <c r="F448" s="100" t="s">
        <v>2475</v>
      </c>
      <c r="G448" s="105" t="s">
        <v>2532</v>
      </c>
    </row>
    <row r="449" spans="1:7" ht="12" x14ac:dyDescent="0.25">
      <c r="A449" s="90" t="s">
        <v>83</v>
      </c>
      <c r="B449" s="90" t="s">
        <v>2750</v>
      </c>
      <c r="C449" s="90">
        <v>4</v>
      </c>
      <c r="D449" s="109" t="s">
        <v>225</v>
      </c>
      <c r="E449" s="99" t="s">
        <v>225</v>
      </c>
      <c r="F449" s="100" t="s">
        <v>335</v>
      </c>
      <c r="G449" s="105" t="s">
        <v>336</v>
      </c>
    </row>
    <row r="450" spans="1:7" ht="12" x14ac:dyDescent="0.25">
      <c r="A450" s="90" t="s">
        <v>83</v>
      </c>
      <c r="B450" s="90" t="s">
        <v>2750</v>
      </c>
      <c r="C450" s="90">
        <v>4</v>
      </c>
      <c r="D450" s="109" t="s">
        <v>74</v>
      </c>
      <c r="E450" s="99" t="s">
        <v>74</v>
      </c>
      <c r="F450" s="100" t="s">
        <v>2028</v>
      </c>
      <c r="G450" s="105" t="s">
        <v>2029</v>
      </c>
    </row>
    <row r="451" spans="1:7" ht="12" x14ac:dyDescent="0.25">
      <c r="A451" s="90" t="s">
        <v>83</v>
      </c>
      <c r="B451" s="90" t="s">
        <v>2750</v>
      </c>
      <c r="C451" s="90">
        <v>4</v>
      </c>
      <c r="D451" s="109" t="s">
        <v>2030</v>
      </c>
      <c r="E451" s="99" t="s">
        <v>2030</v>
      </c>
      <c r="F451" s="100" t="s">
        <v>2467</v>
      </c>
      <c r="G451" s="105" t="s">
        <v>2462</v>
      </c>
    </row>
    <row r="452" spans="1:7" ht="12" x14ac:dyDescent="0.25">
      <c r="A452" s="90" t="s">
        <v>83</v>
      </c>
      <c r="B452" s="90" t="s">
        <v>2750</v>
      </c>
      <c r="C452" s="90">
        <v>4</v>
      </c>
      <c r="D452" s="109" t="s">
        <v>64</v>
      </c>
      <c r="E452" s="99" t="s">
        <v>64</v>
      </c>
      <c r="F452" s="100" t="s">
        <v>2031</v>
      </c>
      <c r="G452" s="105" t="s">
        <v>2087</v>
      </c>
    </row>
    <row r="453" spans="1:7" ht="12" x14ac:dyDescent="0.25">
      <c r="A453" s="90" t="s">
        <v>83</v>
      </c>
      <c r="B453" s="90" t="s">
        <v>2750</v>
      </c>
      <c r="C453" s="90">
        <v>4</v>
      </c>
      <c r="D453" s="109" t="s">
        <v>130</v>
      </c>
      <c r="E453" s="99" t="s">
        <v>130</v>
      </c>
      <c r="F453" s="100" t="s">
        <v>2468</v>
      </c>
      <c r="G453" s="105" t="s">
        <v>2524</v>
      </c>
    </row>
    <row r="454" spans="1:7" ht="12" x14ac:dyDescent="0.25">
      <c r="A454" s="90" t="s">
        <v>83</v>
      </c>
      <c r="B454" s="90" t="s">
        <v>2750</v>
      </c>
      <c r="C454" s="90">
        <v>4</v>
      </c>
      <c r="D454" s="109" t="s">
        <v>226</v>
      </c>
      <c r="E454" s="99" t="s">
        <v>226</v>
      </c>
      <c r="F454" s="100" t="s">
        <v>2088</v>
      </c>
      <c r="G454" s="105" t="s">
        <v>2089</v>
      </c>
    </row>
    <row r="455" spans="1:7" ht="12" x14ac:dyDescent="0.25">
      <c r="A455" s="90" t="s">
        <v>83</v>
      </c>
      <c r="B455" s="90" t="s">
        <v>2750</v>
      </c>
      <c r="C455" s="90">
        <v>4</v>
      </c>
      <c r="D455" s="109" t="s">
        <v>227</v>
      </c>
      <c r="E455" s="99" t="s">
        <v>227</v>
      </c>
      <c r="F455" s="100" t="s">
        <v>2033</v>
      </c>
      <c r="G455" s="105" t="s">
        <v>2034</v>
      </c>
    </row>
    <row r="456" spans="1:7" ht="12" x14ac:dyDescent="0.25">
      <c r="A456" s="90" t="s">
        <v>83</v>
      </c>
      <c r="B456" s="90" t="s">
        <v>2750</v>
      </c>
      <c r="C456" s="90">
        <v>4</v>
      </c>
      <c r="D456" s="109" t="s">
        <v>228</v>
      </c>
      <c r="E456" s="99" t="s">
        <v>228</v>
      </c>
      <c r="F456" s="100" t="s">
        <v>2035</v>
      </c>
      <c r="G456" s="105" t="s">
        <v>2036</v>
      </c>
    </row>
    <row r="457" spans="1:7" ht="12" x14ac:dyDescent="0.25">
      <c r="A457" s="90" t="s">
        <v>83</v>
      </c>
      <c r="B457" s="90" t="s">
        <v>2750</v>
      </c>
      <c r="C457" s="90">
        <v>4</v>
      </c>
      <c r="D457" s="109" t="s">
        <v>229</v>
      </c>
      <c r="E457" s="99" t="s">
        <v>229</v>
      </c>
      <c r="F457" s="100" t="s">
        <v>2037</v>
      </c>
      <c r="G457" s="105" t="s">
        <v>2038</v>
      </c>
    </row>
    <row r="458" spans="1:7" ht="12" x14ac:dyDescent="0.25">
      <c r="A458" s="90" t="s">
        <v>83</v>
      </c>
      <c r="B458" s="90" t="s">
        <v>2750</v>
      </c>
      <c r="C458" s="90">
        <v>4</v>
      </c>
      <c r="D458" s="109" t="s">
        <v>230</v>
      </c>
      <c r="E458" s="99" t="s">
        <v>230</v>
      </c>
      <c r="F458" s="100" t="s">
        <v>2039</v>
      </c>
      <c r="G458" s="105" t="s">
        <v>2040</v>
      </c>
    </row>
    <row r="459" spans="1:7" ht="12" x14ac:dyDescent="0.25">
      <c r="A459" s="90" t="s">
        <v>83</v>
      </c>
      <c r="B459" s="90" t="s">
        <v>2750</v>
      </c>
      <c r="C459" s="90">
        <v>4</v>
      </c>
      <c r="D459" s="109" t="s">
        <v>231</v>
      </c>
      <c r="E459" s="99" t="s">
        <v>231</v>
      </c>
      <c r="F459" s="100" t="s">
        <v>2041</v>
      </c>
      <c r="G459" s="105" t="s">
        <v>2042</v>
      </c>
    </row>
    <row r="460" spans="1:7" ht="12" x14ac:dyDescent="0.25">
      <c r="A460" s="90" t="s">
        <v>83</v>
      </c>
      <c r="B460" s="90" t="s">
        <v>2750</v>
      </c>
      <c r="C460" s="90">
        <v>4</v>
      </c>
      <c r="D460" s="109" t="s">
        <v>2043</v>
      </c>
      <c r="E460" s="99" t="s">
        <v>2043</v>
      </c>
      <c r="F460" s="100" t="s">
        <v>2470</v>
      </c>
      <c r="G460" s="105" t="s">
        <v>2526</v>
      </c>
    </row>
    <row r="461" spans="1:7" ht="12" x14ac:dyDescent="0.25">
      <c r="A461" s="90" t="s">
        <v>83</v>
      </c>
      <c r="B461" s="90" t="s">
        <v>2750</v>
      </c>
      <c r="C461" s="90">
        <v>4</v>
      </c>
      <c r="D461" s="109" t="s">
        <v>130</v>
      </c>
      <c r="E461" s="99" t="s">
        <v>130</v>
      </c>
      <c r="F461" s="102" t="s">
        <v>2468</v>
      </c>
      <c r="G461" s="107" t="s">
        <v>2524</v>
      </c>
    </row>
    <row r="462" spans="1:7" ht="12" x14ac:dyDescent="0.25">
      <c r="A462" s="90" t="s">
        <v>83</v>
      </c>
      <c r="B462" s="90" t="s">
        <v>2750</v>
      </c>
      <c r="C462" s="90">
        <v>4</v>
      </c>
      <c r="D462" s="109" t="s">
        <v>232</v>
      </c>
      <c r="E462" s="99" t="s">
        <v>232</v>
      </c>
      <c r="F462" s="100" t="s">
        <v>2044</v>
      </c>
      <c r="G462" s="105" t="s">
        <v>2045</v>
      </c>
    </row>
    <row r="463" spans="1:7" ht="12" x14ac:dyDescent="0.25">
      <c r="A463" s="90" t="s">
        <v>83</v>
      </c>
      <c r="B463" s="90" t="s">
        <v>2750</v>
      </c>
      <c r="C463" s="90">
        <v>4</v>
      </c>
      <c r="D463" s="109" t="s">
        <v>233</v>
      </c>
      <c r="E463" s="99" t="s">
        <v>233</v>
      </c>
      <c r="F463" s="100" t="s">
        <v>2046</v>
      </c>
      <c r="G463" s="105" t="s">
        <v>2047</v>
      </c>
    </row>
    <row r="464" spans="1:7" ht="12" x14ac:dyDescent="0.25">
      <c r="A464" s="90" t="s">
        <v>83</v>
      </c>
      <c r="B464" s="90" t="s">
        <v>2750</v>
      </c>
      <c r="C464" s="90">
        <v>4</v>
      </c>
      <c r="D464" s="109" t="s">
        <v>234</v>
      </c>
      <c r="E464" s="99" t="s">
        <v>234</v>
      </c>
      <c r="F464" s="100" t="s">
        <v>2048</v>
      </c>
      <c r="G464" s="105" t="s">
        <v>2049</v>
      </c>
    </row>
    <row r="465" spans="1:7" ht="12" x14ac:dyDescent="0.25">
      <c r="A465" s="90" t="s">
        <v>83</v>
      </c>
      <c r="B465" s="90" t="s">
        <v>2750</v>
      </c>
      <c r="C465" s="90">
        <v>4</v>
      </c>
      <c r="D465" s="109" t="s">
        <v>235</v>
      </c>
      <c r="E465" s="99" t="s">
        <v>235</v>
      </c>
      <c r="F465" s="100" t="s">
        <v>2050</v>
      </c>
      <c r="G465" s="105" t="s">
        <v>2051</v>
      </c>
    </row>
    <row r="466" spans="1:7" ht="12" x14ac:dyDescent="0.25">
      <c r="A466" s="90" t="s">
        <v>83</v>
      </c>
      <c r="B466" s="90" t="s">
        <v>2750</v>
      </c>
      <c r="C466" s="90">
        <v>4</v>
      </c>
      <c r="D466" s="160" t="s">
        <v>236</v>
      </c>
      <c r="E466" s="161" t="s">
        <v>236</v>
      </c>
      <c r="F466" s="162" t="s">
        <v>2052</v>
      </c>
      <c r="G466" s="163" t="s">
        <v>2053</v>
      </c>
    </row>
    <row r="467" spans="1:7" ht="12" x14ac:dyDescent="0.25">
      <c r="A467" s="90" t="s">
        <v>83</v>
      </c>
      <c r="B467" s="90" t="s">
        <v>2750</v>
      </c>
      <c r="C467" s="90">
        <v>4</v>
      </c>
      <c r="D467" s="109" t="s">
        <v>237</v>
      </c>
      <c r="E467" s="99" t="s">
        <v>237</v>
      </c>
      <c r="F467" s="100" t="s">
        <v>2054</v>
      </c>
      <c r="G467" s="105" t="s">
        <v>2055</v>
      </c>
    </row>
    <row r="468" spans="1:7" ht="12" x14ac:dyDescent="0.25">
      <c r="A468" s="90" t="s">
        <v>83</v>
      </c>
      <c r="B468" s="90" t="s">
        <v>2750</v>
      </c>
      <c r="C468" s="90">
        <v>4</v>
      </c>
      <c r="D468" s="109" t="s">
        <v>2056</v>
      </c>
      <c r="E468" s="99" t="s">
        <v>2056</v>
      </c>
      <c r="F468" s="100" t="s">
        <v>2471</v>
      </c>
      <c r="G468" s="105" t="s">
        <v>2527</v>
      </c>
    </row>
    <row r="469" spans="1:7" ht="12" x14ac:dyDescent="0.25">
      <c r="A469" s="90" t="s">
        <v>83</v>
      </c>
      <c r="B469" s="90" t="s">
        <v>2750</v>
      </c>
      <c r="C469" s="90">
        <v>4</v>
      </c>
      <c r="D469" s="109" t="s">
        <v>130</v>
      </c>
      <c r="E469" s="99" t="s">
        <v>130</v>
      </c>
      <c r="F469" s="100" t="s">
        <v>2468</v>
      </c>
      <c r="G469" s="105" t="s">
        <v>2524</v>
      </c>
    </row>
    <row r="470" spans="1:7" ht="12" x14ac:dyDescent="0.25">
      <c r="A470" s="90" t="s">
        <v>83</v>
      </c>
      <c r="B470" s="90" t="s">
        <v>2750</v>
      </c>
      <c r="C470" s="90">
        <v>4</v>
      </c>
      <c r="D470" s="109" t="s">
        <v>238</v>
      </c>
      <c r="E470" s="99" t="s">
        <v>238</v>
      </c>
      <c r="F470" s="100" t="s">
        <v>2057</v>
      </c>
      <c r="G470" s="105" t="s">
        <v>2058</v>
      </c>
    </row>
    <row r="471" spans="1:7" ht="12" x14ac:dyDescent="0.25">
      <c r="A471" s="90" t="s">
        <v>83</v>
      </c>
      <c r="B471" s="90" t="s">
        <v>2750</v>
      </c>
      <c r="C471" s="90">
        <v>4</v>
      </c>
      <c r="D471" s="109" t="s">
        <v>239</v>
      </c>
      <c r="E471" s="99" t="s">
        <v>239</v>
      </c>
      <c r="F471" s="100" t="s">
        <v>2059</v>
      </c>
      <c r="G471" s="105" t="s">
        <v>2060</v>
      </c>
    </row>
    <row r="472" spans="1:7" ht="12" x14ac:dyDescent="0.25">
      <c r="A472" s="90" t="s">
        <v>83</v>
      </c>
      <c r="B472" s="90" t="s">
        <v>2750</v>
      </c>
      <c r="C472" s="90">
        <v>4</v>
      </c>
      <c r="D472" s="109" t="s">
        <v>240</v>
      </c>
      <c r="E472" s="99" t="s">
        <v>240</v>
      </c>
      <c r="F472" s="100" t="s">
        <v>2061</v>
      </c>
      <c r="G472" s="105" t="s">
        <v>2062</v>
      </c>
    </row>
    <row r="473" spans="1:7" ht="12" x14ac:dyDescent="0.25">
      <c r="A473" s="90" t="s">
        <v>83</v>
      </c>
      <c r="B473" s="90" t="s">
        <v>2750</v>
      </c>
      <c r="C473" s="90">
        <v>4</v>
      </c>
      <c r="D473" s="109" t="s">
        <v>241</v>
      </c>
      <c r="E473" s="99" t="s">
        <v>241</v>
      </c>
      <c r="F473" s="100" t="s">
        <v>2063</v>
      </c>
      <c r="G473" s="105" t="s">
        <v>2064</v>
      </c>
    </row>
    <row r="474" spans="1:7" ht="12" x14ac:dyDescent="0.25">
      <c r="A474" s="90" t="s">
        <v>83</v>
      </c>
      <c r="B474" s="90" t="s">
        <v>2750</v>
      </c>
      <c r="C474" s="90">
        <v>4</v>
      </c>
      <c r="D474" s="109" t="s">
        <v>242</v>
      </c>
      <c r="E474" s="99" t="s">
        <v>242</v>
      </c>
      <c r="F474" s="100" t="s">
        <v>2065</v>
      </c>
      <c r="G474" s="105" t="s">
        <v>2066</v>
      </c>
    </row>
    <row r="475" spans="1:7" ht="12" x14ac:dyDescent="0.25">
      <c r="A475" s="90" t="s">
        <v>83</v>
      </c>
      <c r="B475" s="90" t="s">
        <v>2750</v>
      </c>
      <c r="C475" s="90">
        <v>4</v>
      </c>
      <c r="D475" s="109" t="s">
        <v>243</v>
      </c>
      <c r="E475" s="99" t="s">
        <v>243</v>
      </c>
      <c r="F475" s="100" t="s">
        <v>2067</v>
      </c>
      <c r="G475" s="105" t="s">
        <v>2068</v>
      </c>
    </row>
    <row r="476" spans="1:7" ht="12" x14ac:dyDescent="0.25">
      <c r="A476" s="90" t="s">
        <v>83</v>
      </c>
      <c r="B476" s="90" t="s">
        <v>2750</v>
      </c>
      <c r="C476" s="90">
        <v>4</v>
      </c>
      <c r="D476" s="109" t="s">
        <v>2069</v>
      </c>
      <c r="E476" s="99" t="s">
        <v>2069</v>
      </c>
      <c r="F476" s="100" t="s">
        <v>2472</v>
      </c>
      <c r="G476" s="105" t="s">
        <v>2528</v>
      </c>
    </row>
    <row r="477" spans="1:7" ht="12" x14ac:dyDescent="0.25">
      <c r="A477" s="90" t="s">
        <v>83</v>
      </c>
      <c r="B477" s="90" t="s">
        <v>2750</v>
      </c>
      <c r="C477" s="90">
        <v>4</v>
      </c>
      <c r="D477" s="109" t="s">
        <v>130</v>
      </c>
      <c r="E477" s="99" t="s">
        <v>130</v>
      </c>
      <c r="F477" s="100" t="s">
        <v>2468</v>
      </c>
      <c r="G477" s="105" t="s">
        <v>2524</v>
      </c>
    </row>
    <row r="478" spans="1:7" ht="12" x14ac:dyDescent="0.25">
      <c r="A478" s="90" t="s">
        <v>83</v>
      </c>
      <c r="B478" s="90" t="s">
        <v>2750</v>
      </c>
      <c r="C478" s="90">
        <v>4</v>
      </c>
      <c r="D478" s="109" t="s">
        <v>337</v>
      </c>
      <c r="E478" s="99" t="s">
        <v>337</v>
      </c>
      <c r="F478" s="100" t="s">
        <v>2070</v>
      </c>
      <c r="G478" s="105" t="s">
        <v>2071</v>
      </c>
    </row>
    <row r="479" spans="1:7" ht="12" x14ac:dyDescent="0.25">
      <c r="A479" s="90" t="s">
        <v>83</v>
      </c>
      <c r="B479" s="90" t="s">
        <v>2750</v>
      </c>
      <c r="C479" s="90">
        <v>4</v>
      </c>
      <c r="D479" s="109" t="s">
        <v>338</v>
      </c>
      <c r="E479" s="99" t="s">
        <v>338</v>
      </c>
      <c r="F479" s="100" t="s">
        <v>2072</v>
      </c>
      <c r="G479" s="105" t="s">
        <v>2073</v>
      </c>
    </row>
    <row r="480" spans="1:7" ht="12" x14ac:dyDescent="0.25">
      <c r="A480" s="90" t="s">
        <v>83</v>
      </c>
      <c r="B480" s="90" t="s">
        <v>2750</v>
      </c>
      <c r="C480" s="90">
        <v>4</v>
      </c>
      <c r="D480" s="109" t="s">
        <v>339</v>
      </c>
      <c r="E480" s="99" t="s">
        <v>339</v>
      </c>
      <c r="F480" s="100" t="s">
        <v>2074</v>
      </c>
      <c r="G480" s="105" t="s">
        <v>2075</v>
      </c>
    </row>
    <row r="481" spans="1:7" ht="12" x14ac:dyDescent="0.25">
      <c r="A481" s="90" t="s">
        <v>83</v>
      </c>
      <c r="B481" s="90" t="s">
        <v>2750</v>
      </c>
      <c r="C481" s="90">
        <v>4</v>
      </c>
      <c r="D481" s="109" t="s">
        <v>340</v>
      </c>
      <c r="E481" s="99" t="s">
        <v>340</v>
      </c>
      <c r="F481" s="100" t="s">
        <v>2076</v>
      </c>
      <c r="G481" s="105" t="s">
        <v>2077</v>
      </c>
    </row>
    <row r="482" spans="1:7" ht="12" x14ac:dyDescent="0.25">
      <c r="A482" s="90" t="s">
        <v>83</v>
      </c>
      <c r="B482" s="90" t="s">
        <v>2750</v>
      </c>
      <c r="C482" s="90">
        <v>4</v>
      </c>
      <c r="D482" s="109" t="s">
        <v>341</v>
      </c>
      <c r="E482" s="99" t="s">
        <v>341</v>
      </c>
      <c r="F482" s="100" t="s">
        <v>2078</v>
      </c>
      <c r="G482" s="105" t="s">
        <v>2079</v>
      </c>
    </row>
    <row r="483" spans="1:7" ht="12" x14ac:dyDescent="0.25">
      <c r="A483" s="90" t="s">
        <v>83</v>
      </c>
      <c r="B483" s="90" t="s">
        <v>2750</v>
      </c>
      <c r="C483" s="90">
        <v>4</v>
      </c>
      <c r="D483" s="109" t="s">
        <v>342</v>
      </c>
      <c r="E483" s="99" t="s">
        <v>342</v>
      </c>
      <c r="F483" s="100" t="s">
        <v>2080</v>
      </c>
      <c r="G483" s="105" t="s">
        <v>2081</v>
      </c>
    </row>
    <row r="484" spans="1:7" ht="12" x14ac:dyDescent="0.25">
      <c r="A484" s="90" t="s">
        <v>83</v>
      </c>
      <c r="B484" s="90" t="s">
        <v>2750</v>
      </c>
      <c r="C484" s="90">
        <v>4</v>
      </c>
      <c r="D484" s="109" t="s">
        <v>2082</v>
      </c>
      <c r="E484" s="99" t="s">
        <v>2082</v>
      </c>
      <c r="F484" s="100" t="s">
        <v>2473</v>
      </c>
      <c r="G484" s="105" t="s">
        <v>2529</v>
      </c>
    </row>
    <row r="485" spans="1:7" ht="12" x14ac:dyDescent="0.25">
      <c r="A485" s="90" t="s">
        <v>83</v>
      </c>
      <c r="B485" s="90" t="s">
        <v>2750</v>
      </c>
      <c r="C485" s="90">
        <v>4</v>
      </c>
      <c r="D485" s="109" t="s">
        <v>191</v>
      </c>
      <c r="E485" s="99" t="s">
        <v>191</v>
      </c>
      <c r="F485" s="100" t="s">
        <v>343</v>
      </c>
      <c r="G485" s="105" t="s">
        <v>2090</v>
      </c>
    </row>
    <row r="486" spans="1:7" ht="12" x14ac:dyDescent="0.25">
      <c r="A486" s="90" t="s">
        <v>83</v>
      </c>
      <c r="B486" s="90" t="s">
        <v>2750</v>
      </c>
      <c r="C486" s="90">
        <v>4</v>
      </c>
      <c r="D486" s="109" t="s">
        <v>244</v>
      </c>
      <c r="E486" s="99" t="s">
        <v>244</v>
      </c>
      <c r="F486" s="100" t="s">
        <v>344</v>
      </c>
      <c r="G486" s="105" t="s">
        <v>345</v>
      </c>
    </row>
    <row r="487" spans="1:7" ht="12" x14ac:dyDescent="0.25">
      <c r="A487" s="90" t="s">
        <v>83</v>
      </c>
      <c r="B487" s="90" t="s">
        <v>2750</v>
      </c>
      <c r="C487" s="90">
        <v>4</v>
      </c>
      <c r="D487" s="109" t="s">
        <v>2084</v>
      </c>
      <c r="E487" s="99" t="s">
        <v>2084</v>
      </c>
      <c r="F487" s="100" t="s">
        <v>2474</v>
      </c>
      <c r="G487" s="105" t="s">
        <v>2530</v>
      </c>
    </row>
    <row r="488" spans="1:7" ht="12" x14ac:dyDescent="0.25">
      <c r="A488" s="90" t="s">
        <v>83</v>
      </c>
      <c r="B488" s="90" t="s">
        <v>2750</v>
      </c>
      <c r="C488" s="90">
        <v>4</v>
      </c>
      <c r="D488" s="109" t="s">
        <v>616</v>
      </c>
      <c r="E488" s="99" t="s">
        <v>616</v>
      </c>
      <c r="F488" s="100" t="s">
        <v>2085</v>
      </c>
      <c r="G488" s="105" t="s">
        <v>349</v>
      </c>
    </row>
    <row r="489" spans="1:7" ht="12" x14ac:dyDescent="0.25">
      <c r="A489" s="90" t="s">
        <v>83</v>
      </c>
      <c r="B489" s="90" t="s">
        <v>2750</v>
      </c>
      <c r="C489" s="90">
        <v>4</v>
      </c>
      <c r="D489" s="109" t="s">
        <v>193</v>
      </c>
      <c r="E489" s="99" t="s">
        <v>193</v>
      </c>
      <c r="F489" s="100" t="s">
        <v>350</v>
      </c>
      <c r="G489" s="105" t="s">
        <v>2086</v>
      </c>
    </row>
    <row r="490" spans="1:7" ht="12" x14ac:dyDescent="0.25">
      <c r="A490" s="90" t="s">
        <v>83</v>
      </c>
      <c r="B490" s="90" t="s">
        <v>2750</v>
      </c>
      <c r="C490" s="90">
        <v>4</v>
      </c>
      <c r="D490" s="109" t="s">
        <v>145</v>
      </c>
      <c r="E490" s="99" t="s">
        <v>145</v>
      </c>
      <c r="F490" s="100" t="s">
        <v>351</v>
      </c>
      <c r="G490" s="105" t="s">
        <v>352</v>
      </c>
    </row>
    <row r="491" spans="1:7" ht="360" x14ac:dyDescent="0.25">
      <c r="A491" s="90" t="s">
        <v>83</v>
      </c>
      <c r="B491" s="90" t="s">
        <v>2750</v>
      </c>
      <c r="C491" s="90">
        <v>5</v>
      </c>
      <c r="D491" s="109" t="s">
        <v>3703</v>
      </c>
      <c r="E491" s="99" t="s">
        <v>3703</v>
      </c>
      <c r="F491" s="100" t="s">
        <v>3704</v>
      </c>
      <c r="G491" s="105" t="s">
        <v>3705</v>
      </c>
    </row>
    <row r="492" spans="1:7" ht="12" x14ac:dyDescent="0.25">
      <c r="A492" s="90" t="s">
        <v>83</v>
      </c>
      <c r="B492" s="90" t="s">
        <v>2750</v>
      </c>
      <c r="C492" s="90">
        <v>5</v>
      </c>
      <c r="D492" s="109" t="s">
        <v>75</v>
      </c>
      <c r="E492" s="99" t="s">
        <v>75</v>
      </c>
      <c r="F492" s="100" t="s">
        <v>2022</v>
      </c>
      <c r="G492" s="105" t="s">
        <v>2023</v>
      </c>
    </row>
    <row r="493" spans="1:7" ht="12" x14ac:dyDescent="0.25">
      <c r="A493" s="90" t="s">
        <v>83</v>
      </c>
      <c r="B493" s="90" t="s">
        <v>2750</v>
      </c>
      <c r="C493" s="90">
        <v>5</v>
      </c>
      <c r="D493" s="109" t="s">
        <v>2000</v>
      </c>
      <c r="E493" s="99" t="s">
        <v>2000</v>
      </c>
      <c r="F493" s="100" t="s">
        <v>2452</v>
      </c>
      <c r="G493" s="105" t="s">
        <v>2531</v>
      </c>
    </row>
    <row r="494" spans="1:7" ht="12" x14ac:dyDescent="0.25">
      <c r="A494" s="90" t="s">
        <v>83</v>
      </c>
      <c r="B494" s="90" t="s">
        <v>2750</v>
      </c>
      <c r="C494" s="90">
        <v>5</v>
      </c>
      <c r="D494" s="109" t="s">
        <v>2001</v>
      </c>
      <c r="E494" s="99" t="s">
        <v>2001</v>
      </c>
      <c r="F494" s="100" t="s">
        <v>2475</v>
      </c>
      <c r="G494" s="105" t="s">
        <v>2532</v>
      </c>
    </row>
    <row r="495" spans="1:7" ht="12" x14ac:dyDescent="0.25">
      <c r="A495" s="90" t="s">
        <v>83</v>
      </c>
      <c r="B495" s="90" t="s">
        <v>2750</v>
      </c>
      <c r="C495" s="90">
        <v>5</v>
      </c>
      <c r="D495" s="109" t="s">
        <v>225</v>
      </c>
      <c r="E495" s="99" t="s">
        <v>225</v>
      </c>
      <c r="F495" s="100" t="s">
        <v>335</v>
      </c>
      <c r="G495" s="105" t="s">
        <v>336</v>
      </c>
    </row>
    <row r="496" spans="1:7" ht="12" x14ac:dyDescent="0.25">
      <c r="A496" s="90" t="s">
        <v>83</v>
      </c>
      <c r="B496" s="90" t="s">
        <v>2750</v>
      </c>
      <c r="C496" s="90">
        <v>5</v>
      </c>
      <c r="D496" s="109" t="s">
        <v>74</v>
      </c>
      <c r="E496" s="99" t="s">
        <v>74</v>
      </c>
      <c r="F496" s="100" t="s">
        <v>2028</v>
      </c>
      <c r="G496" s="105" t="s">
        <v>2029</v>
      </c>
    </row>
    <row r="497" spans="1:7" ht="12" x14ac:dyDescent="0.25">
      <c r="A497" s="90" t="s">
        <v>83</v>
      </c>
      <c r="B497" s="90" t="s">
        <v>2750</v>
      </c>
      <c r="C497" s="90">
        <v>5</v>
      </c>
      <c r="D497" s="109" t="s">
        <v>2030</v>
      </c>
      <c r="E497" s="99" t="s">
        <v>2030</v>
      </c>
      <c r="F497" s="100" t="s">
        <v>2467</v>
      </c>
      <c r="G497" s="105" t="s">
        <v>2462</v>
      </c>
    </row>
    <row r="498" spans="1:7" ht="12" x14ac:dyDescent="0.25">
      <c r="A498" s="90" t="s">
        <v>83</v>
      </c>
      <c r="B498" s="90" t="s">
        <v>2750</v>
      </c>
      <c r="C498" s="90">
        <v>5</v>
      </c>
      <c r="D498" s="109" t="s">
        <v>64</v>
      </c>
      <c r="E498" s="99" t="s">
        <v>64</v>
      </c>
      <c r="F498" s="100" t="s">
        <v>2031</v>
      </c>
      <c r="G498" s="105" t="s">
        <v>2087</v>
      </c>
    </row>
    <row r="499" spans="1:7" ht="12" x14ac:dyDescent="0.25">
      <c r="A499" s="90" t="s">
        <v>83</v>
      </c>
      <c r="B499" s="90" t="s">
        <v>2750</v>
      </c>
      <c r="C499" s="90">
        <v>5</v>
      </c>
      <c r="D499" s="109" t="s">
        <v>130</v>
      </c>
      <c r="E499" s="99" t="s">
        <v>130</v>
      </c>
      <c r="F499" s="100" t="s">
        <v>2468</v>
      </c>
      <c r="G499" s="105" t="s">
        <v>2524</v>
      </c>
    </row>
    <row r="500" spans="1:7" ht="12" x14ac:dyDescent="0.25">
      <c r="A500" s="90" t="s">
        <v>83</v>
      </c>
      <c r="B500" s="90" t="s">
        <v>2750</v>
      </c>
      <c r="C500" s="90">
        <v>5</v>
      </c>
      <c r="D500" s="109" t="s">
        <v>226</v>
      </c>
      <c r="E500" s="99" t="s">
        <v>226</v>
      </c>
      <c r="F500" s="100" t="s">
        <v>2088</v>
      </c>
      <c r="G500" s="105" t="s">
        <v>2089</v>
      </c>
    </row>
    <row r="501" spans="1:7" ht="12" x14ac:dyDescent="0.25">
      <c r="A501" s="90" t="s">
        <v>83</v>
      </c>
      <c r="B501" s="90" t="s">
        <v>2750</v>
      </c>
      <c r="C501" s="90">
        <v>5</v>
      </c>
      <c r="D501" s="109" t="s">
        <v>227</v>
      </c>
      <c r="E501" s="99" t="s">
        <v>227</v>
      </c>
      <c r="F501" s="100" t="s">
        <v>2033</v>
      </c>
      <c r="G501" s="105" t="s">
        <v>2034</v>
      </c>
    </row>
    <row r="502" spans="1:7" ht="12" x14ac:dyDescent="0.25">
      <c r="A502" s="90" t="s">
        <v>83</v>
      </c>
      <c r="B502" s="90" t="s">
        <v>2750</v>
      </c>
      <c r="C502" s="90">
        <v>5</v>
      </c>
      <c r="D502" s="109" t="s">
        <v>228</v>
      </c>
      <c r="E502" s="99" t="s">
        <v>228</v>
      </c>
      <c r="F502" s="100" t="s">
        <v>2035</v>
      </c>
      <c r="G502" s="105" t="s">
        <v>2036</v>
      </c>
    </row>
    <row r="503" spans="1:7" ht="12" x14ac:dyDescent="0.25">
      <c r="A503" s="90" t="s">
        <v>83</v>
      </c>
      <c r="B503" s="90" t="s">
        <v>2750</v>
      </c>
      <c r="C503" s="90">
        <v>5</v>
      </c>
      <c r="D503" s="109" t="s">
        <v>229</v>
      </c>
      <c r="E503" s="99" t="s">
        <v>229</v>
      </c>
      <c r="F503" s="100" t="s">
        <v>2037</v>
      </c>
      <c r="G503" s="105" t="s">
        <v>2038</v>
      </c>
    </row>
    <row r="504" spans="1:7" ht="12" x14ac:dyDescent="0.25">
      <c r="A504" s="90" t="s">
        <v>83</v>
      </c>
      <c r="B504" s="90" t="s">
        <v>2750</v>
      </c>
      <c r="C504" s="90">
        <v>5</v>
      </c>
      <c r="D504" s="109" t="s">
        <v>230</v>
      </c>
      <c r="E504" s="99" t="s">
        <v>230</v>
      </c>
      <c r="F504" s="100" t="s">
        <v>2039</v>
      </c>
      <c r="G504" s="105" t="s">
        <v>2040</v>
      </c>
    </row>
    <row r="505" spans="1:7" ht="12" x14ac:dyDescent="0.25">
      <c r="A505" s="90" t="s">
        <v>83</v>
      </c>
      <c r="B505" s="90" t="s">
        <v>2750</v>
      </c>
      <c r="C505" s="90">
        <v>5</v>
      </c>
      <c r="D505" s="109" t="s">
        <v>231</v>
      </c>
      <c r="E505" s="99" t="s">
        <v>231</v>
      </c>
      <c r="F505" s="102" t="s">
        <v>2041</v>
      </c>
      <c r="G505" s="107" t="s">
        <v>2042</v>
      </c>
    </row>
    <row r="506" spans="1:7" ht="12" x14ac:dyDescent="0.25">
      <c r="A506" s="90" t="s">
        <v>83</v>
      </c>
      <c r="B506" s="90" t="s">
        <v>2750</v>
      </c>
      <c r="C506" s="90">
        <v>5</v>
      </c>
      <c r="D506" s="109" t="s">
        <v>2043</v>
      </c>
      <c r="E506" s="99" t="s">
        <v>2043</v>
      </c>
      <c r="F506" s="100" t="s">
        <v>2470</v>
      </c>
      <c r="G506" s="105" t="s">
        <v>2526</v>
      </c>
    </row>
    <row r="507" spans="1:7" ht="12" x14ac:dyDescent="0.25">
      <c r="A507" s="90" t="s">
        <v>83</v>
      </c>
      <c r="B507" s="90" t="s">
        <v>2750</v>
      </c>
      <c r="C507" s="90">
        <v>5</v>
      </c>
      <c r="D507" s="109" t="s">
        <v>130</v>
      </c>
      <c r="E507" s="99" t="s">
        <v>130</v>
      </c>
      <c r="F507" s="100" t="s">
        <v>2468</v>
      </c>
      <c r="G507" s="105" t="s">
        <v>2524</v>
      </c>
    </row>
    <row r="508" spans="1:7" ht="12" x14ac:dyDescent="0.25">
      <c r="A508" s="90" t="s">
        <v>83</v>
      </c>
      <c r="B508" s="90" t="s">
        <v>2750</v>
      </c>
      <c r="C508" s="90">
        <v>5</v>
      </c>
      <c r="D508" s="109" t="s">
        <v>232</v>
      </c>
      <c r="E508" s="99" t="s">
        <v>232</v>
      </c>
      <c r="F508" s="100" t="s">
        <v>2044</v>
      </c>
      <c r="G508" s="105" t="s">
        <v>2045</v>
      </c>
    </row>
    <row r="509" spans="1:7" ht="12" x14ac:dyDescent="0.25">
      <c r="A509" s="90" t="s">
        <v>83</v>
      </c>
      <c r="B509" s="90" t="s">
        <v>2750</v>
      </c>
      <c r="C509" s="90">
        <v>5</v>
      </c>
      <c r="D509" s="109" t="s">
        <v>233</v>
      </c>
      <c r="E509" s="99" t="s">
        <v>233</v>
      </c>
      <c r="F509" s="100" t="s">
        <v>2046</v>
      </c>
      <c r="G509" s="105" t="s">
        <v>2047</v>
      </c>
    </row>
    <row r="510" spans="1:7" ht="12" x14ac:dyDescent="0.25">
      <c r="A510" s="90" t="s">
        <v>83</v>
      </c>
      <c r="B510" s="90" t="s">
        <v>2750</v>
      </c>
      <c r="C510" s="90">
        <v>5</v>
      </c>
      <c r="D510" s="160" t="s">
        <v>234</v>
      </c>
      <c r="E510" s="161" t="s">
        <v>234</v>
      </c>
      <c r="F510" s="162" t="s">
        <v>2048</v>
      </c>
      <c r="G510" s="163" t="s">
        <v>2049</v>
      </c>
    </row>
    <row r="511" spans="1:7" ht="12" x14ac:dyDescent="0.25">
      <c r="A511" s="90" t="s">
        <v>83</v>
      </c>
      <c r="B511" s="90" t="s">
        <v>2750</v>
      </c>
      <c r="C511" s="90">
        <v>5</v>
      </c>
      <c r="D511" s="109" t="s">
        <v>235</v>
      </c>
      <c r="E511" s="99" t="s">
        <v>235</v>
      </c>
      <c r="F511" s="100" t="s">
        <v>2050</v>
      </c>
      <c r="G511" s="105" t="s">
        <v>2051</v>
      </c>
    </row>
    <row r="512" spans="1:7" ht="12" x14ac:dyDescent="0.25">
      <c r="A512" s="90" t="s">
        <v>83</v>
      </c>
      <c r="B512" s="90" t="s">
        <v>2750</v>
      </c>
      <c r="C512" s="90">
        <v>5</v>
      </c>
      <c r="D512" s="109" t="s">
        <v>236</v>
      </c>
      <c r="E512" s="99" t="s">
        <v>236</v>
      </c>
      <c r="F512" s="100" t="s">
        <v>2052</v>
      </c>
      <c r="G512" s="105" t="s">
        <v>2053</v>
      </c>
    </row>
    <row r="513" spans="1:7" ht="12" x14ac:dyDescent="0.25">
      <c r="A513" s="90" t="s">
        <v>83</v>
      </c>
      <c r="B513" s="90" t="s">
        <v>2750</v>
      </c>
      <c r="C513" s="90">
        <v>5</v>
      </c>
      <c r="D513" s="109" t="s">
        <v>237</v>
      </c>
      <c r="E513" s="99" t="s">
        <v>237</v>
      </c>
      <c r="F513" s="100" t="s">
        <v>2054</v>
      </c>
      <c r="G513" s="105" t="s">
        <v>2055</v>
      </c>
    </row>
    <row r="514" spans="1:7" ht="12" x14ac:dyDescent="0.25">
      <c r="A514" s="90" t="s">
        <v>83</v>
      </c>
      <c r="B514" s="90" t="s">
        <v>2750</v>
      </c>
      <c r="C514" s="90">
        <v>5</v>
      </c>
      <c r="D514" s="109" t="s">
        <v>2056</v>
      </c>
      <c r="E514" s="99" t="s">
        <v>2056</v>
      </c>
      <c r="F514" s="100" t="s">
        <v>2471</v>
      </c>
      <c r="G514" s="105" t="s">
        <v>2527</v>
      </c>
    </row>
    <row r="515" spans="1:7" ht="12" x14ac:dyDescent="0.25">
      <c r="A515" s="90" t="s">
        <v>83</v>
      </c>
      <c r="B515" s="90" t="s">
        <v>2750</v>
      </c>
      <c r="C515" s="90">
        <v>5</v>
      </c>
      <c r="D515" s="109" t="s">
        <v>130</v>
      </c>
      <c r="E515" s="99" t="s">
        <v>130</v>
      </c>
      <c r="F515" s="100" t="s">
        <v>2468</v>
      </c>
      <c r="G515" s="105" t="s">
        <v>2524</v>
      </c>
    </row>
    <row r="516" spans="1:7" ht="12" x14ac:dyDescent="0.25">
      <c r="A516" s="90" t="s">
        <v>83</v>
      </c>
      <c r="B516" s="90" t="s">
        <v>2750</v>
      </c>
      <c r="C516" s="90">
        <v>5</v>
      </c>
      <c r="D516" s="109" t="s">
        <v>238</v>
      </c>
      <c r="E516" s="99" t="s">
        <v>238</v>
      </c>
      <c r="F516" s="100" t="s">
        <v>2057</v>
      </c>
      <c r="G516" s="105" t="s">
        <v>2058</v>
      </c>
    </row>
    <row r="517" spans="1:7" ht="12" x14ac:dyDescent="0.25">
      <c r="A517" s="90" t="s">
        <v>83</v>
      </c>
      <c r="B517" s="90" t="s">
        <v>2750</v>
      </c>
      <c r="C517" s="90">
        <v>5</v>
      </c>
      <c r="D517" s="109" t="s">
        <v>239</v>
      </c>
      <c r="E517" s="99" t="s">
        <v>239</v>
      </c>
      <c r="F517" s="100" t="s">
        <v>2059</v>
      </c>
      <c r="G517" s="105" t="s">
        <v>2060</v>
      </c>
    </row>
    <row r="518" spans="1:7" ht="12" x14ac:dyDescent="0.25">
      <c r="A518" s="90" t="s">
        <v>83</v>
      </c>
      <c r="B518" s="90" t="s">
        <v>2750</v>
      </c>
      <c r="C518" s="90">
        <v>5</v>
      </c>
      <c r="D518" s="109" t="s">
        <v>240</v>
      </c>
      <c r="E518" s="99" t="s">
        <v>240</v>
      </c>
      <c r="F518" s="100" t="s">
        <v>2061</v>
      </c>
      <c r="G518" s="105" t="s">
        <v>2062</v>
      </c>
    </row>
    <row r="519" spans="1:7" ht="12" x14ac:dyDescent="0.25">
      <c r="A519" s="90" t="s">
        <v>83</v>
      </c>
      <c r="B519" s="90" t="s">
        <v>2750</v>
      </c>
      <c r="C519" s="90">
        <v>5</v>
      </c>
      <c r="D519" s="109" t="s">
        <v>241</v>
      </c>
      <c r="E519" s="99" t="s">
        <v>241</v>
      </c>
      <c r="F519" s="100" t="s">
        <v>2063</v>
      </c>
      <c r="G519" s="105" t="s">
        <v>2064</v>
      </c>
    </row>
    <row r="520" spans="1:7" ht="12" x14ac:dyDescent="0.25">
      <c r="A520" s="90" t="s">
        <v>83</v>
      </c>
      <c r="B520" s="90" t="s">
        <v>2750</v>
      </c>
      <c r="C520" s="90">
        <v>5</v>
      </c>
      <c r="D520" s="109" t="s">
        <v>242</v>
      </c>
      <c r="E520" s="99" t="s">
        <v>242</v>
      </c>
      <c r="F520" s="100" t="s">
        <v>2065</v>
      </c>
      <c r="G520" s="105" t="s">
        <v>2066</v>
      </c>
    </row>
    <row r="521" spans="1:7" ht="12" x14ac:dyDescent="0.25">
      <c r="A521" s="90" t="s">
        <v>83</v>
      </c>
      <c r="B521" s="90" t="s">
        <v>2750</v>
      </c>
      <c r="C521" s="90">
        <v>5</v>
      </c>
      <c r="D521" s="109" t="s">
        <v>243</v>
      </c>
      <c r="E521" s="99" t="s">
        <v>243</v>
      </c>
      <c r="F521" s="100" t="s">
        <v>2067</v>
      </c>
      <c r="G521" s="105" t="s">
        <v>2068</v>
      </c>
    </row>
    <row r="522" spans="1:7" ht="12" x14ac:dyDescent="0.25">
      <c r="A522" s="90" t="s">
        <v>83</v>
      </c>
      <c r="B522" s="90" t="s">
        <v>2750</v>
      </c>
      <c r="C522" s="90">
        <v>5</v>
      </c>
      <c r="D522" s="109" t="s">
        <v>2069</v>
      </c>
      <c r="E522" s="99" t="s">
        <v>2069</v>
      </c>
      <c r="F522" s="100" t="s">
        <v>2472</v>
      </c>
      <c r="G522" s="105" t="s">
        <v>2528</v>
      </c>
    </row>
    <row r="523" spans="1:7" ht="12" x14ac:dyDescent="0.25">
      <c r="A523" s="90" t="s">
        <v>83</v>
      </c>
      <c r="B523" s="90" t="s">
        <v>2750</v>
      </c>
      <c r="C523" s="90">
        <v>5</v>
      </c>
      <c r="D523" s="109" t="s">
        <v>130</v>
      </c>
      <c r="E523" s="99" t="s">
        <v>130</v>
      </c>
      <c r="F523" s="100" t="s">
        <v>2468</v>
      </c>
      <c r="G523" s="105" t="s">
        <v>2524</v>
      </c>
    </row>
    <row r="524" spans="1:7" ht="12" x14ac:dyDescent="0.25">
      <c r="A524" s="90" t="s">
        <v>83</v>
      </c>
      <c r="B524" s="90" t="s">
        <v>2750</v>
      </c>
      <c r="C524" s="90">
        <v>5</v>
      </c>
      <c r="D524" s="109" t="s">
        <v>337</v>
      </c>
      <c r="E524" s="99" t="s">
        <v>337</v>
      </c>
      <c r="F524" s="100" t="s">
        <v>2070</v>
      </c>
      <c r="G524" s="105" t="s">
        <v>2071</v>
      </c>
    </row>
    <row r="525" spans="1:7" ht="12" x14ac:dyDescent="0.25">
      <c r="A525" s="90" t="s">
        <v>83</v>
      </c>
      <c r="B525" s="90" t="s">
        <v>2750</v>
      </c>
      <c r="C525" s="90">
        <v>5</v>
      </c>
      <c r="D525" s="109" t="s">
        <v>338</v>
      </c>
      <c r="E525" s="99" t="s">
        <v>338</v>
      </c>
      <c r="F525" s="100" t="s">
        <v>2072</v>
      </c>
      <c r="G525" s="105" t="s">
        <v>2073</v>
      </c>
    </row>
    <row r="526" spans="1:7" ht="12" x14ac:dyDescent="0.25">
      <c r="A526" s="90" t="s">
        <v>83</v>
      </c>
      <c r="B526" s="90" t="s">
        <v>2750</v>
      </c>
      <c r="C526" s="90">
        <v>5</v>
      </c>
      <c r="D526" s="109" t="s">
        <v>339</v>
      </c>
      <c r="E526" s="99" t="s">
        <v>339</v>
      </c>
      <c r="F526" s="100" t="s">
        <v>2074</v>
      </c>
      <c r="G526" s="105" t="s">
        <v>2075</v>
      </c>
    </row>
    <row r="527" spans="1:7" ht="12" x14ac:dyDescent="0.25">
      <c r="A527" s="90" t="s">
        <v>83</v>
      </c>
      <c r="B527" s="90" t="s">
        <v>2750</v>
      </c>
      <c r="C527" s="90">
        <v>5</v>
      </c>
      <c r="D527" s="109" t="s">
        <v>340</v>
      </c>
      <c r="E527" s="99" t="s">
        <v>340</v>
      </c>
      <c r="F527" s="100" t="s">
        <v>2076</v>
      </c>
      <c r="G527" s="105" t="s">
        <v>2077</v>
      </c>
    </row>
    <row r="528" spans="1:7" ht="12" x14ac:dyDescent="0.25">
      <c r="A528" s="90" t="s">
        <v>83</v>
      </c>
      <c r="B528" s="90" t="s">
        <v>2750</v>
      </c>
      <c r="C528" s="90">
        <v>5</v>
      </c>
      <c r="D528" s="109" t="s">
        <v>341</v>
      </c>
      <c r="E528" s="99" t="s">
        <v>341</v>
      </c>
      <c r="F528" s="100" t="s">
        <v>2078</v>
      </c>
      <c r="G528" s="105" t="s">
        <v>2079</v>
      </c>
    </row>
    <row r="529" spans="1:7" ht="12" x14ac:dyDescent="0.25">
      <c r="A529" s="90" t="s">
        <v>83</v>
      </c>
      <c r="B529" s="90" t="s">
        <v>2750</v>
      </c>
      <c r="C529" s="90">
        <v>5</v>
      </c>
      <c r="D529" s="109" t="s">
        <v>342</v>
      </c>
      <c r="E529" s="99" t="s">
        <v>342</v>
      </c>
      <c r="F529" s="100" t="s">
        <v>2080</v>
      </c>
      <c r="G529" s="105" t="s">
        <v>2081</v>
      </c>
    </row>
    <row r="530" spans="1:7" ht="12" x14ac:dyDescent="0.25">
      <c r="A530" s="90" t="s">
        <v>83</v>
      </c>
      <c r="B530" s="90" t="s">
        <v>2750</v>
      </c>
      <c r="C530" s="90">
        <v>5</v>
      </c>
      <c r="D530" s="109" t="s">
        <v>2082</v>
      </c>
      <c r="E530" s="99" t="s">
        <v>2082</v>
      </c>
      <c r="F530" s="100" t="s">
        <v>2473</v>
      </c>
      <c r="G530" s="105" t="s">
        <v>2529</v>
      </c>
    </row>
    <row r="531" spans="1:7" ht="12" x14ac:dyDescent="0.25">
      <c r="A531" s="90" t="s">
        <v>83</v>
      </c>
      <c r="B531" s="90" t="s">
        <v>2750</v>
      </c>
      <c r="C531" s="90">
        <v>5</v>
      </c>
      <c r="D531" s="109" t="s">
        <v>191</v>
      </c>
      <c r="E531" s="99" t="s">
        <v>191</v>
      </c>
      <c r="F531" s="100" t="s">
        <v>343</v>
      </c>
      <c r="G531" s="105" t="s">
        <v>2090</v>
      </c>
    </row>
    <row r="532" spans="1:7" ht="12" x14ac:dyDescent="0.25">
      <c r="A532" s="90" t="s">
        <v>83</v>
      </c>
      <c r="B532" s="90" t="s">
        <v>2750</v>
      </c>
      <c r="C532" s="90">
        <v>5</v>
      </c>
      <c r="D532" s="109" t="s">
        <v>244</v>
      </c>
      <c r="E532" s="99" t="s">
        <v>244</v>
      </c>
      <c r="F532" s="100" t="s">
        <v>344</v>
      </c>
      <c r="G532" s="105" t="s">
        <v>345</v>
      </c>
    </row>
    <row r="533" spans="1:7" ht="12" x14ac:dyDescent="0.25">
      <c r="A533" s="90" t="s">
        <v>83</v>
      </c>
      <c r="B533" s="90" t="s">
        <v>2750</v>
      </c>
      <c r="C533" s="90">
        <v>5</v>
      </c>
      <c r="D533" s="109" t="s">
        <v>2084</v>
      </c>
      <c r="E533" s="99" t="s">
        <v>2084</v>
      </c>
      <c r="F533" s="100" t="s">
        <v>2474</v>
      </c>
      <c r="G533" s="105" t="s">
        <v>2530</v>
      </c>
    </row>
    <row r="534" spans="1:7" ht="12" x14ac:dyDescent="0.25">
      <c r="A534" s="90" t="s">
        <v>83</v>
      </c>
      <c r="B534" s="90" t="s">
        <v>2750</v>
      </c>
      <c r="C534" s="90">
        <v>5</v>
      </c>
      <c r="D534" s="109" t="s">
        <v>616</v>
      </c>
      <c r="E534" s="99" t="s">
        <v>616</v>
      </c>
      <c r="F534" s="100" t="s">
        <v>2085</v>
      </c>
      <c r="G534" s="105" t="s">
        <v>349</v>
      </c>
    </row>
    <row r="535" spans="1:7" ht="12" x14ac:dyDescent="0.25">
      <c r="A535" s="90" t="s">
        <v>83</v>
      </c>
      <c r="B535" s="90" t="s">
        <v>2750</v>
      </c>
      <c r="C535" s="90">
        <v>5</v>
      </c>
      <c r="D535" s="109" t="s">
        <v>193</v>
      </c>
      <c r="E535" s="99" t="s">
        <v>193</v>
      </c>
      <c r="F535" s="100" t="s">
        <v>350</v>
      </c>
      <c r="G535" s="105" t="s">
        <v>2086</v>
      </c>
    </row>
    <row r="536" spans="1:7" ht="12" x14ac:dyDescent="0.25">
      <c r="A536" s="90" t="s">
        <v>83</v>
      </c>
      <c r="B536" s="90" t="s">
        <v>2750</v>
      </c>
      <c r="C536" s="90">
        <v>5</v>
      </c>
      <c r="D536" s="109" t="s">
        <v>145</v>
      </c>
      <c r="E536" s="99" t="s">
        <v>145</v>
      </c>
      <c r="F536" s="100" t="s">
        <v>351</v>
      </c>
      <c r="G536" s="105" t="s">
        <v>352</v>
      </c>
    </row>
    <row r="537" spans="1:7" ht="360" x14ac:dyDescent="0.25">
      <c r="A537" s="90" t="s">
        <v>83</v>
      </c>
      <c r="B537" s="90" t="s">
        <v>2750</v>
      </c>
      <c r="C537" s="90">
        <v>6</v>
      </c>
      <c r="D537" s="109" t="s">
        <v>3703</v>
      </c>
      <c r="E537" s="99" t="s">
        <v>3703</v>
      </c>
      <c r="F537" s="100" t="s">
        <v>3704</v>
      </c>
      <c r="G537" s="105" t="s">
        <v>3705</v>
      </c>
    </row>
    <row r="538" spans="1:7" ht="12" x14ac:dyDescent="0.25">
      <c r="A538" s="90" t="s">
        <v>83</v>
      </c>
      <c r="B538" s="90" t="s">
        <v>2750</v>
      </c>
      <c r="C538" s="90">
        <v>6</v>
      </c>
      <c r="D538" s="109" t="s">
        <v>75</v>
      </c>
      <c r="E538" s="99" t="s">
        <v>75</v>
      </c>
      <c r="F538" s="100" t="s">
        <v>2022</v>
      </c>
      <c r="G538" s="105" t="s">
        <v>2023</v>
      </c>
    </row>
    <row r="539" spans="1:7" ht="12" x14ac:dyDescent="0.25">
      <c r="A539" s="90" t="s">
        <v>83</v>
      </c>
      <c r="B539" s="90" t="s">
        <v>2750</v>
      </c>
      <c r="C539" s="90">
        <v>6</v>
      </c>
      <c r="D539" s="109" t="s">
        <v>2000</v>
      </c>
      <c r="E539" s="99" t="s">
        <v>2000</v>
      </c>
      <c r="F539" s="100" t="s">
        <v>2452</v>
      </c>
      <c r="G539" s="105" t="s">
        <v>2531</v>
      </c>
    </row>
    <row r="540" spans="1:7" ht="12" x14ac:dyDescent="0.25">
      <c r="A540" s="90" t="s">
        <v>83</v>
      </c>
      <c r="B540" s="90" t="s">
        <v>2750</v>
      </c>
      <c r="C540" s="90">
        <v>6</v>
      </c>
      <c r="D540" s="109" t="s">
        <v>2001</v>
      </c>
      <c r="E540" s="99" t="s">
        <v>2001</v>
      </c>
      <c r="F540" s="100" t="s">
        <v>2475</v>
      </c>
      <c r="G540" s="105" t="s">
        <v>2532</v>
      </c>
    </row>
    <row r="541" spans="1:7" ht="12" x14ac:dyDescent="0.25">
      <c r="A541" s="90" t="s">
        <v>83</v>
      </c>
      <c r="B541" s="90" t="s">
        <v>2750</v>
      </c>
      <c r="C541" s="90">
        <v>6</v>
      </c>
      <c r="D541" s="109" t="s">
        <v>225</v>
      </c>
      <c r="E541" s="99" t="s">
        <v>225</v>
      </c>
      <c r="F541" s="100" t="s">
        <v>335</v>
      </c>
      <c r="G541" s="105" t="s">
        <v>336</v>
      </c>
    </row>
    <row r="542" spans="1:7" ht="12" x14ac:dyDescent="0.25">
      <c r="A542" s="90" t="s">
        <v>83</v>
      </c>
      <c r="B542" s="90" t="s">
        <v>2750</v>
      </c>
      <c r="C542" s="90">
        <v>6</v>
      </c>
      <c r="D542" s="109" t="s">
        <v>74</v>
      </c>
      <c r="E542" s="99" t="s">
        <v>74</v>
      </c>
      <c r="F542" s="100" t="s">
        <v>2028</v>
      </c>
      <c r="G542" s="105" t="s">
        <v>2029</v>
      </c>
    </row>
    <row r="543" spans="1:7" ht="12" x14ac:dyDescent="0.25">
      <c r="A543" s="90" t="s">
        <v>83</v>
      </c>
      <c r="B543" s="90" t="s">
        <v>2750</v>
      </c>
      <c r="C543" s="90">
        <v>6</v>
      </c>
      <c r="D543" s="109" t="s">
        <v>2030</v>
      </c>
      <c r="E543" s="99" t="s">
        <v>2030</v>
      </c>
      <c r="F543" s="100" t="s">
        <v>2467</v>
      </c>
      <c r="G543" s="105" t="s">
        <v>2462</v>
      </c>
    </row>
    <row r="544" spans="1:7" ht="12" x14ac:dyDescent="0.25">
      <c r="A544" s="90" t="s">
        <v>83</v>
      </c>
      <c r="B544" s="90" t="s">
        <v>2750</v>
      </c>
      <c r="C544" s="90">
        <v>6</v>
      </c>
      <c r="D544" s="109" t="s">
        <v>64</v>
      </c>
      <c r="E544" s="99" t="s">
        <v>64</v>
      </c>
      <c r="F544" s="100" t="s">
        <v>2031</v>
      </c>
      <c r="G544" s="105" t="s">
        <v>2087</v>
      </c>
    </row>
    <row r="545" spans="1:7" ht="12" x14ac:dyDescent="0.25">
      <c r="A545" s="90" t="s">
        <v>83</v>
      </c>
      <c r="B545" s="90" t="s">
        <v>2750</v>
      </c>
      <c r="C545" s="90">
        <v>6</v>
      </c>
      <c r="D545" s="109" t="s">
        <v>130</v>
      </c>
      <c r="E545" s="99" t="s">
        <v>130</v>
      </c>
      <c r="F545" s="100" t="s">
        <v>2468</v>
      </c>
      <c r="G545" s="105" t="s">
        <v>2524</v>
      </c>
    </row>
    <row r="546" spans="1:7" ht="12" x14ac:dyDescent="0.25">
      <c r="A546" s="90" t="s">
        <v>83</v>
      </c>
      <c r="B546" s="90" t="s">
        <v>2750</v>
      </c>
      <c r="C546" s="90">
        <v>6</v>
      </c>
      <c r="D546" s="109" t="s">
        <v>226</v>
      </c>
      <c r="E546" s="99" t="s">
        <v>226</v>
      </c>
      <c r="F546" s="100" t="s">
        <v>2088</v>
      </c>
      <c r="G546" s="105" t="s">
        <v>2089</v>
      </c>
    </row>
    <row r="547" spans="1:7" ht="12" x14ac:dyDescent="0.25">
      <c r="A547" s="90" t="s">
        <v>83</v>
      </c>
      <c r="B547" s="90" t="s">
        <v>2750</v>
      </c>
      <c r="C547" s="90">
        <v>6</v>
      </c>
      <c r="D547" s="109" t="s">
        <v>227</v>
      </c>
      <c r="E547" s="99" t="s">
        <v>227</v>
      </c>
      <c r="F547" s="100" t="s">
        <v>2033</v>
      </c>
      <c r="G547" s="105" t="s">
        <v>2034</v>
      </c>
    </row>
    <row r="548" spans="1:7" ht="12" x14ac:dyDescent="0.25">
      <c r="A548" s="90" t="s">
        <v>83</v>
      </c>
      <c r="B548" s="90" t="s">
        <v>2750</v>
      </c>
      <c r="C548" s="90">
        <v>6</v>
      </c>
      <c r="D548" s="109" t="s">
        <v>228</v>
      </c>
      <c r="E548" s="99" t="s">
        <v>228</v>
      </c>
      <c r="F548" s="100" t="s">
        <v>2035</v>
      </c>
      <c r="G548" s="105" t="s">
        <v>2036</v>
      </c>
    </row>
    <row r="549" spans="1:7" ht="12" x14ac:dyDescent="0.25">
      <c r="A549" s="90" t="s">
        <v>83</v>
      </c>
      <c r="B549" s="90" t="s">
        <v>2750</v>
      </c>
      <c r="C549" s="90">
        <v>6</v>
      </c>
      <c r="D549" s="109" t="s">
        <v>229</v>
      </c>
      <c r="E549" s="99" t="s">
        <v>229</v>
      </c>
      <c r="F549" s="102" t="s">
        <v>2037</v>
      </c>
      <c r="G549" s="107" t="s">
        <v>2038</v>
      </c>
    </row>
    <row r="550" spans="1:7" ht="12" x14ac:dyDescent="0.25">
      <c r="A550" s="90" t="s">
        <v>83</v>
      </c>
      <c r="B550" s="90" t="s">
        <v>2750</v>
      </c>
      <c r="C550" s="90">
        <v>6</v>
      </c>
      <c r="D550" s="109" t="s">
        <v>230</v>
      </c>
      <c r="E550" s="99" t="s">
        <v>230</v>
      </c>
      <c r="F550" s="100" t="s">
        <v>2039</v>
      </c>
      <c r="G550" s="105" t="s">
        <v>2040</v>
      </c>
    </row>
    <row r="551" spans="1:7" ht="12" x14ac:dyDescent="0.25">
      <c r="A551" s="90" t="s">
        <v>83</v>
      </c>
      <c r="B551" s="90" t="s">
        <v>2750</v>
      </c>
      <c r="C551" s="90">
        <v>6</v>
      </c>
      <c r="D551" s="109" t="s">
        <v>231</v>
      </c>
      <c r="E551" s="99" t="s">
        <v>231</v>
      </c>
      <c r="F551" s="100" t="s">
        <v>2041</v>
      </c>
      <c r="G551" s="105" t="s">
        <v>2042</v>
      </c>
    </row>
    <row r="552" spans="1:7" ht="12" x14ac:dyDescent="0.25">
      <c r="A552" s="90" t="s">
        <v>83</v>
      </c>
      <c r="B552" s="90" t="s">
        <v>2750</v>
      </c>
      <c r="C552" s="90">
        <v>6</v>
      </c>
      <c r="D552" s="109" t="s">
        <v>2043</v>
      </c>
      <c r="E552" s="99" t="s">
        <v>2043</v>
      </c>
      <c r="F552" s="100" t="s">
        <v>2470</v>
      </c>
      <c r="G552" s="105" t="s">
        <v>2526</v>
      </c>
    </row>
    <row r="553" spans="1:7" ht="12" x14ac:dyDescent="0.25">
      <c r="A553" s="90" t="s">
        <v>83</v>
      </c>
      <c r="B553" s="90" t="s">
        <v>2750</v>
      </c>
      <c r="C553" s="90">
        <v>6</v>
      </c>
      <c r="D553" s="109" t="s">
        <v>130</v>
      </c>
      <c r="E553" s="99" t="s">
        <v>130</v>
      </c>
      <c r="F553" s="100" t="s">
        <v>2468</v>
      </c>
      <c r="G553" s="105" t="s">
        <v>2524</v>
      </c>
    </row>
    <row r="554" spans="1:7" ht="12" x14ac:dyDescent="0.25">
      <c r="A554" s="90" t="s">
        <v>83</v>
      </c>
      <c r="B554" s="90" t="s">
        <v>2750</v>
      </c>
      <c r="C554" s="90">
        <v>6</v>
      </c>
      <c r="D554" s="160" t="s">
        <v>232</v>
      </c>
      <c r="E554" s="161" t="s">
        <v>232</v>
      </c>
      <c r="F554" s="162" t="s">
        <v>2044</v>
      </c>
      <c r="G554" s="163" t="s">
        <v>2045</v>
      </c>
    </row>
    <row r="555" spans="1:7" ht="12" x14ac:dyDescent="0.25">
      <c r="A555" s="90" t="s">
        <v>83</v>
      </c>
      <c r="B555" s="90" t="s">
        <v>2750</v>
      </c>
      <c r="C555" s="90">
        <v>6</v>
      </c>
      <c r="D555" s="109" t="s">
        <v>233</v>
      </c>
      <c r="E555" s="99" t="s">
        <v>233</v>
      </c>
      <c r="F555" s="100" t="s">
        <v>2046</v>
      </c>
      <c r="G555" s="105" t="s">
        <v>2047</v>
      </c>
    </row>
    <row r="556" spans="1:7" ht="12" x14ac:dyDescent="0.25">
      <c r="A556" s="90" t="s">
        <v>83</v>
      </c>
      <c r="B556" s="90" t="s">
        <v>2750</v>
      </c>
      <c r="C556" s="90">
        <v>6</v>
      </c>
      <c r="D556" s="109" t="s">
        <v>234</v>
      </c>
      <c r="E556" s="99" t="s">
        <v>234</v>
      </c>
      <c r="F556" s="100" t="s">
        <v>2048</v>
      </c>
      <c r="G556" s="105" t="s">
        <v>2049</v>
      </c>
    </row>
    <row r="557" spans="1:7" ht="12" x14ac:dyDescent="0.25">
      <c r="A557" s="90" t="s">
        <v>83</v>
      </c>
      <c r="B557" s="90" t="s">
        <v>2750</v>
      </c>
      <c r="C557" s="90">
        <v>6</v>
      </c>
      <c r="D557" s="109" t="s">
        <v>235</v>
      </c>
      <c r="E557" s="99" t="s">
        <v>235</v>
      </c>
      <c r="F557" s="100" t="s">
        <v>2050</v>
      </c>
      <c r="G557" s="105" t="s">
        <v>2051</v>
      </c>
    </row>
    <row r="558" spans="1:7" ht="12" x14ac:dyDescent="0.25">
      <c r="A558" s="90" t="s">
        <v>83</v>
      </c>
      <c r="B558" s="90" t="s">
        <v>2750</v>
      </c>
      <c r="C558" s="90">
        <v>6</v>
      </c>
      <c r="D558" s="109" t="s">
        <v>236</v>
      </c>
      <c r="E558" s="99" t="s">
        <v>236</v>
      </c>
      <c r="F558" s="100" t="s">
        <v>2052</v>
      </c>
      <c r="G558" s="105" t="s">
        <v>2053</v>
      </c>
    </row>
    <row r="559" spans="1:7" ht="12" x14ac:dyDescent="0.25">
      <c r="A559" s="90" t="s">
        <v>83</v>
      </c>
      <c r="B559" s="90" t="s">
        <v>2750</v>
      </c>
      <c r="C559" s="90">
        <v>6</v>
      </c>
      <c r="D559" s="109" t="s">
        <v>237</v>
      </c>
      <c r="E559" s="99" t="s">
        <v>237</v>
      </c>
      <c r="F559" s="100" t="s">
        <v>2054</v>
      </c>
      <c r="G559" s="105" t="s">
        <v>2055</v>
      </c>
    </row>
    <row r="560" spans="1:7" ht="12" x14ac:dyDescent="0.25">
      <c r="A560" s="90" t="s">
        <v>83</v>
      </c>
      <c r="B560" s="90" t="s">
        <v>2750</v>
      </c>
      <c r="C560" s="90">
        <v>6</v>
      </c>
      <c r="D560" s="109" t="s">
        <v>2056</v>
      </c>
      <c r="E560" s="99" t="s">
        <v>2056</v>
      </c>
      <c r="F560" s="100" t="s">
        <v>2471</v>
      </c>
      <c r="G560" s="105" t="s">
        <v>2527</v>
      </c>
    </row>
    <row r="561" spans="1:7" ht="12" x14ac:dyDescent="0.25">
      <c r="A561" s="90" t="s">
        <v>83</v>
      </c>
      <c r="B561" s="90" t="s">
        <v>2750</v>
      </c>
      <c r="C561" s="90">
        <v>6</v>
      </c>
      <c r="D561" s="109" t="s">
        <v>130</v>
      </c>
      <c r="E561" s="99" t="s">
        <v>130</v>
      </c>
      <c r="F561" s="100" t="s">
        <v>2468</v>
      </c>
      <c r="G561" s="105" t="s">
        <v>2524</v>
      </c>
    </row>
    <row r="562" spans="1:7" ht="12" x14ac:dyDescent="0.25">
      <c r="A562" s="90" t="s">
        <v>83</v>
      </c>
      <c r="B562" s="90" t="s">
        <v>2750</v>
      </c>
      <c r="C562" s="90">
        <v>6</v>
      </c>
      <c r="D562" s="109" t="s">
        <v>238</v>
      </c>
      <c r="E562" s="99" t="s">
        <v>238</v>
      </c>
      <c r="F562" s="100" t="s">
        <v>2057</v>
      </c>
      <c r="G562" s="105" t="s">
        <v>2058</v>
      </c>
    </row>
    <row r="563" spans="1:7" ht="12" x14ac:dyDescent="0.25">
      <c r="A563" s="90" t="s">
        <v>83</v>
      </c>
      <c r="B563" s="90" t="s">
        <v>2750</v>
      </c>
      <c r="C563" s="90">
        <v>6</v>
      </c>
      <c r="D563" s="109" t="s">
        <v>239</v>
      </c>
      <c r="E563" s="99" t="s">
        <v>239</v>
      </c>
      <c r="F563" s="100" t="s">
        <v>2059</v>
      </c>
      <c r="G563" s="105" t="s">
        <v>2060</v>
      </c>
    </row>
    <row r="564" spans="1:7" ht="12" x14ac:dyDescent="0.25">
      <c r="A564" s="90" t="s">
        <v>83</v>
      </c>
      <c r="B564" s="90" t="s">
        <v>2750</v>
      </c>
      <c r="C564" s="90">
        <v>6</v>
      </c>
      <c r="D564" s="109" t="s">
        <v>240</v>
      </c>
      <c r="E564" s="99" t="s">
        <v>240</v>
      </c>
      <c r="F564" s="100" t="s">
        <v>2061</v>
      </c>
      <c r="G564" s="105" t="s">
        <v>2062</v>
      </c>
    </row>
    <row r="565" spans="1:7" ht="12" x14ac:dyDescent="0.25">
      <c r="A565" s="90" t="s">
        <v>83</v>
      </c>
      <c r="B565" s="90" t="s">
        <v>2750</v>
      </c>
      <c r="C565" s="90">
        <v>6</v>
      </c>
      <c r="D565" s="109" t="s">
        <v>241</v>
      </c>
      <c r="E565" s="99" t="s">
        <v>241</v>
      </c>
      <c r="F565" s="100" t="s">
        <v>2063</v>
      </c>
      <c r="G565" s="105" t="s">
        <v>2064</v>
      </c>
    </row>
    <row r="566" spans="1:7" ht="12" x14ac:dyDescent="0.25">
      <c r="A566" s="90" t="s">
        <v>83</v>
      </c>
      <c r="B566" s="90" t="s">
        <v>2750</v>
      </c>
      <c r="C566" s="90">
        <v>6</v>
      </c>
      <c r="D566" s="109" t="s">
        <v>242</v>
      </c>
      <c r="E566" s="99" t="s">
        <v>242</v>
      </c>
      <c r="F566" s="100" t="s">
        <v>2065</v>
      </c>
      <c r="G566" s="105" t="s">
        <v>2066</v>
      </c>
    </row>
    <row r="567" spans="1:7" ht="12" x14ac:dyDescent="0.25">
      <c r="A567" s="90" t="s">
        <v>83</v>
      </c>
      <c r="B567" s="90" t="s">
        <v>2750</v>
      </c>
      <c r="C567" s="90">
        <v>6</v>
      </c>
      <c r="D567" s="109" t="s">
        <v>243</v>
      </c>
      <c r="E567" s="99" t="s">
        <v>243</v>
      </c>
      <c r="F567" s="100" t="s">
        <v>2067</v>
      </c>
      <c r="G567" s="105" t="s">
        <v>2068</v>
      </c>
    </row>
    <row r="568" spans="1:7" ht="12" x14ac:dyDescent="0.25">
      <c r="A568" s="90" t="s">
        <v>83</v>
      </c>
      <c r="B568" s="90" t="s">
        <v>2750</v>
      </c>
      <c r="C568" s="90">
        <v>6</v>
      </c>
      <c r="D568" s="109" t="s">
        <v>2069</v>
      </c>
      <c r="E568" s="99" t="s">
        <v>2069</v>
      </c>
      <c r="F568" s="100" t="s">
        <v>2472</v>
      </c>
      <c r="G568" s="105" t="s">
        <v>2528</v>
      </c>
    </row>
    <row r="569" spans="1:7" ht="12" x14ac:dyDescent="0.25">
      <c r="A569" s="90" t="s">
        <v>83</v>
      </c>
      <c r="B569" s="90" t="s">
        <v>2750</v>
      </c>
      <c r="C569" s="90">
        <v>6</v>
      </c>
      <c r="D569" s="109" t="s">
        <v>130</v>
      </c>
      <c r="E569" s="99" t="s">
        <v>130</v>
      </c>
      <c r="F569" s="100" t="s">
        <v>2468</v>
      </c>
      <c r="G569" s="105" t="s">
        <v>2524</v>
      </c>
    </row>
    <row r="570" spans="1:7" ht="12" x14ac:dyDescent="0.25">
      <c r="A570" s="90" t="s">
        <v>83</v>
      </c>
      <c r="B570" s="90" t="s">
        <v>2750</v>
      </c>
      <c r="C570" s="90">
        <v>6</v>
      </c>
      <c r="D570" s="109" t="s">
        <v>337</v>
      </c>
      <c r="E570" s="99" t="s">
        <v>337</v>
      </c>
      <c r="F570" s="100" t="s">
        <v>2070</v>
      </c>
      <c r="G570" s="105" t="s">
        <v>2071</v>
      </c>
    </row>
    <row r="571" spans="1:7" ht="12" x14ac:dyDescent="0.25">
      <c r="A571" s="90" t="s">
        <v>83</v>
      </c>
      <c r="B571" s="90" t="s">
        <v>2750</v>
      </c>
      <c r="C571" s="90">
        <v>6</v>
      </c>
      <c r="D571" s="109" t="s">
        <v>338</v>
      </c>
      <c r="E571" s="99" t="s">
        <v>338</v>
      </c>
      <c r="F571" s="100" t="s">
        <v>2072</v>
      </c>
      <c r="G571" s="105" t="s">
        <v>2073</v>
      </c>
    </row>
    <row r="572" spans="1:7" ht="12" x14ac:dyDescent="0.25">
      <c r="A572" s="90" t="s">
        <v>83</v>
      </c>
      <c r="B572" s="90" t="s">
        <v>2750</v>
      </c>
      <c r="C572" s="90">
        <v>6</v>
      </c>
      <c r="D572" s="109" t="s">
        <v>339</v>
      </c>
      <c r="E572" s="99" t="s">
        <v>339</v>
      </c>
      <c r="F572" s="100" t="s">
        <v>2074</v>
      </c>
      <c r="G572" s="105" t="s">
        <v>2075</v>
      </c>
    </row>
    <row r="573" spans="1:7" ht="12" x14ac:dyDescent="0.25">
      <c r="A573" s="90" t="s">
        <v>83</v>
      </c>
      <c r="B573" s="90" t="s">
        <v>2750</v>
      </c>
      <c r="C573" s="90">
        <v>6</v>
      </c>
      <c r="D573" s="109" t="s">
        <v>340</v>
      </c>
      <c r="E573" s="99" t="s">
        <v>340</v>
      </c>
      <c r="F573" s="100" t="s">
        <v>2076</v>
      </c>
      <c r="G573" s="105" t="s">
        <v>2077</v>
      </c>
    </row>
    <row r="574" spans="1:7" ht="12" x14ac:dyDescent="0.25">
      <c r="A574" s="90" t="s">
        <v>83</v>
      </c>
      <c r="B574" s="90" t="s">
        <v>2750</v>
      </c>
      <c r="C574" s="90">
        <v>6</v>
      </c>
      <c r="D574" s="109" t="s">
        <v>341</v>
      </c>
      <c r="E574" s="99" t="s">
        <v>341</v>
      </c>
      <c r="F574" s="100" t="s">
        <v>2078</v>
      </c>
      <c r="G574" s="105" t="s">
        <v>2079</v>
      </c>
    </row>
    <row r="575" spans="1:7" ht="12" x14ac:dyDescent="0.25">
      <c r="A575" s="90" t="s">
        <v>83</v>
      </c>
      <c r="B575" s="90" t="s">
        <v>2750</v>
      </c>
      <c r="C575" s="90">
        <v>6</v>
      </c>
      <c r="D575" s="109" t="s">
        <v>342</v>
      </c>
      <c r="E575" s="99" t="s">
        <v>342</v>
      </c>
      <c r="F575" s="100" t="s">
        <v>2080</v>
      </c>
      <c r="G575" s="105" t="s">
        <v>2081</v>
      </c>
    </row>
    <row r="576" spans="1:7" ht="12" x14ac:dyDescent="0.25">
      <c r="A576" s="90" t="s">
        <v>83</v>
      </c>
      <c r="B576" s="90" t="s">
        <v>2750</v>
      </c>
      <c r="C576" s="90">
        <v>6</v>
      </c>
      <c r="D576" s="109" t="s">
        <v>2082</v>
      </c>
      <c r="E576" s="99" t="s">
        <v>2082</v>
      </c>
      <c r="F576" s="100" t="s">
        <v>2473</v>
      </c>
      <c r="G576" s="105" t="s">
        <v>2529</v>
      </c>
    </row>
    <row r="577" spans="1:7" ht="12" x14ac:dyDescent="0.25">
      <c r="A577" s="90" t="s">
        <v>83</v>
      </c>
      <c r="B577" s="90" t="s">
        <v>2750</v>
      </c>
      <c r="C577" s="90">
        <v>6</v>
      </c>
      <c r="D577" s="109" t="s">
        <v>191</v>
      </c>
      <c r="E577" s="99" t="s">
        <v>191</v>
      </c>
      <c r="F577" s="100" t="s">
        <v>343</v>
      </c>
      <c r="G577" s="105" t="s">
        <v>2090</v>
      </c>
    </row>
    <row r="578" spans="1:7" ht="12" x14ac:dyDescent="0.25">
      <c r="A578" s="90" t="s">
        <v>83</v>
      </c>
      <c r="B578" s="90" t="s">
        <v>2750</v>
      </c>
      <c r="C578" s="90">
        <v>6</v>
      </c>
      <c r="D578" s="109" t="s">
        <v>244</v>
      </c>
      <c r="E578" s="99" t="s">
        <v>244</v>
      </c>
      <c r="F578" s="100" t="s">
        <v>344</v>
      </c>
      <c r="G578" s="105" t="s">
        <v>345</v>
      </c>
    </row>
    <row r="579" spans="1:7" ht="12" x14ac:dyDescent="0.25">
      <c r="A579" s="90" t="s">
        <v>83</v>
      </c>
      <c r="B579" s="90" t="s">
        <v>2750</v>
      </c>
      <c r="C579" s="90">
        <v>6</v>
      </c>
      <c r="D579" s="109" t="s">
        <v>2084</v>
      </c>
      <c r="E579" s="99" t="s">
        <v>2084</v>
      </c>
      <c r="F579" s="100" t="s">
        <v>2474</v>
      </c>
      <c r="G579" s="105" t="s">
        <v>2530</v>
      </c>
    </row>
    <row r="580" spans="1:7" ht="12" x14ac:dyDescent="0.25">
      <c r="A580" s="90" t="s">
        <v>83</v>
      </c>
      <c r="B580" s="90" t="s">
        <v>2750</v>
      </c>
      <c r="C580" s="90">
        <v>6</v>
      </c>
      <c r="D580" s="109" t="s">
        <v>616</v>
      </c>
      <c r="E580" s="99" t="s">
        <v>616</v>
      </c>
      <c r="F580" s="100" t="s">
        <v>2085</v>
      </c>
      <c r="G580" s="105" t="s">
        <v>349</v>
      </c>
    </row>
    <row r="581" spans="1:7" ht="12" x14ac:dyDescent="0.25">
      <c r="A581" s="90" t="s">
        <v>83</v>
      </c>
      <c r="B581" s="90" t="s">
        <v>2750</v>
      </c>
      <c r="C581" s="90">
        <v>6</v>
      </c>
      <c r="D581" s="109" t="s">
        <v>193</v>
      </c>
      <c r="E581" s="99" t="s">
        <v>193</v>
      </c>
      <c r="F581" s="100" t="s">
        <v>350</v>
      </c>
      <c r="G581" s="105" t="s">
        <v>2086</v>
      </c>
    </row>
    <row r="582" spans="1:7" ht="12" x14ac:dyDescent="0.25">
      <c r="A582" s="90" t="s">
        <v>83</v>
      </c>
      <c r="B582" s="90" t="s">
        <v>2750</v>
      </c>
      <c r="C582" s="90">
        <v>6</v>
      </c>
      <c r="D582" s="109" t="s">
        <v>145</v>
      </c>
      <c r="E582" s="99" t="s">
        <v>145</v>
      </c>
      <c r="F582" s="100" t="s">
        <v>351</v>
      </c>
      <c r="G582" s="105" t="s">
        <v>352</v>
      </c>
    </row>
    <row r="583" spans="1:7" ht="12" x14ac:dyDescent="0.25">
      <c r="A583" s="90" t="s">
        <v>83</v>
      </c>
      <c r="B583" s="90" t="s">
        <v>2750</v>
      </c>
      <c r="D583" s="109"/>
      <c r="E583" s="99"/>
      <c r="F583" s="100"/>
      <c r="G583" s="105"/>
    </row>
    <row r="584" spans="1:7" ht="361.5" customHeight="1" x14ac:dyDescent="0.25">
      <c r="A584" s="90" t="s">
        <v>39</v>
      </c>
      <c r="B584" s="90" t="s">
        <v>353</v>
      </c>
      <c r="C584" s="90" t="s">
        <v>2005</v>
      </c>
      <c r="D584" s="109" t="s">
        <v>2446</v>
      </c>
      <c r="E584" s="99" t="s">
        <v>2446</v>
      </c>
      <c r="F584" s="100" t="s">
        <v>2639</v>
      </c>
      <c r="G584" s="105" t="s">
        <v>2640</v>
      </c>
    </row>
    <row r="585" spans="1:7" ht="190.5" customHeight="1" x14ac:dyDescent="0.25">
      <c r="A585" s="90" t="s">
        <v>39</v>
      </c>
      <c r="B585" s="90" t="s">
        <v>353</v>
      </c>
      <c r="C585" s="90" t="s">
        <v>2091</v>
      </c>
      <c r="D585" s="109" t="s">
        <v>2447</v>
      </c>
      <c r="E585" s="99" t="s">
        <v>2447</v>
      </c>
      <c r="F585" s="100" t="s">
        <v>2641</v>
      </c>
      <c r="G585" s="105" t="s">
        <v>2642</v>
      </c>
    </row>
    <row r="586" spans="1:7" ht="201.5" customHeight="1" x14ac:dyDescent="0.25">
      <c r="A586" s="90" t="s">
        <v>39</v>
      </c>
      <c r="B586" s="90" t="s">
        <v>353</v>
      </c>
      <c r="C586" s="90" t="s">
        <v>2092</v>
      </c>
      <c r="D586" s="109" t="s">
        <v>2448</v>
      </c>
      <c r="E586" s="99" t="s">
        <v>2448</v>
      </c>
      <c r="F586" s="100" t="s">
        <v>2643</v>
      </c>
      <c r="G586" s="105" t="s">
        <v>2644</v>
      </c>
    </row>
    <row r="587" spans="1:7" ht="156" x14ac:dyDescent="0.25">
      <c r="A587" s="90" t="s">
        <v>39</v>
      </c>
      <c r="B587" s="90" t="s">
        <v>353</v>
      </c>
      <c r="C587" s="90" t="s">
        <v>2093</v>
      </c>
      <c r="D587" s="109" t="s">
        <v>2449</v>
      </c>
      <c r="E587" s="99" t="s">
        <v>2449</v>
      </c>
      <c r="F587" s="100" t="s">
        <v>2645</v>
      </c>
      <c r="G587" s="105" t="s">
        <v>2646</v>
      </c>
    </row>
    <row r="588" spans="1:7" ht="12" x14ac:dyDescent="0.25">
      <c r="A588" s="90" t="s">
        <v>39</v>
      </c>
      <c r="B588" s="90" t="s">
        <v>353</v>
      </c>
      <c r="D588" s="109"/>
      <c r="E588" s="101"/>
      <c r="F588" s="101"/>
      <c r="G588" s="101"/>
    </row>
    <row r="589" spans="1:7" ht="24" x14ac:dyDescent="0.25">
      <c r="A589" s="90" t="s">
        <v>39</v>
      </c>
      <c r="B589" s="90" t="s">
        <v>104</v>
      </c>
      <c r="C589" s="90" t="s">
        <v>334</v>
      </c>
      <c r="D589" s="109" t="s">
        <v>354</v>
      </c>
      <c r="E589" s="99" t="s">
        <v>354</v>
      </c>
      <c r="F589" s="100" t="s">
        <v>2094</v>
      </c>
      <c r="G589" s="105" t="s">
        <v>2019</v>
      </c>
    </row>
    <row r="590" spans="1:7" ht="12" x14ac:dyDescent="0.25">
      <c r="A590" s="90" t="s">
        <v>39</v>
      </c>
      <c r="B590" s="90" t="s">
        <v>104</v>
      </c>
      <c r="C590" s="90" t="s">
        <v>334</v>
      </c>
      <c r="D590" s="109" t="s">
        <v>0</v>
      </c>
      <c r="E590" s="99" t="s">
        <v>0</v>
      </c>
      <c r="F590" s="100" t="s">
        <v>268</v>
      </c>
      <c r="G590" s="105" t="s">
        <v>269</v>
      </c>
    </row>
    <row r="591" spans="1:7" ht="12" x14ac:dyDescent="0.25">
      <c r="A591" s="90" t="s">
        <v>39</v>
      </c>
      <c r="B591" s="90" t="s">
        <v>104</v>
      </c>
      <c r="C591" s="90" t="s">
        <v>334</v>
      </c>
      <c r="D591" s="109" t="s">
        <v>1</v>
      </c>
      <c r="E591" s="99" t="s">
        <v>1</v>
      </c>
      <c r="F591" s="100" t="s">
        <v>315</v>
      </c>
      <c r="G591" s="105" t="s">
        <v>316</v>
      </c>
    </row>
    <row r="592" spans="1:7" ht="12" x14ac:dyDescent="0.25">
      <c r="A592" s="90" t="s">
        <v>39</v>
      </c>
      <c r="B592" s="90" t="s">
        <v>104</v>
      </c>
      <c r="C592" s="90" t="s">
        <v>334</v>
      </c>
      <c r="D592" s="109" t="s">
        <v>2</v>
      </c>
      <c r="E592" s="99" t="s">
        <v>2</v>
      </c>
      <c r="F592" s="100" t="s">
        <v>277</v>
      </c>
      <c r="G592" s="105" t="s">
        <v>278</v>
      </c>
    </row>
    <row r="593" spans="1:7" ht="12" x14ac:dyDescent="0.25">
      <c r="A593" s="90" t="s">
        <v>39</v>
      </c>
      <c r="B593" s="90" t="s">
        <v>104</v>
      </c>
      <c r="C593" s="90" t="s">
        <v>334</v>
      </c>
      <c r="D593" s="109" t="s">
        <v>3</v>
      </c>
      <c r="E593" s="99" t="s">
        <v>3</v>
      </c>
      <c r="F593" s="102" t="s">
        <v>283</v>
      </c>
      <c r="G593" s="107" t="s">
        <v>2020</v>
      </c>
    </row>
    <row r="594" spans="1:7" ht="360" x14ac:dyDescent="0.25">
      <c r="A594" s="90" t="s">
        <v>39</v>
      </c>
      <c r="B594" s="90" t="s">
        <v>104</v>
      </c>
      <c r="C594" s="90">
        <v>1</v>
      </c>
      <c r="D594" s="109" t="s">
        <v>2021</v>
      </c>
      <c r="E594" s="99" t="s">
        <v>2021</v>
      </c>
      <c r="F594" s="102" t="s">
        <v>2450</v>
      </c>
      <c r="G594" s="107" t="s">
        <v>2451</v>
      </c>
    </row>
    <row r="595" spans="1:7" ht="12" x14ac:dyDescent="0.25">
      <c r="A595" s="90" t="s">
        <v>39</v>
      </c>
      <c r="B595" s="90" t="s">
        <v>104</v>
      </c>
      <c r="C595" s="90">
        <v>1</v>
      </c>
      <c r="D595" s="109" t="s">
        <v>75</v>
      </c>
      <c r="E595" s="99" t="s">
        <v>75</v>
      </c>
      <c r="F595" s="102" t="s">
        <v>2022</v>
      </c>
      <c r="G595" s="107" t="s">
        <v>2023</v>
      </c>
    </row>
    <row r="596" spans="1:7" ht="12" x14ac:dyDescent="0.25">
      <c r="A596" s="90" t="s">
        <v>39</v>
      </c>
      <c r="B596" s="90" t="s">
        <v>104</v>
      </c>
      <c r="C596" s="90">
        <v>1</v>
      </c>
      <c r="D596" s="109" t="s">
        <v>76</v>
      </c>
      <c r="E596" s="99" t="s">
        <v>76</v>
      </c>
      <c r="F596" s="100" t="s">
        <v>2024</v>
      </c>
      <c r="G596" s="105" t="s">
        <v>2025</v>
      </c>
    </row>
    <row r="597" spans="1:7" ht="12" x14ac:dyDescent="0.25">
      <c r="A597" s="90" t="s">
        <v>39</v>
      </c>
      <c r="B597" s="90" t="s">
        <v>104</v>
      </c>
      <c r="C597" s="90">
        <v>1</v>
      </c>
      <c r="D597" s="109" t="s">
        <v>8</v>
      </c>
      <c r="E597" s="99" t="s">
        <v>8</v>
      </c>
      <c r="F597" s="100" t="s">
        <v>2026</v>
      </c>
      <c r="G597" s="105" t="s">
        <v>2095</v>
      </c>
    </row>
    <row r="598" spans="1:7" ht="12" x14ac:dyDescent="0.25">
      <c r="A598" s="90" t="s">
        <v>39</v>
      </c>
      <c r="B598" s="90" t="s">
        <v>104</v>
      </c>
      <c r="C598" s="90">
        <v>1</v>
      </c>
      <c r="D598" s="109" t="s">
        <v>225</v>
      </c>
      <c r="E598" s="99" t="s">
        <v>225</v>
      </c>
      <c r="F598" s="100" t="s">
        <v>335</v>
      </c>
      <c r="G598" s="105" t="s">
        <v>336</v>
      </c>
    </row>
    <row r="599" spans="1:7" ht="12" x14ac:dyDescent="0.25">
      <c r="A599" s="90" t="s">
        <v>39</v>
      </c>
      <c r="B599" s="90" t="s">
        <v>104</v>
      </c>
      <c r="C599" s="90">
        <v>1</v>
      </c>
      <c r="D599" s="109" t="s">
        <v>74</v>
      </c>
      <c r="E599" s="99" t="s">
        <v>74</v>
      </c>
      <c r="F599" s="100" t="s">
        <v>2028</v>
      </c>
      <c r="G599" s="105" t="s">
        <v>2029</v>
      </c>
    </row>
    <row r="600" spans="1:7" ht="12" x14ac:dyDescent="0.25">
      <c r="A600" s="90" t="s">
        <v>39</v>
      </c>
      <c r="B600" s="90" t="s">
        <v>104</v>
      </c>
      <c r="C600" s="90">
        <v>1</v>
      </c>
      <c r="D600" s="109" t="s">
        <v>2030</v>
      </c>
      <c r="E600" s="99" t="s">
        <v>2030</v>
      </c>
      <c r="F600" s="102" t="s">
        <v>2467</v>
      </c>
      <c r="G600" s="107" t="s">
        <v>2462</v>
      </c>
    </row>
    <row r="601" spans="1:7" ht="12" x14ac:dyDescent="0.25">
      <c r="A601" s="90" t="s">
        <v>39</v>
      </c>
      <c r="B601" s="90" t="s">
        <v>104</v>
      </c>
      <c r="C601" s="90">
        <v>1</v>
      </c>
      <c r="D601" s="109" t="s">
        <v>64</v>
      </c>
      <c r="E601" s="99" t="s">
        <v>64</v>
      </c>
      <c r="F601" s="100" t="s">
        <v>2031</v>
      </c>
      <c r="G601" s="105" t="s">
        <v>2087</v>
      </c>
    </row>
    <row r="602" spans="1:7" ht="12" x14ac:dyDescent="0.25">
      <c r="A602" s="90" t="s">
        <v>39</v>
      </c>
      <c r="B602" s="90" t="s">
        <v>104</v>
      </c>
      <c r="C602" s="90">
        <v>1</v>
      </c>
      <c r="D602" s="109" t="s">
        <v>130</v>
      </c>
      <c r="E602" s="99" t="s">
        <v>130</v>
      </c>
      <c r="F602" s="100" t="s">
        <v>2468</v>
      </c>
      <c r="G602" s="105" t="s">
        <v>2524</v>
      </c>
    </row>
    <row r="603" spans="1:7" ht="12" x14ac:dyDescent="0.25">
      <c r="A603" s="90" t="s">
        <v>39</v>
      </c>
      <c r="B603" s="90" t="s">
        <v>104</v>
      </c>
      <c r="C603" s="90">
        <v>1</v>
      </c>
      <c r="D603" s="109" t="s">
        <v>226</v>
      </c>
      <c r="E603" s="99" t="s">
        <v>226</v>
      </c>
      <c r="F603" s="100" t="s">
        <v>2088</v>
      </c>
      <c r="G603" s="105" t="s">
        <v>2525</v>
      </c>
    </row>
    <row r="604" spans="1:7" ht="12" x14ac:dyDescent="0.25">
      <c r="A604" s="90" t="s">
        <v>39</v>
      </c>
      <c r="B604" s="90" t="s">
        <v>104</v>
      </c>
      <c r="C604" s="90">
        <v>1</v>
      </c>
      <c r="D604" s="109" t="s">
        <v>227</v>
      </c>
      <c r="E604" s="99" t="s">
        <v>227</v>
      </c>
      <c r="F604" s="100" t="s">
        <v>2033</v>
      </c>
      <c r="G604" s="105" t="s">
        <v>2034</v>
      </c>
    </row>
    <row r="605" spans="1:7" ht="12" x14ac:dyDescent="0.25">
      <c r="A605" s="90" t="s">
        <v>39</v>
      </c>
      <c r="B605" s="90" t="s">
        <v>104</v>
      </c>
      <c r="C605" s="90">
        <v>1</v>
      </c>
      <c r="D605" s="160" t="s">
        <v>228</v>
      </c>
      <c r="E605" s="161" t="s">
        <v>228</v>
      </c>
      <c r="F605" s="162" t="s">
        <v>2035</v>
      </c>
      <c r="G605" s="163" t="s">
        <v>2036</v>
      </c>
    </row>
    <row r="606" spans="1:7" ht="12" x14ac:dyDescent="0.25">
      <c r="A606" s="90" t="s">
        <v>39</v>
      </c>
      <c r="B606" s="90" t="s">
        <v>104</v>
      </c>
      <c r="C606" s="90">
        <v>1</v>
      </c>
      <c r="D606" s="109" t="s">
        <v>229</v>
      </c>
      <c r="E606" s="99" t="s">
        <v>229</v>
      </c>
      <c r="F606" s="100" t="s">
        <v>2037</v>
      </c>
      <c r="G606" s="105" t="s">
        <v>2038</v>
      </c>
    </row>
    <row r="607" spans="1:7" ht="12" x14ac:dyDescent="0.25">
      <c r="A607" s="90" t="s">
        <v>39</v>
      </c>
      <c r="B607" s="90" t="s">
        <v>104</v>
      </c>
      <c r="C607" s="90">
        <v>1</v>
      </c>
      <c r="D607" s="109" t="s">
        <v>230</v>
      </c>
      <c r="E607" s="99" t="s">
        <v>230</v>
      </c>
      <c r="F607" s="100" t="s">
        <v>2039</v>
      </c>
      <c r="G607" s="105" t="s">
        <v>2040</v>
      </c>
    </row>
    <row r="608" spans="1:7" ht="12" x14ac:dyDescent="0.25">
      <c r="A608" s="90" t="s">
        <v>39</v>
      </c>
      <c r="B608" s="90" t="s">
        <v>104</v>
      </c>
      <c r="C608" s="90">
        <v>1</v>
      </c>
      <c r="D608" s="109" t="s">
        <v>231</v>
      </c>
      <c r="E608" s="99" t="s">
        <v>231</v>
      </c>
      <c r="F608" s="100" t="s">
        <v>2041</v>
      </c>
      <c r="G608" s="105" t="s">
        <v>2042</v>
      </c>
    </row>
    <row r="609" spans="1:7" ht="12" x14ac:dyDescent="0.25">
      <c r="A609" s="90" t="s">
        <v>39</v>
      </c>
      <c r="B609" s="90" t="s">
        <v>104</v>
      </c>
      <c r="C609" s="90">
        <v>1</v>
      </c>
      <c r="D609" s="109" t="s">
        <v>2043</v>
      </c>
      <c r="E609" s="99" t="s">
        <v>2043</v>
      </c>
      <c r="F609" s="100" t="s">
        <v>2470</v>
      </c>
      <c r="G609" s="105" t="s">
        <v>2526</v>
      </c>
    </row>
    <row r="610" spans="1:7" ht="12" x14ac:dyDescent="0.25">
      <c r="A610" s="90" t="s">
        <v>39</v>
      </c>
      <c r="B610" s="90" t="s">
        <v>104</v>
      </c>
      <c r="C610" s="90">
        <v>1</v>
      </c>
      <c r="D610" s="109" t="s">
        <v>130</v>
      </c>
      <c r="E610" s="99" t="s">
        <v>130</v>
      </c>
      <c r="F610" s="100" t="s">
        <v>2468</v>
      </c>
      <c r="G610" s="105" t="s">
        <v>2524</v>
      </c>
    </row>
    <row r="611" spans="1:7" ht="12" x14ac:dyDescent="0.25">
      <c r="A611" s="90" t="s">
        <v>39</v>
      </c>
      <c r="B611" s="90" t="s">
        <v>104</v>
      </c>
      <c r="C611" s="90">
        <v>1</v>
      </c>
      <c r="D611" s="109" t="s">
        <v>232</v>
      </c>
      <c r="E611" s="99" t="s">
        <v>232</v>
      </c>
      <c r="F611" s="100" t="s">
        <v>2044</v>
      </c>
      <c r="G611" s="105" t="s">
        <v>2045</v>
      </c>
    </row>
    <row r="612" spans="1:7" ht="12" x14ac:dyDescent="0.25">
      <c r="A612" s="90" t="s">
        <v>39</v>
      </c>
      <c r="B612" s="90" t="s">
        <v>104</v>
      </c>
      <c r="C612" s="90">
        <v>1</v>
      </c>
      <c r="D612" s="109" t="s">
        <v>233</v>
      </c>
      <c r="E612" s="99" t="s">
        <v>233</v>
      </c>
      <c r="F612" s="100" t="s">
        <v>2046</v>
      </c>
      <c r="G612" s="105" t="s">
        <v>2047</v>
      </c>
    </row>
    <row r="613" spans="1:7" ht="12" x14ac:dyDescent="0.25">
      <c r="A613" s="90" t="s">
        <v>39</v>
      </c>
      <c r="B613" s="90" t="s">
        <v>104</v>
      </c>
      <c r="C613" s="90">
        <v>1</v>
      </c>
      <c r="D613" s="109" t="s">
        <v>234</v>
      </c>
      <c r="E613" s="99" t="s">
        <v>234</v>
      </c>
      <c r="F613" s="100" t="s">
        <v>2048</v>
      </c>
      <c r="G613" s="105" t="s">
        <v>2049</v>
      </c>
    </row>
    <row r="614" spans="1:7" ht="12" x14ac:dyDescent="0.25">
      <c r="A614" s="90" t="s">
        <v>39</v>
      </c>
      <c r="B614" s="90" t="s">
        <v>104</v>
      </c>
      <c r="C614" s="90">
        <v>1</v>
      </c>
      <c r="D614" s="109" t="s">
        <v>235</v>
      </c>
      <c r="E614" s="99" t="s">
        <v>235</v>
      </c>
      <c r="F614" s="100" t="s">
        <v>2050</v>
      </c>
      <c r="G614" s="105" t="s">
        <v>2051</v>
      </c>
    </row>
    <row r="615" spans="1:7" ht="12" x14ac:dyDescent="0.25">
      <c r="A615" s="90" t="s">
        <v>39</v>
      </c>
      <c r="B615" s="90" t="s">
        <v>104</v>
      </c>
      <c r="C615" s="90">
        <v>1</v>
      </c>
      <c r="D615" s="109" t="s">
        <v>236</v>
      </c>
      <c r="E615" s="99" t="s">
        <v>236</v>
      </c>
      <c r="F615" s="100" t="s">
        <v>2052</v>
      </c>
      <c r="G615" s="105" t="s">
        <v>2053</v>
      </c>
    </row>
    <row r="616" spans="1:7" ht="12" x14ac:dyDescent="0.25">
      <c r="A616" s="90" t="s">
        <v>39</v>
      </c>
      <c r="B616" s="90" t="s">
        <v>104</v>
      </c>
      <c r="C616" s="90">
        <v>1</v>
      </c>
      <c r="D616" s="109" t="s">
        <v>237</v>
      </c>
      <c r="E616" s="99" t="s">
        <v>237</v>
      </c>
      <c r="F616" s="100" t="s">
        <v>2054</v>
      </c>
      <c r="G616" s="105" t="s">
        <v>2055</v>
      </c>
    </row>
    <row r="617" spans="1:7" ht="12" x14ac:dyDescent="0.25">
      <c r="A617" s="90" t="s">
        <v>39</v>
      </c>
      <c r="B617" s="90" t="s">
        <v>104</v>
      </c>
      <c r="C617" s="90">
        <v>1</v>
      </c>
      <c r="D617" s="109" t="s">
        <v>2056</v>
      </c>
      <c r="E617" s="99" t="s">
        <v>2056</v>
      </c>
      <c r="F617" s="100" t="s">
        <v>2471</v>
      </c>
      <c r="G617" s="105" t="s">
        <v>2527</v>
      </c>
    </row>
    <row r="618" spans="1:7" ht="12" x14ac:dyDescent="0.25">
      <c r="A618" s="90" t="s">
        <v>39</v>
      </c>
      <c r="B618" s="90" t="s">
        <v>104</v>
      </c>
      <c r="C618" s="90">
        <v>1</v>
      </c>
      <c r="D618" s="109" t="s">
        <v>130</v>
      </c>
      <c r="E618" s="99" t="s">
        <v>130</v>
      </c>
      <c r="F618" s="100" t="s">
        <v>2468</v>
      </c>
      <c r="G618" s="105" t="s">
        <v>2524</v>
      </c>
    </row>
    <row r="619" spans="1:7" ht="12" x14ac:dyDescent="0.25">
      <c r="A619" s="90" t="s">
        <v>39</v>
      </c>
      <c r="B619" s="90" t="s">
        <v>104</v>
      </c>
      <c r="C619" s="90">
        <v>1</v>
      </c>
      <c r="D619" s="109" t="s">
        <v>238</v>
      </c>
      <c r="E619" s="99" t="s">
        <v>238</v>
      </c>
      <c r="F619" s="100" t="s">
        <v>2057</v>
      </c>
      <c r="G619" s="105" t="s">
        <v>2058</v>
      </c>
    </row>
    <row r="620" spans="1:7" ht="12" x14ac:dyDescent="0.25">
      <c r="A620" s="90" t="s">
        <v>39</v>
      </c>
      <c r="B620" s="90" t="s">
        <v>104</v>
      </c>
      <c r="C620" s="90">
        <v>1</v>
      </c>
      <c r="D620" s="109" t="s">
        <v>239</v>
      </c>
      <c r="E620" s="99" t="s">
        <v>239</v>
      </c>
      <c r="F620" s="100" t="s">
        <v>2059</v>
      </c>
      <c r="G620" s="105" t="s">
        <v>2060</v>
      </c>
    </row>
    <row r="621" spans="1:7" ht="12" x14ac:dyDescent="0.25">
      <c r="A621" s="90" t="s">
        <v>39</v>
      </c>
      <c r="B621" s="90" t="s">
        <v>104</v>
      </c>
      <c r="C621" s="90">
        <v>1</v>
      </c>
      <c r="D621" s="109" t="s">
        <v>240</v>
      </c>
      <c r="E621" s="99" t="s">
        <v>240</v>
      </c>
      <c r="F621" s="100" t="s">
        <v>2061</v>
      </c>
      <c r="G621" s="105" t="s">
        <v>2062</v>
      </c>
    </row>
    <row r="622" spans="1:7" ht="12" x14ac:dyDescent="0.25">
      <c r="A622" s="90" t="s">
        <v>39</v>
      </c>
      <c r="B622" s="90" t="s">
        <v>104</v>
      </c>
      <c r="C622" s="90">
        <v>1</v>
      </c>
      <c r="D622" s="109" t="s">
        <v>241</v>
      </c>
      <c r="E622" s="99" t="s">
        <v>241</v>
      </c>
      <c r="F622" s="100" t="s">
        <v>2063</v>
      </c>
      <c r="G622" s="105" t="s">
        <v>2064</v>
      </c>
    </row>
    <row r="623" spans="1:7" ht="12" x14ac:dyDescent="0.25">
      <c r="A623" s="90" t="s">
        <v>39</v>
      </c>
      <c r="B623" s="90" t="s">
        <v>104</v>
      </c>
      <c r="C623" s="90">
        <v>1</v>
      </c>
      <c r="D623" s="109" t="s">
        <v>242</v>
      </c>
      <c r="E623" s="99" t="s">
        <v>242</v>
      </c>
      <c r="F623" s="100" t="s">
        <v>2065</v>
      </c>
      <c r="G623" s="105" t="s">
        <v>2066</v>
      </c>
    </row>
    <row r="624" spans="1:7" ht="12" x14ac:dyDescent="0.25">
      <c r="A624" s="90" t="s">
        <v>39</v>
      </c>
      <c r="B624" s="90" t="s">
        <v>104</v>
      </c>
      <c r="C624" s="90">
        <v>1</v>
      </c>
      <c r="D624" s="109" t="s">
        <v>243</v>
      </c>
      <c r="E624" s="99" t="s">
        <v>243</v>
      </c>
      <c r="F624" s="100" t="s">
        <v>2067</v>
      </c>
      <c r="G624" s="105" t="s">
        <v>2068</v>
      </c>
    </row>
    <row r="625" spans="1:7" ht="12" x14ac:dyDescent="0.25">
      <c r="A625" s="90" t="s">
        <v>39</v>
      </c>
      <c r="B625" s="90" t="s">
        <v>104</v>
      </c>
      <c r="C625" s="90">
        <v>1</v>
      </c>
      <c r="D625" s="109" t="s">
        <v>2069</v>
      </c>
      <c r="E625" s="99" t="s">
        <v>2069</v>
      </c>
      <c r="F625" s="100" t="s">
        <v>2472</v>
      </c>
      <c r="G625" s="105" t="s">
        <v>2528</v>
      </c>
    </row>
    <row r="626" spans="1:7" ht="12" x14ac:dyDescent="0.25">
      <c r="A626" s="90" t="s">
        <v>39</v>
      </c>
      <c r="B626" s="90" t="s">
        <v>104</v>
      </c>
      <c r="C626" s="90">
        <v>1</v>
      </c>
      <c r="D626" s="109" t="s">
        <v>130</v>
      </c>
      <c r="E626" s="99" t="s">
        <v>130</v>
      </c>
      <c r="F626" s="100" t="s">
        <v>2468</v>
      </c>
      <c r="G626" s="105" t="s">
        <v>2524</v>
      </c>
    </row>
    <row r="627" spans="1:7" ht="12" x14ac:dyDescent="0.25">
      <c r="A627" s="90" t="s">
        <v>39</v>
      </c>
      <c r="B627" s="90" t="s">
        <v>104</v>
      </c>
      <c r="C627" s="90">
        <v>1</v>
      </c>
      <c r="D627" s="109" t="s">
        <v>337</v>
      </c>
      <c r="E627" s="99" t="s">
        <v>337</v>
      </c>
      <c r="F627" s="100" t="s">
        <v>2070</v>
      </c>
      <c r="G627" s="105" t="s">
        <v>2071</v>
      </c>
    </row>
    <row r="628" spans="1:7" ht="12" x14ac:dyDescent="0.25">
      <c r="A628" s="90" t="s">
        <v>39</v>
      </c>
      <c r="B628" s="90" t="s">
        <v>104</v>
      </c>
      <c r="C628" s="90">
        <v>1</v>
      </c>
      <c r="D628" s="109" t="s">
        <v>338</v>
      </c>
      <c r="E628" s="99" t="s">
        <v>338</v>
      </c>
      <c r="F628" s="100" t="s">
        <v>2072</v>
      </c>
      <c r="G628" s="105" t="s">
        <v>2073</v>
      </c>
    </row>
    <row r="629" spans="1:7" ht="12" x14ac:dyDescent="0.25">
      <c r="A629" s="90" t="s">
        <v>39</v>
      </c>
      <c r="B629" s="90" t="s">
        <v>104</v>
      </c>
      <c r="C629" s="90">
        <v>1</v>
      </c>
      <c r="D629" s="109" t="s">
        <v>339</v>
      </c>
      <c r="E629" s="99" t="s">
        <v>339</v>
      </c>
      <c r="F629" s="100" t="s">
        <v>2074</v>
      </c>
      <c r="G629" s="105" t="s">
        <v>2075</v>
      </c>
    </row>
    <row r="630" spans="1:7" ht="12" x14ac:dyDescent="0.25">
      <c r="A630" s="90" t="s">
        <v>39</v>
      </c>
      <c r="B630" s="90" t="s">
        <v>104</v>
      </c>
      <c r="C630" s="90">
        <v>1</v>
      </c>
      <c r="D630" s="109" t="s">
        <v>340</v>
      </c>
      <c r="E630" s="99" t="s">
        <v>340</v>
      </c>
      <c r="F630" s="100" t="s">
        <v>2076</v>
      </c>
      <c r="G630" s="105" t="s">
        <v>2077</v>
      </c>
    </row>
    <row r="631" spans="1:7" ht="12" x14ac:dyDescent="0.25">
      <c r="A631" s="90" t="s">
        <v>39</v>
      </c>
      <c r="B631" s="90" t="s">
        <v>104</v>
      </c>
      <c r="C631" s="90">
        <v>1</v>
      </c>
      <c r="D631" s="109" t="s">
        <v>341</v>
      </c>
      <c r="E631" s="99" t="s">
        <v>341</v>
      </c>
      <c r="F631" s="100" t="s">
        <v>2078</v>
      </c>
      <c r="G631" s="105" t="s">
        <v>2079</v>
      </c>
    </row>
    <row r="632" spans="1:7" ht="12" x14ac:dyDescent="0.25">
      <c r="A632" s="90" t="s">
        <v>39</v>
      </c>
      <c r="B632" s="90" t="s">
        <v>104</v>
      </c>
      <c r="C632" s="90">
        <v>1</v>
      </c>
      <c r="D632" s="109" t="s">
        <v>342</v>
      </c>
      <c r="E632" s="99" t="s">
        <v>342</v>
      </c>
      <c r="F632" s="100" t="s">
        <v>2080</v>
      </c>
      <c r="G632" s="105" t="s">
        <v>2081</v>
      </c>
    </row>
    <row r="633" spans="1:7" ht="12" x14ac:dyDescent="0.25">
      <c r="A633" s="90" t="s">
        <v>39</v>
      </c>
      <c r="B633" s="90" t="s">
        <v>104</v>
      </c>
      <c r="C633" s="90">
        <v>1</v>
      </c>
      <c r="D633" s="109" t="s">
        <v>2082</v>
      </c>
      <c r="E633" s="99" t="s">
        <v>2082</v>
      </c>
      <c r="F633" s="100" t="s">
        <v>2473</v>
      </c>
      <c r="G633" s="105" t="s">
        <v>2529</v>
      </c>
    </row>
    <row r="634" spans="1:7" ht="12" x14ac:dyDescent="0.25">
      <c r="A634" s="90" t="s">
        <v>39</v>
      </c>
      <c r="B634" s="90" t="s">
        <v>104</v>
      </c>
      <c r="C634" s="90">
        <v>1</v>
      </c>
      <c r="D634" s="109" t="s">
        <v>191</v>
      </c>
      <c r="E634" s="99" t="s">
        <v>191</v>
      </c>
      <c r="F634" s="100" t="s">
        <v>343</v>
      </c>
      <c r="G634" s="105" t="s">
        <v>2083</v>
      </c>
    </row>
    <row r="635" spans="1:7" ht="12" x14ac:dyDescent="0.25">
      <c r="A635" s="90" t="s">
        <v>39</v>
      </c>
      <c r="B635" s="90" t="s">
        <v>104</v>
      </c>
      <c r="C635" s="90">
        <v>1</v>
      </c>
      <c r="D635" s="109" t="s">
        <v>244</v>
      </c>
      <c r="E635" s="99" t="s">
        <v>244</v>
      </c>
      <c r="F635" s="100" t="s">
        <v>344</v>
      </c>
      <c r="G635" s="105" t="s">
        <v>345</v>
      </c>
    </row>
    <row r="636" spans="1:7" ht="12" x14ac:dyDescent="0.25">
      <c r="A636" s="90" t="s">
        <v>39</v>
      </c>
      <c r="B636" s="90" t="s">
        <v>104</v>
      </c>
      <c r="C636" s="90">
        <v>1</v>
      </c>
      <c r="D636" s="109" t="s">
        <v>2084</v>
      </c>
      <c r="E636" s="99" t="s">
        <v>2084</v>
      </c>
      <c r="F636" s="100" t="s">
        <v>2474</v>
      </c>
      <c r="G636" s="105" t="s">
        <v>2530</v>
      </c>
    </row>
    <row r="637" spans="1:7" ht="12" x14ac:dyDescent="0.25">
      <c r="A637" s="90" t="s">
        <v>39</v>
      </c>
      <c r="B637" s="90" t="s">
        <v>104</v>
      </c>
      <c r="C637" s="90">
        <v>1</v>
      </c>
      <c r="D637" s="109" t="s">
        <v>211</v>
      </c>
      <c r="E637" s="99" t="s">
        <v>211</v>
      </c>
      <c r="F637" s="100" t="s">
        <v>2085</v>
      </c>
      <c r="G637" s="105" t="s">
        <v>349</v>
      </c>
    </row>
    <row r="638" spans="1:7" ht="12" x14ac:dyDescent="0.25">
      <c r="A638" s="90" t="s">
        <v>39</v>
      </c>
      <c r="B638" s="90" t="s">
        <v>104</v>
      </c>
      <c r="C638" s="90">
        <v>1</v>
      </c>
      <c r="D638" s="109" t="s">
        <v>193</v>
      </c>
      <c r="E638" s="99" t="s">
        <v>193</v>
      </c>
      <c r="F638" s="100" t="s">
        <v>350</v>
      </c>
      <c r="G638" s="105" t="s">
        <v>2086</v>
      </c>
    </row>
    <row r="639" spans="1:7" ht="12" x14ac:dyDescent="0.25">
      <c r="A639" s="90" t="s">
        <v>39</v>
      </c>
      <c r="B639" s="90" t="s">
        <v>104</v>
      </c>
      <c r="C639" s="90">
        <v>1</v>
      </c>
      <c r="D639" s="109" t="s">
        <v>145</v>
      </c>
      <c r="E639" s="99" t="s">
        <v>145</v>
      </c>
      <c r="F639" s="100" t="s">
        <v>351</v>
      </c>
      <c r="G639" s="105" t="s">
        <v>352</v>
      </c>
    </row>
    <row r="640" spans="1:7" ht="360" x14ac:dyDescent="0.25">
      <c r="A640" s="90" t="s">
        <v>39</v>
      </c>
      <c r="B640" s="90" t="s">
        <v>104</v>
      </c>
      <c r="C640" s="90">
        <v>2</v>
      </c>
      <c r="D640" s="109" t="s">
        <v>2021</v>
      </c>
      <c r="E640" s="99" t="s">
        <v>2021</v>
      </c>
      <c r="F640" s="100" t="s">
        <v>2450</v>
      </c>
      <c r="G640" s="105" t="s">
        <v>2451</v>
      </c>
    </row>
    <row r="641" spans="1:7" ht="12" x14ac:dyDescent="0.25">
      <c r="A641" s="90" t="s">
        <v>39</v>
      </c>
      <c r="B641" s="90" t="s">
        <v>104</v>
      </c>
      <c r="C641" s="90">
        <v>2</v>
      </c>
      <c r="D641" s="109" t="s">
        <v>75</v>
      </c>
      <c r="E641" s="99" t="s">
        <v>75</v>
      </c>
      <c r="F641" s="100" t="s">
        <v>2022</v>
      </c>
      <c r="G641" s="105" t="s">
        <v>2023</v>
      </c>
    </row>
    <row r="642" spans="1:7" ht="12" x14ac:dyDescent="0.25">
      <c r="A642" s="90" t="s">
        <v>39</v>
      </c>
      <c r="B642" s="90" t="s">
        <v>104</v>
      </c>
      <c r="C642" s="90">
        <v>2</v>
      </c>
      <c r="D642" s="109" t="s">
        <v>76</v>
      </c>
      <c r="E642" s="99" t="s">
        <v>76</v>
      </c>
      <c r="F642" s="100" t="s">
        <v>2024</v>
      </c>
      <c r="G642" s="105" t="s">
        <v>2025</v>
      </c>
    </row>
    <row r="643" spans="1:7" ht="12" x14ac:dyDescent="0.25">
      <c r="A643" s="90" t="s">
        <v>39</v>
      </c>
      <c r="B643" s="90" t="s">
        <v>104</v>
      </c>
      <c r="C643" s="90">
        <v>2</v>
      </c>
      <c r="D643" s="109" t="s">
        <v>8</v>
      </c>
      <c r="E643" s="99" t="s">
        <v>8</v>
      </c>
      <c r="F643" s="100" t="s">
        <v>2026</v>
      </c>
      <c r="G643" s="105" t="s">
        <v>2027</v>
      </c>
    </row>
    <row r="644" spans="1:7" ht="12" x14ac:dyDescent="0.25">
      <c r="A644" s="90" t="s">
        <v>39</v>
      </c>
      <c r="B644" s="90" t="s">
        <v>104</v>
      </c>
      <c r="C644" s="90">
        <v>2</v>
      </c>
      <c r="D644" s="109" t="s">
        <v>225</v>
      </c>
      <c r="E644" s="99" t="s">
        <v>225</v>
      </c>
      <c r="F644" s="102" t="s">
        <v>335</v>
      </c>
      <c r="G644" s="107" t="s">
        <v>336</v>
      </c>
    </row>
    <row r="645" spans="1:7" ht="12" x14ac:dyDescent="0.25">
      <c r="A645" s="90" t="s">
        <v>39</v>
      </c>
      <c r="B645" s="90" t="s">
        <v>104</v>
      </c>
      <c r="C645" s="90">
        <v>2</v>
      </c>
      <c r="D645" s="109" t="s">
        <v>74</v>
      </c>
      <c r="E645" s="99" t="s">
        <v>74</v>
      </c>
      <c r="F645" s="100" t="s">
        <v>2028</v>
      </c>
      <c r="G645" s="105" t="s">
        <v>327</v>
      </c>
    </row>
    <row r="646" spans="1:7" ht="12" x14ac:dyDescent="0.25">
      <c r="A646" s="90" t="s">
        <v>39</v>
      </c>
      <c r="B646" s="90" t="s">
        <v>104</v>
      </c>
      <c r="C646" s="90">
        <v>2</v>
      </c>
      <c r="D646" s="109" t="s">
        <v>2030</v>
      </c>
      <c r="E646" s="99" t="s">
        <v>2030</v>
      </c>
      <c r="F646" s="100" t="s">
        <v>2467</v>
      </c>
      <c r="G646" s="105" t="s">
        <v>2462</v>
      </c>
    </row>
    <row r="647" spans="1:7" ht="12" x14ac:dyDescent="0.25">
      <c r="A647" s="90" t="s">
        <v>39</v>
      </c>
      <c r="B647" s="90" t="s">
        <v>104</v>
      </c>
      <c r="C647" s="90">
        <v>2</v>
      </c>
      <c r="D647" s="109" t="s">
        <v>64</v>
      </c>
      <c r="E647" s="99" t="s">
        <v>64</v>
      </c>
      <c r="F647" s="100" t="s">
        <v>2031</v>
      </c>
      <c r="G647" s="105" t="s">
        <v>2087</v>
      </c>
    </row>
    <row r="648" spans="1:7" ht="12" x14ac:dyDescent="0.25">
      <c r="A648" s="90" t="s">
        <v>39</v>
      </c>
      <c r="B648" s="90" t="s">
        <v>104</v>
      </c>
      <c r="C648" s="90">
        <v>2</v>
      </c>
      <c r="D648" s="109" t="s">
        <v>130</v>
      </c>
      <c r="E648" s="99" t="s">
        <v>130</v>
      </c>
      <c r="F648" s="100" t="s">
        <v>2468</v>
      </c>
      <c r="G648" s="105" t="s">
        <v>2524</v>
      </c>
    </row>
    <row r="649" spans="1:7" ht="12" x14ac:dyDescent="0.25">
      <c r="A649" s="90" t="s">
        <v>39</v>
      </c>
      <c r="B649" s="90" t="s">
        <v>104</v>
      </c>
      <c r="C649" s="90">
        <v>2</v>
      </c>
      <c r="D649" s="160" t="s">
        <v>226</v>
      </c>
      <c r="E649" s="161" t="s">
        <v>226</v>
      </c>
      <c r="F649" s="162" t="s">
        <v>2088</v>
      </c>
      <c r="G649" s="163" t="s">
        <v>2525</v>
      </c>
    </row>
    <row r="650" spans="1:7" ht="12" x14ac:dyDescent="0.25">
      <c r="A650" s="90" t="s">
        <v>39</v>
      </c>
      <c r="B650" s="90" t="s">
        <v>104</v>
      </c>
      <c r="C650" s="90">
        <v>2</v>
      </c>
      <c r="D650" s="109" t="s">
        <v>227</v>
      </c>
      <c r="E650" s="99" t="s">
        <v>227</v>
      </c>
      <c r="F650" s="100" t="s">
        <v>2033</v>
      </c>
      <c r="G650" s="105" t="s">
        <v>2034</v>
      </c>
    </row>
    <row r="651" spans="1:7" ht="12" x14ac:dyDescent="0.25">
      <c r="A651" s="90" t="s">
        <v>39</v>
      </c>
      <c r="B651" s="90" t="s">
        <v>104</v>
      </c>
      <c r="C651" s="90">
        <v>2</v>
      </c>
      <c r="D651" s="109" t="s">
        <v>228</v>
      </c>
      <c r="E651" s="99" t="s">
        <v>228</v>
      </c>
      <c r="F651" s="100" t="s">
        <v>2035</v>
      </c>
      <c r="G651" s="105" t="s">
        <v>2036</v>
      </c>
    </row>
    <row r="652" spans="1:7" ht="12" x14ac:dyDescent="0.25">
      <c r="A652" s="90" t="s">
        <v>39</v>
      </c>
      <c r="B652" s="90" t="s">
        <v>104</v>
      </c>
      <c r="C652" s="90">
        <v>2</v>
      </c>
      <c r="D652" s="109" t="s">
        <v>229</v>
      </c>
      <c r="E652" s="99" t="s">
        <v>229</v>
      </c>
      <c r="F652" s="100" t="s">
        <v>2037</v>
      </c>
      <c r="G652" s="105" t="s">
        <v>2038</v>
      </c>
    </row>
    <row r="653" spans="1:7" ht="12" x14ac:dyDescent="0.25">
      <c r="A653" s="90" t="s">
        <v>39</v>
      </c>
      <c r="B653" s="90" t="s">
        <v>104</v>
      </c>
      <c r="C653" s="90">
        <v>2</v>
      </c>
      <c r="D653" s="109" t="s">
        <v>230</v>
      </c>
      <c r="E653" s="99" t="s">
        <v>230</v>
      </c>
      <c r="F653" s="100" t="s">
        <v>2039</v>
      </c>
      <c r="G653" s="105" t="s">
        <v>2040</v>
      </c>
    </row>
    <row r="654" spans="1:7" ht="12" x14ac:dyDescent="0.25">
      <c r="A654" s="90" t="s">
        <v>39</v>
      </c>
      <c r="B654" s="90" t="s">
        <v>104</v>
      </c>
      <c r="C654" s="90">
        <v>2</v>
      </c>
      <c r="D654" s="109" t="s">
        <v>231</v>
      </c>
      <c r="E654" s="99" t="s">
        <v>231</v>
      </c>
      <c r="F654" s="100" t="s">
        <v>2041</v>
      </c>
      <c r="G654" s="105" t="s">
        <v>2042</v>
      </c>
    </row>
    <row r="655" spans="1:7" ht="12" x14ac:dyDescent="0.25">
      <c r="A655" s="90" t="s">
        <v>39</v>
      </c>
      <c r="B655" s="90" t="s">
        <v>104</v>
      </c>
      <c r="C655" s="90">
        <v>2</v>
      </c>
      <c r="D655" s="109" t="s">
        <v>2043</v>
      </c>
      <c r="E655" s="99" t="s">
        <v>2043</v>
      </c>
      <c r="F655" s="100" t="s">
        <v>2470</v>
      </c>
      <c r="G655" s="105" t="s">
        <v>2526</v>
      </c>
    </row>
    <row r="656" spans="1:7" ht="12" x14ac:dyDescent="0.25">
      <c r="A656" s="90" t="s">
        <v>39</v>
      </c>
      <c r="B656" s="90" t="s">
        <v>104</v>
      </c>
      <c r="C656" s="90">
        <v>2</v>
      </c>
      <c r="D656" s="109" t="s">
        <v>130</v>
      </c>
      <c r="E656" s="99" t="s">
        <v>130</v>
      </c>
      <c r="F656" s="100" t="s">
        <v>2468</v>
      </c>
      <c r="G656" s="105" t="s">
        <v>2524</v>
      </c>
    </row>
    <row r="657" spans="1:7" ht="12" x14ac:dyDescent="0.25">
      <c r="A657" s="90" t="s">
        <v>39</v>
      </c>
      <c r="B657" s="90" t="s">
        <v>104</v>
      </c>
      <c r="C657" s="90">
        <v>2</v>
      </c>
      <c r="D657" s="109" t="s">
        <v>232</v>
      </c>
      <c r="E657" s="99" t="s">
        <v>232</v>
      </c>
      <c r="F657" s="100" t="s">
        <v>2044</v>
      </c>
      <c r="G657" s="105" t="s">
        <v>2045</v>
      </c>
    </row>
    <row r="658" spans="1:7" ht="12" x14ac:dyDescent="0.25">
      <c r="A658" s="90" t="s">
        <v>39</v>
      </c>
      <c r="B658" s="90" t="s">
        <v>104</v>
      </c>
      <c r="C658" s="90">
        <v>2</v>
      </c>
      <c r="D658" s="109" t="s">
        <v>233</v>
      </c>
      <c r="E658" s="99" t="s">
        <v>233</v>
      </c>
      <c r="F658" s="100" t="s">
        <v>2046</v>
      </c>
      <c r="G658" s="105" t="s">
        <v>2047</v>
      </c>
    </row>
    <row r="659" spans="1:7" ht="12" x14ac:dyDescent="0.25">
      <c r="A659" s="90" t="s">
        <v>39</v>
      </c>
      <c r="B659" s="90" t="s">
        <v>104</v>
      </c>
      <c r="C659" s="90">
        <v>2</v>
      </c>
      <c r="D659" s="109" t="s">
        <v>234</v>
      </c>
      <c r="E659" s="99" t="s">
        <v>234</v>
      </c>
      <c r="F659" s="100" t="s">
        <v>2048</v>
      </c>
      <c r="G659" s="105" t="s">
        <v>2049</v>
      </c>
    </row>
    <row r="660" spans="1:7" ht="12" x14ac:dyDescent="0.25">
      <c r="A660" s="90" t="s">
        <v>39</v>
      </c>
      <c r="B660" s="90" t="s">
        <v>104</v>
      </c>
      <c r="C660" s="90">
        <v>2</v>
      </c>
      <c r="D660" s="109" t="s">
        <v>235</v>
      </c>
      <c r="E660" s="99" t="s">
        <v>235</v>
      </c>
      <c r="F660" s="100" t="s">
        <v>2050</v>
      </c>
      <c r="G660" s="105" t="s">
        <v>2051</v>
      </c>
    </row>
    <row r="661" spans="1:7" ht="12" x14ac:dyDescent="0.25">
      <c r="A661" s="90" t="s">
        <v>39</v>
      </c>
      <c r="B661" s="90" t="s">
        <v>104</v>
      </c>
      <c r="C661" s="90">
        <v>2</v>
      </c>
      <c r="D661" s="109" t="s">
        <v>236</v>
      </c>
      <c r="E661" s="99" t="s">
        <v>236</v>
      </c>
      <c r="F661" s="100" t="s">
        <v>2052</v>
      </c>
      <c r="G661" s="105" t="s">
        <v>2053</v>
      </c>
    </row>
    <row r="662" spans="1:7" ht="12" x14ac:dyDescent="0.25">
      <c r="A662" s="90" t="s">
        <v>39</v>
      </c>
      <c r="B662" s="90" t="s">
        <v>104</v>
      </c>
      <c r="C662" s="90">
        <v>2</v>
      </c>
      <c r="D662" s="109" t="s">
        <v>237</v>
      </c>
      <c r="E662" s="99" t="s">
        <v>237</v>
      </c>
      <c r="F662" s="100" t="s">
        <v>2054</v>
      </c>
      <c r="G662" s="105" t="s">
        <v>2055</v>
      </c>
    </row>
    <row r="663" spans="1:7" ht="12" x14ac:dyDescent="0.25">
      <c r="A663" s="90" t="s">
        <v>39</v>
      </c>
      <c r="B663" s="90" t="s">
        <v>104</v>
      </c>
      <c r="C663" s="90">
        <v>2</v>
      </c>
      <c r="D663" s="109" t="s">
        <v>2056</v>
      </c>
      <c r="E663" s="99" t="s">
        <v>2056</v>
      </c>
      <c r="F663" s="100" t="s">
        <v>2471</v>
      </c>
      <c r="G663" s="105" t="s">
        <v>2527</v>
      </c>
    </row>
    <row r="664" spans="1:7" ht="12" x14ac:dyDescent="0.25">
      <c r="A664" s="90" t="s">
        <v>39</v>
      </c>
      <c r="B664" s="90" t="s">
        <v>104</v>
      </c>
      <c r="C664" s="90">
        <v>2</v>
      </c>
      <c r="D664" s="109" t="s">
        <v>130</v>
      </c>
      <c r="E664" s="99" t="s">
        <v>130</v>
      </c>
      <c r="F664" s="100" t="s">
        <v>2468</v>
      </c>
      <c r="G664" s="105" t="s">
        <v>2524</v>
      </c>
    </row>
    <row r="665" spans="1:7" ht="12" x14ac:dyDescent="0.25">
      <c r="A665" s="90" t="s">
        <v>39</v>
      </c>
      <c r="B665" s="90" t="s">
        <v>104</v>
      </c>
      <c r="C665" s="90">
        <v>2</v>
      </c>
      <c r="D665" s="109" t="s">
        <v>238</v>
      </c>
      <c r="E665" s="99" t="s">
        <v>238</v>
      </c>
      <c r="F665" s="100" t="s">
        <v>2057</v>
      </c>
      <c r="G665" s="105" t="s">
        <v>2058</v>
      </c>
    </row>
    <row r="666" spans="1:7" ht="12" x14ac:dyDescent="0.25">
      <c r="A666" s="90" t="s">
        <v>39</v>
      </c>
      <c r="B666" s="90" t="s">
        <v>104</v>
      </c>
      <c r="C666" s="90">
        <v>2</v>
      </c>
      <c r="D666" s="109" t="s">
        <v>239</v>
      </c>
      <c r="E666" s="99" t="s">
        <v>239</v>
      </c>
      <c r="F666" s="100" t="s">
        <v>2059</v>
      </c>
      <c r="G666" s="105" t="s">
        <v>2060</v>
      </c>
    </row>
    <row r="667" spans="1:7" ht="12" x14ac:dyDescent="0.25">
      <c r="A667" s="90" t="s">
        <v>39</v>
      </c>
      <c r="B667" s="90" t="s">
        <v>104</v>
      </c>
      <c r="C667" s="90">
        <v>2</v>
      </c>
      <c r="D667" s="109" t="s">
        <v>240</v>
      </c>
      <c r="E667" s="99" t="s">
        <v>240</v>
      </c>
      <c r="F667" s="100" t="s">
        <v>2061</v>
      </c>
      <c r="G667" s="105" t="s">
        <v>2062</v>
      </c>
    </row>
    <row r="668" spans="1:7" ht="12" x14ac:dyDescent="0.25">
      <c r="A668" s="90" t="s">
        <v>39</v>
      </c>
      <c r="B668" s="90" t="s">
        <v>104</v>
      </c>
      <c r="C668" s="90">
        <v>2</v>
      </c>
      <c r="D668" s="109" t="s">
        <v>241</v>
      </c>
      <c r="E668" s="99" t="s">
        <v>241</v>
      </c>
      <c r="F668" s="100" t="s">
        <v>2063</v>
      </c>
      <c r="G668" s="105" t="s">
        <v>2064</v>
      </c>
    </row>
    <row r="669" spans="1:7" ht="12" x14ac:dyDescent="0.25">
      <c r="A669" s="90" t="s">
        <v>39</v>
      </c>
      <c r="B669" s="90" t="s">
        <v>104</v>
      </c>
      <c r="C669" s="90">
        <v>2</v>
      </c>
      <c r="D669" s="109" t="s">
        <v>242</v>
      </c>
      <c r="E669" s="99" t="s">
        <v>242</v>
      </c>
      <c r="F669" s="100" t="s">
        <v>2065</v>
      </c>
      <c r="G669" s="105" t="s">
        <v>2066</v>
      </c>
    </row>
    <row r="670" spans="1:7" ht="12" x14ac:dyDescent="0.25">
      <c r="A670" s="90" t="s">
        <v>39</v>
      </c>
      <c r="B670" s="90" t="s">
        <v>104</v>
      </c>
      <c r="C670" s="90">
        <v>2</v>
      </c>
      <c r="D670" s="109" t="s">
        <v>243</v>
      </c>
      <c r="E670" s="99" t="s">
        <v>243</v>
      </c>
      <c r="F670" s="100" t="s">
        <v>2067</v>
      </c>
      <c r="G670" s="105" t="s">
        <v>2068</v>
      </c>
    </row>
    <row r="671" spans="1:7" ht="12" x14ac:dyDescent="0.25">
      <c r="A671" s="90" t="s">
        <v>39</v>
      </c>
      <c r="B671" s="90" t="s">
        <v>104</v>
      </c>
      <c r="C671" s="90">
        <v>2</v>
      </c>
      <c r="D671" s="109" t="s">
        <v>2069</v>
      </c>
      <c r="E671" s="99" t="s">
        <v>2069</v>
      </c>
      <c r="F671" s="100" t="s">
        <v>2472</v>
      </c>
      <c r="G671" s="105" t="s">
        <v>2528</v>
      </c>
    </row>
    <row r="672" spans="1:7" ht="12" x14ac:dyDescent="0.25">
      <c r="A672" s="90" t="s">
        <v>39</v>
      </c>
      <c r="B672" s="90" t="s">
        <v>104</v>
      </c>
      <c r="C672" s="90">
        <v>2</v>
      </c>
      <c r="D672" s="109" t="s">
        <v>130</v>
      </c>
      <c r="E672" s="99" t="s">
        <v>130</v>
      </c>
      <c r="F672" s="100" t="s">
        <v>2468</v>
      </c>
      <c r="G672" s="105" t="s">
        <v>2524</v>
      </c>
    </row>
    <row r="673" spans="1:7" ht="12" x14ac:dyDescent="0.25">
      <c r="A673" s="90" t="s">
        <v>39</v>
      </c>
      <c r="B673" s="90" t="s">
        <v>104</v>
      </c>
      <c r="C673" s="90">
        <v>2</v>
      </c>
      <c r="D673" s="109" t="s">
        <v>337</v>
      </c>
      <c r="E673" s="99" t="s">
        <v>337</v>
      </c>
      <c r="F673" s="100" t="s">
        <v>2070</v>
      </c>
      <c r="G673" s="105" t="s">
        <v>2071</v>
      </c>
    </row>
    <row r="674" spans="1:7" ht="12" x14ac:dyDescent="0.25">
      <c r="A674" s="90" t="s">
        <v>39</v>
      </c>
      <c r="B674" s="90" t="s">
        <v>104</v>
      </c>
      <c r="C674" s="90">
        <v>2</v>
      </c>
      <c r="D674" s="109" t="s">
        <v>338</v>
      </c>
      <c r="E674" s="99" t="s">
        <v>338</v>
      </c>
      <c r="F674" s="100" t="s">
        <v>2072</v>
      </c>
      <c r="G674" s="105" t="s">
        <v>2073</v>
      </c>
    </row>
    <row r="675" spans="1:7" ht="12" x14ac:dyDescent="0.25">
      <c r="A675" s="90" t="s">
        <v>39</v>
      </c>
      <c r="B675" s="90" t="s">
        <v>104</v>
      </c>
      <c r="C675" s="90">
        <v>2</v>
      </c>
      <c r="D675" s="109" t="s">
        <v>339</v>
      </c>
      <c r="E675" s="99" t="s">
        <v>339</v>
      </c>
      <c r="F675" s="100" t="s">
        <v>2074</v>
      </c>
      <c r="G675" s="105" t="s">
        <v>2075</v>
      </c>
    </row>
    <row r="676" spans="1:7" ht="12" x14ac:dyDescent="0.25">
      <c r="A676" s="90" t="s">
        <v>39</v>
      </c>
      <c r="B676" s="90" t="s">
        <v>104</v>
      </c>
      <c r="C676" s="90">
        <v>2</v>
      </c>
      <c r="D676" s="109" t="s">
        <v>340</v>
      </c>
      <c r="E676" s="99" t="s">
        <v>340</v>
      </c>
      <c r="F676" s="100" t="s">
        <v>2076</v>
      </c>
      <c r="G676" s="105" t="s">
        <v>2077</v>
      </c>
    </row>
    <row r="677" spans="1:7" ht="12" x14ac:dyDescent="0.25">
      <c r="A677" s="90" t="s">
        <v>39</v>
      </c>
      <c r="B677" s="90" t="s">
        <v>104</v>
      </c>
      <c r="C677" s="90">
        <v>2</v>
      </c>
      <c r="D677" s="109" t="s">
        <v>341</v>
      </c>
      <c r="E677" s="99" t="s">
        <v>341</v>
      </c>
      <c r="F677" s="100" t="s">
        <v>2078</v>
      </c>
      <c r="G677" s="105" t="s">
        <v>2079</v>
      </c>
    </row>
    <row r="678" spans="1:7" ht="12" x14ac:dyDescent="0.25">
      <c r="A678" s="90" t="s">
        <v>39</v>
      </c>
      <c r="B678" s="90" t="s">
        <v>104</v>
      </c>
      <c r="C678" s="90">
        <v>2</v>
      </c>
      <c r="D678" s="109" t="s">
        <v>342</v>
      </c>
      <c r="E678" s="99" t="s">
        <v>342</v>
      </c>
      <c r="F678" s="100" t="s">
        <v>2080</v>
      </c>
      <c r="G678" s="105" t="s">
        <v>2081</v>
      </c>
    </row>
    <row r="679" spans="1:7" ht="12" x14ac:dyDescent="0.25">
      <c r="A679" s="90" t="s">
        <v>39</v>
      </c>
      <c r="B679" s="90" t="s">
        <v>104</v>
      </c>
      <c r="C679" s="90">
        <v>2</v>
      </c>
      <c r="D679" s="109" t="s">
        <v>2082</v>
      </c>
      <c r="E679" s="99" t="s">
        <v>2082</v>
      </c>
      <c r="F679" s="100" t="s">
        <v>2473</v>
      </c>
      <c r="G679" s="105" t="s">
        <v>2529</v>
      </c>
    </row>
    <row r="680" spans="1:7" ht="12" x14ac:dyDescent="0.25">
      <c r="A680" s="90" t="s">
        <v>39</v>
      </c>
      <c r="B680" s="90" t="s">
        <v>104</v>
      </c>
      <c r="C680" s="90">
        <v>2</v>
      </c>
      <c r="D680" s="109" t="s">
        <v>191</v>
      </c>
      <c r="E680" s="99" t="s">
        <v>191</v>
      </c>
      <c r="F680" s="100" t="s">
        <v>343</v>
      </c>
      <c r="G680" s="105" t="s">
        <v>2083</v>
      </c>
    </row>
    <row r="681" spans="1:7" ht="12" x14ac:dyDescent="0.25">
      <c r="A681" s="90" t="s">
        <v>39</v>
      </c>
      <c r="B681" s="90" t="s">
        <v>104</v>
      </c>
      <c r="C681" s="90">
        <v>2</v>
      </c>
      <c r="D681" s="109" t="s">
        <v>244</v>
      </c>
      <c r="E681" s="99" t="s">
        <v>244</v>
      </c>
      <c r="F681" s="100" t="s">
        <v>344</v>
      </c>
      <c r="G681" s="105" t="s">
        <v>345</v>
      </c>
    </row>
    <row r="682" spans="1:7" ht="12" x14ac:dyDescent="0.25">
      <c r="A682" s="90" t="s">
        <v>39</v>
      </c>
      <c r="B682" s="90" t="s">
        <v>104</v>
      </c>
      <c r="C682" s="90">
        <v>2</v>
      </c>
      <c r="D682" s="109" t="s">
        <v>2084</v>
      </c>
      <c r="E682" s="99" t="s">
        <v>2084</v>
      </c>
      <c r="F682" s="100" t="s">
        <v>2474</v>
      </c>
      <c r="G682" s="105" t="s">
        <v>2530</v>
      </c>
    </row>
    <row r="683" spans="1:7" ht="12" x14ac:dyDescent="0.25">
      <c r="A683" s="90" t="s">
        <v>39</v>
      </c>
      <c r="B683" s="90" t="s">
        <v>104</v>
      </c>
      <c r="C683" s="90">
        <v>2</v>
      </c>
      <c r="D683" s="109" t="s">
        <v>211</v>
      </c>
      <c r="E683" s="99" t="s">
        <v>211</v>
      </c>
      <c r="F683" s="100" t="s">
        <v>2085</v>
      </c>
      <c r="G683" s="105" t="s">
        <v>349</v>
      </c>
    </row>
    <row r="684" spans="1:7" ht="12" x14ac:dyDescent="0.25">
      <c r="A684" s="90" t="s">
        <v>39</v>
      </c>
      <c r="B684" s="90" t="s">
        <v>104</v>
      </c>
      <c r="C684" s="90">
        <v>2</v>
      </c>
      <c r="D684" s="109" t="s">
        <v>193</v>
      </c>
      <c r="E684" s="99" t="s">
        <v>193</v>
      </c>
      <c r="F684" s="100" t="s">
        <v>350</v>
      </c>
      <c r="G684" s="105" t="s">
        <v>2086</v>
      </c>
    </row>
    <row r="685" spans="1:7" ht="12" x14ac:dyDescent="0.25">
      <c r="A685" s="90" t="s">
        <v>39</v>
      </c>
      <c r="B685" s="90" t="s">
        <v>104</v>
      </c>
      <c r="C685" s="90">
        <v>2</v>
      </c>
      <c r="D685" s="109" t="s">
        <v>145</v>
      </c>
      <c r="E685" s="99" t="s">
        <v>145</v>
      </c>
      <c r="F685" s="100" t="s">
        <v>351</v>
      </c>
      <c r="G685" s="105" t="s">
        <v>352</v>
      </c>
    </row>
    <row r="686" spans="1:7" ht="360" x14ac:dyDescent="0.25">
      <c r="A686" s="90" t="s">
        <v>39</v>
      </c>
      <c r="B686" s="90" t="s">
        <v>104</v>
      </c>
      <c r="C686" s="90">
        <v>3</v>
      </c>
      <c r="D686" s="109" t="s">
        <v>2021</v>
      </c>
      <c r="E686" s="99" t="s">
        <v>2021</v>
      </c>
      <c r="F686" s="100" t="s">
        <v>2450</v>
      </c>
      <c r="G686" s="105" t="s">
        <v>2451</v>
      </c>
    </row>
    <row r="687" spans="1:7" ht="12" x14ac:dyDescent="0.25">
      <c r="A687" s="90" t="s">
        <v>39</v>
      </c>
      <c r="B687" s="90" t="s">
        <v>104</v>
      </c>
      <c r="C687" s="90">
        <v>3</v>
      </c>
      <c r="D687" s="109" t="s">
        <v>75</v>
      </c>
      <c r="E687" s="99" t="s">
        <v>75</v>
      </c>
      <c r="F687" s="100" t="s">
        <v>2022</v>
      </c>
      <c r="G687" s="105" t="s">
        <v>2023</v>
      </c>
    </row>
    <row r="688" spans="1:7" ht="12" x14ac:dyDescent="0.25">
      <c r="A688" s="90" t="s">
        <v>39</v>
      </c>
      <c r="B688" s="90" t="s">
        <v>104</v>
      </c>
      <c r="C688" s="90">
        <v>3</v>
      </c>
      <c r="D688" s="109" t="s">
        <v>76</v>
      </c>
      <c r="E688" s="99" t="s">
        <v>76</v>
      </c>
      <c r="F688" s="102" t="s">
        <v>2024</v>
      </c>
      <c r="G688" s="107" t="s">
        <v>2025</v>
      </c>
    </row>
    <row r="689" spans="1:7" ht="12" x14ac:dyDescent="0.25">
      <c r="A689" s="90" t="s">
        <v>39</v>
      </c>
      <c r="B689" s="90" t="s">
        <v>104</v>
      </c>
      <c r="C689" s="90">
        <v>3</v>
      </c>
      <c r="D689" s="109" t="s">
        <v>8</v>
      </c>
      <c r="E689" s="99" t="s">
        <v>8</v>
      </c>
      <c r="F689" s="100" t="s">
        <v>2026</v>
      </c>
      <c r="G689" s="105" t="s">
        <v>2027</v>
      </c>
    </row>
    <row r="690" spans="1:7" ht="12" x14ac:dyDescent="0.25">
      <c r="A690" s="90" t="s">
        <v>39</v>
      </c>
      <c r="B690" s="90" t="s">
        <v>104</v>
      </c>
      <c r="C690" s="90">
        <v>3</v>
      </c>
      <c r="D690" s="109" t="s">
        <v>225</v>
      </c>
      <c r="E690" s="99" t="s">
        <v>225</v>
      </c>
      <c r="F690" s="100" t="s">
        <v>335</v>
      </c>
      <c r="G690" s="105" t="s">
        <v>336</v>
      </c>
    </row>
    <row r="691" spans="1:7" ht="12" x14ac:dyDescent="0.25">
      <c r="A691" s="90" t="s">
        <v>39</v>
      </c>
      <c r="B691" s="90" t="s">
        <v>104</v>
      </c>
      <c r="C691" s="90">
        <v>3</v>
      </c>
      <c r="D691" s="109" t="s">
        <v>74</v>
      </c>
      <c r="E691" s="99" t="s">
        <v>74</v>
      </c>
      <c r="F691" s="100" t="s">
        <v>2028</v>
      </c>
      <c r="G691" s="105" t="s">
        <v>327</v>
      </c>
    </row>
    <row r="692" spans="1:7" ht="12" x14ac:dyDescent="0.25">
      <c r="A692" s="90" t="s">
        <v>39</v>
      </c>
      <c r="B692" s="90" t="s">
        <v>104</v>
      </c>
      <c r="C692" s="90">
        <v>3</v>
      </c>
      <c r="D692" s="109" t="s">
        <v>2030</v>
      </c>
      <c r="E692" s="99" t="s">
        <v>2030</v>
      </c>
      <c r="F692" s="100" t="s">
        <v>2467</v>
      </c>
      <c r="G692" s="105" t="s">
        <v>2462</v>
      </c>
    </row>
    <row r="693" spans="1:7" ht="12" x14ac:dyDescent="0.25">
      <c r="A693" s="90" t="s">
        <v>39</v>
      </c>
      <c r="B693" s="90" t="s">
        <v>104</v>
      </c>
      <c r="C693" s="90">
        <v>3</v>
      </c>
      <c r="D693" s="160" t="s">
        <v>64</v>
      </c>
      <c r="E693" s="161" t="s">
        <v>64</v>
      </c>
      <c r="F693" s="162" t="s">
        <v>2031</v>
      </c>
      <c r="G693" s="163" t="s">
        <v>2087</v>
      </c>
    </row>
    <row r="694" spans="1:7" ht="12" x14ac:dyDescent="0.25">
      <c r="A694" s="90" t="s">
        <v>39</v>
      </c>
      <c r="B694" s="90" t="s">
        <v>104</v>
      </c>
      <c r="C694" s="90">
        <v>3</v>
      </c>
      <c r="D694" s="109" t="s">
        <v>130</v>
      </c>
      <c r="E694" s="99" t="s">
        <v>130</v>
      </c>
      <c r="F694" s="100" t="s">
        <v>2468</v>
      </c>
      <c r="G694" s="105" t="s">
        <v>2524</v>
      </c>
    </row>
    <row r="695" spans="1:7" ht="12" x14ac:dyDescent="0.25">
      <c r="A695" s="90" t="s">
        <v>39</v>
      </c>
      <c r="B695" s="90" t="s">
        <v>104</v>
      </c>
      <c r="C695" s="90">
        <v>3</v>
      </c>
      <c r="D695" s="109" t="s">
        <v>226</v>
      </c>
      <c r="E695" s="99" t="s">
        <v>226</v>
      </c>
      <c r="F695" s="100" t="s">
        <v>2088</v>
      </c>
      <c r="G695" s="105" t="s">
        <v>2525</v>
      </c>
    </row>
    <row r="696" spans="1:7" ht="12" x14ac:dyDescent="0.25">
      <c r="A696" s="90" t="s">
        <v>39</v>
      </c>
      <c r="B696" s="90" t="s">
        <v>104</v>
      </c>
      <c r="C696" s="90">
        <v>3</v>
      </c>
      <c r="D696" s="109" t="s">
        <v>227</v>
      </c>
      <c r="E696" s="99" t="s">
        <v>227</v>
      </c>
      <c r="F696" s="100" t="s">
        <v>2033</v>
      </c>
      <c r="G696" s="105" t="s">
        <v>2034</v>
      </c>
    </row>
    <row r="697" spans="1:7" ht="12" x14ac:dyDescent="0.25">
      <c r="A697" s="90" t="s">
        <v>39</v>
      </c>
      <c r="B697" s="90" t="s">
        <v>104</v>
      </c>
      <c r="C697" s="90">
        <v>3</v>
      </c>
      <c r="D697" s="109" t="s">
        <v>228</v>
      </c>
      <c r="E697" s="99" t="s">
        <v>228</v>
      </c>
      <c r="F697" s="100" t="s">
        <v>2035</v>
      </c>
      <c r="G697" s="105" t="s">
        <v>2036</v>
      </c>
    </row>
    <row r="698" spans="1:7" ht="12" x14ac:dyDescent="0.25">
      <c r="A698" s="90" t="s">
        <v>39</v>
      </c>
      <c r="B698" s="90" t="s">
        <v>104</v>
      </c>
      <c r="C698" s="90">
        <v>3</v>
      </c>
      <c r="D698" s="109" t="s">
        <v>229</v>
      </c>
      <c r="E698" s="99" t="s">
        <v>229</v>
      </c>
      <c r="F698" s="100" t="s">
        <v>2037</v>
      </c>
      <c r="G698" s="105" t="s">
        <v>2038</v>
      </c>
    </row>
    <row r="699" spans="1:7" ht="12" x14ac:dyDescent="0.25">
      <c r="A699" s="90" t="s">
        <v>39</v>
      </c>
      <c r="B699" s="90" t="s">
        <v>104</v>
      </c>
      <c r="C699" s="90">
        <v>3</v>
      </c>
      <c r="D699" s="109" t="s">
        <v>230</v>
      </c>
      <c r="E699" s="99" t="s">
        <v>230</v>
      </c>
      <c r="F699" s="100" t="s">
        <v>2039</v>
      </c>
      <c r="G699" s="105" t="s">
        <v>2040</v>
      </c>
    </row>
    <row r="700" spans="1:7" ht="12" x14ac:dyDescent="0.25">
      <c r="A700" s="90" t="s">
        <v>39</v>
      </c>
      <c r="B700" s="90" t="s">
        <v>104</v>
      </c>
      <c r="C700" s="90">
        <v>3</v>
      </c>
      <c r="D700" s="109" t="s">
        <v>231</v>
      </c>
      <c r="E700" s="99" t="s">
        <v>231</v>
      </c>
      <c r="F700" s="100" t="s">
        <v>2041</v>
      </c>
      <c r="G700" s="105" t="s">
        <v>2042</v>
      </c>
    </row>
    <row r="701" spans="1:7" ht="12" x14ac:dyDescent="0.25">
      <c r="A701" s="90" t="s">
        <v>39</v>
      </c>
      <c r="B701" s="90" t="s">
        <v>104</v>
      </c>
      <c r="C701" s="90">
        <v>3</v>
      </c>
      <c r="D701" s="109" t="s">
        <v>2043</v>
      </c>
      <c r="E701" s="99" t="s">
        <v>2043</v>
      </c>
      <c r="F701" s="100" t="s">
        <v>2470</v>
      </c>
      <c r="G701" s="105" t="s">
        <v>2526</v>
      </c>
    </row>
    <row r="702" spans="1:7" ht="12" x14ac:dyDescent="0.25">
      <c r="A702" s="90" t="s">
        <v>39</v>
      </c>
      <c r="B702" s="90" t="s">
        <v>104</v>
      </c>
      <c r="C702" s="90">
        <v>3</v>
      </c>
      <c r="D702" s="109" t="s">
        <v>130</v>
      </c>
      <c r="E702" s="99" t="s">
        <v>130</v>
      </c>
      <c r="F702" s="100" t="s">
        <v>2468</v>
      </c>
      <c r="G702" s="105" t="s">
        <v>2524</v>
      </c>
    </row>
    <row r="703" spans="1:7" ht="12" x14ac:dyDescent="0.25">
      <c r="A703" s="90" t="s">
        <v>39</v>
      </c>
      <c r="B703" s="90" t="s">
        <v>104</v>
      </c>
      <c r="C703" s="90">
        <v>3</v>
      </c>
      <c r="D703" s="109" t="s">
        <v>232</v>
      </c>
      <c r="E703" s="99" t="s">
        <v>232</v>
      </c>
      <c r="F703" s="100" t="s">
        <v>2044</v>
      </c>
      <c r="G703" s="105" t="s">
        <v>2045</v>
      </c>
    </row>
    <row r="704" spans="1:7" ht="12" x14ac:dyDescent="0.25">
      <c r="A704" s="90" t="s">
        <v>39</v>
      </c>
      <c r="B704" s="90" t="s">
        <v>104</v>
      </c>
      <c r="C704" s="90">
        <v>3</v>
      </c>
      <c r="D704" s="109" t="s">
        <v>233</v>
      </c>
      <c r="E704" s="99" t="s">
        <v>233</v>
      </c>
      <c r="F704" s="100" t="s">
        <v>2046</v>
      </c>
      <c r="G704" s="105" t="s">
        <v>2047</v>
      </c>
    </row>
    <row r="705" spans="1:7" ht="12" x14ac:dyDescent="0.25">
      <c r="A705" s="90" t="s">
        <v>39</v>
      </c>
      <c r="B705" s="90" t="s">
        <v>104</v>
      </c>
      <c r="C705" s="90">
        <v>3</v>
      </c>
      <c r="D705" s="109" t="s">
        <v>234</v>
      </c>
      <c r="E705" s="99" t="s">
        <v>234</v>
      </c>
      <c r="F705" s="100" t="s">
        <v>2048</v>
      </c>
      <c r="G705" s="105" t="s">
        <v>2049</v>
      </c>
    </row>
    <row r="706" spans="1:7" ht="12" x14ac:dyDescent="0.25">
      <c r="A706" s="90" t="s">
        <v>39</v>
      </c>
      <c r="B706" s="90" t="s">
        <v>104</v>
      </c>
      <c r="C706" s="90">
        <v>3</v>
      </c>
      <c r="D706" s="109" t="s">
        <v>235</v>
      </c>
      <c r="E706" s="99" t="s">
        <v>235</v>
      </c>
      <c r="F706" s="100" t="s">
        <v>2050</v>
      </c>
      <c r="G706" s="105" t="s">
        <v>2051</v>
      </c>
    </row>
    <row r="707" spans="1:7" ht="12" x14ac:dyDescent="0.25">
      <c r="A707" s="90" t="s">
        <v>39</v>
      </c>
      <c r="B707" s="90" t="s">
        <v>104</v>
      </c>
      <c r="C707" s="90">
        <v>3</v>
      </c>
      <c r="D707" s="109" t="s">
        <v>236</v>
      </c>
      <c r="E707" s="99" t="s">
        <v>236</v>
      </c>
      <c r="F707" s="100" t="s">
        <v>2052</v>
      </c>
      <c r="G707" s="105" t="s">
        <v>2053</v>
      </c>
    </row>
    <row r="708" spans="1:7" ht="12" x14ac:dyDescent="0.25">
      <c r="A708" s="90" t="s">
        <v>39</v>
      </c>
      <c r="B708" s="90" t="s">
        <v>104</v>
      </c>
      <c r="C708" s="90">
        <v>3</v>
      </c>
      <c r="D708" s="109" t="s">
        <v>237</v>
      </c>
      <c r="E708" s="99" t="s">
        <v>237</v>
      </c>
      <c r="F708" s="100" t="s">
        <v>2054</v>
      </c>
      <c r="G708" s="105" t="s">
        <v>2055</v>
      </c>
    </row>
    <row r="709" spans="1:7" ht="12" x14ac:dyDescent="0.25">
      <c r="A709" s="90" t="s">
        <v>39</v>
      </c>
      <c r="B709" s="90" t="s">
        <v>104</v>
      </c>
      <c r="C709" s="90">
        <v>3</v>
      </c>
      <c r="D709" s="109" t="s">
        <v>2056</v>
      </c>
      <c r="E709" s="99" t="s">
        <v>2056</v>
      </c>
      <c r="F709" s="100" t="s">
        <v>2471</v>
      </c>
      <c r="G709" s="105" t="s">
        <v>2527</v>
      </c>
    </row>
    <row r="710" spans="1:7" ht="12" x14ac:dyDescent="0.25">
      <c r="A710" s="90" t="s">
        <v>39</v>
      </c>
      <c r="B710" s="90" t="s">
        <v>104</v>
      </c>
      <c r="C710" s="90">
        <v>3</v>
      </c>
      <c r="D710" s="109" t="s">
        <v>130</v>
      </c>
      <c r="E710" s="99" t="s">
        <v>130</v>
      </c>
      <c r="F710" s="100" t="s">
        <v>2468</v>
      </c>
      <c r="G710" s="105" t="s">
        <v>2524</v>
      </c>
    </row>
    <row r="711" spans="1:7" ht="12" x14ac:dyDescent="0.25">
      <c r="A711" s="90" t="s">
        <v>39</v>
      </c>
      <c r="B711" s="90" t="s">
        <v>104</v>
      </c>
      <c r="C711" s="90">
        <v>3</v>
      </c>
      <c r="D711" s="109" t="s">
        <v>238</v>
      </c>
      <c r="E711" s="99" t="s">
        <v>238</v>
      </c>
      <c r="F711" s="100" t="s">
        <v>2057</v>
      </c>
      <c r="G711" s="105" t="s">
        <v>2058</v>
      </c>
    </row>
    <row r="712" spans="1:7" ht="12" x14ac:dyDescent="0.25">
      <c r="A712" s="90" t="s">
        <v>39</v>
      </c>
      <c r="B712" s="90" t="s">
        <v>104</v>
      </c>
      <c r="C712" s="90">
        <v>3</v>
      </c>
      <c r="D712" s="109" t="s">
        <v>239</v>
      </c>
      <c r="E712" s="99" t="s">
        <v>239</v>
      </c>
      <c r="F712" s="100" t="s">
        <v>2059</v>
      </c>
      <c r="G712" s="105" t="s">
        <v>2060</v>
      </c>
    </row>
    <row r="713" spans="1:7" ht="12" x14ac:dyDescent="0.25">
      <c r="A713" s="90" t="s">
        <v>39</v>
      </c>
      <c r="B713" s="90" t="s">
        <v>104</v>
      </c>
      <c r="C713" s="90">
        <v>3</v>
      </c>
      <c r="D713" s="109" t="s">
        <v>240</v>
      </c>
      <c r="E713" s="99" t="s">
        <v>240</v>
      </c>
      <c r="F713" s="100" t="s">
        <v>2061</v>
      </c>
      <c r="G713" s="105" t="s">
        <v>2062</v>
      </c>
    </row>
    <row r="714" spans="1:7" ht="12" x14ac:dyDescent="0.25">
      <c r="A714" s="90" t="s">
        <v>39</v>
      </c>
      <c r="B714" s="90" t="s">
        <v>104</v>
      </c>
      <c r="C714" s="90">
        <v>3</v>
      </c>
      <c r="D714" s="109" t="s">
        <v>241</v>
      </c>
      <c r="E714" s="99" t="s">
        <v>241</v>
      </c>
      <c r="F714" s="100" t="s">
        <v>2063</v>
      </c>
      <c r="G714" s="105" t="s">
        <v>2064</v>
      </c>
    </row>
    <row r="715" spans="1:7" ht="12" x14ac:dyDescent="0.25">
      <c r="A715" s="90" t="s">
        <v>39</v>
      </c>
      <c r="B715" s="90" t="s">
        <v>104</v>
      </c>
      <c r="C715" s="90">
        <v>3</v>
      </c>
      <c r="D715" s="109" t="s">
        <v>242</v>
      </c>
      <c r="E715" s="99" t="s">
        <v>242</v>
      </c>
      <c r="F715" s="100" t="s">
        <v>2065</v>
      </c>
      <c r="G715" s="105" t="s">
        <v>2066</v>
      </c>
    </row>
    <row r="716" spans="1:7" ht="12" x14ac:dyDescent="0.25">
      <c r="A716" s="90" t="s">
        <v>39</v>
      </c>
      <c r="B716" s="90" t="s">
        <v>104</v>
      </c>
      <c r="C716" s="90">
        <v>3</v>
      </c>
      <c r="D716" s="109" t="s">
        <v>243</v>
      </c>
      <c r="E716" s="99" t="s">
        <v>243</v>
      </c>
      <c r="F716" s="100" t="s">
        <v>2067</v>
      </c>
      <c r="G716" s="105" t="s">
        <v>2068</v>
      </c>
    </row>
    <row r="717" spans="1:7" ht="12" x14ac:dyDescent="0.25">
      <c r="A717" s="90" t="s">
        <v>39</v>
      </c>
      <c r="B717" s="90" t="s">
        <v>104</v>
      </c>
      <c r="C717" s="90">
        <v>3</v>
      </c>
      <c r="D717" s="109" t="s">
        <v>2069</v>
      </c>
      <c r="E717" s="99" t="s">
        <v>2069</v>
      </c>
      <c r="F717" s="100" t="s">
        <v>2472</v>
      </c>
      <c r="G717" s="105" t="s">
        <v>2528</v>
      </c>
    </row>
    <row r="718" spans="1:7" ht="12" x14ac:dyDescent="0.25">
      <c r="A718" s="90" t="s">
        <v>39</v>
      </c>
      <c r="B718" s="90" t="s">
        <v>104</v>
      </c>
      <c r="C718" s="90">
        <v>3</v>
      </c>
      <c r="D718" s="109" t="s">
        <v>130</v>
      </c>
      <c r="E718" s="99" t="s">
        <v>130</v>
      </c>
      <c r="F718" s="100" t="s">
        <v>2468</v>
      </c>
      <c r="G718" s="105" t="s">
        <v>2524</v>
      </c>
    </row>
    <row r="719" spans="1:7" ht="12" x14ac:dyDescent="0.25">
      <c r="A719" s="90" t="s">
        <v>39</v>
      </c>
      <c r="B719" s="90" t="s">
        <v>104</v>
      </c>
      <c r="C719" s="90">
        <v>3</v>
      </c>
      <c r="D719" s="109" t="s">
        <v>337</v>
      </c>
      <c r="E719" s="99" t="s">
        <v>337</v>
      </c>
      <c r="F719" s="100" t="s">
        <v>2070</v>
      </c>
      <c r="G719" s="105" t="s">
        <v>2071</v>
      </c>
    </row>
    <row r="720" spans="1:7" ht="12" x14ac:dyDescent="0.25">
      <c r="A720" s="90" t="s">
        <v>39</v>
      </c>
      <c r="B720" s="90" t="s">
        <v>104</v>
      </c>
      <c r="C720" s="90">
        <v>3</v>
      </c>
      <c r="D720" s="109" t="s">
        <v>338</v>
      </c>
      <c r="E720" s="99" t="s">
        <v>338</v>
      </c>
      <c r="F720" s="100" t="s">
        <v>2072</v>
      </c>
      <c r="G720" s="105" t="s">
        <v>2073</v>
      </c>
    </row>
    <row r="721" spans="1:7" ht="12" x14ac:dyDescent="0.25">
      <c r="A721" s="90" t="s">
        <v>39</v>
      </c>
      <c r="B721" s="90" t="s">
        <v>104</v>
      </c>
      <c r="C721" s="90">
        <v>3</v>
      </c>
      <c r="D721" s="109" t="s">
        <v>339</v>
      </c>
      <c r="E721" s="99" t="s">
        <v>339</v>
      </c>
      <c r="F721" s="100" t="s">
        <v>2074</v>
      </c>
      <c r="G721" s="105" t="s">
        <v>2075</v>
      </c>
    </row>
    <row r="722" spans="1:7" ht="12" x14ac:dyDescent="0.25">
      <c r="A722" s="90" t="s">
        <v>39</v>
      </c>
      <c r="B722" s="90" t="s">
        <v>104</v>
      </c>
      <c r="C722" s="90">
        <v>3</v>
      </c>
      <c r="D722" s="109" t="s">
        <v>340</v>
      </c>
      <c r="E722" s="99" t="s">
        <v>340</v>
      </c>
      <c r="F722" s="100" t="s">
        <v>2076</v>
      </c>
      <c r="G722" s="105" t="s">
        <v>2077</v>
      </c>
    </row>
    <row r="723" spans="1:7" ht="12" x14ac:dyDescent="0.25">
      <c r="A723" s="90" t="s">
        <v>39</v>
      </c>
      <c r="B723" s="90" t="s">
        <v>104</v>
      </c>
      <c r="C723" s="90">
        <v>3</v>
      </c>
      <c r="D723" s="109" t="s">
        <v>341</v>
      </c>
      <c r="E723" s="99" t="s">
        <v>341</v>
      </c>
      <c r="F723" s="100" t="s">
        <v>2078</v>
      </c>
      <c r="G723" s="105" t="s">
        <v>2079</v>
      </c>
    </row>
    <row r="724" spans="1:7" ht="12" x14ac:dyDescent="0.25">
      <c r="A724" s="90" t="s">
        <v>39</v>
      </c>
      <c r="B724" s="90" t="s">
        <v>104</v>
      </c>
      <c r="C724" s="90">
        <v>3</v>
      </c>
      <c r="D724" s="109" t="s">
        <v>342</v>
      </c>
      <c r="E724" s="99" t="s">
        <v>342</v>
      </c>
      <c r="F724" s="100" t="s">
        <v>2080</v>
      </c>
      <c r="G724" s="105" t="s">
        <v>2081</v>
      </c>
    </row>
    <row r="725" spans="1:7" ht="12" x14ac:dyDescent="0.25">
      <c r="A725" s="90" t="s">
        <v>39</v>
      </c>
      <c r="B725" s="90" t="s">
        <v>104</v>
      </c>
      <c r="C725" s="90">
        <v>3</v>
      </c>
      <c r="D725" s="109" t="s">
        <v>2082</v>
      </c>
      <c r="E725" s="99" t="s">
        <v>2082</v>
      </c>
      <c r="F725" s="100" t="s">
        <v>2473</v>
      </c>
      <c r="G725" s="105" t="s">
        <v>2529</v>
      </c>
    </row>
    <row r="726" spans="1:7" ht="12" x14ac:dyDescent="0.25">
      <c r="A726" s="90" t="s">
        <v>39</v>
      </c>
      <c r="B726" s="90" t="s">
        <v>104</v>
      </c>
      <c r="C726" s="90">
        <v>3</v>
      </c>
      <c r="D726" s="109" t="s">
        <v>191</v>
      </c>
      <c r="E726" s="99" t="s">
        <v>191</v>
      </c>
      <c r="F726" s="100" t="s">
        <v>343</v>
      </c>
      <c r="G726" s="105" t="s">
        <v>2083</v>
      </c>
    </row>
    <row r="727" spans="1:7" ht="12" x14ac:dyDescent="0.25">
      <c r="A727" s="90" t="s">
        <v>39</v>
      </c>
      <c r="B727" s="90" t="s">
        <v>104</v>
      </c>
      <c r="C727" s="90">
        <v>3</v>
      </c>
      <c r="D727" s="109" t="s">
        <v>244</v>
      </c>
      <c r="E727" s="99" t="s">
        <v>244</v>
      </c>
      <c r="F727" s="100" t="s">
        <v>344</v>
      </c>
      <c r="G727" s="105" t="s">
        <v>345</v>
      </c>
    </row>
    <row r="728" spans="1:7" ht="12" x14ac:dyDescent="0.25">
      <c r="A728" s="90" t="s">
        <v>39</v>
      </c>
      <c r="B728" s="90" t="s">
        <v>104</v>
      </c>
      <c r="C728" s="90">
        <v>3</v>
      </c>
      <c r="D728" s="109" t="s">
        <v>2084</v>
      </c>
      <c r="E728" s="99" t="s">
        <v>2084</v>
      </c>
      <c r="F728" s="100" t="s">
        <v>2474</v>
      </c>
      <c r="G728" s="105" t="s">
        <v>2530</v>
      </c>
    </row>
    <row r="729" spans="1:7" ht="12" x14ac:dyDescent="0.25">
      <c r="A729" s="90" t="s">
        <v>39</v>
      </c>
      <c r="B729" s="90" t="s">
        <v>104</v>
      </c>
      <c r="C729" s="90">
        <v>3</v>
      </c>
      <c r="D729" s="109" t="s">
        <v>211</v>
      </c>
      <c r="E729" s="99" t="s">
        <v>211</v>
      </c>
      <c r="F729" s="100" t="s">
        <v>2085</v>
      </c>
      <c r="G729" s="105" t="s">
        <v>349</v>
      </c>
    </row>
    <row r="730" spans="1:7" ht="12" x14ac:dyDescent="0.25">
      <c r="A730" s="90" t="s">
        <v>39</v>
      </c>
      <c r="B730" s="90" t="s">
        <v>104</v>
      </c>
      <c r="C730" s="90">
        <v>3</v>
      </c>
      <c r="D730" s="109" t="s">
        <v>193</v>
      </c>
      <c r="E730" s="99" t="s">
        <v>193</v>
      </c>
      <c r="F730" s="100" t="s">
        <v>350</v>
      </c>
      <c r="G730" s="105" t="s">
        <v>2086</v>
      </c>
    </row>
    <row r="731" spans="1:7" ht="12" x14ac:dyDescent="0.25">
      <c r="A731" s="90" t="s">
        <v>39</v>
      </c>
      <c r="B731" s="90" t="s">
        <v>104</v>
      </c>
      <c r="C731" s="90">
        <v>3</v>
      </c>
      <c r="D731" s="109" t="s">
        <v>145</v>
      </c>
      <c r="E731" s="99" t="s">
        <v>145</v>
      </c>
      <c r="F731" s="100" t="s">
        <v>351</v>
      </c>
      <c r="G731" s="105" t="s">
        <v>352</v>
      </c>
    </row>
    <row r="732" spans="1:7" ht="360" x14ac:dyDescent="0.25">
      <c r="A732" s="90" t="s">
        <v>39</v>
      </c>
      <c r="B732" s="90" t="s">
        <v>104</v>
      </c>
      <c r="C732" s="90">
        <v>4</v>
      </c>
      <c r="D732" s="109" t="s">
        <v>2021</v>
      </c>
      <c r="E732" s="99" t="s">
        <v>2021</v>
      </c>
      <c r="F732" s="102" t="s">
        <v>2450</v>
      </c>
      <c r="G732" s="107" t="s">
        <v>2451</v>
      </c>
    </row>
    <row r="733" spans="1:7" ht="12" x14ac:dyDescent="0.25">
      <c r="A733" s="90" t="s">
        <v>39</v>
      </c>
      <c r="B733" s="90" t="s">
        <v>104</v>
      </c>
      <c r="C733" s="90">
        <v>4</v>
      </c>
      <c r="D733" s="109" t="s">
        <v>75</v>
      </c>
      <c r="E733" s="99" t="s">
        <v>75</v>
      </c>
      <c r="F733" s="100" t="s">
        <v>2022</v>
      </c>
      <c r="G733" s="105" t="s">
        <v>2023</v>
      </c>
    </row>
    <row r="734" spans="1:7" ht="12" x14ac:dyDescent="0.25">
      <c r="A734" s="90" t="s">
        <v>39</v>
      </c>
      <c r="B734" s="90" t="s">
        <v>104</v>
      </c>
      <c r="C734" s="90">
        <v>4</v>
      </c>
      <c r="D734" s="109" t="s">
        <v>76</v>
      </c>
      <c r="E734" s="99" t="s">
        <v>76</v>
      </c>
      <c r="F734" s="100" t="s">
        <v>2024</v>
      </c>
      <c r="G734" s="105" t="s">
        <v>2025</v>
      </c>
    </row>
    <row r="735" spans="1:7" ht="12" x14ac:dyDescent="0.25">
      <c r="A735" s="90" t="s">
        <v>39</v>
      </c>
      <c r="B735" s="90" t="s">
        <v>104</v>
      </c>
      <c r="C735" s="90">
        <v>4</v>
      </c>
      <c r="D735" s="109" t="s">
        <v>8</v>
      </c>
      <c r="E735" s="99" t="s">
        <v>8</v>
      </c>
      <c r="F735" s="100" t="s">
        <v>2026</v>
      </c>
      <c r="G735" s="105" t="s">
        <v>2027</v>
      </c>
    </row>
    <row r="736" spans="1:7" ht="12" x14ac:dyDescent="0.25">
      <c r="A736" s="90" t="s">
        <v>39</v>
      </c>
      <c r="B736" s="90" t="s">
        <v>104</v>
      </c>
      <c r="C736" s="90">
        <v>4</v>
      </c>
      <c r="D736" s="109" t="s">
        <v>225</v>
      </c>
      <c r="E736" s="99" t="s">
        <v>225</v>
      </c>
      <c r="F736" s="100" t="s">
        <v>335</v>
      </c>
      <c r="G736" s="105" t="s">
        <v>336</v>
      </c>
    </row>
    <row r="737" spans="1:7" ht="12" x14ac:dyDescent="0.25">
      <c r="A737" s="90" t="s">
        <v>39</v>
      </c>
      <c r="B737" s="90" t="s">
        <v>104</v>
      </c>
      <c r="C737" s="90">
        <v>4</v>
      </c>
      <c r="D737" s="160" t="s">
        <v>74</v>
      </c>
      <c r="E737" s="161" t="s">
        <v>74</v>
      </c>
      <c r="F737" s="162" t="s">
        <v>2028</v>
      </c>
      <c r="G737" s="163" t="s">
        <v>327</v>
      </c>
    </row>
    <row r="738" spans="1:7" ht="12" x14ac:dyDescent="0.25">
      <c r="A738" s="90" t="s">
        <v>39</v>
      </c>
      <c r="B738" s="90" t="s">
        <v>104</v>
      </c>
      <c r="C738" s="90">
        <v>4</v>
      </c>
      <c r="D738" s="109" t="s">
        <v>2030</v>
      </c>
      <c r="E738" s="99" t="s">
        <v>2030</v>
      </c>
      <c r="F738" s="100" t="s">
        <v>2467</v>
      </c>
      <c r="G738" s="105" t="s">
        <v>2462</v>
      </c>
    </row>
    <row r="739" spans="1:7" ht="12" x14ac:dyDescent="0.25">
      <c r="A739" s="90" t="s">
        <v>39</v>
      </c>
      <c r="B739" s="90" t="s">
        <v>104</v>
      </c>
      <c r="C739" s="90">
        <v>4</v>
      </c>
      <c r="D739" s="109" t="s">
        <v>64</v>
      </c>
      <c r="E739" s="99" t="s">
        <v>64</v>
      </c>
      <c r="F739" s="100" t="s">
        <v>2031</v>
      </c>
      <c r="G739" s="105" t="s">
        <v>2087</v>
      </c>
    </row>
    <row r="740" spans="1:7" ht="12" x14ac:dyDescent="0.25">
      <c r="A740" s="90" t="s">
        <v>39</v>
      </c>
      <c r="B740" s="90" t="s">
        <v>104</v>
      </c>
      <c r="C740" s="90">
        <v>4</v>
      </c>
      <c r="D740" s="109" t="s">
        <v>130</v>
      </c>
      <c r="E740" s="99" t="s">
        <v>130</v>
      </c>
      <c r="F740" s="100" t="s">
        <v>2468</v>
      </c>
      <c r="G740" s="105" t="s">
        <v>2524</v>
      </c>
    </row>
    <row r="741" spans="1:7" ht="12" x14ac:dyDescent="0.25">
      <c r="A741" s="90" t="s">
        <v>39</v>
      </c>
      <c r="B741" s="90" t="s">
        <v>104</v>
      </c>
      <c r="C741" s="90">
        <v>4</v>
      </c>
      <c r="D741" s="109" t="s">
        <v>226</v>
      </c>
      <c r="E741" s="99" t="s">
        <v>226</v>
      </c>
      <c r="F741" s="100" t="s">
        <v>2088</v>
      </c>
      <c r="G741" s="105" t="s">
        <v>2525</v>
      </c>
    </row>
    <row r="742" spans="1:7" ht="12" x14ac:dyDescent="0.25">
      <c r="A742" s="90" t="s">
        <v>39</v>
      </c>
      <c r="B742" s="90" t="s">
        <v>104</v>
      </c>
      <c r="C742" s="90">
        <v>4</v>
      </c>
      <c r="D742" s="109" t="s">
        <v>227</v>
      </c>
      <c r="E742" s="99" t="s">
        <v>227</v>
      </c>
      <c r="F742" s="100" t="s">
        <v>2033</v>
      </c>
      <c r="G742" s="105" t="s">
        <v>2034</v>
      </c>
    </row>
    <row r="743" spans="1:7" ht="12" x14ac:dyDescent="0.25">
      <c r="A743" s="90" t="s">
        <v>39</v>
      </c>
      <c r="B743" s="90" t="s">
        <v>104</v>
      </c>
      <c r="C743" s="90">
        <v>4</v>
      </c>
      <c r="D743" s="109" t="s">
        <v>228</v>
      </c>
      <c r="E743" s="99" t="s">
        <v>228</v>
      </c>
      <c r="F743" s="100" t="s">
        <v>2035</v>
      </c>
      <c r="G743" s="105" t="s">
        <v>2036</v>
      </c>
    </row>
    <row r="744" spans="1:7" ht="12" x14ac:dyDescent="0.25">
      <c r="A744" s="90" t="s">
        <v>39</v>
      </c>
      <c r="B744" s="90" t="s">
        <v>104</v>
      </c>
      <c r="C744" s="90">
        <v>4</v>
      </c>
      <c r="D744" s="109" t="s">
        <v>229</v>
      </c>
      <c r="E744" s="99" t="s">
        <v>229</v>
      </c>
      <c r="F744" s="100" t="s">
        <v>2037</v>
      </c>
      <c r="G744" s="105" t="s">
        <v>2038</v>
      </c>
    </row>
    <row r="745" spans="1:7" ht="12" x14ac:dyDescent="0.25">
      <c r="A745" s="90" t="s">
        <v>39</v>
      </c>
      <c r="B745" s="90" t="s">
        <v>104</v>
      </c>
      <c r="C745" s="90">
        <v>4</v>
      </c>
      <c r="D745" s="109" t="s">
        <v>230</v>
      </c>
      <c r="E745" s="99" t="s">
        <v>230</v>
      </c>
      <c r="F745" s="100" t="s">
        <v>2039</v>
      </c>
      <c r="G745" s="105" t="s">
        <v>2040</v>
      </c>
    </row>
    <row r="746" spans="1:7" ht="12" x14ac:dyDescent="0.25">
      <c r="A746" s="90" t="s">
        <v>39</v>
      </c>
      <c r="B746" s="90" t="s">
        <v>104</v>
      </c>
      <c r="C746" s="90">
        <v>4</v>
      </c>
      <c r="D746" s="109" t="s">
        <v>231</v>
      </c>
      <c r="E746" s="99" t="s">
        <v>231</v>
      </c>
      <c r="F746" s="100" t="s">
        <v>2041</v>
      </c>
      <c r="G746" s="105" t="s">
        <v>2042</v>
      </c>
    </row>
    <row r="747" spans="1:7" ht="12" x14ac:dyDescent="0.25">
      <c r="A747" s="90" t="s">
        <v>39</v>
      </c>
      <c r="B747" s="90" t="s">
        <v>104</v>
      </c>
      <c r="C747" s="90">
        <v>4</v>
      </c>
      <c r="D747" s="109" t="s">
        <v>2043</v>
      </c>
      <c r="E747" s="99" t="s">
        <v>2043</v>
      </c>
      <c r="F747" s="100" t="s">
        <v>2470</v>
      </c>
      <c r="G747" s="105" t="s">
        <v>2526</v>
      </c>
    </row>
    <row r="748" spans="1:7" ht="12" x14ac:dyDescent="0.25">
      <c r="A748" s="90" t="s">
        <v>39</v>
      </c>
      <c r="B748" s="90" t="s">
        <v>104</v>
      </c>
      <c r="C748" s="90">
        <v>4</v>
      </c>
      <c r="D748" s="109" t="s">
        <v>130</v>
      </c>
      <c r="E748" s="99" t="s">
        <v>130</v>
      </c>
      <c r="F748" s="100" t="s">
        <v>2468</v>
      </c>
      <c r="G748" s="105" t="s">
        <v>2524</v>
      </c>
    </row>
    <row r="749" spans="1:7" ht="12" x14ac:dyDescent="0.25">
      <c r="A749" s="90" t="s">
        <v>39</v>
      </c>
      <c r="B749" s="90" t="s">
        <v>104</v>
      </c>
      <c r="C749" s="90">
        <v>4</v>
      </c>
      <c r="D749" s="109" t="s">
        <v>232</v>
      </c>
      <c r="E749" s="99" t="s">
        <v>232</v>
      </c>
      <c r="F749" s="100" t="s">
        <v>2044</v>
      </c>
      <c r="G749" s="105" t="s">
        <v>2045</v>
      </c>
    </row>
    <row r="750" spans="1:7" ht="12" x14ac:dyDescent="0.25">
      <c r="A750" s="90" t="s">
        <v>39</v>
      </c>
      <c r="B750" s="90" t="s">
        <v>104</v>
      </c>
      <c r="C750" s="90">
        <v>4</v>
      </c>
      <c r="D750" s="109" t="s">
        <v>233</v>
      </c>
      <c r="E750" s="99" t="s">
        <v>233</v>
      </c>
      <c r="F750" s="100" t="s">
        <v>2046</v>
      </c>
      <c r="G750" s="105" t="s">
        <v>2047</v>
      </c>
    </row>
    <row r="751" spans="1:7" ht="12" x14ac:dyDescent="0.25">
      <c r="A751" s="90" t="s">
        <v>39</v>
      </c>
      <c r="B751" s="90" t="s">
        <v>104</v>
      </c>
      <c r="C751" s="90">
        <v>4</v>
      </c>
      <c r="D751" s="109" t="s">
        <v>234</v>
      </c>
      <c r="E751" s="99" t="s">
        <v>234</v>
      </c>
      <c r="F751" s="100" t="s">
        <v>2048</v>
      </c>
      <c r="G751" s="105" t="s">
        <v>2049</v>
      </c>
    </row>
    <row r="752" spans="1:7" ht="12" x14ac:dyDescent="0.25">
      <c r="A752" s="90" t="s">
        <v>39</v>
      </c>
      <c r="B752" s="90" t="s">
        <v>104</v>
      </c>
      <c r="C752" s="90">
        <v>4</v>
      </c>
      <c r="D752" s="109" t="s">
        <v>235</v>
      </c>
      <c r="E752" s="99" t="s">
        <v>235</v>
      </c>
      <c r="F752" s="100" t="s">
        <v>2050</v>
      </c>
      <c r="G752" s="105" t="s">
        <v>2051</v>
      </c>
    </row>
    <row r="753" spans="1:7" ht="12" x14ac:dyDescent="0.25">
      <c r="A753" s="90" t="s">
        <v>39</v>
      </c>
      <c r="B753" s="90" t="s">
        <v>104</v>
      </c>
      <c r="C753" s="90">
        <v>4</v>
      </c>
      <c r="D753" s="109" t="s">
        <v>236</v>
      </c>
      <c r="E753" s="99" t="s">
        <v>236</v>
      </c>
      <c r="F753" s="100" t="s">
        <v>2052</v>
      </c>
      <c r="G753" s="105" t="s">
        <v>2053</v>
      </c>
    </row>
    <row r="754" spans="1:7" ht="12" x14ac:dyDescent="0.25">
      <c r="A754" s="90" t="s">
        <v>39</v>
      </c>
      <c r="B754" s="90" t="s">
        <v>104</v>
      </c>
      <c r="C754" s="90">
        <v>4</v>
      </c>
      <c r="D754" s="109" t="s">
        <v>237</v>
      </c>
      <c r="E754" s="99" t="s">
        <v>237</v>
      </c>
      <c r="F754" s="100" t="s">
        <v>2054</v>
      </c>
      <c r="G754" s="105" t="s">
        <v>2055</v>
      </c>
    </row>
    <row r="755" spans="1:7" ht="12" x14ac:dyDescent="0.25">
      <c r="A755" s="90" t="s">
        <v>39</v>
      </c>
      <c r="B755" s="90" t="s">
        <v>104</v>
      </c>
      <c r="C755" s="90">
        <v>4</v>
      </c>
      <c r="D755" s="109" t="s">
        <v>2056</v>
      </c>
      <c r="E755" s="99" t="s">
        <v>2056</v>
      </c>
      <c r="F755" s="100" t="s">
        <v>2471</v>
      </c>
      <c r="G755" s="105" t="s">
        <v>2527</v>
      </c>
    </row>
    <row r="756" spans="1:7" ht="12" x14ac:dyDescent="0.25">
      <c r="A756" s="90" t="s">
        <v>39</v>
      </c>
      <c r="B756" s="90" t="s">
        <v>104</v>
      </c>
      <c r="C756" s="90">
        <v>4</v>
      </c>
      <c r="D756" s="109" t="s">
        <v>130</v>
      </c>
      <c r="E756" s="99" t="s">
        <v>130</v>
      </c>
      <c r="F756" s="100" t="s">
        <v>2468</v>
      </c>
      <c r="G756" s="105" t="s">
        <v>2524</v>
      </c>
    </row>
    <row r="757" spans="1:7" ht="12" x14ac:dyDescent="0.25">
      <c r="A757" s="90" t="s">
        <v>39</v>
      </c>
      <c r="B757" s="90" t="s">
        <v>104</v>
      </c>
      <c r="C757" s="90">
        <v>4</v>
      </c>
      <c r="D757" s="109" t="s">
        <v>238</v>
      </c>
      <c r="E757" s="99" t="s">
        <v>238</v>
      </c>
      <c r="F757" s="100" t="s">
        <v>2057</v>
      </c>
      <c r="G757" s="105" t="s">
        <v>2058</v>
      </c>
    </row>
    <row r="758" spans="1:7" ht="12" x14ac:dyDescent="0.25">
      <c r="A758" s="90" t="s">
        <v>39</v>
      </c>
      <c r="B758" s="90" t="s">
        <v>104</v>
      </c>
      <c r="C758" s="90">
        <v>4</v>
      </c>
      <c r="D758" s="109" t="s">
        <v>239</v>
      </c>
      <c r="E758" s="99" t="s">
        <v>239</v>
      </c>
      <c r="F758" s="100" t="s">
        <v>2059</v>
      </c>
      <c r="G758" s="105" t="s">
        <v>2060</v>
      </c>
    </row>
    <row r="759" spans="1:7" ht="12" x14ac:dyDescent="0.25">
      <c r="A759" s="90" t="s">
        <v>39</v>
      </c>
      <c r="B759" s="90" t="s">
        <v>104</v>
      </c>
      <c r="C759" s="90">
        <v>4</v>
      </c>
      <c r="D759" s="109" t="s">
        <v>240</v>
      </c>
      <c r="E759" s="99" t="s">
        <v>240</v>
      </c>
      <c r="F759" s="100" t="s">
        <v>2061</v>
      </c>
      <c r="G759" s="105" t="s">
        <v>2062</v>
      </c>
    </row>
    <row r="760" spans="1:7" ht="12" x14ac:dyDescent="0.25">
      <c r="A760" s="90" t="s">
        <v>39</v>
      </c>
      <c r="B760" s="90" t="s">
        <v>104</v>
      </c>
      <c r="C760" s="90">
        <v>4</v>
      </c>
      <c r="D760" s="109" t="s">
        <v>241</v>
      </c>
      <c r="E760" s="99" t="s">
        <v>241</v>
      </c>
      <c r="F760" s="100" t="s">
        <v>2063</v>
      </c>
      <c r="G760" s="105" t="s">
        <v>2064</v>
      </c>
    </row>
    <row r="761" spans="1:7" ht="12" x14ac:dyDescent="0.25">
      <c r="A761" s="90" t="s">
        <v>39</v>
      </c>
      <c r="B761" s="90" t="s">
        <v>104</v>
      </c>
      <c r="C761" s="90">
        <v>4</v>
      </c>
      <c r="D761" s="109" t="s">
        <v>242</v>
      </c>
      <c r="E761" s="99" t="s">
        <v>242</v>
      </c>
      <c r="F761" s="100" t="s">
        <v>2065</v>
      </c>
      <c r="G761" s="105" t="s">
        <v>2066</v>
      </c>
    </row>
    <row r="762" spans="1:7" ht="12" x14ac:dyDescent="0.25">
      <c r="A762" s="90" t="s">
        <v>39</v>
      </c>
      <c r="B762" s="90" t="s">
        <v>104</v>
      </c>
      <c r="C762" s="90">
        <v>4</v>
      </c>
      <c r="D762" s="109" t="s">
        <v>243</v>
      </c>
      <c r="E762" s="99" t="s">
        <v>243</v>
      </c>
      <c r="F762" s="100" t="s">
        <v>2067</v>
      </c>
      <c r="G762" s="105" t="s">
        <v>2068</v>
      </c>
    </row>
    <row r="763" spans="1:7" ht="12" x14ac:dyDescent="0.25">
      <c r="A763" s="90" t="s">
        <v>39</v>
      </c>
      <c r="B763" s="90" t="s">
        <v>104</v>
      </c>
      <c r="C763" s="90">
        <v>4</v>
      </c>
      <c r="D763" s="109" t="s">
        <v>2069</v>
      </c>
      <c r="E763" s="99" t="s">
        <v>2069</v>
      </c>
      <c r="F763" s="100" t="s">
        <v>2472</v>
      </c>
      <c r="G763" s="105" t="s">
        <v>2528</v>
      </c>
    </row>
    <row r="764" spans="1:7" ht="12" x14ac:dyDescent="0.25">
      <c r="A764" s="90" t="s">
        <v>39</v>
      </c>
      <c r="B764" s="90" t="s">
        <v>104</v>
      </c>
      <c r="C764" s="90">
        <v>4</v>
      </c>
      <c r="D764" s="109" t="s">
        <v>130</v>
      </c>
      <c r="E764" s="99" t="s">
        <v>130</v>
      </c>
      <c r="F764" s="100" t="s">
        <v>2468</v>
      </c>
      <c r="G764" s="105" t="s">
        <v>2524</v>
      </c>
    </row>
    <row r="765" spans="1:7" ht="12" x14ac:dyDescent="0.25">
      <c r="A765" s="90" t="s">
        <v>39</v>
      </c>
      <c r="B765" s="90" t="s">
        <v>104</v>
      </c>
      <c r="C765" s="90">
        <v>4</v>
      </c>
      <c r="D765" s="109" t="s">
        <v>337</v>
      </c>
      <c r="E765" s="99" t="s">
        <v>337</v>
      </c>
      <c r="F765" s="100" t="s">
        <v>2070</v>
      </c>
      <c r="G765" s="105" t="s">
        <v>2071</v>
      </c>
    </row>
    <row r="766" spans="1:7" ht="12" x14ac:dyDescent="0.25">
      <c r="A766" s="90" t="s">
        <v>39</v>
      </c>
      <c r="B766" s="90" t="s">
        <v>104</v>
      </c>
      <c r="C766" s="90">
        <v>4</v>
      </c>
      <c r="D766" s="109" t="s">
        <v>338</v>
      </c>
      <c r="E766" s="99" t="s">
        <v>338</v>
      </c>
      <c r="F766" s="100" t="s">
        <v>2072</v>
      </c>
      <c r="G766" s="105" t="s">
        <v>2073</v>
      </c>
    </row>
    <row r="767" spans="1:7" ht="12" x14ac:dyDescent="0.25">
      <c r="A767" s="90" t="s">
        <v>39</v>
      </c>
      <c r="B767" s="90" t="s">
        <v>104</v>
      </c>
      <c r="C767" s="90">
        <v>4</v>
      </c>
      <c r="D767" s="109" t="s">
        <v>339</v>
      </c>
      <c r="E767" s="99" t="s">
        <v>339</v>
      </c>
      <c r="F767" s="100" t="s">
        <v>2074</v>
      </c>
      <c r="G767" s="105" t="s">
        <v>2075</v>
      </c>
    </row>
    <row r="768" spans="1:7" ht="12" x14ac:dyDescent="0.25">
      <c r="A768" s="90" t="s">
        <v>39</v>
      </c>
      <c r="B768" s="90" t="s">
        <v>104</v>
      </c>
      <c r="C768" s="90">
        <v>4</v>
      </c>
      <c r="D768" s="109" t="s">
        <v>340</v>
      </c>
      <c r="E768" s="99" t="s">
        <v>340</v>
      </c>
      <c r="F768" s="100" t="s">
        <v>2076</v>
      </c>
      <c r="G768" s="105" t="s">
        <v>2077</v>
      </c>
    </row>
    <row r="769" spans="1:7" ht="12" x14ac:dyDescent="0.25">
      <c r="A769" s="90" t="s">
        <v>39</v>
      </c>
      <c r="B769" s="90" t="s">
        <v>104</v>
      </c>
      <c r="C769" s="90">
        <v>4</v>
      </c>
      <c r="D769" s="109" t="s">
        <v>341</v>
      </c>
      <c r="E769" s="99" t="s">
        <v>341</v>
      </c>
      <c r="F769" s="100" t="s">
        <v>2078</v>
      </c>
      <c r="G769" s="105" t="s">
        <v>2079</v>
      </c>
    </row>
    <row r="770" spans="1:7" ht="12" x14ac:dyDescent="0.25">
      <c r="A770" s="90" t="s">
        <v>39</v>
      </c>
      <c r="B770" s="90" t="s">
        <v>104</v>
      </c>
      <c r="C770" s="90">
        <v>4</v>
      </c>
      <c r="D770" s="109" t="s">
        <v>342</v>
      </c>
      <c r="E770" s="99" t="s">
        <v>342</v>
      </c>
      <c r="F770" s="100" t="s">
        <v>2080</v>
      </c>
      <c r="G770" s="105" t="s">
        <v>2081</v>
      </c>
    </row>
    <row r="771" spans="1:7" ht="12" x14ac:dyDescent="0.25">
      <c r="A771" s="90" t="s">
        <v>39</v>
      </c>
      <c r="B771" s="90" t="s">
        <v>104</v>
      </c>
      <c r="C771" s="90">
        <v>4</v>
      </c>
      <c r="D771" s="109" t="s">
        <v>2082</v>
      </c>
      <c r="E771" s="99" t="s">
        <v>2082</v>
      </c>
      <c r="F771" s="100" t="s">
        <v>2473</v>
      </c>
      <c r="G771" s="105" t="s">
        <v>2529</v>
      </c>
    </row>
    <row r="772" spans="1:7" ht="12" x14ac:dyDescent="0.25">
      <c r="A772" s="90" t="s">
        <v>39</v>
      </c>
      <c r="B772" s="90" t="s">
        <v>104</v>
      </c>
      <c r="C772" s="90">
        <v>4</v>
      </c>
      <c r="D772" s="109" t="s">
        <v>191</v>
      </c>
      <c r="E772" s="99" t="s">
        <v>191</v>
      </c>
      <c r="F772" s="100" t="s">
        <v>343</v>
      </c>
      <c r="G772" s="105" t="s">
        <v>2083</v>
      </c>
    </row>
    <row r="773" spans="1:7" ht="12" x14ac:dyDescent="0.25">
      <c r="A773" s="90" t="s">
        <v>39</v>
      </c>
      <c r="B773" s="90" t="s">
        <v>104</v>
      </c>
      <c r="C773" s="90">
        <v>4</v>
      </c>
      <c r="D773" s="109" t="s">
        <v>244</v>
      </c>
      <c r="E773" s="99" t="s">
        <v>244</v>
      </c>
      <c r="F773" s="100" t="s">
        <v>344</v>
      </c>
      <c r="G773" s="105" t="s">
        <v>345</v>
      </c>
    </row>
    <row r="774" spans="1:7" ht="12" x14ac:dyDescent="0.25">
      <c r="A774" s="90" t="s">
        <v>39</v>
      </c>
      <c r="B774" s="90" t="s">
        <v>104</v>
      </c>
      <c r="C774" s="90">
        <v>4</v>
      </c>
      <c r="D774" s="109" t="s">
        <v>2084</v>
      </c>
      <c r="E774" s="99" t="s">
        <v>2084</v>
      </c>
      <c r="F774" s="100" t="s">
        <v>2474</v>
      </c>
      <c r="G774" s="105" t="s">
        <v>2530</v>
      </c>
    </row>
    <row r="775" spans="1:7" ht="12" x14ac:dyDescent="0.25">
      <c r="A775" s="90" t="s">
        <v>39</v>
      </c>
      <c r="B775" s="90" t="s">
        <v>104</v>
      </c>
      <c r="C775" s="90">
        <v>4</v>
      </c>
      <c r="D775" s="109" t="s">
        <v>211</v>
      </c>
      <c r="E775" s="99" t="s">
        <v>211</v>
      </c>
      <c r="F775" s="100" t="s">
        <v>2085</v>
      </c>
      <c r="G775" s="105" t="s">
        <v>349</v>
      </c>
    </row>
    <row r="776" spans="1:7" ht="12" x14ac:dyDescent="0.25">
      <c r="A776" s="90" t="s">
        <v>39</v>
      </c>
      <c r="B776" s="90" t="s">
        <v>104</v>
      </c>
      <c r="C776" s="90">
        <v>4</v>
      </c>
      <c r="D776" s="109" t="s">
        <v>193</v>
      </c>
      <c r="E776" s="99" t="s">
        <v>193</v>
      </c>
      <c r="F776" s="102" t="s">
        <v>350</v>
      </c>
      <c r="G776" s="107" t="s">
        <v>2086</v>
      </c>
    </row>
    <row r="777" spans="1:7" ht="12" x14ac:dyDescent="0.25">
      <c r="A777" s="90" t="s">
        <v>39</v>
      </c>
      <c r="B777" s="90" t="s">
        <v>104</v>
      </c>
      <c r="C777" s="90">
        <v>4</v>
      </c>
      <c r="D777" s="109" t="s">
        <v>145</v>
      </c>
      <c r="E777" s="99" t="s">
        <v>145</v>
      </c>
      <c r="F777" s="100" t="s">
        <v>351</v>
      </c>
      <c r="G777" s="105" t="s">
        <v>352</v>
      </c>
    </row>
    <row r="778" spans="1:7" ht="12" x14ac:dyDescent="0.25">
      <c r="A778" s="90" t="s">
        <v>39</v>
      </c>
      <c r="B778" s="90" t="s">
        <v>104</v>
      </c>
      <c r="D778" s="109"/>
      <c r="E778" s="101"/>
      <c r="F778" s="101"/>
      <c r="G778" s="101"/>
    </row>
    <row r="779" spans="1:7" ht="12" x14ac:dyDescent="0.25">
      <c r="A779" s="90" t="s">
        <v>39</v>
      </c>
      <c r="B779" s="90" t="s">
        <v>77</v>
      </c>
      <c r="C779" s="90" t="s">
        <v>334</v>
      </c>
      <c r="D779" s="109" t="s">
        <v>355</v>
      </c>
      <c r="E779" s="99" t="s">
        <v>355</v>
      </c>
      <c r="F779" s="100" t="s">
        <v>2096</v>
      </c>
      <c r="G779" s="105" t="s">
        <v>2097</v>
      </c>
    </row>
    <row r="780" spans="1:7" ht="12" x14ac:dyDescent="0.25">
      <c r="A780" s="90" t="s">
        <v>39</v>
      </c>
      <c r="B780" s="90" t="s">
        <v>77</v>
      </c>
      <c r="C780" s="90" t="s">
        <v>334</v>
      </c>
      <c r="D780" s="109" t="s">
        <v>0</v>
      </c>
      <c r="E780" s="99" t="s">
        <v>0</v>
      </c>
      <c r="F780" s="100" t="s">
        <v>268</v>
      </c>
      <c r="G780" s="105" t="s">
        <v>269</v>
      </c>
    </row>
    <row r="781" spans="1:7" ht="12" x14ac:dyDescent="0.25">
      <c r="A781" s="90" t="s">
        <v>39</v>
      </c>
      <c r="B781" s="90" t="s">
        <v>77</v>
      </c>
      <c r="C781" s="90" t="s">
        <v>334</v>
      </c>
      <c r="D781" s="109" t="s">
        <v>1</v>
      </c>
      <c r="E781" s="99" t="s">
        <v>1</v>
      </c>
      <c r="F781" s="102" t="s">
        <v>315</v>
      </c>
      <c r="G781" s="107" t="s">
        <v>316</v>
      </c>
    </row>
    <row r="782" spans="1:7" ht="12" x14ac:dyDescent="0.25">
      <c r="A782" s="90" t="s">
        <v>39</v>
      </c>
      <c r="B782" s="90" t="s">
        <v>77</v>
      </c>
      <c r="C782" s="90" t="s">
        <v>334</v>
      </c>
      <c r="D782" s="109" t="s">
        <v>2</v>
      </c>
      <c r="E782" s="99" t="s">
        <v>2</v>
      </c>
      <c r="F782" s="100" t="s">
        <v>277</v>
      </c>
      <c r="G782" s="105" t="s">
        <v>278</v>
      </c>
    </row>
    <row r="783" spans="1:7" ht="12" x14ac:dyDescent="0.25">
      <c r="A783" s="90" t="s">
        <v>39</v>
      </c>
      <c r="B783" s="90" t="s">
        <v>77</v>
      </c>
      <c r="C783" s="90" t="s">
        <v>334</v>
      </c>
      <c r="D783" s="109" t="s">
        <v>3</v>
      </c>
      <c r="E783" s="99" t="s">
        <v>3</v>
      </c>
      <c r="F783" s="100" t="s">
        <v>283</v>
      </c>
      <c r="G783" s="105" t="s">
        <v>2020</v>
      </c>
    </row>
    <row r="784" spans="1:7" ht="360" x14ac:dyDescent="0.25">
      <c r="A784" s="90" t="s">
        <v>39</v>
      </c>
      <c r="B784" s="90" t="s">
        <v>77</v>
      </c>
      <c r="C784" s="90">
        <v>1</v>
      </c>
      <c r="D784" s="109" t="s">
        <v>2021</v>
      </c>
      <c r="E784" s="99" t="s">
        <v>2021</v>
      </c>
      <c r="F784" s="100" t="s">
        <v>2450</v>
      </c>
      <c r="G784" s="105" t="s">
        <v>2451</v>
      </c>
    </row>
    <row r="785" spans="1:7" ht="12" x14ac:dyDescent="0.25">
      <c r="A785" s="90" t="s">
        <v>39</v>
      </c>
      <c r="B785" s="90" t="s">
        <v>77</v>
      </c>
      <c r="C785" s="90">
        <v>1</v>
      </c>
      <c r="D785" s="109" t="s">
        <v>75</v>
      </c>
      <c r="E785" s="99" t="s">
        <v>75</v>
      </c>
      <c r="F785" s="100" t="s">
        <v>2022</v>
      </c>
      <c r="G785" s="105" t="s">
        <v>2023</v>
      </c>
    </row>
    <row r="786" spans="1:7" ht="12" x14ac:dyDescent="0.25">
      <c r="A786" s="90" t="s">
        <v>39</v>
      </c>
      <c r="B786" s="90" t="s">
        <v>77</v>
      </c>
      <c r="C786" s="90">
        <v>1</v>
      </c>
      <c r="D786" s="160" t="s">
        <v>2000</v>
      </c>
      <c r="E786" s="161" t="s">
        <v>2000</v>
      </c>
      <c r="F786" s="162" t="s">
        <v>2452</v>
      </c>
      <c r="G786" s="163" t="s">
        <v>2531</v>
      </c>
    </row>
    <row r="787" spans="1:7" ht="12" x14ac:dyDescent="0.25">
      <c r="A787" s="90" t="s">
        <v>39</v>
      </c>
      <c r="B787" s="90" t="s">
        <v>77</v>
      </c>
      <c r="C787" s="90">
        <v>1</v>
      </c>
      <c r="D787" s="109" t="s">
        <v>2001</v>
      </c>
      <c r="E787" s="99" t="s">
        <v>2001</v>
      </c>
      <c r="F787" s="100" t="s">
        <v>2475</v>
      </c>
      <c r="G787" s="105" t="s">
        <v>2532</v>
      </c>
    </row>
    <row r="788" spans="1:7" ht="12" x14ac:dyDescent="0.25">
      <c r="A788" s="90" t="s">
        <v>39</v>
      </c>
      <c r="B788" s="90" t="s">
        <v>77</v>
      </c>
      <c r="C788" s="90">
        <v>1</v>
      </c>
      <c r="D788" s="109" t="s">
        <v>225</v>
      </c>
      <c r="E788" s="99" t="s">
        <v>225</v>
      </c>
      <c r="F788" s="100" t="s">
        <v>335</v>
      </c>
      <c r="G788" s="105" t="s">
        <v>336</v>
      </c>
    </row>
    <row r="789" spans="1:7" ht="12" x14ac:dyDescent="0.25">
      <c r="A789" s="90" t="s">
        <v>39</v>
      </c>
      <c r="B789" s="90" t="s">
        <v>77</v>
      </c>
      <c r="C789" s="90">
        <v>1</v>
      </c>
      <c r="D789" s="109" t="s">
        <v>74</v>
      </c>
      <c r="E789" s="99" t="s">
        <v>74</v>
      </c>
      <c r="F789" s="100" t="s">
        <v>326</v>
      </c>
      <c r="G789" s="105" t="s">
        <v>327</v>
      </c>
    </row>
    <row r="790" spans="1:7" ht="12" x14ac:dyDescent="0.25">
      <c r="A790" s="90" t="s">
        <v>39</v>
      </c>
      <c r="B790" s="90" t="s">
        <v>77</v>
      </c>
      <c r="C790" s="90">
        <v>1</v>
      </c>
      <c r="D790" s="109" t="s">
        <v>2030</v>
      </c>
      <c r="E790" s="99" t="s">
        <v>2030</v>
      </c>
      <c r="F790" s="100" t="s">
        <v>2467</v>
      </c>
      <c r="G790" s="105" t="s">
        <v>2462</v>
      </c>
    </row>
    <row r="791" spans="1:7" ht="12" x14ac:dyDescent="0.25">
      <c r="A791" s="90" t="s">
        <v>39</v>
      </c>
      <c r="B791" s="90" t="s">
        <v>77</v>
      </c>
      <c r="C791" s="90">
        <v>1</v>
      </c>
      <c r="D791" s="109" t="s">
        <v>64</v>
      </c>
      <c r="E791" s="99" t="s">
        <v>64</v>
      </c>
      <c r="F791" s="100" t="s">
        <v>2476</v>
      </c>
      <c r="G791" s="105" t="s">
        <v>2087</v>
      </c>
    </row>
    <row r="792" spans="1:7" ht="12" x14ac:dyDescent="0.25">
      <c r="A792" s="90" t="s">
        <v>39</v>
      </c>
      <c r="B792" s="90" t="s">
        <v>77</v>
      </c>
      <c r="C792" s="90">
        <v>1</v>
      </c>
      <c r="D792" s="109" t="s">
        <v>130</v>
      </c>
      <c r="E792" s="99" t="s">
        <v>130</v>
      </c>
      <c r="F792" s="100" t="s">
        <v>2468</v>
      </c>
      <c r="G792" s="105" t="s">
        <v>2524</v>
      </c>
    </row>
    <row r="793" spans="1:7" ht="12" x14ac:dyDescent="0.25">
      <c r="A793" s="90" t="s">
        <v>39</v>
      </c>
      <c r="B793" s="90" t="s">
        <v>77</v>
      </c>
      <c r="C793" s="90">
        <v>1</v>
      </c>
      <c r="D793" s="109" t="s">
        <v>226</v>
      </c>
      <c r="E793" s="99" t="s">
        <v>226</v>
      </c>
      <c r="F793" s="100" t="s">
        <v>2469</v>
      </c>
      <c r="G793" s="105" t="s">
        <v>2525</v>
      </c>
    </row>
    <row r="794" spans="1:7" ht="12" x14ac:dyDescent="0.25">
      <c r="A794" s="90" t="s">
        <v>39</v>
      </c>
      <c r="B794" s="90" t="s">
        <v>77</v>
      </c>
      <c r="C794" s="90">
        <v>1</v>
      </c>
      <c r="D794" s="109" t="s">
        <v>227</v>
      </c>
      <c r="E794" s="99" t="s">
        <v>227</v>
      </c>
      <c r="F794" s="100" t="s">
        <v>2033</v>
      </c>
      <c r="G794" s="105" t="s">
        <v>2034</v>
      </c>
    </row>
    <row r="795" spans="1:7" ht="12" x14ac:dyDescent="0.25">
      <c r="A795" s="90" t="s">
        <v>39</v>
      </c>
      <c r="B795" s="90" t="s">
        <v>77</v>
      </c>
      <c r="C795" s="90">
        <v>1</v>
      </c>
      <c r="D795" s="109" t="s">
        <v>228</v>
      </c>
      <c r="E795" s="99" t="s">
        <v>228</v>
      </c>
      <c r="F795" s="100" t="s">
        <v>2035</v>
      </c>
      <c r="G795" s="105" t="s">
        <v>2036</v>
      </c>
    </row>
    <row r="796" spans="1:7" ht="12" x14ac:dyDescent="0.25">
      <c r="A796" s="90" t="s">
        <v>39</v>
      </c>
      <c r="B796" s="90" t="s">
        <v>77</v>
      </c>
      <c r="C796" s="90">
        <v>1</v>
      </c>
      <c r="D796" s="109" t="s">
        <v>229</v>
      </c>
      <c r="E796" s="99" t="s">
        <v>229</v>
      </c>
      <c r="F796" s="100" t="s">
        <v>2037</v>
      </c>
      <c r="G796" s="105" t="s">
        <v>2038</v>
      </c>
    </row>
    <row r="797" spans="1:7" ht="12" x14ac:dyDescent="0.25">
      <c r="A797" s="90" t="s">
        <v>39</v>
      </c>
      <c r="B797" s="90" t="s">
        <v>77</v>
      </c>
      <c r="C797" s="90">
        <v>1</v>
      </c>
      <c r="D797" s="109" t="s">
        <v>230</v>
      </c>
      <c r="E797" s="99" t="s">
        <v>230</v>
      </c>
      <c r="F797" s="100" t="s">
        <v>2039</v>
      </c>
      <c r="G797" s="105" t="s">
        <v>2040</v>
      </c>
    </row>
    <row r="798" spans="1:7" ht="12" x14ac:dyDescent="0.25">
      <c r="A798" s="90" t="s">
        <v>39</v>
      </c>
      <c r="B798" s="90" t="s">
        <v>77</v>
      </c>
      <c r="C798" s="90">
        <v>1</v>
      </c>
      <c r="D798" s="109" t="s">
        <v>231</v>
      </c>
      <c r="E798" s="99" t="s">
        <v>231</v>
      </c>
      <c r="F798" s="100" t="s">
        <v>2041</v>
      </c>
      <c r="G798" s="105" t="s">
        <v>2042</v>
      </c>
    </row>
    <row r="799" spans="1:7" ht="12" x14ac:dyDescent="0.25">
      <c r="A799" s="90" t="s">
        <v>39</v>
      </c>
      <c r="B799" s="90" t="s">
        <v>77</v>
      </c>
      <c r="C799" s="90">
        <v>1</v>
      </c>
      <c r="D799" s="109" t="s">
        <v>2098</v>
      </c>
      <c r="E799" s="99" t="s">
        <v>2098</v>
      </c>
      <c r="F799" s="100" t="s">
        <v>2477</v>
      </c>
      <c r="G799" s="105" t="s">
        <v>2533</v>
      </c>
    </row>
    <row r="800" spans="1:7" ht="12" x14ac:dyDescent="0.25">
      <c r="A800" s="90" t="s">
        <v>39</v>
      </c>
      <c r="B800" s="90" t="s">
        <v>77</v>
      </c>
      <c r="C800" s="90">
        <v>1</v>
      </c>
      <c r="D800" s="109" t="s">
        <v>130</v>
      </c>
      <c r="E800" s="99" t="s">
        <v>130</v>
      </c>
      <c r="F800" s="100" t="s">
        <v>2468</v>
      </c>
      <c r="G800" s="105" t="s">
        <v>2524</v>
      </c>
    </row>
    <row r="801" spans="1:7" ht="12" x14ac:dyDescent="0.25">
      <c r="A801" s="90" t="s">
        <v>39</v>
      </c>
      <c r="B801" s="90" t="s">
        <v>77</v>
      </c>
      <c r="C801" s="90">
        <v>1</v>
      </c>
      <c r="D801" s="109" t="s">
        <v>232</v>
      </c>
      <c r="E801" s="99" t="s">
        <v>232</v>
      </c>
      <c r="F801" s="100" t="s">
        <v>2044</v>
      </c>
      <c r="G801" s="105" t="s">
        <v>2045</v>
      </c>
    </row>
    <row r="802" spans="1:7" ht="12" x14ac:dyDescent="0.25">
      <c r="A802" s="90" t="s">
        <v>39</v>
      </c>
      <c r="B802" s="90" t="s">
        <v>77</v>
      </c>
      <c r="C802" s="90">
        <v>1</v>
      </c>
      <c r="D802" s="109" t="s">
        <v>233</v>
      </c>
      <c r="E802" s="99" t="s">
        <v>233</v>
      </c>
      <c r="F802" s="100" t="s">
        <v>2046</v>
      </c>
      <c r="G802" s="105" t="s">
        <v>2047</v>
      </c>
    </row>
    <row r="803" spans="1:7" ht="12" x14ac:dyDescent="0.25">
      <c r="A803" s="90" t="s">
        <v>39</v>
      </c>
      <c r="B803" s="90" t="s">
        <v>77</v>
      </c>
      <c r="C803" s="90">
        <v>1</v>
      </c>
      <c r="D803" s="109" t="s">
        <v>234</v>
      </c>
      <c r="E803" s="99" t="s">
        <v>234</v>
      </c>
      <c r="F803" s="100" t="s">
        <v>2048</v>
      </c>
      <c r="G803" s="105" t="s">
        <v>2049</v>
      </c>
    </row>
    <row r="804" spans="1:7" ht="12" x14ac:dyDescent="0.25">
      <c r="A804" s="90" t="s">
        <v>39</v>
      </c>
      <c r="B804" s="90" t="s">
        <v>77</v>
      </c>
      <c r="C804" s="90">
        <v>1</v>
      </c>
      <c r="D804" s="109" t="s">
        <v>235</v>
      </c>
      <c r="E804" s="99" t="s">
        <v>235</v>
      </c>
      <c r="F804" s="100" t="s">
        <v>2050</v>
      </c>
      <c r="G804" s="105" t="s">
        <v>2051</v>
      </c>
    </row>
    <row r="805" spans="1:7" ht="12" x14ac:dyDescent="0.25">
      <c r="A805" s="90" t="s">
        <v>39</v>
      </c>
      <c r="B805" s="90" t="s">
        <v>77</v>
      </c>
      <c r="C805" s="90">
        <v>1</v>
      </c>
      <c r="D805" s="109" t="s">
        <v>236</v>
      </c>
      <c r="E805" s="99" t="s">
        <v>236</v>
      </c>
      <c r="F805" s="100" t="s">
        <v>2052</v>
      </c>
      <c r="G805" s="105" t="s">
        <v>2053</v>
      </c>
    </row>
    <row r="806" spans="1:7" ht="12" x14ac:dyDescent="0.25">
      <c r="A806" s="90" t="s">
        <v>39</v>
      </c>
      <c r="B806" s="90" t="s">
        <v>77</v>
      </c>
      <c r="C806" s="90">
        <v>1</v>
      </c>
      <c r="D806" s="109" t="s">
        <v>237</v>
      </c>
      <c r="E806" s="99" t="s">
        <v>237</v>
      </c>
      <c r="F806" s="100" t="s">
        <v>2054</v>
      </c>
      <c r="G806" s="105" t="s">
        <v>2055</v>
      </c>
    </row>
    <row r="807" spans="1:7" ht="12" x14ac:dyDescent="0.25">
      <c r="A807" s="90" t="s">
        <v>39</v>
      </c>
      <c r="B807" s="90" t="s">
        <v>77</v>
      </c>
      <c r="C807" s="90">
        <v>1</v>
      </c>
      <c r="D807" s="109" t="s">
        <v>2099</v>
      </c>
      <c r="E807" s="99" t="s">
        <v>2099</v>
      </c>
      <c r="F807" s="100" t="s">
        <v>2478</v>
      </c>
      <c r="G807" s="105" t="s">
        <v>2534</v>
      </c>
    </row>
    <row r="808" spans="1:7" ht="12" x14ac:dyDescent="0.25">
      <c r="A808" s="90" t="s">
        <v>39</v>
      </c>
      <c r="B808" s="90" t="s">
        <v>77</v>
      </c>
      <c r="C808" s="90">
        <v>1</v>
      </c>
      <c r="D808" s="109" t="s">
        <v>130</v>
      </c>
      <c r="E808" s="99" t="s">
        <v>130</v>
      </c>
      <c r="F808" s="100" t="s">
        <v>2468</v>
      </c>
      <c r="G808" s="105" t="s">
        <v>2524</v>
      </c>
    </row>
    <row r="809" spans="1:7" ht="12" x14ac:dyDescent="0.25">
      <c r="A809" s="90" t="s">
        <v>39</v>
      </c>
      <c r="B809" s="90" t="s">
        <v>77</v>
      </c>
      <c r="C809" s="90">
        <v>1</v>
      </c>
      <c r="D809" s="109" t="s">
        <v>238</v>
      </c>
      <c r="E809" s="99" t="s">
        <v>238</v>
      </c>
      <c r="F809" s="100" t="s">
        <v>2057</v>
      </c>
      <c r="G809" s="105" t="s">
        <v>2058</v>
      </c>
    </row>
    <row r="810" spans="1:7" ht="12" x14ac:dyDescent="0.25">
      <c r="A810" s="90" t="s">
        <v>39</v>
      </c>
      <c r="B810" s="90" t="s">
        <v>77</v>
      </c>
      <c r="C810" s="90">
        <v>1</v>
      </c>
      <c r="D810" s="109" t="s">
        <v>239</v>
      </c>
      <c r="E810" s="99" t="s">
        <v>239</v>
      </c>
      <c r="F810" s="100" t="s">
        <v>2059</v>
      </c>
      <c r="G810" s="105" t="s">
        <v>2060</v>
      </c>
    </row>
    <row r="811" spans="1:7" ht="12" x14ac:dyDescent="0.25">
      <c r="A811" s="90" t="s">
        <v>39</v>
      </c>
      <c r="B811" s="90" t="s">
        <v>77</v>
      </c>
      <c r="C811" s="90">
        <v>1</v>
      </c>
      <c r="D811" s="109" t="s">
        <v>240</v>
      </c>
      <c r="E811" s="99" t="s">
        <v>240</v>
      </c>
      <c r="F811" s="100" t="s">
        <v>2061</v>
      </c>
      <c r="G811" s="105" t="s">
        <v>2062</v>
      </c>
    </row>
    <row r="812" spans="1:7" ht="12" x14ac:dyDescent="0.25">
      <c r="A812" s="90" t="s">
        <v>39</v>
      </c>
      <c r="B812" s="90" t="s">
        <v>77</v>
      </c>
      <c r="C812" s="90">
        <v>1</v>
      </c>
      <c r="D812" s="109" t="s">
        <v>241</v>
      </c>
      <c r="E812" s="99" t="s">
        <v>241</v>
      </c>
      <c r="F812" s="100" t="s">
        <v>2063</v>
      </c>
      <c r="G812" s="105" t="s">
        <v>2064</v>
      </c>
    </row>
    <row r="813" spans="1:7" ht="12" x14ac:dyDescent="0.25">
      <c r="A813" s="90" t="s">
        <v>39</v>
      </c>
      <c r="B813" s="90" t="s">
        <v>77</v>
      </c>
      <c r="C813" s="90">
        <v>1</v>
      </c>
      <c r="D813" s="109" t="s">
        <v>242</v>
      </c>
      <c r="E813" s="99" t="s">
        <v>242</v>
      </c>
      <c r="F813" s="100" t="s">
        <v>2065</v>
      </c>
      <c r="G813" s="105" t="s">
        <v>2066</v>
      </c>
    </row>
    <row r="814" spans="1:7" ht="12" x14ac:dyDescent="0.25">
      <c r="A814" s="90" t="s">
        <v>39</v>
      </c>
      <c r="B814" s="90" t="s">
        <v>77</v>
      </c>
      <c r="C814" s="90">
        <v>1</v>
      </c>
      <c r="D814" s="109" t="s">
        <v>243</v>
      </c>
      <c r="E814" s="99" t="s">
        <v>243</v>
      </c>
      <c r="F814" s="100" t="s">
        <v>2067</v>
      </c>
      <c r="G814" s="105" t="s">
        <v>2068</v>
      </c>
    </row>
    <row r="815" spans="1:7" ht="12" x14ac:dyDescent="0.25">
      <c r="A815" s="90" t="s">
        <v>39</v>
      </c>
      <c r="B815" s="90" t="s">
        <v>77</v>
      </c>
      <c r="C815" s="90">
        <v>1</v>
      </c>
      <c r="D815" s="109" t="s">
        <v>2100</v>
      </c>
      <c r="E815" s="99" t="s">
        <v>2100</v>
      </c>
      <c r="F815" s="100" t="s">
        <v>2479</v>
      </c>
      <c r="G815" s="105" t="s">
        <v>2535</v>
      </c>
    </row>
    <row r="816" spans="1:7" ht="12" x14ac:dyDescent="0.25">
      <c r="A816" s="90" t="s">
        <v>39</v>
      </c>
      <c r="B816" s="90" t="s">
        <v>77</v>
      </c>
      <c r="C816" s="90">
        <v>1</v>
      </c>
      <c r="D816" s="109" t="s">
        <v>130</v>
      </c>
      <c r="E816" s="99" t="s">
        <v>130</v>
      </c>
      <c r="F816" s="100" t="s">
        <v>2468</v>
      </c>
      <c r="G816" s="105" t="s">
        <v>2524</v>
      </c>
    </row>
    <row r="817" spans="1:7" ht="12" x14ac:dyDescent="0.25">
      <c r="A817" s="90" t="s">
        <v>39</v>
      </c>
      <c r="B817" s="90" t="s">
        <v>77</v>
      </c>
      <c r="C817" s="90">
        <v>1</v>
      </c>
      <c r="D817" s="109" t="s">
        <v>337</v>
      </c>
      <c r="E817" s="99" t="s">
        <v>337</v>
      </c>
      <c r="F817" s="100" t="s">
        <v>2070</v>
      </c>
      <c r="G817" s="105" t="s">
        <v>2071</v>
      </c>
    </row>
    <row r="818" spans="1:7" ht="12" x14ac:dyDescent="0.25">
      <c r="A818" s="90" t="s">
        <v>39</v>
      </c>
      <c r="B818" s="90" t="s">
        <v>77</v>
      </c>
      <c r="C818" s="90">
        <v>1</v>
      </c>
      <c r="D818" s="109" t="s">
        <v>338</v>
      </c>
      <c r="E818" s="99" t="s">
        <v>338</v>
      </c>
      <c r="F818" s="100" t="s">
        <v>2072</v>
      </c>
      <c r="G818" s="105" t="s">
        <v>2073</v>
      </c>
    </row>
    <row r="819" spans="1:7" ht="12" x14ac:dyDescent="0.25">
      <c r="A819" s="90" t="s">
        <v>39</v>
      </c>
      <c r="B819" s="90" t="s">
        <v>77</v>
      </c>
      <c r="C819" s="90">
        <v>1</v>
      </c>
      <c r="D819" s="109" t="s">
        <v>339</v>
      </c>
      <c r="E819" s="99" t="s">
        <v>339</v>
      </c>
      <c r="F819" s="100" t="s">
        <v>2074</v>
      </c>
      <c r="G819" s="105" t="s">
        <v>2075</v>
      </c>
    </row>
    <row r="820" spans="1:7" ht="12" x14ac:dyDescent="0.25">
      <c r="A820" s="90" t="s">
        <v>39</v>
      </c>
      <c r="B820" s="90" t="s">
        <v>77</v>
      </c>
      <c r="C820" s="90">
        <v>1</v>
      </c>
      <c r="D820" s="109" t="s">
        <v>340</v>
      </c>
      <c r="E820" s="99" t="s">
        <v>340</v>
      </c>
      <c r="F820" s="100" t="s">
        <v>2076</v>
      </c>
      <c r="G820" s="105" t="s">
        <v>2077</v>
      </c>
    </row>
    <row r="821" spans="1:7" ht="12" x14ac:dyDescent="0.25">
      <c r="A821" s="90" t="s">
        <v>39</v>
      </c>
      <c r="B821" s="90" t="s">
        <v>77</v>
      </c>
      <c r="C821" s="90">
        <v>1</v>
      </c>
      <c r="D821" s="109" t="s">
        <v>341</v>
      </c>
      <c r="E821" s="99" t="s">
        <v>341</v>
      </c>
      <c r="F821" s="100" t="s">
        <v>2078</v>
      </c>
      <c r="G821" s="105" t="s">
        <v>2079</v>
      </c>
    </row>
    <row r="822" spans="1:7" ht="12" x14ac:dyDescent="0.25">
      <c r="A822" s="90" t="s">
        <v>39</v>
      </c>
      <c r="B822" s="90" t="s">
        <v>77</v>
      </c>
      <c r="C822" s="90">
        <v>1</v>
      </c>
      <c r="D822" s="109" t="s">
        <v>342</v>
      </c>
      <c r="E822" s="99" t="s">
        <v>342</v>
      </c>
      <c r="F822" s="100" t="s">
        <v>2080</v>
      </c>
      <c r="G822" s="105" t="s">
        <v>2081</v>
      </c>
    </row>
    <row r="823" spans="1:7" ht="12" x14ac:dyDescent="0.25">
      <c r="A823" s="90" t="s">
        <v>39</v>
      </c>
      <c r="B823" s="90" t="s">
        <v>77</v>
      </c>
      <c r="C823" s="90">
        <v>1</v>
      </c>
      <c r="D823" s="109" t="s">
        <v>2101</v>
      </c>
      <c r="E823" s="99" t="s">
        <v>2101</v>
      </c>
      <c r="F823" s="100" t="s">
        <v>2480</v>
      </c>
      <c r="G823" s="105" t="s">
        <v>2536</v>
      </c>
    </row>
    <row r="824" spans="1:7" ht="12" x14ac:dyDescent="0.25">
      <c r="A824" s="90" t="s">
        <v>39</v>
      </c>
      <c r="B824" s="90" t="s">
        <v>77</v>
      </c>
      <c r="C824" s="90">
        <v>1</v>
      </c>
      <c r="D824" s="109" t="s">
        <v>191</v>
      </c>
      <c r="E824" s="99" t="s">
        <v>191</v>
      </c>
      <c r="F824" s="100" t="s">
        <v>343</v>
      </c>
      <c r="G824" s="105" t="s">
        <v>2083</v>
      </c>
    </row>
    <row r="825" spans="1:7" ht="12" x14ac:dyDescent="0.25">
      <c r="A825" s="90" t="s">
        <v>39</v>
      </c>
      <c r="B825" s="90" t="s">
        <v>77</v>
      </c>
      <c r="C825" s="90">
        <v>1</v>
      </c>
      <c r="D825" s="109" t="s">
        <v>244</v>
      </c>
      <c r="E825" s="99" t="s">
        <v>244</v>
      </c>
      <c r="F825" s="102" t="s">
        <v>344</v>
      </c>
      <c r="G825" s="107" t="s">
        <v>345</v>
      </c>
    </row>
    <row r="826" spans="1:7" ht="12" x14ac:dyDescent="0.25">
      <c r="A826" s="90" t="s">
        <v>39</v>
      </c>
      <c r="B826" s="90" t="s">
        <v>77</v>
      </c>
      <c r="C826" s="90">
        <v>1</v>
      </c>
      <c r="D826" s="109" t="s">
        <v>2102</v>
      </c>
      <c r="E826" s="99" t="s">
        <v>2102</v>
      </c>
      <c r="F826" s="100" t="s">
        <v>2481</v>
      </c>
      <c r="G826" s="105" t="s">
        <v>2537</v>
      </c>
    </row>
    <row r="827" spans="1:7" ht="12" x14ac:dyDescent="0.25">
      <c r="A827" s="90" t="s">
        <v>39</v>
      </c>
      <c r="B827" s="90" t="s">
        <v>77</v>
      </c>
      <c r="C827" s="90">
        <v>1</v>
      </c>
      <c r="D827" s="109" t="s">
        <v>211</v>
      </c>
      <c r="E827" s="99" t="s">
        <v>211</v>
      </c>
      <c r="F827" s="100" t="s">
        <v>2085</v>
      </c>
      <c r="G827" s="105" t="s">
        <v>349</v>
      </c>
    </row>
    <row r="828" spans="1:7" ht="12" x14ac:dyDescent="0.25">
      <c r="A828" s="90" t="s">
        <v>39</v>
      </c>
      <c r="B828" s="90" t="s">
        <v>77</v>
      </c>
      <c r="C828" s="90">
        <v>1</v>
      </c>
      <c r="D828" s="109" t="s">
        <v>193</v>
      </c>
      <c r="E828" s="99" t="s">
        <v>193</v>
      </c>
      <c r="F828" s="100" t="s">
        <v>350</v>
      </c>
      <c r="G828" s="105" t="s">
        <v>2086</v>
      </c>
    </row>
    <row r="829" spans="1:7" ht="12" x14ac:dyDescent="0.25">
      <c r="A829" s="90" t="s">
        <v>39</v>
      </c>
      <c r="B829" s="90" t="s">
        <v>77</v>
      </c>
      <c r="C829" s="90">
        <v>1</v>
      </c>
      <c r="D829" s="109" t="s">
        <v>145</v>
      </c>
      <c r="E829" s="99" t="s">
        <v>145</v>
      </c>
      <c r="F829" s="100" t="s">
        <v>351</v>
      </c>
      <c r="G829" s="105" t="s">
        <v>352</v>
      </c>
    </row>
    <row r="830" spans="1:7" ht="360" x14ac:dyDescent="0.25">
      <c r="A830" s="90" t="s">
        <v>39</v>
      </c>
      <c r="B830" s="90" t="s">
        <v>77</v>
      </c>
      <c r="C830" s="90">
        <v>2</v>
      </c>
      <c r="D830" s="109" t="s">
        <v>2021</v>
      </c>
      <c r="E830" s="99" t="s">
        <v>2021</v>
      </c>
      <c r="F830" s="100" t="s">
        <v>2450</v>
      </c>
      <c r="G830" s="105" t="s">
        <v>2451</v>
      </c>
    </row>
    <row r="831" spans="1:7" ht="12" x14ac:dyDescent="0.25">
      <c r="A831" s="90" t="s">
        <v>39</v>
      </c>
      <c r="B831" s="90" t="s">
        <v>77</v>
      </c>
      <c r="C831" s="90">
        <v>2</v>
      </c>
      <c r="D831" s="109" t="s">
        <v>75</v>
      </c>
      <c r="E831" s="99" t="s">
        <v>75</v>
      </c>
      <c r="F831" s="100" t="s">
        <v>2022</v>
      </c>
      <c r="G831" s="105" t="s">
        <v>2023</v>
      </c>
    </row>
    <row r="832" spans="1:7" ht="12" x14ac:dyDescent="0.25">
      <c r="A832" s="90" t="s">
        <v>39</v>
      </c>
      <c r="B832" s="90" t="s">
        <v>77</v>
      </c>
      <c r="C832" s="90">
        <v>2</v>
      </c>
      <c r="D832" s="109" t="s">
        <v>2000</v>
      </c>
      <c r="E832" s="99" t="s">
        <v>2000</v>
      </c>
      <c r="F832" s="100" t="s">
        <v>2452</v>
      </c>
      <c r="G832" s="105" t="s">
        <v>2531</v>
      </c>
    </row>
    <row r="833" spans="1:7" ht="12" x14ac:dyDescent="0.25">
      <c r="A833" s="90" t="s">
        <v>39</v>
      </c>
      <c r="B833" s="90" t="s">
        <v>77</v>
      </c>
      <c r="C833" s="90">
        <v>2</v>
      </c>
      <c r="D833" s="109" t="s">
        <v>2001</v>
      </c>
      <c r="E833" s="99" t="s">
        <v>2001</v>
      </c>
      <c r="F833" s="100" t="s">
        <v>2475</v>
      </c>
      <c r="G833" s="105" t="s">
        <v>2532</v>
      </c>
    </row>
    <row r="834" spans="1:7" ht="12" x14ac:dyDescent="0.25">
      <c r="A834" s="90" t="s">
        <v>39</v>
      </c>
      <c r="B834" s="90" t="s">
        <v>77</v>
      </c>
      <c r="C834" s="90">
        <v>2</v>
      </c>
      <c r="D834" s="109" t="s">
        <v>225</v>
      </c>
      <c r="E834" s="99" t="s">
        <v>225</v>
      </c>
      <c r="F834" s="100" t="s">
        <v>335</v>
      </c>
      <c r="G834" s="105" t="s">
        <v>336</v>
      </c>
    </row>
    <row r="835" spans="1:7" ht="12" x14ac:dyDescent="0.25">
      <c r="A835" s="90" t="s">
        <v>39</v>
      </c>
      <c r="B835" s="90" t="s">
        <v>77</v>
      </c>
      <c r="C835" s="90">
        <v>2</v>
      </c>
      <c r="D835" s="109" t="s">
        <v>74</v>
      </c>
      <c r="E835" s="99" t="s">
        <v>74</v>
      </c>
      <c r="F835" s="100" t="s">
        <v>326</v>
      </c>
      <c r="G835" s="105" t="s">
        <v>327</v>
      </c>
    </row>
    <row r="836" spans="1:7" ht="12" x14ac:dyDescent="0.25">
      <c r="A836" s="90" t="s">
        <v>39</v>
      </c>
      <c r="B836" s="90" t="s">
        <v>77</v>
      </c>
      <c r="C836" s="90">
        <v>2</v>
      </c>
      <c r="D836" s="109" t="s">
        <v>2030</v>
      </c>
      <c r="E836" s="99" t="s">
        <v>2030</v>
      </c>
      <c r="F836" s="100" t="s">
        <v>2467</v>
      </c>
      <c r="G836" s="105" t="s">
        <v>2462</v>
      </c>
    </row>
    <row r="837" spans="1:7" ht="12" x14ac:dyDescent="0.25">
      <c r="A837" s="90" t="s">
        <v>39</v>
      </c>
      <c r="B837" s="90" t="s">
        <v>77</v>
      </c>
      <c r="C837" s="90">
        <v>2</v>
      </c>
      <c r="D837" s="109" t="s">
        <v>64</v>
      </c>
      <c r="E837" s="99" t="s">
        <v>64</v>
      </c>
      <c r="F837" s="100" t="s">
        <v>2476</v>
      </c>
      <c r="G837" s="105" t="s">
        <v>2087</v>
      </c>
    </row>
    <row r="838" spans="1:7" ht="12" x14ac:dyDescent="0.25">
      <c r="A838" s="90" t="s">
        <v>39</v>
      </c>
      <c r="B838" s="90" t="s">
        <v>77</v>
      </c>
      <c r="C838" s="90">
        <v>2</v>
      </c>
      <c r="D838" s="109" t="s">
        <v>130</v>
      </c>
      <c r="E838" s="99" t="s">
        <v>130</v>
      </c>
      <c r="F838" s="100" t="s">
        <v>2468</v>
      </c>
      <c r="G838" s="105" t="s">
        <v>2524</v>
      </c>
    </row>
    <row r="839" spans="1:7" ht="12" x14ac:dyDescent="0.25">
      <c r="A839" s="90" t="s">
        <v>39</v>
      </c>
      <c r="B839" s="90" t="s">
        <v>77</v>
      </c>
      <c r="C839" s="90">
        <v>2</v>
      </c>
      <c r="D839" s="109" t="s">
        <v>226</v>
      </c>
      <c r="E839" s="99" t="s">
        <v>226</v>
      </c>
      <c r="F839" s="100" t="s">
        <v>2469</v>
      </c>
      <c r="G839" s="105" t="s">
        <v>2525</v>
      </c>
    </row>
    <row r="840" spans="1:7" ht="12" x14ac:dyDescent="0.25">
      <c r="A840" s="90" t="s">
        <v>39</v>
      </c>
      <c r="B840" s="90" t="s">
        <v>77</v>
      </c>
      <c r="C840" s="90">
        <v>2</v>
      </c>
      <c r="D840" s="109" t="s">
        <v>227</v>
      </c>
      <c r="E840" s="99" t="s">
        <v>227</v>
      </c>
      <c r="F840" s="100" t="s">
        <v>2033</v>
      </c>
      <c r="G840" s="105" t="s">
        <v>2034</v>
      </c>
    </row>
    <row r="841" spans="1:7" ht="12" x14ac:dyDescent="0.25">
      <c r="A841" s="90" t="s">
        <v>39</v>
      </c>
      <c r="B841" s="90" t="s">
        <v>77</v>
      </c>
      <c r="C841" s="90">
        <v>2</v>
      </c>
      <c r="D841" s="109" t="s">
        <v>228</v>
      </c>
      <c r="E841" s="99" t="s">
        <v>228</v>
      </c>
      <c r="F841" s="100" t="s">
        <v>2035</v>
      </c>
      <c r="G841" s="105" t="s">
        <v>2036</v>
      </c>
    </row>
    <row r="842" spans="1:7" ht="12" x14ac:dyDescent="0.25">
      <c r="A842" s="90" t="s">
        <v>39</v>
      </c>
      <c r="B842" s="90" t="s">
        <v>77</v>
      </c>
      <c r="C842" s="90">
        <v>2</v>
      </c>
      <c r="D842" s="109" t="s">
        <v>229</v>
      </c>
      <c r="E842" s="99" t="s">
        <v>229</v>
      </c>
      <c r="F842" s="100" t="s">
        <v>2037</v>
      </c>
      <c r="G842" s="105" t="s">
        <v>2038</v>
      </c>
    </row>
    <row r="843" spans="1:7" ht="12" x14ac:dyDescent="0.25">
      <c r="A843" s="90" t="s">
        <v>39</v>
      </c>
      <c r="B843" s="90" t="s">
        <v>77</v>
      </c>
      <c r="C843" s="90">
        <v>2</v>
      </c>
      <c r="D843" s="109" t="s">
        <v>230</v>
      </c>
      <c r="E843" s="99" t="s">
        <v>230</v>
      </c>
      <c r="F843" s="100" t="s">
        <v>2039</v>
      </c>
      <c r="G843" s="105" t="s">
        <v>2040</v>
      </c>
    </row>
    <row r="844" spans="1:7" ht="12" x14ac:dyDescent="0.25">
      <c r="A844" s="90" t="s">
        <v>39</v>
      </c>
      <c r="B844" s="90" t="s">
        <v>77</v>
      </c>
      <c r="C844" s="90">
        <v>2</v>
      </c>
      <c r="D844" s="109" t="s">
        <v>231</v>
      </c>
      <c r="E844" s="99" t="s">
        <v>231</v>
      </c>
      <c r="F844" s="100" t="s">
        <v>2041</v>
      </c>
      <c r="G844" s="105" t="s">
        <v>2042</v>
      </c>
    </row>
    <row r="845" spans="1:7" ht="12" x14ac:dyDescent="0.25">
      <c r="A845" s="90" t="s">
        <v>39</v>
      </c>
      <c r="B845" s="90" t="s">
        <v>77</v>
      </c>
      <c r="C845" s="90">
        <v>2</v>
      </c>
      <c r="D845" s="109" t="s">
        <v>2098</v>
      </c>
      <c r="E845" s="99" t="s">
        <v>2098</v>
      </c>
      <c r="F845" s="100" t="s">
        <v>2477</v>
      </c>
      <c r="G845" s="105" t="s">
        <v>2533</v>
      </c>
    </row>
    <row r="846" spans="1:7" ht="12" x14ac:dyDescent="0.25">
      <c r="A846" s="90" t="s">
        <v>39</v>
      </c>
      <c r="B846" s="90" t="s">
        <v>77</v>
      </c>
      <c r="C846" s="90">
        <v>2</v>
      </c>
      <c r="D846" s="109" t="s">
        <v>130</v>
      </c>
      <c r="E846" s="99" t="s">
        <v>130</v>
      </c>
      <c r="F846" s="100" t="s">
        <v>2468</v>
      </c>
      <c r="G846" s="105" t="s">
        <v>2524</v>
      </c>
    </row>
    <row r="847" spans="1:7" ht="12" x14ac:dyDescent="0.25">
      <c r="A847" s="90" t="s">
        <v>39</v>
      </c>
      <c r="B847" s="90" t="s">
        <v>77</v>
      </c>
      <c r="C847" s="90">
        <v>2</v>
      </c>
      <c r="D847" s="109" t="s">
        <v>232</v>
      </c>
      <c r="E847" s="99" t="s">
        <v>232</v>
      </c>
      <c r="F847" s="100" t="s">
        <v>2044</v>
      </c>
      <c r="G847" s="105" t="s">
        <v>2045</v>
      </c>
    </row>
    <row r="848" spans="1:7" ht="12" x14ac:dyDescent="0.25">
      <c r="A848" s="90" t="s">
        <v>39</v>
      </c>
      <c r="B848" s="90" t="s">
        <v>77</v>
      </c>
      <c r="C848" s="90">
        <v>2</v>
      </c>
      <c r="D848" s="109" t="s">
        <v>233</v>
      </c>
      <c r="E848" s="99" t="s">
        <v>233</v>
      </c>
      <c r="F848" s="100" t="s">
        <v>2046</v>
      </c>
      <c r="G848" s="105" t="s">
        <v>2047</v>
      </c>
    </row>
    <row r="849" spans="1:7" ht="12" x14ac:dyDescent="0.25">
      <c r="A849" s="90" t="s">
        <v>39</v>
      </c>
      <c r="B849" s="90" t="s">
        <v>77</v>
      </c>
      <c r="C849" s="90">
        <v>2</v>
      </c>
      <c r="D849" s="109" t="s">
        <v>234</v>
      </c>
      <c r="E849" s="99" t="s">
        <v>234</v>
      </c>
      <c r="F849" s="100" t="s">
        <v>2048</v>
      </c>
      <c r="G849" s="105" t="s">
        <v>2049</v>
      </c>
    </row>
    <row r="850" spans="1:7" ht="12" x14ac:dyDescent="0.25">
      <c r="A850" s="90" t="s">
        <v>39</v>
      </c>
      <c r="B850" s="90" t="s">
        <v>77</v>
      </c>
      <c r="C850" s="90">
        <v>2</v>
      </c>
      <c r="D850" s="109" t="s">
        <v>235</v>
      </c>
      <c r="E850" s="99" t="s">
        <v>235</v>
      </c>
      <c r="F850" s="100" t="s">
        <v>2050</v>
      </c>
      <c r="G850" s="105" t="s">
        <v>2051</v>
      </c>
    </row>
    <row r="851" spans="1:7" ht="12" x14ac:dyDescent="0.25">
      <c r="A851" s="90" t="s">
        <v>39</v>
      </c>
      <c r="B851" s="90" t="s">
        <v>77</v>
      </c>
      <c r="C851" s="90">
        <v>2</v>
      </c>
      <c r="D851" s="109" t="s">
        <v>236</v>
      </c>
      <c r="E851" s="99" t="s">
        <v>236</v>
      </c>
      <c r="F851" s="100" t="s">
        <v>2052</v>
      </c>
      <c r="G851" s="105" t="s">
        <v>2053</v>
      </c>
    </row>
    <row r="852" spans="1:7" ht="12" x14ac:dyDescent="0.25">
      <c r="A852" s="90" t="s">
        <v>39</v>
      </c>
      <c r="B852" s="90" t="s">
        <v>77</v>
      </c>
      <c r="C852" s="90">
        <v>2</v>
      </c>
      <c r="D852" s="109" t="s">
        <v>237</v>
      </c>
      <c r="E852" s="99" t="s">
        <v>237</v>
      </c>
      <c r="F852" s="100" t="s">
        <v>2054</v>
      </c>
      <c r="G852" s="105" t="s">
        <v>2055</v>
      </c>
    </row>
    <row r="853" spans="1:7" ht="12" x14ac:dyDescent="0.25">
      <c r="A853" s="90" t="s">
        <v>39</v>
      </c>
      <c r="B853" s="90" t="s">
        <v>77</v>
      </c>
      <c r="C853" s="90">
        <v>2</v>
      </c>
      <c r="D853" s="109" t="s">
        <v>2099</v>
      </c>
      <c r="E853" s="99" t="s">
        <v>2099</v>
      </c>
      <c r="F853" s="100" t="s">
        <v>2478</v>
      </c>
      <c r="G853" s="105" t="s">
        <v>2534</v>
      </c>
    </row>
    <row r="854" spans="1:7" ht="12" x14ac:dyDescent="0.25">
      <c r="A854" s="90" t="s">
        <v>39</v>
      </c>
      <c r="B854" s="90" t="s">
        <v>77</v>
      </c>
      <c r="C854" s="90">
        <v>2</v>
      </c>
      <c r="D854" s="109" t="s">
        <v>130</v>
      </c>
      <c r="E854" s="99" t="s">
        <v>130</v>
      </c>
      <c r="F854" s="100" t="s">
        <v>2468</v>
      </c>
      <c r="G854" s="105" t="s">
        <v>2524</v>
      </c>
    </row>
    <row r="855" spans="1:7" ht="12" x14ac:dyDescent="0.25">
      <c r="A855" s="90" t="s">
        <v>39</v>
      </c>
      <c r="B855" s="90" t="s">
        <v>77</v>
      </c>
      <c r="C855" s="90">
        <v>2</v>
      </c>
      <c r="D855" s="109" t="s">
        <v>238</v>
      </c>
      <c r="E855" s="99" t="s">
        <v>238</v>
      </c>
      <c r="F855" s="100" t="s">
        <v>2057</v>
      </c>
      <c r="G855" s="105" t="s">
        <v>2058</v>
      </c>
    </row>
    <row r="856" spans="1:7" ht="12" x14ac:dyDescent="0.25">
      <c r="A856" s="90" t="s">
        <v>39</v>
      </c>
      <c r="B856" s="90" t="s">
        <v>77</v>
      </c>
      <c r="C856" s="90">
        <v>2</v>
      </c>
      <c r="D856" s="109" t="s">
        <v>239</v>
      </c>
      <c r="E856" s="99" t="s">
        <v>239</v>
      </c>
      <c r="F856" s="100" t="s">
        <v>2059</v>
      </c>
      <c r="G856" s="105" t="s">
        <v>2060</v>
      </c>
    </row>
    <row r="857" spans="1:7" ht="12" x14ac:dyDescent="0.25">
      <c r="A857" s="90" t="s">
        <v>39</v>
      </c>
      <c r="B857" s="90" t="s">
        <v>77</v>
      </c>
      <c r="C857" s="90">
        <v>2</v>
      </c>
      <c r="D857" s="109" t="s">
        <v>240</v>
      </c>
      <c r="E857" s="99" t="s">
        <v>240</v>
      </c>
      <c r="F857" s="100" t="s">
        <v>2061</v>
      </c>
      <c r="G857" s="105" t="s">
        <v>2062</v>
      </c>
    </row>
    <row r="858" spans="1:7" ht="12" x14ac:dyDescent="0.25">
      <c r="A858" s="90" t="s">
        <v>39</v>
      </c>
      <c r="B858" s="90" t="s">
        <v>77</v>
      </c>
      <c r="C858" s="90">
        <v>2</v>
      </c>
      <c r="D858" s="109" t="s">
        <v>241</v>
      </c>
      <c r="E858" s="99" t="s">
        <v>241</v>
      </c>
      <c r="F858" s="100" t="s">
        <v>2063</v>
      </c>
      <c r="G858" s="105" t="s">
        <v>2064</v>
      </c>
    </row>
    <row r="859" spans="1:7" ht="12" x14ac:dyDescent="0.25">
      <c r="A859" s="90" t="s">
        <v>39</v>
      </c>
      <c r="B859" s="90" t="s">
        <v>77</v>
      </c>
      <c r="C859" s="90">
        <v>2</v>
      </c>
      <c r="D859" s="109" t="s">
        <v>242</v>
      </c>
      <c r="E859" s="99" t="s">
        <v>242</v>
      </c>
      <c r="F859" s="100" t="s">
        <v>2065</v>
      </c>
      <c r="G859" s="105" t="s">
        <v>2066</v>
      </c>
    </row>
    <row r="860" spans="1:7" ht="12" x14ac:dyDescent="0.25">
      <c r="A860" s="90" t="s">
        <v>39</v>
      </c>
      <c r="B860" s="90" t="s">
        <v>77</v>
      </c>
      <c r="C860" s="90">
        <v>2</v>
      </c>
      <c r="D860" s="109" t="s">
        <v>243</v>
      </c>
      <c r="E860" s="99" t="s">
        <v>243</v>
      </c>
      <c r="F860" s="100" t="s">
        <v>2067</v>
      </c>
      <c r="G860" s="105" t="s">
        <v>2068</v>
      </c>
    </row>
    <row r="861" spans="1:7" ht="12" x14ac:dyDescent="0.25">
      <c r="A861" s="90" t="s">
        <v>39</v>
      </c>
      <c r="B861" s="90" t="s">
        <v>77</v>
      </c>
      <c r="C861" s="90">
        <v>2</v>
      </c>
      <c r="D861" s="109" t="s">
        <v>2100</v>
      </c>
      <c r="E861" s="99" t="s">
        <v>2100</v>
      </c>
      <c r="F861" s="100" t="s">
        <v>2479</v>
      </c>
      <c r="G861" s="105" t="s">
        <v>2535</v>
      </c>
    </row>
    <row r="862" spans="1:7" ht="12" x14ac:dyDescent="0.25">
      <c r="A862" s="90" t="s">
        <v>39</v>
      </c>
      <c r="B862" s="90" t="s">
        <v>77</v>
      </c>
      <c r="C862" s="90">
        <v>2</v>
      </c>
      <c r="D862" s="109" t="s">
        <v>130</v>
      </c>
      <c r="E862" s="99" t="s">
        <v>130</v>
      </c>
      <c r="F862" s="100" t="s">
        <v>2468</v>
      </c>
      <c r="G862" s="105" t="s">
        <v>2524</v>
      </c>
    </row>
    <row r="863" spans="1:7" ht="12" x14ac:dyDescent="0.25">
      <c r="A863" s="90" t="s">
        <v>39</v>
      </c>
      <c r="B863" s="90" t="s">
        <v>77</v>
      </c>
      <c r="C863" s="90">
        <v>2</v>
      </c>
      <c r="D863" s="109" t="s">
        <v>337</v>
      </c>
      <c r="E863" s="99" t="s">
        <v>337</v>
      </c>
      <c r="F863" s="100" t="s">
        <v>2070</v>
      </c>
      <c r="G863" s="105" t="s">
        <v>2071</v>
      </c>
    </row>
    <row r="864" spans="1:7" ht="12" x14ac:dyDescent="0.25">
      <c r="A864" s="90" t="s">
        <v>39</v>
      </c>
      <c r="B864" s="90" t="s">
        <v>77</v>
      </c>
      <c r="C864" s="90">
        <v>2</v>
      </c>
      <c r="D864" s="109" t="s">
        <v>338</v>
      </c>
      <c r="E864" s="99" t="s">
        <v>338</v>
      </c>
      <c r="F864" s="100" t="s">
        <v>2072</v>
      </c>
      <c r="G864" s="105" t="s">
        <v>2073</v>
      </c>
    </row>
    <row r="865" spans="1:7" ht="12" x14ac:dyDescent="0.25">
      <c r="A865" s="90" t="s">
        <v>39</v>
      </c>
      <c r="B865" s="90" t="s">
        <v>77</v>
      </c>
      <c r="C865" s="90">
        <v>2</v>
      </c>
      <c r="D865" s="109" t="s">
        <v>339</v>
      </c>
      <c r="E865" s="99" t="s">
        <v>339</v>
      </c>
      <c r="F865" s="100" t="s">
        <v>2074</v>
      </c>
      <c r="G865" s="105" t="s">
        <v>2075</v>
      </c>
    </row>
    <row r="866" spans="1:7" ht="12" x14ac:dyDescent="0.25">
      <c r="A866" s="90" t="s">
        <v>39</v>
      </c>
      <c r="B866" s="90" t="s">
        <v>77</v>
      </c>
      <c r="C866" s="90">
        <v>2</v>
      </c>
      <c r="D866" s="109" t="s">
        <v>340</v>
      </c>
      <c r="E866" s="99" t="s">
        <v>340</v>
      </c>
      <c r="F866" s="100" t="s">
        <v>2076</v>
      </c>
      <c r="G866" s="105" t="s">
        <v>2077</v>
      </c>
    </row>
    <row r="867" spans="1:7" ht="12" x14ac:dyDescent="0.25">
      <c r="A867" s="90" t="s">
        <v>39</v>
      </c>
      <c r="B867" s="90" t="s">
        <v>77</v>
      </c>
      <c r="C867" s="90">
        <v>2</v>
      </c>
      <c r="D867" s="109" t="s">
        <v>341</v>
      </c>
      <c r="E867" s="99" t="s">
        <v>341</v>
      </c>
      <c r="F867" s="100" t="s">
        <v>2078</v>
      </c>
      <c r="G867" s="105" t="s">
        <v>2079</v>
      </c>
    </row>
    <row r="868" spans="1:7" ht="12" x14ac:dyDescent="0.25">
      <c r="A868" s="90" t="s">
        <v>39</v>
      </c>
      <c r="B868" s="90" t="s">
        <v>77</v>
      </c>
      <c r="C868" s="90">
        <v>2</v>
      </c>
      <c r="D868" s="109" t="s">
        <v>342</v>
      </c>
      <c r="E868" s="99" t="s">
        <v>342</v>
      </c>
      <c r="F868" s="100" t="s">
        <v>2080</v>
      </c>
      <c r="G868" s="105" t="s">
        <v>2081</v>
      </c>
    </row>
    <row r="869" spans="1:7" ht="12" x14ac:dyDescent="0.25">
      <c r="A869" s="90" t="s">
        <v>39</v>
      </c>
      <c r="B869" s="90" t="s">
        <v>77</v>
      </c>
      <c r="C869" s="90">
        <v>2</v>
      </c>
      <c r="D869" s="109" t="s">
        <v>2101</v>
      </c>
      <c r="E869" s="99" t="s">
        <v>2101</v>
      </c>
      <c r="F869" s="102" t="s">
        <v>2480</v>
      </c>
      <c r="G869" s="107" t="s">
        <v>2536</v>
      </c>
    </row>
    <row r="870" spans="1:7" ht="12" x14ac:dyDescent="0.25">
      <c r="A870" s="90" t="s">
        <v>39</v>
      </c>
      <c r="B870" s="90" t="s">
        <v>77</v>
      </c>
      <c r="C870" s="90">
        <v>2</v>
      </c>
      <c r="D870" s="109" t="s">
        <v>191</v>
      </c>
      <c r="E870" s="99" t="s">
        <v>191</v>
      </c>
      <c r="F870" s="100" t="s">
        <v>343</v>
      </c>
      <c r="G870" s="105" t="s">
        <v>2083</v>
      </c>
    </row>
    <row r="871" spans="1:7" ht="12" x14ac:dyDescent="0.25">
      <c r="A871" s="90" t="s">
        <v>39</v>
      </c>
      <c r="B871" s="90" t="s">
        <v>77</v>
      </c>
      <c r="C871" s="90">
        <v>2</v>
      </c>
      <c r="D871" s="109" t="s">
        <v>244</v>
      </c>
      <c r="E871" s="99" t="s">
        <v>244</v>
      </c>
      <c r="F871" s="100" t="s">
        <v>344</v>
      </c>
      <c r="G871" s="105" t="s">
        <v>345</v>
      </c>
    </row>
    <row r="872" spans="1:7" ht="12" x14ac:dyDescent="0.25">
      <c r="A872" s="90" t="s">
        <v>39</v>
      </c>
      <c r="B872" s="90" t="s">
        <v>77</v>
      </c>
      <c r="C872" s="90">
        <v>2</v>
      </c>
      <c r="D872" s="109" t="s">
        <v>2102</v>
      </c>
      <c r="E872" s="99" t="s">
        <v>2102</v>
      </c>
      <c r="F872" s="100" t="s">
        <v>2481</v>
      </c>
      <c r="G872" s="105" t="s">
        <v>2537</v>
      </c>
    </row>
    <row r="873" spans="1:7" ht="12" x14ac:dyDescent="0.25">
      <c r="A873" s="90" t="s">
        <v>39</v>
      </c>
      <c r="B873" s="90" t="s">
        <v>77</v>
      </c>
      <c r="C873" s="90">
        <v>2</v>
      </c>
      <c r="D873" s="109" t="s">
        <v>211</v>
      </c>
      <c r="E873" s="99" t="s">
        <v>211</v>
      </c>
      <c r="F873" s="100" t="s">
        <v>2085</v>
      </c>
      <c r="G873" s="105" t="s">
        <v>349</v>
      </c>
    </row>
    <row r="874" spans="1:7" ht="12" x14ac:dyDescent="0.25">
      <c r="A874" s="90" t="s">
        <v>39</v>
      </c>
      <c r="B874" s="90" t="s">
        <v>77</v>
      </c>
      <c r="C874" s="90">
        <v>2</v>
      </c>
      <c r="D874" s="160" t="s">
        <v>193</v>
      </c>
      <c r="E874" s="161" t="s">
        <v>193</v>
      </c>
      <c r="F874" s="162" t="s">
        <v>350</v>
      </c>
      <c r="G874" s="163" t="s">
        <v>2086</v>
      </c>
    </row>
    <row r="875" spans="1:7" ht="12" x14ac:dyDescent="0.25">
      <c r="A875" s="90" t="s">
        <v>39</v>
      </c>
      <c r="B875" s="90" t="s">
        <v>77</v>
      </c>
      <c r="C875" s="90">
        <v>2</v>
      </c>
      <c r="D875" s="109" t="s">
        <v>145</v>
      </c>
      <c r="E875" s="99" t="s">
        <v>145</v>
      </c>
      <c r="F875" s="100" t="s">
        <v>351</v>
      </c>
      <c r="G875" s="105" t="s">
        <v>352</v>
      </c>
    </row>
    <row r="876" spans="1:7" ht="360" x14ac:dyDescent="0.25">
      <c r="A876" s="90" t="s">
        <v>39</v>
      </c>
      <c r="B876" s="90" t="s">
        <v>77</v>
      </c>
      <c r="C876" s="90">
        <v>3</v>
      </c>
      <c r="D876" s="109" t="s">
        <v>2021</v>
      </c>
      <c r="E876" s="99" t="s">
        <v>2021</v>
      </c>
      <c r="F876" s="100" t="s">
        <v>2450</v>
      </c>
      <c r="G876" s="105" t="s">
        <v>2451</v>
      </c>
    </row>
    <row r="877" spans="1:7" ht="12" x14ac:dyDescent="0.25">
      <c r="A877" s="90" t="s">
        <v>39</v>
      </c>
      <c r="B877" s="90" t="s">
        <v>77</v>
      </c>
      <c r="C877" s="90">
        <v>3</v>
      </c>
      <c r="D877" s="109" t="s">
        <v>75</v>
      </c>
      <c r="E877" s="99" t="s">
        <v>75</v>
      </c>
      <c r="F877" s="100" t="s">
        <v>2022</v>
      </c>
      <c r="G877" s="105" t="s">
        <v>2023</v>
      </c>
    </row>
    <row r="878" spans="1:7" ht="12" x14ac:dyDescent="0.25">
      <c r="A878" s="90" t="s">
        <v>39</v>
      </c>
      <c r="B878" s="90" t="s">
        <v>77</v>
      </c>
      <c r="C878" s="90">
        <v>3</v>
      </c>
      <c r="D878" s="109" t="s">
        <v>2000</v>
      </c>
      <c r="E878" s="99" t="s">
        <v>2000</v>
      </c>
      <c r="F878" s="100" t="s">
        <v>2452</v>
      </c>
      <c r="G878" s="105" t="s">
        <v>2531</v>
      </c>
    </row>
    <row r="879" spans="1:7" ht="12" x14ac:dyDescent="0.25">
      <c r="A879" s="90" t="s">
        <v>39</v>
      </c>
      <c r="B879" s="90" t="s">
        <v>77</v>
      </c>
      <c r="C879" s="90">
        <v>3</v>
      </c>
      <c r="D879" s="109" t="s">
        <v>2001</v>
      </c>
      <c r="E879" s="99" t="s">
        <v>2001</v>
      </c>
      <c r="F879" s="100" t="s">
        <v>2475</v>
      </c>
      <c r="G879" s="105" t="s">
        <v>2532</v>
      </c>
    </row>
    <row r="880" spans="1:7" ht="12" x14ac:dyDescent="0.25">
      <c r="A880" s="90" t="s">
        <v>39</v>
      </c>
      <c r="B880" s="90" t="s">
        <v>77</v>
      </c>
      <c r="C880" s="90">
        <v>3</v>
      </c>
      <c r="D880" s="109" t="s">
        <v>225</v>
      </c>
      <c r="E880" s="99" t="s">
        <v>225</v>
      </c>
      <c r="F880" s="100" t="s">
        <v>335</v>
      </c>
      <c r="G880" s="105" t="s">
        <v>336</v>
      </c>
    </row>
    <row r="881" spans="1:7" ht="12" x14ac:dyDescent="0.25">
      <c r="A881" s="90" t="s">
        <v>39</v>
      </c>
      <c r="B881" s="90" t="s">
        <v>77</v>
      </c>
      <c r="C881" s="90">
        <v>3</v>
      </c>
      <c r="D881" s="109" t="s">
        <v>74</v>
      </c>
      <c r="E881" s="99" t="s">
        <v>74</v>
      </c>
      <c r="F881" s="100" t="s">
        <v>326</v>
      </c>
      <c r="G881" s="105" t="s">
        <v>327</v>
      </c>
    </row>
    <row r="882" spans="1:7" ht="12" x14ac:dyDescent="0.25">
      <c r="A882" s="90" t="s">
        <v>39</v>
      </c>
      <c r="B882" s="90" t="s">
        <v>77</v>
      </c>
      <c r="C882" s="90">
        <v>3</v>
      </c>
      <c r="D882" s="109" t="s">
        <v>2030</v>
      </c>
      <c r="E882" s="99" t="s">
        <v>2030</v>
      </c>
      <c r="F882" s="100" t="s">
        <v>2467</v>
      </c>
      <c r="G882" s="105" t="s">
        <v>2462</v>
      </c>
    </row>
    <row r="883" spans="1:7" ht="12" x14ac:dyDescent="0.25">
      <c r="A883" s="90" t="s">
        <v>39</v>
      </c>
      <c r="B883" s="90" t="s">
        <v>77</v>
      </c>
      <c r="C883" s="90">
        <v>3</v>
      </c>
      <c r="D883" s="109" t="s">
        <v>64</v>
      </c>
      <c r="E883" s="99" t="s">
        <v>64</v>
      </c>
      <c r="F883" s="100" t="s">
        <v>2476</v>
      </c>
      <c r="G883" s="105" t="s">
        <v>2087</v>
      </c>
    </row>
    <row r="884" spans="1:7" ht="12" x14ac:dyDescent="0.25">
      <c r="A884" s="90" t="s">
        <v>39</v>
      </c>
      <c r="B884" s="90" t="s">
        <v>77</v>
      </c>
      <c r="C884" s="90">
        <v>3</v>
      </c>
      <c r="D884" s="109" t="s">
        <v>130</v>
      </c>
      <c r="E884" s="99" t="s">
        <v>130</v>
      </c>
      <c r="F884" s="100" t="s">
        <v>2468</v>
      </c>
      <c r="G884" s="105" t="s">
        <v>2524</v>
      </c>
    </row>
    <row r="885" spans="1:7" ht="12" x14ac:dyDescent="0.25">
      <c r="A885" s="90" t="s">
        <v>39</v>
      </c>
      <c r="B885" s="90" t="s">
        <v>77</v>
      </c>
      <c r="C885" s="90">
        <v>3</v>
      </c>
      <c r="D885" s="109" t="s">
        <v>226</v>
      </c>
      <c r="E885" s="99" t="s">
        <v>226</v>
      </c>
      <c r="F885" s="100" t="s">
        <v>2469</v>
      </c>
      <c r="G885" s="105" t="s">
        <v>2525</v>
      </c>
    </row>
    <row r="886" spans="1:7" ht="12" x14ac:dyDescent="0.25">
      <c r="A886" s="90" t="s">
        <v>39</v>
      </c>
      <c r="B886" s="90" t="s">
        <v>77</v>
      </c>
      <c r="C886" s="90">
        <v>3</v>
      </c>
      <c r="D886" s="109" t="s">
        <v>227</v>
      </c>
      <c r="E886" s="99" t="s">
        <v>227</v>
      </c>
      <c r="F886" s="100" t="s">
        <v>2033</v>
      </c>
      <c r="G886" s="105" t="s">
        <v>2034</v>
      </c>
    </row>
    <row r="887" spans="1:7" ht="12" x14ac:dyDescent="0.25">
      <c r="A887" s="90" t="s">
        <v>39</v>
      </c>
      <c r="B887" s="90" t="s">
        <v>77</v>
      </c>
      <c r="C887" s="90">
        <v>3</v>
      </c>
      <c r="D887" s="109" t="s">
        <v>228</v>
      </c>
      <c r="E887" s="99" t="s">
        <v>228</v>
      </c>
      <c r="F887" s="100" t="s">
        <v>2035</v>
      </c>
      <c r="G887" s="105" t="s">
        <v>2036</v>
      </c>
    </row>
    <row r="888" spans="1:7" ht="12" x14ac:dyDescent="0.25">
      <c r="A888" s="90" t="s">
        <v>39</v>
      </c>
      <c r="B888" s="90" t="s">
        <v>77</v>
      </c>
      <c r="C888" s="90">
        <v>3</v>
      </c>
      <c r="D888" s="109" t="s">
        <v>229</v>
      </c>
      <c r="E888" s="99" t="s">
        <v>229</v>
      </c>
      <c r="F888" s="100" t="s">
        <v>2037</v>
      </c>
      <c r="G888" s="105" t="s">
        <v>2038</v>
      </c>
    </row>
    <row r="889" spans="1:7" ht="12" x14ac:dyDescent="0.25">
      <c r="A889" s="90" t="s">
        <v>39</v>
      </c>
      <c r="B889" s="90" t="s">
        <v>77</v>
      </c>
      <c r="C889" s="90">
        <v>3</v>
      </c>
      <c r="D889" s="109" t="s">
        <v>230</v>
      </c>
      <c r="E889" s="99" t="s">
        <v>230</v>
      </c>
      <c r="F889" s="100" t="s">
        <v>2039</v>
      </c>
      <c r="G889" s="105" t="s">
        <v>2040</v>
      </c>
    </row>
    <row r="890" spans="1:7" ht="12" x14ac:dyDescent="0.25">
      <c r="A890" s="90" t="s">
        <v>39</v>
      </c>
      <c r="B890" s="90" t="s">
        <v>77</v>
      </c>
      <c r="C890" s="90">
        <v>3</v>
      </c>
      <c r="D890" s="109" t="s">
        <v>231</v>
      </c>
      <c r="E890" s="99" t="s">
        <v>231</v>
      </c>
      <c r="F890" s="100" t="s">
        <v>2041</v>
      </c>
      <c r="G890" s="105" t="s">
        <v>2042</v>
      </c>
    </row>
    <row r="891" spans="1:7" ht="12" x14ac:dyDescent="0.25">
      <c r="A891" s="90" t="s">
        <v>39</v>
      </c>
      <c r="B891" s="90" t="s">
        <v>77</v>
      </c>
      <c r="C891" s="90">
        <v>3</v>
      </c>
      <c r="D891" s="109" t="s">
        <v>2098</v>
      </c>
      <c r="E891" s="99" t="s">
        <v>2098</v>
      </c>
      <c r="F891" s="100" t="s">
        <v>2477</v>
      </c>
      <c r="G891" s="105" t="s">
        <v>2533</v>
      </c>
    </row>
    <row r="892" spans="1:7" ht="12" x14ac:dyDescent="0.25">
      <c r="A892" s="90" t="s">
        <v>39</v>
      </c>
      <c r="B892" s="90" t="s">
        <v>77</v>
      </c>
      <c r="C892" s="90">
        <v>3</v>
      </c>
      <c r="D892" s="109" t="s">
        <v>130</v>
      </c>
      <c r="E892" s="99" t="s">
        <v>130</v>
      </c>
      <c r="F892" s="100" t="s">
        <v>2468</v>
      </c>
      <c r="G892" s="105" t="s">
        <v>2524</v>
      </c>
    </row>
    <row r="893" spans="1:7" ht="12" x14ac:dyDescent="0.25">
      <c r="A893" s="90" t="s">
        <v>39</v>
      </c>
      <c r="B893" s="90" t="s">
        <v>77</v>
      </c>
      <c r="C893" s="90">
        <v>3</v>
      </c>
      <c r="D893" s="109" t="s">
        <v>232</v>
      </c>
      <c r="E893" s="99" t="s">
        <v>232</v>
      </c>
      <c r="F893" s="100" t="s">
        <v>2044</v>
      </c>
      <c r="G893" s="105" t="s">
        <v>2045</v>
      </c>
    </row>
    <row r="894" spans="1:7" ht="12" x14ac:dyDescent="0.25">
      <c r="A894" s="90" t="s">
        <v>39</v>
      </c>
      <c r="B894" s="90" t="s">
        <v>77</v>
      </c>
      <c r="C894" s="90">
        <v>3</v>
      </c>
      <c r="D894" s="109" t="s">
        <v>233</v>
      </c>
      <c r="E894" s="99" t="s">
        <v>233</v>
      </c>
      <c r="F894" s="100" t="s">
        <v>2046</v>
      </c>
      <c r="G894" s="105" t="s">
        <v>2047</v>
      </c>
    </row>
    <row r="895" spans="1:7" ht="12" x14ac:dyDescent="0.25">
      <c r="A895" s="90" t="s">
        <v>39</v>
      </c>
      <c r="B895" s="90" t="s">
        <v>77</v>
      </c>
      <c r="C895" s="90">
        <v>3</v>
      </c>
      <c r="D895" s="109" t="s">
        <v>234</v>
      </c>
      <c r="E895" s="99" t="s">
        <v>234</v>
      </c>
      <c r="F895" s="100" t="s">
        <v>2048</v>
      </c>
      <c r="G895" s="105" t="s">
        <v>2049</v>
      </c>
    </row>
    <row r="896" spans="1:7" ht="12" x14ac:dyDescent="0.25">
      <c r="A896" s="90" t="s">
        <v>39</v>
      </c>
      <c r="B896" s="90" t="s">
        <v>77</v>
      </c>
      <c r="C896" s="90">
        <v>3</v>
      </c>
      <c r="D896" s="109" t="s">
        <v>235</v>
      </c>
      <c r="E896" s="99" t="s">
        <v>235</v>
      </c>
      <c r="F896" s="100" t="s">
        <v>2050</v>
      </c>
      <c r="G896" s="105" t="s">
        <v>2051</v>
      </c>
    </row>
    <row r="897" spans="1:7" ht="12" x14ac:dyDescent="0.25">
      <c r="A897" s="90" t="s">
        <v>39</v>
      </c>
      <c r="B897" s="90" t="s">
        <v>77</v>
      </c>
      <c r="C897" s="90">
        <v>3</v>
      </c>
      <c r="D897" s="109" t="s">
        <v>236</v>
      </c>
      <c r="E897" s="99" t="s">
        <v>236</v>
      </c>
      <c r="F897" s="100" t="s">
        <v>2052</v>
      </c>
      <c r="G897" s="105" t="s">
        <v>2053</v>
      </c>
    </row>
    <row r="898" spans="1:7" ht="12" x14ac:dyDescent="0.25">
      <c r="A898" s="90" t="s">
        <v>39</v>
      </c>
      <c r="B898" s="90" t="s">
        <v>77</v>
      </c>
      <c r="C898" s="90">
        <v>3</v>
      </c>
      <c r="D898" s="109" t="s">
        <v>237</v>
      </c>
      <c r="E898" s="99" t="s">
        <v>237</v>
      </c>
      <c r="F898" s="100" t="s">
        <v>2054</v>
      </c>
      <c r="G898" s="105" t="s">
        <v>2055</v>
      </c>
    </row>
    <row r="899" spans="1:7" ht="12" x14ac:dyDescent="0.25">
      <c r="A899" s="90" t="s">
        <v>39</v>
      </c>
      <c r="B899" s="90" t="s">
        <v>77</v>
      </c>
      <c r="C899" s="90">
        <v>3</v>
      </c>
      <c r="D899" s="109" t="s">
        <v>2099</v>
      </c>
      <c r="E899" s="99" t="s">
        <v>2099</v>
      </c>
      <c r="F899" s="100" t="s">
        <v>2478</v>
      </c>
      <c r="G899" s="105" t="s">
        <v>2534</v>
      </c>
    </row>
    <row r="900" spans="1:7" ht="12" x14ac:dyDescent="0.25">
      <c r="A900" s="90" t="s">
        <v>39</v>
      </c>
      <c r="B900" s="90" t="s">
        <v>77</v>
      </c>
      <c r="C900" s="90">
        <v>3</v>
      </c>
      <c r="D900" s="109" t="s">
        <v>130</v>
      </c>
      <c r="E900" s="99" t="s">
        <v>130</v>
      </c>
      <c r="F900" s="100" t="s">
        <v>2468</v>
      </c>
      <c r="G900" s="105" t="s">
        <v>2524</v>
      </c>
    </row>
    <row r="901" spans="1:7" ht="12" x14ac:dyDescent="0.25">
      <c r="A901" s="90" t="s">
        <v>39</v>
      </c>
      <c r="B901" s="90" t="s">
        <v>77</v>
      </c>
      <c r="C901" s="90">
        <v>3</v>
      </c>
      <c r="D901" s="109" t="s">
        <v>238</v>
      </c>
      <c r="E901" s="99" t="s">
        <v>238</v>
      </c>
      <c r="F901" s="100" t="s">
        <v>2057</v>
      </c>
      <c r="G901" s="105" t="s">
        <v>2058</v>
      </c>
    </row>
    <row r="902" spans="1:7" ht="12" x14ac:dyDescent="0.25">
      <c r="A902" s="90" t="s">
        <v>39</v>
      </c>
      <c r="B902" s="90" t="s">
        <v>77</v>
      </c>
      <c r="C902" s="90">
        <v>3</v>
      </c>
      <c r="D902" s="109" t="s">
        <v>239</v>
      </c>
      <c r="E902" s="99" t="s">
        <v>239</v>
      </c>
      <c r="F902" s="100" t="s">
        <v>2059</v>
      </c>
      <c r="G902" s="105" t="s">
        <v>2060</v>
      </c>
    </row>
    <row r="903" spans="1:7" ht="12" x14ac:dyDescent="0.25">
      <c r="A903" s="90" t="s">
        <v>39</v>
      </c>
      <c r="B903" s="90" t="s">
        <v>77</v>
      </c>
      <c r="C903" s="90">
        <v>3</v>
      </c>
      <c r="D903" s="109" t="s">
        <v>240</v>
      </c>
      <c r="E903" s="99" t="s">
        <v>240</v>
      </c>
      <c r="F903" s="100" t="s">
        <v>2061</v>
      </c>
      <c r="G903" s="105" t="s">
        <v>2062</v>
      </c>
    </row>
    <row r="904" spans="1:7" ht="12" x14ac:dyDescent="0.25">
      <c r="A904" s="90" t="s">
        <v>39</v>
      </c>
      <c r="B904" s="90" t="s">
        <v>77</v>
      </c>
      <c r="C904" s="90">
        <v>3</v>
      </c>
      <c r="D904" s="109" t="s">
        <v>241</v>
      </c>
      <c r="E904" s="99" t="s">
        <v>241</v>
      </c>
      <c r="F904" s="100" t="s">
        <v>2063</v>
      </c>
      <c r="G904" s="105" t="s">
        <v>2064</v>
      </c>
    </row>
    <row r="905" spans="1:7" ht="12" x14ac:dyDescent="0.25">
      <c r="A905" s="90" t="s">
        <v>39</v>
      </c>
      <c r="B905" s="90" t="s">
        <v>77</v>
      </c>
      <c r="C905" s="90">
        <v>3</v>
      </c>
      <c r="D905" s="109" t="s">
        <v>242</v>
      </c>
      <c r="E905" s="99" t="s">
        <v>242</v>
      </c>
      <c r="F905" s="100" t="s">
        <v>2065</v>
      </c>
      <c r="G905" s="105" t="s">
        <v>2066</v>
      </c>
    </row>
    <row r="906" spans="1:7" ht="12" x14ac:dyDescent="0.25">
      <c r="A906" s="90" t="s">
        <v>39</v>
      </c>
      <c r="B906" s="90" t="s">
        <v>77</v>
      </c>
      <c r="C906" s="90">
        <v>3</v>
      </c>
      <c r="D906" s="109" t="s">
        <v>243</v>
      </c>
      <c r="E906" s="99" t="s">
        <v>243</v>
      </c>
      <c r="F906" s="100" t="s">
        <v>2067</v>
      </c>
      <c r="G906" s="105" t="s">
        <v>2068</v>
      </c>
    </row>
    <row r="907" spans="1:7" ht="12" x14ac:dyDescent="0.25">
      <c r="A907" s="90" t="s">
        <v>39</v>
      </c>
      <c r="B907" s="90" t="s">
        <v>77</v>
      </c>
      <c r="C907" s="90">
        <v>3</v>
      </c>
      <c r="D907" s="109" t="s">
        <v>2100</v>
      </c>
      <c r="E907" s="99" t="s">
        <v>2100</v>
      </c>
      <c r="F907" s="100" t="s">
        <v>2479</v>
      </c>
      <c r="G907" s="105" t="s">
        <v>2535</v>
      </c>
    </row>
    <row r="908" spans="1:7" ht="12" x14ac:dyDescent="0.25">
      <c r="A908" s="90" t="s">
        <v>39</v>
      </c>
      <c r="B908" s="90" t="s">
        <v>77</v>
      </c>
      <c r="C908" s="90">
        <v>3</v>
      </c>
      <c r="D908" s="109" t="s">
        <v>130</v>
      </c>
      <c r="E908" s="99" t="s">
        <v>130</v>
      </c>
      <c r="F908" s="100" t="s">
        <v>2468</v>
      </c>
      <c r="G908" s="105" t="s">
        <v>2524</v>
      </c>
    </row>
    <row r="909" spans="1:7" ht="12" x14ac:dyDescent="0.25">
      <c r="A909" s="90" t="s">
        <v>39</v>
      </c>
      <c r="B909" s="90" t="s">
        <v>77</v>
      </c>
      <c r="C909" s="90">
        <v>3</v>
      </c>
      <c r="D909" s="109" t="s">
        <v>337</v>
      </c>
      <c r="E909" s="99" t="s">
        <v>337</v>
      </c>
      <c r="F909" s="100" t="s">
        <v>2070</v>
      </c>
      <c r="G909" s="105" t="s">
        <v>2071</v>
      </c>
    </row>
    <row r="910" spans="1:7" ht="12" x14ac:dyDescent="0.25">
      <c r="A910" s="90" t="s">
        <v>39</v>
      </c>
      <c r="B910" s="90" t="s">
        <v>77</v>
      </c>
      <c r="C910" s="90">
        <v>3</v>
      </c>
      <c r="D910" s="109" t="s">
        <v>338</v>
      </c>
      <c r="E910" s="99" t="s">
        <v>338</v>
      </c>
      <c r="F910" s="100" t="s">
        <v>2072</v>
      </c>
      <c r="G910" s="105" t="s">
        <v>2073</v>
      </c>
    </row>
    <row r="911" spans="1:7" ht="12" x14ac:dyDescent="0.25">
      <c r="A911" s="90" t="s">
        <v>39</v>
      </c>
      <c r="B911" s="90" t="s">
        <v>77</v>
      </c>
      <c r="C911" s="90">
        <v>3</v>
      </c>
      <c r="D911" s="109" t="s">
        <v>339</v>
      </c>
      <c r="E911" s="99" t="s">
        <v>339</v>
      </c>
      <c r="F911" s="100" t="s">
        <v>2074</v>
      </c>
      <c r="G911" s="105" t="s">
        <v>2075</v>
      </c>
    </row>
    <row r="912" spans="1:7" ht="12" x14ac:dyDescent="0.25">
      <c r="A912" s="90" t="s">
        <v>39</v>
      </c>
      <c r="B912" s="90" t="s">
        <v>77</v>
      </c>
      <c r="C912" s="90">
        <v>3</v>
      </c>
      <c r="D912" s="109" t="s">
        <v>340</v>
      </c>
      <c r="E912" s="99" t="s">
        <v>340</v>
      </c>
      <c r="F912" s="100" t="s">
        <v>2076</v>
      </c>
      <c r="G912" s="105" t="s">
        <v>2077</v>
      </c>
    </row>
    <row r="913" spans="1:7" ht="12" x14ac:dyDescent="0.25">
      <c r="A913" s="90" t="s">
        <v>39</v>
      </c>
      <c r="B913" s="90" t="s">
        <v>77</v>
      </c>
      <c r="C913" s="90">
        <v>3</v>
      </c>
      <c r="D913" s="109" t="s">
        <v>341</v>
      </c>
      <c r="E913" s="99" t="s">
        <v>341</v>
      </c>
      <c r="F913" s="102" t="s">
        <v>2078</v>
      </c>
      <c r="G913" s="107" t="s">
        <v>2079</v>
      </c>
    </row>
    <row r="914" spans="1:7" ht="12" x14ac:dyDescent="0.25">
      <c r="A914" s="90" t="s">
        <v>39</v>
      </c>
      <c r="B914" s="90" t="s">
        <v>77</v>
      </c>
      <c r="C914" s="90">
        <v>3</v>
      </c>
      <c r="D914" s="109" t="s">
        <v>342</v>
      </c>
      <c r="E914" s="99" t="s">
        <v>342</v>
      </c>
      <c r="F914" s="100" t="s">
        <v>2080</v>
      </c>
      <c r="G914" s="105" t="s">
        <v>2081</v>
      </c>
    </row>
    <row r="915" spans="1:7" ht="12" x14ac:dyDescent="0.25">
      <c r="A915" s="90" t="s">
        <v>39</v>
      </c>
      <c r="B915" s="90" t="s">
        <v>77</v>
      </c>
      <c r="C915" s="90">
        <v>3</v>
      </c>
      <c r="D915" s="109" t="s">
        <v>2101</v>
      </c>
      <c r="E915" s="99" t="s">
        <v>2101</v>
      </c>
      <c r="F915" s="100" t="s">
        <v>2480</v>
      </c>
      <c r="G915" s="105" t="s">
        <v>2536</v>
      </c>
    </row>
    <row r="916" spans="1:7" ht="12" x14ac:dyDescent="0.25">
      <c r="A916" s="90" t="s">
        <v>39</v>
      </c>
      <c r="B916" s="90" t="s">
        <v>77</v>
      </c>
      <c r="C916" s="90">
        <v>3</v>
      </c>
      <c r="D916" s="109" t="s">
        <v>191</v>
      </c>
      <c r="E916" s="99" t="s">
        <v>191</v>
      </c>
      <c r="F916" s="100" t="s">
        <v>343</v>
      </c>
      <c r="G916" s="105" t="s">
        <v>2083</v>
      </c>
    </row>
    <row r="917" spans="1:7" ht="12" x14ac:dyDescent="0.25">
      <c r="A917" s="90" t="s">
        <v>39</v>
      </c>
      <c r="B917" s="90" t="s">
        <v>77</v>
      </c>
      <c r="C917" s="90">
        <v>3</v>
      </c>
      <c r="D917" s="109" t="s">
        <v>244</v>
      </c>
      <c r="E917" s="99" t="s">
        <v>244</v>
      </c>
      <c r="F917" s="100" t="s">
        <v>344</v>
      </c>
      <c r="G917" s="105" t="s">
        <v>345</v>
      </c>
    </row>
    <row r="918" spans="1:7" ht="12" x14ac:dyDescent="0.25">
      <c r="A918" s="90" t="s">
        <v>39</v>
      </c>
      <c r="B918" s="90" t="s">
        <v>77</v>
      </c>
      <c r="C918" s="90">
        <v>3</v>
      </c>
      <c r="D918" s="160" t="s">
        <v>2102</v>
      </c>
      <c r="E918" s="161" t="s">
        <v>2102</v>
      </c>
      <c r="F918" s="162" t="s">
        <v>2481</v>
      </c>
      <c r="G918" s="163" t="s">
        <v>2537</v>
      </c>
    </row>
    <row r="919" spans="1:7" ht="12" x14ac:dyDescent="0.25">
      <c r="A919" s="90" t="s">
        <v>39</v>
      </c>
      <c r="B919" s="90" t="s">
        <v>77</v>
      </c>
      <c r="C919" s="90">
        <v>3</v>
      </c>
      <c r="D919" s="109" t="s">
        <v>211</v>
      </c>
      <c r="E919" s="99" t="s">
        <v>211</v>
      </c>
      <c r="F919" s="100" t="s">
        <v>2085</v>
      </c>
      <c r="G919" s="105" t="s">
        <v>349</v>
      </c>
    </row>
    <row r="920" spans="1:7" ht="12" x14ac:dyDescent="0.25">
      <c r="A920" s="90" t="s">
        <v>39</v>
      </c>
      <c r="B920" s="90" t="s">
        <v>77</v>
      </c>
      <c r="C920" s="90">
        <v>3</v>
      </c>
      <c r="D920" s="109" t="s">
        <v>193</v>
      </c>
      <c r="E920" s="99" t="s">
        <v>193</v>
      </c>
      <c r="F920" s="100" t="s">
        <v>350</v>
      </c>
      <c r="G920" s="105" t="s">
        <v>2086</v>
      </c>
    </row>
    <row r="921" spans="1:7" ht="12" x14ac:dyDescent="0.25">
      <c r="A921" s="90" t="s">
        <v>39</v>
      </c>
      <c r="B921" s="90" t="s">
        <v>77</v>
      </c>
      <c r="C921" s="90">
        <v>3</v>
      </c>
      <c r="D921" s="109" t="s">
        <v>145</v>
      </c>
      <c r="E921" s="99" t="s">
        <v>145</v>
      </c>
      <c r="F921" s="100" t="s">
        <v>351</v>
      </c>
      <c r="G921" s="105" t="s">
        <v>352</v>
      </c>
    </row>
    <row r="922" spans="1:7" ht="360" x14ac:dyDescent="0.25">
      <c r="A922" s="90" t="s">
        <v>39</v>
      </c>
      <c r="B922" s="90" t="s">
        <v>77</v>
      </c>
      <c r="C922" s="90">
        <v>4</v>
      </c>
      <c r="D922" s="109" t="s">
        <v>2021</v>
      </c>
      <c r="E922" s="99" t="s">
        <v>2021</v>
      </c>
      <c r="F922" s="100" t="s">
        <v>2450</v>
      </c>
      <c r="G922" s="105" t="s">
        <v>2451</v>
      </c>
    </row>
    <row r="923" spans="1:7" ht="12" x14ac:dyDescent="0.25">
      <c r="A923" s="90" t="s">
        <v>39</v>
      </c>
      <c r="B923" s="90" t="s">
        <v>77</v>
      </c>
      <c r="C923" s="90">
        <v>4</v>
      </c>
      <c r="D923" s="109" t="s">
        <v>75</v>
      </c>
      <c r="E923" s="99" t="s">
        <v>75</v>
      </c>
      <c r="F923" s="100" t="s">
        <v>2022</v>
      </c>
      <c r="G923" s="105" t="s">
        <v>2023</v>
      </c>
    </row>
    <row r="924" spans="1:7" ht="12" x14ac:dyDescent="0.25">
      <c r="A924" s="90" t="s">
        <v>39</v>
      </c>
      <c r="B924" s="90" t="s">
        <v>77</v>
      </c>
      <c r="C924" s="90">
        <v>4</v>
      </c>
      <c r="D924" s="109" t="s">
        <v>2000</v>
      </c>
      <c r="E924" s="99" t="s">
        <v>2000</v>
      </c>
      <c r="F924" s="100" t="s">
        <v>2452</v>
      </c>
      <c r="G924" s="105" t="s">
        <v>2531</v>
      </c>
    </row>
    <row r="925" spans="1:7" ht="12" x14ac:dyDescent="0.25">
      <c r="A925" s="90" t="s">
        <v>39</v>
      </c>
      <c r="B925" s="90" t="s">
        <v>77</v>
      </c>
      <c r="C925" s="90">
        <v>4</v>
      </c>
      <c r="D925" s="109" t="s">
        <v>2001</v>
      </c>
      <c r="E925" s="99" t="s">
        <v>2001</v>
      </c>
      <c r="F925" s="100" t="s">
        <v>2475</v>
      </c>
      <c r="G925" s="105" t="s">
        <v>2532</v>
      </c>
    </row>
    <row r="926" spans="1:7" ht="12" x14ac:dyDescent="0.25">
      <c r="A926" s="90" t="s">
        <v>39</v>
      </c>
      <c r="B926" s="90" t="s">
        <v>77</v>
      </c>
      <c r="C926" s="90">
        <v>4</v>
      </c>
      <c r="D926" s="109" t="s">
        <v>225</v>
      </c>
      <c r="E926" s="99" t="s">
        <v>225</v>
      </c>
      <c r="F926" s="100" t="s">
        <v>335</v>
      </c>
      <c r="G926" s="105" t="s">
        <v>336</v>
      </c>
    </row>
    <row r="927" spans="1:7" ht="12" x14ac:dyDescent="0.25">
      <c r="A927" s="90" t="s">
        <v>39</v>
      </c>
      <c r="B927" s="90" t="s">
        <v>77</v>
      </c>
      <c r="C927" s="90">
        <v>4</v>
      </c>
      <c r="D927" s="109" t="s">
        <v>74</v>
      </c>
      <c r="E927" s="99" t="s">
        <v>74</v>
      </c>
      <c r="F927" s="100" t="s">
        <v>326</v>
      </c>
      <c r="G927" s="105" t="s">
        <v>327</v>
      </c>
    </row>
    <row r="928" spans="1:7" ht="12" x14ac:dyDescent="0.25">
      <c r="A928" s="90" t="s">
        <v>39</v>
      </c>
      <c r="B928" s="90" t="s">
        <v>77</v>
      </c>
      <c r="C928" s="90">
        <v>4</v>
      </c>
      <c r="D928" s="109" t="s">
        <v>2030</v>
      </c>
      <c r="E928" s="99" t="s">
        <v>2030</v>
      </c>
      <c r="F928" s="100" t="s">
        <v>2467</v>
      </c>
      <c r="G928" s="105" t="s">
        <v>2462</v>
      </c>
    </row>
    <row r="929" spans="1:7" ht="12" x14ac:dyDescent="0.25">
      <c r="A929" s="90" t="s">
        <v>39</v>
      </c>
      <c r="B929" s="90" t="s">
        <v>77</v>
      </c>
      <c r="C929" s="90">
        <v>4</v>
      </c>
      <c r="D929" s="109" t="s">
        <v>64</v>
      </c>
      <c r="E929" s="99" t="s">
        <v>64</v>
      </c>
      <c r="F929" s="100" t="s">
        <v>2476</v>
      </c>
      <c r="G929" s="105" t="s">
        <v>2087</v>
      </c>
    </row>
    <row r="930" spans="1:7" ht="12" x14ac:dyDescent="0.25">
      <c r="A930" s="90" t="s">
        <v>39</v>
      </c>
      <c r="B930" s="90" t="s">
        <v>77</v>
      </c>
      <c r="C930" s="90">
        <v>4</v>
      </c>
      <c r="D930" s="109" t="s">
        <v>130</v>
      </c>
      <c r="E930" s="99" t="s">
        <v>130</v>
      </c>
      <c r="F930" s="100" t="s">
        <v>2468</v>
      </c>
      <c r="G930" s="105" t="s">
        <v>2524</v>
      </c>
    </row>
    <row r="931" spans="1:7" ht="12" x14ac:dyDescent="0.25">
      <c r="A931" s="90" t="s">
        <v>39</v>
      </c>
      <c r="B931" s="90" t="s">
        <v>77</v>
      </c>
      <c r="C931" s="90">
        <v>4</v>
      </c>
      <c r="D931" s="109" t="s">
        <v>226</v>
      </c>
      <c r="E931" s="99" t="s">
        <v>226</v>
      </c>
      <c r="F931" s="100" t="s">
        <v>2469</v>
      </c>
      <c r="G931" s="105" t="s">
        <v>2525</v>
      </c>
    </row>
    <row r="932" spans="1:7" ht="12" x14ac:dyDescent="0.25">
      <c r="A932" s="90" t="s">
        <v>39</v>
      </c>
      <c r="B932" s="90" t="s">
        <v>77</v>
      </c>
      <c r="C932" s="90">
        <v>4</v>
      </c>
      <c r="D932" s="109" t="s">
        <v>227</v>
      </c>
      <c r="E932" s="99" t="s">
        <v>227</v>
      </c>
      <c r="F932" s="100" t="s">
        <v>2033</v>
      </c>
      <c r="G932" s="105" t="s">
        <v>2034</v>
      </c>
    </row>
    <row r="933" spans="1:7" ht="12" x14ac:dyDescent="0.25">
      <c r="A933" s="90" t="s">
        <v>39</v>
      </c>
      <c r="B933" s="90" t="s">
        <v>77</v>
      </c>
      <c r="C933" s="90">
        <v>4</v>
      </c>
      <c r="D933" s="109" t="s">
        <v>228</v>
      </c>
      <c r="E933" s="99" t="s">
        <v>228</v>
      </c>
      <c r="F933" s="100" t="s">
        <v>2035</v>
      </c>
      <c r="G933" s="105" t="s">
        <v>2036</v>
      </c>
    </row>
    <row r="934" spans="1:7" ht="12" x14ac:dyDescent="0.25">
      <c r="A934" s="90" t="s">
        <v>39</v>
      </c>
      <c r="B934" s="90" t="s">
        <v>77</v>
      </c>
      <c r="C934" s="90">
        <v>4</v>
      </c>
      <c r="D934" s="109" t="s">
        <v>229</v>
      </c>
      <c r="E934" s="99" t="s">
        <v>229</v>
      </c>
      <c r="F934" s="100" t="s">
        <v>2037</v>
      </c>
      <c r="G934" s="105" t="s">
        <v>2038</v>
      </c>
    </row>
    <row r="935" spans="1:7" ht="12" x14ac:dyDescent="0.25">
      <c r="A935" s="90" t="s">
        <v>39</v>
      </c>
      <c r="B935" s="90" t="s">
        <v>77</v>
      </c>
      <c r="C935" s="90">
        <v>4</v>
      </c>
      <c r="D935" s="109" t="s">
        <v>230</v>
      </c>
      <c r="E935" s="99" t="s">
        <v>230</v>
      </c>
      <c r="F935" s="100" t="s">
        <v>2039</v>
      </c>
      <c r="G935" s="105" t="s">
        <v>2040</v>
      </c>
    </row>
    <row r="936" spans="1:7" ht="12" x14ac:dyDescent="0.25">
      <c r="A936" s="90" t="s">
        <v>39</v>
      </c>
      <c r="B936" s="90" t="s">
        <v>77</v>
      </c>
      <c r="C936" s="90">
        <v>4</v>
      </c>
      <c r="D936" s="109" t="s">
        <v>231</v>
      </c>
      <c r="E936" s="99" t="s">
        <v>231</v>
      </c>
      <c r="F936" s="100" t="s">
        <v>2041</v>
      </c>
      <c r="G936" s="105" t="s">
        <v>2042</v>
      </c>
    </row>
    <row r="937" spans="1:7" ht="12" x14ac:dyDescent="0.25">
      <c r="A937" s="90" t="s">
        <v>39</v>
      </c>
      <c r="B937" s="90" t="s">
        <v>77</v>
      </c>
      <c r="C937" s="90">
        <v>4</v>
      </c>
      <c r="D937" s="109" t="s">
        <v>2098</v>
      </c>
      <c r="E937" s="99" t="s">
        <v>2098</v>
      </c>
      <c r="F937" s="100" t="s">
        <v>2477</v>
      </c>
      <c r="G937" s="105" t="s">
        <v>2533</v>
      </c>
    </row>
    <row r="938" spans="1:7" ht="12" x14ac:dyDescent="0.25">
      <c r="A938" s="90" t="s">
        <v>39</v>
      </c>
      <c r="B938" s="90" t="s">
        <v>77</v>
      </c>
      <c r="C938" s="90">
        <v>4</v>
      </c>
      <c r="D938" s="109" t="s">
        <v>130</v>
      </c>
      <c r="E938" s="99" t="s">
        <v>130</v>
      </c>
      <c r="F938" s="100" t="s">
        <v>2468</v>
      </c>
      <c r="G938" s="105" t="s">
        <v>2524</v>
      </c>
    </row>
    <row r="939" spans="1:7" ht="12" x14ac:dyDescent="0.25">
      <c r="A939" s="90" t="s">
        <v>39</v>
      </c>
      <c r="B939" s="90" t="s">
        <v>77</v>
      </c>
      <c r="C939" s="90">
        <v>4</v>
      </c>
      <c r="D939" s="109" t="s">
        <v>232</v>
      </c>
      <c r="E939" s="99" t="s">
        <v>232</v>
      </c>
      <c r="F939" s="100" t="s">
        <v>2044</v>
      </c>
      <c r="G939" s="105" t="s">
        <v>2045</v>
      </c>
    </row>
    <row r="940" spans="1:7" ht="12" x14ac:dyDescent="0.25">
      <c r="A940" s="90" t="s">
        <v>39</v>
      </c>
      <c r="B940" s="90" t="s">
        <v>77</v>
      </c>
      <c r="C940" s="90">
        <v>4</v>
      </c>
      <c r="D940" s="109" t="s">
        <v>233</v>
      </c>
      <c r="E940" s="99" t="s">
        <v>233</v>
      </c>
      <c r="F940" s="100" t="s">
        <v>2046</v>
      </c>
      <c r="G940" s="105" t="s">
        <v>2047</v>
      </c>
    </row>
    <row r="941" spans="1:7" ht="12" x14ac:dyDescent="0.25">
      <c r="A941" s="90" t="s">
        <v>39</v>
      </c>
      <c r="B941" s="90" t="s">
        <v>77</v>
      </c>
      <c r="C941" s="90">
        <v>4</v>
      </c>
      <c r="D941" s="109" t="s">
        <v>234</v>
      </c>
      <c r="E941" s="99" t="s">
        <v>234</v>
      </c>
      <c r="F941" s="100" t="s">
        <v>2048</v>
      </c>
      <c r="G941" s="105" t="s">
        <v>2049</v>
      </c>
    </row>
    <row r="942" spans="1:7" ht="12" x14ac:dyDescent="0.25">
      <c r="A942" s="90" t="s">
        <v>39</v>
      </c>
      <c r="B942" s="90" t="s">
        <v>77</v>
      </c>
      <c r="C942" s="90">
        <v>4</v>
      </c>
      <c r="D942" s="109" t="s">
        <v>235</v>
      </c>
      <c r="E942" s="99" t="s">
        <v>235</v>
      </c>
      <c r="F942" s="100" t="s">
        <v>2050</v>
      </c>
      <c r="G942" s="105" t="s">
        <v>2051</v>
      </c>
    </row>
    <row r="943" spans="1:7" ht="12" x14ac:dyDescent="0.25">
      <c r="A943" s="90" t="s">
        <v>39</v>
      </c>
      <c r="B943" s="90" t="s">
        <v>77</v>
      </c>
      <c r="C943" s="90">
        <v>4</v>
      </c>
      <c r="D943" s="109" t="s">
        <v>236</v>
      </c>
      <c r="E943" s="99" t="s">
        <v>236</v>
      </c>
      <c r="F943" s="100" t="s">
        <v>2052</v>
      </c>
      <c r="G943" s="105" t="s">
        <v>2053</v>
      </c>
    </row>
    <row r="944" spans="1:7" ht="12" x14ac:dyDescent="0.25">
      <c r="A944" s="90" t="s">
        <v>39</v>
      </c>
      <c r="B944" s="90" t="s">
        <v>77</v>
      </c>
      <c r="C944" s="90">
        <v>4</v>
      </c>
      <c r="D944" s="109" t="s">
        <v>237</v>
      </c>
      <c r="E944" s="99" t="s">
        <v>237</v>
      </c>
      <c r="F944" s="100" t="s">
        <v>2054</v>
      </c>
      <c r="G944" s="105" t="s">
        <v>2055</v>
      </c>
    </row>
    <row r="945" spans="1:7" ht="12" x14ac:dyDescent="0.25">
      <c r="A945" s="90" t="s">
        <v>39</v>
      </c>
      <c r="B945" s="90" t="s">
        <v>77</v>
      </c>
      <c r="C945" s="90">
        <v>4</v>
      </c>
      <c r="D945" s="109" t="s">
        <v>2099</v>
      </c>
      <c r="E945" s="99" t="s">
        <v>2099</v>
      </c>
      <c r="F945" s="100" t="s">
        <v>2478</v>
      </c>
      <c r="G945" s="105" t="s">
        <v>2534</v>
      </c>
    </row>
    <row r="946" spans="1:7" ht="12" x14ac:dyDescent="0.25">
      <c r="A946" s="90" t="s">
        <v>39</v>
      </c>
      <c r="B946" s="90" t="s">
        <v>77</v>
      </c>
      <c r="C946" s="90">
        <v>4</v>
      </c>
      <c r="D946" s="109" t="s">
        <v>130</v>
      </c>
      <c r="E946" s="99" t="s">
        <v>130</v>
      </c>
      <c r="F946" s="100" t="s">
        <v>2468</v>
      </c>
      <c r="G946" s="105" t="s">
        <v>2524</v>
      </c>
    </row>
    <row r="947" spans="1:7" ht="12" x14ac:dyDescent="0.25">
      <c r="A947" s="90" t="s">
        <v>39</v>
      </c>
      <c r="B947" s="90" t="s">
        <v>77</v>
      </c>
      <c r="C947" s="90">
        <v>4</v>
      </c>
      <c r="D947" s="109" t="s">
        <v>238</v>
      </c>
      <c r="E947" s="99" t="s">
        <v>238</v>
      </c>
      <c r="F947" s="100" t="s">
        <v>2057</v>
      </c>
      <c r="G947" s="105" t="s">
        <v>2058</v>
      </c>
    </row>
    <row r="948" spans="1:7" ht="12" x14ac:dyDescent="0.25">
      <c r="A948" s="90" t="s">
        <v>39</v>
      </c>
      <c r="B948" s="90" t="s">
        <v>77</v>
      </c>
      <c r="C948" s="90">
        <v>4</v>
      </c>
      <c r="D948" s="109" t="s">
        <v>239</v>
      </c>
      <c r="E948" s="99" t="s">
        <v>239</v>
      </c>
      <c r="F948" s="100" t="s">
        <v>2059</v>
      </c>
      <c r="G948" s="105" t="s">
        <v>2060</v>
      </c>
    </row>
    <row r="949" spans="1:7" ht="12" x14ac:dyDescent="0.25">
      <c r="A949" s="90" t="s">
        <v>39</v>
      </c>
      <c r="B949" s="90" t="s">
        <v>77</v>
      </c>
      <c r="C949" s="90">
        <v>4</v>
      </c>
      <c r="D949" s="109" t="s">
        <v>240</v>
      </c>
      <c r="E949" s="99" t="s">
        <v>240</v>
      </c>
      <c r="F949" s="100" t="s">
        <v>2061</v>
      </c>
      <c r="G949" s="105" t="s">
        <v>2062</v>
      </c>
    </row>
    <row r="950" spans="1:7" ht="12" x14ac:dyDescent="0.25">
      <c r="A950" s="90" t="s">
        <v>39</v>
      </c>
      <c r="B950" s="90" t="s">
        <v>77</v>
      </c>
      <c r="C950" s="90">
        <v>4</v>
      </c>
      <c r="D950" s="109" t="s">
        <v>241</v>
      </c>
      <c r="E950" s="99" t="s">
        <v>241</v>
      </c>
      <c r="F950" s="102" t="s">
        <v>2063</v>
      </c>
      <c r="G950" s="107" t="s">
        <v>2064</v>
      </c>
    </row>
    <row r="951" spans="1:7" ht="12" x14ac:dyDescent="0.25">
      <c r="A951" s="90" t="s">
        <v>39</v>
      </c>
      <c r="B951" s="90" t="s">
        <v>77</v>
      </c>
      <c r="C951" s="90">
        <v>4</v>
      </c>
      <c r="D951" s="109" t="s">
        <v>242</v>
      </c>
      <c r="E951" s="99" t="s">
        <v>242</v>
      </c>
      <c r="F951" s="100" t="s">
        <v>2065</v>
      </c>
      <c r="G951" s="105" t="s">
        <v>2066</v>
      </c>
    </row>
    <row r="952" spans="1:7" ht="12" x14ac:dyDescent="0.25">
      <c r="A952" s="90" t="s">
        <v>39</v>
      </c>
      <c r="B952" s="90" t="s">
        <v>77</v>
      </c>
      <c r="C952" s="90">
        <v>4</v>
      </c>
      <c r="D952" s="109" t="s">
        <v>243</v>
      </c>
      <c r="E952" s="99" t="s">
        <v>243</v>
      </c>
      <c r="F952" s="100" t="s">
        <v>2067</v>
      </c>
      <c r="G952" s="105" t="s">
        <v>2068</v>
      </c>
    </row>
    <row r="953" spans="1:7" ht="12" x14ac:dyDescent="0.25">
      <c r="A953" s="90" t="s">
        <v>39</v>
      </c>
      <c r="B953" s="90" t="s">
        <v>77</v>
      </c>
      <c r="C953" s="90">
        <v>4</v>
      </c>
      <c r="D953" s="109" t="s">
        <v>2100</v>
      </c>
      <c r="E953" s="99" t="s">
        <v>2100</v>
      </c>
      <c r="F953" s="100" t="s">
        <v>2479</v>
      </c>
      <c r="G953" s="105" t="s">
        <v>2535</v>
      </c>
    </row>
    <row r="954" spans="1:7" ht="12" x14ac:dyDescent="0.25">
      <c r="A954" s="90" t="s">
        <v>39</v>
      </c>
      <c r="B954" s="90" t="s">
        <v>77</v>
      </c>
      <c r="C954" s="90">
        <v>4</v>
      </c>
      <c r="D954" s="109" t="s">
        <v>130</v>
      </c>
      <c r="E954" s="99" t="s">
        <v>130</v>
      </c>
      <c r="F954" s="100" t="s">
        <v>2468</v>
      </c>
      <c r="G954" s="105" t="s">
        <v>2524</v>
      </c>
    </row>
    <row r="955" spans="1:7" ht="12" x14ac:dyDescent="0.25">
      <c r="A955" s="90" t="s">
        <v>39</v>
      </c>
      <c r="B955" s="90" t="s">
        <v>77</v>
      </c>
      <c r="C955" s="90">
        <v>4</v>
      </c>
      <c r="D955" s="160" t="s">
        <v>337</v>
      </c>
      <c r="E955" s="161" t="s">
        <v>337</v>
      </c>
      <c r="F955" s="162" t="s">
        <v>2070</v>
      </c>
      <c r="G955" s="163" t="s">
        <v>2071</v>
      </c>
    </row>
    <row r="956" spans="1:7" ht="12" x14ac:dyDescent="0.25">
      <c r="A956" s="90" t="s">
        <v>39</v>
      </c>
      <c r="B956" s="90" t="s">
        <v>77</v>
      </c>
      <c r="C956" s="90">
        <v>4</v>
      </c>
      <c r="D956" s="109" t="s">
        <v>338</v>
      </c>
      <c r="E956" s="99" t="s">
        <v>338</v>
      </c>
      <c r="F956" s="100" t="s">
        <v>2072</v>
      </c>
      <c r="G956" s="105" t="s">
        <v>2073</v>
      </c>
    </row>
    <row r="957" spans="1:7" ht="12" x14ac:dyDescent="0.25">
      <c r="A957" s="90" t="s">
        <v>39</v>
      </c>
      <c r="B957" s="90" t="s">
        <v>77</v>
      </c>
      <c r="C957" s="90">
        <v>4</v>
      </c>
      <c r="D957" s="109" t="s">
        <v>339</v>
      </c>
      <c r="E957" s="99" t="s">
        <v>339</v>
      </c>
      <c r="F957" s="100" t="s">
        <v>2074</v>
      </c>
      <c r="G957" s="105" t="s">
        <v>2075</v>
      </c>
    </row>
    <row r="958" spans="1:7" ht="12" x14ac:dyDescent="0.25">
      <c r="A958" s="90" t="s">
        <v>39</v>
      </c>
      <c r="B958" s="90" t="s">
        <v>77</v>
      </c>
      <c r="C958" s="90">
        <v>4</v>
      </c>
      <c r="D958" s="109" t="s">
        <v>340</v>
      </c>
      <c r="E958" s="99" t="s">
        <v>340</v>
      </c>
      <c r="F958" s="100" t="s">
        <v>2076</v>
      </c>
      <c r="G958" s="105" t="s">
        <v>2077</v>
      </c>
    </row>
    <row r="959" spans="1:7" ht="12" x14ac:dyDescent="0.25">
      <c r="A959" s="90" t="s">
        <v>39</v>
      </c>
      <c r="B959" s="90" t="s">
        <v>77</v>
      </c>
      <c r="C959" s="90">
        <v>4</v>
      </c>
      <c r="D959" s="109" t="s">
        <v>341</v>
      </c>
      <c r="E959" s="99" t="s">
        <v>341</v>
      </c>
      <c r="F959" s="100" t="s">
        <v>2078</v>
      </c>
      <c r="G959" s="105" t="s">
        <v>2079</v>
      </c>
    </row>
    <row r="960" spans="1:7" ht="12" x14ac:dyDescent="0.25">
      <c r="A960" s="90" t="s">
        <v>39</v>
      </c>
      <c r="B960" s="90" t="s">
        <v>77</v>
      </c>
      <c r="C960" s="90">
        <v>4</v>
      </c>
      <c r="D960" s="109" t="s">
        <v>342</v>
      </c>
      <c r="E960" s="99" t="s">
        <v>342</v>
      </c>
      <c r="F960" s="100" t="s">
        <v>2080</v>
      </c>
      <c r="G960" s="105" t="s">
        <v>2081</v>
      </c>
    </row>
    <row r="961" spans="1:7" ht="12" x14ac:dyDescent="0.25">
      <c r="A961" s="90" t="s">
        <v>39</v>
      </c>
      <c r="B961" s="90" t="s">
        <v>77</v>
      </c>
      <c r="C961" s="90">
        <v>4</v>
      </c>
      <c r="D961" s="109" t="s">
        <v>2101</v>
      </c>
      <c r="E961" s="99" t="s">
        <v>2101</v>
      </c>
      <c r="F961" s="100" t="s">
        <v>2480</v>
      </c>
      <c r="G961" s="105" t="s">
        <v>2536</v>
      </c>
    </row>
    <row r="962" spans="1:7" ht="12" x14ac:dyDescent="0.25">
      <c r="A962" s="90" t="s">
        <v>39</v>
      </c>
      <c r="B962" s="90" t="s">
        <v>77</v>
      </c>
      <c r="C962" s="90">
        <v>4</v>
      </c>
      <c r="D962" s="109" t="s">
        <v>191</v>
      </c>
      <c r="E962" s="99" t="s">
        <v>191</v>
      </c>
      <c r="F962" s="100" t="s">
        <v>343</v>
      </c>
      <c r="G962" s="105" t="s">
        <v>2083</v>
      </c>
    </row>
    <row r="963" spans="1:7" ht="12" x14ac:dyDescent="0.25">
      <c r="A963" s="90" t="s">
        <v>39</v>
      </c>
      <c r="B963" s="90" t="s">
        <v>77</v>
      </c>
      <c r="C963" s="90">
        <v>4</v>
      </c>
      <c r="D963" s="109" t="s">
        <v>244</v>
      </c>
      <c r="E963" s="99" t="s">
        <v>244</v>
      </c>
      <c r="F963" s="100" t="s">
        <v>344</v>
      </c>
      <c r="G963" s="105" t="s">
        <v>345</v>
      </c>
    </row>
    <row r="964" spans="1:7" ht="12" x14ac:dyDescent="0.25">
      <c r="A964" s="90" t="s">
        <v>39</v>
      </c>
      <c r="B964" s="90" t="s">
        <v>77</v>
      </c>
      <c r="C964" s="90">
        <v>4</v>
      </c>
      <c r="D964" s="109" t="s">
        <v>2102</v>
      </c>
      <c r="E964" s="99" t="s">
        <v>2102</v>
      </c>
      <c r="F964" s="100" t="s">
        <v>2481</v>
      </c>
      <c r="G964" s="105" t="s">
        <v>2537</v>
      </c>
    </row>
    <row r="965" spans="1:7" ht="12" x14ac:dyDescent="0.25">
      <c r="A965" s="90" t="s">
        <v>39</v>
      </c>
      <c r="B965" s="90" t="s">
        <v>77</v>
      </c>
      <c r="C965" s="90">
        <v>4</v>
      </c>
      <c r="D965" s="109" t="s">
        <v>211</v>
      </c>
      <c r="E965" s="99" t="s">
        <v>211</v>
      </c>
      <c r="F965" s="100" t="s">
        <v>2085</v>
      </c>
      <c r="G965" s="105" t="s">
        <v>349</v>
      </c>
    </row>
    <row r="966" spans="1:7" ht="12" x14ac:dyDescent="0.25">
      <c r="A966" s="90" t="s">
        <v>39</v>
      </c>
      <c r="B966" s="90" t="s">
        <v>77</v>
      </c>
      <c r="C966" s="90">
        <v>4</v>
      </c>
      <c r="D966" s="109" t="s">
        <v>193</v>
      </c>
      <c r="E966" s="99" t="s">
        <v>193</v>
      </c>
      <c r="F966" s="100" t="s">
        <v>350</v>
      </c>
      <c r="G966" s="105" t="s">
        <v>2086</v>
      </c>
    </row>
    <row r="967" spans="1:7" ht="12" x14ac:dyDescent="0.25">
      <c r="A967" s="90" t="s">
        <v>39</v>
      </c>
      <c r="B967" s="90" t="s">
        <v>77</v>
      </c>
      <c r="C967" s="90">
        <v>4</v>
      </c>
      <c r="D967" s="109" t="s">
        <v>145</v>
      </c>
      <c r="E967" s="99" t="s">
        <v>145</v>
      </c>
      <c r="F967" s="100" t="s">
        <v>351</v>
      </c>
      <c r="G967" s="105" t="s">
        <v>352</v>
      </c>
    </row>
    <row r="968" spans="1:7" ht="360" x14ac:dyDescent="0.25">
      <c r="A968" s="90" t="s">
        <v>39</v>
      </c>
      <c r="B968" s="90" t="s">
        <v>77</v>
      </c>
      <c r="C968" s="90">
        <v>5</v>
      </c>
      <c r="D968" s="109" t="s">
        <v>2021</v>
      </c>
      <c r="E968" s="99" t="s">
        <v>2021</v>
      </c>
      <c r="F968" s="100" t="s">
        <v>2450</v>
      </c>
      <c r="G968" s="105" t="s">
        <v>2451</v>
      </c>
    </row>
    <row r="969" spans="1:7" ht="12" x14ac:dyDescent="0.25">
      <c r="A969" s="90" t="s">
        <v>39</v>
      </c>
      <c r="B969" s="90" t="s">
        <v>77</v>
      </c>
      <c r="C969" s="90">
        <v>5</v>
      </c>
      <c r="D969" s="109" t="s">
        <v>75</v>
      </c>
      <c r="E969" s="99" t="s">
        <v>75</v>
      </c>
      <c r="F969" s="100" t="s">
        <v>2022</v>
      </c>
      <c r="G969" s="105" t="s">
        <v>2023</v>
      </c>
    </row>
    <row r="970" spans="1:7" ht="12" x14ac:dyDescent="0.25">
      <c r="A970" s="90" t="s">
        <v>39</v>
      </c>
      <c r="B970" s="90" t="s">
        <v>77</v>
      </c>
      <c r="C970" s="90">
        <v>5</v>
      </c>
      <c r="D970" s="109" t="s">
        <v>2000</v>
      </c>
      <c r="E970" s="99" t="s">
        <v>2000</v>
      </c>
      <c r="F970" s="100" t="s">
        <v>2452</v>
      </c>
      <c r="G970" s="105" t="s">
        <v>2531</v>
      </c>
    </row>
    <row r="971" spans="1:7" ht="12" x14ac:dyDescent="0.25">
      <c r="A971" s="90" t="s">
        <v>39</v>
      </c>
      <c r="B971" s="90" t="s">
        <v>77</v>
      </c>
      <c r="C971" s="90">
        <v>5</v>
      </c>
      <c r="D971" s="109" t="s">
        <v>2001</v>
      </c>
      <c r="E971" s="99" t="s">
        <v>2001</v>
      </c>
      <c r="F971" s="100" t="s">
        <v>2475</v>
      </c>
      <c r="G971" s="105" t="s">
        <v>2532</v>
      </c>
    </row>
    <row r="972" spans="1:7" ht="12" x14ac:dyDescent="0.25">
      <c r="A972" s="90" t="s">
        <v>39</v>
      </c>
      <c r="B972" s="90" t="s">
        <v>77</v>
      </c>
      <c r="C972" s="90">
        <v>5</v>
      </c>
      <c r="D972" s="109" t="s">
        <v>225</v>
      </c>
      <c r="E972" s="99" t="s">
        <v>225</v>
      </c>
      <c r="F972" s="100" t="s">
        <v>335</v>
      </c>
      <c r="G972" s="105" t="s">
        <v>336</v>
      </c>
    </row>
    <row r="973" spans="1:7" ht="12" x14ac:dyDescent="0.25">
      <c r="A973" s="90" t="s">
        <v>39</v>
      </c>
      <c r="B973" s="90" t="s">
        <v>77</v>
      </c>
      <c r="C973" s="90">
        <v>5</v>
      </c>
      <c r="D973" s="109" t="s">
        <v>74</v>
      </c>
      <c r="E973" s="99" t="s">
        <v>74</v>
      </c>
      <c r="F973" s="100" t="s">
        <v>326</v>
      </c>
      <c r="G973" s="105" t="s">
        <v>327</v>
      </c>
    </row>
    <row r="974" spans="1:7" ht="12" x14ac:dyDescent="0.25">
      <c r="A974" s="90" t="s">
        <v>39</v>
      </c>
      <c r="B974" s="90" t="s">
        <v>77</v>
      </c>
      <c r="C974" s="90">
        <v>5</v>
      </c>
      <c r="D974" s="109" t="s">
        <v>2030</v>
      </c>
      <c r="E974" s="99" t="s">
        <v>2030</v>
      </c>
      <c r="F974" s="100" t="s">
        <v>2467</v>
      </c>
      <c r="G974" s="105" t="s">
        <v>2462</v>
      </c>
    </row>
    <row r="975" spans="1:7" ht="12" x14ac:dyDescent="0.25">
      <c r="A975" s="90" t="s">
        <v>39</v>
      </c>
      <c r="B975" s="90" t="s">
        <v>77</v>
      </c>
      <c r="C975" s="90">
        <v>5</v>
      </c>
      <c r="D975" s="109" t="s">
        <v>64</v>
      </c>
      <c r="E975" s="99" t="s">
        <v>64</v>
      </c>
      <c r="F975" s="100" t="s">
        <v>2476</v>
      </c>
      <c r="G975" s="105" t="s">
        <v>2087</v>
      </c>
    </row>
    <row r="976" spans="1:7" ht="12" x14ac:dyDescent="0.25">
      <c r="A976" s="90" t="s">
        <v>39</v>
      </c>
      <c r="B976" s="90" t="s">
        <v>77</v>
      </c>
      <c r="C976" s="90">
        <v>5</v>
      </c>
      <c r="D976" s="109" t="s">
        <v>130</v>
      </c>
      <c r="E976" s="99" t="s">
        <v>130</v>
      </c>
      <c r="F976" s="100" t="s">
        <v>2468</v>
      </c>
      <c r="G976" s="105" t="s">
        <v>2524</v>
      </c>
    </row>
    <row r="977" spans="1:7" ht="12" x14ac:dyDescent="0.25">
      <c r="A977" s="90" t="s">
        <v>39</v>
      </c>
      <c r="B977" s="90" t="s">
        <v>77</v>
      </c>
      <c r="C977" s="90">
        <v>5</v>
      </c>
      <c r="D977" s="109" t="s">
        <v>226</v>
      </c>
      <c r="E977" s="99" t="s">
        <v>226</v>
      </c>
      <c r="F977" s="100" t="s">
        <v>2469</v>
      </c>
      <c r="G977" s="105" t="s">
        <v>2525</v>
      </c>
    </row>
    <row r="978" spans="1:7" ht="12" x14ac:dyDescent="0.25">
      <c r="A978" s="90" t="s">
        <v>39</v>
      </c>
      <c r="B978" s="90" t="s">
        <v>77</v>
      </c>
      <c r="C978" s="90">
        <v>5</v>
      </c>
      <c r="D978" s="109" t="s">
        <v>227</v>
      </c>
      <c r="E978" s="99" t="s">
        <v>227</v>
      </c>
      <c r="F978" s="100" t="s">
        <v>2033</v>
      </c>
      <c r="G978" s="105" t="s">
        <v>2034</v>
      </c>
    </row>
    <row r="979" spans="1:7" ht="12" x14ac:dyDescent="0.25">
      <c r="A979" s="90" t="s">
        <v>39</v>
      </c>
      <c r="B979" s="90" t="s">
        <v>77</v>
      </c>
      <c r="C979" s="90">
        <v>5</v>
      </c>
      <c r="D979" s="109" t="s">
        <v>228</v>
      </c>
      <c r="E979" s="99" t="s">
        <v>228</v>
      </c>
      <c r="F979" s="100" t="s">
        <v>2035</v>
      </c>
      <c r="G979" s="105" t="s">
        <v>2036</v>
      </c>
    </row>
    <row r="980" spans="1:7" ht="12" x14ac:dyDescent="0.25">
      <c r="A980" s="90" t="s">
        <v>39</v>
      </c>
      <c r="B980" s="90" t="s">
        <v>77</v>
      </c>
      <c r="C980" s="90">
        <v>5</v>
      </c>
      <c r="D980" s="109" t="s">
        <v>229</v>
      </c>
      <c r="E980" s="99" t="s">
        <v>229</v>
      </c>
      <c r="F980" s="100" t="s">
        <v>2037</v>
      </c>
      <c r="G980" s="105" t="s">
        <v>2038</v>
      </c>
    </row>
    <row r="981" spans="1:7" ht="12" x14ac:dyDescent="0.25">
      <c r="A981" s="90" t="s">
        <v>39</v>
      </c>
      <c r="B981" s="90" t="s">
        <v>77</v>
      </c>
      <c r="C981" s="90">
        <v>5</v>
      </c>
      <c r="D981" s="109" t="s">
        <v>230</v>
      </c>
      <c r="E981" s="99" t="s">
        <v>230</v>
      </c>
      <c r="F981" s="100" t="s">
        <v>2039</v>
      </c>
      <c r="G981" s="105" t="s">
        <v>2040</v>
      </c>
    </row>
    <row r="982" spans="1:7" ht="12" x14ac:dyDescent="0.25">
      <c r="A982" s="90" t="s">
        <v>39</v>
      </c>
      <c r="B982" s="90" t="s">
        <v>77</v>
      </c>
      <c r="C982" s="90">
        <v>5</v>
      </c>
      <c r="D982" s="109" t="s">
        <v>231</v>
      </c>
      <c r="E982" s="99" t="s">
        <v>231</v>
      </c>
      <c r="F982" s="100" t="s">
        <v>2041</v>
      </c>
      <c r="G982" s="105" t="s">
        <v>2042</v>
      </c>
    </row>
    <row r="983" spans="1:7" ht="12" x14ac:dyDescent="0.25">
      <c r="A983" s="90" t="s">
        <v>39</v>
      </c>
      <c r="B983" s="90" t="s">
        <v>77</v>
      </c>
      <c r="C983" s="90">
        <v>5</v>
      </c>
      <c r="D983" s="109" t="s">
        <v>2098</v>
      </c>
      <c r="E983" s="99" t="s">
        <v>2098</v>
      </c>
      <c r="F983" s="100" t="s">
        <v>2477</v>
      </c>
      <c r="G983" s="105" t="s">
        <v>2533</v>
      </c>
    </row>
    <row r="984" spans="1:7" ht="12" x14ac:dyDescent="0.25">
      <c r="A984" s="90" t="s">
        <v>39</v>
      </c>
      <c r="B984" s="90" t="s">
        <v>77</v>
      </c>
      <c r="C984" s="90">
        <v>5</v>
      </c>
      <c r="D984" s="109" t="s">
        <v>130</v>
      </c>
      <c r="E984" s="99" t="s">
        <v>130</v>
      </c>
      <c r="F984" s="100" t="s">
        <v>2468</v>
      </c>
      <c r="G984" s="105" t="s">
        <v>2524</v>
      </c>
    </row>
    <row r="985" spans="1:7" ht="12" x14ac:dyDescent="0.25">
      <c r="A985" s="90" t="s">
        <v>39</v>
      </c>
      <c r="B985" s="90" t="s">
        <v>77</v>
      </c>
      <c r="C985" s="90">
        <v>5</v>
      </c>
      <c r="D985" s="109" t="s">
        <v>232</v>
      </c>
      <c r="E985" s="99" t="s">
        <v>232</v>
      </c>
      <c r="F985" s="100" t="s">
        <v>2044</v>
      </c>
      <c r="G985" s="105" t="s">
        <v>2045</v>
      </c>
    </row>
    <row r="986" spans="1:7" ht="12" x14ac:dyDescent="0.25">
      <c r="A986" s="90" t="s">
        <v>39</v>
      </c>
      <c r="B986" s="90" t="s">
        <v>77</v>
      </c>
      <c r="C986" s="90">
        <v>5</v>
      </c>
      <c r="D986" s="109" t="s">
        <v>233</v>
      </c>
      <c r="E986" s="99" t="s">
        <v>233</v>
      </c>
      <c r="F986" s="100" t="s">
        <v>2046</v>
      </c>
      <c r="G986" s="105" t="s">
        <v>2047</v>
      </c>
    </row>
    <row r="987" spans="1:7" ht="12" x14ac:dyDescent="0.25">
      <c r="A987" s="90" t="s">
        <v>39</v>
      </c>
      <c r="B987" s="90" t="s">
        <v>77</v>
      </c>
      <c r="C987" s="90">
        <v>5</v>
      </c>
      <c r="D987" s="109" t="s">
        <v>234</v>
      </c>
      <c r="E987" s="99" t="s">
        <v>234</v>
      </c>
      <c r="F987" s="102" t="s">
        <v>2048</v>
      </c>
      <c r="G987" s="107" t="s">
        <v>2049</v>
      </c>
    </row>
    <row r="988" spans="1:7" ht="12" x14ac:dyDescent="0.25">
      <c r="A988" s="90" t="s">
        <v>39</v>
      </c>
      <c r="B988" s="90" t="s">
        <v>77</v>
      </c>
      <c r="C988" s="90">
        <v>5</v>
      </c>
      <c r="D988" s="109" t="s">
        <v>235</v>
      </c>
      <c r="E988" s="99" t="s">
        <v>235</v>
      </c>
      <c r="F988" s="100" t="s">
        <v>2050</v>
      </c>
      <c r="G988" s="105" t="s">
        <v>2051</v>
      </c>
    </row>
    <row r="989" spans="1:7" ht="12" x14ac:dyDescent="0.25">
      <c r="A989" s="90" t="s">
        <v>39</v>
      </c>
      <c r="B989" s="90" t="s">
        <v>77</v>
      </c>
      <c r="C989" s="90">
        <v>5</v>
      </c>
      <c r="D989" s="109" t="s">
        <v>236</v>
      </c>
      <c r="E989" s="99" t="s">
        <v>236</v>
      </c>
      <c r="F989" s="100" t="s">
        <v>2052</v>
      </c>
      <c r="G989" s="105" t="s">
        <v>2053</v>
      </c>
    </row>
    <row r="990" spans="1:7" ht="12" x14ac:dyDescent="0.25">
      <c r="A990" s="90" t="s">
        <v>39</v>
      </c>
      <c r="B990" s="90" t="s">
        <v>77</v>
      </c>
      <c r="C990" s="90">
        <v>5</v>
      </c>
      <c r="D990" s="109" t="s">
        <v>237</v>
      </c>
      <c r="E990" s="99" t="s">
        <v>237</v>
      </c>
      <c r="F990" s="100" t="s">
        <v>2054</v>
      </c>
      <c r="G990" s="105" t="s">
        <v>2055</v>
      </c>
    </row>
    <row r="991" spans="1:7" ht="12" x14ac:dyDescent="0.25">
      <c r="A991" s="90" t="s">
        <v>39</v>
      </c>
      <c r="B991" s="90" t="s">
        <v>77</v>
      </c>
      <c r="C991" s="90">
        <v>5</v>
      </c>
      <c r="D991" s="109" t="s">
        <v>2099</v>
      </c>
      <c r="E991" s="99" t="s">
        <v>2099</v>
      </c>
      <c r="F991" s="100" t="s">
        <v>2478</v>
      </c>
      <c r="G991" s="105" t="s">
        <v>2534</v>
      </c>
    </row>
    <row r="992" spans="1:7" ht="12" x14ac:dyDescent="0.25">
      <c r="A992" s="90" t="s">
        <v>39</v>
      </c>
      <c r="B992" s="90" t="s">
        <v>77</v>
      </c>
      <c r="C992" s="90">
        <v>5</v>
      </c>
      <c r="D992" s="160" t="s">
        <v>130</v>
      </c>
      <c r="E992" s="161" t="s">
        <v>130</v>
      </c>
      <c r="F992" s="162" t="s">
        <v>2468</v>
      </c>
      <c r="G992" s="163" t="s">
        <v>2524</v>
      </c>
    </row>
    <row r="993" spans="1:7" ht="12" x14ac:dyDescent="0.25">
      <c r="A993" s="90" t="s">
        <v>39</v>
      </c>
      <c r="B993" s="90" t="s">
        <v>77</v>
      </c>
      <c r="C993" s="90">
        <v>5</v>
      </c>
      <c r="D993" s="109" t="s">
        <v>238</v>
      </c>
      <c r="E993" s="99" t="s">
        <v>238</v>
      </c>
      <c r="F993" s="100" t="s">
        <v>2057</v>
      </c>
      <c r="G993" s="105" t="s">
        <v>2058</v>
      </c>
    </row>
    <row r="994" spans="1:7" ht="12" x14ac:dyDescent="0.25">
      <c r="A994" s="90" t="s">
        <v>39</v>
      </c>
      <c r="B994" s="90" t="s">
        <v>77</v>
      </c>
      <c r="C994" s="90">
        <v>5</v>
      </c>
      <c r="D994" s="109" t="s">
        <v>239</v>
      </c>
      <c r="E994" s="99" t="s">
        <v>239</v>
      </c>
      <c r="F994" s="100" t="s">
        <v>2059</v>
      </c>
      <c r="G994" s="105" t="s">
        <v>2060</v>
      </c>
    </row>
    <row r="995" spans="1:7" ht="12" x14ac:dyDescent="0.25">
      <c r="A995" s="90" t="s">
        <v>39</v>
      </c>
      <c r="B995" s="90" t="s">
        <v>77</v>
      </c>
      <c r="C995" s="90">
        <v>5</v>
      </c>
      <c r="D995" s="109" t="s">
        <v>240</v>
      </c>
      <c r="E995" s="99" t="s">
        <v>240</v>
      </c>
      <c r="F995" s="100" t="s">
        <v>2061</v>
      </c>
      <c r="G995" s="105" t="s">
        <v>2062</v>
      </c>
    </row>
    <row r="996" spans="1:7" ht="12" x14ac:dyDescent="0.25">
      <c r="A996" s="90" t="s">
        <v>39</v>
      </c>
      <c r="B996" s="90" t="s">
        <v>77</v>
      </c>
      <c r="C996" s="90">
        <v>5</v>
      </c>
      <c r="D996" s="109" t="s">
        <v>241</v>
      </c>
      <c r="E996" s="99" t="s">
        <v>241</v>
      </c>
      <c r="F996" s="100" t="s">
        <v>2063</v>
      </c>
      <c r="G996" s="105" t="s">
        <v>2064</v>
      </c>
    </row>
    <row r="997" spans="1:7" ht="12" x14ac:dyDescent="0.25">
      <c r="A997" s="90" t="s">
        <v>39</v>
      </c>
      <c r="B997" s="90" t="s">
        <v>77</v>
      </c>
      <c r="C997" s="90">
        <v>5</v>
      </c>
      <c r="D997" s="109" t="s">
        <v>242</v>
      </c>
      <c r="E997" s="99" t="s">
        <v>242</v>
      </c>
      <c r="F997" s="100" t="s">
        <v>2065</v>
      </c>
      <c r="G997" s="105" t="s">
        <v>2066</v>
      </c>
    </row>
    <row r="998" spans="1:7" ht="12" x14ac:dyDescent="0.25">
      <c r="A998" s="90" t="s">
        <v>39</v>
      </c>
      <c r="B998" s="90" t="s">
        <v>77</v>
      </c>
      <c r="C998" s="90">
        <v>5</v>
      </c>
      <c r="D998" s="109" t="s">
        <v>243</v>
      </c>
      <c r="E998" s="99" t="s">
        <v>243</v>
      </c>
      <c r="F998" s="100" t="s">
        <v>2067</v>
      </c>
      <c r="G998" s="105" t="s">
        <v>2068</v>
      </c>
    </row>
    <row r="999" spans="1:7" ht="12" x14ac:dyDescent="0.25">
      <c r="A999" s="90" t="s">
        <v>39</v>
      </c>
      <c r="B999" s="90" t="s">
        <v>77</v>
      </c>
      <c r="C999" s="90">
        <v>5</v>
      </c>
      <c r="D999" s="109" t="s">
        <v>2100</v>
      </c>
      <c r="E999" s="99" t="s">
        <v>2100</v>
      </c>
      <c r="F999" s="100" t="s">
        <v>2479</v>
      </c>
      <c r="G999" s="105" t="s">
        <v>2535</v>
      </c>
    </row>
    <row r="1000" spans="1:7" ht="12" x14ac:dyDescent="0.25">
      <c r="A1000" s="90" t="s">
        <v>39</v>
      </c>
      <c r="B1000" s="90" t="s">
        <v>77</v>
      </c>
      <c r="C1000" s="90">
        <v>5</v>
      </c>
      <c r="D1000" s="109" t="s">
        <v>130</v>
      </c>
      <c r="E1000" s="99" t="s">
        <v>130</v>
      </c>
      <c r="F1000" s="100" t="s">
        <v>2468</v>
      </c>
      <c r="G1000" s="105" t="s">
        <v>2524</v>
      </c>
    </row>
    <row r="1001" spans="1:7" ht="12" x14ac:dyDescent="0.25">
      <c r="A1001" s="90" t="s">
        <v>39</v>
      </c>
      <c r="B1001" s="90" t="s">
        <v>77</v>
      </c>
      <c r="C1001" s="90">
        <v>5</v>
      </c>
      <c r="D1001" s="109" t="s">
        <v>337</v>
      </c>
      <c r="E1001" s="99" t="s">
        <v>337</v>
      </c>
      <c r="F1001" s="100" t="s">
        <v>2070</v>
      </c>
      <c r="G1001" s="105" t="s">
        <v>2071</v>
      </c>
    </row>
    <row r="1002" spans="1:7" ht="12" x14ac:dyDescent="0.25">
      <c r="A1002" s="90" t="s">
        <v>39</v>
      </c>
      <c r="B1002" s="90" t="s">
        <v>77</v>
      </c>
      <c r="C1002" s="90">
        <v>5</v>
      </c>
      <c r="D1002" s="109" t="s">
        <v>338</v>
      </c>
      <c r="E1002" s="99" t="s">
        <v>338</v>
      </c>
      <c r="F1002" s="100" t="s">
        <v>2072</v>
      </c>
      <c r="G1002" s="105" t="s">
        <v>2073</v>
      </c>
    </row>
    <row r="1003" spans="1:7" ht="12" x14ac:dyDescent="0.25">
      <c r="A1003" s="90" t="s">
        <v>39</v>
      </c>
      <c r="B1003" s="90" t="s">
        <v>77</v>
      </c>
      <c r="C1003" s="90">
        <v>5</v>
      </c>
      <c r="D1003" s="109" t="s">
        <v>339</v>
      </c>
      <c r="E1003" s="99" t="s">
        <v>339</v>
      </c>
      <c r="F1003" s="100" t="s">
        <v>2074</v>
      </c>
      <c r="G1003" s="105" t="s">
        <v>2075</v>
      </c>
    </row>
    <row r="1004" spans="1:7" ht="12" x14ac:dyDescent="0.25">
      <c r="A1004" s="90" t="s">
        <v>39</v>
      </c>
      <c r="B1004" s="90" t="s">
        <v>77</v>
      </c>
      <c r="C1004" s="90">
        <v>5</v>
      </c>
      <c r="D1004" s="109" t="s">
        <v>340</v>
      </c>
      <c r="E1004" s="99" t="s">
        <v>340</v>
      </c>
      <c r="F1004" s="100" t="s">
        <v>2076</v>
      </c>
      <c r="G1004" s="105" t="s">
        <v>2077</v>
      </c>
    </row>
    <row r="1005" spans="1:7" ht="12" x14ac:dyDescent="0.25">
      <c r="A1005" s="90" t="s">
        <v>39</v>
      </c>
      <c r="B1005" s="90" t="s">
        <v>77</v>
      </c>
      <c r="C1005" s="90">
        <v>5</v>
      </c>
      <c r="D1005" s="109" t="s">
        <v>341</v>
      </c>
      <c r="E1005" s="99" t="s">
        <v>341</v>
      </c>
      <c r="F1005" s="100" t="s">
        <v>2078</v>
      </c>
      <c r="G1005" s="105" t="s">
        <v>2079</v>
      </c>
    </row>
    <row r="1006" spans="1:7" ht="12" x14ac:dyDescent="0.25">
      <c r="A1006" s="90" t="s">
        <v>39</v>
      </c>
      <c r="B1006" s="90" t="s">
        <v>77</v>
      </c>
      <c r="C1006" s="90">
        <v>5</v>
      </c>
      <c r="D1006" s="109" t="s">
        <v>342</v>
      </c>
      <c r="E1006" s="99" t="s">
        <v>342</v>
      </c>
      <c r="F1006" s="100" t="s">
        <v>2080</v>
      </c>
      <c r="G1006" s="105" t="s">
        <v>2081</v>
      </c>
    </row>
    <row r="1007" spans="1:7" ht="12" x14ac:dyDescent="0.25">
      <c r="A1007" s="90" t="s">
        <v>39</v>
      </c>
      <c r="B1007" s="90" t="s">
        <v>77</v>
      </c>
      <c r="C1007" s="90">
        <v>5</v>
      </c>
      <c r="D1007" s="109" t="s">
        <v>2101</v>
      </c>
      <c r="E1007" s="99" t="s">
        <v>2101</v>
      </c>
      <c r="F1007" s="100" t="s">
        <v>2480</v>
      </c>
      <c r="G1007" s="105" t="s">
        <v>2536</v>
      </c>
    </row>
    <row r="1008" spans="1:7" ht="12" x14ac:dyDescent="0.25">
      <c r="A1008" s="90" t="s">
        <v>39</v>
      </c>
      <c r="B1008" s="90" t="s">
        <v>77</v>
      </c>
      <c r="C1008" s="90">
        <v>5</v>
      </c>
      <c r="D1008" s="109" t="s">
        <v>191</v>
      </c>
      <c r="E1008" s="99" t="s">
        <v>191</v>
      </c>
      <c r="F1008" s="100" t="s">
        <v>343</v>
      </c>
      <c r="G1008" s="105" t="s">
        <v>2083</v>
      </c>
    </row>
    <row r="1009" spans="1:7" ht="12" x14ac:dyDescent="0.25">
      <c r="A1009" s="90" t="s">
        <v>39</v>
      </c>
      <c r="B1009" s="90" t="s">
        <v>77</v>
      </c>
      <c r="C1009" s="90">
        <v>5</v>
      </c>
      <c r="D1009" s="109" t="s">
        <v>244</v>
      </c>
      <c r="E1009" s="99" t="s">
        <v>244</v>
      </c>
      <c r="F1009" s="100" t="s">
        <v>344</v>
      </c>
      <c r="G1009" s="105" t="s">
        <v>345</v>
      </c>
    </row>
    <row r="1010" spans="1:7" ht="12" x14ac:dyDescent="0.25">
      <c r="A1010" s="90" t="s">
        <v>39</v>
      </c>
      <c r="B1010" s="90" t="s">
        <v>77</v>
      </c>
      <c r="C1010" s="90">
        <v>5</v>
      </c>
      <c r="D1010" s="109" t="s">
        <v>2102</v>
      </c>
      <c r="E1010" s="99" t="s">
        <v>2102</v>
      </c>
      <c r="F1010" s="100" t="s">
        <v>2481</v>
      </c>
      <c r="G1010" s="105" t="s">
        <v>2537</v>
      </c>
    </row>
    <row r="1011" spans="1:7" ht="12" x14ac:dyDescent="0.25">
      <c r="A1011" s="90" t="s">
        <v>39</v>
      </c>
      <c r="B1011" s="90" t="s">
        <v>77</v>
      </c>
      <c r="C1011" s="90">
        <v>5</v>
      </c>
      <c r="D1011" s="109" t="s">
        <v>211</v>
      </c>
      <c r="E1011" s="99" t="s">
        <v>211</v>
      </c>
      <c r="F1011" s="100" t="s">
        <v>2085</v>
      </c>
      <c r="G1011" s="105" t="s">
        <v>349</v>
      </c>
    </row>
    <row r="1012" spans="1:7" ht="12" x14ac:dyDescent="0.25">
      <c r="A1012" s="90" t="s">
        <v>39</v>
      </c>
      <c r="B1012" s="90" t="s">
        <v>77</v>
      </c>
      <c r="C1012" s="90">
        <v>5</v>
      </c>
      <c r="D1012" s="109" t="s">
        <v>193</v>
      </c>
      <c r="E1012" s="99" t="s">
        <v>193</v>
      </c>
      <c r="F1012" s="100" t="s">
        <v>350</v>
      </c>
      <c r="G1012" s="105" t="s">
        <v>2086</v>
      </c>
    </row>
    <row r="1013" spans="1:7" ht="12" x14ac:dyDescent="0.25">
      <c r="A1013" s="90" t="s">
        <v>39</v>
      </c>
      <c r="B1013" s="90" t="s">
        <v>77</v>
      </c>
      <c r="C1013" s="90">
        <v>5</v>
      </c>
      <c r="D1013" s="109" t="s">
        <v>145</v>
      </c>
      <c r="E1013" s="99" t="s">
        <v>145</v>
      </c>
      <c r="F1013" s="100" t="s">
        <v>351</v>
      </c>
      <c r="G1013" s="105" t="s">
        <v>352</v>
      </c>
    </row>
    <row r="1014" spans="1:7" ht="360" x14ac:dyDescent="0.25">
      <c r="A1014" s="90" t="s">
        <v>39</v>
      </c>
      <c r="B1014" s="90" t="s">
        <v>77</v>
      </c>
      <c r="C1014" s="90">
        <v>6</v>
      </c>
      <c r="D1014" s="109" t="s">
        <v>2021</v>
      </c>
      <c r="E1014" s="99" t="s">
        <v>2021</v>
      </c>
      <c r="F1014" s="100" t="s">
        <v>2450</v>
      </c>
      <c r="G1014" s="105" t="s">
        <v>2451</v>
      </c>
    </row>
    <row r="1015" spans="1:7" ht="12" x14ac:dyDescent="0.25">
      <c r="A1015" s="90" t="s">
        <v>39</v>
      </c>
      <c r="B1015" s="90" t="s">
        <v>77</v>
      </c>
      <c r="C1015" s="90">
        <v>6</v>
      </c>
      <c r="D1015" s="109" t="s">
        <v>75</v>
      </c>
      <c r="E1015" s="99" t="s">
        <v>75</v>
      </c>
      <c r="F1015" s="100" t="s">
        <v>2022</v>
      </c>
      <c r="G1015" s="105" t="s">
        <v>2023</v>
      </c>
    </row>
    <row r="1016" spans="1:7" ht="12" x14ac:dyDescent="0.25">
      <c r="A1016" s="90" t="s">
        <v>39</v>
      </c>
      <c r="B1016" s="90" t="s">
        <v>77</v>
      </c>
      <c r="C1016" s="90">
        <v>6</v>
      </c>
      <c r="D1016" s="109" t="s">
        <v>2000</v>
      </c>
      <c r="E1016" s="99" t="s">
        <v>2000</v>
      </c>
      <c r="F1016" s="100" t="s">
        <v>2452</v>
      </c>
      <c r="G1016" s="105" t="s">
        <v>2531</v>
      </c>
    </row>
    <row r="1017" spans="1:7" ht="12" x14ac:dyDescent="0.25">
      <c r="A1017" s="90" t="s">
        <v>39</v>
      </c>
      <c r="B1017" s="90" t="s">
        <v>77</v>
      </c>
      <c r="C1017" s="90">
        <v>6</v>
      </c>
      <c r="D1017" s="109" t="s">
        <v>2001</v>
      </c>
      <c r="E1017" s="99" t="s">
        <v>2001</v>
      </c>
      <c r="F1017" s="100" t="s">
        <v>2475</v>
      </c>
      <c r="G1017" s="105" t="s">
        <v>2532</v>
      </c>
    </row>
    <row r="1018" spans="1:7" ht="12" x14ac:dyDescent="0.25">
      <c r="A1018" s="90" t="s">
        <v>39</v>
      </c>
      <c r="B1018" s="90" t="s">
        <v>77</v>
      </c>
      <c r="C1018" s="90">
        <v>6</v>
      </c>
      <c r="D1018" s="109" t="s">
        <v>225</v>
      </c>
      <c r="E1018" s="99" t="s">
        <v>225</v>
      </c>
      <c r="F1018" s="100" t="s">
        <v>335</v>
      </c>
      <c r="G1018" s="105" t="s">
        <v>336</v>
      </c>
    </row>
    <row r="1019" spans="1:7" ht="12" x14ac:dyDescent="0.25">
      <c r="A1019" s="90" t="s">
        <v>39</v>
      </c>
      <c r="B1019" s="90" t="s">
        <v>77</v>
      </c>
      <c r="C1019" s="90">
        <v>6</v>
      </c>
      <c r="D1019" s="109" t="s">
        <v>74</v>
      </c>
      <c r="E1019" s="99" t="s">
        <v>74</v>
      </c>
      <c r="F1019" s="100" t="s">
        <v>326</v>
      </c>
      <c r="G1019" s="105" t="s">
        <v>327</v>
      </c>
    </row>
    <row r="1020" spans="1:7" ht="12" x14ac:dyDescent="0.25">
      <c r="A1020" s="90" t="s">
        <v>39</v>
      </c>
      <c r="B1020" s="90" t="s">
        <v>77</v>
      </c>
      <c r="C1020" s="90">
        <v>6</v>
      </c>
      <c r="D1020" s="109" t="s">
        <v>2030</v>
      </c>
      <c r="E1020" s="99" t="s">
        <v>2030</v>
      </c>
      <c r="F1020" s="100" t="s">
        <v>2467</v>
      </c>
      <c r="G1020" s="105" t="s">
        <v>2462</v>
      </c>
    </row>
    <row r="1021" spans="1:7" ht="12" x14ac:dyDescent="0.25">
      <c r="A1021" s="90" t="s">
        <v>39</v>
      </c>
      <c r="B1021" s="90" t="s">
        <v>77</v>
      </c>
      <c r="C1021" s="90">
        <v>6</v>
      </c>
      <c r="D1021" s="109" t="s">
        <v>64</v>
      </c>
      <c r="E1021" s="99" t="s">
        <v>64</v>
      </c>
      <c r="F1021" s="100" t="s">
        <v>2476</v>
      </c>
      <c r="G1021" s="105" t="s">
        <v>2087</v>
      </c>
    </row>
    <row r="1022" spans="1:7" ht="12" x14ac:dyDescent="0.25">
      <c r="A1022" s="90" t="s">
        <v>39</v>
      </c>
      <c r="B1022" s="90" t="s">
        <v>77</v>
      </c>
      <c r="C1022" s="90">
        <v>6</v>
      </c>
      <c r="D1022" s="109" t="s">
        <v>130</v>
      </c>
      <c r="E1022" s="99" t="s">
        <v>130</v>
      </c>
      <c r="F1022" s="100" t="s">
        <v>2468</v>
      </c>
      <c r="G1022" s="105" t="s">
        <v>2524</v>
      </c>
    </row>
    <row r="1023" spans="1:7" ht="12" x14ac:dyDescent="0.25">
      <c r="A1023" s="90" t="s">
        <v>39</v>
      </c>
      <c r="B1023" s="90" t="s">
        <v>77</v>
      </c>
      <c r="C1023" s="90">
        <v>6</v>
      </c>
      <c r="D1023" s="109" t="s">
        <v>226</v>
      </c>
      <c r="E1023" s="99" t="s">
        <v>226</v>
      </c>
      <c r="F1023" s="100" t="s">
        <v>2469</v>
      </c>
      <c r="G1023" s="105" t="s">
        <v>2525</v>
      </c>
    </row>
    <row r="1024" spans="1:7" ht="12" x14ac:dyDescent="0.25">
      <c r="A1024" s="90" t="s">
        <v>39</v>
      </c>
      <c r="B1024" s="90" t="s">
        <v>77</v>
      </c>
      <c r="C1024" s="90">
        <v>6</v>
      </c>
      <c r="D1024" s="109" t="s">
        <v>227</v>
      </c>
      <c r="E1024" s="99" t="s">
        <v>227</v>
      </c>
      <c r="F1024" s="100" t="s">
        <v>2033</v>
      </c>
      <c r="G1024" s="105" t="s">
        <v>2034</v>
      </c>
    </row>
    <row r="1025" spans="1:7" ht="12" x14ac:dyDescent="0.25">
      <c r="A1025" s="90" t="s">
        <v>39</v>
      </c>
      <c r="B1025" s="90" t="s">
        <v>77</v>
      </c>
      <c r="C1025" s="90">
        <v>6</v>
      </c>
      <c r="D1025" s="109" t="s">
        <v>228</v>
      </c>
      <c r="E1025" s="99" t="s">
        <v>228</v>
      </c>
      <c r="F1025" s="102" t="s">
        <v>2035</v>
      </c>
      <c r="G1025" s="107" t="s">
        <v>2036</v>
      </c>
    </row>
    <row r="1026" spans="1:7" ht="12" x14ac:dyDescent="0.25">
      <c r="A1026" s="90" t="s">
        <v>39</v>
      </c>
      <c r="B1026" s="90" t="s">
        <v>77</v>
      </c>
      <c r="C1026" s="90">
        <v>6</v>
      </c>
      <c r="D1026" s="109" t="s">
        <v>229</v>
      </c>
      <c r="E1026" s="99" t="s">
        <v>229</v>
      </c>
      <c r="F1026" s="100" t="s">
        <v>2037</v>
      </c>
      <c r="G1026" s="105" t="s">
        <v>2038</v>
      </c>
    </row>
    <row r="1027" spans="1:7" ht="12" x14ac:dyDescent="0.25">
      <c r="A1027" s="90" t="s">
        <v>39</v>
      </c>
      <c r="B1027" s="90" t="s">
        <v>77</v>
      </c>
      <c r="C1027" s="90">
        <v>6</v>
      </c>
      <c r="D1027" s="109" t="s">
        <v>230</v>
      </c>
      <c r="E1027" s="99" t="s">
        <v>230</v>
      </c>
      <c r="F1027" s="100" t="s">
        <v>2039</v>
      </c>
      <c r="G1027" s="105" t="s">
        <v>2040</v>
      </c>
    </row>
    <row r="1028" spans="1:7" ht="12" x14ac:dyDescent="0.25">
      <c r="A1028" s="90" t="s">
        <v>39</v>
      </c>
      <c r="B1028" s="90" t="s">
        <v>77</v>
      </c>
      <c r="C1028" s="90">
        <v>6</v>
      </c>
      <c r="D1028" s="109" t="s">
        <v>231</v>
      </c>
      <c r="E1028" s="99" t="s">
        <v>231</v>
      </c>
      <c r="F1028" s="100" t="s">
        <v>2041</v>
      </c>
      <c r="G1028" s="105" t="s">
        <v>2042</v>
      </c>
    </row>
    <row r="1029" spans="1:7" ht="12" x14ac:dyDescent="0.25">
      <c r="A1029" s="90" t="s">
        <v>39</v>
      </c>
      <c r="B1029" s="90" t="s">
        <v>77</v>
      </c>
      <c r="C1029" s="90">
        <v>6</v>
      </c>
      <c r="D1029" s="109" t="s">
        <v>2098</v>
      </c>
      <c r="E1029" s="99" t="s">
        <v>2098</v>
      </c>
      <c r="F1029" s="100" t="s">
        <v>2477</v>
      </c>
      <c r="G1029" s="105" t="s">
        <v>2533</v>
      </c>
    </row>
    <row r="1030" spans="1:7" ht="12" x14ac:dyDescent="0.25">
      <c r="A1030" s="90" t="s">
        <v>39</v>
      </c>
      <c r="B1030" s="90" t="s">
        <v>77</v>
      </c>
      <c r="C1030" s="90">
        <v>6</v>
      </c>
      <c r="D1030" s="160" t="s">
        <v>130</v>
      </c>
      <c r="E1030" s="161" t="s">
        <v>130</v>
      </c>
      <c r="F1030" s="162" t="s">
        <v>2468</v>
      </c>
      <c r="G1030" s="163" t="s">
        <v>2524</v>
      </c>
    </row>
    <row r="1031" spans="1:7" ht="12" x14ac:dyDescent="0.25">
      <c r="A1031" s="90" t="s">
        <v>39</v>
      </c>
      <c r="B1031" s="90" t="s">
        <v>77</v>
      </c>
      <c r="C1031" s="90">
        <v>6</v>
      </c>
      <c r="D1031" s="109" t="s">
        <v>232</v>
      </c>
      <c r="E1031" s="99" t="s">
        <v>232</v>
      </c>
      <c r="F1031" s="100" t="s">
        <v>2044</v>
      </c>
      <c r="G1031" s="105" t="s">
        <v>2045</v>
      </c>
    </row>
    <row r="1032" spans="1:7" ht="12" x14ac:dyDescent="0.25">
      <c r="A1032" s="90" t="s">
        <v>39</v>
      </c>
      <c r="B1032" s="90" t="s">
        <v>77</v>
      </c>
      <c r="C1032" s="90">
        <v>6</v>
      </c>
      <c r="D1032" s="109" t="s">
        <v>233</v>
      </c>
      <c r="E1032" s="99" t="s">
        <v>233</v>
      </c>
      <c r="F1032" s="100" t="s">
        <v>2046</v>
      </c>
      <c r="G1032" s="105" t="s">
        <v>2047</v>
      </c>
    </row>
    <row r="1033" spans="1:7" ht="12" x14ac:dyDescent="0.25">
      <c r="A1033" s="90" t="s">
        <v>39</v>
      </c>
      <c r="B1033" s="90" t="s">
        <v>77</v>
      </c>
      <c r="C1033" s="90">
        <v>6</v>
      </c>
      <c r="D1033" s="109" t="s">
        <v>234</v>
      </c>
      <c r="E1033" s="99" t="s">
        <v>234</v>
      </c>
      <c r="F1033" s="100" t="s">
        <v>2048</v>
      </c>
      <c r="G1033" s="105" t="s">
        <v>2049</v>
      </c>
    </row>
    <row r="1034" spans="1:7" ht="12" x14ac:dyDescent="0.25">
      <c r="A1034" s="90" t="s">
        <v>39</v>
      </c>
      <c r="B1034" s="90" t="s">
        <v>77</v>
      </c>
      <c r="C1034" s="90">
        <v>6</v>
      </c>
      <c r="D1034" s="109" t="s">
        <v>235</v>
      </c>
      <c r="E1034" s="99" t="s">
        <v>235</v>
      </c>
      <c r="F1034" s="100" t="s">
        <v>2050</v>
      </c>
      <c r="G1034" s="105" t="s">
        <v>2051</v>
      </c>
    </row>
    <row r="1035" spans="1:7" ht="12" x14ac:dyDescent="0.25">
      <c r="A1035" s="90" t="s">
        <v>39</v>
      </c>
      <c r="B1035" s="90" t="s">
        <v>77</v>
      </c>
      <c r="C1035" s="90">
        <v>6</v>
      </c>
      <c r="D1035" s="109" t="s">
        <v>236</v>
      </c>
      <c r="E1035" s="99" t="s">
        <v>236</v>
      </c>
      <c r="F1035" s="100" t="s">
        <v>2052</v>
      </c>
      <c r="G1035" s="105" t="s">
        <v>2053</v>
      </c>
    </row>
    <row r="1036" spans="1:7" ht="12" x14ac:dyDescent="0.25">
      <c r="A1036" s="90" t="s">
        <v>39</v>
      </c>
      <c r="B1036" s="90" t="s">
        <v>77</v>
      </c>
      <c r="C1036" s="90">
        <v>6</v>
      </c>
      <c r="D1036" s="109" t="s">
        <v>237</v>
      </c>
      <c r="E1036" s="99" t="s">
        <v>237</v>
      </c>
      <c r="F1036" s="100" t="s">
        <v>2054</v>
      </c>
      <c r="G1036" s="105" t="s">
        <v>2055</v>
      </c>
    </row>
    <row r="1037" spans="1:7" ht="12" x14ac:dyDescent="0.25">
      <c r="A1037" s="90" t="s">
        <v>39</v>
      </c>
      <c r="B1037" s="90" t="s">
        <v>77</v>
      </c>
      <c r="C1037" s="90">
        <v>6</v>
      </c>
      <c r="D1037" s="109" t="s">
        <v>2099</v>
      </c>
      <c r="E1037" s="99" t="s">
        <v>2099</v>
      </c>
      <c r="F1037" s="100" t="s">
        <v>2478</v>
      </c>
      <c r="G1037" s="105" t="s">
        <v>2534</v>
      </c>
    </row>
    <row r="1038" spans="1:7" ht="12" x14ac:dyDescent="0.25">
      <c r="A1038" s="90" t="s">
        <v>39</v>
      </c>
      <c r="B1038" s="90" t="s">
        <v>77</v>
      </c>
      <c r="C1038" s="90">
        <v>6</v>
      </c>
      <c r="D1038" s="109" t="s">
        <v>130</v>
      </c>
      <c r="E1038" s="99" t="s">
        <v>130</v>
      </c>
      <c r="F1038" s="100" t="s">
        <v>2468</v>
      </c>
      <c r="G1038" s="105" t="s">
        <v>2524</v>
      </c>
    </row>
    <row r="1039" spans="1:7" ht="12" x14ac:dyDescent="0.25">
      <c r="A1039" s="90" t="s">
        <v>39</v>
      </c>
      <c r="B1039" s="90" t="s">
        <v>77</v>
      </c>
      <c r="C1039" s="90">
        <v>6</v>
      </c>
      <c r="D1039" s="109" t="s">
        <v>238</v>
      </c>
      <c r="E1039" s="99" t="s">
        <v>238</v>
      </c>
      <c r="F1039" s="100" t="s">
        <v>2057</v>
      </c>
      <c r="G1039" s="105" t="s">
        <v>2058</v>
      </c>
    </row>
    <row r="1040" spans="1:7" ht="12" x14ac:dyDescent="0.25">
      <c r="A1040" s="90" t="s">
        <v>39</v>
      </c>
      <c r="B1040" s="90" t="s">
        <v>77</v>
      </c>
      <c r="C1040" s="90">
        <v>6</v>
      </c>
      <c r="D1040" s="109" t="s">
        <v>239</v>
      </c>
      <c r="E1040" s="99" t="s">
        <v>239</v>
      </c>
      <c r="F1040" s="100" t="s">
        <v>2059</v>
      </c>
      <c r="G1040" s="105" t="s">
        <v>2060</v>
      </c>
    </row>
    <row r="1041" spans="1:7" ht="12" x14ac:dyDescent="0.25">
      <c r="A1041" s="90" t="s">
        <v>39</v>
      </c>
      <c r="B1041" s="90" t="s">
        <v>77</v>
      </c>
      <c r="C1041" s="90">
        <v>6</v>
      </c>
      <c r="D1041" s="109" t="s">
        <v>240</v>
      </c>
      <c r="E1041" s="99" t="s">
        <v>240</v>
      </c>
      <c r="F1041" s="100" t="s">
        <v>2061</v>
      </c>
      <c r="G1041" s="105" t="s">
        <v>2062</v>
      </c>
    </row>
    <row r="1042" spans="1:7" ht="12" x14ac:dyDescent="0.25">
      <c r="A1042" s="90" t="s">
        <v>39</v>
      </c>
      <c r="B1042" s="90" t="s">
        <v>77</v>
      </c>
      <c r="C1042" s="90">
        <v>6</v>
      </c>
      <c r="D1042" s="109" t="s">
        <v>241</v>
      </c>
      <c r="E1042" s="99" t="s">
        <v>241</v>
      </c>
      <c r="F1042" s="100" t="s">
        <v>2063</v>
      </c>
      <c r="G1042" s="105" t="s">
        <v>2064</v>
      </c>
    </row>
    <row r="1043" spans="1:7" ht="12" x14ac:dyDescent="0.25">
      <c r="A1043" s="90" t="s">
        <v>39</v>
      </c>
      <c r="B1043" s="90" t="s">
        <v>77</v>
      </c>
      <c r="C1043" s="90">
        <v>6</v>
      </c>
      <c r="D1043" s="109" t="s">
        <v>242</v>
      </c>
      <c r="E1043" s="99" t="s">
        <v>242</v>
      </c>
      <c r="F1043" s="100" t="s">
        <v>2065</v>
      </c>
      <c r="G1043" s="105" t="s">
        <v>2066</v>
      </c>
    </row>
    <row r="1044" spans="1:7" ht="12" x14ac:dyDescent="0.25">
      <c r="A1044" s="90" t="s">
        <v>39</v>
      </c>
      <c r="B1044" s="90" t="s">
        <v>77</v>
      </c>
      <c r="C1044" s="90">
        <v>6</v>
      </c>
      <c r="D1044" s="109" t="s">
        <v>243</v>
      </c>
      <c r="E1044" s="99" t="s">
        <v>243</v>
      </c>
      <c r="F1044" s="100" t="s">
        <v>2067</v>
      </c>
      <c r="G1044" s="105" t="s">
        <v>2068</v>
      </c>
    </row>
    <row r="1045" spans="1:7" ht="12" x14ac:dyDescent="0.25">
      <c r="A1045" s="90" t="s">
        <v>39</v>
      </c>
      <c r="B1045" s="90" t="s">
        <v>77</v>
      </c>
      <c r="C1045" s="90">
        <v>6</v>
      </c>
      <c r="D1045" s="109" t="s">
        <v>2100</v>
      </c>
      <c r="E1045" s="99" t="s">
        <v>2100</v>
      </c>
      <c r="F1045" s="100" t="s">
        <v>2479</v>
      </c>
      <c r="G1045" s="105" t="s">
        <v>2535</v>
      </c>
    </row>
    <row r="1046" spans="1:7" ht="12" x14ac:dyDescent="0.25">
      <c r="A1046" s="90" t="s">
        <v>39</v>
      </c>
      <c r="B1046" s="90" t="s">
        <v>77</v>
      </c>
      <c r="C1046" s="90">
        <v>6</v>
      </c>
      <c r="D1046" s="109" t="s">
        <v>130</v>
      </c>
      <c r="E1046" s="99" t="s">
        <v>130</v>
      </c>
      <c r="F1046" s="100" t="s">
        <v>2468</v>
      </c>
      <c r="G1046" s="105" t="s">
        <v>2524</v>
      </c>
    </row>
    <row r="1047" spans="1:7" ht="12" x14ac:dyDescent="0.25">
      <c r="A1047" s="90" t="s">
        <v>39</v>
      </c>
      <c r="B1047" s="90" t="s">
        <v>77</v>
      </c>
      <c r="C1047" s="90">
        <v>6</v>
      </c>
      <c r="D1047" s="109" t="s">
        <v>337</v>
      </c>
      <c r="E1047" s="99" t="s">
        <v>337</v>
      </c>
      <c r="F1047" s="100" t="s">
        <v>2070</v>
      </c>
      <c r="G1047" s="105" t="s">
        <v>2071</v>
      </c>
    </row>
    <row r="1048" spans="1:7" ht="12" x14ac:dyDescent="0.25">
      <c r="A1048" s="90" t="s">
        <v>39</v>
      </c>
      <c r="B1048" s="90" t="s">
        <v>77</v>
      </c>
      <c r="C1048" s="90">
        <v>6</v>
      </c>
      <c r="D1048" s="109" t="s">
        <v>338</v>
      </c>
      <c r="E1048" s="99" t="s">
        <v>338</v>
      </c>
      <c r="F1048" s="100" t="s">
        <v>2072</v>
      </c>
      <c r="G1048" s="105" t="s">
        <v>2073</v>
      </c>
    </row>
    <row r="1049" spans="1:7" ht="12" x14ac:dyDescent="0.25">
      <c r="A1049" s="90" t="s">
        <v>39</v>
      </c>
      <c r="B1049" s="90" t="s">
        <v>77</v>
      </c>
      <c r="C1049" s="90">
        <v>6</v>
      </c>
      <c r="D1049" s="109" t="s">
        <v>339</v>
      </c>
      <c r="E1049" s="99" t="s">
        <v>339</v>
      </c>
      <c r="F1049" s="100" t="s">
        <v>2074</v>
      </c>
      <c r="G1049" s="105" t="s">
        <v>2075</v>
      </c>
    </row>
    <row r="1050" spans="1:7" ht="12" x14ac:dyDescent="0.25">
      <c r="A1050" s="90" t="s">
        <v>39</v>
      </c>
      <c r="B1050" s="90" t="s">
        <v>77</v>
      </c>
      <c r="C1050" s="90">
        <v>6</v>
      </c>
      <c r="D1050" s="109" t="s">
        <v>340</v>
      </c>
      <c r="E1050" s="99" t="s">
        <v>340</v>
      </c>
      <c r="F1050" s="100" t="s">
        <v>2076</v>
      </c>
      <c r="G1050" s="105" t="s">
        <v>2077</v>
      </c>
    </row>
    <row r="1051" spans="1:7" ht="12" x14ac:dyDescent="0.25">
      <c r="A1051" s="90" t="s">
        <v>39</v>
      </c>
      <c r="B1051" s="90" t="s">
        <v>77</v>
      </c>
      <c r="C1051" s="90">
        <v>6</v>
      </c>
      <c r="D1051" s="109" t="s">
        <v>341</v>
      </c>
      <c r="E1051" s="99" t="s">
        <v>341</v>
      </c>
      <c r="F1051" s="100" t="s">
        <v>2078</v>
      </c>
      <c r="G1051" s="105" t="s">
        <v>2079</v>
      </c>
    </row>
    <row r="1052" spans="1:7" ht="12" x14ac:dyDescent="0.25">
      <c r="A1052" s="90" t="s">
        <v>39</v>
      </c>
      <c r="B1052" s="90" t="s">
        <v>77</v>
      </c>
      <c r="C1052" s="90">
        <v>6</v>
      </c>
      <c r="D1052" s="109" t="s">
        <v>342</v>
      </c>
      <c r="E1052" s="99" t="s">
        <v>342</v>
      </c>
      <c r="F1052" s="100" t="s">
        <v>2080</v>
      </c>
      <c r="G1052" s="105" t="s">
        <v>2081</v>
      </c>
    </row>
    <row r="1053" spans="1:7" ht="12" x14ac:dyDescent="0.25">
      <c r="A1053" s="90" t="s">
        <v>39</v>
      </c>
      <c r="B1053" s="90" t="s">
        <v>77</v>
      </c>
      <c r="C1053" s="90">
        <v>6</v>
      </c>
      <c r="D1053" s="109" t="s">
        <v>2101</v>
      </c>
      <c r="E1053" s="99" t="s">
        <v>2101</v>
      </c>
      <c r="F1053" s="100" t="s">
        <v>2480</v>
      </c>
      <c r="G1053" s="105" t="s">
        <v>2536</v>
      </c>
    </row>
    <row r="1054" spans="1:7" ht="12" x14ac:dyDescent="0.25">
      <c r="A1054" s="90" t="s">
        <v>39</v>
      </c>
      <c r="B1054" s="90" t="s">
        <v>77</v>
      </c>
      <c r="C1054" s="90">
        <v>6</v>
      </c>
      <c r="D1054" s="109" t="s">
        <v>191</v>
      </c>
      <c r="E1054" s="99" t="s">
        <v>191</v>
      </c>
      <c r="F1054" s="100" t="s">
        <v>343</v>
      </c>
      <c r="G1054" s="105" t="s">
        <v>2083</v>
      </c>
    </row>
    <row r="1055" spans="1:7" ht="12" x14ac:dyDescent="0.25">
      <c r="A1055" s="90" t="s">
        <v>39</v>
      </c>
      <c r="B1055" s="90" t="s">
        <v>77</v>
      </c>
      <c r="C1055" s="90">
        <v>6</v>
      </c>
      <c r="D1055" s="109" t="s">
        <v>244</v>
      </c>
      <c r="E1055" s="99" t="s">
        <v>244</v>
      </c>
      <c r="F1055" s="100" t="s">
        <v>344</v>
      </c>
      <c r="G1055" s="105" t="s">
        <v>345</v>
      </c>
    </row>
    <row r="1056" spans="1:7" ht="12" x14ac:dyDescent="0.25">
      <c r="A1056" s="90" t="s">
        <v>39</v>
      </c>
      <c r="B1056" s="90" t="s">
        <v>77</v>
      </c>
      <c r="C1056" s="90">
        <v>6</v>
      </c>
      <c r="D1056" s="109" t="s">
        <v>2102</v>
      </c>
      <c r="E1056" s="99" t="s">
        <v>2102</v>
      </c>
      <c r="F1056" s="100" t="s">
        <v>2481</v>
      </c>
      <c r="G1056" s="105" t="s">
        <v>2537</v>
      </c>
    </row>
    <row r="1057" spans="1:7" ht="12" x14ac:dyDescent="0.25">
      <c r="A1057" s="90" t="s">
        <v>39</v>
      </c>
      <c r="B1057" s="90" t="s">
        <v>77</v>
      </c>
      <c r="C1057" s="90">
        <v>6</v>
      </c>
      <c r="D1057" s="109" t="s">
        <v>211</v>
      </c>
      <c r="E1057" s="99" t="s">
        <v>211</v>
      </c>
      <c r="F1057" s="100" t="s">
        <v>2085</v>
      </c>
      <c r="G1057" s="105" t="s">
        <v>349</v>
      </c>
    </row>
    <row r="1058" spans="1:7" ht="12" x14ac:dyDescent="0.25">
      <c r="A1058" s="90" t="s">
        <v>39</v>
      </c>
      <c r="B1058" s="90" t="s">
        <v>77</v>
      </c>
      <c r="C1058" s="90">
        <v>6</v>
      </c>
      <c r="D1058" s="109" t="s">
        <v>193</v>
      </c>
      <c r="E1058" s="99" t="s">
        <v>193</v>
      </c>
      <c r="F1058" s="100" t="s">
        <v>350</v>
      </c>
      <c r="G1058" s="105" t="s">
        <v>2086</v>
      </c>
    </row>
    <row r="1059" spans="1:7" ht="12" x14ac:dyDescent="0.25">
      <c r="A1059" s="90" t="s">
        <v>39</v>
      </c>
      <c r="B1059" s="90" t="s">
        <v>77</v>
      </c>
      <c r="C1059" s="90">
        <v>6</v>
      </c>
      <c r="D1059" s="109" t="s">
        <v>145</v>
      </c>
      <c r="E1059" s="99" t="s">
        <v>145</v>
      </c>
      <c r="F1059" s="100" t="s">
        <v>351</v>
      </c>
      <c r="G1059" s="105" t="s">
        <v>352</v>
      </c>
    </row>
    <row r="1060" spans="1:7" ht="360" x14ac:dyDescent="0.25">
      <c r="A1060" s="90" t="s">
        <v>39</v>
      </c>
      <c r="B1060" s="90" t="s">
        <v>77</v>
      </c>
      <c r="C1060" s="90">
        <v>7</v>
      </c>
      <c r="D1060" s="109" t="s">
        <v>2021</v>
      </c>
      <c r="E1060" s="99" t="s">
        <v>2021</v>
      </c>
      <c r="F1060" s="100" t="s">
        <v>2450</v>
      </c>
      <c r="G1060" s="105" t="s">
        <v>2451</v>
      </c>
    </row>
    <row r="1061" spans="1:7" ht="12" x14ac:dyDescent="0.25">
      <c r="A1061" s="90" t="s">
        <v>39</v>
      </c>
      <c r="B1061" s="90" t="s">
        <v>77</v>
      </c>
      <c r="C1061" s="90">
        <v>7</v>
      </c>
      <c r="D1061" s="109" t="s">
        <v>75</v>
      </c>
      <c r="E1061" s="99" t="s">
        <v>75</v>
      </c>
      <c r="F1061" s="100" t="s">
        <v>2022</v>
      </c>
      <c r="G1061" s="105" t="s">
        <v>2023</v>
      </c>
    </row>
    <row r="1062" spans="1:7" ht="12" x14ac:dyDescent="0.25">
      <c r="A1062" s="90" t="s">
        <v>39</v>
      </c>
      <c r="B1062" s="90" t="s">
        <v>77</v>
      </c>
      <c r="C1062" s="90">
        <v>7</v>
      </c>
      <c r="D1062" s="109" t="s">
        <v>2000</v>
      </c>
      <c r="E1062" s="99" t="s">
        <v>2000</v>
      </c>
      <c r="F1062" s="100" t="s">
        <v>2452</v>
      </c>
      <c r="G1062" s="105" t="s">
        <v>2531</v>
      </c>
    </row>
    <row r="1063" spans="1:7" ht="12" x14ac:dyDescent="0.25">
      <c r="A1063" s="90" t="s">
        <v>39</v>
      </c>
      <c r="B1063" s="90" t="s">
        <v>77</v>
      </c>
      <c r="C1063" s="90">
        <v>7</v>
      </c>
      <c r="D1063" s="109" t="s">
        <v>2001</v>
      </c>
      <c r="E1063" s="99" t="s">
        <v>2001</v>
      </c>
      <c r="F1063" s="100" t="s">
        <v>2475</v>
      </c>
      <c r="G1063" s="105" t="s">
        <v>2532</v>
      </c>
    </row>
    <row r="1064" spans="1:7" ht="12" x14ac:dyDescent="0.25">
      <c r="A1064" s="90" t="s">
        <v>39</v>
      </c>
      <c r="B1064" s="90" t="s">
        <v>77</v>
      </c>
      <c r="C1064" s="90">
        <v>7</v>
      </c>
      <c r="D1064" s="109" t="s">
        <v>225</v>
      </c>
      <c r="E1064" s="99" t="s">
        <v>225</v>
      </c>
      <c r="F1064" s="100" t="s">
        <v>335</v>
      </c>
      <c r="G1064" s="107" t="s">
        <v>336</v>
      </c>
    </row>
    <row r="1065" spans="1:7" ht="12" x14ac:dyDescent="0.25">
      <c r="A1065" s="90" t="s">
        <v>39</v>
      </c>
      <c r="B1065" s="90" t="s">
        <v>77</v>
      </c>
      <c r="C1065" s="90">
        <v>7</v>
      </c>
      <c r="D1065" s="109" t="s">
        <v>74</v>
      </c>
      <c r="E1065" s="99" t="s">
        <v>74</v>
      </c>
      <c r="F1065" s="100" t="s">
        <v>326</v>
      </c>
      <c r="G1065" s="105" t="s">
        <v>327</v>
      </c>
    </row>
    <row r="1066" spans="1:7" ht="12" x14ac:dyDescent="0.25">
      <c r="A1066" s="90" t="s">
        <v>39</v>
      </c>
      <c r="B1066" s="90" t="s">
        <v>77</v>
      </c>
      <c r="C1066" s="90">
        <v>7</v>
      </c>
      <c r="D1066" s="109" t="s">
        <v>2030</v>
      </c>
      <c r="E1066" s="99" t="s">
        <v>2030</v>
      </c>
      <c r="F1066" s="100" t="s">
        <v>2467</v>
      </c>
      <c r="G1066" s="105" t="s">
        <v>2462</v>
      </c>
    </row>
    <row r="1067" spans="1:7" ht="12" x14ac:dyDescent="0.25">
      <c r="A1067" s="90" t="s">
        <v>39</v>
      </c>
      <c r="B1067" s="90" t="s">
        <v>77</v>
      </c>
      <c r="C1067" s="90">
        <v>7</v>
      </c>
      <c r="D1067" s="109" t="s">
        <v>64</v>
      </c>
      <c r="E1067" s="99" t="s">
        <v>64</v>
      </c>
      <c r="F1067" s="100" t="s">
        <v>2476</v>
      </c>
      <c r="G1067" s="105" t="s">
        <v>2087</v>
      </c>
    </row>
    <row r="1068" spans="1:7" ht="12" x14ac:dyDescent="0.25">
      <c r="A1068" s="90" t="s">
        <v>39</v>
      </c>
      <c r="B1068" s="90" t="s">
        <v>77</v>
      </c>
      <c r="C1068" s="90">
        <v>7</v>
      </c>
      <c r="D1068" s="109" t="s">
        <v>130</v>
      </c>
      <c r="E1068" s="99" t="s">
        <v>130</v>
      </c>
      <c r="F1068" s="100" t="s">
        <v>2468</v>
      </c>
      <c r="G1068" s="105" t="s">
        <v>2524</v>
      </c>
    </row>
    <row r="1069" spans="1:7" ht="12" x14ac:dyDescent="0.25">
      <c r="A1069" s="90" t="s">
        <v>39</v>
      </c>
      <c r="B1069" s="90" t="s">
        <v>77</v>
      </c>
      <c r="C1069" s="90">
        <v>7</v>
      </c>
      <c r="D1069" s="109" t="s">
        <v>226</v>
      </c>
      <c r="E1069" s="99" t="s">
        <v>226</v>
      </c>
      <c r="F1069" s="100" t="s">
        <v>2469</v>
      </c>
      <c r="G1069" s="105" t="s">
        <v>2525</v>
      </c>
    </row>
    <row r="1070" spans="1:7" ht="12" x14ac:dyDescent="0.25">
      <c r="A1070" s="90" t="s">
        <v>39</v>
      </c>
      <c r="B1070" s="90" t="s">
        <v>77</v>
      </c>
      <c r="C1070" s="90">
        <v>7</v>
      </c>
      <c r="D1070" s="109" t="s">
        <v>227</v>
      </c>
      <c r="E1070" s="99" t="s">
        <v>227</v>
      </c>
      <c r="F1070" s="100" t="s">
        <v>2033</v>
      </c>
      <c r="G1070" s="105" t="s">
        <v>2034</v>
      </c>
    </row>
    <row r="1071" spans="1:7" ht="12" x14ac:dyDescent="0.25">
      <c r="A1071" s="90" t="s">
        <v>39</v>
      </c>
      <c r="B1071" s="90" t="s">
        <v>77</v>
      </c>
      <c r="C1071" s="90">
        <v>7</v>
      </c>
      <c r="D1071" s="109" t="s">
        <v>228</v>
      </c>
      <c r="E1071" s="99" t="s">
        <v>228</v>
      </c>
      <c r="F1071" s="100" t="s">
        <v>2035</v>
      </c>
      <c r="G1071" s="105" t="s">
        <v>2036</v>
      </c>
    </row>
    <row r="1072" spans="1:7" ht="12" x14ac:dyDescent="0.25">
      <c r="A1072" s="90" t="s">
        <v>39</v>
      </c>
      <c r="B1072" s="90" t="s">
        <v>77</v>
      </c>
      <c r="C1072" s="90">
        <v>7</v>
      </c>
      <c r="D1072" s="109" t="s">
        <v>229</v>
      </c>
      <c r="E1072" s="99" t="s">
        <v>229</v>
      </c>
      <c r="F1072" s="100" t="s">
        <v>2037</v>
      </c>
      <c r="G1072" s="107" t="s">
        <v>2038</v>
      </c>
    </row>
    <row r="1073" spans="1:7" ht="12" x14ac:dyDescent="0.25">
      <c r="A1073" s="90" t="s">
        <v>39</v>
      </c>
      <c r="B1073" s="90" t="s">
        <v>77</v>
      </c>
      <c r="C1073" s="90">
        <v>7</v>
      </c>
      <c r="D1073" s="109" t="s">
        <v>230</v>
      </c>
      <c r="E1073" s="99" t="s">
        <v>230</v>
      </c>
      <c r="F1073" s="100" t="s">
        <v>2039</v>
      </c>
      <c r="G1073" s="105" t="s">
        <v>2040</v>
      </c>
    </row>
    <row r="1074" spans="1:7" ht="12" x14ac:dyDescent="0.25">
      <c r="A1074" s="90" t="s">
        <v>39</v>
      </c>
      <c r="B1074" s="90" t="s">
        <v>77</v>
      </c>
      <c r="C1074" s="90">
        <v>7</v>
      </c>
      <c r="D1074" s="109" t="s">
        <v>231</v>
      </c>
      <c r="E1074" s="99" t="s">
        <v>231</v>
      </c>
      <c r="F1074" s="100" t="s">
        <v>2041</v>
      </c>
      <c r="G1074" s="105" t="s">
        <v>2042</v>
      </c>
    </row>
    <row r="1075" spans="1:7" ht="12" x14ac:dyDescent="0.25">
      <c r="A1075" s="90" t="s">
        <v>39</v>
      </c>
      <c r="B1075" s="90" t="s">
        <v>77</v>
      </c>
      <c r="C1075" s="90">
        <v>7</v>
      </c>
      <c r="D1075" s="109" t="s">
        <v>2098</v>
      </c>
      <c r="E1075" s="99" t="s">
        <v>2098</v>
      </c>
      <c r="F1075" s="100" t="s">
        <v>2477</v>
      </c>
      <c r="G1075" s="105" t="s">
        <v>2533</v>
      </c>
    </row>
    <row r="1076" spans="1:7" ht="12" x14ac:dyDescent="0.25">
      <c r="A1076" s="90" t="s">
        <v>39</v>
      </c>
      <c r="B1076" s="90" t="s">
        <v>77</v>
      </c>
      <c r="C1076" s="90">
        <v>7</v>
      </c>
      <c r="D1076" s="109" t="s">
        <v>130</v>
      </c>
      <c r="E1076" s="99" t="s">
        <v>130</v>
      </c>
      <c r="F1076" s="100" t="s">
        <v>2468</v>
      </c>
      <c r="G1076" s="105" t="s">
        <v>2524</v>
      </c>
    </row>
    <row r="1077" spans="1:7" ht="12" x14ac:dyDescent="0.25">
      <c r="A1077" s="90" t="s">
        <v>39</v>
      </c>
      <c r="B1077" s="90" t="s">
        <v>77</v>
      </c>
      <c r="C1077" s="90">
        <v>7</v>
      </c>
      <c r="D1077" s="160" t="s">
        <v>232</v>
      </c>
      <c r="E1077" s="161" t="s">
        <v>232</v>
      </c>
      <c r="F1077" s="162" t="s">
        <v>2044</v>
      </c>
      <c r="G1077" s="163" t="s">
        <v>2045</v>
      </c>
    </row>
    <row r="1078" spans="1:7" ht="12" x14ac:dyDescent="0.25">
      <c r="A1078" s="90" t="s">
        <v>39</v>
      </c>
      <c r="B1078" s="90" t="s">
        <v>77</v>
      </c>
      <c r="C1078" s="90">
        <v>7</v>
      </c>
      <c r="D1078" s="109" t="s">
        <v>233</v>
      </c>
      <c r="E1078" s="99" t="s">
        <v>233</v>
      </c>
      <c r="F1078" s="100" t="s">
        <v>2046</v>
      </c>
      <c r="G1078" s="105" t="s">
        <v>2047</v>
      </c>
    </row>
    <row r="1079" spans="1:7" ht="12" x14ac:dyDescent="0.25">
      <c r="A1079" s="90" t="s">
        <v>39</v>
      </c>
      <c r="B1079" s="90" t="s">
        <v>77</v>
      </c>
      <c r="C1079" s="90">
        <v>7</v>
      </c>
      <c r="D1079" s="109" t="s">
        <v>234</v>
      </c>
      <c r="E1079" s="99" t="s">
        <v>234</v>
      </c>
      <c r="F1079" s="100" t="s">
        <v>2048</v>
      </c>
      <c r="G1079" s="105" t="s">
        <v>2049</v>
      </c>
    </row>
    <row r="1080" spans="1:7" ht="12" x14ac:dyDescent="0.25">
      <c r="A1080" s="90" t="s">
        <v>39</v>
      </c>
      <c r="B1080" s="90" t="s">
        <v>77</v>
      </c>
      <c r="C1080" s="90">
        <v>7</v>
      </c>
      <c r="D1080" s="109" t="s">
        <v>235</v>
      </c>
      <c r="E1080" s="99" t="s">
        <v>235</v>
      </c>
      <c r="F1080" s="100" t="s">
        <v>2050</v>
      </c>
      <c r="G1080" s="105" t="s">
        <v>2051</v>
      </c>
    </row>
    <row r="1081" spans="1:7" ht="12" x14ac:dyDescent="0.25">
      <c r="A1081" s="90" t="s">
        <v>39</v>
      </c>
      <c r="B1081" s="90" t="s">
        <v>77</v>
      </c>
      <c r="C1081" s="90">
        <v>7</v>
      </c>
      <c r="D1081" s="109" t="s">
        <v>236</v>
      </c>
      <c r="E1081" s="99" t="s">
        <v>236</v>
      </c>
      <c r="F1081" s="100" t="s">
        <v>2052</v>
      </c>
      <c r="G1081" s="105" t="s">
        <v>2053</v>
      </c>
    </row>
    <row r="1082" spans="1:7" ht="12" x14ac:dyDescent="0.25">
      <c r="A1082" s="90" t="s">
        <v>39</v>
      </c>
      <c r="B1082" s="90" t="s">
        <v>77</v>
      </c>
      <c r="C1082" s="90">
        <v>7</v>
      </c>
      <c r="D1082" s="109" t="s">
        <v>237</v>
      </c>
      <c r="E1082" s="99" t="s">
        <v>237</v>
      </c>
      <c r="F1082" s="100" t="s">
        <v>2054</v>
      </c>
      <c r="G1082" s="105" t="s">
        <v>2055</v>
      </c>
    </row>
    <row r="1083" spans="1:7" ht="12" x14ac:dyDescent="0.25">
      <c r="A1083" s="90" t="s">
        <v>39</v>
      </c>
      <c r="B1083" s="90" t="s">
        <v>77</v>
      </c>
      <c r="C1083" s="90">
        <v>7</v>
      </c>
      <c r="D1083" s="109" t="s">
        <v>2099</v>
      </c>
      <c r="E1083" s="99" t="s">
        <v>2099</v>
      </c>
      <c r="F1083" s="100" t="s">
        <v>2478</v>
      </c>
      <c r="G1083" s="105" t="s">
        <v>2534</v>
      </c>
    </row>
    <row r="1084" spans="1:7" ht="12" x14ac:dyDescent="0.25">
      <c r="A1084" s="90" t="s">
        <v>39</v>
      </c>
      <c r="B1084" s="90" t="s">
        <v>77</v>
      </c>
      <c r="C1084" s="90">
        <v>7</v>
      </c>
      <c r="D1084" s="109" t="s">
        <v>130</v>
      </c>
      <c r="E1084" s="99" t="s">
        <v>130</v>
      </c>
      <c r="F1084" s="100" t="s">
        <v>2468</v>
      </c>
      <c r="G1084" s="105" t="s">
        <v>2524</v>
      </c>
    </row>
    <row r="1085" spans="1:7" ht="12" x14ac:dyDescent="0.25">
      <c r="A1085" s="90" t="s">
        <v>39</v>
      </c>
      <c r="B1085" s="90" t="s">
        <v>77</v>
      </c>
      <c r="C1085" s="90">
        <v>7</v>
      </c>
      <c r="D1085" s="109" t="s">
        <v>238</v>
      </c>
      <c r="E1085" s="99" t="s">
        <v>238</v>
      </c>
      <c r="F1085" s="100" t="s">
        <v>2057</v>
      </c>
      <c r="G1085" s="105" t="s">
        <v>2058</v>
      </c>
    </row>
    <row r="1086" spans="1:7" ht="12" x14ac:dyDescent="0.25">
      <c r="A1086" s="90" t="s">
        <v>39</v>
      </c>
      <c r="B1086" s="90" t="s">
        <v>77</v>
      </c>
      <c r="C1086" s="90">
        <v>7</v>
      </c>
      <c r="D1086" s="109" t="s">
        <v>239</v>
      </c>
      <c r="E1086" s="99" t="s">
        <v>239</v>
      </c>
      <c r="F1086" s="100" t="s">
        <v>2059</v>
      </c>
      <c r="G1086" s="105" t="s">
        <v>2060</v>
      </c>
    </row>
    <row r="1087" spans="1:7" ht="12" x14ac:dyDescent="0.25">
      <c r="A1087" s="90" t="s">
        <v>39</v>
      </c>
      <c r="B1087" s="90" t="s">
        <v>77</v>
      </c>
      <c r="C1087" s="90">
        <v>7</v>
      </c>
      <c r="D1087" s="109" t="s">
        <v>240</v>
      </c>
      <c r="E1087" s="99" t="s">
        <v>240</v>
      </c>
      <c r="F1087" s="100" t="s">
        <v>2061</v>
      </c>
      <c r="G1087" s="105" t="s">
        <v>2062</v>
      </c>
    </row>
    <row r="1088" spans="1:7" ht="12" x14ac:dyDescent="0.25">
      <c r="A1088" s="90" t="s">
        <v>39</v>
      </c>
      <c r="B1088" s="90" t="s">
        <v>77</v>
      </c>
      <c r="C1088" s="90">
        <v>7</v>
      </c>
      <c r="D1088" s="109" t="s">
        <v>241</v>
      </c>
      <c r="E1088" s="99" t="s">
        <v>241</v>
      </c>
      <c r="F1088" s="100" t="s">
        <v>2063</v>
      </c>
      <c r="G1088" s="105" t="s">
        <v>2064</v>
      </c>
    </row>
    <row r="1089" spans="1:7" ht="12" x14ac:dyDescent="0.25">
      <c r="A1089" s="90" t="s">
        <v>39</v>
      </c>
      <c r="B1089" s="90" t="s">
        <v>77</v>
      </c>
      <c r="C1089" s="90">
        <v>7</v>
      </c>
      <c r="D1089" s="109" t="s">
        <v>242</v>
      </c>
      <c r="E1089" s="99" t="s">
        <v>242</v>
      </c>
      <c r="F1089" s="100" t="s">
        <v>2065</v>
      </c>
      <c r="G1089" s="105" t="s">
        <v>2066</v>
      </c>
    </row>
    <row r="1090" spans="1:7" ht="12" x14ac:dyDescent="0.25">
      <c r="A1090" s="90" t="s">
        <v>39</v>
      </c>
      <c r="B1090" s="90" t="s">
        <v>77</v>
      </c>
      <c r="C1090" s="90">
        <v>7</v>
      </c>
      <c r="D1090" s="109" t="s">
        <v>243</v>
      </c>
      <c r="E1090" s="99" t="s">
        <v>243</v>
      </c>
      <c r="F1090" s="100" t="s">
        <v>2067</v>
      </c>
      <c r="G1090" s="105" t="s">
        <v>2068</v>
      </c>
    </row>
    <row r="1091" spans="1:7" ht="12" x14ac:dyDescent="0.25">
      <c r="A1091" s="90" t="s">
        <v>39</v>
      </c>
      <c r="B1091" s="90" t="s">
        <v>77</v>
      </c>
      <c r="C1091" s="90">
        <v>7</v>
      </c>
      <c r="D1091" s="109" t="s">
        <v>2100</v>
      </c>
      <c r="E1091" s="99" t="s">
        <v>2100</v>
      </c>
      <c r="F1091" s="100" t="s">
        <v>2479</v>
      </c>
      <c r="G1091" s="105" t="s">
        <v>2535</v>
      </c>
    </row>
    <row r="1092" spans="1:7" ht="12" x14ac:dyDescent="0.25">
      <c r="A1092" s="90" t="s">
        <v>39</v>
      </c>
      <c r="B1092" s="90" t="s">
        <v>77</v>
      </c>
      <c r="C1092" s="90">
        <v>7</v>
      </c>
      <c r="D1092" s="109" t="s">
        <v>130</v>
      </c>
      <c r="E1092" s="99" t="s">
        <v>130</v>
      </c>
      <c r="F1092" s="100" t="s">
        <v>2468</v>
      </c>
      <c r="G1092" s="105" t="s">
        <v>2524</v>
      </c>
    </row>
    <row r="1093" spans="1:7" ht="12" x14ac:dyDescent="0.25">
      <c r="A1093" s="90" t="s">
        <v>39</v>
      </c>
      <c r="B1093" s="90" t="s">
        <v>77</v>
      </c>
      <c r="C1093" s="90">
        <v>7</v>
      </c>
      <c r="D1093" s="109" t="s">
        <v>337</v>
      </c>
      <c r="E1093" s="99" t="s">
        <v>337</v>
      </c>
      <c r="F1093" s="100" t="s">
        <v>2070</v>
      </c>
      <c r="G1093" s="105" t="s">
        <v>2071</v>
      </c>
    </row>
    <row r="1094" spans="1:7" ht="12" x14ac:dyDescent="0.25">
      <c r="A1094" s="90" t="s">
        <v>39</v>
      </c>
      <c r="B1094" s="90" t="s">
        <v>77</v>
      </c>
      <c r="C1094" s="90">
        <v>7</v>
      </c>
      <c r="D1094" s="109" t="s">
        <v>338</v>
      </c>
      <c r="E1094" s="99" t="s">
        <v>338</v>
      </c>
      <c r="F1094" s="100" t="s">
        <v>2072</v>
      </c>
      <c r="G1094" s="105" t="s">
        <v>2073</v>
      </c>
    </row>
    <row r="1095" spans="1:7" ht="12" x14ac:dyDescent="0.25">
      <c r="A1095" s="90" t="s">
        <v>39</v>
      </c>
      <c r="B1095" s="90" t="s">
        <v>77</v>
      </c>
      <c r="C1095" s="90">
        <v>7</v>
      </c>
      <c r="D1095" s="109" t="s">
        <v>339</v>
      </c>
      <c r="E1095" s="99" t="s">
        <v>339</v>
      </c>
      <c r="F1095" s="100" t="s">
        <v>2074</v>
      </c>
      <c r="G1095" s="105" t="s">
        <v>2075</v>
      </c>
    </row>
    <row r="1096" spans="1:7" ht="12" x14ac:dyDescent="0.25">
      <c r="A1096" s="90" t="s">
        <v>39</v>
      </c>
      <c r="B1096" s="90" t="s">
        <v>77</v>
      </c>
      <c r="C1096" s="90">
        <v>7</v>
      </c>
      <c r="D1096" s="109" t="s">
        <v>340</v>
      </c>
      <c r="E1096" s="99" t="s">
        <v>340</v>
      </c>
      <c r="F1096" s="100" t="s">
        <v>2076</v>
      </c>
      <c r="G1096" s="105" t="s">
        <v>2077</v>
      </c>
    </row>
    <row r="1097" spans="1:7" ht="12" x14ac:dyDescent="0.25">
      <c r="A1097" s="90" t="s">
        <v>39</v>
      </c>
      <c r="B1097" s="90" t="s">
        <v>77</v>
      </c>
      <c r="C1097" s="90">
        <v>7</v>
      </c>
      <c r="D1097" s="109" t="s">
        <v>341</v>
      </c>
      <c r="E1097" s="99" t="s">
        <v>341</v>
      </c>
      <c r="F1097" s="100" t="s">
        <v>2078</v>
      </c>
      <c r="G1097" s="105" t="s">
        <v>2079</v>
      </c>
    </row>
    <row r="1098" spans="1:7" ht="12" x14ac:dyDescent="0.25">
      <c r="A1098" s="90" t="s">
        <v>39</v>
      </c>
      <c r="B1098" s="90" t="s">
        <v>77</v>
      </c>
      <c r="C1098" s="90">
        <v>7</v>
      </c>
      <c r="D1098" s="109" t="s">
        <v>342</v>
      </c>
      <c r="E1098" s="99" t="s">
        <v>342</v>
      </c>
      <c r="F1098" s="100" t="s">
        <v>2080</v>
      </c>
      <c r="G1098" s="105" t="s">
        <v>2081</v>
      </c>
    </row>
    <row r="1099" spans="1:7" ht="12" x14ac:dyDescent="0.25">
      <c r="A1099" s="90" t="s">
        <v>39</v>
      </c>
      <c r="B1099" s="90" t="s">
        <v>77</v>
      </c>
      <c r="C1099" s="90">
        <v>7</v>
      </c>
      <c r="D1099" s="109" t="s">
        <v>2101</v>
      </c>
      <c r="E1099" s="99" t="s">
        <v>2101</v>
      </c>
      <c r="F1099" s="100" t="s">
        <v>2480</v>
      </c>
      <c r="G1099" s="105" t="s">
        <v>2536</v>
      </c>
    </row>
    <row r="1100" spans="1:7" ht="12" x14ac:dyDescent="0.25">
      <c r="A1100" s="90" t="s">
        <v>39</v>
      </c>
      <c r="B1100" s="90" t="s">
        <v>77</v>
      </c>
      <c r="C1100" s="90">
        <v>7</v>
      </c>
      <c r="D1100" s="109" t="s">
        <v>191</v>
      </c>
      <c r="E1100" s="99" t="s">
        <v>191</v>
      </c>
      <c r="F1100" s="100" t="s">
        <v>343</v>
      </c>
      <c r="G1100" s="105" t="s">
        <v>2083</v>
      </c>
    </row>
    <row r="1101" spans="1:7" ht="12" x14ac:dyDescent="0.25">
      <c r="A1101" s="90" t="s">
        <v>39</v>
      </c>
      <c r="B1101" s="90" t="s">
        <v>77</v>
      </c>
      <c r="C1101" s="90">
        <v>7</v>
      </c>
      <c r="D1101" s="109" t="s">
        <v>244</v>
      </c>
      <c r="E1101" s="99" t="s">
        <v>244</v>
      </c>
      <c r="F1101" s="100" t="s">
        <v>344</v>
      </c>
      <c r="G1101" s="105" t="s">
        <v>345</v>
      </c>
    </row>
    <row r="1102" spans="1:7" ht="12" x14ac:dyDescent="0.25">
      <c r="A1102" s="90" t="s">
        <v>39</v>
      </c>
      <c r="B1102" s="90" t="s">
        <v>77</v>
      </c>
      <c r="C1102" s="90">
        <v>7</v>
      </c>
      <c r="D1102" s="109" t="s">
        <v>2102</v>
      </c>
      <c r="E1102" s="99" t="s">
        <v>2102</v>
      </c>
      <c r="F1102" s="100" t="s">
        <v>2481</v>
      </c>
      <c r="G1102" s="105" t="s">
        <v>2537</v>
      </c>
    </row>
    <row r="1103" spans="1:7" ht="12" x14ac:dyDescent="0.25">
      <c r="A1103" s="90" t="s">
        <v>39</v>
      </c>
      <c r="B1103" s="90" t="s">
        <v>77</v>
      </c>
      <c r="C1103" s="90">
        <v>7</v>
      </c>
      <c r="D1103" s="109" t="s">
        <v>211</v>
      </c>
      <c r="E1103" s="99" t="s">
        <v>211</v>
      </c>
      <c r="F1103" s="100" t="s">
        <v>2085</v>
      </c>
      <c r="G1103" s="105" t="s">
        <v>349</v>
      </c>
    </row>
    <row r="1104" spans="1:7" ht="12" x14ac:dyDescent="0.25">
      <c r="A1104" s="90" t="s">
        <v>39</v>
      </c>
      <c r="B1104" s="90" t="s">
        <v>77</v>
      </c>
      <c r="C1104" s="90">
        <v>7</v>
      </c>
      <c r="D1104" s="109" t="s">
        <v>193</v>
      </c>
      <c r="E1104" s="99" t="s">
        <v>193</v>
      </c>
      <c r="F1104" s="100" t="s">
        <v>350</v>
      </c>
      <c r="G1104" s="105" t="s">
        <v>2086</v>
      </c>
    </row>
    <row r="1105" spans="1:7" ht="12" x14ac:dyDescent="0.25">
      <c r="A1105" s="90" t="s">
        <v>39</v>
      </c>
      <c r="B1105" s="90" t="s">
        <v>77</v>
      </c>
      <c r="C1105" s="90">
        <v>7</v>
      </c>
      <c r="D1105" s="109" t="s">
        <v>145</v>
      </c>
      <c r="E1105" s="99" t="s">
        <v>145</v>
      </c>
      <c r="F1105" s="100" t="s">
        <v>351</v>
      </c>
      <c r="G1105" s="105" t="s">
        <v>352</v>
      </c>
    </row>
    <row r="1106" spans="1:7" ht="12" x14ac:dyDescent="0.25">
      <c r="A1106" s="90" t="s">
        <v>39</v>
      </c>
      <c r="B1106" s="90" t="s">
        <v>77</v>
      </c>
      <c r="D1106" s="109"/>
      <c r="E1106" s="101"/>
      <c r="F1106" s="101"/>
      <c r="G1106" s="101"/>
    </row>
    <row r="1107" spans="1:7" ht="358.5" customHeight="1" x14ac:dyDescent="0.25">
      <c r="A1107" s="90" t="s">
        <v>37</v>
      </c>
      <c r="B1107" s="90" t="s">
        <v>356</v>
      </c>
      <c r="C1107" s="90" t="s">
        <v>2103</v>
      </c>
      <c r="D1107" s="109" t="s">
        <v>2440</v>
      </c>
      <c r="E1107" s="99" t="s">
        <v>2440</v>
      </c>
      <c r="F1107" s="100" t="s">
        <v>2647</v>
      </c>
      <c r="G1107" s="105" t="s">
        <v>2648</v>
      </c>
    </row>
    <row r="1108" spans="1:7" ht="203.5" customHeight="1" x14ac:dyDescent="0.25">
      <c r="A1108" s="90" t="s">
        <v>37</v>
      </c>
      <c r="B1108" s="90" t="s">
        <v>356</v>
      </c>
      <c r="C1108" s="90" t="s">
        <v>2104</v>
      </c>
      <c r="D1108" s="109" t="s">
        <v>2442</v>
      </c>
      <c r="E1108" s="99" t="s">
        <v>2442</v>
      </c>
      <c r="F1108" s="100" t="s">
        <v>2649</v>
      </c>
      <c r="G1108" s="105" t="s">
        <v>2650</v>
      </c>
    </row>
    <row r="1109" spans="1:7" ht="214" customHeight="1" x14ac:dyDescent="0.25">
      <c r="A1109" s="90" t="s">
        <v>37</v>
      </c>
      <c r="B1109" s="90" t="s">
        <v>356</v>
      </c>
      <c r="C1109" s="90" t="s">
        <v>2105</v>
      </c>
      <c r="D1109" s="109" t="s">
        <v>2443</v>
      </c>
      <c r="E1109" s="99" t="s">
        <v>2443</v>
      </c>
      <c r="F1109" s="102" t="s">
        <v>2651</v>
      </c>
      <c r="G1109" s="107" t="s">
        <v>2652</v>
      </c>
    </row>
    <row r="1110" spans="1:7" ht="201" customHeight="1" x14ac:dyDescent="0.25">
      <c r="A1110" s="90" t="s">
        <v>37</v>
      </c>
      <c r="B1110" s="90" t="s">
        <v>356</v>
      </c>
      <c r="C1110" s="90" t="s">
        <v>2106</v>
      </c>
      <c r="D1110" s="109" t="s">
        <v>2441</v>
      </c>
      <c r="E1110" s="99" t="s">
        <v>2441</v>
      </c>
      <c r="F1110" s="100" t="s">
        <v>2653</v>
      </c>
      <c r="G1110" s="105" t="s">
        <v>2654</v>
      </c>
    </row>
    <row r="1111" spans="1:7" ht="12" x14ac:dyDescent="0.25">
      <c r="A1111" s="90" t="s">
        <v>37</v>
      </c>
      <c r="B1111" s="90" t="s">
        <v>356</v>
      </c>
      <c r="D1111" s="109"/>
      <c r="E1111" s="101"/>
      <c r="F1111" s="101"/>
      <c r="G1111" s="101"/>
    </row>
    <row r="1112" spans="1:7" ht="12" x14ac:dyDescent="0.25">
      <c r="A1112" s="90" t="s">
        <v>37</v>
      </c>
      <c r="B1112" s="90" t="s">
        <v>67</v>
      </c>
      <c r="C1112" s="90" t="s">
        <v>334</v>
      </c>
      <c r="D1112" s="109" t="s">
        <v>357</v>
      </c>
      <c r="E1112" s="99" t="s">
        <v>357</v>
      </c>
      <c r="F1112" s="100" t="s">
        <v>2107</v>
      </c>
      <c r="G1112" s="105" t="s">
        <v>2108</v>
      </c>
    </row>
    <row r="1113" spans="1:7" ht="12" x14ac:dyDescent="0.25">
      <c r="A1113" s="90" t="s">
        <v>37</v>
      </c>
      <c r="B1113" s="90" t="s">
        <v>67</v>
      </c>
      <c r="C1113" s="90" t="s">
        <v>334</v>
      </c>
      <c r="D1113" s="109" t="s">
        <v>0</v>
      </c>
      <c r="E1113" s="99" t="s">
        <v>0</v>
      </c>
      <c r="F1113" s="100" t="s">
        <v>268</v>
      </c>
      <c r="G1113" s="105" t="s">
        <v>269</v>
      </c>
    </row>
    <row r="1114" spans="1:7" ht="12" x14ac:dyDescent="0.25">
      <c r="A1114" s="90" t="s">
        <v>37</v>
      </c>
      <c r="B1114" s="90" t="s">
        <v>67</v>
      </c>
      <c r="C1114" s="90" t="s">
        <v>334</v>
      </c>
      <c r="D1114" s="160" t="s">
        <v>1</v>
      </c>
      <c r="E1114" s="161" t="s">
        <v>1</v>
      </c>
      <c r="F1114" s="162" t="s">
        <v>315</v>
      </c>
      <c r="G1114" s="163" t="s">
        <v>316</v>
      </c>
    </row>
    <row r="1115" spans="1:7" ht="12" x14ac:dyDescent="0.25">
      <c r="A1115" s="90" t="s">
        <v>37</v>
      </c>
      <c r="B1115" s="90" t="s">
        <v>67</v>
      </c>
      <c r="C1115" s="90" t="s">
        <v>334</v>
      </c>
      <c r="D1115" s="109" t="s">
        <v>2</v>
      </c>
      <c r="E1115" s="99" t="s">
        <v>2</v>
      </c>
      <c r="F1115" s="100" t="s">
        <v>277</v>
      </c>
      <c r="G1115" s="105" t="s">
        <v>278</v>
      </c>
    </row>
    <row r="1116" spans="1:7" ht="12" x14ac:dyDescent="0.25">
      <c r="A1116" s="90" t="s">
        <v>37</v>
      </c>
      <c r="B1116" s="90" t="s">
        <v>67</v>
      </c>
      <c r="C1116" s="90" t="s">
        <v>334</v>
      </c>
      <c r="D1116" s="109" t="s">
        <v>3</v>
      </c>
      <c r="E1116" s="99" t="s">
        <v>3</v>
      </c>
      <c r="F1116" s="100" t="s">
        <v>283</v>
      </c>
      <c r="G1116" s="105" t="s">
        <v>2020</v>
      </c>
    </row>
    <row r="1117" spans="1:7" ht="360" x14ac:dyDescent="0.25">
      <c r="A1117" s="90" t="s">
        <v>37</v>
      </c>
      <c r="B1117" s="90" t="s">
        <v>67</v>
      </c>
      <c r="C1117" s="90">
        <v>1</v>
      </c>
      <c r="D1117" s="109" t="s">
        <v>2021</v>
      </c>
      <c r="E1117" s="99" t="s">
        <v>2021</v>
      </c>
      <c r="F1117" s="100" t="s">
        <v>2450</v>
      </c>
      <c r="G1117" s="105" t="s">
        <v>2451</v>
      </c>
    </row>
    <row r="1118" spans="1:7" ht="12" x14ac:dyDescent="0.25">
      <c r="A1118" s="90" t="s">
        <v>37</v>
      </c>
      <c r="B1118" s="90" t="s">
        <v>67</v>
      </c>
      <c r="C1118" s="90">
        <v>1</v>
      </c>
      <c r="D1118" s="109" t="s">
        <v>75</v>
      </c>
      <c r="E1118" s="99" t="s">
        <v>75</v>
      </c>
      <c r="F1118" s="100" t="s">
        <v>2022</v>
      </c>
      <c r="G1118" s="105" t="s">
        <v>2023</v>
      </c>
    </row>
    <row r="1119" spans="1:7" ht="12" x14ac:dyDescent="0.25">
      <c r="A1119" s="90" t="s">
        <v>37</v>
      </c>
      <c r="B1119" s="90" t="s">
        <v>67</v>
      </c>
      <c r="C1119" s="90">
        <v>1</v>
      </c>
      <c r="D1119" s="109" t="s">
        <v>76</v>
      </c>
      <c r="E1119" s="99" t="s">
        <v>76</v>
      </c>
      <c r="F1119" s="100" t="s">
        <v>2024</v>
      </c>
      <c r="G1119" s="105" t="s">
        <v>2025</v>
      </c>
    </row>
    <row r="1120" spans="1:7" ht="12" x14ac:dyDescent="0.25">
      <c r="A1120" s="90" t="s">
        <v>37</v>
      </c>
      <c r="B1120" s="90" t="s">
        <v>67</v>
      </c>
      <c r="C1120" s="90">
        <v>1</v>
      </c>
      <c r="D1120" s="109" t="s">
        <v>8</v>
      </c>
      <c r="E1120" s="99" t="s">
        <v>8</v>
      </c>
      <c r="F1120" s="100" t="s">
        <v>2026</v>
      </c>
      <c r="G1120" s="105" t="s">
        <v>2095</v>
      </c>
    </row>
    <row r="1121" spans="1:7" ht="12" x14ac:dyDescent="0.25">
      <c r="A1121" s="90" t="s">
        <v>37</v>
      </c>
      <c r="B1121" s="90" t="s">
        <v>67</v>
      </c>
      <c r="C1121" s="90">
        <v>1</v>
      </c>
      <c r="D1121" s="109" t="s">
        <v>225</v>
      </c>
      <c r="E1121" s="99" t="s">
        <v>225</v>
      </c>
      <c r="F1121" s="100" t="s">
        <v>335</v>
      </c>
      <c r="G1121" s="105" t="s">
        <v>336</v>
      </c>
    </row>
    <row r="1122" spans="1:7" ht="12" x14ac:dyDescent="0.25">
      <c r="A1122" s="90" t="s">
        <v>37</v>
      </c>
      <c r="B1122" s="90" t="s">
        <v>67</v>
      </c>
      <c r="C1122" s="90">
        <v>1</v>
      </c>
      <c r="D1122" s="109" t="s">
        <v>74</v>
      </c>
      <c r="E1122" s="99" t="s">
        <v>74</v>
      </c>
      <c r="F1122" s="100" t="s">
        <v>2028</v>
      </c>
      <c r="G1122" s="105" t="s">
        <v>2029</v>
      </c>
    </row>
    <row r="1123" spans="1:7" ht="12" x14ac:dyDescent="0.25">
      <c r="A1123" s="90" t="s">
        <v>37</v>
      </c>
      <c r="B1123" s="90" t="s">
        <v>67</v>
      </c>
      <c r="C1123" s="90">
        <v>1</v>
      </c>
      <c r="D1123" s="109" t="s">
        <v>2030</v>
      </c>
      <c r="E1123" s="99" t="s">
        <v>2030</v>
      </c>
      <c r="F1123" s="100" t="s">
        <v>2467</v>
      </c>
      <c r="G1123" s="105" t="s">
        <v>2462</v>
      </c>
    </row>
    <row r="1124" spans="1:7" ht="12" x14ac:dyDescent="0.25">
      <c r="A1124" s="90" t="s">
        <v>37</v>
      </c>
      <c r="B1124" s="90" t="s">
        <v>67</v>
      </c>
      <c r="C1124" s="90">
        <v>1</v>
      </c>
      <c r="D1124" s="109" t="s">
        <v>64</v>
      </c>
      <c r="E1124" s="99" t="s">
        <v>64</v>
      </c>
      <c r="F1124" s="100" t="s">
        <v>2031</v>
      </c>
      <c r="G1124" s="105" t="s">
        <v>2032</v>
      </c>
    </row>
    <row r="1125" spans="1:7" ht="12" x14ac:dyDescent="0.25">
      <c r="A1125" s="90" t="s">
        <v>37</v>
      </c>
      <c r="B1125" s="90" t="s">
        <v>67</v>
      </c>
      <c r="C1125" s="90">
        <v>1</v>
      </c>
      <c r="D1125" s="109" t="s">
        <v>130</v>
      </c>
      <c r="E1125" s="99" t="s">
        <v>130</v>
      </c>
      <c r="F1125" s="100" t="s">
        <v>2468</v>
      </c>
      <c r="G1125" s="105" t="s">
        <v>2524</v>
      </c>
    </row>
    <row r="1126" spans="1:7" ht="12" x14ac:dyDescent="0.25">
      <c r="A1126" s="90" t="s">
        <v>37</v>
      </c>
      <c r="B1126" s="90" t="s">
        <v>67</v>
      </c>
      <c r="C1126" s="90">
        <v>1</v>
      </c>
      <c r="D1126" s="109" t="s">
        <v>226</v>
      </c>
      <c r="E1126" s="99" t="s">
        <v>226</v>
      </c>
      <c r="F1126" s="100" t="s">
        <v>2088</v>
      </c>
      <c r="G1126" s="105" t="s">
        <v>2525</v>
      </c>
    </row>
    <row r="1127" spans="1:7" ht="12" x14ac:dyDescent="0.25">
      <c r="A1127" s="90" t="s">
        <v>37</v>
      </c>
      <c r="B1127" s="90" t="s">
        <v>67</v>
      </c>
      <c r="C1127" s="90">
        <v>1</v>
      </c>
      <c r="D1127" s="109" t="s">
        <v>227</v>
      </c>
      <c r="E1127" s="99" t="s">
        <v>227</v>
      </c>
      <c r="F1127" s="100" t="s">
        <v>2033</v>
      </c>
      <c r="G1127" s="105" t="s">
        <v>2034</v>
      </c>
    </row>
    <row r="1128" spans="1:7" ht="12" x14ac:dyDescent="0.25">
      <c r="A1128" s="90" t="s">
        <v>37</v>
      </c>
      <c r="B1128" s="90" t="s">
        <v>67</v>
      </c>
      <c r="C1128" s="90">
        <v>1</v>
      </c>
      <c r="D1128" s="109" t="s">
        <v>228</v>
      </c>
      <c r="E1128" s="99" t="s">
        <v>228</v>
      </c>
      <c r="F1128" s="100" t="s">
        <v>2035</v>
      </c>
      <c r="G1128" s="105" t="s">
        <v>2036</v>
      </c>
    </row>
    <row r="1129" spans="1:7" ht="12" x14ac:dyDescent="0.25">
      <c r="A1129" s="90" t="s">
        <v>37</v>
      </c>
      <c r="B1129" s="90" t="s">
        <v>67</v>
      </c>
      <c r="C1129" s="90">
        <v>1</v>
      </c>
      <c r="D1129" s="109" t="s">
        <v>229</v>
      </c>
      <c r="E1129" s="99" t="s">
        <v>229</v>
      </c>
      <c r="F1129" s="100" t="s">
        <v>2037</v>
      </c>
      <c r="G1129" s="105" t="s">
        <v>2038</v>
      </c>
    </row>
    <row r="1130" spans="1:7" ht="12" x14ac:dyDescent="0.25">
      <c r="A1130" s="90" t="s">
        <v>37</v>
      </c>
      <c r="B1130" s="90" t="s">
        <v>67</v>
      </c>
      <c r="C1130" s="90">
        <v>1</v>
      </c>
      <c r="D1130" s="109" t="s">
        <v>230</v>
      </c>
      <c r="E1130" s="99" t="s">
        <v>230</v>
      </c>
      <c r="F1130" s="100" t="s">
        <v>2039</v>
      </c>
      <c r="G1130" s="105" t="s">
        <v>2040</v>
      </c>
    </row>
    <row r="1131" spans="1:7" ht="12" x14ac:dyDescent="0.25">
      <c r="A1131" s="90" t="s">
        <v>37</v>
      </c>
      <c r="B1131" s="90" t="s">
        <v>67</v>
      </c>
      <c r="C1131" s="90">
        <v>1</v>
      </c>
      <c r="D1131" s="109" t="s">
        <v>231</v>
      </c>
      <c r="E1131" s="99" t="s">
        <v>231</v>
      </c>
      <c r="F1131" s="100" t="s">
        <v>2041</v>
      </c>
      <c r="G1131" s="105" t="s">
        <v>2042</v>
      </c>
    </row>
    <row r="1132" spans="1:7" ht="12" x14ac:dyDescent="0.25">
      <c r="A1132" s="90" t="s">
        <v>37</v>
      </c>
      <c r="B1132" s="90" t="s">
        <v>67</v>
      </c>
      <c r="C1132" s="90">
        <v>1</v>
      </c>
      <c r="D1132" s="109" t="s">
        <v>2043</v>
      </c>
      <c r="E1132" s="99" t="s">
        <v>2043</v>
      </c>
      <c r="F1132" s="100" t="s">
        <v>2470</v>
      </c>
      <c r="G1132" s="105" t="s">
        <v>2526</v>
      </c>
    </row>
    <row r="1133" spans="1:7" ht="12" x14ac:dyDescent="0.25">
      <c r="A1133" s="90" t="s">
        <v>37</v>
      </c>
      <c r="B1133" s="90" t="s">
        <v>67</v>
      </c>
      <c r="C1133" s="90">
        <v>1</v>
      </c>
      <c r="D1133" s="109" t="s">
        <v>130</v>
      </c>
      <c r="E1133" s="99" t="s">
        <v>130</v>
      </c>
      <c r="F1133" s="100" t="s">
        <v>2468</v>
      </c>
      <c r="G1133" s="105" t="s">
        <v>2524</v>
      </c>
    </row>
    <row r="1134" spans="1:7" ht="12" x14ac:dyDescent="0.25">
      <c r="A1134" s="90" t="s">
        <v>37</v>
      </c>
      <c r="B1134" s="90" t="s">
        <v>67</v>
      </c>
      <c r="C1134" s="90">
        <v>1</v>
      </c>
      <c r="D1134" s="109" t="s">
        <v>232</v>
      </c>
      <c r="E1134" s="99" t="s">
        <v>232</v>
      </c>
      <c r="F1134" s="100" t="s">
        <v>2044</v>
      </c>
      <c r="G1134" s="105" t="s">
        <v>2045</v>
      </c>
    </row>
    <row r="1135" spans="1:7" ht="12" x14ac:dyDescent="0.25">
      <c r="A1135" s="90" t="s">
        <v>37</v>
      </c>
      <c r="B1135" s="90" t="s">
        <v>67</v>
      </c>
      <c r="C1135" s="90">
        <v>1</v>
      </c>
      <c r="D1135" s="109" t="s">
        <v>233</v>
      </c>
      <c r="E1135" s="99" t="s">
        <v>233</v>
      </c>
      <c r="F1135" s="100" t="s">
        <v>2046</v>
      </c>
      <c r="G1135" s="105" t="s">
        <v>2047</v>
      </c>
    </row>
    <row r="1136" spans="1:7" ht="12" x14ac:dyDescent="0.25">
      <c r="A1136" s="90" t="s">
        <v>37</v>
      </c>
      <c r="B1136" s="90" t="s">
        <v>67</v>
      </c>
      <c r="C1136" s="90">
        <v>1</v>
      </c>
      <c r="D1136" s="109" t="s">
        <v>234</v>
      </c>
      <c r="E1136" s="99" t="s">
        <v>234</v>
      </c>
      <c r="F1136" s="100" t="s">
        <v>2048</v>
      </c>
      <c r="G1136" s="105" t="s">
        <v>2049</v>
      </c>
    </row>
    <row r="1137" spans="1:7" ht="12" x14ac:dyDescent="0.25">
      <c r="A1137" s="90" t="s">
        <v>37</v>
      </c>
      <c r="B1137" s="90" t="s">
        <v>67</v>
      </c>
      <c r="C1137" s="90">
        <v>1</v>
      </c>
      <c r="D1137" s="109" t="s">
        <v>235</v>
      </c>
      <c r="E1137" s="99" t="s">
        <v>235</v>
      </c>
      <c r="F1137" s="100" t="s">
        <v>2050</v>
      </c>
      <c r="G1137" s="105" t="s">
        <v>2051</v>
      </c>
    </row>
    <row r="1138" spans="1:7" ht="12" x14ac:dyDescent="0.25">
      <c r="A1138" s="90" t="s">
        <v>37</v>
      </c>
      <c r="B1138" s="90" t="s">
        <v>67</v>
      </c>
      <c r="C1138" s="90">
        <v>1</v>
      </c>
      <c r="D1138" s="109" t="s">
        <v>236</v>
      </c>
      <c r="E1138" s="99" t="s">
        <v>236</v>
      </c>
      <c r="F1138" s="100" t="s">
        <v>2052</v>
      </c>
      <c r="G1138" s="105" t="s">
        <v>2053</v>
      </c>
    </row>
    <row r="1139" spans="1:7" ht="12" x14ac:dyDescent="0.25">
      <c r="A1139" s="90" t="s">
        <v>37</v>
      </c>
      <c r="B1139" s="90" t="s">
        <v>67</v>
      </c>
      <c r="C1139" s="90">
        <v>1</v>
      </c>
      <c r="D1139" s="109" t="s">
        <v>237</v>
      </c>
      <c r="E1139" s="99" t="s">
        <v>237</v>
      </c>
      <c r="F1139" s="100" t="s">
        <v>2054</v>
      </c>
      <c r="G1139" s="105" t="s">
        <v>2055</v>
      </c>
    </row>
    <row r="1140" spans="1:7" ht="12" x14ac:dyDescent="0.25">
      <c r="A1140" s="90" t="s">
        <v>37</v>
      </c>
      <c r="B1140" s="90" t="s">
        <v>67</v>
      </c>
      <c r="C1140" s="90">
        <v>1</v>
      </c>
      <c r="D1140" s="109" t="s">
        <v>2056</v>
      </c>
      <c r="E1140" s="99" t="s">
        <v>2056</v>
      </c>
      <c r="F1140" s="100" t="s">
        <v>2471</v>
      </c>
      <c r="G1140" s="105" t="s">
        <v>2527</v>
      </c>
    </row>
    <row r="1141" spans="1:7" ht="12" x14ac:dyDescent="0.25">
      <c r="A1141" s="90" t="s">
        <v>37</v>
      </c>
      <c r="B1141" s="90" t="s">
        <v>67</v>
      </c>
      <c r="C1141" s="90">
        <v>1</v>
      </c>
      <c r="D1141" s="109" t="s">
        <v>130</v>
      </c>
      <c r="E1141" s="99" t="s">
        <v>130</v>
      </c>
      <c r="F1141" s="100" t="s">
        <v>2468</v>
      </c>
      <c r="G1141" s="105" t="s">
        <v>2524</v>
      </c>
    </row>
    <row r="1142" spans="1:7" ht="12" x14ac:dyDescent="0.25">
      <c r="A1142" s="90" t="s">
        <v>37</v>
      </c>
      <c r="B1142" s="90" t="s">
        <v>67</v>
      </c>
      <c r="C1142" s="90">
        <v>1</v>
      </c>
      <c r="D1142" s="109" t="s">
        <v>238</v>
      </c>
      <c r="E1142" s="99" t="s">
        <v>238</v>
      </c>
      <c r="F1142" s="100" t="s">
        <v>2057</v>
      </c>
      <c r="G1142" s="105" t="s">
        <v>2058</v>
      </c>
    </row>
    <row r="1143" spans="1:7" ht="12" x14ac:dyDescent="0.25">
      <c r="A1143" s="90" t="s">
        <v>37</v>
      </c>
      <c r="B1143" s="90" t="s">
        <v>67</v>
      </c>
      <c r="C1143" s="90">
        <v>1</v>
      </c>
      <c r="D1143" s="109" t="s">
        <v>239</v>
      </c>
      <c r="E1143" s="99" t="s">
        <v>239</v>
      </c>
      <c r="F1143" s="100" t="s">
        <v>2059</v>
      </c>
      <c r="G1143" s="105" t="s">
        <v>2060</v>
      </c>
    </row>
    <row r="1144" spans="1:7" ht="12" x14ac:dyDescent="0.25">
      <c r="A1144" s="90" t="s">
        <v>37</v>
      </c>
      <c r="B1144" s="90" t="s">
        <v>67</v>
      </c>
      <c r="C1144" s="90">
        <v>1</v>
      </c>
      <c r="D1144" s="109" t="s">
        <v>240</v>
      </c>
      <c r="E1144" s="99" t="s">
        <v>240</v>
      </c>
      <c r="F1144" s="100" t="s">
        <v>2061</v>
      </c>
      <c r="G1144" s="105" t="s">
        <v>2062</v>
      </c>
    </row>
    <row r="1145" spans="1:7" ht="12" x14ac:dyDescent="0.25">
      <c r="A1145" s="90" t="s">
        <v>37</v>
      </c>
      <c r="B1145" s="90" t="s">
        <v>67</v>
      </c>
      <c r="C1145" s="90">
        <v>1</v>
      </c>
      <c r="D1145" s="109" t="s">
        <v>241</v>
      </c>
      <c r="E1145" s="99" t="s">
        <v>241</v>
      </c>
      <c r="F1145" s="100" t="s">
        <v>2063</v>
      </c>
      <c r="G1145" s="105" t="s">
        <v>2064</v>
      </c>
    </row>
    <row r="1146" spans="1:7" ht="12" x14ac:dyDescent="0.25">
      <c r="A1146" s="90" t="s">
        <v>37</v>
      </c>
      <c r="B1146" s="90" t="s">
        <v>67</v>
      </c>
      <c r="C1146" s="90">
        <v>1</v>
      </c>
      <c r="D1146" s="109" t="s">
        <v>242</v>
      </c>
      <c r="E1146" s="99" t="s">
        <v>242</v>
      </c>
      <c r="F1146" s="100" t="s">
        <v>2065</v>
      </c>
      <c r="G1146" s="105" t="s">
        <v>2066</v>
      </c>
    </row>
    <row r="1147" spans="1:7" ht="12" x14ac:dyDescent="0.25">
      <c r="A1147" s="90" t="s">
        <v>37</v>
      </c>
      <c r="B1147" s="90" t="s">
        <v>67</v>
      </c>
      <c r="C1147" s="90">
        <v>1</v>
      </c>
      <c r="D1147" s="109" t="s">
        <v>243</v>
      </c>
      <c r="E1147" s="99" t="s">
        <v>243</v>
      </c>
      <c r="F1147" s="100" t="s">
        <v>2067</v>
      </c>
      <c r="G1147" s="105" t="s">
        <v>2068</v>
      </c>
    </row>
    <row r="1148" spans="1:7" ht="12" x14ac:dyDescent="0.25">
      <c r="A1148" s="90" t="s">
        <v>37</v>
      </c>
      <c r="B1148" s="90" t="s">
        <v>67</v>
      </c>
      <c r="C1148" s="90">
        <v>1</v>
      </c>
      <c r="D1148" s="109" t="s">
        <v>2069</v>
      </c>
      <c r="E1148" s="99" t="s">
        <v>2069</v>
      </c>
      <c r="F1148" s="100" t="s">
        <v>2472</v>
      </c>
      <c r="G1148" s="105" t="s">
        <v>2528</v>
      </c>
    </row>
    <row r="1149" spans="1:7" ht="12" x14ac:dyDescent="0.25">
      <c r="A1149" s="90" t="s">
        <v>37</v>
      </c>
      <c r="B1149" s="90" t="s">
        <v>67</v>
      </c>
      <c r="C1149" s="90">
        <v>1</v>
      </c>
      <c r="D1149" s="109" t="s">
        <v>130</v>
      </c>
      <c r="E1149" s="99" t="s">
        <v>130</v>
      </c>
      <c r="F1149" s="100" t="s">
        <v>2468</v>
      </c>
      <c r="G1149" s="105" t="s">
        <v>2524</v>
      </c>
    </row>
    <row r="1150" spans="1:7" ht="12" x14ac:dyDescent="0.25">
      <c r="A1150" s="90" t="s">
        <v>37</v>
      </c>
      <c r="B1150" s="90" t="s">
        <v>67</v>
      </c>
      <c r="C1150" s="90">
        <v>1</v>
      </c>
      <c r="D1150" s="109" t="s">
        <v>337</v>
      </c>
      <c r="E1150" s="99" t="s">
        <v>337</v>
      </c>
      <c r="F1150" s="100" t="s">
        <v>2070</v>
      </c>
      <c r="G1150" s="105" t="s">
        <v>2071</v>
      </c>
    </row>
    <row r="1151" spans="1:7" ht="12" x14ac:dyDescent="0.25">
      <c r="A1151" s="90" t="s">
        <v>37</v>
      </c>
      <c r="B1151" s="90" t="s">
        <v>67</v>
      </c>
      <c r="C1151" s="90">
        <v>1</v>
      </c>
      <c r="D1151" s="109" t="s">
        <v>338</v>
      </c>
      <c r="E1151" s="99" t="s">
        <v>338</v>
      </c>
      <c r="F1151" s="100" t="s">
        <v>2072</v>
      </c>
      <c r="G1151" s="105" t="s">
        <v>2073</v>
      </c>
    </row>
    <row r="1152" spans="1:7" ht="12" x14ac:dyDescent="0.25">
      <c r="A1152" s="90" t="s">
        <v>37</v>
      </c>
      <c r="B1152" s="90" t="s">
        <v>67</v>
      </c>
      <c r="C1152" s="90">
        <v>1</v>
      </c>
      <c r="D1152" s="109" t="s">
        <v>339</v>
      </c>
      <c r="E1152" s="99" t="s">
        <v>339</v>
      </c>
      <c r="F1152" s="102" t="s">
        <v>2074</v>
      </c>
      <c r="G1152" s="107" t="s">
        <v>2075</v>
      </c>
    </row>
    <row r="1153" spans="1:7" ht="12" x14ac:dyDescent="0.25">
      <c r="A1153" s="90" t="s">
        <v>37</v>
      </c>
      <c r="B1153" s="90" t="s">
        <v>67</v>
      </c>
      <c r="C1153" s="90">
        <v>1</v>
      </c>
      <c r="D1153" s="109" t="s">
        <v>340</v>
      </c>
      <c r="E1153" s="99" t="s">
        <v>340</v>
      </c>
      <c r="F1153" s="100" t="s">
        <v>2076</v>
      </c>
      <c r="G1153" s="105" t="s">
        <v>2077</v>
      </c>
    </row>
    <row r="1154" spans="1:7" ht="12" x14ac:dyDescent="0.25">
      <c r="A1154" s="90" t="s">
        <v>37</v>
      </c>
      <c r="B1154" s="90" t="s">
        <v>67</v>
      </c>
      <c r="C1154" s="90">
        <v>1</v>
      </c>
      <c r="D1154" s="109" t="s">
        <v>341</v>
      </c>
      <c r="E1154" s="99" t="s">
        <v>341</v>
      </c>
      <c r="F1154" s="100" t="s">
        <v>2078</v>
      </c>
      <c r="G1154" s="105" t="s">
        <v>2079</v>
      </c>
    </row>
    <row r="1155" spans="1:7" ht="12" x14ac:dyDescent="0.25">
      <c r="A1155" s="90" t="s">
        <v>37</v>
      </c>
      <c r="B1155" s="90" t="s">
        <v>67</v>
      </c>
      <c r="C1155" s="90">
        <v>1</v>
      </c>
      <c r="D1155" s="109" t="s">
        <v>342</v>
      </c>
      <c r="E1155" s="99" t="s">
        <v>342</v>
      </c>
      <c r="F1155" s="100" t="s">
        <v>2080</v>
      </c>
      <c r="G1155" s="105" t="s">
        <v>2081</v>
      </c>
    </row>
    <row r="1156" spans="1:7" ht="12" x14ac:dyDescent="0.25">
      <c r="A1156" s="90" t="s">
        <v>37</v>
      </c>
      <c r="B1156" s="90" t="s">
        <v>67</v>
      </c>
      <c r="C1156" s="90">
        <v>1</v>
      </c>
      <c r="D1156" s="109" t="s">
        <v>2082</v>
      </c>
      <c r="E1156" s="99" t="s">
        <v>2082</v>
      </c>
      <c r="F1156" s="100" t="s">
        <v>2473</v>
      </c>
      <c r="G1156" s="105" t="s">
        <v>2529</v>
      </c>
    </row>
    <row r="1157" spans="1:7" ht="12" x14ac:dyDescent="0.25">
      <c r="A1157" s="90" t="s">
        <v>37</v>
      </c>
      <c r="B1157" s="90" t="s">
        <v>67</v>
      </c>
      <c r="C1157" s="90">
        <v>1</v>
      </c>
      <c r="D1157" s="160" t="s">
        <v>191</v>
      </c>
      <c r="E1157" s="161" t="s">
        <v>191</v>
      </c>
      <c r="F1157" s="162" t="s">
        <v>343</v>
      </c>
      <c r="G1157" s="163" t="s">
        <v>2083</v>
      </c>
    </row>
    <row r="1158" spans="1:7" ht="12" x14ac:dyDescent="0.25">
      <c r="A1158" s="90" t="s">
        <v>37</v>
      </c>
      <c r="B1158" s="90" t="s">
        <v>67</v>
      </c>
      <c r="C1158" s="90">
        <v>1</v>
      </c>
      <c r="D1158" s="109" t="s">
        <v>244</v>
      </c>
      <c r="E1158" s="99" t="s">
        <v>244</v>
      </c>
      <c r="F1158" s="100" t="s">
        <v>344</v>
      </c>
      <c r="G1158" s="105" t="s">
        <v>345</v>
      </c>
    </row>
    <row r="1159" spans="1:7" ht="12" x14ac:dyDescent="0.25">
      <c r="A1159" s="90" t="s">
        <v>37</v>
      </c>
      <c r="B1159" s="90" t="s">
        <v>67</v>
      </c>
      <c r="C1159" s="90">
        <v>1</v>
      </c>
      <c r="D1159" s="109" t="s">
        <v>2084</v>
      </c>
      <c r="E1159" s="99" t="s">
        <v>2084</v>
      </c>
      <c r="F1159" s="100" t="s">
        <v>2474</v>
      </c>
      <c r="G1159" s="105" t="s">
        <v>2530</v>
      </c>
    </row>
    <row r="1160" spans="1:7" ht="12" x14ac:dyDescent="0.25">
      <c r="A1160" s="90" t="s">
        <v>37</v>
      </c>
      <c r="B1160" s="90" t="s">
        <v>67</v>
      </c>
      <c r="C1160" s="90">
        <v>1</v>
      </c>
      <c r="D1160" s="109" t="s">
        <v>211</v>
      </c>
      <c r="E1160" s="99" t="s">
        <v>211</v>
      </c>
      <c r="F1160" s="100" t="s">
        <v>2085</v>
      </c>
      <c r="G1160" s="105" t="s">
        <v>349</v>
      </c>
    </row>
    <row r="1161" spans="1:7" ht="12" x14ac:dyDescent="0.25">
      <c r="A1161" s="90" t="s">
        <v>37</v>
      </c>
      <c r="B1161" s="90" t="s">
        <v>67</v>
      </c>
      <c r="C1161" s="90">
        <v>1</v>
      </c>
      <c r="D1161" s="109" t="s">
        <v>193</v>
      </c>
      <c r="E1161" s="99" t="s">
        <v>193</v>
      </c>
      <c r="F1161" s="100" t="s">
        <v>350</v>
      </c>
      <c r="G1161" s="105" t="s">
        <v>2086</v>
      </c>
    </row>
    <row r="1162" spans="1:7" ht="12" x14ac:dyDescent="0.25">
      <c r="A1162" s="90" t="s">
        <v>37</v>
      </c>
      <c r="B1162" s="90" t="s">
        <v>67</v>
      </c>
      <c r="C1162" s="90">
        <v>1</v>
      </c>
      <c r="D1162" s="109" t="s">
        <v>145</v>
      </c>
      <c r="E1162" s="99" t="s">
        <v>145</v>
      </c>
      <c r="F1162" s="100" t="s">
        <v>351</v>
      </c>
      <c r="G1162" s="105" t="s">
        <v>352</v>
      </c>
    </row>
    <row r="1163" spans="1:7" ht="360" x14ac:dyDescent="0.25">
      <c r="A1163" s="90" t="s">
        <v>37</v>
      </c>
      <c r="B1163" s="90" t="s">
        <v>67</v>
      </c>
      <c r="C1163" s="90">
        <v>2</v>
      </c>
      <c r="D1163" s="109" t="s">
        <v>2021</v>
      </c>
      <c r="E1163" s="99" t="s">
        <v>2021</v>
      </c>
      <c r="F1163" s="100" t="s">
        <v>2450</v>
      </c>
      <c r="G1163" s="105" t="s">
        <v>2451</v>
      </c>
    </row>
    <row r="1164" spans="1:7" ht="12" x14ac:dyDescent="0.25">
      <c r="A1164" s="90" t="s">
        <v>37</v>
      </c>
      <c r="B1164" s="90" t="s">
        <v>67</v>
      </c>
      <c r="C1164" s="90">
        <v>2</v>
      </c>
      <c r="D1164" s="109" t="s">
        <v>75</v>
      </c>
      <c r="E1164" s="99" t="s">
        <v>75</v>
      </c>
      <c r="F1164" s="100" t="s">
        <v>2022</v>
      </c>
      <c r="G1164" s="105" t="s">
        <v>2023</v>
      </c>
    </row>
    <row r="1165" spans="1:7" ht="12" x14ac:dyDescent="0.25">
      <c r="A1165" s="90" t="s">
        <v>37</v>
      </c>
      <c r="B1165" s="90" t="s">
        <v>67</v>
      </c>
      <c r="C1165" s="90">
        <v>2</v>
      </c>
      <c r="D1165" s="109" t="s">
        <v>76</v>
      </c>
      <c r="E1165" s="99" t="s">
        <v>76</v>
      </c>
      <c r="F1165" s="100" t="s">
        <v>2024</v>
      </c>
      <c r="G1165" s="105" t="s">
        <v>2025</v>
      </c>
    </row>
    <row r="1166" spans="1:7" ht="12" x14ac:dyDescent="0.25">
      <c r="A1166" s="90" t="s">
        <v>37</v>
      </c>
      <c r="B1166" s="90" t="s">
        <v>67</v>
      </c>
      <c r="C1166" s="90">
        <v>2</v>
      </c>
      <c r="D1166" s="109" t="s">
        <v>8</v>
      </c>
      <c r="E1166" s="99" t="s">
        <v>8</v>
      </c>
      <c r="F1166" s="100" t="s">
        <v>2026</v>
      </c>
      <c r="G1166" s="105" t="s">
        <v>2027</v>
      </c>
    </row>
    <row r="1167" spans="1:7" ht="12" x14ac:dyDescent="0.25">
      <c r="A1167" s="90" t="s">
        <v>37</v>
      </c>
      <c r="B1167" s="90" t="s">
        <v>67</v>
      </c>
      <c r="C1167" s="90">
        <v>2</v>
      </c>
      <c r="D1167" s="109" t="s">
        <v>225</v>
      </c>
      <c r="E1167" s="99" t="s">
        <v>225</v>
      </c>
      <c r="F1167" s="100" t="s">
        <v>335</v>
      </c>
      <c r="G1167" s="105" t="s">
        <v>336</v>
      </c>
    </row>
    <row r="1168" spans="1:7" ht="12" x14ac:dyDescent="0.25">
      <c r="A1168" s="90" t="s">
        <v>37</v>
      </c>
      <c r="B1168" s="90" t="s">
        <v>67</v>
      </c>
      <c r="C1168" s="90">
        <v>2</v>
      </c>
      <c r="D1168" s="109" t="s">
        <v>74</v>
      </c>
      <c r="E1168" s="99" t="s">
        <v>74</v>
      </c>
      <c r="F1168" s="100" t="s">
        <v>2028</v>
      </c>
      <c r="G1168" s="105" t="s">
        <v>327</v>
      </c>
    </row>
    <row r="1169" spans="1:7" ht="12" x14ac:dyDescent="0.25">
      <c r="A1169" s="90" t="s">
        <v>37</v>
      </c>
      <c r="B1169" s="90" t="s">
        <v>67</v>
      </c>
      <c r="C1169" s="90">
        <v>2</v>
      </c>
      <c r="D1169" s="109" t="s">
        <v>2030</v>
      </c>
      <c r="E1169" s="99" t="s">
        <v>2030</v>
      </c>
      <c r="F1169" s="100" t="s">
        <v>2467</v>
      </c>
      <c r="G1169" s="105" t="s">
        <v>2462</v>
      </c>
    </row>
    <row r="1170" spans="1:7" ht="12" x14ac:dyDescent="0.25">
      <c r="A1170" s="90" t="s">
        <v>37</v>
      </c>
      <c r="B1170" s="90" t="s">
        <v>67</v>
      </c>
      <c r="C1170" s="90">
        <v>2</v>
      </c>
      <c r="D1170" s="109" t="s">
        <v>64</v>
      </c>
      <c r="E1170" s="99" t="s">
        <v>64</v>
      </c>
      <c r="F1170" s="100" t="s">
        <v>2031</v>
      </c>
      <c r="G1170" s="105" t="s">
        <v>2087</v>
      </c>
    </row>
    <row r="1171" spans="1:7" ht="12" x14ac:dyDescent="0.25">
      <c r="A1171" s="90" t="s">
        <v>37</v>
      </c>
      <c r="B1171" s="90" t="s">
        <v>67</v>
      </c>
      <c r="C1171" s="90">
        <v>2</v>
      </c>
      <c r="D1171" s="109" t="s">
        <v>130</v>
      </c>
      <c r="E1171" s="99" t="s">
        <v>130</v>
      </c>
      <c r="F1171" s="100" t="s">
        <v>2468</v>
      </c>
      <c r="G1171" s="105" t="s">
        <v>2524</v>
      </c>
    </row>
    <row r="1172" spans="1:7" ht="12" x14ac:dyDescent="0.25">
      <c r="A1172" s="90" t="s">
        <v>37</v>
      </c>
      <c r="B1172" s="90" t="s">
        <v>67</v>
      </c>
      <c r="C1172" s="90">
        <v>2</v>
      </c>
      <c r="D1172" s="109" t="s">
        <v>226</v>
      </c>
      <c r="E1172" s="99" t="s">
        <v>226</v>
      </c>
      <c r="F1172" s="100" t="s">
        <v>2088</v>
      </c>
      <c r="G1172" s="105" t="s">
        <v>2525</v>
      </c>
    </row>
    <row r="1173" spans="1:7" ht="12" x14ac:dyDescent="0.25">
      <c r="A1173" s="90" t="s">
        <v>37</v>
      </c>
      <c r="B1173" s="90" t="s">
        <v>67</v>
      </c>
      <c r="C1173" s="90">
        <v>2</v>
      </c>
      <c r="D1173" s="109" t="s">
        <v>227</v>
      </c>
      <c r="E1173" s="99" t="s">
        <v>227</v>
      </c>
      <c r="F1173" s="100" t="s">
        <v>2033</v>
      </c>
      <c r="G1173" s="105" t="s">
        <v>2034</v>
      </c>
    </row>
    <row r="1174" spans="1:7" ht="12" x14ac:dyDescent="0.25">
      <c r="A1174" s="90" t="s">
        <v>37</v>
      </c>
      <c r="B1174" s="90" t="s">
        <v>67</v>
      </c>
      <c r="C1174" s="90">
        <v>2</v>
      </c>
      <c r="D1174" s="109" t="s">
        <v>228</v>
      </c>
      <c r="E1174" s="99" t="s">
        <v>228</v>
      </c>
      <c r="F1174" s="100" t="s">
        <v>2035</v>
      </c>
      <c r="G1174" s="105" t="s">
        <v>2036</v>
      </c>
    </row>
    <row r="1175" spans="1:7" ht="12" x14ac:dyDescent="0.25">
      <c r="A1175" s="90" t="s">
        <v>37</v>
      </c>
      <c r="B1175" s="90" t="s">
        <v>67</v>
      </c>
      <c r="C1175" s="90">
        <v>2</v>
      </c>
      <c r="D1175" s="109" t="s">
        <v>229</v>
      </c>
      <c r="E1175" s="99" t="s">
        <v>229</v>
      </c>
      <c r="F1175" s="100" t="s">
        <v>2037</v>
      </c>
      <c r="G1175" s="105" t="s">
        <v>2038</v>
      </c>
    </row>
    <row r="1176" spans="1:7" ht="12" x14ac:dyDescent="0.25">
      <c r="A1176" s="90" t="s">
        <v>37</v>
      </c>
      <c r="B1176" s="90" t="s">
        <v>67</v>
      </c>
      <c r="C1176" s="90">
        <v>2</v>
      </c>
      <c r="D1176" s="109" t="s">
        <v>230</v>
      </c>
      <c r="E1176" s="99" t="s">
        <v>230</v>
      </c>
      <c r="F1176" s="100" t="s">
        <v>2039</v>
      </c>
      <c r="G1176" s="105" t="s">
        <v>2040</v>
      </c>
    </row>
    <row r="1177" spans="1:7" ht="12" x14ac:dyDescent="0.25">
      <c r="A1177" s="90" t="s">
        <v>37</v>
      </c>
      <c r="B1177" s="90" t="s">
        <v>67</v>
      </c>
      <c r="C1177" s="90">
        <v>2</v>
      </c>
      <c r="D1177" s="109" t="s">
        <v>231</v>
      </c>
      <c r="E1177" s="99" t="s">
        <v>231</v>
      </c>
      <c r="F1177" s="100" t="s">
        <v>2041</v>
      </c>
      <c r="G1177" s="105" t="s">
        <v>2042</v>
      </c>
    </row>
    <row r="1178" spans="1:7" ht="12" x14ac:dyDescent="0.25">
      <c r="A1178" s="90" t="s">
        <v>37</v>
      </c>
      <c r="B1178" s="90" t="s">
        <v>67</v>
      </c>
      <c r="C1178" s="90">
        <v>2</v>
      </c>
      <c r="D1178" s="109" t="s">
        <v>2043</v>
      </c>
      <c r="E1178" s="99" t="s">
        <v>2043</v>
      </c>
      <c r="F1178" s="100" t="s">
        <v>2470</v>
      </c>
      <c r="G1178" s="105" t="s">
        <v>2526</v>
      </c>
    </row>
    <row r="1179" spans="1:7" ht="12" x14ac:dyDescent="0.25">
      <c r="A1179" s="90" t="s">
        <v>37</v>
      </c>
      <c r="B1179" s="90" t="s">
        <v>67</v>
      </c>
      <c r="C1179" s="90">
        <v>2</v>
      </c>
      <c r="D1179" s="109" t="s">
        <v>130</v>
      </c>
      <c r="E1179" s="99" t="s">
        <v>130</v>
      </c>
      <c r="F1179" s="100" t="s">
        <v>2468</v>
      </c>
      <c r="G1179" s="105" t="s">
        <v>2524</v>
      </c>
    </row>
    <row r="1180" spans="1:7" ht="12" x14ac:dyDescent="0.25">
      <c r="A1180" s="90" t="s">
        <v>37</v>
      </c>
      <c r="B1180" s="90" t="s">
        <v>67</v>
      </c>
      <c r="C1180" s="90">
        <v>2</v>
      </c>
      <c r="D1180" s="109" t="s">
        <v>232</v>
      </c>
      <c r="E1180" s="99" t="s">
        <v>232</v>
      </c>
      <c r="F1180" s="100" t="s">
        <v>2044</v>
      </c>
      <c r="G1180" s="105" t="s">
        <v>2045</v>
      </c>
    </row>
    <row r="1181" spans="1:7" ht="12" x14ac:dyDescent="0.25">
      <c r="A1181" s="90" t="s">
        <v>37</v>
      </c>
      <c r="B1181" s="90" t="s">
        <v>67</v>
      </c>
      <c r="C1181" s="90">
        <v>2</v>
      </c>
      <c r="D1181" s="109" t="s">
        <v>233</v>
      </c>
      <c r="E1181" s="99" t="s">
        <v>233</v>
      </c>
      <c r="F1181" s="100" t="s">
        <v>2046</v>
      </c>
      <c r="G1181" s="105" t="s">
        <v>2047</v>
      </c>
    </row>
    <row r="1182" spans="1:7" ht="12" x14ac:dyDescent="0.25">
      <c r="A1182" s="90" t="s">
        <v>37</v>
      </c>
      <c r="B1182" s="90" t="s">
        <v>67</v>
      </c>
      <c r="C1182" s="90">
        <v>2</v>
      </c>
      <c r="D1182" s="109" t="s">
        <v>234</v>
      </c>
      <c r="E1182" s="99" t="s">
        <v>234</v>
      </c>
      <c r="F1182" s="100" t="s">
        <v>2048</v>
      </c>
      <c r="G1182" s="105" t="s">
        <v>2049</v>
      </c>
    </row>
    <row r="1183" spans="1:7" ht="12" x14ac:dyDescent="0.25">
      <c r="A1183" s="90" t="s">
        <v>37</v>
      </c>
      <c r="B1183" s="90" t="s">
        <v>67</v>
      </c>
      <c r="C1183" s="90">
        <v>2</v>
      </c>
      <c r="D1183" s="109" t="s">
        <v>235</v>
      </c>
      <c r="E1183" s="99" t="s">
        <v>235</v>
      </c>
      <c r="F1183" s="100" t="s">
        <v>2050</v>
      </c>
      <c r="G1183" s="105" t="s">
        <v>2051</v>
      </c>
    </row>
    <row r="1184" spans="1:7" ht="12" x14ac:dyDescent="0.25">
      <c r="A1184" s="90" t="s">
        <v>37</v>
      </c>
      <c r="B1184" s="90" t="s">
        <v>67</v>
      </c>
      <c r="C1184" s="90">
        <v>2</v>
      </c>
      <c r="D1184" s="109" t="s">
        <v>236</v>
      </c>
      <c r="E1184" s="99" t="s">
        <v>236</v>
      </c>
      <c r="F1184" s="100" t="s">
        <v>2052</v>
      </c>
      <c r="G1184" s="105" t="s">
        <v>2053</v>
      </c>
    </row>
    <row r="1185" spans="1:7" ht="12" x14ac:dyDescent="0.25">
      <c r="A1185" s="90" t="s">
        <v>37</v>
      </c>
      <c r="B1185" s="90" t="s">
        <v>67</v>
      </c>
      <c r="C1185" s="90">
        <v>2</v>
      </c>
      <c r="D1185" s="109" t="s">
        <v>237</v>
      </c>
      <c r="E1185" s="99" t="s">
        <v>237</v>
      </c>
      <c r="F1185" s="100" t="s">
        <v>2054</v>
      </c>
      <c r="G1185" s="105" t="s">
        <v>2055</v>
      </c>
    </row>
    <row r="1186" spans="1:7" ht="12" x14ac:dyDescent="0.25">
      <c r="A1186" s="90" t="s">
        <v>37</v>
      </c>
      <c r="B1186" s="90" t="s">
        <v>67</v>
      </c>
      <c r="C1186" s="90">
        <v>2</v>
      </c>
      <c r="D1186" s="109" t="s">
        <v>2056</v>
      </c>
      <c r="E1186" s="99" t="s">
        <v>2056</v>
      </c>
      <c r="F1186" s="100" t="s">
        <v>2471</v>
      </c>
      <c r="G1186" s="105" t="s">
        <v>2527</v>
      </c>
    </row>
    <row r="1187" spans="1:7" ht="12" x14ac:dyDescent="0.25">
      <c r="A1187" s="90" t="s">
        <v>37</v>
      </c>
      <c r="B1187" s="90" t="s">
        <v>67</v>
      </c>
      <c r="C1187" s="90">
        <v>2</v>
      </c>
      <c r="D1187" s="109" t="s">
        <v>130</v>
      </c>
      <c r="E1187" s="99" t="s">
        <v>130</v>
      </c>
      <c r="F1187" s="100" t="s">
        <v>2468</v>
      </c>
      <c r="G1187" s="105" t="s">
        <v>2524</v>
      </c>
    </row>
    <row r="1188" spans="1:7" ht="12" x14ac:dyDescent="0.25">
      <c r="A1188" s="90" t="s">
        <v>37</v>
      </c>
      <c r="B1188" s="90" t="s">
        <v>67</v>
      </c>
      <c r="C1188" s="90">
        <v>2</v>
      </c>
      <c r="D1188" s="109" t="s">
        <v>238</v>
      </c>
      <c r="E1188" s="99" t="s">
        <v>238</v>
      </c>
      <c r="F1188" s="100" t="s">
        <v>2057</v>
      </c>
      <c r="G1188" s="105" t="s">
        <v>2058</v>
      </c>
    </row>
    <row r="1189" spans="1:7" ht="12" x14ac:dyDescent="0.25">
      <c r="A1189" s="90" t="s">
        <v>37</v>
      </c>
      <c r="B1189" s="90" t="s">
        <v>67</v>
      </c>
      <c r="C1189" s="90">
        <v>2</v>
      </c>
      <c r="D1189" s="109" t="s">
        <v>239</v>
      </c>
      <c r="E1189" s="99" t="s">
        <v>239</v>
      </c>
      <c r="F1189" s="100" t="s">
        <v>2059</v>
      </c>
      <c r="G1189" s="105" t="s">
        <v>2060</v>
      </c>
    </row>
    <row r="1190" spans="1:7" ht="12" x14ac:dyDescent="0.25">
      <c r="A1190" s="90" t="s">
        <v>37</v>
      </c>
      <c r="B1190" s="90" t="s">
        <v>67</v>
      </c>
      <c r="C1190" s="90">
        <v>2</v>
      </c>
      <c r="D1190" s="109" t="s">
        <v>240</v>
      </c>
      <c r="E1190" s="99" t="s">
        <v>240</v>
      </c>
      <c r="F1190" s="100" t="s">
        <v>2061</v>
      </c>
      <c r="G1190" s="105" t="s">
        <v>2062</v>
      </c>
    </row>
    <row r="1191" spans="1:7" ht="12" x14ac:dyDescent="0.25">
      <c r="A1191" s="90" t="s">
        <v>37</v>
      </c>
      <c r="B1191" s="90" t="s">
        <v>67</v>
      </c>
      <c r="C1191" s="90">
        <v>2</v>
      </c>
      <c r="D1191" s="109" t="s">
        <v>241</v>
      </c>
      <c r="E1191" s="99" t="s">
        <v>241</v>
      </c>
      <c r="F1191" s="100" t="s">
        <v>2063</v>
      </c>
      <c r="G1191" s="105" t="s">
        <v>2064</v>
      </c>
    </row>
    <row r="1192" spans="1:7" ht="12" x14ac:dyDescent="0.25">
      <c r="A1192" s="90" t="s">
        <v>37</v>
      </c>
      <c r="B1192" s="90" t="s">
        <v>67</v>
      </c>
      <c r="C1192" s="90">
        <v>2</v>
      </c>
      <c r="D1192" s="109" t="s">
        <v>242</v>
      </c>
      <c r="E1192" s="99" t="s">
        <v>242</v>
      </c>
      <c r="F1192" s="100" t="s">
        <v>2065</v>
      </c>
      <c r="G1192" s="105" t="s">
        <v>2066</v>
      </c>
    </row>
    <row r="1193" spans="1:7" ht="12" x14ac:dyDescent="0.25">
      <c r="A1193" s="90" t="s">
        <v>37</v>
      </c>
      <c r="B1193" s="90" t="s">
        <v>67</v>
      </c>
      <c r="C1193" s="90">
        <v>2</v>
      </c>
      <c r="D1193" s="109" t="s">
        <v>243</v>
      </c>
      <c r="E1193" s="99" t="s">
        <v>243</v>
      </c>
      <c r="F1193" s="100" t="s">
        <v>2067</v>
      </c>
      <c r="G1193" s="105" t="s">
        <v>2068</v>
      </c>
    </row>
    <row r="1194" spans="1:7" ht="12" x14ac:dyDescent="0.25">
      <c r="A1194" s="90" t="s">
        <v>37</v>
      </c>
      <c r="B1194" s="90" t="s">
        <v>67</v>
      </c>
      <c r="C1194" s="90">
        <v>2</v>
      </c>
      <c r="D1194" s="109" t="s">
        <v>2069</v>
      </c>
      <c r="E1194" s="99" t="s">
        <v>2069</v>
      </c>
      <c r="F1194" s="100" t="s">
        <v>2472</v>
      </c>
      <c r="G1194" s="105" t="s">
        <v>2528</v>
      </c>
    </row>
    <row r="1195" spans="1:7" ht="12" x14ac:dyDescent="0.25">
      <c r="A1195" s="90" t="s">
        <v>37</v>
      </c>
      <c r="B1195" s="90" t="s">
        <v>67</v>
      </c>
      <c r="C1195" s="90">
        <v>2</v>
      </c>
      <c r="D1195" s="109" t="s">
        <v>130</v>
      </c>
      <c r="E1195" s="99" t="s">
        <v>130</v>
      </c>
      <c r="F1195" s="100" t="s">
        <v>2468</v>
      </c>
      <c r="G1195" s="105" t="s">
        <v>2524</v>
      </c>
    </row>
    <row r="1196" spans="1:7" ht="12" x14ac:dyDescent="0.25">
      <c r="A1196" s="90" t="s">
        <v>37</v>
      </c>
      <c r="B1196" s="90" t="s">
        <v>67</v>
      </c>
      <c r="C1196" s="90">
        <v>2</v>
      </c>
      <c r="D1196" s="109" t="s">
        <v>337</v>
      </c>
      <c r="E1196" s="99" t="s">
        <v>337</v>
      </c>
      <c r="F1196" s="100" t="s">
        <v>2070</v>
      </c>
      <c r="G1196" s="105" t="s">
        <v>2071</v>
      </c>
    </row>
    <row r="1197" spans="1:7" ht="12" x14ac:dyDescent="0.25">
      <c r="A1197" s="90" t="s">
        <v>37</v>
      </c>
      <c r="B1197" s="90" t="s">
        <v>67</v>
      </c>
      <c r="C1197" s="90">
        <v>2</v>
      </c>
      <c r="D1197" s="109" t="s">
        <v>338</v>
      </c>
      <c r="E1197" s="99" t="s">
        <v>338</v>
      </c>
      <c r="F1197" s="100" t="s">
        <v>2072</v>
      </c>
      <c r="G1197" s="105" t="s">
        <v>2073</v>
      </c>
    </row>
    <row r="1198" spans="1:7" ht="12" x14ac:dyDescent="0.25">
      <c r="A1198" s="90" t="s">
        <v>37</v>
      </c>
      <c r="B1198" s="90" t="s">
        <v>67</v>
      </c>
      <c r="C1198" s="90">
        <v>2</v>
      </c>
      <c r="D1198" s="109" t="s">
        <v>339</v>
      </c>
      <c r="E1198" s="99" t="s">
        <v>339</v>
      </c>
      <c r="F1198" s="100" t="s">
        <v>2074</v>
      </c>
      <c r="G1198" s="105" t="s">
        <v>2075</v>
      </c>
    </row>
    <row r="1199" spans="1:7" ht="12" x14ac:dyDescent="0.25">
      <c r="A1199" s="90" t="s">
        <v>37</v>
      </c>
      <c r="B1199" s="90" t="s">
        <v>67</v>
      </c>
      <c r="C1199" s="90">
        <v>2</v>
      </c>
      <c r="D1199" s="109" t="s">
        <v>340</v>
      </c>
      <c r="E1199" s="99" t="s">
        <v>340</v>
      </c>
      <c r="F1199" s="100" t="s">
        <v>2076</v>
      </c>
      <c r="G1199" s="105" t="s">
        <v>2077</v>
      </c>
    </row>
    <row r="1200" spans="1:7" ht="12" x14ac:dyDescent="0.25">
      <c r="A1200" s="90" t="s">
        <v>37</v>
      </c>
      <c r="B1200" s="90" t="s">
        <v>67</v>
      </c>
      <c r="C1200" s="90">
        <v>2</v>
      </c>
      <c r="D1200" s="109" t="s">
        <v>341</v>
      </c>
      <c r="E1200" s="99" t="s">
        <v>341</v>
      </c>
      <c r="F1200" s="100" t="s">
        <v>2078</v>
      </c>
      <c r="G1200" s="107" t="s">
        <v>2079</v>
      </c>
    </row>
    <row r="1201" spans="1:7" ht="12" x14ac:dyDescent="0.25">
      <c r="A1201" s="90" t="s">
        <v>37</v>
      </c>
      <c r="B1201" s="90" t="s">
        <v>67</v>
      </c>
      <c r="C1201" s="90">
        <v>2</v>
      </c>
      <c r="D1201" s="109" t="s">
        <v>342</v>
      </c>
      <c r="E1201" s="99" t="s">
        <v>342</v>
      </c>
      <c r="F1201" s="100" t="s">
        <v>2080</v>
      </c>
      <c r="G1201" s="105" t="s">
        <v>2081</v>
      </c>
    </row>
    <row r="1202" spans="1:7" ht="12" x14ac:dyDescent="0.25">
      <c r="A1202" s="90" t="s">
        <v>37</v>
      </c>
      <c r="B1202" s="90" t="s">
        <v>67</v>
      </c>
      <c r="C1202" s="90">
        <v>2</v>
      </c>
      <c r="D1202" s="109" t="s">
        <v>2082</v>
      </c>
      <c r="E1202" s="99" t="s">
        <v>2082</v>
      </c>
      <c r="F1202" s="100" t="s">
        <v>2473</v>
      </c>
      <c r="G1202" s="105" t="s">
        <v>2529</v>
      </c>
    </row>
    <row r="1203" spans="1:7" ht="12" x14ac:dyDescent="0.25">
      <c r="A1203" s="90" t="s">
        <v>37</v>
      </c>
      <c r="B1203" s="90" t="s">
        <v>67</v>
      </c>
      <c r="C1203" s="90">
        <v>2</v>
      </c>
      <c r="D1203" s="109" t="s">
        <v>191</v>
      </c>
      <c r="E1203" s="99" t="s">
        <v>191</v>
      </c>
      <c r="F1203" s="100" t="s">
        <v>343</v>
      </c>
      <c r="G1203" s="105" t="s">
        <v>2083</v>
      </c>
    </row>
    <row r="1204" spans="1:7" ht="12" x14ac:dyDescent="0.25">
      <c r="A1204" s="90" t="s">
        <v>37</v>
      </c>
      <c r="B1204" s="90" t="s">
        <v>67</v>
      </c>
      <c r="C1204" s="90">
        <v>2</v>
      </c>
      <c r="D1204" s="109" t="s">
        <v>244</v>
      </c>
      <c r="E1204" s="99" t="s">
        <v>244</v>
      </c>
      <c r="F1204" s="100" t="s">
        <v>344</v>
      </c>
      <c r="G1204" s="105" t="s">
        <v>345</v>
      </c>
    </row>
    <row r="1205" spans="1:7" ht="12" x14ac:dyDescent="0.25">
      <c r="A1205" s="90" t="s">
        <v>37</v>
      </c>
      <c r="B1205" s="90" t="s">
        <v>67</v>
      </c>
      <c r="C1205" s="90">
        <v>2</v>
      </c>
      <c r="D1205" s="160" t="s">
        <v>2084</v>
      </c>
      <c r="E1205" s="161" t="s">
        <v>2084</v>
      </c>
      <c r="F1205" s="162" t="s">
        <v>2474</v>
      </c>
      <c r="G1205" s="163" t="s">
        <v>2530</v>
      </c>
    </row>
    <row r="1206" spans="1:7" ht="12" x14ac:dyDescent="0.25">
      <c r="A1206" s="90" t="s">
        <v>37</v>
      </c>
      <c r="B1206" s="90" t="s">
        <v>67</v>
      </c>
      <c r="C1206" s="90">
        <v>2</v>
      </c>
      <c r="D1206" s="109" t="s">
        <v>211</v>
      </c>
      <c r="E1206" s="99" t="s">
        <v>211</v>
      </c>
      <c r="F1206" s="100" t="s">
        <v>2085</v>
      </c>
      <c r="G1206" s="105" t="s">
        <v>349</v>
      </c>
    </row>
    <row r="1207" spans="1:7" ht="12" x14ac:dyDescent="0.25">
      <c r="A1207" s="90" t="s">
        <v>37</v>
      </c>
      <c r="B1207" s="90" t="s">
        <v>67</v>
      </c>
      <c r="C1207" s="90">
        <v>2</v>
      </c>
      <c r="D1207" s="109" t="s">
        <v>193</v>
      </c>
      <c r="E1207" s="99" t="s">
        <v>193</v>
      </c>
      <c r="F1207" s="100" t="s">
        <v>350</v>
      </c>
      <c r="G1207" s="105" t="s">
        <v>2086</v>
      </c>
    </row>
    <row r="1208" spans="1:7" ht="12" x14ac:dyDescent="0.25">
      <c r="A1208" s="90" t="s">
        <v>37</v>
      </c>
      <c r="B1208" s="90" t="s">
        <v>67</v>
      </c>
      <c r="C1208" s="90">
        <v>2</v>
      </c>
      <c r="D1208" s="109" t="s">
        <v>145</v>
      </c>
      <c r="E1208" s="99" t="s">
        <v>145</v>
      </c>
      <c r="F1208" s="100" t="s">
        <v>351</v>
      </c>
      <c r="G1208" s="105" t="s">
        <v>352</v>
      </c>
    </row>
    <row r="1209" spans="1:7" ht="360" x14ac:dyDescent="0.25">
      <c r="A1209" s="90" t="s">
        <v>37</v>
      </c>
      <c r="B1209" s="90" t="s">
        <v>67</v>
      </c>
      <c r="C1209" s="90">
        <v>3</v>
      </c>
      <c r="D1209" s="109" t="s">
        <v>2021</v>
      </c>
      <c r="E1209" s="99" t="s">
        <v>2021</v>
      </c>
      <c r="F1209" s="100" t="s">
        <v>2450</v>
      </c>
      <c r="G1209" s="105" t="s">
        <v>2451</v>
      </c>
    </row>
    <row r="1210" spans="1:7" ht="12" x14ac:dyDescent="0.25">
      <c r="A1210" s="90" t="s">
        <v>37</v>
      </c>
      <c r="B1210" s="90" t="s">
        <v>67</v>
      </c>
      <c r="C1210" s="90">
        <v>3</v>
      </c>
      <c r="D1210" s="109" t="s">
        <v>75</v>
      </c>
      <c r="E1210" s="99" t="s">
        <v>75</v>
      </c>
      <c r="F1210" s="100" t="s">
        <v>2022</v>
      </c>
      <c r="G1210" s="105" t="s">
        <v>2023</v>
      </c>
    </row>
    <row r="1211" spans="1:7" ht="12" x14ac:dyDescent="0.25">
      <c r="A1211" s="90" t="s">
        <v>37</v>
      </c>
      <c r="B1211" s="90" t="s">
        <v>67</v>
      </c>
      <c r="C1211" s="90">
        <v>3</v>
      </c>
      <c r="D1211" s="109" t="s">
        <v>76</v>
      </c>
      <c r="E1211" s="99" t="s">
        <v>76</v>
      </c>
      <c r="F1211" s="100" t="s">
        <v>2024</v>
      </c>
      <c r="G1211" s="105" t="s">
        <v>2025</v>
      </c>
    </row>
    <row r="1212" spans="1:7" ht="12" x14ac:dyDescent="0.25">
      <c r="A1212" s="90" t="s">
        <v>37</v>
      </c>
      <c r="B1212" s="90" t="s">
        <v>67</v>
      </c>
      <c r="C1212" s="90">
        <v>3</v>
      </c>
      <c r="D1212" s="109" t="s">
        <v>8</v>
      </c>
      <c r="E1212" s="99" t="s">
        <v>8</v>
      </c>
      <c r="F1212" s="100" t="s">
        <v>2026</v>
      </c>
      <c r="G1212" s="105" t="s">
        <v>2027</v>
      </c>
    </row>
    <row r="1213" spans="1:7" ht="12" x14ac:dyDescent="0.25">
      <c r="A1213" s="90" t="s">
        <v>37</v>
      </c>
      <c r="B1213" s="90" t="s">
        <v>67</v>
      </c>
      <c r="C1213" s="90">
        <v>3</v>
      </c>
      <c r="D1213" s="109" t="s">
        <v>225</v>
      </c>
      <c r="E1213" s="99" t="s">
        <v>225</v>
      </c>
      <c r="F1213" s="100" t="s">
        <v>335</v>
      </c>
      <c r="G1213" s="105" t="s">
        <v>336</v>
      </c>
    </row>
    <row r="1214" spans="1:7" ht="12" x14ac:dyDescent="0.25">
      <c r="A1214" s="90" t="s">
        <v>37</v>
      </c>
      <c r="B1214" s="90" t="s">
        <v>67</v>
      </c>
      <c r="C1214" s="90">
        <v>3</v>
      </c>
      <c r="D1214" s="109" t="s">
        <v>74</v>
      </c>
      <c r="E1214" s="99" t="s">
        <v>74</v>
      </c>
      <c r="F1214" s="100" t="s">
        <v>2028</v>
      </c>
      <c r="G1214" s="105" t="s">
        <v>327</v>
      </c>
    </row>
    <row r="1215" spans="1:7" ht="12" x14ac:dyDescent="0.25">
      <c r="A1215" s="90" t="s">
        <v>37</v>
      </c>
      <c r="B1215" s="90" t="s">
        <v>67</v>
      </c>
      <c r="C1215" s="90">
        <v>3</v>
      </c>
      <c r="D1215" s="109" t="s">
        <v>2030</v>
      </c>
      <c r="E1215" s="99" t="s">
        <v>2030</v>
      </c>
      <c r="F1215" s="100" t="s">
        <v>2467</v>
      </c>
      <c r="G1215" s="105" t="s">
        <v>2462</v>
      </c>
    </row>
    <row r="1216" spans="1:7" ht="12" x14ac:dyDescent="0.25">
      <c r="A1216" s="90" t="s">
        <v>37</v>
      </c>
      <c r="B1216" s="90" t="s">
        <v>67</v>
      </c>
      <c r="C1216" s="90">
        <v>3</v>
      </c>
      <c r="D1216" s="109" t="s">
        <v>64</v>
      </c>
      <c r="E1216" s="99" t="s">
        <v>64</v>
      </c>
      <c r="F1216" s="100" t="s">
        <v>2031</v>
      </c>
      <c r="G1216" s="105" t="s">
        <v>2087</v>
      </c>
    </row>
    <row r="1217" spans="1:7" ht="12" x14ac:dyDescent="0.25">
      <c r="A1217" s="90" t="s">
        <v>37</v>
      </c>
      <c r="B1217" s="90" t="s">
        <v>67</v>
      </c>
      <c r="C1217" s="90">
        <v>3</v>
      </c>
      <c r="D1217" s="109" t="s">
        <v>130</v>
      </c>
      <c r="E1217" s="99" t="s">
        <v>130</v>
      </c>
      <c r="F1217" s="100" t="s">
        <v>2468</v>
      </c>
      <c r="G1217" s="105" t="s">
        <v>2524</v>
      </c>
    </row>
    <row r="1218" spans="1:7" ht="12" x14ac:dyDescent="0.25">
      <c r="A1218" s="90" t="s">
        <v>37</v>
      </c>
      <c r="B1218" s="90" t="s">
        <v>67</v>
      </c>
      <c r="C1218" s="90">
        <v>3</v>
      </c>
      <c r="D1218" s="109" t="s">
        <v>226</v>
      </c>
      <c r="E1218" s="99" t="s">
        <v>226</v>
      </c>
      <c r="F1218" s="100" t="s">
        <v>2088</v>
      </c>
      <c r="G1218" s="105" t="s">
        <v>2525</v>
      </c>
    </row>
    <row r="1219" spans="1:7" ht="12" x14ac:dyDescent="0.25">
      <c r="A1219" s="90" t="s">
        <v>37</v>
      </c>
      <c r="B1219" s="90" t="s">
        <v>67</v>
      </c>
      <c r="C1219" s="90">
        <v>3</v>
      </c>
      <c r="D1219" s="109" t="s">
        <v>227</v>
      </c>
      <c r="E1219" s="99" t="s">
        <v>227</v>
      </c>
      <c r="F1219" s="100" t="s">
        <v>2033</v>
      </c>
      <c r="G1219" s="105" t="s">
        <v>2034</v>
      </c>
    </row>
    <row r="1220" spans="1:7" ht="12" x14ac:dyDescent="0.25">
      <c r="A1220" s="90" t="s">
        <v>37</v>
      </c>
      <c r="B1220" s="90" t="s">
        <v>67</v>
      </c>
      <c r="C1220" s="90">
        <v>3</v>
      </c>
      <c r="D1220" s="109" t="s">
        <v>228</v>
      </c>
      <c r="E1220" s="99" t="s">
        <v>228</v>
      </c>
      <c r="F1220" s="100" t="s">
        <v>2035</v>
      </c>
      <c r="G1220" s="105" t="s">
        <v>2036</v>
      </c>
    </row>
    <row r="1221" spans="1:7" ht="12" x14ac:dyDescent="0.25">
      <c r="A1221" s="90" t="s">
        <v>37</v>
      </c>
      <c r="B1221" s="90" t="s">
        <v>67</v>
      </c>
      <c r="C1221" s="90">
        <v>3</v>
      </c>
      <c r="D1221" s="109" t="s">
        <v>229</v>
      </c>
      <c r="E1221" s="99" t="s">
        <v>229</v>
      </c>
      <c r="F1221" s="100" t="s">
        <v>2037</v>
      </c>
      <c r="G1221" s="105" t="s">
        <v>2038</v>
      </c>
    </row>
    <row r="1222" spans="1:7" ht="12" x14ac:dyDescent="0.25">
      <c r="A1222" s="90" t="s">
        <v>37</v>
      </c>
      <c r="B1222" s="90" t="s">
        <v>67</v>
      </c>
      <c r="C1222" s="90">
        <v>3</v>
      </c>
      <c r="D1222" s="109" t="s">
        <v>230</v>
      </c>
      <c r="E1222" s="99" t="s">
        <v>230</v>
      </c>
      <c r="F1222" s="100" t="s">
        <v>2039</v>
      </c>
      <c r="G1222" s="105" t="s">
        <v>2040</v>
      </c>
    </row>
    <row r="1223" spans="1:7" ht="12" x14ac:dyDescent="0.25">
      <c r="A1223" s="90" t="s">
        <v>37</v>
      </c>
      <c r="B1223" s="90" t="s">
        <v>67</v>
      </c>
      <c r="C1223" s="90">
        <v>3</v>
      </c>
      <c r="D1223" s="109" t="s">
        <v>231</v>
      </c>
      <c r="E1223" s="99" t="s">
        <v>231</v>
      </c>
      <c r="F1223" s="100" t="s">
        <v>2041</v>
      </c>
      <c r="G1223" s="105" t="s">
        <v>2042</v>
      </c>
    </row>
    <row r="1224" spans="1:7" ht="12" x14ac:dyDescent="0.25">
      <c r="A1224" s="90" t="s">
        <v>37</v>
      </c>
      <c r="B1224" s="90" t="s">
        <v>67</v>
      </c>
      <c r="C1224" s="90">
        <v>3</v>
      </c>
      <c r="D1224" s="109" t="s">
        <v>2043</v>
      </c>
      <c r="E1224" s="99" t="s">
        <v>2043</v>
      </c>
      <c r="F1224" s="100" t="s">
        <v>2470</v>
      </c>
      <c r="G1224" s="105" t="s">
        <v>2526</v>
      </c>
    </row>
    <row r="1225" spans="1:7" ht="12" x14ac:dyDescent="0.25">
      <c r="A1225" s="90" t="s">
        <v>37</v>
      </c>
      <c r="B1225" s="90" t="s">
        <v>67</v>
      </c>
      <c r="C1225" s="90">
        <v>3</v>
      </c>
      <c r="D1225" s="109" t="s">
        <v>130</v>
      </c>
      <c r="E1225" s="99" t="s">
        <v>130</v>
      </c>
      <c r="F1225" s="100" t="s">
        <v>2468</v>
      </c>
      <c r="G1225" s="105" t="s">
        <v>2524</v>
      </c>
    </row>
    <row r="1226" spans="1:7" ht="12" x14ac:dyDescent="0.25">
      <c r="A1226" s="90" t="s">
        <v>37</v>
      </c>
      <c r="B1226" s="90" t="s">
        <v>67</v>
      </c>
      <c r="C1226" s="90">
        <v>3</v>
      </c>
      <c r="D1226" s="109" t="s">
        <v>232</v>
      </c>
      <c r="E1226" s="99" t="s">
        <v>232</v>
      </c>
      <c r="F1226" s="100" t="s">
        <v>2044</v>
      </c>
      <c r="G1226" s="105" t="s">
        <v>2045</v>
      </c>
    </row>
    <row r="1227" spans="1:7" ht="12" x14ac:dyDescent="0.25">
      <c r="A1227" s="90" t="s">
        <v>37</v>
      </c>
      <c r="B1227" s="90" t="s">
        <v>67</v>
      </c>
      <c r="C1227" s="90">
        <v>3</v>
      </c>
      <c r="D1227" s="109" t="s">
        <v>233</v>
      </c>
      <c r="E1227" s="99" t="s">
        <v>233</v>
      </c>
      <c r="F1227" s="100" t="s">
        <v>2046</v>
      </c>
      <c r="G1227" s="105" t="s">
        <v>2047</v>
      </c>
    </row>
    <row r="1228" spans="1:7" ht="12" x14ac:dyDescent="0.25">
      <c r="A1228" s="90" t="s">
        <v>37</v>
      </c>
      <c r="B1228" s="90" t="s">
        <v>67</v>
      </c>
      <c r="C1228" s="90">
        <v>3</v>
      </c>
      <c r="D1228" s="109" t="s">
        <v>234</v>
      </c>
      <c r="E1228" s="99" t="s">
        <v>234</v>
      </c>
      <c r="F1228" s="100" t="s">
        <v>2048</v>
      </c>
      <c r="G1228" s="105" t="s">
        <v>2049</v>
      </c>
    </row>
    <row r="1229" spans="1:7" ht="12" x14ac:dyDescent="0.25">
      <c r="A1229" s="90" t="s">
        <v>37</v>
      </c>
      <c r="B1229" s="90" t="s">
        <v>67</v>
      </c>
      <c r="C1229" s="90">
        <v>3</v>
      </c>
      <c r="D1229" s="109" t="s">
        <v>235</v>
      </c>
      <c r="E1229" s="99" t="s">
        <v>235</v>
      </c>
      <c r="F1229" s="100" t="s">
        <v>2050</v>
      </c>
      <c r="G1229" s="105" t="s">
        <v>2051</v>
      </c>
    </row>
    <row r="1230" spans="1:7" ht="12" x14ac:dyDescent="0.25">
      <c r="A1230" s="90" t="s">
        <v>37</v>
      </c>
      <c r="B1230" s="90" t="s">
        <v>67</v>
      </c>
      <c r="C1230" s="90">
        <v>3</v>
      </c>
      <c r="D1230" s="109" t="s">
        <v>236</v>
      </c>
      <c r="E1230" s="99" t="s">
        <v>236</v>
      </c>
      <c r="F1230" s="100" t="s">
        <v>2052</v>
      </c>
      <c r="G1230" s="105" t="s">
        <v>2053</v>
      </c>
    </row>
    <row r="1231" spans="1:7" ht="12" x14ac:dyDescent="0.25">
      <c r="A1231" s="90" t="s">
        <v>37</v>
      </c>
      <c r="B1231" s="90" t="s">
        <v>67</v>
      </c>
      <c r="C1231" s="90">
        <v>3</v>
      </c>
      <c r="D1231" s="109" t="s">
        <v>237</v>
      </c>
      <c r="E1231" s="99" t="s">
        <v>237</v>
      </c>
      <c r="F1231" s="100" t="s">
        <v>2054</v>
      </c>
      <c r="G1231" s="105" t="s">
        <v>2055</v>
      </c>
    </row>
    <row r="1232" spans="1:7" ht="12" x14ac:dyDescent="0.25">
      <c r="A1232" s="90" t="s">
        <v>37</v>
      </c>
      <c r="B1232" s="90" t="s">
        <v>67</v>
      </c>
      <c r="C1232" s="90">
        <v>3</v>
      </c>
      <c r="D1232" s="109" t="s">
        <v>2056</v>
      </c>
      <c r="E1232" s="99" t="s">
        <v>2056</v>
      </c>
      <c r="F1232" s="100" t="s">
        <v>2471</v>
      </c>
      <c r="G1232" s="105" t="s">
        <v>2527</v>
      </c>
    </row>
    <row r="1233" spans="1:7" ht="12" x14ac:dyDescent="0.25">
      <c r="A1233" s="90" t="s">
        <v>37</v>
      </c>
      <c r="B1233" s="90" t="s">
        <v>67</v>
      </c>
      <c r="C1233" s="90">
        <v>3</v>
      </c>
      <c r="D1233" s="109" t="s">
        <v>130</v>
      </c>
      <c r="E1233" s="99" t="s">
        <v>130</v>
      </c>
      <c r="F1233" s="100" t="s">
        <v>2468</v>
      </c>
      <c r="G1233" s="105" t="s">
        <v>2524</v>
      </c>
    </row>
    <row r="1234" spans="1:7" ht="12" x14ac:dyDescent="0.25">
      <c r="A1234" s="90" t="s">
        <v>37</v>
      </c>
      <c r="B1234" s="90" t="s">
        <v>67</v>
      </c>
      <c r="C1234" s="90">
        <v>3</v>
      </c>
      <c r="D1234" s="109" t="s">
        <v>238</v>
      </c>
      <c r="E1234" s="99" t="s">
        <v>238</v>
      </c>
      <c r="F1234" s="100" t="s">
        <v>2057</v>
      </c>
      <c r="G1234" s="105" t="s">
        <v>2058</v>
      </c>
    </row>
    <row r="1235" spans="1:7" ht="12" x14ac:dyDescent="0.25">
      <c r="A1235" s="90" t="s">
        <v>37</v>
      </c>
      <c r="B1235" s="90" t="s">
        <v>67</v>
      </c>
      <c r="C1235" s="90">
        <v>3</v>
      </c>
      <c r="D1235" s="109" t="s">
        <v>239</v>
      </c>
      <c r="E1235" s="99" t="s">
        <v>239</v>
      </c>
      <c r="F1235" s="100" t="s">
        <v>2059</v>
      </c>
      <c r="G1235" s="105" t="s">
        <v>2060</v>
      </c>
    </row>
    <row r="1236" spans="1:7" ht="12" x14ac:dyDescent="0.25">
      <c r="A1236" s="90" t="s">
        <v>37</v>
      </c>
      <c r="B1236" s="90" t="s">
        <v>67</v>
      </c>
      <c r="C1236" s="90">
        <v>3</v>
      </c>
      <c r="D1236" s="109" t="s">
        <v>240</v>
      </c>
      <c r="E1236" s="99" t="s">
        <v>240</v>
      </c>
      <c r="F1236" s="102" t="s">
        <v>2061</v>
      </c>
      <c r="G1236" s="107" t="s">
        <v>2062</v>
      </c>
    </row>
    <row r="1237" spans="1:7" ht="12" x14ac:dyDescent="0.25">
      <c r="A1237" s="90" t="s">
        <v>37</v>
      </c>
      <c r="B1237" s="90" t="s">
        <v>67</v>
      </c>
      <c r="C1237" s="90">
        <v>3</v>
      </c>
      <c r="D1237" s="109" t="s">
        <v>241</v>
      </c>
      <c r="E1237" s="99" t="s">
        <v>241</v>
      </c>
      <c r="F1237" s="100" t="s">
        <v>2063</v>
      </c>
      <c r="G1237" s="105" t="s">
        <v>2064</v>
      </c>
    </row>
    <row r="1238" spans="1:7" ht="12" x14ac:dyDescent="0.25">
      <c r="A1238" s="90" t="s">
        <v>37</v>
      </c>
      <c r="B1238" s="90" t="s">
        <v>67</v>
      </c>
      <c r="C1238" s="90">
        <v>3</v>
      </c>
      <c r="D1238" s="109" t="s">
        <v>242</v>
      </c>
      <c r="E1238" s="99" t="s">
        <v>242</v>
      </c>
      <c r="F1238" s="100" t="s">
        <v>2065</v>
      </c>
      <c r="G1238" s="105" t="s">
        <v>2066</v>
      </c>
    </row>
    <row r="1239" spans="1:7" ht="12" x14ac:dyDescent="0.25">
      <c r="A1239" s="90" t="s">
        <v>37</v>
      </c>
      <c r="B1239" s="90" t="s">
        <v>67</v>
      </c>
      <c r="C1239" s="90">
        <v>3</v>
      </c>
      <c r="D1239" s="109" t="s">
        <v>243</v>
      </c>
      <c r="E1239" s="99" t="s">
        <v>243</v>
      </c>
      <c r="F1239" s="100" t="s">
        <v>2067</v>
      </c>
      <c r="G1239" s="105" t="s">
        <v>2068</v>
      </c>
    </row>
    <row r="1240" spans="1:7" ht="12" x14ac:dyDescent="0.25">
      <c r="A1240" s="90" t="s">
        <v>37</v>
      </c>
      <c r="B1240" s="90" t="s">
        <v>67</v>
      </c>
      <c r="C1240" s="90">
        <v>3</v>
      </c>
      <c r="D1240" s="109" t="s">
        <v>2069</v>
      </c>
      <c r="E1240" s="99" t="s">
        <v>2069</v>
      </c>
      <c r="F1240" s="100" t="s">
        <v>2472</v>
      </c>
      <c r="G1240" s="105" t="s">
        <v>2528</v>
      </c>
    </row>
    <row r="1241" spans="1:7" ht="12" x14ac:dyDescent="0.25">
      <c r="A1241" s="90" t="s">
        <v>37</v>
      </c>
      <c r="B1241" s="90" t="s">
        <v>67</v>
      </c>
      <c r="C1241" s="90">
        <v>3</v>
      </c>
      <c r="D1241" s="160" t="s">
        <v>130</v>
      </c>
      <c r="E1241" s="161" t="s">
        <v>130</v>
      </c>
      <c r="F1241" s="162" t="s">
        <v>2468</v>
      </c>
      <c r="G1241" s="163" t="s">
        <v>2524</v>
      </c>
    </row>
    <row r="1242" spans="1:7" ht="12" x14ac:dyDescent="0.25">
      <c r="A1242" s="90" t="s">
        <v>37</v>
      </c>
      <c r="B1242" s="90" t="s">
        <v>67</v>
      </c>
      <c r="C1242" s="90">
        <v>3</v>
      </c>
      <c r="D1242" s="109" t="s">
        <v>337</v>
      </c>
      <c r="E1242" s="99" t="s">
        <v>337</v>
      </c>
      <c r="F1242" s="100" t="s">
        <v>2070</v>
      </c>
      <c r="G1242" s="105" t="s">
        <v>2071</v>
      </c>
    </row>
    <row r="1243" spans="1:7" ht="12" x14ac:dyDescent="0.25">
      <c r="A1243" s="90" t="s">
        <v>37</v>
      </c>
      <c r="B1243" s="90" t="s">
        <v>67</v>
      </c>
      <c r="C1243" s="90">
        <v>3</v>
      </c>
      <c r="D1243" s="109" t="s">
        <v>338</v>
      </c>
      <c r="E1243" s="99" t="s">
        <v>338</v>
      </c>
      <c r="F1243" s="100" t="s">
        <v>2072</v>
      </c>
      <c r="G1243" s="105" t="s">
        <v>2073</v>
      </c>
    </row>
    <row r="1244" spans="1:7" ht="12" x14ac:dyDescent="0.25">
      <c r="A1244" s="90" t="s">
        <v>37</v>
      </c>
      <c r="B1244" s="90" t="s">
        <v>67</v>
      </c>
      <c r="C1244" s="90">
        <v>3</v>
      </c>
      <c r="D1244" s="109" t="s">
        <v>339</v>
      </c>
      <c r="E1244" s="99" t="s">
        <v>339</v>
      </c>
      <c r="F1244" s="100" t="s">
        <v>2074</v>
      </c>
      <c r="G1244" s="105" t="s">
        <v>2075</v>
      </c>
    </row>
    <row r="1245" spans="1:7" ht="12" x14ac:dyDescent="0.25">
      <c r="A1245" s="90" t="s">
        <v>37</v>
      </c>
      <c r="B1245" s="90" t="s">
        <v>67</v>
      </c>
      <c r="C1245" s="90">
        <v>3</v>
      </c>
      <c r="D1245" s="109" t="s">
        <v>340</v>
      </c>
      <c r="E1245" s="99" t="s">
        <v>340</v>
      </c>
      <c r="F1245" s="100" t="s">
        <v>2076</v>
      </c>
      <c r="G1245" s="105" t="s">
        <v>2077</v>
      </c>
    </row>
    <row r="1246" spans="1:7" ht="12" x14ac:dyDescent="0.25">
      <c r="A1246" s="90" t="s">
        <v>37</v>
      </c>
      <c r="B1246" s="90" t="s">
        <v>67</v>
      </c>
      <c r="C1246" s="90">
        <v>3</v>
      </c>
      <c r="D1246" s="109" t="s">
        <v>341</v>
      </c>
      <c r="E1246" s="99" t="s">
        <v>341</v>
      </c>
      <c r="F1246" s="100" t="s">
        <v>2078</v>
      </c>
      <c r="G1246" s="105" t="s">
        <v>2079</v>
      </c>
    </row>
    <row r="1247" spans="1:7" ht="12" x14ac:dyDescent="0.25">
      <c r="A1247" s="90" t="s">
        <v>37</v>
      </c>
      <c r="B1247" s="90" t="s">
        <v>67</v>
      </c>
      <c r="C1247" s="90">
        <v>3</v>
      </c>
      <c r="D1247" s="109" t="s">
        <v>342</v>
      </c>
      <c r="E1247" s="99" t="s">
        <v>342</v>
      </c>
      <c r="F1247" s="100" t="s">
        <v>2080</v>
      </c>
      <c r="G1247" s="105" t="s">
        <v>2081</v>
      </c>
    </row>
    <row r="1248" spans="1:7" ht="12" x14ac:dyDescent="0.25">
      <c r="A1248" s="90" t="s">
        <v>37</v>
      </c>
      <c r="B1248" s="90" t="s">
        <v>67</v>
      </c>
      <c r="C1248" s="90">
        <v>3</v>
      </c>
      <c r="D1248" s="109" t="s">
        <v>2082</v>
      </c>
      <c r="E1248" s="99" t="s">
        <v>2082</v>
      </c>
      <c r="F1248" s="100" t="s">
        <v>2473</v>
      </c>
      <c r="G1248" s="105" t="s">
        <v>2529</v>
      </c>
    </row>
    <row r="1249" spans="1:7" ht="12" x14ac:dyDescent="0.25">
      <c r="A1249" s="90" t="s">
        <v>37</v>
      </c>
      <c r="B1249" s="90" t="s">
        <v>67</v>
      </c>
      <c r="C1249" s="90">
        <v>3</v>
      </c>
      <c r="D1249" s="109" t="s">
        <v>191</v>
      </c>
      <c r="E1249" s="99" t="s">
        <v>191</v>
      </c>
      <c r="F1249" s="100" t="s">
        <v>343</v>
      </c>
      <c r="G1249" s="105" t="s">
        <v>2083</v>
      </c>
    </row>
    <row r="1250" spans="1:7" ht="12" x14ac:dyDescent="0.25">
      <c r="A1250" s="90" t="s">
        <v>37</v>
      </c>
      <c r="B1250" s="90" t="s">
        <v>67</v>
      </c>
      <c r="C1250" s="90">
        <v>3</v>
      </c>
      <c r="D1250" s="109" t="s">
        <v>244</v>
      </c>
      <c r="E1250" s="99" t="s">
        <v>244</v>
      </c>
      <c r="F1250" s="100" t="s">
        <v>344</v>
      </c>
      <c r="G1250" s="105" t="s">
        <v>345</v>
      </c>
    </row>
    <row r="1251" spans="1:7" ht="12" x14ac:dyDescent="0.25">
      <c r="A1251" s="90" t="s">
        <v>37</v>
      </c>
      <c r="B1251" s="90" t="s">
        <v>67</v>
      </c>
      <c r="C1251" s="90">
        <v>3</v>
      </c>
      <c r="D1251" s="109" t="s">
        <v>2084</v>
      </c>
      <c r="E1251" s="99" t="s">
        <v>2084</v>
      </c>
      <c r="F1251" s="100" t="s">
        <v>2474</v>
      </c>
      <c r="G1251" s="105" t="s">
        <v>2530</v>
      </c>
    </row>
    <row r="1252" spans="1:7" ht="12" x14ac:dyDescent="0.25">
      <c r="A1252" s="90" t="s">
        <v>37</v>
      </c>
      <c r="B1252" s="90" t="s">
        <v>67</v>
      </c>
      <c r="C1252" s="90">
        <v>3</v>
      </c>
      <c r="D1252" s="109" t="s">
        <v>211</v>
      </c>
      <c r="E1252" s="99" t="s">
        <v>211</v>
      </c>
      <c r="F1252" s="100" t="s">
        <v>2085</v>
      </c>
      <c r="G1252" s="105" t="s">
        <v>349</v>
      </c>
    </row>
    <row r="1253" spans="1:7" ht="12" x14ac:dyDescent="0.25">
      <c r="A1253" s="90" t="s">
        <v>37</v>
      </c>
      <c r="B1253" s="90" t="s">
        <v>67</v>
      </c>
      <c r="C1253" s="90">
        <v>3</v>
      </c>
      <c r="D1253" s="109" t="s">
        <v>193</v>
      </c>
      <c r="E1253" s="99" t="s">
        <v>193</v>
      </c>
      <c r="F1253" s="100" t="s">
        <v>350</v>
      </c>
      <c r="G1253" s="105" t="s">
        <v>2086</v>
      </c>
    </row>
    <row r="1254" spans="1:7" ht="12" x14ac:dyDescent="0.25">
      <c r="A1254" s="90" t="s">
        <v>37</v>
      </c>
      <c r="B1254" s="90" t="s">
        <v>67</v>
      </c>
      <c r="C1254" s="90">
        <v>3</v>
      </c>
      <c r="D1254" s="109" t="s">
        <v>145</v>
      </c>
      <c r="E1254" s="99" t="s">
        <v>145</v>
      </c>
      <c r="F1254" s="100" t="s">
        <v>351</v>
      </c>
      <c r="G1254" s="105" t="s">
        <v>352</v>
      </c>
    </row>
    <row r="1255" spans="1:7" ht="360" x14ac:dyDescent="0.25">
      <c r="A1255" s="90" t="s">
        <v>37</v>
      </c>
      <c r="B1255" s="90" t="s">
        <v>67</v>
      </c>
      <c r="C1255" s="90">
        <v>4</v>
      </c>
      <c r="D1255" s="109" t="s">
        <v>2021</v>
      </c>
      <c r="E1255" s="99" t="s">
        <v>2021</v>
      </c>
      <c r="F1255" s="100" t="s">
        <v>2450</v>
      </c>
      <c r="G1255" s="105" t="s">
        <v>2451</v>
      </c>
    </row>
    <row r="1256" spans="1:7" ht="12" x14ac:dyDescent="0.25">
      <c r="A1256" s="90" t="s">
        <v>37</v>
      </c>
      <c r="B1256" s="90" t="s">
        <v>67</v>
      </c>
      <c r="C1256" s="90">
        <v>4</v>
      </c>
      <c r="D1256" s="109" t="s">
        <v>75</v>
      </c>
      <c r="E1256" s="99" t="s">
        <v>75</v>
      </c>
      <c r="F1256" s="100" t="s">
        <v>2022</v>
      </c>
      <c r="G1256" s="105" t="s">
        <v>2023</v>
      </c>
    </row>
    <row r="1257" spans="1:7" ht="12" x14ac:dyDescent="0.25">
      <c r="A1257" s="90" t="s">
        <v>37</v>
      </c>
      <c r="B1257" s="90" t="s">
        <v>67</v>
      </c>
      <c r="C1257" s="90">
        <v>4</v>
      </c>
      <c r="D1257" s="109" t="s">
        <v>76</v>
      </c>
      <c r="E1257" s="99" t="s">
        <v>76</v>
      </c>
      <c r="F1257" s="100" t="s">
        <v>2024</v>
      </c>
      <c r="G1257" s="105" t="s">
        <v>2025</v>
      </c>
    </row>
    <row r="1258" spans="1:7" ht="12" x14ac:dyDescent="0.25">
      <c r="A1258" s="90" t="s">
        <v>37</v>
      </c>
      <c r="B1258" s="90" t="s">
        <v>67</v>
      </c>
      <c r="C1258" s="90">
        <v>4</v>
      </c>
      <c r="D1258" s="109" t="s">
        <v>8</v>
      </c>
      <c r="E1258" s="99" t="s">
        <v>8</v>
      </c>
      <c r="F1258" s="100" t="s">
        <v>2026</v>
      </c>
      <c r="G1258" s="105" t="s">
        <v>2027</v>
      </c>
    </row>
    <row r="1259" spans="1:7" ht="12" x14ac:dyDescent="0.25">
      <c r="A1259" s="90" t="s">
        <v>37</v>
      </c>
      <c r="B1259" s="90" t="s">
        <v>67</v>
      </c>
      <c r="C1259" s="90">
        <v>4</v>
      </c>
      <c r="D1259" s="109" t="s">
        <v>225</v>
      </c>
      <c r="E1259" s="99" t="s">
        <v>225</v>
      </c>
      <c r="F1259" s="100" t="s">
        <v>335</v>
      </c>
      <c r="G1259" s="105" t="s">
        <v>336</v>
      </c>
    </row>
    <row r="1260" spans="1:7" ht="12" x14ac:dyDescent="0.25">
      <c r="A1260" s="90" t="s">
        <v>37</v>
      </c>
      <c r="B1260" s="90" t="s">
        <v>67</v>
      </c>
      <c r="C1260" s="90">
        <v>4</v>
      </c>
      <c r="D1260" s="109" t="s">
        <v>74</v>
      </c>
      <c r="E1260" s="99" t="s">
        <v>74</v>
      </c>
      <c r="F1260" s="100" t="s">
        <v>2028</v>
      </c>
      <c r="G1260" s="105" t="s">
        <v>327</v>
      </c>
    </row>
    <row r="1261" spans="1:7" ht="12" x14ac:dyDescent="0.25">
      <c r="A1261" s="90" t="s">
        <v>37</v>
      </c>
      <c r="B1261" s="90" t="s">
        <v>67</v>
      </c>
      <c r="C1261" s="90">
        <v>4</v>
      </c>
      <c r="D1261" s="109" t="s">
        <v>2030</v>
      </c>
      <c r="E1261" s="99" t="s">
        <v>2030</v>
      </c>
      <c r="F1261" s="100" t="s">
        <v>2467</v>
      </c>
      <c r="G1261" s="105" t="s">
        <v>2462</v>
      </c>
    </row>
    <row r="1262" spans="1:7" ht="12" x14ac:dyDescent="0.25">
      <c r="A1262" s="90" t="s">
        <v>37</v>
      </c>
      <c r="B1262" s="90" t="s">
        <v>67</v>
      </c>
      <c r="C1262" s="90">
        <v>4</v>
      </c>
      <c r="D1262" s="109" t="s">
        <v>64</v>
      </c>
      <c r="E1262" s="99" t="s">
        <v>64</v>
      </c>
      <c r="F1262" s="100" t="s">
        <v>2031</v>
      </c>
      <c r="G1262" s="105" t="s">
        <v>2087</v>
      </c>
    </row>
    <row r="1263" spans="1:7" ht="12" x14ac:dyDescent="0.25">
      <c r="A1263" s="90" t="s">
        <v>37</v>
      </c>
      <c r="B1263" s="90" t="s">
        <v>67</v>
      </c>
      <c r="C1263" s="90">
        <v>4</v>
      </c>
      <c r="D1263" s="109" t="s">
        <v>130</v>
      </c>
      <c r="E1263" s="99" t="s">
        <v>130</v>
      </c>
      <c r="F1263" s="100" t="s">
        <v>2468</v>
      </c>
      <c r="G1263" s="105" t="s">
        <v>2524</v>
      </c>
    </row>
    <row r="1264" spans="1:7" ht="12" x14ac:dyDescent="0.25">
      <c r="A1264" s="90" t="s">
        <v>37</v>
      </c>
      <c r="B1264" s="90" t="s">
        <v>67</v>
      </c>
      <c r="C1264" s="90">
        <v>4</v>
      </c>
      <c r="D1264" s="109" t="s">
        <v>226</v>
      </c>
      <c r="E1264" s="99" t="s">
        <v>226</v>
      </c>
      <c r="F1264" s="100" t="s">
        <v>2088</v>
      </c>
      <c r="G1264" s="105" t="s">
        <v>2525</v>
      </c>
    </row>
    <row r="1265" spans="1:7" ht="12" x14ac:dyDescent="0.25">
      <c r="A1265" s="90" t="s">
        <v>37</v>
      </c>
      <c r="B1265" s="90" t="s">
        <v>67</v>
      </c>
      <c r="C1265" s="90">
        <v>4</v>
      </c>
      <c r="D1265" s="109" t="s">
        <v>227</v>
      </c>
      <c r="E1265" s="99" t="s">
        <v>227</v>
      </c>
      <c r="F1265" s="100" t="s">
        <v>2033</v>
      </c>
      <c r="G1265" s="105" t="s">
        <v>2034</v>
      </c>
    </row>
    <row r="1266" spans="1:7" ht="12" x14ac:dyDescent="0.25">
      <c r="A1266" s="90" t="s">
        <v>37</v>
      </c>
      <c r="B1266" s="90" t="s">
        <v>67</v>
      </c>
      <c r="C1266" s="90">
        <v>4</v>
      </c>
      <c r="D1266" s="109" t="s">
        <v>228</v>
      </c>
      <c r="E1266" s="99" t="s">
        <v>228</v>
      </c>
      <c r="F1266" s="100" t="s">
        <v>2035</v>
      </c>
      <c r="G1266" s="105" t="s">
        <v>2036</v>
      </c>
    </row>
    <row r="1267" spans="1:7" ht="12" x14ac:dyDescent="0.25">
      <c r="A1267" s="90" t="s">
        <v>37</v>
      </c>
      <c r="B1267" s="90" t="s">
        <v>67</v>
      </c>
      <c r="C1267" s="90">
        <v>4</v>
      </c>
      <c r="D1267" s="109" t="s">
        <v>229</v>
      </c>
      <c r="E1267" s="99" t="s">
        <v>229</v>
      </c>
      <c r="F1267" s="100" t="s">
        <v>2037</v>
      </c>
      <c r="G1267" s="105" t="s">
        <v>2038</v>
      </c>
    </row>
    <row r="1268" spans="1:7" ht="12" x14ac:dyDescent="0.25">
      <c r="A1268" s="90" t="s">
        <v>37</v>
      </c>
      <c r="B1268" s="90" t="s">
        <v>67</v>
      </c>
      <c r="C1268" s="90">
        <v>4</v>
      </c>
      <c r="D1268" s="109" t="s">
        <v>230</v>
      </c>
      <c r="E1268" s="99" t="s">
        <v>230</v>
      </c>
      <c r="F1268" s="100" t="s">
        <v>2039</v>
      </c>
      <c r="G1268" s="105" t="s">
        <v>2040</v>
      </c>
    </row>
    <row r="1269" spans="1:7" ht="12" x14ac:dyDescent="0.25">
      <c r="A1269" s="90" t="s">
        <v>37</v>
      </c>
      <c r="B1269" s="90" t="s">
        <v>67</v>
      </c>
      <c r="C1269" s="90">
        <v>4</v>
      </c>
      <c r="D1269" s="109" t="s">
        <v>231</v>
      </c>
      <c r="E1269" s="99" t="s">
        <v>231</v>
      </c>
      <c r="F1269" s="100" t="s">
        <v>2041</v>
      </c>
      <c r="G1269" s="105" t="s">
        <v>2042</v>
      </c>
    </row>
    <row r="1270" spans="1:7" ht="12" x14ac:dyDescent="0.25">
      <c r="A1270" s="90" t="s">
        <v>37</v>
      </c>
      <c r="B1270" s="90" t="s">
        <v>67</v>
      </c>
      <c r="C1270" s="90">
        <v>4</v>
      </c>
      <c r="D1270" s="109" t="s">
        <v>2043</v>
      </c>
      <c r="E1270" s="99" t="s">
        <v>2043</v>
      </c>
      <c r="F1270" s="100" t="s">
        <v>2470</v>
      </c>
      <c r="G1270" s="105" t="s">
        <v>2526</v>
      </c>
    </row>
    <row r="1271" spans="1:7" ht="12" x14ac:dyDescent="0.25">
      <c r="A1271" s="90" t="s">
        <v>37</v>
      </c>
      <c r="B1271" s="90" t="s">
        <v>67</v>
      </c>
      <c r="C1271" s="90">
        <v>4</v>
      </c>
      <c r="D1271" s="109" t="s">
        <v>130</v>
      </c>
      <c r="E1271" s="99" t="s">
        <v>130</v>
      </c>
      <c r="F1271" s="100" t="s">
        <v>2468</v>
      </c>
      <c r="G1271" s="105" t="s">
        <v>2524</v>
      </c>
    </row>
    <row r="1272" spans="1:7" ht="12" x14ac:dyDescent="0.25">
      <c r="A1272" s="90" t="s">
        <v>37</v>
      </c>
      <c r="B1272" s="90" t="s">
        <v>67</v>
      </c>
      <c r="C1272" s="90">
        <v>4</v>
      </c>
      <c r="D1272" s="109" t="s">
        <v>232</v>
      </c>
      <c r="E1272" s="99" t="s">
        <v>232</v>
      </c>
      <c r="F1272" s="100" t="s">
        <v>2044</v>
      </c>
      <c r="G1272" s="105" t="s">
        <v>2045</v>
      </c>
    </row>
    <row r="1273" spans="1:7" ht="12" x14ac:dyDescent="0.25">
      <c r="A1273" s="90" t="s">
        <v>37</v>
      </c>
      <c r="B1273" s="90" t="s">
        <v>67</v>
      </c>
      <c r="C1273" s="90">
        <v>4</v>
      </c>
      <c r="D1273" s="109" t="s">
        <v>233</v>
      </c>
      <c r="E1273" s="99" t="s">
        <v>233</v>
      </c>
      <c r="F1273" s="100" t="s">
        <v>2046</v>
      </c>
      <c r="G1273" s="105" t="s">
        <v>2047</v>
      </c>
    </row>
    <row r="1274" spans="1:7" ht="12" x14ac:dyDescent="0.25">
      <c r="A1274" s="90" t="s">
        <v>37</v>
      </c>
      <c r="B1274" s="90" t="s">
        <v>67</v>
      </c>
      <c r="C1274" s="90">
        <v>4</v>
      </c>
      <c r="D1274" s="109" t="s">
        <v>234</v>
      </c>
      <c r="E1274" s="99" t="s">
        <v>234</v>
      </c>
      <c r="F1274" s="100" t="s">
        <v>2048</v>
      </c>
      <c r="G1274" s="105" t="s">
        <v>2049</v>
      </c>
    </row>
    <row r="1275" spans="1:7" ht="12" x14ac:dyDescent="0.25">
      <c r="A1275" s="90" t="s">
        <v>37</v>
      </c>
      <c r="B1275" s="90" t="s">
        <v>67</v>
      </c>
      <c r="C1275" s="90">
        <v>4</v>
      </c>
      <c r="D1275" s="109" t="s">
        <v>235</v>
      </c>
      <c r="E1275" s="99" t="s">
        <v>235</v>
      </c>
      <c r="F1275" s="100" t="s">
        <v>2050</v>
      </c>
      <c r="G1275" s="105" t="s">
        <v>2051</v>
      </c>
    </row>
    <row r="1276" spans="1:7" ht="12" x14ac:dyDescent="0.25">
      <c r="A1276" s="90" t="s">
        <v>37</v>
      </c>
      <c r="B1276" s="90" t="s">
        <v>67</v>
      </c>
      <c r="C1276" s="90">
        <v>4</v>
      </c>
      <c r="D1276" s="109" t="s">
        <v>236</v>
      </c>
      <c r="E1276" s="99" t="s">
        <v>236</v>
      </c>
      <c r="F1276" s="100" t="s">
        <v>2052</v>
      </c>
      <c r="G1276" s="105" t="s">
        <v>2053</v>
      </c>
    </row>
    <row r="1277" spans="1:7" ht="12" x14ac:dyDescent="0.25">
      <c r="A1277" s="90" t="s">
        <v>37</v>
      </c>
      <c r="B1277" s="90" t="s">
        <v>67</v>
      </c>
      <c r="C1277" s="90">
        <v>4</v>
      </c>
      <c r="D1277" s="109" t="s">
        <v>237</v>
      </c>
      <c r="E1277" s="99" t="s">
        <v>237</v>
      </c>
      <c r="F1277" s="100" t="s">
        <v>2054</v>
      </c>
      <c r="G1277" s="105" t="s">
        <v>2055</v>
      </c>
    </row>
    <row r="1278" spans="1:7" ht="12" x14ac:dyDescent="0.25">
      <c r="A1278" s="90" t="s">
        <v>37</v>
      </c>
      <c r="B1278" s="90" t="s">
        <v>67</v>
      </c>
      <c r="C1278" s="90">
        <v>4</v>
      </c>
      <c r="D1278" s="109" t="s">
        <v>2056</v>
      </c>
      <c r="E1278" s="99" t="s">
        <v>2056</v>
      </c>
      <c r="F1278" s="100" t="s">
        <v>2471</v>
      </c>
      <c r="G1278" s="105" t="s">
        <v>2527</v>
      </c>
    </row>
    <row r="1279" spans="1:7" ht="12" x14ac:dyDescent="0.25">
      <c r="A1279" s="90" t="s">
        <v>37</v>
      </c>
      <c r="B1279" s="90" t="s">
        <v>67</v>
      </c>
      <c r="C1279" s="90">
        <v>4</v>
      </c>
      <c r="D1279" s="109" t="s">
        <v>130</v>
      </c>
      <c r="E1279" s="99" t="s">
        <v>130</v>
      </c>
      <c r="F1279" s="102" t="s">
        <v>2468</v>
      </c>
      <c r="G1279" s="107" t="s">
        <v>2524</v>
      </c>
    </row>
    <row r="1280" spans="1:7" ht="12" x14ac:dyDescent="0.25">
      <c r="A1280" s="90" t="s">
        <v>37</v>
      </c>
      <c r="B1280" s="90" t="s">
        <v>67</v>
      </c>
      <c r="C1280" s="90">
        <v>4</v>
      </c>
      <c r="D1280" s="109" t="s">
        <v>238</v>
      </c>
      <c r="E1280" s="99" t="s">
        <v>238</v>
      </c>
      <c r="F1280" s="100" t="s">
        <v>2057</v>
      </c>
      <c r="G1280" s="105" t="s">
        <v>2058</v>
      </c>
    </row>
    <row r="1281" spans="1:7" ht="12" x14ac:dyDescent="0.25">
      <c r="A1281" s="90" t="s">
        <v>37</v>
      </c>
      <c r="B1281" s="90" t="s">
        <v>67</v>
      </c>
      <c r="C1281" s="90">
        <v>4</v>
      </c>
      <c r="D1281" s="109" t="s">
        <v>239</v>
      </c>
      <c r="E1281" s="99" t="s">
        <v>239</v>
      </c>
      <c r="F1281" s="100" t="s">
        <v>2059</v>
      </c>
      <c r="G1281" s="105" t="s">
        <v>2060</v>
      </c>
    </row>
    <row r="1282" spans="1:7" ht="12" x14ac:dyDescent="0.25">
      <c r="A1282" s="90" t="s">
        <v>37</v>
      </c>
      <c r="B1282" s="90" t="s">
        <v>67</v>
      </c>
      <c r="C1282" s="90">
        <v>4</v>
      </c>
      <c r="D1282" s="109" t="s">
        <v>240</v>
      </c>
      <c r="E1282" s="99" t="s">
        <v>240</v>
      </c>
      <c r="F1282" s="100" t="s">
        <v>2061</v>
      </c>
      <c r="G1282" s="105" t="s">
        <v>2062</v>
      </c>
    </row>
    <row r="1283" spans="1:7" ht="12" x14ac:dyDescent="0.25">
      <c r="A1283" s="90" t="s">
        <v>37</v>
      </c>
      <c r="B1283" s="90" t="s">
        <v>67</v>
      </c>
      <c r="C1283" s="90">
        <v>4</v>
      </c>
      <c r="D1283" s="109" t="s">
        <v>241</v>
      </c>
      <c r="E1283" s="99" t="s">
        <v>241</v>
      </c>
      <c r="F1283" s="100" t="s">
        <v>2063</v>
      </c>
      <c r="G1283" s="105" t="s">
        <v>2064</v>
      </c>
    </row>
    <row r="1284" spans="1:7" ht="12" x14ac:dyDescent="0.25">
      <c r="A1284" s="90" t="s">
        <v>37</v>
      </c>
      <c r="B1284" s="90" t="s">
        <v>67</v>
      </c>
      <c r="C1284" s="90">
        <v>4</v>
      </c>
      <c r="D1284" s="160" t="s">
        <v>242</v>
      </c>
      <c r="E1284" s="161" t="s">
        <v>242</v>
      </c>
      <c r="F1284" s="162" t="s">
        <v>2065</v>
      </c>
      <c r="G1284" s="163" t="s">
        <v>2066</v>
      </c>
    </row>
    <row r="1285" spans="1:7" ht="12" x14ac:dyDescent="0.25">
      <c r="A1285" s="90" t="s">
        <v>37</v>
      </c>
      <c r="B1285" s="90" t="s">
        <v>67</v>
      </c>
      <c r="C1285" s="90">
        <v>4</v>
      </c>
      <c r="D1285" s="109" t="s">
        <v>243</v>
      </c>
      <c r="E1285" s="99" t="s">
        <v>243</v>
      </c>
      <c r="F1285" s="100" t="s">
        <v>2067</v>
      </c>
      <c r="G1285" s="105" t="s">
        <v>2068</v>
      </c>
    </row>
    <row r="1286" spans="1:7" ht="12" x14ac:dyDescent="0.25">
      <c r="A1286" s="90" t="s">
        <v>37</v>
      </c>
      <c r="B1286" s="90" t="s">
        <v>67</v>
      </c>
      <c r="C1286" s="90">
        <v>4</v>
      </c>
      <c r="D1286" s="109" t="s">
        <v>2069</v>
      </c>
      <c r="E1286" s="99" t="s">
        <v>2069</v>
      </c>
      <c r="F1286" s="100" t="s">
        <v>2472</v>
      </c>
      <c r="G1286" s="105" t="s">
        <v>2528</v>
      </c>
    </row>
    <row r="1287" spans="1:7" ht="12" x14ac:dyDescent="0.25">
      <c r="A1287" s="90" t="s">
        <v>37</v>
      </c>
      <c r="B1287" s="90" t="s">
        <v>67</v>
      </c>
      <c r="C1287" s="90">
        <v>4</v>
      </c>
      <c r="D1287" s="109" t="s">
        <v>130</v>
      </c>
      <c r="E1287" s="99" t="s">
        <v>130</v>
      </c>
      <c r="F1287" s="100" t="s">
        <v>2468</v>
      </c>
      <c r="G1287" s="105" t="s">
        <v>2524</v>
      </c>
    </row>
    <row r="1288" spans="1:7" ht="12" x14ac:dyDescent="0.25">
      <c r="A1288" s="90" t="s">
        <v>37</v>
      </c>
      <c r="B1288" s="90" t="s">
        <v>67</v>
      </c>
      <c r="C1288" s="90">
        <v>4</v>
      </c>
      <c r="D1288" s="109" t="s">
        <v>337</v>
      </c>
      <c r="E1288" s="99" t="s">
        <v>337</v>
      </c>
      <c r="F1288" s="100" t="s">
        <v>2070</v>
      </c>
      <c r="G1288" s="105" t="s">
        <v>2071</v>
      </c>
    </row>
    <row r="1289" spans="1:7" ht="12" x14ac:dyDescent="0.25">
      <c r="A1289" s="90" t="s">
        <v>37</v>
      </c>
      <c r="B1289" s="90" t="s">
        <v>67</v>
      </c>
      <c r="C1289" s="90">
        <v>4</v>
      </c>
      <c r="D1289" s="109" t="s">
        <v>338</v>
      </c>
      <c r="E1289" s="99" t="s">
        <v>338</v>
      </c>
      <c r="F1289" s="100" t="s">
        <v>2072</v>
      </c>
      <c r="G1289" s="105" t="s">
        <v>2073</v>
      </c>
    </row>
    <row r="1290" spans="1:7" ht="12" x14ac:dyDescent="0.25">
      <c r="A1290" s="90" t="s">
        <v>37</v>
      </c>
      <c r="B1290" s="90" t="s">
        <v>67</v>
      </c>
      <c r="C1290" s="90">
        <v>4</v>
      </c>
      <c r="D1290" s="109" t="s">
        <v>339</v>
      </c>
      <c r="E1290" s="99" t="s">
        <v>339</v>
      </c>
      <c r="F1290" s="100" t="s">
        <v>2074</v>
      </c>
      <c r="G1290" s="105" t="s">
        <v>2075</v>
      </c>
    </row>
    <row r="1291" spans="1:7" ht="12" x14ac:dyDescent="0.25">
      <c r="A1291" s="90" t="s">
        <v>37</v>
      </c>
      <c r="B1291" s="90" t="s">
        <v>67</v>
      </c>
      <c r="C1291" s="90">
        <v>4</v>
      </c>
      <c r="D1291" s="109" t="s">
        <v>340</v>
      </c>
      <c r="E1291" s="99" t="s">
        <v>340</v>
      </c>
      <c r="F1291" s="100" t="s">
        <v>2076</v>
      </c>
      <c r="G1291" s="105" t="s">
        <v>2077</v>
      </c>
    </row>
    <row r="1292" spans="1:7" ht="12" x14ac:dyDescent="0.25">
      <c r="A1292" s="90" t="s">
        <v>37</v>
      </c>
      <c r="B1292" s="90" t="s">
        <v>67</v>
      </c>
      <c r="C1292" s="90">
        <v>4</v>
      </c>
      <c r="D1292" s="109" t="s">
        <v>341</v>
      </c>
      <c r="E1292" s="99" t="s">
        <v>341</v>
      </c>
      <c r="F1292" s="100" t="s">
        <v>2078</v>
      </c>
      <c r="G1292" s="105" t="s">
        <v>2079</v>
      </c>
    </row>
    <row r="1293" spans="1:7" ht="12" x14ac:dyDescent="0.25">
      <c r="A1293" s="90" t="s">
        <v>37</v>
      </c>
      <c r="B1293" s="90" t="s">
        <v>67</v>
      </c>
      <c r="C1293" s="90">
        <v>4</v>
      </c>
      <c r="D1293" s="109" t="s">
        <v>342</v>
      </c>
      <c r="E1293" s="99" t="s">
        <v>342</v>
      </c>
      <c r="F1293" s="100" t="s">
        <v>2080</v>
      </c>
      <c r="G1293" s="105" t="s">
        <v>2081</v>
      </c>
    </row>
    <row r="1294" spans="1:7" ht="12" x14ac:dyDescent="0.25">
      <c r="A1294" s="90" t="s">
        <v>37</v>
      </c>
      <c r="B1294" s="90" t="s">
        <v>67</v>
      </c>
      <c r="C1294" s="90">
        <v>4</v>
      </c>
      <c r="D1294" s="109" t="s">
        <v>2082</v>
      </c>
      <c r="E1294" s="99" t="s">
        <v>2082</v>
      </c>
      <c r="F1294" s="100" t="s">
        <v>2473</v>
      </c>
      <c r="G1294" s="105" t="s">
        <v>2529</v>
      </c>
    </row>
    <row r="1295" spans="1:7" ht="12" x14ac:dyDescent="0.25">
      <c r="A1295" s="90" t="s">
        <v>37</v>
      </c>
      <c r="B1295" s="90" t="s">
        <v>67</v>
      </c>
      <c r="C1295" s="90">
        <v>4</v>
      </c>
      <c r="D1295" s="109" t="s">
        <v>191</v>
      </c>
      <c r="E1295" s="99" t="s">
        <v>191</v>
      </c>
      <c r="F1295" s="100" t="s">
        <v>343</v>
      </c>
      <c r="G1295" s="105" t="s">
        <v>2083</v>
      </c>
    </row>
    <row r="1296" spans="1:7" ht="12" x14ac:dyDescent="0.25">
      <c r="A1296" s="90" t="s">
        <v>37</v>
      </c>
      <c r="B1296" s="90" t="s">
        <v>67</v>
      </c>
      <c r="C1296" s="90">
        <v>4</v>
      </c>
      <c r="D1296" s="109" t="s">
        <v>244</v>
      </c>
      <c r="E1296" s="99" t="s">
        <v>244</v>
      </c>
      <c r="F1296" s="100" t="s">
        <v>344</v>
      </c>
      <c r="G1296" s="105" t="s">
        <v>345</v>
      </c>
    </row>
    <row r="1297" spans="1:7" ht="12" x14ac:dyDescent="0.25">
      <c r="A1297" s="90" t="s">
        <v>37</v>
      </c>
      <c r="B1297" s="90" t="s">
        <v>67</v>
      </c>
      <c r="C1297" s="90">
        <v>4</v>
      </c>
      <c r="D1297" s="109" t="s">
        <v>2084</v>
      </c>
      <c r="E1297" s="99" t="s">
        <v>2084</v>
      </c>
      <c r="F1297" s="100" t="s">
        <v>2474</v>
      </c>
      <c r="G1297" s="105" t="s">
        <v>2530</v>
      </c>
    </row>
    <row r="1298" spans="1:7" ht="12" x14ac:dyDescent="0.25">
      <c r="A1298" s="90" t="s">
        <v>37</v>
      </c>
      <c r="B1298" s="90" t="s">
        <v>67</v>
      </c>
      <c r="C1298" s="90">
        <v>4</v>
      </c>
      <c r="D1298" s="109" t="s">
        <v>211</v>
      </c>
      <c r="E1298" s="99" t="s">
        <v>211</v>
      </c>
      <c r="F1298" s="100" t="s">
        <v>2085</v>
      </c>
      <c r="G1298" s="105" t="s">
        <v>349</v>
      </c>
    </row>
    <row r="1299" spans="1:7" ht="12" x14ac:dyDescent="0.25">
      <c r="A1299" s="90" t="s">
        <v>37</v>
      </c>
      <c r="B1299" s="90" t="s">
        <v>67</v>
      </c>
      <c r="C1299" s="90">
        <v>4</v>
      </c>
      <c r="D1299" s="109" t="s">
        <v>193</v>
      </c>
      <c r="E1299" s="99" t="s">
        <v>193</v>
      </c>
      <c r="F1299" s="100" t="s">
        <v>350</v>
      </c>
      <c r="G1299" s="105" t="s">
        <v>2086</v>
      </c>
    </row>
    <row r="1300" spans="1:7" ht="12" x14ac:dyDescent="0.25">
      <c r="A1300" s="90" t="s">
        <v>37</v>
      </c>
      <c r="B1300" s="90" t="s">
        <v>67</v>
      </c>
      <c r="C1300" s="90">
        <v>4</v>
      </c>
      <c r="D1300" s="109" t="s">
        <v>145</v>
      </c>
      <c r="E1300" s="99" t="s">
        <v>145</v>
      </c>
      <c r="F1300" s="100" t="s">
        <v>351</v>
      </c>
      <c r="G1300" s="105" t="s">
        <v>352</v>
      </c>
    </row>
    <row r="1301" spans="1:7" ht="12" x14ac:dyDescent="0.25">
      <c r="A1301" s="90" t="s">
        <v>37</v>
      </c>
      <c r="B1301" s="90" t="s">
        <v>67</v>
      </c>
      <c r="D1301" s="109"/>
      <c r="E1301" s="101"/>
      <c r="F1301" s="101"/>
      <c r="G1301" s="101"/>
    </row>
    <row r="1302" spans="1:7" ht="12" x14ac:dyDescent="0.25">
      <c r="A1302" s="90" t="s">
        <v>37</v>
      </c>
      <c r="B1302" s="90" t="s">
        <v>66</v>
      </c>
      <c r="C1302" s="90" t="s">
        <v>334</v>
      </c>
      <c r="D1302" s="109" t="s">
        <v>358</v>
      </c>
      <c r="E1302" s="99" t="s">
        <v>358</v>
      </c>
      <c r="F1302" s="100" t="s">
        <v>2109</v>
      </c>
      <c r="G1302" s="105" t="s">
        <v>2110</v>
      </c>
    </row>
    <row r="1303" spans="1:7" ht="12" x14ac:dyDescent="0.25">
      <c r="A1303" s="90" t="s">
        <v>37</v>
      </c>
      <c r="B1303" s="90" t="s">
        <v>66</v>
      </c>
      <c r="C1303" s="90" t="s">
        <v>334</v>
      </c>
      <c r="D1303" s="109" t="s">
        <v>0</v>
      </c>
      <c r="E1303" s="99" t="s">
        <v>0</v>
      </c>
      <c r="F1303" s="100" t="s">
        <v>268</v>
      </c>
      <c r="G1303" s="105" t="s">
        <v>269</v>
      </c>
    </row>
    <row r="1304" spans="1:7" ht="12" x14ac:dyDescent="0.25">
      <c r="A1304" s="90" t="s">
        <v>37</v>
      </c>
      <c r="B1304" s="90" t="s">
        <v>66</v>
      </c>
      <c r="C1304" s="90" t="s">
        <v>334</v>
      </c>
      <c r="D1304" s="109" t="s">
        <v>1</v>
      </c>
      <c r="E1304" s="99" t="s">
        <v>1</v>
      </c>
      <c r="F1304" s="100" t="s">
        <v>315</v>
      </c>
      <c r="G1304" s="105" t="s">
        <v>316</v>
      </c>
    </row>
    <row r="1305" spans="1:7" ht="12" x14ac:dyDescent="0.25">
      <c r="A1305" s="90" t="s">
        <v>37</v>
      </c>
      <c r="B1305" s="90" t="s">
        <v>66</v>
      </c>
      <c r="C1305" s="90" t="s">
        <v>334</v>
      </c>
      <c r="D1305" s="109" t="s">
        <v>2</v>
      </c>
      <c r="E1305" s="99" t="s">
        <v>2</v>
      </c>
      <c r="F1305" s="100" t="s">
        <v>277</v>
      </c>
      <c r="G1305" s="105" t="s">
        <v>278</v>
      </c>
    </row>
    <row r="1306" spans="1:7" ht="12" x14ac:dyDescent="0.25">
      <c r="A1306" s="90" t="s">
        <v>37</v>
      </c>
      <c r="B1306" s="90" t="s">
        <v>66</v>
      </c>
      <c r="C1306" s="90" t="s">
        <v>334</v>
      </c>
      <c r="D1306" s="109" t="s">
        <v>3</v>
      </c>
      <c r="E1306" s="99" t="s">
        <v>3</v>
      </c>
      <c r="F1306" s="100" t="s">
        <v>283</v>
      </c>
      <c r="G1306" s="105" t="s">
        <v>2020</v>
      </c>
    </row>
    <row r="1307" spans="1:7" ht="360" x14ac:dyDescent="0.25">
      <c r="A1307" s="90" t="s">
        <v>37</v>
      </c>
      <c r="B1307" s="90" t="s">
        <v>66</v>
      </c>
      <c r="C1307" s="90">
        <v>1</v>
      </c>
      <c r="D1307" s="109" t="s">
        <v>2021</v>
      </c>
      <c r="E1307" s="99" t="s">
        <v>2021</v>
      </c>
      <c r="F1307" s="100" t="s">
        <v>2450</v>
      </c>
      <c r="G1307" s="105" t="s">
        <v>2451</v>
      </c>
    </row>
    <row r="1308" spans="1:7" ht="12" x14ac:dyDescent="0.25">
      <c r="A1308" s="90" t="s">
        <v>37</v>
      </c>
      <c r="B1308" s="90" t="s">
        <v>66</v>
      </c>
      <c r="C1308" s="90">
        <v>1</v>
      </c>
      <c r="D1308" s="109" t="s">
        <v>75</v>
      </c>
      <c r="E1308" s="99" t="s">
        <v>75</v>
      </c>
      <c r="F1308" s="100" t="s">
        <v>2022</v>
      </c>
      <c r="G1308" s="105" t="s">
        <v>2023</v>
      </c>
    </row>
    <row r="1309" spans="1:7" ht="12" x14ac:dyDescent="0.25">
      <c r="A1309" s="90" t="s">
        <v>37</v>
      </c>
      <c r="B1309" s="90" t="s">
        <v>66</v>
      </c>
      <c r="C1309" s="90">
        <v>1</v>
      </c>
      <c r="D1309" s="109" t="s">
        <v>2000</v>
      </c>
      <c r="E1309" s="99" t="s">
        <v>2000</v>
      </c>
      <c r="F1309" s="100" t="s">
        <v>2452</v>
      </c>
      <c r="G1309" s="105" t="s">
        <v>2531</v>
      </c>
    </row>
    <row r="1310" spans="1:7" ht="12" x14ac:dyDescent="0.25">
      <c r="A1310" s="90" t="s">
        <v>37</v>
      </c>
      <c r="B1310" s="90" t="s">
        <v>66</v>
      </c>
      <c r="C1310" s="90">
        <v>1</v>
      </c>
      <c r="D1310" s="109" t="s">
        <v>2001</v>
      </c>
      <c r="E1310" s="99" t="s">
        <v>2001</v>
      </c>
      <c r="F1310" s="100" t="s">
        <v>2475</v>
      </c>
      <c r="G1310" s="105" t="s">
        <v>2532</v>
      </c>
    </row>
    <row r="1311" spans="1:7" ht="12" x14ac:dyDescent="0.25">
      <c r="A1311" s="90" t="s">
        <v>37</v>
      </c>
      <c r="B1311" s="90" t="s">
        <v>66</v>
      </c>
      <c r="C1311" s="90">
        <v>1</v>
      </c>
      <c r="D1311" s="109" t="s">
        <v>225</v>
      </c>
      <c r="E1311" s="99" t="s">
        <v>225</v>
      </c>
      <c r="F1311" s="100" t="s">
        <v>335</v>
      </c>
      <c r="G1311" s="105" t="s">
        <v>336</v>
      </c>
    </row>
    <row r="1312" spans="1:7" ht="12" x14ac:dyDescent="0.25">
      <c r="A1312" s="90" t="s">
        <v>37</v>
      </c>
      <c r="B1312" s="90" t="s">
        <v>66</v>
      </c>
      <c r="C1312" s="90">
        <v>1</v>
      </c>
      <c r="D1312" s="109" t="s">
        <v>74</v>
      </c>
      <c r="E1312" s="99" t="s">
        <v>74</v>
      </c>
      <c r="F1312" s="100" t="s">
        <v>2028</v>
      </c>
      <c r="G1312" s="105" t="s">
        <v>2029</v>
      </c>
    </row>
    <row r="1313" spans="1:7" ht="12" x14ac:dyDescent="0.25">
      <c r="A1313" s="90" t="s">
        <v>37</v>
      </c>
      <c r="B1313" s="90" t="s">
        <v>66</v>
      </c>
      <c r="C1313" s="90">
        <v>1</v>
      </c>
      <c r="D1313" s="109" t="s">
        <v>2030</v>
      </c>
      <c r="E1313" s="99" t="s">
        <v>2030</v>
      </c>
      <c r="F1313" s="100" t="s">
        <v>2467</v>
      </c>
      <c r="G1313" s="105" t="s">
        <v>2462</v>
      </c>
    </row>
    <row r="1314" spans="1:7" ht="12" x14ac:dyDescent="0.25">
      <c r="A1314" s="90" t="s">
        <v>37</v>
      </c>
      <c r="B1314" s="90" t="s">
        <v>66</v>
      </c>
      <c r="C1314" s="90">
        <v>1</v>
      </c>
      <c r="D1314" s="109" t="s">
        <v>64</v>
      </c>
      <c r="E1314" s="99" t="s">
        <v>64</v>
      </c>
      <c r="F1314" s="100" t="s">
        <v>2031</v>
      </c>
      <c r="G1314" s="105" t="s">
        <v>2032</v>
      </c>
    </row>
    <row r="1315" spans="1:7" ht="12" x14ac:dyDescent="0.25">
      <c r="A1315" s="90" t="s">
        <v>37</v>
      </c>
      <c r="B1315" s="90" t="s">
        <v>66</v>
      </c>
      <c r="C1315" s="90">
        <v>1</v>
      </c>
      <c r="D1315" s="109" t="s">
        <v>130</v>
      </c>
      <c r="E1315" s="99" t="s">
        <v>130</v>
      </c>
      <c r="F1315" s="100" t="s">
        <v>2468</v>
      </c>
      <c r="G1315" s="105" t="s">
        <v>2524</v>
      </c>
    </row>
    <row r="1316" spans="1:7" ht="12" x14ac:dyDescent="0.25">
      <c r="A1316" s="90" t="s">
        <v>37</v>
      </c>
      <c r="B1316" s="90" t="s">
        <v>66</v>
      </c>
      <c r="C1316" s="90">
        <v>1</v>
      </c>
      <c r="D1316" s="109" t="s">
        <v>226</v>
      </c>
      <c r="E1316" s="99" t="s">
        <v>226</v>
      </c>
      <c r="F1316" s="100" t="s">
        <v>2088</v>
      </c>
      <c r="G1316" s="105" t="s">
        <v>2089</v>
      </c>
    </row>
    <row r="1317" spans="1:7" ht="12" x14ac:dyDescent="0.25">
      <c r="A1317" s="90" t="s">
        <v>37</v>
      </c>
      <c r="B1317" s="90" t="s">
        <v>66</v>
      </c>
      <c r="C1317" s="90">
        <v>1</v>
      </c>
      <c r="D1317" s="109" t="s">
        <v>227</v>
      </c>
      <c r="E1317" s="99" t="s">
        <v>227</v>
      </c>
      <c r="F1317" s="100" t="s">
        <v>2033</v>
      </c>
      <c r="G1317" s="105" t="s">
        <v>2034</v>
      </c>
    </row>
    <row r="1318" spans="1:7" ht="12" x14ac:dyDescent="0.25">
      <c r="A1318" s="90" t="s">
        <v>37</v>
      </c>
      <c r="B1318" s="90" t="s">
        <v>66</v>
      </c>
      <c r="C1318" s="90">
        <v>1</v>
      </c>
      <c r="D1318" s="109" t="s">
        <v>228</v>
      </c>
      <c r="E1318" s="99" t="s">
        <v>228</v>
      </c>
      <c r="F1318" s="100" t="s">
        <v>2035</v>
      </c>
      <c r="G1318" s="105" t="s">
        <v>2036</v>
      </c>
    </row>
    <row r="1319" spans="1:7" ht="12" x14ac:dyDescent="0.25">
      <c r="A1319" s="90" t="s">
        <v>37</v>
      </c>
      <c r="B1319" s="90" t="s">
        <v>66</v>
      </c>
      <c r="C1319" s="90">
        <v>1</v>
      </c>
      <c r="D1319" s="109" t="s">
        <v>229</v>
      </c>
      <c r="E1319" s="99" t="s">
        <v>229</v>
      </c>
      <c r="F1319" s="100" t="s">
        <v>2037</v>
      </c>
      <c r="G1319" s="105" t="s">
        <v>2038</v>
      </c>
    </row>
    <row r="1320" spans="1:7" ht="12" x14ac:dyDescent="0.25">
      <c r="A1320" s="90" t="s">
        <v>37</v>
      </c>
      <c r="B1320" s="90" t="s">
        <v>66</v>
      </c>
      <c r="C1320" s="90">
        <v>1</v>
      </c>
      <c r="D1320" s="109" t="s">
        <v>230</v>
      </c>
      <c r="E1320" s="99" t="s">
        <v>230</v>
      </c>
      <c r="F1320" s="100" t="s">
        <v>2039</v>
      </c>
      <c r="G1320" s="105" t="s">
        <v>2040</v>
      </c>
    </row>
    <row r="1321" spans="1:7" ht="12" x14ac:dyDescent="0.25">
      <c r="A1321" s="90" t="s">
        <v>37</v>
      </c>
      <c r="B1321" s="90" t="s">
        <v>66</v>
      </c>
      <c r="C1321" s="90">
        <v>1</v>
      </c>
      <c r="D1321" s="109" t="s">
        <v>231</v>
      </c>
      <c r="E1321" s="99" t="s">
        <v>231</v>
      </c>
      <c r="F1321" s="100" t="s">
        <v>2041</v>
      </c>
      <c r="G1321" s="105" t="s">
        <v>2042</v>
      </c>
    </row>
    <row r="1322" spans="1:7" ht="12" x14ac:dyDescent="0.25">
      <c r="A1322" s="90" t="s">
        <v>37</v>
      </c>
      <c r="B1322" s="90" t="s">
        <v>66</v>
      </c>
      <c r="C1322" s="90">
        <v>1</v>
      </c>
      <c r="D1322" s="109" t="s">
        <v>2043</v>
      </c>
      <c r="E1322" s="99" t="s">
        <v>2043</v>
      </c>
      <c r="F1322" s="102" t="s">
        <v>2470</v>
      </c>
      <c r="G1322" s="107" t="s">
        <v>2526</v>
      </c>
    </row>
    <row r="1323" spans="1:7" ht="12" x14ac:dyDescent="0.25">
      <c r="A1323" s="90" t="s">
        <v>37</v>
      </c>
      <c r="B1323" s="90" t="s">
        <v>66</v>
      </c>
      <c r="C1323" s="90">
        <v>1</v>
      </c>
      <c r="D1323" s="109" t="s">
        <v>130</v>
      </c>
      <c r="E1323" s="99" t="s">
        <v>130</v>
      </c>
      <c r="F1323" s="100" t="s">
        <v>2468</v>
      </c>
      <c r="G1323" s="105" t="s">
        <v>2524</v>
      </c>
    </row>
    <row r="1324" spans="1:7" ht="12" x14ac:dyDescent="0.25">
      <c r="A1324" s="90" t="s">
        <v>37</v>
      </c>
      <c r="B1324" s="90" t="s">
        <v>66</v>
      </c>
      <c r="C1324" s="90">
        <v>1</v>
      </c>
      <c r="D1324" s="109" t="s">
        <v>232</v>
      </c>
      <c r="E1324" s="99" t="s">
        <v>232</v>
      </c>
      <c r="F1324" s="100" t="s">
        <v>2044</v>
      </c>
      <c r="G1324" s="105" t="s">
        <v>2045</v>
      </c>
    </row>
    <row r="1325" spans="1:7" ht="12" x14ac:dyDescent="0.25">
      <c r="A1325" s="90" t="s">
        <v>37</v>
      </c>
      <c r="B1325" s="90" t="s">
        <v>66</v>
      </c>
      <c r="C1325" s="90">
        <v>1</v>
      </c>
      <c r="D1325" s="109" t="s">
        <v>233</v>
      </c>
      <c r="E1325" s="99" t="s">
        <v>233</v>
      </c>
      <c r="F1325" s="100" t="s">
        <v>2046</v>
      </c>
      <c r="G1325" s="105" t="s">
        <v>2047</v>
      </c>
    </row>
    <row r="1326" spans="1:7" ht="12" x14ac:dyDescent="0.25">
      <c r="A1326" s="90" t="s">
        <v>37</v>
      </c>
      <c r="B1326" s="90" t="s">
        <v>66</v>
      </c>
      <c r="C1326" s="90">
        <v>1</v>
      </c>
      <c r="D1326" s="109" t="s">
        <v>234</v>
      </c>
      <c r="E1326" s="99" t="s">
        <v>234</v>
      </c>
      <c r="F1326" s="100" t="s">
        <v>2048</v>
      </c>
      <c r="G1326" s="105" t="s">
        <v>2049</v>
      </c>
    </row>
    <row r="1327" spans="1:7" ht="12" x14ac:dyDescent="0.25">
      <c r="A1327" s="90" t="s">
        <v>37</v>
      </c>
      <c r="B1327" s="90" t="s">
        <v>66</v>
      </c>
      <c r="C1327" s="90">
        <v>1</v>
      </c>
      <c r="D1327" s="160" t="s">
        <v>235</v>
      </c>
      <c r="E1327" s="161" t="s">
        <v>235</v>
      </c>
      <c r="F1327" s="162" t="s">
        <v>2050</v>
      </c>
      <c r="G1327" s="163" t="s">
        <v>2051</v>
      </c>
    </row>
    <row r="1328" spans="1:7" ht="12" x14ac:dyDescent="0.25">
      <c r="A1328" s="90" t="s">
        <v>37</v>
      </c>
      <c r="B1328" s="90" t="s">
        <v>66</v>
      </c>
      <c r="C1328" s="90">
        <v>1</v>
      </c>
      <c r="D1328" s="109" t="s">
        <v>236</v>
      </c>
      <c r="E1328" s="99" t="s">
        <v>236</v>
      </c>
      <c r="F1328" s="100" t="s">
        <v>2052</v>
      </c>
      <c r="G1328" s="105" t="s">
        <v>2053</v>
      </c>
    </row>
    <row r="1329" spans="1:7" ht="12" x14ac:dyDescent="0.25">
      <c r="A1329" s="90" t="s">
        <v>37</v>
      </c>
      <c r="B1329" s="90" t="s">
        <v>66</v>
      </c>
      <c r="C1329" s="90">
        <v>1</v>
      </c>
      <c r="D1329" s="109" t="s">
        <v>237</v>
      </c>
      <c r="E1329" s="99" t="s">
        <v>237</v>
      </c>
      <c r="F1329" s="100" t="s">
        <v>2054</v>
      </c>
      <c r="G1329" s="105" t="s">
        <v>2055</v>
      </c>
    </row>
    <row r="1330" spans="1:7" ht="12" x14ac:dyDescent="0.25">
      <c r="A1330" s="90" t="s">
        <v>37</v>
      </c>
      <c r="B1330" s="90" t="s">
        <v>66</v>
      </c>
      <c r="C1330" s="90">
        <v>1</v>
      </c>
      <c r="D1330" s="109" t="s">
        <v>2056</v>
      </c>
      <c r="E1330" s="99" t="s">
        <v>2056</v>
      </c>
      <c r="F1330" s="100" t="s">
        <v>2471</v>
      </c>
      <c r="G1330" s="105" t="s">
        <v>2527</v>
      </c>
    </row>
    <row r="1331" spans="1:7" ht="12" x14ac:dyDescent="0.25">
      <c r="A1331" s="90" t="s">
        <v>37</v>
      </c>
      <c r="B1331" s="90" t="s">
        <v>66</v>
      </c>
      <c r="C1331" s="90">
        <v>1</v>
      </c>
      <c r="D1331" s="109" t="s">
        <v>130</v>
      </c>
      <c r="E1331" s="99" t="s">
        <v>130</v>
      </c>
      <c r="F1331" s="100" t="s">
        <v>2468</v>
      </c>
      <c r="G1331" s="105" t="s">
        <v>2524</v>
      </c>
    </row>
    <row r="1332" spans="1:7" ht="12" x14ac:dyDescent="0.25">
      <c r="A1332" s="90" t="s">
        <v>37</v>
      </c>
      <c r="B1332" s="90" t="s">
        <v>66</v>
      </c>
      <c r="C1332" s="90">
        <v>1</v>
      </c>
      <c r="D1332" s="109" t="s">
        <v>238</v>
      </c>
      <c r="E1332" s="99" t="s">
        <v>238</v>
      </c>
      <c r="F1332" s="100" t="s">
        <v>2057</v>
      </c>
      <c r="G1332" s="105" t="s">
        <v>2058</v>
      </c>
    </row>
    <row r="1333" spans="1:7" ht="12" x14ac:dyDescent="0.25">
      <c r="A1333" s="90" t="s">
        <v>37</v>
      </c>
      <c r="B1333" s="90" t="s">
        <v>66</v>
      </c>
      <c r="C1333" s="90">
        <v>1</v>
      </c>
      <c r="D1333" s="109" t="s">
        <v>239</v>
      </c>
      <c r="E1333" s="99" t="s">
        <v>239</v>
      </c>
      <c r="F1333" s="100" t="s">
        <v>2059</v>
      </c>
      <c r="G1333" s="105" t="s">
        <v>2060</v>
      </c>
    </row>
    <row r="1334" spans="1:7" ht="12" x14ac:dyDescent="0.25">
      <c r="A1334" s="90" t="s">
        <v>37</v>
      </c>
      <c r="B1334" s="90" t="s">
        <v>66</v>
      </c>
      <c r="C1334" s="90">
        <v>1</v>
      </c>
      <c r="D1334" s="109" t="s">
        <v>240</v>
      </c>
      <c r="E1334" s="99" t="s">
        <v>240</v>
      </c>
      <c r="F1334" s="100" t="s">
        <v>2061</v>
      </c>
      <c r="G1334" s="105" t="s">
        <v>2062</v>
      </c>
    </row>
    <row r="1335" spans="1:7" ht="12" x14ac:dyDescent="0.25">
      <c r="A1335" s="90" t="s">
        <v>37</v>
      </c>
      <c r="B1335" s="90" t="s">
        <v>66</v>
      </c>
      <c r="C1335" s="90">
        <v>1</v>
      </c>
      <c r="D1335" s="109" t="s">
        <v>241</v>
      </c>
      <c r="E1335" s="99" t="s">
        <v>241</v>
      </c>
      <c r="F1335" s="100" t="s">
        <v>2063</v>
      </c>
      <c r="G1335" s="105" t="s">
        <v>2064</v>
      </c>
    </row>
    <row r="1336" spans="1:7" ht="12" x14ac:dyDescent="0.25">
      <c r="A1336" s="90" t="s">
        <v>37</v>
      </c>
      <c r="B1336" s="90" t="s">
        <v>66</v>
      </c>
      <c r="C1336" s="90">
        <v>1</v>
      </c>
      <c r="D1336" s="109" t="s">
        <v>242</v>
      </c>
      <c r="E1336" s="99" t="s">
        <v>242</v>
      </c>
      <c r="F1336" s="100" t="s">
        <v>2065</v>
      </c>
      <c r="G1336" s="105" t="s">
        <v>2066</v>
      </c>
    </row>
    <row r="1337" spans="1:7" ht="12" x14ac:dyDescent="0.25">
      <c r="A1337" s="90" t="s">
        <v>37</v>
      </c>
      <c r="B1337" s="90" t="s">
        <v>66</v>
      </c>
      <c r="C1337" s="90">
        <v>1</v>
      </c>
      <c r="D1337" s="109" t="s">
        <v>243</v>
      </c>
      <c r="E1337" s="99" t="s">
        <v>243</v>
      </c>
      <c r="F1337" s="100" t="s">
        <v>2067</v>
      </c>
      <c r="G1337" s="105" t="s">
        <v>2068</v>
      </c>
    </row>
    <row r="1338" spans="1:7" ht="12" x14ac:dyDescent="0.25">
      <c r="A1338" s="90" t="s">
        <v>37</v>
      </c>
      <c r="B1338" s="90" t="s">
        <v>66</v>
      </c>
      <c r="C1338" s="90">
        <v>1</v>
      </c>
      <c r="D1338" s="109" t="s">
        <v>2069</v>
      </c>
      <c r="E1338" s="99" t="s">
        <v>2069</v>
      </c>
      <c r="F1338" s="100" t="s">
        <v>2472</v>
      </c>
      <c r="G1338" s="105" t="s">
        <v>2528</v>
      </c>
    </row>
    <row r="1339" spans="1:7" ht="12" x14ac:dyDescent="0.25">
      <c r="A1339" s="90" t="s">
        <v>37</v>
      </c>
      <c r="B1339" s="90" t="s">
        <v>66</v>
      </c>
      <c r="C1339" s="90">
        <v>1</v>
      </c>
      <c r="D1339" s="109" t="s">
        <v>130</v>
      </c>
      <c r="E1339" s="99" t="s">
        <v>130</v>
      </c>
      <c r="F1339" s="100" t="s">
        <v>2468</v>
      </c>
      <c r="G1339" s="105" t="s">
        <v>2524</v>
      </c>
    </row>
    <row r="1340" spans="1:7" ht="12" x14ac:dyDescent="0.25">
      <c r="A1340" s="90" t="s">
        <v>37</v>
      </c>
      <c r="B1340" s="90" t="s">
        <v>66</v>
      </c>
      <c r="C1340" s="90">
        <v>1</v>
      </c>
      <c r="D1340" s="109" t="s">
        <v>337</v>
      </c>
      <c r="E1340" s="99" t="s">
        <v>337</v>
      </c>
      <c r="F1340" s="100" t="s">
        <v>2070</v>
      </c>
      <c r="G1340" s="105" t="s">
        <v>2071</v>
      </c>
    </row>
    <row r="1341" spans="1:7" ht="12" x14ac:dyDescent="0.25">
      <c r="A1341" s="90" t="s">
        <v>37</v>
      </c>
      <c r="B1341" s="90" t="s">
        <v>66</v>
      </c>
      <c r="C1341" s="90">
        <v>1</v>
      </c>
      <c r="D1341" s="109" t="s">
        <v>338</v>
      </c>
      <c r="E1341" s="99" t="s">
        <v>338</v>
      </c>
      <c r="F1341" s="100" t="s">
        <v>2072</v>
      </c>
      <c r="G1341" s="105" t="s">
        <v>2073</v>
      </c>
    </row>
    <row r="1342" spans="1:7" ht="12" x14ac:dyDescent="0.25">
      <c r="A1342" s="90" t="s">
        <v>37</v>
      </c>
      <c r="B1342" s="90" t="s">
        <v>66</v>
      </c>
      <c r="C1342" s="90">
        <v>1</v>
      </c>
      <c r="D1342" s="109" t="s">
        <v>339</v>
      </c>
      <c r="E1342" s="99" t="s">
        <v>339</v>
      </c>
      <c r="F1342" s="100" t="s">
        <v>2074</v>
      </c>
      <c r="G1342" s="105" t="s">
        <v>2075</v>
      </c>
    </row>
    <row r="1343" spans="1:7" ht="12" x14ac:dyDescent="0.25">
      <c r="A1343" s="90" t="s">
        <v>37</v>
      </c>
      <c r="B1343" s="90" t="s">
        <v>66</v>
      </c>
      <c r="C1343" s="90">
        <v>1</v>
      </c>
      <c r="D1343" s="109" t="s">
        <v>340</v>
      </c>
      <c r="E1343" s="99" t="s">
        <v>340</v>
      </c>
      <c r="F1343" s="100" t="s">
        <v>2076</v>
      </c>
      <c r="G1343" s="105" t="s">
        <v>2077</v>
      </c>
    </row>
    <row r="1344" spans="1:7" ht="12" x14ac:dyDescent="0.25">
      <c r="A1344" s="90" t="s">
        <v>37</v>
      </c>
      <c r="B1344" s="90" t="s">
        <v>66</v>
      </c>
      <c r="C1344" s="90">
        <v>1</v>
      </c>
      <c r="D1344" s="109" t="s">
        <v>341</v>
      </c>
      <c r="E1344" s="99" t="s">
        <v>341</v>
      </c>
      <c r="F1344" s="100" t="s">
        <v>2078</v>
      </c>
      <c r="G1344" s="105" t="s">
        <v>2079</v>
      </c>
    </row>
    <row r="1345" spans="1:7" ht="12" x14ac:dyDescent="0.25">
      <c r="A1345" s="90" t="s">
        <v>37</v>
      </c>
      <c r="B1345" s="90" t="s">
        <v>66</v>
      </c>
      <c r="C1345" s="90">
        <v>1</v>
      </c>
      <c r="D1345" s="109" t="s">
        <v>342</v>
      </c>
      <c r="E1345" s="99" t="s">
        <v>342</v>
      </c>
      <c r="F1345" s="100" t="s">
        <v>2080</v>
      </c>
      <c r="G1345" s="105" t="s">
        <v>2081</v>
      </c>
    </row>
    <row r="1346" spans="1:7" ht="12" x14ac:dyDescent="0.25">
      <c r="A1346" s="90" t="s">
        <v>37</v>
      </c>
      <c r="B1346" s="90" t="s">
        <v>66</v>
      </c>
      <c r="C1346" s="90">
        <v>1</v>
      </c>
      <c r="D1346" s="109" t="s">
        <v>2082</v>
      </c>
      <c r="E1346" s="99" t="s">
        <v>2082</v>
      </c>
      <c r="F1346" s="100" t="s">
        <v>2473</v>
      </c>
      <c r="G1346" s="105" t="s">
        <v>2529</v>
      </c>
    </row>
    <row r="1347" spans="1:7" ht="12" x14ac:dyDescent="0.25">
      <c r="A1347" s="90" t="s">
        <v>37</v>
      </c>
      <c r="B1347" s="90" t="s">
        <v>66</v>
      </c>
      <c r="C1347" s="90">
        <v>1</v>
      </c>
      <c r="D1347" s="109" t="s">
        <v>191</v>
      </c>
      <c r="E1347" s="99" t="s">
        <v>191</v>
      </c>
      <c r="F1347" s="100" t="s">
        <v>343</v>
      </c>
      <c r="G1347" s="105" t="s">
        <v>2090</v>
      </c>
    </row>
    <row r="1348" spans="1:7" ht="12" x14ac:dyDescent="0.25">
      <c r="A1348" s="90" t="s">
        <v>37</v>
      </c>
      <c r="B1348" s="90" t="s">
        <v>66</v>
      </c>
      <c r="C1348" s="90">
        <v>1</v>
      </c>
      <c r="D1348" s="109" t="s">
        <v>244</v>
      </c>
      <c r="E1348" s="99" t="s">
        <v>244</v>
      </c>
      <c r="F1348" s="100" t="s">
        <v>344</v>
      </c>
      <c r="G1348" s="105" t="s">
        <v>345</v>
      </c>
    </row>
    <row r="1349" spans="1:7" ht="12" x14ac:dyDescent="0.25">
      <c r="A1349" s="90" t="s">
        <v>37</v>
      </c>
      <c r="B1349" s="90" t="s">
        <v>66</v>
      </c>
      <c r="C1349" s="90">
        <v>1</v>
      </c>
      <c r="D1349" s="109" t="s">
        <v>2084</v>
      </c>
      <c r="E1349" s="99" t="s">
        <v>2084</v>
      </c>
      <c r="F1349" s="100" t="s">
        <v>2474</v>
      </c>
      <c r="G1349" s="105" t="s">
        <v>2530</v>
      </c>
    </row>
    <row r="1350" spans="1:7" ht="12" x14ac:dyDescent="0.25">
      <c r="A1350" s="90" t="s">
        <v>37</v>
      </c>
      <c r="B1350" s="90" t="s">
        <v>66</v>
      </c>
      <c r="C1350" s="90">
        <v>1</v>
      </c>
      <c r="D1350" s="109" t="s">
        <v>211</v>
      </c>
      <c r="E1350" s="99" t="s">
        <v>211</v>
      </c>
      <c r="F1350" s="100" t="s">
        <v>2085</v>
      </c>
      <c r="G1350" s="105" t="s">
        <v>349</v>
      </c>
    </row>
    <row r="1351" spans="1:7" ht="12" x14ac:dyDescent="0.25">
      <c r="A1351" s="90" t="s">
        <v>37</v>
      </c>
      <c r="B1351" s="90" t="s">
        <v>66</v>
      </c>
      <c r="C1351" s="90">
        <v>1</v>
      </c>
      <c r="D1351" s="109" t="s">
        <v>193</v>
      </c>
      <c r="E1351" s="99" t="s">
        <v>193</v>
      </c>
      <c r="F1351" s="100" t="s">
        <v>350</v>
      </c>
      <c r="G1351" s="105" t="s">
        <v>2086</v>
      </c>
    </row>
    <row r="1352" spans="1:7" ht="12" x14ac:dyDescent="0.25">
      <c r="A1352" s="90" t="s">
        <v>37</v>
      </c>
      <c r="B1352" s="90" t="s">
        <v>66</v>
      </c>
      <c r="C1352" s="90">
        <v>1</v>
      </c>
      <c r="D1352" s="109" t="s">
        <v>145</v>
      </c>
      <c r="E1352" s="99" t="s">
        <v>145</v>
      </c>
      <c r="F1352" s="100" t="s">
        <v>351</v>
      </c>
      <c r="G1352" s="105" t="s">
        <v>352</v>
      </c>
    </row>
    <row r="1353" spans="1:7" ht="360" x14ac:dyDescent="0.25">
      <c r="A1353" s="90" t="s">
        <v>37</v>
      </c>
      <c r="B1353" s="90" t="s">
        <v>66</v>
      </c>
      <c r="C1353" s="90">
        <v>2</v>
      </c>
      <c r="D1353" s="109" t="s">
        <v>2021</v>
      </c>
      <c r="E1353" s="99" t="s">
        <v>2021</v>
      </c>
      <c r="F1353" s="100" t="s">
        <v>2450</v>
      </c>
      <c r="G1353" s="105" t="s">
        <v>2451</v>
      </c>
    </row>
    <row r="1354" spans="1:7" ht="12" x14ac:dyDescent="0.25">
      <c r="A1354" s="90" t="s">
        <v>37</v>
      </c>
      <c r="B1354" s="90" t="s">
        <v>66</v>
      </c>
      <c r="C1354" s="90">
        <v>2</v>
      </c>
      <c r="D1354" s="109" t="s">
        <v>75</v>
      </c>
      <c r="E1354" s="99" t="s">
        <v>75</v>
      </c>
      <c r="F1354" s="100" t="s">
        <v>2022</v>
      </c>
      <c r="G1354" s="105" t="s">
        <v>2023</v>
      </c>
    </row>
    <row r="1355" spans="1:7" ht="12" x14ac:dyDescent="0.25">
      <c r="A1355" s="90" t="s">
        <v>37</v>
      </c>
      <c r="B1355" s="90" t="s">
        <v>66</v>
      </c>
      <c r="C1355" s="90">
        <v>2</v>
      </c>
      <c r="D1355" s="109" t="s">
        <v>2000</v>
      </c>
      <c r="E1355" s="99" t="s">
        <v>2000</v>
      </c>
      <c r="F1355" s="100" t="s">
        <v>2452</v>
      </c>
      <c r="G1355" s="105" t="s">
        <v>2531</v>
      </c>
    </row>
    <row r="1356" spans="1:7" ht="12" x14ac:dyDescent="0.25">
      <c r="A1356" s="90" t="s">
        <v>37</v>
      </c>
      <c r="B1356" s="90" t="s">
        <v>66</v>
      </c>
      <c r="C1356" s="90">
        <v>2</v>
      </c>
      <c r="D1356" s="109" t="s">
        <v>2001</v>
      </c>
      <c r="E1356" s="99" t="s">
        <v>2001</v>
      </c>
      <c r="F1356" s="100" t="s">
        <v>2475</v>
      </c>
      <c r="G1356" s="105" t="s">
        <v>2532</v>
      </c>
    </row>
    <row r="1357" spans="1:7" ht="12" x14ac:dyDescent="0.25">
      <c r="A1357" s="90" t="s">
        <v>37</v>
      </c>
      <c r="B1357" s="90" t="s">
        <v>66</v>
      </c>
      <c r="C1357" s="90">
        <v>2</v>
      </c>
      <c r="D1357" s="109" t="s">
        <v>225</v>
      </c>
      <c r="E1357" s="99" t="s">
        <v>225</v>
      </c>
      <c r="F1357" s="100" t="s">
        <v>335</v>
      </c>
      <c r="G1357" s="105" t="s">
        <v>336</v>
      </c>
    </row>
    <row r="1358" spans="1:7" ht="12" x14ac:dyDescent="0.25">
      <c r="A1358" s="90" t="s">
        <v>37</v>
      </c>
      <c r="B1358" s="90" t="s">
        <v>66</v>
      </c>
      <c r="C1358" s="90">
        <v>2</v>
      </c>
      <c r="D1358" s="109" t="s">
        <v>74</v>
      </c>
      <c r="E1358" s="99" t="s">
        <v>74</v>
      </c>
      <c r="F1358" s="100" t="s">
        <v>2028</v>
      </c>
      <c r="G1358" s="105" t="s">
        <v>2029</v>
      </c>
    </row>
    <row r="1359" spans="1:7" ht="12" x14ac:dyDescent="0.25">
      <c r="A1359" s="90" t="s">
        <v>37</v>
      </c>
      <c r="B1359" s="90" t="s">
        <v>66</v>
      </c>
      <c r="C1359" s="90">
        <v>2</v>
      </c>
      <c r="D1359" s="109" t="s">
        <v>2030</v>
      </c>
      <c r="E1359" s="99" t="s">
        <v>2030</v>
      </c>
      <c r="F1359" s="100" t="s">
        <v>2467</v>
      </c>
      <c r="G1359" s="105" t="s">
        <v>2462</v>
      </c>
    </row>
    <row r="1360" spans="1:7" ht="12" x14ac:dyDescent="0.25">
      <c r="A1360" s="90" t="s">
        <v>37</v>
      </c>
      <c r="B1360" s="90" t="s">
        <v>66</v>
      </c>
      <c r="C1360" s="90">
        <v>2</v>
      </c>
      <c r="D1360" s="109" t="s">
        <v>64</v>
      </c>
      <c r="E1360" s="99" t="s">
        <v>64</v>
      </c>
      <c r="F1360" s="100" t="s">
        <v>2031</v>
      </c>
      <c r="G1360" s="105" t="s">
        <v>2032</v>
      </c>
    </row>
    <row r="1361" spans="1:7" ht="12" x14ac:dyDescent="0.25">
      <c r="A1361" s="90" t="s">
        <v>37</v>
      </c>
      <c r="B1361" s="90" t="s">
        <v>66</v>
      </c>
      <c r="C1361" s="90">
        <v>2</v>
      </c>
      <c r="D1361" s="109" t="s">
        <v>130</v>
      </c>
      <c r="E1361" s="99" t="s">
        <v>130</v>
      </c>
      <c r="F1361" s="100" t="s">
        <v>2468</v>
      </c>
      <c r="G1361" s="105" t="s">
        <v>2524</v>
      </c>
    </row>
    <row r="1362" spans="1:7" ht="12" x14ac:dyDescent="0.25">
      <c r="A1362" s="90" t="s">
        <v>37</v>
      </c>
      <c r="B1362" s="90" t="s">
        <v>66</v>
      </c>
      <c r="C1362" s="90">
        <v>2</v>
      </c>
      <c r="D1362" s="109" t="s">
        <v>226</v>
      </c>
      <c r="E1362" s="99" t="s">
        <v>226</v>
      </c>
      <c r="F1362" s="100" t="s">
        <v>2088</v>
      </c>
      <c r="G1362" s="105" t="s">
        <v>2089</v>
      </c>
    </row>
    <row r="1363" spans="1:7" ht="12" x14ac:dyDescent="0.25">
      <c r="A1363" s="90" t="s">
        <v>37</v>
      </c>
      <c r="B1363" s="90" t="s">
        <v>66</v>
      </c>
      <c r="C1363" s="90">
        <v>2</v>
      </c>
      <c r="D1363" s="109" t="s">
        <v>227</v>
      </c>
      <c r="E1363" s="99" t="s">
        <v>227</v>
      </c>
      <c r="F1363" s="100" t="s">
        <v>2033</v>
      </c>
      <c r="G1363" s="105" t="s">
        <v>2034</v>
      </c>
    </row>
    <row r="1364" spans="1:7" ht="12" x14ac:dyDescent="0.25">
      <c r="A1364" s="90" t="s">
        <v>37</v>
      </c>
      <c r="B1364" s="90" t="s">
        <v>66</v>
      </c>
      <c r="C1364" s="90">
        <v>2</v>
      </c>
      <c r="D1364" s="109" t="s">
        <v>228</v>
      </c>
      <c r="E1364" s="99" t="s">
        <v>228</v>
      </c>
      <c r="F1364" s="100" t="s">
        <v>2035</v>
      </c>
      <c r="G1364" s="105" t="s">
        <v>2036</v>
      </c>
    </row>
    <row r="1365" spans="1:7" ht="12" x14ac:dyDescent="0.25">
      <c r="A1365" s="90" t="s">
        <v>37</v>
      </c>
      <c r="B1365" s="90" t="s">
        <v>66</v>
      </c>
      <c r="C1365" s="90">
        <v>2</v>
      </c>
      <c r="D1365" s="109" t="s">
        <v>229</v>
      </c>
      <c r="E1365" s="99" t="s">
        <v>229</v>
      </c>
      <c r="F1365" s="102" t="s">
        <v>2037</v>
      </c>
      <c r="G1365" s="107" t="s">
        <v>2038</v>
      </c>
    </row>
    <row r="1366" spans="1:7" ht="12" x14ac:dyDescent="0.25">
      <c r="A1366" s="90" t="s">
        <v>37</v>
      </c>
      <c r="B1366" s="90" t="s">
        <v>66</v>
      </c>
      <c r="C1366" s="90">
        <v>2</v>
      </c>
      <c r="D1366" s="109" t="s">
        <v>230</v>
      </c>
      <c r="E1366" s="99" t="s">
        <v>230</v>
      </c>
      <c r="F1366" s="100" t="s">
        <v>2039</v>
      </c>
      <c r="G1366" s="105" t="s">
        <v>2040</v>
      </c>
    </row>
    <row r="1367" spans="1:7" ht="12" x14ac:dyDescent="0.25">
      <c r="A1367" s="90" t="s">
        <v>37</v>
      </c>
      <c r="B1367" s="90" t="s">
        <v>66</v>
      </c>
      <c r="C1367" s="90">
        <v>2</v>
      </c>
      <c r="D1367" s="109" t="s">
        <v>231</v>
      </c>
      <c r="E1367" s="99" t="s">
        <v>231</v>
      </c>
      <c r="F1367" s="100" t="s">
        <v>2041</v>
      </c>
      <c r="G1367" s="105" t="s">
        <v>2042</v>
      </c>
    </row>
    <row r="1368" spans="1:7" ht="12" x14ac:dyDescent="0.25">
      <c r="A1368" s="90" t="s">
        <v>37</v>
      </c>
      <c r="B1368" s="90" t="s">
        <v>66</v>
      </c>
      <c r="C1368" s="90">
        <v>2</v>
      </c>
      <c r="D1368" s="109" t="s">
        <v>2043</v>
      </c>
      <c r="E1368" s="99" t="s">
        <v>2043</v>
      </c>
      <c r="F1368" s="100" t="s">
        <v>2470</v>
      </c>
      <c r="G1368" s="105" t="s">
        <v>2526</v>
      </c>
    </row>
    <row r="1369" spans="1:7" ht="12" x14ac:dyDescent="0.25">
      <c r="A1369" s="90" t="s">
        <v>37</v>
      </c>
      <c r="B1369" s="90" t="s">
        <v>66</v>
      </c>
      <c r="C1369" s="90">
        <v>2</v>
      </c>
      <c r="D1369" s="109" t="s">
        <v>130</v>
      </c>
      <c r="E1369" s="99" t="s">
        <v>130</v>
      </c>
      <c r="F1369" s="100" t="s">
        <v>2468</v>
      </c>
      <c r="G1369" s="105" t="s">
        <v>2524</v>
      </c>
    </row>
    <row r="1370" spans="1:7" ht="12" x14ac:dyDescent="0.25">
      <c r="A1370" s="90" t="s">
        <v>37</v>
      </c>
      <c r="B1370" s="90" t="s">
        <v>66</v>
      </c>
      <c r="C1370" s="90">
        <v>2</v>
      </c>
      <c r="D1370" s="160" t="s">
        <v>232</v>
      </c>
      <c r="E1370" s="161" t="s">
        <v>232</v>
      </c>
      <c r="F1370" s="162" t="s">
        <v>2044</v>
      </c>
      <c r="G1370" s="163" t="s">
        <v>2045</v>
      </c>
    </row>
    <row r="1371" spans="1:7" ht="12" x14ac:dyDescent="0.25">
      <c r="A1371" s="90" t="s">
        <v>37</v>
      </c>
      <c r="B1371" s="90" t="s">
        <v>66</v>
      </c>
      <c r="C1371" s="90">
        <v>2</v>
      </c>
      <c r="D1371" s="109" t="s">
        <v>233</v>
      </c>
      <c r="E1371" s="99" t="s">
        <v>233</v>
      </c>
      <c r="F1371" s="100" t="s">
        <v>2046</v>
      </c>
      <c r="G1371" s="105" t="s">
        <v>2047</v>
      </c>
    </row>
    <row r="1372" spans="1:7" ht="12" x14ac:dyDescent="0.25">
      <c r="A1372" s="90" t="s">
        <v>37</v>
      </c>
      <c r="B1372" s="90" t="s">
        <v>66</v>
      </c>
      <c r="C1372" s="90">
        <v>2</v>
      </c>
      <c r="D1372" s="109" t="s">
        <v>234</v>
      </c>
      <c r="E1372" s="99" t="s">
        <v>234</v>
      </c>
      <c r="F1372" s="100" t="s">
        <v>2048</v>
      </c>
      <c r="G1372" s="105" t="s">
        <v>2049</v>
      </c>
    </row>
    <row r="1373" spans="1:7" ht="12" x14ac:dyDescent="0.25">
      <c r="A1373" s="90" t="s">
        <v>37</v>
      </c>
      <c r="B1373" s="90" t="s">
        <v>66</v>
      </c>
      <c r="C1373" s="90">
        <v>2</v>
      </c>
      <c r="D1373" s="109" t="s">
        <v>235</v>
      </c>
      <c r="E1373" s="99" t="s">
        <v>235</v>
      </c>
      <c r="F1373" s="100" t="s">
        <v>2050</v>
      </c>
      <c r="G1373" s="105" t="s">
        <v>2051</v>
      </c>
    </row>
    <row r="1374" spans="1:7" ht="12" x14ac:dyDescent="0.25">
      <c r="A1374" s="90" t="s">
        <v>37</v>
      </c>
      <c r="B1374" s="90" t="s">
        <v>66</v>
      </c>
      <c r="C1374" s="90">
        <v>2</v>
      </c>
      <c r="D1374" s="109" t="s">
        <v>236</v>
      </c>
      <c r="E1374" s="99" t="s">
        <v>236</v>
      </c>
      <c r="F1374" s="100" t="s">
        <v>2052</v>
      </c>
      <c r="G1374" s="105" t="s">
        <v>2053</v>
      </c>
    </row>
    <row r="1375" spans="1:7" ht="12" x14ac:dyDescent="0.25">
      <c r="A1375" s="90" t="s">
        <v>37</v>
      </c>
      <c r="B1375" s="90" t="s">
        <v>66</v>
      </c>
      <c r="C1375" s="90">
        <v>2</v>
      </c>
      <c r="D1375" s="109" t="s">
        <v>237</v>
      </c>
      <c r="E1375" s="99" t="s">
        <v>237</v>
      </c>
      <c r="F1375" s="100" t="s">
        <v>2054</v>
      </c>
      <c r="G1375" s="105" t="s">
        <v>2055</v>
      </c>
    </row>
    <row r="1376" spans="1:7" ht="12" x14ac:dyDescent="0.25">
      <c r="A1376" s="90" t="s">
        <v>37</v>
      </c>
      <c r="B1376" s="90" t="s">
        <v>66</v>
      </c>
      <c r="C1376" s="90">
        <v>2</v>
      </c>
      <c r="D1376" s="109" t="s">
        <v>2056</v>
      </c>
      <c r="E1376" s="99" t="s">
        <v>2056</v>
      </c>
      <c r="F1376" s="100" t="s">
        <v>2471</v>
      </c>
      <c r="G1376" s="105" t="s">
        <v>2527</v>
      </c>
    </row>
    <row r="1377" spans="1:7" ht="12" x14ac:dyDescent="0.25">
      <c r="A1377" s="90" t="s">
        <v>37</v>
      </c>
      <c r="B1377" s="90" t="s">
        <v>66</v>
      </c>
      <c r="C1377" s="90">
        <v>2</v>
      </c>
      <c r="D1377" s="109" t="s">
        <v>130</v>
      </c>
      <c r="E1377" s="99" t="s">
        <v>130</v>
      </c>
      <c r="F1377" s="100" t="s">
        <v>2468</v>
      </c>
      <c r="G1377" s="105" t="s">
        <v>2524</v>
      </c>
    </row>
    <row r="1378" spans="1:7" ht="12" x14ac:dyDescent="0.25">
      <c r="A1378" s="90" t="s">
        <v>37</v>
      </c>
      <c r="B1378" s="90" t="s">
        <v>66</v>
      </c>
      <c r="C1378" s="90">
        <v>2</v>
      </c>
      <c r="D1378" s="109" t="s">
        <v>238</v>
      </c>
      <c r="E1378" s="99" t="s">
        <v>238</v>
      </c>
      <c r="F1378" s="100" t="s">
        <v>2057</v>
      </c>
      <c r="G1378" s="105" t="s">
        <v>2058</v>
      </c>
    </row>
    <row r="1379" spans="1:7" ht="12" x14ac:dyDescent="0.25">
      <c r="A1379" s="90" t="s">
        <v>37</v>
      </c>
      <c r="B1379" s="90" t="s">
        <v>66</v>
      </c>
      <c r="C1379" s="90">
        <v>2</v>
      </c>
      <c r="D1379" s="109" t="s">
        <v>239</v>
      </c>
      <c r="E1379" s="99" t="s">
        <v>239</v>
      </c>
      <c r="F1379" s="100" t="s">
        <v>2059</v>
      </c>
      <c r="G1379" s="105" t="s">
        <v>2060</v>
      </c>
    </row>
    <row r="1380" spans="1:7" ht="12" x14ac:dyDescent="0.25">
      <c r="A1380" s="90" t="s">
        <v>37</v>
      </c>
      <c r="B1380" s="90" t="s">
        <v>66</v>
      </c>
      <c r="C1380" s="90">
        <v>2</v>
      </c>
      <c r="D1380" s="109" t="s">
        <v>240</v>
      </c>
      <c r="E1380" s="99" t="s">
        <v>240</v>
      </c>
      <c r="F1380" s="100" t="s">
        <v>2061</v>
      </c>
      <c r="G1380" s="105" t="s">
        <v>2062</v>
      </c>
    </row>
    <row r="1381" spans="1:7" ht="12" x14ac:dyDescent="0.25">
      <c r="A1381" s="90" t="s">
        <v>37</v>
      </c>
      <c r="B1381" s="90" t="s">
        <v>66</v>
      </c>
      <c r="C1381" s="90">
        <v>2</v>
      </c>
      <c r="D1381" s="109" t="s">
        <v>241</v>
      </c>
      <c r="E1381" s="99" t="s">
        <v>241</v>
      </c>
      <c r="F1381" s="100" t="s">
        <v>2063</v>
      </c>
      <c r="G1381" s="105" t="s">
        <v>2064</v>
      </c>
    </row>
    <row r="1382" spans="1:7" ht="12" x14ac:dyDescent="0.25">
      <c r="A1382" s="90" t="s">
        <v>37</v>
      </c>
      <c r="B1382" s="90" t="s">
        <v>66</v>
      </c>
      <c r="C1382" s="90">
        <v>2</v>
      </c>
      <c r="D1382" s="109" t="s">
        <v>242</v>
      </c>
      <c r="E1382" s="99" t="s">
        <v>242</v>
      </c>
      <c r="F1382" s="100" t="s">
        <v>2065</v>
      </c>
      <c r="G1382" s="105" t="s">
        <v>2066</v>
      </c>
    </row>
    <row r="1383" spans="1:7" ht="12" x14ac:dyDescent="0.25">
      <c r="A1383" s="90" t="s">
        <v>37</v>
      </c>
      <c r="B1383" s="90" t="s">
        <v>66</v>
      </c>
      <c r="C1383" s="90">
        <v>2</v>
      </c>
      <c r="D1383" s="109" t="s">
        <v>243</v>
      </c>
      <c r="E1383" s="99" t="s">
        <v>243</v>
      </c>
      <c r="F1383" s="100" t="s">
        <v>2067</v>
      </c>
      <c r="G1383" s="105" t="s">
        <v>2068</v>
      </c>
    </row>
    <row r="1384" spans="1:7" ht="12" x14ac:dyDescent="0.25">
      <c r="A1384" s="90" t="s">
        <v>37</v>
      </c>
      <c r="B1384" s="90" t="s">
        <v>66</v>
      </c>
      <c r="C1384" s="90">
        <v>2</v>
      </c>
      <c r="D1384" s="109" t="s">
        <v>2069</v>
      </c>
      <c r="E1384" s="99" t="s">
        <v>2069</v>
      </c>
      <c r="F1384" s="100" t="s">
        <v>2472</v>
      </c>
      <c r="G1384" s="105" t="s">
        <v>2528</v>
      </c>
    </row>
    <row r="1385" spans="1:7" ht="12" x14ac:dyDescent="0.25">
      <c r="A1385" s="90" t="s">
        <v>37</v>
      </c>
      <c r="B1385" s="90" t="s">
        <v>66</v>
      </c>
      <c r="C1385" s="90">
        <v>2</v>
      </c>
      <c r="D1385" s="109" t="s">
        <v>130</v>
      </c>
      <c r="E1385" s="99" t="s">
        <v>130</v>
      </c>
      <c r="F1385" s="100" t="s">
        <v>2468</v>
      </c>
      <c r="G1385" s="105" t="s">
        <v>2524</v>
      </c>
    </row>
    <row r="1386" spans="1:7" ht="12" x14ac:dyDescent="0.25">
      <c r="A1386" s="90" t="s">
        <v>37</v>
      </c>
      <c r="B1386" s="90" t="s">
        <v>66</v>
      </c>
      <c r="C1386" s="90">
        <v>2</v>
      </c>
      <c r="D1386" s="109" t="s">
        <v>337</v>
      </c>
      <c r="E1386" s="99" t="s">
        <v>337</v>
      </c>
      <c r="F1386" s="100" t="s">
        <v>2070</v>
      </c>
      <c r="G1386" s="105" t="s">
        <v>2071</v>
      </c>
    </row>
    <row r="1387" spans="1:7" ht="12" x14ac:dyDescent="0.25">
      <c r="A1387" s="90" t="s">
        <v>37</v>
      </c>
      <c r="B1387" s="90" t="s">
        <v>66</v>
      </c>
      <c r="C1387" s="90">
        <v>2</v>
      </c>
      <c r="D1387" s="109" t="s">
        <v>338</v>
      </c>
      <c r="E1387" s="99" t="s">
        <v>338</v>
      </c>
      <c r="F1387" s="100" t="s">
        <v>2072</v>
      </c>
      <c r="G1387" s="105" t="s">
        <v>2073</v>
      </c>
    </row>
    <row r="1388" spans="1:7" ht="12" x14ac:dyDescent="0.25">
      <c r="A1388" s="90" t="s">
        <v>37</v>
      </c>
      <c r="B1388" s="90" t="s">
        <v>66</v>
      </c>
      <c r="C1388" s="90">
        <v>2</v>
      </c>
      <c r="D1388" s="109" t="s">
        <v>339</v>
      </c>
      <c r="E1388" s="99" t="s">
        <v>339</v>
      </c>
      <c r="F1388" s="100" t="s">
        <v>2074</v>
      </c>
      <c r="G1388" s="105" t="s">
        <v>2075</v>
      </c>
    </row>
    <row r="1389" spans="1:7" ht="12" x14ac:dyDescent="0.25">
      <c r="A1389" s="90" t="s">
        <v>37</v>
      </c>
      <c r="B1389" s="90" t="s">
        <v>66</v>
      </c>
      <c r="C1389" s="90">
        <v>2</v>
      </c>
      <c r="D1389" s="109" t="s">
        <v>340</v>
      </c>
      <c r="E1389" s="99" t="s">
        <v>340</v>
      </c>
      <c r="F1389" s="100" t="s">
        <v>2076</v>
      </c>
      <c r="G1389" s="105" t="s">
        <v>2077</v>
      </c>
    </row>
    <row r="1390" spans="1:7" ht="12" x14ac:dyDescent="0.25">
      <c r="A1390" s="90" t="s">
        <v>37</v>
      </c>
      <c r="B1390" s="90" t="s">
        <v>66</v>
      </c>
      <c r="C1390" s="90">
        <v>2</v>
      </c>
      <c r="D1390" s="109" t="s">
        <v>341</v>
      </c>
      <c r="E1390" s="99" t="s">
        <v>341</v>
      </c>
      <c r="F1390" s="100" t="s">
        <v>2078</v>
      </c>
      <c r="G1390" s="105" t="s">
        <v>2079</v>
      </c>
    </row>
    <row r="1391" spans="1:7" ht="12" x14ac:dyDescent="0.25">
      <c r="A1391" s="90" t="s">
        <v>37</v>
      </c>
      <c r="B1391" s="90" t="s">
        <v>66</v>
      </c>
      <c r="C1391" s="90">
        <v>2</v>
      </c>
      <c r="D1391" s="109" t="s">
        <v>342</v>
      </c>
      <c r="E1391" s="99" t="s">
        <v>342</v>
      </c>
      <c r="F1391" s="100" t="s">
        <v>2080</v>
      </c>
      <c r="G1391" s="105" t="s">
        <v>2081</v>
      </c>
    </row>
    <row r="1392" spans="1:7" ht="12" x14ac:dyDescent="0.25">
      <c r="A1392" s="90" t="s">
        <v>37</v>
      </c>
      <c r="B1392" s="90" t="s">
        <v>66</v>
      </c>
      <c r="C1392" s="90">
        <v>2</v>
      </c>
      <c r="D1392" s="109" t="s">
        <v>2082</v>
      </c>
      <c r="E1392" s="99" t="s">
        <v>2082</v>
      </c>
      <c r="F1392" s="100" t="s">
        <v>2473</v>
      </c>
      <c r="G1392" s="105" t="s">
        <v>2529</v>
      </c>
    </row>
    <row r="1393" spans="1:7" ht="12" x14ac:dyDescent="0.25">
      <c r="A1393" s="90" t="s">
        <v>37</v>
      </c>
      <c r="B1393" s="90" t="s">
        <v>66</v>
      </c>
      <c r="C1393" s="90">
        <v>2</v>
      </c>
      <c r="D1393" s="109" t="s">
        <v>191</v>
      </c>
      <c r="E1393" s="99" t="s">
        <v>191</v>
      </c>
      <c r="F1393" s="100" t="s">
        <v>343</v>
      </c>
      <c r="G1393" s="105" t="s">
        <v>2090</v>
      </c>
    </row>
    <row r="1394" spans="1:7" ht="12" x14ac:dyDescent="0.25">
      <c r="A1394" s="90" t="s">
        <v>37</v>
      </c>
      <c r="B1394" s="90" t="s">
        <v>66</v>
      </c>
      <c r="C1394" s="90">
        <v>2</v>
      </c>
      <c r="D1394" s="109" t="s">
        <v>244</v>
      </c>
      <c r="E1394" s="99" t="s">
        <v>244</v>
      </c>
      <c r="F1394" s="100" t="s">
        <v>344</v>
      </c>
      <c r="G1394" s="105" t="s">
        <v>345</v>
      </c>
    </row>
    <row r="1395" spans="1:7" ht="12" x14ac:dyDescent="0.25">
      <c r="A1395" s="90" t="s">
        <v>37</v>
      </c>
      <c r="B1395" s="90" t="s">
        <v>66</v>
      </c>
      <c r="C1395" s="90">
        <v>2</v>
      </c>
      <c r="D1395" s="109" t="s">
        <v>2084</v>
      </c>
      <c r="E1395" s="99" t="s">
        <v>2084</v>
      </c>
      <c r="F1395" s="100" t="s">
        <v>2474</v>
      </c>
      <c r="G1395" s="105" t="s">
        <v>2530</v>
      </c>
    </row>
    <row r="1396" spans="1:7" ht="12" x14ac:dyDescent="0.25">
      <c r="A1396" s="90" t="s">
        <v>37</v>
      </c>
      <c r="B1396" s="90" t="s">
        <v>66</v>
      </c>
      <c r="C1396" s="90">
        <v>2</v>
      </c>
      <c r="D1396" s="109" t="s">
        <v>211</v>
      </c>
      <c r="E1396" s="99" t="s">
        <v>211</v>
      </c>
      <c r="F1396" s="100" t="s">
        <v>2085</v>
      </c>
      <c r="G1396" s="105" t="s">
        <v>349</v>
      </c>
    </row>
    <row r="1397" spans="1:7" ht="12" x14ac:dyDescent="0.25">
      <c r="A1397" s="90" t="s">
        <v>37</v>
      </c>
      <c r="B1397" s="90" t="s">
        <v>66</v>
      </c>
      <c r="C1397" s="90">
        <v>2</v>
      </c>
      <c r="D1397" s="109" t="s">
        <v>193</v>
      </c>
      <c r="E1397" s="99" t="s">
        <v>193</v>
      </c>
      <c r="F1397" s="100" t="s">
        <v>350</v>
      </c>
      <c r="G1397" s="105" t="s">
        <v>2086</v>
      </c>
    </row>
    <row r="1398" spans="1:7" ht="12" x14ac:dyDescent="0.25">
      <c r="A1398" s="90" t="s">
        <v>37</v>
      </c>
      <c r="B1398" s="90" t="s">
        <v>66</v>
      </c>
      <c r="C1398" s="90">
        <v>2</v>
      </c>
      <c r="D1398" s="109" t="s">
        <v>145</v>
      </c>
      <c r="E1398" s="99" t="s">
        <v>145</v>
      </c>
      <c r="F1398" s="100" t="s">
        <v>351</v>
      </c>
      <c r="G1398" s="105" t="s">
        <v>352</v>
      </c>
    </row>
    <row r="1399" spans="1:7" ht="360" x14ac:dyDescent="0.25">
      <c r="A1399" s="90" t="s">
        <v>37</v>
      </c>
      <c r="B1399" s="90" t="s">
        <v>66</v>
      </c>
      <c r="C1399" s="90">
        <v>3</v>
      </c>
      <c r="D1399" s="109" t="s">
        <v>2021</v>
      </c>
      <c r="E1399" s="99" t="s">
        <v>2021</v>
      </c>
      <c r="F1399" s="100" t="s">
        <v>2450</v>
      </c>
      <c r="G1399" s="105" t="s">
        <v>2451</v>
      </c>
    </row>
    <row r="1400" spans="1:7" ht="12" x14ac:dyDescent="0.25">
      <c r="A1400" s="90" t="s">
        <v>37</v>
      </c>
      <c r="B1400" s="90" t="s">
        <v>66</v>
      </c>
      <c r="C1400" s="90">
        <v>3</v>
      </c>
      <c r="D1400" s="109" t="s">
        <v>75</v>
      </c>
      <c r="E1400" s="99" t="s">
        <v>75</v>
      </c>
      <c r="F1400" s="100" t="s">
        <v>2022</v>
      </c>
      <c r="G1400" s="105" t="s">
        <v>2023</v>
      </c>
    </row>
    <row r="1401" spans="1:7" ht="12" x14ac:dyDescent="0.25">
      <c r="A1401" s="90" t="s">
        <v>37</v>
      </c>
      <c r="B1401" s="90" t="s">
        <v>66</v>
      </c>
      <c r="C1401" s="90">
        <v>3</v>
      </c>
      <c r="D1401" s="109" t="s">
        <v>2000</v>
      </c>
      <c r="E1401" s="99" t="s">
        <v>2000</v>
      </c>
      <c r="F1401" s="100" t="s">
        <v>2452</v>
      </c>
      <c r="G1401" s="105" t="s">
        <v>2531</v>
      </c>
    </row>
    <row r="1402" spans="1:7" ht="12" x14ac:dyDescent="0.25">
      <c r="A1402" s="90" t="s">
        <v>37</v>
      </c>
      <c r="B1402" s="90" t="s">
        <v>66</v>
      </c>
      <c r="C1402" s="90">
        <v>3</v>
      </c>
      <c r="D1402" s="109" t="s">
        <v>2001</v>
      </c>
      <c r="E1402" s="99" t="s">
        <v>2001</v>
      </c>
      <c r="F1402" s="100" t="s">
        <v>2475</v>
      </c>
      <c r="G1402" s="105" t="s">
        <v>2532</v>
      </c>
    </row>
    <row r="1403" spans="1:7" ht="12" x14ac:dyDescent="0.25">
      <c r="A1403" s="90" t="s">
        <v>37</v>
      </c>
      <c r="B1403" s="90" t="s">
        <v>66</v>
      </c>
      <c r="C1403" s="90">
        <v>3</v>
      </c>
      <c r="D1403" s="109" t="s">
        <v>225</v>
      </c>
      <c r="E1403" s="99" t="s">
        <v>225</v>
      </c>
      <c r="F1403" s="100" t="s">
        <v>335</v>
      </c>
      <c r="G1403" s="105" t="s">
        <v>336</v>
      </c>
    </row>
    <row r="1404" spans="1:7" ht="12" x14ac:dyDescent="0.25">
      <c r="A1404" s="90" t="s">
        <v>37</v>
      </c>
      <c r="B1404" s="90" t="s">
        <v>66</v>
      </c>
      <c r="C1404" s="90">
        <v>3</v>
      </c>
      <c r="D1404" s="109" t="s">
        <v>74</v>
      </c>
      <c r="E1404" s="99" t="s">
        <v>74</v>
      </c>
      <c r="F1404" s="100" t="s">
        <v>2028</v>
      </c>
      <c r="G1404" s="105" t="s">
        <v>2029</v>
      </c>
    </row>
    <row r="1405" spans="1:7" ht="12" x14ac:dyDescent="0.25">
      <c r="A1405" s="90" t="s">
        <v>37</v>
      </c>
      <c r="B1405" s="90" t="s">
        <v>66</v>
      </c>
      <c r="C1405" s="90">
        <v>3</v>
      </c>
      <c r="D1405" s="109" t="s">
        <v>2030</v>
      </c>
      <c r="E1405" s="99" t="s">
        <v>2030</v>
      </c>
      <c r="F1405" s="100" t="s">
        <v>2467</v>
      </c>
      <c r="G1405" s="105" t="s">
        <v>2462</v>
      </c>
    </row>
    <row r="1406" spans="1:7" ht="12" x14ac:dyDescent="0.25">
      <c r="A1406" s="90" t="s">
        <v>37</v>
      </c>
      <c r="B1406" s="90" t="s">
        <v>66</v>
      </c>
      <c r="C1406" s="90">
        <v>3</v>
      </c>
      <c r="D1406" s="109" t="s">
        <v>64</v>
      </c>
      <c r="E1406" s="99" t="s">
        <v>64</v>
      </c>
      <c r="F1406" s="100" t="s">
        <v>2031</v>
      </c>
      <c r="G1406" s="105" t="s">
        <v>2032</v>
      </c>
    </row>
    <row r="1407" spans="1:7" ht="12" x14ac:dyDescent="0.25">
      <c r="A1407" s="90" t="s">
        <v>37</v>
      </c>
      <c r="B1407" s="90" t="s">
        <v>66</v>
      </c>
      <c r="C1407" s="90">
        <v>3</v>
      </c>
      <c r="D1407" s="109" t="s">
        <v>130</v>
      </c>
      <c r="E1407" s="99" t="s">
        <v>130</v>
      </c>
      <c r="F1407" s="100" t="s">
        <v>2468</v>
      </c>
      <c r="G1407" s="105" t="s">
        <v>2524</v>
      </c>
    </row>
    <row r="1408" spans="1:7" ht="12" x14ac:dyDescent="0.25">
      <c r="A1408" s="90" t="s">
        <v>37</v>
      </c>
      <c r="B1408" s="90" t="s">
        <v>66</v>
      </c>
      <c r="C1408" s="90">
        <v>3</v>
      </c>
      <c r="D1408" s="109" t="s">
        <v>226</v>
      </c>
      <c r="E1408" s="99" t="s">
        <v>226</v>
      </c>
      <c r="F1408" s="102" t="s">
        <v>2088</v>
      </c>
      <c r="G1408" s="107" t="s">
        <v>2089</v>
      </c>
    </row>
    <row r="1409" spans="1:7" ht="12" x14ac:dyDescent="0.25">
      <c r="A1409" s="90" t="s">
        <v>37</v>
      </c>
      <c r="B1409" s="90" t="s">
        <v>66</v>
      </c>
      <c r="C1409" s="90">
        <v>3</v>
      </c>
      <c r="D1409" s="109" t="s">
        <v>227</v>
      </c>
      <c r="E1409" s="99" t="s">
        <v>227</v>
      </c>
      <c r="F1409" s="100" t="s">
        <v>2033</v>
      </c>
      <c r="G1409" s="105" t="s">
        <v>2034</v>
      </c>
    </row>
    <row r="1410" spans="1:7" ht="12" x14ac:dyDescent="0.25">
      <c r="A1410" s="90" t="s">
        <v>37</v>
      </c>
      <c r="B1410" s="90" t="s">
        <v>66</v>
      </c>
      <c r="C1410" s="90">
        <v>3</v>
      </c>
      <c r="D1410" s="109" t="s">
        <v>228</v>
      </c>
      <c r="E1410" s="99" t="s">
        <v>228</v>
      </c>
      <c r="F1410" s="100" t="s">
        <v>2035</v>
      </c>
      <c r="G1410" s="105" t="s">
        <v>2036</v>
      </c>
    </row>
    <row r="1411" spans="1:7" ht="12" x14ac:dyDescent="0.25">
      <c r="A1411" s="90" t="s">
        <v>37</v>
      </c>
      <c r="B1411" s="90" t="s">
        <v>66</v>
      </c>
      <c r="C1411" s="90">
        <v>3</v>
      </c>
      <c r="D1411" s="109" t="s">
        <v>229</v>
      </c>
      <c r="E1411" s="99" t="s">
        <v>229</v>
      </c>
      <c r="F1411" s="100" t="s">
        <v>2037</v>
      </c>
      <c r="G1411" s="105" t="s">
        <v>2038</v>
      </c>
    </row>
    <row r="1412" spans="1:7" ht="12" x14ac:dyDescent="0.25">
      <c r="A1412" s="90" t="s">
        <v>37</v>
      </c>
      <c r="B1412" s="90" t="s">
        <v>66</v>
      </c>
      <c r="C1412" s="90">
        <v>3</v>
      </c>
      <c r="D1412" s="109" t="s">
        <v>230</v>
      </c>
      <c r="E1412" s="99" t="s">
        <v>230</v>
      </c>
      <c r="F1412" s="100" t="s">
        <v>2039</v>
      </c>
      <c r="G1412" s="105" t="s">
        <v>2040</v>
      </c>
    </row>
    <row r="1413" spans="1:7" ht="12" x14ac:dyDescent="0.25">
      <c r="A1413" s="90" t="s">
        <v>37</v>
      </c>
      <c r="B1413" s="90" t="s">
        <v>66</v>
      </c>
      <c r="C1413" s="90">
        <v>3</v>
      </c>
      <c r="D1413" s="160" t="s">
        <v>231</v>
      </c>
      <c r="E1413" s="161" t="s">
        <v>231</v>
      </c>
      <c r="F1413" s="162" t="s">
        <v>2041</v>
      </c>
      <c r="G1413" s="163" t="s">
        <v>2042</v>
      </c>
    </row>
    <row r="1414" spans="1:7" ht="12" x14ac:dyDescent="0.25">
      <c r="A1414" s="90" t="s">
        <v>37</v>
      </c>
      <c r="B1414" s="90" t="s">
        <v>66</v>
      </c>
      <c r="C1414" s="90">
        <v>3</v>
      </c>
      <c r="D1414" s="109" t="s">
        <v>2043</v>
      </c>
      <c r="E1414" s="99" t="s">
        <v>2043</v>
      </c>
      <c r="F1414" s="100" t="s">
        <v>2470</v>
      </c>
      <c r="G1414" s="105" t="s">
        <v>2526</v>
      </c>
    </row>
    <row r="1415" spans="1:7" ht="12" x14ac:dyDescent="0.25">
      <c r="A1415" s="90" t="s">
        <v>37</v>
      </c>
      <c r="B1415" s="90" t="s">
        <v>66</v>
      </c>
      <c r="C1415" s="90">
        <v>3</v>
      </c>
      <c r="D1415" s="109" t="s">
        <v>130</v>
      </c>
      <c r="E1415" s="99" t="s">
        <v>130</v>
      </c>
      <c r="F1415" s="100" t="s">
        <v>2468</v>
      </c>
      <c r="G1415" s="105" t="s">
        <v>2524</v>
      </c>
    </row>
    <row r="1416" spans="1:7" ht="12" x14ac:dyDescent="0.25">
      <c r="A1416" s="90" t="s">
        <v>37</v>
      </c>
      <c r="B1416" s="90" t="s">
        <v>66</v>
      </c>
      <c r="C1416" s="90">
        <v>3</v>
      </c>
      <c r="D1416" s="109" t="s">
        <v>232</v>
      </c>
      <c r="E1416" s="99" t="s">
        <v>232</v>
      </c>
      <c r="F1416" s="100" t="s">
        <v>2044</v>
      </c>
      <c r="G1416" s="105" t="s">
        <v>2045</v>
      </c>
    </row>
    <row r="1417" spans="1:7" ht="12" x14ac:dyDescent="0.25">
      <c r="A1417" s="90" t="s">
        <v>37</v>
      </c>
      <c r="B1417" s="90" t="s">
        <v>66</v>
      </c>
      <c r="C1417" s="90">
        <v>3</v>
      </c>
      <c r="D1417" s="109" t="s">
        <v>233</v>
      </c>
      <c r="E1417" s="99" t="s">
        <v>233</v>
      </c>
      <c r="F1417" s="100" t="s">
        <v>2046</v>
      </c>
      <c r="G1417" s="105" t="s">
        <v>2047</v>
      </c>
    </row>
    <row r="1418" spans="1:7" ht="12" x14ac:dyDescent="0.25">
      <c r="A1418" s="90" t="s">
        <v>37</v>
      </c>
      <c r="B1418" s="90" t="s">
        <v>66</v>
      </c>
      <c r="C1418" s="90">
        <v>3</v>
      </c>
      <c r="D1418" s="109" t="s">
        <v>234</v>
      </c>
      <c r="E1418" s="99" t="s">
        <v>234</v>
      </c>
      <c r="F1418" s="100" t="s">
        <v>2048</v>
      </c>
      <c r="G1418" s="105" t="s">
        <v>2049</v>
      </c>
    </row>
    <row r="1419" spans="1:7" ht="12" x14ac:dyDescent="0.25">
      <c r="A1419" s="90" t="s">
        <v>37</v>
      </c>
      <c r="B1419" s="90" t="s">
        <v>66</v>
      </c>
      <c r="C1419" s="90">
        <v>3</v>
      </c>
      <c r="D1419" s="109" t="s">
        <v>235</v>
      </c>
      <c r="E1419" s="99" t="s">
        <v>235</v>
      </c>
      <c r="F1419" s="100" t="s">
        <v>2050</v>
      </c>
      <c r="G1419" s="105" t="s">
        <v>2051</v>
      </c>
    </row>
    <row r="1420" spans="1:7" ht="12" x14ac:dyDescent="0.25">
      <c r="A1420" s="90" t="s">
        <v>37</v>
      </c>
      <c r="B1420" s="90" t="s">
        <v>66</v>
      </c>
      <c r="C1420" s="90">
        <v>3</v>
      </c>
      <c r="D1420" s="109" t="s">
        <v>236</v>
      </c>
      <c r="E1420" s="99" t="s">
        <v>236</v>
      </c>
      <c r="F1420" s="100" t="s">
        <v>2052</v>
      </c>
      <c r="G1420" s="105" t="s">
        <v>2053</v>
      </c>
    </row>
    <row r="1421" spans="1:7" ht="12" x14ac:dyDescent="0.25">
      <c r="A1421" s="90" t="s">
        <v>37</v>
      </c>
      <c r="B1421" s="90" t="s">
        <v>66</v>
      </c>
      <c r="C1421" s="90">
        <v>3</v>
      </c>
      <c r="D1421" s="109" t="s">
        <v>237</v>
      </c>
      <c r="E1421" s="99" t="s">
        <v>237</v>
      </c>
      <c r="F1421" s="100" t="s">
        <v>2054</v>
      </c>
      <c r="G1421" s="105" t="s">
        <v>2055</v>
      </c>
    </row>
    <row r="1422" spans="1:7" ht="12" x14ac:dyDescent="0.25">
      <c r="A1422" s="90" t="s">
        <v>37</v>
      </c>
      <c r="B1422" s="90" t="s">
        <v>66</v>
      </c>
      <c r="C1422" s="90">
        <v>3</v>
      </c>
      <c r="D1422" s="109" t="s">
        <v>2056</v>
      </c>
      <c r="E1422" s="99" t="s">
        <v>2056</v>
      </c>
      <c r="F1422" s="100" t="s">
        <v>2471</v>
      </c>
      <c r="G1422" s="105" t="s">
        <v>2527</v>
      </c>
    </row>
    <row r="1423" spans="1:7" ht="12" x14ac:dyDescent="0.25">
      <c r="A1423" s="90" t="s">
        <v>37</v>
      </c>
      <c r="B1423" s="90" t="s">
        <v>66</v>
      </c>
      <c r="C1423" s="90">
        <v>3</v>
      </c>
      <c r="D1423" s="109" t="s">
        <v>130</v>
      </c>
      <c r="E1423" s="99" t="s">
        <v>130</v>
      </c>
      <c r="F1423" s="100" t="s">
        <v>2468</v>
      </c>
      <c r="G1423" s="105" t="s">
        <v>2524</v>
      </c>
    </row>
    <row r="1424" spans="1:7" ht="12" x14ac:dyDescent="0.25">
      <c r="A1424" s="90" t="s">
        <v>37</v>
      </c>
      <c r="B1424" s="90" t="s">
        <v>66</v>
      </c>
      <c r="C1424" s="90">
        <v>3</v>
      </c>
      <c r="D1424" s="109" t="s">
        <v>238</v>
      </c>
      <c r="E1424" s="99" t="s">
        <v>238</v>
      </c>
      <c r="F1424" s="100" t="s">
        <v>2057</v>
      </c>
      <c r="G1424" s="105" t="s">
        <v>2058</v>
      </c>
    </row>
    <row r="1425" spans="1:7" ht="12" x14ac:dyDescent="0.25">
      <c r="A1425" s="90" t="s">
        <v>37</v>
      </c>
      <c r="B1425" s="90" t="s">
        <v>66</v>
      </c>
      <c r="C1425" s="90">
        <v>3</v>
      </c>
      <c r="D1425" s="109" t="s">
        <v>239</v>
      </c>
      <c r="E1425" s="99" t="s">
        <v>239</v>
      </c>
      <c r="F1425" s="100" t="s">
        <v>2059</v>
      </c>
      <c r="G1425" s="105" t="s">
        <v>2060</v>
      </c>
    </row>
    <row r="1426" spans="1:7" ht="12" x14ac:dyDescent="0.25">
      <c r="A1426" s="90" t="s">
        <v>37</v>
      </c>
      <c r="B1426" s="90" t="s">
        <v>66</v>
      </c>
      <c r="C1426" s="90">
        <v>3</v>
      </c>
      <c r="D1426" s="109" t="s">
        <v>240</v>
      </c>
      <c r="E1426" s="99" t="s">
        <v>240</v>
      </c>
      <c r="F1426" s="100" t="s">
        <v>2061</v>
      </c>
      <c r="G1426" s="105" t="s">
        <v>2062</v>
      </c>
    </row>
    <row r="1427" spans="1:7" ht="12" x14ac:dyDescent="0.25">
      <c r="A1427" s="90" t="s">
        <v>37</v>
      </c>
      <c r="B1427" s="90" t="s">
        <v>66</v>
      </c>
      <c r="C1427" s="90">
        <v>3</v>
      </c>
      <c r="D1427" s="109" t="s">
        <v>241</v>
      </c>
      <c r="E1427" s="99" t="s">
        <v>241</v>
      </c>
      <c r="F1427" s="100" t="s">
        <v>2063</v>
      </c>
      <c r="G1427" s="105" t="s">
        <v>2064</v>
      </c>
    </row>
    <row r="1428" spans="1:7" ht="12" x14ac:dyDescent="0.25">
      <c r="A1428" s="90" t="s">
        <v>37</v>
      </c>
      <c r="B1428" s="90" t="s">
        <v>66</v>
      </c>
      <c r="C1428" s="90">
        <v>3</v>
      </c>
      <c r="D1428" s="109" t="s">
        <v>242</v>
      </c>
      <c r="E1428" s="99" t="s">
        <v>242</v>
      </c>
      <c r="F1428" s="100" t="s">
        <v>2065</v>
      </c>
      <c r="G1428" s="105" t="s">
        <v>2066</v>
      </c>
    </row>
    <row r="1429" spans="1:7" ht="12" x14ac:dyDescent="0.25">
      <c r="A1429" s="90" t="s">
        <v>37</v>
      </c>
      <c r="B1429" s="90" t="s">
        <v>66</v>
      </c>
      <c r="C1429" s="90">
        <v>3</v>
      </c>
      <c r="D1429" s="109" t="s">
        <v>243</v>
      </c>
      <c r="E1429" s="99" t="s">
        <v>243</v>
      </c>
      <c r="F1429" s="100" t="s">
        <v>2067</v>
      </c>
      <c r="G1429" s="105" t="s">
        <v>2068</v>
      </c>
    </row>
    <row r="1430" spans="1:7" ht="12" x14ac:dyDescent="0.25">
      <c r="A1430" s="90" t="s">
        <v>37</v>
      </c>
      <c r="B1430" s="90" t="s">
        <v>66</v>
      </c>
      <c r="C1430" s="90">
        <v>3</v>
      </c>
      <c r="D1430" s="109" t="s">
        <v>2069</v>
      </c>
      <c r="E1430" s="99" t="s">
        <v>2069</v>
      </c>
      <c r="F1430" s="100" t="s">
        <v>2472</v>
      </c>
      <c r="G1430" s="105" t="s">
        <v>2528</v>
      </c>
    </row>
    <row r="1431" spans="1:7" ht="12" x14ac:dyDescent="0.25">
      <c r="A1431" s="90" t="s">
        <v>37</v>
      </c>
      <c r="B1431" s="90" t="s">
        <v>66</v>
      </c>
      <c r="C1431" s="90">
        <v>3</v>
      </c>
      <c r="D1431" s="109" t="s">
        <v>130</v>
      </c>
      <c r="E1431" s="99" t="s">
        <v>130</v>
      </c>
      <c r="F1431" s="100" t="s">
        <v>2468</v>
      </c>
      <c r="G1431" s="105" t="s">
        <v>2524</v>
      </c>
    </row>
    <row r="1432" spans="1:7" ht="12" x14ac:dyDescent="0.25">
      <c r="A1432" s="90" t="s">
        <v>37</v>
      </c>
      <c r="B1432" s="90" t="s">
        <v>66</v>
      </c>
      <c r="C1432" s="90">
        <v>3</v>
      </c>
      <c r="D1432" s="109" t="s">
        <v>337</v>
      </c>
      <c r="E1432" s="99" t="s">
        <v>337</v>
      </c>
      <c r="F1432" s="100" t="s">
        <v>2070</v>
      </c>
      <c r="G1432" s="105" t="s">
        <v>2071</v>
      </c>
    </row>
    <row r="1433" spans="1:7" ht="12" x14ac:dyDescent="0.25">
      <c r="A1433" s="90" t="s">
        <v>37</v>
      </c>
      <c r="B1433" s="90" t="s">
        <v>66</v>
      </c>
      <c r="C1433" s="90">
        <v>3</v>
      </c>
      <c r="D1433" s="109" t="s">
        <v>338</v>
      </c>
      <c r="E1433" s="99" t="s">
        <v>338</v>
      </c>
      <c r="F1433" s="100" t="s">
        <v>2072</v>
      </c>
      <c r="G1433" s="105" t="s">
        <v>2073</v>
      </c>
    </row>
    <row r="1434" spans="1:7" ht="12" x14ac:dyDescent="0.25">
      <c r="A1434" s="90" t="s">
        <v>37</v>
      </c>
      <c r="B1434" s="90" t="s">
        <v>66</v>
      </c>
      <c r="C1434" s="90">
        <v>3</v>
      </c>
      <c r="D1434" s="109" t="s">
        <v>339</v>
      </c>
      <c r="E1434" s="99" t="s">
        <v>339</v>
      </c>
      <c r="F1434" s="100" t="s">
        <v>2074</v>
      </c>
      <c r="G1434" s="105" t="s">
        <v>2075</v>
      </c>
    </row>
    <row r="1435" spans="1:7" ht="12" x14ac:dyDescent="0.25">
      <c r="A1435" s="90" t="s">
        <v>37</v>
      </c>
      <c r="B1435" s="90" t="s">
        <v>66</v>
      </c>
      <c r="C1435" s="90">
        <v>3</v>
      </c>
      <c r="D1435" s="109" t="s">
        <v>340</v>
      </c>
      <c r="E1435" s="99" t="s">
        <v>340</v>
      </c>
      <c r="F1435" s="100" t="s">
        <v>2076</v>
      </c>
      <c r="G1435" s="105" t="s">
        <v>2077</v>
      </c>
    </row>
    <row r="1436" spans="1:7" ht="12" x14ac:dyDescent="0.25">
      <c r="A1436" s="90" t="s">
        <v>37</v>
      </c>
      <c r="B1436" s="90" t="s">
        <v>66</v>
      </c>
      <c r="C1436" s="90">
        <v>3</v>
      </c>
      <c r="D1436" s="109" t="s">
        <v>341</v>
      </c>
      <c r="E1436" s="99" t="s">
        <v>341</v>
      </c>
      <c r="F1436" s="100" t="s">
        <v>2078</v>
      </c>
      <c r="G1436" s="105" t="s">
        <v>2079</v>
      </c>
    </row>
    <row r="1437" spans="1:7" ht="12" x14ac:dyDescent="0.25">
      <c r="A1437" s="90" t="s">
        <v>37</v>
      </c>
      <c r="B1437" s="90" t="s">
        <v>66</v>
      </c>
      <c r="C1437" s="90">
        <v>3</v>
      </c>
      <c r="D1437" s="109" t="s">
        <v>342</v>
      </c>
      <c r="E1437" s="99" t="s">
        <v>342</v>
      </c>
      <c r="F1437" s="100" t="s">
        <v>2080</v>
      </c>
      <c r="G1437" s="105" t="s">
        <v>2081</v>
      </c>
    </row>
    <row r="1438" spans="1:7" ht="12" x14ac:dyDescent="0.25">
      <c r="A1438" s="90" t="s">
        <v>37</v>
      </c>
      <c r="B1438" s="90" t="s">
        <v>66</v>
      </c>
      <c r="C1438" s="90">
        <v>3</v>
      </c>
      <c r="D1438" s="109" t="s">
        <v>2082</v>
      </c>
      <c r="E1438" s="99" t="s">
        <v>2082</v>
      </c>
      <c r="F1438" s="100" t="s">
        <v>2473</v>
      </c>
      <c r="G1438" s="105" t="s">
        <v>2529</v>
      </c>
    </row>
    <row r="1439" spans="1:7" ht="12" x14ac:dyDescent="0.25">
      <c r="A1439" s="90" t="s">
        <v>37</v>
      </c>
      <c r="B1439" s="90" t="s">
        <v>66</v>
      </c>
      <c r="C1439" s="90">
        <v>3</v>
      </c>
      <c r="D1439" s="109" t="s">
        <v>191</v>
      </c>
      <c r="E1439" s="99" t="s">
        <v>191</v>
      </c>
      <c r="F1439" s="100" t="s">
        <v>343</v>
      </c>
      <c r="G1439" s="105" t="s">
        <v>2090</v>
      </c>
    </row>
    <row r="1440" spans="1:7" ht="12" x14ac:dyDescent="0.25">
      <c r="A1440" s="90" t="s">
        <v>37</v>
      </c>
      <c r="B1440" s="90" t="s">
        <v>66</v>
      </c>
      <c r="C1440" s="90">
        <v>3</v>
      </c>
      <c r="D1440" s="109" t="s">
        <v>244</v>
      </c>
      <c r="E1440" s="99" t="s">
        <v>244</v>
      </c>
      <c r="F1440" s="100" t="s">
        <v>344</v>
      </c>
      <c r="G1440" s="105" t="s">
        <v>345</v>
      </c>
    </row>
    <row r="1441" spans="1:7" ht="12" x14ac:dyDescent="0.25">
      <c r="A1441" s="90" t="s">
        <v>37</v>
      </c>
      <c r="B1441" s="90" t="s">
        <v>66</v>
      </c>
      <c r="C1441" s="90">
        <v>3</v>
      </c>
      <c r="D1441" s="109" t="s">
        <v>2084</v>
      </c>
      <c r="E1441" s="99" t="s">
        <v>2084</v>
      </c>
      <c r="F1441" s="100" t="s">
        <v>2474</v>
      </c>
      <c r="G1441" s="105" t="s">
        <v>2530</v>
      </c>
    </row>
    <row r="1442" spans="1:7" ht="12" x14ac:dyDescent="0.25">
      <c r="A1442" s="90" t="s">
        <v>37</v>
      </c>
      <c r="B1442" s="90" t="s">
        <v>66</v>
      </c>
      <c r="C1442" s="90">
        <v>3</v>
      </c>
      <c r="D1442" s="109" t="s">
        <v>211</v>
      </c>
      <c r="E1442" s="99" t="s">
        <v>211</v>
      </c>
      <c r="F1442" s="100" t="s">
        <v>2085</v>
      </c>
      <c r="G1442" s="105" t="s">
        <v>349</v>
      </c>
    </row>
    <row r="1443" spans="1:7" ht="12" x14ac:dyDescent="0.25">
      <c r="A1443" s="90" t="s">
        <v>37</v>
      </c>
      <c r="B1443" s="90" t="s">
        <v>66</v>
      </c>
      <c r="C1443" s="90">
        <v>3</v>
      </c>
      <c r="D1443" s="109" t="s">
        <v>193</v>
      </c>
      <c r="E1443" s="99" t="s">
        <v>193</v>
      </c>
      <c r="F1443" s="100" t="s">
        <v>350</v>
      </c>
      <c r="G1443" s="105" t="s">
        <v>2086</v>
      </c>
    </row>
    <row r="1444" spans="1:7" ht="12" x14ac:dyDescent="0.25">
      <c r="A1444" s="90" t="s">
        <v>37</v>
      </c>
      <c r="B1444" s="90" t="s">
        <v>66</v>
      </c>
      <c r="C1444" s="90">
        <v>3</v>
      </c>
      <c r="D1444" s="109" t="s">
        <v>145</v>
      </c>
      <c r="E1444" s="99" t="s">
        <v>145</v>
      </c>
      <c r="F1444" s="100" t="s">
        <v>351</v>
      </c>
      <c r="G1444" s="105" t="s">
        <v>352</v>
      </c>
    </row>
    <row r="1445" spans="1:7" ht="360" x14ac:dyDescent="0.25">
      <c r="A1445" s="90" t="s">
        <v>37</v>
      </c>
      <c r="B1445" s="90" t="s">
        <v>66</v>
      </c>
      <c r="C1445" s="90">
        <v>4</v>
      </c>
      <c r="D1445" s="109" t="s">
        <v>2021</v>
      </c>
      <c r="E1445" s="99" t="s">
        <v>2021</v>
      </c>
      <c r="F1445" s="100" t="s">
        <v>2450</v>
      </c>
      <c r="G1445" s="105" t="s">
        <v>2451</v>
      </c>
    </row>
    <row r="1446" spans="1:7" ht="12" x14ac:dyDescent="0.25">
      <c r="A1446" s="90" t="s">
        <v>37</v>
      </c>
      <c r="B1446" s="90" t="s">
        <v>66</v>
      </c>
      <c r="C1446" s="90">
        <v>4</v>
      </c>
      <c r="D1446" s="109" t="s">
        <v>75</v>
      </c>
      <c r="E1446" s="99" t="s">
        <v>75</v>
      </c>
      <c r="F1446" s="100" t="s">
        <v>2022</v>
      </c>
      <c r="G1446" s="105" t="s">
        <v>2023</v>
      </c>
    </row>
    <row r="1447" spans="1:7" ht="12" x14ac:dyDescent="0.25">
      <c r="A1447" s="90" t="s">
        <v>37</v>
      </c>
      <c r="B1447" s="90" t="s">
        <v>66</v>
      </c>
      <c r="C1447" s="90">
        <v>4</v>
      </c>
      <c r="D1447" s="109" t="s">
        <v>2000</v>
      </c>
      <c r="E1447" s="99" t="s">
        <v>2000</v>
      </c>
      <c r="F1447" s="100" t="s">
        <v>2452</v>
      </c>
      <c r="G1447" s="105" t="s">
        <v>2531</v>
      </c>
    </row>
    <row r="1448" spans="1:7" ht="12" x14ac:dyDescent="0.25">
      <c r="A1448" s="90" t="s">
        <v>37</v>
      </c>
      <c r="B1448" s="90" t="s">
        <v>66</v>
      </c>
      <c r="C1448" s="90">
        <v>4</v>
      </c>
      <c r="D1448" s="109" t="s">
        <v>2001</v>
      </c>
      <c r="E1448" s="99" t="s">
        <v>2001</v>
      </c>
      <c r="F1448" s="100" t="s">
        <v>2475</v>
      </c>
      <c r="G1448" s="105" t="s">
        <v>2532</v>
      </c>
    </row>
    <row r="1449" spans="1:7" ht="12" x14ac:dyDescent="0.25">
      <c r="A1449" s="90" t="s">
        <v>37</v>
      </c>
      <c r="B1449" s="90" t="s">
        <v>66</v>
      </c>
      <c r="C1449" s="90">
        <v>4</v>
      </c>
      <c r="D1449" s="109" t="s">
        <v>225</v>
      </c>
      <c r="E1449" s="99" t="s">
        <v>225</v>
      </c>
      <c r="F1449" s="100" t="s">
        <v>335</v>
      </c>
      <c r="G1449" s="105" t="s">
        <v>336</v>
      </c>
    </row>
    <row r="1450" spans="1:7" ht="12" x14ac:dyDescent="0.25">
      <c r="A1450" s="90" t="s">
        <v>37</v>
      </c>
      <c r="B1450" s="90" t="s">
        <v>66</v>
      </c>
      <c r="C1450" s="90">
        <v>4</v>
      </c>
      <c r="D1450" s="109" t="s">
        <v>74</v>
      </c>
      <c r="E1450" s="99" t="s">
        <v>74</v>
      </c>
      <c r="F1450" s="100" t="s">
        <v>2028</v>
      </c>
      <c r="G1450" s="105" t="s">
        <v>2029</v>
      </c>
    </row>
    <row r="1451" spans="1:7" ht="12" x14ac:dyDescent="0.25">
      <c r="A1451" s="90" t="s">
        <v>37</v>
      </c>
      <c r="B1451" s="90" t="s">
        <v>66</v>
      </c>
      <c r="C1451" s="90">
        <v>4</v>
      </c>
      <c r="D1451" s="109" t="s">
        <v>2030</v>
      </c>
      <c r="E1451" s="99" t="s">
        <v>2030</v>
      </c>
      <c r="F1451" s="102" t="s">
        <v>2467</v>
      </c>
      <c r="G1451" s="107" t="s">
        <v>2462</v>
      </c>
    </row>
    <row r="1452" spans="1:7" ht="12" x14ac:dyDescent="0.25">
      <c r="A1452" s="90" t="s">
        <v>37</v>
      </c>
      <c r="B1452" s="90" t="s">
        <v>66</v>
      </c>
      <c r="C1452" s="90">
        <v>4</v>
      </c>
      <c r="D1452" s="109" t="s">
        <v>64</v>
      </c>
      <c r="E1452" s="99" t="s">
        <v>64</v>
      </c>
      <c r="F1452" s="100" t="s">
        <v>2031</v>
      </c>
      <c r="G1452" s="105" t="s">
        <v>2032</v>
      </c>
    </row>
    <row r="1453" spans="1:7" ht="12" x14ac:dyDescent="0.25">
      <c r="A1453" s="90" t="s">
        <v>37</v>
      </c>
      <c r="B1453" s="90" t="s">
        <v>66</v>
      </c>
      <c r="C1453" s="90">
        <v>4</v>
      </c>
      <c r="D1453" s="109" t="s">
        <v>130</v>
      </c>
      <c r="E1453" s="99" t="s">
        <v>130</v>
      </c>
      <c r="F1453" s="100" t="s">
        <v>2468</v>
      </c>
      <c r="G1453" s="105" t="s">
        <v>2524</v>
      </c>
    </row>
    <row r="1454" spans="1:7" ht="12" x14ac:dyDescent="0.25">
      <c r="A1454" s="90" t="s">
        <v>37</v>
      </c>
      <c r="B1454" s="90" t="s">
        <v>66</v>
      </c>
      <c r="C1454" s="90">
        <v>4</v>
      </c>
      <c r="D1454" s="109" t="s">
        <v>226</v>
      </c>
      <c r="E1454" s="99" t="s">
        <v>226</v>
      </c>
      <c r="F1454" s="100" t="s">
        <v>2088</v>
      </c>
      <c r="G1454" s="105" t="s">
        <v>2089</v>
      </c>
    </row>
    <row r="1455" spans="1:7" ht="12" x14ac:dyDescent="0.25">
      <c r="A1455" s="90" t="s">
        <v>37</v>
      </c>
      <c r="B1455" s="90" t="s">
        <v>66</v>
      </c>
      <c r="C1455" s="90">
        <v>4</v>
      </c>
      <c r="D1455" s="109" t="s">
        <v>227</v>
      </c>
      <c r="E1455" s="99" t="s">
        <v>227</v>
      </c>
      <c r="F1455" s="100" t="s">
        <v>2033</v>
      </c>
      <c r="G1455" s="105" t="s">
        <v>2034</v>
      </c>
    </row>
    <row r="1456" spans="1:7" ht="12" x14ac:dyDescent="0.25">
      <c r="A1456" s="90" t="s">
        <v>37</v>
      </c>
      <c r="B1456" s="90" t="s">
        <v>66</v>
      </c>
      <c r="C1456" s="90">
        <v>4</v>
      </c>
      <c r="D1456" s="109" t="s">
        <v>228</v>
      </c>
      <c r="E1456" s="99" t="s">
        <v>228</v>
      </c>
      <c r="F1456" s="102" t="s">
        <v>2035</v>
      </c>
      <c r="G1456" s="107" t="s">
        <v>2036</v>
      </c>
    </row>
    <row r="1457" spans="1:7" ht="12" x14ac:dyDescent="0.25">
      <c r="A1457" s="90" t="s">
        <v>37</v>
      </c>
      <c r="B1457" s="90" t="s">
        <v>66</v>
      </c>
      <c r="C1457" s="90">
        <v>4</v>
      </c>
      <c r="D1457" s="109" t="s">
        <v>229</v>
      </c>
      <c r="E1457" s="99" t="s">
        <v>229</v>
      </c>
      <c r="F1457" s="100" t="s">
        <v>2037</v>
      </c>
      <c r="G1457" s="105" t="s">
        <v>2038</v>
      </c>
    </row>
    <row r="1458" spans="1:7" ht="12" x14ac:dyDescent="0.25">
      <c r="A1458" s="90" t="s">
        <v>37</v>
      </c>
      <c r="B1458" s="90" t="s">
        <v>66</v>
      </c>
      <c r="C1458" s="90">
        <v>4</v>
      </c>
      <c r="D1458" s="109" t="s">
        <v>230</v>
      </c>
      <c r="E1458" s="99" t="s">
        <v>230</v>
      </c>
      <c r="F1458" s="100" t="s">
        <v>2039</v>
      </c>
      <c r="G1458" s="105" t="s">
        <v>2040</v>
      </c>
    </row>
    <row r="1459" spans="1:7" ht="12" x14ac:dyDescent="0.25">
      <c r="A1459" s="90" t="s">
        <v>37</v>
      </c>
      <c r="B1459" s="90" t="s">
        <v>66</v>
      </c>
      <c r="C1459" s="90">
        <v>4</v>
      </c>
      <c r="D1459" s="109" t="s">
        <v>231</v>
      </c>
      <c r="E1459" s="99" t="s">
        <v>231</v>
      </c>
      <c r="F1459" s="100" t="s">
        <v>2041</v>
      </c>
      <c r="G1459" s="105" t="s">
        <v>2042</v>
      </c>
    </row>
    <row r="1460" spans="1:7" ht="12" x14ac:dyDescent="0.25">
      <c r="A1460" s="90" t="s">
        <v>37</v>
      </c>
      <c r="B1460" s="90" t="s">
        <v>66</v>
      </c>
      <c r="C1460" s="90">
        <v>4</v>
      </c>
      <c r="D1460" s="109" t="s">
        <v>2043</v>
      </c>
      <c r="E1460" s="99" t="s">
        <v>2043</v>
      </c>
      <c r="F1460" s="100" t="s">
        <v>2470</v>
      </c>
      <c r="G1460" s="105" t="s">
        <v>2526</v>
      </c>
    </row>
    <row r="1461" spans="1:7" ht="12" x14ac:dyDescent="0.25">
      <c r="A1461" s="90" t="s">
        <v>37</v>
      </c>
      <c r="B1461" s="90" t="s">
        <v>66</v>
      </c>
      <c r="C1461" s="90">
        <v>4</v>
      </c>
      <c r="D1461" s="109" t="s">
        <v>130</v>
      </c>
      <c r="E1461" s="99" t="s">
        <v>130</v>
      </c>
      <c r="F1461" s="100" t="s">
        <v>2468</v>
      </c>
      <c r="G1461" s="105" t="s">
        <v>2524</v>
      </c>
    </row>
    <row r="1462" spans="1:7" ht="12" x14ac:dyDescent="0.25">
      <c r="A1462" s="90" t="s">
        <v>37</v>
      </c>
      <c r="B1462" s="90" t="s">
        <v>66</v>
      </c>
      <c r="C1462" s="90">
        <v>4</v>
      </c>
      <c r="D1462" s="109" t="s">
        <v>232</v>
      </c>
      <c r="E1462" s="99" t="s">
        <v>232</v>
      </c>
      <c r="F1462" s="100" t="s">
        <v>2044</v>
      </c>
      <c r="G1462" s="105" t="s">
        <v>2045</v>
      </c>
    </row>
    <row r="1463" spans="1:7" ht="12" x14ac:dyDescent="0.25">
      <c r="A1463" s="90" t="s">
        <v>37</v>
      </c>
      <c r="B1463" s="90" t="s">
        <v>66</v>
      </c>
      <c r="C1463" s="90">
        <v>4</v>
      </c>
      <c r="D1463" s="109" t="s">
        <v>233</v>
      </c>
      <c r="E1463" s="99" t="s">
        <v>233</v>
      </c>
      <c r="F1463" s="100" t="s">
        <v>2046</v>
      </c>
      <c r="G1463" s="105" t="s">
        <v>2047</v>
      </c>
    </row>
    <row r="1464" spans="1:7" ht="12" x14ac:dyDescent="0.25">
      <c r="A1464" s="90" t="s">
        <v>37</v>
      </c>
      <c r="B1464" s="90" t="s">
        <v>66</v>
      </c>
      <c r="C1464" s="90">
        <v>4</v>
      </c>
      <c r="D1464" s="109" t="s">
        <v>234</v>
      </c>
      <c r="E1464" s="99" t="s">
        <v>234</v>
      </c>
      <c r="F1464" s="100" t="s">
        <v>2048</v>
      </c>
      <c r="G1464" s="105" t="s">
        <v>2049</v>
      </c>
    </row>
    <row r="1465" spans="1:7" ht="12" x14ac:dyDescent="0.25">
      <c r="A1465" s="90" t="s">
        <v>37</v>
      </c>
      <c r="B1465" s="90" t="s">
        <v>66</v>
      </c>
      <c r="C1465" s="90">
        <v>4</v>
      </c>
      <c r="D1465" s="109" t="s">
        <v>235</v>
      </c>
      <c r="E1465" s="99" t="s">
        <v>235</v>
      </c>
      <c r="F1465" s="100" t="s">
        <v>2050</v>
      </c>
      <c r="G1465" s="105" t="s">
        <v>2051</v>
      </c>
    </row>
    <row r="1466" spans="1:7" ht="12" x14ac:dyDescent="0.25">
      <c r="A1466" s="90" t="s">
        <v>37</v>
      </c>
      <c r="B1466" s="90" t="s">
        <v>66</v>
      </c>
      <c r="C1466" s="90">
        <v>4</v>
      </c>
      <c r="D1466" s="109" t="s">
        <v>236</v>
      </c>
      <c r="E1466" s="99" t="s">
        <v>236</v>
      </c>
      <c r="F1466" s="100" t="s">
        <v>2052</v>
      </c>
      <c r="G1466" s="105" t="s">
        <v>2053</v>
      </c>
    </row>
    <row r="1467" spans="1:7" ht="12" x14ac:dyDescent="0.25">
      <c r="A1467" s="90" t="s">
        <v>37</v>
      </c>
      <c r="B1467" s="90" t="s">
        <v>66</v>
      </c>
      <c r="C1467" s="90">
        <v>4</v>
      </c>
      <c r="D1467" s="109" t="s">
        <v>237</v>
      </c>
      <c r="E1467" s="99" t="s">
        <v>237</v>
      </c>
      <c r="F1467" s="100" t="s">
        <v>2054</v>
      </c>
      <c r="G1467" s="105" t="s">
        <v>2055</v>
      </c>
    </row>
    <row r="1468" spans="1:7" ht="12" x14ac:dyDescent="0.25">
      <c r="A1468" s="90" t="s">
        <v>37</v>
      </c>
      <c r="B1468" s="90" t="s">
        <v>66</v>
      </c>
      <c r="C1468" s="90">
        <v>4</v>
      </c>
      <c r="D1468" s="109" t="s">
        <v>2056</v>
      </c>
      <c r="E1468" s="99" t="s">
        <v>2056</v>
      </c>
      <c r="F1468" s="100" t="s">
        <v>2471</v>
      </c>
      <c r="G1468" s="105" t="s">
        <v>2527</v>
      </c>
    </row>
    <row r="1469" spans="1:7" ht="12" x14ac:dyDescent="0.25">
      <c r="A1469" s="90" t="s">
        <v>37</v>
      </c>
      <c r="B1469" s="90" t="s">
        <v>66</v>
      </c>
      <c r="C1469" s="90">
        <v>4</v>
      </c>
      <c r="D1469" s="109" t="s">
        <v>130</v>
      </c>
      <c r="E1469" s="99" t="s">
        <v>130</v>
      </c>
      <c r="F1469" s="100" t="s">
        <v>2468</v>
      </c>
      <c r="G1469" s="105" t="s">
        <v>2524</v>
      </c>
    </row>
    <row r="1470" spans="1:7" ht="12" x14ac:dyDescent="0.25">
      <c r="A1470" s="90" t="s">
        <v>37</v>
      </c>
      <c r="B1470" s="90" t="s">
        <v>66</v>
      </c>
      <c r="C1470" s="90">
        <v>4</v>
      </c>
      <c r="D1470" s="109" t="s">
        <v>238</v>
      </c>
      <c r="E1470" s="99" t="s">
        <v>238</v>
      </c>
      <c r="F1470" s="100" t="s">
        <v>2057</v>
      </c>
      <c r="G1470" s="105" t="s">
        <v>2058</v>
      </c>
    </row>
    <row r="1471" spans="1:7" ht="12" x14ac:dyDescent="0.25">
      <c r="A1471" s="90" t="s">
        <v>37</v>
      </c>
      <c r="B1471" s="90" t="s">
        <v>66</v>
      </c>
      <c r="C1471" s="90">
        <v>4</v>
      </c>
      <c r="D1471" s="109" t="s">
        <v>239</v>
      </c>
      <c r="E1471" s="99" t="s">
        <v>239</v>
      </c>
      <c r="F1471" s="100" t="s">
        <v>2059</v>
      </c>
      <c r="G1471" s="105" t="s">
        <v>2060</v>
      </c>
    </row>
    <row r="1472" spans="1:7" ht="12" x14ac:dyDescent="0.25">
      <c r="A1472" s="90" t="s">
        <v>37</v>
      </c>
      <c r="B1472" s="90" t="s">
        <v>66</v>
      </c>
      <c r="C1472" s="90">
        <v>4</v>
      </c>
      <c r="D1472" s="109" t="s">
        <v>240</v>
      </c>
      <c r="E1472" s="99" t="s">
        <v>240</v>
      </c>
      <c r="F1472" s="100" t="s">
        <v>2061</v>
      </c>
      <c r="G1472" s="105" t="s">
        <v>2062</v>
      </c>
    </row>
    <row r="1473" spans="1:7" ht="12" x14ac:dyDescent="0.25">
      <c r="A1473" s="90" t="s">
        <v>37</v>
      </c>
      <c r="B1473" s="90" t="s">
        <v>66</v>
      </c>
      <c r="C1473" s="90">
        <v>4</v>
      </c>
      <c r="D1473" s="109" t="s">
        <v>241</v>
      </c>
      <c r="E1473" s="99" t="s">
        <v>241</v>
      </c>
      <c r="F1473" s="100" t="s">
        <v>2063</v>
      </c>
      <c r="G1473" s="105" t="s">
        <v>2064</v>
      </c>
    </row>
    <row r="1474" spans="1:7" ht="12" x14ac:dyDescent="0.25">
      <c r="A1474" s="90" t="s">
        <v>37</v>
      </c>
      <c r="B1474" s="90" t="s">
        <v>66</v>
      </c>
      <c r="C1474" s="90">
        <v>4</v>
      </c>
      <c r="D1474" s="109" t="s">
        <v>242</v>
      </c>
      <c r="E1474" s="99" t="s">
        <v>242</v>
      </c>
      <c r="F1474" s="100" t="s">
        <v>2065</v>
      </c>
      <c r="G1474" s="105" t="s">
        <v>2066</v>
      </c>
    </row>
    <row r="1475" spans="1:7" ht="12" x14ac:dyDescent="0.25">
      <c r="A1475" s="90" t="s">
        <v>37</v>
      </c>
      <c r="B1475" s="90" t="s">
        <v>66</v>
      </c>
      <c r="C1475" s="90">
        <v>4</v>
      </c>
      <c r="D1475" s="109" t="s">
        <v>243</v>
      </c>
      <c r="E1475" s="99" t="s">
        <v>243</v>
      </c>
      <c r="F1475" s="100" t="s">
        <v>2067</v>
      </c>
      <c r="G1475" s="105" t="s">
        <v>2068</v>
      </c>
    </row>
    <row r="1476" spans="1:7" ht="12" x14ac:dyDescent="0.25">
      <c r="A1476" s="90" t="s">
        <v>37</v>
      </c>
      <c r="B1476" s="90" t="s">
        <v>66</v>
      </c>
      <c r="C1476" s="90">
        <v>4</v>
      </c>
      <c r="D1476" s="109" t="s">
        <v>2069</v>
      </c>
      <c r="E1476" s="99" t="s">
        <v>2069</v>
      </c>
      <c r="F1476" s="100" t="s">
        <v>2472</v>
      </c>
      <c r="G1476" s="105" t="s">
        <v>2528</v>
      </c>
    </row>
    <row r="1477" spans="1:7" ht="12" x14ac:dyDescent="0.25">
      <c r="A1477" s="90" t="s">
        <v>37</v>
      </c>
      <c r="B1477" s="90" t="s">
        <v>66</v>
      </c>
      <c r="C1477" s="90">
        <v>4</v>
      </c>
      <c r="D1477" s="109" t="s">
        <v>130</v>
      </c>
      <c r="E1477" s="99" t="s">
        <v>130</v>
      </c>
      <c r="F1477" s="100" t="s">
        <v>2468</v>
      </c>
      <c r="G1477" s="105" t="s">
        <v>2524</v>
      </c>
    </row>
    <row r="1478" spans="1:7" ht="12" x14ac:dyDescent="0.25">
      <c r="A1478" s="90" t="s">
        <v>37</v>
      </c>
      <c r="B1478" s="90" t="s">
        <v>66</v>
      </c>
      <c r="C1478" s="90">
        <v>4</v>
      </c>
      <c r="D1478" s="109" t="s">
        <v>337</v>
      </c>
      <c r="E1478" s="99" t="s">
        <v>337</v>
      </c>
      <c r="F1478" s="100" t="s">
        <v>2070</v>
      </c>
      <c r="G1478" s="105" t="s">
        <v>2071</v>
      </c>
    </row>
    <row r="1479" spans="1:7" ht="12" x14ac:dyDescent="0.25">
      <c r="A1479" s="90" t="s">
        <v>37</v>
      </c>
      <c r="B1479" s="90" t="s">
        <v>66</v>
      </c>
      <c r="C1479" s="90">
        <v>4</v>
      </c>
      <c r="D1479" s="109" t="s">
        <v>338</v>
      </c>
      <c r="E1479" s="99" t="s">
        <v>338</v>
      </c>
      <c r="F1479" s="100" t="s">
        <v>2072</v>
      </c>
      <c r="G1479" s="105" t="s">
        <v>2073</v>
      </c>
    </row>
    <row r="1480" spans="1:7" ht="12" x14ac:dyDescent="0.25">
      <c r="A1480" s="90" t="s">
        <v>37</v>
      </c>
      <c r="B1480" s="90" t="s">
        <v>66</v>
      </c>
      <c r="C1480" s="90">
        <v>4</v>
      </c>
      <c r="D1480" s="109" t="s">
        <v>339</v>
      </c>
      <c r="E1480" s="99" t="s">
        <v>339</v>
      </c>
      <c r="F1480" s="100" t="s">
        <v>2074</v>
      </c>
      <c r="G1480" s="105" t="s">
        <v>2075</v>
      </c>
    </row>
    <row r="1481" spans="1:7" ht="12" x14ac:dyDescent="0.25">
      <c r="A1481" s="90" t="s">
        <v>37</v>
      </c>
      <c r="B1481" s="90" t="s">
        <v>66</v>
      </c>
      <c r="C1481" s="90">
        <v>4</v>
      </c>
      <c r="D1481" s="109" t="s">
        <v>340</v>
      </c>
      <c r="E1481" s="99" t="s">
        <v>340</v>
      </c>
      <c r="F1481" s="100" t="s">
        <v>2076</v>
      </c>
      <c r="G1481" s="105" t="s">
        <v>2077</v>
      </c>
    </row>
    <row r="1482" spans="1:7" ht="12" x14ac:dyDescent="0.25">
      <c r="A1482" s="90" t="s">
        <v>37</v>
      </c>
      <c r="B1482" s="90" t="s">
        <v>66</v>
      </c>
      <c r="C1482" s="90">
        <v>4</v>
      </c>
      <c r="D1482" s="109" t="s">
        <v>341</v>
      </c>
      <c r="E1482" s="99" t="s">
        <v>341</v>
      </c>
      <c r="F1482" s="100" t="s">
        <v>2078</v>
      </c>
      <c r="G1482" s="105" t="s">
        <v>2079</v>
      </c>
    </row>
    <row r="1483" spans="1:7" ht="12" x14ac:dyDescent="0.25">
      <c r="A1483" s="90" t="s">
        <v>37</v>
      </c>
      <c r="B1483" s="90" t="s">
        <v>66</v>
      </c>
      <c r="C1483" s="90">
        <v>4</v>
      </c>
      <c r="D1483" s="109" t="s">
        <v>342</v>
      </c>
      <c r="E1483" s="99" t="s">
        <v>342</v>
      </c>
      <c r="F1483" s="100" t="s">
        <v>2080</v>
      </c>
      <c r="G1483" s="105" t="s">
        <v>2081</v>
      </c>
    </row>
    <row r="1484" spans="1:7" ht="12" x14ac:dyDescent="0.25">
      <c r="A1484" s="90" t="s">
        <v>37</v>
      </c>
      <c r="B1484" s="90" t="s">
        <v>66</v>
      </c>
      <c r="C1484" s="90">
        <v>4</v>
      </c>
      <c r="D1484" s="109" t="s">
        <v>2082</v>
      </c>
      <c r="E1484" s="99" t="s">
        <v>2082</v>
      </c>
      <c r="F1484" s="100" t="s">
        <v>2473</v>
      </c>
      <c r="G1484" s="105" t="s">
        <v>2529</v>
      </c>
    </row>
    <row r="1485" spans="1:7" ht="12" x14ac:dyDescent="0.25">
      <c r="A1485" s="90" t="s">
        <v>37</v>
      </c>
      <c r="B1485" s="90" t="s">
        <v>66</v>
      </c>
      <c r="C1485" s="90">
        <v>4</v>
      </c>
      <c r="D1485" s="109" t="s">
        <v>191</v>
      </c>
      <c r="E1485" s="99" t="s">
        <v>191</v>
      </c>
      <c r="F1485" s="100" t="s">
        <v>343</v>
      </c>
      <c r="G1485" s="105" t="s">
        <v>2090</v>
      </c>
    </row>
    <row r="1486" spans="1:7" ht="12" x14ac:dyDescent="0.25">
      <c r="A1486" s="90" t="s">
        <v>37</v>
      </c>
      <c r="B1486" s="90" t="s">
        <v>66</v>
      </c>
      <c r="C1486" s="90">
        <v>4</v>
      </c>
      <c r="D1486" s="109" t="s">
        <v>244</v>
      </c>
      <c r="E1486" s="99" t="s">
        <v>244</v>
      </c>
      <c r="F1486" s="100" t="s">
        <v>344</v>
      </c>
      <c r="G1486" s="105" t="s">
        <v>345</v>
      </c>
    </row>
    <row r="1487" spans="1:7" ht="12" x14ac:dyDescent="0.25">
      <c r="A1487" s="90" t="s">
        <v>37</v>
      </c>
      <c r="B1487" s="90" t="s">
        <v>66</v>
      </c>
      <c r="C1487" s="90">
        <v>4</v>
      </c>
      <c r="D1487" s="109" t="s">
        <v>2084</v>
      </c>
      <c r="E1487" s="99" t="s">
        <v>2084</v>
      </c>
      <c r="F1487" s="100" t="s">
        <v>2474</v>
      </c>
      <c r="G1487" s="105" t="s">
        <v>2530</v>
      </c>
    </row>
    <row r="1488" spans="1:7" ht="12" x14ac:dyDescent="0.25">
      <c r="A1488" s="90" t="s">
        <v>37</v>
      </c>
      <c r="B1488" s="90" t="s">
        <v>66</v>
      </c>
      <c r="C1488" s="90">
        <v>4</v>
      </c>
      <c r="D1488" s="109" t="s">
        <v>211</v>
      </c>
      <c r="E1488" s="99" t="s">
        <v>211</v>
      </c>
      <c r="F1488" s="100" t="s">
        <v>2085</v>
      </c>
      <c r="G1488" s="105" t="s">
        <v>349</v>
      </c>
    </row>
    <row r="1489" spans="1:7" ht="12" x14ac:dyDescent="0.25">
      <c r="A1489" s="90" t="s">
        <v>37</v>
      </c>
      <c r="B1489" s="90" t="s">
        <v>66</v>
      </c>
      <c r="C1489" s="90">
        <v>4</v>
      </c>
      <c r="D1489" s="109" t="s">
        <v>193</v>
      </c>
      <c r="E1489" s="99" t="s">
        <v>193</v>
      </c>
      <c r="F1489" s="100" t="s">
        <v>350</v>
      </c>
      <c r="G1489" s="105" t="s">
        <v>2086</v>
      </c>
    </row>
    <row r="1490" spans="1:7" ht="12" x14ac:dyDescent="0.25">
      <c r="A1490" s="90" t="s">
        <v>37</v>
      </c>
      <c r="B1490" s="90" t="s">
        <v>66</v>
      </c>
      <c r="C1490" s="90">
        <v>4</v>
      </c>
      <c r="D1490" s="109" t="s">
        <v>145</v>
      </c>
      <c r="E1490" s="99" t="s">
        <v>145</v>
      </c>
      <c r="F1490" s="102" t="s">
        <v>351</v>
      </c>
      <c r="G1490" s="107" t="s">
        <v>352</v>
      </c>
    </row>
    <row r="1491" spans="1:7" ht="360" x14ac:dyDescent="0.25">
      <c r="A1491" s="90" t="s">
        <v>37</v>
      </c>
      <c r="B1491" s="90" t="s">
        <v>66</v>
      </c>
      <c r="C1491" s="90">
        <v>5</v>
      </c>
      <c r="D1491" s="109" t="s">
        <v>2021</v>
      </c>
      <c r="E1491" s="99" t="s">
        <v>2021</v>
      </c>
      <c r="F1491" s="100" t="s">
        <v>2450</v>
      </c>
      <c r="G1491" s="105" t="s">
        <v>2451</v>
      </c>
    </row>
    <row r="1492" spans="1:7" ht="12" x14ac:dyDescent="0.25">
      <c r="A1492" s="90" t="s">
        <v>37</v>
      </c>
      <c r="B1492" s="90" t="s">
        <v>66</v>
      </c>
      <c r="C1492" s="90">
        <v>5</v>
      </c>
      <c r="D1492" s="109" t="s">
        <v>75</v>
      </c>
      <c r="E1492" s="99" t="s">
        <v>75</v>
      </c>
      <c r="F1492" s="100" t="s">
        <v>2022</v>
      </c>
      <c r="G1492" s="105" t="s">
        <v>2023</v>
      </c>
    </row>
    <row r="1493" spans="1:7" ht="12" x14ac:dyDescent="0.25">
      <c r="A1493" s="90" t="s">
        <v>37</v>
      </c>
      <c r="B1493" s="90" t="s">
        <v>66</v>
      </c>
      <c r="C1493" s="90">
        <v>5</v>
      </c>
      <c r="D1493" s="109" t="s">
        <v>2000</v>
      </c>
      <c r="E1493" s="99" t="s">
        <v>2000</v>
      </c>
      <c r="F1493" s="100" t="s">
        <v>2452</v>
      </c>
      <c r="G1493" s="105" t="s">
        <v>2531</v>
      </c>
    </row>
    <row r="1494" spans="1:7" ht="12" x14ac:dyDescent="0.25">
      <c r="A1494" s="90" t="s">
        <v>37</v>
      </c>
      <c r="B1494" s="90" t="s">
        <v>66</v>
      </c>
      <c r="C1494" s="90">
        <v>5</v>
      </c>
      <c r="D1494" s="109" t="s">
        <v>2001</v>
      </c>
      <c r="E1494" s="99" t="s">
        <v>2001</v>
      </c>
      <c r="F1494" s="100" t="s">
        <v>2475</v>
      </c>
      <c r="G1494" s="105" t="s">
        <v>2532</v>
      </c>
    </row>
    <row r="1495" spans="1:7" ht="12" x14ac:dyDescent="0.25">
      <c r="A1495" s="90" t="s">
        <v>37</v>
      </c>
      <c r="B1495" s="90" t="s">
        <v>66</v>
      </c>
      <c r="C1495" s="90">
        <v>5</v>
      </c>
      <c r="D1495" s="109" t="s">
        <v>225</v>
      </c>
      <c r="E1495" s="99" t="s">
        <v>225</v>
      </c>
      <c r="F1495" s="100" t="s">
        <v>335</v>
      </c>
      <c r="G1495" s="105" t="s">
        <v>336</v>
      </c>
    </row>
    <row r="1496" spans="1:7" ht="12" x14ac:dyDescent="0.25">
      <c r="A1496" s="90" t="s">
        <v>37</v>
      </c>
      <c r="B1496" s="90" t="s">
        <v>66</v>
      </c>
      <c r="C1496" s="90">
        <v>5</v>
      </c>
      <c r="D1496" s="109" t="s">
        <v>74</v>
      </c>
      <c r="E1496" s="99" t="s">
        <v>74</v>
      </c>
      <c r="F1496" s="100" t="s">
        <v>2028</v>
      </c>
      <c r="G1496" s="105" t="s">
        <v>2029</v>
      </c>
    </row>
    <row r="1497" spans="1:7" ht="12" x14ac:dyDescent="0.25">
      <c r="A1497" s="90" t="s">
        <v>37</v>
      </c>
      <c r="B1497" s="90" t="s">
        <v>66</v>
      </c>
      <c r="C1497" s="90">
        <v>5</v>
      </c>
      <c r="D1497" s="109" t="s">
        <v>2030</v>
      </c>
      <c r="E1497" s="99" t="s">
        <v>2030</v>
      </c>
      <c r="F1497" s="100" t="s">
        <v>2467</v>
      </c>
      <c r="G1497" s="105" t="s">
        <v>2462</v>
      </c>
    </row>
    <row r="1498" spans="1:7" ht="12" x14ac:dyDescent="0.25">
      <c r="A1498" s="90" t="s">
        <v>37</v>
      </c>
      <c r="B1498" s="90" t="s">
        <v>66</v>
      </c>
      <c r="C1498" s="90">
        <v>5</v>
      </c>
      <c r="D1498" s="109" t="s">
        <v>64</v>
      </c>
      <c r="E1498" s="99" t="s">
        <v>64</v>
      </c>
      <c r="F1498" s="100" t="s">
        <v>2031</v>
      </c>
      <c r="G1498" s="105" t="s">
        <v>2032</v>
      </c>
    </row>
    <row r="1499" spans="1:7" ht="12" x14ac:dyDescent="0.25">
      <c r="A1499" s="90" t="s">
        <v>37</v>
      </c>
      <c r="B1499" s="90" t="s">
        <v>66</v>
      </c>
      <c r="C1499" s="90">
        <v>5</v>
      </c>
      <c r="D1499" s="109" t="s">
        <v>130</v>
      </c>
      <c r="E1499" s="99" t="s">
        <v>130</v>
      </c>
      <c r="F1499" s="100" t="s">
        <v>2468</v>
      </c>
      <c r="G1499" s="105" t="s">
        <v>2524</v>
      </c>
    </row>
    <row r="1500" spans="1:7" ht="12" x14ac:dyDescent="0.25">
      <c r="A1500" s="90" t="s">
        <v>37</v>
      </c>
      <c r="B1500" s="90" t="s">
        <v>66</v>
      </c>
      <c r="C1500" s="90">
        <v>5</v>
      </c>
      <c r="D1500" s="109" t="s">
        <v>226</v>
      </c>
      <c r="E1500" s="99" t="s">
        <v>226</v>
      </c>
      <c r="F1500" s="100" t="s">
        <v>2088</v>
      </c>
      <c r="G1500" s="105" t="s">
        <v>2089</v>
      </c>
    </row>
    <row r="1501" spans="1:7" ht="12" x14ac:dyDescent="0.25">
      <c r="A1501" s="90" t="s">
        <v>37</v>
      </c>
      <c r="B1501" s="90" t="s">
        <v>66</v>
      </c>
      <c r="C1501" s="90">
        <v>5</v>
      </c>
      <c r="D1501" s="109" t="s">
        <v>227</v>
      </c>
      <c r="E1501" s="99" t="s">
        <v>227</v>
      </c>
      <c r="F1501" s="100" t="s">
        <v>2033</v>
      </c>
      <c r="G1501" s="105" t="s">
        <v>2034</v>
      </c>
    </row>
    <row r="1502" spans="1:7" ht="12" x14ac:dyDescent="0.25">
      <c r="A1502" s="90" t="s">
        <v>37</v>
      </c>
      <c r="B1502" s="90" t="s">
        <v>66</v>
      </c>
      <c r="C1502" s="90">
        <v>5</v>
      </c>
      <c r="D1502" s="109" t="s">
        <v>228</v>
      </c>
      <c r="E1502" s="99" t="s">
        <v>228</v>
      </c>
      <c r="F1502" s="100" t="s">
        <v>2035</v>
      </c>
      <c r="G1502" s="105" t="s">
        <v>2036</v>
      </c>
    </row>
    <row r="1503" spans="1:7" ht="12" x14ac:dyDescent="0.25">
      <c r="A1503" s="90" t="s">
        <v>37</v>
      </c>
      <c r="B1503" s="90" t="s">
        <v>66</v>
      </c>
      <c r="C1503" s="90">
        <v>5</v>
      </c>
      <c r="D1503" s="109" t="s">
        <v>229</v>
      </c>
      <c r="E1503" s="99" t="s">
        <v>229</v>
      </c>
      <c r="F1503" s="100" t="s">
        <v>2037</v>
      </c>
      <c r="G1503" s="105" t="s">
        <v>2038</v>
      </c>
    </row>
    <row r="1504" spans="1:7" ht="12" x14ac:dyDescent="0.25">
      <c r="A1504" s="90" t="s">
        <v>37</v>
      </c>
      <c r="B1504" s="90" t="s">
        <v>66</v>
      </c>
      <c r="C1504" s="90">
        <v>5</v>
      </c>
      <c r="D1504" s="109" t="s">
        <v>230</v>
      </c>
      <c r="E1504" s="99" t="s">
        <v>230</v>
      </c>
      <c r="F1504" s="100" t="s">
        <v>2039</v>
      </c>
      <c r="G1504" s="105" t="s">
        <v>2040</v>
      </c>
    </row>
    <row r="1505" spans="1:7" ht="12" x14ac:dyDescent="0.25">
      <c r="A1505" s="90" t="s">
        <v>37</v>
      </c>
      <c r="B1505" s="90" t="s">
        <v>66</v>
      </c>
      <c r="C1505" s="90">
        <v>5</v>
      </c>
      <c r="D1505" s="109" t="s">
        <v>231</v>
      </c>
      <c r="E1505" s="99" t="s">
        <v>231</v>
      </c>
      <c r="F1505" s="100" t="s">
        <v>2041</v>
      </c>
      <c r="G1505" s="105" t="s">
        <v>2042</v>
      </c>
    </row>
    <row r="1506" spans="1:7" ht="12" x14ac:dyDescent="0.25">
      <c r="A1506" s="90" t="s">
        <v>37</v>
      </c>
      <c r="B1506" s="90" t="s">
        <v>66</v>
      </c>
      <c r="C1506" s="90">
        <v>5</v>
      </c>
      <c r="D1506" s="109" t="s">
        <v>2043</v>
      </c>
      <c r="E1506" s="99" t="s">
        <v>2043</v>
      </c>
      <c r="F1506" s="100" t="s">
        <v>2470</v>
      </c>
      <c r="G1506" s="105" t="s">
        <v>2526</v>
      </c>
    </row>
    <row r="1507" spans="1:7" ht="12" x14ac:dyDescent="0.25">
      <c r="A1507" s="90" t="s">
        <v>37</v>
      </c>
      <c r="B1507" s="90" t="s">
        <v>66</v>
      </c>
      <c r="C1507" s="90">
        <v>5</v>
      </c>
      <c r="D1507" s="109" t="s">
        <v>130</v>
      </c>
      <c r="E1507" s="99" t="s">
        <v>130</v>
      </c>
      <c r="F1507" s="100" t="s">
        <v>2468</v>
      </c>
      <c r="G1507" s="105" t="s">
        <v>2524</v>
      </c>
    </row>
    <row r="1508" spans="1:7" ht="12" x14ac:dyDescent="0.25">
      <c r="A1508" s="90" t="s">
        <v>37</v>
      </c>
      <c r="B1508" s="90" t="s">
        <v>66</v>
      </c>
      <c r="C1508" s="90">
        <v>5</v>
      </c>
      <c r="D1508" s="109" t="s">
        <v>232</v>
      </c>
      <c r="E1508" s="99" t="s">
        <v>232</v>
      </c>
      <c r="F1508" s="100" t="s">
        <v>2044</v>
      </c>
      <c r="G1508" s="105" t="s">
        <v>2045</v>
      </c>
    </row>
    <row r="1509" spans="1:7" ht="12" x14ac:dyDescent="0.25">
      <c r="A1509" s="90" t="s">
        <v>37</v>
      </c>
      <c r="B1509" s="90" t="s">
        <v>66</v>
      </c>
      <c r="C1509" s="90">
        <v>5</v>
      </c>
      <c r="D1509" s="109" t="s">
        <v>233</v>
      </c>
      <c r="E1509" s="99" t="s">
        <v>233</v>
      </c>
      <c r="F1509" s="100" t="s">
        <v>2046</v>
      </c>
      <c r="G1509" s="105" t="s">
        <v>2047</v>
      </c>
    </row>
    <row r="1510" spans="1:7" ht="12" x14ac:dyDescent="0.25">
      <c r="A1510" s="90" t="s">
        <v>37</v>
      </c>
      <c r="B1510" s="90" t="s">
        <v>66</v>
      </c>
      <c r="C1510" s="90">
        <v>5</v>
      </c>
      <c r="D1510" s="109" t="s">
        <v>234</v>
      </c>
      <c r="E1510" s="99" t="s">
        <v>234</v>
      </c>
      <c r="F1510" s="100" t="s">
        <v>2048</v>
      </c>
      <c r="G1510" s="105" t="s">
        <v>2049</v>
      </c>
    </row>
    <row r="1511" spans="1:7" ht="12" x14ac:dyDescent="0.25">
      <c r="A1511" s="90" t="s">
        <v>37</v>
      </c>
      <c r="B1511" s="90" t="s">
        <v>66</v>
      </c>
      <c r="C1511" s="90">
        <v>5</v>
      </c>
      <c r="D1511" s="109" t="s">
        <v>235</v>
      </c>
      <c r="E1511" s="99" t="s">
        <v>235</v>
      </c>
      <c r="F1511" s="100" t="s">
        <v>2050</v>
      </c>
      <c r="G1511" s="105" t="s">
        <v>2051</v>
      </c>
    </row>
    <row r="1512" spans="1:7" ht="12" x14ac:dyDescent="0.25">
      <c r="A1512" s="90" t="s">
        <v>37</v>
      </c>
      <c r="B1512" s="90" t="s">
        <v>66</v>
      </c>
      <c r="C1512" s="90">
        <v>5</v>
      </c>
      <c r="D1512" s="109" t="s">
        <v>236</v>
      </c>
      <c r="E1512" s="99" t="s">
        <v>236</v>
      </c>
      <c r="F1512" s="100" t="s">
        <v>2052</v>
      </c>
      <c r="G1512" s="105" t="s">
        <v>2053</v>
      </c>
    </row>
    <row r="1513" spans="1:7" ht="12" x14ac:dyDescent="0.25">
      <c r="A1513" s="90" t="s">
        <v>37</v>
      </c>
      <c r="B1513" s="90" t="s">
        <v>66</v>
      </c>
      <c r="C1513" s="90">
        <v>5</v>
      </c>
      <c r="D1513" s="109" t="s">
        <v>237</v>
      </c>
      <c r="E1513" s="99" t="s">
        <v>237</v>
      </c>
      <c r="F1513" s="100" t="s">
        <v>2054</v>
      </c>
      <c r="G1513" s="105" t="s">
        <v>2055</v>
      </c>
    </row>
    <row r="1514" spans="1:7" ht="12" x14ac:dyDescent="0.25">
      <c r="A1514" s="90" t="s">
        <v>37</v>
      </c>
      <c r="B1514" s="90" t="s">
        <v>66</v>
      </c>
      <c r="C1514" s="90">
        <v>5</v>
      </c>
      <c r="D1514" s="109" t="s">
        <v>2056</v>
      </c>
      <c r="E1514" s="99" t="s">
        <v>2056</v>
      </c>
      <c r="F1514" s="100" t="s">
        <v>2471</v>
      </c>
      <c r="G1514" s="105" t="s">
        <v>2527</v>
      </c>
    </row>
    <row r="1515" spans="1:7" ht="12" x14ac:dyDescent="0.25">
      <c r="A1515" s="90" t="s">
        <v>37</v>
      </c>
      <c r="B1515" s="90" t="s">
        <v>66</v>
      </c>
      <c r="C1515" s="90">
        <v>5</v>
      </c>
      <c r="D1515" s="109" t="s">
        <v>130</v>
      </c>
      <c r="E1515" s="99" t="s">
        <v>130</v>
      </c>
      <c r="F1515" s="100" t="s">
        <v>2468</v>
      </c>
      <c r="G1515" s="105" t="s">
        <v>2524</v>
      </c>
    </row>
    <row r="1516" spans="1:7" ht="12" x14ac:dyDescent="0.25">
      <c r="A1516" s="90" t="s">
        <v>37</v>
      </c>
      <c r="B1516" s="90" t="s">
        <v>66</v>
      </c>
      <c r="C1516" s="90">
        <v>5</v>
      </c>
      <c r="D1516" s="109" t="s">
        <v>238</v>
      </c>
      <c r="E1516" s="99" t="s">
        <v>238</v>
      </c>
      <c r="F1516" s="100" t="s">
        <v>2057</v>
      </c>
      <c r="G1516" s="105" t="s">
        <v>2058</v>
      </c>
    </row>
    <row r="1517" spans="1:7" ht="12" x14ac:dyDescent="0.25">
      <c r="A1517" s="90" t="s">
        <v>37</v>
      </c>
      <c r="B1517" s="90" t="s">
        <v>66</v>
      </c>
      <c r="C1517" s="90">
        <v>5</v>
      </c>
      <c r="D1517" s="109" t="s">
        <v>239</v>
      </c>
      <c r="E1517" s="99" t="s">
        <v>239</v>
      </c>
      <c r="F1517" s="100" t="s">
        <v>2059</v>
      </c>
      <c r="G1517" s="105" t="s">
        <v>2060</v>
      </c>
    </row>
    <row r="1518" spans="1:7" ht="12" x14ac:dyDescent="0.25">
      <c r="A1518" s="90" t="s">
        <v>37</v>
      </c>
      <c r="B1518" s="90" t="s">
        <v>66</v>
      </c>
      <c r="C1518" s="90">
        <v>5</v>
      </c>
      <c r="D1518" s="109" t="s">
        <v>240</v>
      </c>
      <c r="E1518" s="99" t="s">
        <v>240</v>
      </c>
      <c r="F1518" s="100" t="s">
        <v>2061</v>
      </c>
      <c r="G1518" s="105" t="s">
        <v>2062</v>
      </c>
    </row>
    <row r="1519" spans="1:7" ht="12" x14ac:dyDescent="0.25">
      <c r="A1519" s="90" t="s">
        <v>37</v>
      </c>
      <c r="B1519" s="90" t="s">
        <v>66</v>
      </c>
      <c r="C1519" s="90">
        <v>5</v>
      </c>
      <c r="D1519" s="109" t="s">
        <v>241</v>
      </c>
      <c r="E1519" s="99" t="s">
        <v>241</v>
      </c>
      <c r="F1519" s="100" t="s">
        <v>2063</v>
      </c>
      <c r="G1519" s="105" t="s">
        <v>2064</v>
      </c>
    </row>
    <row r="1520" spans="1:7" ht="12" x14ac:dyDescent="0.25">
      <c r="A1520" s="90" t="s">
        <v>37</v>
      </c>
      <c r="B1520" s="90" t="s">
        <v>66</v>
      </c>
      <c r="C1520" s="90">
        <v>5</v>
      </c>
      <c r="D1520" s="109" t="s">
        <v>242</v>
      </c>
      <c r="E1520" s="99" t="s">
        <v>242</v>
      </c>
      <c r="F1520" s="100" t="s">
        <v>2065</v>
      </c>
      <c r="G1520" s="105" t="s">
        <v>2066</v>
      </c>
    </row>
    <row r="1521" spans="1:7" ht="12" x14ac:dyDescent="0.25">
      <c r="A1521" s="90" t="s">
        <v>37</v>
      </c>
      <c r="B1521" s="90" t="s">
        <v>66</v>
      </c>
      <c r="C1521" s="90">
        <v>5</v>
      </c>
      <c r="D1521" s="109" t="s">
        <v>243</v>
      </c>
      <c r="E1521" s="99" t="s">
        <v>243</v>
      </c>
      <c r="F1521" s="100" t="s">
        <v>2067</v>
      </c>
      <c r="G1521" s="105" t="s">
        <v>2068</v>
      </c>
    </row>
    <row r="1522" spans="1:7" ht="12" x14ac:dyDescent="0.25">
      <c r="A1522" s="90" t="s">
        <v>37</v>
      </c>
      <c r="B1522" s="90" t="s">
        <v>66</v>
      </c>
      <c r="C1522" s="90">
        <v>5</v>
      </c>
      <c r="D1522" s="109" t="s">
        <v>2069</v>
      </c>
      <c r="E1522" s="99" t="s">
        <v>2069</v>
      </c>
      <c r="F1522" s="100" t="s">
        <v>2472</v>
      </c>
      <c r="G1522" s="105" t="s">
        <v>2528</v>
      </c>
    </row>
    <row r="1523" spans="1:7" ht="12" x14ac:dyDescent="0.25">
      <c r="A1523" s="90" t="s">
        <v>37</v>
      </c>
      <c r="B1523" s="90" t="s">
        <v>66</v>
      </c>
      <c r="C1523" s="90">
        <v>5</v>
      </c>
      <c r="D1523" s="109" t="s">
        <v>130</v>
      </c>
      <c r="E1523" s="99" t="s">
        <v>130</v>
      </c>
      <c r="F1523" s="100" t="s">
        <v>2468</v>
      </c>
      <c r="G1523" s="105" t="s">
        <v>2524</v>
      </c>
    </row>
    <row r="1524" spans="1:7" ht="12" x14ac:dyDescent="0.25">
      <c r="A1524" s="90" t="s">
        <v>37</v>
      </c>
      <c r="B1524" s="90" t="s">
        <v>66</v>
      </c>
      <c r="C1524" s="90">
        <v>5</v>
      </c>
      <c r="D1524" s="109" t="s">
        <v>337</v>
      </c>
      <c r="E1524" s="99" t="s">
        <v>337</v>
      </c>
      <c r="F1524" s="102" t="s">
        <v>2070</v>
      </c>
      <c r="G1524" s="107" t="s">
        <v>2071</v>
      </c>
    </row>
    <row r="1525" spans="1:7" ht="12" x14ac:dyDescent="0.25">
      <c r="A1525" s="90" t="s">
        <v>37</v>
      </c>
      <c r="B1525" s="90" t="s">
        <v>66</v>
      </c>
      <c r="C1525" s="90">
        <v>5</v>
      </c>
      <c r="D1525" s="109" t="s">
        <v>338</v>
      </c>
      <c r="E1525" s="99" t="s">
        <v>338</v>
      </c>
      <c r="F1525" s="100" t="s">
        <v>2072</v>
      </c>
      <c r="G1525" s="105" t="s">
        <v>2073</v>
      </c>
    </row>
    <row r="1526" spans="1:7" ht="12" x14ac:dyDescent="0.25">
      <c r="A1526" s="90" t="s">
        <v>37</v>
      </c>
      <c r="B1526" s="90" t="s">
        <v>66</v>
      </c>
      <c r="C1526" s="90">
        <v>5</v>
      </c>
      <c r="D1526" s="109" t="s">
        <v>339</v>
      </c>
      <c r="E1526" s="99" t="s">
        <v>339</v>
      </c>
      <c r="F1526" s="100" t="s">
        <v>2074</v>
      </c>
      <c r="G1526" s="105" t="s">
        <v>2075</v>
      </c>
    </row>
    <row r="1527" spans="1:7" ht="12" x14ac:dyDescent="0.25">
      <c r="A1527" s="90" t="s">
        <v>37</v>
      </c>
      <c r="B1527" s="90" t="s">
        <v>66</v>
      </c>
      <c r="C1527" s="90">
        <v>5</v>
      </c>
      <c r="D1527" s="109" t="s">
        <v>340</v>
      </c>
      <c r="E1527" s="99" t="s">
        <v>340</v>
      </c>
      <c r="F1527" s="100" t="s">
        <v>2076</v>
      </c>
      <c r="G1527" s="105" t="s">
        <v>2077</v>
      </c>
    </row>
    <row r="1528" spans="1:7" ht="12" x14ac:dyDescent="0.25">
      <c r="A1528" s="90" t="s">
        <v>37</v>
      </c>
      <c r="B1528" s="90" t="s">
        <v>66</v>
      </c>
      <c r="C1528" s="90">
        <v>5</v>
      </c>
      <c r="D1528" s="109" t="s">
        <v>341</v>
      </c>
      <c r="E1528" s="99" t="s">
        <v>341</v>
      </c>
      <c r="F1528" s="100" t="s">
        <v>2078</v>
      </c>
      <c r="G1528" s="105" t="s">
        <v>2079</v>
      </c>
    </row>
    <row r="1529" spans="1:7" ht="12" x14ac:dyDescent="0.25">
      <c r="A1529" s="90" t="s">
        <v>37</v>
      </c>
      <c r="B1529" s="90" t="s">
        <v>66</v>
      </c>
      <c r="C1529" s="90">
        <v>5</v>
      </c>
      <c r="D1529" s="109" t="s">
        <v>342</v>
      </c>
      <c r="E1529" s="99" t="s">
        <v>342</v>
      </c>
      <c r="F1529" s="100" t="s">
        <v>2080</v>
      </c>
      <c r="G1529" s="105" t="s">
        <v>2081</v>
      </c>
    </row>
    <row r="1530" spans="1:7" ht="12" x14ac:dyDescent="0.25">
      <c r="A1530" s="90" t="s">
        <v>37</v>
      </c>
      <c r="B1530" s="90" t="s">
        <v>66</v>
      </c>
      <c r="C1530" s="90">
        <v>5</v>
      </c>
      <c r="D1530" s="109" t="s">
        <v>2082</v>
      </c>
      <c r="E1530" s="99" t="s">
        <v>2082</v>
      </c>
      <c r="F1530" s="100" t="s">
        <v>2473</v>
      </c>
      <c r="G1530" s="105" t="s">
        <v>2529</v>
      </c>
    </row>
    <row r="1531" spans="1:7" ht="12" x14ac:dyDescent="0.25">
      <c r="A1531" s="90" t="s">
        <v>37</v>
      </c>
      <c r="B1531" s="90" t="s">
        <v>66</v>
      </c>
      <c r="C1531" s="90">
        <v>5</v>
      </c>
      <c r="D1531" s="109" t="s">
        <v>191</v>
      </c>
      <c r="E1531" s="99" t="s">
        <v>191</v>
      </c>
      <c r="F1531" s="100" t="s">
        <v>343</v>
      </c>
      <c r="G1531" s="105" t="s">
        <v>2090</v>
      </c>
    </row>
    <row r="1532" spans="1:7" ht="12" x14ac:dyDescent="0.25">
      <c r="A1532" s="90" t="s">
        <v>37</v>
      </c>
      <c r="B1532" s="90" t="s">
        <v>66</v>
      </c>
      <c r="C1532" s="90">
        <v>5</v>
      </c>
      <c r="D1532" s="109" t="s">
        <v>244</v>
      </c>
      <c r="E1532" s="99" t="s">
        <v>244</v>
      </c>
      <c r="F1532" s="100" t="s">
        <v>344</v>
      </c>
      <c r="G1532" s="105" t="s">
        <v>345</v>
      </c>
    </row>
    <row r="1533" spans="1:7" ht="12" x14ac:dyDescent="0.25">
      <c r="A1533" s="90" t="s">
        <v>37</v>
      </c>
      <c r="B1533" s="90" t="s">
        <v>66</v>
      </c>
      <c r="C1533" s="90">
        <v>5</v>
      </c>
      <c r="D1533" s="109" t="s">
        <v>2084</v>
      </c>
      <c r="E1533" s="99" t="s">
        <v>2084</v>
      </c>
      <c r="F1533" s="100" t="s">
        <v>2474</v>
      </c>
      <c r="G1533" s="105" t="s">
        <v>2530</v>
      </c>
    </row>
    <row r="1534" spans="1:7" ht="12" x14ac:dyDescent="0.25">
      <c r="A1534" s="90" t="s">
        <v>37</v>
      </c>
      <c r="B1534" s="90" t="s">
        <v>66</v>
      </c>
      <c r="C1534" s="90">
        <v>5</v>
      </c>
      <c r="D1534" s="109" t="s">
        <v>211</v>
      </c>
      <c r="E1534" s="99" t="s">
        <v>211</v>
      </c>
      <c r="F1534" s="100" t="s">
        <v>2085</v>
      </c>
      <c r="G1534" s="105" t="s">
        <v>349</v>
      </c>
    </row>
    <row r="1535" spans="1:7" ht="12" x14ac:dyDescent="0.25">
      <c r="A1535" s="90" t="s">
        <v>37</v>
      </c>
      <c r="B1535" s="90" t="s">
        <v>66</v>
      </c>
      <c r="C1535" s="90">
        <v>5</v>
      </c>
      <c r="D1535" s="109" t="s">
        <v>193</v>
      </c>
      <c r="E1535" s="99" t="s">
        <v>193</v>
      </c>
      <c r="F1535" s="100" t="s">
        <v>350</v>
      </c>
      <c r="G1535" s="105" t="s">
        <v>2086</v>
      </c>
    </row>
    <row r="1536" spans="1:7" ht="12" x14ac:dyDescent="0.25">
      <c r="A1536" s="90" t="s">
        <v>37</v>
      </c>
      <c r="B1536" s="90" t="s">
        <v>66</v>
      </c>
      <c r="C1536" s="90">
        <v>5</v>
      </c>
      <c r="D1536" s="109" t="s">
        <v>145</v>
      </c>
      <c r="E1536" s="99" t="s">
        <v>145</v>
      </c>
      <c r="F1536" s="100" t="s">
        <v>351</v>
      </c>
      <c r="G1536" s="105" t="s">
        <v>352</v>
      </c>
    </row>
    <row r="1537" spans="1:7" ht="360" x14ac:dyDescent="0.25">
      <c r="A1537" s="90" t="s">
        <v>37</v>
      </c>
      <c r="B1537" s="90" t="s">
        <v>66</v>
      </c>
      <c r="C1537" s="90">
        <v>6</v>
      </c>
      <c r="D1537" s="109" t="s">
        <v>2021</v>
      </c>
      <c r="E1537" s="99" t="s">
        <v>2021</v>
      </c>
      <c r="F1537" s="100" t="s">
        <v>2450</v>
      </c>
      <c r="G1537" s="105" t="s">
        <v>2451</v>
      </c>
    </row>
    <row r="1538" spans="1:7" ht="12" x14ac:dyDescent="0.25">
      <c r="A1538" s="90" t="s">
        <v>37</v>
      </c>
      <c r="B1538" s="90" t="s">
        <v>66</v>
      </c>
      <c r="C1538" s="90">
        <v>6</v>
      </c>
      <c r="D1538" s="109" t="s">
        <v>75</v>
      </c>
      <c r="E1538" s="99" t="s">
        <v>75</v>
      </c>
      <c r="F1538" s="100" t="s">
        <v>2022</v>
      </c>
      <c r="G1538" s="105" t="s">
        <v>2023</v>
      </c>
    </row>
    <row r="1539" spans="1:7" ht="12" x14ac:dyDescent="0.25">
      <c r="A1539" s="90" t="s">
        <v>37</v>
      </c>
      <c r="B1539" s="90" t="s">
        <v>66</v>
      </c>
      <c r="C1539" s="90">
        <v>6</v>
      </c>
      <c r="D1539" s="109" t="s">
        <v>2000</v>
      </c>
      <c r="E1539" s="99" t="s">
        <v>2000</v>
      </c>
      <c r="F1539" s="100" t="s">
        <v>2452</v>
      </c>
      <c r="G1539" s="105" t="s">
        <v>2531</v>
      </c>
    </row>
    <row r="1540" spans="1:7" ht="12" x14ac:dyDescent="0.25">
      <c r="A1540" s="90" t="s">
        <v>37</v>
      </c>
      <c r="B1540" s="90" t="s">
        <v>66</v>
      </c>
      <c r="C1540" s="90">
        <v>6</v>
      </c>
      <c r="D1540" s="109" t="s">
        <v>2001</v>
      </c>
      <c r="E1540" s="99" t="s">
        <v>2001</v>
      </c>
      <c r="F1540" s="100" t="s">
        <v>2475</v>
      </c>
      <c r="G1540" s="105" t="s">
        <v>2532</v>
      </c>
    </row>
    <row r="1541" spans="1:7" ht="12" x14ac:dyDescent="0.25">
      <c r="A1541" s="90" t="s">
        <v>37</v>
      </c>
      <c r="B1541" s="90" t="s">
        <v>66</v>
      </c>
      <c r="C1541" s="90">
        <v>6</v>
      </c>
      <c r="D1541" s="109" t="s">
        <v>225</v>
      </c>
      <c r="E1541" s="99" t="s">
        <v>225</v>
      </c>
      <c r="F1541" s="100" t="s">
        <v>335</v>
      </c>
      <c r="G1541" s="105" t="s">
        <v>336</v>
      </c>
    </row>
    <row r="1542" spans="1:7" ht="12" x14ac:dyDescent="0.25">
      <c r="A1542" s="90" t="s">
        <v>37</v>
      </c>
      <c r="B1542" s="90" t="s">
        <v>66</v>
      </c>
      <c r="C1542" s="90">
        <v>6</v>
      </c>
      <c r="D1542" s="109" t="s">
        <v>74</v>
      </c>
      <c r="E1542" s="99" t="s">
        <v>74</v>
      </c>
      <c r="F1542" s="100" t="s">
        <v>2028</v>
      </c>
      <c r="G1542" s="105" t="s">
        <v>2029</v>
      </c>
    </row>
    <row r="1543" spans="1:7" ht="12" x14ac:dyDescent="0.25">
      <c r="A1543" s="90" t="s">
        <v>37</v>
      </c>
      <c r="B1543" s="90" t="s">
        <v>66</v>
      </c>
      <c r="C1543" s="90">
        <v>6</v>
      </c>
      <c r="D1543" s="109" t="s">
        <v>2030</v>
      </c>
      <c r="E1543" s="99" t="s">
        <v>2030</v>
      </c>
      <c r="F1543" s="100" t="s">
        <v>2467</v>
      </c>
      <c r="G1543" s="105" t="s">
        <v>2462</v>
      </c>
    </row>
    <row r="1544" spans="1:7" ht="12" x14ac:dyDescent="0.25">
      <c r="A1544" s="90" t="s">
        <v>37</v>
      </c>
      <c r="B1544" s="90" t="s">
        <v>66</v>
      </c>
      <c r="C1544" s="90">
        <v>6</v>
      </c>
      <c r="D1544" s="109" t="s">
        <v>64</v>
      </c>
      <c r="E1544" s="99" t="s">
        <v>64</v>
      </c>
      <c r="F1544" s="100" t="s">
        <v>2031</v>
      </c>
      <c r="G1544" s="105" t="s">
        <v>2032</v>
      </c>
    </row>
    <row r="1545" spans="1:7" ht="12" x14ac:dyDescent="0.25">
      <c r="A1545" s="90" t="s">
        <v>37</v>
      </c>
      <c r="B1545" s="90" t="s">
        <v>66</v>
      </c>
      <c r="C1545" s="90">
        <v>6</v>
      </c>
      <c r="D1545" s="109" t="s">
        <v>130</v>
      </c>
      <c r="E1545" s="99" t="s">
        <v>130</v>
      </c>
      <c r="F1545" s="100" t="s">
        <v>2468</v>
      </c>
      <c r="G1545" s="105" t="s">
        <v>2524</v>
      </c>
    </row>
    <row r="1546" spans="1:7" ht="12" x14ac:dyDescent="0.25">
      <c r="A1546" s="90" t="s">
        <v>37</v>
      </c>
      <c r="B1546" s="90" t="s">
        <v>66</v>
      </c>
      <c r="C1546" s="90">
        <v>6</v>
      </c>
      <c r="D1546" s="109" t="s">
        <v>226</v>
      </c>
      <c r="E1546" s="99" t="s">
        <v>226</v>
      </c>
      <c r="F1546" s="100" t="s">
        <v>2088</v>
      </c>
      <c r="G1546" s="105" t="s">
        <v>2089</v>
      </c>
    </row>
    <row r="1547" spans="1:7" ht="12" x14ac:dyDescent="0.25">
      <c r="A1547" s="90" t="s">
        <v>37</v>
      </c>
      <c r="B1547" s="90" t="s">
        <v>66</v>
      </c>
      <c r="C1547" s="90">
        <v>6</v>
      </c>
      <c r="D1547" s="109" t="s">
        <v>227</v>
      </c>
      <c r="E1547" s="99" t="s">
        <v>227</v>
      </c>
      <c r="F1547" s="100" t="s">
        <v>2033</v>
      </c>
      <c r="G1547" s="105" t="s">
        <v>2034</v>
      </c>
    </row>
    <row r="1548" spans="1:7" ht="12" x14ac:dyDescent="0.25">
      <c r="A1548" s="90" t="s">
        <v>37</v>
      </c>
      <c r="B1548" s="90" t="s">
        <v>66</v>
      </c>
      <c r="C1548" s="90">
        <v>6</v>
      </c>
      <c r="D1548" s="109" t="s">
        <v>228</v>
      </c>
      <c r="E1548" s="99" t="s">
        <v>228</v>
      </c>
      <c r="F1548" s="100" t="s">
        <v>2035</v>
      </c>
      <c r="G1548" s="105" t="s">
        <v>2036</v>
      </c>
    </row>
    <row r="1549" spans="1:7" ht="12" x14ac:dyDescent="0.25">
      <c r="A1549" s="90" t="s">
        <v>37</v>
      </c>
      <c r="B1549" s="90" t="s">
        <v>66</v>
      </c>
      <c r="C1549" s="90">
        <v>6</v>
      </c>
      <c r="D1549" s="109" t="s">
        <v>229</v>
      </c>
      <c r="E1549" s="99" t="s">
        <v>229</v>
      </c>
      <c r="F1549" s="100" t="s">
        <v>2037</v>
      </c>
      <c r="G1549" s="105" t="s">
        <v>2038</v>
      </c>
    </row>
    <row r="1550" spans="1:7" ht="12" x14ac:dyDescent="0.25">
      <c r="A1550" s="90" t="s">
        <v>37</v>
      </c>
      <c r="B1550" s="90" t="s">
        <v>66</v>
      </c>
      <c r="C1550" s="90">
        <v>6</v>
      </c>
      <c r="D1550" s="109" t="s">
        <v>230</v>
      </c>
      <c r="E1550" s="99" t="s">
        <v>230</v>
      </c>
      <c r="F1550" s="100" t="s">
        <v>2039</v>
      </c>
      <c r="G1550" s="105" t="s">
        <v>2040</v>
      </c>
    </row>
    <row r="1551" spans="1:7" ht="12" x14ac:dyDescent="0.25">
      <c r="A1551" s="90" t="s">
        <v>37</v>
      </c>
      <c r="B1551" s="90" t="s">
        <v>66</v>
      </c>
      <c r="C1551" s="90">
        <v>6</v>
      </c>
      <c r="D1551" s="109" t="s">
        <v>231</v>
      </c>
      <c r="E1551" s="99" t="s">
        <v>231</v>
      </c>
      <c r="F1551" s="100" t="s">
        <v>2041</v>
      </c>
      <c r="G1551" s="105" t="s">
        <v>2042</v>
      </c>
    </row>
    <row r="1552" spans="1:7" ht="12" x14ac:dyDescent="0.25">
      <c r="A1552" s="90" t="s">
        <v>37</v>
      </c>
      <c r="B1552" s="90" t="s">
        <v>66</v>
      </c>
      <c r="C1552" s="90">
        <v>6</v>
      </c>
      <c r="D1552" s="109" t="s">
        <v>2043</v>
      </c>
      <c r="E1552" s="99" t="s">
        <v>2043</v>
      </c>
      <c r="F1552" s="100" t="s">
        <v>2470</v>
      </c>
      <c r="G1552" s="105" t="s">
        <v>2526</v>
      </c>
    </row>
    <row r="1553" spans="1:7" ht="12" x14ac:dyDescent="0.25">
      <c r="A1553" s="90" t="s">
        <v>37</v>
      </c>
      <c r="B1553" s="90" t="s">
        <v>66</v>
      </c>
      <c r="C1553" s="90">
        <v>6</v>
      </c>
      <c r="D1553" s="109" t="s">
        <v>130</v>
      </c>
      <c r="E1553" s="99" t="s">
        <v>130</v>
      </c>
      <c r="F1553" s="100" t="s">
        <v>2468</v>
      </c>
      <c r="G1553" s="105" t="s">
        <v>2524</v>
      </c>
    </row>
    <row r="1554" spans="1:7" ht="12" x14ac:dyDescent="0.25">
      <c r="A1554" s="90" t="s">
        <v>37</v>
      </c>
      <c r="B1554" s="90" t="s">
        <v>66</v>
      </c>
      <c r="C1554" s="90">
        <v>6</v>
      </c>
      <c r="D1554" s="109" t="s">
        <v>232</v>
      </c>
      <c r="E1554" s="99" t="s">
        <v>232</v>
      </c>
      <c r="F1554" s="100" t="s">
        <v>2044</v>
      </c>
      <c r="G1554" s="105" t="s">
        <v>2045</v>
      </c>
    </row>
    <row r="1555" spans="1:7" ht="12" x14ac:dyDescent="0.25">
      <c r="A1555" s="90" t="s">
        <v>37</v>
      </c>
      <c r="B1555" s="90" t="s">
        <v>66</v>
      </c>
      <c r="C1555" s="90">
        <v>6</v>
      </c>
      <c r="D1555" s="109" t="s">
        <v>233</v>
      </c>
      <c r="E1555" s="99" t="s">
        <v>233</v>
      </c>
      <c r="F1555" s="100" t="s">
        <v>2046</v>
      </c>
      <c r="G1555" s="105" t="s">
        <v>2047</v>
      </c>
    </row>
    <row r="1556" spans="1:7" ht="12" x14ac:dyDescent="0.25">
      <c r="A1556" s="90" t="s">
        <v>37</v>
      </c>
      <c r="B1556" s="90" t="s">
        <v>66</v>
      </c>
      <c r="C1556" s="90">
        <v>6</v>
      </c>
      <c r="D1556" s="109" t="s">
        <v>234</v>
      </c>
      <c r="E1556" s="99" t="s">
        <v>234</v>
      </c>
      <c r="F1556" s="100" t="s">
        <v>2048</v>
      </c>
      <c r="G1556" s="105" t="s">
        <v>2049</v>
      </c>
    </row>
    <row r="1557" spans="1:7" ht="12" x14ac:dyDescent="0.25">
      <c r="A1557" s="90" t="s">
        <v>37</v>
      </c>
      <c r="B1557" s="90" t="s">
        <v>66</v>
      </c>
      <c r="C1557" s="90">
        <v>6</v>
      </c>
      <c r="D1557" s="109" t="s">
        <v>235</v>
      </c>
      <c r="E1557" s="99" t="s">
        <v>235</v>
      </c>
      <c r="F1557" s="100" t="s">
        <v>2050</v>
      </c>
      <c r="G1557" s="105" t="s">
        <v>2051</v>
      </c>
    </row>
    <row r="1558" spans="1:7" ht="12" x14ac:dyDescent="0.25">
      <c r="A1558" s="90" t="s">
        <v>37</v>
      </c>
      <c r="B1558" s="90" t="s">
        <v>66</v>
      </c>
      <c r="C1558" s="90">
        <v>6</v>
      </c>
      <c r="D1558" s="109" t="s">
        <v>236</v>
      </c>
      <c r="E1558" s="99" t="s">
        <v>236</v>
      </c>
      <c r="F1558" s="102" t="s">
        <v>2052</v>
      </c>
      <c r="G1558" s="107" t="s">
        <v>2053</v>
      </c>
    </row>
    <row r="1559" spans="1:7" ht="12" x14ac:dyDescent="0.25">
      <c r="A1559" s="90" t="s">
        <v>37</v>
      </c>
      <c r="B1559" s="90" t="s">
        <v>66</v>
      </c>
      <c r="C1559" s="90">
        <v>6</v>
      </c>
      <c r="D1559" s="109" t="s">
        <v>237</v>
      </c>
      <c r="E1559" s="99" t="s">
        <v>237</v>
      </c>
      <c r="F1559" s="100" t="s">
        <v>2054</v>
      </c>
      <c r="G1559" s="105" t="s">
        <v>2055</v>
      </c>
    </row>
    <row r="1560" spans="1:7" ht="12" x14ac:dyDescent="0.25">
      <c r="A1560" s="90" t="s">
        <v>37</v>
      </c>
      <c r="B1560" s="90" t="s">
        <v>66</v>
      </c>
      <c r="C1560" s="90">
        <v>6</v>
      </c>
      <c r="D1560" s="109" t="s">
        <v>2056</v>
      </c>
      <c r="E1560" s="99" t="s">
        <v>2056</v>
      </c>
      <c r="F1560" s="100" t="s">
        <v>2471</v>
      </c>
      <c r="G1560" s="105" t="s">
        <v>2527</v>
      </c>
    </row>
    <row r="1561" spans="1:7" ht="12" x14ac:dyDescent="0.25">
      <c r="A1561" s="90" t="s">
        <v>37</v>
      </c>
      <c r="B1561" s="90" t="s">
        <v>66</v>
      </c>
      <c r="C1561" s="90">
        <v>6</v>
      </c>
      <c r="D1561" s="109" t="s">
        <v>130</v>
      </c>
      <c r="E1561" s="99" t="s">
        <v>130</v>
      </c>
      <c r="F1561" s="100" t="s">
        <v>2468</v>
      </c>
      <c r="G1561" s="105" t="s">
        <v>2524</v>
      </c>
    </row>
    <row r="1562" spans="1:7" ht="12" x14ac:dyDescent="0.25">
      <c r="A1562" s="90" t="s">
        <v>37</v>
      </c>
      <c r="B1562" s="90" t="s">
        <v>66</v>
      </c>
      <c r="C1562" s="90">
        <v>6</v>
      </c>
      <c r="D1562" s="109" t="s">
        <v>238</v>
      </c>
      <c r="E1562" s="99" t="s">
        <v>238</v>
      </c>
      <c r="F1562" s="100" t="s">
        <v>2057</v>
      </c>
      <c r="G1562" s="105" t="s">
        <v>2058</v>
      </c>
    </row>
    <row r="1563" spans="1:7" ht="12" x14ac:dyDescent="0.25">
      <c r="A1563" s="90" t="s">
        <v>37</v>
      </c>
      <c r="B1563" s="90" t="s">
        <v>66</v>
      </c>
      <c r="C1563" s="90">
        <v>6</v>
      </c>
      <c r="D1563" s="109" t="s">
        <v>239</v>
      </c>
      <c r="E1563" s="99" t="s">
        <v>239</v>
      </c>
      <c r="F1563" s="100" t="s">
        <v>2059</v>
      </c>
      <c r="G1563" s="105" t="s">
        <v>2060</v>
      </c>
    </row>
    <row r="1564" spans="1:7" ht="12" x14ac:dyDescent="0.25">
      <c r="A1564" s="90" t="s">
        <v>37</v>
      </c>
      <c r="B1564" s="90" t="s">
        <v>66</v>
      </c>
      <c r="C1564" s="90">
        <v>6</v>
      </c>
      <c r="D1564" s="109" t="s">
        <v>240</v>
      </c>
      <c r="E1564" s="99" t="s">
        <v>240</v>
      </c>
      <c r="F1564" s="100" t="s">
        <v>2061</v>
      </c>
      <c r="G1564" s="105" t="s">
        <v>2062</v>
      </c>
    </row>
    <row r="1565" spans="1:7" ht="12" x14ac:dyDescent="0.25">
      <c r="A1565" s="90" t="s">
        <v>37</v>
      </c>
      <c r="B1565" s="90" t="s">
        <v>66</v>
      </c>
      <c r="C1565" s="90">
        <v>6</v>
      </c>
      <c r="D1565" s="109" t="s">
        <v>241</v>
      </c>
      <c r="E1565" s="99" t="s">
        <v>241</v>
      </c>
      <c r="F1565" s="100" t="s">
        <v>2063</v>
      </c>
      <c r="G1565" s="105" t="s">
        <v>2064</v>
      </c>
    </row>
    <row r="1566" spans="1:7" ht="12" x14ac:dyDescent="0.25">
      <c r="A1566" s="90" t="s">
        <v>37</v>
      </c>
      <c r="B1566" s="90" t="s">
        <v>66</v>
      </c>
      <c r="C1566" s="90">
        <v>6</v>
      </c>
      <c r="D1566" s="109" t="s">
        <v>242</v>
      </c>
      <c r="E1566" s="99" t="s">
        <v>242</v>
      </c>
      <c r="F1566" s="100" t="s">
        <v>2065</v>
      </c>
      <c r="G1566" s="105" t="s">
        <v>2066</v>
      </c>
    </row>
    <row r="1567" spans="1:7" ht="12" x14ac:dyDescent="0.25">
      <c r="A1567" s="90" t="s">
        <v>37</v>
      </c>
      <c r="B1567" s="90" t="s">
        <v>66</v>
      </c>
      <c r="C1567" s="90">
        <v>6</v>
      </c>
      <c r="D1567" s="109" t="s">
        <v>243</v>
      </c>
      <c r="E1567" s="99" t="s">
        <v>243</v>
      </c>
      <c r="F1567" s="100" t="s">
        <v>2067</v>
      </c>
      <c r="G1567" s="105" t="s">
        <v>2068</v>
      </c>
    </row>
    <row r="1568" spans="1:7" ht="12" x14ac:dyDescent="0.25">
      <c r="A1568" s="90" t="s">
        <v>37</v>
      </c>
      <c r="B1568" s="90" t="s">
        <v>66</v>
      </c>
      <c r="C1568" s="90">
        <v>6</v>
      </c>
      <c r="D1568" s="109" t="s">
        <v>2069</v>
      </c>
      <c r="E1568" s="99" t="s">
        <v>2069</v>
      </c>
      <c r="F1568" s="100" t="s">
        <v>2472</v>
      </c>
      <c r="G1568" s="105" t="s">
        <v>2528</v>
      </c>
    </row>
    <row r="1569" spans="1:7" ht="12" x14ac:dyDescent="0.25">
      <c r="A1569" s="90" t="s">
        <v>37</v>
      </c>
      <c r="B1569" s="90" t="s">
        <v>66</v>
      </c>
      <c r="C1569" s="90">
        <v>6</v>
      </c>
      <c r="D1569" s="109" t="s">
        <v>130</v>
      </c>
      <c r="E1569" s="99" t="s">
        <v>130</v>
      </c>
      <c r="F1569" s="100" t="s">
        <v>2468</v>
      </c>
      <c r="G1569" s="105" t="s">
        <v>2524</v>
      </c>
    </row>
    <row r="1570" spans="1:7" ht="12" x14ac:dyDescent="0.25">
      <c r="A1570" s="90" t="s">
        <v>37</v>
      </c>
      <c r="B1570" s="90" t="s">
        <v>66</v>
      </c>
      <c r="C1570" s="90">
        <v>6</v>
      </c>
      <c r="D1570" s="109" t="s">
        <v>337</v>
      </c>
      <c r="E1570" s="99" t="s">
        <v>337</v>
      </c>
      <c r="F1570" s="100" t="s">
        <v>2070</v>
      </c>
      <c r="G1570" s="105" t="s">
        <v>2071</v>
      </c>
    </row>
    <row r="1571" spans="1:7" ht="12" x14ac:dyDescent="0.25">
      <c r="A1571" s="90" t="s">
        <v>37</v>
      </c>
      <c r="B1571" s="90" t="s">
        <v>66</v>
      </c>
      <c r="C1571" s="90">
        <v>6</v>
      </c>
      <c r="D1571" s="109" t="s">
        <v>338</v>
      </c>
      <c r="E1571" s="99" t="s">
        <v>338</v>
      </c>
      <c r="F1571" s="100" t="s">
        <v>2072</v>
      </c>
      <c r="G1571" s="105" t="s">
        <v>2073</v>
      </c>
    </row>
    <row r="1572" spans="1:7" ht="12" x14ac:dyDescent="0.25">
      <c r="A1572" s="90" t="s">
        <v>37</v>
      </c>
      <c r="B1572" s="90" t="s">
        <v>66</v>
      </c>
      <c r="C1572" s="90">
        <v>6</v>
      </c>
      <c r="D1572" s="109" t="s">
        <v>339</v>
      </c>
      <c r="E1572" s="99" t="s">
        <v>339</v>
      </c>
      <c r="F1572" s="100" t="s">
        <v>2074</v>
      </c>
      <c r="G1572" s="105" t="s">
        <v>2075</v>
      </c>
    </row>
    <row r="1573" spans="1:7" ht="12" x14ac:dyDescent="0.25">
      <c r="A1573" s="90" t="s">
        <v>37</v>
      </c>
      <c r="B1573" s="90" t="s">
        <v>66</v>
      </c>
      <c r="C1573" s="90">
        <v>6</v>
      </c>
      <c r="D1573" s="109" t="s">
        <v>340</v>
      </c>
      <c r="E1573" s="99" t="s">
        <v>340</v>
      </c>
      <c r="F1573" s="100" t="s">
        <v>2076</v>
      </c>
      <c r="G1573" s="105" t="s">
        <v>2077</v>
      </c>
    </row>
    <row r="1574" spans="1:7" ht="12" x14ac:dyDescent="0.25">
      <c r="A1574" s="90" t="s">
        <v>37</v>
      </c>
      <c r="B1574" s="90" t="s">
        <v>66</v>
      </c>
      <c r="C1574" s="90">
        <v>6</v>
      </c>
      <c r="D1574" s="109" t="s">
        <v>341</v>
      </c>
      <c r="E1574" s="99" t="s">
        <v>341</v>
      </c>
      <c r="F1574" s="100" t="s">
        <v>2078</v>
      </c>
      <c r="G1574" s="105" t="s">
        <v>2079</v>
      </c>
    </row>
    <row r="1575" spans="1:7" ht="12" x14ac:dyDescent="0.25">
      <c r="A1575" s="90" t="s">
        <v>37</v>
      </c>
      <c r="B1575" s="90" t="s">
        <v>66</v>
      </c>
      <c r="C1575" s="90">
        <v>6</v>
      </c>
      <c r="D1575" s="109" t="s">
        <v>342</v>
      </c>
      <c r="E1575" s="99" t="s">
        <v>342</v>
      </c>
      <c r="F1575" s="100" t="s">
        <v>2080</v>
      </c>
      <c r="G1575" s="105" t="s">
        <v>2081</v>
      </c>
    </row>
    <row r="1576" spans="1:7" ht="12" x14ac:dyDescent="0.25">
      <c r="A1576" s="90" t="s">
        <v>37</v>
      </c>
      <c r="B1576" s="90" t="s">
        <v>66</v>
      </c>
      <c r="C1576" s="90">
        <v>6</v>
      </c>
      <c r="D1576" s="109" t="s">
        <v>2082</v>
      </c>
      <c r="E1576" s="99" t="s">
        <v>2082</v>
      </c>
      <c r="F1576" s="100" t="s">
        <v>2473</v>
      </c>
      <c r="G1576" s="105" t="s">
        <v>2529</v>
      </c>
    </row>
    <row r="1577" spans="1:7" ht="12" x14ac:dyDescent="0.25">
      <c r="A1577" s="90" t="s">
        <v>37</v>
      </c>
      <c r="B1577" s="90" t="s">
        <v>66</v>
      </c>
      <c r="C1577" s="90">
        <v>6</v>
      </c>
      <c r="D1577" s="109" t="s">
        <v>191</v>
      </c>
      <c r="E1577" s="99" t="s">
        <v>191</v>
      </c>
      <c r="F1577" s="100" t="s">
        <v>343</v>
      </c>
      <c r="G1577" s="105" t="s">
        <v>2090</v>
      </c>
    </row>
    <row r="1578" spans="1:7" ht="12" x14ac:dyDescent="0.25">
      <c r="A1578" s="90" t="s">
        <v>37</v>
      </c>
      <c r="B1578" s="90" t="s">
        <v>66</v>
      </c>
      <c r="C1578" s="90">
        <v>6</v>
      </c>
      <c r="D1578" s="109" t="s">
        <v>244</v>
      </c>
      <c r="E1578" s="99" t="s">
        <v>244</v>
      </c>
      <c r="F1578" s="100" t="s">
        <v>344</v>
      </c>
      <c r="G1578" s="105" t="s">
        <v>345</v>
      </c>
    </row>
    <row r="1579" spans="1:7" ht="12" x14ac:dyDescent="0.25">
      <c r="A1579" s="90" t="s">
        <v>37</v>
      </c>
      <c r="B1579" s="90" t="s">
        <v>66</v>
      </c>
      <c r="C1579" s="90">
        <v>6</v>
      </c>
      <c r="D1579" s="109" t="s">
        <v>2084</v>
      </c>
      <c r="E1579" s="99" t="s">
        <v>2084</v>
      </c>
      <c r="F1579" s="100" t="s">
        <v>2474</v>
      </c>
      <c r="G1579" s="105" t="s">
        <v>2530</v>
      </c>
    </row>
    <row r="1580" spans="1:7" ht="12" x14ac:dyDescent="0.25">
      <c r="A1580" s="90" t="s">
        <v>37</v>
      </c>
      <c r="B1580" s="90" t="s">
        <v>66</v>
      </c>
      <c r="C1580" s="90">
        <v>6</v>
      </c>
      <c r="D1580" s="109" t="s">
        <v>211</v>
      </c>
      <c r="E1580" s="99" t="s">
        <v>211</v>
      </c>
      <c r="F1580" s="100" t="s">
        <v>2085</v>
      </c>
      <c r="G1580" s="105" t="s">
        <v>349</v>
      </c>
    </row>
    <row r="1581" spans="1:7" ht="12" x14ac:dyDescent="0.25">
      <c r="A1581" s="90" t="s">
        <v>37</v>
      </c>
      <c r="B1581" s="90" t="s">
        <v>66</v>
      </c>
      <c r="C1581" s="90">
        <v>6</v>
      </c>
      <c r="D1581" s="109" t="s">
        <v>193</v>
      </c>
      <c r="E1581" s="99" t="s">
        <v>193</v>
      </c>
      <c r="F1581" s="100" t="s">
        <v>350</v>
      </c>
      <c r="G1581" s="105" t="s">
        <v>2086</v>
      </c>
    </row>
    <row r="1582" spans="1:7" ht="12" x14ac:dyDescent="0.25">
      <c r="A1582" s="90" t="s">
        <v>37</v>
      </c>
      <c r="B1582" s="90" t="s">
        <v>66</v>
      </c>
      <c r="C1582" s="90">
        <v>6</v>
      </c>
      <c r="D1582" s="366" t="s">
        <v>145</v>
      </c>
      <c r="E1582" s="99" t="s">
        <v>145</v>
      </c>
      <c r="F1582" s="100" t="s">
        <v>351</v>
      </c>
      <c r="G1582" s="105" t="s">
        <v>352</v>
      </c>
    </row>
    <row r="1583" spans="1:7" ht="12" x14ac:dyDescent="0.25">
      <c r="A1583" s="367" t="s">
        <v>37</v>
      </c>
      <c r="B1583" s="367" t="s">
        <v>66</v>
      </c>
      <c r="C1583" s="367"/>
      <c r="D1583" s="413"/>
      <c r="E1583" s="414"/>
      <c r="F1583" s="415"/>
      <c r="G1583" s="415"/>
    </row>
    <row r="1584" spans="1:7" ht="84.5" customHeight="1" x14ac:dyDescent="0.25">
      <c r="A1584" s="367" t="s">
        <v>325</v>
      </c>
      <c r="B1584" s="367" t="s">
        <v>325</v>
      </c>
      <c r="C1584" s="367" t="s">
        <v>2148</v>
      </c>
      <c r="D1584" s="368" t="s">
        <v>3663</v>
      </c>
      <c r="E1584" s="369" t="s">
        <v>3787</v>
      </c>
      <c r="F1584" s="895" t="s">
        <v>3706</v>
      </c>
      <c r="G1584" s="371" t="s">
        <v>3707</v>
      </c>
    </row>
    <row r="1585" spans="1:7" ht="66.5" customHeight="1" x14ac:dyDescent="0.25">
      <c r="A1585" s="367" t="s">
        <v>325</v>
      </c>
      <c r="B1585" s="367" t="s">
        <v>325</v>
      </c>
      <c r="C1585" s="367" t="s">
        <v>2579</v>
      </c>
      <c r="D1585" s="368" t="s">
        <v>3301</v>
      </c>
      <c r="E1585" s="369" t="s">
        <v>3301</v>
      </c>
      <c r="F1585" s="370" t="s">
        <v>3708</v>
      </c>
      <c r="G1585" s="371" t="s">
        <v>3709</v>
      </c>
    </row>
    <row r="1586" spans="1:7" ht="12" x14ac:dyDescent="0.25">
      <c r="A1586" s="367" t="s">
        <v>325</v>
      </c>
      <c r="B1586" s="367" t="s">
        <v>325</v>
      </c>
      <c r="C1586" s="367">
        <v>1</v>
      </c>
      <c r="D1586" s="368" t="s">
        <v>189</v>
      </c>
      <c r="E1586" s="369" t="s">
        <v>189</v>
      </c>
      <c r="F1586" s="370" t="s">
        <v>359</v>
      </c>
      <c r="G1586" s="371" t="s">
        <v>2111</v>
      </c>
    </row>
    <row r="1587" spans="1:7" ht="12" x14ac:dyDescent="0.25">
      <c r="A1587" s="367" t="s">
        <v>325</v>
      </c>
      <c r="B1587" s="367" t="s">
        <v>325</v>
      </c>
      <c r="C1587" s="367">
        <v>1</v>
      </c>
      <c r="D1587" s="368" t="s">
        <v>190</v>
      </c>
      <c r="E1587" s="369" t="s">
        <v>190</v>
      </c>
      <c r="F1587" s="370" t="s">
        <v>2482</v>
      </c>
      <c r="G1587" s="371" t="s">
        <v>2538</v>
      </c>
    </row>
    <row r="1588" spans="1:7" ht="12" x14ac:dyDescent="0.25">
      <c r="A1588" s="367" t="s">
        <v>325</v>
      </c>
      <c r="B1588" s="367" t="s">
        <v>325</v>
      </c>
      <c r="C1588" s="367">
        <v>1</v>
      </c>
      <c r="D1588" s="368" t="s">
        <v>194</v>
      </c>
      <c r="E1588" s="369" t="s">
        <v>194</v>
      </c>
      <c r="F1588" s="370" t="s">
        <v>2112</v>
      </c>
      <c r="G1588" s="371" t="s">
        <v>2113</v>
      </c>
    </row>
    <row r="1589" spans="1:7" ht="12" x14ac:dyDescent="0.25">
      <c r="A1589" s="367" t="s">
        <v>325</v>
      </c>
      <c r="B1589" s="367" t="s">
        <v>325</v>
      </c>
      <c r="C1589" s="367">
        <v>1</v>
      </c>
      <c r="D1589" s="368" t="s">
        <v>195</v>
      </c>
      <c r="E1589" s="369" t="s">
        <v>195</v>
      </c>
      <c r="F1589" s="370" t="s">
        <v>2114</v>
      </c>
      <c r="G1589" s="371" t="s">
        <v>2115</v>
      </c>
    </row>
    <row r="1590" spans="1:7" ht="12" x14ac:dyDescent="0.25">
      <c r="A1590" s="367" t="s">
        <v>325</v>
      </c>
      <c r="B1590" s="367" t="s">
        <v>325</v>
      </c>
      <c r="C1590" s="367">
        <v>1</v>
      </c>
      <c r="D1590" s="368" t="s">
        <v>196</v>
      </c>
      <c r="E1590" s="369" t="s">
        <v>196</v>
      </c>
      <c r="F1590" s="370" t="s">
        <v>2116</v>
      </c>
      <c r="G1590" s="371" t="s">
        <v>2117</v>
      </c>
    </row>
    <row r="1591" spans="1:7" ht="12" x14ac:dyDescent="0.25">
      <c r="A1591" s="367" t="s">
        <v>325</v>
      </c>
      <c r="B1591" s="367" t="s">
        <v>325</v>
      </c>
      <c r="C1591" s="367">
        <v>1</v>
      </c>
      <c r="D1591" s="368" t="s">
        <v>197</v>
      </c>
      <c r="E1591" s="369" t="s">
        <v>197</v>
      </c>
      <c r="F1591" s="370" t="s">
        <v>2118</v>
      </c>
      <c r="G1591" s="371" t="s">
        <v>2119</v>
      </c>
    </row>
    <row r="1592" spans="1:7" ht="12" x14ac:dyDescent="0.25">
      <c r="A1592" s="367" t="s">
        <v>325</v>
      </c>
      <c r="B1592" s="367" t="s">
        <v>325</v>
      </c>
      <c r="C1592" s="367">
        <v>1</v>
      </c>
      <c r="D1592" s="368" t="s">
        <v>146</v>
      </c>
      <c r="E1592" s="369" t="s">
        <v>146</v>
      </c>
      <c r="F1592" s="370" t="s">
        <v>2120</v>
      </c>
      <c r="G1592" s="371" t="s">
        <v>360</v>
      </c>
    </row>
    <row r="1593" spans="1:7" ht="12" x14ac:dyDescent="0.25">
      <c r="A1593" s="367" t="s">
        <v>325</v>
      </c>
      <c r="B1593" s="367" t="s">
        <v>325</v>
      </c>
      <c r="C1593" s="367">
        <v>1</v>
      </c>
      <c r="D1593" s="368" t="s">
        <v>190</v>
      </c>
      <c r="E1593" s="369" t="s">
        <v>190</v>
      </c>
      <c r="F1593" s="370" t="s">
        <v>2482</v>
      </c>
      <c r="G1593" s="371" t="s">
        <v>2538</v>
      </c>
    </row>
    <row r="1594" spans="1:7" ht="12" x14ac:dyDescent="0.25">
      <c r="A1594" s="367" t="s">
        <v>325</v>
      </c>
      <c r="B1594" s="367" t="s">
        <v>325</v>
      </c>
      <c r="C1594" s="367">
        <v>1</v>
      </c>
      <c r="D1594" s="368" t="s">
        <v>198</v>
      </c>
      <c r="E1594" s="369" t="s">
        <v>198</v>
      </c>
      <c r="F1594" s="370" t="s">
        <v>2121</v>
      </c>
      <c r="G1594" s="371" t="s">
        <v>2122</v>
      </c>
    </row>
    <row r="1595" spans="1:7" ht="12" x14ac:dyDescent="0.25">
      <c r="A1595" s="367" t="s">
        <v>325</v>
      </c>
      <c r="B1595" s="367" t="s">
        <v>325</v>
      </c>
      <c r="C1595" s="367">
        <v>1</v>
      </c>
      <c r="D1595" s="368" t="s">
        <v>199</v>
      </c>
      <c r="E1595" s="369" t="s">
        <v>199</v>
      </c>
      <c r="F1595" s="370" t="s">
        <v>2123</v>
      </c>
      <c r="G1595" s="371" t="s">
        <v>2124</v>
      </c>
    </row>
    <row r="1596" spans="1:7" ht="12" x14ac:dyDescent="0.25">
      <c r="A1596" s="367" t="s">
        <v>325</v>
      </c>
      <c r="B1596" s="367" t="s">
        <v>325</v>
      </c>
      <c r="C1596" s="367">
        <v>1</v>
      </c>
      <c r="D1596" s="368" t="s">
        <v>200</v>
      </c>
      <c r="E1596" s="369" t="s">
        <v>200</v>
      </c>
      <c r="F1596" s="370" t="s">
        <v>2125</v>
      </c>
      <c r="G1596" s="371" t="s">
        <v>2126</v>
      </c>
    </row>
    <row r="1597" spans="1:7" ht="12" x14ac:dyDescent="0.25">
      <c r="A1597" s="367" t="s">
        <v>325</v>
      </c>
      <c r="B1597" s="367" t="s">
        <v>325</v>
      </c>
      <c r="C1597" s="367">
        <v>1</v>
      </c>
      <c r="D1597" s="368" t="s">
        <v>201</v>
      </c>
      <c r="E1597" s="369" t="s">
        <v>201</v>
      </c>
      <c r="F1597" s="370" t="s">
        <v>2127</v>
      </c>
      <c r="G1597" s="371" t="s">
        <v>2128</v>
      </c>
    </row>
    <row r="1598" spans="1:7" ht="12" x14ac:dyDescent="0.25">
      <c r="A1598" s="367" t="s">
        <v>325</v>
      </c>
      <c r="B1598" s="367" t="s">
        <v>325</v>
      </c>
      <c r="C1598" s="367">
        <v>1</v>
      </c>
      <c r="D1598" s="368" t="s">
        <v>147</v>
      </c>
      <c r="E1598" s="369" t="s">
        <v>147</v>
      </c>
      <c r="F1598" s="370" t="s">
        <v>2129</v>
      </c>
      <c r="G1598" s="371" t="s">
        <v>361</v>
      </c>
    </row>
    <row r="1599" spans="1:7" ht="12" x14ac:dyDescent="0.25">
      <c r="A1599" s="367" t="s">
        <v>325</v>
      </c>
      <c r="B1599" s="367" t="s">
        <v>325</v>
      </c>
      <c r="C1599" s="367">
        <v>1</v>
      </c>
      <c r="D1599" s="368" t="s">
        <v>190</v>
      </c>
      <c r="E1599" s="369" t="s">
        <v>190</v>
      </c>
      <c r="F1599" s="370" t="s">
        <v>2482</v>
      </c>
      <c r="G1599" s="371" t="s">
        <v>2538</v>
      </c>
    </row>
    <row r="1600" spans="1:7" ht="12" x14ac:dyDescent="0.25">
      <c r="A1600" s="367" t="s">
        <v>325</v>
      </c>
      <c r="B1600" s="367" t="s">
        <v>325</v>
      </c>
      <c r="C1600" s="367">
        <v>1</v>
      </c>
      <c r="D1600" s="368" t="s">
        <v>202</v>
      </c>
      <c r="E1600" s="369" t="s">
        <v>202</v>
      </c>
      <c r="F1600" s="370" t="s">
        <v>2130</v>
      </c>
      <c r="G1600" s="371" t="s">
        <v>2131</v>
      </c>
    </row>
    <row r="1601" spans="1:7" ht="12" x14ac:dyDescent="0.25">
      <c r="A1601" s="367" t="s">
        <v>325</v>
      </c>
      <c r="B1601" s="367" t="s">
        <v>325</v>
      </c>
      <c r="C1601" s="367">
        <v>1</v>
      </c>
      <c r="D1601" s="368" t="s">
        <v>203</v>
      </c>
      <c r="E1601" s="369" t="s">
        <v>203</v>
      </c>
      <c r="F1601" s="370" t="s">
        <v>2132</v>
      </c>
      <c r="G1601" s="371" t="s">
        <v>2133</v>
      </c>
    </row>
    <row r="1602" spans="1:7" ht="12" x14ac:dyDescent="0.25">
      <c r="A1602" s="367" t="s">
        <v>325</v>
      </c>
      <c r="B1602" s="367" t="s">
        <v>325</v>
      </c>
      <c r="C1602" s="367">
        <v>1</v>
      </c>
      <c r="D1602" s="368" t="s">
        <v>204</v>
      </c>
      <c r="E1602" s="369" t="s">
        <v>204</v>
      </c>
      <c r="F1602" s="370" t="s">
        <v>2134</v>
      </c>
      <c r="G1602" s="371" t="s">
        <v>2135</v>
      </c>
    </row>
    <row r="1603" spans="1:7" ht="12" x14ac:dyDescent="0.25">
      <c r="A1603" s="367" t="s">
        <v>325</v>
      </c>
      <c r="B1603" s="367" t="s">
        <v>325</v>
      </c>
      <c r="C1603" s="367">
        <v>1</v>
      </c>
      <c r="D1603" s="368" t="s">
        <v>205</v>
      </c>
      <c r="E1603" s="369" t="s">
        <v>205</v>
      </c>
      <c r="F1603" s="370" t="s">
        <v>2136</v>
      </c>
      <c r="G1603" s="371" t="s">
        <v>2137</v>
      </c>
    </row>
    <row r="1604" spans="1:7" ht="12" x14ac:dyDescent="0.25">
      <c r="A1604" s="367" t="s">
        <v>325</v>
      </c>
      <c r="B1604" s="367" t="s">
        <v>325</v>
      </c>
      <c r="C1604" s="367">
        <v>1</v>
      </c>
      <c r="D1604" s="368" t="s">
        <v>148</v>
      </c>
      <c r="E1604" s="369" t="s">
        <v>148</v>
      </c>
      <c r="F1604" s="370" t="s">
        <v>2138</v>
      </c>
      <c r="G1604" s="371" t="s">
        <v>362</v>
      </c>
    </row>
    <row r="1605" spans="1:7" ht="12" x14ac:dyDescent="0.25">
      <c r="A1605" s="367" t="s">
        <v>325</v>
      </c>
      <c r="B1605" s="367" t="s">
        <v>325</v>
      </c>
      <c r="C1605" s="367">
        <v>1</v>
      </c>
      <c r="D1605" s="368" t="s">
        <v>190</v>
      </c>
      <c r="E1605" s="369" t="s">
        <v>190</v>
      </c>
      <c r="F1605" s="370" t="s">
        <v>2482</v>
      </c>
      <c r="G1605" s="371" t="s">
        <v>2538</v>
      </c>
    </row>
    <row r="1606" spans="1:7" ht="12" x14ac:dyDescent="0.25">
      <c r="A1606" s="367" t="s">
        <v>325</v>
      </c>
      <c r="B1606" s="367" t="s">
        <v>325</v>
      </c>
      <c r="C1606" s="367">
        <v>1</v>
      </c>
      <c r="D1606" s="368" t="s">
        <v>206</v>
      </c>
      <c r="E1606" s="369" t="s">
        <v>206</v>
      </c>
      <c r="F1606" s="370" t="s">
        <v>2483</v>
      </c>
      <c r="G1606" s="371" t="s">
        <v>2539</v>
      </c>
    </row>
    <row r="1607" spans="1:7" ht="12" x14ac:dyDescent="0.25">
      <c r="A1607" s="367" t="s">
        <v>325</v>
      </c>
      <c r="B1607" s="367" t="s">
        <v>325</v>
      </c>
      <c r="C1607" s="367">
        <v>1</v>
      </c>
      <c r="D1607" s="368" t="s">
        <v>207</v>
      </c>
      <c r="E1607" s="369" t="s">
        <v>207</v>
      </c>
      <c r="F1607" s="370" t="s">
        <v>2484</v>
      </c>
      <c r="G1607" s="371" t="s">
        <v>2540</v>
      </c>
    </row>
    <row r="1608" spans="1:7" ht="12" x14ac:dyDescent="0.25">
      <c r="A1608" s="367" t="s">
        <v>325</v>
      </c>
      <c r="B1608" s="367" t="s">
        <v>325</v>
      </c>
      <c r="C1608" s="367">
        <v>1</v>
      </c>
      <c r="D1608" s="368" t="s">
        <v>208</v>
      </c>
      <c r="E1608" s="369" t="s">
        <v>208</v>
      </c>
      <c r="F1608" s="370" t="s">
        <v>2485</v>
      </c>
      <c r="G1608" s="371" t="s">
        <v>2541</v>
      </c>
    </row>
    <row r="1609" spans="1:7" ht="12" x14ac:dyDescent="0.25">
      <c r="A1609" s="367" t="s">
        <v>325</v>
      </c>
      <c r="B1609" s="367" t="s">
        <v>325</v>
      </c>
      <c r="C1609" s="367">
        <v>1</v>
      </c>
      <c r="D1609" s="368" t="s">
        <v>209</v>
      </c>
      <c r="E1609" s="369" t="s">
        <v>209</v>
      </c>
      <c r="F1609" s="370" t="s">
        <v>2486</v>
      </c>
      <c r="G1609" s="371" t="s">
        <v>2542</v>
      </c>
    </row>
    <row r="1610" spans="1:7" ht="12" x14ac:dyDescent="0.25">
      <c r="A1610" s="367" t="s">
        <v>325</v>
      </c>
      <c r="B1610" s="367" t="s">
        <v>325</v>
      </c>
      <c r="C1610" s="367">
        <v>1</v>
      </c>
      <c r="D1610" s="368" t="s">
        <v>149</v>
      </c>
      <c r="E1610" s="369" t="s">
        <v>149</v>
      </c>
      <c r="F1610" s="370" t="s">
        <v>2487</v>
      </c>
      <c r="G1610" s="371" t="s">
        <v>2543</v>
      </c>
    </row>
    <row r="1611" spans="1:7" ht="12" x14ac:dyDescent="0.25">
      <c r="A1611" s="367" t="s">
        <v>325</v>
      </c>
      <c r="B1611" s="367" t="s">
        <v>325</v>
      </c>
      <c r="C1611" s="367">
        <v>1</v>
      </c>
      <c r="D1611" s="368" t="s">
        <v>191</v>
      </c>
      <c r="E1611" s="369" t="s">
        <v>191</v>
      </c>
      <c r="F1611" s="370" t="s">
        <v>343</v>
      </c>
      <c r="G1611" s="371" t="s">
        <v>2083</v>
      </c>
    </row>
    <row r="1612" spans="1:7" ht="12" x14ac:dyDescent="0.25">
      <c r="A1612" s="367" t="s">
        <v>325</v>
      </c>
      <c r="B1612" s="367" t="s">
        <v>325</v>
      </c>
      <c r="C1612" s="367">
        <v>1</v>
      </c>
      <c r="D1612" s="368" t="s">
        <v>363</v>
      </c>
      <c r="E1612" s="369" t="s">
        <v>363</v>
      </c>
      <c r="F1612" s="370" t="s">
        <v>346</v>
      </c>
      <c r="G1612" s="371" t="s">
        <v>347</v>
      </c>
    </row>
    <row r="1613" spans="1:7" ht="12" x14ac:dyDescent="0.25">
      <c r="A1613" s="367" t="s">
        <v>325</v>
      </c>
      <c r="B1613" s="367" t="s">
        <v>325</v>
      </c>
      <c r="C1613" s="367">
        <v>1</v>
      </c>
      <c r="D1613" s="368" t="s">
        <v>192</v>
      </c>
      <c r="E1613" s="369" t="s">
        <v>192</v>
      </c>
      <c r="F1613" s="370" t="s">
        <v>348</v>
      </c>
      <c r="G1613" s="371" t="s">
        <v>192</v>
      </c>
    </row>
    <row r="1614" spans="1:7" ht="12" x14ac:dyDescent="0.25">
      <c r="A1614" s="367" t="s">
        <v>325</v>
      </c>
      <c r="B1614" s="367" t="s">
        <v>325</v>
      </c>
      <c r="C1614" s="367">
        <v>1</v>
      </c>
      <c r="D1614" s="368" t="s">
        <v>211</v>
      </c>
      <c r="E1614" s="369" t="s">
        <v>211</v>
      </c>
      <c r="F1614" s="370" t="s">
        <v>2085</v>
      </c>
      <c r="G1614" s="371" t="s">
        <v>349</v>
      </c>
    </row>
    <row r="1615" spans="1:7" ht="12" x14ac:dyDescent="0.25">
      <c r="A1615" s="367" t="s">
        <v>325</v>
      </c>
      <c r="B1615" s="367" t="s">
        <v>325</v>
      </c>
      <c r="C1615" s="367">
        <v>1</v>
      </c>
      <c r="D1615" s="368" t="s">
        <v>193</v>
      </c>
      <c r="E1615" s="369" t="s">
        <v>193</v>
      </c>
      <c r="F1615" s="370" t="s">
        <v>350</v>
      </c>
      <c r="G1615" s="371" t="s">
        <v>2086</v>
      </c>
    </row>
    <row r="1616" spans="1:7" ht="12" x14ac:dyDescent="0.25">
      <c r="A1616" s="367" t="s">
        <v>325</v>
      </c>
      <c r="B1616" s="367" t="s">
        <v>325</v>
      </c>
      <c r="C1616" s="367">
        <v>1</v>
      </c>
      <c r="D1616" s="368" t="s">
        <v>189</v>
      </c>
      <c r="E1616" s="369" t="s">
        <v>189</v>
      </c>
      <c r="F1616" s="370" t="s">
        <v>359</v>
      </c>
      <c r="G1616" s="371" t="s">
        <v>2111</v>
      </c>
    </row>
    <row r="1617" spans="1:7" ht="12" x14ac:dyDescent="0.25">
      <c r="A1617" s="367" t="s">
        <v>325</v>
      </c>
      <c r="B1617" s="367" t="s">
        <v>325</v>
      </c>
      <c r="C1617" s="367">
        <v>1</v>
      </c>
      <c r="D1617" s="368" t="s">
        <v>217</v>
      </c>
      <c r="E1617" s="369" t="s">
        <v>217</v>
      </c>
      <c r="F1617" s="370" t="s">
        <v>2488</v>
      </c>
      <c r="G1617" s="371" t="s">
        <v>2544</v>
      </c>
    </row>
    <row r="1618" spans="1:7" ht="12" x14ac:dyDescent="0.25">
      <c r="A1618" s="367" t="s">
        <v>325</v>
      </c>
      <c r="B1618" s="367" t="s">
        <v>325</v>
      </c>
      <c r="C1618" s="367">
        <v>1</v>
      </c>
      <c r="D1618" s="368" t="s">
        <v>194</v>
      </c>
      <c r="E1618" s="369" t="s">
        <v>194</v>
      </c>
      <c r="F1618" s="370" t="s">
        <v>2112</v>
      </c>
      <c r="G1618" s="371" t="s">
        <v>2113</v>
      </c>
    </row>
    <row r="1619" spans="1:7" ht="12" x14ac:dyDescent="0.25">
      <c r="A1619" s="367" t="s">
        <v>325</v>
      </c>
      <c r="B1619" s="367" t="s">
        <v>325</v>
      </c>
      <c r="C1619" s="367">
        <v>1</v>
      </c>
      <c r="D1619" s="368" t="s">
        <v>195</v>
      </c>
      <c r="E1619" s="369" t="s">
        <v>195</v>
      </c>
      <c r="F1619" s="370" t="s">
        <v>2114</v>
      </c>
      <c r="G1619" s="371" t="s">
        <v>2115</v>
      </c>
    </row>
    <row r="1620" spans="1:7" ht="12" x14ac:dyDescent="0.25">
      <c r="A1620" s="367" t="s">
        <v>325</v>
      </c>
      <c r="B1620" s="367" t="s">
        <v>325</v>
      </c>
      <c r="C1620" s="367">
        <v>1</v>
      </c>
      <c r="D1620" s="368" t="s">
        <v>196</v>
      </c>
      <c r="E1620" s="369" t="s">
        <v>196</v>
      </c>
      <c r="F1620" s="370" t="s">
        <v>2116</v>
      </c>
      <c r="G1620" s="371" t="s">
        <v>2117</v>
      </c>
    </row>
    <row r="1621" spans="1:7" ht="12" x14ac:dyDescent="0.25">
      <c r="A1621" s="367" t="s">
        <v>325</v>
      </c>
      <c r="B1621" s="367" t="s">
        <v>325</v>
      </c>
      <c r="C1621" s="367">
        <v>1</v>
      </c>
      <c r="D1621" s="368" t="s">
        <v>197</v>
      </c>
      <c r="E1621" s="369" t="s">
        <v>197</v>
      </c>
      <c r="F1621" s="370" t="s">
        <v>2118</v>
      </c>
      <c r="G1621" s="371" t="s">
        <v>2119</v>
      </c>
    </row>
    <row r="1622" spans="1:7" ht="12" x14ac:dyDescent="0.25">
      <c r="A1622" s="367" t="s">
        <v>325</v>
      </c>
      <c r="B1622" s="367" t="s">
        <v>325</v>
      </c>
      <c r="C1622" s="367">
        <v>1</v>
      </c>
      <c r="D1622" s="368" t="s">
        <v>146</v>
      </c>
      <c r="E1622" s="369" t="s">
        <v>146</v>
      </c>
      <c r="F1622" s="370" t="s">
        <v>2120</v>
      </c>
      <c r="G1622" s="371" t="s">
        <v>360</v>
      </c>
    </row>
    <row r="1623" spans="1:7" ht="12" x14ac:dyDescent="0.25">
      <c r="A1623" s="367" t="s">
        <v>325</v>
      </c>
      <c r="B1623" s="367" t="s">
        <v>325</v>
      </c>
      <c r="C1623" s="367">
        <v>1</v>
      </c>
      <c r="D1623" s="368" t="s">
        <v>217</v>
      </c>
      <c r="E1623" s="369" t="s">
        <v>217</v>
      </c>
      <c r="F1623" s="370" t="s">
        <v>2488</v>
      </c>
      <c r="G1623" s="371" t="s">
        <v>2544</v>
      </c>
    </row>
    <row r="1624" spans="1:7" ht="12" x14ac:dyDescent="0.25">
      <c r="A1624" s="367" t="s">
        <v>325</v>
      </c>
      <c r="B1624" s="367" t="s">
        <v>325</v>
      </c>
      <c r="C1624" s="367">
        <v>1</v>
      </c>
      <c r="D1624" s="368" t="s">
        <v>198</v>
      </c>
      <c r="E1624" s="369" t="s">
        <v>198</v>
      </c>
      <c r="F1624" s="370" t="s">
        <v>2121</v>
      </c>
      <c r="G1624" s="371" t="s">
        <v>2122</v>
      </c>
    </row>
    <row r="1625" spans="1:7" ht="12" x14ac:dyDescent="0.25">
      <c r="A1625" s="367" t="s">
        <v>325</v>
      </c>
      <c r="B1625" s="367" t="s">
        <v>325</v>
      </c>
      <c r="C1625" s="367">
        <v>1</v>
      </c>
      <c r="D1625" s="368" t="s">
        <v>199</v>
      </c>
      <c r="E1625" s="369" t="s">
        <v>199</v>
      </c>
      <c r="F1625" s="370" t="s">
        <v>2123</v>
      </c>
      <c r="G1625" s="371" t="s">
        <v>2124</v>
      </c>
    </row>
    <row r="1626" spans="1:7" ht="12" x14ac:dyDescent="0.25">
      <c r="A1626" s="367" t="s">
        <v>325</v>
      </c>
      <c r="B1626" s="367" t="s">
        <v>325</v>
      </c>
      <c r="C1626" s="367">
        <v>1</v>
      </c>
      <c r="D1626" s="368" t="s">
        <v>200</v>
      </c>
      <c r="E1626" s="369" t="s">
        <v>200</v>
      </c>
      <c r="F1626" s="370" t="s">
        <v>2125</v>
      </c>
      <c r="G1626" s="371" t="s">
        <v>2126</v>
      </c>
    </row>
    <row r="1627" spans="1:7" ht="12" x14ac:dyDescent="0.25">
      <c r="A1627" s="367" t="s">
        <v>325</v>
      </c>
      <c r="B1627" s="367" t="s">
        <v>325</v>
      </c>
      <c r="C1627" s="367">
        <v>1</v>
      </c>
      <c r="D1627" s="368" t="s">
        <v>201</v>
      </c>
      <c r="E1627" s="369" t="s">
        <v>201</v>
      </c>
      <c r="F1627" s="370" t="s">
        <v>2127</v>
      </c>
      <c r="G1627" s="371" t="s">
        <v>2128</v>
      </c>
    </row>
    <row r="1628" spans="1:7" ht="12" x14ac:dyDescent="0.25">
      <c r="A1628" s="367" t="s">
        <v>325</v>
      </c>
      <c r="B1628" s="367" t="s">
        <v>325</v>
      </c>
      <c r="C1628" s="367">
        <v>1</v>
      </c>
      <c r="D1628" s="368" t="s">
        <v>147</v>
      </c>
      <c r="E1628" s="369" t="s">
        <v>147</v>
      </c>
      <c r="F1628" s="370" t="s">
        <v>2129</v>
      </c>
      <c r="G1628" s="371" t="s">
        <v>361</v>
      </c>
    </row>
    <row r="1629" spans="1:7" ht="12" x14ac:dyDescent="0.25">
      <c r="A1629" s="367" t="s">
        <v>325</v>
      </c>
      <c r="B1629" s="367" t="s">
        <v>325</v>
      </c>
      <c r="C1629" s="367">
        <v>1</v>
      </c>
      <c r="D1629" s="368" t="s">
        <v>217</v>
      </c>
      <c r="E1629" s="369" t="s">
        <v>217</v>
      </c>
      <c r="F1629" s="370" t="s">
        <v>2488</v>
      </c>
      <c r="G1629" s="371" t="s">
        <v>2544</v>
      </c>
    </row>
    <row r="1630" spans="1:7" ht="12" x14ac:dyDescent="0.25">
      <c r="A1630" s="367" t="s">
        <v>325</v>
      </c>
      <c r="B1630" s="367" t="s">
        <v>325</v>
      </c>
      <c r="C1630" s="367">
        <v>1</v>
      </c>
      <c r="D1630" s="368" t="s">
        <v>202</v>
      </c>
      <c r="E1630" s="369" t="s">
        <v>202</v>
      </c>
      <c r="F1630" s="370" t="s">
        <v>2130</v>
      </c>
      <c r="G1630" s="371" t="s">
        <v>2131</v>
      </c>
    </row>
    <row r="1631" spans="1:7" ht="12" x14ac:dyDescent="0.25">
      <c r="A1631" s="367" t="s">
        <v>325</v>
      </c>
      <c r="B1631" s="367" t="s">
        <v>325</v>
      </c>
      <c r="C1631" s="367">
        <v>1</v>
      </c>
      <c r="D1631" s="368" t="s">
        <v>203</v>
      </c>
      <c r="E1631" s="369" t="s">
        <v>203</v>
      </c>
      <c r="F1631" s="370" t="s">
        <v>2132</v>
      </c>
      <c r="G1631" s="371" t="s">
        <v>2133</v>
      </c>
    </row>
    <row r="1632" spans="1:7" ht="12" x14ac:dyDescent="0.25">
      <c r="A1632" s="367" t="s">
        <v>325</v>
      </c>
      <c r="B1632" s="367" t="s">
        <v>325</v>
      </c>
      <c r="C1632" s="367">
        <v>1</v>
      </c>
      <c r="D1632" s="368" t="s">
        <v>204</v>
      </c>
      <c r="E1632" s="369" t="s">
        <v>204</v>
      </c>
      <c r="F1632" s="370" t="s">
        <v>2134</v>
      </c>
      <c r="G1632" s="371" t="s">
        <v>2135</v>
      </c>
    </row>
    <row r="1633" spans="1:7" ht="12" x14ac:dyDescent="0.25">
      <c r="A1633" s="367" t="s">
        <v>325</v>
      </c>
      <c r="B1633" s="367" t="s">
        <v>325</v>
      </c>
      <c r="C1633" s="367">
        <v>1</v>
      </c>
      <c r="D1633" s="368" t="s">
        <v>205</v>
      </c>
      <c r="E1633" s="369" t="s">
        <v>205</v>
      </c>
      <c r="F1633" s="370" t="s">
        <v>2136</v>
      </c>
      <c r="G1633" s="371" t="s">
        <v>2137</v>
      </c>
    </row>
    <row r="1634" spans="1:7" ht="12" x14ac:dyDescent="0.25">
      <c r="A1634" s="367" t="s">
        <v>325</v>
      </c>
      <c r="B1634" s="367" t="s">
        <v>325</v>
      </c>
      <c r="C1634" s="367">
        <v>1</v>
      </c>
      <c r="D1634" s="368" t="s">
        <v>148</v>
      </c>
      <c r="E1634" s="369" t="s">
        <v>148</v>
      </c>
      <c r="F1634" s="370" t="s">
        <v>2138</v>
      </c>
      <c r="G1634" s="371" t="s">
        <v>362</v>
      </c>
    </row>
    <row r="1635" spans="1:7" ht="12" x14ac:dyDescent="0.25">
      <c r="A1635" s="367" t="s">
        <v>325</v>
      </c>
      <c r="B1635" s="367" t="s">
        <v>325</v>
      </c>
      <c r="C1635" s="367">
        <v>1</v>
      </c>
      <c r="D1635" s="368" t="s">
        <v>217</v>
      </c>
      <c r="E1635" s="369" t="s">
        <v>217</v>
      </c>
      <c r="F1635" s="370" t="s">
        <v>2488</v>
      </c>
      <c r="G1635" s="371" t="s">
        <v>2544</v>
      </c>
    </row>
    <row r="1636" spans="1:7" ht="12" x14ac:dyDescent="0.25">
      <c r="A1636" s="367" t="s">
        <v>325</v>
      </c>
      <c r="B1636" s="367" t="s">
        <v>325</v>
      </c>
      <c r="C1636" s="367">
        <v>1</v>
      </c>
      <c r="D1636" s="368" t="s">
        <v>206</v>
      </c>
      <c r="E1636" s="369" t="s">
        <v>206</v>
      </c>
      <c r="F1636" s="370" t="s">
        <v>2483</v>
      </c>
      <c r="G1636" s="371" t="s">
        <v>2539</v>
      </c>
    </row>
    <row r="1637" spans="1:7" ht="12" x14ac:dyDescent="0.25">
      <c r="A1637" s="367" t="s">
        <v>325</v>
      </c>
      <c r="B1637" s="367" t="s">
        <v>325</v>
      </c>
      <c r="C1637" s="367">
        <v>1</v>
      </c>
      <c r="D1637" s="368" t="s">
        <v>207</v>
      </c>
      <c r="E1637" s="369" t="s">
        <v>207</v>
      </c>
      <c r="F1637" s="370" t="s">
        <v>2484</v>
      </c>
      <c r="G1637" s="371" t="s">
        <v>2540</v>
      </c>
    </row>
    <row r="1638" spans="1:7" ht="12" x14ac:dyDescent="0.25">
      <c r="A1638" s="367" t="s">
        <v>325</v>
      </c>
      <c r="B1638" s="367" t="s">
        <v>325</v>
      </c>
      <c r="C1638" s="367">
        <v>1</v>
      </c>
      <c r="D1638" s="368" t="s">
        <v>208</v>
      </c>
      <c r="E1638" s="369" t="s">
        <v>208</v>
      </c>
      <c r="F1638" s="370" t="s">
        <v>2485</v>
      </c>
      <c r="G1638" s="371" t="s">
        <v>2541</v>
      </c>
    </row>
    <row r="1639" spans="1:7" ht="12" x14ac:dyDescent="0.25">
      <c r="A1639" s="367" t="s">
        <v>325</v>
      </c>
      <c r="B1639" s="367" t="s">
        <v>325</v>
      </c>
      <c r="C1639" s="367">
        <v>1</v>
      </c>
      <c r="D1639" s="368" t="s">
        <v>209</v>
      </c>
      <c r="E1639" s="369" t="s">
        <v>209</v>
      </c>
      <c r="F1639" s="370" t="s">
        <v>2486</v>
      </c>
      <c r="G1639" s="371" t="s">
        <v>2542</v>
      </c>
    </row>
    <row r="1640" spans="1:7" ht="12" x14ac:dyDescent="0.25">
      <c r="A1640" s="367" t="s">
        <v>325</v>
      </c>
      <c r="B1640" s="367" t="s">
        <v>325</v>
      </c>
      <c r="C1640" s="367">
        <v>1</v>
      </c>
      <c r="D1640" s="368" t="s">
        <v>149</v>
      </c>
      <c r="E1640" s="369" t="s">
        <v>149</v>
      </c>
      <c r="F1640" s="370" t="s">
        <v>2487</v>
      </c>
      <c r="G1640" s="371" t="s">
        <v>2543</v>
      </c>
    </row>
    <row r="1641" spans="1:7" ht="12" x14ac:dyDescent="0.25">
      <c r="A1641" s="367" t="s">
        <v>325</v>
      </c>
      <c r="B1641" s="367" t="s">
        <v>325</v>
      </c>
      <c r="C1641" s="367">
        <v>1</v>
      </c>
      <c r="D1641" s="368" t="s">
        <v>191</v>
      </c>
      <c r="E1641" s="369" t="s">
        <v>191</v>
      </c>
      <c r="F1641" s="370" t="s">
        <v>343</v>
      </c>
      <c r="G1641" s="371" t="s">
        <v>2083</v>
      </c>
    </row>
    <row r="1642" spans="1:7" ht="12" x14ac:dyDescent="0.25">
      <c r="A1642" s="367" t="s">
        <v>325</v>
      </c>
      <c r="B1642" s="367" t="s">
        <v>325</v>
      </c>
      <c r="C1642" s="367">
        <v>1</v>
      </c>
      <c r="D1642" s="368" t="s">
        <v>210</v>
      </c>
      <c r="E1642" s="369" t="s">
        <v>210</v>
      </c>
      <c r="F1642" s="370" t="s">
        <v>346</v>
      </c>
      <c r="G1642" s="371" t="s">
        <v>347</v>
      </c>
    </row>
    <row r="1643" spans="1:7" ht="12" x14ac:dyDescent="0.25">
      <c r="A1643" s="367" t="s">
        <v>325</v>
      </c>
      <c r="B1643" s="367" t="s">
        <v>325</v>
      </c>
      <c r="C1643" s="367">
        <v>1</v>
      </c>
      <c r="D1643" s="368" t="s">
        <v>192</v>
      </c>
      <c r="E1643" s="369" t="s">
        <v>192</v>
      </c>
      <c r="F1643" s="370" t="s">
        <v>348</v>
      </c>
      <c r="G1643" s="371" t="s">
        <v>192</v>
      </c>
    </row>
    <row r="1644" spans="1:7" ht="12" x14ac:dyDescent="0.25">
      <c r="A1644" s="367" t="s">
        <v>325</v>
      </c>
      <c r="B1644" s="367" t="s">
        <v>325</v>
      </c>
      <c r="C1644" s="367">
        <v>1</v>
      </c>
      <c r="D1644" s="368" t="s">
        <v>211</v>
      </c>
      <c r="E1644" s="369" t="s">
        <v>211</v>
      </c>
      <c r="F1644" s="370" t="s">
        <v>2085</v>
      </c>
      <c r="G1644" s="371" t="s">
        <v>349</v>
      </c>
    </row>
    <row r="1645" spans="1:7" ht="12" x14ac:dyDescent="0.25">
      <c r="A1645" s="367" t="s">
        <v>325</v>
      </c>
      <c r="B1645" s="367" t="s">
        <v>325</v>
      </c>
      <c r="C1645" s="367">
        <v>1</v>
      </c>
      <c r="D1645" s="368" t="s">
        <v>193</v>
      </c>
      <c r="E1645" s="369" t="s">
        <v>193</v>
      </c>
      <c r="F1645" s="370" t="s">
        <v>350</v>
      </c>
      <c r="G1645" s="371" t="s">
        <v>2086</v>
      </c>
    </row>
    <row r="1646" spans="1:7" ht="12" x14ac:dyDescent="0.25">
      <c r="A1646" s="367" t="s">
        <v>325</v>
      </c>
      <c r="B1646" s="367" t="s">
        <v>325</v>
      </c>
      <c r="C1646" s="367">
        <v>1</v>
      </c>
      <c r="D1646" s="368" t="s">
        <v>189</v>
      </c>
      <c r="E1646" s="369" t="s">
        <v>189</v>
      </c>
      <c r="F1646" s="370" t="s">
        <v>359</v>
      </c>
      <c r="G1646" s="371" t="s">
        <v>2111</v>
      </c>
    </row>
    <row r="1647" spans="1:7" ht="12" x14ac:dyDescent="0.25">
      <c r="A1647" s="367" t="s">
        <v>325</v>
      </c>
      <c r="B1647" s="367" t="s">
        <v>325</v>
      </c>
      <c r="C1647" s="367">
        <v>1</v>
      </c>
      <c r="D1647" s="368" t="s">
        <v>218</v>
      </c>
      <c r="E1647" s="369" t="s">
        <v>218</v>
      </c>
      <c r="F1647" s="370" t="s">
        <v>2489</v>
      </c>
      <c r="G1647" s="371" t="s">
        <v>2545</v>
      </c>
    </row>
    <row r="1648" spans="1:7" ht="12" x14ac:dyDescent="0.25">
      <c r="A1648" s="367" t="s">
        <v>325</v>
      </c>
      <c r="B1648" s="367" t="s">
        <v>325</v>
      </c>
      <c r="C1648" s="367">
        <v>1</v>
      </c>
      <c r="D1648" s="368" t="s">
        <v>194</v>
      </c>
      <c r="E1648" s="369" t="s">
        <v>194</v>
      </c>
      <c r="F1648" s="370" t="s">
        <v>2112</v>
      </c>
      <c r="G1648" s="371" t="s">
        <v>2113</v>
      </c>
    </row>
    <row r="1649" spans="1:7" ht="12" x14ac:dyDescent="0.25">
      <c r="A1649" s="367" t="s">
        <v>325</v>
      </c>
      <c r="B1649" s="367" t="s">
        <v>325</v>
      </c>
      <c r="C1649" s="367">
        <v>1</v>
      </c>
      <c r="D1649" s="368" t="s">
        <v>195</v>
      </c>
      <c r="E1649" s="369" t="s">
        <v>195</v>
      </c>
      <c r="F1649" s="370" t="s">
        <v>2114</v>
      </c>
      <c r="G1649" s="371" t="s">
        <v>2115</v>
      </c>
    </row>
    <row r="1650" spans="1:7" ht="12" x14ac:dyDescent="0.25">
      <c r="A1650" s="367" t="s">
        <v>325</v>
      </c>
      <c r="B1650" s="367" t="s">
        <v>325</v>
      </c>
      <c r="C1650" s="367">
        <v>1</v>
      </c>
      <c r="D1650" s="368" t="s">
        <v>196</v>
      </c>
      <c r="E1650" s="369" t="s">
        <v>196</v>
      </c>
      <c r="F1650" s="370" t="s">
        <v>2116</v>
      </c>
      <c r="G1650" s="371" t="s">
        <v>2117</v>
      </c>
    </row>
    <row r="1651" spans="1:7" ht="12" x14ac:dyDescent="0.25">
      <c r="A1651" s="367" t="s">
        <v>325</v>
      </c>
      <c r="B1651" s="367" t="s">
        <v>325</v>
      </c>
      <c r="C1651" s="367">
        <v>1</v>
      </c>
      <c r="D1651" s="368" t="s">
        <v>197</v>
      </c>
      <c r="E1651" s="369" t="s">
        <v>197</v>
      </c>
      <c r="F1651" s="370" t="s">
        <v>2118</v>
      </c>
      <c r="G1651" s="371" t="s">
        <v>2119</v>
      </c>
    </row>
    <row r="1652" spans="1:7" ht="12" x14ac:dyDescent="0.25">
      <c r="A1652" s="367" t="s">
        <v>325</v>
      </c>
      <c r="B1652" s="367" t="s">
        <v>325</v>
      </c>
      <c r="C1652" s="367">
        <v>1</v>
      </c>
      <c r="D1652" s="368" t="s">
        <v>146</v>
      </c>
      <c r="E1652" s="369" t="s">
        <v>146</v>
      </c>
      <c r="F1652" s="370" t="s">
        <v>2120</v>
      </c>
      <c r="G1652" s="371" t="s">
        <v>360</v>
      </c>
    </row>
    <row r="1653" spans="1:7" ht="12" x14ac:dyDescent="0.25">
      <c r="A1653" s="367" t="s">
        <v>325</v>
      </c>
      <c r="B1653" s="367" t="s">
        <v>325</v>
      </c>
      <c r="C1653" s="367">
        <v>1</v>
      </c>
      <c r="D1653" s="368" t="s">
        <v>218</v>
      </c>
      <c r="E1653" s="369" t="s">
        <v>218</v>
      </c>
      <c r="F1653" s="370" t="s">
        <v>2489</v>
      </c>
      <c r="G1653" s="371" t="s">
        <v>2545</v>
      </c>
    </row>
    <row r="1654" spans="1:7" ht="12" x14ac:dyDescent="0.25">
      <c r="A1654" s="367" t="s">
        <v>325</v>
      </c>
      <c r="B1654" s="367" t="s">
        <v>325</v>
      </c>
      <c r="C1654" s="367">
        <v>1</v>
      </c>
      <c r="D1654" s="368" t="s">
        <v>198</v>
      </c>
      <c r="E1654" s="369" t="s">
        <v>198</v>
      </c>
      <c r="F1654" s="370" t="s">
        <v>2121</v>
      </c>
      <c r="G1654" s="371" t="s">
        <v>2122</v>
      </c>
    </row>
    <row r="1655" spans="1:7" ht="12" x14ac:dyDescent="0.25">
      <c r="A1655" s="367" t="s">
        <v>325</v>
      </c>
      <c r="B1655" s="367" t="s">
        <v>325</v>
      </c>
      <c r="C1655" s="367">
        <v>1</v>
      </c>
      <c r="D1655" s="368" t="s">
        <v>199</v>
      </c>
      <c r="E1655" s="369" t="s">
        <v>199</v>
      </c>
      <c r="F1655" s="370" t="s">
        <v>2123</v>
      </c>
      <c r="G1655" s="371" t="s">
        <v>2124</v>
      </c>
    </row>
    <row r="1656" spans="1:7" ht="12" x14ac:dyDescent="0.25">
      <c r="A1656" s="367" t="s">
        <v>325</v>
      </c>
      <c r="B1656" s="367" t="s">
        <v>325</v>
      </c>
      <c r="C1656" s="367">
        <v>1</v>
      </c>
      <c r="D1656" s="368" t="s">
        <v>200</v>
      </c>
      <c r="E1656" s="369" t="s">
        <v>200</v>
      </c>
      <c r="F1656" s="370" t="s">
        <v>2125</v>
      </c>
      <c r="G1656" s="371" t="s">
        <v>2126</v>
      </c>
    </row>
    <row r="1657" spans="1:7" ht="12" x14ac:dyDescent="0.25">
      <c r="A1657" s="367" t="s">
        <v>325</v>
      </c>
      <c r="B1657" s="367" t="s">
        <v>325</v>
      </c>
      <c r="C1657" s="367">
        <v>1</v>
      </c>
      <c r="D1657" s="368" t="s">
        <v>201</v>
      </c>
      <c r="E1657" s="369" t="s">
        <v>201</v>
      </c>
      <c r="F1657" s="370" t="s">
        <v>2127</v>
      </c>
      <c r="G1657" s="371" t="s">
        <v>2128</v>
      </c>
    </row>
    <row r="1658" spans="1:7" ht="12" x14ac:dyDescent="0.25">
      <c r="A1658" s="367" t="s">
        <v>325</v>
      </c>
      <c r="B1658" s="367" t="s">
        <v>325</v>
      </c>
      <c r="C1658" s="367">
        <v>1</v>
      </c>
      <c r="D1658" s="368" t="s">
        <v>147</v>
      </c>
      <c r="E1658" s="369" t="s">
        <v>147</v>
      </c>
      <c r="F1658" s="370" t="s">
        <v>2129</v>
      </c>
      <c r="G1658" s="371" t="s">
        <v>361</v>
      </c>
    </row>
    <row r="1659" spans="1:7" ht="12" x14ac:dyDescent="0.25">
      <c r="A1659" s="367" t="s">
        <v>325</v>
      </c>
      <c r="B1659" s="367" t="s">
        <v>325</v>
      </c>
      <c r="C1659" s="367">
        <v>1</v>
      </c>
      <c r="D1659" s="368" t="s">
        <v>218</v>
      </c>
      <c r="E1659" s="369" t="s">
        <v>218</v>
      </c>
      <c r="F1659" s="370" t="s">
        <v>2489</v>
      </c>
      <c r="G1659" s="371" t="s">
        <v>2545</v>
      </c>
    </row>
    <row r="1660" spans="1:7" ht="12" x14ac:dyDescent="0.25">
      <c r="A1660" s="367" t="s">
        <v>325</v>
      </c>
      <c r="B1660" s="367" t="s">
        <v>325</v>
      </c>
      <c r="C1660" s="367">
        <v>1</v>
      </c>
      <c r="D1660" s="368" t="s">
        <v>202</v>
      </c>
      <c r="E1660" s="369" t="s">
        <v>202</v>
      </c>
      <c r="F1660" s="370" t="s">
        <v>2130</v>
      </c>
      <c r="G1660" s="371" t="s">
        <v>2131</v>
      </c>
    </row>
    <row r="1661" spans="1:7" ht="12" x14ac:dyDescent="0.25">
      <c r="A1661" s="367" t="s">
        <v>325</v>
      </c>
      <c r="B1661" s="367" t="s">
        <v>325</v>
      </c>
      <c r="C1661" s="367">
        <v>1</v>
      </c>
      <c r="D1661" s="368" t="s">
        <v>203</v>
      </c>
      <c r="E1661" s="369" t="s">
        <v>203</v>
      </c>
      <c r="F1661" s="370" t="s">
        <v>2132</v>
      </c>
      <c r="G1661" s="371" t="s">
        <v>2133</v>
      </c>
    </row>
    <row r="1662" spans="1:7" ht="12" x14ac:dyDescent="0.25">
      <c r="A1662" s="367" t="s">
        <v>325</v>
      </c>
      <c r="B1662" s="367" t="s">
        <v>325</v>
      </c>
      <c r="C1662" s="367">
        <v>1</v>
      </c>
      <c r="D1662" s="368" t="s">
        <v>204</v>
      </c>
      <c r="E1662" s="369" t="s">
        <v>204</v>
      </c>
      <c r="F1662" s="370" t="s">
        <v>2134</v>
      </c>
      <c r="G1662" s="371" t="s">
        <v>2135</v>
      </c>
    </row>
    <row r="1663" spans="1:7" ht="12" x14ac:dyDescent="0.25">
      <c r="A1663" s="367" t="s">
        <v>325</v>
      </c>
      <c r="B1663" s="367" t="s">
        <v>325</v>
      </c>
      <c r="C1663" s="367">
        <v>1</v>
      </c>
      <c r="D1663" s="368" t="s">
        <v>205</v>
      </c>
      <c r="E1663" s="369" t="s">
        <v>205</v>
      </c>
      <c r="F1663" s="370" t="s">
        <v>2136</v>
      </c>
      <c r="G1663" s="371" t="s">
        <v>2137</v>
      </c>
    </row>
    <row r="1664" spans="1:7" ht="12" x14ac:dyDescent="0.25">
      <c r="A1664" s="367" t="s">
        <v>325</v>
      </c>
      <c r="B1664" s="367" t="s">
        <v>325</v>
      </c>
      <c r="C1664" s="367">
        <v>1</v>
      </c>
      <c r="D1664" s="368" t="s">
        <v>148</v>
      </c>
      <c r="E1664" s="369" t="s">
        <v>148</v>
      </c>
      <c r="F1664" s="370" t="s">
        <v>2138</v>
      </c>
      <c r="G1664" s="371" t="s">
        <v>362</v>
      </c>
    </row>
    <row r="1665" spans="1:7" ht="12" x14ac:dyDescent="0.25">
      <c r="A1665" s="367" t="s">
        <v>325</v>
      </c>
      <c r="B1665" s="367" t="s">
        <v>325</v>
      </c>
      <c r="C1665" s="367">
        <v>1</v>
      </c>
      <c r="D1665" s="368" t="s">
        <v>218</v>
      </c>
      <c r="E1665" s="369" t="s">
        <v>218</v>
      </c>
      <c r="F1665" s="370" t="s">
        <v>2489</v>
      </c>
      <c r="G1665" s="371" t="s">
        <v>2545</v>
      </c>
    </row>
    <row r="1666" spans="1:7" ht="12" x14ac:dyDescent="0.25">
      <c r="A1666" s="367" t="s">
        <v>325</v>
      </c>
      <c r="B1666" s="367" t="s">
        <v>325</v>
      </c>
      <c r="C1666" s="367">
        <v>1</v>
      </c>
      <c r="D1666" s="368" t="s">
        <v>206</v>
      </c>
      <c r="E1666" s="369" t="s">
        <v>206</v>
      </c>
      <c r="F1666" s="370" t="s">
        <v>2483</v>
      </c>
      <c r="G1666" s="371" t="s">
        <v>2539</v>
      </c>
    </row>
    <row r="1667" spans="1:7" ht="12" x14ac:dyDescent="0.25">
      <c r="A1667" s="367" t="s">
        <v>325</v>
      </c>
      <c r="B1667" s="367" t="s">
        <v>325</v>
      </c>
      <c r="C1667" s="367">
        <v>1</v>
      </c>
      <c r="D1667" s="368" t="s">
        <v>207</v>
      </c>
      <c r="E1667" s="369" t="s">
        <v>207</v>
      </c>
      <c r="F1667" s="370" t="s">
        <v>2484</v>
      </c>
      <c r="G1667" s="371" t="s">
        <v>2540</v>
      </c>
    </row>
    <row r="1668" spans="1:7" ht="12" x14ac:dyDescent="0.25">
      <c r="A1668" s="367" t="s">
        <v>325</v>
      </c>
      <c r="B1668" s="367" t="s">
        <v>325</v>
      </c>
      <c r="C1668" s="367">
        <v>1</v>
      </c>
      <c r="D1668" s="368" t="s">
        <v>208</v>
      </c>
      <c r="E1668" s="369" t="s">
        <v>208</v>
      </c>
      <c r="F1668" s="370" t="s">
        <v>2485</v>
      </c>
      <c r="G1668" s="371" t="s">
        <v>2541</v>
      </c>
    </row>
    <row r="1669" spans="1:7" ht="12" x14ac:dyDescent="0.25">
      <c r="A1669" s="367" t="s">
        <v>325</v>
      </c>
      <c r="B1669" s="367" t="s">
        <v>325</v>
      </c>
      <c r="C1669" s="367">
        <v>1</v>
      </c>
      <c r="D1669" s="368" t="s">
        <v>209</v>
      </c>
      <c r="E1669" s="369" t="s">
        <v>209</v>
      </c>
      <c r="F1669" s="370" t="s">
        <v>2486</v>
      </c>
      <c r="G1669" s="371" t="s">
        <v>2542</v>
      </c>
    </row>
    <row r="1670" spans="1:7" ht="12" x14ac:dyDescent="0.25">
      <c r="A1670" s="367" t="s">
        <v>325</v>
      </c>
      <c r="B1670" s="367" t="s">
        <v>325</v>
      </c>
      <c r="C1670" s="367">
        <v>1</v>
      </c>
      <c r="D1670" s="368" t="s">
        <v>149</v>
      </c>
      <c r="E1670" s="369" t="s">
        <v>149</v>
      </c>
      <c r="F1670" s="370" t="s">
        <v>2487</v>
      </c>
      <c r="G1670" s="371" t="s">
        <v>2543</v>
      </c>
    </row>
    <row r="1671" spans="1:7" ht="12" x14ac:dyDescent="0.25">
      <c r="A1671" s="367" t="s">
        <v>325</v>
      </c>
      <c r="B1671" s="367" t="s">
        <v>325</v>
      </c>
      <c r="C1671" s="367">
        <v>1</v>
      </c>
      <c r="D1671" s="368" t="s">
        <v>191</v>
      </c>
      <c r="E1671" s="369" t="s">
        <v>191</v>
      </c>
      <c r="F1671" s="370" t="s">
        <v>343</v>
      </c>
      <c r="G1671" s="371" t="s">
        <v>2083</v>
      </c>
    </row>
    <row r="1672" spans="1:7" ht="12" x14ac:dyDescent="0.25">
      <c r="A1672" s="367" t="s">
        <v>325</v>
      </c>
      <c r="B1672" s="367" t="s">
        <v>325</v>
      </c>
      <c r="C1672" s="367">
        <v>1</v>
      </c>
      <c r="D1672" s="368" t="s">
        <v>210</v>
      </c>
      <c r="E1672" s="369" t="s">
        <v>210</v>
      </c>
      <c r="F1672" s="370" t="s">
        <v>346</v>
      </c>
      <c r="G1672" s="371" t="s">
        <v>347</v>
      </c>
    </row>
    <row r="1673" spans="1:7" ht="12" x14ac:dyDescent="0.25">
      <c r="A1673" s="367" t="s">
        <v>325</v>
      </c>
      <c r="B1673" s="367" t="s">
        <v>325</v>
      </c>
      <c r="C1673" s="367">
        <v>1</v>
      </c>
      <c r="D1673" s="368" t="s">
        <v>192</v>
      </c>
      <c r="E1673" s="369" t="s">
        <v>192</v>
      </c>
      <c r="F1673" s="370" t="s">
        <v>348</v>
      </c>
      <c r="G1673" s="371" t="s">
        <v>192</v>
      </c>
    </row>
    <row r="1674" spans="1:7" ht="12" x14ac:dyDescent="0.25">
      <c r="A1674" s="367" t="s">
        <v>325</v>
      </c>
      <c r="B1674" s="367" t="s">
        <v>325</v>
      </c>
      <c r="C1674" s="367">
        <v>1</v>
      </c>
      <c r="D1674" s="368" t="s">
        <v>211</v>
      </c>
      <c r="E1674" s="369" t="s">
        <v>211</v>
      </c>
      <c r="F1674" s="370" t="s">
        <v>2085</v>
      </c>
      <c r="G1674" s="371" t="s">
        <v>349</v>
      </c>
    </row>
    <row r="1675" spans="1:7" ht="12" x14ac:dyDescent="0.25">
      <c r="A1675" s="367" t="s">
        <v>325</v>
      </c>
      <c r="B1675" s="367" t="s">
        <v>325</v>
      </c>
      <c r="C1675" s="367">
        <v>1</v>
      </c>
      <c r="D1675" s="368" t="s">
        <v>193</v>
      </c>
      <c r="E1675" s="369" t="s">
        <v>193</v>
      </c>
      <c r="F1675" s="370" t="s">
        <v>350</v>
      </c>
      <c r="G1675" s="371" t="s">
        <v>2086</v>
      </c>
    </row>
    <row r="1676" spans="1:7" ht="12" x14ac:dyDescent="0.25">
      <c r="A1676" s="367" t="s">
        <v>325</v>
      </c>
      <c r="B1676" s="367" t="s">
        <v>325</v>
      </c>
      <c r="C1676" s="367">
        <v>1</v>
      </c>
      <c r="D1676" s="368" t="s">
        <v>189</v>
      </c>
      <c r="E1676" s="369" t="s">
        <v>189</v>
      </c>
      <c r="F1676" s="370" t="s">
        <v>359</v>
      </c>
      <c r="G1676" s="371" t="s">
        <v>2111</v>
      </c>
    </row>
    <row r="1677" spans="1:7" ht="24" x14ac:dyDescent="0.25">
      <c r="A1677" s="367" t="s">
        <v>325</v>
      </c>
      <c r="B1677" s="367" t="s">
        <v>325</v>
      </c>
      <c r="C1677" s="367">
        <v>1</v>
      </c>
      <c r="D1677" s="368" t="s">
        <v>219</v>
      </c>
      <c r="E1677" s="369" t="s">
        <v>219</v>
      </c>
      <c r="F1677" s="370" t="s">
        <v>2490</v>
      </c>
      <c r="G1677" s="371" t="s">
        <v>2546</v>
      </c>
    </row>
    <row r="1678" spans="1:7" ht="12" x14ac:dyDescent="0.25">
      <c r="A1678" s="367" t="s">
        <v>325</v>
      </c>
      <c r="B1678" s="367" t="s">
        <v>325</v>
      </c>
      <c r="C1678" s="367">
        <v>1</v>
      </c>
      <c r="D1678" s="368" t="s">
        <v>194</v>
      </c>
      <c r="E1678" s="369" t="s">
        <v>194</v>
      </c>
      <c r="F1678" s="370" t="s">
        <v>2112</v>
      </c>
      <c r="G1678" s="371" t="s">
        <v>2113</v>
      </c>
    </row>
    <row r="1679" spans="1:7" ht="12" x14ac:dyDescent="0.25">
      <c r="A1679" s="367" t="s">
        <v>325</v>
      </c>
      <c r="B1679" s="367" t="s">
        <v>325</v>
      </c>
      <c r="C1679" s="367">
        <v>1</v>
      </c>
      <c r="D1679" s="368" t="s">
        <v>195</v>
      </c>
      <c r="E1679" s="369" t="s">
        <v>195</v>
      </c>
      <c r="F1679" s="370" t="s">
        <v>2114</v>
      </c>
      <c r="G1679" s="371" t="s">
        <v>2115</v>
      </c>
    </row>
    <row r="1680" spans="1:7" ht="12" x14ac:dyDescent="0.25">
      <c r="A1680" s="367" t="s">
        <v>325</v>
      </c>
      <c r="B1680" s="367" t="s">
        <v>325</v>
      </c>
      <c r="C1680" s="367">
        <v>1</v>
      </c>
      <c r="D1680" s="368" t="s">
        <v>196</v>
      </c>
      <c r="E1680" s="369" t="s">
        <v>196</v>
      </c>
      <c r="F1680" s="370" t="s">
        <v>2116</v>
      </c>
      <c r="G1680" s="371" t="s">
        <v>2117</v>
      </c>
    </row>
    <row r="1681" spans="1:7" ht="12" x14ac:dyDescent="0.25">
      <c r="A1681" s="367" t="s">
        <v>325</v>
      </c>
      <c r="B1681" s="367" t="s">
        <v>325</v>
      </c>
      <c r="C1681" s="367">
        <v>1</v>
      </c>
      <c r="D1681" s="368" t="s">
        <v>197</v>
      </c>
      <c r="E1681" s="369" t="s">
        <v>197</v>
      </c>
      <c r="F1681" s="370" t="s">
        <v>2118</v>
      </c>
      <c r="G1681" s="371" t="s">
        <v>2119</v>
      </c>
    </row>
    <row r="1682" spans="1:7" ht="12" x14ac:dyDescent="0.25">
      <c r="A1682" s="367" t="s">
        <v>325</v>
      </c>
      <c r="B1682" s="373" t="s">
        <v>325</v>
      </c>
      <c r="C1682" s="367">
        <v>1</v>
      </c>
      <c r="D1682" s="368" t="s">
        <v>146</v>
      </c>
      <c r="E1682" s="369" t="s">
        <v>146</v>
      </c>
      <c r="F1682" s="370" t="s">
        <v>2120</v>
      </c>
      <c r="G1682" s="371" t="s">
        <v>360</v>
      </c>
    </row>
    <row r="1683" spans="1:7" ht="24" x14ac:dyDescent="0.25">
      <c r="A1683" s="367" t="s">
        <v>325</v>
      </c>
      <c r="B1683" s="367" t="s">
        <v>325</v>
      </c>
      <c r="C1683" s="367">
        <v>1</v>
      </c>
      <c r="D1683" s="368" t="s">
        <v>219</v>
      </c>
      <c r="E1683" s="369" t="s">
        <v>219</v>
      </c>
      <c r="F1683" s="370" t="s">
        <v>2490</v>
      </c>
      <c r="G1683" s="371" t="s">
        <v>2546</v>
      </c>
    </row>
    <row r="1684" spans="1:7" ht="12" x14ac:dyDescent="0.25">
      <c r="A1684" s="367" t="s">
        <v>325</v>
      </c>
      <c r="B1684" s="367" t="s">
        <v>325</v>
      </c>
      <c r="C1684" s="367">
        <v>1</v>
      </c>
      <c r="D1684" s="368" t="s">
        <v>198</v>
      </c>
      <c r="E1684" s="369" t="s">
        <v>198</v>
      </c>
      <c r="F1684" s="370" t="s">
        <v>2121</v>
      </c>
      <c r="G1684" s="371" t="s">
        <v>2122</v>
      </c>
    </row>
    <row r="1685" spans="1:7" ht="12" x14ac:dyDescent="0.25">
      <c r="A1685" s="367" t="s">
        <v>325</v>
      </c>
      <c r="B1685" s="367" t="s">
        <v>325</v>
      </c>
      <c r="C1685" s="367">
        <v>1</v>
      </c>
      <c r="D1685" s="368" t="s">
        <v>199</v>
      </c>
      <c r="E1685" s="369" t="s">
        <v>199</v>
      </c>
      <c r="F1685" s="370" t="s">
        <v>2123</v>
      </c>
      <c r="G1685" s="371" t="s">
        <v>2124</v>
      </c>
    </row>
    <row r="1686" spans="1:7" ht="12" x14ac:dyDescent="0.25">
      <c r="A1686" s="367" t="s">
        <v>325</v>
      </c>
      <c r="B1686" s="367" t="s">
        <v>325</v>
      </c>
      <c r="C1686" s="367">
        <v>1</v>
      </c>
      <c r="D1686" s="368" t="s">
        <v>200</v>
      </c>
      <c r="E1686" s="369" t="s">
        <v>200</v>
      </c>
      <c r="F1686" s="370" t="s">
        <v>2125</v>
      </c>
      <c r="G1686" s="371" t="s">
        <v>2126</v>
      </c>
    </row>
    <row r="1687" spans="1:7" ht="12" x14ac:dyDescent="0.25">
      <c r="A1687" s="367" t="s">
        <v>325</v>
      </c>
      <c r="B1687" s="367" t="s">
        <v>325</v>
      </c>
      <c r="C1687" s="367">
        <v>1</v>
      </c>
      <c r="D1687" s="368" t="s">
        <v>201</v>
      </c>
      <c r="E1687" s="369" t="s">
        <v>201</v>
      </c>
      <c r="F1687" s="370" t="s">
        <v>2127</v>
      </c>
      <c r="G1687" s="371" t="s">
        <v>2128</v>
      </c>
    </row>
    <row r="1688" spans="1:7" ht="12" x14ac:dyDescent="0.25">
      <c r="A1688" s="367" t="s">
        <v>325</v>
      </c>
      <c r="B1688" s="367" t="s">
        <v>325</v>
      </c>
      <c r="C1688" s="367">
        <v>1</v>
      </c>
      <c r="D1688" s="368" t="s">
        <v>147</v>
      </c>
      <c r="E1688" s="369" t="s">
        <v>147</v>
      </c>
      <c r="F1688" s="370" t="s">
        <v>2129</v>
      </c>
      <c r="G1688" s="371" t="s">
        <v>361</v>
      </c>
    </row>
    <row r="1689" spans="1:7" ht="24" x14ac:dyDescent="0.25">
      <c r="A1689" s="367" t="s">
        <v>325</v>
      </c>
      <c r="B1689" s="367" t="s">
        <v>325</v>
      </c>
      <c r="C1689" s="367">
        <v>1</v>
      </c>
      <c r="D1689" s="368" t="s">
        <v>219</v>
      </c>
      <c r="E1689" s="369" t="s">
        <v>219</v>
      </c>
      <c r="F1689" s="370" t="s">
        <v>2490</v>
      </c>
      <c r="G1689" s="371" t="s">
        <v>2546</v>
      </c>
    </row>
    <row r="1690" spans="1:7" ht="12" x14ac:dyDescent="0.25">
      <c r="A1690" s="367" t="s">
        <v>325</v>
      </c>
      <c r="B1690" s="367" t="s">
        <v>325</v>
      </c>
      <c r="C1690" s="367">
        <v>1</v>
      </c>
      <c r="D1690" s="368" t="s">
        <v>202</v>
      </c>
      <c r="E1690" s="369" t="s">
        <v>202</v>
      </c>
      <c r="F1690" s="370" t="s">
        <v>2130</v>
      </c>
      <c r="G1690" s="371" t="s">
        <v>2131</v>
      </c>
    </row>
    <row r="1691" spans="1:7" ht="12" x14ac:dyDescent="0.25">
      <c r="A1691" s="367" t="s">
        <v>325</v>
      </c>
      <c r="B1691" s="367" t="s">
        <v>325</v>
      </c>
      <c r="C1691" s="367">
        <v>1</v>
      </c>
      <c r="D1691" s="368" t="s">
        <v>203</v>
      </c>
      <c r="E1691" s="369" t="s">
        <v>203</v>
      </c>
      <c r="F1691" s="370" t="s">
        <v>2132</v>
      </c>
      <c r="G1691" s="371" t="s">
        <v>2133</v>
      </c>
    </row>
    <row r="1692" spans="1:7" ht="12" x14ac:dyDescent="0.25">
      <c r="A1692" s="367" t="s">
        <v>325</v>
      </c>
      <c r="B1692" s="367" t="s">
        <v>325</v>
      </c>
      <c r="C1692" s="367">
        <v>1</v>
      </c>
      <c r="D1692" s="368" t="s">
        <v>204</v>
      </c>
      <c r="E1692" s="369" t="s">
        <v>204</v>
      </c>
      <c r="F1692" s="370" t="s">
        <v>2134</v>
      </c>
      <c r="G1692" s="371" t="s">
        <v>2135</v>
      </c>
    </row>
    <row r="1693" spans="1:7" ht="12" x14ac:dyDescent="0.25">
      <c r="A1693" s="367" t="s">
        <v>325</v>
      </c>
      <c r="B1693" s="367" t="s">
        <v>325</v>
      </c>
      <c r="C1693" s="367">
        <v>1</v>
      </c>
      <c r="D1693" s="368" t="s">
        <v>205</v>
      </c>
      <c r="E1693" s="369" t="s">
        <v>205</v>
      </c>
      <c r="F1693" s="370" t="s">
        <v>2136</v>
      </c>
      <c r="G1693" s="371" t="s">
        <v>2137</v>
      </c>
    </row>
    <row r="1694" spans="1:7" ht="12" x14ac:dyDescent="0.25">
      <c r="A1694" s="367" t="s">
        <v>325</v>
      </c>
      <c r="B1694" s="367" t="s">
        <v>325</v>
      </c>
      <c r="C1694" s="367">
        <v>1</v>
      </c>
      <c r="D1694" s="368" t="s">
        <v>148</v>
      </c>
      <c r="E1694" s="369" t="s">
        <v>148</v>
      </c>
      <c r="F1694" s="370" t="s">
        <v>2138</v>
      </c>
      <c r="G1694" s="371" t="s">
        <v>362</v>
      </c>
    </row>
    <row r="1695" spans="1:7" ht="24" x14ac:dyDescent="0.25">
      <c r="A1695" s="367" t="s">
        <v>325</v>
      </c>
      <c r="B1695" s="367" t="s">
        <v>325</v>
      </c>
      <c r="C1695" s="367">
        <v>1</v>
      </c>
      <c r="D1695" s="368" t="s">
        <v>219</v>
      </c>
      <c r="E1695" s="369" t="s">
        <v>219</v>
      </c>
      <c r="F1695" s="370" t="s">
        <v>2490</v>
      </c>
      <c r="G1695" s="371" t="s">
        <v>2546</v>
      </c>
    </row>
    <row r="1696" spans="1:7" ht="12" x14ac:dyDescent="0.25">
      <c r="A1696" s="367" t="s">
        <v>325</v>
      </c>
      <c r="B1696" s="367" t="s">
        <v>325</v>
      </c>
      <c r="C1696" s="367">
        <v>1</v>
      </c>
      <c r="D1696" s="368" t="s">
        <v>206</v>
      </c>
      <c r="E1696" s="369" t="s">
        <v>206</v>
      </c>
      <c r="F1696" s="370" t="s">
        <v>2483</v>
      </c>
      <c r="G1696" s="371" t="s">
        <v>2539</v>
      </c>
    </row>
    <row r="1697" spans="1:7" ht="12" x14ac:dyDescent="0.25">
      <c r="A1697" s="367" t="s">
        <v>325</v>
      </c>
      <c r="B1697" s="367" t="s">
        <v>325</v>
      </c>
      <c r="C1697" s="367">
        <v>1</v>
      </c>
      <c r="D1697" s="368" t="s">
        <v>207</v>
      </c>
      <c r="E1697" s="369" t="s">
        <v>207</v>
      </c>
      <c r="F1697" s="370" t="s">
        <v>2484</v>
      </c>
      <c r="G1697" s="371" t="s">
        <v>2540</v>
      </c>
    </row>
    <row r="1698" spans="1:7" ht="12" x14ac:dyDescent="0.25">
      <c r="A1698" s="367" t="s">
        <v>325</v>
      </c>
      <c r="B1698" s="367" t="s">
        <v>325</v>
      </c>
      <c r="C1698" s="367">
        <v>1</v>
      </c>
      <c r="D1698" s="368" t="s">
        <v>208</v>
      </c>
      <c r="E1698" s="369" t="s">
        <v>208</v>
      </c>
      <c r="F1698" s="370" t="s">
        <v>2485</v>
      </c>
      <c r="G1698" s="371" t="s">
        <v>2541</v>
      </c>
    </row>
    <row r="1699" spans="1:7" ht="12" x14ac:dyDescent="0.25">
      <c r="A1699" s="367" t="s">
        <v>325</v>
      </c>
      <c r="B1699" s="367" t="s">
        <v>325</v>
      </c>
      <c r="C1699" s="367">
        <v>1</v>
      </c>
      <c r="D1699" s="368" t="s">
        <v>209</v>
      </c>
      <c r="E1699" s="369" t="s">
        <v>209</v>
      </c>
      <c r="F1699" s="370" t="s">
        <v>2486</v>
      </c>
      <c r="G1699" s="371" t="s">
        <v>2542</v>
      </c>
    </row>
    <row r="1700" spans="1:7" ht="12" x14ac:dyDescent="0.25">
      <c r="A1700" s="367" t="s">
        <v>325</v>
      </c>
      <c r="B1700" s="367" t="s">
        <v>325</v>
      </c>
      <c r="C1700" s="367">
        <v>1</v>
      </c>
      <c r="D1700" s="368" t="s">
        <v>149</v>
      </c>
      <c r="E1700" s="369" t="s">
        <v>149</v>
      </c>
      <c r="F1700" s="370" t="s">
        <v>2487</v>
      </c>
      <c r="G1700" s="371" t="s">
        <v>2543</v>
      </c>
    </row>
    <row r="1701" spans="1:7" ht="24" x14ac:dyDescent="0.25">
      <c r="A1701" s="367" t="s">
        <v>325</v>
      </c>
      <c r="B1701" s="367" t="s">
        <v>325</v>
      </c>
      <c r="C1701" s="367">
        <v>1</v>
      </c>
      <c r="D1701" s="368" t="s">
        <v>219</v>
      </c>
      <c r="E1701" s="369" t="s">
        <v>219</v>
      </c>
      <c r="F1701" s="370" t="s">
        <v>2490</v>
      </c>
      <c r="G1701" s="371" t="s">
        <v>2546</v>
      </c>
    </row>
    <row r="1702" spans="1:7" ht="12" x14ac:dyDescent="0.25">
      <c r="A1702" s="367" t="s">
        <v>325</v>
      </c>
      <c r="B1702" s="367" t="s">
        <v>325</v>
      </c>
      <c r="C1702" s="367">
        <v>1</v>
      </c>
      <c r="D1702" s="368" t="s">
        <v>3073</v>
      </c>
      <c r="E1702" s="369" t="s">
        <v>3073</v>
      </c>
      <c r="F1702" s="370" t="s">
        <v>3710</v>
      </c>
      <c r="G1702" s="371" t="s">
        <v>3678</v>
      </c>
    </row>
    <row r="1703" spans="1:7" ht="12" x14ac:dyDescent="0.25">
      <c r="A1703" s="367" t="s">
        <v>325</v>
      </c>
      <c r="B1703" s="367" t="s">
        <v>325</v>
      </c>
      <c r="C1703" s="367">
        <v>1</v>
      </c>
      <c r="D1703" s="368" t="s">
        <v>3074</v>
      </c>
      <c r="E1703" s="369" t="s">
        <v>3074</v>
      </c>
      <c r="F1703" s="370" t="s">
        <v>3711</v>
      </c>
      <c r="G1703" s="371" t="s">
        <v>3680</v>
      </c>
    </row>
    <row r="1704" spans="1:7" ht="12" x14ac:dyDescent="0.25">
      <c r="A1704" s="367" t="s">
        <v>325</v>
      </c>
      <c r="B1704" s="367" t="s">
        <v>325</v>
      </c>
      <c r="C1704" s="367">
        <v>1</v>
      </c>
      <c r="D1704" s="368" t="s">
        <v>3075</v>
      </c>
      <c r="E1704" s="369" t="s">
        <v>3075</v>
      </c>
      <c r="F1704" s="370" t="s">
        <v>3712</v>
      </c>
      <c r="G1704" s="371" t="s">
        <v>3682</v>
      </c>
    </row>
    <row r="1705" spans="1:7" ht="12" x14ac:dyDescent="0.25">
      <c r="A1705" s="367" t="s">
        <v>325</v>
      </c>
      <c r="B1705" s="367" t="s">
        <v>325</v>
      </c>
      <c r="C1705" s="367">
        <v>1</v>
      </c>
      <c r="D1705" s="368" t="s">
        <v>3076</v>
      </c>
      <c r="E1705" s="369" t="s">
        <v>3076</v>
      </c>
      <c r="F1705" s="370" t="s">
        <v>3713</v>
      </c>
      <c r="G1705" s="371" t="s">
        <v>3684</v>
      </c>
    </row>
    <row r="1706" spans="1:7" ht="12" x14ac:dyDescent="0.25">
      <c r="A1706" s="367" t="s">
        <v>325</v>
      </c>
      <c r="B1706" s="367" t="s">
        <v>325</v>
      </c>
      <c r="C1706" s="367">
        <v>1</v>
      </c>
      <c r="D1706" s="368" t="s">
        <v>3077</v>
      </c>
      <c r="E1706" s="369" t="s">
        <v>3077</v>
      </c>
      <c r="F1706" s="370" t="s">
        <v>3714</v>
      </c>
      <c r="G1706" s="371" t="s">
        <v>3686</v>
      </c>
    </row>
    <row r="1707" spans="1:7" ht="24" x14ac:dyDescent="0.25">
      <c r="A1707" s="367" t="s">
        <v>325</v>
      </c>
      <c r="B1707" s="367" t="s">
        <v>325</v>
      </c>
      <c r="C1707" s="367">
        <v>1</v>
      </c>
      <c r="D1707" s="368" t="s">
        <v>219</v>
      </c>
      <c r="E1707" s="369" t="s">
        <v>219</v>
      </c>
      <c r="F1707" s="370" t="s">
        <v>2490</v>
      </c>
      <c r="G1707" s="371" t="s">
        <v>2546</v>
      </c>
    </row>
    <row r="1708" spans="1:7" ht="12" x14ac:dyDescent="0.25">
      <c r="A1708" s="367" t="s">
        <v>325</v>
      </c>
      <c r="B1708" s="367" t="s">
        <v>325</v>
      </c>
      <c r="C1708" s="367">
        <v>1</v>
      </c>
      <c r="D1708" s="368" t="s">
        <v>3157</v>
      </c>
      <c r="E1708" s="369" t="s">
        <v>3157</v>
      </c>
      <c r="F1708" s="370" t="s">
        <v>3715</v>
      </c>
      <c r="G1708" s="371" t="s">
        <v>3692</v>
      </c>
    </row>
    <row r="1709" spans="1:7" ht="12" x14ac:dyDescent="0.25">
      <c r="A1709" s="367" t="s">
        <v>325</v>
      </c>
      <c r="B1709" s="367" t="s">
        <v>325</v>
      </c>
      <c r="C1709" s="367">
        <v>1</v>
      </c>
      <c r="D1709" s="368" t="s">
        <v>3158</v>
      </c>
      <c r="E1709" s="369" t="s">
        <v>3158</v>
      </c>
      <c r="F1709" s="370" t="s">
        <v>3716</v>
      </c>
      <c r="G1709" s="371" t="s">
        <v>3694</v>
      </c>
    </row>
    <row r="1710" spans="1:7" ht="12" x14ac:dyDescent="0.25">
      <c r="A1710" s="367" t="s">
        <v>325</v>
      </c>
      <c r="B1710" s="367" t="s">
        <v>325</v>
      </c>
      <c r="C1710" s="367">
        <v>1</v>
      </c>
      <c r="D1710" s="368" t="s">
        <v>3159</v>
      </c>
      <c r="E1710" s="369" t="s">
        <v>3159</v>
      </c>
      <c r="F1710" s="370" t="s">
        <v>3717</v>
      </c>
      <c r="G1710" s="371" t="s">
        <v>3696</v>
      </c>
    </row>
    <row r="1711" spans="1:7" ht="12" x14ac:dyDescent="0.25">
      <c r="A1711" s="367" t="s">
        <v>325</v>
      </c>
      <c r="B1711" s="367" t="s">
        <v>325</v>
      </c>
      <c r="C1711" s="367">
        <v>1</v>
      </c>
      <c r="D1711" s="368" t="s">
        <v>3160</v>
      </c>
      <c r="E1711" s="369" t="s">
        <v>3160</v>
      </c>
      <c r="F1711" s="370" t="s">
        <v>3718</v>
      </c>
      <c r="G1711" s="371" t="s">
        <v>3698</v>
      </c>
    </row>
    <row r="1712" spans="1:7" ht="12" x14ac:dyDescent="0.25">
      <c r="A1712" s="367" t="s">
        <v>325</v>
      </c>
      <c r="B1712" s="367" t="s">
        <v>325</v>
      </c>
      <c r="C1712" s="367">
        <v>1</v>
      </c>
      <c r="D1712" s="368" t="s">
        <v>3161</v>
      </c>
      <c r="E1712" s="369" t="s">
        <v>3161</v>
      </c>
      <c r="F1712" s="370" t="s">
        <v>3719</v>
      </c>
      <c r="G1712" s="371" t="s">
        <v>3700</v>
      </c>
    </row>
    <row r="1713" spans="1:7" ht="12" x14ac:dyDescent="0.25">
      <c r="A1713" s="367" t="s">
        <v>325</v>
      </c>
      <c r="B1713" s="367" t="s">
        <v>325</v>
      </c>
      <c r="C1713" s="367">
        <v>1</v>
      </c>
      <c r="D1713" s="368" t="s">
        <v>191</v>
      </c>
      <c r="E1713" s="369" t="s">
        <v>191</v>
      </c>
      <c r="F1713" s="370" t="s">
        <v>343</v>
      </c>
      <c r="G1713" s="371" t="s">
        <v>2083</v>
      </c>
    </row>
    <row r="1714" spans="1:7" ht="12" x14ac:dyDescent="0.25">
      <c r="A1714" s="367" t="s">
        <v>325</v>
      </c>
      <c r="B1714" s="367" t="s">
        <v>325</v>
      </c>
      <c r="C1714" s="367">
        <v>1</v>
      </c>
      <c r="D1714" s="368" t="s">
        <v>210</v>
      </c>
      <c r="E1714" s="369" t="s">
        <v>210</v>
      </c>
      <c r="F1714" s="370" t="s">
        <v>346</v>
      </c>
      <c r="G1714" s="371" t="s">
        <v>347</v>
      </c>
    </row>
    <row r="1715" spans="1:7" ht="12" x14ac:dyDescent="0.25">
      <c r="A1715" s="367" t="s">
        <v>325</v>
      </c>
      <c r="B1715" s="367" t="s">
        <v>325</v>
      </c>
      <c r="C1715" s="367">
        <v>1</v>
      </c>
      <c r="D1715" s="368" t="s">
        <v>192</v>
      </c>
      <c r="E1715" s="369" t="s">
        <v>192</v>
      </c>
      <c r="F1715" s="370" t="s">
        <v>348</v>
      </c>
      <c r="G1715" s="371" t="s">
        <v>192</v>
      </c>
    </row>
    <row r="1716" spans="1:7" ht="12" x14ac:dyDescent="0.25">
      <c r="A1716" s="367" t="s">
        <v>325</v>
      </c>
      <c r="B1716" s="367" t="s">
        <v>325</v>
      </c>
      <c r="C1716" s="367">
        <v>1</v>
      </c>
      <c r="D1716" s="368" t="s">
        <v>211</v>
      </c>
      <c r="E1716" s="369" t="s">
        <v>211</v>
      </c>
      <c r="F1716" s="370" t="s">
        <v>2085</v>
      </c>
      <c r="G1716" s="371" t="s">
        <v>349</v>
      </c>
    </row>
    <row r="1717" spans="1:7" ht="12" x14ac:dyDescent="0.25">
      <c r="A1717" s="367" t="s">
        <v>325</v>
      </c>
      <c r="B1717" s="367" t="s">
        <v>325</v>
      </c>
      <c r="C1717" s="367">
        <v>1</v>
      </c>
      <c r="D1717" s="368" t="s">
        <v>193</v>
      </c>
      <c r="E1717" s="369" t="s">
        <v>193</v>
      </c>
      <c r="F1717" s="370" t="s">
        <v>350</v>
      </c>
      <c r="G1717" s="371" t="s">
        <v>2086</v>
      </c>
    </row>
    <row r="1718" spans="1:7" ht="12" x14ac:dyDescent="0.25">
      <c r="A1718" s="367" t="s">
        <v>325</v>
      </c>
      <c r="B1718" s="367" t="s">
        <v>325</v>
      </c>
      <c r="C1718" s="367">
        <v>2</v>
      </c>
      <c r="D1718" s="368" t="s">
        <v>189</v>
      </c>
      <c r="E1718" s="369" t="s">
        <v>189</v>
      </c>
      <c r="F1718" s="370" t="s">
        <v>359</v>
      </c>
      <c r="G1718" s="371" t="s">
        <v>2111</v>
      </c>
    </row>
    <row r="1719" spans="1:7" ht="12" x14ac:dyDescent="0.25">
      <c r="A1719" s="367" t="s">
        <v>325</v>
      </c>
      <c r="B1719" s="367" t="s">
        <v>325</v>
      </c>
      <c r="C1719" s="367">
        <v>2</v>
      </c>
      <c r="D1719" s="368" t="s">
        <v>221</v>
      </c>
      <c r="E1719" s="369" t="s">
        <v>221</v>
      </c>
      <c r="F1719" s="370" t="s">
        <v>2491</v>
      </c>
      <c r="G1719" s="371" t="s">
        <v>2547</v>
      </c>
    </row>
    <row r="1720" spans="1:7" ht="12" x14ac:dyDescent="0.25">
      <c r="A1720" s="367" t="s">
        <v>325</v>
      </c>
      <c r="B1720" s="367" t="s">
        <v>325</v>
      </c>
      <c r="C1720" s="367">
        <v>2</v>
      </c>
      <c r="D1720" s="368" t="s">
        <v>194</v>
      </c>
      <c r="E1720" s="369" t="s">
        <v>194</v>
      </c>
      <c r="F1720" s="370" t="s">
        <v>2112</v>
      </c>
      <c r="G1720" s="371" t="s">
        <v>2113</v>
      </c>
    </row>
    <row r="1721" spans="1:7" ht="12" x14ac:dyDescent="0.25">
      <c r="A1721" s="367" t="s">
        <v>325</v>
      </c>
      <c r="B1721" s="367" t="s">
        <v>325</v>
      </c>
      <c r="C1721" s="367">
        <v>2</v>
      </c>
      <c r="D1721" s="368" t="s">
        <v>195</v>
      </c>
      <c r="E1721" s="369" t="s">
        <v>195</v>
      </c>
      <c r="F1721" s="370" t="s">
        <v>2114</v>
      </c>
      <c r="G1721" s="371" t="s">
        <v>2115</v>
      </c>
    </row>
    <row r="1722" spans="1:7" ht="12" x14ac:dyDescent="0.25">
      <c r="A1722" s="367" t="s">
        <v>325</v>
      </c>
      <c r="B1722" s="367" t="s">
        <v>325</v>
      </c>
      <c r="C1722" s="367">
        <v>2</v>
      </c>
      <c r="D1722" s="368" t="s">
        <v>196</v>
      </c>
      <c r="E1722" s="369" t="s">
        <v>196</v>
      </c>
      <c r="F1722" s="370" t="s">
        <v>2116</v>
      </c>
      <c r="G1722" s="371" t="s">
        <v>2117</v>
      </c>
    </row>
    <row r="1723" spans="1:7" ht="12" x14ac:dyDescent="0.25">
      <c r="A1723" s="367" t="s">
        <v>325</v>
      </c>
      <c r="B1723" s="367" t="s">
        <v>325</v>
      </c>
      <c r="C1723" s="367">
        <v>2</v>
      </c>
      <c r="D1723" s="368" t="s">
        <v>197</v>
      </c>
      <c r="E1723" s="369" t="s">
        <v>197</v>
      </c>
      <c r="F1723" s="370" t="s">
        <v>2118</v>
      </c>
      <c r="G1723" s="371" t="s">
        <v>2119</v>
      </c>
    </row>
    <row r="1724" spans="1:7" ht="12" x14ac:dyDescent="0.25">
      <c r="A1724" s="367" t="s">
        <v>325</v>
      </c>
      <c r="B1724" s="367" t="s">
        <v>325</v>
      </c>
      <c r="C1724" s="367">
        <v>2</v>
      </c>
      <c r="D1724" s="368" t="s">
        <v>146</v>
      </c>
      <c r="E1724" s="369" t="s">
        <v>146</v>
      </c>
      <c r="F1724" s="370" t="s">
        <v>2120</v>
      </c>
      <c r="G1724" s="371" t="s">
        <v>360</v>
      </c>
    </row>
    <row r="1725" spans="1:7" ht="12" x14ac:dyDescent="0.25">
      <c r="A1725" s="367" t="s">
        <v>325</v>
      </c>
      <c r="B1725" s="367" t="s">
        <v>325</v>
      </c>
      <c r="C1725" s="367">
        <v>2</v>
      </c>
      <c r="D1725" s="368" t="s">
        <v>221</v>
      </c>
      <c r="E1725" s="369" t="s">
        <v>221</v>
      </c>
      <c r="F1725" s="370" t="s">
        <v>2491</v>
      </c>
      <c r="G1725" s="371" t="s">
        <v>2547</v>
      </c>
    </row>
    <row r="1726" spans="1:7" ht="12" x14ac:dyDescent="0.25">
      <c r="A1726" s="367" t="s">
        <v>325</v>
      </c>
      <c r="B1726" s="367" t="s">
        <v>325</v>
      </c>
      <c r="C1726" s="367">
        <v>2</v>
      </c>
      <c r="D1726" s="368" t="s">
        <v>198</v>
      </c>
      <c r="E1726" s="369" t="s">
        <v>198</v>
      </c>
      <c r="F1726" s="370" t="s">
        <v>2121</v>
      </c>
      <c r="G1726" s="371" t="s">
        <v>2122</v>
      </c>
    </row>
    <row r="1727" spans="1:7" ht="12" x14ac:dyDescent="0.25">
      <c r="A1727" s="367" t="s">
        <v>325</v>
      </c>
      <c r="B1727" s="367" t="s">
        <v>325</v>
      </c>
      <c r="C1727" s="367">
        <v>2</v>
      </c>
      <c r="D1727" s="368" t="s">
        <v>199</v>
      </c>
      <c r="E1727" s="369" t="s">
        <v>199</v>
      </c>
      <c r="F1727" s="370" t="s">
        <v>2123</v>
      </c>
      <c r="G1727" s="371" t="s">
        <v>2124</v>
      </c>
    </row>
    <row r="1728" spans="1:7" ht="12" x14ac:dyDescent="0.25">
      <c r="A1728" s="367" t="s">
        <v>325</v>
      </c>
      <c r="B1728" s="367" t="s">
        <v>325</v>
      </c>
      <c r="C1728" s="367">
        <v>2</v>
      </c>
      <c r="D1728" s="368" t="s">
        <v>200</v>
      </c>
      <c r="E1728" s="369" t="s">
        <v>200</v>
      </c>
      <c r="F1728" s="370" t="s">
        <v>2125</v>
      </c>
      <c r="G1728" s="371" t="s">
        <v>2126</v>
      </c>
    </row>
    <row r="1729" spans="1:7" ht="12" x14ac:dyDescent="0.25">
      <c r="A1729" s="367" t="s">
        <v>325</v>
      </c>
      <c r="B1729" s="367" t="s">
        <v>325</v>
      </c>
      <c r="C1729" s="367">
        <v>2</v>
      </c>
      <c r="D1729" s="368" t="s">
        <v>201</v>
      </c>
      <c r="E1729" s="369" t="s">
        <v>201</v>
      </c>
      <c r="F1729" s="370" t="s">
        <v>2127</v>
      </c>
      <c r="G1729" s="371" t="s">
        <v>2128</v>
      </c>
    </row>
    <row r="1730" spans="1:7" ht="12" x14ac:dyDescent="0.25">
      <c r="A1730" s="367" t="s">
        <v>325</v>
      </c>
      <c r="B1730" s="367" t="s">
        <v>325</v>
      </c>
      <c r="C1730" s="367">
        <v>2</v>
      </c>
      <c r="D1730" s="368" t="s">
        <v>147</v>
      </c>
      <c r="E1730" s="369" t="s">
        <v>147</v>
      </c>
      <c r="F1730" s="370" t="s">
        <v>2129</v>
      </c>
      <c r="G1730" s="371" t="s">
        <v>361</v>
      </c>
    </row>
    <row r="1731" spans="1:7" ht="12" x14ac:dyDescent="0.25">
      <c r="A1731" s="367" t="s">
        <v>325</v>
      </c>
      <c r="B1731" s="367" t="s">
        <v>325</v>
      </c>
      <c r="C1731" s="367">
        <v>2</v>
      </c>
      <c r="D1731" s="368" t="s">
        <v>221</v>
      </c>
      <c r="E1731" s="369" t="s">
        <v>221</v>
      </c>
      <c r="F1731" s="370" t="s">
        <v>2491</v>
      </c>
      <c r="G1731" s="371" t="s">
        <v>2547</v>
      </c>
    </row>
    <row r="1732" spans="1:7" ht="12" x14ac:dyDescent="0.25">
      <c r="A1732" s="367" t="s">
        <v>325</v>
      </c>
      <c r="B1732" s="367" t="s">
        <v>325</v>
      </c>
      <c r="C1732" s="367">
        <v>2</v>
      </c>
      <c r="D1732" s="368" t="s">
        <v>202</v>
      </c>
      <c r="E1732" s="369" t="s">
        <v>202</v>
      </c>
      <c r="F1732" s="370" t="s">
        <v>2130</v>
      </c>
      <c r="G1732" s="371" t="s">
        <v>2131</v>
      </c>
    </row>
    <row r="1733" spans="1:7" ht="12" x14ac:dyDescent="0.25">
      <c r="A1733" s="367" t="s">
        <v>325</v>
      </c>
      <c r="B1733" s="367" t="s">
        <v>325</v>
      </c>
      <c r="C1733" s="367">
        <v>2</v>
      </c>
      <c r="D1733" s="368" t="s">
        <v>203</v>
      </c>
      <c r="E1733" s="369" t="s">
        <v>203</v>
      </c>
      <c r="F1733" s="370" t="s">
        <v>2132</v>
      </c>
      <c r="G1733" s="371" t="s">
        <v>2133</v>
      </c>
    </row>
    <row r="1734" spans="1:7" ht="12" x14ac:dyDescent="0.25">
      <c r="A1734" s="367" t="s">
        <v>325</v>
      </c>
      <c r="B1734" s="367" t="s">
        <v>325</v>
      </c>
      <c r="C1734" s="367">
        <v>2</v>
      </c>
      <c r="D1734" s="368" t="s">
        <v>204</v>
      </c>
      <c r="E1734" s="369" t="s">
        <v>204</v>
      </c>
      <c r="F1734" s="370" t="s">
        <v>2134</v>
      </c>
      <c r="G1734" s="371" t="s">
        <v>2135</v>
      </c>
    </row>
    <row r="1735" spans="1:7" ht="12" x14ac:dyDescent="0.25">
      <c r="A1735" s="367" t="s">
        <v>325</v>
      </c>
      <c r="B1735" s="367" t="s">
        <v>325</v>
      </c>
      <c r="C1735" s="367">
        <v>2</v>
      </c>
      <c r="D1735" s="368" t="s">
        <v>205</v>
      </c>
      <c r="E1735" s="369" t="s">
        <v>205</v>
      </c>
      <c r="F1735" s="370" t="s">
        <v>2136</v>
      </c>
      <c r="G1735" s="371" t="s">
        <v>2137</v>
      </c>
    </row>
    <row r="1736" spans="1:7" ht="12" x14ac:dyDescent="0.25">
      <c r="A1736" s="367" t="s">
        <v>325</v>
      </c>
      <c r="B1736" s="367" t="s">
        <v>325</v>
      </c>
      <c r="C1736" s="367">
        <v>2</v>
      </c>
      <c r="D1736" s="368" t="s">
        <v>148</v>
      </c>
      <c r="E1736" s="369" t="s">
        <v>148</v>
      </c>
      <c r="F1736" s="370" t="s">
        <v>2138</v>
      </c>
      <c r="G1736" s="371" t="s">
        <v>362</v>
      </c>
    </row>
    <row r="1737" spans="1:7" ht="12" x14ac:dyDescent="0.25">
      <c r="A1737" s="367" t="s">
        <v>325</v>
      </c>
      <c r="B1737" s="367" t="s">
        <v>325</v>
      </c>
      <c r="C1737" s="367">
        <v>2</v>
      </c>
      <c r="D1737" s="368" t="s">
        <v>221</v>
      </c>
      <c r="E1737" s="369" t="s">
        <v>221</v>
      </c>
      <c r="F1737" s="370" t="s">
        <v>2491</v>
      </c>
      <c r="G1737" s="371" t="s">
        <v>2547</v>
      </c>
    </row>
    <row r="1738" spans="1:7" ht="12" x14ac:dyDescent="0.25">
      <c r="A1738" s="367" t="s">
        <v>325</v>
      </c>
      <c r="B1738" s="367" t="s">
        <v>325</v>
      </c>
      <c r="C1738" s="367">
        <v>2</v>
      </c>
      <c r="D1738" s="368" t="s">
        <v>206</v>
      </c>
      <c r="E1738" s="369" t="s">
        <v>206</v>
      </c>
      <c r="F1738" s="370" t="s">
        <v>2483</v>
      </c>
      <c r="G1738" s="371" t="s">
        <v>2539</v>
      </c>
    </row>
    <row r="1739" spans="1:7" ht="12" x14ac:dyDescent="0.25">
      <c r="A1739" s="367" t="s">
        <v>325</v>
      </c>
      <c r="B1739" s="367" t="s">
        <v>325</v>
      </c>
      <c r="C1739" s="367">
        <v>2</v>
      </c>
      <c r="D1739" s="368" t="s">
        <v>207</v>
      </c>
      <c r="E1739" s="369" t="s">
        <v>207</v>
      </c>
      <c r="F1739" s="370" t="s">
        <v>2484</v>
      </c>
      <c r="G1739" s="371" t="s">
        <v>2540</v>
      </c>
    </row>
    <row r="1740" spans="1:7" ht="12" x14ac:dyDescent="0.25">
      <c r="A1740" s="367" t="s">
        <v>325</v>
      </c>
      <c r="B1740" s="367" t="s">
        <v>325</v>
      </c>
      <c r="C1740" s="367">
        <v>2</v>
      </c>
      <c r="D1740" s="368" t="s">
        <v>208</v>
      </c>
      <c r="E1740" s="369" t="s">
        <v>208</v>
      </c>
      <c r="F1740" s="370" t="s">
        <v>2485</v>
      </c>
      <c r="G1740" s="371" t="s">
        <v>2541</v>
      </c>
    </row>
    <row r="1741" spans="1:7" ht="12" x14ac:dyDescent="0.25">
      <c r="A1741" s="367" t="s">
        <v>325</v>
      </c>
      <c r="B1741" s="367" t="s">
        <v>325</v>
      </c>
      <c r="C1741" s="367">
        <v>2</v>
      </c>
      <c r="D1741" s="368" t="s">
        <v>209</v>
      </c>
      <c r="E1741" s="369" t="s">
        <v>209</v>
      </c>
      <c r="F1741" s="370" t="s">
        <v>2486</v>
      </c>
      <c r="G1741" s="371" t="s">
        <v>2542</v>
      </c>
    </row>
    <row r="1742" spans="1:7" ht="12" x14ac:dyDescent="0.25">
      <c r="A1742" s="367" t="s">
        <v>325</v>
      </c>
      <c r="B1742" s="367" t="s">
        <v>325</v>
      </c>
      <c r="C1742" s="367">
        <v>2</v>
      </c>
      <c r="D1742" s="368" t="s">
        <v>149</v>
      </c>
      <c r="E1742" s="369" t="s">
        <v>149</v>
      </c>
      <c r="F1742" s="370" t="s">
        <v>2487</v>
      </c>
      <c r="G1742" s="371" t="s">
        <v>2543</v>
      </c>
    </row>
    <row r="1743" spans="1:7" ht="12" x14ac:dyDescent="0.25">
      <c r="A1743" s="367" t="s">
        <v>325</v>
      </c>
      <c r="B1743" s="367" t="s">
        <v>325</v>
      </c>
      <c r="C1743" s="367">
        <v>2</v>
      </c>
      <c r="D1743" s="368" t="s">
        <v>191</v>
      </c>
      <c r="E1743" s="369" t="s">
        <v>191</v>
      </c>
      <c r="F1743" s="370" t="s">
        <v>343</v>
      </c>
      <c r="G1743" s="371" t="s">
        <v>2083</v>
      </c>
    </row>
    <row r="1744" spans="1:7" ht="12" x14ac:dyDescent="0.25">
      <c r="A1744" s="367" t="s">
        <v>325</v>
      </c>
      <c r="B1744" s="367" t="s">
        <v>325</v>
      </c>
      <c r="C1744" s="367">
        <v>2</v>
      </c>
      <c r="D1744" s="368" t="s">
        <v>210</v>
      </c>
      <c r="E1744" s="369" t="s">
        <v>210</v>
      </c>
      <c r="F1744" s="370" t="s">
        <v>346</v>
      </c>
      <c r="G1744" s="371" t="s">
        <v>347</v>
      </c>
    </row>
    <row r="1745" spans="1:7" ht="12" x14ac:dyDescent="0.25">
      <c r="A1745" s="367" t="s">
        <v>325</v>
      </c>
      <c r="B1745" s="367" t="s">
        <v>325</v>
      </c>
      <c r="C1745" s="367">
        <v>2</v>
      </c>
      <c r="D1745" s="368" t="s">
        <v>192</v>
      </c>
      <c r="E1745" s="369" t="s">
        <v>192</v>
      </c>
      <c r="F1745" s="370" t="s">
        <v>348</v>
      </c>
      <c r="G1745" s="371" t="s">
        <v>192</v>
      </c>
    </row>
    <row r="1746" spans="1:7" ht="12" x14ac:dyDescent="0.25">
      <c r="A1746" s="367" t="s">
        <v>325</v>
      </c>
      <c r="B1746" s="367" t="s">
        <v>325</v>
      </c>
      <c r="C1746" s="367">
        <v>2</v>
      </c>
      <c r="D1746" s="368" t="s">
        <v>211</v>
      </c>
      <c r="E1746" s="369" t="s">
        <v>211</v>
      </c>
      <c r="F1746" s="370" t="s">
        <v>2085</v>
      </c>
      <c r="G1746" s="371" t="s">
        <v>349</v>
      </c>
    </row>
    <row r="1747" spans="1:7" ht="12" x14ac:dyDescent="0.25">
      <c r="A1747" s="367" t="s">
        <v>325</v>
      </c>
      <c r="B1747" s="367" t="s">
        <v>325</v>
      </c>
      <c r="C1747" s="367">
        <v>2</v>
      </c>
      <c r="D1747" s="368" t="s">
        <v>193</v>
      </c>
      <c r="E1747" s="369" t="s">
        <v>193</v>
      </c>
      <c r="F1747" s="370" t="s">
        <v>350</v>
      </c>
      <c r="G1747" s="371" t="s">
        <v>2086</v>
      </c>
    </row>
    <row r="1748" spans="1:7" ht="12" x14ac:dyDescent="0.25">
      <c r="A1748" s="367" t="s">
        <v>325</v>
      </c>
      <c r="B1748" s="367" t="s">
        <v>325</v>
      </c>
      <c r="C1748" s="367">
        <v>2</v>
      </c>
      <c r="D1748" s="368" t="s">
        <v>220</v>
      </c>
      <c r="E1748" s="369" t="s">
        <v>220</v>
      </c>
      <c r="F1748" s="370" t="s">
        <v>2492</v>
      </c>
      <c r="G1748" s="371" t="s">
        <v>2548</v>
      </c>
    </row>
    <row r="1749" spans="1:7" ht="12" x14ac:dyDescent="0.25">
      <c r="A1749" s="367" t="s">
        <v>325</v>
      </c>
      <c r="B1749" s="367" t="s">
        <v>325</v>
      </c>
      <c r="C1749" s="367">
        <v>2</v>
      </c>
      <c r="D1749" s="368" t="s">
        <v>223</v>
      </c>
      <c r="E1749" s="369" t="s">
        <v>223</v>
      </c>
      <c r="F1749" s="370" t="s">
        <v>2493</v>
      </c>
      <c r="G1749" s="371" t="s">
        <v>2549</v>
      </c>
    </row>
    <row r="1750" spans="1:7" ht="12" x14ac:dyDescent="0.25">
      <c r="A1750" s="367" t="s">
        <v>325</v>
      </c>
      <c r="B1750" s="367" t="s">
        <v>325</v>
      </c>
      <c r="C1750" s="367">
        <v>2</v>
      </c>
      <c r="D1750" s="368" t="s">
        <v>194</v>
      </c>
      <c r="E1750" s="369" t="s">
        <v>194</v>
      </c>
      <c r="F1750" s="370" t="s">
        <v>2112</v>
      </c>
      <c r="G1750" s="371" t="s">
        <v>2113</v>
      </c>
    </row>
    <row r="1751" spans="1:7" ht="12" x14ac:dyDescent="0.25">
      <c r="A1751" s="367" t="s">
        <v>325</v>
      </c>
      <c r="B1751" s="367" t="s">
        <v>325</v>
      </c>
      <c r="C1751" s="367">
        <v>2</v>
      </c>
      <c r="D1751" s="368" t="s">
        <v>195</v>
      </c>
      <c r="E1751" s="369" t="s">
        <v>195</v>
      </c>
      <c r="F1751" s="370" t="s">
        <v>2114</v>
      </c>
      <c r="G1751" s="371" t="s">
        <v>2115</v>
      </c>
    </row>
    <row r="1752" spans="1:7" ht="12" x14ac:dyDescent="0.25">
      <c r="A1752" s="367" t="s">
        <v>325</v>
      </c>
      <c r="B1752" s="367" t="s">
        <v>325</v>
      </c>
      <c r="C1752" s="367">
        <v>2</v>
      </c>
      <c r="D1752" s="368" t="s">
        <v>196</v>
      </c>
      <c r="E1752" s="369" t="s">
        <v>196</v>
      </c>
      <c r="F1752" s="370" t="s">
        <v>2116</v>
      </c>
      <c r="G1752" s="371" t="s">
        <v>2117</v>
      </c>
    </row>
    <row r="1753" spans="1:7" ht="12" x14ac:dyDescent="0.25">
      <c r="A1753" s="367" t="s">
        <v>325</v>
      </c>
      <c r="B1753" s="367" t="s">
        <v>325</v>
      </c>
      <c r="C1753" s="367">
        <v>2</v>
      </c>
      <c r="D1753" s="368" t="s">
        <v>197</v>
      </c>
      <c r="E1753" s="369" t="s">
        <v>197</v>
      </c>
      <c r="F1753" s="370" t="s">
        <v>2118</v>
      </c>
      <c r="G1753" s="371" t="s">
        <v>2119</v>
      </c>
    </row>
    <row r="1754" spans="1:7" ht="12" x14ac:dyDescent="0.25">
      <c r="A1754" s="367" t="s">
        <v>325</v>
      </c>
      <c r="B1754" s="367" t="s">
        <v>325</v>
      </c>
      <c r="C1754" s="367">
        <v>2</v>
      </c>
      <c r="D1754" s="368" t="s">
        <v>146</v>
      </c>
      <c r="E1754" s="369" t="s">
        <v>146</v>
      </c>
      <c r="F1754" s="370" t="s">
        <v>2120</v>
      </c>
      <c r="G1754" s="371" t="s">
        <v>360</v>
      </c>
    </row>
    <row r="1755" spans="1:7" ht="12" x14ac:dyDescent="0.25">
      <c r="A1755" s="367" t="s">
        <v>325</v>
      </c>
      <c r="B1755" s="367" t="s">
        <v>325</v>
      </c>
      <c r="C1755" s="367">
        <v>2</v>
      </c>
      <c r="D1755" s="368" t="s">
        <v>223</v>
      </c>
      <c r="E1755" s="369" t="s">
        <v>223</v>
      </c>
      <c r="F1755" s="370" t="s">
        <v>2493</v>
      </c>
      <c r="G1755" s="371" t="s">
        <v>2549</v>
      </c>
    </row>
    <row r="1756" spans="1:7" ht="12" x14ac:dyDescent="0.25">
      <c r="A1756" s="367" t="s">
        <v>325</v>
      </c>
      <c r="B1756" s="367" t="s">
        <v>325</v>
      </c>
      <c r="C1756" s="367">
        <v>2</v>
      </c>
      <c r="D1756" s="368" t="s">
        <v>198</v>
      </c>
      <c r="E1756" s="369" t="s">
        <v>198</v>
      </c>
      <c r="F1756" s="370" t="s">
        <v>2121</v>
      </c>
      <c r="G1756" s="371" t="s">
        <v>2122</v>
      </c>
    </row>
    <row r="1757" spans="1:7" ht="12" x14ac:dyDescent="0.25">
      <c r="A1757" s="367" t="s">
        <v>325</v>
      </c>
      <c r="B1757" s="367" t="s">
        <v>325</v>
      </c>
      <c r="C1757" s="367">
        <v>2</v>
      </c>
      <c r="D1757" s="368" t="s">
        <v>199</v>
      </c>
      <c r="E1757" s="369" t="s">
        <v>199</v>
      </c>
      <c r="F1757" s="370" t="s">
        <v>2123</v>
      </c>
      <c r="G1757" s="371" t="s">
        <v>2124</v>
      </c>
    </row>
    <row r="1758" spans="1:7" ht="12" x14ac:dyDescent="0.25">
      <c r="A1758" s="367" t="s">
        <v>325</v>
      </c>
      <c r="B1758" s="367" t="s">
        <v>325</v>
      </c>
      <c r="C1758" s="367">
        <v>2</v>
      </c>
      <c r="D1758" s="368" t="s">
        <v>200</v>
      </c>
      <c r="E1758" s="369" t="s">
        <v>200</v>
      </c>
      <c r="F1758" s="370" t="s">
        <v>2125</v>
      </c>
      <c r="G1758" s="371" t="s">
        <v>2126</v>
      </c>
    </row>
    <row r="1759" spans="1:7" ht="12" x14ac:dyDescent="0.25">
      <c r="A1759" s="367" t="s">
        <v>325</v>
      </c>
      <c r="B1759" s="367" t="s">
        <v>325</v>
      </c>
      <c r="C1759" s="367">
        <v>2</v>
      </c>
      <c r="D1759" s="368" t="s">
        <v>201</v>
      </c>
      <c r="E1759" s="369" t="s">
        <v>201</v>
      </c>
      <c r="F1759" s="370" t="s">
        <v>2127</v>
      </c>
      <c r="G1759" s="371" t="s">
        <v>2128</v>
      </c>
    </row>
    <row r="1760" spans="1:7" ht="12" x14ac:dyDescent="0.25">
      <c r="A1760" s="367" t="s">
        <v>325</v>
      </c>
      <c r="B1760" s="367" t="s">
        <v>325</v>
      </c>
      <c r="C1760" s="367">
        <v>2</v>
      </c>
      <c r="D1760" s="368" t="s">
        <v>147</v>
      </c>
      <c r="E1760" s="369" t="s">
        <v>147</v>
      </c>
      <c r="F1760" s="370" t="s">
        <v>2129</v>
      </c>
      <c r="G1760" s="371" t="s">
        <v>361</v>
      </c>
    </row>
    <row r="1761" spans="1:7" ht="12" x14ac:dyDescent="0.25">
      <c r="A1761" s="367" t="s">
        <v>325</v>
      </c>
      <c r="B1761" s="367" t="s">
        <v>325</v>
      </c>
      <c r="C1761" s="367">
        <v>2</v>
      </c>
      <c r="D1761" s="368" t="s">
        <v>223</v>
      </c>
      <c r="E1761" s="369" t="s">
        <v>223</v>
      </c>
      <c r="F1761" s="370" t="s">
        <v>2493</v>
      </c>
      <c r="G1761" s="371" t="s">
        <v>2549</v>
      </c>
    </row>
    <row r="1762" spans="1:7" ht="12" x14ac:dyDescent="0.25">
      <c r="A1762" s="367" t="s">
        <v>325</v>
      </c>
      <c r="B1762" s="367" t="s">
        <v>325</v>
      </c>
      <c r="C1762" s="367">
        <v>2</v>
      </c>
      <c r="D1762" s="368" t="s">
        <v>202</v>
      </c>
      <c r="E1762" s="369" t="s">
        <v>202</v>
      </c>
      <c r="F1762" s="370" t="s">
        <v>2130</v>
      </c>
      <c r="G1762" s="371" t="s">
        <v>2131</v>
      </c>
    </row>
    <row r="1763" spans="1:7" ht="12" x14ac:dyDescent="0.25">
      <c r="A1763" s="367" t="s">
        <v>325</v>
      </c>
      <c r="B1763" s="367" t="s">
        <v>325</v>
      </c>
      <c r="C1763" s="367">
        <v>2</v>
      </c>
      <c r="D1763" s="368" t="s">
        <v>203</v>
      </c>
      <c r="E1763" s="369" t="s">
        <v>203</v>
      </c>
      <c r="F1763" s="370" t="s">
        <v>2132</v>
      </c>
      <c r="G1763" s="371" t="s">
        <v>2133</v>
      </c>
    </row>
    <row r="1764" spans="1:7" ht="12" x14ac:dyDescent="0.25">
      <c r="A1764" s="367" t="s">
        <v>325</v>
      </c>
      <c r="B1764" s="367" t="s">
        <v>325</v>
      </c>
      <c r="C1764" s="367">
        <v>2</v>
      </c>
      <c r="D1764" s="368" t="s">
        <v>204</v>
      </c>
      <c r="E1764" s="369" t="s">
        <v>204</v>
      </c>
      <c r="F1764" s="370" t="s">
        <v>2134</v>
      </c>
      <c r="G1764" s="371" t="s">
        <v>2135</v>
      </c>
    </row>
    <row r="1765" spans="1:7" ht="12" x14ac:dyDescent="0.25">
      <c r="A1765" s="367" t="s">
        <v>325</v>
      </c>
      <c r="B1765" s="367" t="s">
        <v>325</v>
      </c>
      <c r="C1765" s="367">
        <v>2</v>
      </c>
      <c r="D1765" s="368" t="s">
        <v>205</v>
      </c>
      <c r="E1765" s="369" t="s">
        <v>205</v>
      </c>
      <c r="F1765" s="370" t="s">
        <v>2136</v>
      </c>
      <c r="G1765" s="371" t="s">
        <v>2137</v>
      </c>
    </row>
    <row r="1766" spans="1:7" ht="12" x14ac:dyDescent="0.25">
      <c r="A1766" s="367" t="s">
        <v>325</v>
      </c>
      <c r="B1766" s="367" t="s">
        <v>325</v>
      </c>
      <c r="C1766" s="367">
        <v>2</v>
      </c>
      <c r="D1766" s="368" t="s">
        <v>148</v>
      </c>
      <c r="E1766" s="369" t="s">
        <v>148</v>
      </c>
      <c r="F1766" s="370" t="s">
        <v>2138</v>
      </c>
      <c r="G1766" s="371" t="s">
        <v>362</v>
      </c>
    </row>
    <row r="1767" spans="1:7" ht="12" x14ac:dyDescent="0.25">
      <c r="A1767" s="367" t="s">
        <v>325</v>
      </c>
      <c r="B1767" s="367" t="s">
        <v>325</v>
      </c>
      <c r="C1767" s="367">
        <v>2</v>
      </c>
      <c r="D1767" s="368" t="s">
        <v>223</v>
      </c>
      <c r="E1767" s="369" t="s">
        <v>223</v>
      </c>
      <c r="F1767" s="370" t="s">
        <v>2493</v>
      </c>
      <c r="G1767" s="371" t="s">
        <v>2549</v>
      </c>
    </row>
    <row r="1768" spans="1:7" ht="12" x14ac:dyDescent="0.25">
      <c r="A1768" s="367" t="s">
        <v>325</v>
      </c>
      <c r="B1768" s="367" t="s">
        <v>325</v>
      </c>
      <c r="C1768" s="367">
        <v>2</v>
      </c>
      <c r="D1768" s="368" t="s">
        <v>206</v>
      </c>
      <c r="E1768" s="369" t="s">
        <v>206</v>
      </c>
      <c r="F1768" s="370" t="s">
        <v>2483</v>
      </c>
      <c r="G1768" s="371" t="s">
        <v>2539</v>
      </c>
    </row>
    <row r="1769" spans="1:7" ht="12" x14ac:dyDescent="0.25">
      <c r="A1769" s="367" t="s">
        <v>325</v>
      </c>
      <c r="B1769" s="367" t="s">
        <v>325</v>
      </c>
      <c r="C1769" s="367">
        <v>2</v>
      </c>
      <c r="D1769" s="368" t="s">
        <v>207</v>
      </c>
      <c r="E1769" s="369" t="s">
        <v>207</v>
      </c>
      <c r="F1769" s="370" t="s">
        <v>2484</v>
      </c>
      <c r="G1769" s="371" t="s">
        <v>2540</v>
      </c>
    </row>
    <row r="1770" spans="1:7" ht="12" x14ac:dyDescent="0.25">
      <c r="A1770" s="367" t="s">
        <v>325</v>
      </c>
      <c r="B1770" s="367" t="s">
        <v>325</v>
      </c>
      <c r="C1770" s="367">
        <v>2</v>
      </c>
      <c r="D1770" s="368" t="s">
        <v>208</v>
      </c>
      <c r="E1770" s="369" t="s">
        <v>208</v>
      </c>
      <c r="F1770" s="370" t="s">
        <v>2485</v>
      </c>
      <c r="G1770" s="371" t="s">
        <v>2541</v>
      </c>
    </row>
    <row r="1771" spans="1:7" ht="12" x14ac:dyDescent="0.25">
      <c r="A1771" s="367" t="s">
        <v>325</v>
      </c>
      <c r="B1771" s="367" t="s">
        <v>325</v>
      </c>
      <c r="C1771" s="367">
        <v>2</v>
      </c>
      <c r="D1771" s="368" t="s">
        <v>209</v>
      </c>
      <c r="E1771" s="369" t="s">
        <v>209</v>
      </c>
      <c r="F1771" s="370" t="s">
        <v>2486</v>
      </c>
      <c r="G1771" s="371" t="s">
        <v>2542</v>
      </c>
    </row>
    <row r="1772" spans="1:7" ht="12" x14ac:dyDescent="0.25">
      <c r="A1772" s="367" t="s">
        <v>325</v>
      </c>
      <c r="B1772" s="367" t="s">
        <v>325</v>
      </c>
      <c r="C1772" s="367">
        <v>2</v>
      </c>
      <c r="D1772" s="368" t="s">
        <v>149</v>
      </c>
      <c r="E1772" s="369" t="s">
        <v>149</v>
      </c>
      <c r="F1772" s="370" t="s">
        <v>2487</v>
      </c>
      <c r="G1772" s="371" t="s">
        <v>2543</v>
      </c>
    </row>
    <row r="1773" spans="1:7" ht="12" x14ac:dyDescent="0.25">
      <c r="A1773" s="367" t="s">
        <v>325</v>
      </c>
      <c r="B1773" s="367" t="s">
        <v>325</v>
      </c>
      <c r="C1773" s="367">
        <v>2</v>
      </c>
      <c r="D1773" s="368" t="s">
        <v>191</v>
      </c>
      <c r="E1773" s="369" t="s">
        <v>191</v>
      </c>
      <c r="F1773" s="370" t="s">
        <v>343</v>
      </c>
      <c r="G1773" s="371" t="s">
        <v>2083</v>
      </c>
    </row>
    <row r="1774" spans="1:7" ht="12" x14ac:dyDescent="0.25">
      <c r="A1774" s="367" t="s">
        <v>325</v>
      </c>
      <c r="B1774" s="367" t="s">
        <v>325</v>
      </c>
      <c r="C1774" s="367">
        <v>2</v>
      </c>
      <c r="D1774" s="368" t="s">
        <v>210</v>
      </c>
      <c r="E1774" s="369" t="s">
        <v>210</v>
      </c>
      <c r="F1774" s="370" t="s">
        <v>346</v>
      </c>
      <c r="G1774" s="371" t="s">
        <v>347</v>
      </c>
    </row>
    <row r="1775" spans="1:7" ht="12" x14ac:dyDescent="0.25">
      <c r="A1775" s="367" t="s">
        <v>325</v>
      </c>
      <c r="B1775" s="367" t="s">
        <v>325</v>
      </c>
      <c r="C1775" s="367">
        <v>2</v>
      </c>
      <c r="D1775" s="368" t="s">
        <v>192</v>
      </c>
      <c r="E1775" s="369" t="s">
        <v>192</v>
      </c>
      <c r="F1775" s="370" t="s">
        <v>348</v>
      </c>
      <c r="G1775" s="371" t="s">
        <v>192</v>
      </c>
    </row>
    <row r="1776" spans="1:7" ht="12" x14ac:dyDescent="0.25">
      <c r="A1776" s="367" t="s">
        <v>325</v>
      </c>
      <c r="B1776" s="367" t="s">
        <v>325</v>
      </c>
      <c r="C1776" s="367">
        <v>2</v>
      </c>
      <c r="D1776" s="368" t="s">
        <v>211</v>
      </c>
      <c r="E1776" s="369" t="s">
        <v>211</v>
      </c>
      <c r="F1776" s="370" t="s">
        <v>2085</v>
      </c>
      <c r="G1776" s="371" t="s">
        <v>349</v>
      </c>
    </row>
    <row r="1777" spans="1:17" ht="12" x14ac:dyDescent="0.25">
      <c r="A1777" s="367" t="s">
        <v>325</v>
      </c>
      <c r="B1777" s="367" t="s">
        <v>325</v>
      </c>
      <c r="C1777" s="367">
        <v>2</v>
      </c>
      <c r="D1777" s="368" t="s">
        <v>193</v>
      </c>
      <c r="E1777" s="369" t="s">
        <v>193</v>
      </c>
      <c r="F1777" s="370" t="s">
        <v>350</v>
      </c>
      <c r="G1777" s="371" t="s">
        <v>2086</v>
      </c>
    </row>
    <row r="1778" spans="1:17" ht="12" x14ac:dyDescent="0.25">
      <c r="A1778" s="367" t="s">
        <v>325</v>
      </c>
      <c r="B1778" s="367" t="s">
        <v>325</v>
      </c>
      <c r="C1778" s="367">
        <v>2</v>
      </c>
      <c r="D1778" s="368" t="s">
        <v>220</v>
      </c>
      <c r="E1778" s="369" t="s">
        <v>220</v>
      </c>
      <c r="F1778" s="370" t="s">
        <v>2492</v>
      </c>
      <c r="G1778" s="371" t="s">
        <v>2548</v>
      </c>
    </row>
    <row r="1779" spans="1:17" ht="12" x14ac:dyDescent="0.25">
      <c r="A1779" s="367" t="s">
        <v>325</v>
      </c>
      <c r="B1779" s="367" t="s">
        <v>325</v>
      </c>
      <c r="C1779" s="367">
        <v>2</v>
      </c>
      <c r="D1779" s="368" t="s">
        <v>218</v>
      </c>
      <c r="E1779" s="369" t="s">
        <v>218</v>
      </c>
      <c r="F1779" s="370" t="s">
        <v>2489</v>
      </c>
      <c r="G1779" s="371" t="s">
        <v>2545</v>
      </c>
    </row>
    <row r="1780" spans="1:17" ht="12" x14ac:dyDescent="0.25">
      <c r="A1780" s="367" t="s">
        <v>325</v>
      </c>
      <c r="B1780" s="367" t="s">
        <v>325</v>
      </c>
      <c r="C1780" s="367">
        <v>2</v>
      </c>
      <c r="D1780" s="368" t="s">
        <v>194</v>
      </c>
      <c r="E1780" s="369" t="s">
        <v>194</v>
      </c>
      <c r="F1780" s="370" t="s">
        <v>2112</v>
      </c>
      <c r="G1780" s="371" t="s">
        <v>2113</v>
      </c>
    </row>
    <row r="1781" spans="1:17" ht="12" x14ac:dyDescent="0.25">
      <c r="A1781" s="367" t="s">
        <v>325</v>
      </c>
      <c r="B1781" s="367" t="s">
        <v>325</v>
      </c>
      <c r="C1781" s="367">
        <v>2</v>
      </c>
      <c r="D1781" s="368" t="s">
        <v>195</v>
      </c>
      <c r="E1781" s="369" t="s">
        <v>195</v>
      </c>
      <c r="F1781" s="370" t="s">
        <v>2114</v>
      </c>
      <c r="G1781" s="371" t="s">
        <v>2115</v>
      </c>
    </row>
    <row r="1782" spans="1:17" ht="12" x14ac:dyDescent="0.3">
      <c r="A1782" s="367" t="s">
        <v>325</v>
      </c>
      <c r="B1782" s="367" t="s">
        <v>325</v>
      </c>
      <c r="C1782" s="367">
        <v>2</v>
      </c>
      <c r="D1782" s="376" t="s">
        <v>196</v>
      </c>
      <c r="E1782" s="369" t="s">
        <v>196</v>
      </c>
      <c r="F1782" s="370" t="s">
        <v>2116</v>
      </c>
      <c r="G1782" s="371" t="s">
        <v>2117</v>
      </c>
    </row>
    <row r="1783" spans="1:17" ht="12" x14ac:dyDescent="0.3">
      <c r="A1783" s="367" t="s">
        <v>325</v>
      </c>
      <c r="B1783" s="367" t="s">
        <v>325</v>
      </c>
      <c r="C1783" s="367">
        <v>2</v>
      </c>
      <c r="D1783" s="375" t="s">
        <v>197</v>
      </c>
      <c r="E1783" s="369" t="s">
        <v>197</v>
      </c>
      <c r="F1783" s="370" t="s">
        <v>2118</v>
      </c>
      <c r="G1783" s="371" t="s">
        <v>2119</v>
      </c>
      <c r="H1783" s="141"/>
      <c r="I1783" s="141"/>
      <c r="J1783" s="141"/>
      <c r="K1783" s="141"/>
      <c r="L1783" s="141"/>
      <c r="M1783" s="141"/>
      <c r="N1783" s="141"/>
      <c r="O1783" s="141"/>
      <c r="P1783" s="141"/>
      <c r="Q1783" s="141"/>
    </row>
    <row r="1784" spans="1:17" ht="12" x14ac:dyDescent="0.3">
      <c r="A1784" s="367" t="s">
        <v>325</v>
      </c>
      <c r="B1784" s="367" t="s">
        <v>325</v>
      </c>
      <c r="C1784" s="367">
        <v>2</v>
      </c>
      <c r="D1784" s="376" t="s">
        <v>146</v>
      </c>
      <c r="E1784" s="369" t="s">
        <v>146</v>
      </c>
      <c r="F1784" s="370" t="s">
        <v>2120</v>
      </c>
      <c r="G1784" s="371" t="s">
        <v>360</v>
      </c>
    </row>
    <row r="1785" spans="1:17" ht="12" x14ac:dyDescent="0.3">
      <c r="A1785" s="367" t="s">
        <v>325</v>
      </c>
      <c r="B1785" s="367" t="s">
        <v>325</v>
      </c>
      <c r="C1785" s="367">
        <v>2</v>
      </c>
      <c r="D1785" s="376" t="s">
        <v>218</v>
      </c>
      <c r="E1785" s="369" t="s">
        <v>218</v>
      </c>
      <c r="F1785" s="370" t="s">
        <v>2489</v>
      </c>
      <c r="G1785" s="371" t="s">
        <v>2545</v>
      </c>
    </row>
    <row r="1786" spans="1:17" ht="12" x14ac:dyDescent="0.3">
      <c r="A1786" s="367" t="s">
        <v>325</v>
      </c>
      <c r="B1786" s="367" t="s">
        <v>325</v>
      </c>
      <c r="C1786" s="367">
        <v>2</v>
      </c>
      <c r="D1786" s="376" t="s">
        <v>198</v>
      </c>
      <c r="E1786" s="369" t="s">
        <v>198</v>
      </c>
      <c r="F1786" s="370" t="s">
        <v>2121</v>
      </c>
      <c r="G1786" s="371" t="s">
        <v>2122</v>
      </c>
    </row>
    <row r="1787" spans="1:17" ht="12" x14ac:dyDescent="0.3">
      <c r="A1787" s="367" t="s">
        <v>325</v>
      </c>
      <c r="B1787" s="367" t="s">
        <v>325</v>
      </c>
      <c r="C1787" s="367">
        <v>2</v>
      </c>
      <c r="D1787" s="376" t="s">
        <v>199</v>
      </c>
      <c r="E1787" s="369" t="s">
        <v>199</v>
      </c>
      <c r="F1787" s="370" t="s">
        <v>2123</v>
      </c>
      <c r="G1787" s="371" t="s">
        <v>2124</v>
      </c>
    </row>
    <row r="1788" spans="1:17" ht="12" x14ac:dyDescent="0.3">
      <c r="A1788" s="367" t="s">
        <v>325</v>
      </c>
      <c r="B1788" s="367" t="s">
        <v>325</v>
      </c>
      <c r="C1788" s="367">
        <v>2</v>
      </c>
      <c r="D1788" s="376" t="s">
        <v>200</v>
      </c>
      <c r="E1788" s="369" t="s">
        <v>200</v>
      </c>
      <c r="F1788" s="370" t="s">
        <v>2125</v>
      </c>
      <c r="G1788" s="371" t="s">
        <v>2126</v>
      </c>
    </row>
    <row r="1789" spans="1:17" ht="12" x14ac:dyDescent="0.3">
      <c r="A1789" s="367" t="s">
        <v>325</v>
      </c>
      <c r="B1789" s="367" t="s">
        <v>325</v>
      </c>
      <c r="C1789" s="367">
        <v>2</v>
      </c>
      <c r="D1789" s="376" t="s">
        <v>201</v>
      </c>
      <c r="E1789" s="369" t="s">
        <v>201</v>
      </c>
      <c r="F1789" s="370" t="s">
        <v>2127</v>
      </c>
      <c r="G1789" s="371" t="s">
        <v>2128</v>
      </c>
    </row>
    <row r="1790" spans="1:17" ht="12" x14ac:dyDescent="0.3">
      <c r="A1790" s="367" t="s">
        <v>325</v>
      </c>
      <c r="B1790" s="367" t="s">
        <v>325</v>
      </c>
      <c r="C1790" s="367">
        <v>2</v>
      </c>
      <c r="D1790" s="376" t="s">
        <v>147</v>
      </c>
      <c r="E1790" s="369" t="s">
        <v>147</v>
      </c>
      <c r="F1790" s="370" t="s">
        <v>2129</v>
      </c>
      <c r="G1790" s="371" t="s">
        <v>361</v>
      </c>
    </row>
    <row r="1791" spans="1:17" ht="12" x14ac:dyDescent="0.3">
      <c r="A1791" s="367" t="s">
        <v>325</v>
      </c>
      <c r="B1791" s="367" t="s">
        <v>325</v>
      </c>
      <c r="C1791" s="367">
        <v>2</v>
      </c>
      <c r="D1791" s="376" t="s">
        <v>218</v>
      </c>
      <c r="E1791" s="369" t="s">
        <v>218</v>
      </c>
      <c r="F1791" s="370" t="s">
        <v>2489</v>
      </c>
      <c r="G1791" s="371" t="s">
        <v>2545</v>
      </c>
    </row>
    <row r="1792" spans="1:17" ht="12" x14ac:dyDescent="0.3">
      <c r="A1792" s="367" t="s">
        <v>325</v>
      </c>
      <c r="B1792" s="367" t="s">
        <v>325</v>
      </c>
      <c r="C1792" s="367">
        <v>2</v>
      </c>
      <c r="D1792" s="376" t="s">
        <v>202</v>
      </c>
      <c r="E1792" s="369" t="s">
        <v>202</v>
      </c>
      <c r="F1792" s="370" t="s">
        <v>2130</v>
      </c>
      <c r="G1792" s="371" t="s">
        <v>2131</v>
      </c>
    </row>
    <row r="1793" spans="1:7" ht="12" x14ac:dyDescent="0.3">
      <c r="A1793" s="367" t="s">
        <v>325</v>
      </c>
      <c r="B1793" s="367" t="s">
        <v>325</v>
      </c>
      <c r="C1793" s="367">
        <v>2</v>
      </c>
      <c r="D1793" s="376" t="s">
        <v>203</v>
      </c>
      <c r="E1793" s="369" t="s">
        <v>203</v>
      </c>
      <c r="F1793" s="370" t="s">
        <v>2132</v>
      </c>
      <c r="G1793" s="371" t="s">
        <v>2133</v>
      </c>
    </row>
    <row r="1794" spans="1:7" ht="12" x14ac:dyDescent="0.3">
      <c r="A1794" s="367" t="s">
        <v>325</v>
      </c>
      <c r="B1794" s="367" t="s">
        <v>325</v>
      </c>
      <c r="C1794" s="367">
        <v>2</v>
      </c>
      <c r="D1794" s="376" t="s">
        <v>204</v>
      </c>
      <c r="E1794" s="369" t="s">
        <v>204</v>
      </c>
      <c r="F1794" s="370" t="s">
        <v>2134</v>
      </c>
      <c r="G1794" s="371" t="s">
        <v>2135</v>
      </c>
    </row>
    <row r="1795" spans="1:7" ht="12" x14ac:dyDescent="0.3">
      <c r="A1795" s="367" t="s">
        <v>325</v>
      </c>
      <c r="B1795" s="367" t="s">
        <v>325</v>
      </c>
      <c r="C1795" s="367">
        <v>2</v>
      </c>
      <c r="D1795" s="376" t="s">
        <v>205</v>
      </c>
      <c r="E1795" s="369" t="s">
        <v>205</v>
      </c>
      <c r="F1795" s="370" t="s">
        <v>2136</v>
      </c>
      <c r="G1795" s="371" t="s">
        <v>2137</v>
      </c>
    </row>
    <row r="1796" spans="1:7" ht="12" x14ac:dyDescent="0.3">
      <c r="A1796" s="367" t="s">
        <v>325</v>
      </c>
      <c r="B1796" s="367" t="s">
        <v>325</v>
      </c>
      <c r="C1796" s="367">
        <v>2</v>
      </c>
      <c r="D1796" s="376" t="s">
        <v>148</v>
      </c>
      <c r="E1796" s="369" t="s">
        <v>148</v>
      </c>
      <c r="F1796" s="370" t="s">
        <v>2138</v>
      </c>
      <c r="G1796" s="371" t="s">
        <v>362</v>
      </c>
    </row>
    <row r="1797" spans="1:7" ht="12" x14ac:dyDescent="0.3">
      <c r="A1797" s="367" t="s">
        <v>325</v>
      </c>
      <c r="B1797" s="367" t="s">
        <v>325</v>
      </c>
      <c r="C1797" s="367">
        <v>2</v>
      </c>
      <c r="D1797" s="376" t="s">
        <v>218</v>
      </c>
      <c r="E1797" s="369" t="s">
        <v>218</v>
      </c>
      <c r="F1797" s="370" t="s">
        <v>2489</v>
      </c>
      <c r="G1797" s="371" t="s">
        <v>2545</v>
      </c>
    </row>
    <row r="1798" spans="1:7" ht="12" x14ac:dyDescent="0.3">
      <c r="A1798" s="367" t="s">
        <v>325</v>
      </c>
      <c r="B1798" s="367" t="s">
        <v>325</v>
      </c>
      <c r="C1798" s="367">
        <v>2</v>
      </c>
      <c r="D1798" s="376" t="s">
        <v>206</v>
      </c>
      <c r="E1798" s="369" t="s">
        <v>206</v>
      </c>
      <c r="F1798" s="370" t="s">
        <v>2483</v>
      </c>
      <c r="G1798" s="371" t="s">
        <v>2539</v>
      </c>
    </row>
    <row r="1799" spans="1:7" ht="12" x14ac:dyDescent="0.3">
      <c r="A1799" s="367" t="s">
        <v>325</v>
      </c>
      <c r="B1799" s="367" t="s">
        <v>325</v>
      </c>
      <c r="C1799" s="367">
        <v>2</v>
      </c>
      <c r="D1799" s="376" t="s">
        <v>207</v>
      </c>
      <c r="E1799" s="369" t="s">
        <v>207</v>
      </c>
      <c r="F1799" s="370" t="s">
        <v>2484</v>
      </c>
      <c r="G1799" s="371" t="s">
        <v>2540</v>
      </c>
    </row>
    <row r="1800" spans="1:7" ht="12" x14ac:dyDescent="0.3">
      <c r="A1800" s="367" t="s">
        <v>325</v>
      </c>
      <c r="B1800" s="367" t="s">
        <v>325</v>
      </c>
      <c r="C1800" s="367">
        <v>2</v>
      </c>
      <c r="D1800" s="376" t="s">
        <v>208</v>
      </c>
      <c r="E1800" s="369" t="s">
        <v>208</v>
      </c>
      <c r="F1800" s="370" t="s">
        <v>2485</v>
      </c>
      <c r="G1800" s="371" t="s">
        <v>2541</v>
      </c>
    </row>
    <row r="1801" spans="1:7" ht="12" x14ac:dyDescent="0.3">
      <c r="A1801" s="367" t="s">
        <v>325</v>
      </c>
      <c r="B1801" s="367" t="s">
        <v>325</v>
      </c>
      <c r="C1801" s="367">
        <v>2</v>
      </c>
      <c r="D1801" s="376" t="s">
        <v>209</v>
      </c>
      <c r="E1801" s="369" t="s">
        <v>209</v>
      </c>
      <c r="F1801" s="370" t="s">
        <v>2486</v>
      </c>
      <c r="G1801" s="371" t="s">
        <v>2542</v>
      </c>
    </row>
    <row r="1802" spans="1:7" ht="12" x14ac:dyDescent="0.3">
      <c r="A1802" s="367" t="s">
        <v>325</v>
      </c>
      <c r="B1802" s="367" t="s">
        <v>325</v>
      </c>
      <c r="C1802" s="367">
        <v>2</v>
      </c>
      <c r="D1802" s="376" t="s">
        <v>149</v>
      </c>
      <c r="E1802" s="369" t="s">
        <v>149</v>
      </c>
      <c r="F1802" s="370" t="s">
        <v>2487</v>
      </c>
      <c r="G1802" s="371" t="s">
        <v>2543</v>
      </c>
    </row>
    <row r="1803" spans="1:7" ht="12" x14ac:dyDescent="0.3">
      <c r="A1803" s="367" t="s">
        <v>325</v>
      </c>
      <c r="B1803" s="367" t="s">
        <v>325</v>
      </c>
      <c r="C1803" s="367">
        <v>2</v>
      </c>
      <c r="D1803" s="376" t="s">
        <v>191</v>
      </c>
      <c r="E1803" s="369" t="s">
        <v>191</v>
      </c>
      <c r="F1803" s="370" t="s">
        <v>343</v>
      </c>
      <c r="G1803" s="371" t="s">
        <v>2083</v>
      </c>
    </row>
    <row r="1804" spans="1:7" ht="12" x14ac:dyDescent="0.3">
      <c r="A1804" s="367" t="s">
        <v>325</v>
      </c>
      <c r="B1804" s="367" t="s">
        <v>325</v>
      </c>
      <c r="C1804" s="367">
        <v>2</v>
      </c>
      <c r="D1804" s="376" t="s">
        <v>210</v>
      </c>
      <c r="E1804" s="369" t="s">
        <v>210</v>
      </c>
      <c r="F1804" s="370" t="s">
        <v>346</v>
      </c>
      <c r="G1804" s="371" t="s">
        <v>347</v>
      </c>
    </row>
    <row r="1805" spans="1:7" ht="12" x14ac:dyDescent="0.3">
      <c r="A1805" s="367" t="s">
        <v>325</v>
      </c>
      <c r="B1805" s="367" t="s">
        <v>325</v>
      </c>
      <c r="C1805" s="367">
        <v>2</v>
      </c>
      <c r="D1805" s="376" t="s">
        <v>192</v>
      </c>
      <c r="E1805" s="369" t="s">
        <v>192</v>
      </c>
      <c r="F1805" s="370" t="s">
        <v>348</v>
      </c>
      <c r="G1805" s="371" t="s">
        <v>192</v>
      </c>
    </row>
    <row r="1806" spans="1:7" ht="12" x14ac:dyDescent="0.3">
      <c r="A1806" s="367" t="s">
        <v>325</v>
      </c>
      <c r="B1806" s="367" t="s">
        <v>325</v>
      </c>
      <c r="C1806" s="367">
        <v>2</v>
      </c>
      <c r="D1806" s="376" t="s">
        <v>211</v>
      </c>
      <c r="E1806" s="369" t="s">
        <v>211</v>
      </c>
      <c r="F1806" s="370" t="s">
        <v>2085</v>
      </c>
      <c r="G1806" s="371" t="s">
        <v>349</v>
      </c>
    </row>
    <row r="1807" spans="1:7" ht="12" x14ac:dyDescent="0.3">
      <c r="A1807" s="367" t="s">
        <v>325</v>
      </c>
      <c r="B1807" s="367" t="s">
        <v>325</v>
      </c>
      <c r="C1807" s="367">
        <v>2</v>
      </c>
      <c r="D1807" s="376" t="s">
        <v>193</v>
      </c>
      <c r="E1807" s="369" t="s">
        <v>193</v>
      </c>
      <c r="F1807" s="370" t="s">
        <v>350</v>
      </c>
      <c r="G1807" s="371" t="s">
        <v>2086</v>
      </c>
    </row>
    <row r="1808" spans="1:7" ht="12" x14ac:dyDescent="0.3">
      <c r="A1808" s="367" t="s">
        <v>325</v>
      </c>
      <c r="B1808" s="367" t="s">
        <v>325</v>
      </c>
      <c r="C1808" s="367">
        <v>2</v>
      </c>
      <c r="D1808" s="376" t="s">
        <v>220</v>
      </c>
      <c r="E1808" s="369" t="s">
        <v>220</v>
      </c>
      <c r="F1808" s="370" t="s">
        <v>2492</v>
      </c>
      <c r="G1808" s="371" t="s">
        <v>2548</v>
      </c>
    </row>
    <row r="1809" spans="1:7" ht="12" x14ac:dyDescent="0.3">
      <c r="A1809" s="367" t="s">
        <v>325</v>
      </c>
      <c r="B1809" s="367" t="s">
        <v>325</v>
      </c>
      <c r="C1809" s="367">
        <v>2</v>
      </c>
      <c r="D1809" s="376" t="s">
        <v>224</v>
      </c>
      <c r="E1809" s="369" t="s">
        <v>224</v>
      </c>
      <c r="F1809" s="370" t="s">
        <v>2494</v>
      </c>
      <c r="G1809" s="371" t="s">
        <v>2550</v>
      </c>
    </row>
    <row r="1810" spans="1:7" ht="12" x14ac:dyDescent="0.3">
      <c r="A1810" s="367" t="s">
        <v>325</v>
      </c>
      <c r="B1810" s="367" t="s">
        <v>325</v>
      </c>
      <c r="C1810" s="367">
        <v>2</v>
      </c>
      <c r="D1810" s="376" t="s">
        <v>194</v>
      </c>
      <c r="E1810" s="369" t="s">
        <v>194</v>
      </c>
      <c r="F1810" s="370" t="s">
        <v>2112</v>
      </c>
      <c r="G1810" s="371" t="s">
        <v>2113</v>
      </c>
    </row>
    <row r="1811" spans="1:7" ht="12" x14ac:dyDescent="0.3">
      <c r="A1811" s="367" t="s">
        <v>325</v>
      </c>
      <c r="B1811" s="367" t="s">
        <v>325</v>
      </c>
      <c r="C1811" s="367">
        <v>2</v>
      </c>
      <c r="D1811" s="376" t="s">
        <v>195</v>
      </c>
      <c r="E1811" s="369" t="s">
        <v>195</v>
      </c>
      <c r="F1811" s="370" t="s">
        <v>2114</v>
      </c>
      <c r="G1811" s="371" t="s">
        <v>2115</v>
      </c>
    </row>
    <row r="1812" spans="1:7" ht="12" x14ac:dyDescent="0.3">
      <c r="A1812" s="367" t="s">
        <v>325</v>
      </c>
      <c r="B1812" s="367" t="s">
        <v>325</v>
      </c>
      <c r="C1812" s="367">
        <v>2</v>
      </c>
      <c r="D1812" s="376" t="s">
        <v>196</v>
      </c>
      <c r="E1812" s="369" t="s">
        <v>196</v>
      </c>
      <c r="F1812" s="370" t="s">
        <v>2116</v>
      </c>
      <c r="G1812" s="371" t="s">
        <v>2117</v>
      </c>
    </row>
    <row r="1813" spans="1:7" ht="12" x14ac:dyDescent="0.3">
      <c r="A1813" s="367" t="s">
        <v>325</v>
      </c>
      <c r="B1813" s="367" t="s">
        <v>325</v>
      </c>
      <c r="C1813" s="367">
        <v>2</v>
      </c>
      <c r="D1813" s="376" t="s">
        <v>197</v>
      </c>
      <c r="E1813" s="369" t="s">
        <v>197</v>
      </c>
      <c r="F1813" s="370" t="s">
        <v>2118</v>
      </c>
      <c r="G1813" s="371" t="s">
        <v>2119</v>
      </c>
    </row>
    <row r="1814" spans="1:7" ht="12" x14ac:dyDescent="0.3">
      <c r="A1814" s="367" t="s">
        <v>325</v>
      </c>
      <c r="B1814" s="367" t="s">
        <v>325</v>
      </c>
      <c r="C1814" s="367">
        <v>2</v>
      </c>
      <c r="D1814" s="376" t="s">
        <v>146</v>
      </c>
      <c r="E1814" s="369" t="s">
        <v>146</v>
      </c>
      <c r="F1814" s="370" t="s">
        <v>2120</v>
      </c>
      <c r="G1814" s="371" t="s">
        <v>360</v>
      </c>
    </row>
    <row r="1815" spans="1:7" ht="12" x14ac:dyDescent="0.3">
      <c r="A1815" s="367" t="s">
        <v>325</v>
      </c>
      <c r="B1815" s="367" t="s">
        <v>325</v>
      </c>
      <c r="C1815" s="367">
        <v>2</v>
      </c>
      <c r="D1815" s="376" t="s">
        <v>224</v>
      </c>
      <c r="E1815" s="369" t="s">
        <v>224</v>
      </c>
      <c r="F1815" s="370" t="s">
        <v>2494</v>
      </c>
      <c r="G1815" s="371" t="s">
        <v>2550</v>
      </c>
    </row>
    <row r="1816" spans="1:7" ht="12" x14ac:dyDescent="0.3">
      <c r="A1816" s="367" t="s">
        <v>325</v>
      </c>
      <c r="B1816" s="367" t="s">
        <v>325</v>
      </c>
      <c r="C1816" s="367">
        <v>2</v>
      </c>
      <c r="D1816" s="376" t="s">
        <v>198</v>
      </c>
      <c r="E1816" s="369" t="s">
        <v>198</v>
      </c>
      <c r="F1816" s="370" t="s">
        <v>2121</v>
      </c>
      <c r="G1816" s="371" t="s">
        <v>2122</v>
      </c>
    </row>
    <row r="1817" spans="1:7" ht="12" x14ac:dyDescent="0.3">
      <c r="A1817" s="367" t="s">
        <v>325</v>
      </c>
      <c r="B1817" s="367" t="s">
        <v>325</v>
      </c>
      <c r="C1817" s="367">
        <v>2</v>
      </c>
      <c r="D1817" s="376" t="s">
        <v>199</v>
      </c>
      <c r="E1817" s="369" t="s">
        <v>199</v>
      </c>
      <c r="F1817" s="370" t="s">
        <v>2123</v>
      </c>
      <c r="G1817" s="371" t="s">
        <v>2124</v>
      </c>
    </row>
    <row r="1818" spans="1:7" ht="12" x14ac:dyDescent="0.3">
      <c r="A1818" s="367" t="s">
        <v>325</v>
      </c>
      <c r="B1818" s="367" t="s">
        <v>325</v>
      </c>
      <c r="C1818" s="367">
        <v>2</v>
      </c>
      <c r="D1818" s="376" t="s">
        <v>200</v>
      </c>
      <c r="E1818" s="369" t="s">
        <v>200</v>
      </c>
      <c r="F1818" s="370" t="s">
        <v>2125</v>
      </c>
      <c r="G1818" s="371" t="s">
        <v>2126</v>
      </c>
    </row>
    <row r="1819" spans="1:7" ht="12" x14ac:dyDescent="0.3">
      <c r="A1819" s="367" t="s">
        <v>325</v>
      </c>
      <c r="B1819" s="367" t="s">
        <v>325</v>
      </c>
      <c r="C1819" s="367">
        <v>2</v>
      </c>
      <c r="D1819" s="376" t="s">
        <v>201</v>
      </c>
      <c r="E1819" s="369" t="s">
        <v>201</v>
      </c>
      <c r="F1819" s="370" t="s">
        <v>2127</v>
      </c>
      <c r="G1819" s="371" t="s">
        <v>2128</v>
      </c>
    </row>
    <row r="1820" spans="1:7" ht="12" x14ac:dyDescent="0.3">
      <c r="A1820" s="367" t="s">
        <v>325</v>
      </c>
      <c r="B1820" s="367" t="s">
        <v>325</v>
      </c>
      <c r="C1820" s="367">
        <v>2</v>
      </c>
      <c r="D1820" s="376" t="s">
        <v>147</v>
      </c>
      <c r="E1820" s="369" t="s">
        <v>147</v>
      </c>
      <c r="F1820" s="370" t="s">
        <v>2129</v>
      </c>
      <c r="G1820" s="371" t="s">
        <v>361</v>
      </c>
    </row>
    <row r="1821" spans="1:7" ht="12" x14ac:dyDescent="0.3">
      <c r="A1821" s="367" t="s">
        <v>325</v>
      </c>
      <c r="B1821" s="367" t="s">
        <v>325</v>
      </c>
      <c r="C1821" s="367">
        <v>2</v>
      </c>
      <c r="D1821" s="376" t="s">
        <v>224</v>
      </c>
      <c r="E1821" s="369" t="s">
        <v>224</v>
      </c>
      <c r="F1821" s="370" t="s">
        <v>2494</v>
      </c>
      <c r="G1821" s="371" t="s">
        <v>2550</v>
      </c>
    </row>
    <row r="1822" spans="1:7" ht="12" x14ac:dyDescent="0.3">
      <c r="A1822" s="367" t="s">
        <v>325</v>
      </c>
      <c r="B1822" s="367" t="s">
        <v>325</v>
      </c>
      <c r="C1822" s="367">
        <v>2</v>
      </c>
      <c r="D1822" s="376" t="s">
        <v>202</v>
      </c>
      <c r="E1822" s="369" t="s">
        <v>202</v>
      </c>
      <c r="F1822" s="370" t="s">
        <v>2130</v>
      </c>
      <c r="G1822" s="371" t="s">
        <v>2131</v>
      </c>
    </row>
    <row r="1823" spans="1:7" ht="12" x14ac:dyDescent="0.3">
      <c r="A1823" s="367" t="s">
        <v>325</v>
      </c>
      <c r="B1823" s="367" t="s">
        <v>325</v>
      </c>
      <c r="C1823" s="367">
        <v>2</v>
      </c>
      <c r="D1823" s="376" t="s">
        <v>203</v>
      </c>
      <c r="E1823" s="369" t="s">
        <v>203</v>
      </c>
      <c r="F1823" s="370" t="s">
        <v>2132</v>
      </c>
      <c r="G1823" s="371" t="s">
        <v>2133</v>
      </c>
    </row>
    <row r="1824" spans="1:7" ht="12" x14ac:dyDescent="0.3">
      <c r="A1824" s="367" t="s">
        <v>325</v>
      </c>
      <c r="B1824" s="367" t="s">
        <v>325</v>
      </c>
      <c r="C1824" s="367">
        <v>2</v>
      </c>
      <c r="D1824" s="376" t="s">
        <v>204</v>
      </c>
      <c r="E1824" s="369" t="s">
        <v>204</v>
      </c>
      <c r="F1824" s="370" t="s">
        <v>2134</v>
      </c>
      <c r="G1824" s="371" t="s">
        <v>2135</v>
      </c>
    </row>
    <row r="1825" spans="1:7" ht="12" x14ac:dyDescent="0.3">
      <c r="A1825" s="367" t="s">
        <v>325</v>
      </c>
      <c r="B1825" s="367" t="s">
        <v>325</v>
      </c>
      <c r="C1825" s="367">
        <v>2</v>
      </c>
      <c r="D1825" s="376" t="s">
        <v>205</v>
      </c>
      <c r="E1825" s="369" t="s">
        <v>205</v>
      </c>
      <c r="F1825" s="370" t="s">
        <v>2136</v>
      </c>
      <c r="G1825" s="371" t="s">
        <v>2137</v>
      </c>
    </row>
    <row r="1826" spans="1:7" ht="12" x14ac:dyDescent="0.3">
      <c r="A1826" s="367" t="s">
        <v>325</v>
      </c>
      <c r="B1826" s="367" t="s">
        <v>325</v>
      </c>
      <c r="C1826" s="367">
        <v>2</v>
      </c>
      <c r="D1826" s="376" t="s">
        <v>148</v>
      </c>
      <c r="E1826" s="369" t="s">
        <v>148</v>
      </c>
      <c r="F1826" s="370" t="s">
        <v>2138</v>
      </c>
      <c r="G1826" s="371" t="s">
        <v>362</v>
      </c>
    </row>
    <row r="1827" spans="1:7" ht="12" x14ac:dyDescent="0.3">
      <c r="A1827" s="367" t="s">
        <v>325</v>
      </c>
      <c r="B1827" s="367" t="s">
        <v>325</v>
      </c>
      <c r="C1827" s="367">
        <v>2</v>
      </c>
      <c r="D1827" s="376" t="s">
        <v>224</v>
      </c>
      <c r="E1827" s="369" t="s">
        <v>224</v>
      </c>
      <c r="F1827" s="370" t="s">
        <v>2494</v>
      </c>
      <c r="G1827" s="371" t="s">
        <v>2550</v>
      </c>
    </row>
    <row r="1828" spans="1:7" ht="12" x14ac:dyDescent="0.3">
      <c r="A1828" s="367" t="s">
        <v>325</v>
      </c>
      <c r="B1828" s="367" t="s">
        <v>325</v>
      </c>
      <c r="C1828" s="367">
        <v>2</v>
      </c>
      <c r="D1828" s="376" t="s">
        <v>206</v>
      </c>
      <c r="E1828" s="369" t="s">
        <v>206</v>
      </c>
      <c r="F1828" s="370" t="s">
        <v>2483</v>
      </c>
      <c r="G1828" s="371" t="s">
        <v>2539</v>
      </c>
    </row>
    <row r="1829" spans="1:7" ht="12" x14ac:dyDescent="0.3">
      <c r="A1829" s="367" t="s">
        <v>325</v>
      </c>
      <c r="B1829" s="367" t="s">
        <v>325</v>
      </c>
      <c r="C1829" s="367">
        <v>2</v>
      </c>
      <c r="D1829" s="376" t="s">
        <v>207</v>
      </c>
      <c r="E1829" s="369" t="s">
        <v>207</v>
      </c>
      <c r="F1829" s="370" t="s">
        <v>2484</v>
      </c>
      <c r="G1829" s="371" t="s">
        <v>2540</v>
      </c>
    </row>
    <row r="1830" spans="1:7" ht="12" x14ac:dyDescent="0.3">
      <c r="A1830" s="367" t="s">
        <v>325</v>
      </c>
      <c r="B1830" s="367" t="s">
        <v>325</v>
      </c>
      <c r="C1830" s="367">
        <v>2</v>
      </c>
      <c r="D1830" s="376" t="s">
        <v>208</v>
      </c>
      <c r="E1830" s="369" t="s">
        <v>208</v>
      </c>
      <c r="F1830" s="370" t="s">
        <v>2485</v>
      </c>
      <c r="G1830" s="371" t="s">
        <v>2541</v>
      </c>
    </row>
    <row r="1831" spans="1:7" ht="12" x14ac:dyDescent="0.3">
      <c r="A1831" s="367" t="s">
        <v>325</v>
      </c>
      <c r="B1831" s="367" t="s">
        <v>325</v>
      </c>
      <c r="C1831" s="367">
        <v>2</v>
      </c>
      <c r="D1831" s="376" t="s">
        <v>209</v>
      </c>
      <c r="E1831" s="369" t="s">
        <v>209</v>
      </c>
      <c r="F1831" s="370" t="s">
        <v>2486</v>
      </c>
      <c r="G1831" s="371" t="s">
        <v>2542</v>
      </c>
    </row>
    <row r="1832" spans="1:7" ht="12" x14ac:dyDescent="0.3">
      <c r="A1832" s="367" t="s">
        <v>325</v>
      </c>
      <c r="B1832" s="367" t="s">
        <v>325</v>
      </c>
      <c r="C1832" s="367">
        <v>2</v>
      </c>
      <c r="D1832" s="376" t="s">
        <v>149</v>
      </c>
      <c r="E1832" s="369" t="s">
        <v>149</v>
      </c>
      <c r="F1832" s="370" t="s">
        <v>2487</v>
      </c>
      <c r="G1832" s="371" t="s">
        <v>2543</v>
      </c>
    </row>
    <row r="1833" spans="1:7" ht="12" x14ac:dyDescent="0.3">
      <c r="A1833" s="367" t="s">
        <v>325</v>
      </c>
      <c r="B1833" s="367" t="s">
        <v>325</v>
      </c>
      <c r="C1833" s="367">
        <v>2</v>
      </c>
      <c r="D1833" s="376" t="s">
        <v>191</v>
      </c>
      <c r="E1833" s="369" t="s">
        <v>191</v>
      </c>
      <c r="F1833" s="370" t="s">
        <v>343</v>
      </c>
      <c r="G1833" s="371" t="s">
        <v>2090</v>
      </c>
    </row>
    <row r="1834" spans="1:7" ht="12" x14ac:dyDescent="0.3">
      <c r="A1834" s="367" t="s">
        <v>325</v>
      </c>
      <c r="B1834" s="367" t="s">
        <v>325</v>
      </c>
      <c r="C1834" s="367">
        <v>2</v>
      </c>
      <c r="D1834" s="376" t="s">
        <v>210</v>
      </c>
      <c r="E1834" s="369" t="s">
        <v>210</v>
      </c>
      <c r="F1834" s="370" t="s">
        <v>346</v>
      </c>
      <c r="G1834" s="371" t="s">
        <v>347</v>
      </c>
    </row>
    <row r="1835" spans="1:7" ht="12" x14ac:dyDescent="0.3">
      <c r="A1835" s="367" t="s">
        <v>325</v>
      </c>
      <c r="B1835" s="367" t="s">
        <v>325</v>
      </c>
      <c r="C1835" s="367">
        <v>2</v>
      </c>
      <c r="D1835" s="376" t="s">
        <v>192</v>
      </c>
      <c r="E1835" s="369" t="s">
        <v>192</v>
      </c>
      <c r="F1835" s="370" t="s">
        <v>348</v>
      </c>
      <c r="G1835" s="371" t="s">
        <v>192</v>
      </c>
    </row>
    <row r="1836" spans="1:7" ht="12" x14ac:dyDescent="0.3">
      <c r="A1836" s="367" t="s">
        <v>325</v>
      </c>
      <c r="B1836" s="367" t="s">
        <v>325</v>
      </c>
      <c r="C1836" s="367">
        <v>2</v>
      </c>
      <c r="D1836" s="376" t="s">
        <v>211</v>
      </c>
      <c r="E1836" s="369" t="s">
        <v>211</v>
      </c>
      <c r="F1836" s="370" t="s">
        <v>2085</v>
      </c>
      <c r="G1836" s="371" t="s">
        <v>349</v>
      </c>
    </row>
    <row r="1837" spans="1:7" ht="12" x14ac:dyDescent="0.3">
      <c r="A1837" s="367" t="s">
        <v>325</v>
      </c>
      <c r="B1837" s="367" t="s">
        <v>325</v>
      </c>
      <c r="C1837" s="367">
        <v>2</v>
      </c>
      <c r="D1837" s="376" t="s">
        <v>193</v>
      </c>
      <c r="E1837" s="369" t="s">
        <v>193</v>
      </c>
      <c r="F1837" s="370" t="s">
        <v>350</v>
      </c>
      <c r="G1837" s="371" t="s">
        <v>2086</v>
      </c>
    </row>
    <row r="1838" spans="1:7" ht="12" x14ac:dyDescent="0.3">
      <c r="A1838" s="367" t="s">
        <v>364</v>
      </c>
      <c r="B1838" s="367" t="s">
        <v>364</v>
      </c>
      <c r="C1838" s="367" t="s">
        <v>364</v>
      </c>
      <c r="D1838" s="376" t="s">
        <v>365</v>
      </c>
      <c r="E1838" s="369" t="s">
        <v>365</v>
      </c>
      <c r="F1838" s="370" t="s">
        <v>2139</v>
      </c>
      <c r="G1838" s="371" t="s">
        <v>2140</v>
      </c>
    </row>
    <row r="1839" spans="1:7" ht="12" x14ac:dyDescent="0.3">
      <c r="A1839" s="367" t="s">
        <v>364</v>
      </c>
      <c r="B1839" s="367" t="s">
        <v>364</v>
      </c>
      <c r="C1839" s="367"/>
      <c r="D1839" s="376"/>
      <c r="E1839" s="374"/>
      <c r="F1839" s="374"/>
      <c r="G1839" s="374"/>
    </row>
    <row r="1840" spans="1:7" ht="12" x14ac:dyDescent="0.3">
      <c r="A1840" s="367" t="s">
        <v>562</v>
      </c>
      <c r="B1840" s="367" t="s">
        <v>562</v>
      </c>
      <c r="C1840" s="367" t="s">
        <v>2141</v>
      </c>
      <c r="D1840" s="376" t="s">
        <v>562</v>
      </c>
      <c r="E1840" s="369" t="s">
        <v>562</v>
      </c>
      <c r="F1840" s="370" t="s">
        <v>2495</v>
      </c>
      <c r="G1840" s="371" t="s">
        <v>2551</v>
      </c>
    </row>
    <row r="1841" spans="1:7" ht="180" x14ac:dyDescent="0.3">
      <c r="A1841" s="367" t="s">
        <v>562</v>
      </c>
      <c r="B1841" s="367" t="s">
        <v>562</v>
      </c>
      <c r="C1841" s="367" t="s">
        <v>2422</v>
      </c>
      <c r="D1841" s="375" t="s">
        <v>3662</v>
      </c>
      <c r="E1841" s="369" t="s">
        <v>3788</v>
      </c>
      <c r="F1841" s="370" t="s">
        <v>3720</v>
      </c>
      <c r="G1841" s="371" t="s">
        <v>3721</v>
      </c>
    </row>
    <row r="1842" spans="1:7" ht="12" x14ac:dyDescent="0.3">
      <c r="A1842" s="367" t="s">
        <v>562</v>
      </c>
      <c r="B1842" s="367" t="s">
        <v>562</v>
      </c>
      <c r="C1842" s="367"/>
      <c r="D1842" s="376" t="s">
        <v>4</v>
      </c>
      <c r="E1842" s="369" t="s">
        <v>4</v>
      </c>
      <c r="F1842" s="370" t="s">
        <v>2496</v>
      </c>
      <c r="G1842" s="371" t="s">
        <v>2552</v>
      </c>
    </row>
    <row r="1843" spans="1:7" ht="12" x14ac:dyDescent="0.3">
      <c r="A1843" s="367" t="s">
        <v>562</v>
      </c>
      <c r="B1843" s="367" t="s">
        <v>562</v>
      </c>
      <c r="C1843" s="367"/>
      <c r="D1843" s="376" t="s">
        <v>614</v>
      </c>
      <c r="E1843" s="369" t="s">
        <v>614</v>
      </c>
      <c r="F1843" s="370" t="s">
        <v>2497</v>
      </c>
      <c r="G1843" s="371" t="s">
        <v>614</v>
      </c>
    </row>
    <row r="1844" spans="1:7" ht="12" x14ac:dyDescent="0.3">
      <c r="A1844" s="367" t="s">
        <v>562</v>
      </c>
      <c r="B1844" s="367" t="s">
        <v>562</v>
      </c>
      <c r="C1844" s="367"/>
      <c r="D1844" s="376" t="s">
        <v>615</v>
      </c>
      <c r="E1844" s="369" t="s">
        <v>615</v>
      </c>
      <c r="F1844" s="370" t="s">
        <v>2498</v>
      </c>
      <c r="G1844" s="371" t="s">
        <v>615</v>
      </c>
    </row>
    <row r="1845" spans="1:7" ht="12" x14ac:dyDescent="0.3">
      <c r="A1845" s="367" t="s">
        <v>562</v>
      </c>
      <c r="B1845" s="367" t="s">
        <v>562</v>
      </c>
      <c r="C1845" s="367"/>
      <c r="D1845" s="376" t="s">
        <v>698</v>
      </c>
      <c r="E1845" s="369" t="s">
        <v>698</v>
      </c>
      <c r="F1845" s="370" t="s">
        <v>2499</v>
      </c>
      <c r="G1845" s="371" t="s">
        <v>2553</v>
      </c>
    </row>
    <row r="1846" spans="1:7" ht="12" x14ac:dyDescent="0.3">
      <c r="A1846" s="367" t="s">
        <v>562</v>
      </c>
      <c r="B1846" s="367" t="s">
        <v>562</v>
      </c>
      <c r="C1846" s="367"/>
      <c r="D1846" s="376" t="s">
        <v>616</v>
      </c>
      <c r="E1846" s="369" t="s">
        <v>616</v>
      </c>
      <c r="F1846" s="370" t="s">
        <v>2085</v>
      </c>
      <c r="G1846" s="371" t="s">
        <v>349</v>
      </c>
    </row>
    <row r="1847" spans="1:7" ht="12" x14ac:dyDescent="0.3">
      <c r="A1847" s="367" t="s">
        <v>562</v>
      </c>
      <c r="B1847" s="367" t="s">
        <v>562</v>
      </c>
      <c r="C1847" s="367"/>
      <c r="D1847" s="376" t="s">
        <v>706</v>
      </c>
      <c r="E1847" s="369" t="s">
        <v>706</v>
      </c>
      <c r="F1847" s="370" t="s">
        <v>2500</v>
      </c>
      <c r="G1847" s="371" t="s">
        <v>2554</v>
      </c>
    </row>
    <row r="1848" spans="1:7" ht="12" x14ac:dyDescent="0.3">
      <c r="A1848" s="367" t="s">
        <v>562</v>
      </c>
      <c r="B1848" s="367" t="s">
        <v>562</v>
      </c>
      <c r="C1848" s="367"/>
      <c r="D1848" s="376" t="s">
        <v>699</v>
      </c>
      <c r="E1848" s="369" t="s">
        <v>699</v>
      </c>
      <c r="F1848" s="370" t="s">
        <v>2501</v>
      </c>
      <c r="G1848" s="371" t="s">
        <v>2555</v>
      </c>
    </row>
    <row r="1849" spans="1:7" ht="12" x14ac:dyDescent="0.3">
      <c r="A1849" s="367" t="s">
        <v>562</v>
      </c>
      <c r="B1849" s="367" t="s">
        <v>562</v>
      </c>
      <c r="C1849" s="367"/>
      <c r="D1849" s="376" t="s">
        <v>660</v>
      </c>
      <c r="E1849" s="369" t="s">
        <v>660</v>
      </c>
      <c r="F1849" s="370" t="s">
        <v>2502</v>
      </c>
      <c r="G1849" s="371" t="s">
        <v>2556</v>
      </c>
    </row>
    <row r="1850" spans="1:7" ht="12" x14ac:dyDescent="0.3">
      <c r="A1850" s="367" t="s">
        <v>562</v>
      </c>
      <c r="B1850" s="367" t="s">
        <v>562</v>
      </c>
      <c r="C1850" s="367"/>
      <c r="D1850" s="376" t="s">
        <v>700</v>
      </c>
      <c r="E1850" s="369" t="s">
        <v>700</v>
      </c>
      <c r="F1850" s="370" t="s">
        <v>2503</v>
      </c>
      <c r="G1850" s="371" t="s">
        <v>2557</v>
      </c>
    </row>
    <row r="1851" spans="1:7" ht="12" x14ac:dyDescent="0.3">
      <c r="A1851" s="367" t="s">
        <v>562</v>
      </c>
      <c r="B1851" s="367" t="s">
        <v>562</v>
      </c>
      <c r="C1851" s="367"/>
      <c r="D1851" s="376" t="s">
        <v>64</v>
      </c>
      <c r="E1851" s="369" t="s">
        <v>64</v>
      </c>
      <c r="F1851" s="370" t="s">
        <v>2476</v>
      </c>
      <c r="G1851" s="371" t="s">
        <v>2087</v>
      </c>
    </row>
    <row r="1852" spans="1:7" ht="12" x14ac:dyDescent="0.3">
      <c r="A1852" s="367" t="s">
        <v>562</v>
      </c>
      <c r="B1852" s="367" t="s">
        <v>562</v>
      </c>
      <c r="C1852" s="367"/>
      <c r="D1852" s="376" t="s">
        <v>3052</v>
      </c>
      <c r="E1852" s="369" t="s">
        <v>3052</v>
      </c>
      <c r="F1852" s="370" t="s">
        <v>3722</v>
      </c>
      <c r="G1852" s="371" t="s">
        <v>3723</v>
      </c>
    </row>
    <row r="1853" spans="1:7" ht="12" x14ac:dyDescent="0.3">
      <c r="A1853" s="367" t="s">
        <v>562</v>
      </c>
      <c r="B1853" s="367" t="s">
        <v>562</v>
      </c>
      <c r="C1853" s="367"/>
      <c r="D1853" s="376" t="s">
        <v>3053</v>
      </c>
      <c r="E1853" s="369" t="s">
        <v>3053</v>
      </c>
      <c r="F1853" s="370" t="s">
        <v>3724</v>
      </c>
      <c r="G1853" s="371" t="s">
        <v>3725</v>
      </c>
    </row>
    <row r="1854" spans="1:7" ht="12" x14ac:dyDescent="0.3">
      <c r="A1854" s="367" t="s">
        <v>562</v>
      </c>
      <c r="B1854" s="367" t="s">
        <v>562</v>
      </c>
      <c r="C1854" s="367"/>
      <c r="D1854" s="376" t="s">
        <v>3054</v>
      </c>
      <c r="E1854" s="369" t="s">
        <v>3054</v>
      </c>
      <c r="F1854" s="370" t="s">
        <v>3726</v>
      </c>
      <c r="G1854" s="371" t="s">
        <v>3727</v>
      </c>
    </row>
    <row r="1855" spans="1:7" ht="12" x14ac:dyDescent="0.3">
      <c r="A1855" s="367" t="s">
        <v>562</v>
      </c>
      <c r="B1855" s="367" t="s">
        <v>562</v>
      </c>
      <c r="C1855" s="367"/>
      <c r="D1855" s="376" t="s">
        <v>3055</v>
      </c>
      <c r="E1855" s="369" t="s">
        <v>3055</v>
      </c>
      <c r="F1855" s="370" t="s">
        <v>3728</v>
      </c>
      <c r="G1855" s="371" t="s">
        <v>3729</v>
      </c>
    </row>
    <row r="1856" spans="1:7" ht="12" x14ac:dyDescent="0.3">
      <c r="A1856" s="367" t="s">
        <v>562</v>
      </c>
      <c r="B1856" s="367" t="s">
        <v>562</v>
      </c>
      <c r="C1856" s="367"/>
      <c r="D1856" s="376" t="s">
        <v>713</v>
      </c>
      <c r="E1856" s="369" t="s">
        <v>713</v>
      </c>
      <c r="F1856" s="370" t="s">
        <v>2504</v>
      </c>
      <c r="G1856" s="371" t="s">
        <v>2558</v>
      </c>
    </row>
    <row r="1857" spans="1:7" ht="12" x14ac:dyDescent="0.3">
      <c r="A1857" s="367" t="s">
        <v>562</v>
      </c>
      <c r="B1857" s="367" t="s">
        <v>562</v>
      </c>
      <c r="C1857" s="367"/>
      <c r="D1857" s="376" t="s">
        <v>3056</v>
      </c>
      <c r="E1857" s="369" t="s">
        <v>3056</v>
      </c>
      <c r="F1857" s="370" t="s">
        <v>3730</v>
      </c>
      <c r="G1857" s="371" t="s">
        <v>3731</v>
      </c>
    </row>
    <row r="1858" spans="1:7" ht="12" x14ac:dyDescent="0.3">
      <c r="A1858" s="367" t="s">
        <v>562</v>
      </c>
      <c r="B1858" s="367" t="s">
        <v>562</v>
      </c>
      <c r="C1858" s="367"/>
      <c r="D1858" s="376" t="s">
        <v>3057</v>
      </c>
      <c r="E1858" s="369" t="s">
        <v>3057</v>
      </c>
      <c r="F1858" s="370" t="s">
        <v>3732</v>
      </c>
      <c r="G1858" s="371" t="s">
        <v>3733</v>
      </c>
    </row>
    <row r="1859" spans="1:7" ht="12" x14ac:dyDescent="0.3">
      <c r="A1859" s="367" t="s">
        <v>562</v>
      </c>
      <c r="B1859" s="367" t="s">
        <v>562</v>
      </c>
      <c r="C1859" s="367"/>
      <c r="D1859" s="376" t="s">
        <v>3058</v>
      </c>
      <c r="E1859" s="369" t="s">
        <v>3058</v>
      </c>
      <c r="F1859" s="370" t="s">
        <v>3734</v>
      </c>
      <c r="G1859" s="371" t="s">
        <v>3735</v>
      </c>
    </row>
    <row r="1860" spans="1:7" ht="12" x14ac:dyDescent="0.3">
      <c r="A1860" s="367" t="s">
        <v>562</v>
      </c>
      <c r="B1860" s="367" t="s">
        <v>562</v>
      </c>
      <c r="C1860" s="367"/>
      <c r="D1860" s="376" t="s">
        <v>3059</v>
      </c>
      <c r="E1860" s="369" t="s">
        <v>3059</v>
      </c>
      <c r="F1860" s="370" t="s">
        <v>3736</v>
      </c>
      <c r="G1860" s="371" t="s">
        <v>3737</v>
      </c>
    </row>
    <row r="1861" spans="1:7" ht="12" x14ac:dyDescent="0.3">
      <c r="A1861" s="367" t="s">
        <v>562</v>
      </c>
      <c r="B1861" s="367" t="s">
        <v>562</v>
      </c>
      <c r="C1861" s="367"/>
      <c r="D1861" s="376" t="s">
        <v>714</v>
      </c>
      <c r="E1861" s="369" t="s">
        <v>714</v>
      </c>
      <c r="F1861" s="370" t="s">
        <v>2505</v>
      </c>
      <c r="G1861" s="371" t="s">
        <v>2559</v>
      </c>
    </row>
    <row r="1862" spans="1:7" ht="12" x14ac:dyDescent="0.3">
      <c r="A1862" s="367" t="s">
        <v>562</v>
      </c>
      <c r="B1862" s="367" t="s">
        <v>562</v>
      </c>
      <c r="C1862" s="367"/>
      <c r="D1862" s="376" t="s">
        <v>3060</v>
      </c>
      <c r="E1862" s="369" t="s">
        <v>3060</v>
      </c>
      <c r="F1862" s="370" t="s">
        <v>3738</v>
      </c>
      <c r="G1862" s="371" t="s">
        <v>3739</v>
      </c>
    </row>
    <row r="1863" spans="1:7" ht="12" x14ac:dyDescent="0.3">
      <c r="A1863" s="367" t="s">
        <v>562</v>
      </c>
      <c r="B1863" s="367" t="s">
        <v>562</v>
      </c>
      <c r="C1863" s="367"/>
      <c r="D1863" s="376" t="s">
        <v>3061</v>
      </c>
      <c r="E1863" s="369" t="s">
        <v>3061</v>
      </c>
      <c r="F1863" s="370" t="s">
        <v>3740</v>
      </c>
      <c r="G1863" s="371" t="s">
        <v>3741</v>
      </c>
    </row>
    <row r="1864" spans="1:7" ht="12" x14ac:dyDescent="0.3">
      <c r="A1864" s="367" t="s">
        <v>562</v>
      </c>
      <c r="B1864" s="367" t="s">
        <v>562</v>
      </c>
      <c r="C1864" s="367"/>
      <c r="D1864" s="376" t="s">
        <v>3062</v>
      </c>
      <c r="E1864" s="369" t="s">
        <v>3062</v>
      </c>
      <c r="F1864" s="370" t="s">
        <v>3742</v>
      </c>
      <c r="G1864" s="371" t="s">
        <v>3743</v>
      </c>
    </row>
    <row r="1865" spans="1:7" ht="12" x14ac:dyDescent="0.3">
      <c r="A1865" s="367" t="s">
        <v>562</v>
      </c>
      <c r="B1865" s="367" t="s">
        <v>562</v>
      </c>
      <c r="C1865" s="367"/>
      <c r="D1865" s="376" t="s">
        <v>3063</v>
      </c>
      <c r="E1865" s="369" t="s">
        <v>3063</v>
      </c>
      <c r="F1865" s="370" t="s">
        <v>3744</v>
      </c>
      <c r="G1865" s="371" t="s">
        <v>3745</v>
      </c>
    </row>
    <row r="1866" spans="1:7" ht="12" x14ac:dyDescent="0.3">
      <c r="A1866" s="367" t="s">
        <v>562</v>
      </c>
      <c r="B1866" s="367" t="s">
        <v>562</v>
      </c>
      <c r="C1866" s="367"/>
      <c r="D1866" s="376" t="s">
        <v>715</v>
      </c>
      <c r="E1866" s="369" t="s">
        <v>715</v>
      </c>
      <c r="F1866" s="370" t="s">
        <v>2506</v>
      </c>
      <c r="G1866" s="371" t="s">
        <v>2560</v>
      </c>
    </row>
    <row r="1867" spans="1:7" ht="12" x14ac:dyDescent="0.3">
      <c r="A1867" s="367" t="s">
        <v>562</v>
      </c>
      <c r="B1867" s="367" t="s">
        <v>562</v>
      </c>
      <c r="C1867" s="367"/>
      <c r="D1867" s="376" t="s">
        <v>3064</v>
      </c>
      <c r="E1867" s="369" t="s">
        <v>3064</v>
      </c>
      <c r="F1867" s="370" t="s">
        <v>3746</v>
      </c>
      <c r="G1867" s="371" t="s">
        <v>3747</v>
      </c>
    </row>
    <row r="1868" spans="1:7" ht="12" x14ac:dyDescent="0.3">
      <c r="A1868" s="367" t="s">
        <v>562</v>
      </c>
      <c r="B1868" s="367" t="s">
        <v>562</v>
      </c>
      <c r="C1868" s="367"/>
      <c r="D1868" s="376" t="s">
        <v>3065</v>
      </c>
      <c r="E1868" s="369" t="s">
        <v>3065</v>
      </c>
      <c r="F1868" s="370" t="s">
        <v>3748</v>
      </c>
      <c r="G1868" s="371" t="s">
        <v>3749</v>
      </c>
    </row>
    <row r="1869" spans="1:7" ht="12" x14ac:dyDescent="0.3">
      <c r="A1869" s="367" t="s">
        <v>562</v>
      </c>
      <c r="B1869" s="367" t="s">
        <v>562</v>
      </c>
      <c r="C1869" s="367"/>
      <c r="D1869" s="376" t="s">
        <v>3066</v>
      </c>
      <c r="E1869" s="369" t="s">
        <v>3066</v>
      </c>
      <c r="F1869" s="370" t="s">
        <v>3750</v>
      </c>
      <c r="G1869" s="371" t="s">
        <v>3751</v>
      </c>
    </row>
    <row r="1870" spans="1:7" ht="12" x14ac:dyDescent="0.3">
      <c r="A1870" s="367" t="s">
        <v>562</v>
      </c>
      <c r="B1870" s="367" t="s">
        <v>562</v>
      </c>
      <c r="C1870" s="367"/>
      <c r="D1870" s="376" t="s">
        <v>3067</v>
      </c>
      <c r="E1870" s="369" t="s">
        <v>3067</v>
      </c>
      <c r="F1870" s="370" t="s">
        <v>3752</v>
      </c>
      <c r="G1870" s="371" t="s">
        <v>3753</v>
      </c>
    </row>
    <row r="1871" spans="1:7" ht="12" x14ac:dyDescent="0.3">
      <c r="A1871" s="367" t="s">
        <v>562</v>
      </c>
      <c r="B1871" s="367" t="s">
        <v>562</v>
      </c>
      <c r="C1871" s="367"/>
      <c r="D1871" s="376" t="s">
        <v>716</v>
      </c>
      <c r="E1871" s="369" t="s">
        <v>716</v>
      </c>
      <c r="F1871" s="370" t="s">
        <v>2507</v>
      </c>
      <c r="G1871" s="371" t="s">
        <v>2561</v>
      </c>
    </row>
    <row r="1872" spans="1:7" ht="12" x14ac:dyDescent="0.3">
      <c r="A1872" s="367" t="s">
        <v>562</v>
      </c>
      <c r="B1872" s="367" t="s">
        <v>562</v>
      </c>
      <c r="C1872" s="367"/>
      <c r="D1872" s="376" t="s">
        <v>3069</v>
      </c>
      <c r="E1872" s="369" t="s">
        <v>3069</v>
      </c>
      <c r="F1872" s="370" t="s">
        <v>3754</v>
      </c>
      <c r="G1872" s="371" t="s">
        <v>3755</v>
      </c>
    </row>
    <row r="1873" spans="1:7" ht="12" x14ac:dyDescent="0.3">
      <c r="A1873" s="367" t="s">
        <v>562</v>
      </c>
      <c r="B1873" s="367" t="s">
        <v>562</v>
      </c>
      <c r="C1873" s="367"/>
      <c r="D1873" s="376" t="s">
        <v>3070</v>
      </c>
      <c r="E1873" s="369" t="s">
        <v>3070</v>
      </c>
      <c r="F1873" s="370" t="s">
        <v>3756</v>
      </c>
      <c r="G1873" s="371" t="s">
        <v>3757</v>
      </c>
    </row>
    <row r="1874" spans="1:7" ht="12" x14ac:dyDescent="0.3">
      <c r="A1874" s="367" t="s">
        <v>562</v>
      </c>
      <c r="B1874" s="367" t="s">
        <v>562</v>
      </c>
      <c r="C1874" s="367"/>
      <c r="D1874" s="376" t="s">
        <v>3071</v>
      </c>
      <c r="E1874" s="369" t="s">
        <v>3071</v>
      </c>
      <c r="F1874" s="370" t="s">
        <v>3758</v>
      </c>
      <c r="G1874" s="371" t="s">
        <v>3759</v>
      </c>
    </row>
    <row r="1875" spans="1:7" ht="12" x14ac:dyDescent="0.3">
      <c r="A1875" s="367" t="s">
        <v>562</v>
      </c>
      <c r="B1875" s="367" t="s">
        <v>562</v>
      </c>
      <c r="C1875" s="367"/>
      <c r="D1875" s="376" t="s">
        <v>3072</v>
      </c>
      <c r="E1875" s="369" t="s">
        <v>3072</v>
      </c>
      <c r="F1875" s="370" t="s">
        <v>3760</v>
      </c>
      <c r="G1875" s="371" t="s">
        <v>3761</v>
      </c>
    </row>
    <row r="1876" spans="1:7" ht="12" x14ac:dyDescent="0.3">
      <c r="A1876" s="367" t="s">
        <v>562</v>
      </c>
      <c r="B1876" s="367" t="s">
        <v>562</v>
      </c>
      <c r="C1876" s="367"/>
      <c r="D1876" s="376" t="s">
        <v>3068</v>
      </c>
      <c r="E1876" s="369" t="s">
        <v>3068</v>
      </c>
      <c r="F1876" s="370" t="s">
        <v>3762</v>
      </c>
      <c r="G1876" s="371" t="s">
        <v>3763</v>
      </c>
    </row>
    <row r="1877" spans="1:7" ht="12" x14ac:dyDescent="0.3">
      <c r="A1877" s="367" t="s">
        <v>562</v>
      </c>
      <c r="B1877" s="367" t="s">
        <v>562</v>
      </c>
      <c r="C1877" s="367"/>
      <c r="D1877" s="376" t="s">
        <v>3163</v>
      </c>
      <c r="E1877" s="369" t="s">
        <v>3163</v>
      </c>
      <c r="F1877" s="370" t="s">
        <v>3764</v>
      </c>
      <c r="G1877" s="371" t="s">
        <v>3765</v>
      </c>
    </row>
    <row r="1878" spans="1:7" ht="12" x14ac:dyDescent="0.3">
      <c r="A1878" s="367" t="s">
        <v>562</v>
      </c>
      <c r="B1878" s="367" t="s">
        <v>562</v>
      </c>
      <c r="C1878" s="367"/>
      <c r="D1878" s="376" t="s">
        <v>3164</v>
      </c>
      <c r="E1878" s="369" t="s">
        <v>3164</v>
      </c>
      <c r="F1878" s="370" t="s">
        <v>3766</v>
      </c>
      <c r="G1878" s="371" t="s">
        <v>3767</v>
      </c>
    </row>
    <row r="1879" spans="1:7" ht="12" x14ac:dyDescent="0.3">
      <c r="A1879" s="367" t="s">
        <v>562</v>
      </c>
      <c r="B1879" s="367" t="s">
        <v>562</v>
      </c>
      <c r="C1879" s="367"/>
      <c r="D1879" s="376" t="s">
        <v>3165</v>
      </c>
      <c r="E1879" s="369" t="s">
        <v>3165</v>
      </c>
      <c r="F1879" s="370" t="s">
        <v>3768</v>
      </c>
      <c r="G1879" s="371" t="s">
        <v>3769</v>
      </c>
    </row>
    <row r="1880" spans="1:7" ht="12" x14ac:dyDescent="0.3">
      <c r="A1880" s="367" t="s">
        <v>562</v>
      </c>
      <c r="B1880" s="367" t="s">
        <v>562</v>
      </c>
      <c r="C1880" s="367"/>
      <c r="D1880" s="376" t="s">
        <v>3166</v>
      </c>
      <c r="E1880" s="369" t="s">
        <v>3166</v>
      </c>
      <c r="F1880" s="370" t="s">
        <v>3770</v>
      </c>
      <c r="G1880" s="371" t="s">
        <v>3771</v>
      </c>
    </row>
    <row r="1881" spans="1:7" ht="12" x14ac:dyDescent="0.3">
      <c r="A1881" s="367" t="s">
        <v>562</v>
      </c>
      <c r="B1881" s="367" t="s">
        <v>562</v>
      </c>
      <c r="C1881" s="367"/>
      <c r="D1881" s="376" t="s">
        <v>3162</v>
      </c>
      <c r="E1881" s="369" t="s">
        <v>3162</v>
      </c>
      <c r="F1881" s="370" t="s">
        <v>3772</v>
      </c>
      <c r="G1881" s="371" t="s">
        <v>3773</v>
      </c>
    </row>
    <row r="1882" spans="1:7" ht="12" x14ac:dyDescent="0.3">
      <c r="A1882" s="367" t="s">
        <v>562</v>
      </c>
      <c r="B1882" s="367" t="s">
        <v>562</v>
      </c>
      <c r="C1882" s="367"/>
      <c r="D1882" s="376" t="s">
        <v>2084</v>
      </c>
      <c r="E1882" s="369" t="s">
        <v>2084</v>
      </c>
      <c r="F1882" s="370" t="s">
        <v>3774</v>
      </c>
      <c r="G1882" s="371" t="s">
        <v>3775</v>
      </c>
    </row>
    <row r="1883" spans="1:7" ht="12" x14ac:dyDescent="0.3">
      <c r="A1883" s="367" t="s">
        <v>562</v>
      </c>
      <c r="B1883" s="367" t="s">
        <v>562</v>
      </c>
      <c r="C1883" s="367"/>
      <c r="D1883" s="376"/>
      <c r="E1883" s="374"/>
      <c r="F1883" s="374"/>
      <c r="G1883" s="374"/>
    </row>
    <row r="1884" spans="1:7" ht="72" x14ac:dyDescent="0.3">
      <c r="A1884" s="367" t="s">
        <v>2142</v>
      </c>
      <c r="B1884" s="367" t="s">
        <v>2142</v>
      </c>
      <c r="C1884" s="367" t="s">
        <v>2143</v>
      </c>
      <c r="D1884" s="375" t="s">
        <v>2722</v>
      </c>
      <c r="E1884" s="369" t="s">
        <v>2723</v>
      </c>
      <c r="F1884" s="370" t="s">
        <v>2724</v>
      </c>
      <c r="G1884" s="371" t="s">
        <v>2725</v>
      </c>
    </row>
    <row r="1885" spans="1:7" ht="84" x14ac:dyDescent="0.3">
      <c r="A1885" s="367" t="s">
        <v>2142</v>
      </c>
      <c r="B1885" s="367" t="s">
        <v>2142</v>
      </c>
      <c r="C1885" s="367" t="s">
        <v>2144</v>
      </c>
      <c r="D1885" s="375" t="s">
        <v>2145</v>
      </c>
      <c r="E1885" s="369" t="s">
        <v>2145</v>
      </c>
      <c r="F1885" s="370" t="s">
        <v>2463</v>
      </c>
      <c r="G1885" s="371" t="s">
        <v>2464</v>
      </c>
    </row>
    <row r="1886" spans="1:7" ht="120" x14ac:dyDescent="0.3">
      <c r="A1886" s="367" t="s">
        <v>2142</v>
      </c>
      <c r="B1886" s="367" t="s">
        <v>2142</v>
      </c>
      <c r="C1886" s="367" t="s">
        <v>2146</v>
      </c>
      <c r="D1886" s="375" t="s">
        <v>2147</v>
      </c>
      <c r="E1886" s="369" t="s">
        <v>2147</v>
      </c>
      <c r="F1886" s="370" t="s">
        <v>2465</v>
      </c>
      <c r="G1886" s="371" t="s">
        <v>2466</v>
      </c>
    </row>
    <row r="1887" spans="1:7" ht="12" x14ac:dyDescent="0.3">
      <c r="A1887" s="367" t="s">
        <v>2142</v>
      </c>
      <c r="B1887" s="367" t="s">
        <v>2142</v>
      </c>
      <c r="C1887" s="367"/>
      <c r="D1887" s="376" t="s">
        <v>717</v>
      </c>
      <c r="E1887" s="369" t="s">
        <v>717</v>
      </c>
      <c r="F1887" s="370" t="s">
        <v>2508</v>
      </c>
      <c r="G1887" s="371" t="s">
        <v>2562</v>
      </c>
    </row>
    <row r="1888" spans="1:7" ht="12" x14ac:dyDescent="0.3">
      <c r="A1888" s="367" t="s">
        <v>2142</v>
      </c>
      <c r="B1888" s="367" t="s">
        <v>2142</v>
      </c>
      <c r="C1888" s="367"/>
      <c r="D1888" s="376" t="s">
        <v>56</v>
      </c>
      <c r="E1888" s="369" t="s">
        <v>56</v>
      </c>
      <c r="F1888" s="370" t="s">
        <v>2509</v>
      </c>
      <c r="G1888" s="371" t="s">
        <v>2563</v>
      </c>
    </row>
    <row r="1889" spans="1:7" ht="12" x14ac:dyDescent="0.3">
      <c r="A1889" s="367" t="s">
        <v>2142</v>
      </c>
      <c r="B1889" s="367" t="s">
        <v>2142</v>
      </c>
      <c r="C1889" s="367"/>
      <c r="D1889" s="376" t="s">
        <v>718</v>
      </c>
      <c r="E1889" s="369" t="s">
        <v>718</v>
      </c>
      <c r="F1889" s="370" t="s">
        <v>2510</v>
      </c>
      <c r="G1889" s="371" t="s">
        <v>2564</v>
      </c>
    </row>
    <row r="1890" spans="1:7" ht="12" x14ac:dyDescent="0.3">
      <c r="A1890" s="367" t="s">
        <v>2142</v>
      </c>
      <c r="B1890" s="367" t="s">
        <v>2142</v>
      </c>
      <c r="C1890" s="367"/>
      <c r="D1890" s="376" t="s">
        <v>719</v>
      </c>
      <c r="E1890" s="369" t="s">
        <v>719</v>
      </c>
      <c r="F1890" s="370" t="s">
        <v>2511</v>
      </c>
      <c r="G1890" s="371" t="s">
        <v>2565</v>
      </c>
    </row>
    <row r="1891" spans="1:7" ht="12" x14ac:dyDescent="0.3">
      <c r="A1891" s="367" t="s">
        <v>2142</v>
      </c>
      <c r="B1891" s="367" t="s">
        <v>2142</v>
      </c>
      <c r="C1891" s="367"/>
      <c r="D1891" s="376" t="s">
        <v>720</v>
      </c>
      <c r="E1891" s="369" t="s">
        <v>720</v>
      </c>
      <c r="F1891" s="370" t="s">
        <v>2512</v>
      </c>
      <c r="G1891" s="371" t="s">
        <v>2566</v>
      </c>
    </row>
    <row r="1892" spans="1:7" ht="12" x14ac:dyDescent="0.3">
      <c r="A1892" s="367" t="s">
        <v>2142</v>
      </c>
      <c r="B1892" s="367" t="s">
        <v>2142</v>
      </c>
      <c r="C1892" s="367"/>
      <c r="D1892" s="376" t="s">
        <v>721</v>
      </c>
      <c r="E1892" s="369" t="s">
        <v>721</v>
      </c>
      <c r="F1892" s="370" t="s">
        <v>2513</v>
      </c>
      <c r="G1892" s="371" t="s">
        <v>2567</v>
      </c>
    </row>
    <row r="1893" spans="1:7" ht="12" x14ac:dyDescent="0.3">
      <c r="A1893" s="367" t="s">
        <v>2142</v>
      </c>
      <c r="B1893" s="367" t="s">
        <v>2142</v>
      </c>
      <c r="C1893" s="367"/>
      <c r="D1893" s="376" t="s">
        <v>722</v>
      </c>
      <c r="E1893" s="369" t="s">
        <v>722</v>
      </c>
      <c r="F1893" s="370" t="s">
        <v>2514</v>
      </c>
      <c r="G1893" s="371" t="s">
        <v>2568</v>
      </c>
    </row>
    <row r="1894" spans="1:7" ht="12" x14ac:dyDescent="0.3">
      <c r="A1894" s="367" t="s">
        <v>2142</v>
      </c>
      <c r="B1894" s="367" t="s">
        <v>2142</v>
      </c>
      <c r="C1894" s="367"/>
      <c r="D1894" s="376" t="s">
        <v>723</v>
      </c>
      <c r="E1894" s="369" t="s">
        <v>723</v>
      </c>
      <c r="F1894" s="370" t="s">
        <v>2515</v>
      </c>
      <c r="G1894" s="371" t="s">
        <v>2569</v>
      </c>
    </row>
    <row r="1895" spans="1:7" ht="12" x14ac:dyDescent="0.3">
      <c r="A1895" s="367" t="s">
        <v>2142</v>
      </c>
      <c r="B1895" s="367" t="s">
        <v>2142</v>
      </c>
      <c r="C1895" s="367"/>
      <c r="D1895" s="376" t="s">
        <v>724</v>
      </c>
      <c r="E1895" s="369" t="s">
        <v>724</v>
      </c>
      <c r="F1895" s="370" t="s">
        <v>2516</v>
      </c>
      <c r="G1895" s="371" t="s">
        <v>2570</v>
      </c>
    </row>
    <row r="1896" spans="1:7" ht="12" x14ac:dyDescent="0.3">
      <c r="A1896" s="367" t="s">
        <v>2142</v>
      </c>
      <c r="B1896" s="367" t="s">
        <v>2142</v>
      </c>
      <c r="C1896" s="367"/>
      <c r="D1896" s="376" t="s">
        <v>4</v>
      </c>
      <c r="E1896" s="369" t="s">
        <v>4</v>
      </c>
      <c r="F1896" s="370" t="s">
        <v>2496</v>
      </c>
      <c r="G1896" s="371" t="s">
        <v>2552</v>
      </c>
    </row>
    <row r="1897" spans="1:7" ht="12" x14ac:dyDescent="0.3">
      <c r="A1897" s="367" t="s">
        <v>2142</v>
      </c>
      <c r="B1897" s="367" t="s">
        <v>2142</v>
      </c>
      <c r="C1897" s="367"/>
      <c r="D1897" s="376" t="s">
        <v>614</v>
      </c>
      <c r="E1897" s="369" t="s">
        <v>614</v>
      </c>
      <c r="F1897" s="370" t="s">
        <v>2497</v>
      </c>
      <c r="G1897" s="371" t="s">
        <v>614</v>
      </c>
    </row>
    <row r="1898" spans="1:7" ht="12" x14ac:dyDescent="0.3">
      <c r="A1898" s="367" t="s">
        <v>2142</v>
      </c>
      <c r="B1898" s="367" t="s">
        <v>2142</v>
      </c>
      <c r="C1898" s="367"/>
      <c r="D1898" s="376" t="s">
        <v>615</v>
      </c>
      <c r="E1898" s="369" t="s">
        <v>615</v>
      </c>
      <c r="F1898" s="370" t="s">
        <v>2498</v>
      </c>
      <c r="G1898" s="371" t="s">
        <v>615</v>
      </c>
    </row>
    <row r="1899" spans="1:7" ht="12" x14ac:dyDescent="0.3">
      <c r="A1899" s="367" t="s">
        <v>2142</v>
      </c>
      <c r="B1899" s="367" t="s">
        <v>2142</v>
      </c>
      <c r="C1899" s="367"/>
      <c r="D1899" s="376" t="s">
        <v>698</v>
      </c>
      <c r="E1899" s="369" t="s">
        <v>698</v>
      </c>
      <c r="F1899" s="370" t="s">
        <v>2499</v>
      </c>
      <c r="G1899" s="371" t="s">
        <v>2553</v>
      </c>
    </row>
    <row r="1900" spans="1:7" ht="12" x14ac:dyDescent="0.3">
      <c r="A1900" s="367" t="s">
        <v>2142</v>
      </c>
      <c r="B1900" s="367" t="s">
        <v>2142</v>
      </c>
      <c r="C1900" s="367"/>
      <c r="D1900" s="376" t="s">
        <v>616</v>
      </c>
      <c r="E1900" s="369" t="s">
        <v>616</v>
      </c>
      <c r="F1900" s="370" t="s">
        <v>2085</v>
      </c>
      <c r="G1900" s="371" t="s">
        <v>349</v>
      </c>
    </row>
    <row r="1901" spans="1:7" ht="12" x14ac:dyDescent="0.3">
      <c r="A1901" s="367" t="s">
        <v>2142</v>
      </c>
      <c r="B1901" s="367" t="s">
        <v>2142</v>
      </c>
      <c r="C1901" s="367"/>
      <c r="D1901" s="376" t="s">
        <v>725</v>
      </c>
      <c r="E1901" s="369" t="s">
        <v>725</v>
      </c>
      <c r="F1901" s="370" t="s">
        <v>2517</v>
      </c>
      <c r="G1901" s="371" t="s">
        <v>2571</v>
      </c>
    </row>
    <row r="1902" spans="1:7" ht="12" x14ac:dyDescent="0.3">
      <c r="A1902" s="367" t="s">
        <v>2142</v>
      </c>
      <c r="B1902" s="367" t="s">
        <v>2142</v>
      </c>
      <c r="C1902" s="367"/>
      <c r="D1902" s="376" t="s">
        <v>699</v>
      </c>
      <c r="E1902" s="369" t="s">
        <v>699</v>
      </c>
      <c r="F1902" s="370" t="s">
        <v>2501</v>
      </c>
      <c r="G1902" s="371" t="s">
        <v>2555</v>
      </c>
    </row>
    <row r="1903" spans="1:7" ht="12" x14ac:dyDescent="0.3">
      <c r="A1903" s="367" t="s">
        <v>2142</v>
      </c>
      <c r="B1903" s="367" t="s">
        <v>2142</v>
      </c>
      <c r="C1903" s="367"/>
      <c r="D1903" s="376" t="s">
        <v>74</v>
      </c>
      <c r="E1903" s="369" t="s">
        <v>74</v>
      </c>
      <c r="F1903" s="370" t="s">
        <v>326</v>
      </c>
      <c r="G1903" s="371" t="s">
        <v>327</v>
      </c>
    </row>
    <row r="1904" spans="1:7" ht="12" x14ac:dyDescent="0.3">
      <c r="A1904" s="367" t="s">
        <v>2142</v>
      </c>
      <c r="B1904" s="367" t="s">
        <v>2142</v>
      </c>
      <c r="C1904" s="367"/>
      <c r="D1904" s="376" t="s">
        <v>700</v>
      </c>
      <c r="E1904" s="369" t="s">
        <v>700</v>
      </c>
      <c r="F1904" s="370" t="s">
        <v>2503</v>
      </c>
      <c r="G1904" s="371" t="s">
        <v>2557</v>
      </c>
    </row>
    <row r="1905" spans="1:7" ht="12" x14ac:dyDescent="0.3">
      <c r="A1905" s="367" t="s">
        <v>2142</v>
      </c>
      <c r="B1905" s="367" t="s">
        <v>2142</v>
      </c>
      <c r="C1905" s="367"/>
      <c r="D1905" s="376" t="s">
        <v>64</v>
      </c>
      <c r="E1905" s="369" t="s">
        <v>64</v>
      </c>
      <c r="F1905" s="370" t="s">
        <v>2476</v>
      </c>
      <c r="G1905" s="371" t="s">
        <v>2087</v>
      </c>
    </row>
    <row r="1906" spans="1:7" ht="12" x14ac:dyDescent="0.3">
      <c r="A1906" s="367" t="s">
        <v>2142</v>
      </c>
      <c r="B1906" s="367" t="s">
        <v>2142</v>
      </c>
      <c r="C1906" s="367"/>
      <c r="D1906" s="376" t="s">
        <v>726</v>
      </c>
      <c r="E1906" s="369" t="s">
        <v>726</v>
      </c>
      <c r="F1906" s="370" t="s">
        <v>2518</v>
      </c>
      <c r="G1906" s="371" t="s">
        <v>2572</v>
      </c>
    </row>
    <row r="1907" spans="1:7" ht="12" x14ac:dyDescent="0.3">
      <c r="A1907" s="367" t="s">
        <v>2142</v>
      </c>
      <c r="B1907" s="367" t="s">
        <v>2142</v>
      </c>
      <c r="C1907" s="367"/>
      <c r="D1907" s="376" t="s">
        <v>727</v>
      </c>
      <c r="E1907" s="369" t="s">
        <v>727</v>
      </c>
      <c r="F1907" s="370" t="s">
        <v>2519</v>
      </c>
      <c r="G1907" s="371" t="s">
        <v>2573</v>
      </c>
    </row>
    <row r="1908" spans="1:7" ht="12" x14ac:dyDescent="0.3">
      <c r="A1908" s="367" t="s">
        <v>2142</v>
      </c>
      <c r="B1908" s="367" t="s">
        <v>2142</v>
      </c>
      <c r="C1908" s="367"/>
      <c r="D1908" s="376" t="s">
        <v>728</v>
      </c>
      <c r="E1908" s="369" t="s">
        <v>728</v>
      </c>
      <c r="F1908" s="370" t="s">
        <v>2520</v>
      </c>
      <c r="G1908" s="371" t="s">
        <v>2574</v>
      </c>
    </row>
    <row r="1909" spans="1:7" ht="12" x14ac:dyDescent="0.3">
      <c r="A1909" s="367" t="s">
        <v>2142</v>
      </c>
      <c r="B1909" s="367" t="s">
        <v>2142</v>
      </c>
      <c r="C1909" s="367"/>
      <c r="D1909" s="376" t="s">
        <v>729</v>
      </c>
      <c r="E1909" s="369" t="s">
        <v>729</v>
      </c>
      <c r="F1909" s="370" t="s">
        <v>2521</v>
      </c>
      <c r="G1909" s="371" t="s">
        <v>2575</v>
      </c>
    </row>
    <row r="1910" spans="1:7" ht="12" x14ac:dyDescent="0.3">
      <c r="A1910" s="367" t="s">
        <v>2142</v>
      </c>
      <c r="B1910" s="367" t="s">
        <v>2142</v>
      </c>
      <c r="C1910" s="367"/>
      <c r="D1910" s="376" t="s">
        <v>705</v>
      </c>
      <c r="E1910" s="369" t="s">
        <v>705</v>
      </c>
      <c r="F1910" s="370" t="s">
        <v>2522</v>
      </c>
      <c r="G1910" s="371" t="s">
        <v>2576</v>
      </c>
    </row>
    <row r="1911" spans="1:7" ht="12" x14ac:dyDescent="0.3">
      <c r="A1911" s="367" t="s">
        <v>2142</v>
      </c>
      <c r="B1911" s="367" t="s">
        <v>2142</v>
      </c>
      <c r="C1911" s="367"/>
      <c r="D1911" s="376"/>
      <c r="E1911" s="374"/>
      <c r="F1911" s="374"/>
      <c r="G1911" s="374"/>
    </row>
    <row r="1912" spans="1:7" ht="12" x14ac:dyDescent="0.3">
      <c r="A1912" s="367" t="s">
        <v>2004</v>
      </c>
      <c r="B1912" s="367" t="s">
        <v>2004</v>
      </c>
      <c r="C1912" s="367" t="s">
        <v>2423</v>
      </c>
      <c r="D1912" s="376" t="s">
        <v>2003</v>
      </c>
      <c r="E1912" s="369" t="s">
        <v>2003</v>
      </c>
      <c r="F1912" s="370" t="s">
        <v>2523</v>
      </c>
      <c r="G1912" s="371" t="s">
        <v>2577</v>
      </c>
    </row>
    <row r="1913" spans="1:7" ht="192" x14ac:dyDescent="0.3">
      <c r="A1913" s="367" t="s">
        <v>2004</v>
      </c>
      <c r="B1913" s="367" t="s">
        <v>2004</v>
      </c>
      <c r="C1913" s="367" t="s">
        <v>2424</v>
      </c>
      <c r="D1913" s="375" t="s">
        <v>2655</v>
      </c>
      <c r="E1913" s="369" t="s">
        <v>2655</v>
      </c>
      <c r="F1913" s="370" t="s">
        <v>2656</v>
      </c>
      <c r="G1913" s="371" t="s">
        <v>2657</v>
      </c>
    </row>
    <row r="1914" spans="1:7" ht="12" x14ac:dyDescent="0.3">
      <c r="A1914" s="367" t="s">
        <v>2004</v>
      </c>
      <c r="B1914" s="367" t="s">
        <v>2004</v>
      </c>
      <c r="C1914" s="367"/>
      <c r="D1914" s="376" t="s">
        <v>4</v>
      </c>
      <c r="E1914" s="369" t="s">
        <v>4</v>
      </c>
      <c r="F1914" s="370" t="s">
        <v>2496</v>
      </c>
      <c r="G1914" s="371" t="s">
        <v>2552</v>
      </c>
    </row>
    <row r="1915" spans="1:7" ht="12" x14ac:dyDescent="0.3">
      <c r="A1915" s="367" t="s">
        <v>2004</v>
      </c>
      <c r="B1915" s="367" t="s">
        <v>2004</v>
      </c>
      <c r="C1915" s="367"/>
      <c r="D1915" s="376" t="s">
        <v>614</v>
      </c>
      <c r="E1915" s="369" t="s">
        <v>614</v>
      </c>
      <c r="F1915" s="370" t="s">
        <v>2497</v>
      </c>
      <c r="G1915" s="371" t="s">
        <v>614</v>
      </c>
    </row>
    <row r="1916" spans="1:7" ht="12" x14ac:dyDescent="0.3">
      <c r="A1916" s="367" t="s">
        <v>2004</v>
      </c>
      <c r="B1916" s="367" t="s">
        <v>2004</v>
      </c>
      <c r="C1916" s="367"/>
      <c r="D1916" s="376" t="s">
        <v>615</v>
      </c>
      <c r="E1916" s="369" t="s">
        <v>615</v>
      </c>
      <c r="F1916" s="370" t="s">
        <v>2498</v>
      </c>
      <c r="G1916" s="371" t="s">
        <v>615</v>
      </c>
    </row>
    <row r="1917" spans="1:7" ht="12" x14ac:dyDescent="0.3">
      <c r="A1917" s="367" t="s">
        <v>2004</v>
      </c>
      <c r="B1917" s="367" t="s">
        <v>2004</v>
      </c>
      <c r="C1917" s="367"/>
      <c r="D1917" s="376" t="s">
        <v>698</v>
      </c>
      <c r="E1917" s="369" t="s">
        <v>698</v>
      </c>
      <c r="F1917" s="370" t="s">
        <v>2499</v>
      </c>
      <c r="G1917" s="371" t="s">
        <v>2553</v>
      </c>
    </row>
    <row r="1918" spans="1:7" ht="12" x14ac:dyDescent="0.3">
      <c r="A1918" s="367" t="s">
        <v>2004</v>
      </c>
      <c r="B1918" s="367" t="s">
        <v>2004</v>
      </c>
      <c r="C1918" s="367"/>
      <c r="D1918" s="376" t="s">
        <v>616</v>
      </c>
      <c r="E1918" s="369" t="s">
        <v>616</v>
      </c>
      <c r="F1918" s="370" t="s">
        <v>2085</v>
      </c>
      <c r="G1918" s="371" t="s">
        <v>349</v>
      </c>
    </row>
    <row r="1919" spans="1:7" ht="12" x14ac:dyDescent="0.3">
      <c r="A1919" s="367" t="s">
        <v>2004</v>
      </c>
      <c r="B1919" s="367" t="s">
        <v>2004</v>
      </c>
      <c r="C1919" s="367"/>
      <c r="D1919" s="376" t="s">
        <v>699</v>
      </c>
      <c r="E1919" s="369" t="s">
        <v>699</v>
      </c>
      <c r="F1919" s="370" t="s">
        <v>2501</v>
      </c>
      <c r="G1919" s="371" t="s">
        <v>2555</v>
      </c>
    </row>
    <row r="1920" spans="1:7" ht="12" x14ac:dyDescent="0.3">
      <c r="A1920" s="367" t="s">
        <v>2004</v>
      </c>
      <c r="B1920" s="367" t="s">
        <v>2004</v>
      </c>
      <c r="C1920" s="367"/>
      <c r="D1920" s="376" t="s">
        <v>74</v>
      </c>
      <c r="E1920" s="369" t="s">
        <v>74</v>
      </c>
      <c r="F1920" s="370" t="s">
        <v>326</v>
      </c>
      <c r="G1920" s="371" t="s">
        <v>327</v>
      </c>
    </row>
    <row r="1921" spans="1:7" ht="12" x14ac:dyDescent="0.3">
      <c r="A1921" s="367" t="s">
        <v>2004</v>
      </c>
      <c r="B1921" s="367" t="s">
        <v>2004</v>
      </c>
      <c r="C1921" s="367"/>
      <c r="D1921" s="376" t="s">
        <v>700</v>
      </c>
      <c r="E1921" s="369" t="s">
        <v>700</v>
      </c>
      <c r="F1921" s="370" t="s">
        <v>2503</v>
      </c>
      <c r="G1921" s="371" t="s">
        <v>2557</v>
      </c>
    </row>
    <row r="1922" spans="1:7" ht="12" x14ac:dyDescent="0.3">
      <c r="A1922" s="367" t="s">
        <v>2004</v>
      </c>
      <c r="B1922" s="367" t="s">
        <v>2004</v>
      </c>
      <c r="C1922" s="367"/>
      <c r="D1922" s="376" t="s">
        <v>64</v>
      </c>
      <c r="E1922" s="369" t="s">
        <v>64</v>
      </c>
      <c r="F1922" s="370" t="s">
        <v>2476</v>
      </c>
      <c r="G1922" s="371" t="s">
        <v>2087</v>
      </c>
    </row>
    <row r="1923" spans="1:7" ht="12" x14ac:dyDescent="0.3">
      <c r="A1923" s="367" t="s">
        <v>2004</v>
      </c>
      <c r="B1923" s="367" t="s">
        <v>2004</v>
      </c>
      <c r="C1923" s="367"/>
      <c r="D1923" s="376" t="s">
        <v>726</v>
      </c>
      <c r="E1923" s="369" t="s">
        <v>726</v>
      </c>
      <c r="F1923" s="370" t="s">
        <v>2518</v>
      </c>
      <c r="G1923" s="371" t="s">
        <v>2572</v>
      </c>
    </row>
    <row r="1924" spans="1:7" ht="12" x14ac:dyDescent="0.3">
      <c r="A1924" s="367" t="s">
        <v>2004</v>
      </c>
      <c r="B1924" s="367" t="s">
        <v>2004</v>
      </c>
      <c r="C1924" s="367"/>
      <c r="D1924" s="376" t="s">
        <v>727</v>
      </c>
      <c r="E1924" s="369" t="s">
        <v>727</v>
      </c>
      <c r="F1924" s="370" t="s">
        <v>2519</v>
      </c>
      <c r="G1924" s="371" t="s">
        <v>2573</v>
      </c>
    </row>
    <row r="1925" spans="1:7" ht="12" x14ac:dyDescent="0.3">
      <c r="A1925" s="367" t="s">
        <v>2004</v>
      </c>
      <c r="B1925" s="367" t="s">
        <v>2004</v>
      </c>
      <c r="C1925" s="367"/>
      <c r="D1925" s="376" t="s">
        <v>728</v>
      </c>
      <c r="E1925" s="369" t="s">
        <v>728</v>
      </c>
      <c r="F1925" s="370" t="s">
        <v>2520</v>
      </c>
      <c r="G1925" s="371" t="s">
        <v>2574</v>
      </c>
    </row>
    <row r="1926" spans="1:7" ht="12" x14ac:dyDescent="0.3">
      <c r="A1926" s="367" t="s">
        <v>2004</v>
      </c>
      <c r="B1926" s="367" t="s">
        <v>2004</v>
      </c>
      <c r="C1926" s="367"/>
      <c r="D1926" s="376" t="s">
        <v>729</v>
      </c>
      <c r="E1926" s="369" t="s">
        <v>729</v>
      </c>
      <c r="F1926" s="370" t="s">
        <v>2521</v>
      </c>
      <c r="G1926" s="371" t="s">
        <v>2575</v>
      </c>
    </row>
    <row r="1927" spans="1:7" ht="12" x14ac:dyDescent="0.3">
      <c r="A1927" s="367" t="s">
        <v>2004</v>
      </c>
      <c r="B1927" s="367" t="s">
        <v>2004</v>
      </c>
      <c r="C1927" s="367"/>
      <c r="D1927" s="376" t="s">
        <v>705</v>
      </c>
      <c r="E1927" s="369" t="s">
        <v>705</v>
      </c>
      <c r="F1927" s="370" t="s">
        <v>2522</v>
      </c>
      <c r="G1927" s="371" t="s">
        <v>2576</v>
      </c>
    </row>
    <row r="1928" spans="1:7" x14ac:dyDescent="0.25">
      <c r="A1928" s="367" t="s">
        <v>2004</v>
      </c>
      <c r="B1928" s="367" t="s">
        <v>2004</v>
      </c>
      <c r="C1928" s="367"/>
      <c r="D1928" s="367"/>
      <c r="E1928" s="372"/>
      <c r="F1928" s="372"/>
      <c r="G1928" s="372"/>
    </row>
  </sheetData>
  <sheetProtection algorithmName="SHA-512" hashValue="Kg0Cg0fcK43zpyZqvwPPhMj40/cQdxGI0doH3wOa92YFxHkk1YM+Bk2hqKluoZfNTz0P7dBn61mZaXYmol1ybQ==" saltValue="e+rvwADv9wY7YGNmPxtjqQ==" spinCount="100000" sheet="1" objects="1" scenarios="1"/>
  <autoFilter ref="A1:G1928" xr:uid="{00000000-0001-0000-1600-000000000000}"/>
  <phoneticPr fontId="46" type="noConversion"/>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FF0000"/>
  </sheetPr>
  <dimension ref="A2:S166"/>
  <sheetViews>
    <sheetView showGridLines="0" topLeftCell="A7" workbookViewId="0">
      <selection activeCell="F19" sqref="F19"/>
    </sheetView>
  </sheetViews>
  <sheetFormatPr defaultColWidth="8.81640625" defaultRowHeight="14.5" x14ac:dyDescent="0.35"/>
  <cols>
    <col min="1" max="1" width="29.453125" customWidth="1"/>
    <col min="2" max="3" width="10.453125" bestFit="1" customWidth="1"/>
    <col min="4" max="4" width="21.81640625" customWidth="1"/>
    <col min="5" max="5" width="12.453125" customWidth="1"/>
    <col min="6" max="6" width="22.453125" bestFit="1" customWidth="1"/>
    <col min="7" max="7" width="36.453125" bestFit="1" customWidth="1"/>
    <col min="8" max="8" width="26.453125" bestFit="1" customWidth="1"/>
    <col min="10" max="10" width="12.453125" bestFit="1" customWidth="1"/>
    <col min="12" max="12" width="47.453125" bestFit="1" customWidth="1"/>
    <col min="13" max="13" width="17.453125" bestFit="1" customWidth="1"/>
    <col min="14" max="14" width="27.453125" bestFit="1" customWidth="1"/>
    <col min="16" max="16" width="52.453125" bestFit="1" customWidth="1"/>
    <col min="17" max="17" width="20.453125" customWidth="1"/>
    <col min="18" max="18" width="12.453125" bestFit="1" customWidth="1"/>
  </cols>
  <sheetData>
    <row r="2" spans="1:19" ht="15.5" x14ac:dyDescent="0.35">
      <c r="A2" s="1" t="s">
        <v>0</v>
      </c>
      <c r="B2" s="3" t="s">
        <v>270</v>
      </c>
      <c r="C2" s="3" t="s">
        <v>274</v>
      </c>
      <c r="D2" s="3" t="s">
        <v>2</v>
      </c>
      <c r="E2" s="3" t="s">
        <v>493</v>
      </c>
      <c r="F2" s="3" t="s">
        <v>319</v>
      </c>
      <c r="G2" s="1406" t="s">
        <v>494</v>
      </c>
      <c r="H2" s="1406"/>
      <c r="I2" s="1406"/>
      <c r="J2" s="3" t="s">
        <v>495</v>
      </c>
      <c r="K2" s="1406" t="s">
        <v>496</v>
      </c>
      <c r="L2" s="1406"/>
      <c r="M2" s="3" t="s">
        <v>497</v>
      </c>
      <c r="N2" s="3" t="s">
        <v>498</v>
      </c>
      <c r="O2" s="3" t="s">
        <v>499</v>
      </c>
      <c r="P2" s="3" t="s">
        <v>500</v>
      </c>
      <c r="Q2" s="3" t="s">
        <v>501</v>
      </c>
      <c r="R2" s="3" t="s">
        <v>502</v>
      </c>
      <c r="S2" s="3" t="s">
        <v>503</v>
      </c>
    </row>
    <row r="3" spans="1:19" ht="15.5" x14ac:dyDescent="0.35">
      <c r="A3" s="2" t="s">
        <v>366</v>
      </c>
      <c r="B3" t="s">
        <v>69</v>
      </c>
      <c r="C3" t="s">
        <v>82</v>
      </c>
      <c r="D3" t="s">
        <v>36</v>
      </c>
      <c r="E3">
        <v>0</v>
      </c>
      <c r="F3" t="s">
        <v>97</v>
      </c>
      <c r="G3" t="s">
        <v>504</v>
      </c>
      <c r="H3" t="s">
        <v>505</v>
      </c>
      <c r="I3">
        <v>4.0999999999999996</v>
      </c>
      <c r="J3" t="s">
        <v>506</v>
      </c>
      <c r="K3" t="s">
        <v>506</v>
      </c>
      <c r="L3" t="s">
        <v>507</v>
      </c>
      <c r="M3" t="s">
        <v>508</v>
      </c>
      <c r="N3" t="s">
        <v>42</v>
      </c>
      <c r="O3" t="s">
        <v>41</v>
      </c>
      <c r="P3" t="s">
        <v>509</v>
      </c>
      <c r="Q3" t="s">
        <v>14</v>
      </c>
      <c r="R3" t="s">
        <v>510</v>
      </c>
      <c r="S3" t="s">
        <v>511</v>
      </c>
    </row>
    <row r="4" spans="1:19" ht="15.5" x14ac:dyDescent="0.35">
      <c r="A4" s="2" t="s">
        <v>368</v>
      </c>
      <c r="B4" t="s">
        <v>71</v>
      </c>
      <c r="C4" t="s">
        <v>367</v>
      </c>
      <c r="D4" t="s">
        <v>39</v>
      </c>
      <c r="E4">
        <v>1</v>
      </c>
      <c r="F4" t="s">
        <v>95</v>
      </c>
      <c r="G4" t="s">
        <v>512</v>
      </c>
      <c r="H4" t="s">
        <v>513</v>
      </c>
      <c r="I4">
        <v>4.2</v>
      </c>
      <c r="J4" t="s">
        <v>514</v>
      </c>
      <c r="L4" t="s">
        <v>515</v>
      </c>
      <c r="M4" t="s">
        <v>516</v>
      </c>
      <c r="N4" t="s">
        <v>43</v>
      </c>
      <c r="O4" t="s">
        <v>55</v>
      </c>
      <c r="P4" t="s">
        <v>517</v>
      </c>
      <c r="Q4" t="s">
        <v>12</v>
      </c>
      <c r="R4" t="s">
        <v>511</v>
      </c>
      <c r="S4" t="s">
        <v>14</v>
      </c>
    </row>
    <row r="5" spans="1:19" ht="15.5" x14ac:dyDescent="0.35">
      <c r="A5" s="2" t="s">
        <v>370</v>
      </c>
      <c r="B5" t="s">
        <v>70</v>
      </c>
      <c r="D5" t="s">
        <v>518</v>
      </c>
      <c r="E5">
        <v>2</v>
      </c>
      <c r="F5" t="s">
        <v>96</v>
      </c>
      <c r="G5" t="s">
        <v>136</v>
      </c>
      <c r="H5" t="s">
        <v>37</v>
      </c>
      <c r="I5">
        <v>4.3</v>
      </c>
      <c r="J5" t="s">
        <v>519</v>
      </c>
      <c r="L5" t="s">
        <v>520</v>
      </c>
      <c r="M5" t="s">
        <v>521</v>
      </c>
      <c r="N5" t="s">
        <v>44</v>
      </c>
      <c r="S5" t="s">
        <v>522</v>
      </c>
    </row>
    <row r="6" spans="1:19" ht="15.5" x14ac:dyDescent="0.35">
      <c r="A6" s="2" t="s">
        <v>371</v>
      </c>
      <c r="B6" t="s">
        <v>369</v>
      </c>
      <c r="D6" t="s">
        <v>37</v>
      </c>
      <c r="E6">
        <v>3</v>
      </c>
      <c r="F6" t="s">
        <v>102</v>
      </c>
      <c r="G6" t="s">
        <v>523</v>
      </c>
      <c r="H6" t="s">
        <v>505</v>
      </c>
      <c r="I6">
        <v>4.4000000000000004</v>
      </c>
      <c r="J6" t="s">
        <v>524</v>
      </c>
      <c r="K6" t="s">
        <v>514</v>
      </c>
      <c r="L6" t="s">
        <v>525</v>
      </c>
      <c r="N6" t="s">
        <v>45</v>
      </c>
    </row>
    <row r="7" spans="1:19" ht="15.5" x14ac:dyDescent="0.35">
      <c r="A7" s="2" t="s">
        <v>372</v>
      </c>
      <c r="E7">
        <v>4</v>
      </c>
      <c r="F7" t="s">
        <v>124</v>
      </c>
      <c r="G7" t="s">
        <v>526</v>
      </c>
      <c r="H7" t="s">
        <v>505</v>
      </c>
      <c r="I7">
        <v>4.5</v>
      </c>
      <c r="J7" t="s">
        <v>527</v>
      </c>
      <c r="L7" t="s">
        <v>528</v>
      </c>
      <c r="N7" t="s">
        <v>46</v>
      </c>
    </row>
    <row r="8" spans="1:19" ht="15.5" x14ac:dyDescent="0.35">
      <c r="A8" s="2" t="s">
        <v>373</v>
      </c>
      <c r="E8">
        <v>5</v>
      </c>
      <c r="F8" t="s">
        <v>101</v>
      </c>
      <c r="G8" t="s">
        <v>34</v>
      </c>
      <c r="H8" t="s">
        <v>529</v>
      </c>
      <c r="I8">
        <v>4.7</v>
      </c>
      <c r="J8" t="s">
        <v>530</v>
      </c>
      <c r="L8" t="s">
        <v>531</v>
      </c>
      <c r="N8" t="s">
        <v>47</v>
      </c>
    </row>
    <row r="9" spans="1:19" ht="15.5" x14ac:dyDescent="0.35">
      <c r="A9" s="2" t="s">
        <v>81</v>
      </c>
      <c r="E9">
        <v>6</v>
      </c>
      <c r="F9" t="s">
        <v>91</v>
      </c>
      <c r="G9" t="s">
        <v>532</v>
      </c>
      <c r="H9" t="s">
        <v>37</v>
      </c>
      <c r="I9">
        <v>5.0999999999999996</v>
      </c>
      <c r="J9" t="s">
        <v>533</v>
      </c>
      <c r="K9" t="s">
        <v>519</v>
      </c>
      <c r="L9" t="s">
        <v>534</v>
      </c>
      <c r="N9" t="s">
        <v>48</v>
      </c>
    </row>
    <row r="10" spans="1:19" ht="15.5" x14ac:dyDescent="0.35">
      <c r="A10" s="2" t="s">
        <v>374</v>
      </c>
      <c r="E10">
        <v>7</v>
      </c>
      <c r="G10" t="s">
        <v>535</v>
      </c>
      <c r="H10" t="s">
        <v>505</v>
      </c>
      <c r="I10">
        <v>5.2</v>
      </c>
      <c r="J10" t="s">
        <v>18</v>
      </c>
      <c r="K10" t="s">
        <v>524</v>
      </c>
      <c r="L10" t="s">
        <v>536</v>
      </c>
      <c r="N10" t="s">
        <v>49</v>
      </c>
    </row>
    <row r="11" spans="1:19" ht="15.5" x14ac:dyDescent="0.35">
      <c r="A11" s="2" t="s">
        <v>375</v>
      </c>
      <c r="E11">
        <v>8</v>
      </c>
      <c r="G11" t="s">
        <v>537</v>
      </c>
      <c r="H11" t="s">
        <v>505</v>
      </c>
      <c r="I11">
        <v>5.4</v>
      </c>
      <c r="L11" t="s">
        <v>538</v>
      </c>
      <c r="N11" t="s">
        <v>50</v>
      </c>
    </row>
    <row r="12" spans="1:19" ht="15.5" x14ac:dyDescent="0.35">
      <c r="A12" s="2" t="s">
        <v>376</v>
      </c>
      <c r="E12">
        <v>9</v>
      </c>
      <c r="G12" t="s">
        <v>539</v>
      </c>
      <c r="H12" t="s">
        <v>37</v>
      </c>
      <c r="I12">
        <v>5.4</v>
      </c>
      <c r="K12" t="s">
        <v>527</v>
      </c>
      <c r="L12" t="s">
        <v>540</v>
      </c>
      <c r="N12" t="s">
        <v>51</v>
      </c>
    </row>
    <row r="13" spans="1:19" ht="15.5" x14ac:dyDescent="0.35">
      <c r="A13" s="2" t="s">
        <v>377</v>
      </c>
      <c r="E13">
        <v>10</v>
      </c>
      <c r="G13" t="s">
        <v>541</v>
      </c>
      <c r="H13" t="s">
        <v>37</v>
      </c>
      <c r="I13">
        <v>5.5</v>
      </c>
      <c r="K13" t="s">
        <v>530</v>
      </c>
      <c r="L13" t="s">
        <v>542</v>
      </c>
      <c r="N13" t="s">
        <v>52</v>
      </c>
    </row>
    <row r="14" spans="1:19" ht="15.5" x14ac:dyDescent="0.35">
      <c r="A14" s="2" t="s">
        <v>378</v>
      </c>
      <c r="E14">
        <v>11</v>
      </c>
      <c r="G14" t="s">
        <v>543</v>
      </c>
      <c r="H14" t="s">
        <v>505</v>
      </c>
      <c r="I14">
        <v>5.6</v>
      </c>
      <c r="K14" t="s">
        <v>533</v>
      </c>
      <c r="L14" t="s">
        <v>544</v>
      </c>
      <c r="N14" t="s">
        <v>53</v>
      </c>
    </row>
    <row r="15" spans="1:19" ht="15.5" x14ac:dyDescent="0.35">
      <c r="A15" s="2" t="s">
        <v>379</v>
      </c>
      <c r="E15">
        <v>12</v>
      </c>
      <c r="G15" t="s">
        <v>545</v>
      </c>
      <c r="H15" t="s">
        <v>505</v>
      </c>
      <c r="I15">
        <v>5.6</v>
      </c>
      <c r="L15" t="s">
        <v>546</v>
      </c>
      <c r="N15" t="s">
        <v>54</v>
      </c>
    </row>
    <row r="16" spans="1:19" ht="15.5" x14ac:dyDescent="0.35">
      <c r="A16" s="2" t="s">
        <v>380</v>
      </c>
      <c r="E16">
        <v>13</v>
      </c>
      <c r="G16" t="s">
        <v>547</v>
      </c>
      <c r="H16" t="s">
        <v>513</v>
      </c>
      <c r="I16">
        <v>5.6</v>
      </c>
      <c r="L16" t="s">
        <v>548</v>
      </c>
    </row>
    <row r="17" spans="1:12" ht="15.5" x14ac:dyDescent="0.35">
      <c r="A17" s="2" t="s">
        <v>381</v>
      </c>
      <c r="E17">
        <v>14</v>
      </c>
      <c r="F17" s="3" t="s">
        <v>549</v>
      </c>
      <c r="G17" t="s">
        <v>550</v>
      </c>
      <c r="H17" t="s">
        <v>513</v>
      </c>
      <c r="I17">
        <v>5.6</v>
      </c>
      <c r="L17" t="s">
        <v>551</v>
      </c>
    </row>
    <row r="18" spans="1:12" ht="15.5" x14ac:dyDescent="0.35">
      <c r="A18" s="2" t="s">
        <v>382</v>
      </c>
      <c r="E18">
        <v>15</v>
      </c>
      <c r="F18" t="s">
        <v>88</v>
      </c>
      <c r="G18" t="s">
        <v>108</v>
      </c>
      <c r="H18" t="s">
        <v>529</v>
      </c>
      <c r="I18">
        <v>5.6</v>
      </c>
      <c r="L18" t="s">
        <v>552</v>
      </c>
    </row>
    <row r="19" spans="1:12" ht="15.5" x14ac:dyDescent="0.35">
      <c r="A19" s="2" t="s">
        <v>383</v>
      </c>
      <c r="E19">
        <v>16</v>
      </c>
      <c r="F19" t="s">
        <v>121</v>
      </c>
      <c r="G19" t="s">
        <v>40</v>
      </c>
      <c r="H19" t="s">
        <v>529</v>
      </c>
      <c r="I19">
        <v>5.7</v>
      </c>
      <c r="L19" t="s">
        <v>553</v>
      </c>
    </row>
    <row r="20" spans="1:12" ht="15.5" x14ac:dyDescent="0.35">
      <c r="A20" s="2" t="s">
        <v>384</v>
      </c>
      <c r="E20">
        <v>17</v>
      </c>
      <c r="G20" t="s">
        <v>99</v>
      </c>
      <c r="H20" t="s">
        <v>529</v>
      </c>
      <c r="I20">
        <v>5.8</v>
      </c>
      <c r="K20" t="s">
        <v>18</v>
      </c>
    </row>
    <row r="21" spans="1:12" ht="15.5" x14ac:dyDescent="0.35">
      <c r="A21" s="2" t="s">
        <v>385</v>
      </c>
      <c r="E21">
        <v>18</v>
      </c>
      <c r="G21" t="s">
        <v>554</v>
      </c>
      <c r="H21" t="s">
        <v>505</v>
      </c>
      <c r="I21">
        <v>6.1</v>
      </c>
    </row>
    <row r="22" spans="1:12" ht="15.5" x14ac:dyDescent="0.35">
      <c r="A22" s="2" t="s">
        <v>386</v>
      </c>
      <c r="E22">
        <v>19</v>
      </c>
      <c r="G22" t="s">
        <v>555</v>
      </c>
      <c r="H22" t="s">
        <v>505</v>
      </c>
      <c r="I22">
        <v>6.2</v>
      </c>
    </row>
    <row r="23" spans="1:12" ht="15.5" x14ac:dyDescent="0.35">
      <c r="A23" s="2" t="s">
        <v>387</v>
      </c>
      <c r="E23">
        <v>20</v>
      </c>
      <c r="G23" t="s">
        <v>556</v>
      </c>
      <c r="H23" t="s">
        <v>557</v>
      </c>
      <c r="I23">
        <v>6.3</v>
      </c>
    </row>
    <row r="24" spans="1:12" ht="15.5" x14ac:dyDescent="0.35">
      <c r="A24" s="2" t="s">
        <v>558</v>
      </c>
      <c r="E24">
        <v>21</v>
      </c>
      <c r="G24" t="s">
        <v>559</v>
      </c>
      <c r="H24" t="s">
        <v>513</v>
      </c>
      <c r="I24">
        <v>6.4</v>
      </c>
    </row>
    <row r="25" spans="1:12" ht="15.5" x14ac:dyDescent="0.35">
      <c r="A25" s="2" t="s">
        <v>388</v>
      </c>
      <c r="E25">
        <v>22</v>
      </c>
      <c r="F25" t="s">
        <v>560</v>
      </c>
      <c r="G25" t="s">
        <v>561</v>
      </c>
      <c r="H25" t="s">
        <v>513</v>
      </c>
      <c r="I25">
        <v>6.4</v>
      </c>
    </row>
    <row r="26" spans="1:12" ht="15.5" x14ac:dyDescent="0.35">
      <c r="A26" s="2" t="s">
        <v>389</v>
      </c>
      <c r="E26">
        <v>23</v>
      </c>
      <c r="F26" t="s">
        <v>89</v>
      </c>
      <c r="G26" t="s">
        <v>103</v>
      </c>
      <c r="H26" t="s">
        <v>529</v>
      </c>
      <c r="I26">
        <v>6.6</v>
      </c>
    </row>
    <row r="27" spans="1:12" ht="15.5" x14ac:dyDescent="0.35">
      <c r="A27" s="2" t="s">
        <v>390</v>
      </c>
      <c r="E27">
        <v>24</v>
      </c>
      <c r="F27" t="s">
        <v>562</v>
      </c>
    </row>
    <row r="28" spans="1:12" ht="15.5" x14ac:dyDescent="0.35">
      <c r="A28" s="2" t="s">
        <v>391</v>
      </c>
      <c r="E28">
        <v>25</v>
      </c>
      <c r="F28" t="s">
        <v>563</v>
      </c>
    </row>
    <row r="29" spans="1:12" ht="15.5" x14ac:dyDescent="0.35">
      <c r="A29" s="2" t="s">
        <v>392</v>
      </c>
      <c r="E29">
        <v>26</v>
      </c>
    </row>
    <row r="30" spans="1:12" ht="15.5" x14ac:dyDescent="0.35">
      <c r="A30" s="2" t="s">
        <v>393</v>
      </c>
      <c r="E30">
        <v>27</v>
      </c>
    </row>
    <row r="31" spans="1:12" ht="15.5" x14ac:dyDescent="0.35">
      <c r="A31" s="2" t="s">
        <v>394</v>
      </c>
      <c r="E31">
        <v>28</v>
      </c>
    </row>
    <row r="32" spans="1:12" ht="15.5" x14ac:dyDescent="0.35">
      <c r="A32" s="2" t="s">
        <v>395</v>
      </c>
      <c r="E32">
        <v>29</v>
      </c>
    </row>
    <row r="33" spans="1:5" ht="15.5" x14ac:dyDescent="0.35">
      <c r="A33" s="2" t="s">
        <v>396</v>
      </c>
      <c r="E33">
        <v>30</v>
      </c>
    </row>
    <row r="34" spans="1:5" ht="15.5" x14ac:dyDescent="0.35">
      <c r="A34" s="2" t="s">
        <v>397</v>
      </c>
      <c r="E34">
        <v>31</v>
      </c>
    </row>
    <row r="35" spans="1:5" ht="15.5" x14ac:dyDescent="0.35">
      <c r="A35" s="2" t="s">
        <v>398</v>
      </c>
      <c r="E35">
        <v>32</v>
      </c>
    </row>
    <row r="36" spans="1:5" ht="15.5" x14ac:dyDescent="0.35">
      <c r="A36" s="2" t="s">
        <v>399</v>
      </c>
      <c r="E36">
        <v>33</v>
      </c>
    </row>
    <row r="37" spans="1:5" ht="15.5" x14ac:dyDescent="0.35">
      <c r="A37" s="2" t="s">
        <v>400</v>
      </c>
      <c r="E37">
        <v>34</v>
      </c>
    </row>
    <row r="38" spans="1:5" ht="15.5" x14ac:dyDescent="0.35">
      <c r="A38" s="2" t="s">
        <v>401</v>
      </c>
      <c r="E38">
        <v>35</v>
      </c>
    </row>
    <row r="39" spans="1:5" ht="15.5" x14ac:dyDescent="0.35">
      <c r="A39" s="2" t="s">
        <v>402</v>
      </c>
      <c r="E39">
        <v>36</v>
      </c>
    </row>
    <row r="40" spans="1:5" ht="15.5" x14ac:dyDescent="0.35">
      <c r="A40" s="2" t="s">
        <v>403</v>
      </c>
      <c r="E40">
        <v>37</v>
      </c>
    </row>
    <row r="41" spans="1:5" ht="15.5" x14ac:dyDescent="0.35">
      <c r="A41" s="2" t="s">
        <v>404</v>
      </c>
      <c r="E41">
        <v>38</v>
      </c>
    </row>
    <row r="42" spans="1:5" ht="15.5" x14ac:dyDescent="0.35">
      <c r="A42" s="2" t="s">
        <v>405</v>
      </c>
      <c r="E42">
        <v>39</v>
      </c>
    </row>
    <row r="43" spans="1:5" ht="15.5" x14ac:dyDescent="0.35">
      <c r="A43" s="2" t="s">
        <v>406</v>
      </c>
      <c r="E43">
        <v>40</v>
      </c>
    </row>
    <row r="44" spans="1:5" ht="15.5" x14ac:dyDescent="0.35">
      <c r="A44" s="2" t="s">
        <v>407</v>
      </c>
      <c r="E44">
        <v>41</v>
      </c>
    </row>
    <row r="45" spans="1:5" ht="15.5" x14ac:dyDescent="0.35">
      <c r="A45" s="2" t="s">
        <v>408</v>
      </c>
      <c r="E45">
        <v>42</v>
      </c>
    </row>
    <row r="46" spans="1:5" ht="15.5" x14ac:dyDescent="0.35">
      <c r="A46" s="2" t="s">
        <v>409</v>
      </c>
      <c r="E46">
        <v>43</v>
      </c>
    </row>
    <row r="47" spans="1:5" ht="15.5" x14ac:dyDescent="0.35">
      <c r="A47" s="2" t="s">
        <v>410</v>
      </c>
      <c r="E47">
        <v>44</v>
      </c>
    </row>
    <row r="48" spans="1:5" ht="15.5" x14ac:dyDescent="0.35">
      <c r="A48" s="2" t="s">
        <v>411</v>
      </c>
      <c r="E48">
        <v>45</v>
      </c>
    </row>
    <row r="49" spans="1:5" ht="15.5" x14ac:dyDescent="0.35">
      <c r="A49" s="2" t="s">
        <v>412</v>
      </c>
      <c r="E49">
        <v>46</v>
      </c>
    </row>
    <row r="50" spans="1:5" ht="15.5" x14ac:dyDescent="0.35">
      <c r="A50" s="2" t="s">
        <v>413</v>
      </c>
      <c r="E50">
        <v>47</v>
      </c>
    </row>
    <row r="51" spans="1:5" ht="15.5" x14ac:dyDescent="0.35">
      <c r="A51" s="2" t="s">
        <v>414</v>
      </c>
      <c r="E51">
        <v>48</v>
      </c>
    </row>
    <row r="52" spans="1:5" ht="15.5" x14ac:dyDescent="0.35">
      <c r="A52" s="2" t="s">
        <v>415</v>
      </c>
      <c r="E52">
        <v>49</v>
      </c>
    </row>
    <row r="53" spans="1:5" ht="15.5" x14ac:dyDescent="0.35">
      <c r="A53" s="2" t="s">
        <v>416</v>
      </c>
      <c r="E53">
        <v>50</v>
      </c>
    </row>
    <row r="54" spans="1:5" ht="15.5" x14ac:dyDescent="0.35">
      <c r="A54" s="2" t="s">
        <v>417</v>
      </c>
      <c r="E54">
        <v>51</v>
      </c>
    </row>
    <row r="55" spans="1:5" ht="15.5" x14ac:dyDescent="0.35">
      <c r="A55" s="2" t="s">
        <v>418</v>
      </c>
      <c r="E55">
        <v>52</v>
      </c>
    </row>
    <row r="56" spans="1:5" ht="15.5" x14ac:dyDescent="0.35">
      <c r="A56" s="2" t="s">
        <v>419</v>
      </c>
      <c r="E56">
        <v>53</v>
      </c>
    </row>
    <row r="57" spans="1:5" ht="15.5" x14ac:dyDescent="0.35">
      <c r="A57" s="2" t="s">
        <v>420</v>
      </c>
      <c r="E57">
        <v>54</v>
      </c>
    </row>
    <row r="58" spans="1:5" ht="15.5" x14ac:dyDescent="0.35">
      <c r="A58" s="2" t="s">
        <v>421</v>
      </c>
      <c r="E58">
        <v>55</v>
      </c>
    </row>
    <row r="59" spans="1:5" ht="15.5" x14ac:dyDescent="0.35">
      <c r="A59" s="2" t="s">
        <v>422</v>
      </c>
      <c r="E59">
        <v>56</v>
      </c>
    </row>
    <row r="60" spans="1:5" ht="15.5" x14ac:dyDescent="0.35">
      <c r="A60" s="2" t="s">
        <v>423</v>
      </c>
      <c r="E60">
        <v>57</v>
      </c>
    </row>
    <row r="61" spans="1:5" ht="15.5" x14ac:dyDescent="0.35">
      <c r="A61" s="2" t="s">
        <v>424</v>
      </c>
      <c r="E61">
        <v>58</v>
      </c>
    </row>
    <row r="62" spans="1:5" ht="15.5" x14ac:dyDescent="0.35">
      <c r="A62" s="2" t="s">
        <v>425</v>
      </c>
      <c r="E62">
        <v>59</v>
      </c>
    </row>
    <row r="63" spans="1:5" ht="15.5" x14ac:dyDescent="0.35">
      <c r="A63" s="2" t="s">
        <v>426</v>
      </c>
      <c r="E63">
        <v>60</v>
      </c>
    </row>
    <row r="64" spans="1:5" ht="15.5" x14ac:dyDescent="0.35">
      <c r="A64" s="2" t="s">
        <v>427</v>
      </c>
      <c r="E64">
        <v>61</v>
      </c>
    </row>
    <row r="65" spans="1:5" ht="15.5" x14ac:dyDescent="0.35">
      <c r="A65" s="2" t="s">
        <v>428</v>
      </c>
      <c r="E65">
        <v>62</v>
      </c>
    </row>
    <row r="66" spans="1:5" ht="15.5" x14ac:dyDescent="0.35">
      <c r="A66" s="2" t="s">
        <v>429</v>
      </c>
      <c r="E66">
        <v>63</v>
      </c>
    </row>
    <row r="67" spans="1:5" ht="15.5" x14ac:dyDescent="0.35">
      <c r="A67" s="2" t="s">
        <v>430</v>
      </c>
      <c r="E67">
        <v>64</v>
      </c>
    </row>
    <row r="68" spans="1:5" ht="15.5" x14ac:dyDescent="0.35">
      <c r="A68" s="2" t="s">
        <v>431</v>
      </c>
      <c r="E68">
        <v>65</v>
      </c>
    </row>
    <row r="69" spans="1:5" ht="15.5" x14ac:dyDescent="0.35">
      <c r="A69" s="2" t="s">
        <v>432</v>
      </c>
      <c r="E69">
        <v>66</v>
      </c>
    </row>
    <row r="70" spans="1:5" ht="15.5" x14ac:dyDescent="0.35">
      <c r="A70" s="2" t="s">
        <v>433</v>
      </c>
      <c r="E70">
        <v>67</v>
      </c>
    </row>
    <row r="71" spans="1:5" ht="15.5" x14ac:dyDescent="0.35">
      <c r="A71" s="2" t="s">
        <v>564</v>
      </c>
      <c r="E71">
        <v>68</v>
      </c>
    </row>
    <row r="72" spans="1:5" ht="15.5" x14ac:dyDescent="0.35">
      <c r="A72" s="2" t="s">
        <v>565</v>
      </c>
      <c r="E72">
        <v>69</v>
      </c>
    </row>
    <row r="73" spans="1:5" ht="15.5" x14ac:dyDescent="0.35">
      <c r="A73" s="2" t="s">
        <v>434</v>
      </c>
      <c r="E73">
        <v>70</v>
      </c>
    </row>
    <row r="74" spans="1:5" ht="15.5" x14ac:dyDescent="0.35">
      <c r="A74" s="2" t="s">
        <v>435</v>
      </c>
      <c r="E74">
        <v>71</v>
      </c>
    </row>
    <row r="75" spans="1:5" ht="15.5" x14ac:dyDescent="0.35">
      <c r="A75" s="2" t="s">
        <v>436</v>
      </c>
      <c r="E75">
        <v>72</v>
      </c>
    </row>
    <row r="76" spans="1:5" ht="15.5" x14ac:dyDescent="0.35">
      <c r="A76" s="2" t="s">
        <v>437</v>
      </c>
      <c r="E76">
        <v>73</v>
      </c>
    </row>
    <row r="77" spans="1:5" ht="15.5" x14ac:dyDescent="0.35">
      <c r="A77" s="2" t="s">
        <v>438</v>
      </c>
      <c r="E77">
        <v>74</v>
      </c>
    </row>
    <row r="78" spans="1:5" ht="15.5" x14ac:dyDescent="0.35">
      <c r="A78" s="2" t="s">
        <v>439</v>
      </c>
      <c r="E78">
        <v>75</v>
      </c>
    </row>
    <row r="79" spans="1:5" ht="15.5" x14ac:dyDescent="0.35">
      <c r="A79" s="2" t="s">
        <v>440</v>
      </c>
      <c r="E79">
        <v>76</v>
      </c>
    </row>
    <row r="80" spans="1:5" ht="15.5" x14ac:dyDescent="0.35">
      <c r="A80" s="2" t="s">
        <v>441</v>
      </c>
      <c r="E80">
        <v>77</v>
      </c>
    </row>
    <row r="81" spans="1:5" ht="15.5" x14ac:dyDescent="0.35">
      <c r="A81" s="2" t="s">
        <v>442</v>
      </c>
      <c r="E81">
        <v>78</v>
      </c>
    </row>
    <row r="82" spans="1:5" ht="15.5" x14ac:dyDescent="0.35">
      <c r="A82" s="2" t="s">
        <v>443</v>
      </c>
      <c r="E82">
        <v>79</v>
      </c>
    </row>
    <row r="83" spans="1:5" ht="15.5" x14ac:dyDescent="0.35">
      <c r="A83" s="2" t="s">
        <v>444</v>
      </c>
      <c r="E83">
        <v>80</v>
      </c>
    </row>
    <row r="84" spans="1:5" ht="15.5" x14ac:dyDescent="0.35">
      <c r="A84" s="2" t="s">
        <v>445</v>
      </c>
      <c r="E84">
        <v>81</v>
      </c>
    </row>
    <row r="85" spans="1:5" ht="15.5" x14ac:dyDescent="0.35">
      <c r="A85" s="2" t="s">
        <v>446</v>
      </c>
      <c r="E85">
        <v>82</v>
      </c>
    </row>
    <row r="86" spans="1:5" ht="15.5" x14ac:dyDescent="0.35">
      <c r="A86" s="2" t="s">
        <v>566</v>
      </c>
      <c r="E86">
        <v>83</v>
      </c>
    </row>
    <row r="87" spans="1:5" ht="15.5" x14ac:dyDescent="0.35">
      <c r="A87" s="2" t="s">
        <v>567</v>
      </c>
      <c r="E87">
        <v>84</v>
      </c>
    </row>
    <row r="88" spans="1:5" ht="15.5" x14ac:dyDescent="0.35">
      <c r="A88" s="2" t="s">
        <v>568</v>
      </c>
      <c r="E88">
        <v>85</v>
      </c>
    </row>
    <row r="89" spans="1:5" ht="15.5" x14ac:dyDescent="0.35">
      <c r="A89" s="2" t="s">
        <v>569</v>
      </c>
      <c r="E89">
        <v>86</v>
      </c>
    </row>
    <row r="90" spans="1:5" ht="15.5" x14ac:dyDescent="0.35">
      <c r="A90" s="2" t="s">
        <v>570</v>
      </c>
      <c r="E90">
        <v>87</v>
      </c>
    </row>
    <row r="91" spans="1:5" ht="15.5" x14ac:dyDescent="0.35">
      <c r="A91" s="2" t="s">
        <v>571</v>
      </c>
      <c r="E91">
        <v>88</v>
      </c>
    </row>
    <row r="92" spans="1:5" ht="15.5" x14ac:dyDescent="0.35">
      <c r="A92" s="2" t="s">
        <v>572</v>
      </c>
      <c r="E92">
        <v>89</v>
      </c>
    </row>
    <row r="93" spans="1:5" ht="15.5" x14ac:dyDescent="0.35">
      <c r="A93" s="2" t="s">
        <v>573</v>
      </c>
      <c r="E93">
        <v>90</v>
      </c>
    </row>
    <row r="94" spans="1:5" ht="15.5" x14ac:dyDescent="0.35">
      <c r="A94" s="2" t="s">
        <v>574</v>
      </c>
      <c r="E94">
        <v>91</v>
      </c>
    </row>
    <row r="95" spans="1:5" ht="15.5" x14ac:dyDescent="0.35">
      <c r="A95" s="2" t="s">
        <v>575</v>
      </c>
      <c r="E95">
        <v>92</v>
      </c>
    </row>
    <row r="96" spans="1:5" ht="15.5" x14ac:dyDescent="0.35">
      <c r="A96" s="2" t="s">
        <v>576</v>
      </c>
      <c r="E96">
        <v>93</v>
      </c>
    </row>
    <row r="97" spans="1:5" ht="15.5" x14ac:dyDescent="0.35">
      <c r="A97" s="2" t="s">
        <v>577</v>
      </c>
      <c r="E97">
        <v>94</v>
      </c>
    </row>
    <row r="98" spans="1:5" ht="15.5" x14ac:dyDescent="0.35">
      <c r="A98" s="2" t="s">
        <v>578</v>
      </c>
      <c r="E98">
        <v>95</v>
      </c>
    </row>
    <row r="99" spans="1:5" ht="15.5" x14ac:dyDescent="0.35">
      <c r="A99" s="2" t="s">
        <v>579</v>
      </c>
      <c r="E99">
        <v>96</v>
      </c>
    </row>
    <row r="100" spans="1:5" ht="15.5" x14ac:dyDescent="0.35">
      <c r="A100" s="2" t="s">
        <v>580</v>
      </c>
      <c r="E100">
        <v>97</v>
      </c>
    </row>
    <row r="101" spans="1:5" ht="15.5" x14ac:dyDescent="0.35">
      <c r="A101" s="2" t="s">
        <v>581</v>
      </c>
      <c r="E101">
        <v>98</v>
      </c>
    </row>
    <row r="102" spans="1:5" ht="15.5" x14ac:dyDescent="0.35">
      <c r="A102" s="2" t="s">
        <v>582</v>
      </c>
      <c r="E102">
        <v>99</v>
      </c>
    </row>
    <row r="103" spans="1:5" ht="15.5" x14ac:dyDescent="0.35">
      <c r="A103" s="2" t="s">
        <v>583</v>
      </c>
      <c r="E103">
        <v>100</v>
      </c>
    </row>
    <row r="104" spans="1:5" ht="15.5" x14ac:dyDescent="0.35">
      <c r="A104" s="2" t="s">
        <v>584</v>
      </c>
      <c r="E104">
        <v>101</v>
      </c>
    </row>
    <row r="105" spans="1:5" ht="15.5" x14ac:dyDescent="0.35">
      <c r="A105" s="2" t="s">
        <v>585</v>
      </c>
      <c r="E105">
        <v>102</v>
      </c>
    </row>
    <row r="106" spans="1:5" ht="15.5" x14ac:dyDescent="0.35">
      <c r="A106" s="2" t="s">
        <v>586</v>
      </c>
      <c r="E106">
        <v>103</v>
      </c>
    </row>
    <row r="107" spans="1:5" ht="15.5" x14ac:dyDescent="0.35">
      <c r="A107" s="2" t="s">
        <v>587</v>
      </c>
      <c r="E107">
        <v>104</v>
      </c>
    </row>
    <row r="108" spans="1:5" ht="15.5" x14ac:dyDescent="0.35">
      <c r="A108" s="2" t="s">
        <v>588</v>
      </c>
      <c r="E108">
        <v>105</v>
      </c>
    </row>
    <row r="109" spans="1:5" ht="15.5" x14ac:dyDescent="0.35">
      <c r="A109" s="2" t="s">
        <v>589</v>
      </c>
      <c r="E109">
        <v>106</v>
      </c>
    </row>
    <row r="110" spans="1:5" ht="15.5" x14ac:dyDescent="0.35">
      <c r="A110" s="2" t="s">
        <v>590</v>
      </c>
      <c r="E110">
        <v>107</v>
      </c>
    </row>
    <row r="111" spans="1:5" ht="15.5" x14ac:dyDescent="0.35">
      <c r="A111" s="2" t="s">
        <v>591</v>
      </c>
      <c r="E111">
        <v>108</v>
      </c>
    </row>
    <row r="112" spans="1:5" ht="15.5" x14ac:dyDescent="0.35">
      <c r="A112" s="2" t="s">
        <v>592</v>
      </c>
      <c r="E112">
        <v>109</v>
      </c>
    </row>
    <row r="113" spans="1:5" ht="15.5" x14ac:dyDescent="0.35">
      <c r="A113" s="2" t="s">
        <v>593</v>
      </c>
      <c r="E113">
        <v>110</v>
      </c>
    </row>
    <row r="114" spans="1:5" ht="15.5" x14ac:dyDescent="0.35">
      <c r="A114" s="2" t="s">
        <v>594</v>
      </c>
      <c r="E114" s="4" t="s">
        <v>595</v>
      </c>
    </row>
    <row r="115" spans="1:5" ht="15.5" x14ac:dyDescent="0.35">
      <c r="A115" s="2" t="s">
        <v>596</v>
      </c>
    </row>
    <row r="116" spans="1:5" ht="15.5" x14ac:dyDescent="0.35">
      <c r="A116" s="2" t="s">
        <v>597</v>
      </c>
    </row>
    <row r="117" spans="1:5" ht="15.5" x14ac:dyDescent="0.35">
      <c r="A117" s="2" t="s">
        <v>598</v>
      </c>
    </row>
    <row r="118" spans="1:5" ht="15.5" x14ac:dyDescent="0.35">
      <c r="A118" s="2" t="s">
        <v>599</v>
      </c>
    </row>
    <row r="119" spans="1:5" ht="15.5" x14ac:dyDescent="0.35">
      <c r="A119" s="2" t="s">
        <v>600</v>
      </c>
    </row>
    <row r="120" spans="1:5" ht="15.5" x14ac:dyDescent="0.35">
      <c r="A120" s="2" t="s">
        <v>447</v>
      </c>
    </row>
    <row r="121" spans="1:5" ht="15.5" x14ac:dyDescent="0.35">
      <c r="A121" s="2" t="s">
        <v>448</v>
      </c>
    </row>
    <row r="122" spans="1:5" ht="15.5" x14ac:dyDescent="0.35">
      <c r="A122" s="2" t="s">
        <v>449</v>
      </c>
    </row>
    <row r="123" spans="1:5" ht="15.5" x14ac:dyDescent="0.35">
      <c r="A123" s="2" t="s">
        <v>450</v>
      </c>
    </row>
    <row r="124" spans="1:5" ht="15.5" x14ac:dyDescent="0.35">
      <c r="A124" s="2" t="s">
        <v>451</v>
      </c>
    </row>
    <row r="125" spans="1:5" ht="15.5" x14ac:dyDescent="0.35">
      <c r="A125" s="2" t="s">
        <v>452</v>
      </c>
    </row>
    <row r="126" spans="1:5" ht="15.5" x14ac:dyDescent="0.35">
      <c r="A126" s="2" t="s">
        <v>453</v>
      </c>
    </row>
    <row r="127" spans="1:5" ht="15.5" x14ac:dyDescent="0.35">
      <c r="A127" s="2" t="s">
        <v>454</v>
      </c>
    </row>
    <row r="128" spans="1:5" ht="15.5" x14ac:dyDescent="0.35">
      <c r="A128" s="2" t="s">
        <v>455</v>
      </c>
    </row>
    <row r="129" spans="1:1" ht="15.5" x14ac:dyDescent="0.35">
      <c r="A129" s="2" t="s">
        <v>456</v>
      </c>
    </row>
    <row r="130" spans="1:1" ht="15.5" x14ac:dyDescent="0.35">
      <c r="A130" s="2" t="s">
        <v>457</v>
      </c>
    </row>
    <row r="131" spans="1:1" ht="15.5" x14ac:dyDescent="0.35">
      <c r="A131" s="2" t="s">
        <v>458</v>
      </c>
    </row>
    <row r="132" spans="1:1" ht="15.5" x14ac:dyDescent="0.35">
      <c r="A132" s="2" t="s">
        <v>459</v>
      </c>
    </row>
    <row r="133" spans="1:1" ht="15.5" x14ac:dyDescent="0.35">
      <c r="A133" s="2" t="s">
        <v>460</v>
      </c>
    </row>
    <row r="134" spans="1:1" ht="15.5" x14ac:dyDescent="0.35">
      <c r="A134" s="2" t="s">
        <v>461</v>
      </c>
    </row>
    <row r="135" spans="1:1" ht="15.5" x14ac:dyDescent="0.35">
      <c r="A135" s="2" t="s">
        <v>462</v>
      </c>
    </row>
    <row r="136" spans="1:1" ht="15.5" x14ac:dyDescent="0.35">
      <c r="A136" s="2" t="s">
        <v>463</v>
      </c>
    </row>
    <row r="137" spans="1:1" ht="15.5" x14ac:dyDescent="0.35">
      <c r="A137" s="2" t="s">
        <v>464</v>
      </c>
    </row>
    <row r="138" spans="1:1" ht="15.5" x14ac:dyDescent="0.35">
      <c r="A138" s="2" t="s">
        <v>465</v>
      </c>
    </row>
    <row r="139" spans="1:1" ht="15.5" x14ac:dyDescent="0.35">
      <c r="A139" s="2" t="s">
        <v>466</v>
      </c>
    </row>
    <row r="140" spans="1:1" ht="15.5" x14ac:dyDescent="0.35">
      <c r="A140" s="2" t="s">
        <v>467</v>
      </c>
    </row>
    <row r="141" spans="1:1" ht="15.5" x14ac:dyDescent="0.35">
      <c r="A141" s="2" t="s">
        <v>468</v>
      </c>
    </row>
    <row r="142" spans="1:1" ht="15.5" x14ac:dyDescent="0.35">
      <c r="A142" s="2" t="s">
        <v>469</v>
      </c>
    </row>
    <row r="143" spans="1:1" ht="15.5" x14ac:dyDescent="0.35">
      <c r="A143" s="2" t="s">
        <v>470</v>
      </c>
    </row>
    <row r="144" spans="1:1" ht="15.5" x14ac:dyDescent="0.35">
      <c r="A144" s="2" t="s">
        <v>471</v>
      </c>
    </row>
    <row r="145" spans="1:1" ht="15.5" x14ac:dyDescent="0.35">
      <c r="A145" s="2" t="s">
        <v>472</v>
      </c>
    </row>
    <row r="146" spans="1:1" ht="15.5" x14ac:dyDescent="0.35">
      <c r="A146" s="2" t="s">
        <v>473</v>
      </c>
    </row>
    <row r="147" spans="1:1" ht="15.5" x14ac:dyDescent="0.35">
      <c r="A147" s="2" t="s">
        <v>601</v>
      </c>
    </row>
    <row r="148" spans="1:1" ht="15.5" x14ac:dyDescent="0.35">
      <c r="A148" s="2" t="s">
        <v>474</v>
      </c>
    </row>
    <row r="149" spans="1:1" ht="15.5" x14ac:dyDescent="0.35">
      <c r="A149" s="2" t="s">
        <v>475</v>
      </c>
    </row>
    <row r="150" spans="1:1" ht="15.5" x14ac:dyDescent="0.35">
      <c r="A150" s="2" t="s">
        <v>476</v>
      </c>
    </row>
    <row r="151" spans="1:1" ht="15.5" x14ac:dyDescent="0.35">
      <c r="A151" s="2" t="s">
        <v>477</v>
      </c>
    </row>
    <row r="152" spans="1:1" ht="15.5" x14ac:dyDescent="0.35">
      <c r="A152" s="2" t="s">
        <v>478</v>
      </c>
    </row>
    <row r="153" spans="1:1" ht="15.5" x14ac:dyDescent="0.35">
      <c r="A153" s="2" t="s">
        <v>479</v>
      </c>
    </row>
    <row r="154" spans="1:1" ht="15.5" x14ac:dyDescent="0.35">
      <c r="A154" s="2" t="s">
        <v>480</v>
      </c>
    </row>
    <row r="155" spans="1:1" ht="15.5" x14ac:dyDescent="0.35">
      <c r="A155" s="2" t="s">
        <v>481</v>
      </c>
    </row>
    <row r="156" spans="1:1" ht="15.5" x14ac:dyDescent="0.35">
      <c r="A156" s="2" t="s">
        <v>482</v>
      </c>
    </row>
    <row r="157" spans="1:1" ht="15.5" x14ac:dyDescent="0.35">
      <c r="A157" s="2" t="s">
        <v>483</v>
      </c>
    </row>
    <row r="158" spans="1:1" ht="15.5" x14ac:dyDescent="0.35">
      <c r="A158" s="2" t="s">
        <v>484</v>
      </c>
    </row>
    <row r="159" spans="1:1" ht="15.5" x14ac:dyDescent="0.35">
      <c r="A159" s="2" t="s">
        <v>485</v>
      </c>
    </row>
    <row r="160" spans="1:1" ht="15.5" x14ac:dyDescent="0.35">
      <c r="A160" s="2" t="s">
        <v>486</v>
      </c>
    </row>
    <row r="161" spans="1:1" ht="15.5" x14ac:dyDescent="0.35">
      <c r="A161" s="2" t="s">
        <v>487</v>
      </c>
    </row>
    <row r="162" spans="1:1" ht="15.5" x14ac:dyDescent="0.35">
      <c r="A162" s="2" t="s">
        <v>488</v>
      </c>
    </row>
    <row r="163" spans="1:1" ht="15.5" x14ac:dyDescent="0.35">
      <c r="A163" s="2" t="s">
        <v>489</v>
      </c>
    </row>
    <row r="164" spans="1:1" ht="15.5" x14ac:dyDescent="0.35">
      <c r="A164" s="2" t="s">
        <v>490</v>
      </c>
    </row>
    <row r="165" spans="1:1" ht="15.5" x14ac:dyDescent="0.35">
      <c r="A165" s="2" t="s">
        <v>491</v>
      </c>
    </row>
    <row r="166" spans="1:1" ht="15.5" x14ac:dyDescent="0.35">
      <c r="A166" s="2" t="s">
        <v>492</v>
      </c>
    </row>
  </sheetData>
  <sheetProtection algorithmName="SHA-512" hashValue="d0a6XjU8ZmQOYCQhVn3lnZdBql3bedTl6hxynU07/O7yN9lXnl/sgKlgG/xXAakYhuL20rbHh3F+Fge7Kdu0rw==" saltValue="g0FRSahbXaxb4lB+GCmHhA==" spinCount="100000" sheet="1" formatColumns="0" formatRows="0" autoFilter="0"/>
  <sortState xmlns:xlrd2="http://schemas.microsoft.com/office/spreadsheetml/2017/richdata2" ref="N3:N12">
    <sortCondition ref="N3"/>
  </sortState>
  <mergeCells count="2">
    <mergeCell ref="G2:I2"/>
    <mergeCell ref="K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249977111117893"/>
    <pageSetUpPr fitToPage="1"/>
  </sheetPr>
  <dimension ref="A1:XFC1048576"/>
  <sheetViews>
    <sheetView showGridLines="0" tabSelected="1" zoomScale="50" zoomScaleNormal="50" workbookViewId="0">
      <pane ySplit="2" topLeftCell="A3" activePane="bottomLeft" state="frozen"/>
      <selection activeCell="I21" sqref="I21:K21"/>
      <selection pane="bottomLeft" activeCell="F14" sqref="F14"/>
    </sheetView>
  </sheetViews>
  <sheetFormatPr defaultColWidth="0" defaultRowHeight="14.5" zeroHeight="1" x14ac:dyDescent="0.35"/>
  <cols>
    <col min="1" max="1" width="4.81640625" customWidth="1"/>
    <col min="2" max="2" width="17.81640625" hidden="1" customWidth="1"/>
    <col min="3" max="3" width="24" bestFit="1" customWidth="1"/>
    <col min="4" max="4" width="44.81640625" customWidth="1"/>
    <col min="5" max="5" width="33.1796875" customWidth="1"/>
    <col min="6" max="6" width="24.54296875" customWidth="1"/>
    <col min="7" max="7" width="27.6328125" customWidth="1"/>
    <col min="8" max="8" width="18.54296875" customWidth="1"/>
    <col min="9" max="9" width="35.08984375" customWidth="1"/>
    <col min="10" max="10" width="30.90625" customWidth="1"/>
    <col min="11" max="11" width="35.08984375" customWidth="1"/>
    <col min="12" max="12" width="29.1796875" customWidth="1"/>
    <col min="13" max="13" width="32.36328125" customWidth="1"/>
    <col min="14" max="14" width="33.36328125" customWidth="1"/>
    <col min="15" max="15" width="28.81640625" customWidth="1"/>
    <col min="16" max="16" width="16.81640625" hidden="1" customWidth="1"/>
    <col min="17" max="17" width="7.90625" customWidth="1"/>
    <col min="18" max="16383" width="12.1796875" hidden="1"/>
    <col min="16384" max="16384" width="3.08984375" hidden="1"/>
  </cols>
  <sheetData>
    <row r="1" spans="1:40" ht="55" customHeight="1" thickBot="1" x14ac:dyDescent="0.4">
      <c r="D1" s="1084" t="str">
        <f>VLOOKUP(VLOOKUP($E$9,Language!$Q$3:$R$12,2,FALSE),Language!$D$2:$G$63,SETUP!$A$2,FALSE)</f>
        <v>Health Product Management Template - C19RM - Set up</v>
      </c>
      <c r="E1" s="1085"/>
      <c r="F1" s="1085"/>
      <c r="G1" s="1085"/>
      <c r="H1" s="1085"/>
      <c r="I1" s="1085"/>
      <c r="J1" s="1085"/>
      <c r="K1" s="1085"/>
      <c r="L1" s="1086"/>
      <c r="M1" s="782" t="str">
        <f>VLOOKUP("HPMT Fill By :",Language!$D$3:$G$63,SETUP!$A$2,FALSE)</f>
        <v>HPMT Fill By :</v>
      </c>
      <c r="N1" s="964" t="s">
        <v>2425</v>
      </c>
      <c r="O1" s="55"/>
      <c r="P1" s="55"/>
      <c r="Q1" s="64"/>
      <c r="R1" s="64"/>
      <c r="S1" s="64"/>
      <c r="T1" t="s">
        <v>2412</v>
      </c>
      <c r="U1" s="64"/>
      <c r="AN1" t="str">
        <f>PMsheet!$AH$94</f>
        <v>000P23</v>
      </c>
    </row>
    <row r="2" spans="1:40" ht="23.15" customHeight="1" thickBot="1" x14ac:dyDescent="0.4">
      <c r="A2" s="112">
        <f>IF(E5="Spanish",3,IF(E5="French",4,2))</f>
        <v>2</v>
      </c>
      <c r="B2" s="7"/>
      <c r="C2" s="7"/>
      <c r="D2" s="7"/>
      <c r="E2" s="1091" t="str">
        <f t="shared" ref="E2" ca="1" si="0">IF(R2&gt;0,"Data Missing, please refer to the cell highlighted in red color","")</f>
        <v>Data Missing, please refer to the cell highlighted in red color</v>
      </c>
      <c r="F2" s="1091"/>
      <c r="G2" s="1091"/>
      <c r="H2" s="1091"/>
      <c r="I2" s="1091"/>
      <c r="J2" s="1091"/>
      <c r="K2" s="1092"/>
      <c r="L2" s="9"/>
      <c r="M2" s="377"/>
      <c r="N2" s="9"/>
      <c r="O2" s="55"/>
      <c r="P2" s="55"/>
      <c r="Q2" s="64"/>
      <c r="R2">
        <f ca="1">SUM(R3:R67)</f>
        <v>4</v>
      </c>
      <c r="S2" s="64"/>
      <c r="T2">
        <f ca="1">IF(N1="PR",T5,J7)</f>
        <v>0</v>
      </c>
      <c r="U2" s="64"/>
    </row>
    <row r="3" spans="1:40" ht="28" customHeight="1" thickBot="1" x14ac:dyDescent="0.4">
      <c r="A3" s="113" t="str">
        <f>IF($A$2=2,Language!$E$1782,IF($A$2=3,Language!$F$1782,Language!$G$1782))</f>
        <v>Y1 Q3 cost</v>
      </c>
      <c r="C3" s="9"/>
      <c r="D3" s="783" t="str">
        <f>VLOOKUP("COUNTRY:",Language!$D$3:$G$63,SETUP!$A$2,FALSE)</f>
        <v>COUNTRY:</v>
      </c>
      <c r="E3" s="1118"/>
      <c r="F3" s="1118"/>
      <c r="G3" s="1119"/>
      <c r="H3" s="8"/>
      <c r="I3" s="781" t="str">
        <f>VLOOKUP("GRANT NUMBER:",Language!$D$3:$G$63,SETUP!$A$2,FALSE)</f>
        <v>GRANT NUMBER:</v>
      </c>
      <c r="J3" s="1120"/>
      <c r="K3" s="1121"/>
      <c r="L3" s="1122"/>
      <c r="M3" s="1100"/>
      <c r="N3" s="1101"/>
      <c r="O3" s="82"/>
      <c r="P3" s="83"/>
      <c r="Q3" s="83"/>
      <c r="R3" s="403">
        <f>IF(AND(N1="PR",GRAN_NO="",M3=""),1,0)</f>
        <v>1</v>
      </c>
      <c r="S3" s="64"/>
      <c r="T3">
        <f>IF(GRAN_NO="NA",M3,GRAN_NO)</f>
        <v>0</v>
      </c>
      <c r="U3" s="64"/>
    </row>
    <row r="4" spans="1:40" s="278" customFormat="1" ht="28" customHeight="1" thickBot="1" x14ac:dyDescent="0.4">
      <c r="A4" s="387"/>
      <c r="B4" s="188"/>
      <c r="C4" s="188"/>
      <c r="D4" s="592" t="str">
        <f>VLOOKUP("Type the first few letters of your country name, click enter, then use the dropdown menu to select your country",Language!$D$3:$G$63,SETUP!$A$2,FALSE)</f>
        <v>Type the first few letters of your country name, click enter, then use the dropdown menu to select your country</v>
      </c>
      <c r="E4" s="589"/>
      <c r="F4" s="589"/>
      <c r="G4" s="589"/>
      <c r="H4" s="388"/>
      <c r="I4" s="592" t="str">
        <f>VLOOKUP("Choose the grant from the dropdown menu",Language!$D$3:$G$63,SETUP!$A$2,FALSE)</f>
        <v>Choose the grant from the dropdown menu</v>
      </c>
      <c r="J4" s="589"/>
      <c r="K4" s="589"/>
      <c r="L4" s="589"/>
      <c r="M4" s="1102" t="str">
        <f>VLOOKUP("Please Fill Grant Number in box below, if NA in List",Language!$D$3:$G$63,SETUP!$A$2,FALSE)</f>
        <v>Please Fill Grant Number in box below, if NA in List</v>
      </c>
      <c r="N4" s="1103"/>
      <c r="O4" s="389"/>
      <c r="P4" s="389"/>
      <c r="Q4" s="389"/>
      <c r="R4" s="389"/>
      <c r="S4" s="390"/>
      <c r="T4" s="390" t="s">
        <v>2692</v>
      </c>
      <c r="U4" s="390"/>
    </row>
    <row r="5" spans="1:40" ht="28" customHeight="1" thickBot="1" x14ac:dyDescent="0.4">
      <c r="A5" s="30"/>
      <c r="B5" s="9"/>
      <c r="C5" s="9"/>
      <c r="D5" s="783" t="str">
        <f>VLOOKUP("LANGUAGE:",Language!$D$3:$G$63,SETUP!$A$2,FALSE)</f>
        <v>LANGUAGE:</v>
      </c>
      <c r="E5" s="1087"/>
      <c r="F5" s="1088"/>
      <c r="G5" s="1089"/>
      <c r="H5" s="8"/>
      <c r="I5" s="781" t="str">
        <f>VLOOKUP("PR:",Language!$D$3:$G$63,SETUP!$A$2,FALSE)</f>
        <v xml:space="preserve">PR: </v>
      </c>
      <c r="J5" s="1123" t="str" cm="1">
        <f t="array" aca="1" ref="J5" ca="1">IFERROR(OFFSET(Grant[PR Organization],MATCH(SETUP!E3&amp;SETUP!J3,Grant[Country]&amp;Grant[GrantName],0)-1,0,COUNTIFS(Grant[Country],SETUP!E3,Grant[GrantName],SETUP!J3),1),"NA")</f>
        <v>NA</v>
      </c>
      <c r="K5" s="1124"/>
      <c r="L5" s="1125"/>
      <c r="M5" s="1100"/>
      <c r="N5" s="1101"/>
      <c r="O5" s="83"/>
      <c r="P5" s="403"/>
      <c r="Q5" s="83"/>
      <c r="R5" s="403">
        <f ca="1">IF(AND(N1="SR/Implementer",J5="",M5=""),1,0)</f>
        <v>0</v>
      </c>
      <c r="S5" s="64"/>
      <c r="T5">
        <f ca="1">IF(J5="NA",M5,J5)</f>
        <v>0</v>
      </c>
      <c r="U5" s="64"/>
    </row>
    <row r="6" spans="1:40" ht="28" customHeight="1" thickBot="1" x14ac:dyDescent="0.4">
      <c r="A6" s="110"/>
      <c r="B6" s="9"/>
      <c r="C6" s="9"/>
      <c r="D6" s="592" t="str">
        <f>VLOOKUP("Choose your preferred language from the dropdown menu - English, French, Spanish",Language!$D$3:$G$63,SETUP!$A$2,FALSE)</f>
        <v>Choose your preferred language from the dropdown menu - English, French, Spanish</v>
      </c>
      <c r="E6" s="470"/>
      <c r="F6" s="470"/>
      <c r="G6" s="470"/>
      <c r="H6" s="9"/>
      <c r="I6" s="1096" t="str">
        <f>VLOOKUP("If PR name in J5 is not populated automatically or if value is NA or if PR name is incorrect, please indicate the PR name manually in the field M5",Language!$D$3:$G$63,SETUP!$A$2,FALSE)</f>
        <v>If PR name in J5 is not populated automatically or if value is NA or if PR name is incorrect, please indicate the PR name manually in the field M5</v>
      </c>
      <c r="J6" s="1096"/>
      <c r="K6" s="1096"/>
      <c r="L6" s="1096"/>
      <c r="M6" s="1090"/>
      <c r="N6" s="1090"/>
      <c r="O6" s="391"/>
      <c r="P6" s="403"/>
      <c r="Q6" s="83"/>
      <c r="R6" s="83"/>
      <c r="S6" s="64"/>
      <c r="T6" s="64"/>
      <c r="U6" s="64"/>
    </row>
    <row r="7" spans="1:40" ht="28" customHeight="1" thickBot="1" x14ac:dyDescent="0.4">
      <c r="A7" s="30"/>
      <c r="B7" s="9"/>
      <c r="C7" s="9"/>
      <c r="D7" s="783" t="str">
        <f>VLOOKUP("GRANT CURRENCY:",Language!$D$3:$G$63,SETUP!$A$2,FALSE)</f>
        <v xml:space="preserve">GRANT CURRENCY: </v>
      </c>
      <c r="E7" s="1093"/>
      <c r="F7" s="1094"/>
      <c r="G7" s="1095"/>
      <c r="I7" s="780" t="str">
        <f>VLOOKUP("SR/Implementer:",Language!$D$3:$G$67,SETUP!$A$2,FALSE)</f>
        <v>SR/Implementer:</v>
      </c>
      <c r="J7" s="1080"/>
      <c r="K7" s="1081"/>
      <c r="L7" s="1082"/>
      <c r="M7" s="1083"/>
      <c r="N7" s="1083"/>
      <c r="O7" s="391"/>
      <c r="P7" s="83"/>
      <c r="Q7" s="83"/>
      <c r="R7" s="403">
        <f>IF(AND(N1="SR/Implementer",J7=""),1,0)</f>
        <v>0</v>
      </c>
      <c r="S7" s="64"/>
      <c r="T7" s="64"/>
      <c r="U7" s="64"/>
    </row>
    <row r="8" spans="1:40" ht="28" customHeight="1" thickBot="1" x14ac:dyDescent="0.4">
      <c r="A8" s="30"/>
      <c r="B8" s="9"/>
      <c r="C8" s="9"/>
      <c r="D8" s="592" t="str">
        <f>VLOOKUP("Please select the grant currency (automatically populated value can be changed)",Language!$D$3:$G$63,SETUP!$A$2,FALSE)</f>
        <v>Please select the grant currency (automatically populated value can be changed)</v>
      </c>
      <c r="E8" s="470"/>
      <c r="F8" s="470"/>
      <c r="G8" s="470"/>
      <c r="I8" s="592" t="str">
        <f>VLOOKUP("Fill the SR/Implementer name in cell J7",Language!$D$3:$G$67,SETUP!$A$2,FALSE)</f>
        <v>Fill the SR/Implementer name in cell J7</v>
      </c>
      <c r="J8" s="470"/>
      <c r="K8" s="470"/>
      <c r="L8" s="470"/>
      <c r="M8" s="1090"/>
      <c r="N8" s="1090"/>
      <c r="O8" s="392"/>
      <c r="P8" s="404"/>
      <c r="Q8" s="84"/>
      <c r="R8" s="619">
        <f>IF(D14="",1,0)</f>
        <v>0</v>
      </c>
      <c r="S8" s="316">
        <v>0</v>
      </c>
      <c r="T8" s="64"/>
      <c r="U8" s="64"/>
    </row>
    <row r="9" spans="1:40" ht="28.5" customHeight="1" thickBot="1" x14ac:dyDescent="0.4">
      <c r="A9" s="30"/>
      <c r="B9" s="9"/>
      <c r="C9" s="9"/>
      <c r="D9" s="783" t="str">
        <f>VLOOKUP("COMPONENT:",Language!$D$3:$G$63,SETUP!$A$2,FALSE)</f>
        <v>COMPONENT:</v>
      </c>
      <c r="E9" s="1073" t="s">
        <v>83</v>
      </c>
      <c r="F9" s="1074"/>
      <c r="G9" s="1075"/>
      <c r="I9" s="777" t="str">
        <f>VLOOKUP("PR CONTACT:",Language!$D$3:$G$63,SETUP!$A$2,FALSE)</f>
        <v>PR CONTACT:</v>
      </c>
      <c r="J9" s="1048" t="str">
        <f>VLOOKUP("Full name:",Language!$D$3:$G$63,SETUP!$A$2,FALSE)</f>
        <v xml:space="preserve">Full name: </v>
      </c>
      <c r="K9" s="1048"/>
      <c r="L9" s="1049"/>
      <c r="M9" s="1110"/>
      <c r="N9" s="1111"/>
      <c r="O9" s="85"/>
      <c r="P9" s="85"/>
      <c r="Q9" s="85"/>
      <c r="R9" s="1036">
        <f>IF(Language="",1,0)</f>
        <v>1</v>
      </c>
      <c r="S9" s="316">
        <v>1</v>
      </c>
      <c r="T9" s="64"/>
      <c r="U9" s="64"/>
    </row>
    <row r="10" spans="1:40" ht="15" customHeight="1" x14ac:dyDescent="0.35">
      <c r="A10" s="30"/>
      <c r="B10" s="9"/>
      <c r="C10" s="9"/>
      <c r="D10" s="593" t="str">
        <f>VLOOKUP("This field is defaulted to the version of the template that you have chosen to use",Language!$D$3:$G$63,SETUP!$A$2,FALSE)</f>
        <v>This field is defaulted to the version of the template that you have chosen to use</v>
      </c>
      <c r="E10" s="470"/>
      <c r="F10" s="470"/>
      <c r="G10" s="470"/>
      <c r="I10" s="778"/>
      <c r="J10" s="1050" t="str">
        <f>VLOOKUP("Position:",Language!$D$3:$G$63,SETUP!$A$2,FALSE)</f>
        <v xml:space="preserve">Position: </v>
      </c>
      <c r="K10" s="1050"/>
      <c r="L10" s="1051"/>
      <c r="M10" s="1112"/>
      <c r="N10" s="1113"/>
      <c r="O10" s="85"/>
      <c r="P10" s="85"/>
      <c r="Q10" s="85"/>
      <c r="R10" s="1036">
        <f>IF(E5="",1,0)</f>
        <v>1</v>
      </c>
      <c r="S10" s="316">
        <v>2</v>
      </c>
      <c r="T10" s="64"/>
      <c r="U10" s="64"/>
    </row>
    <row r="11" spans="1:40" ht="15" thickBot="1" x14ac:dyDescent="0.4">
      <c r="A11" s="45"/>
      <c r="B11" s="9"/>
      <c r="C11" s="9"/>
      <c r="I11" s="779"/>
      <c r="J11" s="1054" t="str">
        <f>VLOOKUP("Email:",Language!$D$3:$G$63,SETUP!$A$2,FALSE)</f>
        <v xml:space="preserve">Email: </v>
      </c>
      <c r="K11" s="1054"/>
      <c r="L11" s="1055"/>
      <c r="M11" s="1065"/>
      <c r="N11" s="1066"/>
      <c r="O11" s="85"/>
      <c r="P11" s="85"/>
      <c r="Q11" s="85"/>
      <c r="R11" s="1036">
        <f>IF(E7="",1,0)</f>
        <v>1</v>
      </c>
      <c r="S11" s="316">
        <v>3</v>
      </c>
      <c r="T11" s="64"/>
      <c r="U11" s="64"/>
    </row>
    <row r="12" spans="1:40" ht="30.5" customHeight="1" thickBot="1" x14ac:dyDescent="0.4">
      <c r="D12" s="811" t="str">
        <f>VLOOKUP("USD Conversion Rate (for the Implementation Period)",Language!$D$3:$G$63,SETUP!$A$2,FALSE)</f>
        <v>USD Conversion Rate (for the Implementation Period)</v>
      </c>
      <c r="E12" s="54"/>
      <c r="F12" s="87" t="str">
        <f>E3&amp;"_"&amp;E9&amp;"_"&amp;E7</f>
        <v>_C19RM_</v>
      </c>
      <c r="G12" s="87"/>
      <c r="I12" s="470"/>
      <c r="J12" s="595"/>
      <c r="K12" s="470"/>
      <c r="L12" s="470"/>
      <c r="N12" s="393"/>
      <c r="O12" s="85"/>
      <c r="P12" s="85"/>
      <c r="Q12" s="64"/>
      <c r="R12" s="64"/>
      <c r="S12" s="316">
        <v>4</v>
      </c>
      <c r="T12" s="64"/>
      <c r="U12" s="64"/>
    </row>
    <row r="13" spans="1:40" ht="18" customHeight="1" x14ac:dyDescent="0.35">
      <c r="C13" s="8"/>
      <c r="D13" s="812" t="str">
        <f>IF(D14="","","1 USD = "&amp;D14&amp;" EUR")</f>
        <v>1 USD = 1.0065 EUR</v>
      </c>
      <c r="I13" s="1058" t="str">
        <f>VLOOKUP("Implementation Period Start Date (DD-MMM-YYYY):",Language!$D$3:$G$63,SETUP!$A$2,FALSE)</f>
        <v>Implementation Period Start Date (DD-MMM-YYYY):</v>
      </c>
      <c r="J13" s="1059"/>
      <c r="K13" s="1060"/>
      <c r="L13" s="799">
        <v>44197</v>
      </c>
      <c r="M13" s="316"/>
      <c r="N13" s="381"/>
      <c r="P13" s="85"/>
      <c r="Q13" s="64"/>
      <c r="R13" s="64"/>
      <c r="S13" s="316"/>
      <c r="T13" s="64"/>
      <c r="U13" s="64"/>
    </row>
    <row r="14" spans="1:40" ht="25.5" customHeight="1" thickBot="1" x14ac:dyDescent="0.4">
      <c r="C14" s="8"/>
      <c r="D14" s="594">
        <v>1.0065</v>
      </c>
      <c r="E14" s="797"/>
      <c r="H14" s="784"/>
      <c r="I14" s="1104" t="str">
        <f>VLOOKUP("Implementation Period End Date (DD-MMM-YYYY):",Language!$D$3:$G$63,SETUP!$A$2,FALSE)</f>
        <v>Implementation Period End Date (DD-MMM-YYYY):</v>
      </c>
      <c r="J14" s="1105"/>
      <c r="K14" s="1106"/>
      <c r="L14" s="799">
        <v>46022</v>
      </c>
      <c r="P14" s="85"/>
      <c r="Q14" s="64"/>
      <c r="R14" s="64"/>
      <c r="S14" s="316"/>
      <c r="T14" s="64"/>
      <c r="U14" s="64"/>
    </row>
    <row r="15" spans="1:40" ht="15" thickBot="1" x14ac:dyDescent="0.4">
      <c r="C15" s="8"/>
      <c r="H15" s="190"/>
      <c r="I15" s="785"/>
      <c r="J15" s="470"/>
      <c r="K15" s="470"/>
      <c r="L15" s="470"/>
      <c r="P15" s="85"/>
      <c r="Q15" s="64"/>
      <c r="R15" s="64"/>
      <c r="S15" s="316"/>
      <c r="T15" s="64"/>
      <c r="U15" s="64"/>
    </row>
    <row r="16" spans="1:40" ht="15" thickBot="1" x14ac:dyDescent="0.4">
      <c r="I16" s="29"/>
      <c r="J16" s="790" t="str">
        <f>VLOOKUP("Grant Period",Language!$D$3:$G$63,SETUP!$A$2,FALSE)</f>
        <v>Grant Period</v>
      </c>
      <c r="K16" s="791" t="str">
        <f>VLOOKUP("Year 1",Language!$D$3:$G$63,SETUP!$A$2,FALSE)</f>
        <v>Year 1</v>
      </c>
      <c r="L16" s="791" t="str">
        <f>VLOOKUP("Year 2",Language!$D$3:$G$63,SETUP!$A$2,FALSE)</f>
        <v>Year 2</v>
      </c>
      <c r="M16" s="791" t="str">
        <f>VLOOKUP("Year 3",Language!$D$3:$G$63,SETUP!$A$2,FALSE)</f>
        <v>Year 3</v>
      </c>
      <c r="N16" s="792" t="str">
        <f>VLOOKUP("Year 4",Language!$D$3:$G$63,SETUP!$A$2,FALSE)</f>
        <v>Year 4</v>
      </c>
      <c r="O16" s="792" t="s">
        <v>2735</v>
      </c>
      <c r="P16" s="792" t="s">
        <v>2736</v>
      </c>
      <c r="Q16" s="64"/>
      <c r="R16" s="64"/>
      <c r="S16" s="316"/>
      <c r="T16" s="64"/>
      <c r="U16" s="64"/>
    </row>
    <row r="17" spans="1:26" ht="13.5" customHeight="1" x14ac:dyDescent="0.35">
      <c r="C17" s="1067" t="str">
        <f>VLOOKUP("PROCUREMENT ENTITY",Language!$D$3:$G$64,SETUP!$A$2,FALSE)</f>
        <v>PROCUREMENT ENTITY</v>
      </c>
      <c r="D17" s="1068"/>
      <c r="E17" s="1068"/>
      <c r="F17" s="1068"/>
      <c r="G17" s="1068"/>
      <c r="H17" s="1069"/>
      <c r="I17" s="80"/>
      <c r="J17" s="800" t="str">
        <f>VLOOKUP("Start Date",Language!$D$3:$G$63,SETUP!$A$2,FALSE)</f>
        <v>Start Date</v>
      </c>
      <c r="K17" s="798">
        <f>IF(IMP_ST_DATE="","",IMP_ST_DATE)</f>
        <v>44197</v>
      </c>
      <c r="L17" s="798">
        <f>IF($K$18="","",IF(($K$18+1)&gt;$L$14,"",( $K$18+1)))</f>
        <v>44378</v>
      </c>
      <c r="M17" s="798">
        <f>IF($L$18="","",IF(($L$18+1)&gt;$L$14,"",($L$18+1)))</f>
        <v>44743</v>
      </c>
      <c r="N17" s="798">
        <f>IF($M$18="","",IF(($M$18+1)&gt;$L$14,"",($M$18+1)))</f>
        <v>45108</v>
      </c>
      <c r="O17" s="798">
        <f>IF($N$18="","",IF(($N$18+1)&gt;$L$14,"",($N$18+1)))</f>
        <v>45474</v>
      </c>
      <c r="P17" s="798" t="str">
        <f>IF($O$18="","",IF(($O$18+1)&gt;$L$14,"",($O$18+1)))</f>
        <v/>
      </c>
      <c r="Q17" s="64"/>
      <c r="R17" s="64"/>
      <c r="S17" s="316"/>
      <c r="T17" s="64"/>
      <c r="U17" s="64"/>
    </row>
    <row r="18" spans="1:26" ht="15" thickBot="1" x14ac:dyDescent="0.4">
      <c r="B18" s="48"/>
      <c r="C18" s="1070"/>
      <c r="D18" s="1071"/>
      <c r="E18" s="1071"/>
      <c r="F18" s="1071"/>
      <c r="G18" s="1071"/>
      <c r="H18" s="1072"/>
      <c r="I18" s="81" t="s">
        <v>86</v>
      </c>
      <c r="J18" s="801" t="str">
        <f>VLOOKUP("End Date",Language!$D$3:$G$63,SETUP!$A$2,FALSE)</f>
        <v>End Date</v>
      </c>
      <c r="K18" s="799">
        <v>44377</v>
      </c>
      <c r="L18" s="798">
        <f>IF(IFERROR(EDATE($L$17-1,12),)&gt;$L$14,$L$14,IFERROR(EDATE($L$17-1,12),""))</f>
        <v>44742</v>
      </c>
      <c r="M18" s="798">
        <f>IF(IFERROR(EDATE($M$17-1,12),)&gt;$L$14,$L$14,IFERROR(EDATE($M$17-1,12),""))</f>
        <v>45107</v>
      </c>
      <c r="N18" s="798">
        <f>IF(IFERROR(EDATE($N$17-1,12),)&gt;$L$14,$L$14,IFERROR(EDATE($N$17-1,12),""))</f>
        <v>45473</v>
      </c>
      <c r="O18" s="798">
        <f>IF(IF(IFERROR(EDATE($O$17-1,12),)&gt;$L$14,$L$14,IFERROR(EDATE($O$17-1,12),""))="","",IF(IF(IFERROR(EDATE($O$17-1,12),)&gt;$L$14,$L$14,IFERROR(EDATE($O$17-1,12),""))&lt;&gt;$L$14,$L$14,IF(IFERROR(EDATE($O$17-1,12),)&gt;$L$14,$L$14,IFERROR(EDATE($O$17-1,12),""))))</f>
        <v>46022</v>
      </c>
      <c r="P18" s="798" t="str">
        <f>IF(IFERROR(EDATE($P$17-1,12),)&gt;$L$14,$L$14,IFERROR(EDATE($P$17-1,12),""))</f>
        <v/>
      </c>
      <c r="Q18" s="64"/>
      <c r="R18" s="64"/>
      <c r="S18" s="316"/>
      <c r="T18" s="64"/>
      <c r="U18" s="316">
        <f>_xlfn.CEILING.MATH(((YEAR($K$18)*12+MONTH($K$18))-(YEAR($K$17)*12+MONTH($K$17)))/3)</f>
        <v>2</v>
      </c>
      <c r="V18" s="361">
        <f>IF($L$18="","",(U18+(_xlfn.CEILING.MATH(((YEAR($L$18)*12+MONTH($L$18))-(YEAR($L$17)*12+MONTH($L$17)))/3))))</f>
        <v>6</v>
      </c>
      <c r="W18" s="316">
        <f>IF($M$18="","",(V18+(_xlfn.CEILING.MATH(((YEAR($M$18)*12+MONTH($M$18))-(YEAR($M$17)*12+MONTH($M$17)))/3))))</f>
        <v>10</v>
      </c>
      <c r="X18" s="316">
        <f>IF($N$18="","",(W18+(_xlfn.CEILING.MATH(((YEAR($N$18)*12+MONTH($N$18))-(YEAR($N$17)*12+MONTH($N$17)))/3))))</f>
        <v>14</v>
      </c>
      <c r="Y18" s="316">
        <f>IF($O$18="","",(X18+(_xlfn.CEILING.MATH(((YEAR($O$18)*12+MONTH($O$18))-(YEAR($O$17)*12+MONTH($O$17)))/3))))</f>
        <v>20</v>
      </c>
      <c r="Z18" t="str">
        <f>IF($P$18="","",(Y18+(_xlfn.CEILING.MATH(((YEAR($P$18)*12+MONTH($P$18))-(YEAR($P$17)*12+MONTH($P$17)))/3))))</f>
        <v/>
      </c>
    </row>
    <row r="19" spans="1:26" ht="44.5" customHeight="1" thickBot="1" x14ac:dyDescent="0.4">
      <c r="C19" s="786" t="str">
        <f>VLOOKUP("HPMT Worksheet",Language!$D$3:$G$64,SETUP!$A$2,FALSE)</f>
        <v>HPMT Worksheet</v>
      </c>
      <c r="D19" s="787" t="str">
        <f>VLOOKUP("HPM Category",Language!$D$3:$G$64,SETUP!$A$2,FALSE)</f>
        <v>HPM Category</v>
      </c>
      <c r="E19" s="786" t="str">
        <f>VLOOKUP("Procurement Channel",Language!$D$3:$G$64,SETUP!$A$2,FALSE)</f>
        <v>Procurement Channel</v>
      </c>
      <c r="F19" s="786" t="str">
        <f>VLOOKUP("Timing of disbursements from the Global Fund",Language!$D$3:$G$64,SETUP!$A$2,FALSE)</f>
        <v>Timing of disbursements from the Global Fund</v>
      </c>
      <c r="G19" s="786" t="str">
        <f>VLOOKUP("Delivery Lead Time (in quarters) (Min=1 &amp; Max=4)",Language!$D$3:$G$64,SETUP!$A$2,FALSE)</f>
        <v>Delivery Lead Time (in quarters) (Min=1 &amp; Max=4)</v>
      </c>
      <c r="H19" s="788" t="str">
        <f>VLOOKUP("In Country HPM Cost Modality",Language!$D$3:G$64,SETUP!$A$2,FALSE)</f>
        <v>In Country HPM Cost Modality</v>
      </c>
      <c r="I19" s="379"/>
      <c r="J19" s="1061" t="str">
        <f>VLOOKUP("If your grant starts or ends within a quarter, or if the implementation period is different from the country's fiscal year, please enter the end date for year 1 of the grant. End Date of the year should be 31-Mar, 30-Jun, 30-Sep, 31-Dec only",Language!$D$3:$G$63,SETUP!$A$2,FALSE)</f>
        <v>If your grant starts or ends within a quarter, or if the implementation period is different from the country's fiscal year, please enter the end date for year 1 of the grant. End Date of the year should be 31-Mar, 30-Jun, 30-Sep, 31-Dec only</v>
      </c>
      <c r="K19" s="1062"/>
      <c r="L19" s="1062"/>
      <c r="M19" s="1063"/>
      <c r="N19" s="1064"/>
      <c r="O19" s="6" t="s">
        <v>60</v>
      </c>
      <c r="P19" s="316"/>
      <c r="Q19" s="316"/>
      <c r="S19" s="316"/>
      <c r="T19" s="64"/>
      <c r="U19" s="316" t="str">
        <f>IF(K18&lt;&gt;"","Y1","")</f>
        <v>Y1</v>
      </c>
      <c r="V19" s="316" t="s">
        <v>2002</v>
      </c>
    </row>
    <row r="20" spans="1:26" ht="22.5" customHeight="1" thickBot="1" x14ac:dyDescent="0.4">
      <c r="B20" s="813" t="s">
        <v>2751</v>
      </c>
      <c r="C20" s="1076" t="s">
        <v>83</v>
      </c>
      <c r="D20" s="966" t="s">
        <v>32</v>
      </c>
      <c r="E20" s="1012" t="s">
        <v>97</v>
      </c>
      <c r="F20" s="1018" t="s">
        <v>121</v>
      </c>
      <c r="G20" s="967">
        <v>1</v>
      </c>
      <c r="H20" s="967" t="s">
        <v>89</v>
      </c>
      <c r="I20" s="316"/>
      <c r="J20" s="1017" t="str">
        <f>VLOOKUP("Funding",Language!$D$3:$G$69,SETUP!$A$2,FALSE)</f>
        <v>Funding</v>
      </c>
      <c r="K20" s="1078" t="s">
        <v>3781</v>
      </c>
      <c r="L20" s="1079"/>
      <c r="M20" s="316"/>
      <c r="N20" s="316"/>
      <c r="O20" s="316"/>
      <c r="P20" s="316"/>
      <c r="Q20" s="316"/>
      <c r="R20">
        <f>IF(AND(S20&gt;0,T20&gt;0),1,0)</f>
        <v>0</v>
      </c>
      <c r="S20" s="316" cm="1">
        <f t="array" ref="S20">SUMPRODUCT(('Cashflow Summary C19RM'!$D$5:$D$300=D20)*('Cashflow Summary C19RM'!$BF$5:$BF$300))</f>
        <v>0</v>
      </c>
      <c r="T20">
        <f>COUNTBLANK(D20:H20)</f>
        <v>0</v>
      </c>
      <c r="U20" s="316" t="str">
        <f>IF(V18=U18,"",IF(L18&lt;&gt;"","Y2",""))</f>
        <v>Y2</v>
      </c>
      <c r="V20" s="316"/>
    </row>
    <row r="21" spans="1:26" ht="19" customHeight="1" x14ac:dyDescent="0.35">
      <c r="A21" s="55" t="s">
        <v>90</v>
      </c>
      <c r="B21" s="814" t="s">
        <v>2750</v>
      </c>
      <c r="C21" s="1077"/>
      <c r="D21" s="972" t="s">
        <v>11</v>
      </c>
      <c r="E21" s="1013" t="s">
        <v>97</v>
      </c>
      <c r="F21" s="1019" t="s">
        <v>121</v>
      </c>
      <c r="G21" s="969">
        <v>1</v>
      </c>
      <c r="H21" s="1022" t="s">
        <v>89</v>
      </c>
      <c r="I21" s="316"/>
      <c r="J21" s="593" t="str">
        <f>VLOOKUP("Please select the funding details from dropdown menu",Language!$D$3:$G$69,SETUP!$A$2,FALSE)</f>
        <v>Please select the funding details from dropdown menu</v>
      </c>
      <c r="L21" s="316"/>
      <c r="M21" s="316"/>
      <c r="N21" s="316"/>
      <c r="O21" s="316"/>
      <c r="P21" s="316"/>
      <c r="Q21" s="316"/>
      <c r="R21">
        <f t="shared" ref="R21:R67" si="1">IF(AND(S21&gt;0,T21&gt;0),1,0)</f>
        <v>0</v>
      </c>
      <c r="S21" s="316" cm="1">
        <f t="array" ref="S21">SUMPRODUCT(('Cashflow Summary C19RM'!$D$5:$D$300=D21)*('Cashflow Summary C19RM'!$BF$5:$BF$300))</f>
        <v>0</v>
      </c>
      <c r="T21">
        <f t="shared" ref="T21:T67" si="2">COUNTBLANK(D21:H21)</f>
        <v>0</v>
      </c>
      <c r="U21" s="316" t="str">
        <f>IF(W18=V18,"",IF(M18&lt;&gt;"","Y3",""))</f>
        <v>Y3</v>
      </c>
      <c r="V21" s="316"/>
    </row>
    <row r="22" spans="1:26" ht="22" customHeight="1" thickBot="1" x14ac:dyDescent="0.4">
      <c r="A22" s="55"/>
      <c r="B22" s="814" t="s">
        <v>2750</v>
      </c>
      <c r="C22" s="1077"/>
      <c r="D22" s="970" t="s">
        <v>15</v>
      </c>
      <c r="E22" s="1014" t="s">
        <v>97</v>
      </c>
      <c r="F22" s="1020" t="s">
        <v>121</v>
      </c>
      <c r="G22" s="971">
        <v>1</v>
      </c>
      <c r="H22" s="971" t="s">
        <v>89</v>
      </c>
      <c r="I22" s="316"/>
      <c r="J22" s="965" t="str">
        <f>VLOOKUP("Version Table",Language!$D$3:$G$63,SETUP!$A$2,FALSE)</f>
        <v>Version Table</v>
      </c>
      <c r="L22" s="316"/>
      <c r="M22" s="316"/>
      <c r="N22" s="316"/>
      <c r="O22" s="316"/>
      <c r="P22" s="316"/>
      <c r="Q22" s="316"/>
      <c r="R22">
        <f t="shared" si="1"/>
        <v>0</v>
      </c>
      <c r="S22" s="316" cm="1">
        <f t="array" ref="S22">SUMPRODUCT(('Cashflow Summary C19RM'!$D$5:$D$300=D22)*('Cashflow Summary C19RM'!$BF$5:$BF$300))</f>
        <v>0</v>
      </c>
      <c r="T22">
        <f t="shared" si="2"/>
        <v>0</v>
      </c>
      <c r="U22" s="316" t="str">
        <f>IF(X18=W18,"", IF(N18&lt;&gt;"","Y4",""))</f>
        <v>Y4</v>
      </c>
      <c r="V22" s="316"/>
    </row>
    <row r="23" spans="1:26" ht="23" customHeight="1" x14ac:dyDescent="0.35">
      <c r="A23" s="55" t="s">
        <v>92</v>
      </c>
      <c r="B23" s="814" t="s">
        <v>2750</v>
      </c>
      <c r="C23" s="1077"/>
      <c r="D23" s="968" t="s">
        <v>13</v>
      </c>
      <c r="E23" s="1013" t="s">
        <v>97</v>
      </c>
      <c r="F23" s="1019" t="s">
        <v>121</v>
      </c>
      <c r="G23" s="969">
        <v>1</v>
      </c>
      <c r="H23" s="1022" t="s">
        <v>89</v>
      </c>
      <c r="I23" s="316"/>
      <c r="J23" s="1041" t="str">
        <f>VLOOKUP("Version",Language!$D$3:$G$63,$A$2,FALSE)</f>
        <v>Version</v>
      </c>
      <c r="K23" s="1041" t="str">
        <f>VLOOKUP("Submitted by PR/SR (Auto Filled By PR/SR)",Language!$D$3:$G$63,$A$2,FALSE)</f>
        <v>Submitted by PR/SR (Auto Filled By PR/SR)</v>
      </c>
      <c r="L23" s="1041" t="str">
        <f>VLOOKUP("Submission Date(Filled By PR/SR)",Language!$D$3:$G$63,$A$2,FALSE)</f>
        <v>Submission Date(Filled By PR/SR)</v>
      </c>
      <c r="M23" s="1041" t="str">
        <f>VLOOKUP("Approved by HPM Name",Language!$D$3:$G$63,$A$2,FALSE)</f>
        <v>Approved by HPM Name</v>
      </c>
      <c r="N23" s="1041" t="str">
        <f>VLOOKUP("HPM Approval Date- Filled by HPM",Language!$D$3:$G$63,$A$2,FALSE)</f>
        <v>HPM Approval Date- Filled by HPM</v>
      </c>
      <c r="O23" s="316"/>
      <c r="P23" s="316"/>
      <c r="Q23" s="316"/>
      <c r="R23">
        <f t="shared" si="1"/>
        <v>0</v>
      </c>
      <c r="S23" s="316" cm="1">
        <f t="array" ref="S23">SUMPRODUCT(('Cashflow Summary C19RM'!$D$5:$D$300=D23)*('Cashflow Summary C19RM'!$BF$5:$BF$300))</f>
        <v>0</v>
      </c>
      <c r="T23">
        <f t="shared" si="2"/>
        <v>0</v>
      </c>
      <c r="U23" s="316" t="str">
        <f>IF(Y18=X18,"", IF(O18&lt;&gt;"","Y5",""))</f>
        <v>Y5</v>
      </c>
      <c r="V23" s="316"/>
    </row>
    <row r="24" spans="1:26" ht="20" customHeight="1" x14ac:dyDescent="0.35">
      <c r="A24" s="55"/>
      <c r="B24" s="814" t="s">
        <v>2750</v>
      </c>
      <c r="C24" s="1077"/>
      <c r="D24" s="973" t="s">
        <v>17</v>
      </c>
      <c r="E24" s="1014" t="s">
        <v>97</v>
      </c>
      <c r="F24" s="1020" t="s">
        <v>121</v>
      </c>
      <c r="G24" s="971">
        <v>1</v>
      </c>
      <c r="H24" s="971" t="s">
        <v>89</v>
      </c>
      <c r="I24" s="316"/>
      <c r="J24" s="1042"/>
      <c r="K24" s="1042"/>
      <c r="L24" s="1042"/>
      <c r="M24" s="1042"/>
      <c r="N24" s="1042"/>
      <c r="O24" s="316"/>
      <c r="P24" s="316"/>
      <c r="Q24" s="316"/>
      <c r="R24">
        <f t="shared" si="1"/>
        <v>0</v>
      </c>
      <c r="S24" s="316" cm="1">
        <f t="array" ref="S24">SUMPRODUCT(('Cashflow Summary C19RM'!$D$5:$D$300=D24)*('Cashflow Summary C19RM'!$BF$5:$BF$300))</f>
        <v>0</v>
      </c>
      <c r="T24">
        <f t="shared" si="2"/>
        <v>0</v>
      </c>
      <c r="U24" s="316" t="str">
        <f>IF(U23&lt;&gt;"",U23,IF(U22&lt;&gt;"",U22,IF(U21&lt;&gt;"",U21,IF(U20&lt;&gt;"",U20,U19))))</f>
        <v>Y5</v>
      </c>
      <c r="V24" s="316"/>
    </row>
    <row r="25" spans="1:26" ht="20.5" customHeight="1" thickBot="1" x14ac:dyDescent="0.4">
      <c r="A25" s="55"/>
      <c r="B25" s="815" t="s">
        <v>2750</v>
      </c>
      <c r="C25" s="1077"/>
      <c r="D25" s="968" t="s">
        <v>19</v>
      </c>
      <c r="E25" s="1013" t="s">
        <v>97</v>
      </c>
      <c r="F25" s="1019" t="s">
        <v>121</v>
      </c>
      <c r="G25" s="969">
        <v>1</v>
      </c>
      <c r="H25" s="1022" t="s">
        <v>89</v>
      </c>
      <c r="I25" s="316"/>
      <c r="J25" s="1043"/>
      <c r="K25" s="1043"/>
      <c r="L25" s="1043"/>
      <c r="M25" s="1043"/>
      <c r="N25" s="1043"/>
      <c r="O25" s="316"/>
      <c r="P25" s="316"/>
      <c r="Q25" s="316"/>
      <c r="R25">
        <f t="shared" si="1"/>
        <v>0</v>
      </c>
      <c r="S25" s="316" cm="1">
        <f t="array" ref="S25">SUMPRODUCT(('Cashflow Summary C19RM'!$D$5:$D$300=D25)*('Cashflow Summary C19RM'!$BF$5:$BF$300))</f>
        <v>0</v>
      </c>
      <c r="T25">
        <f t="shared" si="2"/>
        <v>0</v>
      </c>
      <c r="U25" s="881" t="str">
        <f>IF(U23&lt;&gt;"",U23,IF(U22&lt;&gt;"",U22,IF(U21&lt;&gt;"",U21,IF(U20&lt;&gt;"",U20,U19))))</f>
        <v>Y5</v>
      </c>
    </row>
    <row r="26" spans="1:26" ht="19.5" customHeight="1" thickBot="1" x14ac:dyDescent="0.4">
      <c r="A26" s="55" t="s">
        <v>94</v>
      </c>
      <c r="B26" s="205" t="s">
        <v>2750</v>
      </c>
      <c r="C26" s="1077"/>
      <c r="D26" s="970" t="s">
        <v>122</v>
      </c>
      <c r="E26" s="1014" t="s">
        <v>97</v>
      </c>
      <c r="F26" s="1020" t="s">
        <v>121</v>
      </c>
      <c r="G26" s="971">
        <v>1</v>
      </c>
      <c r="H26" s="1023" t="s">
        <v>89</v>
      </c>
      <c r="I26" s="316"/>
      <c r="J26" s="802"/>
      <c r="K26" s="804" t="str">
        <f t="shared" ref="K26:K31" si="3">IF(J26="","",$N$1)</f>
        <v/>
      </c>
      <c r="L26" s="807"/>
      <c r="M26" s="808"/>
      <c r="N26" s="807"/>
      <c r="O26" s="316"/>
      <c r="P26" s="316"/>
      <c r="Q26" s="316"/>
      <c r="R26">
        <f t="shared" si="1"/>
        <v>0</v>
      </c>
      <c r="S26" s="316" cm="1">
        <f t="array" ref="S26">SUMPRODUCT(('Cashflow Summary C19RM'!$D$5:$D$300=D26)*('Cashflow Summary C19RM'!$BF$5:$BF$300))</f>
        <v>0</v>
      </c>
      <c r="T26">
        <f t="shared" si="2"/>
        <v>0</v>
      </c>
      <c r="U26" t="str">
        <f>IFERROR(IF(Y18-X18&lt;4,"",""),"")</f>
        <v/>
      </c>
    </row>
    <row r="27" spans="1:26" ht="21.5" customHeight="1" thickBot="1" x14ac:dyDescent="0.4">
      <c r="A27" s="55" t="s">
        <v>92</v>
      </c>
      <c r="B27" s="205" t="s">
        <v>2750</v>
      </c>
      <c r="C27" s="1077"/>
      <c r="D27" s="968" t="s">
        <v>21</v>
      </c>
      <c r="E27" s="1013" t="s">
        <v>97</v>
      </c>
      <c r="F27" s="1019" t="s">
        <v>121</v>
      </c>
      <c r="G27" s="969">
        <v>1</v>
      </c>
      <c r="H27" s="1024" t="s">
        <v>89</v>
      </c>
      <c r="I27" s="316"/>
      <c r="J27" s="802"/>
      <c r="K27" s="805" t="str">
        <f t="shared" si="3"/>
        <v/>
      </c>
      <c r="L27" s="807"/>
      <c r="M27" s="809"/>
      <c r="N27" s="807"/>
      <c r="O27" s="316"/>
      <c r="P27" s="316"/>
      <c r="Q27" s="316"/>
      <c r="R27">
        <f t="shared" si="1"/>
        <v>0</v>
      </c>
      <c r="S27" s="316" cm="1">
        <f t="array" ref="S27">SUMPRODUCT(('Cashflow Summary C19RM'!$D$5:$D$300=D27)*('Cashflow Summary C19RM'!$BF$5:$BF$300))</f>
        <v>0</v>
      </c>
      <c r="T27">
        <f t="shared" si="2"/>
        <v>0</v>
      </c>
    </row>
    <row r="28" spans="1:26" ht="20.5" customHeight="1" thickBot="1" x14ac:dyDescent="0.4">
      <c r="A28" s="55" t="s">
        <v>90</v>
      </c>
      <c r="B28" s="205" t="s">
        <v>2750</v>
      </c>
      <c r="C28" s="1077"/>
      <c r="D28" s="973" t="s">
        <v>23</v>
      </c>
      <c r="E28" s="1015" t="s">
        <v>97</v>
      </c>
      <c r="F28" s="1020" t="s">
        <v>121</v>
      </c>
      <c r="G28" s="971">
        <v>1</v>
      </c>
      <c r="H28" s="1023" t="s">
        <v>89</v>
      </c>
      <c r="I28" s="316"/>
      <c r="J28" s="802"/>
      <c r="K28" s="804" t="str">
        <f t="shared" si="3"/>
        <v/>
      </c>
      <c r="L28" s="807"/>
      <c r="M28" s="808"/>
      <c r="N28" s="807"/>
      <c r="O28" s="316"/>
      <c r="P28" s="316"/>
      <c r="Q28" s="316"/>
      <c r="R28">
        <f t="shared" si="1"/>
        <v>0</v>
      </c>
      <c r="S28" s="316" cm="1">
        <f t="array" ref="S28">SUMPRODUCT(('Cashflow Summary C19RM'!$D$5:$D$300=D28)*('Cashflow Summary C19RM'!$BF$5:$BF$300))</f>
        <v>0</v>
      </c>
      <c r="T28">
        <f t="shared" si="2"/>
        <v>0</v>
      </c>
    </row>
    <row r="29" spans="1:26" ht="20.5" customHeight="1" thickBot="1" x14ac:dyDescent="0.4">
      <c r="A29" s="55" t="s">
        <v>92</v>
      </c>
      <c r="B29" s="205" t="s">
        <v>2750</v>
      </c>
      <c r="C29" s="1077"/>
      <c r="D29" s="968" t="s">
        <v>22</v>
      </c>
      <c r="E29" s="1016" t="s">
        <v>97</v>
      </c>
      <c r="F29" s="1019" t="s">
        <v>121</v>
      </c>
      <c r="G29" s="969">
        <v>1</v>
      </c>
      <c r="H29" s="1024" t="s">
        <v>89</v>
      </c>
      <c r="I29" s="316"/>
      <c r="J29" s="802"/>
      <c r="K29" s="805" t="str">
        <f t="shared" si="3"/>
        <v/>
      </c>
      <c r="L29" s="807"/>
      <c r="M29" s="809"/>
      <c r="N29" s="807"/>
      <c r="O29" s="316"/>
      <c r="P29" s="316"/>
      <c r="Q29" s="316"/>
      <c r="R29">
        <f t="shared" si="1"/>
        <v>0</v>
      </c>
      <c r="S29" s="316" cm="1">
        <f t="array" ref="S29">SUMPRODUCT(('Cashflow Summary C19RM'!$D$5:$D$300=D29)*('Cashflow Summary C19RM'!$BF$5:$BF$300))</f>
        <v>0</v>
      </c>
      <c r="T29">
        <f t="shared" si="2"/>
        <v>0</v>
      </c>
    </row>
    <row r="30" spans="1:26" ht="21.5" customHeight="1" thickBot="1" x14ac:dyDescent="0.4">
      <c r="A30" s="55" t="s">
        <v>94</v>
      </c>
      <c r="B30" s="205" t="s">
        <v>2750</v>
      </c>
      <c r="C30" s="1077"/>
      <c r="D30" s="973" t="s">
        <v>25</v>
      </c>
      <c r="E30" s="1015" t="s">
        <v>97</v>
      </c>
      <c r="F30" s="1020" t="s">
        <v>121</v>
      </c>
      <c r="G30" s="971">
        <v>1</v>
      </c>
      <c r="H30" s="1023" t="s">
        <v>89</v>
      </c>
      <c r="I30" s="64"/>
      <c r="J30" s="802"/>
      <c r="K30" s="804" t="str">
        <f t="shared" si="3"/>
        <v/>
      </c>
      <c r="L30" s="807"/>
      <c r="M30" s="808"/>
      <c r="N30" s="807"/>
      <c r="O30" s="316"/>
      <c r="P30" s="316"/>
      <c r="Q30" s="316"/>
      <c r="R30">
        <f t="shared" si="1"/>
        <v>0</v>
      </c>
      <c r="S30" s="316" cm="1">
        <f t="array" ref="S30">SUMPRODUCT(('Cashflow Summary C19RM'!$D$5:$D$300=D30)*('Cashflow Summary C19RM'!$BF$5:$BF$300))</f>
        <v>0</v>
      </c>
      <c r="T30">
        <f t="shared" si="2"/>
        <v>0</v>
      </c>
    </row>
    <row r="31" spans="1:26" ht="17.5" customHeight="1" thickBot="1" x14ac:dyDescent="0.4">
      <c r="A31" s="55"/>
      <c r="B31" s="205" t="s">
        <v>2750</v>
      </c>
      <c r="C31" s="1077"/>
      <c r="D31" s="1028" t="s">
        <v>28</v>
      </c>
      <c r="E31" s="1016" t="s">
        <v>97</v>
      </c>
      <c r="F31" s="1019" t="s">
        <v>121</v>
      </c>
      <c r="G31" s="969">
        <v>1</v>
      </c>
      <c r="H31" s="1024" t="s">
        <v>89</v>
      </c>
      <c r="I31" s="316"/>
      <c r="J31" s="803"/>
      <c r="K31" s="806" t="str">
        <f t="shared" si="3"/>
        <v/>
      </c>
      <c r="L31" s="807"/>
      <c r="M31" s="810"/>
      <c r="N31" s="807"/>
      <c r="O31" s="316"/>
      <c r="P31" s="316"/>
      <c r="Q31" s="316"/>
      <c r="R31">
        <f t="shared" si="1"/>
        <v>0</v>
      </c>
      <c r="S31" s="316" cm="1">
        <f t="array" ref="S31">SUMPRODUCT(('Cashflow Summary C19RM'!$D$5:$D$300=D31)*('Cashflow Summary C19RM'!$BF$5:$BF$300))</f>
        <v>0</v>
      </c>
      <c r="T31">
        <f t="shared" si="2"/>
        <v>0</v>
      </c>
    </row>
    <row r="32" spans="1:26" ht="20.5" customHeight="1" x14ac:dyDescent="0.35">
      <c r="A32" s="55"/>
      <c r="B32" s="205" t="s">
        <v>2750</v>
      </c>
      <c r="C32" s="1077"/>
      <c r="D32" s="973" t="s">
        <v>29</v>
      </c>
      <c r="E32" s="1015" t="s">
        <v>97</v>
      </c>
      <c r="F32" s="1020" t="s">
        <v>121</v>
      </c>
      <c r="G32" s="971">
        <v>1</v>
      </c>
      <c r="H32" s="1023" t="s">
        <v>89</v>
      </c>
      <c r="I32" s="316"/>
      <c r="J32" s="1056" t="str">
        <f>VLOOKUP("Select the approval version of the HPMT",Language!$D$3:$G$63,SETUP!$A$2,FALSE)</f>
        <v>Select the approval version of the HPMT</v>
      </c>
      <c r="K32" s="1056" t="str">
        <f>VLOOKUP("This field will automatically populate based on the Version selected",Language!$D$3:$G$63,SETUP!$A$2,FALSE)</f>
        <v>This field will automatically populate based on the Version selected</v>
      </c>
      <c r="L32" s="1056" t="str">
        <f>VLOOKUP("Provide the date that the final version of the HPMT is submitted to the CT",Language!$D$3:$G$63,SETUP!$A$2,FALSE)</f>
        <v>Provide the date that the final version of the HPMT is submitted to the CT</v>
      </c>
      <c r="M32" s="1056" t="str">
        <f>VLOOKUP("Provide the name of the CT member approving the HPMT",Language!$D$3:$G$63,SETUP!$A$2,FALSE)</f>
        <v>Provide the name of the CT member approving the HPMT</v>
      </c>
      <c r="N32" s="1056" t="str">
        <f>VLOOKUP("Provide the date of approval",Language!$D$3:$G$63,SETUP!$A$2,FALSE)</f>
        <v>Provide the date of approval</v>
      </c>
      <c r="O32" s="316"/>
      <c r="P32" s="316"/>
      <c r="Q32" s="316"/>
      <c r="R32">
        <f t="shared" si="1"/>
        <v>0</v>
      </c>
      <c r="S32" s="316" cm="1">
        <f t="array" ref="S32">SUMPRODUCT(('Cashflow Summary C19RM'!$D$5:$D$300=D32)*('Cashflow Summary C19RM'!$BF$5:$BF$300))</f>
        <v>0</v>
      </c>
      <c r="T32">
        <f t="shared" si="2"/>
        <v>0</v>
      </c>
    </row>
    <row r="33" spans="1:20" ht="20" customHeight="1" x14ac:dyDescent="0.35">
      <c r="A33" s="55"/>
      <c r="B33" s="205" t="s">
        <v>2750</v>
      </c>
      <c r="C33" s="1077"/>
      <c r="D33" s="1028" t="s">
        <v>30</v>
      </c>
      <c r="E33" s="1016" t="s">
        <v>97</v>
      </c>
      <c r="F33" s="1019" t="s">
        <v>121</v>
      </c>
      <c r="G33" s="969">
        <v>1</v>
      </c>
      <c r="H33" s="1024" t="s">
        <v>89</v>
      </c>
      <c r="I33" s="316"/>
      <c r="J33" s="1057"/>
      <c r="K33" s="1057"/>
      <c r="L33" s="1057"/>
      <c r="M33" s="1057"/>
      <c r="N33" s="1057"/>
      <c r="O33" s="316"/>
      <c r="P33" s="316"/>
      <c r="Q33" s="316"/>
      <c r="R33">
        <f t="shared" si="1"/>
        <v>0</v>
      </c>
      <c r="S33" s="316" cm="1">
        <f t="array" ref="S33">SUMPRODUCT(('Cashflow Summary C19RM'!$D$5:$D$300=D33)*('Cashflow Summary C19RM'!$BF$5:$BF$300))</f>
        <v>0</v>
      </c>
      <c r="T33">
        <f t="shared" si="2"/>
        <v>0</v>
      </c>
    </row>
    <row r="34" spans="1:20" ht="21" customHeight="1" thickBot="1" x14ac:dyDescent="0.4">
      <c r="A34" s="55"/>
      <c r="B34" s="205" t="s">
        <v>2750</v>
      </c>
      <c r="C34" s="1077"/>
      <c r="D34" s="973" t="s">
        <v>31</v>
      </c>
      <c r="E34" s="1015" t="s">
        <v>97</v>
      </c>
      <c r="F34" s="1021" t="s">
        <v>121</v>
      </c>
      <c r="G34" s="974">
        <v>1</v>
      </c>
      <c r="H34" s="1023" t="s">
        <v>89</v>
      </c>
      <c r="I34" s="316"/>
      <c r="J34" s="1057"/>
      <c r="K34" s="1057"/>
      <c r="L34" s="1057"/>
      <c r="M34" s="1057"/>
      <c r="N34" s="1057"/>
      <c r="O34" s="316"/>
      <c r="P34" s="316"/>
      <c r="Q34" s="316"/>
      <c r="R34">
        <f t="shared" si="1"/>
        <v>0</v>
      </c>
      <c r="S34" s="316" cm="1">
        <f t="array" ref="S34">SUMPRODUCT(('Cashflow Summary C19RM'!$D$5:$D$300=D34)*('Cashflow Summary C19RM'!$BF$5:$BF$300))</f>
        <v>0</v>
      </c>
      <c r="T34">
        <f t="shared" si="2"/>
        <v>0</v>
      </c>
    </row>
    <row r="35" spans="1:20" ht="17.5" hidden="1" customHeight="1" x14ac:dyDescent="0.35">
      <c r="A35" s="55"/>
      <c r="B35" s="205"/>
      <c r="C35" s="896"/>
      <c r="F35" s="24"/>
      <c r="I35" s="316"/>
      <c r="J35" s="1057"/>
      <c r="K35" s="1057"/>
      <c r="L35" s="1057"/>
      <c r="M35" s="1057"/>
      <c r="N35" s="1057"/>
      <c r="O35" s="316"/>
      <c r="P35" s="316"/>
      <c r="Q35" s="316"/>
      <c r="R35">
        <f t="shared" si="1"/>
        <v>0</v>
      </c>
      <c r="S35" s="316" cm="1">
        <f t="array" ref="S35">SUMPRODUCT(('Cashflow Summary C19RM'!$D$5:$D$300=D35)*('Cashflow Summary C19RM'!$BF$5:$BF$300))</f>
        <v>0</v>
      </c>
      <c r="T35">
        <f t="shared" si="2"/>
        <v>5</v>
      </c>
    </row>
    <row r="36" spans="1:20" ht="17" hidden="1" customHeight="1" x14ac:dyDescent="0.35">
      <c r="A36" s="55"/>
      <c r="B36" s="205"/>
      <c r="C36" s="896"/>
      <c r="I36" s="316"/>
      <c r="J36" s="316"/>
      <c r="K36" s="316"/>
      <c r="L36" s="316"/>
      <c r="M36" s="316"/>
      <c r="N36" s="316"/>
      <c r="O36" s="316"/>
      <c r="P36" s="316"/>
      <c r="Q36" s="316"/>
      <c r="R36">
        <f t="shared" si="1"/>
        <v>0</v>
      </c>
      <c r="S36" s="316" cm="1">
        <f t="array" ref="S36">SUMPRODUCT(('Cashflow Summary C19RM'!$D$5:$D$300=D36)*('Cashflow Summary C19RM'!$BF$5:$BF$300))</f>
        <v>0</v>
      </c>
      <c r="T36">
        <f t="shared" si="2"/>
        <v>5</v>
      </c>
    </row>
    <row r="37" spans="1:20" ht="18" hidden="1" customHeight="1" x14ac:dyDescent="0.35">
      <c r="A37" s="55"/>
      <c r="B37" s="205"/>
      <c r="C37" s="896"/>
      <c r="I37" s="316"/>
      <c r="J37" s="316"/>
      <c r="K37" s="316"/>
      <c r="L37" s="316"/>
      <c r="M37" s="316"/>
      <c r="N37" s="316"/>
      <c r="O37" s="316"/>
      <c r="P37" s="316"/>
      <c r="Q37" s="316"/>
      <c r="R37">
        <f t="shared" si="1"/>
        <v>0</v>
      </c>
      <c r="S37" s="316" cm="1">
        <f t="array" ref="S37">SUMPRODUCT(('Cashflow Summary C19RM'!$D$5:$D$300=D37)*('Cashflow Summary C19RM'!$BF$5:$BF$300))</f>
        <v>0</v>
      </c>
      <c r="T37">
        <f t="shared" si="2"/>
        <v>5</v>
      </c>
    </row>
    <row r="38" spans="1:20" ht="23" hidden="1" customHeight="1" x14ac:dyDescent="0.35">
      <c r="A38" s="55" t="s">
        <v>94</v>
      </c>
      <c r="B38" s="205"/>
      <c r="C38" s="896"/>
      <c r="I38" s="316"/>
      <c r="J38" s="316"/>
      <c r="K38" s="316"/>
      <c r="L38" s="316"/>
      <c r="M38" s="316"/>
      <c r="N38" s="316"/>
      <c r="O38" s="316"/>
      <c r="P38" s="316"/>
      <c r="Q38" s="316"/>
      <c r="R38">
        <f t="shared" si="1"/>
        <v>0</v>
      </c>
      <c r="S38" s="316" cm="1">
        <f t="array" ref="S38">SUMPRODUCT(('Cashflow Summary C19RM'!$D$5:$D$300=D38)*('Cashflow Summary C19RM'!$BF$5:$BF$300))</f>
        <v>0</v>
      </c>
      <c r="T38">
        <f t="shared" si="2"/>
        <v>5</v>
      </c>
    </row>
    <row r="39" spans="1:20" s="9" customFormat="1" ht="19" hidden="1" customHeight="1" x14ac:dyDescent="0.35">
      <c r="A39" s="55"/>
      <c r="B39" s="205"/>
      <c r="C39" s="896"/>
      <c r="D39"/>
      <c r="E39"/>
      <c r="F39"/>
      <c r="G39"/>
      <c r="H39"/>
      <c r="I39" s="316"/>
      <c r="J39" s="316"/>
      <c r="K39" s="361"/>
      <c r="L39" s="361"/>
      <c r="M39" s="361"/>
      <c r="N39" s="361"/>
      <c r="O39" s="361"/>
      <c r="P39" s="361"/>
      <c r="Q39" s="361"/>
      <c r="R39">
        <f t="shared" si="1"/>
        <v>0</v>
      </c>
      <c r="S39" s="316" cm="1">
        <f t="array" ref="S39">SUMPRODUCT(('Cashflow Summary C19RM'!$D$5:$D$300=D39)*('Cashflow Summary C19RM'!$BF$5:$BF$300))</f>
        <v>0</v>
      </c>
      <c r="T39">
        <f t="shared" si="2"/>
        <v>5</v>
      </c>
    </row>
    <row r="40" spans="1:20" ht="17.5" hidden="1" customHeight="1" thickBot="1" x14ac:dyDescent="0.4">
      <c r="A40" s="55"/>
      <c r="B40" s="205"/>
      <c r="C40" s="897"/>
      <c r="I40" s="316"/>
      <c r="J40" s="316"/>
      <c r="K40" s="316"/>
      <c r="L40" s="316"/>
      <c r="M40" s="316"/>
      <c r="N40" s="316"/>
      <c r="O40" s="316"/>
      <c r="P40" s="316"/>
      <c r="Q40" s="316"/>
      <c r="R40">
        <f t="shared" si="1"/>
        <v>0</v>
      </c>
      <c r="S40" s="316" cm="1">
        <f t="array" ref="S40">SUMPRODUCT(('Cashflow Summary C19RM'!$D$5:$D$300=D40)*('Cashflow Summary C19RM'!$BF$5:$BF$300))</f>
        <v>0</v>
      </c>
      <c r="T40">
        <f t="shared" si="2"/>
        <v>5</v>
      </c>
    </row>
    <row r="41" spans="1:20" ht="15.5" hidden="1" customHeight="1" x14ac:dyDescent="0.35">
      <c r="A41" s="55" t="s">
        <v>94</v>
      </c>
      <c r="B41" s="206"/>
      <c r="C41" s="1044"/>
      <c r="D41" s="751"/>
      <c r="E41" s="752"/>
      <c r="F41" s="752"/>
      <c r="G41" s="753"/>
      <c r="H41" s="754"/>
      <c r="I41" s="316"/>
      <c r="J41" s="316"/>
      <c r="K41" s="316"/>
      <c r="L41" s="316"/>
      <c r="M41" s="316"/>
      <c r="N41" s="316"/>
      <c r="O41" s="316"/>
      <c r="P41" s="316"/>
      <c r="Q41" s="316"/>
      <c r="R41">
        <f t="shared" si="1"/>
        <v>0</v>
      </c>
      <c r="S41" s="316" cm="1">
        <f t="array" ref="S41">SUMPRODUCT(('Cashflow Summary C19RM'!$D$5:$D$300=D41)*('Cashflow Summary C19RM'!$BF$5:$BF$300))</f>
        <v>0</v>
      </c>
      <c r="T41">
        <f t="shared" si="2"/>
        <v>5</v>
      </c>
    </row>
    <row r="42" spans="1:20" ht="15" hidden="1" customHeight="1" x14ac:dyDescent="0.35">
      <c r="A42" s="55" t="s">
        <v>94</v>
      </c>
      <c r="B42" s="206"/>
      <c r="C42" s="1045"/>
      <c r="D42" s="829"/>
      <c r="E42" s="830"/>
      <c r="F42" s="748"/>
      <c r="G42" s="749"/>
      <c r="H42" s="756"/>
      <c r="I42" s="316"/>
      <c r="J42" s="316"/>
      <c r="K42" s="316"/>
      <c r="L42" s="316"/>
      <c r="M42" s="316"/>
      <c r="N42" s="316"/>
      <c r="O42" s="316"/>
      <c r="P42" s="316"/>
      <c r="Q42" s="316"/>
      <c r="R42">
        <f t="shared" si="1"/>
        <v>0</v>
      </c>
      <c r="S42" s="316" cm="1">
        <f t="array" ref="S42">SUMPRODUCT(('Cashflow Summary C19RM'!$D$5:$D$300=D42)*('Cashflow Summary C19RM'!$BF$5:$BF$300))</f>
        <v>0</v>
      </c>
      <c r="T42">
        <f t="shared" si="2"/>
        <v>5</v>
      </c>
    </row>
    <row r="43" spans="1:20" ht="14.5" hidden="1" customHeight="1" x14ac:dyDescent="0.35">
      <c r="A43" s="55" t="s">
        <v>94</v>
      </c>
      <c r="B43" s="206"/>
      <c r="C43" s="1045"/>
      <c r="D43" s="828"/>
      <c r="E43" s="758"/>
      <c r="F43" s="758"/>
      <c r="G43" s="759"/>
      <c r="H43" s="760"/>
      <c r="I43" s="316"/>
      <c r="J43" s="316"/>
      <c r="K43" s="316"/>
      <c r="L43" s="316"/>
      <c r="M43" s="316"/>
      <c r="N43" s="316"/>
      <c r="O43" s="316"/>
      <c r="P43" s="316"/>
      <c r="Q43" s="316"/>
      <c r="R43">
        <f t="shared" si="1"/>
        <v>0</v>
      </c>
      <c r="S43" s="316" cm="1">
        <f t="array" ref="S43">SUMPRODUCT(('Cashflow Summary C19RM'!$D$5:$D$300=D43)*('Cashflow Summary C19RM'!$BF$5:$BF$300))</f>
        <v>0</v>
      </c>
      <c r="T43">
        <f t="shared" si="2"/>
        <v>5</v>
      </c>
    </row>
    <row r="44" spans="1:20" ht="14.5" hidden="1" customHeight="1" x14ac:dyDescent="0.35">
      <c r="A44" s="55" t="s">
        <v>90</v>
      </c>
      <c r="B44" s="206"/>
      <c r="C44" s="1045"/>
      <c r="D44" s="755"/>
      <c r="E44" s="748"/>
      <c r="F44" s="750"/>
      <c r="G44" s="749"/>
      <c r="H44" s="756"/>
      <c r="I44" s="380"/>
      <c r="J44" s="316"/>
      <c r="K44" s="316"/>
      <c r="L44" s="316"/>
      <c r="M44" s="316"/>
      <c r="N44" s="316"/>
      <c r="O44" s="316"/>
      <c r="P44" s="316"/>
      <c r="Q44" s="316"/>
      <c r="R44">
        <f t="shared" si="1"/>
        <v>0</v>
      </c>
      <c r="S44" s="316" cm="1">
        <f t="array" ref="S44">SUMPRODUCT(('Cashflow Summary C19RM'!$D$5:$D$300=D44)*('Cashflow Summary C19RM'!$BF$5:$BF$300))</f>
        <v>0</v>
      </c>
      <c r="T44">
        <f t="shared" si="2"/>
        <v>5</v>
      </c>
    </row>
    <row r="45" spans="1:20" ht="15" hidden="1" customHeight="1" x14ac:dyDescent="0.35">
      <c r="A45" s="55" t="s">
        <v>90</v>
      </c>
      <c r="B45" s="206"/>
      <c r="C45" s="1045"/>
      <c r="D45" s="757"/>
      <c r="E45" s="758"/>
      <c r="F45" s="758"/>
      <c r="G45" s="759"/>
      <c r="H45" s="760"/>
      <c r="I45" s="380"/>
      <c r="J45" s="316"/>
      <c r="K45" s="316"/>
      <c r="L45" s="316"/>
      <c r="M45" s="316"/>
      <c r="N45" s="316"/>
      <c r="O45" s="316"/>
      <c r="P45" s="316"/>
      <c r="Q45" s="316"/>
      <c r="R45">
        <f t="shared" si="1"/>
        <v>0</v>
      </c>
      <c r="S45" s="316" cm="1">
        <f t="array" ref="S45">SUMPRODUCT(('Cashflow Summary C19RM'!$D$5:$D$300=D45)*('Cashflow Summary C19RM'!$BF$5:$BF$300))</f>
        <v>0</v>
      </c>
      <c r="T45">
        <f t="shared" si="2"/>
        <v>5</v>
      </c>
    </row>
    <row r="46" spans="1:20" ht="14.5" hidden="1" customHeight="1" x14ac:dyDescent="0.35">
      <c r="A46" s="55" t="s">
        <v>106</v>
      </c>
      <c r="B46" s="206"/>
      <c r="C46" s="1045"/>
      <c r="D46" s="747"/>
      <c r="E46" s="748"/>
      <c r="F46" s="748"/>
      <c r="G46" s="749"/>
      <c r="H46" s="756"/>
      <c r="I46" s="380"/>
      <c r="J46" s="316"/>
      <c r="K46" s="316"/>
      <c r="L46" s="316"/>
      <c r="M46" s="316"/>
      <c r="N46" s="316"/>
      <c r="O46" s="316"/>
      <c r="P46" s="316"/>
      <c r="Q46" s="316"/>
      <c r="R46">
        <f t="shared" si="1"/>
        <v>0</v>
      </c>
      <c r="S46" s="316" cm="1">
        <f t="array" ref="S46">SUMPRODUCT(('Cashflow Summary C19RM'!$D$5:$D$300=D46)*('Cashflow Summary C19RM'!$BF$5:$BF$300))</f>
        <v>0</v>
      </c>
      <c r="T46">
        <f t="shared" si="2"/>
        <v>5</v>
      </c>
    </row>
    <row r="47" spans="1:20" ht="14.5" hidden="1" customHeight="1" x14ac:dyDescent="0.35">
      <c r="A47" s="55" t="s">
        <v>106</v>
      </c>
      <c r="B47" s="206"/>
      <c r="C47" s="1045"/>
      <c r="D47" s="757"/>
      <c r="E47" s="758"/>
      <c r="F47" s="758"/>
      <c r="G47" s="759"/>
      <c r="H47" s="760"/>
      <c r="I47" s="380"/>
      <c r="J47" s="316"/>
      <c r="K47" s="316"/>
      <c r="L47" s="316"/>
      <c r="M47" s="316"/>
      <c r="N47" s="316"/>
      <c r="O47" s="316"/>
      <c r="P47" s="316"/>
      <c r="Q47" s="316"/>
      <c r="R47">
        <f t="shared" si="1"/>
        <v>0</v>
      </c>
      <c r="S47" s="316" cm="1">
        <f t="array" ref="S47">SUMPRODUCT(('Cashflow Summary C19RM'!$D$5:$D$300=D47)*('Cashflow Summary C19RM'!$BF$5:$BF$300))</f>
        <v>0</v>
      </c>
      <c r="T47">
        <f t="shared" si="2"/>
        <v>5</v>
      </c>
    </row>
    <row r="48" spans="1:20" ht="14.5" hidden="1" customHeight="1" x14ac:dyDescent="0.35">
      <c r="A48" s="55" t="s">
        <v>92</v>
      </c>
      <c r="B48" s="206"/>
      <c r="C48" s="1045"/>
      <c r="D48" s="747"/>
      <c r="E48" s="748"/>
      <c r="F48" s="748"/>
      <c r="G48" s="749"/>
      <c r="H48" s="756"/>
      <c r="I48" s="380"/>
      <c r="J48" s="316"/>
      <c r="K48" s="316"/>
      <c r="L48" s="316"/>
      <c r="M48" s="316"/>
      <c r="N48" s="316"/>
      <c r="O48" s="316"/>
      <c r="P48" s="316"/>
      <c r="Q48" s="316"/>
      <c r="R48">
        <f t="shared" si="1"/>
        <v>0</v>
      </c>
      <c r="S48" s="316" cm="1">
        <f t="array" ref="S48">SUMPRODUCT(('Cashflow Summary C19RM'!$D$5:$D$300=D48)*('Cashflow Summary C19RM'!$BF$5:$BF$300))</f>
        <v>0</v>
      </c>
      <c r="T48">
        <f t="shared" si="2"/>
        <v>5</v>
      </c>
    </row>
    <row r="49" spans="1:20" ht="14.5" hidden="1" customHeight="1" x14ac:dyDescent="0.35">
      <c r="A49" s="55" t="s">
        <v>92</v>
      </c>
      <c r="B49" s="206"/>
      <c r="C49" s="1045"/>
      <c r="D49" s="757"/>
      <c r="E49" s="758"/>
      <c r="F49" s="758"/>
      <c r="G49" s="759"/>
      <c r="H49" s="760"/>
      <c r="I49" s="380"/>
      <c r="J49" s="316"/>
      <c r="K49" s="316"/>
      <c r="L49" s="316"/>
      <c r="M49" s="316"/>
      <c r="N49" s="316"/>
      <c r="O49" s="316"/>
      <c r="P49" s="316"/>
      <c r="Q49" s="316"/>
      <c r="R49">
        <f t="shared" si="1"/>
        <v>0</v>
      </c>
      <c r="S49" s="316" cm="1">
        <f t="array" ref="S49">SUMPRODUCT(('Cashflow Summary C19RM'!$D$5:$D$300=D49)*('Cashflow Summary C19RM'!$BF$5:$BF$300))</f>
        <v>0</v>
      </c>
      <c r="T49">
        <f t="shared" si="2"/>
        <v>5</v>
      </c>
    </row>
    <row r="50" spans="1:20" ht="14.5" hidden="1" customHeight="1" x14ac:dyDescent="0.35">
      <c r="A50" s="55"/>
      <c r="B50" s="206"/>
      <c r="C50" s="1045"/>
      <c r="D50" s="747"/>
      <c r="E50" s="748"/>
      <c r="F50" s="748"/>
      <c r="G50" s="749"/>
      <c r="H50" s="756"/>
      <c r="I50" s="380"/>
      <c r="J50" s="316"/>
      <c r="K50" s="316"/>
      <c r="L50" s="316"/>
      <c r="M50" s="316"/>
      <c r="N50" s="316"/>
      <c r="O50" s="316"/>
      <c r="P50" s="316"/>
      <c r="Q50" s="316"/>
      <c r="R50">
        <f t="shared" si="1"/>
        <v>0</v>
      </c>
      <c r="S50" s="316" cm="1">
        <f t="array" ref="S50">SUMPRODUCT(('Cashflow Summary C19RM'!$D$5:$D$300=D50)*('Cashflow Summary C19RM'!$BF$5:$BF$300))</f>
        <v>0</v>
      </c>
      <c r="T50">
        <f t="shared" si="2"/>
        <v>5</v>
      </c>
    </row>
    <row r="51" spans="1:20" ht="14.5" hidden="1" customHeight="1" x14ac:dyDescent="0.35">
      <c r="A51" s="55"/>
      <c r="B51" s="206"/>
      <c r="C51" s="1045"/>
      <c r="D51" s="757"/>
      <c r="E51" s="758"/>
      <c r="F51" s="758"/>
      <c r="G51" s="759"/>
      <c r="H51" s="760"/>
      <c r="I51" s="380"/>
      <c r="J51" s="316"/>
      <c r="K51" s="316"/>
      <c r="L51" s="316"/>
      <c r="M51" s="316"/>
      <c r="N51" s="316"/>
      <c r="O51" s="316"/>
      <c r="P51" s="316"/>
      <c r="Q51" s="316"/>
      <c r="R51">
        <f t="shared" si="1"/>
        <v>0</v>
      </c>
      <c r="S51" s="316" cm="1">
        <f t="array" ref="S51">SUMPRODUCT(('Cashflow Summary C19RM'!$D$5:$D$300=D51)*('Cashflow Summary C19RM'!$BF$5:$BF$300))</f>
        <v>0</v>
      </c>
      <c r="T51">
        <f t="shared" si="2"/>
        <v>5</v>
      </c>
    </row>
    <row r="52" spans="1:20" ht="14.5" hidden="1" customHeight="1" x14ac:dyDescent="0.35">
      <c r="A52" s="55"/>
      <c r="B52" s="206"/>
      <c r="C52" s="1045"/>
      <c r="D52" s="747"/>
      <c r="E52" s="748"/>
      <c r="F52" s="748"/>
      <c r="G52" s="749"/>
      <c r="H52" s="756"/>
      <c r="I52" s="380"/>
      <c r="J52" s="316"/>
      <c r="K52" s="316"/>
      <c r="L52" s="316"/>
      <c r="M52" s="316"/>
      <c r="N52" s="316"/>
      <c r="O52" s="316"/>
      <c r="P52" s="316"/>
      <c r="Q52" s="316"/>
      <c r="R52">
        <f t="shared" si="1"/>
        <v>0</v>
      </c>
      <c r="S52" s="316" cm="1">
        <f t="array" ref="S52">SUMPRODUCT(('Cashflow Summary C19RM'!$D$5:$D$300=D52)*('Cashflow Summary C19RM'!$BF$5:$BF$300))</f>
        <v>0</v>
      </c>
      <c r="T52">
        <f t="shared" si="2"/>
        <v>5</v>
      </c>
    </row>
    <row r="53" spans="1:20" ht="14.5" hidden="1" customHeight="1" x14ac:dyDescent="0.35">
      <c r="A53" s="55"/>
      <c r="B53" s="206"/>
      <c r="C53" s="1045"/>
      <c r="D53" s="757"/>
      <c r="E53" s="758"/>
      <c r="F53" s="758"/>
      <c r="G53" s="759"/>
      <c r="H53" s="760"/>
      <c r="I53" s="380"/>
      <c r="J53" s="316"/>
      <c r="K53" s="316"/>
      <c r="L53" s="316"/>
      <c r="M53" s="316"/>
      <c r="N53" s="316"/>
      <c r="O53" s="316"/>
      <c r="P53" s="316"/>
      <c r="Q53" s="316"/>
      <c r="R53">
        <f t="shared" si="1"/>
        <v>0</v>
      </c>
      <c r="S53" s="316" cm="1">
        <f t="array" ref="S53">SUMPRODUCT(('Cashflow Summary C19RM'!$D$5:$D$300=D53)*('Cashflow Summary C19RM'!$BF$5:$BF$300))</f>
        <v>0</v>
      </c>
      <c r="T53">
        <f t="shared" si="2"/>
        <v>5</v>
      </c>
    </row>
    <row r="54" spans="1:20" ht="14" hidden="1" customHeight="1" thickBot="1" x14ac:dyDescent="0.4">
      <c r="A54" s="55"/>
      <c r="B54" s="206"/>
      <c r="C54" s="1045"/>
      <c r="D54" s="747"/>
      <c r="E54" s="748"/>
      <c r="F54" s="748"/>
      <c r="G54" s="749"/>
      <c r="H54" s="756"/>
      <c r="I54" s="380"/>
      <c r="J54" s="316"/>
      <c r="K54" s="316"/>
      <c r="L54" s="316"/>
      <c r="M54" s="316"/>
      <c r="N54" s="316"/>
      <c r="O54" s="316"/>
      <c r="P54" s="316"/>
      <c r="Q54" s="316"/>
      <c r="R54">
        <f t="shared" si="1"/>
        <v>0</v>
      </c>
      <c r="S54" s="316" cm="1">
        <f t="array" ref="S54">SUMPRODUCT(('Cashflow Summary C19RM'!$D$5:$D$300=D54)*('Cashflow Summary C19RM'!$BF$5:$BF$300))</f>
        <v>0</v>
      </c>
      <c r="T54">
        <f t="shared" si="2"/>
        <v>5</v>
      </c>
    </row>
    <row r="55" spans="1:20" ht="13.5" hidden="1" customHeight="1" x14ac:dyDescent="0.35">
      <c r="A55" s="55" t="s">
        <v>109</v>
      </c>
      <c r="B55" s="207"/>
      <c r="C55" s="1045"/>
      <c r="D55" s="831"/>
      <c r="E55" s="758"/>
      <c r="F55" s="758"/>
      <c r="G55" s="759"/>
      <c r="H55" s="760"/>
      <c r="I55" s="380"/>
      <c r="J55" s="316"/>
      <c r="K55" s="316"/>
      <c r="L55" s="316"/>
      <c r="M55" s="316"/>
      <c r="N55" s="316"/>
      <c r="O55" s="316"/>
      <c r="P55" s="316"/>
      <c r="Q55" s="316"/>
      <c r="R55">
        <f t="shared" si="1"/>
        <v>0</v>
      </c>
      <c r="S55" s="316" cm="1">
        <f t="array" ref="S55">SUMPRODUCT(('Cashflow Summary C19RM'!$D$5:$D$300=D55)*('Cashflow Summary C19RM'!$BF$5:$BF$300))</f>
        <v>0</v>
      </c>
      <c r="T55">
        <f t="shared" si="2"/>
        <v>5</v>
      </c>
    </row>
    <row r="56" spans="1:20" ht="14.5" hidden="1" customHeight="1" thickBot="1" x14ac:dyDescent="0.4">
      <c r="A56" s="55" t="s">
        <v>109</v>
      </c>
      <c r="B56" s="208"/>
      <c r="C56" s="827"/>
      <c r="D56" s="793"/>
      <c r="E56" s="761"/>
      <c r="F56" s="762"/>
      <c r="G56" s="763"/>
      <c r="H56" s="764"/>
      <c r="I56" s="380"/>
      <c r="J56" s="316"/>
      <c r="K56" s="316"/>
      <c r="L56" s="316"/>
      <c r="M56" s="316"/>
      <c r="N56" s="316"/>
      <c r="O56" s="316"/>
      <c r="P56" s="316"/>
      <c r="Q56" s="316"/>
      <c r="R56">
        <f t="shared" si="1"/>
        <v>0</v>
      </c>
      <c r="S56" s="316" cm="1">
        <f t="array" ref="S56">SUMPRODUCT(('Cashflow Summary C19RM'!$D$5:$D$300=D56)*('Cashflow Summary C19RM'!$BF$5:$BF$300))</f>
        <v>0</v>
      </c>
      <c r="T56">
        <f t="shared" si="2"/>
        <v>5</v>
      </c>
    </row>
    <row r="57" spans="1:20" ht="14.5" hidden="1" customHeight="1" x14ac:dyDescent="0.35">
      <c r="A57" s="55" t="s">
        <v>109</v>
      </c>
      <c r="B57" s="204"/>
      <c r="C57" s="826"/>
      <c r="D57" s="794"/>
      <c r="E57" s="765"/>
      <c r="F57" s="766"/>
      <c r="G57" s="767"/>
      <c r="H57" s="768"/>
      <c r="I57" s="380"/>
      <c r="J57" s="316"/>
      <c r="K57" s="316"/>
      <c r="L57" s="316"/>
      <c r="M57" s="316"/>
      <c r="N57" s="316"/>
      <c r="O57" s="316"/>
      <c r="P57" s="316"/>
      <c r="Q57" s="316"/>
      <c r="R57">
        <f t="shared" si="1"/>
        <v>0</v>
      </c>
      <c r="S57" s="316" cm="1">
        <f t="array" ref="S57">SUMPRODUCT(('Cashflow Summary C19RM'!$D$5:$D$300=D57)*('Cashflow Summary C19RM'!$BF$5:$BF$300))</f>
        <v>0</v>
      </c>
      <c r="T57">
        <f t="shared" si="2"/>
        <v>5</v>
      </c>
    </row>
    <row r="58" spans="1:20" ht="29" hidden="1" customHeight="1" x14ac:dyDescent="0.35">
      <c r="A58" s="55"/>
      <c r="B58" s="204"/>
      <c r="C58" s="826"/>
      <c r="D58" s="795"/>
      <c r="E58" s="770"/>
      <c r="F58" s="771"/>
      <c r="G58" s="772"/>
      <c r="H58" s="773"/>
      <c r="I58" s="380"/>
      <c r="J58" s="316"/>
      <c r="K58" s="316"/>
      <c r="L58" s="316"/>
      <c r="M58" s="316"/>
      <c r="N58" s="316"/>
      <c r="O58" s="316"/>
      <c r="P58" s="316"/>
      <c r="Q58" s="316"/>
      <c r="R58">
        <f t="shared" si="1"/>
        <v>0</v>
      </c>
      <c r="S58" s="316" cm="1">
        <f t="array" ref="S58">SUMPRODUCT(('Cashflow Summary C19RM'!$D$5:$D$300=D58)*('Cashflow Summary C19RM'!$BF$5:$BF$300))</f>
        <v>0</v>
      </c>
      <c r="T58">
        <f t="shared" si="2"/>
        <v>5</v>
      </c>
    </row>
    <row r="59" spans="1:20" ht="29" hidden="1" customHeight="1" x14ac:dyDescent="0.35">
      <c r="A59" s="55"/>
      <c r="B59" s="204"/>
      <c r="C59" s="826"/>
      <c r="D59" s="796"/>
      <c r="E59" s="765"/>
      <c r="F59" s="766"/>
      <c r="G59" s="767"/>
      <c r="H59" s="768"/>
      <c r="I59" s="380"/>
      <c r="J59" s="316"/>
      <c r="K59" s="316"/>
      <c r="L59" s="316"/>
      <c r="M59" s="316"/>
      <c r="N59" s="316"/>
      <c r="O59" s="316"/>
      <c r="P59" s="316"/>
      <c r="Q59" s="316"/>
      <c r="R59">
        <f t="shared" si="1"/>
        <v>0</v>
      </c>
      <c r="S59" s="316" cm="1">
        <f t="array" ref="S59">SUMPRODUCT(('Cashflow Summary C19RM'!$D$5:$D$300=D59)*('Cashflow Summary C19RM'!$BF$5:$BF$300))</f>
        <v>0</v>
      </c>
      <c r="T59">
        <f t="shared" si="2"/>
        <v>5</v>
      </c>
    </row>
    <row r="60" spans="1:20" ht="29" hidden="1" customHeight="1" x14ac:dyDescent="0.35">
      <c r="A60" s="55"/>
      <c r="B60" s="204"/>
      <c r="C60" s="826"/>
      <c r="D60" s="769"/>
      <c r="E60" s="770"/>
      <c r="F60" s="771"/>
      <c r="G60" s="772"/>
      <c r="H60" s="773"/>
      <c r="I60" s="380"/>
      <c r="J60" s="316"/>
      <c r="K60" s="316"/>
      <c r="L60" s="316"/>
      <c r="M60" s="316"/>
      <c r="N60" s="316"/>
      <c r="O60" s="316"/>
      <c r="P60" s="316"/>
      <c r="Q60" s="316"/>
      <c r="R60">
        <f t="shared" si="1"/>
        <v>0</v>
      </c>
      <c r="S60" s="316" cm="1">
        <f t="array" ref="S60">SUMPRODUCT(('Cashflow Summary C19RM'!$D$5:$D$300=D60)*('Cashflow Summary C19RM'!$BF$5:$BF$300))</f>
        <v>0</v>
      </c>
      <c r="T60">
        <f t="shared" si="2"/>
        <v>5</v>
      </c>
    </row>
    <row r="61" spans="1:20" ht="29" hidden="1" customHeight="1" x14ac:dyDescent="0.35">
      <c r="A61" s="55"/>
      <c r="B61" s="204"/>
      <c r="C61" s="826"/>
      <c r="D61" s="796"/>
      <c r="E61" s="765"/>
      <c r="F61" s="766"/>
      <c r="G61" s="767"/>
      <c r="H61" s="768"/>
      <c r="I61" s="380"/>
      <c r="J61" s="316"/>
      <c r="K61" s="316"/>
      <c r="L61" s="316"/>
      <c r="M61" s="316"/>
      <c r="N61" s="316"/>
      <c r="O61" s="316"/>
      <c r="P61" s="316"/>
      <c r="Q61" s="316"/>
      <c r="R61">
        <f t="shared" si="1"/>
        <v>0</v>
      </c>
      <c r="S61" s="316" cm="1">
        <f t="array" ref="S61">SUMPRODUCT(('Cashflow Summary C19RM'!$D$5:$D$300=D61)*('Cashflow Summary C19RM'!$BF$5:$BF$300))</f>
        <v>0</v>
      </c>
      <c r="T61">
        <f t="shared" si="2"/>
        <v>5</v>
      </c>
    </row>
    <row r="62" spans="1:20" ht="29" hidden="1" customHeight="1" x14ac:dyDescent="0.35">
      <c r="A62" s="55"/>
      <c r="B62" s="204"/>
      <c r="C62" s="826"/>
      <c r="D62" s="769"/>
      <c r="E62" s="770"/>
      <c r="F62" s="771"/>
      <c r="G62" s="772"/>
      <c r="H62" s="773"/>
      <c r="I62" s="380"/>
      <c r="J62" s="316"/>
      <c r="K62" s="316"/>
      <c r="L62" s="316"/>
      <c r="M62" s="316"/>
      <c r="N62" s="316"/>
      <c r="O62" s="316"/>
      <c r="P62" s="316"/>
      <c r="Q62" s="316"/>
      <c r="R62">
        <f t="shared" si="1"/>
        <v>0</v>
      </c>
      <c r="S62" s="316" cm="1">
        <f t="array" ref="S62">SUMPRODUCT(('Cashflow Summary C19RM'!$D$5:$D$300=D62)*('Cashflow Summary C19RM'!$BF$5:$BF$300))</f>
        <v>0</v>
      </c>
      <c r="T62">
        <f t="shared" si="2"/>
        <v>5</v>
      </c>
    </row>
    <row r="63" spans="1:20" ht="29" hidden="1" customHeight="1" x14ac:dyDescent="0.35">
      <c r="A63" s="55"/>
      <c r="B63" s="204"/>
      <c r="C63" s="826"/>
      <c r="D63" s="796"/>
      <c r="E63" s="765"/>
      <c r="F63" s="766"/>
      <c r="G63" s="767"/>
      <c r="H63" s="768"/>
      <c r="I63" s="380"/>
      <c r="J63" s="316"/>
      <c r="K63" s="316"/>
      <c r="L63" s="316"/>
      <c r="M63" s="316"/>
      <c r="N63" s="316"/>
      <c r="O63" s="316"/>
      <c r="P63" s="316"/>
      <c r="Q63" s="316"/>
      <c r="R63">
        <f t="shared" si="1"/>
        <v>0</v>
      </c>
      <c r="S63" s="316" cm="1">
        <f t="array" ref="S63">SUMPRODUCT(('Cashflow Summary C19RM'!$D$5:$D$300=D63)*('Cashflow Summary C19RM'!$BF$5:$BF$300))</f>
        <v>0</v>
      </c>
      <c r="T63">
        <f t="shared" si="2"/>
        <v>5</v>
      </c>
    </row>
    <row r="64" spans="1:20" ht="7.5" hidden="1" customHeight="1" x14ac:dyDescent="0.35">
      <c r="A64" s="55"/>
      <c r="B64" s="204"/>
      <c r="C64" s="826"/>
      <c r="D64" s="769"/>
      <c r="E64" s="770"/>
      <c r="F64" s="771"/>
      <c r="G64" s="772"/>
      <c r="H64" s="773"/>
      <c r="I64" s="380"/>
      <c r="J64" s="316"/>
      <c r="K64" s="316"/>
      <c r="L64" s="316"/>
      <c r="M64" s="316"/>
      <c r="N64" s="316"/>
      <c r="O64" s="316"/>
      <c r="P64" s="316"/>
      <c r="Q64" s="316"/>
      <c r="R64">
        <f t="shared" si="1"/>
        <v>0</v>
      </c>
      <c r="S64" s="316" cm="1">
        <f t="array" ref="S64">SUMPRODUCT(('Cashflow Summary C19RM'!$D$5:$D$300=D64)*('Cashflow Summary C19RM'!$BF$5:$BF$300))</f>
        <v>0</v>
      </c>
      <c r="T64">
        <f t="shared" si="2"/>
        <v>5</v>
      </c>
    </row>
    <row r="65" spans="1:22" ht="21.5" hidden="1" customHeight="1" x14ac:dyDescent="0.35">
      <c r="A65" s="55" t="s">
        <v>118</v>
      </c>
      <c r="B65" s="204"/>
      <c r="C65" s="826"/>
      <c r="D65" s="796"/>
      <c r="E65" s="765"/>
      <c r="F65" s="766"/>
      <c r="G65" s="767"/>
      <c r="H65" s="768"/>
      <c r="I65" s="380"/>
      <c r="J65" s="316"/>
      <c r="K65" s="316"/>
      <c r="L65" s="316"/>
      <c r="M65" s="316"/>
      <c r="N65" s="316"/>
      <c r="O65" s="316"/>
      <c r="P65" s="316"/>
      <c r="Q65" s="316"/>
      <c r="R65">
        <f t="shared" si="1"/>
        <v>0</v>
      </c>
      <c r="S65" s="316" cm="1">
        <f t="array" ref="S65">SUMPRODUCT(('Cashflow Summary C19RM'!$D$5:$D$300=D65)*('Cashflow Summary C19RM'!$BF$5:$BF$300))</f>
        <v>0</v>
      </c>
      <c r="T65">
        <f t="shared" si="2"/>
        <v>5</v>
      </c>
    </row>
    <row r="66" spans="1:22" ht="11.5" hidden="1" customHeight="1" x14ac:dyDescent="0.35">
      <c r="A66" s="55" t="s">
        <v>94</v>
      </c>
      <c r="B66" s="204"/>
      <c r="C66" s="826"/>
      <c r="D66" s="769"/>
      <c r="E66" s="774"/>
      <c r="F66" s="775"/>
      <c r="G66" s="776"/>
      <c r="H66" s="773"/>
      <c r="I66" s="380"/>
      <c r="J66" s="316"/>
      <c r="K66" s="316"/>
      <c r="L66" s="316"/>
      <c r="M66" s="316"/>
      <c r="N66" s="316"/>
      <c r="O66" s="316"/>
      <c r="P66" s="316"/>
      <c r="Q66" s="316"/>
      <c r="R66">
        <f t="shared" si="1"/>
        <v>0</v>
      </c>
      <c r="S66" s="316" cm="1">
        <f t="array" ref="S66">SUMPRODUCT(('Cashflow Summary C19RM'!$D$5:$D$300=D66)*('Cashflow Summary C19RM'!$BF$5:$BF$300))</f>
        <v>0</v>
      </c>
      <c r="T66">
        <f t="shared" si="2"/>
        <v>5</v>
      </c>
    </row>
    <row r="67" spans="1:22" ht="1" customHeight="1" thickBot="1" x14ac:dyDescent="0.4">
      <c r="A67" s="55" t="s">
        <v>94</v>
      </c>
      <c r="B67" s="208"/>
      <c r="C67" s="963"/>
      <c r="D67" s="963"/>
      <c r="E67" s="963"/>
      <c r="F67" s="960"/>
      <c r="G67" s="961"/>
      <c r="H67" s="962"/>
      <c r="I67" s="380"/>
      <c r="J67" s="316"/>
      <c r="K67" s="316"/>
      <c r="L67" s="316"/>
      <c r="M67" s="316"/>
      <c r="N67" s="316"/>
      <c r="O67" s="316"/>
      <c r="P67" s="316"/>
      <c r="Q67" s="316"/>
      <c r="R67">
        <f t="shared" si="1"/>
        <v>0</v>
      </c>
      <c r="S67" s="316" cm="1">
        <f t="array" ref="S67">SUMPRODUCT(('Cashflow Summary C19RM'!$D$5:$D$300=D67)*('Cashflow Summary C19RM'!$BF$5:$BF$300))</f>
        <v>0</v>
      </c>
      <c r="T67">
        <f t="shared" si="2"/>
        <v>5</v>
      </c>
    </row>
    <row r="68" spans="1:22" x14ac:dyDescent="0.35">
      <c r="A68" s="55" t="s">
        <v>94</v>
      </c>
      <c r="C68" s="593" t="str">
        <f>VLOOKUP("For each group of products being procured under the grant, select - from the dropdown menus - the Procurement Channel, when the funds will be disbursed from the Global Fund and how long the products take from confirmed PO to delivery in-country.",Language!$D$3:$G$66,SETUP!$A$2,FALSE)</f>
        <v>For each group of products being procured under the grant, select - from the dropdown menus - the Procurement Channel, when the funds will be disbursed from the Global Fund and how long the products take from confirmed PO to delivery in-country.</v>
      </c>
      <c r="H68" s="55"/>
      <c r="I68" s="380"/>
      <c r="J68" s="316"/>
      <c r="K68" s="316"/>
      <c r="L68" s="316"/>
      <c r="M68" s="316"/>
      <c r="N68" s="316"/>
      <c r="O68" s="316"/>
      <c r="P68" s="316"/>
      <c r="Q68" s="316"/>
    </row>
    <row r="69" spans="1:22" x14ac:dyDescent="0.35">
      <c r="A69" s="55"/>
      <c r="C69" s="429" t="str">
        <f>VLOOKUP("For budgeting of in-country supply chain costs for each group of product being procured under the grant, please indicate whether it is % based, fixed cost, or a mix of these two", Language!$D$3:$G$66,SETUP!$A$2,FALSE)</f>
        <v>For budgeting of in-country supply chain costs for each group of product being procured under the grant, please indicate whether it is "% based", "fixed cost", or a "mix" of these two</v>
      </c>
      <c r="D69" s="64"/>
      <c r="E69" s="64"/>
      <c r="H69" s="55"/>
      <c r="I69" s="380"/>
      <c r="J69" s="316"/>
      <c r="K69" s="316"/>
      <c r="L69" s="316"/>
      <c r="M69" s="316"/>
      <c r="N69" s="316"/>
      <c r="O69" s="316"/>
      <c r="P69" s="316"/>
      <c r="Q69" s="316"/>
      <c r="U69" s="395"/>
      <c r="V69" s="396" t="s">
        <v>1975</v>
      </c>
    </row>
    <row r="70" spans="1:22" x14ac:dyDescent="0.35">
      <c r="A70" s="55" t="s">
        <v>92</v>
      </c>
      <c r="C70" s="316"/>
      <c r="E70" s="316"/>
      <c r="F70" s="316"/>
      <c r="H70" s="55"/>
      <c r="I70" s="380"/>
      <c r="J70" s="316"/>
      <c r="K70" s="316"/>
      <c r="L70" s="316"/>
      <c r="M70" s="316"/>
      <c r="N70" s="316"/>
      <c r="O70" s="316"/>
      <c r="P70" s="316"/>
      <c r="Q70" s="316"/>
      <c r="U70" s="395" t="s">
        <v>663</v>
      </c>
      <c r="V70" s="396" t="str">
        <f>IF(V71="-","","1 USD = "&amp;V72 &amp;" EUR")</f>
        <v>1 USD = 1.0065 EUR</v>
      </c>
    </row>
    <row r="71" spans="1:22" ht="29" hidden="1" x14ac:dyDescent="0.35">
      <c r="A71" s="55" t="s">
        <v>94</v>
      </c>
      <c r="E71" s="316"/>
      <c r="F71" s="316"/>
      <c r="H71" s="55"/>
      <c r="I71" s="380"/>
      <c r="J71" s="316"/>
      <c r="K71" s="316"/>
      <c r="L71" s="316"/>
      <c r="M71" s="316"/>
      <c r="N71" s="316"/>
      <c r="O71" s="316"/>
      <c r="P71" s="316"/>
      <c r="Q71" s="316"/>
      <c r="U71" s="397" t="s">
        <v>57</v>
      </c>
      <c r="V71" s="398" t="s">
        <v>1976</v>
      </c>
    </row>
    <row r="72" spans="1:22" hidden="1" x14ac:dyDescent="0.35">
      <c r="A72" s="55" t="s">
        <v>94</v>
      </c>
      <c r="E72" s="316"/>
      <c r="F72" s="316"/>
      <c r="H72" s="55"/>
      <c r="I72" s="380"/>
      <c r="J72" s="316"/>
      <c r="K72" s="316"/>
      <c r="L72" s="316"/>
      <c r="M72" s="316"/>
      <c r="N72" s="316"/>
      <c r="O72" s="316"/>
      <c r="P72" s="316"/>
      <c r="Q72" s="316"/>
      <c r="U72" s="399" t="s">
        <v>662</v>
      </c>
      <c r="V72" s="400">
        <v>1.0065</v>
      </c>
    </row>
    <row r="73" spans="1:22" hidden="1" x14ac:dyDescent="0.35">
      <c r="A73" s="55" t="s">
        <v>94</v>
      </c>
      <c r="E73" s="316"/>
      <c r="F73" s="316"/>
      <c r="H73" s="55"/>
      <c r="I73" s="380"/>
      <c r="J73" s="316"/>
      <c r="K73" s="316"/>
      <c r="L73" s="316"/>
      <c r="M73" s="316"/>
      <c r="N73" s="316"/>
      <c r="O73" s="316"/>
      <c r="P73" s="316"/>
      <c r="Q73" s="316"/>
    </row>
    <row r="74" spans="1:22" x14ac:dyDescent="0.35">
      <c r="A74" s="55"/>
      <c r="C74" s="64"/>
      <c r="D74" s="64"/>
      <c r="E74" s="64"/>
      <c r="H74" s="55"/>
      <c r="I74" s="385"/>
      <c r="J74" s="316"/>
      <c r="K74" s="316"/>
      <c r="L74" s="316"/>
      <c r="M74" s="316"/>
      <c r="N74" s="316"/>
      <c r="O74" s="316"/>
      <c r="P74" s="316"/>
      <c r="Q74" s="316"/>
    </row>
    <row r="75" spans="1:22" ht="15" thickBot="1" x14ac:dyDescent="0.4">
      <c r="A75" s="382"/>
      <c r="B75" s="383"/>
      <c r="C75" s="383"/>
      <c r="D75" s="383"/>
      <c r="E75" s="383"/>
      <c r="F75" s="383"/>
      <c r="G75" s="383"/>
      <c r="H75" s="382"/>
      <c r="I75" s="384"/>
      <c r="J75" s="384"/>
      <c r="K75" s="384"/>
      <c r="L75" s="384"/>
      <c r="M75" s="384"/>
      <c r="N75" s="384"/>
      <c r="O75" s="384"/>
      <c r="P75" s="384"/>
      <c r="Q75" s="316"/>
    </row>
    <row r="76" spans="1:22" ht="18.5" thickBot="1" x14ac:dyDescent="0.4">
      <c r="A76" s="382"/>
      <c r="C76" s="1116" t="str">
        <f>VLOOKUP("VERSION of HPM template",Language!$D$3:$G$63,SETUP!$A$2,FALSE)</f>
        <v>VERSION  of HPM template</v>
      </c>
      <c r="D76" s="1117"/>
      <c r="E76" s="789"/>
      <c r="F76" s="1052">
        <v>6.1</v>
      </c>
      <c r="G76" s="1053"/>
      <c r="H76" s="382"/>
      <c r="I76" s="383"/>
      <c r="J76" s="384"/>
      <c r="K76" s="1046" t="str">
        <f>VLOOKUP("LAST UPDATE (DD-MMM-YYYY)",Language!$D$3:$G$63,SETUP!$A$2,FALSE)</f>
        <v>LAST UPDATE (DD-MMM-YYYY)</v>
      </c>
      <c r="L76" s="1047"/>
      <c r="M76" s="1047"/>
      <c r="N76" s="1114">
        <v>45055</v>
      </c>
      <c r="O76" s="1115"/>
      <c r="P76" s="384"/>
      <c r="Q76" s="316"/>
    </row>
    <row r="77" spans="1:22" x14ac:dyDescent="0.35">
      <c r="A77" s="382"/>
      <c r="B77" s="382"/>
      <c r="C77" s="382"/>
      <c r="D77" s="382"/>
      <c r="E77" s="382"/>
      <c r="F77" s="382"/>
      <c r="G77" s="382"/>
      <c r="H77" s="382"/>
      <c r="I77" s="382"/>
      <c r="J77" s="382"/>
      <c r="K77" s="382"/>
      <c r="L77" s="382"/>
      <c r="M77" s="382"/>
      <c r="N77" s="382"/>
      <c r="O77" s="382"/>
      <c r="P77" s="382"/>
      <c r="Q77" s="316"/>
    </row>
    <row r="78" spans="1:22" ht="16" customHeight="1" x14ac:dyDescent="0.35">
      <c r="A78" s="64" t="s">
        <v>92</v>
      </c>
      <c r="B78" s="394"/>
      <c r="C78" s="394"/>
      <c r="D78" s="394"/>
      <c r="H78" s="64"/>
      <c r="I78" s="316"/>
      <c r="J78" s="316"/>
      <c r="K78" s="316"/>
      <c r="L78" s="316"/>
      <c r="M78" s="316"/>
      <c r="N78" s="316"/>
      <c r="O78" s="316"/>
      <c r="P78" s="316"/>
      <c r="Q78" s="316"/>
    </row>
    <row r="79" spans="1:22" hidden="1" x14ac:dyDescent="0.35">
      <c r="A79" s="55" t="s">
        <v>94</v>
      </c>
      <c r="H79" s="55"/>
      <c r="I79" s="386"/>
    </row>
    <row r="80" spans="1:22" hidden="1" x14ac:dyDescent="0.35">
      <c r="A80" s="55" t="s">
        <v>94</v>
      </c>
      <c r="H80" s="55"/>
      <c r="I80" s="46"/>
    </row>
    <row r="81" spans="1:9" hidden="1" x14ac:dyDescent="0.35">
      <c r="A81" s="55"/>
      <c r="H81" s="55"/>
      <c r="I81" s="46"/>
    </row>
    <row r="82" spans="1:9" hidden="1" x14ac:dyDescent="0.35">
      <c r="A82" s="55" t="s">
        <v>92</v>
      </c>
      <c r="H82" s="55"/>
      <c r="I82" s="46"/>
    </row>
    <row r="83" spans="1:9" hidden="1" x14ac:dyDescent="0.35">
      <c r="A83" s="55" t="s">
        <v>94</v>
      </c>
      <c r="H83" s="55"/>
      <c r="I83" s="46"/>
    </row>
    <row r="84" spans="1:9" hidden="1" x14ac:dyDescent="0.35">
      <c r="A84" s="55" t="s">
        <v>94</v>
      </c>
      <c r="H84" s="55"/>
      <c r="I84" s="46"/>
    </row>
    <row r="85" spans="1:9" hidden="1" x14ac:dyDescent="0.35">
      <c r="A85" s="55" t="s">
        <v>94</v>
      </c>
      <c r="H85" s="55"/>
      <c r="I85" s="46"/>
    </row>
    <row r="86" spans="1:9" hidden="1" x14ac:dyDescent="0.35">
      <c r="A86" s="55"/>
      <c r="H86" s="55"/>
      <c r="I86" s="46"/>
    </row>
    <row r="87" spans="1:9" hidden="1" x14ac:dyDescent="0.35">
      <c r="A87" s="55" t="s">
        <v>92</v>
      </c>
      <c r="H87" s="55"/>
      <c r="I87" s="46"/>
    </row>
    <row r="88" spans="1:9" hidden="1" x14ac:dyDescent="0.35">
      <c r="A88" s="55" t="s">
        <v>94</v>
      </c>
      <c r="H88" s="55"/>
      <c r="I88" s="46"/>
    </row>
    <row r="89" spans="1:9" hidden="1" x14ac:dyDescent="0.35">
      <c r="A89" s="55" t="s">
        <v>94</v>
      </c>
      <c r="H89" s="55"/>
      <c r="I89" s="46"/>
    </row>
    <row r="90" spans="1:9" hidden="1" x14ac:dyDescent="0.35">
      <c r="A90" s="55" t="s">
        <v>94</v>
      </c>
      <c r="H90" s="55"/>
      <c r="I90" s="46"/>
    </row>
    <row r="91" spans="1:9" hidden="1" x14ac:dyDescent="0.35">
      <c r="A91" s="55" t="s">
        <v>94</v>
      </c>
      <c r="H91" s="55"/>
      <c r="I91" s="46"/>
    </row>
    <row r="92" spans="1:9" hidden="1" x14ac:dyDescent="0.35">
      <c r="A92" s="55"/>
      <c r="H92" s="55"/>
      <c r="I92" s="46"/>
    </row>
    <row r="93" spans="1:9" hidden="1" x14ac:dyDescent="0.35">
      <c r="A93" s="55" t="s">
        <v>92</v>
      </c>
      <c r="H93" s="55"/>
      <c r="I93" s="46"/>
    </row>
    <row r="94" spans="1:9" hidden="1" x14ac:dyDescent="0.35">
      <c r="A94" s="55" t="s">
        <v>94</v>
      </c>
      <c r="H94" s="55"/>
      <c r="I94" s="46"/>
    </row>
    <row r="95" spans="1:9" hidden="1" x14ac:dyDescent="0.35">
      <c r="A95" s="55" t="s">
        <v>94</v>
      </c>
      <c r="H95" s="55"/>
      <c r="I95" s="46"/>
    </row>
    <row r="96" spans="1:9" hidden="1" x14ac:dyDescent="0.35">
      <c r="A96" s="55" t="s">
        <v>94</v>
      </c>
      <c r="H96" s="55"/>
      <c r="I96" s="46"/>
    </row>
    <row r="97" spans="1:9" hidden="1" x14ac:dyDescent="0.35">
      <c r="A97" s="55" t="s">
        <v>92</v>
      </c>
      <c r="H97" s="55"/>
      <c r="I97" s="46"/>
    </row>
    <row r="98" spans="1:9" hidden="1" x14ac:dyDescent="0.35">
      <c r="A98" s="55" t="s">
        <v>94</v>
      </c>
      <c r="H98" s="55"/>
      <c r="I98" s="46"/>
    </row>
    <row r="99" spans="1:9" hidden="1" x14ac:dyDescent="0.35">
      <c r="A99" s="55" t="s">
        <v>94</v>
      </c>
      <c r="H99" s="55"/>
      <c r="I99" s="46"/>
    </row>
    <row r="100" spans="1:9" hidden="1" x14ac:dyDescent="0.35">
      <c r="A100" s="55" t="s">
        <v>94</v>
      </c>
      <c r="H100" s="55"/>
      <c r="I100" s="46"/>
    </row>
    <row r="101" spans="1:9" hidden="1" x14ac:dyDescent="0.35">
      <c r="A101" s="55" t="s">
        <v>94</v>
      </c>
      <c r="H101" s="55"/>
      <c r="I101" s="46"/>
    </row>
    <row r="102" spans="1:9" hidden="1" x14ac:dyDescent="0.35">
      <c r="A102" s="55" t="s">
        <v>90</v>
      </c>
      <c r="H102" s="55"/>
      <c r="I102" s="46"/>
    </row>
    <row r="103" spans="1:9" hidden="1" x14ac:dyDescent="0.35">
      <c r="A103" s="55"/>
      <c r="C103" s="1107" t="s">
        <v>119</v>
      </c>
      <c r="D103" s="129" t="s">
        <v>33</v>
      </c>
      <c r="E103" s="130"/>
      <c r="F103" s="131" t="s">
        <v>88</v>
      </c>
      <c r="G103" s="132">
        <v>0</v>
      </c>
      <c r="H103" s="55"/>
      <c r="I103" s="46"/>
    </row>
    <row r="104" spans="1:9" hidden="1" x14ac:dyDescent="0.35">
      <c r="A104" s="55"/>
      <c r="C104" s="1108"/>
      <c r="D104" s="133" t="s">
        <v>16</v>
      </c>
      <c r="E104" s="134"/>
      <c r="F104" s="135" t="s">
        <v>88</v>
      </c>
      <c r="G104" s="136">
        <v>0</v>
      </c>
      <c r="H104" s="55"/>
      <c r="I104" s="46"/>
    </row>
    <row r="105" spans="1:9" hidden="1" x14ac:dyDescent="0.35">
      <c r="A105" s="55"/>
      <c r="C105" s="1108"/>
      <c r="D105" t="s">
        <v>35</v>
      </c>
      <c r="E105" s="57"/>
      <c r="F105" s="111" t="s">
        <v>88</v>
      </c>
      <c r="G105" s="93">
        <v>0</v>
      </c>
      <c r="H105" s="55"/>
      <c r="I105" s="46"/>
    </row>
    <row r="106" spans="1:9" ht="15" hidden="1" thickBot="1" x14ac:dyDescent="0.4">
      <c r="A106" s="55"/>
      <c r="C106" s="1109"/>
      <c r="D106" s="137" t="s">
        <v>20</v>
      </c>
      <c r="E106" s="138"/>
      <c r="F106" s="139" t="s">
        <v>88</v>
      </c>
      <c r="G106" s="140">
        <v>0</v>
      </c>
      <c r="H106" s="55"/>
      <c r="I106" s="46"/>
    </row>
    <row r="107" spans="1:9" hidden="1" x14ac:dyDescent="0.35">
      <c r="A107" s="55" t="s">
        <v>90</v>
      </c>
      <c r="C107" s="1097" t="s">
        <v>83</v>
      </c>
      <c r="D107" s="125" t="s">
        <v>32</v>
      </c>
      <c r="E107" s="126"/>
      <c r="F107" s="127" t="s">
        <v>88</v>
      </c>
      <c r="G107" s="128"/>
      <c r="H107" s="55"/>
      <c r="I107" s="46"/>
    </row>
    <row r="108" spans="1:9" hidden="1" x14ac:dyDescent="0.35">
      <c r="A108" s="55" t="s">
        <v>109</v>
      </c>
      <c r="C108" s="1098"/>
      <c r="D108" s="143" t="s">
        <v>11</v>
      </c>
      <c r="E108" s="144" t="s">
        <v>120</v>
      </c>
      <c r="F108" s="145" t="s">
        <v>121</v>
      </c>
      <c r="G108" s="146">
        <v>1</v>
      </c>
      <c r="H108" s="55"/>
      <c r="I108" s="46"/>
    </row>
    <row r="109" spans="1:9" hidden="1" x14ac:dyDescent="0.35">
      <c r="C109" s="1098"/>
      <c r="D109" t="s">
        <v>15</v>
      </c>
      <c r="E109" s="57" t="s">
        <v>120</v>
      </c>
      <c r="F109" s="111" t="s">
        <v>88</v>
      </c>
      <c r="G109" s="93">
        <v>1</v>
      </c>
      <c r="I109" s="29"/>
    </row>
    <row r="110" spans="1:9" hidden="1" x14ac:dyDescent="0.35">
      <c r="A110" s="55"/>
      <c r="C110" s="1098"/>
      <c r="D110" s="143" t="s">
        <v>13</v>
      </c>
      <c r="E110" s="144" t="s">
        <v>120</v>
      </c>
      <c r="F110" s="145" t="s">
        <v>121</v>
      </c>
      <c r="G110" s="146">
        <v>1</v>
      </c>
      <c r="H110" s="55"/>
      <c r="I110" s="46"/>
    </row>
    <row r="111" spans="1:9" hidden="1" x14ac:dyDescent="0.35">
      <c r="C111" s="1098"/>
      <c r="D111" t="s">
        <v>17</v>
      </c>
      <c r="E111" s="57" t="s">
        <v>120</v>
      </c>
      <c r="F111" s="111" t="s">
        <v>88</v>
      </c>
      <c r="G111" s="93">
        <v>1</v>
      </c>
    </row>
    <row r="112" spans="1:9" hidden="1" x14ac:dyDescent="0.35">
      <c r="A112" s="55"/>
      <c r="C112" s="1098"/>
      <c r="D112" s="143" t="s">
        <v>19</v>
      </c>
      <c r="E112" s="144" t="s">
        <v>120</v>
      </c>
      <c r="F112" s="145" t="s">
        <v>88</v>
      </c>
      <c r="G112" s="146">
        <v>1</v>
      </c>
      <c r="H112" s="55"/>
      <c r="I112" s="46"/>
    </row>
    <row r="113" spans="1:9" hidden="1" x14ac:dyDescent="0.35">
      <c r="C113" s="1098"/>
      <c r="D113" t="s">
        <v>122</v>
      </c>
      <c r="E113" s="57" t="s">
        <v>123</v>
      </c>
      <c r="F113" s="111" t="s">
        <v>88</v>
      </c>
      <c r="G113" s="93">
        <v>1</v>
      </c>
    </row>
    <row r="114" spans="1:9" hidden="1" x14ac:dyDescent="0.35">
      <c r="A114" s="55"/>
      <c r="C114" s="1098"/>
      <c r="D114" s="143" t="s">
        <v>21</v>
      </c>
      <c r="E114" s="144" t="s">
        <v>120</v>
      </c>
      <c r="F114" s="145" t="s">
        <v>88</v>
      </c>
      <c r="G114" s="146">
        <v>1</v>
      </c>
      <c r="H114" s="55"/>
      <c r="I114" s="46"/>
    </row>
    <row r="115" spans="1:9" hidden="1" x14ac:dyDescent="0.35">
      <c r="C115" s="1098"/>
      <c r="D115" t="s">
        <v>23</v>
      </c>
      <c r="E115" s="57" t="s">
        <v>120</v>
      </c>
      <c r="F115" s="111" t="s">
        <v>121</v>
      </c>
      <c r="G115" s="93">
        <v>1</v>
      </c>
    </row>
    <row r="116" spans="1:9" hidden="1" x14ac:dyDescent="0.35">
      <c r="A116" s="55"/>
      <c r="C116" s="1098"/>
      <c r="D116" s="143" t="s">
        <v>22</v>
      </c>
      <c r="E116" s="144" t="s">
        <v>123</v>
      </c>
      <c r="F116" s="145" t="s">
        <v>88</v>
      </c>
      <c r="G116" s="146">
        <v>1</v>
      </c>
      <c r="H116" s="55"/>
      <c r="I116" s="46"/>
    </row>
    <row r="117" spans="1:9" hidden="1" x14ac:dyDescent="0.35">
      <c r="C117" s="1098"/>
      <c r="D117" t="s">
        <v>25</v>
      </c>
      <c r="E117" s="57" t="s">
        <v>124</v>
      </c>
      <c r="F117" s="111" t="s">
        <v>88</v>
      </c>
      <c r="G117" s="93">
        <v>1</v>
      </c>
    </row>
    <row r="118" spans="1:9" hidden="1" x14ac:dyDescent="0.35">
      <c r="A118" s="55"/>
      <c r="C118" s="1098"/>
      <c r="D118" s="143" t="s">
        <v>28</v>
      </c>
      <c r="E118" s="144" t="s">
        <v>123</v>
      </c>
      <c r="F118" s="145" t="s">
        <v>88</v>
      </c>
      <c r="G118" s="146">
        <v>1</v>
      </c>
      <c r="H118" s="55"/>
      <c r="I118" s="46"/>
    </row>
    <row r="119" spans="1:9" hidden="1" x14ac:dyDescent="0.35">
      <c r="C119" s="1098"/>
      <c r="D119" t="s">
        <v>29</v>
      </c>
      <c r="E119" s="57" t="s">
        <v>123</v>
      </c>
      <c r="F119" s="111" t="s">
        <v>88</v>
      </c>
      <c r="G119" s="93">
        <v>1</v>
      </c>
    </row>
    <row r="120" spans="1:9" hidden="1" x14ac:dyDescent="0.35">
      <c r="A120" s="55"/>
      <c r="C120" s="1098"/>
      <c r="D120" s="143" t="s">
        <v>30</v>
      </c>
      <c r="E120" s="144" t="s">
        <v>123</v>
      </c>
      <c r="F120" s="145" t="s">
        <v>88</v>
      </c>
      <c r="G120" s="146">
        <v>1</v>
      </c>
      <c r="H120" s="55"/>
      <c r="I120" s="46"/>
    </row>
    <row r="121" spans="1:9" hidden="1" x14ac:dyDescent="0.35">
      <c r="C121" s="1099"/>
      <c r="D121" s="121" t="s">
        <v>31</v>
      </c>
      <c r="E121" s="122" t="s">
        <v>123</v>
      </c>
      <c r="F121" s="123" t="s">
        <v>88</v>
      </c>
      <c r="G121" s="124">
        <v>1</v>
      </c>
    </row>
    <row r="122" spans="1:9" hidden="1" x14ac:dyDescent="0.35">
      <c r="F122" s="86"/>
    </row>
    <row r="123" spans="1:9" hidden="1" x14ac:dyDescent="0.35">
      <c r="F123" s="86"/>
    </row>
    <row r="124" spans="1:9" hidden="1" x14ac:dyDescent="0.35">
      <c r="F124" s="86"/>
    </row>
    <row r="125" spans="1:9" hidden="1" x14ac:dyDescent="0.35">
      <c r="F125" s="86"/>
    </row>
    <row r="126" spans="1:9" hidden="1" x14ac:dyDescent="0.35">
      <c r="F126" s="86"/>
    </row>
    <row r="1048576" ht="20" hidden="1" customHeight="1" x14ac:dyDescent="0.35"/>
  </sheetData>
  <sheetProtection algorithmName="SHA-512" hashValue="TH7LTOXxdcpZx/m5SPsyJoQcn9N6jplg4rVSgu3Gtb5pqSzYP2VssdvMRoRAU1YLjGwDl9x3n9xXMmORgkXQsA==" saltValue="qqpMtwnXaLFbnA8GqLHy7g==" spinCount="100000" sheet="1" autoFilter="0"/>
  <mergeCells count="45">
    <mergeCell ref="N23:N25"/>
    <mergeCell ref="J23:J25"/>
    <mergeCell ref="C107:C121"/>
    <mergeCell ref="M3:N3"/>
    <mergeCell ref="M4:N4"/>
    <mergeCell ref="I14:K14"/>
    <mergeCell ref="C103:C106"/>
    <mergeCell ref="M9:N9"/>
    <mergeCell ref="M10:N10"/>
    <mergeCell ref="N76:O76"/>
    <mergeCell ref="C76:D76"/>
    <mergeCell ref="E3:G3"/>
    <mergeCell ref="M8:N8"/>
    <mergeCell ref="J3:L3"/>
    <mergeCell ref="J5:L5"/>
    <mergeCell ref="M5:N5"/>
    <mergeCell ref="J7:L7"/>
    <mergeCell ref="M7:N7"/>
    <mergeCell ref="D1:L1"/>
    <mergeCell ref="E5:G5"/>
    <mergeCell ref="M6:N6"/>
    <mergeCell ref="E2:K2"/>
    <mergeCell ref="E7:G7"/>
    <mergeCell ref="I6:L6"/>
    <mergeCell ref="K32:K35"/>
    <mergeCell ref="C20:C34"/>
    <mergeCell ref="K20:L20"/>
    <mergeCell ref="K23:K25"/>
    <mergeCell ref="L23:L25"/>
    <mergeCell ref="M23:M25"/>
    <mergeCell ref="C41:C55"/>
    <mergeCell ref="K76:M76"/>
    <mergeCell ref="J9:L9"/>
    <mergeCell ref="J10:L10"/>
    <mergeCell ref="F76:G76"/>
    <mergeCell ref="J11:L11"/>
    <mergeCell ref="M32:M35"/>
    <mergeCell ref="I13:K13"/>
    <mergeCell ref="L32:L35"/>
    <mergeCell ref="J19:N19"/>
    <mergeCell ref="N32:N35"/>
    <mergeCell ref="M11:N11"/>
    <mergeCell ref="C17:H18"/>
    <mergeCell ref="E9:G9"/>
    <mergeCell ref="J32:J35"/>
  </mergeCells>
  <conditionalFormatting sqref="G20:G21 G43:G47 G57 G26:G30 G59 G61 G63 G34 G49">
    <cfRule type="expression" dxfId="4577" priority="218">
      <formula>AND(F20&lt;&gt;"Upfront",G20=0)</formula>
    </cfRule>
  </conditionalFormatting>
  <conditionalFormatting sqref="F20:G21 G49 G43:G47 F57:G57 F26:G30 F59:G59 F61:G61 F63:G63 F34:G34">
    <cfRule type="expression" dxfId="4576" priority="223">
      <formula>ISBLANK(F20)</formula>
    </cfRule>
  </conditionalFormatting>
  <conditionalFormatting sqref="G41">
    <cfRule type="expression" dxfId="4575" priority="211">
      <formula>AND(F41&lt;&gt;"Upfront",G41=0)</formula>
    </cfRule>
  </conditionalFormatting>
  <conditionalFormatting sqref="F41:G41">
    <cfRule type="expression" dxfId="4574" priority="212">
      <formula>ISBLANK(F41)</formula>
    </cfRule>
  </conditionalFormatting>
  <conditionalFormatting sqref="F43">
    <cfRule type="expression" dxfId="4573" priority="208">
      <formula>ISBLANK(F43)</formula>
    </cfRule>
  </conditionalFormatting>
  <conditionalFormatting sqref="F44">
    <cfRule type="expression" dxfId="4572" priority="207">
      <formula>ISBLANK(F44)</formula>
    </cfRule>
  </conditionalFormatting>
  <conditionalFormatting sqref="F46">
    <cfRule type="expression" dxfId="4571" priority="206">
      <formula>ISBLANK(F46)</formula>
    </cfRule>
  </conditionalFormatting>
  <conditionalFormatting sqref="F47">
    <cfRule type="expression" dxfId="4570" priority="205">
      <formula>ISBLANK(F47)</formula>
    </cfRule>
  </conditionalFormatting>
  <conditionalFormatting sqref="J5">
    <cfRule type="expression" dxfId="4569" priority="203">
      <formula>$J$5="#N/A"</formula>
    </cfRule>
  </conditionalFormatting>
  <conditionalFormatting sqref="G64">
    <cfRule type="expression" dxfId="4568" priority="163">
      <formula>AND(F64&lt;&gt;"Upfront",G64=0)</formula>
    </cfRule>
  </conditionalFormatting>
  <conditionalFormatting sqref="F64:G64">
    <cfRule type="expression" dxfId="4567" priority="164">
      <formula>ISBLANK(F64)</formula>
    </cfRule>
  </conditionalFormatting>
  <conditionalFormatting sqref="G67">
    <cfRule type="expression" dxfId="4566" priority="159">
      <formula>AND(F67&lt;&gt;"Upfront",G67=0)</formula>
    </cfRule>
  </conditionalFormatting>
  <conditionalFormatting sqref="F67:G67">
    <cfRule type="expression" dxfId="4565" priority="160">
      <formula>ISBLANK(F67)</formula>
    </cfRule>
  </conditionalFormatting>
  <conditionalFormatting sqref="G56">
    <cfRule type="expression" dxfId="4564" priority="129">
      <formula>AND(F56&lt;&gt;"Upfront",G56=0)</formula>
    </cfRule>
  </conditionalFormatting>
  <conditionalFormatting sqref="F56:G56">
    <cfRule type="expression" dxfId="4563" priority="130">
      <formula>ISBLANK(F56)</formula>
    </cfRule>
  </conditionalFormatting>
  <conditionalFormatting sqref="G65">
    <cfRule type="expression" dxfId="4562" priority="127">
      <formula>AND(F65&lt;&gt;"Upfront",G65=0)</formula>
    </cfRule>
  </conditionalFormatting>
  <conditionalFormatting sqref="F65:G65">
    <cfRule type="expression" dxfId="4561" priority="128">
      <formula>ISBLANK(F65)</formula>
    </cfRule>
  </conditionalFormatting>
  <conditionalFormatting sqref="G66">
    <cfRule type="expression" dxfId="4560" priority="125">
      <formula>AND(F66&lt;&gt;"Upfront",G66=0)</formula>
    </cfRule>
  </conditionalFormatting>
  <conditionalFormatting sqref="F66:G66">
    <cfRule type="expression" dxfId="4559" priority="126">
      <formula>ISBLANK(F66)</formula>
    </cfRule>
  </conditionalFormatting>
  <conditionalFormatting sqref="G67">
    <cfRule type="expression" dxfId="4558" priority="123">
      <formula>AND(F67&lt;&gt;"Upfront",G67=0)</formula>
    </cfRule>
  </conditionalFormatting>
  <conditionalFormatting sqref="F67:G67">
    <cfRule type="expression" dxfId="4557" priority="124">
      <formula>ISBLANK(F67)</formula>
    </cfRule>
  </conditionalFormatting>
  <conditionalFormatting sqref="G22">
    <cfRule type="expression" dxfId="4556" priority="87">
      <formula>AND(F22&lt;&gt;"Upfront",G22=0)</formula>
    </cfRule>
  </conditionalFormatting>
  <conditionalFormatting sqref="F22:G22">
    <cfRule type="expression" dxfId="4555" priority="88">
      <formula>ISBLANK(F22)</formula>
    </cfRule>
  </conditionalFormatting>
  <conditionalFormatting sqref="G23">
    <cfRule type="expression" dxfId="4554" priority="85">
      <formula>AND(F23&lt;&gt;"Upfront",G23=0)</formula>
    </cfRule>
  </conditionalFormatting>
  <conditionalFormatting sqref="F23:G23">
    <cfRule type="expression" dxfId="4553" priority="86">
      <formula>ISBLANK(F23)</formula>
    </cfRule>
  </conditionalFormatting>
  <conditionalFormatting sqref="G24:G25">
    <cfRule type="expression" dxfId="4552" priority="83">
      <formula>AND(F24&lt;&gt;"Upfront",G24=0)</formula>
    </cfRule>
  </conditionalFormatting>
  <conditionalFormatting sqref="F24:G24 G25">
    <cfRule type="expression" dxfId="4551" priority="84">
      <formula>ISBLANK(F24)</formula>
    </cfRule>
  </conditionalFormatting>
  <conditionalFormatting sqref="G58">
    <cfRule type="expression" dxfId="4550" priority="81">
      <formula>AND(F58&lt;&gt;"Upfront",G58=0)</formula>
    </cfRule>
  </conditionalFormatting>
  <conditionalFormatting sqref="F58:G58">
    <cfRule type="expression" dxfId="4549" priority="82">
      <formula>ISBLANK(F58)</formula>
    </cfRule>
  </conditionalFormatting>
  <conditionalFormatting sqref="G60">
    <cfRule type="expression" dxfId="4548" priority="79">
      <formula>AND(F60&lt;&gt;"Upfront",G60=0)</formula>
    </cfRule>
  </conditionalFormatting>
  <conditionalFormatting sqref="F60:G60">
    <cfRule type="expression" dxfId="4547" priority="80">
      <formula>ISBLANK(F60)</formula>
    </cfRule>
  </conditionalFormatting>
  <conditionalFormatting sqref="G62">
    <cfRule type="expression" dxfId="4546" priority="77">
      <formula>AND(F62&lt;&gt;"Upfront",G62=0)</formula>
    </cfRule>
  </conditionalFormatting>
  <conditionalFormatting sqref="F62:G62">
    <cfRule type="expression" dxfId="4545" priority="78">
      <formula>ISBLANK(F62)</formula>
    </cfRule>
  </conditionalFormatting>
  <conditionalFormatting sqref="G31">
    <cfRule type="expression" dxfId="4544" priority="75">
      <formula>AND(F31&lt;&gt;"Upfront",G31=0)</formula>
    </cfRule>
  </conditionalFormatting>
  <conditionalFormatting sqref="F31:G31">
    <cfRule type="expression" dxfId="4543" priority="76">
      <formula>ISBLANK(F31)</formula>
    </cfRule>
  </conditionalFormatting>
  <conditionalFormatting sqref="G33">
    <cfRule type="expression" dxfId="4542" priority="71">
      <formula>AND(F33&lt;&gt;"Upfront",G33=0)</formula>
    </cfRule>
  </conditionalFormatting>
  <conditionalFormatting sqref="F33:G33">
    <cfRule type="expression" dxfId="4541" priority="72">
      <formula>ISBLANK(F33)</formula>
    </cfRule>
  </conditionalFormatting>
  <conditionalFormatting sqref="G32">
    <cfRule type="expression" dxfId="4540" priority="67">
      <formula>AND(F32&lt;&gt;"Upfront",G32=0)</formula>
    </cfRule>
  </conditionalFormatting>
  <conditionalFormatting sqref="F32:G32">
    <cfRule type="expression" dxfId="4539" priority="68">
      <formula>ISBLANK(F32)</formula>
    </cfRule>
  </conditionalFormatting>
  <conditionalFormatting sqref="G42">
    <cfRule type="expression" dxfId="4538" priority="60">
      <formula>AND(F42&lt;&gt;"Upfront",G42=0)</formula>
    </cfRule>
  </conditionalFormatting>
  <conditionalFormatting sqref="F42:G42">
    <cfRule type="expression" dxfId="4537" priority="61">
      <formula>ISBLANK(F42)</formula>
    </cfRule>
  </conditionalFormatting>
  <conditionalFormatting sqref="G48">
    <cfRule type="expression" dxfId="4536" priority="58">
      <formula>AND(F48&lt;&gt;"Upfront",G48=0)</formula>
    </cfRule>
  </conditionalFormatting>
  <conditionalFormatting sqref="G48">
    <cfRule type="expression" dxfId="4535" priority="59">
      <formula>ISBLANK(G48)</formula>
    </cfRule>
  </conditionalFormatting>
  <conditionalFormatting sqref="F48">
    <cfRule type="expression" dxfId="4534" priority="57">
      <formula>ISBLANK(F48)</formula>
    </cfRule>
  </conditionalFormatting>
  <conditionalFormatting sqref="G50">
    <cfRule type="expression" dxfId="4533" priority="55">
      <formula>AND(F50&lt;&gt;"Upfront",G50=0)</formula>
    </cfRule>
  </conditionalFormatting>
  <conditionalFormatting sqref="G50">
    <cfRule type="expression" dxfId="4532" priority="56">
      <formula>ISBLANK(G50)</formula>
    </cfRule>
  </conditionalFormatting>
  <conditionalFormatting sqref="F50">
    <cfRule type="expression" dxfId="4531" priority="54">
      <formula>ISBLANK(F50)</formula>
    </cfRule>
  </conditionalFormatting>
  <conditionalFormatting sqref="G51 G53">
    <cfRule type="expression" dxfId="4530" priority="49">
      <formula>AND(F51&lt;&gt;"Upfront",G51=0)</formula>
    </cfRule>
  </conditionalFormatting>
  <conditionalFormatting sqref="G51 G53">
    <cfRule type="expression" dxfId="4529" priority="50">
      <formula>ISBLANK(G51)</formula>
    </cfRule>
  </conditionalFormatting>
  <conditionalFormatting sqref="G54">
    <cfRule type="expression" dxfId="4528" priority="47">
      <formula>AND(F54&lt;&gt;"Upfront",G54=0)</formula>
    </cfRule>
  </conditionalFormatting>
  <conditionalFormatting sqref="G54">
    <cfRule type="expression" dxfId="4527" priority="48">
      <formula>ISBLANK(G54)</formula>
    </cfRule>
  </conditionalFormatting>
  <conditionalFormatting sqref="F54">
    <cfRule type="expression" dxfId="4526" priority="46">
      <formula>ISBLANK(F54)</formula>
    </cfRule>
  </conditionalFormatting>
  <conditionalFormatting sqref="F45">
    <cfRule type="expression" dxfId="4525" priority="45">
      <formula>ISBLANK(F45)</formula>
    </cfRule>
  </conditionalFormatting>
  <conditionalFormatting sqref="G52">
    <cfRule type="expression" dxfId="4524" priority="43">
      <formula>AND(F52&lt;&gt;"Upfront",G52=0)</formula>
    </cfRule>
  </conditionalFormatting>
  <conditionalFormatting sqref="G52">
    <cfRule type="expression" dxfId="4523" priority="44">
      <formula>ISBLANK(G52)</formula>
    </cfRule>
  </conditionalFormatting>
  <conditionalFormatting sqref="F52">
    <cfRule type="expression" dxfId="4522" priority="42">
      <formula>ISBLANK(F52)</formula>
    </cfRule>
  </conditionalFormatting>
  <conditionalFormatting sqref="F49">
    <cfRule type="expression" dxfId="4521" priority="41">
      <formula>ISBLANK(F49)</formula>
    </cfRule>
  </conditionalFormatting>
  <conditionalFormatting sqref="F51">
    <cfRule type="expression" dxfId="4520" priority="40">
      <formula>ISBLANK(F51)</formula>
    </cfRule>
  </conditionalFormatting>
  <conditionalFormatting sqref="F53">
    <cfRule type="expression" dxfId="4519" priority="39">
      <formula>ISBLANK(F53)</formula>
    </cfRule>
  </conditionalFormatting>
  <conditionalFormatting sqref="F25">
    <cfRule type="expression" dxfId="4518" priority="38">
      <formula>ISBLANK(F25)</formula>
    </cfRule>
  </conditionalFormatting>
  <conditionalFormatting sqref="J7">
    <cfRule type="expression" dxfId="4517" priority="36">
      <formula>$R$7=1</formula>
    </cfRule>
  </conditionalFormatting>
  <conditionalFormatting sqref="J26:J31">
    <cfRule type="duplicateValues" dxfId="4516" priority="35"/>
  </conditionalFormatting>
  <conditionalFormatting sqref="E2:K2">
    <cfRule type="notContainsBlanks" dxfId="4515" priority="29">
      <formula>LEN(TRIM(E2))&gt;0</formula>
    </cfRule>
  </conditionalFormatting>
  <conditionalFormatting sqref="M3:N3">
    <cfRule type="expression" dxfId="4514" priority="26">
      <formula>$R$3=1</formula>
    </cfRule>
  </conditionalFormatting>
  <conditionalFormatting sqref="M5:N5">
    <cfRule type="expression" dxfId="4513" priority="25">
      <formula>$R5=1</formula>
    </cfRule>
  </conditionalFormatting>
  <conditionalFormatting sqref="E56:E66 E41:E54 E20:E34">
    <cfRule type="expression" dxfId="4512" priority="20">
      <formula>AND($S20&gt;0,$E20="")</formula>
    </cfRule>
  </conditionalFormatting>
  <conditionalFormatting sqref="F56:F67 F41:F54 F20:F34">
    <cfRule type="expression" dxfId="4511" priority="19">
      <formula>AND($S20&gt;0,$F20="")</formula>
    </cfRule>
  </conditionalFormatting>
  <conditionalFormatting sqref="G56:G67 G41:G54 G20:G34">
    <cfRule type="expression" dxfId="4510" priority="18">
      <formula>AND($S20&gt;0,$G20="")</formula>
    </cfRule>
  </conditionalFormatting>
  <conditionalFormatting sqref="H56:H67 H41:H54 H20:H34">
    <cfRule type="expression" dxfId="4509" priority="17">
      <formula>AND($S20&gt;0,$H20="")</formula>
    </cfRule>
  </conditionalFormatting>
  <conditionalFormatting sqref="D14">
    <cfRule type="containsBlanks" dxfId="4508" priority="15">
      <formula>LEN(TRIM(D14))=0</formula>
    </cfRule>
  </conditionalFormatting>
  <conditionalFormatting sqref="K18">
    <cfRule type="expression" dxfId="4507" priority="14">
      <formula>$K$18&lt;$K$17</formula>
    </cfRule>
  </conditionalFormatting>
  <conditionalFormatting sqref="G55">
    <cfRule type="expression" dxfId="4506" priority="11">
      <formula>AND(F55&lt;&gt;"Upfront",G55=0)</formula>
    </cfRule>
  </conditionalFormatting>
  <conditionalFormatting sqref="G55">
    <cfRule type="expression" dxfId="4505" priority="12">
      <formula>ISBLANK(G55)</formula>
    </cfRule>
  </conditionalFormatting>
  <conditionalFormatting sqref="F55">
    <cfRule type="expression" dxfId="4504" priority="10">
      <formula>ISBLANK(F55)</formula>
    </cfRule>
  </conditionalFormatting>
  <conditionalFormatting sqref="E55">
    <cfRule type="expression" dxfId="4503" priority="9">
      <formula>AND($S55&gt;0,$E55="")</formula>
    </cfRule>
  </conditionalFormatting>
  <conditionalFormatting sqref="F55">
    <cfRule type="expression" dxfId="4502" priority="8">
      <formula>AND($S55&gt;0,$F55="")</formula>
    </cfRule>
  </conditionalFormatting>
  <conditionalFormatting sqref="G55">
    <cfRule type="expression" dxfId="4501" priority="7">
      <formula>AND($S55&gt;0,$G55="")</formula>
    </cfRule>
  </conditionalFormatting>
  <conditionalFormatting sqref="H55">
    <cfRule type="expression" dxfId="4500" priority="6">
      <formula>AND($S55&gt;0,$H55="")</formula>
    </cfRule>
  </conditionalFormatting>
  <conditionalFormatting sqref="E7:G7">
    <cfRule type="expression" dxfId="4499" priority="1">
      <formula>$E$7=""</formula>
    </cfRule>
  </conditionalFormatting>
  <conditionalFormatting sqref="E3:G3">
    <cfRule type="expression" dxfId="4498" priority="3">
      <formula>$E$3=""</formula>
    </cfRule>
  </conditionalFormatting>
  <conditionalFormatting sqref="E5:G5">
    <cfRule type="expression" dxfId="4497" priority="2">
      <formula>$E$5=""</formula>
    </cfRule>
  </conditionalFormatting>
  <dataValidations xWindow="622" yWindow="660" count="14">
    <dataValidation type="list" allowBlank="1" showInputMessage="1" showErrorMessage="1" sqref="E103:E121 E20:E34 E41:E67" xr:uid="{946486B2-AF2C-4764-8364-B5A2684DB792}">
      <formula1>PROCUREMENTENTITY</formula1>
    </dataValidation>
    <dataValidation type="list" allowBlank="1" showInputMessage="1" showErrorMessage="1" sqref="F103:F121 F41:F67" xr:uid="{05C3DCB8-2C58-4C5E-8424-E1E2F225E5C6}">
      <formula1>TypeOfPay</formula1>
    </dataValidation>
    <dataValidation type="date" allowBlank="1" showInputMessage="1" showErrorMessage="1" error="End Date should be greater than Start date_x000a_Or_x000a_Input dates between 01/01/2021 and 31/12/2025" promptTitle="Date Format" prompt="DD-MMM-YYYY before 31-12-2025" sqref="L14" xr:uid="{35DDD2D6-A0A8-4593-BAE4-BE0CF49B3BBC}">
      <formula1>IMP_ST_DATE</formula1>
      <formula2>46022</formula2>
    </dataValidation>
    <dataValidation type="date" operator="greaterThanOrEqual" allowBlank="1" showInputMessage="1" showErrorMessage="1" error="Input dates between 01/01/2021 and 31/12/2025" promptTitle="Date Format" prompt="DD-MMM-YYYY after 01-01-2021" sqref="L13" xr:uid="{9EF82BEF-3BFB-407A-8079-52A213B444D5}">
      <formula1>44197</formula1>
    </dataValidation>
    <dataValidation allowBlank="1" showInputMessage="1" showErrorMessage="1" promptTitle="Enter Grant Number" prompt="Enter manually in case NA in list" sqref="M3:N3" xr:uid="{F6EEA61A-DC56-49AF-AAD5-8339E18FCAC6}"/>
    <dataValidation allowBlank="1" showInputMessage="1" showErrorMessage="1" prompt="Enter Free Text" sqref="M9:N11" xr:uid="{3E57B285-6012-4BF0-BDD2-E77E964A965F}"/>
    <dataValidation type="list" allowBlank="1" showInputMessage="1" showErrorMessage="1" sqref="G103:G121 G21:G34 G41:G66" xr:uid="{F4190B48-7768-478F-B64C-A8C9DFA444E2}">
      <formula1>INDIRECT(SUBSTITUTE(SUBSTITUTE(SUBSTITUTE(SUBSTITUTE(SUBSTITUTE(SUBSTITUTE(SUBSTITUTE(SUBSTITUTE(SUBSTITUTE(SUBSTITUTE(SUBSTITUTE(F21,",",""),":",""),"/"," "),"(",""),")",""),"-"," "),"  "," ")," ","_"),"&amp;",""),"__","_"),"+","_"))</formula1>
    </dataValidation>
    <dataValidation type="list" allowBlank="1" showInputMessage="1" showErrorMessage="1" sqref="H20:H34 H41:H67" xr:uid="{B3093379-9DC3-47F5-A988-FE63921CE846}">
      <formula1>HPMCostModality</formula1>
    </dataValidation>
    <dataValidation type="custom" allowBlank="1" showInputMessage="1" showErrorMessage="1" error="Please check End Date for Year 1 is after Start Date of the year and in DD-MMM-YYYY format." sqref="K18" xr:uid="{83DD728E-553B-4D9F-8440-8CAA56FFAE59}">
      <formula1>AND((OR((AND(DAY($K$18)=31,MONTH($K$18)=3)),(AND(DAY($K$18)=30,MONTH($K$18)=6)),(AND(DAY($K$18)=30,MONTH($K$18)=9)),(AND(DAY($K$18)=31,MONTH($K$18)=12)))),(($K$18&gt;=$K$17)))</formula1>
    </dataValidation>
    <dataValidation type="list" allowBlank="1" showErrorMessage="1" sqref="G20" xr:uid="{0800959B-06EF-4443-B521-5F1953195A72}">
      <formula1>INDIRECT(SUBSTITUTE(SUBSTITUTE(SUBSTITUTE(SUBSTITUTE(SUBSTITUTE(SUBSTITUTE(SUBSTITUTE(SUBSTITUTE(SUBSTITUTE(SUBSTITUTE(SUBSTITUTE(F20,",",""),":",""),"/"," "),"(",""),")",""),"-"," "),"  "," ")," ","_"),"&amp;",""),"__","_"),"+","_"))</formula1>
    </dataValidation>
    <dataValidation type="list" allowBlank="1" showInputMessage="1" showErrorMessage="1" promptTitle="Select PR/ SR" prompt=" Select from Dropdown" sqref="N1" xr:uid="{66559B8A-CE7F-445A-8EED-088ACCFD1EC0}">
      <formula1>"PR,SR/Implementer"</formula1>
    </dataValidation>
    <dataValidation type="list" allowBlank="1" showInputMessage="1" showErrorMessage="1" sqref="J3:L3" xr:uid="{7F698D01-2F99-490B-AA5C-474C7F10FDA7}">
      <formula1>Grant_no_new</formula1>
    </dataValidation>
    <dataValidation allowBlank="1" showInputMessage="1" showErrorMessage="1" promptTitle="Enter PR Name" prompt="Enter manually in case NA in list" sqref="M5:N5" xr:uid="{163645C7-F5FF-441B-8812-E188BF6918BB}"/>
    <dataValidation type="date" operator="greaterThanOrEqual" allowBlank="1" showInputMessage="1" showErrorMessage="1" error="Input dates between 01-01-2021 and 31-12-2025" promptTitle="Date Format" prompt="DD-MMM-YYYY" sqref="L26:L31 N26:N31" xr:uid="{9CAB5D1C-D2BA-448C-B17A-5939483FA210}">
      <formula1>44197</formula1>
    </dataValidation>
  </dataValidations>
  <pageMargins left="0.25" right="0.25" top="0.75" bottom="0.75" header="0.3" footer="0.3"/>
  <pageSetup paperSize="9" scale="37"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3" id="{2E560A8B-49A5-4C3F-8009-9B046D0EB56D}">
            <xm:f>IF(GRAN_NO="","",($E$7&lt;&gt;Grant!$AN$3))</xm:f>
            <x14:dxf>
              <fill>
                <patternFill>
                  <bgColor rgb="FFFF0000"/>
                </patternFill>
              </fill>
            </x14:dxf>
          </x14:cfRule>
          <xm:sqref>E7:G7</xm:sqref>
        </x14:conditionalFormatting>
        <x14:conditionalFormatting xmlns:xm="http://schemas.microsoft.com/office/excel/2006/main">
          <x14:cfRule type="expression" priority="4" id="{ABE76BD6-67FC-47C8-BCC0-54903D752454}">
            <xm:f>$K$20='Master Data-C19RM'!$J$10</xm:f>
            <x14:dxf>
              <fill>
                <patternFill>
                  <bgColor rgb="FF2705D1"/>
                </patternFill>
              </fill>
            </x14:dxf>
          </x14:cfRule>
          <x14:cfRule type="expression" priority="5" id="{174383CC-9E01-490F-961D-A5C0BFE8BC27}">
            <xm:f>$K$20='Master Data-C19RM'!$J$9</xm:f>
            <x14:dxf>
              <fill>
                <patternFill>
                  <bgColor rgb="FFF75535"/>
                </patternFill>
              </fill>
            </x14:dxf>
          </x14:cfRule>
          <xm:sqref>D1:L1</xm:sqref>
        </x14:conditionalFormatting>
      </x14:conditionalFormattings>
    </ext>
    <ext xmlns:x14="http://schemas.microsoft.com/office/spreadsheetml/2009/9/main" uri="{CCE6A557-97BC-4b89-ADB6-D9C93CAAB3DF}">
      <x14:dataValidations xmlns:xm="http://schemas.microsoft.com/office/excel/2006/main" xWindow="622" yWindow="660" count="5">
        <x14:dataValidation type="list" allowBlank="1" showInputMessage="1" promptTitle="Select From Dropdown" prompt="Pls type initial word of country and click on drop down arrow to see the List" xr:uid="{29B412A9-C565-4204-90B0-6BDCFA7306B5}">
          <x14:formula1>
            <xm:f>_xlfn.ANCHORARRAY(Grant!$AK$3)</xm:f>
          </x14:formula1>
          <xm:sqref>E3:G3</xm:sqref>
        </x14:dataValidation>
        <x14:dataValidation type="list" allowBlank="1" showInputMessage="1" showErrorMessage="1" xr:uid="{1E699D32-CB7E-4789-AB7F-9B0437B0221E}">
          <x14:formula1>
            <xm:f>Grant!$M$3:$M$5</xm:f>
          </x14:formula1>
          <xm:sqref>E5:G5</xm:sqref>
        </x14:dataValidation>
        <x14:dataValidation type="list" allowBlank="1" showInputMessage="1" showErrorMessage="1" xr:uid="{EB7ACA31-DBA7-470B-9665-413F04A73EBF}">
          <x14:formula1>
            <xm:f>'Master Data'!$H$6:$H$14</xm:f>
          </x14:formula1>
          <xm:sqref>J26:J31</xm:sqref>
        </x14:dataValidation>
        <x14:dataValidation type="list" allowBlank="1" showInputMessage="1" showErrorMessage="1" xr:uid="{2232A5FD-C872-439B-AA43-54875E40379C}">
          <x14:formula1>
            <xm:f>Grant!$Q$3:$Q$4</xm:f>
          </x14:formula1>
          <xm:sqref>E7:G7</xm:sqref>
        </x14:dataValidation>
        <x14:dataValidation type="list" allowBlank="1" showInputMessage="1" showErrorMessage="1" xr:uid="{3B7796F8-CD3F-4DB7-8E52-288A30355A2B}">
          <x14:formula1>
            <xm:f>'Master Data-C19RM'!$J$8:$J$10</xm:f>
          </x14:formula1>
          <xm:sqref>K20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3EA0-F44E-4275-B293-EAA83D7A6334}">
  <sheetPr>
    <tabColor theme="0" tint="-0.14999847407452621"/>
  </sheetPr>
  <dimension ref="A1:AX525"/>
  <sheetViews>
    <sheetView topLeftCell="F1" zoomScale="70" zoomScaleNormal="70" workbookViewId="0">
      <selection activeCell="AU7" sqref="AU7"/>
    </sheetView>
  </sheetViews>
  <sheetFormatPr defaultColWidth="8.81640625" defaultRowHeight="14.5" x14ac:dyDescent="0.35"/>
  <cols>
    <col min="1" max="1" width="14.453125" bestFit="1" customWidth="1"/>
    <col min="2" max="2" width="16.90625" customWidth="1"/>
    <col min="3" max="3" width="19.08984375" customWidth="1"/>
    <col min="4" max="4" width="23.1796875" customWidth="1"/>
    <col min="5" max="5" width="19.6328125" customWidth="1"/>
    <col min="6" max="6" width="22" customWidth="1"/>
    <col min="7" max="7" width="18.54296875" customWidth="1"/>
    <col min="8" max="8" width="32.453125" customWidth="1"/>
    <col min="9" max="9" width="21.1796875" bestFit="1" customWidth="1"/>
    <col min="10" max="10" width="17" bestFit="1" customWidth="1"/>
    <col min="11" max="11" width="9.6328125" hidden="1" customWidth="1"/>
    <col min="12" max="12" width="8.08984375" hidden="1" customWidth="1"/>
    <col min="13" max="13" width="10.6328125" bestFit="1" customWidth="1"/>
    <col min="15" max="15" width="31.81640625" bestFit="1" customWidth="1"/>
    <col min="16" max="16" width="8.81640625" style="220"/>
    <col min="17" max="17" width="4.1796875" bestFit="1" customWidth="1"/>
    <col min="18" max="18" width="7.1796875" bestFit="1" customWidth="1"/>
    <col min="20" max="20" width="31.81640625" bestFit="1" customWidth="1"/>
    <col min="21" max="21" width="11.26953125" bestFit="1" customWidth="1"/>
    <col min="22" max="23" width="17" bestFit="1" customWidth="1"/>
    <col min="24" max="24" width="2.81640625" bestFit="1" customWidth="1"/>
    <col min="25" max="25" width="31.81640625" bestFit="1" customWidth="1"/>
    <col min="26" max="27" width="17" bestFit="1" customWidth="1"/>
    <col min="28" max="28" width="33.81640625" bestFit="1" customWidth="1"/>
    <col min="29" max="29" width="127.26953125" bestFit="1" customWidth="1"/>
    <col min="30" max="30" width="10.6328125" customWidth="1"/>
    <col min="37" max="37" width="20.81640625" bestFit="1" customWidth="1"/>
    <col min="39" max="39" width="10.90625" customWidth="1"/>
    <col min="40" max="40" width="18.453125" customWidth="1"/>
    <col min="41" max="41" width="14.54296875" customWidth="1"/>
    <col min="42" max="42" width="13.36328125" customWidth="1"/>
    <col min="43" max="43" width="17.1796875" customWidth="1"/>
    <col min="44" max="44" width="16" customWidth="1"/>
    <col min="45" max="45" width="12.6328125" customWidth="1"/>
    <col min="46" max="46" width="25.6328125" customWidth="1"/>
    <col min="47" max="47" width="15.6328125" customWidth="1"/>
    <col min="48" max="48" width="12.453125" customWidth="1"/>
    <col min="49" max="49" width="15" customWidth="1"/>
    <col min="50" max="50" width="17" bestFit="1" customWidth="1"/>
  </cols>
  <sheetData>
    <row r="1" spans="1:50" x14ac:dyDescent="0.35">
      <c r="A1" t="s">
        <v>3341</v>
      </c>
      <c r="B1" t="s">
        <v>61</v>
      </c>
      <c r="C1" t="s">
        <v>3342</v>
      </c>
      <c r="D1" t="s">
        <v>172</v>
      </c>
      <c r="E1" t="s">
        <v>3343</v>
      </c>
      <c r="F1" t="s">
        <v>3344</v>
      </c>
      <c r="G1" t="s">
        <v>3345</v>
      </c>
      <c r="H1" t="s">
        <v>2425</v>
      </c>
      <c r="I1" t="s">
        <v>766</v>
      </c>
      <c r="J1" t="s">
        <v>767</v>
      </c>
      <c r="K1" s="611"/>
      <c r="L1" s="611"/>
    </row>
    <row r="2" spans="1:50" x14ac:dyDescent="0.35">
      <c r="A2" s="334" t="s">
        <v>761</v>
      </c>
      <c r="B2" s="334" t="s">
        <v>61</v>
      </c>
      <c r="C2" s="334" t="s">
        <v>762</v>
      </c>
      <c r="D2" s="334" t="s">
        <v>172</v>
      </c>
      <c r="E2" s="334" t="s">
        <v>763</v>
      </c>
      <c r="F2" s="334" t="s">
        <v>4</v>
      </c>
      <c r="G2" s="334" t="s">
        <v>764</v>
      </c>
      <c r="H2" s="334" t="s">
        <v>765</v>
      </c>
      <c r="I2" s="334" t="s">
        <v>766</v>
      </c>
      <c r="J2" s="334" t="s">
        <v>767</v>
      </c>
      <c r="K2" s="334" t="s">
        <v>2693</v>
      </c>
      <c r="L2" s="334" t="s">
        <v>2694</v>
      </c>
      <c r="M2" s="3" t="s">
        <v>270</v>
      </c>
      <c r="T2" s="321" t="s">
        <v>61</v>
      </c>
      <c r="U2" s="321" t="s">
        <v>172</v>
      </c>
      <c r="Y2" s="321" t="s">
        <v>61</v>
      </c>
      <c r="Z2" s="321" t="s">
        <v>767</v>
      </c>
      <c r="AB2" s="321" t="s">
        <v>767</v>
      </c>
      <c r="AC2" s="321" t="s">
        <v>765</v>
      </c>
      <c r="AF2" s="335" t="s">
        <v>39</v>
      </c>
      <c r="AG2" s="335" t="s">
        <v>39</v>
      </c>
      <c r="AH2" s="335" t="s">
        <v>36</v>
      </c>
      <c r="AI2" s="335" t="s">
        <v>37</v>
      </c>
      <c r="AJ2" s="316"/>
      <c r="AK2" t="s">
        <v>768</v>
      </c>
      <c r="AM2" t="s">
        <v>172</v>
      </c>
      <c r="AN2" t="s">
        <v>2732</v>
      </c>
      <c r="AO2" t="s">
        <v>768</v>
      </c>
      <c r="AQ2" t="s">
        <v>2431</v>
      </c>
      <c r="AR2" t="s">
        <v>2432</v>
      </c>
      <c r="AS2" t="s">
        <v>2733</v>
      </c>
      <c r="AT2" t="s">
        <v>4</v>
      </c>
      <c r="AU2" s="321" t="s">
        <v>61</v>
      </c>
      <c r="AV2" s="321" t="s">
        <v>4</v>
      </c>
      <c r="AW2" s="321" t="s">
        <v>172</v>
      </c>
      <c r="AX2" s="321" t="s">
        <v>767</v>
      </c>
    </row>
    <row r="3" spans="1:50" x14ac:dyDescent="0.35">
      <c r="A3">
        <v>151</v>
      </c>
      <c r="B3" t="s">
        <v>366</v>
      </c>
      <c r="C3">
        <v>1</v>
      </c>
      <c r="D3" t="s">
        <v>82</v>
      </c>
      <c r="E3">
        <v>1</v>
      </c>
      <c r="F3" t="s">
        <v>36</v>
      </c>
      <c r="G3" t="s">
        <v>769</v>
      </c>
      <c r="H3" t="s">
        <v>770</v>
      </c>
      <c r="I3" t="s">
        <v>3197</v>
      </c>
      <c r="J3" t="s">
        <v>3198</v>
      </c>
      <c r="M3" t="s">
        <v>69</v>
      </c>
      <c r="O3" t="str" cm="1">
        <f t="array" ref="O3">INDEX(Grant[Country],MATCH(0,INDEX(COUNTIF($O$2:O2,Grant[Country]),),0))</f>
        <v>Afghanistan</v>
      </c>
      <c r="Q3" s="335" t="s">
        <v>82</v>
      </c>
      <c r="R3" s="335" t="s">
        <v>83</v>
      </c>
      <c r="T3" s="1035" t="s">
        <v>366</v>
      </c>
      <c r="U3" s="1035" t="s">
        <v>82</v>
      </c>
      <c r="X3">
        <f>LEN(TRIM(Grant[[#This Row],[GrantName]]))</f>
        <v>13</v>
      </c>
      <c r="Y3" s="1035" t="s">
        <v>366</v>
      </c>
      <c r="Z3" s="1035" t="s">
        <v>3198</v>
      </c>
      <c r="AB3" s="1035" t="s">
        <v>3198</v>
      </c>
      <c r="AC3" s="1035" t="s">
        <v>770</v>
      </c>
      <c r="AF3" s="335" t="s">
        <v>36</v>
      </c>
      <c r="AK3" t="str" cm="1">
        <f t="array" ref="AK3:AK124">_xlfn._xlws.SORT(_xlfn._xlws.FILTER($O$3:$O$124,ISNUMBER(SEARCH(SETUP!E3,$O$3:$O$124)),"No Data found"))</f>
        <v>Afghanistan</v>
      </c>
      <c r="AM3" t="str" cm="1">
        <f t="array" ref="AM3:AM4">_xlfn._xlws.SORT(_xlfn._xlws.FILTER(Q:Q,ISNUMBER(SEARCH(SETUP!G3,Q:Q)),"No Data found"))</f>
        <v>EUR</v>
      </c>
      <c r="AN3" t="str" cm="1">
        <f t="array" ref="AN3:AN28">_xlfn._xlws.FILTER($AW$3:$AW$500,$AX$3:$AX$500=GRAN_NO)</f>
        <v>(blank)</v>
      </c>
      <c r="AO3" t="str" cm="1">
        <f t="array" ref="AO3:AO477">_xlfn._xlws.SORT(_xlfn._xlws.FILTER(AC2:AC500,ISNUMBER(SEARCH(SETUP!J3,AB2:AB500)),"No Data found"))</f>
        <v>(blank)</v>
      </c>
      <c r="AQ3" s="320" t="str" cm="1">
        <f t="array" aca="1" ref="AQ3" ca="1">IFERROR(OFFSET($AX$3:$AX$525,MATCH(SETUP!E3,$AU$3:$AU$525,0)-1,0,COUNTIFS($AU$3:$AU$525,SETUP!E3),1),"NA")</f>
        <v>NA</v>
      </c>
      <c r="AR3" t="str" cm="1">
        <f t="array" aca="1" ref="AR3" ca="1">IFERROR(OFFSET(Grant[PR Organization],MATCH(SETUP!E3&amp;SETUP!J3,Grant[Country]&amp;Grant[GrantName],0)-1,0,COUNTIFS(Grant[Country],SETUP!E3,Grant[GrantName],SETUP!J3),1),"NA")</f>
        <v>NA</v>
      </c>
      <c r="AS3" cm="1">
        <f t="array" ref="AS3:AS29">_xlfn._xlws.FILTER($U$3:$U$156,$T$3:$T$156=Language,"No Data Found")</f>
        <v>0</v>
      </c>
      <c r="AT3" t="e" cm="1" vm="1">
        <f t="array" ref="AT3">_xlfn.UNIQUE(_xlfn._xlws.FILTER($AV$3:$AV$455,$AU$3:$AU$455=Language))</f>
        <v>#VALUE!</v>
      </c>
      <c r="AU3" s="1035" t="s">
        <v>366</v>
      </c>
      <c r="AV3" s="1035" t="s">
        <v>36</v>
      </c>
      <c r="AW3" s="1035" t="s">
        <v>82</v>
      </c>
      <c r="AX3" s="1035" t="s">
        <v>3198</v>
      </c>
    </row>
    <row r="4" spans="1:50" x14ac:dyDescent="0.35">
      <c r="A4">
        <v>151</v>
      </c>
      <c r="B4" t="s">
        <v>366</v>
      </c>
      <c r="C4">
        <v>1</v>
      </c>
      <c r="D4" t="s">
        <v>82</v>
      </c>
      <c r="E4">
        <v>1</v>
      </c>
      <c r="F4" t="s">
        <v>36</v>
      </c>
      <c r="G4" t="s">
        <v>771</v>
      </c>
      <c r="H4" t="s">
        <v>772</v>
      </c>
      <c r="I4" t="s">
        <v>773</v>
      </c>
      <c r="J4" t="s">
        <v>774</v>
      </c>
      <c r="M4" t="s">
        <v>71</v>
      </c>
      <c r="O4" t="str" cm="1">
        <f t="array" ref="O4">INDEX(Grant[Country],MATCH(0,INDEX(COUNTIF($O$2:O3,Grant[Country]),),0))</f>
        <v>Angola</v>
      </c>
      <c r="Q4" s="335" t="s">
        <v>367</v>
      </c>
      <c r="R4" s="335"/>
      <c r="T4" s="1035" t="s">
        <v>3581</v>
      </c>
      <c r="U4" s="1035" t="s">
        <v>367</v>
      </c>
      <c r="Y4" s="1035" t="s">
        <v>366</v>
      </c>
      <c r="Z4" s="1035" t="s">
        <v>774</v>
      </c>
      <c r="AB4" s="1035" t="s">
        <v>774</v>
      </c>
      <c r="AC4" s="1035" t="s">
        <v>772</v>
      </c>
      <c r="AF4" s="335" t="s">
        <v>37</v>
      </c>
      <c r="AK4" t="str">
        <v>Africa</v>
      </c>
      <c r="AM4" t="str">
        <v>USD</v>
      </c>
      <c r="AN4">
        <v>0</v>
      </c>
      <c r="AO4" t="str">
        <v>ActionAid International Malawi</v>
      </c>
      <c r="AS4">
        <v>0</v>
      </c>
      <c r="AU4" s="1035" t="s">
        <v>366</v>
      </c>
      <c r="AV4" s="1035" t="s">
        <v>36</v>
      </c>
      <c r="AW4" s="1035" t="s">
        <v>82</v>
      </c>
      <c r="AX4" s="1035" t="s">
        <v>774</v>
      </c>
    </row>
    <row r="5" spans="1:50" x14ac:dyDescent="0.35">
      <c r="A5">
        <v>151</v>
      </c>
      <c r="B5" t="s">
        <v>366</v>
      </c>
      <c r="C5">
        <v>1</v>
      </c>
      <c r="D5" t="s">
        <v>82</v>
      </c>
      <c r="E5">
        <v>3</v>
      </c>
      <c r="F5" t="s">
        <v>37</v>
      </c>
      <c r="G5" t="s">
        <v>771</v>
      </c>
      <c r="H5" t="s">
        <v>772</v>
      </c>
      <c r="I5" t="s">
        <v>776</v>
      </c>
      <c r="J5" t="s">
        <v>777</v>
      </c>
      <c r="M5" t="s">
        <v>70</v>
      </c>
      <c r="O5" t="str" cm="1">
        <f t="array" ref="O5">INDEX(Grant[Country],MATCH(0,INDEX(COUNTIF($O$2:O4,Grant[Country]),),0))</f>
        <v>Albania</v>
      </c>
      <c r="R5" s="335"/>
      <c r="T5" s="1035" t="s">
        <v>3581</v>
      </c>
      <c r="U5" s="1035" t="s">
        <v>82</v>
      </c>
      <c r="Y5" s="1035" t="s">
        <v>366</v>
      </c>
      <c r="Z5" s="1035" t="s">
        <v>777</v>
      </c>
      <c r="AB5" s="1035" t="s">
        <v>777</v>
      </c>
      <c r="AC5" s="1035" t="s">
        <v>772</v>
      </c>
      <c r="AF5" s="335"/>
      <c r="AK5" t="str">
        <v>Albania</v>
      </c>
      <c r="AN5">
        <v>0</v>
      </c>
      <c r="AO5" t="str">
        <v>ActionAid International The Gambia</v>
      </c>
      <c r="AS5">
        <v>0</v>
      </c>
      <c r="AU5" s="1035" t="s">
        <v>366</v>
      </c>
      <c r="AV5" s="1035" t="s">
        <v>37</v>
      </c>
      <c r="AW5" s="1035" t="s">
        <v>82</v>
      </c>
      <c r="AX5" s="1035" t="s">
        <v>777</v>
      </c>
    </row>
    <row r="6" spans="1:50" x14ac:dyDescent="0.35">
      <c r="A6">
        <v>151</v>
      </c>
      <c r="B6" t="s">
        <v>366</v>
      </c>
      <c r="C6">
        <v>1</v>
      </c>
      <c r="D6" t="s">
        <v>82</v>
      </c>
      <c r="E6">
        <v>2</v>
      </c>
      <c r="F6" t="s">
        <v>39</v>
      </c>
      <c r="G6" t="s">
        <v>769</v>
      </c>
      <c r="H6" t="s">
        <v>770</v>
      </c>
      <c r="I6" t="s">
        <v>778</v>
      </c>
      <c r="J6" t="s">
        <v>775</v>
      </c>
      <c r="M6" t="s">
        <v>369</v>
      </c>
      <c r="O6" t="str" cm="1">
        <f t="array" ref="O6">INDEX(Grant[Country],MATCH(0,INDEX(COUNTIF($O$2:O5,Grant[Country]),),0))</f>
        <v>Armenia</v>
      </c>
      <c r="R6" s="335"/>
      <c r="T6" s="1035" t="s">
        <v>368</v>
      </c>
      <c r="U6" s="1035" t="s">
        <v>82</v>
      </c>
      <c r="Y6" s="1035" t="s">
        <v>366</v>
      </c>
      <c r="Z6" s="1035" t="s">
        <v>775</v>
      </c>
      <c r="AB6" s="1035" t="s">
        <v>775</v>
      </c>
      <c r="AC6" s="1035" t="s">
        <v>770</v>
      </c>
      <c r="AK6" t="str">
        <v>Algeria</v>
      </c>
      <c r="AN6">
        <v>0</v>
      </c>
      <c r="AO6" t="str">
        <v>ActionAid International The Gambia</v>
      </c>
      <c r="AS6">
        <v>0</v>
      </c>
      <c r="AU6" s="1035" t="s">
        <v>366</v>
      </c>
      <c r="AV6" s="1035" t="s">
        <v>187</v>
      </c>
      <c r="AW6" s="1035" t="s">
        <v>82</v>
      </c>
      <c r="AX6" s="1035" t="s">
        <v>3347</v>
      </c>
    </row>
    <row r="7" spans="1:50" x14ac:dyDescent="0.35">
      <c r="A7">
        <v>151</v>
      </c>
      <c r="B7" t="s">
        <v>366</v>
      </c>
      <c r="C7">
        <v>1</v>
      </c>
      <c r="D7" t="s">
        <v>82</v>
      </c>
      <c r="E7">
        <v>2</v>
      </c>
      <c r="F7" t="s">
        <v>39</v>
      </c>
      <c r="G7" t="s">
        <v>771</v>
      </c>
      <c r="H7" t="s">
        <v>772</v>
      </c>
      <c r="I7" t="s">
        <v>780</v>
      </c>
      <c r="J7" t="s">
        <v>781</v>
      </c>
      <c r="O7" t="str" cm="1">
        <f t="array" ref="O7">INDEX(Grant[Country],MATCH(0,INDEX(COUNTIF($O$2:O6,Grant[Country]),),0))</f>
        <v>Azerbaijan</v>
      </c>
      <c r="R7" s="335"/>
      <c r="T7" s="1035" t="s">
        <v>370</v>
      </c>
      <c r="U7" s="1035" t="s">
        <v>82</v>
      </c>
      <c r="Y7" s="1035" t="s">
        <v>366</v>
      </c>
      <c r="Z7" s="1035" t="s">
        <v>781</v>
      </c>
      <c r="AB7" s="1035" t="s">
        <v>781</v>
      </c>
      <c r="AC7" s="1035" t="s">
        <v>772</v>
      </c>
      <c r="AK7" t="str">
        <v>Americas</v>
      </c>
      <c r="AN7">
        <v>0</v>
      </c>
      <c r="AO7" t="str">
        <v>African Comprehensive HIV/AIDS Partnerships</v>
      </c>
      <c r="AS7">
        <v>0</v>
      </c>
      <c r="AU7" s="1035" t="s">
        <v>366</v>
      </c>
      <c r="AV7" s="1035" t="s">
        <v>39</v>
      </c>
      <c r="AW7" s="1035" t="s">
        <v>82</v>
      </c>
      <c r="AX7" s="1035" t="s">
        <v>775</v>
      </c>
    </row>
    <row r="8" spans="1:50" x14ac:dyDescent="0.35">
      <c r="A8">
        <v>151</v>
      </c>
      <c r="B8" t="s">
        <v>366</v>
      </c>
      <c r="C8">
        <v>1</v>
      </c>
      <c r="D8" t="s">
        <v>82</v>
      </c>
      <c r="E8">
        <v>5</v>
      </c>
      <c r="F8" t="s">
        <v>187</v>
      </c>
      <c r="G8" t="s">
        <v>771</v>
      </c>
      <c r="H8" t="s">
        <v>772</v>
      </c>
      <c r="I8" t="s">
        <v>3346</v>
      </c>
      <c r="J8" t="s">
        <v>3347</v>
      </c>
      <c r="O8" t="str" cm="1">
        <f t="array" ref="O8">INDEX(Grant[Country],MATCH(0,INDEX(COUNTIF($O$2:O7,Grant[Country]),),0))</f>
        <v>Burundi</v>
      </c>
      <c r="T8" s="1035" t="s">
        <v>3585</v>
      </c>
      <c r="U8" s="1035" t="s">
        <v>82</v>
      </c>
      <c r="Y8" s="1035" t="s">
        <v>366</v>
      </c>
      <c r="Z8" s="1035" t="s">
        <v>3347</v>
      </c>
      <c r="AB8" s="1035" t="s">
        <v>793</v>
      </c>
      <c r="AC8" s="1035" t="s">
        <v>785</v>
      </c>
      <c r="AK8" t="str">
        <v>Angola</v>
      </c>
      <c r="AN8">
        <v>0</v>
      </c>
      <c r="AO8" t="str">
        <v>African Network for the Care of Children Affected by HIV/AIDS</v>
      </c>
      <c r="AS8">
        <v>0</v>
      </c>
      <c r="AU8" s="1035" t="s">
        <v>366</v>
      </c>
      <c r="AV8" s="1035" t="s">
        <v>39</v>
      </c>
      <c r="AW8" s="1035" t="s">
        <v>82</v>
      </c>
      <c r="AX8" s="1035" t="s">
        <v>781</v>
      </c>
    </row>
    <row r="9" spans="1:50" x14ac:dyDescent="0.35">
      <c r="A9">
        <v>43</v>
      </c>
      <c r="B9" t="s">
        <v>371</v>
      </c>
      <c r="C9">
        <v>1</v>
      </c>
      <c r="D9" t="s">
        <v>82</v>
      </c>
      <c r="E9">
        <v>2</v>
      </c>
      <c r="F9" t="s">
        <v>39</v>
      </c>
      <c r="G9" t="s">
        <v>794</v>
      </c>
      <c r="H9" t="s">
        <v>785</v>
      </c>
      <c r="I9" t="s">
        <v>804</v>
      </c>
      <c r="J9" t="s">
        <v>793</v>
      </c>
      <c r="O9" t="str" cm="1">
        <f t="array" ref="O9">INDEX(Grant[Country],MATCH(0,INDEX(COUNTIF($O$2:O8,Grant[Country]),),0))</f>
        <v>Benin</v>
      </c>
      <c r="T9" s="1035" t="s">
        <v>371</v>
      </c>
      <c r="U9" s="1035" t="s">
        <v>82</v>
      </c>
      <c r="Y9" s="1035" t="s">
        <v>3581</v>
      </c>
      <c r="Z9" s="1035" t="s">
        <v>3467</v>
      </c>
      <c r="AB9" s="1035" t="s">
        <v>792</v>
      </c>
      <c r="AC9" s="1035" t="s">
        <v>772</v>
      </c>
      <c r="AK9" t="str">
        <v>Armenia</v>
      </c>
      <c r="AN9">
        <v>0</v>
      </c>
      <c r="AO9" t="str">
        <v>AIDS Foundation South Africa</v>
      </c>
      <c r="AS9">
        <v>0</v>
      </c>
      <c r="AU9" s="1035" t="s">
        <v>3581</v>
      </c>
      <c r="AV9" s="1035" t="s">
        <v>36</v>
      </c>
      <c r="AW9" s="1035" t="s">
        <v>82</v>
      </c>
      <c r="AX9" s="1035" t="s">
        <v>3467</v>
      </c>
    </row>
    <row r="10" spans="1:50" x14ac:dyDescent="0.35">
      <c r="A10">
        <v>43</v>
      </c>
      <c r="B10" t="s">
        <v>371</v>
      </c>
      <c r="C10">
        <v>1</v>
      </c>
      <c r="D10" t="s">
        <v>82</v>
      </c>
      <c r="E10">
        <v>1</v>
      </c>
      <c r="F10" t="s">
        <v>36</v>
      </c>
      <c r="G10" t="s">
        <v>790</v>
      </c>
      <c r="H10" t="s">
        <v>772</v>
      </c>
      <c r="I10" t="s">
        <v>791</v>
      </c>
      <c r="J10" t="s">
        <v>792</v>
      </c>
      <c r="O10" t="str" cm="1">
        <f t="array" ref="O10">INDEX(Grant[Country],MATCH(0,INDEX(COUNTIF($O$2:O9,Grant[Country]),),0))</f>
        <v>Burkina Faso</v>
      </c>
      <c r="T10" s="1035" t="s">
        <v>373</v>
      </c>
      <c r="U10" s="1035" t="s">
        <v>82</v>
      </c>
      <c r="Y10" s="1035" t="s">
        <v>3581</v>
      </c>
      <c r="Z10" s="1035" t="s">
        <v>3473</v>
      </c>
      <c r="AB10" s="1035" t="s">
        <v>796</v>
      </c>
      <c r="AC10" s="1035" t="s">
        <v>785</v>
      </c>
      <c r="AK10" t="str">
        <v>Asia</v>
      </c>
      <c r="AN10">
        <v>0</v>
      </c>
      <c r="AO10" t="str">
        <v>Alliance Nationale des Communautés pour la Santé - Sénégal</v>
      </c>
      <c r="AS10">
        <v>0</v>
      </c>
      <c r="AU10" s="1035" t="s">
        <v>3581</v>
      </c>
      <c r="AV10" s="1035" t="s">
        <v>36</v>
      </c>
      <c r="AW10" s="1035" t="s">
        <v>82</v>
      </c>
      <c r="AX10" s="1035" t="s">
        <v>3473</v>
      </c>
    </row>
    <row r="11" spans="1:50" x14ac:dyDescent="0.35">
      <c r="A11">
        <v>43</v>
      </c>
      <c r="B11" t="s">
        <v>371</v>
      </c>
      <c r="C11">
        <v>1</v>
      </c>
      <c r="D11" t="s">
        <v>82</v>
      </c>
      <c r="E11">
        <v>3</v>
      </c>
      <c r="F11" t="s">
        <v>37</v>
      </c>
      <c r="G11" t="s">
        <v>794</v>
      </c>
      <c r="H11" t="s">
        <v>785</v>
      </c>
      <c r="I11" t="s">
        <v>795</v>
      </c>
      <c r="J11" t="s">
        <v>796</v>
      </c>
      <c r="O11" t="str" cm="1">
        <f t="array" ref="O11">INDEX(Grant[Country],MATCH(0,INDEX(COUNTIF($O$2:O10,Grant[Country]),),0))</f>
        <v>Bangladesh</v>
      </c>
      <c r="T11" s="1035" t="s">
        <v>3587</v>
      </c>
      <c r="U11" s="1035" t="s">
        <v>82</v>
      </c>
      <c r="Y11" s="1035" t="s">
        <v>3581</v>
      </c>
      <c r="Z11" s="1035" t="s">
        <v>3485</v>
      </c>
      <c r="AB11" s="1035" t="s">
        <v>799</v>
      </c>
      <c r="AC11" s="1035" t="s">
        <v>789</v>
      </c>
      <c r="AK11" t="str">
        <v>Azerbaijan</v>
      </c>
      <c r="AN11">
        <v>0</v>
      </c>
      <c r="AO11" t="str">
        <v>Alliance Nationale pour la Santé et le Développement en Côte D'Ivoire</v>
      </c>
      <c r="AS11">
        <v>0</v>
      </c>
      <c r="AU11" s="1035" t="s">
        <v>3581</v>
      </c>
      <c r="AV11" s="1035" t="s">
        <v>36</v>
      </c>
      <c r="AW11" s="1035" t="s">
        <v>82</v>
      </c>
      <c r="AX11" s="1035" t="s">
        <v>3469</v>
      </c>
    </row>
    <row r="12" spans="1:50" x14ac:dyDescent="0.35">
      <c r="A12">
        <v>43</v>
      </c>
      <c r="B12" t="s">
        <v>371</v>
      </c>
      <c r="C12">
        <v>1</v>
      </c>
      <c r="D12" t="s">
        <v>82</v>
      </c>
      <c r="E12">
        <v>3</v>
      </c>
      <c r="F12" t="s">
        <v>37</v>
      </c>
      <c r="G12" t="s">
        <v>797</v>
      </c>
      <c r="H12" t="s">
        <v>789</v>
      </c>
      <c r="I12" t="s">
        <v>798</v>
      </c>
      <c r="J12" t="s">
        <v>799</v>
      </c>
      <c r="O12" t="str" cm="1">
        <f t="array" ref="O12">INDEX(Grant[Country],MATCH(0,INDEX(COUNTIF($O$2:O11,Grant[Country]),),0))</f>
        <v>Belarus</v>
      </c>
      <c r="T12" s="1035" t="s">
        <v>81</v>
      </c>
      <c r="U12" s="1035" t="s">
        <v>82</v>
      </c>
      <c r="Y12" s="1035" t="s">
        <v>3581</v>
      </c>
      <c r="Z12" s="1035" t="s">
        <v>3477</v>
      </c>
      <c r="AB12" s="1035" t="s">
        <v>801</v>
      </c>
      <c r="AC12" s="1035" t="s">
        <v>785</v>
      </c>
      <c r="AK12" t="str">
        <v>Bangladesh</v>
      </c>
      <c r="AN12">
        <v>0</v>
      </c>
      <c r="AO12" t="str">
        <v>Alliance Nationale pour la Santé et le Développement en Côte D'Ivoire</v>
      </c>
      <c r="AS12">
        <v>0</v>
      </c>
      <c r="AU12" s="1035" t="s">
        <v>3581</v>
      </c>
      <c r="AV12" s="1035" t="s">
        <v>37</v>
      </c>
      <c r="AW12" s="1035" t="s">
        <v>82</v>
      </c>
      <c r="AX12" s="1035" t="s">
        <v>3477</v>
      </c>
    </row>
    <row r="13" spans="1:50" x14ac:dyDescent="0.35">
      <c r="A13">
        <v>43</v>
      </c>
      <c r="B13" t="s">
        <v>371</v>
      </c>
      <c r="C13">
        <v>1</v>
      </c>
      <c r="D13" t="s">
        <v>82</v>
      </c>
      <c r="E13">
        <v>2</v>
      </c>
      <c r="F13" t="s">
        <v>39</v>
      </c>
      <c r="G13" t="s">
        <v>794</v>
      </c>
      <c r="H13" t="s">
        <v>785</v>
      </c>
      <c r="I13" t="s">
        <v>805</v>
      </c>
      <c r="J13" t="s">
        <v>801</v>
      </c>
      <c r="O13" t="str" cm="1">
        <f t="array" ref="O13">INDEX(Grant[Country],MATCH(0,INDEX(COUNTIF($O$2:O12,Grant[Country]),),0))</f>
        <v>Belize</v>
      </c>
      <c r="T13" s="1035" t="s">
        <v>374</v>
      </c>
      <c r="U13" s="1035" t="s">
        <v>82</v>
      </c>
      <c r="Y13" s="1035" t="s">
        <v>3581</v>
      </c>
      <c r="Z13" s="1035" t="s">
        <v>3491</v>
      </c>
      <c r="AB13" s="1035" t="s">
        <v>803</v>
      </c>
      <c r="AC13" s="1035" t="s">
        <v>772</v>
      </c>
      <c r="AK13" t="str">
        <v>Belarus</v>
      </c>
      <c r="AN13">
        <v>0</v>
      </c>
      <c r="AO13" t="str">
        <v>Alliance Nationale pour la Santé et le Développement en Côte D'Ivoire</v>
      </c>
      <c r="AS13">
        <v>0</v>
      </c>
      <c r="AU13" s="1035" t="s">
        <v>3581</v>
      </c>
      <c r="AV13" s="1035" t="s">
        <v>37</v>
      </c>
      <c r="AW13" s="1035" t="s">
        <v>82</v>
      </c>
      <c r="AX13" s="1035" t="s">
        <v>3481</v>
      </c>
    </row>
    <row r="14" spans="1:50" x14ac:dyDescent="0.35">
      <c r="A14">
        <v>43</v>
      </c>
      <c r="B14" t="s">
        <v>371</v>
      </c>
      <c r="C14">
        <v>1</v>
      </c>
      <c r="D14" t="s">
        <v>82</v>
      </c>
      <c r="E14">
        <v>5</v>
      </c>
      <c r="F14" t="s">
        <v>187</v>
      </c>
      <c r="G14" t="s">
        <v>790</v>
      </c>
      <c r="H14" t="s">
        <v>772</v>
      </c>
      <c r="I14" t="s">
        <v>802</v>
      </c>
      <c r="J14" t="s">
        <v>803</v>
      </c>
      <c r="O14" t="str" cm="1">
        <f t="array" ref="O14">INDEX(Grant[Country],MATCH(0,INDEX(COUNTIF($O$2:O13,Grant[Country]),),0))</f>
        <v>Bolivia (Plurinational State)</v>
      </c>
      <c r="T14" s="1035" t="s">
        <v>375</v>
      </c>
      <c r="U14" s="1035" t="s">
        <v>82</v>
      </c>
      <c r="Y14" s="1035" t="s">
        <v>3581</v>
      </c>
      <c r="Z14" s="1035" t="s">
        <v>3456</v>
      </c>
      <c r="AB14" s="1035" t="s">
        <v>784</v>
      </c>
      <c r="AC14" s="1035" t="s">
        <v>3199</v>
      </c>
      <c r="AK14" t="str">
        <v>Belize</v>
      </c>
      <c r="AN14">
        <v>0</v>
      </c>
      <c r="AO14" t="str">
        <v>Alliance Nationale pour la Santé et le Développement en Côte D'Ivoire</v>
      </c>
      <c r="AS14">
        <v>0</v>
      </c>
      <c r="AU14" s="1035" t="s">
        <v>3581</v>
      </c>
      <c r="AV14" s="1035" t="s">
        <v>39</v>
      </c>
      <c r="AW14" s="1035" t="s">
        <v>367</v>
      </c>
      <c r="AX14" s="1035" t="s">
        <v>3456</v>
      </c>
    </row>
    <row r="15" spans="1:50" x14ac:dyDescent="0.35">
      <c r="A15">
        <v>198</v>
      </c>
      <c r="B15" t="s">
        <v>368</v>
      </c>
      <c r="C15">
        <v>1</v>
      </c>
      <c r="D15" t="s">
        <v>82</v>
      </c>
      <c r="E15">
        <v>4</v>
      </c>
      <c r="F15" t="s">
        <v>187</v>
      </c>
      <c r="G15" t="s">
        <v>782</v>
      </c>
      <c r="H15" t="s">
        <v>3199</v>
      </c>
      <c r="I15" t="s">
        <v>783</v>
      </c>
      <c r="J15" t="s">
        <v>784</v>
      </c>
      <c r="O15" t="str" cm="1">
        <f t="array" ref="O15">INDEX(Grant[Country],MATCH(0,INDEX(COUNTIF($O$2:O14,Grant[Country]),),0))</f>
        <v>Bhutan</v>
      </c>
      <c r="T15" s="1035" t="s">
        <v>376</v>
      </c>
      <c r="U15" s="1035" t="s">
        <v>82</v>
      </c>
      <c r="Y15" s="1035" t="s">
        <v>3581</v>
      </c>
      <c r="Z15" s="1035" t="s">
        <v>3481</v>
      </c>
      <c r="AB15" s="1035" t="s">
        <v>809</v>
      </c>
      <c r="AC15" s="1035" t="s">
        <v>800</v>
      </c>
      <c r="AK15" t="str">
        <v>Benin</v>
      </c>
      <c r="AN15">
        <v>0</v>
      </c>
      <c r="AO15" t="str">
        <v>Alter Vida - Centro de Estudios y Formación para el Ecodesarrollo</v>
      </c>
      <c r="AS15">
        <v>0</v>
      </c>
      <c r="AU15" s="1035" t="s">
        <v>3581</v>
      </c>
      <c r="AV15" s="1035" t="s">
        <v>39</v>
      </c>
      <c r="AW15" s="1035" t="s">
        <v>82</v>
      </c>
      <c r="AX15" s="1035" t="s">
        <v>3485</v>
      </c>
    </row>
    <row r="16" spans="1:50" x14ac:dyDescent="0.35">
      <c r="A16">
        <v>160</v>
      </c>
      <c r="B16" t="s">
        <v>373</v>
      </c>
      <c r="C16">
        <v>1</v>
      </c>
      <c r="D16" t="s">
        <v>82</v>
      </c>
      <c r="E16">
        <v>4</v>
      </c>
      <c r="F16" t="s">
        <v>187</v>
      </c>
      <c r="G16" t="s">
        <v>806</v>
      </c>
      <c r="H16" t="s">
        <v>800</v>
      </c>
      <c r="I16" t="s">
        <v>810</v>
      </c>
      <c r="J16" t="s">
        <v>809</v>
      </c>
      <c r="O16" t="str" cm="1">
        <f t="array" ref="O16">INDEX(Grant[Country],MATCH(0,INDEX(COUNTIF($O$2:O15,Grant[Country]),),0))</f>
        <v>Botswana</v>
      </c>
      <c r="T16" s="1035" t="s">
        <v>377</v>
      </c>
      <c r="U16" s="1035" t="s">
        <v>367</v>
      </c>
      <c r="Y16" s="1035" t="s">
        <v>3581</v>
      </c>
      <c r="Z16" s="1035" t="s">
        <v>3495</v>
      </c>
      <c r="AB16" s="1035" t="s">
        <v>808</v>
      </c>
      <c r="AC16" s="1035" t="s">
        <v>800</v>
      </c>
      <c r="AK16" t="str">
        <v>Bhutan</v>
      </c>
      <c r="AN16">
        <v>0</v>
      </c>
      <c r="AO16" t="str">
        <v>Amref Health Africa</v>
      </c>
      <c r="AS16">
        <v>0</v>
      </c>
      <c r="AU16" s="1035" t="s">
        <v>3581</v>
      </c>
      <c r="AV16" s="1035" t="s">
        <v>39</v>
      </c>
      <c r="AW16" s="1035" t="s">
        <v>82</v>
      </c>
      <c r="AX16" s="1035" t="s">
        <v>3491</v>
      </c>
    </row>
    <row r="17" spans="1:50" x14ac:dyDescent="0.35">
      <c r="A17">
        <v>160</v>
      </c>
      <c r="B17" t="s">
        <v>373</v>
      </c>
      <c r="C17">
        <v>1</v>
      </c>
      <c r="D17" t="s">
        <v>82</v>
      </c>
      <c r="E17">
        <v>1</v>
      </c>
      <c r="F17" t="s">
        <v>36</v>
      </c>
      <c r="G17" t="s">
        <v>806</v>
      </c>
      <c r="H17" t="s">
        <v>800</v>
      </c>
      <c r="I17" t="s">
        <v>807</v>
      </c>
      <c r="J17" t="s">
        <v>808</v>
      </c>
      <c r="O17" t="str" cm="1">
        <f t="array" ref="O17">INDEX(Grant[Country],MATCH(0,INDEX(COUNTIF($O$2:O16,Grant[Country]),),0))</f>
        <v>Central African Republic</v>
      </c>
      <c r="T17" s="1035" t="s">
        <v>378</v>
      </c>
      <c r="U17" s="1035" t="s">
        <v>82</v>
      </c>
      <c r="Y17" s="1035" t="s">
        <v>3581</v>
      </c>
      <c r="Z17" s="1035" t="s">
        <v>3469</v>
      </c>
      <c r="AB17" s="1035" t="s">
        <v>85</v>
      </c>
      <c r="AC17" s="1035" t="s">
        <v>84</v>
      </c>
      <c r="AK17" t="str">
        <v>Bolivia (Plurinational State)</v>
      </c>
      <c r="AN17">
        <v>0</v>
      </c>
      <c r="AO17" t="str">
        <v>Amref Health Africa</v>
      </c>
      <c r="AS17">
        <v>0</v>
      </c>
      <c r="AU17" s="1035" t="s">
        <v>3581</v>
      </c>
      <c r="AV17" s="1035" t="s">
        <v>39</v>
      </c>
      <c r="AW17" s="1035" t="s">
        <v>82</v>
      </c>
      <c r="AX17" s="1035" t="s">
        <v>3495</v>
      </c>
    </row>
    <row r="18" spans="1:50" x14ac:dyDescent="0.35">
      <c r="A18">
        <v>161</v>
      </c>
      <c r="B18" t="s">
        <v>81</v>
      </c>
      <c r="C18">
        <v>1</v>
      </c>
      <c r="D18" t="s">
        <v>82</v>
      </c>
      <c r="E18">
        <v>4</v>
      </c>
      <c r="F18" t="s">
        <v>187</v>
      </c>
      <c r="G18" t="s">
        <v>815</v>
      </c>
      <c r="H18" t="s">
        <v>84</v>
      </c>
      <c r="I18" t="s">
        <v>816</v>
      </c>
      <c r="J18" t="s">
        <v>85</v>
      </c>
      <c r="O18" t="str" cm="1">
        <f t="array" ref="O18">INDEX(Grant[Country],MATCH(0,INDEX(COUNTIF($O$2:O17,Grant[Country]),),0))</f>
        <v>Côte d'Ivoire</v>
      </c>
      <c r="T18" s="1035" t="s">
        <v>379</v>
      </c>
      <c r="U18" s="1035" t="s">
        <v>82</v>
      </c>
      <c r="Y18" s="1035" t="s">
        <v>368</v>
      </c>
      <c r="Z18" s="1035" t="s">
        <v>784</v>
      </c>
      <c r="AB18" s="1035" t="s">
        <v>3201</v>
      </c>
      <c r="AC18" s="1035" t="s">
        <v>84</v>
      </c>
      <c r="AK18" t="str">
        <v>Botswana</v>
      </c>
      <c r="AN18">
        <v>0</v>
      </c>
      <c r="AO18" t="str">
        <v>Amref Health Africa</v>
      </c>
      <c r="AS18">
        <v>0</v>
      </c>
      <c r="AU18" s="1035" t="s">
        <v>368</v>
      </c>
      <c r="AV18" s="1035" t="s">
        <v>187</v>
      </c>
      <c r="AW18" s="1035" t="s">
        <v>82</v>
      </c>
      <c r="AX18" s="1035" t="s">
        <v>784</v>
      </c>
    </row>
    <row r="19" spans="1:50" x14ac:dyDescent="0.35">
      <c r="A19">
        <v>161</v>
      </c>
      <c r="B19" t="s">
        <v>81</v>
      </c>
      <c r="C19">
        <v>1</v>
      </c>
      <c r="D19" t="s">
        <v>82</v>
      </c>
      <c r="E19">
        <v>1</v>
      </c>
      <c r="F19" t="s">
        <v>36</v>
      </c>
      <c r="G19" t="s">
        <v>815</v>
      </c>
      <c r="H19" t="s">
        <v>84</v>
      </c>
      <c r="I19" t="s">
        <v>3200</v>
      </c>
      <c r="J19" t="s">
        <v>3201</v>
      </c>
      <c r="O19" t="str" cm="1">
        <f t="array" ref="O19">INDEX(Grant[Country],MATCH(0,INDEX(COUNTIF($O$2:O18,Grant[Country]),),0))</f>
        <v>Cameroon</v>
      </c>
      <c r="T19" s="1035" t="s">
        <v>381</v>
      </c>
      <c r="U19" s="1035" t="s">
        <v>82</v>
      </c>
      <c r="Y19" s="1035" t="s">
        <v>370</v>
      </c>
      <c r="Z19" s="1035" t="s">
        <v>788</v>
      </c>
      <c r="AB19" s="1035" t="s">
        <v>3203</v>
      </c>
      <c r="AC19" s="1035" t="s">
        <v>84</v>
      </c>
      <c r="AK19" t="str">
        <v>Burkina Faso</v>
      </c>
      <c r="AN19">
        <v>0</v>
      </c>
      <c r="AO19" t="str">
        <v>AngloGold Ashanti (Ghana) Malaria Control Limited</v>
      </c>
      <c r="AS19">
        <v>0</v>
      </c>
      <c r="AU19" s="1035" t="s">
        <v>370</v>
      </c>
      <c r="AV19" s="1035" t="s">
        <v>36</v>
      </c>
      <c r="AW19" s="1035" t="s">
        <v>82</v>
      </c>
      <c r="AX19" s="1035" t="s">
        <v>788</v>
      </c>
    </row>
    <row r="20" spans="1:50" x14ac:dyDescent="0.35">
      <c r="A20">
        <v>161</v>
      </c>
      <c r="B20" t="s">
        <v>81</v>
      </c>
      <c r="C20">
        <v>1</v>
      </c>
      <c r="D20" t="s">
        <v>82</v>
      </c>
      <c r="E20">
        <v>2</v>
      </c>
      <c r="F20" t="s">
        <v>39</v>
      </c>
      <c r="G20" t="s">
        <v>815</v>
      </c>
      <c r="H20" t="s">
        <v>84</v>
      </c>
      <c r="I20" t="s">
        <v>3202</v>
      </c>
      <c r="J20" t="s">
        <v>3203</v>
      </c>
      <c r="O20" t="str" cm="1">
        <f t="array" ref="O20">INDEX(Grant[Country],MATCH(0,INDEX(COUNTIF($O$2:O19,Grant[Country]),),0))</f>
        <v>Congo (Democratic Republic)</v>
      </c>
      <c r="T20" s="1035" t="s">
        <v>384</v>
      </c>
      <c r="U20" s="1035" t="s">
        <v>367</v>
      </c>
      <c r="Y20" s="1035" t="s">
        <v>3585</v>
      </c>
      <c r="Z20" s="1035" t="s">
        <v>3501</v>
      </c>
      <c r="AB20" s="1035" t="s">
        <v>929</v>
      </c>
      <c r="AC20" s="1035" t="s">
        <v>772</v>
      </c>
      <c r="AK20" t="str">
        <v>Burundi</v>
      </c>
      <c r="AN20">
        <v>0</v>
      </c>
      <c r="AO20" t="str">
        <v>Association Comorienne pour le Bien-E^tre de la Famille</v>
      </c>
      <c r="AS20">
        <v>0</v>
      </c>
      <c r="AU20" s="1035" t="s">
        <v>3585</v>
      </c>
      <c r="AV20" s="1035" t="s">
        <v>36</v>
      </c>
      <c r="AW20" s="1035" t="s">
        <v>82</v>
      </c>
      <c r="AX20" s="1035" t="s">
        <v>3501</v>
      </c>
    </row>
    <row r="21" spans="1:50" x14ac:dyDescent="0.35">
      <c r="A21">
        <v>24</v>
      </c>
      <c r="B21" t="s">
        <v>385</v>
      </c>
      <c r="C21">
        <v>1</v>
      </c>
      <c r="D21" t="s">
        <v>82</v>
      </c>
      <c r="E21">
        <v>4</v>
      </c>
      <c r="F21" t="s">
        <v>187</v>
      </c>
      <c r="G21" t="s">
        <v>925</v>
      </c>
      <c r="H21" t="s">
        <v>772</v>
      </c>
      <c r="I21" t="s">
        <v>928</v>
      </c>
      <c r="J21" t="s">
        <v>929</v>
      </c>
      <c r="O21" t="str" cm="1">
        <f t="array" ref="O21">INDEX(Grant[Country],MATCH(0,INDEX(COUNTIF($O$2:O20,Grant[Country]),),0))</f>
        <v>Congo</v>
      </c>
      <c r="T21" s="1035" t="s">
        <v>385</v>
      </c>
      <c r="U21" s="1035" t="s">
        <v>82</v>
      </c>
      <c r="Y21" s="1035" t="s">
        <v>3585</v>
      </c>
      <c r="Z21" s="1035" t="s">
        <v>3503</v>
      </c>
      <c r="AB21" s="1035" t="s">
        <v>3206</v>
      </c>
      <c r="AC21" s="1035" t="s">
        <v>869</v>
      </c>
      <c r="AK21" t="str">
        <v>Cabo Verde</v>
      </c>
      <c r="AN21">
        <v>0</v>
      </c>
      <c r="AO21" t="str">
        <v>Association Comorienne pour le Bien-E^tre de la Famille</v>
      </c>
      <c r="AS21">
        <v>0</v>
      </c>
      <c r="AU21" s="1035" t="s">
        <v>3585</v>
      </c>
      <c r="AV21" s="1035" t="s">
        <v>36</v>
      </c>
      <c r="AW21" s="1035" t="s">
        <v>82</v>
      </c>
      <c r="AX21" s="1035" t="s">
        <v>3499</v>
      </c>
    </row>
    <row r="22" spans="1:50" x14ac:dyDescent="0.35">
      <c r="A22">
        <v>24</v>
      </c>
      <c r="B22" t="s">
        <v>385</v>
      </c>
      <c r="C22">
        <v>1</v>
      </c>
      <c r="D22" t="s">
        <v>82</v>
      </c>
      <c r="E22">
        <v>1</v>
      </c>
      <c r="F22" t="s">
        <v>36</v>
      </c>
      <c r="G22" t="s">
        <v>3204</v>
      </c>
      <c r="H22" t="s">
        <v>869</v>
      </c>
      <c r="I22" t="s">
        <v>3205</v>
      </c>
      <c r="J22" t="s">
        <v>3206</v>
      </c>
      <c r="O22" t="str" cm="1">
        <f t="array" ref="O22">INDEX(Grant[Country],MATCH(0,INDEX(COUNTIF($O$2:O21,Grant[Country]),),0))</f>
        <v>Colombia</v>
      </c>
      <c r="T22" s="1035" t="s">
        <v>882</v>
      </c>
      <c r="U22" s="1035" t="s">
        <v>367</v>
      </c>
      <c r="Y22" s="1035" t="s">
        <v>3585</v>
      </c>
      <c r="Z22" s="1035" t="s">
        <v>3507</v>
      </c>
      <c r="AB22" s="1035" t="s">
        <v>923</v>
      </c>
      <c r="AC22" s="1035" t="s">
        <v>876</v>
      </c>
      <c r="AK22" t="str">
        <v>Cambodia</v>
      </c>
      <c r="AN22">
        <v>0</v>
      </c>
      <c r="AO22" t="str">
        <v>Association of Social Marketing in Chad (AMASOT)</v>
      </c>
      <c r="AS22">
        <v>0</v>
      </c>
      <c r="AU22" s="1035" t="s">
        <v>3585</v>
      </c>
      <c r="AV22" s="1035" t="s">
        <v>37</v>
      </c>
      <c r="AW22" s="1035" t="s">
        <v>82</v>
      </c>
      <c r="AX22" s="1035" t="s">
        <v>3503</v>
      </c>
    </row>
    <row r="23" spans="1:50" x14ac:dyDescent="0.35">
      <c r="A23">
        <v>24</v>
      </c>
      <c r="B23" t="s">
        <v>385</v>
      </c>
      <c r="C23">
        <v>1</v>
      </c>
      <c r="D23" t="s">
        <v>82</v>
      </c>
      <c r="E23">
        <v>3</v>
      </c>
      <c r="F23" t="s">
        <v>37</v>
      </c>
      <c r="G23" t="s">
        <v>914</v>
      </c>
      <c r="H23" t="s">
        <v>876</v>
      </c>
      <c r="I23" t="s">
        <v>922</v>
      </c>
      <c r="J23" t="s">
        <v>923</v>
      </c>
      <c r="O23" t="str" cm="1">
        <f t="array" ref="O23">INDEX(Grant[Country],MATCH(0,INDEX(COUNTIF($O$2:O22,Grant[Country]),),0))</f>
        <v>Comoros</v>
      </c>
      <c r="T23" s="1035" t="s">
        <v>386</v>
      </c>
      <c r="U23" s="1035" t="s">
        <v>82</v>
      </c>
      <c r="Y23" s="1035" t="s">
        <v>3585</v>
      </c>
      <c r="Z23" s="1035" t="s">
        <v>3511</v>
      </c>
      <c r="AB23" s="1035" t="s">
        <v>927</v>
      </c>
      <c r="AC23" s="1035" t="s">
        <v>772</v>
      </c>
      <c r="AK23" t="str">
        <v>Cameroon</v>
      </c>
      <c r="AN23">
        <v>0</v>
      </c>
      <c r="AO23" t="str">
        <v>Association pour Résilience des Communautés vers l’Accès au Développement et à la Santé Plus</v>
      </c>
      <c r="AS23">
        <v>0</v>
      </c>
      <c r="AU23" s="1035" t="s">
        <v>3585</v>
      </c>
      <c r="AV23" s="1035" t="s">
        <v>39</v>
      </c>
      <c r="AW23" s="1035" t="s">
        <v>82</v>
      </c>
      <c r="AX23" s="1035" t="s">
        <v>3507</v>
      </c>
    </row>
    <row r="24" spans="1:50" x14ac:dyDescent="0.35">
      <c r="A24">
        <v>24</v>
      </c>
      <c r="B24" t="s">
        <v>385</v>
      </c>
      <c r="C24">
        <v>1</v>
      </c>
      <c r="D24" t="s">
        <v>82</v>
      </c>
      <c r="E24">
        <v>3</v>
      </c>
      <c r="F24" t="s">
        <v>37</v>
      </c>
      <c r="G24" t="s">
        <v>925</v>
      </c>
      <c r="H24" t="s">
        <v>772</v>
      </c>
      <c r="I24" t="s">
        <v>926</v>
      </c>
      <c r="J24" t="s">
        <v>927</v>
      </c>
      <c r="O24" t="str" cm="1">
        <f t="array" ref="O24">INDEX(Grant[Country],MATCH(0,INDEX(COUNTIF($O$2:O23,Grant[Country]),),0))</f>
        <v>Cabo Verde</v>
      </c>
      <c r="T24" s="1035" t="s">
        <v>387</v>
      </c>
      <c r="U24" s="1035" t="s">
        <v>367</v>
      </c>
      <c r="Y24" s="1035" t="s">
        <v>3585</v>
      </c>
      <c r="Z24" s="1035" t="s">
        <v>3499</v>
      </c>
      <c r="AB24" s="1035" t="s">
        <v>920</v>
      </c>
      <c r="AC24" s="1035" t="s">
        <v>869</v>
      </c>
      <c r="AK24" t="str">
        <v>Caribbean</v>
      </c>
      <c r="AN24">
        <v>0</v>
      </c>
      <c r="AO24" t="str">
        <v>Australian Federation Of AIDS Organisations Limited</v>
      </c>
      <c r="AS24">
        <v>0</v>
      </c>
      <c r="AU24" s="1035" t="s">
        <v>3585</v>
      </c>
      <c r="AV24" s="1035" t="s">
        <v>39</v>
      </c>
      <c r="AW24" s="1035" t="s">
        <v>82</v>
      </c>
      <c r="AX24" s="1035" t="s">
        <v>3511</v>
      </c>
    </row>
    <row r="25" spans="1:50" x14ac:dyDescent="0.35">
      <c r="A25">
        <v>24</v>
      </c>
      <c r="B25" t="s">
        <v>385</v>
      </c>
      <c r="C25">
        <v>1</v>
      </c>
      <c r="D25" t="s">
        <v>82</v>
      </c>
      <c r="E25">
        <v>6</v>
      </c>
      <c r="F25" t="s">
        <v>2004</v>
      </c>
      <c r="G25" t="s">
        <v>3348</v>
      </c>
      <c r="H25" t="s">
        <v>869</v>
      </c>
      <c r="I25" t="s">
        <v>3349</v>
      </c>
      <c r="J25" t="s">
        <v>3350</v>
      </c>
      <c r="O25" t="str" cm="1">
        <f t="array" ref="O25">INDEX(Grant[Country],MATCH(0,INDEX(COUNTIF($O$2:O24,Grant[Country]),),0))</f>
        <v>Costa Rica</v>
      </c>
      <c r="T25" s="1035" t="s">
        <v>3586</v>
      </c>
      <c r="U25" s="1035" t="s">
        <v>82</v>
      </c>
      <c r="Y25" s="1035" t="s">
        <v>371</v>
      </c>
      <c r="Z25" s="1035" t="s">
        <v>793</v>
      </c>
      <c r="AB25" s="1035" t="s">
        <v>853</v>
      </c>
      <c r="AC25" s="1035" t="s">
        <v>827</v>
      </c>
      <c r="AK25" t="str">
        <v>Central African Republic</v>
      </c>
      <c r="AN25">
        <v>0</v>
      </c>
      <c r="AO25" t="str">
        <v>Australian Federation Of AIDS Organisations Limited</v>
      </c>
      <c r="AS25">
        <v>0</v>
      </c>
      <c r="AU25" s="1035" t="s">
        <v>371</v>
      </c>
      <c r="AV25" s="1035" t="s">
        <v>36</v>
      </c>
      <c r="AW25" s="1035" t="s">
        <v>82</v>
      </c>
      <c r="AX25" s="1035" t="s">
        <v>792</v>
      </c>
    </row>
    <row r="26" spans="1:50" x14ac:dyDescent="0.35">
      <c r="A26">
        <v>24</v>
      </c>
      <c r="B26" t="s">
        <v>385</v>
      </c>
      <c r="C26">
        <v>1</v>
      </c>
      <c r="D26" t="s">
        <v>82</v>
      </c>
      <c r="E26">
        <v>2</v>
      </c>
      <c r="F26" t="s">
        <v>39</v>
      </c>
      <c r="G26" t="s">
        <v>930</v>
      </c>
      <c r="H26" t="s">
        <v>869</v>
      </c>
      <c r="I26" t="s">
        <v>931</v>
      </c>
      <c r="J26" t="s">
        <v>920</v>
      </c>
      <c r="O26" t="str" cm="1">
        <f t="array" ref="O26">INDEX(Grant[Country],MATCH(0,INDEX(COUNTIF($O$2:O25,Grant[Country]),),0))</f>
        <v>Cuba</v>
      </c>
      <c r="T26" s="1035" t="s">
        <v>388</v>
      </c>
      <c r="U26" s="1035" t="s">
        <v>367</v>
      </c>
      <c r="Y26" s="1035" t="s">
        <v>371</v>
      </c>
      <c r="Z26" s="1035" t="s">
        <v>792</v>
      </c>
      <c r="AB26" s="1035" t="s">
        <v>857</v>
      </c>
      <c r="AC26" s="1035" t="s">
        <v>837</v>
      </c>
      <c r="AK26" t="str">
        <v>Chad</v>
      </c>
      <c r="AN26">
        <v>0</v>
      </c>
      <c r="AO26" t="str">
        <v>Basic Health Care Directorate</v>
      </c>
      <c r="AS26">
        <v>0</v>
      </c>
      <c r="AU26" s="1035" t="s">
        <v>371</v>
      </c>
      <c r="AV26" s="1035" t="s">
        <v>37</v>
      </c>
      <c r="AW26" s="1035" t="s">
        <v>82</v>
      </c>
      <c r="AX26" s="1035" t="s">
        <v>796</v>
      </c>
    </row>
    <row r="27" spans="1:50" x14ac:dyDescent="0.35">
      <c r="A27">
        <v>64</v>
      </c>
      <c r="B27" t="s">
        <v>377</v>
      </c>
      <c r="C27">
        <v>2</v>
      </c>
      <c r="D27" t="s">
        <v>367</v>
      </c>
      <c r="E27">
        <v>1</v>
      </c>
      <c r="F27" t="s">
        <v>36</v>
      </c>
      <c r="G27" t="s">
        <v>851</v>
      </c>
      <c r="H27" t="s">
        <v>827</v>
      </c>
      <c r="I27" t="s">
        <v>852</v>
      </c>
      <c r="J27" t="s">
        <v>853</v>
      </c>
      <c r="O27" t="str" cm="1">
        <f t="array" ref="O27">INDEX(Grant[Country],MATCH(0,INDEX(COUNTIF($O$2:O26,Grant[Country]),),0))</f>
        <v>Djibouti</v>
      </c>
      <c r="T27" s="1035" t="s">
        <v>388</v>
      </c>
      <c r="U27" s="1035" t="s">
        <v>82</v>
      </c>
      <c r="Y27" s="1035" t="s">
        <v>371</v>
      </c>
      <c r="Z27" s="1035" t="s">
        <v>796</v>
      </c>
      <c r="AB27" s="1035" t="s">
        <v>861</v>
      </c>
      <c r="AC27" s="1035" t="s">
        <v>834</v>
      </c>
      <c r="AK27" t="str">
        <v>Colombia</v>
      </c>
      <c r="AN27">
        <v>0</v>
      </c>
      <c r="AO27" t="str">
        <v>Beyond Zero NPC</v>
      </c>
      <c r="AS27">
        <v>0</v>
      </c>
      <c r="AU27" s="1035" t="s">
        <v>371</v>
      </c>
      <c r="AV27" s="1035" t="s">
        <v>37</v>
      </c>
      <c r="AW27" s="1035" t="s">
        <v>82</v>
      </c>
      <c r="AX27" s="1035" t="s">
        <v>799</v>
      </c>
    </row>
    <row r="28" spans="1:50" x14ac:dyDescent="0.35">
      <c r="A28">
        <v>64</v>
      </c>
      <c r="B28" t="s">
        <v>377</v>
      </c>
      <c r="C28">
        <v>2</v>
      </c>
      <c r="D28" t="s">
        <v>367</v>
      </c>
      <c r="E28">
        <v>1</v>
      </c>
      <c r="F28" t="s">
        <v>36</v>
      </c>
      <c r="G28" t="s">
        <v>855</v>
      </c>
      <c r="H28" t="s">
        <v>837</v>
      </c>
      <c r="I28" t="s">
        <v>856</v>
      </c>
      <c r="J28" t="s">
        <v>857</v>
      </c>
      <c r="O28" t="str" cm="1">
        <f t="array" ref="O28">INDEX(Grant[Country],MATCH(0,INDEX(COUNTIF($O$2:O27,Grant[Country]),),0))</f>
        <v>Dominican Republic</v>
      </c>
      <c r="T28" s="1035" t="s">
        <v>389</v>
      </c>
      <c r="U28" s="1035" t="s">
        <v>367</v>
      </c>
      <c r="Y28" s="1035" t="s">
        <v>371</v>
      </c>
      <c r="Z28" s="1035" t="s">
        <v>799</v>
      </c>
      <c r="AB28" s="1035" t="s">
        <v>854</v>
      </c>
      <c r="AC28" s="1035" t="s">
        <v>818</v>
      </c>
      <c r="AK28" t="str">
        <v>Comoros</v>
      </c>
      <c r="AN28">
        <v>0</v>
      </c>
      <c r="AO28" t="str">
        <v>Botswana-Ministry of Health and Wellness</v>
      </c>
      <c r="AS28">
        <v>0</v>
      </c>
      <c r="AU28" s="1035" t="s">
        <v>371</v>
      </c>
      <c r="AV28" s="1035" t="s">
        <v>187</v>
      </c>
      <c r="AW28" s="1035" t="s">
        <v>82</v>
      </c>
      <c r="AX28" s="1035" t="s">
        <v>803</v>
      </c>
    </row>
    <row r="29" spans="1:50" x14ac:dyDescent="0.35">
      <c r="A29">
        <v>64</v>
      </c>
      <c r="B29" t="s">
        <v>377</v>
      </c>
      <c r="C29">
        <v>2</v>
      </c>
      <c r="D29" t="s">
        <v>367</v>
      </c>
      <c r="E29">
        <v>3</v>
      </c>
      <c r="F29" t="s">
        <v>37</v>
      </c>
      <c r="G29" t="s">
        <v>859</v>
      </c>
      <c r="H29" t="s">
        <v>834</v>
      </c>
      <c r="I29" t="s">
        <v>860</v>
      </c>
      <c r="J29" t="s">
        <v>861</v>
      </c>
      <c r="O29" t="str" cm="1">
        <f t="array" ref="O29">INDEX(Grant[Country],MATCH(0,INDEX(COUNTIF($O$2:O28,Grant[Country]),),0))</f>
        <v>Algeria</v>
      </c>
      <c r="T29" s="1035" t="s">
        <v>392</v>
      </c>
      <c r="U29" s="1035" t="s">
        <v>82</v>
      </c>
      <c r="Y29" s="1035" t="s">
        <v>371</v>
      </c>
      <c r="Z29" s="1035" t="s">
        <v>801</v>
      </c>
      <c r="AB29" s="1035" t="s">
        <v>858</v>
      </c>
      <c r="AC29" s="1035" t="s">
        <v>822</v>
      </c>
      <c r="AK29" t="str">
        <v>Congo</v>
      </c>
      <c r="AO29" t="str">
        <v>Botswana-Ministry of Health and Wellness</v>
      </c>
      <c r="AS29">
        <v>0</v>
      </c>
      <c r="AU29" s="1035" t="s">
        <v>371</v>
      </c>
      <c r="AV29" s="1035" t="s">
        <v>39</v>
      </c>
      <c r="AW29" s="1035" t="s">
        <v>82</v>
      </c>
      <c r="AX29" s="1035" t="s">
        <v>793</v>
      </c>
    </row>
    <row r="30" spans="1:50" x14ac:dyDescent="0.35">
      <c r="A30">
        <v>64</v>
      </c>
      <c r="B30" t="s">
        <v>377</v>
      </c>
      <c r="C30">
        <v>2</v>
      </c>
      <c r="D30" t="s">
        <v>367</v>
      </c>
      <c r="E30">
        <v>6</v>
      </c>
      <c r="F30" t="s">
        <v>2004</v>
      </c>
      <c r="G30" t="s">
        <v>862</v>
      </c>
      <c r="H30" t="s">
        <v>818</v>
      </c>
      <c r="I30" t="s">
        <v>863</v>
      </c>
      <c r="J30" t="s">
        <v>854</v>
      </c>
      <c r="O30" t="str" cm="1">
        <f t="array" ref="O30">INDEX(Grant[Country],MATCH(0,INDEX(COUNTIF($O$2:O29,Grant[Country]),),0))</f>
        <v>Ecuador</v>
      </c>
      <c r="T30" s="1035" t="s">
        <v>393</v>
      </c>
      <c r="U30" s="1035" t="s">
        <v>367</v>
      </c>
      <c r="Y30" s="1035" t="s">
        <v>371</v>
      </c>
      <c r="Z30" s="1035" t="s">
        <v>803</v>
      </c>
      <c r="AB30" s="1035" t="s">
        <v>864</v>
      </c>
      <c r="AC30" s="1035" t="s">
        <v>3351</v>
      </c>
      <c r="AK30" t="str">
        <v>Congo (Democratic Republic)</v>
      </c>
      <c r="AO30" t="str">
        <v>BRAC</v>
      </c>
      <c r="AU30" s="1035" t="s">
        <v>371</v>
      </c>
      <c r="AV30" s="1035" t="s">
        <v>39</v>
      </c>
      <c r="AW30" s="1035" t="s">
        <v>82</v>
      </c>
      <c r="AX30" s="1035" t="s">
        <v>801</v>
      </c>
    </row>
    <row r="31" spans="1:50" x14ac:dyDescent="0.35">
      <c r="A31">
        <v>64</v>
      </c>
      <c r="B31" t="s">
        <v>377</v>
      </c>
      <c r="C31">
        <v>2</v>
      </c>
      <c r="D31" t="s">
        <v>367</v>
      </c>
      <c r="E31">
        <v>6</v>
      </c>
      <c r="F31" t="s">
        <v>2004</v>
      </c>
      <c r="G31" t="s">
        <v>865</v>
      </c>
      <c r="H31" t="s">
        <v>822</v>
      </c>
      <c r="I31" t="s">
        <v>866</v>
      </c>
      <c r="J31" t="s">
        <v>858</v>
      </c>
      <c r="O31" t="str" cm="1">
        <f t="array" ref="O31">INDEX(Grant[Country],MATCH(0,INDEX(COUNTIF($O$2:O30,Grant[Country]),),0))</f>
        <v>Egypt</v>
      </c>
      <c r="T31" s="1035" t="s">
        <v>394</v>
      </c>
      <c r="U31" s="1035" t="s">
        <v>367</v>
      </c>
      <c r="Y31" s="1035" t="s">
        <v>373</v>
      </c>
      <c r="Z31" s="1035" t="s">
        <v>809</v>
      </c>
      <c r="AB31" s="1035" t="s">
        <v>906</v>
      </c>
      <c r="AC31" s="1035" t="s">
        <v>3352</v>
      </c>
      <c r="AK31" t="str">
        <v>Costa Rica</v>
      </c>
      <c r="AO31" t="str">
        <v>BRAC</v>
      </c>
      <c r="AU31" s="1035" t="s">
        <v>373</v>
      </c>
      <c r="AV31" s="1035" t="s">
        <v>36</v>
      </c>
      <c r="AW31" s="1035" t="s">
        <v>82</v>
      </c>
      <c r="AX31" s="1035" t="s">
        <v>808</v>
      </c>
    </row>
    <row r="32" spans="1:50" x14ac:dyDescent="0.35">
      <c r="A32">
        <v>64</v>
      </c>
      <c r="B32" t="s">
        <v>377</v>
      </c>
      <c r="C32">
        <v>2</v>
      </c>
      <c r="D32" t="s">
        <v>367</v>
      </c>
      <c r="E32">
        <v>2</v>
      </c>
      <c r="F32" t="s">
        <v>39</v>
      </c>
      <c r="G32" t="s">
        <v>867</v>
      </c>
      <c r="H32" t="s">
        <v>3351</v>
      </c>
      <c r="I32" t="s">
        <v>868</v>
      </c>
      <c r="J32" t="s">
        <v>864</v>
      </c>
      <c r="K32" t="s">
        <v>2695</v>
      </c>
      <c r="L32" t="s">
        <v>2696</v>
      </c>
      <c r="O32" t="str" cm="1">
        <f t="array" ref="O32">INDEX(Grant[Country],MATCH(0,INDEX(COUNTIF($O$2:O31,Grant[Country]),),0))</f>
        <v>Eritrea</v>
      </c>
      <c r="T32" s="1035" t="s">
        <v>395</v>
      </c>
      <c r="U32" s="1035" t="s">
        <v>82</v>
      </c>
      <c r="Y32" s="1035" t="s">
        <v>373</v>
      </c>
      <c r="Z32" s="1035" t="s">
        <v>808</v>
      </c>
      <c r="AB32" s="1035" t="s">
        <v>904</v>
      </c>
      <c r="AC32" s="1035" t="s">
        <v>3353</v>
      </c>
      <c r="AK32" t="str">
        <v>Côte d'Ivoire</v>
      </c>
      <c r="AO32" t="str">
        <v>Cambodia Ministry of Economy and Finance</v>
      </c>
      <c r="AU32" s="1035" t="s">
        <v>373</v>
      </c>
      <c r="AV32" s="1035" t="s">
        <v>187</v>
      </c>
      <c r="AW32" s="1035" t="s">
        <v>82</v>
      </c>
      <c r="AX32" s="1035" t="s">
        <v>809</v>
      </c>
    </row>
    <row r="33" spans="1:50" x14ac:dyDescent="0.35">
      <c r="A33">
        <v>65</v>
      </c>
      <c r="B33" t="s">
        <v>384</v>
      </c>
      <c r="C33">
        <v>2</v>
      </c>
      <c r="D33" t="s">
        <v>367</v>
      </c>
      <c r="E33">
        <v>4</v>
      </c>
      <c r="F33" t="s">
        <v>187</v>
      </c>
      <c r="G33" t="s">
        <v>911</v>
      </c>
      <c r="H33" t="s">
        <v>3352</v>
      </c>
      <c r="I33" t="s">
        <v>912</v>
      </c>
      <c r="J33" t="s">
        <v>906</v>
      </c>
      <c r="K33" t="s">
        <v>2697</v>
      </c>
      <c r="L33" t="s">
        <v>2698</v>
      </c>
      <c r="O33" t="str" cm="1">
        <f t="array" ref="O33">INDEX(Grant[Country],MATCH(0,INDEX(COUNTIF($O$2:O32,Grant[Country]),),0))</f>
        <v>Ethiopia</v>
      </c>
      <c r="T33" s="1035" t="s">
        <v>396</v>
      </c>
      <c r="U33" s="1035" t="s">
        <v>82</v>
      </c>
      <c r="Y33" s="1035" t="s">
        <v>3587</v>
      </c>
      <c r="Z33" s="1035" t="s">
        <v>3519</v>
      </c>
      <c r="AB33" s="1035" t="s">
        <v>909</v>
      </c>
      <c r="AC33" s="1035" t="s">
        <v>3354</v>
      </c>
      <c r="AK33" t="str">
        <v>Cuba</v>
      </c>
      <c r="AO33" t="str">
        <v>Cambodia Ministry of Economy and Finance</v>
      </c>
      <c r="AU33" s="1035" t="s">
        <v>3587</v>
      </c>
      <c r="AV33" s="1035" t="s">
        <v>36</v>
      </c>
      <c r="AW33" s="1035" t="s">
        <v>82</v>
      </c>
      <c r="AX33" s="1035" t="s">
        <v>3519</v>
      </c>
    </row>
    <row r="34" spans="1:50" x14ac:dyDescent="0.35">
      <c r="A34">
        <v>65</v>
      </c>
      <c r="B34" t="s">
        <v>384</v>
      </c>
      <c r="C34">
        <v>2</v>
      </c>
      <c r="D34" t="s">
        <v>367</v>
      </c>
      <c r="E34">
        <v>1</v>
      </c>
      <c r="F34" t="s">
        <v>36</v>
      </c>
      <c r="G34" t="s">
        <v>902</v>
      </c>
      <c r="H34" t="s">
        <v>3353</v>
      </c>
      <c r="I34" t="s">
        <v>903</v>
      </c>
      <c r="J34" t="s">
        <v>904</v>
      </c>
      <c r="O34" t="str" cm="1">
        <f t="array" ref="O34">INDEX(Grant[Country],MATCH(0,INDEX(COUNTIF($O$2:O33,Grant[Country]),),0))</f>
        <v>Fiji</v>
      </c>
      <c r="T34" s="1035" t="s">
        <v>397</v>
      </c>
      <c r="U34" s="1035" t="s">
        <v>367</v>
      </c>
      <c r="Y34" s="1035" t="s">
        <v>3587</v>
      </c>
      <c r="Z34" s="1035" t="s">
        <v>3517</v>
      </c>
      <c r="AB34" s="1035" t="s">
        <v>910</v>
      </c>
      <c r="AC34" s="1035" t="s">
        <v>3354</v>
      </c>
      <c r="AK34" t="str">
        <v>Djibouti</v>
      </c>
      <c r="AO34" t="str">
        <v>Cameroon National Association for Family Welfare</v>
      </c>
      <c r="AU34" s="1035" t="s">
        <v>3587</v>
      </c>
      <c r="AV34" s="1035" t="s">
        <v>36</v>
      </c>
      <c r="AW34" s="1035" t="s">
        <v>82</v>
      </c>
      <c r="AX34" s="1035" t="s">
        <v>3517</v>
      </c>
    </row>
    <row r="35" spans="1:50" x14ac:dyDescent="0.35">
      <c r="A35">
        <v>65</v>
      </c>
      <c r="B35" t="s">
        <v>384</v>
      </c>
      <c r="C35">
        <v>2</v>
      </c>
      <c r="D35" t="s">
        <v>367</v>
      </c>
      <c r="E35">
        <v>3</v>
      </c>
      <c r="F35" t="s">
        <v>37</v>
      </c>
      <c r="G35" t="s">
        <v>907</v>
      </c>
      <c r="H35" t="s">
        <v>3354</v>
      </c>
      <c r="I35" t="s">
        <v>908</v>
      </c>
      <c r="J35" t="s">
        <v>909</v>
      </c>
      <c r="O35" t="str" cm="1">
        <f t="array" ref="O35">INDEX(Grant[Country],MATCH(0,INDEX(COUNTIF($O$2:O34,Grant[Country]),),0))</f>
        <v>Gabon</v>
      </c>
      <c r="T35" s="1035" t="s">
        <v>399</v>
      </c>
      <c r="U35" s="1035" t="s">
        <v>82</v>
      </c>
      <c r="Y35" s="1035" t="s">
        <v>81</v>
      </c>
      <c r="Z35" s="1035" t="s">
        <v>85</v>
      </c>
      <c r="AB35" s="1035" t="s">
        <v>826</v>
      </c>
      <c r="AC35" s="1035" t="s">
        <v>813</v>
      </c>
      <c r="AK35" t="str">
        <v>Dominican Republic</v>
      </c>
      <c r="AO35" t="str">
        <v>Cameroon National Association for Family Welfare</v>
      </c>
      <c r="AU35" s="1035" t="s">
        <v>81</v>
      </c>
      <c r="AV35" s="1035" t="s">
        <v>36</v>
      </c>
      <c r="AW35" s="1035" t="s">
        <v>82</v>
      </c>
      <c r="AX35" s="1035" t="s">
        <v>3201</v>
      </c>
    </row>
    <row r="36" spans="1:50" x14ac:dyDescent="0.35">
      <c r="A36">
        <v>65</v>
      </c>
      <c r="B36" t="s">
        <v>384</v>
      </c>
      <c r="C36">
        <v>2</v>
      </c>
      <c r="D36" t="s">
        <v>367</v>
      </c>
      <c r="E36">
        <v>2</v>
      </c>
      <c r="F36" t="s">
        <v>39</v>
      </c>
      <c r="G36" t="s">
        <v>907</v>
      </c>
      <c r="H36" t="s">
        <v>3354</v>
      </c>
      <c r="I36" t="s">
        <v>913</v>
      </c>
      <c r="J36" t="s">
        <v>910</v>
      </c>
      <c r="O36" t="str" cm="1">
        <f t="array" ref="O36">INDEX(Grant[Country],MATCH(0,INDEX(COUNTIF($O$2:O35,Grant[Country]),),0))</f>
        <v>Georgia</v>
      </c>
      <c r="T36" s="1035" t="s">
        <v>400</v>
      </c>
      <c r="U36" s="1035" t="s">
        <v>82</v>
      </c>
      <c r="Y36" s="1035" t="s">
        <v>81</v>
      </c>
      <c r="Z36" s="1035" t="s">
        <v>3201</v>
      </c>
      <c r="AB36" s="1035" t="s">
        <v>821</v>
      </c>
      <c r="AC36" s="1035" t="s">
        <v>812</v>
      </c>
      <c r="AK36" t="str">
        <v>Eastern Africa</v>
      </c>
      <c r="AO36" t="str">
        <v>CARE Peru</v>
      </c>
      <c r="AU36" s="1035" t="s">
        <v>81</v>
      </c>
      <c r="AV36" s="1035" t="s">
        <v>187</v>
      </c>
      <c r="AW36" s="1035" t="s">
        <v>82</v>
      </c>
      <c r="AX36" s="1035" t="s">
        <v>85</v>
      </c>
    </row>
    <row r="37" spans="1:50" x14ac:dyDescent="0.35">
      <c r="A37">
        <v>152</v>
      </c>
      <c r="B37" t="s">
        <v>374</v>
      </c>
      <c r="C37">
        <v>1</v>
      </c>
      <c r="D37" t="s">
        <v>82</v>
      </c>
      <c r="E37">
        <v>1</v>
      </c>
      <c r="F37" t="s">
        <v>36</v>
      </c>
      <c r="G37" t="s">
        <v>824</v>
      </c>
      <c r="H37" t="s">
        <v>813</v>
      </c>
      <c r="I37" t="s">
        <v>825</v>
      </c>
      <c r="J37" t="s">
        <v>826</v>
      </c>
      <c r="O37" t="str" cm="1">
        <f t="array" ref="O37">INDEX(Grant[Country],MATCH(0,INDEX(COUNTIF($O$2:O36,Grant[Country]),),0))</f>
        <v>Ghana</v>
      </c>
      <c r="T37" s="1035" t="s">
        <v>401</v>
      </c>
      <c r="U37" s="1035" t="s">
        <v>82</v>
      </c>
      <c r="Y37" s="1035" t="s">
        <v>81</v>
      </c>
      <c r="Z37" s="1035" t="s">
        <v>3203</v>
      </c>
      <c r="AB37" s="1035" t="s">
        <v>831</v>
      </c>
      <c r="AC37" s="1035" t="s">
        <v>814</v>
      </c>
      <c r="AK37" t="str">
        <v>Ecuador</v>
      </c>
      <c r="AO37" t="str">
        <v>Caribbean Community Secretariat</v>
      </c>
      <c r="AU37" s="1035" t="s">
        <v>81</v>
      </c>
      <c r="AV37" s="1035" t="s">
        <v>39</v>
      </c>
      <c r="AW37" s="1035" t="s">
        <v>82</v>
      </c>
      <c r="AX37" s="1035" t="s">
        <v>3203</v>
      </c>
    </row>
    <row r="38" spans="1:50" x14ac:dyDescent="0.35">
      <c r="A38">
        <v>152</v>
      </c>
      <c r="B38" t="s">
        <v>374</v>
      </c>
      <c r="C38">
        <v>1</v>
      </c>
      <c r="D38" t="s">
        <v>82</v>
      </c>
      <c r="E38">
        <v>1</v>
      </c>
      <c r="F38" t="s">
        <v>36</v>
      </c>
      <c r="G38" t="s">
        <v>819</v>
      </c>
      <c r="H38" t="s">
        <v>812</v>
      </c>
      <c r="I38" t="s">
        <v>820</v>
      </c>
      <c r="J38" t="s">
        <v>821</v>
      </c>
      <c r="O38" t="str" cm="1">
        <f t="array" ref="O38">INDEX(Grant[Country],MATCH(0,INDEX(COUNTIF($O$2:O37,Grant[Country]),),0))</f>
        <v>Guinea</v>
      </c>
      <c r="T38" s="1035" t="s">
        <v>3584</v>
      </c>
      <c r="U38" s="1035" t="s">
        <v>82</v>
      </c>
      <c r="Y38" s="1035" t="s">
        <v>374</v>
      </c>
      <c r="Z38" s="1035" t="s">
        <v>826</v>
      </c>
      <c r="AB38" s="1035" t="s">
        <v>823</v>
      </c>
      <c r="AC38" s="1035" t="s">
        <v>811</v>
      </c>
      <c r="AK38" t="str">
        <v>Egypt</v>
      </c>
      <c r="AO38" t="str">
        <v>Catholic Relief Services - United States Conference of Catholic Bishops</v>
      </c>
      <c r="AU38" s="1035" t="s">
        <v>374</v>
      </c>
      <c r="AV38" s="1035" t="s">
        <v>36</v>
      </c>
      <c r="AW38" s="1035" t="s">
        <v>82</v>
      </c>
      <c r="AX38" s="1035" t="s">
        <v>826</v>
      </c>
    </row>
    <row r="39" spans="1:50" x14ac:dyDescent="0.35">
      <c r="A39">
        <v>152</v>
      </c>
      <c r="B39" t="s">
        <v>374</v>
      </c>
      <c r="C39">
        <v>1</v>
      </c>
      <c r="D39" t="s">
        <v>82</v>
      </c>
      <c r="E39">
        <v>1</v>
      </c>
      <c r="F39" t="s">
        <v>36</v>
      </c>
      <c r="G39" t="s">
        <v>829</v>
      </c>
      <c r="H39" t="s">
        <v>814</v>
      </c>
      <c r="I39" t="s">
        <v>830</v>
      </c>
      <c r="J39" t="s">
        <v>831</v>
      </c>
      <c r="O39" t="str" cm="1">
        <f t="array" ref="O39">INDEX(Grant[Country],MATCH(0,INDEX(COUNTIF($O$2:O38,Grant[Country]),),0))</f>
        <v>Gambia</v>
      </c>
      <c r="T39" s="1035" t="s">
        <v>402</v>
      </c>
      <c r="U39" s="1035" t="s">
        <v>82</v>
      </c>
      <c r="Y39" s="1035" t="s">
        <v>374</v>
      </c>
      <c r="Z39" s="1035" t="s">
        <v>821</v>
      </c>
      <c r="AB39" s="1035" t="s">
        <v>835</v>
      </c>
      <c r="AC39" s="1035" t="s">
        <v>812</v>
      </c>
      <c r="AK39" t="str">
        <v>El Salvador</v>
      </c>
      <c r="AO39" t="str">
        <v>Catholic Relief Services - United States Conference of Catholic Bishops</v>
      </c>
      <c r="AU39" s="1035" t="s">
        <v>374</v>
      </c>
      <c r="AV39" s="1035" t="s">
        <v>36</v>
      </c>
      <c r="AW39" s="1035" t="s">
        <v>82</v>
      </c>
      <c r="AX39" s="1035" t="s">
        <v>821</v>
      </c>
    </row>
    <row r="40" spans="1:50" x14ac:dyDescent="0.35">
      <c r="A40">
        <v>152</v>
      </c>
      <c r="B40" t="s">
        <v>374</v>
      </c>
      <c r="C40">
        <v>1</v>
      </c>
      <c r="D40" t="s">
        <v>82</v>
      </c>
      <c r="E40">
        <v>3</v>
      </c>
      <c r="F40" t="s">
        <v>37</v>
      </c>
      <c r="G40" t="s">
        <v>832</v>
      </c>
      <c r="H40" t="s">
        <v>811</v>
      </c>
      <c r="I40" t="s">
        <v>833</v>
      </c>
      <c r="J40" t="s">
        <v>823</v>
      </c>
      <c r="O40" t="str" cm="1">
        <f t="array" ref="O40">INDEX(Grant[Country],MATCH(0,INDEX(COUNTIF($O$2:O39,Grant[Country]),),0))</f>
        <v>Guinea-Bissau</v>
      </c>
      <c r="T40" s="1035" t="s">
        <v>403</v>
      </c>
      <c r="U40" s="1035" t="s">
        <v>82</v>
      </c>
      <c r="Y40" s="1035" t="s">
        <v>374</v>
      </c>
      <c r="Z40" s="1035" t="s">
        <v>831</v>
      </c>
      <c r="AB40" s="1035" t="s">
        <v>828</v>
      </c>
      <c r="AC40" s="1035" t="s">
        <v>811</v>
      </c>
      <c r="AK40" t="str">
        <v>Equatorial Guinea</v>
      </c>
      <c r="AO40" t="str">
        <v>Catholic Relief Services - United States Conference of Catholic Bishops</v>
      </c>
      <c r="AU40" s="1035" t="s">
        <v>374</v>
      </c>
      <c r="AV40" s="1035" t="s">
        <v>36</v>
      </c>
      <c r="AW40" s="1035" t="s">
        <v>82</v>
      </c>
      <c r="AX40" s="1035" t="s">
        <v>831</v>
      </c>
    </row>
    <row r="41" spans="1:50" x14ac:dyDescent="0.35">
      <c r="A41">
        <v>152</v>
      </c>
      <c r="B41" t="s">
        <v>374</v>
      </c>
      <c r="C41">
        <v>1</v>
      </c>
      <c r="D41" t="s">
        <v>82</v>
      </c>
      <c r="E41">
        <v>3</v>
      </c>
      <c r="F41" t="s">
        <v>37</v>
      </c>
      <c r="G41" t="s">
        <v>819</v>
      </c>
      <c r="H41" t="s">
        <v>812</v>
      </c>
      <c r="I41" t="s">
        <v>836</v>
      </c>
      <c r="J41" t="s">
        <v>835</v>
      </c>
      <c r="O41" t="str" cm="1">
        <f t="array" ref="O41">INDEX(Grant[Country],MATCH(0,INDEX(COUNTIF($O$2:O40,Grant[Country]),),0))</f>
        <v>Equatorial Guinea</v>
      </c>
      <c r="T41" s="1035" t="s">
        <v>404</v>
      </c>
      <c r="U41" s="1035" t="s">
        <v>82</v>
      </c>
      <c r="Y41" s="1035" t="s">
        <v>374</v>
      </c>
      <c r="Z41" s="1035" t="s">
        <v>823</v>
      </c>
      <c r="AB41" s="1035" t="s">
        <v>838</v>
      </c>
      <c r="AC41" s="1035" t="s">
        <v>812</v>
      </c>
      <c r="AK41" t="str">
        <v>Eritrea</v>
      </c>
      <c r="AO41" t="str">
        <v>Catholic Relief Services - United States Conference of Catholic Bishops</v>
      </c>
      <c r="AU41" s="1035" t="s">
        <v>374</v>
      </c>
      <c r="AV41" s="1035" t="s">
        <v>37</v>
      </c>
      <c r="AW41" s="1035" t="s">
        <v>82</v>
      </c>
      <c r="AX41" s="1035" t="s">
        <v>823</v>
      </c>
    </row>
    <row r="42" spans="1:50" x14ac:dyDescent="0.35">
      <c r="A42">
        <v>152</v>
      </c>
      <c r="B42" t="s">
        <v>374</v>
      </c>
      <c r="C42">
        <v>1</v>
      </c>
      <c r="D42" t="s">
        <v>82</v>
      </c>
      <c r="E42">
        <v>2</v>
      </c>
      <c r="F42" t="s">
        <v>39</v>
      </c>
      <c r="G42" t="s">
        <v>832</v>
      </c>
      <c r="H42" t="s">
        <v>811</v>
      </c>
      <c r="I42" t="s">
        <v>839</v>
      </c>
      <c r="J42" t="s">
        <v>828</v>
      </c>
      <c r="O42" t="str" cm="1">
        <f t="array" ref="O42">INDEX(Grant[Country],MATCH(0,INDEX(COUNTIF($O$2:O41,Grant[Country]),),0))</f>
        <v>Guatemala</v>
      </c>
      <c r="T42" s="1035" t="s">
        <v>405</v>
      </c>
      <c r="U42" s="1035" t="s">
        <v>82</v>
      </c>
      <c r="Y42" s="1035" t="s">
        <v>374</v>
      </c>
      <c r="Z42" s="1035" t="s">
        <v>835</v>
      </c>
      <c r="AB42" s="1035" t="s">
        <v>844</v>
      </c>
      <c r="AC42" s="1035" t="s">
        <v>817</v>
      </c>
      <c r="AK42" t="str">
        <v>Eswatini</v>
      </c>
      <c r="AO42" t="str">
        <v>Catholic Relief Services - United States Conference of Catholic Bishops</v>
      </c>
      <c r="AU42" s="1035" t="s">
        <v>374</v>
      </c>
      <c r="AV42" s="1035" t="s">
        <v>37</v>
      </c>
      <c r="AW42" s="1035" t="s">
        <v>82</v>
      </c>
      <c r="AX42" s="1035" t="s">
        <v>835</v>
      </c>
    </row>
    <row r="43" spans="1:50" x14ac:dyDescent="0.35">
      <c r="A43">
        <v>152</v>
      </c>
      <c r="B43" t="s">
        <v>374</v>
      </c>
      <c r="C43">
        <v>1</v>
      </c>
      <c r="D43" t="s">
        <v>82</v>
      </c>
      <c r="E43">
        <v>2</v>
      </c>
      <c r="F43" t="s">
        <v>39</v>
      </c>
      <c r="G43" t="s">
        <v>819</v>
      </c>
      <c r="H43" t="s">
        <v>812</v>
      </c>
      <c r="I43" t="s">
        <v>841</v>
      </c>
      <c r="J43" t="s">
        <v>838</v>
      </c>
      <c r="O43" t="str" cm="1">
        <f t="array" ref="O43">INDEX(Grant[Country],MATCH(0,INDEX(COUNTIF($O$2:O42,Grant[Country]),),0))</f>
        <v>Guyana</v>
      </c>
      <c r="T43" s="1035" t="s">
        <v>406</v>
      </c>
      <c r="U43" s="1035" t="s">
        <v>82</v>
      </c>
      <c r="Y43" s="1035" t="s">
        <v>374</v>
      </c>
      <c r="Z43" s="1035" t="s">
        <v>828</v>
      </c>
      <c r="AB43" s="1035" t="s">
        <v>846</v>
      </c>
      <c r="AC43" s="1035" t="s">
        <v>817</v>
      </c>
      <c r="AK43" t="str">
        <v>Ethiopia</v>
      </c>
      <c r="AO43" t="str">
        <v>Catholic Relief Services - United States Conference of Catholic Bishops</v>
      </c>
      <c r="AU43" s="1035" t="s">
        <v>374</v>
      </c>
      <c r="AV43" s="1035" t="s">
        <v>39</v>
      </c>
      <c r="AW43" s="1035" t="s">
        <v>82</v>
      </c>
      <c r="AX43" s="1035" t="s">
        <v>828</v>
      </c>
    </row>
    <row r="44" spans="1:50" x14ac:dyDescent="0.35">
      <c r="A44">
        <v>178</v>
      </c>
      <c r="B44" t="s">
        <v>375</v>
      </c>
      <c r="C44">
        <v>1</v>
      </c>
      <c r="D44" t="s">
        <v>82</v>
      </c>
      <c r="E44">
        <v>4</v>
      </c>
      <c r="F44" t="s">
        <v>187</v>
      </c>
      <c r="G44" t="s">
        <v>842</v>
      </c>
      <c r="H44" t="s">
        <v>817</v>
      </c>
      <c r="I44" t="s">
        <v>843</v>
      </c>
      <c r="J44" t="s">
        <v>844</v>
      </c>
      <c r="O44" t="str" cm="1">
        <f t="array" ref="O44">INDEX(Grant[Country],MATCH(0,INDEX(COUNTIF($O$2:O43,Grant[Country]),),0))</f>
        <v>Honduras</v>
      </c>
      <c r="T44" s="1035" t="s">
        <v>1005</v>
      </c>
      <c r="U44" s="1035" t="s">
        <v>82</v>
      </c>
      <c r="Y44" s="1035" t="s">
        <v>374</v>
      </c>
      <c r="Z44" s="1035" t="s">
        <v>838</v>
      </c>
      <c r="AB44" s="1035" t="s">
        <v>850</v>
      </c>
      <c r="AC44" s="1035" t="s">
        <v>772</v>
      </c>
      <c r="AK44" t="str">
        <v>Fiji</v>
      </c>
      <c r="AO44" t="str">
        <v>Catholic Relief Services - United States Conference of Catholic Bishops</v>
      </c>
      <c r="AU44" s="1035" t="s">
        <v>374</v>
      </c>
      <c r="AV44" s="1035" t="s">
        <v>39</v>
      </c>
      <c r="AW44" s="1035" t="s">
        <v>82</v>
      </c>
      <c r="AX44" s="1035" t="s">
        <v>838</v>
      </c>
    </row>
    <row r="45" spans="1:50" x14ac:dyDescent="0.35">
      <c r="A45">
        <v>178</v>
      </c>
      <c r="B45" t="s">
        <v>375</v>
      </c>
      <c r="C45">
        <v>1</v>
      </c>
      <c r="D45" t="s">
        <v>82</v>
      </c>
      <c r="E45">
        <v>2</v>
      </c>
      <c r="F45" t="s">
        <v>39</v>
      </c>
      <c r="G45" t="s">
        <v>842</v>
      </c>
      <c r="H45" t="s">
        <v>817</v>
      </c>
      <c r="I45" t="s">
        <v>845</v>
      </c>
      <c r="J45" t="s">
        <v>846</v>
      </c>
      <c r="O45" t="str" cm="1">
        <f t="array" ref="O45">INDEX(Grant[Country],MATCH(0,INDEX(COUNTIF($O$2:O44,Grant[Country]),),0))</f>
        <v>Haiti</v>
      </c>
      <c r="T45" s="1035" t="s">
        <v>408</v>
      </c>
      <c r="U45" s="1035" t="s">
        <v>82</v>
      </c>
      <c r="Y45" s="1035" t="s">
        <v>375</v>
      </c>
      <c r="Z45" s="1035" t="s">
        <v>844</v>
      </c>
      <c r="AB45" s="1035" t="s">
        <v>881</v>
      </c>
      <c r="AC45" s="1035" t="s">
        <v>3359</v>
      </c>
      <c r="AK45" t="str">
        <v>Gabon</v>
      </c>
      <c r="AO45" t="str">
        <v>Catholic Relief Services - United States Conference of Catholic Bishops</v>
      </c>
      <c r="AU45" s="1035" t="s">
        <v>375</v>
      </c>
      <c r="AV45" s="1035" t="s">
        <v>187</v>
      </c>
      <c r="AW45" s="1035" t="s">
        <v>82</v>
      </c>
      <c r="AX45" s="1035" t="s">
        <v>844</v>
      </c>
    </row>
    <row r="46" spans="1:50" x14ac:dyDescent="0.35">
      <c r="A46">
        <v>80</v>
      </c>
      <c r="B46" t="s">
        <v>376</v>
      </c>
      <c r="C46">
        <v>1</v>
      </c>
      <c r="D46" t="s">
        <v>82</v>
      </c>
      <c r="E46">
        <v>4</v>
      </c>
      <c r="F46" t="s">
        <v>187</v>
      </c>
      <c r="G46" t="s">
        <v>848</v>
      </c>
      <c r="H46" t="s">
        <v>772</v>
      </c>
      <c r="I46" t="s">
        <v>849</v>
      </c>
      <c r="J46" t="s">
        <v>850</v>
      </c>
      <c r="O46" t="str" cm="1">
        <f t="array" ref="O46">INDEX(Grant[Country],MATCH(0,INDEX(COUNTIF($O$2:O45,Grant[Country]),),0))</f>
        <v>Indonesia</v>
      </c>
      <c r="T46" s="1035" t="s">
        <v>409</v>
      </c>
      <c r="U46" s="1035" t="s">
        <v>82</v>
      </c>
      <c r="Y46" s="1035" t="s">
        <v>375</v>
      </c>
      <c r="Z46" s="1035" t="s">
        <v>846</v>
      </c>
      <c r="AB46" s="1035" t="s">
        <v>886</v>
      </c>
      <c r="AC46" s="1035" t="s">
        <v>772</v>
      </c>
      <c r="AK46" t="str">
        <v>Gambia</v>
      </c>
      <c r="AO46" t="str">
        <v>Catholic Relief Services - United States Conference of Catholic Bishops</v>
      </c>
      <c r="AU46" s="1035" t="s">
        <v>375</v>
      </c>
      <c r="AV46" s="1035" t="s">
        <v>39</v>
      </c>
      <c r="AW46" s="1035" t="s">
        <v>82</v>
      </c>
      <c r="AX46" s="1035" t="s">
        <v>846</v>
      </c>
    </row>
    <row r="47" spans="1:50" x14ac:dyDescent="0.35">
      <c r="A47">
        <v>80</v>
      </c>
      <c r="B47" t="s">
        <v>376</v>
      </c>
      <c r="C47">
        <v>1</v>
      </c>
      <c r="D47" t="s">
        <v>82</v>
      </c>
      <c r="E47">
        <v>1</v>
      </c>
      <c r="F47" t="s">
        <v>36</v>
      </c>
      <c r="G47" t="s">
        <v>3355</v>
      </c>
      <c r="H47" t="s">
        <v>3356</v>
      </c>
      <c r="I47" t="s">
        <v>3357</v>
      </c>
      <c r="J47" t="s">
        <v>3358</v>
      </c>
      <c r="O47" t="str" cm="1">
        <f t="array" ref="O47">INDEX(Grant[Country],MATCH(0,INDEX(COUNTIF($O$2:O46,Grant[Country]),),0))</f>
        <v>India</v>
      </c>
      <c r="T47" s="1035" t="s">
        <v>410</v>
      </c>
      <c r="U47" s="1035" t="s">
        <v>367</v>
      </c>
      <c r="Y47" s="1035" t="s">
        <v>376</v>
      </c>
      <c r="Z47" s="1035" t="s">
        <v>850</v>
      </c>
      <c r="AB47" s="1035" t="s">
        <v>889</v>
      </c>
      <c r="AC47" s="1035" t="s">
        <v>772</v>
      </c>
      <c r="AK47" t="str">
        <v>Georgia</v>
      </c>
      <c r="AO47" t="str">
        <v>Cellule Nationale de Coordination Technique de la Riposte Nationale au Sida et aux Hépatites</v>
      </c>
      <c r="AU47" s="1035" t="s">
        <v>376</v>
      </c>
      <c r="AV47" s="1035" t="s">
        <v>36</v>
      </c>
      <c r="AW47" s="1035" t="s">
        <v>82</v>
      </c>
      <c r="AX47" s="1035" t="s">
        <v>3358</v>
      </c>
    </row>
    <row r="48" spans="1:50" x14ac:dyDescent="0.35">
      <c r="A48">
        <v>93</v>
      </c>
      <c r="B48" t="s">
        <v>379</v>
      </c>
      <c r="C48">
        <v>1</v>
      </c>
      <c r="D48" t="s">
        <v>82</v>
      </c>
      <c r="E48">
        <v>1</v>
      </c>
      <c r="F48" t="s">
        <v>36</v>
      </c>
      <c r="G48" t="s">
        <v>879</v>
      </c>
      <c r="H48" t="s">
        <v>3359</v>
      </c>
      <c r="I48" t="s">
        <v>880</v>
      </c>
      <c r="J48" t="s">
        <v>881</v>
      </c>
      <c r="O48" t="str" cm="1">
        <f t="array" ref="O48">INDEX(Grant[Country],MATCH(0,INDEX(COUNTIF($O$2:O47,Grant[Country]),),0))</f>
        <v>Iran (Islamic Republic)</v>
      </c>
      <c r="T48" s="1035" t="s">
        <v>411</v>
      </c>
      <c r="U48" s="1035" t="s">
        <v>82</v>
      </c>
      <c r="Y48" s="1035" t="s">
        <v>376</v>
      </c>
      <c r="Z48" s="1035" t="s">
        <v>3358</v>
      </c>
      <c r="AB48" s="1035" t="s">
        <v>921</v>
      </c>
      <c r="AC48" s="1035" t="s">
        <v>873</v>
      </c>
      <c r="AK48" t="str">
        <v>Ghana</v>
      </c>
      <c r="AO48" t="str">
        <v>Center for Health Policies and Studies</v>
      </c>
      <c r="AU48" s="1035" t="s">
        <v>376</v>
      </c>
      <c r="AV48" s="1035" t="s">
        <v>187</v>
      </c>
      <c r="AW48" s="1035" t="s">
        <v>82</v>
      </c>
      <c r="AX48" s="1035" t="s">
        <v>850</v>
      </c>
    </row>
    <row r="49" spans="1:50" x14ac:dyDescent="0.35">
      <c r="A49">
        <v>93</v>
      </c>
      <c r="B49" t="s">
        <v>379</v>
      </c>
      <c r="C49">
        <v>1</v>
      </c>
      <c r="D49" t="s">
        <v>82</v>
      </c>
      <c r="E49">
        <v>3</v>
      </c>
      <c r="F49" t="s">
        <v>37</v>
      </c>
      <c r="G49" t="s">
        <v>884</v>
      </c>
      <c r="H49" t="s">
        <v>772</v>
      </c>
      <c r="I49" t="s">
        <v>885</v>
      </c>
      <c r="J49" t="s">
        <v>886</v>
      </c>
      <c r="O49" t="str" cm="1">
        <f t="array" ref="O49">INDEX(Grant[Country],MATCH(0,INDEX(COUNTIF($O$2:O48,Grant[Country]),),0))</f>
        <v>Jamaica</v>
      </c>
      <c r="T49" s="1035" t="s">
        <v>412</v>
      </c>
      <c r="U49" s="1035" t="s">
        <v>82</v>
      </c>
      <c r="Y49" s="1035" t="s">
        <v>377</v>
      </c>
      <c r="Z49" s="1035" t="s">
        <v>853</v>
      </c>
      <c r="AB49" s="1035" t="s">
        <v>916</v>
      </c>
      <c r="AC49" s="1035" t="s">
        <v>876</v>
      </c>
      <c r="AK49" t="str">
        <v>Guatemala</v>
      </c>
      <c r="AO49" t="str">
        <v>Center for Health Policies and Studies</v>
      </c>
      <c r="AU49" s="1035" t="s">
        <v>377</v>
      </c>
      <c r="AV49" s="1035" t="s">
        <v>36</v>
      </c>
      <c r="AW49" s="1035" t="s">
        <v>367</v>
      </c>
      <c r="AX49" s="1035" t="s">
        <v>853</v>
      </c>
    </row>
    <row r="50" spans="1:50" x14ac:dyDescent="0.35">
      <c r="A50">
        <v>93</v>
      </c>
      <c r="B50" t="s">
        <v>379</v>
      </c>
      <c r="C50">
        <v>1</v>
      </c>
      <c r="D50" t="s">
        <v>82</v>
      </c>
      <c r="E50">
        <v>2</v>
      </c>
      <c r="F50" t="s">
        <v>39</v>
      </c>
      <c r="G50" t="s">
        <v>884</v>
      </c>
      <c r="H50" t="s">
        <v>772</v>
      </c>
      <c r="I50" t="s">
        <v>888</v>
      </c>
      <c r="J50" t="s">
        <v>889</v>
      </c>
      <c r="O50" t="str" cm="1">
        <f t="array" ref="O50">INDEX(Grant[Country],MATCH(0,INDEX(COUNTIF($O$2:O49,Grant[Country]),),0))</f>
        <v>Kazakhstan</v>
      </c>
      <c r="T50" s="1035" t="s">
        <v>413</v>
      </c>
      <c r="U50" s="1035" t="s">
        <v>82</v>
      </c>
      <c r="Y50" s="1035" t="s">
        <v>377</v>
      </c>
      <c r="Z50" s="1035" t="s">
        <v>857</v>
      </c>
      <c r="AB50" s="1035" t="s">
        <v>919</v>
      </c>
      <c r="AC50" s="1035" t="s">
        <v>876</v>
      </c>
      <c r="AK50" t="str">
        <v>Guinea</v>
      </c>
      <c r="AO50" t="str">
        <v>Central Board of ‘Aisyiyah</v>
      </c>
      <c r="AU50" s="1035" t="s">
        <v>377</v>
      </c>
      <c r="AV50" s="1035" t="s">
        <v>36</v>
      </c>
      <c r="AW50" s="1035" t="s">
        <v>367</v>
      </c>
      <c r="AX50" s="1035" t="s">
        <v>857</v>
      </c>
    </row>
    <row r="51" spans="1:50" x14ac:dyDescent="0.35">
      <c r="A51">
        <v>24</v>
      </c>
      <c r="B51" t="s">
        <v>385</v>
      </c>
      <c r="C51">
        <v>1</v>
      </c>
      <c r="D51" t="s">
        <v>82</v>
      </c>
      <c r="E51">
        <v>2</v>
      </c>
      <c r="F51" t="s">
        <v>39</v>
      </c>
      <c r="G51" t="s">
        <v>932</v>
      </c>
      <c r="H51" t="s">
        <v>873</v>
      </c>
      <c r="I51" t="s">
        <v>933</v>
      </c>
      <c r="J51" t="s">
        <v>921</v>
      </c>
      <c r="O51" t="str" cm="1">
        <f t="array" ref="O51">INDEX(Grant[Country],MATCH(0,INDEX(COUNTIF($O$2:O50,Grant[Country]),),0))</f>
        <v>Kenya</v>
      </c>
      <c r="T51" s="1035" t="s">
        <v>414</v>
      </c>
      <c r="U51" s="1035" t="s">
        <v>82</v>
      </c>
      <c r="Y51" s="1035" t="s">
        <v>377</v>
      </c>
      <c r="Z51" s="1035" t="s">
        <v>861</v>
      </c>
      <c r="AB51" s="1035" t="s">
        <v>872</v>
      </c>
      <c r="AC51" s="1035" t="s">
        <v>840</v>
      </c>
      <c r="AK51" t="str">
        <v>Guinea-Bissau</v>
      </c>
      <c r="AO51" t="str">
        <v>Centre de Recherches Médicales de Lambaréné</v>
      </c>
      <c r="AU51" s="1035" t="s">
        <v>377</v>
      </c>
      <c r="AV51" s="1035" t="s">
        <v>37</v>
      </c>
      <c r="AW51" s="1035" t="s">
        <v>367</v>
      </c>
      <c r="AX51" s="1035" t="s">
        <v>861</v>
      </c>
    </row>
    <row r="52" spans="1:50" x14ac:dyDescent="0.35">
      <c r="A52">
        <v>24</v>
      </c>
      <c r="B52" t="s">
        <v>385</v>
      </c>
      <c r="C52">
        <v>1</v>
      </c>
      <c r="D52" t="s">
        <v>82</v>
      </c>
      <c r="E52">
        <v>1</v>
      </c>
      <c r="F52" t="s">
        <v>36</v>
      </c>
      <c r="G52" t="s">
        <v>914</v>
      </c>
      <c r="H52" t="s">
        <v>876</v>
      </c>
      <c r="I52" t="s">
        <v>915</v>
      </c>
      <c r="J52" t="s">
        <v>916</v>
      </c>
      <c r="O52" t="str" cm="1">
        <f t="array" ref="O52">INDEX(Grant[Country],MATCH(0,INDEX(COUNTIF($O$2:O51,Grant[Country]),),0))</f>
        <v>Kyrgyzstan</v>
      </c>
      <c r="T52" s="1035" t="s">
        <v>415</v>
      </c>
      <c r="U52" s="1035" t="s">
        <v>82</v>
      </c>
      <c r="Y52" s="1035" t="s">
        <v>377</v>
      </c>
      <c r="Z52" s="1035" t="s">
        <v>854</v>
      </c>
      <c r="AB52" s="1035" t="s">
        <v>875</v>
      </c>
      <c r="AC52" s="1035" t="s">
        <v>840</v>
      </c>
      <c r="AK52" t="str">
        <v>Guyana</v>
      </c>
      <c r="AO52" t="str">
        <v>Centre for Health Research and Innovation</v>
      </c>
      <c r="AU52" s="1035" t="s">
        <v>377</v>
      </c>
      <c r="AV52" s="1035" t="s">
        <v>2004</v>
      </c>
      <c r="AW52" s="1035" t="s">
        <v>367</v>
      </c>
      <c r="AX52" s="1035" t="s">
        <v>854</v>
      </c>
    </row>
    <row r="53" spans="1:50" x14ac:dyDescent="0.35">
      <c r="A53">
        <v>24</v>
      </c>
      <c r="B53" t="s">
        <v>385</v>
      </c>
      <c r="C53">
        <v>1</v>
      </c>
      <c r="D53" t="s">
        <v>82</v>
      </c>
      <c r="E53">
        <v>1</v>
      </c>
      <c r="F53" t="s">
        <v>36</v>
      </c>
      <c r="G53" t="s">
        <v>914</v>
      </c>
      <c r="H53" t="s">
        <v>876</v>
      </c>
      <c r="I53" t="s">
        <v>918</v>
      </c>
      <c r="J53" t="s">
        <v>919</v>
      </c>
      <c r="O53" t="str" cm="1">
        <f t="array" ref="O53">INDEX(Grant[Country],MATCH(0,INDEX(COUNTIF($O$2:O52,Grant[Country]),),0))</f>
        <v>Cambodia</v>
      </c>
      <c r="T53" s="1035" t="s">
        <v>416</v>
      </c>
      <c r="U53" s="1035" t="s">
        <v>367</v>
      </c>
      <c r="Y53" s="1035" t="s">
        <v>377</v>
      </c>
      <c r="Z53" s="1035" t="s">
        <v>858</v>
      </c>
      <c r="AB53" s="1035" t="s">
        <v>878</v>
      </c>
      <c r="AC53" s="1035" t="s">
        <v>840</v>
      </c>
      <c r="AK53" t="str">
        <v>Haiti</v>
      </c>
      <c r="AO53" t="str">
        <v>Centro de Colaboração em Saúde</v>
      </c>
      <c r="AU53" s="1035" t="s">
        <v>377</v>
      </c>
      <c r="AV53" s="1035" t="s">
        <v>2004</v>
      </c>
      <c r="AW53" s="1035" t="s">
        <v>367</v>
      </c>
      <c r="AX53" s="1035" t="s">
        <v>858</v>
      </c>
    </row>
    <row r="54" spans="1:50" x14ac:dyDescent="0.35">
      <c r="A54">
        <v>153</v>
      </c>
      <c r="B54" t="s">
        <v>378</v>
      </c>
      <c r="C54">
        <v>1</v>
      </c>
      <c r="D54" t="s">
        <v>82</v>
      </c>
      <c r="E54">
        <v>4</v>
      </c>
      <c r="F54" t="s">
        <v>187</v>
      </c>
      <c r="G54" t="s">
        <v>870</v>
      </c>
      <c r="H54" t="s">
        <v>840</v>
      </c>
      <c r="I54" t="s">
        <v>3360</v>
      </c>
      <c r="J54" t="s">
        <v>3361</v>
      </c>
      <c r="O54" t="str" cm="1">
        <f t="array" ref="O54">INDEX(Grant[Country],MATCH(0,INDEX(COUNTIF($O$2:O53,Grant[Country]),),0))</f>
        <v>Lao (Peoples Democratic Republic)</v>
      </c>
      <c r="T54" s="1035" t="s">
        <v>416</v>
      </c>
      <c r="U54" s="1035" t="s">
        <v>82</v>
      </c>
      <c r="Y54" s="1035" t="s">
        <v>377</v>
      </c>
      <c r="Z54" s="1035" t="s">
        <v>864</v>
      </c>
      <c r="AB54" s="1035" t="s">
        <v>895</v>
      </c>
      <c r="AC54" s="1035" t="s">
        <v>847</v>
      </c>
      <c r="AK54" t="str">
        <v>Honduras</v>
      </c>
      <c r="AO54" t="str">
        <v>Centro de Información y Recursos para el Desarrollo</v>
      </c>
      <c r="AU54" s="1035" t="s">
        <v>377</v>
      </c>
      <c r="AV54" s="1035" t="s">
        <v>39</v>
      </c>
      <c r="AW54" s="1035" t="s">
        <v>367</v>
      </c>
      <c r="AX54" s="1035" t="s">
        <v>864</v>
      </c>
    </row>
    <row r="55" spans="1:50" x14ac:dyDescent="0.35">
      <c r="A55">
        <v>153</v>
      </c>
      <c r="B55" t="s">
        <v>378</v>
      </c>
      <c r="C55">
        <v>1</v>
      </c>
      <c r="D55" t="s">
        <v>82</v>
      </c>
      <c r="E55">
        <v>1</v>
      </c>
      <c r="F55" t="s">
        <v>36</v>
      </c>
      <c r="G55" t="s">
        <v>870</v>
      </c>
      <c r="H55" t="s">
        <v>840</v>
      </c>
      <c r="I55" t="s">
        <v>871</v>
      </c>
      <c r="J55" t="s">
        <v>872</v>
      </c>
      <c r="O55" t="str" cm="1">
        <f t="array" ref="O55">INDEX(Grant[Country],MATCH(0,INDEX(COUNTIF($O$2:O54,Grant[Country]),),0))</f>
        <v>Liberia</v>
      </c>
      <c r="T55" s="1035" t="s">
        <v>417</v>
      </c>
      <c r="U55" s="1035" t="s">
        <v>82</v>
      </c>
      <c r="Y55" s="1035" t="s">
        <v>378</v>
      </c>
      <c r="Z55" s="1035" t="s">
        <v>872</v>
      </c>
      <c r="AB55" s="1035" t="s">
        <v>899</v>
      </c>
      <c r="AC55" s="1035" t="s">
        <v>3362</v>
      </c>
      <c r="AK55" t="str">
        <v>India</v>
      </c>
      <c r="AO55" t="str">
        <v>Charitable Organization "All-Ukrainian Network of People Living with HIV/AIDS"</v>
      </c>
      <c r="AU55" s="1035" t="s">
        <v>378</v>
      </c>
      <c r="AV55" s="1035" t="s">
        <v>36</v>
      </c>
      <c r="AW55" s="1035" t="s">
        <v>82</v>
      </c>
      <c r="AX55" s="1035" t="s">
        <v>872</v>
      </c>
    </row>
    <row r="56" spans="1:50" x14ac:dyDescent="0.35">
      <c r="A56">
        <v>153</v>
      </c>
      <c r="B56" t="s">
        <v>378</v>
      </c>
      <c r="C56">
        <v>1</v>
      </c>
      <c r="D56" t="s">
        <v>82</v>
      </c>
      <c r="E56">
        <v>3</v>
      </c>
      <c r="F56" t="s">
        <v>37</v>
      </c>
      <c r="G56" t="s">
        <v>870</v>
      </c>
      <c r="H56" t="s">
        <v>840</v>
      </c>
      <c r="I56" t="s">
        <v>874</v>
      </c>
      <c r="J56" t="s">
        <v>875</v>
      </c>
      <c r="O56" t="str" cm="1">
        <f t="array" ref="O56">INDEX(Grant[Country],MATCH(0,INDEX(COUNTIF($O$2:O55,Grant[Country]),),0))</f>
        <v>Sri Lanka</v>
      </c>
      <c r="T56" s="1035" t="s">
        <v>418</v>
      </c>
      <c r="U56" s="1035" t="s">
        <v>82</v>
      </c>
      <c r="Y56" s="1035" t="s">
        <v>378</v>
      </c>
      <c r="Z56" s="1035" t="s">
        <v>875</v>
      </c>
      <c r="AB56" s="1035" t="s">
        <v>894</v>
      </c>
      <c r="AC56" s="1035" t="s">
        <v>3362</v>
      </c>
      <c r="AK56" t="str">
        <v>Indonesia</v>
      </c>
      <c r="AO56" t="str">
        <v>Christian Health Association of Ghana</v>
      </c>
      <c r="AU56" s="1035" t="s">
        <v>378</v>
      </c>
      <c r="AV56" s="1035" t="s">
        <v>37</v>
      </c>
      <c r="AW56" s="1035" t="s">
        <v>82</v>
      </c>
      <c r="AX56" s="1035" t="s">
        <v>875</v>
      </c>
    </row>
    <row r="57" spans="1:50" x14ac:dyDescent="0.35">
      <c r="A57">
        <v>153</v>
      </c>
      <c r="B57" t="s">
        <v>378</v>
      </c>
      <c r="C57">
        <v>1</v>
      </c>
      <c r="D57" t="s">
        <v>82</v>
      </c>
      <c r="E57">
        <v>2</v>
      </c>
      <c r="F57" t="s">
        <v>39</v>
      </c>
      <c r="G57" t="s">
        <v>870</v>
      </c>
      <c r="H57" t="s">
        <v>840</v>
      </c>
      <c r="I57" t="s">
        <v>877</v>
      </c>
      <c r="J57" t="s">
        <v>878</v>
      </c>
      <c r="O57" t="str" cm="1">
        <f t="array" ref="O57">INDEX(Grant[Country],MATCH(0,INDEX(COUNTIF($O$2:O56,Grant[Country]),),0))</f>
        <v>Lesotho</v>
      </c>
      <c r="T57" s="1035" t="s">
        <v>419</v>
      </c>
      <c r="U57" s="1035" t="s">
        <v>82</v>
      </c>
      <c r="Y57" s="1035" t="s">
        <v>378</v>
      </c>
      <c r="Z57" s="1035" t="s">
        <v>878</v>
      </c>
      <c r="AB57" s="1035" t="s">
        <v>3210</v>
      </c>
      <c r="AC57" s="1035" t="s">
        <v>3208</v>
      </c>
      <c r="AK57" t="str">
        <v>Iran (Islamic Republic)</v>
      </c>
      <c r="AO57" t="str">
        <v>Churches Health Association of Zambia</v>
      </c>
      <c r="AU57" s="1035" t="s">
        <v>378</v>
      </c>
      <c r="AV57" s="1035" t="s">
        <v>187</v>
      </c>
      <c r="AW57" s="1035" t="s">
        <v>82</v>
      </c>
      <c r="AX57" s="1035" t="s">
        <v>3361</v>
      </c>
    </row>
    <row r="58" spans="1:50" x14ac:dyDescent="0.35">
      <c r="A58">
        <v>59</v>
      </c>
      <c r="B58" t="s">
        <v>381</v>
      </c>
      <c r="C58">
        <v>1</v>
      </c>
      <c r="D58" t="s">
        <v>82</v>
      </c>
      <c r="E58">
        <v>4</v>
      </c>
      <c r="F58" t="s">
        <v>187</v>
      </c>
      <c r="G58" t="s">
        <v>896</v>
      </c>
      <c r="H58" t="s">
        <v>847</v>
      </c>
      <c r="I58" t="s">
        <v>897</v>
      </c>
      <c r="J58" t="s">
        <v>895</v>
      </c>
      <c r="O58" t="str" cm="1">
        <f t="array" ref="O58">INDEX(Grant[Country],MATCH(0,INDEX(COUNTIF($O$2:O57,Grant[Country]),),0))</f>
        <v>Morocco</v>
      </c>
      <c r="T58" s="1035" t="s">
        <v>420</v>
      </c>
      <c r="U58" s="1035" t="s">
        <v>82</v>
      </c>
      <c r="Y58" s="1035" t="s">
        <v>378</v>
      </c>
      <c r="Z58" s="1035" t="s">
        <v>3361</v>
      </c>
      <c r="AB58" s="1035" t="s">
        <v>968</v>
      </c>
      <c r="AC58" s="1035" t="s">
        <v>901</v>
      </c>
      <c r="AK58" t="str">
        <v>Jamaica</v>
      </c>
      <c r="AO58" t="str">
        <v>Churches Health Association of Zambia</v>
      </c>
      <c r="AU58" s="1035" t="s">
        <v>378</v>
      </c>
      <c r="AV58" s="1035" t="s">
        <v>39</v>
      </c>
      <c r="AW58" s="1035" t="s">
        <v>82</v>
      </c>
      <c r="AX58" s="1035" t="s">
        <v>878</v>
      </c>
    </row>
    <row r="59" spans="1:50" x14ac:dyDescent="0.35">
      <c r="A59">
        <v>59</v>
      </c>
      <c r="B59" t="s">
        <v>381</v>
      </c>
      <c r="C59">
        <v>1</v>
      </c>
      <c r="D59" t="s">
        <v>82</v>
      </c>
      <c r="E59">
        <v>4</v>
      </c>
      <c r="F59" t="s">
        <v>187</v>
      </c>
      <c r="G59" t="s">
        <v>892</v>
      </c>
      <c r="H59" t="s">
        <v>3362</v>
      </c>
      <c r="I59" t="s">
        <v>900</v>
      </c>
      <c r="J59" t="s">
        <v>899</v>
      </c>
      <c r="O59" t="str" cm="1">
        <f t="array" ref="O59">INDEX(Grant[Country],MATCH(0,INDEX(COUNTIF($O$2:O58,Grant[Country]),),0))</f>
        <v>Moldova</v>
      </c>
      <c r="T59" s="1035" t="s">
        <v>421</v>
      </c>
      <c r="U59" s="1035" t="s">
        <v>82</v>
      </c>
      <c r="Y59" s="1035" t="s">
        <v>379</v>
      </c>
      <c r="Z59" s="1035" t="s">
        <v>881</v>
      </c>
      <c r="AB59" s="1035" t="s">
        <v>962</v>
      </c>
      <c r="AC59" s="1035" t="s">
        <v>898</v>
      </c>
      <c r="AK59" t="str">
        <v>Kazakhstan</v>
      </c>
      <c r="AO59" t="str">
        <v>Community Development Fund</v>
      </c>
      <c r="AU59" s="1035" t="s">
        <v>379</v>
      </c>
      <c r="AV59" s="1035" t="s">
        <v>36</v>
      </c>
      <c r="AW59" s="1035" t="s">
        <v>82</v>
      </c>
      <c r="AX59" s="1035" t="s">
        <v>881</v>
      </c>
    </row>
    <row r="60" spans="1:50" x14ac:dyDescent="0.35">
      <c r="A60">
        <v>59</v>
      </c>
      <c r="B60" t="s">
        <v>381</v>
      </c>
      <c r="C60">
        <v>1</v>
      </c>
      <c r="D60" t="s">
        <v>82</v>
      </c>
      <c r="E60">
        <v>3</v>
      </c>
      <c r="F60" t="s">
        <v>37</v>
      </c>
      <c r="G60" t="s">
        <v>892</v>
      </c>
      <c r="H60" t="s">
        <v>3362</v>
      </c>
      <c r="I60" t="s">
        <v>893</v>
      </c>
      <c r="J60" t="s">
        <v>894</v>
      </c>
      <c r="O60" t="str" cm="1">
        <f t="array" ref="O60">INDEX(Grant[Country],MATCH(0,INDEX(COUNTIF($O$2:O59,Grant[Country]),),0))</f>
        <v>Madagascar</v>
      </c>
      <c r="T60" s="1035" t="s">
        <v>422</v>
      </c>
      <c r="U60" s="1035" t="s">
        <v>82</v>
      </c>
      <c r="Y60" s="1035" t="s">
        <v>379</v>
      </c>
      <c r="Z60" s="1035" t="s">
        <v>886</v>
      </c>
      <c r="AB60" s="1035" t="s">
        <v>965</v>
      </c>
      <c r="AC60" s="1035" t="s">
        <v>789</v>
      </c>
      <c r="AK60" t="str">
        <v>Kenya</v>
      </c>
      <c r="AO60" t="str">
        <v>Community Development Fund</v>
      </c>
      <c r="AU60" s="1035" t="s">
        <v>379</v>
      </c>
      <c r="AV60" s="1035" t="s">
        <v>37</v>
      </c>
      <c r="AW60" s="1035" t="s">
        <v>82</v>
      </c>
      <c r="AX60" s="1035" t="s">
        <v>886</v>
      </c>
    </row>
    <row r="61" spans="1:50" x14ac:dyDescent="0.35">
      <c r="A61">
        <v>45</v>
      </c>
      <c r="B61" t="s">
        <v>388</v>
      </c>
      <c r="C61">
        <v>1</v>
      </c>
      <c r="D61" t="s">
        <v>82</v>
      </c>
      <c r="E61">
        <v>1</v>
      </c>
      <c r="F61" t="s">
        <v>36</v>
      </c>
      <c r="G61" t="s">
        <v>3207</v>
      </c>
      <c r="H61" t="s">
        <v>3208</v>
      </c>
      <c r="I61" t="s">
        <v>3209</v>
      </c>
      <c r="J61" t="s">
        <v>3210</v>
      </c>
      <c r="O61" t="str" cm="1">
        <f t="array" ref="O61">INDEX(Grant[Country],MATCH(0,INDEX(COUNTIF($O$2:O60,Grant[Country]),),0))</f>
        <v>Mali</v>
      </c>
      <c r="T61" s="1035" t="s">
        <v>424</v>
      </c>
      <c r="U61" s="1035" t="s">
        <v>82</v>
      </c>
      <c r="Y61" s="1035" t="s">
        <v>379</v>
      </c>
      <c r="Z61" s="1035" t="s">
        <v>889</v>
      </c>
      <c r="AB61" s="1035" t="s">
        <v>3224</v>
      </c>
      <c r="AC61" s="1035" t="s">
        <v>954</v>
      </c>
      <c r="AK61" t="str">
        <v>Korea (Democratic Peoples Republic)</v>
      </c>
      <c r="AO61" t="str">
        <v>Community Development Fund</v>
      </c>
      <c r="AU61" s="1035" t="s">
        <v>379</v>
      </c>
      <c r="AV61" s="1035" t="s">
        <v>39</v>
      </c>
      <c r="AW61" s="1035" t="s">
        <v>82</v>
      </c>
      <c r="AX61" s="1035" t="s">
        <v>889</v>
      </c>
    </row>
    <row r="62" spans="1:50" x14ac:dyDescent="0.35">
      <c r="A62">
        <v>45</v>
      </c>
      <c r="B62" t="s">
        <v>388</v>
      </c>
      <c r="C62">
        <v>2</v>
      </c>
      <c r="D62" t="s">
        <v>367</v>
      </c>
      <c r="E62">
        <v>2</v>
      </c>
      <c r="F62" t="s">
        <v>39</v>
      </c>
      <c r="G62" t="s">
        <v>969</v>
      </c>
      <c r="H62" t="s">
        <v>901</v>
      </c>
      <c r="I62" t="s">
        <v>970</v>
      </c>
      <c r="J62" t="s">
        <v>968</v>
      </c>
      <c r="O62" t="str" cm="1">
        <f t="array" ref="O62">INDEX(Grant[Country],MATCH(0,INDEX(COUNTIF($O$2:O61,Grant[Country]),),0))</f>
        <v>Malawi</v>
      </c>
      <c r="T62" s="1035" t="s">
        <v>426</v>
      </c>
      <c r="U62" s="1035" t="s">
        <v>82</v>
      </c>
      <c r="Y62" s="1035" t="s">
        <v>381</v>
      </c>
      <c r="Z62" s="1035" t="s">
        <v>895</v>
      </c>
      <c r="AB62" s="1035" t="s">
        <v>1062</v>
      </c>
      <c r="AC62" s="1035" t="s">
        <v>954</v>
      </c>
      <c r="AK62" t="str">
        <v>Kosovo</v>
      </c>
      <c r="AO62" t="str">
        <v>Conseil National de Lutte contre le SIDA de la République du Sénégal</v>
      </c>
      <c r="AU62" s="1035" t="s">
        <v>381</v>
      </c>
      <c r="AV62" s="1035" t="s">
        <v>37</v>
      </c>
      <c r="AW62" s="1035" t="s">
        <v>82</v>
      </c>
      <c r="AX62" s="1035" t="s">
        <v>894</v>
      </c>
    </row>
    <row r="63" spans="1:50" x14ac:dyDescent="0.35">
      <c r="A63">
        <v>45</v>
      </c>
      <c r="B63" t="s">
        <v>388</v>
      </c>
      <c r="C63">
        <v>2</v>
      </c>
      <c r="D63" t="s">
        <v>367</v>
      </c>
      <c r="E63">
        <v>4</v>
      </c>
      <c r="F63" t="s">
        <v>187</v>
      </c>
      <c r="G63" t="s">
        <v>966</v>
      </c>
      <c r="H63" t="s">
        <v>898</v>
      </c>
      <c r="I63" t="s">
        <v>967</v>
      </c>
      <c r="J63" t="s">
        <v>962</v>
      </c>
      <c r="O63" t="str" cm="1">
        <f t="array" ref="O63">INDEX(Grant[Country],MATCH(0,INDEX(COUNTIF($O$2:O62,Grant[Country]),),0))</f>
        <v>Myanmar</v>
      </c>
      <c r="T63" s="1035" t="s">
        <v>427</v>
      </c>
      <c r="U63" s="1035" t="s">
        <v>82</v>
      </c>
      <c r="Y63" s="1035" t="s">
        <v>381</v>
      </c>
      <c r="Z63" s="1035" t="s">
        <v>899</v>
      </c>
      <c r="AB63" s="1035" t="s">
        <v>1061</v>
      </c>
      <c r="AC63" s="1035" t="s">
        <v>954</v>
      </c>
      <c r="AK63" t="str">
        <v>Kyrgyzstan</v>
      </c>
      <c r="AO63" t="str">
        <v>Conseil National de Lutte contre le VIH/SIDA, la Tuberculose, le Paludisme, les Hépatites, les Infections sexuellement transmissibles et les Epidémies</v>
      </c>
      <c r="AU63" s="1035" t="s">
        <v>381</v>
      </c>
      <c r="AV63" s="1035" t="s">
        <v>187</v>
      </c>
      <c r="AW63" s="1035" t="s">
        <v>82</v>
      </c>
      <c r="AX63" s="1035" t="s">
        <v>895</v>
      </c>
    </row>
    <row r="64" spans="1:50" x14ac:dyDescent="0.35">
      <c r="A64">
        <v>45</v>
      </c>
      <c r="B64" t="s">
        <v>388</v>
      </c>
      <c r="C64">
        <v>2</v>
      </c>
      <c r="D64" t="s">
        <v>367</v>
      </c>
      <c r="E64">
        <v>3</v>
      </c>
      <c r="F64" t="s">
        <v>37</v>
      </c>
      <c r="G64" t="s">
        <v>963</v>
      </c>
      <c r="H64" t="s">
        <v>789</v>
      </c>
      <c r="I64" t="s">
        <v>964</v>
      </c>
      <c r="J64" t="s">
        <v>965</v>
      </c>
      <c r="O64" t="str" cm="1">
        <f t="array" ref="O64">INDEX(Grant[Country],MATCH(0,INDEX(COUNTIF($O$2:O63,Grant[Country]),),0))</f>
        <v>Montenegro</v>
      </c>
      <c r="T64" s="1035" t="s">
        <v>428</v>
      </c>
      <c r="U64" s="1035" t="s">
        <v>82</v>
      </c>
      <c r="Y64" s="1035" t="s">
        <v>381</v>
      </c>
      <c r="Z64" s="1035" t="s">
        <v>894</v>
      </c>
      <c r="AB64" s="1035" t="s">
        <v>1065</v>
      </c>
      <c r="AC64" s="1035" t="s">
        <v>3363</v>
      </c>
      <c r="AK64" t="str">
        <v>Lao (Peoples Democratic Republic)</v>
      </c>
      <c r="AO64" t="str">
        <v>Consejo Nacional para el VIH y el SIDA</v>
      </c>
      <c r="AU64" s="1035" t="s">
        <v>381</v>
      </c>
      <c r="AV64" s="1035" t="s">
        <v>187</v>
      </c>
      <c r="AW64" s="1035" t="s">
        <v>82</v>
      </c>
      <c r="AX64" s="1035" t="s">
        <v>899</v>
      </c>
    </row>
    <row r="65" spans="1:50" x14ac:dyDescent="0.35">
      <c r="A65">
        <v>67</v>
      </c>
      <c r="B65" t="s">
        <v>397</v>
      </c>
      <c r="C65">
        <v>2</v>
      </c>
      <c r="D65" t="s">
        <v>367</v>
      </c>
      <c r="E65">
        <v>1</v>
      </c>
      <c r="F65" t="s">
        <v>36</v>
      </c>
      <c r="G65" t="s">
        <v>1059</v>
      </c>
      <c r="H65" t="s">
        <v>954</v>
      </c>
      <c r="I65" t="s">
        <v>3223</v>
      </c>
      <c r="J65" t="s">
        <v>3224</v>
      </c>
      <c r="O65" t="str" cm="1">
        <f t="array" ref="O65">INDEX(Grant[Country],MATCH(0,INDEX(COUNTIF($O$2:O64,Grant[Country]),),0))</f>
        <v>Mongolia</v>
      </c>
      <c r="T65" s="1035" t="s">
        <v>429</v>
      </c>
      <c r="U65" s="1035" t="s">
        <v>367</v>
      </c>
      <c r="Y65" s="1035" t="s">
        <v>384</v>
      </c>
      <c r="Z65" s="1035" t="s">
        <v>906</v>
      </c>
      <c r="AB65" s="1035" t="s">
        <v>1068</v>
      </c>
      <c r="AC65" s="1035" t="s">
        <v>3363</v>
      </c>
      <c r="AK65" t="str">
        <v>Lesotho</v>
      </c>
      <c r="AO65" t="str">
        <v>Cooperative Housing Foundation</v>
      </c>
      <c r="AU65" s="1035" t="s">
        <v>384</v>
      </c>
      <c r="AV65" s="1035" t="s">
        <v>36</v>
      </c>
      <c r="AW65" s="1035" t="s">
        <v>367</v>
      </c>
      <c r="AX65" s="1035" t="s">
        <v>904</v>
      </c>
    </row>
    <row r="66" spans="1:50" x14ac:dyDescent="0.35">
      <c r="A66">
        <v>67</v>
      </c>
      <c r="B66" t="s">
        <v>397</v>
      </c>
      <c r="C66">
        <v>2</v>
      </c>
      <c r="D66" t="s">
        <v>367</v>
      </c>
      <c r="E66">
        <v>4</v>
      </c>
      <c r="F66" t="s">
        <v>187</v>
      </c>
      <c r="G66" t="s">
        <v>1059</v>
      </c>
      <c r="H66" t="s">
        <v>954</v>
      </c>
      <c r="I66" t="s">
        <v>1073</v>
      </c>
      <c r="J66" t="s">
        <v>1062</v>
      </c>
      <c r="O66" t="str" cm="1">
        <f t="array" ref="O66">INDEX(Grant[Country],MATCH(0,INDEX(COUNTIF($O$2:O65,Grant[Country]),),0))</f>
        <v>Mozambique</v>
      </c>
      <c r="T66" s="1035" t="s">
        <v>430</v>
      </c>
      <c r="U66" s="1035" t="s">
        <v>82</v>
      </c>
      <c r="Y66" s="1035" t="s">
        <v>384</v>
      </c>
      <c r="Z66" s="1035" t="s">
        <v>904</v>
      </c>
      <c r="AB66" s="1035" t="s">
        <v>1072</v>
      </c>
      <c r="AC66" s="1035" t="s">
        <v>814</v>
      </c>
      <c r="AK66" t="str">
        <v>Liberia</v>
      </c>
      <c r="AO66" t="str">
        <v>Cooperative Housing Foundation</v>
      </c>
      <c r="AU66" s="1035" t="s">
        <v>384</v>
      </c>
      <c r="AV66" s="1035" t="s">
        <v>37</v>
      </c>
      <c r="AW66" s="1035" t="s">
        <v>367</v>
      </c>
      <c r="AX66" s="1035" t="s">
        <v>909</v>
      </c>
    </row>
    <row r="67" spans="1:50" x14ac:dyDescent="0.35">
      <c r="A67">
        <v>67</v>
      </c>
      <c r="B67" t="s">
        <v>397</v>
      </c>
      <c r="C67">
        <v>2</v>
      </c>
      <c r="D67" t="s">
        <v>367</v>
      </c>
      <c r="E67">
        <v>1</v>
      </c>
      <c r="F67" t="s">
        <v>36</v>
      </c>
      <c r="G67" t="s">
        <v>1059</v>
      </c>
      <c r="H67" t="s">
        <v>954</v>
      </c>
      <c r="I67" t="s">
        <v>1060</v>
      </c>
      <c r="J67" t="s">
        <v>1061</v>
      </c>
      <c r="O67" t="str" cm="1">
        <f t="array" ref="O67">INDEX(Grant[Country],MATCH(0,INDEX(COUNTIF($O$2:O66,Grant[Country]),),0))</f>
        <v>Mauritania</v>
      </c>
      <c r="T67" s="1035" t="s">
        <v>431</v>
      </c>
      <c r="U67" s="1035" t="s">
        <v>82</v>
      </c>
      <c r="Y67" s="1035" t="s">
        <v>384</v>
      </c>
      <c r="Z67" s="1035" t="s">
        <v>909</v>
      </c>
      <c r="AB67" s="1035" t="s">
        <v>1070</v>
      </c>
      <c r="AC67" s="1035" t="s">
        <v>954</v>
      </c>
      <c r="AK67" t="str">
        <v>Madagascar</v>
      </c>
      <c r="AO67" t="str">
        <v>Coordinating Assembly of Non Governmental Organisation</v>
      </c>
      <c r="AU67" s="1035" t="s">
        <v>384</v>
      </c>
      <c r="AV67" s="1035" t="s">
        <v>187</v>
      </c>
      <c r="AW67" s="1035" t="s">
        <v>367</v>
      </c>
      <c r="AX67" s="1035" t="s">
        <v>906</v>
      </c>
    </row>
    <row r="68" spans="1:50" x14ac:dyDescent="0.35">
      <c r="A68">
        <v>67</v>
      </c>
      <c r="B68" t="s">
        <v>397</v>
      </c>
      <c r="C68">
        <v>2</v>
      </c>
      <c r="D68" t="s">
        <v>367</v>
      </c>
      <c r="E68">
        <v>1</v>
      </c>
      <c r="F68" t="s">
        <v>36</v>
      </c>
      <c r="G68" t="s">
        <v>1063</v>
      </c>
      <c r="H68" t="s">
        <v>3363</v>
      </c>
      <c r="I68" t="s">
        <v>1064</v>
      </c>
      <c r="J68" t="s">
        <v>1065</v>
      </c>
      <c r="O68" t="str" cm="1">
        <f t="array" ref="O68">INDEX(Grant[Country],MATCH(0,INDEX(COUNTIF($O$2:O67,Grant[Country]),),0))</f>
        <v>Mauritius</v>
      </c>
      <c r="T68" s="1035" t="s">
        <v>432</v>
      </c>
      <c r="U68" s="1035" t="s">
        <v>82</v>
      </c>
      <c r="Y68" s="1035" t="s">
        <v>384</v>
      </c>
      <c r="Z68" s="1035" t="s">
        <v>910</v>
      </c>
      <c r="AB68" s="1035" t="s">
        <v>1076</v>
      </c>
      <c r="AC68" s="1035" t="s">
        <v>3363</v>
      </c>
      <c r="AK68" t="str">
        <v>Malawi</v>
      </c>
      <c r="AO68" t="str">
        <v>Coordinating Assembly of Non Governmental Organisation</v>
      </c>
      <c r="AU68" s="1035" t="s">
        <v>384</v>
      </c>
      <c r="AV68" s="1035" t="s">
        <v>39</v>
      </c>
      <c r="AW68" s="1035" t="s">
        <v>367</v>
      </c>
      <c r="AX68" s="1035" t="s">
        <v>910</v>
      </c>
    </row>
    <row r="69" spans="1:50" x14ac:dyDescent="0.35">
      <c r="A69">
        <v>67</v>
      </c>
      <c r="B69" t="s">
        <v>397</v>
      </c>
      <c r="C69">
        <v>2</v>
      </c>
      <c r="D69" t="s">
        <v>367</v>
      </c>
      <c r="E69">
        <v>3</v>
      </c>
      <c r="F69" t="s">
        <v>37</v>
      </c>
      <c r="G69" t="s">
        <v>1066</v>
      </c>
      <c r="H69" t="s">
        <v>3363</v>
      </c>
      <c r="I69" t="s">
        <v>1067</v>
      </c>
      <c r="J69" t="s">
        <v>1068</v>
      </c>
      <c r="O69" t="str" cm="1">
        <f t="array" ref="O69">INDEX(Grant[Country],MATCH(0,INDEX(COUNTIF($O$2:O68,Grant[Country]),),0))</f>
        <v>Malaysia</v>
      </c>
      <c r="T69" s="1035" t="s">
        <v>433</v>
      </c>
      <c r="U69" s="1035" t="s">
        <v>82</v>
      </c>
      <c r="Y69" s="1035" t="s">
        <v>385</v>
      </c>
      <c r="Z69" s="1035" t="s">
        <v>929</v>
      </c>
      <c r="AB69" s="1035" t="s">
        <v>952</v>
      </c>
      <c r="AC69" s="1035" t="s">
        <v>891</v>
      </c>
      <c r="AK69" t="str">
        <v>Malaysia</v>
      </c>
      <c r="AO69" t="str">
        <v>Coordination Committee of the Fight against AIDS of Cabo Verde</v>
      </c>
      <c r="AU69" s="1035" t="s">
        <v>385</v>
      </c>
      <c r="AV69" s="1035" t="s">
        <v>36</v>
      </c>
      <c r="AW69" s="1035" t="s">
        <v>82</v>
      </c>
      <c r="AX69" s="1035" t="s">
        <v>3206</v>
      </c>
    </row>
    <row r="70" spans="1:50" x14ac:dyDescent="0.35">
      <c r="A70">
        <v>67</v>
      </c>
      <c r="B70" t="s">
        <v>397</v>
      </c>
      <c r="C70">
        <v>2</v>
      </c>
      <c r="D70" t="s">
        <v>367</v>
      </c>
      <c r="E70">
        <v>3</v>
      </c>
      <c r="F70" t="s">
        <v>37</v>
      </c>
      <c r="G70" t="s">
        <v>829</v>
      </c>
      <c r="H70" t="s">
        <v>814</v>
      </c>
      <c r="I70" t="s">
        <v>1071</v>
      </c>
      <c r="J70" t="s">
        <v>1072</v>
      </c>
      <c r="O70" t="str" cm="1">
        <f t="array" ref="O70">INDEX(Grant[Country],MATCH(0,INDEX(COUNTIF($O$2:O69,Grant[Country]),),0))</f>
        <v>Namibia</v>
      </c>
      <c r="T70" s="1035" t="s">
        <v>434</v>
      </c>
      <c r="U70" s="1035" t="s">
        <v>82</v>
      </c>
      <c r="Y70" s="1035" t="s">
        <v>385</v>
      </c>
      <c r="Z70" s="1035" t="s">
        <v>3206</v>
      </c>
      <c r="AB70" s="1035" t="s">
        <v>948</v>
      </c>
      <c r="AC70" s="1035" t="s">
        <v>890</v>
      </c>
      <c r="AK70" t="str">
        <v>Mali</v>
      </c>
      <c r="AO70" t="str">
        <v>Corporación Kimirina</v>
      </c>
      <c r="AU70" s="1035" t="s">
        <v>385</v>
      </c>
      <c r="AV70" s="1035" t="s">
        <v>36</v>
      </c>
      <c r="AW70" s="1035" t="s">
        <v>82</v>
      </c>
      <c r="AX70" s="1035" t="s">
        <v>916</v>
      </c>
    </row>
    <row r="71" spans="1:50" x14ac:dyDescent="0.35">
      <c r="A71">
        <v>67</v>
      </c>
      <c r="B71" t="s">
        <v>397</v>
      </c>
      <c r="C71">
        <v>2</v>
      </c>
      <c r="D71" t="s">
        <v>367</v>
      </c>
      <c r="E71">
        <v>6</v>
      </c>
      <c r="F71" t="s">
        <v>2004</v>
      </c>
      <c r="G71" t="s">
        <v>3364</v>
      </c>
      <c r="H71" t="s">
        <v>3363</v>
      </c>
      <c r="I71" t="s">
        <v>3365</v>
      </c>
      <c r="J71" t="s">
        <v>3366</v>
      </c>
      <c r="O71" t="str" cm="1">
        <f t="array" ref="O71">INDEX(Grant[Country],MATCH(0,INDEX(COUNTIF($O$2:O70,Grant[Country]),),0))</f>
        <v>Nepal</v>
      </c>
      <c r="T71" s="1035" t="s">
        <v>435</v>
      </c>
      <c r="U71" s="1035" t="s">
        <v>82</v>
      </c>
      <c r="Y71" s="1035" t="s">
        <v>385</v>
      </c>
      <c r="Z71" s="1035" t="s">
        <v>923</v>
      </c>
      <c r="AB71" s="1035" t="s">
        <v>947</v>
      </c>
      <c r="AC71" s="1035" t="s">
        <v>890</v>
      </c>
      <c r="AK71" t="str">
        <v>Mauritania</v>
      </c>
      <c r="AO71" t="str">
        <v>Department of Disease Control, Ministry of Public Health of the Royal Government of Thailand</v>
      </c>
      <c r="AU71" s="1035" t="s">
        <v>385</v>
      </c>
      <c r="AV71" s="1035" t="s">
        <v>36</v>
      </c>
      <c r="AW71" s="1035" t="s">
        <v>82</v>
      </c>
      <c r="AX71" s="1035" t="s">
        <v>919</v>
      </c>
    </row>
    <row r="72" spans="1:50" x14ac:dyDescent="0.35">
      <c r="A72">
        <v>67</v>
      </c>
      <c r="B72" t="s">
        <v>397</v>
      </c>
      <c r="C72">
        <v>2</v>
      </c>
      <c r="D72" t="s">
        <v>367</v>
      </c>
      <c r="E72">
        <v>2</v>
      </c>
      <c r="F72" t="s">
        <v>39</v>
      </c>
      <c r="G72" t="s">
        <v>1059</v>
      </c>
      <c r="H72" t="s">
        <v>954</v>
      </c>
      <c r="I72" t="s">
        <v>1074</v>
      </c>
      <c r="J72" t="s">
        <v>1070</v>
      </c>
      <c r="O72" t="str" cm="1">
        <f t="array" ref="O72">INDEX(Grant[Country],MATCH(0,INDEX(COUNTIF($O$2:O71,Grant[Country]),),0))</f>
        <v>Niger</v>
      </c>
      <c r="T72" s="1035" t="s">
        <v>436</v>
      </c>
      <c r="U72" s="1035" t="s">
        <v>82</v>
      </c>
      <c r="Y72" s="1035" t="s">
        <v>385</v>
      </c>
      <c r="Z72" s="1035" t="s">
        <v>927</v>
      </c>
      <c r="AB72" s="1035" t="s">
        <v>951</v>
      </c>
      <c r="AC72" s="1035" t="s">
        <v>891</v>
      </c>
      <c r="AK72" t="str">
        <v>Mauritius</v>
      </c>
      <c r="AO72" t="str">
        <v>Department of Economic Affairs, Ministry of Finance of India</v>
      </c>
      <c r="AU72" s="1035" t="s">
        <v>385</v>
      </c>
      <c r="AV72" s="1035" t="s">
        <v>37</v>
      </c>
      <c r="AW72" s="1035" t="s">
        <v>82</v>
      </c>
      <c r="AX72" s="1035" t="s">
        <v>923</v>
      </c>
    </row>
    <row r="73" spans="1:50" x14ac:dyDescent="0.35">
      <c r="A73">
        <v>67</v>
      </c>
      <c r="B73" t="s">
        <v>397</v>
      </c>
      <c r="C73">
        <v>2</v>
      </c>
      <c r="D73" t="s">
        <v>367</v>
      </c>
      <c r="E73">
        <v>2</v>
      </c>
      <c r="F73" t="s">
        <v>39</v>
      </c>
      <c r="G73" t="s">
        <v>1077</v>
      </c>
      <c r="H73" t="s">
        <v>3363</v>
      </c>
      <c r="I73" t="s">
        <v>1078</v>
      </c>
      <c r="J73" t="s">
        <v>1076</v>
      </c>
      <c r="O73" t="str" cm="1">
        <f t="array" ref="O73">INDEX(Grant[Country],MATCH(0,INDEX(COUNTIF($O$2:O72,Grant[Country]),),0))</f>
        <v>Nigeria</v>
      </c>
      <c r="T73" s="1035" t="s">
        <v>438</v>
      </c>
      <c r="U73" s="1035" t="s">
        <v>367</v>
      </c>
      <c r="Y73" s="1035" t="s">
        <v>385</v>
      </c>
      <c r="Z73" s="1035" t="s">
        <v>920</v>
      </c>
      <c r="AB73" s="1035" t="s">
        <v>957</v>
      </c>
      <c r="AC73" s="1035" t="s">
        <v>891</v>
      </c>
      <c r="AK73" t="str">
        <v>Moldova</v>
      </c>
      <c r="AO73" t="str">
        <v>Department of Economic Affairs, Ministry of Finance of India</v>
      </c>
      <c r="AU73" s="1035" t="s">
        <v>385</v>
      </c>
      <c r="AV73" s="1035" t="s">
        <v>37</v>
      </c>
      <c r="AW73" s="1035" t="s">
        <v>82</v>
      </c>
      <c r="AX73" s="1035" t="s">
        <v>927</v>
      </c>
    </row>
    <row r="74" spans="1:50" x14ac:dyDescent="0.35">
      <c r="A74">
        <v>44</v>
      </c>
      <c r="B74" t="s">
        <v>387</v>
      </c>
      <c r="C74">
        <v>2</v>
      </c>
      <c r="D74" t="s">
        <v>367</v>
      </c>
      <c r="E74">
        <v>1</v>
      </c>
      <c r="F74" t="s">
        <v>36</v>
      </c>
      <c r="G74" t="s">
        <v>949</v>
      </c>
      <c r="H74" t="s">
        <v>891</v>
      </c>
      <c r="I74" t="s">
        <v>953</v>
      </c>
      <c r="J74" t="s">
        <v>952</v>
      </c>
      <c r="O74" t="str" cm="1">
        <f t="array" ref="O74">INDEX(Grant[Country],MATCH(0,INDEX(COUNTIF($O$2:O73,Grant[Country]),),0))</f>
        <v>Nicaragua</v>
      </c>
      <c r="T74" s="1035" t="s">
        <v>439</v>
      </c>
      <c r="U74" s="1035" t="s">
        <v>82</v>
      </c>
      <c r="Y74" s="1035" t="s">
        <v>385</v>
      </c>
      <c r="Z74" s="1035" t="s">
        <v>921</v>
      </c>
      <c r="AB74" s="1035" t="s">
        <v>961</v>
      </c>
      <c r="AC74" s="1035" t="s">
        <v>891</v>
      </c>
      <c r="AK74" t="str">
        <v>Mongolia</v>
      </c>
      <c r="AO74" t="str">
        <v>Department of Economic Affairs, Ministry of Finance of India</v>
      </c>
      <c r="AU74" s="1035" t="s">
        <v>385</v>
      </c>
      <c r="AV74" s="1035" t="s">
        <v>187</v>
      </c>
      <c r="AW74" s="1035" t="s">
        <v>82</v>
      </c>
      <c r="AX74" s="1035" t="s">
        <v>929</v>
      </c>
    </row>
    <row r="75" spans="1:50" x14ac:dyDescent="0.35">
      <c r="A75">
        <v>44</v>
      </c>
      <c r="B75" t="s">
        <v>387</v>
      </c>
      <c r="C75">
        <v>2</v>
      </c>
      <c r="D75" t="s">
        <v>367</v>
      </c>
      <c r="E75">
        <v>4</v>
      </c>
      <c r="F75" t="s">
        <v>187</v>
      </c>
      <c r="G75" t="s">
        <v>945</v>
      </c>
      <c r="H75" t="s">
        <v>890</v>
      </c>
      <c r="I75" t="s">
        <v>958</v>
      </c>
      <c r="J75" t="s">
        <v>948</v>
      </c>
      <c r="O75" t="str" cm="1">
        <f t="array" ref="O75">INDEX(Grant[Country],MATCH(0,INDEX(COUNTIF($O$2:O74,Grant[Country]),),0))</f>
        <v>Pakistan</v>
      </c>
      <c r="T75" s="1035" t="s">
        <v>440</v>
      </c>
      <c r="U75" s="1035" t="s">
        <v>82</v>
      </c>
      <c r="Y75" s="1035" t="s">
        <v>385</v>
      </c>
      <c r="Z75" s="1035" t="s">
        <v>916</v>
      </c>
      <c r="AB75" s="1035" t="s">
        <v>1050</v>
      </c>
      <c r="AC75" s="1035" t="s">
        <v>944</v>
      </c>
      <c r="AK75" t="str">
        <v>Montenegro</v>
      </c>
      <c r="AO75" t="str">
        <v>Directorate General of Disease Prevention and Control, Ministry of Health of The Republic of Indonesia</v>
      </c>
      <c r="AU75" s="1035" t="s">
        <v>385</v>
      </c>
      <c r="AV75" s="1035" t="s">
        <v>2004</v>
      </c>
      <c r="AW75" s="1035" t="s">
        <v>82</v>
      </c>
      <c r="AX75" s="1035" t="s">
        <v>3350</v>
      </c>
    </row>
    <row r="76" spans="1:50" x14ac:dyDescent="0.35">
      <c r="A76">
        <v>44</v>
      </c>
      <c r="B76" t="s">
        <v>387</v>
      </c>
      <c r="C76">
        <v>2</v>
      </c>
      <c r="D76" t="s">
        <v>367</v>
      </c>
      <c r="E76">
        <v>1</v>
      </c>
      <c r="F76" t="s">
        <v>36</v>
      </c>
      <c r="G76" t="s">
        <v>945</v>
      </c>
      <c r="H76" t="s">
        <v>890</v>
      </c>
      <c r="I76" t="s">
        <v>946</v>
      </c>
      <c r="J76" t="s">
        <v>947</v>
      </c>
      <c r="O76" t="str" cm="1">
        <f t="array" ref="O76">INDEX(Grant[Country],MATCH(0,INDEX(COUNTIF($O$2:O75,Grant[Country]),),0))</f>
        <v>Panama</v>
      </c>
      <c r="T76" s="1035" t="s">
        <v>442</v>
      </c>
      <c r="U76" s="1035" t="s">
        <v>367</v>
      </c>
      <c r="Y76" s="1035" t="s">
        <v>385</v>
      </c>
      <c r="Z76" s="1035" t="s">
        <v>919</v>
      </c>
      <c r="AB76" s="1035" t="s">
        <v>1035</v>
      </c>
      <c r="AC76" s="1035" t="s">
        <v>944</v>
      </c>
      <c r="AK76" t="str">
        <v>Morocco</v>
      </c>
      <c r="AO76" t="str">
        <v>Directorate General of Disease Prevention and Control, Ministry of Health of The Republic of Indonesia</v>
      </c>
      <c r="AU76" s="1035" t="s">
        <v>385</v>
      </c>
      <c r="AV76" s="1035" t="s">
        <v>39</v>
      </c>
      <c r="AW76" s="1035" t="s">
        <v>82</v>
      </c>
      <c r="AX76" s="1035" t="s">
        <v>920</v>
      </c>
    </row>
    <row r="77" spans="1:50" x14ac:dyDescent="0.35">
      <c r="A77">
        <v>44</v>
      </c>
      <c r="B77" t="s">
        <v>387</v>
      </c>
      <c r="C77">
        <v>2</v>
      </c>
      <c r="D77" t="s">
        <v>367</v>
      </c>
      <c r="E77">
        <v>1</v>
      </c>
      <c r="F77" t="s">
        <v>36</v>
      </c>
      <c r="G77" t="s">
        <v>949</v>
      </c>
      <c r="H77" t="s">
        <v>891</v>
      </c>
      <c r="I77" t="s">
        <v>950</v>
      </c>
      <c r="J77" t="s">
        <v>951</v>
      </c>
      <c r="O77" t="str" cm="1">
        <f t="array" ref="O77">INDEX(Grant[Country],MATCH(0,INDEX(COUNTIF($O$2:O76,Grant[Country]),),0))</f>
        <v>Peru</v>
      </c>
      <c r="T77" s="1035" t="s">
        <v>443</v>
      </c>
      <c r="U77" s="1035" t="s">
        <v>82</v>
      </c>
      <c r="Y77" s="1035" t="s">
        <v>385</v>
      </c>
      <c r="Z77" s="1035" t="s">
        <v>3350</v>
      </c>
      <c r="AB77" s="1035" t="s">
        <v>1028</v>
      </c>
      <c r="AC77" s="1035" t="s">
        <v>3367</v>
      </c>
      <c r="AK77" t="str">
        <v>Mozambique</v>
      </c>
      <c r="AO77" t="str">
        <v>Directorate General of Disease Prevention and Control, Ministry of Health of The Republic of Indonesia</v>
      </c>
      <c r="AU77" s="1035" t="s">
        <v>385</v>
      </c>
      <c r="AV77" s="1035" t="s">
        <v>39</v>
      </c>
      <c r="AW77" s="1035" t="s">
        <v>82</v>
      </c>
      <c r="AX77" s="1035" t="s">
        <v>921</v>
      </c>
    </row>
    <row r="78" spans="1:50" x14ac:dyDescent="0.35">
      <c r="A78">
        <v>44</v>
      </c>
      <c r="B78" t="s">
        <v>387</v>
      </c>
      <c r="C78">
        <v>2</v>
      </c>
      <c r="D78" t="s">
        <v>367</v>
      </c>
      <c r="E78">
        <v>3</v>
      </c>
      <c r="F78" t="s">
        <v>37</v>
      </c>
      <c r="G78" t="s">
        <v>955</v>
      </c>
      <c r="H78" t="s">
        <v>891</v>
      </c>
      <c r="I78" t="s">
        <v>956</v>
      </c>
      <c r="J78" t="s">
        <v>957</v>
      </c>
      <c r="O78" t="str" cm="1">
        <f t="array" ref="O78">INDEX(Grant[Country],MATCH(0,INDEX(COUNTIF($O$2:O77,Grant[Country]),),0))</f>
        <v>Philippines</v>
      </c>
      <c r="T78" s="1035" t="s">
        <v>444</v>
      </c>
      <c r="U78" s="1035" t="s">
        <v>367</v>
      </c>
      <c r="Y78" s="1035" t="s">
        <v>882</v>
      </c>
      <c r="Z78" s="1035" t="s">
        <v>936</v>
      </c>
      <c r="AB78" s="1035" t="s">
        <v>1032</v>
      </c>
      <c r="AC78" s="1035" t="s">
        <v>3367</v>
      </c>
      <c r="AK78" t="str">
        <v>Myanmar</v>
      </c>
      <c r="AO78" t="str">
        <v>Directorate of Malaria Control, Ministry of National Health Services, Regulations and Coordination of Pakistan</v>
      </c>
      <c r="AU78" s="1035" t="s">
        <v>882</v>
      </c>
      <c r="AV78" s="1035" t="s">
        <v>187</v>
      </c>
      <c r="AW78" s="1035" t="s">
        <v>367</v>
      </c>
      <c r="AX78" s="1035" t="s">
        <v>936</v>
      </c>
    </row>
    <row r="79" spans="1:50" x14ac:dyDescent="0.35">
      <c r="A79">
        <v>44</v>
      </c>
      <c r="B79" t="s">
        <v>387</v>
      </c>
      <c r="C79">
        <v>2</v>
      </c>
      <c r="D79" t="s">
        <v>367</v>
      </c>
      <c r="E79">
        <v>2</v>
      </c>
      <c r="F79" t="s">
        <v>39</v>
      </c>
      <c r="G79" t="s">
        <v>959</v>
      </c>
      <c r="H79" t="s">
        <v>891</v>
      </c>
      <c r="I79" t="s">
        <v>960</v>
      </c>
      <c r="J79" t="s">
        <v>961</v>
      </c>
      <c r="O79" t="str" cm="1">
        <f t="array" ref="O79">INDEX(Grant[Country],MATCH(0,INDEX(COUNTIF($O$2:O78,Grant[Country]),),0))</f>
        <v>Papua New Guinea</v>
      </c>
      <c r="T79" s="1035" t="s">
        <v>445</v>
      </c>
      <c r="U79" s="1035" t="s">
        <v>367</v>
      </c>
      <c r="Y79" s="1035" t="s">
        <v>386</v>
      </c>
      <c r="Z79" s="1035" t="s">
        <v>940</v>
      </c>
      <c r="AB79" s="1035" t="s">
        <v>3222</v>
      </c>
      <c r="AC79" s="1035" t="s">
        <v>937</v>
      </c>
      <c r="AK79" t="str">
        <v>Namibia</v>
      </c>
      <c r="AO79" t="str">
        <v>East, Central and Southern Africa Health Community</v>
      </c>
      <c r="AU79" s="1035" t="s">
        <v>386</v>
      </c>
      <c r="AV79" s="1035" t="s">
        <v>187</v>
      </c>
      <c r="AW79" s="1035" t="s">
        <v>82</v>
      </c>
      <c r="AX79" s="1035" t="s">
        <v>940</v>
      </c>
    </row>
    <row r="80" spans="1:50" x14ac:dyDescent="0.35">
      <c r="A80">
        <v>48</v>
      </c>
      <c r="B80" t="s">
        <v>395</v>
      </c>
      <c r="C80">
        <v>1</v>
      </c>
      <c r="D80" t="s">
        <v>82</v>
      </c>
      <c r="E80">
        <v>4</v>
      </c>
      <c r="F80" t="s">
        <v>187</v>
      </c>
      <c r="G80" t="s">
        <v>1033</v>
      </c>
      <c r="H80" t="s">
        <v>944</v>
      </c>
      <c r="I80" t="s">
        <v>1049</v>
      </c>
      <c r="J80" t="s">
        <v>1050</v>
      </c>
      <c r="O80" t="str" cm="1">
        <f t="array" ref="O80">INDEX(Grant[Country],MATCH(0,INDEX(COUNTIF($O$2:O79,Grant[Country]),),0))</f>
        <v>Korea (Democratic Peoples Republic)</v>
      </c>
      <c r="T80" s="1035" t="s">
        <v>446</v>
      </c>
      <c r="U80" s="1035" t="s">
        <v>82</v>
      </c>
      <c r="Y80" s="1035" t="s">
        <v>386</v>
      </c>
      <c r="Z80" s="1035" t="s">
        <v>943</v>
      </c>
      <c r="AB80" s="1035" t="s">
        <v>1046</v>
      </c>
      <c r="AC80" s="1035" t="s">
        <v>941</v>
      </c>
      <c r="AK80" t="str">
        <v>Nepal</v>
      </c>
      <c r="AO80" t="str">
        <v>East, Central and Southern Africa Health Community</v>
      </c>
      <c r="AU80" s="1035" t="s">
        <v>386</v>
      </c>
      <c r="AV80" s="1035" t="s">
        <v>2004</v>
      </c>
      <c r="AW80" s="1035" t="s">
        <v>82</v>
      </c>
      <c r="AX80" s="1035" t="s">
        <v>943</v>
      </c>
    </row>
    <row r="81" spans="1:50" x14ac:dyDescent="0.35">
      <c r="A81">
        <v>48</v>
      </c>
      <c r="B81" t="s">
        <v>395</v>
      </c>
      <c r="C81">
        <v>1</v>
      </c>
      <c r="D81" t="s">
        <v>82</v>
      </c>
      <c r="E81">
        <v>1</v>
      </c>
      <c r="F81" t="s">
        <v>36</v>
      </c>
      <c r="G81" t="s">
        <v>1033</v>
      </c>
      <c r="H81" t="s">
        <v>944</v>
      </c>
      <c r="I81" t="s">
        <v>1034</v>
      </c>
      <c r="J81" t="s">
        <v>1035</v>
      </c>
      <c r="O81" t="str" cm="1">
        <f t="array" ref="O81">INDEX(Grant[Country],MATCH(0,INDEX(COUNTIF($O$2:O80,Grant[Country]),),0))</f>
        <v>Paraguay</v>
      </c>
      <c r="T81" s="1035" t="s">
        <v>447</v>
      </c>
      <c r="U81" s="1035" t="s">
        <v>82</v>
      </c>
      <c r="Y81" s="1035" t="s">
        <v>387</v>
      </c>
      <c r="Z81" s="1035" t="s">
        <v>952</v>
      </c>
      <c r="AB81" s="1035" t="s">
        <v>1037</v>
      </c>
      <c r="AC81" s="1035" t="s">
        <v>3367</v>
      </c>
      <c r="AK81" t="str">
        <v>Nicaragua</v>
      </c>
      <c r="AO81" t="str">
        <v>Economic Relations Division, Ministry of Finance of the People's Republic of Bangladesh</v>
      </c>
      <c r="AU81" s="1035" t="s">
        <v>387</v>
      </c>
      <c r="AV81" s="1035" t="s">
        <v>36</v>
      </c>
      <c r="AW81" s="1035" t="s">
        <v>367</v>
      </c>
      <c r="AX81" s="1035" t="s">
        <v>952</v>
      </c>
    </row>
    <row r="82" spans="1:50" x14ac:dyDescent="0.35">
      <c r="A82">
        <v>48</v>
      </c>
      <c r="B82" t="s">
        <v>395</v>
      </c>
      <c r="C82">
        <v>1</v>
      </c>
      <c r="D82" t="s">
        <v>82</v>
      </c>
      <c r="E82">
        <v>1</v>
      </c>
      <c r="F82" t="s">
        <v>36</v>
      </c>
      <c r="G82" t="s">
        <v>1026</v>
      </c>
      <c r="H82" t="s">
        <v>3367</v>
      </c>
      <c r="I82" t="s">
        <v>1027</v>
      </c>
      <c r="J82" t="s">
        <v>1028</v>
      </c>
      <c r="O82" t="str" cm="1">
        <f t="array" ref="O82">INDEX(Grant[Country],MATCH(0,INDEX(COUNTIF($O$2:O81,Grant[Country]),),0))</f>
        <v>World</v>
      </c>
      <c r="T82" s="1035" t="s">
        <v>448</v>
      </c>
      <c r="U82" s="1035" t="s">
        <v>82</v>
      </c>
      <c r="Y82" s="1035" t="s">
        <v>387</v>
      </c>
      <c r="Z82" s="1035" t="s">
        <v>948</v>
      </c>
      <c r="AB82" s="1035" t="s">
        <v>1024</v>
      </c>
      <c r="AC82" s="1035" t="s">
        <v>898</v>
      </c>
      <c r="AK82" t="str">
        <v>Niger</v>
      </c>
      <c r="AO82" t="str">
        <v>Economic Relations Division, Ministry of Finance of the People's Republic of Bangladesh</v>
      </c>
      <c r="AU82" s="1035" t="s">
        <v>387</v>
      </c>
      <c r="AV82" s="1035" t="s">
        <v>36</v>
      </c>
      <c r="AW82" s="1035" t="s">
        <v>367</v>
      </c>
      <c r="AX82" s="1035" t="s">
        <v>947</v>
      </c>
    </row>
    <row r="83" spans="1:50" x14ac:dyDescent="0.35">
      <c r="A83">
        <v>48</v>
      </c>
      <c r="B83" t="s">
        <v>395</v>
      </c>
      <c r="C83">
        <v>1</v>
      </c>
      <c r="D83" t="s">
        <v>82</v>
      </c>
      <c r="E83">
        <v>3</v>
      </c>
      <c r="F83" t="s">
        <v>37</v>
      </c>
      <c r="G83" t="s">
        <v>1026</v>
      </c>
      <c r="H83" t="s">
        <v>3367</v>
      </c>
      <c r="I83" t="s">
        <v>1038</v>
      </c>
      <c r="J83" t="s">
        <v>1032</v>
      </c>
      <c r="O83" t="str" cm="1">
        <f t="array" ref="O83">INDEX(Grant[Country],MATCH(0,INDEX(COUNTIF($O$2:O82,Grant[Country]),),0))</f>
        <v>Africa</v>
      </c>
      <c r="T83" s="1035" t="s">
        <v>449</v>
      </c>
      <c r="U83" s="1035" t="s">
        <v>82</v>
      </c>
      <c r="Y83" s="1035" t="s">
        <v>387</v>
      </c>
      <c r="Z83" s="1035" t="s">
        <v>947</v>
      </c>
      <c r="AB83" s="1035" t="s">
        <v>3220</v>
      </c>
      <c r="AC83" s="1035" t="s">
        <v>898</v>
      </c>
      <c r="AK83" t="str">
        <v>Nigeria</v>
      </c>
      <c r="AO83" t="str">
        <v>Economic Relations Division, Ministry of Finance of the People's Republic of Bangladesh</v>
      </c>
      <c r="AU83" s="1035" t="s">
        <v>387</v>
      </c>
      <c r="AV83" s="1035" t="s">
        <v>36</v>
      </c>
      <c r="AW83" s="1035" t="s">
        <v>367</v>
      </c>
      <c r="AX83" s="1035" t="s">
        <v>951</v>
      </c>
    </row>
    <row r="84" spans="1:50" x14ac:dyDescent="0.35">
      <c r="A84">
        <v>48</v>
      </c>
      <c r="B84" t="s">
        <v>395</v>
      </c>
      <c r="C84">
        <v>1</v>
      </c>
      <c r="D84" t="s">
        <v>82</v>
      </c>
      <c r="E84">
        <v>3</v>
      </c>
      <c r="F84" t="s">
        <v>37</v>
      </c>
      <c r="G84" t="s">
        <v>1043</v>
      </c>
      <c r="H84" t="s">
        <v>937</v>
      </c>
      <c r="I84" t="s">
        <v>3221</v>
      </c>
      <c r="J84" t="s">
        <v>3222</v>
      </c>
      <c r="O84" t="str" cm="1">
        <f t="array" ref="O84">INDEX(Grant[Country],MATCH(0,INDEX(COUNTIF($O$2:O83,Grant[Country]),),0))</f>
        <v>Southern Asia</v>
      </c>
      <c r="T84" s="1035" t="s">
        <v>450</v>
      </c>
      <c r="U84" s="1035" t="s">
        <v>82</v>
      </c>
      <c r="Y84" s="1035" t="s">
        <v>387</v>
      </c>
      <c r="Z84" s="1035" t="s">
        <v>951</v>
      </c>
      <c r="AB84" s="1035" t="s">
        <v>1020</v>
      </c>
      <c r="AC84" s="1035" t="s">
        <v>1039</v>
      </c>
      <c r="AK84" t="str">
        <v>Oceania</v>
      </c>
      <c r="AO84" t="str">
        <v>Empresa Nacional Promotora del Desarrollo Territorial</v>
      </c>
      <c r="AU84" s="1035" t="s">
        <v>387</v>
      </c>
      <c r="AV84" s="1035" t="s">
        <v>37</v>
      </c>
      <c r="AW84" s="1035" t="s">
        <v>367</v>
      </c>
      <c r="AX84" s="1035" t="s">
        <v>957</v>
      </c>
    </row>
    <row r="85" spans="1:50" x14ac:dyDescent="0.35">
      <c r="A85">
        <v>48</v>
      </c>
      <c r="B85" t="s">
        <v>395</v>
      </c>
      <c r="C85">
        <v>1</v>
      </c>
      <c r="D85" t="s">
        <v>82</v>
      </c>
      <c r="E85">
        <v>3</v>
      </c>
      <c r="F85" t="s">
        <v>37</v>
      </c>
      <c r="G85" t="s">
        <v>1030</v>
      </c>
      <c r="H85" t="s">
        <v>941</v>
      </c>
      <c r="I85" t="s">
        <v>1045</v>
      </c>
      <c r="J85" t="s">
        <v>1046</v>
      </c>
      <c r="O85" t="str" cm="1">
        <f t="array" ref="O85">INDEX(Grant[Country],MATCH(0,INDEX(COUNTIF($O$2:O84,Grant[Country]),),0))</f>
        <v>South-Eastern Asia</v>
      </c>
      <c r="T85" s="1035" t="s">
        <v>451</v>
      </c>
      <c r="U85" s="1035" t="s">
        <v>367</v>
      </c>
      <c r="Y85" s="1035" t="s">
        <v>387</v>
      </c>
      <c r="Z85" s="1035" t="s">
        <v>957</v>
      </c>
      <c r="AB85" s="1035" t="s">
        <v>997</v>
      </c>
      <c r="AC85" s="1035" t="s">
        <v>917</v>
      </c>
      <c r="AK85" t="str">
        <v>Pakistan</v>
      </c>
      <c r="AO85" t="str">
        <v>Family Health International (FHI360)</v>
      </c>
      <c r="AU85" s="1035" t="s">
        <v>387</v>
      </c>
      <c r="AV85" s="1035" t="s">
        <v>187</v>
      </c>
      <c r="AW85" s="1035" t="s">
        <v>367</v>
      </c>
      <c r="AX85" s="1035" t="s">
        <v>948</v>
      </c>
    </row>
    <row r="86" spans="1:50" x14ac:dyDescent="0.35">
      <c r="A86">
        <v>48</v>
      </c>
      <c r="B86" t="s">
        <v>395</v>
      </c>
      <c r="C86">
        <v>1</v>
      </c>
      <c r="D86" t="s">
        <v>82</v>
      </c>
      <c r="E86">
        <v>6</v>
      </c>
      <c r="F86" t="s">
        <v>2004</v>
      </c>
      <c r="G86" t="s">
        <v>1026</v>
      </c>
      <c r="H86" t="s">
        <v>3367</v>
      </c>
      <c r="I86" t="s">
        <v>1048</v>
      </c>
      <c r="J86" t="s">
        <v>3368</v>
      </c>
      <c r="K86" t="s">
        <v>2699</v>
      </c>
      <c r="L86" t="s">
        <v>2700</v>
      </c>
      <c r="O86" t="str" cm="1">
        <f t="array" ref="O86">INDEX(Grant[Country],MATCH(0,INDEX(COUNTIF($O$2:O85,Grant[Country]),),0))</f>
        <v>Kosovo</v>
      </c>
      <c r="T86" s="1035" t="s">
        <v>452</v>
      </c>
      <c r="U86" s="1035" t="s">
        <v>82</v>
      </c>
      <c r="Y86" s="1035" t="s">
        <v>387</v>
      </c>
      <c r="Z86" s="1035" t="s">
        <v>961</v>
      </c>
      <c r="AB86" s="1035" t="s">
        <v>1003</v>
      </c>
      <c r="AC86" s="1035" t="s">
        <v>3372</v>
      </c>
      <c r="AK86" t="str">
        <v>Panama</v>
      </c>
      <c r="AO86" t="str">
        <v>Federación Red NICASALUD</v>
      </c>
      <c r="AU86" s="1035" t="s">
        <v>387</v>
      </c>
      <c r="AV86" s="1035" t="s">
        <v>39</v>
      </c>
      <c r="AW86" s="1035" t="s">
        <v>367</v>
      </c>
      <c r="AX86" s="1035" t="s">
        <v>961</v>
      </c>
    </row>
    <row r="87" spans="1:50" x14ac:dyDescent="0.35">
      <c r="A87">
        <v>48</v>
      </c>
      <c r="B87" t="s">
        <v>395</v>
      </c>
      <c r="C87">
        <v>1</v>
      </c>
      <c r="D87" t="s">
        <v>82</v>
      </c>
      <c r="E87">
        <v>2</v>
      </c>
      <c r="F87" t="s">
        <v>39</v>
      </c>
      <c r="G87" t="s">
        <v>1026</v>
      </c>
      <c r="H87" t="s">
        <v>3367</v>
      </c>
      <c r="I87" t="s">
        <v>1052</v>
      </c>
      <c r="J87" t="s">
        <v>1037</v>
      </c>
      <c r="O87" t="str" cm="1">
        <f t="array" ref="O87">INDEX(Grant[Country],MATCH(0,INDEX(COUNTIF($O$2:O86,Grant[Country]),),0))</f>
        <v>Zanzibar</v>
      </c>
      <c r="T87" s="1035" t="s">
        <v>3589</v>
      </c>
      <c r="U87" s="1035" t="s">
        <v>82</v>
      </c>
      <c r="Y87" s="1035" t="s">
        <v>3586</v>
      </c>
      <c r="Z87" s="1035" t="s">
        <v>3515</v>
      </c>
      <c r="AB87" s="1035" t="s">
        <v>1002</v>
      </c>
      <c r="AC87" s="1035" t="s">
        <v>3373</v>
      </c>
      <c r="AK87" t="str">
        <v>Papua New Guinea</v>
      </c>
      <c r="AO87" t="str">
        <v>Federal Ministry of Health of the Federal Democratic Republic of Ethiopia</v>
      </c>
      <c r="AU87" s="1035" t="s">
        <v>3586</v>
      </c>
      <c r="AV87" s="1035" t="s">
        <v>187</v>
      </c>
      <c r="AW87" s="1035" t="s">
        <v>82</v>
      </c>
      <c r="AX87" s="1035" t="s">
        <v>3515</v>
      </c>
    </row>
    <row r="88" spans="1:50" x14ac:dyDescent="0.35">
      <c r="A88">
        <v>47</v>
      </c>
      <c r="B88" t="s">
        <v>394</v>
      </c>
      <c r="C88">
        <v>2</v>
      </c>
      <c r="D88" t="s">
        <v>367</v>
      </c>
      <c r="E88">
        <v>4</v>
      </c>
      <c r="F88" t="s">
        <v>187</v>
      </c>
      <c r="G88" t="s">
        <v>966</v>
      </c>
      <c r="H88" t="s">
        <v>898</v>
      </c>
      <c r="I88" t="s">
        <v>1025</v>
      </c>
      <c r="J88" t="s">
        <v>1024</v>
      </c>
      <c r="O88" t="str" cm="1">
        <f t="array" ref="O88">INDEX(Grant[Country],MATCH(0,INDEX(COUNTIF($O$2:O87,Grant[Country]),),0))</f>
        <v>Eastern Africa</v>
      </c>
      <c r="T88" s="1035" t="s">
        <v>453</v>
      </c>
      <c r="U88" s="1035" t="s">
        <v>82</v>
      </c>
      <c r="Y88" s="1035" t="s">
        <v>388</v>
      </c>
      <c r="Z88" s="1035" t="s">
        <v>3210</v>
      </c>
      <c r="AB88" s="1035" t="s">
        <v>1001</v>
      </c>
      <c r="AC88" s="1035" t="s">
        <v>3373</v>
      </c>
      <c r="AK88" t="str">
        <v>Paraguay</v>
      </c>
      <c r="AO88" t="str">
        <v>Federal Ministry of Health of the Federal Democratic Republic of Ethiopia</v>
      </c>
      <c r="AU88" s="1035" t="s">
        <v>388</v>
      </c>
      <c r="AV88" s="1035" t="s">
        <v>36</v>
      </c>
      <c r="AW88" s="1035" t="s">
        <v>82</v>
      </c>
      <c r="AX88" s="1035" t="s">
        <v>3210</v>
      </c>
    </row>
    <row r="89" spans="1:50" x14ac:dyDescent="0.35">
      <c r="A89">
        <v>47</v>
      </c>
      <c r="B89" t="s">
        <v>394</v>
      </c>
      <c r="C89">
        <v>2</v>
      </c>
      <c r="D89" t="s">
        <v>367</v>
      </c>
      <c r="E89">
        <v>4</v>
      </c>
      <c r="F89" t="s">
        <v>187</v>
      </c>
      <c r="G89" t="s">
        <v>3369</v>
      </c>
      <c r="H89" t="s">
        <v>772</v>
      </c>
      <c r="I89" t="s">
        <v>3370</v>
      </c>
      <c r="J89" t="s">
        <v>3371</v>
      </c>
      <c r="O89" t="str" cm="1">
        <f t="array" ref="O89">INDEX(Grant[Country],MATCH(0,INDEX(COUNTIF($O$2:O88,Grant[Country]),),0))</f>
        <v>Americas</v>
      </c>
      <c r="T89" s="1035" t="s">
        <v>455</v>
      </c>
      <c r="U89" s="1035" t="s">
        <v>82</v>
      </c>
      <c r="Y89" s="1035" t="s">
        <v>388</v>
      </c>
      <c r="Z89" s="1035" t="s">
        <v>968</v>
      </c>
      <c r="AB89" s="1035" t="s">
        <v>1013</v>
      </c>
      <c r="AC89" s="1035" t="s">
        <v>3373</v>
      </c>
      <c r="AK89" t="str">
        <v>Peru</v>
      </c>
      <c r="AO89" t="str">
        <v>Federal Ministry of Health of the Federal Democratic Republic of Ethiopia</v>
      </c>
      <c r="AU89" s="1035" t="s">
        <v>388</v>
      </c>
      <c r="AV89" s="1035" t="s">
        <v>37</v>
      </c>
      <c r="AW89" s="1035" t="s">
        <v>367</v>
      </c>
      <c r="AX89" s="1035" t="s">
        <v>965</v>
      </c>
    </row>
    <row r="90" spans="1:50" x14ac:dyDescent="0.35">
      <c r="A90">
        <v>47</v>
      </c>
      <c r="B90" t="s">
        <v>394</v>
      </c>
      <c r="C90">
        <v>2</v>
      </c>
      <c r="D90" t="s">
        <v>367</v>
      </c>
      <c r="E90">
        <v>1</v>
      </c>
      <c r="F90" t="s">
        <v>36</v>
      </c>
      <c r="G90" t="s">
        <v>966</v>
      </c>
      <c r="H90" t="s">
        <v>898</v>
      </c>
      <c r="I90" t="s">
        <v>3219</v>
      </c>
      <c r="J90" t="s">
        <v>3220</v>
      </c>
      <c r="O90" t="str" cm="1">
        <f t="array" ref="O90">INDEX(Grant[Country],MATCH(0,INDEX(COUNTIF($O$2:O89,Grant[Country]),),0))</f>
        <v>Caribbean</v>
      </c>
      <c r="T90" s="1035" t="s">
        <v>456</v>
      </c>
      <c r="U90" s="1035" t="s">
        <v>82</v>
      </c>
      <c r="Y90" s="1035" t="s">
        <v>388</v>
      </c>
      <c r="Z90" s="1035" t="s">
        <v>962</v>
      </c>
      <c r="AB90" s="1035" t="s">
        <v>1007</v>
      </c>
      <c r="AC90" s="1035" t="s">
        <v>3372</v>
      </c>
      <c r="AK90" t="str">
        <v>Philippines</v>
      </c>
      <c r="AO90" t="str">
        <v>Federal Ministry of Health of the Republic of Sudan</v>
      </c>
      <c r="AU90" s="1035" t="s">
        <v>388</v>
      </c>
      <c r="AV90" s="1035" t="s">
        <v>187</v>
      </c>
      <c r="AW90" s="1035" t="s">
        <v>367</v>
      </c>
      <c r="AX90" s="1035" t="s">
        <v>962</v>
      </c>
    </row>
    <row r="91" spans="1:50" x14ac:dyDescent="0.35">
      <c r="A91">
        <v>47</v>
      </c>
      <c r="B91" t="s">
        <v>394</v>
      </c>
      <c r="C91">
        <v>2</v>
      </c>
      <c r="D91" t="s">
        <v>367</v>
      </c>
      <c r="E91">
        <v>3</v>
      </c>
      <c r="F91" t="s">
        <v>37</v>
      </c>
      <c r="G91" t="s">
        <v>1021</v>
      </c>
      <c r="H91" t="s">
        <v>1039</v>
      </c>
      <c r="I91" t="s">
        <v>1022</v>
      </c>
      <c r="J91" t="s">
        <v>1020</v>
      </c>
      <c r="O91" t="str" cm="1">
        <f t="array" ref="O91">INDEX(Grant[Country],MATCH(0,INDEX(COUNTIF($O$2:O90,Grant[Country]),),0))</f>
        <v>Asia</v>
      </c>
      <c r="T91" s="1035" t="s">
        <v>457</v>
      </c>
      <c r="U91" s="1035" t="s">
        <v>82</v>
      </c>
      <c r="Y91" s="1035" t="s">
        <v>388</v>
      </c>
      <c r="Z91" s="1035" t="s">
        <v>965</v>
      </c>
      <c r="AB91" s="1035" t="s">
        <v>1019</v>
      </c>
      <c r="AC91" s="1035" t="s">
        <v>924</v>
      </c>
      <c r="AK91" t="str">
        <v>Romania</v>
      </c>
      <c r="AO91" t="str">
        <v>Federal Ministry of Health of the Republic of Sudan</v>
      </c>
      <c r="AU91" s="1035" t="s">
        <v>388</v>
      </c>
      <c r="AV91" s="1035" t="s">
        <v>39</v>
      </c>
      <c r="AW91" s="1035" t="s">
        <v>367</v>
      </c>
      <c r="AX91" s="1035" t="s">
        <v>968</v>
      </c>
    </row>
    <row r="92" spans="1:50" x14ac:dyDescent="0.35">
      <c r="A92">
        <v>96</v>
      </c>
      <c r="B92" t="s">
        <v>392</v>
      </c>
      <c r="C92">
        <v>1</v>
      </c>
      <c r="D92" t="s">
        <v>82</v>
      </c>
      <c r="E92">
        <v>1</v>
      </c>
      <c r="F92" t="s">
        <v>36</v>
      </c>
      <c r="G92" t="s">
        <v>995</v>
      </c>
      <c r="H92" t="s">
        <v>917</v>
      </c>
      <c r="I92" t="s">
        <v>996</v>
      </c>
      <c r="J92" t="s">
        <v>997</v>
      </c>
      <c r="O92" t="str" cm="1">
        <f t="array" ref="O92">INDEX(Grant[Country],MATCH(0,INDEX(COUNTIF($O$2:O91,Grant[Country]),),0))</f>
        <v>Western Asia</v>
      </c>
      <c r="T92" s="1035" t="s">
        <v>458</v>
      </c>
      <c r="U92" s="1035" t="s">
        <v>82</v>
      </c>
      <c r="Y92" s="1035" t="s">
        <v>389</v>
      </c>
      <c r="Z92" s="1035" t="s">
        <v>3214</v>
      </c>
      <c r="AB92" s="1035" t="s">
        <v>936</v>
      </c>
      <c r="AC92" s="1035" t="s">
        <v>883</v>
      </c>
      <c r="AK92" t="str">
        <v>Russian Federation</v>
      </c>
      <c r="AO92" t="str">
        <v>Fonds de soutien aux activités en matière de population et de lutte contre le Sida de la République du Tchad</v>
      </c>
      <c r="AU92" s="1035" t="s">
        <v>389</v>
      </c>
      <c r="AV92" s="1035" t="s">
        <v>36</v>
      </c>
      <c r="AW92" s="1035" t="s">
        <v>367</v>
      </c>
      <c r="AX92" s="1035" t="s">
        <v>3214</v>
      </c>
    </row>
    <row r="93" spans="1:50" x14ac:dyDescent="0.35">
      <c r="A93">
        <v>25</v>
      </c>
      <c r="B93" t="s">
        <v>393</v>
      </c>
      <c r="C93">
        <v>2</v>
      </c>
      <c r="D93" t="s">
        <v>367</v>
      </c>
      <c r="E93">
        <v>3</v>
      </c>
      <c r="F93" t="s">
        <v>37</v>
      </c>
      <c r="G93" t="s">
        <v>1008</v>
      </c>
      <c r="H93" t="s">
        <v>3372</v>
      </c>
      <c r="I93" t="s">
        <v>1009</v>
      </c>
      <c r="J93" t="s">
        <v>1003</v>
      </c>
      <c r="O93" t="str" cm="1">
        <f t="array" ref="O93">INDEX(Grant[Country],MATCH(0,INDEX(COUNTIF($O$2:O92,Grant[Country]),),0))</f>
        <v>Oceania</v>
      </c>
      <c r="T93" s="1035" t="s">
        <v>459</v>
      </c>
      <c r="U93" s="1035" t="s">
        <v>82</v>
      </c>
      <c r="Y93" s="1035" t="s">
        <v>389</v>
      </c>
      <c r="Z93" s="1035" t="s">
        <v>973</v>
      </c>
      <c r="AB93" s="1035" t="s">
        <v>1058</v>
      </c>
      <c r="AC93" s="1035" t="s">
        <v>3359</v>
      </c>
      <c r="AK93" t="str">
        <v>Rwanda</v>
      </c>
      <c r="AO93" t="str">
        <v>Fonds de soutien aux activités en matière de population et de lutte contre le Sida de la République du Tchad</v>
      </c>
      <c r="AU93" s="1035" t="s">
        <v>389</v>
      </c>
      <c r="AV93" s="1035" t="s">
        <v>36</v>
      </c>
      <c r="AW93" s="1035" t="s">
        <v>367</v>
      </c>
      <c r="AX93" s="1035" t="s">
        <v>973</v>
      </c>
    </row>
    <row r="94" spans="1:50" x14ac:dyDescent="0.35">
      <c r="A94">
        <v>25</v>
      </c>
      <c r="B94" t="s">
        <v>393</v>
      </c>
      <c r="C94">
        <v>2</v>
      </c>
      <c r="D94" t="s">
        <v>367</v>
      </c>
      <c r="E94">
        <v>1</v>
      </c>
      <c r="F94" t="s">
        <v>36</v>
      </c>
      <c r="G94" t="s">
        <v>999</v>
      </c>
      <c r="H94" t="s">
        <v>3373</v>
      </c>
      <c r="I94" t="s">
        <v>1004</v>
      </c>
      <c r="J94" t="s">
        <v>1002</v>
      </c>
      <c r="O94" t="str" cm="1">
        <f t="array" ref="O94">INDEX(Grant[Country],MATCH(0,INDEX(COUNTIF($O$2:O93,Grant[Country]),),0))</f>
        <v>Romania</v>
      </c>
      <c r="T94" s="1035" t="s">
        <v>460</v>
      </c>
      <c r="U94" s="1035" t="s">
        <v>367</v>
      </c>
      <c r="Y94" s="1035" t="s">
        <v>389</v>
      </c>
      <c r="Z94" s="1035" t="s">
        <v>3218</v>
      </c>
      <c r="AB94" s="1035" t="s">
        <v>1082</v>
      </c>
      <c r="AC94" s="1035" t="s">
        <v>772</v>
      </c>
      <c r="AK94" t="str">
        <v>Sao Tome and Principe</v>
      </c>
      <c r="AO94" t="str">
        <v>Fonds de soutien aux activités en matière de population et de lutte contre le Sida de la République du Tchad</v>
      </c>
      <c r="AU94" s="1035" t="s">
        <v>389</v>
      </c>
      <c r="AV94" s="1035" t="s">
        <v>36</v>
      </c>
      <c r="AW94" s="1035" t="s">
        <v>367</v>
      </c>
      <c r="AX94" s="1035" t="s">
        <v>3218</v>
      </c>
    </row>
    <row r="95" spans="1:50" x14ac:dyDescent="0.35">
      <c r="A95">
        <v>25</v>
      </c>
      <c r="B95" t="s">
        <v>393</v>
      </c>
      <c r="C95">
        <v>2</v>
      </c>
      <c r="D95" t="s">
        <v>367</v>
      </c>
      <c r="E95">
        <v>4</v>
      </c>
      <c r="F95" t="s">
        <v>187</v>
      </c>
      <c r="G95" t="s">
        <v>999</v>
      </c>
      <c r="H95" t="s">
        <v>3373</v>
      </c>
      <c r="I95" t="s">
        <v>3374</v>
      </c>
      <c r="J95" t="s">
        <v>3375</v>
      </c>
      <c r="O95" t="str" cm="1">
        <f t="array" ref="O95">INDEX(Grant[Country],MATCH(0,INDEX(COUNTIF($O$2:O94,Grant[Country]),),0))</f>
        <v>Russian Federation</v>
      </c>
      <c r="T95" s="1035" t="s">
        <v>461</v>
      </c>
      <c r="U95" s="1035" t="s">
        <v>82</v>
      </c>
      <c r="Y95" s="1035" t="s">
        <v>389</v>
      </c>
      <c r="Z95" s="1035" t="s">
        <v>976</v>
      </c>
      <c r="AB95" s="1035" t="s">
        <v>1088</v>
      </c>
      <c r="AC95" s="1035" t="s">
        <v>772</v>
      </c>
      <c r="AK95" t="str">
        <v>Senegal</v>
      </c>
      <c r="AO95" t="str">
        <v>Fonds de soutien aux activités en matière de population et de lutte contre le Sida de la République du Tchad</v>
      </c>
      <c r="AU95" s="1035" t="s">
        <v>389</v>
      </c>
      <c r="AV95" s="1035" t="s">
        <v>36</v>
      </c>
      <c r="AW95" s="1035" t="s">
        <v>367</v>
      </c>
      <c r="AX95" s="1035" t="s">
        <v>975</v>
      </c>
    </row>
    <row r="96" spans="1:50" x14ac:dyDescent="0.35">
      <c r="A96">
        <v>25</v>
      </c>
      <c r="B96" t="s">
        <v>393</v>
      </c>
      <c r="C96">
        <v>2</v>
      </c>
      <c r="D96" t="s">
        <v>367</v>
      </c>
      <c r="E96">
        <v>1</v>
      </c>
      <c r="F96" t="s">
        <v>36</v>
      </c>
      <c r="G96" t="s">
        <v>999</v>
      </c>
      <c r="H96" t="s">
        <v>3373</v>
      </c>
      <c r="I96" t="s">
        <v>1000</v>
      </c>
      <c r="J96" t="s">
        <v>1001</v>
      </c>
      <c r="O96" t="str" cm="1">
        <f t="array" ref="O96">INDEX(Grant[Country],MATCH(0,INDEX(COUNTIF($O$2:O95,Grant[Country]),),0))</f>
        <v>Rwanda</v>
      </c>
      <c r="T96" s="1035" t="s">
        <v>462</v>
      </c>
      <c r="U96" s="1035" t="s">
        <v>82</v>
      </c>
      <c r="Y96" s="1035" t="s">
        <v>389</v>
      </c>
      <c r="Z96" s="1035" t="s">
        <v>975</v>
      </c>
      <c r="AB96" s="1035" t="s">
        <v>1087</v>
      </c>
      <c r="AC96" s="1035" t="s">
        <v>772</v>
      </c>
      <c r="AK96" t="str">
        <v>Serbia</v>
      </c>
      <c r="AO96" t="str">
        <v>Fonds de soutien aux activités en matière de population et de lutte contre le Sida de la République du Tchad</v>
      </c>
      <c r="AU96" s="1035" t="s">
        <v>389</v>
      </c>
      <c r="AV96" s="1035" t="s">
        <v>36</v>
      </c>
      <c r="AW96" s="1035" t="s">
        <v>367</v>
      </c>
      <c r="AX96" s="1035" t="s">
        <v>979</v>
      </c>
    </row>
    <row r="97" spans="1:50" x14ac:dyDescent="0.35">
      <c r="A97">
        <v>25</v>
      </c>
      <c r="B97" t="s">
        <v>393</v>
      </c>
      <c r="C97">
        <v>2</v>
      </c>
      <c r="D97" t="s">
        <v>367</v>
      </c>
      <c r="E97">
        <v>3</v>
      </c>
      <c r="F97" t="s">
        <v>37</v>
      </c>
      <c r="G97" t="s">
        <v>1011</v>
      </c>
      <c r="H97" t="s">
        <v>3373</v>
      </c>
      <c r="I97" t="s">
        <v>1012</v>
      </c>
      <c r="J97" t="s">
        <v>1013</v>
      </c>
      <c r="O97" t="str" cm="1">
        <f t="array" ref="O97">INDEX(Grant[Country],MATCH(0,INDEX(COUNTIF($O$2:O96,Grant[Country]),),0))</f>
        <v>Sudan</v>
      </c>
      <c r="T97" s="1035" t="s">
        <v>463</v>
      </c>
      <c r="U97" s="1035" t="s">
        <v>367</v>
      </c>
      <c r="Y97" s="1035" t="s">
        <v>389</v>
      </c>
      <c r="Z97" s="1035" t="s">
        <v>979</v>
      </c>
      <c r="AB97" s="1035" t="s">
        <v>1092</v>
      </c>
      <c r="AC97" s="1035" t="s">
        <v>980</v>
      </c>
      <c r="AK97" t="str">
        <v>Sierra Leone</v>
      </c>
      <c r="AO97" t="str">
        <v>Foundation for Innovative New Diagnostics India</v>
      </c>
      <c r="AU97" s="1035" t="s">
        <v>389</v>
      </c>
      <c r="AV97" s="1035" t="s">
        <v>37</v>
      </c>
      <c r="AW97" s="1035" t="s">
        <v>367</v>
      </c>
      <c r="AX97" s="1035" t="s">
        <v>987</v>
      </c>
    </row>
    <row r="98" spans="1:50" x14ac:dyDescent="0.35">
      <c r="A98">
        <v>25</v>
      </c>
      <c r="B98" t="s">
        <v>393</v>
      </c>
      <c r="C98">
        <v>2</v>
      </c>
      <c r="D98" t="s">
        <v>367</v>
      </c>
      <c r="E98">
        <v>2</v>
      </c>
      <c r="F98" t="s">
        <v>39</v>
      </c>
      <c r="G98" t="s">
        <v>1008</v>
      </c>
      <c r="H98" t="s">
        <v>3372</v>
      </c>
      <c r="I98" t="s">
        <v>1015</v>
      </c>
      <c r="J98" t="s">
        <v>1007</v>
      </c>
      <c r="O98" t="str" cm="1">
        <f t="array" ref="O98">INDEX(Grant[Country],MATCH(0,INDEX(COUNTIF($O$2:O97,Grant[Country]),),0))</f>
        <v>Senegal</v>
      </c>
      <c r="T98" s="1035" t="s">
        <v>464</v>
      </c>
      <c r="U98" s="1035" t="s">
        <v>367</v>
      </c>
      <c r="Y98" s="1035" t="s">
        <v>389</v>
      </c>
      <c r="Z98" s="1035" t="s">
        <v>987</v>
      </c>
      <c r="AB98" s="1035" t="s">
        <v>1096</v>
      </c>
      <c r="AC98" s="1035" t="s">
        <v>983</v>
      </c>
      <c r="AK98" t="str">
        <v>Solomon Islands</v>
      </c>
      <c r="AO98" t="str">
        <v>Frontline AIDS</v>
      </c>
      <c r="AU98" s="1035" t="s">
        <v>389</v>
      </c>
      <c r="AV98" s="1035" t="s">
        <v>37</v>
      </c>
      <c r="AW98" s="1035" t="s">
        <v>367</v>
      </c>
      <c r="AX98" s="1035" t="s">
        <v>981</v>
      </c>
    </row>
    <row r="99" spans="1:50" x14ac:dyDescent="0.35">
      <c r="A99">
        <v>25</v>
      </c>
      <c r="B99" t="s">
        <v>393</v>
      </c>
      <c r="C99">
        <v>2</v>
      </c>
      <c r="D99" t="s">
        <v>367</v>
      </c>
      <c r="E99">
        <v>2</v>
      </c>
      <c r="F99" t="s">
        <v>39</v>
      </c>
      <c r="G99" t="s">
        <v>1017</v>
      </c>
      <c r="H99" t="s">
        <v>924</v>
      </c>
      <c r="I99" t="s">
        <v>1018</v>
      </c>
      <c r="J99" t="s">
        <v>1019</v>
      </c>
      <c r="O99" t="str" cm="1">
        <f t="array" ref="O99">INDEX(Grant[Country],MATCH(0,INDEX(COUNTIF($O$2:O98,Grant[Country]),),0))</f>
        <v>Solomon Islands</v>
      </c>
      <c r="T99" s="1035" t="s">
        <v>465</v>
      </c>
      <c r="U99" s="1035" t="s">
        <v>367</v>
      </c>
      <c r="Y99" s="1035" t="s">
        <v>389</v>
      </c>
      <c r="Z99" s="1035" t="s">
        <v>981</v>
      </c>
      <c r="AB99" s="1035" t="s">
        <v>1099</v>
      </c>
      <c r="AC99" s="1035" t="s">
        <v>988</v>
      </c>
      <c r="AK99" t="str">
        <v>Somalia</v>
      </c>
      <c r="AO99" t="str">
        <v>Fundação para o Desenvolvimento da Comunidade</v>
      </c>
      <c r="AU99" s="1035" t="s">
        <v>389</v>
      </c>
      <c r="AV99" s="1035" t="s">
        <v>37</v>
      </c>
      <c r="AW99" s="1035" t="s">
        <v>367</v>
      </c>
      <c r="AX99" s="1035" t="s">
        <v>3565</v>
      </c>
    </row>
    <row r="100" spans="1:50" x14ac:dyDescent="0.35">
      <c r="A100">
        <v>66</v>
      </c>
      <c r="B100" t="s">
        <v>882</v>
      </c>
      <c r="C100">
        <v>2</v>
      </c>
      <c r="D100" t="s">
        <v>367</v>
      </c>
      <c r="E100">
        <v>5</v>
      </c>
      <c r="F100" t="s">
        <v>187</v>
      </c>
      <c r="G100" t="s">
        <v>934</v>
      </c>
      <c r="H100" t="s">
        <v>883</v>
      </c>
      <c r="I100" t="s">
        <v>935</v>
      </c>
      <c r="J100" t="s">
        <v>936</v>
      </c>
      <c r="O100" t="str" cm="1">
        <f t="array" ref="O100">INDEX(Grant[Country],MATCH(0,INDEX(COUNTIF($O$2:O99,Grant[Country]),),0))</f>
        <v>Sierra Leone</v>
      </c>
      <c r="T100" s="1035" t="s">
        <v>466</v>
      </c>
      <c r="U100" s="1035" t="s">
        <v>82</v>
      </c>
      <c r="Y100" s="1035" t="s">
        <v>389</v>
      </c>
      <c r="Z100" s="1035" t="s">
        <v>984</v>
      </c>
      <c r="AB100" s="1035" t="s">
        <v>788</v>
      </c>
      <c r="AC100" s="1035" t="s">
        <v>779</v>
      </c>
      <c r="AK100" t="str">
        <v>South Africa</v>
      </c>
      <c r="AO100" t="str">
        <v>Fundação para o Desenvolvimento da Comunidade</v>
      </c>
      <c r="AU100" s="1035" t="s">
        <v>389</v>
      </c>
      <c r="AV100" s="1035" t="s">
        <v>187</v>
      </c>
      <c r="AW100" s="1035" t="s">
        <v>367</v>
      </c>
      <c r="AX100" s="1035" t="s">
        <v>3563</v>
      </c>
    </row>
    <row r="101" spans="1:50" x14ac:dyDescent="0.35">
      <c r="A101">
        <v>81</v>
      </c>
      <c r="B101" t="s">
        <v>396</v>
      </c>
      <c r="C101">
        <v>1</v>
      </c>
      <c r="D101" t="s">
        <v>82</v>
      </c>
      <c r="E101">
        <v>1</v>
      </c>
      <c r="F101" t="s">
        <v>36</v>
      </c>
      <c r="G101" t="s">
        <v>1056</v>
      </c>
      <c r="H101" t="s">
        <v>3359</v>
      </c>
      <c r="I101" t="s">
        <v>1057</v>
      </c>
      <c r="J101" t="s">
        <v>1058</v>
      </c>
      <c r="O101" t="str" cm="1">
        <f t="array" ref="O101">INDEX(Grant[Country],MATCH(0,INDEX(COUNTIF($O$2:O100,Grant[Country]),),0))</f>
        <v>El Salvador</v>
      </c>
      <c r="T101" s="1035" t="s">
        <v>467</v>
      </c>
      <c r="U101" s="1035" t="s">
        <v>82</v>
      </c>
      <c r="Y101" s="1035" t="s">
        <v>389</v>
      </c>
      <c r="Z101" s="1035" t="s">
        <v>990</v>
      </c>
      <c r="AB101" s="1035" t="s">
        <v>3228</v>
      </c>
      <c r="AC101" s="1035" t="s">
        <v>3226</v>
      </c>
      <c r="AK101" t="str">
        <v>South Sudan</v>
      </c>
      <c r="AO101" t="str">
        <v>Health System Performance Program</v>
      </c>
      <c r="AU101" s="1035" t="s">
        <v>389</v>
      </c>
      <c r="AV101" s="1035" t="s">
        <v>39</v>
      </c>
      <c r="AW101" s="1035" t="s">
        <v>367</v>
      </c>
      <c r="AX101" s="1035" t="s">
        <v>976</v>
      </c>
    </row>
    <row r="102" spans="1:50" x14ac:dyDescent="0.35">
      <c r="A102">
        <v>113</v>
      </c>
      <c r="B102" t="s">
        <v>399</v>
      </c>
      <c r="C102">
        <v>1</v>
      </c>
      <c r="D102" t="s">
        <v>82</v>
      </c>
      <c r="E102">
        <v>1</v>
      </c>
      <c r="F102" t="s">
        <v>36</v>
      </c>
      <c r="G102" t="s">
        <v>1080</v>
      </c>
      <c r="H102" t="s">
        <v>772</v>
      </c>
      <c r="I102" t="s">
        <v>1081</v>
      </c>
      <c r="J102" t="s">
        <v>1082</v>
      </c>
      <c r="O102" t="str" cm="1">
        <f t="array" ref="O102">INDEX(Grant[Country],MATCH(0,INDEX(COUNTIF($O$2:O101,Grant[Country]),),0))</f>
        <v>Somalia</v>
      </c>
      <c r="T102" s="1035" t="s">
        <v>468</v>
      </c>
      <c r="U102" s="1035" t="s">
        <v>82</v>
      </c>
      <c r="Y102" s="1035" t="s">
        <v>389</v>
      </c>
      <c r="Z102" s="1035" t="s">
        <v>3565</v>
      </c>
      <c r="AB102" s="1035" t="s">
        <v>1102</v>
      </c>
      <c r="AC102" s="1035" t="s">
        <v>992</v>
      </c>
      <c r="AK102" t="str">
        <v>South-Eastern Asia</v>
      </c>
      <c r="AO102" t="str">
        <v>HIV/AIDS Prevention and Control Office</v>
      </c>
      <c r="AU102" s="1035" t="s">
        <v>389</v>
      </c>
      <c r="AV102" s="1035" t="s">
        <v>39</v>
      </c>
      <c r="AW102" s="1035" t="s">
        <v>367</v>
      </c>
      <c r="AX102" s="1035" t="s">
        <v>984</v>
      </c>
    </row>
    <row r="103" spans="1:50" x14ac:dyDescent="0.35">
      <c r="A103">
        <v>26</v>
      </c>
      <c r="B103" t="s">
        <v>400</v>
      </c>
      <c r="C103">
        <v>1</v>
      </c>
      <c r="D103" t="s">
        <v>82</v>
      </c>
      <c r="E103">
        <v>4</v>
      </c>
      <c r="F103" t="s">
        <v>187</v>
      </c>
      <c r="G103" t="s">
        <v>1085</v>
      </c>
      <c r="H103" t="s">
        <v>772</v>
      </c>
      <c r="I103" t="s">
        <v>1089</v>
      </c>
      <c r="J103" t="s">
        <v>1088</v>
      </c>
      <c r="O103" t="str" cm="1">
        <f t="array" ref="O103">INDEX(Grant[Country],MATCH(0,INDEX(COUNTIF($O$2:O102,Grant[Country]),),0))</f>
        <v>Serbia</v>
      </c>
      <c r="T103" s="1035" t="s">
        <v>469</v>
      </c>
      <c r="U103" s="1035" t="s">
        <v>82</v>
      </c>
      <c r="Y103" s="1035" t="s">
        <v>389</v>
      </c>
      <c r="Z103" s="1035" t="s">
        <v>3563</v>
      </c>
      <c r="AB103" s="1035" t="s">
        <v>1105</v>
      </c>
      <c r="AC103" s="1035" t="s">
        <v>772</v>
      </c>
      <c r="AK103" t="str">
        <v>Southern Asia</v>
      </c>
      <c r="AO103" t="str">
        <v>Humanist Institute for Co-operation with Developing Countries (Hivos)</v>
      </c>
      <c r="AU103" s="1035" t="s">
        <v>389</v>
      </c>
      <c r="AV103" s="1035" t="s">
        <v>39</v>
      </c>
      <c r="AW103" s="1035" t="s">
        <v>367</v>
      </c>
      <c r="AX103" s="1035" t="s">
        <v>990</v>
      </c>
    </row>
    <row r="104" spans="1:50" x14ac:dyDescent="0.35">
      <c r="A104">
        <v>26</v>
      </c>
      <c r="B104" t="s">
        <v>400</v>
      </c>
      <c r="C104">
        <v>1</v>
      </c>
      <c r="D104" t="s">
        <v>82</v>
      </c>
      <c r="E104">
        <v>3</v>
      </c>
      <c r="F104" t="s">
        <v>37</v>
      </c>
      <c r="G104" t="s">
        <v>1085</v>
      </c>
      <c r="H104" t="s">
        <v>772</v>
      </c>
      <c r="I104" t="s">
        <v>1086</v>
      </c>
      <c r="J104" t="s">
        <v>1087</v>
      </c>
      <c r="O104" t="str" cm="1">
        <f t="array" ref="O104">INDEX(Grant[Country],MATCH(0,INDEX(COUNTIF($O$2:O103,Grant[Country]),),0))</f>
        <v>South Sudan</v>
      </c>
      <c r="T104" s="1035" t="s">
        <v>470</v>
      </c>
      <c r="U104" s="1035" t="s">
        <v>82</v>
      </c>
      <c r="Y104" s="1035" t="s">
        <v>392</v>
      </c>
      <c r="Z104" s="1035" t="s">
        <v>997</v>
      </c>
      <c r="AB104" s="1035" t="s">
        <v>1118</v>
      </c>
      <c r="AC104" s="1035" t="s">
        <v>998</v>
      </c>
      <c r="AK104" t="str">
        <v>Sri Lanka</v>
      </c>
      <c r="AO104" t="str">
        <v>Humanist Institute for Co-operation with Developing Countries (Hivos)</v>
      </c>
      <c r="AU104" s="1035" t="s">
        <v>392</v>
      </c>
      <c r="AV104" s="1035" t="s">
        <v>36</v>
      </c>
      <c r="AW104" s="1035" t="s">
        <v>82</v>
      </c>
      <c r="AX104" s="1035" t="s">
        <v>997</v>
      </c>
    </row>
    <row r="105" spans="1:50" x14ac:dyDescent="0.35">
      <c r="A105">
        <v>26</v>
      </c>
      <c r="B105" t="s">
        <v>400</v>
      </c>
      <c r="C105">
        <v>1</v>
      </c>
      <c r="D105" t="s">
        <v>82</v>
      </c>
      <c r="E105">
        <v>5</v>
      </c>
      <c r="F105" t="s">
        <v>187</v>
      </c>
      <c r="G105" t="s">
        <v>1085</v>
      </c>
      <c r="H105" t="s">
        <v>772</v>
      </c>
      <c r="I105" t="s">
        <v>3376</v>
      </c>
      <c r="J105" t="s">
        <v>3377</v>
      </c>
      <c r="O105" t="str" cm="1">
        <f t="array" ref="O105">INDEX(Grant[Country],MATCH(0,INDEX(COUNTIF($O$2:O104,Grant[Country]),),0))</f>
        <v>Sao Tome and Principe</v>
      </c>
      <c r="T105" s="1035" t="s">
        <v>3583</v>
      </c>
      <c r="U105" s="1035" t="s">
        <v>82</v>
      </c>
      <c r="Y105" s="1035" t="s">
        <v>393</v>
      </c>
      <c r="Z105" s="1035" t="s">
        <v>1003</v>
      </c>
      <c r="AB105" s="1035" t="s">
        <v>1121</v>
      </c>
      <c r="AC105" s="1035" t="s">
        <v>998</v>
      </c>
      <c r="AK105" t="str">
        <v>Sudan</v>
      </c>
      <c r="AO105" t="str">
        <v>Humanist Institute for Co-operation with Developing Countries (Hivos)</v>
      </c>
      <c r="AU105" s="1035" t="s">
        <v>393</v>
      </c>
      <c r="AV105" s="1035" t="s">
        <v>36</v>
      </c>
      <c r="AW105" s="1035" t="s">
        <v>367</v>
      </c>
      <c r="AX105" s="1035" t="s">
        <v>1002</v>
      </c>
    </row>
    <row r="106" spans="1:50" x14ac:dyDescent="0.35">
      <c r="A106">
        <v>115</v>
      </c>
      <c r="B106" t="s">
        <v>401</v>
      </c>
      <c r="C106">
        <v>1</v>
      </c>
      <c r="D106" t="s">
        <v>82</v>
      </c>
      <c r="E106">
        <v>1</v>
      </c>
      <c r="F106" t="s">
        <v>36</v>
      </c>
      <c r="G106" t="s">
        <v>1090</v>
      </c>
      <c r="H106" t="s">
        <v>980</v>
      </c>
      <c r="I106" t="s">
        <v>1091</v>
      </c>
      <c r="J106" t="s">
        <v>1092</v>
      </c>
      <c r="O106" t="str" cm="1">
        <f t="array" ref="O106">INDEX(Grant[Country],MATCH(0,INDEX(COUNTIF($O$2:O105,Grant[Country]),),0))</f>
        <v>Suriname</v>
      </c>
      <c r="T106" s="1035" t="s">
        <v>3582</v>
      </c>
      <c r="U106" s="1035" t="s">
        <v>82</v>
      </c>
      <c r="Y106" s="1035" t="s">
        <v>393</v>
      </c>
      <c r="Z106" s="1035" t="s">
        <v>1002</v>
      </c>
      <c r="AB106" s="1035" t="s">
        <v>1124</v>
      </c>
      <c r="AC106" s="1035" t="s">
        <v>998</v>
      </c>
      <c r="AK106" t="str">
        <v>Suriname</v>
      </c>
      <c r="AO106" t="str">
        <v>Humanist Institute for Co-operation with Developing Countries (Hivos)</v>
      </c>
      <c r="AU106" s="1035" t="s">
        <v>393</v>
      </c>
      <c r="AV106" s="1035" t="s">
        <v>36</v>
      </c>
      <c r="AW106" s="1035" t="s">
        <v>367</v>
      </c>
      <c r="AX106" s="1035" t="s">
        <v>1001</v>
      </c>
    </row>
    <row r="107" spans="1:50" x14ac:dyDescent="0.35">
      <c r="A107">
        <v>115</v>
      </c>
      <c r="B107" t="s">
        <v>401</v>
      </c>
      <c r="C107">
        <v>1</v>
      </c>
      <c r="D107" t="s">
        <v>82</v>
      </c>
      <c r="E107">
        <v>1</v>
      </c>
      <c r="F107" t="s">
        <v>36</v>
      </c>
      <c r="G107" t="s">
        <v>1094</v>
      </c>
      <c r="H107" t="s">
        <v>983</v>
      </c>
      <c r="I107" t="s">
        <v>1095</v>
      </c>
      <c r="J107" t="s">
        <v>1096</v>
      </c>
      <c r="O107" t="str" cm="1">
        <f t="array" ref="O107">INDEX(Grant[Country],MATCH(0,INDEX(COUNTIF($O$2:O106,Grant[Country]),),0))</f>
        <v>Eswatini</v>
      </c>
      <c r="T107" s="1035" t="s">
        <v>471</v>
      </c>
      <c r="U107" s="1035" t="s">
        <v>82</v>
      </c>
      <c r="Y107" s="1035" t="s">
        <v>393</v>
      </c>
      <c r="Z107" s="1035" t="s">
        <v>1001</v>
      </c>
      <c r="AB107" s="1035" t="s">
        <v>1143</v>
      </c>
      <c r="AC107" s="1035" t="s">
        <v>1016</v>
      </c>
      <c r="AK107" t="str">
        <v>Tajikistan</v>
      </c>
      <c r="AO107" t="str">
        <v>India HIV/AIDS Alliance</v>
      </c>
      <c r="AU107" s="1035" t="s">
        <v>393</v>
      </c>
      <c r="AV107" s="1035" t="s">
        <v>37</v>
      </c>
      <c r="AW107" s="1035" t="s">
        <v>367</v>
      </c>
      <c r="AX107" s="1035" t="s">
        <v>1003</v>
      </c>
    </row>
    <row r="108" spans="1:50" x14ac:dyDescent="0.35">
      <c r="A108">
        <v>115</v>
      </c>
      <c r="B108" t="s">
        <v>401</v>
      </c>
      <c r="C108">
        <v>1</v>
      </c>
      <c r="D108" t="s">
        <v>82</v>
      </c>
      <c r="E108">
        <v>2</v>
      </c>
      <c r="F108" t="s">
        <v>39</v>
      </c>
      <c r="G108" t="s">
        <v>1097</v>
      </c>
      <c r="H108" t="s">
        <v>988</v>
      </c>
      <c r="I108" t="s">
        <v>1098</v>
      </c>
      <c r="J108" t="s">
        <v>1099</v>
      </c>
      <c r="O108" t="str" cm="1">
        <f t="array" ref="O108">INDEX(Grant[Country],MATCH(0,INDEX(COUNTIF($O$2:O107,Grant[Country]),),0))</f>
        <v>Chad</v>
      </c>
      <c r="T108" s="1035" t="s">
        <v>472</v>
      </c>
      <c r="U108" s="1035" t="s">
        <v>82</v>
      </c>
      <c r="Y108" s="1035" t="s">
        <v>393</v>
      </c>
      <c r="Z108" s="1035" t="s">
        <v>1013</v>
      </c>
      <c r="AB108" s="1035" t="s">
        <v>1144</v>
      </c>
      <c r="AC108" s="1035" t="s">
        <v>1014</v>
      </c>
      <c r="AK108" t="str">
        <v>Tanzania (United Republic)</v>
      </c>
      <c r="AO108" t="str">
        <v>India HIV/AIDS Alliance</v>
      </c>
      <c r="AU108" s="1035" t="s">
        <v>393</v>
      </c>
      <c r="AV108" s="1035" t="s">
        <v>37</v>
      </c>
      <c r="AW108" s="1035" t="s">
        <v>367</v>
      </c>
      <c r="AX108" s="1035" t="s">
        <v>1013</v>
      </c>
    </row>
    <row r="109" spans="1:50" x14ac:dyDescent="0.35">
      <c r="A109">
        <v>52</v>
      </c>
      <c r="B109" t="s">
        <v>370</v>
      </c>
      <c r="C109">
        <v>1</v>
      </c>
      <c r="D109" t="s">
        <v>82</v>
      </c>
      <c r="E109">
        <v>1</v>
      </c>
      <c r="F109" t="s">
        <v>36</v>
      </c>
      <c r="G109" t="s">
        <v>786</v>
      </c>
      <c r="H109" t="s">
        <v>779</v>
      </c>
      <c r="I109" t="s">
        <v>787</v>
      </c>
      <c r="J109" t="s">
        <v>788</v>
      </c>
      <c r="O109" t="str" cm="1">
        <f t="array" ref="O109">INDEX(Grant[Country],MATCH(0,INDEX(COUNTIF($O$2:O108,Grant[Country]),),0))</f>
        <v>Togo</v>
      </c>
      <c r="T109" s="1035" t="s">
        <v>473</v>
      </c>
      <c r="U109" s="1035" t="s">
        <v>82</v>
      </c>
      <c r="Y109" s="1035" t="s">
        <v>393</v>
      </c>
      <c r="Z109" s="1035" t="s">
        <v>1007</v>
      </c>
      <c r="AB109" s="1035" t="s">
        <v>1150</v>
      </c>
      <c r="AC109" s="1035" t="s">
        <v>1173</v>
      </c>
      <c r="AK109" t="str">
        <v>Thailand</v>
      </c>
      <c r="AO109" t="str">
        <v>Indonesia AIDS Coalition</v>
      </c>
      <c r="AU109" s="1035" t="s">
        <v>393</v>
      </c>
      <c r="AV109" s="1035" t="s">
        <v>187</v>
      </c>
      <c r="AW109" s="1035" t="s">
        <v>367</v>
      </c>
      <c r="AX109" s="1035" t="s">
        <v>3375</v>
      </c>
    </row>
    <row r="110" spans="1:50" x14ac:dyDescent="0.35">
      <c r="A110">
        <v>97</v>
      </c>
      <c r="B110" t="s">
        <v>402</v>
      </c>
      <c r="C110">
        <v>1</v>
      </c>
      <c r="D110" t="s">
        <v>82</v>
      </c>
      <c r="E110">
        <v>1</v>
      </c>
      <c r="F110" t="s">
        <v>36</v>
      </c>
      <c r="G110" t="s">
        <v>3225</v>
      </c>
      <c r="H110" t="s">
        <v>3226</v>
      </c>
      <c r="I110" t="s">
        <v>3227</v>
      </c>
      <c r="J110" t="s">
        <v>3228</v>
      </c>
      <c r="O110" t="str" cm="1">
        <f t="array" ref="O110">INDEX(Grant[Country],MATCH(0,INDEX(COUNTIF($O$2:O109,Grant[Country]),),0))</f>
        <v>Thailand</v>
      </c>
      <c r="T110" s="1035" t="s">
        <v>476</v>
      </c>
      <c r="U110" s="1035" t="s">
        <v>82</v>
      </c>
      <c r="Y110" s="1035" t="s">
        <v>393</v>
      </c>
      <c r="Z110" s="1035" t="s">
        <v>1019</v>
      </c>
      <c r="AB110" s="1035" t="s">
        <v>1147</v>
      </c>
      <c r="AC110" s="1035" t="s">
        <v>1014</v>
      </c>
      <c r="AK110" t="str">
        <v>Timor-Leste</v>
      </c>
      <c r="AO110" t="str">
        <v>Indus Hospital &amp; Health Network</v>
      </c>
      <c r="AU110" s="1035" t="s">
        <v>393</v>
      </c>
      <c r="AV110" s="1035" t="s">
        <v>39</v>
      </c>
      <c r="AW110" s="1035" t="s">
        <v>367</v>
      </c>
      <c r="AX110" s="1035" t="s">
        <v>1007</v>
      </c>
    </row>
    <row r="111" spans="1:50" x14ac:dyDescent="0.35">
      <c r="A111">
        <v>97</v>
      </c>
      <c r="B111" t="s">
        <v>402</v>
      </c>
      <c r="C111">
        <v>1</v>
      </c>
      <c r="D111" t="s">
        <v>82</v>
      </c>
      <c r="E111">
        <v>1</v>
      </c>
      <c r="F111" t="s">
        <v>36</v>
      </c>
      <c r="G111" t="s">
        <v>1100</v>
      </c>
      <c r="H111" t="s">
        <v>992</v>
      </c>
      <c r="I111" t="s">
        <v>1101</v>
      </c>
      <c r="J111" t="s">
        <v>1102</v>
      </c>
      <c r="O111" t="str" cm="1">
        <f t="array" ref="O111">INDEX(Grant[Country],MATCH(0,INDEX(COUNTIF($O$2:O110,Grant[Country]),),0))</f>
        <v>Tajikistan</v>
      </c>
      <c r="T111" s="1035" t="s">
        <v>477</v>
      </c>
      <c r="U111" s="1035" t="s">
        <v>82</v>
      </c>
      <c r="Y111" s="1035" t="s">
        <v>393</v>
      </c>
      <c r="Z111" s="1035" t="s">
        <v>3375</v>
      </c>
      <c r="AB111" s="1035" t="s">
        <v>1151</v>
      </c>
      <c r="AC111" s="1035" t="s">
        <v>1014</v>
      </c>
      <c r="AK111" t="str">
        <v>Togo</v>
      </c>
      <c r="AO111" t="str">
        <v>Indus Hospital &amp; Health Network</v>
      </c>
      <c r="AU111" s="1035" t="s">
        <v>393</v>
      </c>
      <c r="AV111" s="1035" t="s">
        <v>39</v>
      </c>
      <c r="AW111" s="1035" t="s">
        <v>367</v>
      </c>
      <c r="AX111" s="1035" t="s">
        <v>1019</v>
      </c>
    </row>
    <row r="112" spans="1:50" x14ac:dyDescent="0.35">
      <c r="A112">
        <v>53</v>
      </c>
      <c r="B112" t="s">
        <v>403</v>
      </c>
      <c r="C112">
        <v>1</v>
      </c>
      <c r="D112" t="s">
        <v>82</v>
      </c>
      <c r="E112">
        <v>4</v>
      </c>
      <c r="F112" t="s">
        <v>187</v>
      </c>
      <c r="G112" t="s">
        <v>1103</v>
      </c>
      <c r="H112" t="s">
        <v>772</v>
      </c>
      <c r="I112" t="s">
        <v>1104</v>
      </c>
      <c r="J112" t="s">
        <v>1105</v>
      </c>
      <c r="O112" t="str" cm="1">
        <f t="array" ref="O112">INDEX(Grant[Country],MATCH(0,INDEX(COUNTIF($O$2:O111,Grant[Country]),),0))</f>
        <v>Turkmenistan</v>
      </c>
      <c r="T112" s="1035" t="s">
        <v>478</v>
      </c>
      <c r="U112" s="1035" t="s">
        <v>82</v>
      </c>
      <c r="Y112" s="1035" t="s">
        <v>394</v>
      </c>
      <c r="Z112" s="1035" t="s">
        <v>1024</v>
      </c>
      <c r="AB112" s="1035" t="s">
        <v>1156</v>
      </c>
      <c r="AC112" s="1035" t="s">
        <v>1023</v>
      </c>
      <c r="AK112" t="str">
        <v>Tunisia</v>
      </c>
      <c r="AO112" t="str">
        <v>Initiative Privée et Communautaire pour la Santé et la Riposte au VIH/SIDA  au Burkina Faso (IPC/BF)</v>
      </c>
      <c r="AU112" s="1035" t="s">
        <v>394</v>
      </c>
      <c r="AV112" s="1035" t="s">
        <v>36</v>
      </c>
      <c r="AW112" s="1035" t="s">
        <v>367</v>
      </c>
      <c r="AX112" s="1035" t="s">
        <v>3220</v>
      </c>
    </row>
    <row r="113" spans="1:50" x14ac:dyDescent="0.35">
      <c r="A113">
        <v>27</v>
      </c>
      <c r="B113" t="s">
        <v>406</v>
      </c>
      <c r="C113">
        <v>1</v>
      </c>
      <c r="D113" t="s">
        <v>82</v>
      </c>
      <c r="E113">
        <v>1</v>
      </c>
      <c r="F113" t="s">
        <v>36</v>
      </c>
      <c r="G113" t="s">
        <v>1116</v>
      </c>
      <c r="H113" t="s">
        <v>998</v>
      </c>
      <c r="I113" t="s">
        <v>1117</v>
      </c>
      <c r="J113" t="s">
        <v>1118</v>
      </c>
      <c r="O113" t="str" cm="1">
        <f t="array" ref="O113">INDEX(Grant[Country],MATCH(0,INDEX(COUNTIF($O$2:O112,Grant[Country]),),0))</f>
        <v>Timor-Leste</v>
      </c>
      <c r="T113" s="1035" t="s">
        <v>479</v>
      </c>
      <c r="U113" s="1035" t="s">
        <v>82</v>
      </c>
      <c r="Y113" s="1035" t="s">
        <v>394</v>
      </c>
      <c r="Z113" s="1035" t="s">
        <v>3220</v>
      </c>
      <c r="AB113" s="1035" t="s">
        <v>1160</v>
      </c>
      <c r="AC113" s="1035" t="s">
        <v>1029</v>
      </c>
      <c r="AK113" t="str">
        <v>Turkmenistan</v>
      </c>
      <c r="AO113" t="str">
        <v>Institute of Human Virology Nigeria</v>
      </c>
      <c r="AU113" s="1035" t="s">
        <v>394</v>
      </c>
      <c r="AV113" s="1035" t="s">
        <v>37</v>
      </c>
      <c r="AW113" s="1035" t="s">
        <v>367</v>
      </c>
      <c r="AX113" s="1035" t="s">
        <v>1020</v>
      </c>
    </row>
    <row r="114" spans="1:50" x14ac:dyDescent="0.35">
      <c r="A114">
        <v>27</v>
      </c>
      <c r="B114" t="s">
        <v>406</v>
      </c>
      <c r="C114">
        <v>1</v>
      </c>
      <c r="D114" t="s">
        <v>82</v>
      </c>
      <c r="E114">
        <v>3</v>
      </c>
      <c r="F114" t="s">
        <v>37</v>
      </c>
      <c r="G114" t="s">
        <v>1116</v>
      </c>
      <c r="H114" t="s">
        <v>998</v>
      </c>
      <c r="I114" t="s">
        <v>1120</v>
      </c>
      <c r="J114" t="s">
        <v>1121</v>
      </c>
      <c r="O114" t="str" cm="1">
        <f t="array" ref="O114">INDEX(Grant[Country],MATCH(0,INDEX(COUNTIF($O$2:O113,Grant[Country]),),0))</f>
        <v>Tanzania (United Republic)</v>
      </c>
      <c r="T114" s="1035" t="s">
        <v>480</v>
      </c>
      <c r="U114" s="1035" t="s">
        <v>367</v>
      </c>
      <c r="Y114" s="1035" t="s">
        <v>394</v>
      </c>
      <c r="Z114" s="1035" t="s">
        <v>1020</v>
      </c>
      <c r="AB114" s="1035" t="s">
        <v>1164</v>
      </c>
      <c r="AC114" s="1035" t="s">
        <v>1031</v>
      </c>
      <c r="AK114" t="str">
        <v>Uganda</v>
      </c>
      <c r="AO114" t="str">
        <v>Institute of Nutrition of Central America and Panama (INCAP)</v>
      </c>
      <c r="AU114" s="1035" t="s">
        <v>394</v>
      </c>
      <c r="AV114" s="1035" t="s">
        <v>187</v>
      </c>
      <c r="AW114" s="1035" t="s">
        <v>367</v>
      </c>
      <c r="AX114" s="1035" t="s">
        <v>1024</v>
      </c>
    </row>
    <row r="115" spans="1:50" x14ac:dyDescent="0.35">
      <c r="A115">
        <v>27</v>
      </c>
      <c r="B115" t="s">
        <v>406</v>
      </c>
      <c r="C115">
        <v>1</v>
      </c>
      <c r="D115" t="s">
        <v>82</v>
      </c>
      <c r="E115">
        <v>2</v>
      </c>
      <c r="F115" t="s">
        <v>39</v>
      </c>
      <c r="G115" t="s">
        <v>1116</v>
      </c>
      <c r="H115" t="s">
        <v>998</v>
      </c>
      <c r="I115" t="s">
        <v>1123</v>
      </c>
      <c r="J115" t="s">
        <v>1124</v>
      </c>
      <c r="O115" t="str" cm="1">
        <f t="array" ref="O115">INDEX(Grant[Country],MATCH(0,INDEX(COUNTIF($O$2:O114,Grant[Country]),),0))</f>
        <v>Tunisia</v>
      </c>
      <c r="T115" s="1035" t="s">
        <v>481</v>
      </c>
      <c r="U115" s="1035" t="s">
        <v>82</v>
      </c>
      <c r="Y115" s="1035" t="s">
        <v>394</v>
      </c>
      <c r="Z115" s="1035" t="s">
        <v>3371</v>
      </c>
      <c r="AB115" s="1035" t="s">
        <v>1183</v>
      </c>
      <c r="AC115" s="1035" t="s">
        <v>1047</v>
      </c>
      <c r="AK115" t="str">
        <v>Ukraine</v>
      </c>
      <c r="AO115" t="str">
        <v>Instituto Dermatológico y Cirugía de Piel ‘Dr. Huberto Bogaert Díaz’</v>
      </c>
      <c r="AU115" s="1035" t="s">
        <v>394</v>
      </c>
      <c r="AV115" s="1035" t="s">
        <v>187</v>
      </c>
      <c r="AW115" s="1035" t="s">
        <v>367</v>
      </c>
      <c r="AX115" s="1035" t="s">
        <v>3371</v>
      </c>
    </row>
    <row r="116" spans="1:50" x14ac:dyDescent="0.35">
      <c r="A116">
        <v>28</v>
      </c>
      <c r="B116" t="s">
        <v>408</v>
      </c>
      <c r="C116">
        <v>1</v>
      </c>
      <c r="D116" t="s">
        <v>82</v>
      </c>
      <c r="E116">
        <v>1</v>
      </c>
      <c r="F116" t="s">
        <v>36</v>
      </c>
      <c r="G116" t="s">
        <v>1141</v>
      </c>
      <c r="H116" t="s">
        <v>1016</v>
      </c>
      <c r="I116" t="s">
        <v>1142</v>
      </c>
      <c r="J116" t="s">
        <v>1143</v>
      </c>
      <c r="O116" t="str" cm="1">
        <f t="array" ref="O116">INDEX(Grant[Country],MATCH(0,INDEX(COUNTIF($O$2:O115,Grant[Country]),),0))</f>
        <v>Uganda</v>
      </c>
      <c r="T116" s="1035" t="s">
        <v>483</v>
      </c>
      <c r="U116" s="1035" t="s">
        <v>82</v>
      </c>
      <c r="Y116" s="1035" t="s">
        <v>395</v>
      </c>
      <c r="Z116" s="1035" t="s">
        <v>1050</v>
      </c>
      <c r="AB116" s="1035" t="s">
        <v>1186</v>
      </c>
      <c r="AC116" s="1035" t="s">
        <v>1047</v>
      </c>
      <c r="AK116" t="str">
        <v>Uzbekistan</v>
      </c>
      <c r="AO116" t="str">
        <v>Inter-American Development Bank</v>
      </c>
      <c r="AU116" s="1035" t="s">
        <v>395</v>
      </c>
      <c r="AV116" s="1035" t="s">
        <v>36</v>
      </c>
      <c r="AW116" s="1035" t="s">
        <v>82</v>
      </c>
      <c r="AX116" s="1035" t="s">
        <v>1035</v>
      </c>
    </row>
    <row r="117" spans="1:50" x14ac:dyDescent="0.35">
      <c r="A117">
        <v>28</v>
      </c>
      <c r="B117" t="s">
        <v>408</v>
      </c>
      <c r="C117">
        <v>1</v>
      </c>
      <c r="D117" t="s">
        <v>82</v>
      </c>
      <c r="E117">
        <v>3</v>
      </c>
      <c r="F117" t="s">
        <v>37</v>
      </c>
      <c r="G117" t="s">
        <v>1145</v>
      </c>
      <c r="H117" t="s">
        <v>1014</v>
      </c>
      <c r="I117" t="s">
        <v>1146</v>
      </c>
      <c r="J117" t="s">
        <v>1144</v>
      </c>
      <c r="O117" t="str" cm="1">
        <f t="array" ref="O117">INDEX(Grant[Country],MATCH(0,INDEX(COUNTIF($O$2:O116,Grant[Country]),),0))</f>
        <v>Ukraine</v>
      </c>
      <c r="T117" s="1035" t="s">
        <v>484</v>
      </c>
      <c r="U117" s="1035" t="s">
        <v>82</v>
      </c>
      <c r="Y117" s="1035" t="s">
        <v>395</v>
      </c>
      <c r="Z117" s="1035" t="s">
        <v>1035</v>
      </c>
      <c r="AB117" s="1035" t="s">
        <v>1193</v>
      </c>
      <c r="AC117" s="1035" t="s">
        <v>1054</v>
      </c>
      <c r="AK117" t="str">
        <v>Venezuela</v>
      </c>
      <c r="AO117" t="str">
        <v>Inter-American Development Bank</v>
      </c>
      <c r="AU117" s="1035" t="s">
        <v>395</v>
      </c>
      <c r="AV117" s="1035" t="s">
        <v>36</v>
      </c>
      <c r="AW117" s="1035" t="s">
        <v>82</v>
      </c>
      <c r="AX117" s="1035" t="s">
        <v>1028</v>
      </c>
    </row>
    <row r="118" spans="1:50" x14ac:dyDescent="0.35">
      <c r="A118">
        <v>28</v>
      </c>
      <c r="B118" t="s">
        <v>408</v>
      </c>
      <c r="C118">
        <v>1</v>
      </c>
      <c r="D118" t="s">
        <v>82</v>
      </c>
      <c r="E118">
        <v>3</v>
      </c>
      <c r="F118" t="s">
        <v>37</v>
      </c>
      <c r="G118" t="s">
        <v>1148</v>
      </c>
      <c r="H118" t="s">
        <v>1173</v>
      </c>
      <c r="I118" t="s">
        <v>1149</v>
      </c>
      <c r="J118" t="s">
        <v>1150</v>
      </c>
      <c r="O118" t="str" cm="1">
        <f t="array" ref="O118">INDEX(Grant[Country],MATCH(0,INDEX(COUNTIF($O$2:O117,Grant[Country]),),0))</f>
        <v>Uzbekistan</v>
      </c>
      <c r="T118" s="1035" t="s">
        <v>485</v>
      </c>
      <c r="U118" s="1035" t="s">
        <v>82</v>
      </c>
      <c r="Y118" s="1035" t="s">
        <v>395</v>
      </c>
      <c r="Z118" s="1035" t="s">
        <v>1028</v>
      </c>
      <c r="AB118" s="1035" t="s">
        <v>1192</v>
      </c>
      <c r="AC118" s="1035" t="s">
        <v>1055</v>
      </c>
      <c r="AK118" t="str">
        <v>Viet Nam</v>
      </c>
      <c r="AO118" t="str">
        <v>Intergovernmental Authority on Development</v>
      </c>
      <c r="AU118" s="1035" t="s">
        <v>395</v>
      </c>
      <c r="AV118" s="1035" t="s">
        <v>37</v>
      </c>
      <c r="AW118" s="1035" t="s">
        <v>82</v>
      </c>
      <c r="AX118" s="1035" t="s">
        <v>1032</v>
      </c>
    </row>
    <row r="119" spans="1:50" x14ac:dyDescent="0.35">
      <c r="A119">
        <v>28</v>
      </c>
      <c r="B119" t="s">
        <v>408</v>
      </c>
      <c r="C119">
        <v>1</v>
      </c>
      <c r="D119" t="s">
        <v>82</v>
      </c>
      <c r="E119">
        <v>6</v>
      </c>
      <c r="F119" t="s">
        <v>2004</v>
      </c>
      <c r="G119" t="s">
        <v>1145</v>
      </c>
      <c r="H119" t="s">
        <v>1014</v>
      </c>
      <c r="I119" t="s">
        <v>1152</v>
      </c>
      <c r="J119" t="s">
        <v>1147</v>
      </c>
      <c r="O119" t="str" cm="1">
        <f t="array" ref="O119">INDEX(Grant[Country],MATCH(0,INDEX(COUNTIF($O$2:O118,Grant[Country]),),0))</f>
        <v>Venezuela</v>
      </c>
      <c r="T119" s="1035" t="s">
        <v>487</v>
      </c>
      <c r="U119" s="1035" t="s">
        <v>82</v>
      </c>
      <c r="Y119" s="1035" t="s">
        <v>395</v>
      </c>
      <c r="Z119" s="1035" t="s">
        <v>1032</v>
      </c>
      <c r="AB119" s="1035" t="s">
        <v>1188</v>
      </c>
      <c r="AC119" s="1035" t="s">
        <v>1051</v>
      </c>
      <c r="AK119" t="str">
        <v>Western Asia</v>
      </c>
      <c r="AO119" t="str">
        <v>International Bank for Reconstruction and Development</v>
      </c>
      <c r="AU119" s="1035" t="s">
        <v>395</v>
      </c>
      <c r="AV119" s="1035" t="s">
        <v>37</v>
      </c>
      <c r="AW119" s="1035" t="s">
        <v>82</v>
      </c>
      <c r="AX119" s="1035" t="s">
        <v>3222</v>
      </c>
    </row>
    <row r="120" spans="1:50" x14ac:dyDescent="0.35">
      <c r="A120">
        <v>28</v>
      </c>
      <c r="B120" t="s">
        <v>408</v>
      </c>
      <c r="C120">
        <v>1</v>
      </c>
      <c r="D120" t="s">
        <v>82</v>
      </c>
      <c r="E120">
        <v>2</v>
      </c>
      <c r="F120" t="s">
        <v>39</v>
      </c>
      <c r="G120" t="s">
        <v>1145</v>
      </c>
      <c r="H120" t="s">
        <v>1014</v>
      </c>
      <c r="I120" t="s">
        <v>1153</v>
      </c>
      <c r="J120" t="s">
        <v>1151</v>
      </c>
      <c r="O120" t="str" cm="1">
        <f t="array" ref="O120">INDEX(Grant[Country],MATCH(0,INDEX(COUNTIF($O$2:O119,Grant[Country]),),0))</f>
        <v>Viet Nam</v>
      </c>
      <c r="T120" s="1035" t="s">
        <v>1582</v>
      </c>
      <c r="U120" s="1035" t="s">
        <v>82</v>
      </c>
      <c r="Y120" s="1035" t="s">
        <v>395</v>
      </c>
      <c r="Z120" s="1035" t="s">
        <v>3222</v>
      </c>
      <c r="AB120" s="1035" t="s">
        <v>1197</v>
      </c>
      <c r="AC120" s="1035" t="s">
        <v>1054</v>
      </c>
      <c r="AK120" t="str">
        <v>World</v>
      </c>
      <c r="AO120" t="str">
        <v>International Centre for Diarrhoeal Disease Research, Bangladesh</v>
      </c>
      <c r="AU120" s="1035" t="s">
        <v>395</v>
      </c>
      <c r="AV120" s="1035" t="s">
        <v>37</v>
      </c>
      <c r="AW120" s="1035" t="s">
        <v>82</v>
      </c>
      <c r="AX120" s="1035" t="s">
        <v>1046</v>
      </c>
    </row>
    <row r="121" spans="1:50" x14ac:dyDescent="0.35">
      <c r="A121">
        <v>224</v>
      </c>
      <c r="B121" t="s">
        <v>409</v>
      </c>
      <c r="C121">
        <v>1</v>
      </c>
      <c r="D121" t="s">
        <v>82</v>
      </c>
      <c r="E121">
        <v>2</v>
      </c>
      <c r="F121" t="s">
        <v>39</v>
      </c>
      <c r="G121" t="s">
        <v>1154</v>
      </c>
      <c r="H121" t="s">
        <v>1023</v>
      </c>
      <c r="I121" t="s">
        <v>1155</v>
      </c>
      <c r="J121" t="s">
        <v>1156</v>
      </c>
      <c r="O121" t="str" cm="1">
        <f t="array" ref="O121">INDEX(Grant[Country],MATCH(0,INDEX(COUNTIF($O$2:O120,Grant[Country]),),0))</f>
        <v>Yemen</v>
      </c>
      <c r="T121" s="1035" t="s">
        <v>488</v>
      </c>
      <c r="U121" s="1035" t="s">
        <v>82</v>
      </c>
      <c r="Y121" s="1035" t="s">
        <v>395</v>
      </c>
      <c r="Z121" s="1035" t="s">
        <v>1046</v>
      </c>
      <c r="AB121" s="1035" t="s">
        <v>1218</v>
      </c>
      <c r="AC121" s="1035" t="s">
        <v>827</v>
      </c>
      <c r="AK121" t="str">
        <v>Yemen</v>
      </c>
      <c r="AO121" t="str">
        <v>International Charitable Foundation “Alliance for Public Health”</v>
      </c>
      <c r="AU121" s="1035" t="s">
        <v>395</v>
      </c>
      <c r="AV121" s="1035" t="s">
        <v>37</v>
      </c>
      <c r="AW121" s="1035" t="s">
        <v>82</v>
      </c>
      <c r="AX121" s="1035" t="s">
        <v>1042</v>
      </c>
    </row>
    <row r="122" spans="1:50" x14ac:dyDescent="0.35">
      <c r="A122">
        <v>50</v>
      </c>
      <c r="B122" t="s">
        <v>410</v>
      </c>
      <c r="C122">
        <v>2</v>
      </c>
      <c r="D122" t="s">
        <v>367</v>
      </c>
      <c r="E122">
        <v>2</v>
      </c>
      <c r="F122" t="s">
        <v>39</v>
      </c>
      <c r="G122" t="s">
        <v>1158</v>
      </c>
      <c r="H122" t="s">
        <v>1029</v>
      </c>
      <c r="I122" t="s">
        <v>1159</v>
      </c>
      <c r="J122" t="s">
        <v>1160</v>
      </c>
      <c r="O122" t="str" cm="1">
        <f t="array" ref="O122">INDEX(Grant[Country],MATCH(0,INDEX(COUNTIF($O$2:O121,Grant[Country]),),0))</f>
        <v>South Africa</v>
      </c>
      <c r="T122" s="1035" t="s">
        <v>3588</v>
      </c>
      <c r="U122" s="1035" t="s">
        <v>82</v>
      </c>
      <c r="Y122" s="1035" t="s">
        <v>395</v>
      </c>
      <c r="Z122" s="1035" t="s">
        <v>1037</v>
      </c>
      <c r="AB122" s="1035" t="s">
        <v>1211</v>
      </c>
      <c r="AC122" s="1035" t="s">
        <v>1075</v>
      </c>
      <c r="AK122" t="str">
        <v>Zambia</v>
      </c>
      <c r="AO122" t="str">
        <v>International Charitable Foundation “Alliance for Public Health”</v>
      </c>
      <c r="AU122" s="1035" t="s">
        <v>395</v>
      </c>
      <c r="AV122" s="1035" t="s">
        <v>187</v>
      </c>
      <c r="AW122" s="1035" t="s">
        <v>82</v>
      </c>
      <c r="AX122" s="1035" t="s">
        <v>1050</v>
      </c>
    </row>
    <row r="123" spans="1:50" x14ac:dyDescent="0.35">
      <c r="A123">
        <v>50</v>
      </c>
      <c r="B123" t="s">
        <v>410</v>
      </c>
      <c r="C123">
        <v>2</v>
      </c>
      <c r="D123" t="s">
        <v>367</v>
      </c>
      <c r="E123">
        <v>2</v>
      </c>
      <c r="F123" t="s">
        <v>39</v>
      </c>
      <c r="G123" t="s">
        <v>1162</v>
      </c>
      <c r="H123" t="s">
        <v>1031</v>
      </c>
      <c r="I123" t="s">
        <v>1163</v>
      </c>
      <c r="J123" t="s">
        <v>1164</v>
      </c>
      <c r="O123" t="str" cm="1">
        <f t="array" ref="O123">INDEX(Grant[Country],MATCH(0,INDEX(COUNTIF($O$2:O122,Grant[Country]),),0))</f>
        <v>Zambia</v>
      </c>
      <c r="T123" s="1035" t="s">
        <v>3580</v>
      </c>
      <c r="U123" s="1035" t="s">
        <v>82</v>
      </c>
      <c r="Y123" s="1035" t="s">
        <v>395</v>
      </c>
      <c r="Z123" s="1035" t="s">
        <v>1040</v>
      </c>
      <c r="AB123" s="1035" t="s">
        <v>1216</v>
      </c>
      <c r="AC123" s="1035" t="s">
        <v>3382</v>
      </c>
      <c r="AK123" t="str">
        <v>Zanzibar</v>
      </c>
      <c r="AO123" t="str">
        <v>International Charitable Foundation “Alliance for Public Health”</v>
      </c>
      <c r="AU123" s="1035" t="s">
        <v>395</v>
      </c>
      <c r="AV123" s="1035" t="s">
        <v>2004</v>
      </c>
      <c r="AW123" s="1035" t="s">
        <v>82</v>
      </c>
      <c r="AX123" s="1035" t="s">
        <v>3368</v>
      </c>
    </row>
    <row r="124" spans="1:50" x14ac:dyDescent="0.35">
      <c r="A124">
        <v>164</v>
      </c>
      <c r="B124" t="s">
        <v>412</v>
      </c>
      <c r="C124">
        <v>1</v>
      </c>
      <c r="D124" t="s">
        <v>82</v>
      </c>
      <c r="E124">
        <v>1</v>
      </c>
      <c r="F124" t="s">
        <v>36</v>
      </c>
      <c r="G124" t="s">
        <v>1181</v>
      </c>
      <c r="H124" t="s">
        <v>1047</v>
      </c>
      <c r="I124" t="s">
        <v>1182</v>
      </c>
      <c r="J124" t="s">
        <v>1183</v>
      </c>
      <c r="O124" t="str" cm="1">
        <f t="array" ref="O124">INDEX(Grant[Country],MATCH(0,INDEX(COUNTIF($O$2:O123,Grant[Country]),),0))</f>
        <v>Zimbabwe</v>
      </c>
      <c r="T124" s="1035" t="s">
        <v>489</v>
      </c>
      <c r="U124" s="1035" t="s">
        <v>82</v>
      </c>
      <c r="Y124" s="1035" t="s">
        <v>395</v>
      </c>
      <c r="Z124" s="1035" t="s">
        <v>1042</v>
      </c>
      <c r="AB124" s="1035" t="s">
        <v>1213</v>
      </c>
      <c r="AC124" s="1035" t="s">
        <v>1039</v>
      </c>
      <c r="AK124" t="str">
        <v>Zimbabwe</v>
      </c>
      <c r="AO124" t="str">
        <v>International Organization for Migration</v>
      </c>
      <c r="AU124" s="1035" t="s">
        <v>395</v>
      </c>
      <c r="AV124" s="1035" t="s">
        <v>39</v>
      </c>
      <c r="AW124" s="1035" t="s">
        <v>82</v>
      </c>
      <c r="AX124" s="1035" t="s">
        <v>1037</v>
      </c>
    </row>
    <row r="125" spans="1:50" x14ac:dyDescent="0.35">
      <c r="A125">
        <v>164</v>
      </c>
      <c r="B125" t="s">
        <v>412</v>
      </c>
      <c r="C125">
        <v>1</v>
      </c>
      <c r="D125" t="s">
        <v>82</v>
      </c>
      <c r="E125">
        <v>2</v>
      </c>
      <c r="F125" t="s">
        <v>39</v>
      </c>
      <c r="G125" t="s">
        <v>1181</v>
      </c>
      <c r="H125" t="s">
        <v>1047</v>
      </c>
      <c r="I125" t="s">
        <v>1185</v>
      </c>
      <c r="J125" t="s">
        <v>1186</v>
      </c>
      <c r="O125" cm="1">
        <f t="array" ref="O125">INDEX(Grant[Country],MATCH(0,INDEX(COUNTIF($O$2:O124,Grant[Country]),),0))</f>
        <v>0</v>
      </c>
      <c r="T125" s="1035" t="s">
        <v>490</v>
      </c>
      <c r="U125" s="1035" t="s">
        <v>82</v>
      </c>
      <c r="Y125" s="1035" t="s">
        <v>395</v>
      </c>
      <c r="Z125" s="1035" t="s">
        <v>3368</v>
      </c>
      <c r="AB125" s="1035" t="s">
        <v>1169</v>
      </c>
      <c r="AC125" s="1035" t="s">
        <v>1036</v>
      </c>
      <c r="AO125" t="str">
        <v>International Organization for Migration</v>
      </c>
      <c r="AU125" s="1035" t="s">
        <v>395</v>
      </c>
      <c r="AV125" s="1035" t="s">
        <v>39</v>
      </c>
      <c r="AW125" s="1035" t="s">
        <v>82</v>
      </c>
      <c r="AX125" s="1035" t="s">
        <v>1040</v>
      </c>
    </row>
    <row r="126" spans="1:50" x14ac:dyDescent="0.35">
      <c r="A126">
        <v>69</v>
      </c>
      <c r="B126" t="s">
        <v>413</v>
      </c>
      <c r="C126">
        <v>1</v>
      </c>
      <c r="D126" t="s">
        <v>82</v>
      </c>
      <c r="E126">
        <v>4</v>
      </c>
      <c r="F126" t="s">
        <v>187</v>
      </c>
      <c r="G126" t="s">
        <v>3378</v>
      </c>
      <c r="H126" t="s">
        <v>3379</v>
      </c>
      <c r="I126" t="s">
        <v>3380</v>
      </c>
      <c r="J126" t="s">
        <v>3381</v>
      </c>
      <c r="O126" t="e" cm="1">
        <f t="array" ref="O126">INDEX(Grant[Country],MATCH(0,INDEX(COUNTIF($O$2:O125,Grant[Country]),),0))</f>
        <v>#N/A</v>
      </c>
      <c r="T126" s="1035" t="s">
        <v>491</v>
      </c>
      <c r="U126" s="1035" t="s">
        <v>82</v>
      </c>
      <c r="Y126" s="1035" t="s">
        <v>396</v>
      </c>
      <c r="Z126" s="1035" t="s">
        <v>1058</v>
      </c>
      <c r="AB126" s="1035" t="s">
        <v>1179</v>
      </c>
      <c r="AC126" s="1035" t="s">
        <v>1044</v>
      </c>
      <c r="AO126" t="str">
        <v>International Union Against Tuberculosis and Lung Disease</v>
      </c>
      <c r="AU126" s="1035" t="s">
        <v>396</v>
      </c>
      <c r="AV126" s="1035" t="s">
        <v>36</v>
      </c>
      <c r="AW126" s="1035" t="s">
        <v>82</v>
      </c>
      <c r="AX126" s="1035" t="s">
        <v>1058</v>
      </c>
    </row>
    <row r="127" spans="1:50" x14ac:dyDescent="0.35">
      <c r="A127">
        <v>69</v>
      </c>
      <c r="B127" t="s">
        <v>413</v>
      </c>
      <c r="C127">
        <v>1</v>
      </c>
      <c r="D127" t="s">
        <v>82</v>
      </c>
      <c r="E127">
        <v>4</v>
      </c>
      <c r="F127" t="s">
        <v>187</v>
      </c>
      <c r="G127" t="s">
        <v>1189</v>
      </c>
      <c r="H127" t="s">
        <v>1054</v>
      </c>
      <c r="I127" t="s">
        <v>1198</v>
      </c>
      <c r="J127" t="s">
        <v>1193</v>
      </c>
      <c r="O127" t="e" cm="1">
        <f t="array" ref="O127">INDEX(Grant[Country],MATCH(0,INDEX(COUNTIF($O$2:O126,Grant[Country]),),0))</f>
        <v>#N/A</v>
      </c>
      <c r="T127" s="1035" t="s">
        <v>492</v>
      </c>
      <c r="U127" s="1035" t="s">
        <v>82</v>
      </c>
      <c r="Y127" s="1035" t="s">
        <v>397</v>
      </c>
      <c r="Z127" s="1035" t="s">
        <v>3224</v>
      </c>
      <c r="AB127" s="1035" t="s">
        <v>1168</v>
      </c>
      <c r="AC127" s="1035" t="s">
        <v>1036</v>
      </c>
      <c r="AO127" t="str">
        <v>Kazakh scientific center of dermatology and infectious diseases of the Ministry of Health of the Republic of Kazakhstan</v>
      </c>
      <c r="AU127" s="1035" t="s">
        <v>397</v>
      </c>
      <c r="AV127" s="1035" t="s">
        <v>36</v>
      </c>
      <c r="AW127" s="1035" t="s">
        <v>367</v>
      </c>
      <c r="AX127" s="1035" t="s">
        <v>3224</v>
      </c>
    </row>
    <row r="128" spans="1:50" x14ac:dyDescent="0.35">
      <c r="A128">
        <v>69</v>
      </c>
      <c r="B128" t="s">
        <v>413</v>
      </c>
      <c r="C128">
        <v>1</v>
      </c>
      <c r="D128" t="s">
        <v>82</v>
      </c>
      <c r="E128">
        <v>1</v>
      </c>
      <c r="F128" t="s">
        <v>36</v>
      </c>
      <c r="G128" t="s">
        <v>1190</v>
      </c>
      <c r="H128" t="s">
        <v>1055</v>
      </c>
      <c r="I128" t="s">
        <v>1191</v>
      </c>
      <c r="J128" t="s">
        <v>1192</v>
      </c>
      <c r="O128" t="e" cm="1">
        <f t="array" ref="O128">INDEX(Grant[Country],MATCH(0,INDEX(COUNTIF($O$2:O127,Grant[Country]),),0))</f>
        <v>#N/A</v>
      </c>
      <c r="T128" s="1035" t="s">
        <v>185</v>
      </c>
      <c r="U128" s="1035" t="s">
        <v>185</v>
      </c>
      <c r="Y128" s="1035" t="s">
        <v>397</v>
      </c>
      <c r="Z128" s="1035" t="s">
        <v>1062</v>
      </c>
      <c r="AB128" s="1035" t="s">
        <v>1172</v>
      </c>
      <c r="AC128" s="1035" t="s">
        <v>1044</v>
      </c>
      <c r="AO128" t="str">
        <v>Kenya Red Cross Society</v>
      </c>
      <c r="AU128" s="1035" t="s">
        <v>397</v>
      </c>
      <c r="AV128" s="1035" t="s">
        <v>36</v>
      </c>
      <c r="AW128" s="1035" t="s">
        <v>367</v>
      </c>
      <c r="AX128" s="1035" t="s">
        <v>1061</v>
      </c>
    </row>
    <row r="129" spans="1:50" x14ac:dyDescent="0.35">
      <c r="A129">
        <v>69</v>
      </c>
      <c r="B129" t="s">
        <v>413</v>
      </c>
      <c r="C129">
        <v>1</v>
      </c>
      <c r="D129" t="s">
        <v>82</v>
      </c>
      <c r="E129">
        <v>3</v>
      </c>
      <c r="F129" t="s">
        <v>37</v>
      </c>
      <c r="G129" t="s">
        <v>1194</v>
      </c>
      <c r="H129" t="s">
        <v>1051</v>
      </c>
      <c r="I129" t="s">
        <v>1195</v>
      </c>
      <c r="J129" t="s">
        <v>1188</v>
      </c>
      <c r="O129" t="e" cm="1">
        <f t="array" ref="O129">INDEX(Grant[Country],MATCH(0,INDEX(COUNTIF($O$2:O128,Grant[Country]),),0))</f>
        <v>#N/A</v>
      </c>
      <c r="T129" s="1035" t="s">
        <v>1618</v>
      </c>
      <c r="Y129" s="1035" t="s">
        <v>397</v>
      </c>
      <c r="Z129" s="1035" t="s">
        <v>1061</v>
      </c>
      <c r="AB129" s="1035" t="s">
        <v>1176</v>
      </c>
      <c r="AC129" s="1035" t="s">
        <v>3383</v>
      </c>
      <c r="AO129" t="str">
        <v>Konsorsium Komunitas PENABULU-STPI</v>
      </c>
      <c r="AU129" s="1035" t="s">
        <v>397</v>
      </c>
      <c r="AV129" s="1035" t="s">
        <v>36</v>
      </c>
      <c r="AW129" s="1035" t="s">
        <v>367</v>
      </c>
      <c r="AX129" s="1035" t="s">
        <v>1065</v>
      </c>
    </row>
    <row r="130" spans="1:50" x14ac:dyDescent="0.35">
      <c r="A130">
        <v>69</v>
      </c>
      <c r="B130" t="s">
        <v>413</v>
      </c>
      <c r="C130">
        <v>1</v>
      </c>
      <c r="D130" t="s">
        <v>82</v>
      </c>
      <c r="E130">
        <v>3</v>
      </c>
      <c r="F130" t="s">
        <v>37</v>
      </c>
      <c r="G130" t="s">
        <v>1189</v>
      </c>
      <c r="H130" t="s">
        <v>1054</v>
      </c>
      <c r="I130" t="s">
        <v>1196</v>
      </c>
      <c r="J130" t="s">
        <v>1197</v>
      </c>
      <c r="O130" t="e" cm="1">
        <f t="array" ref="O130">INDEX(Grant[Country],MATCH(0,INDEX(COUNTIF($O$2:O129,Grant[Country]),),0))</f>
        <v>#N/A</v>
      </c>
      <c r="Y130" s="1035" t="s">
        <v>397</v>
      </c>
      <c r="Z130" s="1035" t="s">
        <v>1065</v>
      </c>
      <c r="AB130" s="1035" t="s">
        <v>1227</v>
      </c>
      <c r="AC130" s="1035" t="s">
        <v>1083</v>
      </c>
      <c r="AO130" t="str">
        <v>La Croix-Rouge française</v>
      </c>
      <c r="AU130" s="1035" t="s">
        <v>397</v>
      </c>
      <c r="AV130" s="1035" t="s">
        <v>37</v>
      </c>
      <c r="AW130" s="1035" t="s">
        <v>367</v>
      </c>
      <c r="AX130" s="1035" t="s">
        <v>1068</v>
      </c>
    </row>
    <row r="131" spans="1:50" x14ac:dyDescent="0.35">
      <c r="A131">
        <v>70</v>
      </c>
      <c r="B131" t="s">
        <v>415</v>
      </c>
      <c r="C131">
        <v>1</v>
      </c>
      <c r="D131" t="s">
        <v>82</v>
      </c>
      <c r="E131">
        <v>4</v>
      </c>
      <c r="F131" t="s">
        <v>187</v>
      </c>
      <c r="G131" t="s">
        <v>1222</v>
      </c>
      <c r="H131" t="s">
        <v>827</v>
      </c>
      <c r="I131" t="s">
        <v>1223</v>
      </c>
      <c r="J131" t="s">
        <v>1218</v>
      </c>
      <c r="O131" t="e" cm="1">
        <f t="array" ref="O131">INDEX(Grant[Country],MATCH(0,INDEX(COUNTIF($O$2:O130,Grant[Country]),),0))</f>
        <v>#N/A</v>
      </c>
      <c r="Y131" s="1035" t="s">
        <v>397</v>
      </c>
      <c r="Z131" s="1035" t="s">
        <v>1068</v>
      </c>
      <c r="AB131" s="1035" t="s">
        <v>1229</v>
      </c>
      <c r="AC131" s="1035" t="s">
        <v>1079</v>
      </c>
      <c r="AO131" t="str">
        <v>La Croix-Rouge française</v>
      </c>
      <c r="AU131" s="1035" t="s">
        <v>397</v>
      </c>
      <c r="AV131" s="1035" t="s">
        <v>37</v>
      </c>
      <c r="AW131" s="1035" t="s">
        <v>367</v>
      </c>
      <c r="AX131" s="1035" t="s">
        <v>1072</v>
      </c>
    </row>
    <row r="132" spans="1:50" x14ac:dyDescent="0.35">
      <c r="A132">
        <v>70</v>
      </c>
      <c r="B132" t="s">
        <v>415</v>
      </c>
      <c r="C132">
        <v>1</v>
      </c>
      <c r="D132" t="s">
        <v>82</v>
      </c>
      <c r="E132">
        <v>1</v>
      </c>
      <c r="F132" t="s">
        <v>36</v>
      </c>
      <c r="G132" t="s">
        <v>1209</v>
      </c>
      <c r="H132" t="s">
        <v>1075</v>
      </c>
      <c r="I132" t="s">
        <v>1210</v>
      </c>
      <c r="J132" t="s">
        <v>1211</v>
      </c>
      <c r="O132" t="e" cm="1">
        <f t="array" ref="O132">INDEX(Grant[Country],MATCH(0,INDEX(COUNTIF($O$2:O131,Grant[Country]),),0))</f>
        <v>#N/A</v>
      </c>
      <c r="Y132" s="1035" t="s">
        <v>397</v>
      </c>
      <c r="Z132" s="1035" t="s">
        <v>1072</v>
      </c>
      <c r="AB132" s="1035" t="s">
        <v>1231</v>
      </c>
      <c r="AC132" s="1035" t="s">
        <v>1083</v>
      </c>
      <c r="AO132" t="str">
        <v>La Croix-Rouge française</v>
      </c>
      <c r="AU132" s="1035" t="s">
        <v>397</v>
      </c>
      <c r="AV132" s="1035" t="s">
        <v>187</v>
      </c>
      <c r="AW132" s="1035" t="s">
        <v>367</v>
      </c>
      <c r="AX132" s="1035" t="s">
        <v>1062</v>
      </c>
    </row>
    <row r="133" spans="1:50" x14ac:dyDescent="0.35">
      <c r="A133">
        <v>70</v>
      </c>
      <c r="B133" t="s">
        <v>415</v>
      </c>
      <c r="C133">
        <v>1</v>
      </c>
      <c r="D133" t="s">
        <v>82</v>
      </c>
      <c r="E133">
        <v>1</v>
      </c>
      <c r="F133" t="s">
        <v>36</v>
      </c>
      <c r="G133" t="s">
        <v>1214</v>
      </c>
      <c r="H133" t="s">
        <v>3382</v>
      </c>
      <c r="I133" t="s">
        <v>1215</v>
      </c>
      <c r="J133" t="s">
        <v>1216</v>
      </c>
      <c r="O133" t="e" cm="1">
        <f t="array" ref="O133">INDEX(Grant[Country],MATCH(0,INDEX(COUNTIF($O$2:O132,Grant[Country]),),0))</f>
        <v>#N/A</v>
      </c>
      <c r="Y133" s="1035" t="s">
        <v>397</v>
      </c>
      <c r="Z133" s="1035" t="s">
        <v>1070</v>
      </c>
      <c r="AB133" s="1035" t="s">
        <v>1235</v>
      </c>
      <c r="AC133" s="1035" t="s">
        <v>772</v>
      </c>
      <c r="AO133" t="str">
        <v>Lagos State Ministry of Health</v>
      </c>
      <c r="AU133" s="1035" t="s">
        <v>397</v>
      </c>
      <c r="AV133" s="1035" t="s">
        <v>2004</v>
      </c>
      <c r="AW133" s="1035" t="s">
        <v>367</v>
      </c>
      <c r="AX133" s="1035" t="s">
        <v>3366</v>
      </c>
    </row>
    <row r="134" spans="1:50" x14ac:dyDescent="0.35">
      <c r="A134">
        <v>70</v>
      </c>
      <c r="B134" t="s">
        <v>415</v>
      </c>
      <c r="C134">
        <v>1</v>
      </c>
      <c r="D134" t="s">
        <v>82</v>
      </c>
      <c r="E134">
        <v>3</v>
      </c>
      <c r="F134" t="s">
        <v>37</v>
      </c>
      <c r="G134" t="s">
        <v>1219</v>
      </c>
      <c r="H134" t="s">
        <v>1039</v>
      </c>
      <c r="I134" t="s">
        <v>1220</v>
      </c>
      <c r="J134" t="s">
        <v>1213</v>
      </c>
      <c r="O134" t="e" cm="1">
        <f t="array" ref="O134">INDEX(Grant[Country],MATCH(0,INDEX(COUNTIF($O$2:O133,Grant[Country]),),0))</f>
        <v>#N/A</v>
      </c>
      <c r="Y134" s="1035" t="s">
        <v>397</v>
      </c>
      <c r="Z134" s="1035" t="s">
        <v>1076</v>
      </c>
      <c r="AB134" s="1035" t="s">
        <v>3236</v>
      </c>
      <c r="AC134" s="1035" t="s">
        <v>1079</v>
      </c>
      <c r="AO134" t="str">
        <v>Lagos State Ministry of Health</v>
      </c>
      <c r="AU134" s="1035" t="s">
        <v>397</v>
      </c>
      <c r="AV134" s="1035" t="s">
        <v>39</v>
      </c>
      <c r="AW134" s="1035" t="s">
        <v>367</v>
      </c>
      <c r="AX134" s="1035" t="s">
        <v>1070</v>
      </c>
    </row>
    <row r="135" spans="1:50" x14ac:dyDescent="0.35">
      <c r="A135">
        <v>68</v>
      </c>
      <c r="B135" t="s">
        <v>411</v>
      </c>
      <c r="C135">
        <v>1</v>
      </c>
      <c r="D135" t="s">
        <v>82</v>
      </c>
      <c r="E135">
        <v>4</v>
      </c>
      <c r="F135" t="s">
        <v>187</v>
      </c>
      <c r="G135" t="s">
        <v>1166</v>
      </c>
      <c r="H135" t="s">
        <v>1036</v>
      </c>
      <c r="I135" t="s">
        <v>1178</v>
      </c>
      <c r="J135" t="s">
        <v>1169</v>
      </c>
      <c r="O135" t="e" cm="1">
        <f t="array" ref="O135">INDEX(Grant[Country],MATCH(0,INDEX(COUNTIF($O$2:O134,Grant[Country]),),0))</f>
        <v>#N/A</v>
      </c>
      <c r="Y135" s="1035" t="s">
        <v>397</v>
      </c>
      <c r="Z135" s="1035" t="s">
        <v>3366</v>
      </c>
      <c r="AB135" s="1035" t="s">
        <v>3232</v>
      </c>
      <c r="AC135" s="1035" t="s">
        <v>3230</v>
      </c>
      <c r="AO135" t="str">
        <v>Lubombo Spatial Development Initiative 2 NPC</v>
      </c>
      <c r="AU135" s="1035" t="s">
        <v>397</v>
      </c>
      <c r="AV135" s="1035" t="s">
        <v>39</v>
      </c>
      <c r="AW135" s="1035" t="s">
        <v>367</v>
      </c>
      <c r="AX135" s="1035" t="s">
        <v>1076</v>
      </c>
    </row>
    <row r="136" spans="1:50" x14ac:dyDescent="0.35">
      <c r="A136">
        <v>68</v>
      </c>
      <c r="B136" t="s">
        <v>411</v>
      </c>
      <c r="C136">
        <v>1</v>
      </c>
      <c r="D136" t="s">
        <v>82</v>
      </c>
      <c r="E136">
        <v>4</v>
      </c>
      <c r="F136" t="s">
        <v>187</v>
      </c>
      <c r="G136" t="s">
        <v>1170</v>
      </c>
      <c r="H136" t="s">
        <v>1044</v>
      </c>
      <c r="I136" t="s">
        <v>1180</v>
      </c>
      <c r="J136" t="s">
        <v>1179</v>
      </c>
      <c r="K136" t="s">
        <v>2701</v>
      </c>
      <c r="L136" t="s">
        <v>2702</v>
      </c>
      <c r="O136" t="e" cm="1">
        <f t="array" ref="O136">INDEX(Grant[Country],MATCH(0,INDEX(COUNTIF($O$2:O135,Grant[Country]),),0))</f>
        <v>#N/A</v>
      </c>
      <c r="Y136" s="1035" t="s">
        <v>399</v>
      </c>
      <c r="Z136" s="1035" t="s">
        <v>1082</v>
      </c>
      <c r="AB136" s="1035" t="s">
        <v>1201</v>
      </c>
      <c r="AC136" s="1035" t="s">
        <v>3384</v>
      </c>
      <c r="AO136" t="str">
        <v>Malaysian AIDS Council</v>
      </c>
      <c r="AU136" s="1035" t="s">
        <v>399</v>
      </c>
      <c r="AV136" s="1035" t="s">
        <v>36</v>
      </c>
      <c r="AW136" s="1035" t="s">
        <v>82</v>
      </c>
      <c r="AX136" s="1035" t="s">
        <v>1082</v>
      </c>
    </row>
    <row r="137" spans="1:50" x14ac:dyDescent="0.35">
      <c r="A137">
        <v>68</v>
      </c>
      <c r="B137" t="s">
        <v>411</v>
      </c>
      <c r="C137">
        <v>1</v>
      </c>
      <c r="D137" t="s">
        <v>82</v>
      </c>
      <c r="E137">
        <v>1</v>
      </c>
      <c r="F137" t="s">
        <v>36</v>
      </c>
      <c r="G137" t="s">
        <v>1166</v>
      </c>
      <c r="H137" t="s">
        <v>1036</v>
      </c>
      <c r="I137" t="s">
        <v>1167</v>
      </c>
      <c r="J137" t="s">
        <v>1168</v>
      </c>
      <c r="O137" t="e" cm="1">
        <f t="array" ref="O137">INDEX(Grant[Country],MATCH(0,INDEX(COUNTIF($O$2:O136,Grant[Country]),),0))</f>
        <v>#N/A</v>
      </c>
      <c r="Y137" s="1035" t="s">
        <v>400</v>
      </c>
      <c r="Z137" s="1035" t="s">
        <v>1088</v>
      </c>
      <c r="AB137" s="1035" t="s">
        <v>1205</v>
      </c>
      <c r="AC137" s="1035" t="s">
        <v>1069</v>
      </c>
      <c r="AO137" t="str">
        <v>Management Sciences for Health</v>
      </c>
      <c r="AU137" s="1035" t="s">
        <v>400</v>
      </c>
      <c r="AV137" s="1035" t="s">
        <v>37</v>
      </c>
      <c r="AW137" s="1035" t="s">
        <v>82</v>
      </c>
      <c r="AX137" s="1035" t="s">
        <v>1087</v>
      </c>
    </row>
    <row r="138" spans="1:50" x14ac:dyDescent="0.35">
      <c r="A138">
        <v>68</v>
      </c>
      <c r="B138" t="s">
        <v>411</v>
      </c>
      <c r="C138">
        <v>1</v>
      </c>
      <c r="D138" t="s">
        <v>82</v>
      </c>
      <c r="E138">
        <v>1</v>
      </c>
      <c r="F138" t="s">
        <v>36</v>
      </c>
      <c r="G138" t="s">
        <v>1170</v>
      </c>
      <c r="H138" t="s">
        <v>1044</v>
      </c>
      <c r="I138" t="s">
        <v>1171</v>
      </c>
      <c r="J138" t="s">
        <v>1172</v>
      </c>
      <c r="O138" t="e" cm="1">
        <f t="array" ref="O138">INDEX(Grant[Country],MATCH(0,INDEX(COUNTIF($O$2:O137,Grant[Country]),),0))</f>
        <v>#N/A</v>
      </c>
      <c r="Y138" s="1035" t="s">
        <v>400</v>
      </c>
      <c r="Z138" s="1035" t="s">
        <v>1087</v>
      </c>
      <c r="AB138" s="1035" t="s">
        <v>1208</v>
      </c>
      <c r="AC138" s="1035" t="s">
        <v>1069</v>
      </c>
      <c r="AO138" t="str">
        <v>Medical Care Development International</v>
      </c>
      <c r="AU138" s="1035" t="s">
        <v>400</v>
      </c>
      <c r="AV138" s="1035" t="s">
        <v>187</v>
      </c>
      <c r="AW138" s="1035" t="s">
        <v>82</v>
      </c>
      <c r="AX138" s="1035" t="s">
        <v>1088</v>
      </c>
    </row>
    <row r="139" spans="1:50" x14ac:dyDescent="0.35">
      <c r="A139">
        <v>68</v>
      </c>
      <c r="B139" t="s">
        <v>411</v>
      </c>
      <c r="C139">
        <v>1</v>
      </c>
      <c r="D139" t="s">
        <v>82</v>
      </c>
      <c r="E139">
        <v>3</v>
      </c>
      <c r="F139" t="s">
        <v>37</v>
      </c>
      <c r="G139" t="s">
        <v>1174</v>
      </c>
      <c r="H139" t="s">
        <v>3383</v>
      </c>
      <c r="I139" t="s">
        <v>1175</v>
      </c>
      <c r="J139" t="s">
        <v>1176</v>
      </c>
      <c r="O139" t="e" cm="1">
        <f t="array" ref="O139">INDEX(Grant[Country],MATCH(0,INDEX(COUNTIF($O$2:O138,Grant[Country]),),0))</f>
        <v>#N/A</v>
      </c>
      <c r="Y139" s="1035" t="s">
        <v>400</v>
      </c>
      <c r="Z139" s="1035" t="s">
        <v>3377</v>
      </c>
      <c r="AB139" s="1035" t="s">
        <v>1242</v>
      </c>
      <c r="AC139" s="1035" t="s">
        <v>3389</v>
      </c>
      <c r="AO139" t="str">
        <v>Mercy Corps</v>
      </c>
      <c r="AU139" s="1035" t="s">
        <v>400</v>
      </c>
      <c r="AV139" s="1035" t="s">
        <v>187</v>
      </c>
      <c r="AW139" s="1035" t="s">
        <v>82</v>
      </c>
      <c r="AX139" s="1035" t="s">
        <v>3377</v>
      </c>
    </row>
    <row r="140" spans="1:50" x14ac:dyDescent="0.35">
      <c r="A140">
        <v>71</v>
      </c>
      <c r="B140" t="s">
        <v>416</v>
      </c>
      <c r="C140">
        <v>1</v>
      </c>
      <c r="D140" t="s">
        <v>82</v>
      </c>
      <c r="E140">
        <v>1</v>
      </c>
      <c r="F140" t="s">
        <v>36</v>
      </c>
      <c r="G140" t="s">
        <v>1225</v>
      </c>
      <c r="H140" t="s">
        <v>1083</v>
      </c>
      <c r="I140" t="s">
        <v>1226</v>
      </c>
      <c r="J140" t="s">
        <v>1227</v>
      </c>
      <c r="O140" t="e" cm="1">
        <f t="array" ref="O140">INDEX(Grant[Country],MATCH(0,INDEX(COUNTIF($O$2:O139,Grant[Country]),),0))</f>
        <v>#N/A</v>
      </c>
      <c r="Y140" s="1035" t="s">
        <v>401</v>
      </c>
      <c r="Z140" s="1035" t="s">
        <v>1092</v>
      </c>
      <c r="AB140" s="1035" t="s">
        <v>1244</v>
      </c>
      <c r="AC140" s="1035" t="s">
        <v>3389</v>
      </c>
      <c r="AO140" t="str">
        <v>Ministère de la Santé et du Développement Social de la République du Mali</v>
      </c>
      <c r="AU140" s="1035" t="s">
        <v>401</v>
      </c>
      <c r="AV140" s="1035" t="s">
        <v>36</v>
      </c>
      <c r="AW140" s="1035" t="s">
        <v>82</v>
      </c>
      <c r="AX140" s="1035" t="s">
        <v>1092</v>
      </c>
    </row>
    <row r="141" spans="1:50" x14ac:dyDescent="0.35">
      <c r="A141">
        <v>71</v>
      </c>
      <c r="B141" t="s">
        <v>416</v>
      </c>
      <c r="C141">
        <v>2</v>
      </c>
      <c r="D141" t="s">
        <v>367</v>
      </c>
      <c r="E141">
        <v>4</v>
      </c>
      <c r="F141" t="s">
        <v>187</v>
      </c>
      <c r="G141" t="s">
        <v>1236</v>
      </c>
      <c r="H141" t="s">
        <v>1079</v>
      </c>
      <c r="I141" t="s">
        <v>1237</v>
      </c>
      <c r="J141" t="s">
        <v>1229</v>
      </c>
      <c r="O141" t="e" cm="1">
        <f t="array" ref="O141">INDEX(Grant[Country],MATCH(0,INDEX(COUNTIF($O$2:O140,Grant[Country]),),0))</f>
        <v>#N/A</v>
      </c>
      <c r="Y141" s="1035" t="s">
        <v>401</v>
      </c>
      <c r="Z141" s="1035" t="s">
        <v>1096</v>
      </c>
      <c r="AB141" s="1035" t="s">
        <v>1246</v>
      </c>
      <c r="AC141" s="1035" t="s">
        <v>3389</v>
      </c>
      <c r="AO141" t="str">
        <v>Ministère de la Santé et du Développement Social de la République du Mali</v>
      </c>
      <c r="AU141" s="1035" t="s">
        <v>401</v>
      </c>
      <c r="AV141" s="1035" t="s">
        <v>36</v>
      </c>
      <c r="AW141" s="1035" t="s">
        <v>82</v>
      </c>
      <c r="AX141" s="1035" t="s">
        <v>1096</v>
      </c>
    </row>
    <row r="142" spans="1:50" x14ac:dyDescent="0.35">
      <c r="A142">
        <v>71</v>
      </c>
      <c r="B142" t="s">
        <v>416</v>
      </c>
      <c r="C142">
        <v>2</v>
      </c>
      <c r="D142" t="s">
        <v>367</v>
      </c>
      <c r="E142">
        <v>1</v>
      </c>
      <c r="F142" t="s">
        <v>36</v>
      </c>
      <c r="G142" t="s">
        <v>1225</v>
      </c>
      <c r="H142" t="s">
        <v>1083</v>
      </c>
      <c r="I142" t="s">
        <v>1230</v>
      </c>
      <c r="J142" t="s">
        <v>1231</v>
      </c>
      <c r="O142" t="e" cm="1">
        <f t="array" ref="O142">INDEX(Grant[Country],MATCH(0,INDEX(COUNTIF($O$2:O141,Grant[Country]),),0))</f>
        <v>#N/A</v>
      </c>
      <c r="Y142" s="1035" t="s">
        <v>401</v>
      </c>
      <c r="Z142" s="1035" t="s">
        <v>1099</v>
      </c>
      <c r="AB142" s="1035" t="s">
        <v>1241</v>
      </c>
      <c r="AC142" s="1035" t="s">
        <v>3389</v>
      </c>
      <c r="AO142" t="str">
        <v>Ministère de la Santé Publique et de la Population (Unité de Gestion des Projets)</v>
      </c>
      <c r="AU142" s="1035" t="s">
        <v>401</v>
      </c>
      <c r="AV142" s="1035" t="s">
        <v>39</v>
      </c>
      <c r="AW142" s="1035" t="s">
        <v>82</v>
      </c>
      <c r="AX142" s="1035" t="s">
        <v>1099</v>
      </c>
    </row>
    <row r="143" spans="1:50" x14ac:dyDescent="0.35">
      <c r="A143">
        <v>71</v>
      </c>
      <c r="B143" t="s">
        <v>416</v>
      </c>
      <c r="C143">
        <v>2</v>
      </c>
      <c r="D143" t="s">
        <v>367</v>
      </c>
      <c r="E143">
        <v>3</v>
      </c>
      <c r="F143" t="s">
        <v>37</v>
      </c>
      <c r="G143" t="s">
        <v>1233</v>
      </c>
      <c r="H143" t="s">
        <v>772</v>
      </c>
      <c r="I143" t="s">
        <v>1234</v>
      </c>
      <c r="J143" t="s">
        <v>1235</v>
      </c>
      <c r="O143" t="e" cm="1">
        <f t="array" ref="O143">INDEX(Grant[Country],MATCH(0,INDEX(COUNTIF($O$2:O142,Grant[Country]),),0))</f>
        <v>#N/A</v>
      </c>
      <c r="Y143" s="1035" t="s">
        <v>3584</v>
      </c>
      <c r="Z143" s="1035" t="s">
        <v>3489</v>
      </c>
      <c r="AB143" s="1035" t="s">
        <v>1262</v>
      </c>
      <c r="AC143" s="1035" t="s">
        <v>1093</v>
      </c>
      <c r="AO143" t="str">
        <v>Ministry of Finance and Planning of the United Republic of Tanzania</v>
      </c>
      <c r="AU143" s="1035" t="s">
        <v>3584</v>
      </c>
      <c r="AV143" s="1035" t="s">
        <v>39</v>
      </c>
      <c r="AW143" s="1035" t="s">
        <v>82</v>
      </c>
      <c r="AX143" s="1035" t="s">
        <v>3489</v>
      </c>
    </row>
    <row r="144" spans="1:50" x14ac:dyDescent="0.35">
      <c r="A144">
        <v>71</v>
      </c>
      <c r="B144" t="s">
        <v>416</v>
      </c>
      <c r="C144">
        <v>2</v>
      </c>
      <c r="D144" t="s">
        <v>367</v>
      </c>
      <c r="E144">
        <v>2</v>
      </c>
      <c r="F144" t="s">
        <v>39</v>
      </c>
      <c r="G144" t="s">
        <v>1236</v>
      </c>
      <c r="H144" t="s">
        <v>1079</v>
      </c>
      <c r="I144" t="s">
        <v>3235</v>
      </c>
      <c r="J144" t="s">
        <v>3236</v>
      </c>
      <c r="O144" t="e" cm="1">
        <f t="array" ref="O144">INDEX(Grant[Country],MATCH(0,INDEX(COUNTIF($O$2:O143,Grant[Country]),),0))</f>
        <v>#N/A</v>
      </c>
      <c r="Y144" s="1035" t="s">
        <v>402</v>
      </c>
      <c r="Z144" s="1035" t="s">
        <v>3228</v>
      </c>
      <c r="AB144" s="1035" t="s">
        <v>1264</v>
      </c>
      <c r="AC144" s="1035" t="s">
        <v>1093</v>
      </c>
      <c r="AO144" t="str">
        <v>Ministry of Finance and Planning of the United Republic of Tanzania</v>
      </c>
      <c r="AU144" s="1035" t="s">
        <v>402</v>
      </c>
      <c r="AV144" s="1035" t="s">
        <v>36</v>
      </c>
      <c r="AW144" s="1035" t="s">
        <v>82</v>
      </c>
      <c r="AX144" s="1035" t="s">
        <v>3228</v>
      </c>
    </row>
    <row r="145" spans="1:50" x14ac:dyDescent="0.35">
      <c r="A145">
        <v>49</v>
      </c>
      <c r="B145" t="s">
        <v>405</v>
      </c>
      <c r="C145">
        <v>1</v>
      </c>
      <c r="D145" t="s">
        <v>82</v>
      </c>
      <c r="E145">
        <v>3</v>
      </c>
      <c r="F145" t="s">
        <v>37</v>
      </c>
      <c r="G145" t="s">
        <v>3229</v>
      </c>
      <c r="H145" t="s">
        <v>3230</v>
      </c>
      <c r="I145" t="s">
        <v>3231</v>
      </c>
      <c r="J145" t="s">
        <v>3232</v>
      </c>
      <c r="O145" t="e" cm="1">
        <f t="array" ref="O145">INDEX(Grant[Country],MATCH(0,INDEX(COUNTIF($O$2:O144,Grant[Country]),),0))</f>
        <v>#N/A</v>
      </c>
      <c r="Y145" s="1035" t="s">
        <v>402</v>
      </c>
      <c r="Z145" s="1035" t="s">
        <v>1102</v>
      </c>
      <c r="AB145" s="1035" t="s">
        <v>1254</v>
      </c>
      <c r="AC145" s="1035" t="s">
        <v>937</v>
      </c>
      <c r="AO145" t="str">
        <v>Ministry of Finance and Planning of the United Republic of Tanzania</v>
      </c>
      <c r="AU145" s="1035" t="s">
        <v>402</v>
      </c>
      <c r="AV145" s="1035" t="s">
        <v>36</v>
      </c>
      <c r="AW145" s="1035" t="s">
        <v>82</v>
      </c>
      <c r="AX145" s="1035" t="s">
        <v>1102</v>
      </c>
    </row>
    <row r="146" spans="1:50" x14ac:dyDescent="0.35">
      <c r="A146">
        <v>83</v>
      </c>
      <c r="B146" t="s">
        <v>414</v>
      </c>
      <c r="C146">
        <v>1</v>
      </c>
      <c r="D146" t="s">
        <v>82</v>
      </c>
      <c r="E146">
        <v>1</v>
      </c>
      <c r="F146" t="s">
        <v>36</v>
      </c>
      <c r="G146" t="s">
        <v>1199</v>
      </c>
      <c r="H146" t="s">
        <v>3384</v>
      </c>
      <c r="I146" t="s">
        <v>1200</v>
      </c>
      <c r="J146" t="s">
        <v>1201</v>
      </c>
      <c r="O146" t="e" cm="1">
        <f t="array" ref="O146">INDEX(Grant[Country],MATCH(0,INDEX(COUNTIF($O$2:O145,Grant[Country]),),0))</f>
        <v>#N/A</v>
      </c>
      <c r="Y146" s="1035" t="s">
        <v>403</v>
      </c>
      <c r="Z146" s="1035" t="s">
        <v>1105</v>
      </c>
      <c r="AB146" s="1035" t="s">
        <v>1259</v>
      </c>
      <c r="AC146" s="1035" t="s">
        <v>789</v>
      </c>
      <c r="AO146" t="str">
        <v>Ministry of Finance of the Kingdom of Lesotho</v>
      </c>
      <c r="AU146" s="1035" t="s">
        <v>403</v>
      </c>
      <c r="AV146" s="1035" t="s">
        <v>187</v>
      </c>
      <c r="AW146" s="1035" t="s">
        <v>82</v>
      </c>
      <c r="AX146" s="1035" t="s">
        <v>1105</v>
      </c>
    </row>
    <row r="147" spans="1:50" x14ac:dyDescent="0.35">
      <c r="A147">
        <v>83</v>
      </c>
      <c r="B147" t="s">
        <v>414</v>
      </c>
      <c r="C147">
        <v>1</v>
      </c>
      <c r="D147" t="s">
        <v>82</v>
      </c>
      <c r="E147">
        <v>3</v>
      </c>
      <c r="F147" t="s">
        <v>37</v>
      </c>
      <c r="G147" t="s">
        <v>3385</v>
      </c>
      <c r="H147" t="s">
        <v>3386</v>
      </c>
      <c r="I147" t="s">
        <v>3387</v>
      </c>
      <c r="J147" t="s">
        <v>3388</v>
      </c>
      <c r="O147" t="e" cm="1">
        <f t="array" ref="O147">INDEX(Grant[Country],MATCH(0,INDEX(COUNTIF($O$2:O146,Grant[Country]),),0))</f>
        <v>#N/A</v>
      </c>
      <c r="Y147" s="1035" t="s">
        <v>404</v>
      </c>
      <c r="Z147" s="1035" t="s">
        <v>1109</v>
      </c>
      <c r="AB147" s="1035" t="s">
        <v>1249</v>
      </c>
      <c r="AC147" s="1035" t="s">
        <v>937</v>
      </c>
      <c r="AO147" t="str">
        <v>Ministry of Finance, Planning and Economic Development of the Republic of Uganda</v>
      </c>
      <c r="AU147" s="1035" t="s">
        <v>404</v>
      </c>
      <c r="AV147" s="1035" t="s">
        <v>36</v>
      </c>
      <c r="AW147" s="1035" t="s">
        <v>82</v>
      </c>
      <c r="AX147" s="1035" t="s">
        <v>1109</v>
      </c>
    </row>
    <row r="148" spans="1:50" x14ac:dyDescent="0.35">
      <c r="A148">
        <v>83</v>
      </c>
      <c r="B148" t="s">
        <v>414</v>
      </c>
      <c r="C148">
        <v>1</v>
      </c>
      <c r="D148" t="s">
        <v>82</v>
      </c>
      <c r="E148">
        <v>3</v>
      </c>
      <c r="F148" t="s">
        <v>37</v>
      </c>
      <c r="G148" t="s">
        <v>1203</v>
      </c>
      <c r="H148" t="s">
        <v>1069</v>
      </c>
      <c r="I148" t="s">
        <v>1204</v>
      </c>
      <c r="J148" t="s">
        <v>1205</v>
      </c>
      <c r="O148" t="e" cm="1">
        <f t="array" ref="O148">INDEX(Grant[Country],MATCH(0,INDEX(COUNTIF($O$2:O147,Grant[Country]),),0))</f>
        <v>#N/A</v>
      </c>
      <c r="Y148" s="1035" t="s">
        <v>404</v>
      </c>
      <c r="Z148" s="1035" t="s">
        <v>1113</v>
      </c>
      <c r="AB148" s="1035" t="s">
        <v>1253</v>
      </c>
      <c r="AC148" s="1035" t="s">
        <v>772</v>
      </c>
      <c r="AO148" t="str">
        <v>Ministry of Finance, Planning and Economic Development of the Republic of Uganda</v>
      </c>
      <c r="AU148" s="1035" t="s">
        <v>404</v>
      </c>
      <c r="AV148" s="1035" t="s">
        <v>36</v>
      </c>
      <c r="AW148" s="1035" t="s">
        <v>82</v>
      </c>
      <c r="AX148" s="1035" t="s">
        <v>3552</v>
      </c>
    </row>
    <row r="149" spans="1:50" x14ac:dyDescent="0.35">
      <c r="A149">
        <v>83</v>
      </c>
      <c r="B149" t="s">
        <v>414</v>
      </c>
      <c r="C149">
        <v>1</v>
      </c>
      <c r="D149" t="s">
        <v>82</v>
      </c>
      <c r="E149">
        <v>2</v>
      </c>
      <c r="F149" t="s">
        <v>39</v>
      </c>
      <c r="G149" t="s">
        <v>1203</v>
      </c>
      <c r="H149" t="s">
        <v>1069</v>
      </c>
      <c r="I149" t="s">
        <v>1207</v>
      </c>
      <c r="J149" t="s">
        <v>1208</v>
      </c>
      <c r="O149" t="e" cm="1">
        <f t="array" ref="O149">INDEX(Grant[Country],MATCH(0,INDEX(COUNTIF($O$2:O148,Grant[Country]),),0))</f>
        <v>#N/A</v>
      </c>
      <c r="Y149" s="1035" t="s">
        <v>404</v>
      </c>
      <c r="Z149" s="1035" t="s">
        <v>3548</v>
      </c>
      <c r="AB149" s="1035" t="s">
        <v>1250</v>
      </c>
      <c r="AC149" s="1035" t="s">
        <v>1084</v>
      </c>
      <c r="AO149" t="str">
        <v>Ministry of Finance, Planning and Economic Development of the Republic of Uganda</v>
      </c>
      <c r="AU149" s="1035" t="s">
        <v>404</v>
      </c>
      <c r="AV149" s="1035" t="s">
        <v>187</v>
      </c>
      <c r="AW149" s="1035" t="s">
        <v>82</v>
      </c>
      <c r="AX149" s="1035" t="s">
        <v>3548</v>
      </c>
    </row>
    <row r="150" spans="1:50" x14ac:dyDescent="0.35">
      <c r="A150">
        <v>100</v>
      </c>
      <c r="B150" t="s">
        <v>417</v>
      </c>
      <c r="C150">
        <v>1</v>
      </c>
      <c r="D150" t="s">
        <v>82</v>
      </c>
      <c r="E150">
        <v>4</v>
      </c>
      <c r="F150" t="s">
        <v>187</v>
      </c>
      <c r="G150" t="s">
        <v>1239</v>
      </c>
      <c r="H150" t="s">
        <v>3389</v>
      </c>
      <c r="I150" t="s">
        <v>3390</v>
      </c>
      <c r="J150" t="s">
        <v>3391</v>
      </c>
      <c r="O150" t="e" cm="1">
        <f t="array" ref="O150">INDEX(Grant[Country],MATCH(0,INDEX(COUNTIF($O$2:O149,Grant[Country]),),0))</f>
        <v>#N/A</v>
      </c>
      <c r="Y150" s="1035" t="s">
        <v>404</v>
      </c>
      <c r="Z150" s="1035" t="s">
        <v>3552</v>
      </c>
      <c r="AB150" s="1035" t="s">
        <v>1307</v>
      </c>
      <c r="AC150" s="1035" t="s">
        <v>1127</v>
      </c>
      <c r="AO150" t="str">
        <v>Ministry of Finance, Planning and Economic Development of the Republic of Uganda</v>
      </c>
      <c r="AU150" s="1035" t="s">
        <v>404</v>
      </c>
      <c r="AV150" s="1035" t="s">
        <v>39</v>
      </c>
      <c r="AW150" s="1035" t="s">
        <v>82</v>
      </c>
      <c r="AX150" s="1035" t="s">
        <v>1113</v>
      </c>
    </row>
    <row r="151" spans="1:50" x14ac:dyDescent="0.35">
      <c r="A151">
        <v>100</v>
      </c>
      <c r="B151" t="s">
        <v>417</v>
      </c>
      <c r="C151">
        <v>1</v>
      </c>
      <c r="D151" t="s">
        <v>82</v>
      </c>
      <c r="E151">
        <v>1</v>
      </c>
      <c r="F151" t="s">
        <v>36</v>
      </c>
      <c r="G151" t="s">
        <v>1239</v>
      </c>
      <c r="H151" t="s">
        <v>3389</v>
      </c>
      <c r="I151" t="s">
        <v>1243</v>
      </c>
      <c r="J151" t="s">
        <v>1242</v>
      </c>
      <c r="O151" t="e" cm="1">
        <f t="array" ref="O151">INDEX(Grant[Country],MATCH(0,INDEX(COUNTIF($O$2:O150,Grant[Country]),),0))</f>
        <v>#N/A</v>
      </c>
      <c r="Y151" s="1035" t="s">
        <v>405</v>
      </c>
      <c r="Z151" s="1035" t="s">
        <v>3232</v>
      </c>
      <c r="AB151" s="1035" t="s">
        <v>1311</v>
      </c>
      <c r="AC151" s="1035" t="s">
        <v>1137</v>
      </c>
      <c r="AO151" t="str">
        <v>Ministry of Health and Medical Services of the Republic of Fiji</v>
      </c>
      <c r="AU151" s="1035" t="s">
        <v>405</v>
      </c>
      <c r="AV151" s="1035" t="s">
        <v>37</v>
      </c>
      <c r="AW151" s="1035" t="s">
        <v>82</v>
      </c>
      <c r="AX151" s="1035" t="s">
        <v>3232</v>
      </c>
    </row>
    <row r="152" spans="1:50" x14ac:dyDescent="0.35">
      <c r="A152">
        <v>100</v>
      </c>
      <c r="B152" t="s">
        <v>417</v>
      </c>
      <c r="C152">
        <v>1</v>
      </c>
      <c r="D152" t="s">
        <v>82</v>
      </c>
      <c r="E152">
        <v>3</v>
      </c>
      <c r="F152" t="s">
        <v>37</v>
      </c>
      <c r="G152" t="s">
        <v>1239</v>
      </c>
      <c r="H152" t="s">
        <v>3389</v>
      </c>
      <c r="I152" t="s">
        <v>1245</v>
      </c>
      <c r="J152" t="s">
        <v>1244</v>
      </c>
      <c r="O152" t="e" cm="1">
        <f t="array" ref="O152">INDEX(Grant[Country],MATCH(0,INDEX(COUNTIF($O$2:O151,Grant[Country]),),0))</f>
        <v>#N/A</v>
      </c>
      <c r="Y152" s="1035" t="s">
        <v>406</v>
      </c>
      <c r="Z152" s="1035" t="s">
        <v>1118</v>
      </c>
      <c r="AB152" s="1035" t="s">
        <v>1313</v>
      </c>
      <c r="AC152" s="1035" t="s">
        <v>1127</v>
      </c>
      <c r="AO152" t="str">
        <v>Ministry of Health and Sanitation of Sierra Leone</v>
      </c>
      <c r="AU152" s="1035" t="s">
        <v>406</v>
      </c>
      <c r="AV152" s="1035" t="s">
        <v>36</v>
      </c>
      <c r="AW152" s="1035" t="s">
        <v>82</v>
      </c>
      <c r="AX152" s="1035" t="s">
        <v>1118</v>
      </c>
    </row>
    <row r="153" spans="1:50" x14ac:dyDescent="0.35">
      <c r="A153">
        <v>100</v>
      </c>
      <c r="B153" t="s">
        <v>417</v>
      </c>
      <c r="C153">
        <v>1</v>
      </c>
      <c r="D153" t="s">
        <v>82</v>
      </c>
      <c r="E153">
        <v>2</v>
      </c>
      <c r="F153" t="s">
        <v>39</v>
      </c>
      <c r="G153" t="s">
        <v>1239</v>
      </c>
      <c r="H153" t="s">
        <v>3389</v>
      </c>
      <c r="I153" t="s">
        <v>1247</v>
      </c>
      <c r="J153" t="s">
        <v>1246</v>
      </c>
      <c r="O153" t="e" cm="1">
        <f t="array" ref="O153">INDEX(Grant[Country],MATCH(0,INDEX(COUNTIF($O$2:O152,Grant[Country]),),0))</f>
        <v>#N/A</v>
      </c>
      <c r="Y153" s="1035" t="s">
        <v>406</v>
      </c>
      <c r="Z153" s="1035" t="s">
        <v>1121</v>
      </c>
      <c r="AB153" s="1035" t="s">
        <v>1318</v>
      </c>
      <c r="AC153" s="1035" t="s">
        <v>1134</v>
      </c>
      <c r="AO153" t="str">
        <v>Ministry of Health and Sanitation of Sierra Leone</v>
      </c>
      <c r="AU153" s="1035" t="s">
        <v>406</v>
      </c>
      <c r="AV153" s="1035" t="s">
        <v>37</v>
      </c>
      <c r="AW153" s="1035" t="s">
        <v>82</v>
      </c>
      <c r="AX153" s="1035" t="s">
        <v>1121</v>
      </c>
    </row>
    <row r="154" spans="1:50" x14ac:dyDescent="0.35">
      <c r="A154">
        <v>100</v>
      </c>
      <c r="B154" t="s">
        <v>417</v>
      </c>
      <c r="C154">
        <v>1</v>
      </c>
      <c r="D154" t="s">
        <v>82</v>
      </c>
      <c r="E154">
        <v>1</v>
      </c>
      <c r="F154" t="s">
        <v>36</v>
      </c>
      <c r="G154" t="s">
        <v>1239</v>
      </c>
      <c r="H154" t="s">
        <v>3389</v>
      </c>
      <c r="I154" t="s">
        <v>1240</v>
      </c>
      <c r="J154" t="s">
        <v>1241</v>
      </c>
      <c r="O154" t="e" cm="1">
        <f t="array" ref="O154">INDEX(Grant[Country],MATCH(0,INDEX(COUNTIF($O$2:O153,Grant[Country]),),0))</f>
        <v>#N/A</v>
      </c>
      <c r="Y154" s="1035" t="s">
        <v>406</v>
      </c>
      <c r="Z154" s="1035" t="s">
        <v>1124</v>
      </c>
      <c r="AB154" s="1035" t="s">
        <v>1308</v>
      </c>
      <c r="AC154" s="1035" t="s">
        <v>1125</v>
      </c>
      <c r="AO154" t="str">
        <v>Ministry of Health and Social Action of the Republic of Senegal</v>
      </c>
      <c r="AU154" s="1035" t="s">
        <v>406</v>
      </c>
      <c r="AV154" s="1035" t="s">
        <v>39</v>
      </c>
      <c r="AW154" s="1035" t="s">
        <v>82</v>
      </c>
      <c r="AX154" s="1035" t="s">
        <v>1124</v>
      </c>
    </row>
    <row r="155" spans="1:50" x14ac:dyDescent="0.35">
      <c r="A155">
        <v>84</v>
      </c>
      <c r="B155" t="s">
        <v>419</v>
      </c>
      <c r="C155">
        <v>1</v>
      </c>
      <c r="D155" t="s">
        <v>82</v>
      </c>
      <c r="E155">
        <v>4</v>
      </c>
      <c r="F155" t="s">
        <v>187</v>
      </c>
      <c r="G155" t="s">
        <v>1260</v>
      </c>
      <c r="H155" t="s">
        <v>1093</v>
      </c>
      <c r="I155" t="s">
        <v>1265</v>
      </c>
      <c r="J155" t="s">
        <v>1262</v>
      </c>
      <c r="O155" t="e" cm="1">
        <f t="array" ref="O155">INDEX(Grant[Country],MATCH(0,INDEX(COUNTIF($O$2:O154,Grant[Country]),),0))</f>
        <v>#N/A</v>
      </c>
      <c r="Y155" s="1035" t="s">
        <v>1005</v>
      </c>
      <c r="Z155" s="1035" t="s">
        <v>1128</v>
      </c>
      <c r="AB155" s="1035" t="s">
        <v>1315</v>
      </c>
      <c r="AC155" s="1035" t="s">
        <v>1127</v>
      </c>
      <c r="AO155" t="str">
        <v>Ministry of Health and Social Action of the Republic of Senegal</v>
      </c>
      <c r="AU155" s="1035" t="s">
        <v>1005</v>
      </c>
      <c r="AV155" s="1035" t="s">
        <v>36</v>
      </c>
      <c r="AW155" s="1035" t="s">
        <v>82</v>
      </c>
      <c r="AX155" s="1035" t="s">
        <v>3234</v>
      </c>
    </row>
    <row r="156" spans="1:50" x14ac:dyDescent="0.35">
      <c r="A156">
        <v>84</v>
      </c>
      <c r="B156" t="s">
        <v>419</v>
      </c>
      <c r="C156">
        <v>1</v>
      </c>
      <c r="D156" t="s">
        <v>82</v>
      </c>
      <c r="E156">
        <v>3</v>
      </c>
      <c r="F156" t="s">
        <v>37</v>
      </c>
      <c r="G156" t="s">
        <v>1260</v>
      </c>
      <c r="H156" t="s">
        <v>1093</v>
      </c>
      <c r="I156" t="s">
        <v>1263</v>
      </c>
      <c r="J156" t="s">
        <v>1264</v>
      </c>
      <c r="O156" t="e" cm="1">
        <f t="array" ref="O156">INDEX(Grant[Country],MATCH(0,INDEX(COUNTIF($O$2:O155,Grant[Country]),),0))</f>
        <v>#N/A</v>
      </c>
      <c r="Y156" s="1035" t="s">
        <v>1005</v>
      </c>
      <c r="Z156" s="1035" t="s">
        <v>1135</v>
      </c>
      <c r="AB156" s="1035" t="s">
        <v>1291</v>
      </c>
      <c r="AC156" s="1035" t="s">
        <v>3404</v>
      </c>
      <c r="AO156" t="str">
        <v>Ministry of Health and Social Action of the Republic of Senegal</v>
      </c>
      <c r="AU156" s="1035" t="s">
        <v>1005</v>
      </c>
      <c r="AV156" s="1035" t="s">
        <v>36</v>
      </c>
      <c r="AW156" s="1035" t="s">
        <v>82</v>
      </c>
      <c r="AX156" s="1035" t="s">
        <v>1131</v>
      </c>
    </row>
    <row r="157" spans="1:50" x14ac:dyDescent="0.35">
      <c r="A157">
        <v>118</v>
      </c>
      <c r="B157" t="s">
        <v>418</v>
      </c>
      <c r="C157">
        <v>1</v>
      </c>
      <c r="D157" t="s">
        <v>82</v>
      </c>
      <c r="E157">
        <v>4</v>
      </c>
      <c r="F157" t="s">
        <v>187</v>
      </c>
      <c r="G157" t="s">
        <v>1043</v>
      </c>
      <c r="H157" t="s">
        <v>937</v>
      </c>
      <c r="I157" t="s">
        <v>1257</v>
      </c>
      <c r="J157" t="s">
        <v>1254</v>
      </c>
      <c r="O157" t="e" cm="1">
        <f t="array" ref="O157">INDEX(Grant[Country],MATCH(0,INDEX(COUNTIF($O$2:O156,Grant[Country]),),0))</f>
        <v>#N/A</v>
      </c>
      <c r="Y157" s="1035" t="s">
        <v>1005</v>
      </c>
      <c r="Z157" s="1035" t="s">
        <v>3234</v>
      </c>
      <c r="AB157" s="1035" t="s">
        <v>1275</v>
      </c>
      <c r="AC157" s="1035" t="s">
        <v>1111</v>
      </c>
      <c r="AO157" t="str">
        <v>Ministry of Health and Social Assistance of the Republic of Guatemala</v>
      </c>
      <c r="AU157" s="1035" t="s">
        <v>1005</v>
      </c>
      <c r="AV157" s="1035" t="s">
        <v>37</v>
      </c>
      <c r="AW157" s="1035" t="s">
        <v>82</v>
      </c>
      <c r="AX157" s="1035" t="s">
        <v>1133</v>
      </c>
    </row>
    <row r="158" spans="1:50" x14ac:dyDescent="0.35">
      <c r="A158">
        <v>118</v>
      </c>
      <c r="B158" t="s">
        <v>418</v>
      </c>
      <c r="C158">
        <v>1</v>
      </c>
      <c r="D158" t="s">
        <v>82</v>
      </c>
      <c r="E158">
        <v>4</v>
      </c>
      <c r="F158" t="s">
        <v>187</v>
      </c>
      <c r="G158" t="s">
        <v>3392</v>
      </c>
      <c r="H158" t="s">
        <v>789</v>
      </c>
      <c r="I158" t="s">
        <v>3393</v>
      </c>
      <c r="J158" t="s">
        <v>1259</v>
      </c>
      <c r="O158" t="e" cm="1">
        <f t="array" ref="O158">INDEX(Grant[Country],MATCH(0,INDEX(COUNTIF($O$2:O157,Grant[Country]),),0))</f>
        <v>#N/A</v>
      </c>
      <c r="Y158" s="1035" t="s">
        <v>1005</v>
      </c>
      <c r="Z158" s="1035" t="s">
        <v>1131</v>
      </c>
      <c r="AB158" s="1035" t="s">
        <v>1271</v>
      </c>
      <c r="AC158" s="1035" t="s">
        <v>1106</v>
      </c>
      <c r="AO158" t="str">
        <v>Ministry of Health and Social Assistance of the Republic of Guatemala</v>
      </c>
      <c r="AU158" s="1035" t="s">
        <v>1005</v>
      </c>
      <c r="AV158" s="1035" t="s">
        <v>187</v>
      </c>
      <c r="AW158" s="1035" t="s">
        <v>82</v>
      </c>
      <c r="AX158" s="1035" t="s">
        <v>1128</v>
      </c>
    </row>
    <row r="159" spans="1:50" x14ac:dyDescent="0.35">
      <c r="A159">
        <v>118</v>
      </c>
      <c r="B159" t="s">
        <v>418</v>
      </c>
      <c r="C159">
        <v>1</v>
      </c>
      <c r="D159" t="s">
        <v>82</v>
      </c>
      <c r="E159">
        <v>3</v>
      </c>
      <c r="F159" t="s">
        <v>37</v>
      </c>
      <c r="G159" t="s">
        <v>1043</v>
      </c>
      <c r="H159" t="s">
        <v>937</v>
      </c>
      <c r="I159" t="s">
        <v>1248</v>
      </c>
      <c r="J159" t="s">
        <v>1249</v>
      </c>
      <c r="O159" t="e" cm="1">
        <f t="array" ref="O159">INDEX(Grant[Country],MATCH(0,INDEX(COUNTIF($O$2:O158,Grant[Country]),),0))</f>
        <v>#N/A</v>
      </c>
      <c r="Y159" s="1035" t="s">
        <v>1005</v>
      </c>
      <c r="Z159" s="1035" t="s">
        <v>1133</v>
      </c>
      <c r="AB159" s="1035" t="s">
        <v>1279</v>
      </c>
      <c r="AC159" s="1035" t="s">
        <v>1119</v>
      </c>
      <c r="AO159" t="str">
        <v>Ministry of Health and Social Services of Namibia</v>
      </c>
      <c r="AU159" s="1035" t="s">
        <v>1005</v>
      </c>
      <c r="AV159" s="1035" t="s">
        <v>187</v>
      </c>
      <c r="AW159" s="1035" t="s">
        <v>82</v>
      </c>
      <c r="AX159" s="1035" t="s">
        <v>1135</v>
      </c>
    </row>
    <row r="160" spans="1:50" x14ac:dyDescent="0.35">
      <c r="A160">
        <v>118</v>
      </c>
      <c r="B160" t="s">
        <v>418</v>
      </c>
      <c r="C160">
        <v>1</v>
      </c>
      <c r="D160" t="s">
        <v>82</v>
      </c>
      <c r="E160">
        <v>3</v>
      </c>
      <c r="F160" t="s">
        <v>37</v>
      </c>
      <c r="G160" t="s">
        <v>1251</v>
      </c>
      <c r="H160" t="s">
        <v>772</v>
      </c>
      <c r="I160" t="s">
        <v>1252</v>
      </c>
      <c r="J160" t="s">
        <v>1253</v>
      </c>
      <c r="O160" t="e" cm="1">
        <f t="array" ref="O160">INDEX(Grant[Country],MATCH(0,INDEX(COUNTIF($O$2:O159,Grant[Country]),),0))</f>
        <v>#N/A</v>
      </c>
      <c r="Y160" s="1035" t="s">
        <v>1005</v>
      </c>
      <c r="Z160" s="1035" t="s">
        <v>1140</v>
      </c>
      <c r="AB160" s="1035" t="s">
        <v>1284</v>
      </c>
      <c r="AC160" s="1035" t="s">
        <v>1122</v>
      </c>
      <c r="AO160" t="str">
        <v>Ministry of Health and Social Services of Namibia</v>
      </c>
      <c r="AU160" s="1035" t="s">
        <v>1005</v>
      </c>
      <c r="AV160" s="1035" t="s">
        <v>39</v>
      </c>
      <c r="AW160" s="1035" t="s">
        <v>82</v>
      </c>
      <c r="AX160" s="1035" t="s">
        <v>1140</v>
      </c>
    </row>
    <row r="161" spans="1:50" x14ac:dyDescent="0.35">
      <c r="A161">
        <v>118</v>
      </c>
      <c r="B161" t="s">
        <v>418</v>
      </c>
      <c r="C161">
        <v>1</v>
      </c>
      <c r="D161" t="s">
        <v>82</v>
      </c>
      <c r="E161">
        <v>6</v>
      </c>
      <c r="F161" t="s">
        <v>2004</v>
      </c>
      <c r="G161" t="s">
        <v>1255</v>
      </c>
      <c r="H161" t="s">
        <v>1084</v>
      </c>
      <c r="I161" t="s">
        <v>1256</v>
      </c>
      <c r="J161" t="s">
        <v>1250</v>
      </c>
      <c r="O161" t="e" cm="1">
        <f t="array" ref="O161">INDEX(Grant[Country],MATCH(0,INDEX(COUNTIF($O$2:O160,Grant[Country]),),0))</f>
        <v>#N/A</v>
      </c>
      <c r="Y161" s="1035" t="s">
        <v>408</v>
      </c>
      <c r="Z161" s="1035" t="s">
        <v>1143</v>
      </c>
      <c r="AB161" s="1035" t="s">
        <v>1281</v>
      </c>
      <c r="AC161" s="1035" t="s">
        <v>1106</v>
      </c>
      <c r="AO161" t="str">
        <v>Ministry of Health and Social Services of Namibia</v>
      </c>
      <c r="AU161" s="1035" t="s">
        <v>408</v>
      </c>
      <c r="AV161" s="1035" t="s">
        <v>36</v>
      </c>
      <c r="AW161" s="1035" t="s">
        <v>82</v>
      </c>
      <c r="AX161" s="1035" t="s">
        <v>1143</v>
      </c>
    </row>
    <row r="162" spans="1:50" x14ac:dyDescent="0.35">
      <c r="A162">
        <v>142</v>
      </c>
      <c r="B162" t="s">
        <v>421</v>
      </c>
      <c r="C162">
        <v>1</v>
      </c>
      <c r="D162" t="s">
        <v>82</v>
      </c>
      <c r="E162">
        <v>1</v>
      </c>
      <c r="F162" t="s">
        <v>36</v>
      </c>
      <c r="G162" t="s">
        <v>3394</v>
      </c>
      <c r="H162" t="s">
        <v>3395</v>
      </c>
      <c r="I162" t="s">
        <v>3396</v>
      </c>
      <c r="J162" t="s">
        <v>3397</v>
      </c>
      <c r="O162" t="e" cm="1">
        <f t="array" ref="O162">INDEX(Grant[Country],MATCH(0,INDEX(COUNTIF($O$2:O161,Grant[Country]),),0))</f>
        <v>#N/A</v>
      </c>
      <c r="Y162" s="1035" t="s">
        <v>408</v>
      </c>
      <c r="Z162" s="1035" t="s">
        <v>1144</v>
      </c>
      <c r="AB162" s="1035" t="s">
        <v>3240</v>
      </c>
      <c r="AC162" s="1035" t="s">
        <v>3238</v>
      </c>
      <c r="AO162" t="str">
        <v>Ministry of Health and Social Welfare</v>
      </c>
      <c r="AU162" s="1035" t="s">
        <v>408</v>
      </c>
      <c r="AV162" s="1035" t="s">
        <v>37</v>
      </c>
      <c r="AW162" s="1035" t="s">
        <v>82</v>
      </c>
      <c r="AX162" s="1035" t="s">
        <v>1144</v>
      </c>
    </row>
    <row r="163" spans="1:50" x14ac:dyDescent="0.35">
      <c r="A163">
        <v>142</v>
      </c>
      <c r="B163" t="s">
        <v>421</v>
      </c>
      <c r="C163">
        <v>1</v>
      </c>
      <c r="D163" t="s">
        <v>82</v>
      </c>
      <c r="E163">
        <v>1</v>
      </c>
      <c r="F163" t="s">
        <v>36</v>
      </c>
      <c r="G163" t="s">
        <v>1305</v>
      </c>
      <c r="H163" t="s">
        <v>1127</v>
      </c>
      <c r="I163" t="s">
        <v>1306</v>
      </c>
      <c r="J163" t="s">
        <v>1307</v>
      </c>
      <c r="O163" t="e" cm="1">
        <f t="array" ref="O163">INDEX(Grant[Country],MATCH(0,INDEX(COUNTIF($O$2:O162,Grant[Country]),),0))</f>
        <v>#N/A</v>
      </c>
      <c r="Y163" s="1035" t="s">
        <v>408</v>
      </c>
      <c r="Z163" s="1035" t="s">
        <v>1150</v>
      </c>
      <c r="AB163" s="1035" t="s">
        <v>1285</v>
      </c>
      <c r="AC163" s="1035" t="s">
        <v>1106</v>
      </c>
      <c r="AO163" t="str">
        <v>Ministry of Health and Social Welfare</v>
      </c>
      <c r="AU163" s="1035" t="s">
        <v>408</v>
      </c>
      <c r="AV163" s="1035" t="s">
        <v>37</v>
      </c>
      <c r="AW163" s="1035" t="s">
        <v>82</v>
      </c>
      <c r="AX163" s="1035" t="s">
        <v>1150</v>
      </c>
    </row>
    <row r="164" spans="1:50" x14ac:dyDescent="0.35">
      <c r="A164">
        <v>142</v>
      </c>
      <c r="B164" t="s">
        <v>421</v>
      </c>
      <c r="C164">
        <v>1</v>
      </c>
      <c r="D164" t="s">
        <v>82</v>
      </c>
      <c r="E164">
        <v>1</v>
      </c>
      <c r="F164" t="s">
        <v>36</v>
      </c>
      <c r="G164" t="s">
        <v>1309</v>
      </c>
      <c r="H164" t="s">
        <v>1137</v>
      </c>
      <c r="I164" t="s">
        <v>1310</v>
      </c>
      <c r="J164" t="s">
        <v>1311</v>
      </c>
      <c r="O164" t="e" cm="1">
        <f t="array" ref="O164">INDEX(Grant[Country],MATCH(0,INDEX(COUNTIF($O$2:O163,Grant[Country]),),0))</f>
        <v>#N/A</v>
      </c>
      <c r="Y164" s="1035" t="s">
        <v>408</v>
      </c>
      <c r="Z164" s="1035" t="s">
        <v>1147</v>
      </c>
      <c r="AB164" s="1035" t="s">
        <v>1288</v>
      </c>
      <c r="AC164" s="1035" t="s">
        <v>1110</v>
      </c>
      <c r="AO164" t="str">
        <v>Ministry of Health and Social Welfare</v>
      </c>
      <c r="AU164" s="1035" t="s">
        <v>408</v>
      </c>
      <c r="AV164" s="1035" t="s">
        <v>2004</v>
      </c>
      <c r="AW164" s="1035" t="s">
        <v>82</v>
      </c>
      <c r="AX164" s="1035" t="s">
        <v>1147</v>
      </c>
    </row>
    <row r="165" spans="1:50" x14ac:dyDescent="0.35">
      <c r="A165">
        <v>142</v>
      </c>
      <c r="B165" t="s">
        <v>421</v>
      </c>
      <c r="C165">
        <v>1</v>
      </c>
      <c r="D165" t="s">
        <v>82</v>
      </c>
      <c r="E165">
        <v>3</v>
      </c>
      <c r="F165" t="s">
        <v>37</v>
      </c>
      <c r="G165" t="s">
        <v>1305</v>
      </c>
      <c r="H165" t="s">
        <v>1127</v>
      </c>
      <c r="I165" t="s">
        <v>1314</v>
      </c>
      <c r="J165" t="s">
        <v>1313</v>
      </c>
      <c r="O165" t="e" cm="1">
        <f t="array" ref="O165">INDEX(Grant[Country],MATCH(0,INDEX(COUNTIF($O$2:O164,Grant[Country]),),0))</f>
        <v>#N/A</v>
      </c>
      <c r="Y165" s="1035" t="s">
        <v>408</v>
      </c>
      <c r="Z165" s="1035" t="s">
        <v>1151</v>
      </c>
      <c r="AB165" s="1035" t="s">
        <v>1293</v>
      </c>
      <c r="AC165" s="1035" t="s">
        <v>1114</v>
      </c>
      <c r="AO165" t="str">
        <v>Ministry of Health and Social Welfare</v>
      </c>
      <c r="AU165" s="1035" t="s">
        <v>408</v>
      </c>
      <c r="AV165" s="1035" t="s">
        <v>39</v>
      </c>
      <c r="AW165" s="1035" t="s">
        <v>82</v>
      </c>
      <c r="AX165" s="1035" t="s">
        <v>1151</v>
      </c>
    </row>
    <row r="166" spans="1:50" x14ac:dyDescent="0.35">
      <c r="A166">
        <v>142</v>
      </c>
      <c r="B166" t="s">
        <v>421</v>
      </c>
      <c r="C166">
        <v>1</v>
      </c>
      <c r="D166" t="s">
        <v>82</v>
      </c>
      <c r="E166">
        <v>3</v>
      </c>
      <c r="F166" t="s">
        <v>37</v>
      </c>
      <c r="G166" t="s">
        <v>1316</v>
      </c>
      <c r="H166" t="s">
        <v>1134</v>
      </c>
      <c r="I166" t="s">
        <v>1317</v>
      </c>
      <c r="J166" t="s">
        <v>1318</v>
      </c>
      <c r="O166" t="e" cm="1">
        <f t="array" ref="O166">INDEX(Grant[Country],MATCH(0,INDEX(COUNTIF($O$2:O165,Grant[Country]),),0))</f>
        <v>#N/A</v>
      </c>
      <c r="Y166" s="1035" t="s">
        <v>409</v>
      </c>
      <c r="Z166" s="1035" t="s">
        <v>1156</v>
      </c>
      <c r="AB166" s="1035" t="s">
        <v>1297</v>
      </c>
      <c r="AC166" s="1035" t="s">
        <v>1115</v>
      </c>
      <c r="AO166" t="str">
        <v>Ministry of Health and Wellness</v>
      </c>
      <c r="AU166" s="1035" t="s">
        <v>409</v>
      </c>
      <c r="AV166" s="1035" t="s">
        <v>39</v>
      </c>
      <c r="AW166" s="1035" t="s">
        <v>82</v>
      </c>
      <c r="AX166" s="1035" t="s">
        <v>1156</v>
      </c>
    </row>
    <row r="167" spans="1:50" x14ac:dyDescent="0.35">
      <c r="A167">
        <v>142</v>
      </c>
      <c r="B167" t="s">
        <v>421</v>
      </c>
      <c r="C167">
        <v>1</v>
      </c>
      <c r="D167" t="s">
        <v>82</v>
      </c>
      <c r="E167">
        <v>2</v>
      </c>
      <c r="F167" t="s">
        <v>39</v>
      </c>
      <c r="G167" t="s">
        <v>1319</v>
      </c>
      <c r="H167" t="s">
        <v>1125</v>
      </c>
      <c r="I167" t="s">
        <v>1320</v>
      </c>
      <c r="J167" t="s">
        <v>1308</v>
      </c>
      <c r="O167" t="e" cm="1">
        <f t="array" ref="O167">INDEX(Grant[Country],MATCH(0,INDEX(COUNTIF($O$2:O166,Grant[Country]),),0))</f>
        <v>#N/A</v>
      </c>
      <c r="Y167" s="1035" t="s">
        <v>410</v>
      </c>
      <c r="Z167" s="1035" t="s">
        <v>1160</v>
      </c>
      <c r="AB167" s="1035" t="s">
        <v>1325</v>
      </c>
      <c r="AC167" s="1035" t="s">
        <v>772</v>
      </c>
      <c r="AO167" t="str">
        <v>Ministry of Health and Wellness,  Jamaica</v>
      </c>
      <c r="AU167" s="1035" t="s">
        <v>410</v>
      </c>
      <c r="AV167" s="1035" t="s">
        <v>39</v>
      </c>
      <c r="AW167" s="1035" t="s">
        <v>367</v>
      </c>
      <c r="AX167" s="1035" t="s">
        <v>1160</v>
      </c>
    </row>
    <row r="168" spans="1:50" x14ac:dyDescent="0.35">
      <c r="A168">
        <v>142</v>
      </c>
      <c r="B168" t="s">
        <v>421</v>
      </c>
      <c r="C168">
        <v>1</v>
      </c>
      <c r="D168" t="s">
        <v>82</v>
      </c>
      <c r="E168">
        <v>2</v>
      </c>
      <c r="F168" t="s">
        <v>39</v>
      </c>
      <c r="G168" t="s">
        <v>1305</v>
      </c>
      <c r="H168" t="s">
        <v>1127</v>
      </c>
      <c r="I168" t="s">
        <v>1322</v>
      </c>
      <c r="J168" t="s">
        <v>1315</v>
      </c>
      <c r="O168" t="e" cm="1">
        <f t="array" ref="O168">INDEX(Grant[Country],MATCH(0,INDEX(COUNTIF($O$2:O167,Grant[Country]),),0))</f>
        <v>#N/A</v>
      </c>
      <c r="Y168" s="1035" t="s">
        <v>410</v>
      </c>
      <c r="Z168" s="1035" t="s">
        <v>1164</v>
      </c>
      <c r="AB168" s="1035" t="s">
        <v>1329</v>
      </c>
      <c r="AC168" s="1035" t="s">
        <v>3411</v>
      </c>
      <c r="AO168" t="str">
        <v>Ministry of Health of Mongolia</v>
      </c>
      <c r="AU168" s="1035" t="s">
        <v>410</v>
      </c>
      <c r="AV168" s="1035" t="s">
        <v>39</v>
      </c>
      <c r="AW168" s="1035" t="s">
        <v>367</v>
      </c>
      <c r="AX168" s="1035" t="s">
        <v>1164</v>
      </c>
    </row>
    <row r="169" spans="1:50" x14ac:dyDescent="0.35">
      <c r="A169">
        <v>142</v>
      </c>
      <c r="B169" t="s">
        <v>421</v>
      </c>
      <c r="C169">
        <v>1</v>
      </c>
      <c r="D169" t="s">
        <v>82</v>
      </c>
      <c r="E169">
        <v>2</v>
      </c>
      <c r="F169" t="s">
        <v>39</v>
      </c>
      <c r="G169" t="s">
        <v>3398</v>
      </c>
      <c r="H169" t="s">
        <v>3399</v>
      </c>
      <c r="I169" t="s">
        <v>3400</v>
      </c>
      <c r="J169" t="s">
        <v>3401</v>
      </c>
      <c r="O169" t="e" cm="1">
        <f t="array" ref="O169">INDEX(Grant[Country],MATCH(0,INDEX(COUNTIF($O$2:O168,Grant[Country]),),0))</f>
        <v>#N/A</v>
      </c>
      <c r="Y169" s="1035" t="s">
        <v>411</v>
      </c>
      <c r="Z169" s="1035" t="s">
        <v>1169</v>
      </c>
      <c r="AB169" s="1035" t="s">
        <v>1335</v>
      </c>
      <c r="AC169" s="1035" t="s">
        <v>1157</v>
      </c>
      <c r="AO169" t="str">
        <v>Ministry of Health of Mongolia</v>
      </c>
      <c r="AU169" s="1035" t="s">
        <v>411</v>
      </c>
      <c r="AV169" s="1035" t="s">
        <v>36</v>
      </c>
      <c r="AW169" s="1035" t="s">
        <v>82</v>
      </c>
      <c r="AX169" s="1035" t="s">
        <v>1168</v>
      </c>
    </row>
    <row r="170" spans="1:50" x14ac:dyDescent="0.35">
      <c r="A170">
        <v>154</v>
      </c>
      <c r="B170" t="s">
        <v>420</v>
      </c>
      <c r="C170">
        <v>1</v>
      </c>
      <c r="D170" t="s">
        <v>82</v>
      </c>
      <c r="E170">
        <v>4</v>
      </c>
      <c r="F170" t="s">
        <v>187</v>
      </c>
      <c r="G170" t="s">
        <v>1277</v>
      </c>
      <c r="H170" t="s">
        <v>1119</v>
      </c>
      <c r="I170" t="s">
        <v>3402</v>
      </c>
      <c r="J170" t="s">
        <v>3403</v>
      </c>
      <c r="O170" t="e" cm="1">
        <f t="array" ref="O170">INDEX(Grant[Country],MATCH(0,INDEX(COUNTIF($O$2:O169,Grant[Country]),),0))</f>
        <v>#N/A</v>
      </c>
      <c r="Y170" s="1035" t="s">
        <v>411</v>
      </c>
      <c r="Z170" s="1035" t="s">
        <v>1179</v>
      </c>
      <c r="AB170" s="1035" t="s">
        <v>1339</v>
      </c>
      <c r="AC170" s="1035" t="s">
        <v>3412</v>
      </c>
      <c r="AO170" t="str">
        <v>Ministry of Health of Mongolia</v>
      </c>
      <c r="AU170" s="1035" t="s">
        <v>411</v>
      </c>
      <c r="AV170" s="1035" t="s">
        <v>36</v>
      </c>
      <c r="AW170" s="1035" t="s">
        <v>82</v>
      </c>
      <c r="AX170" s="1035" t="s">
        <v>1172</v>
      </c>
    </row>
    <row r="171" spans="1:50" x14ac:dyDescent="0.35">
      <c r="A171">
        <v>154</v>
      </c>
      <c r="B171" t="s">
        <v>420</v>
      </c>
      <c r="C171">
        <v>1</v>
      </c>
      <c r="D171" t="s">
        <v>82</v>
      </c>
      <c r="E171">
        <v>4</v>
      </c>
      <c r="F171" t="s">
        <v>187</v>
      </c>
      <c r="G171" t="s">
        <v>1289</v>
      </c>
      <c r="H171" t="s">
        <v>3404</v>
      </c>
      <c r="I171" t="s">
        <v>1290</v>
      </c>
      <c r="J171" t="s">
        <v>1291</v>
      </c>
      <c r="O171" t="e" cm="1">
        <f t="array" ref="O171">INDEX(Grant[Country],MATCH(0,INDEX(COUNTIF($O$2:O170,Grant[Country]),),0))</f>
        <v>#N/A</v>
      </c>
      <c r="Y171" s="1035" t="s">
        <v>411</v>
      </c>
      <c r="Z171" s="1035" t="s">
        <v>1168</v>
      </c>
      <c r="AB171" s="1035" t="s">
        <v>1343</v>
      </c>
      <c r="AC171" s="1035" t="s">
        <v>1161</v>
      </c>
      <c r="AO171" t="str">
        <v>Ministry of Health of Montenegro</v>
      </c>
      <c r="AU171" s="1035" t="s">
        <v>411</v>
      </c>
      <c r="AV171" s="1035" t="s">
        <v>37</v>
      </c>
      <c r="AW171" s="1035" t="s">
        <v>82</v>
      </c>
      <c r="AX171" s="1035" t="s">
        <v>1176</v>
      </c>
    </row>
    <row r="172" spans="1:50" x14ac:dyDescent="0.35">
      <c r="A172">
        <v>154</v>
      </c>
      <c r="B172" t="s">
        <v>420</v>
      </c>
      <c r="C172">
        <v>1</v>
      </c>
      <c r="D172" t="s">
        <v>82</v>
      </c>
      <c r="E172">
        <v>1</v>
      </c>
      <c r="F172" t="s">
        <v>36</v>
      </c>
      <c r="G172" t="s">
        <v>1273</v>
      </c>
      <c r="H172" t="s">
        <v>1111</v>
      </c>
      <c r="I172" t="s">
        <v>1274</v>
      </c>
      <c r="J172" t="s">
        <v>1275</v>
      </c>
      <c r="O172" t="e" cm="1">
        <f t="array" ref="O172">INDEX(Grant[Country],MATCH(0,INDEX(COUNTIF($O$2:O171,Grant[Country]),),0))</f>
        <v>#N/A</v>
      </c>
      <c r="Y172" s="1035" t="s">
        <v>411</v>
      </c>
      <c r="Z172" s="1035" t="s">
        <v>1172</v>
      </c>
      <c r="AB172" s="1035" t="s">
        <v>1348</v>
      </c>
      <c r="AC172" s="1035" t="s">
        <v>1165</v>
      </c>
      <c r="AO172" t="str">
        <v>Ministry of Health of Mozambique</v>
      </c>
      <c r="AU172" s="1035" t="s">
        <v>411</v>
      </c>
      <c r="AV172" s="1035" t="s">
        <v>187</v>
      </c>
      <c r="AW172" s="1035" t="s">
        <v>82</v>
      </c>
      <c r="AX172" s="1035" t="s">
        <v>1169</v>
      </c>
    </row>
    <row r="173" spans="1:50" x14ac:dyDescent="0.35">
      <c r="A173">
        <v>154</v>
      </c>
      <c r="B173" t="s">
        <v>420</v>
      </c>
      <c r="C173">
        <v>1</v>
      </c>
      <c r="D173" t="s">
        <v>82</v>
      </c>
      <c r="E173">
        <v>1</v>
      </c>
      <c r="F173" t="s">
        <v>36</v>
      </c>
      <c r="G173" t="s">
        <v>1269</v>
      </c>
      <c r="H173" t="s">
        <v>1106</v>
      </c>
      <c r="I173" t="s">
        <v>1270</v>
      </c>
      <c r="J173" t="s">
        <v>1271</v>
      </c>
      <c r="O173" t="e" cm="1">
        <f t="array" ref="O173">INDEX(Grant[Country],MATCH(0,INDEX(COUNTIF($O$2:O172,Grant[Country]),),0))</f>
        <v>#N/A</v>
      </c>
      <c r="Y173" s="1035" t="s">
        <v>411</v>
      </c>
      <c r="Z173" s="1035" t="s">
        <v>1176</v>
      </c>
      <c r="AB173" s="1035" t="s">
        <v>1345</v>
      </c>
      <c r="AC173" s="1035" t="s">
        <v>3413</v>
      </c>
      <c r="AO173" t="str">
        <v>Ministry of Health of Mozambique</v>
      </c>
      <c r="AU173" s="1035" t="s">
        <v>411</v>
      </c>
      <c r="AV173" s="1035" t="s">
        <v>187</v>
      </c>
      <c r="AW173" s="1035" t="s">
        <v>82</v>
      </c>
      <c r="AX173" s="1035" t="s">
        <v>1179</v>
      </c>
    </row>
    <row r="174" spans="1:50" x14ac:dyDescent="0.35">
      <c r="A174">
        <v>154</v>
      </c>
      <c r="B174" t="s">
        <v>420</v>
      </c>
      <c r="C174">
        <v>1</v>
      </c>
      <c r="D174" t="s">
        <v>82</v>
      </c>
      <c r="E174">
        <v>1</v>
      </c>
      <c r="F174" t="s">
        <v>36</v>
      </c>
      <c r="G174" t="s">
        <v>1277</v>
      </c>
      <c r="H174" t="s">
        <v>1119</v>
      </c>
      <c r="I174" t="s">
        <v>1278</v>
      </c>
      <c r="J174" t="s">
        <v>1279</v>
      </c>
      <c r="O174" t="e" cm="1">
        <f t="array" ref="O174">INDEX(Grant[Country],MATCH(0,INDEX(COUNTIF($O$2:O173,Grant[Country]),),0))</f>
        <v>#N/A</v>
      </c>
      <c r="Y174" s="1035" t="s">
        <v>412</v>
      </c>
      <c r="Z174" s="1035" t="s">
        <v>1183</v>
      </c>
      <c r="AB174" s="1035" t="s">
        <v>1354</v>
      </c>
      <c r="AC174" s="1035" t="s">
        <v>1165</v>
      </c>
      <c r="AO174" t="str">
        <v>Ministry of Health of Mozambique</v>
      </c>
      <c r="AU174" s="1035" t="s">
        <v>412</v>
      </c>
      <c r="AV174" s="1035" t="s">
        <v>36</v>
      </c>
      <c r="AW174" s="1035" t="s">
        <v>82</v>
      </c>
      <c r="AX174" s="1035" t="s">
        <v>1183</v>
      </c>
    </row>
    <row r="175" spans="1:50" x14ac:dyDescent="0.35">
      <c r="A175">
        <v>154</v>
      </c>
      <c r="B175" t="s">
        <v>420</v>
      </c>
      <c r="C175">
        <v>1</v>
      </c>
      <c r="D175" t="s">
        <v>82</v>
      </c>
      <c r="E175">
        <v>1</v>
      </c>
      <c r="F175" t="s">
        <v>36</v>
      </c>
      <c r="G175" t="s">
        <v>1282</v>
      </c>
      <c r="H175" t="s">
        <v>1122</v>
      </c>
      <c r="I175" t="s">
        <v>1283</v>
      </c>
      <c r="J175" t="s">
        <v>1284</v>
      </c>
      <c r="O175" t="e" cm="1">
        <f t="array" ref="O175">INDEX(Grant[Country],MATCH(0,INDEX(COUNTIF($O$2:O174,Grant[Country]),),0))</f>
        <v>#N/A</v>
      </c>
      <c r="Y175" s="1035" t="s">
        <v>412</v>
      </c>
      <c r="Z175" s="1035" t="s">
        <v>1186</v>
      </c>
      <c r="AB175" s="1035" t="s">
        <v>1350</v>
      </c>
      <c r="AC175" s="1035" t="s">
        <v>3413</v>
      </c>
      <c r="AO175" t="str">
        <v>Ministry of Health of Mozambique</v>
      </c>
      <c r="AU175" s="1035" t="s">
        <v>412</v>
      </c>
      <c r="AV175" s="1035" t="s">
        <v>39</v>
      </c>
      <c r="AW175" s="1035" t="s">
        <v>82</v>
      </c>
      <c r="AX175" s="1035" t="s">
        <v>1186</v>
      </c>
    </row>
    <row r="176" spans="1:50" x14ac:dyDescent="0.35">
      <c r="A176">
        <v>154</v>
      </c>
      <c r="B176" t="s">
        <v>420</v>
      </c>
      <c r="C176">
        <v>1</v>
      </c>
      <c r="D176" t="s">
        <v>82</v>
      </c>
      <c r="E176">
        <v>3</v>
      </c>
      <c r="F176" t="s">
        <v>37</v>
      </c>
      <c r="G176" t="s">
        <v>1286</v>
      </c>
      <c r="H176" t="s">
        <v>1106</v>
      </c>
      <c r="I176" t="s">
        <v>1287</v>
      </c>
      <c r="J176" t="s">
        <v>1281</v>
      </c>
      <c r="O176" t="e" cm="1">
        <f t="array" ref="O176">INDEX(Grant[Country],MATCH(0,INDEX(COUNTIF($O$2:O175,Grant[Country]),),0))</f>
        <v>#N/A</v>
      </c>
      <c r="Y176" s="1035" t="s">
        <v>413</v>
      </c>
      <c r="Z176" s="1035" t="s">
        <v>1193</v>
      </c>
      <c r="AB176" s="1035" t="s">
        <v>1357</v>
      </c>
      <c r="AC176" s="1035" t="s">
        <v>1165</v>
      </c>
      <c r="AO176" t="str">
        <v>Ministry of Health of Mozambique</v>
      </c>
      <c r="AU176" s="1035" t="s">
        <v>413</v>
      </c>
      <c r="AV176" s="1035" t="s">
        <v>36</v>
      </c>
      <c r="AW176" s="1035" t="s">
        <v>82</v>
      </c>
      <c r="AX176" s="1035" t="s">
        <v>1192</v>
      </c>
    </row>
    <row r="177" spans="1:50" x14ac:dyDescent="0.35">
      <c r="A177">
        <v>154</v>
      </c>
      <c r="B177" t="s">
        <v>420</v>
      </c>
      <c r="C177">
        <v>1</v>
      </c>
      <c r="D177" t="s">
        <v>82</v>
      </c>
      <c r="E177">
        <v>3</v>
      </c>
      <c r="F177" t="s">
        <v>37</v>
      </c>
      <c r="G177" t="s">
        <v>3405</v>
      </c>
      <c r="H177" t="s">
        <v>3406</v>
      </c>
      <c r="I177" t="s">
        <v>3407</v>
      </c>
      <c r="J177" t="s">
        <v>3408</v>
      </c>
      <c r="O177" t="e" cm="1">
        <f t="array" ref="O177">INDEX(Grant[Country],MATCH(0,INDEX(COUNTIF($O$2:O176,Grant[Country]),),0))</f>
        <v>#N/A</v>
      </c>
      <c r="Y177" s="1035" t="s">
        <v>413</v>
      </c>
      <c r="Z177" s="1035" t="s">
        <v>1192</v>
      </c>
      <c r="AB177" s="1035" t="s">
        <v>1373</v>
      </c>
      <c r="AC177" s="1035" t="s">
        <v>772</v>
      </c>
      <c r="AO177" t="str">
        <v>Ministry of Health of Republic of Serbia</v>
      </c>
      <c r="AU177" s="1035" t="s">
        <v>413</v>
      </c>
      <c r="AV177" s="1035" t="s">
        <v>37</v>
      </c>
      <c r="AW177" s="1035" t="s">
        <v>82</v>
      </c>
      <c r="AX177" s="1035" t="s">
        <v>1188</v>
      </c>
    </row>
    <row r="178" spans="1:50" x14ac:dyDescent="0.35">
      <c r="A178">
        <v>154</v>
      </c>
      <c r="B178" t="s">
        <v>420</v>
      </c>
      <c r="C178">
        <v>1</v>
      </c>
      <c r="D178" t="s">
        <v>82</v>
      </c>
      <c r="E178">
        <v>2</v>
      </c>
      <c r="F178" t="s">
        <v>39</v>
      </c>
      <c r="G178" t="s">
        <v>3237</v>
      </c>
      <c r="H178" t="s">
        <v>3238</v>
      </c>
      <c r="I178" t="s">
        <v>3239</v>
      </c>
      <c r="J178" t="s">
        <v>3240</v>
      </c>
      <c r="O178" t="e" cm="1">
        <f t="array" ref="O178">INDEX(Grant[Country],MATCH(0,INDEX(COUNTIF($O$2:O177,Grant[Country]),),0))</f>
        <v>#N/A</v>
      </c>
      <c r="Y178" s="1035" t="s">
        <v>413</v>
      </c>
      <c r="Z178" s="1035" t="s">
        <v>1188</v>
      </c>
      <c r="AB178" s="1035" t="s">
        <v>940</v>
      </c>
      <c r="AC178" s="1035" t="s">
        <v>887</v>
      </c>
      <c r="AO178" t="str">
        <v>Ministry of Health of Romania</v>
      </c>
      <c r="AU178" s="1035" t="s">
        <v>413</v>
      </c>
      <c r="AV178" s="1035" t="s">
        <v>37</v>
      </c>
      <c r="AW178" s="1035" t="s">
        <v>82</v>
      </c>
      <c r="AX178" s="1035" t="s">
        <v>1197</v>
      </c>
    </row>
    <row r="179" spans="1:50" x14ac:dyDescent="0.35">
      <c r="A179">
        <v>154</v>
      </c>
      <c r="B179" t="s">
        <v>420</v>
      </c>
      <c r="C179">
        <v>1</v>
      </c>
      <c r="D179" t="s">
        <v>82</v>
      </c>
      <c r="E179">
        <v>2</v>
      </c>
      <c r="F179" t="s">
        <v>39</v>
      </c>
      <c r="G179" t="s">
        <v>1294</v>
      </c>
      <c r="H179" t="s">
        <v>1106</v>
      </c>
      <c r="I179" t="s">
        <v>1295</v>
      </c>
      <c r="J179" t="s">
        <v>1285</v>
      </c>
      <c r="O179" t="e" cm="1">
        <f t="array" ref="O179">INDEX(Grant[Country],MATCH(0,INDEX(COUNTIF($O$2:O178,Grant[Country]),),0))</f>
        <v>#N/A</v>
      </c>
      <c r="Y179" s="1035" t="s">
        <v>413</v>
      </c>
      <c r="Z179" s="1035" t="s">
        <v>1197</v>
      </c>
      <c r="AB179" s="1035" t="s">
        <v>943</v>
      </c>
      <c r="AC179" s="1035" t="s">
        <v>887</v>
      </c>
      <c r="AO179" t="str">
        <v>Ministry of Health of Sao Tome and Principe</v>
      </c>
      <c r="AU179" s="1035" t="s">
        <v>413</v>
      </c>
      <c r="AV179" s="1035" t="s">
        <v>187</v>
      </c>
      <c r="AW179" s="1035" t="s">
        <v>82</v>
      </c>
      <c r="AX179" s="1035" t="s">
        <v>1193</v>
      </c>
    </row>
    <row r="180" spans="1:50" x14ac:dyDescent="0.35">
      <c r="A180">
        <v>154</v>
      </c>
      <c r="B180" t="s">
        <v>420</v>
      </c>
      <c r="C180">
        <v>1</v>
      </c>
      <c r="D180" t="s">
        <v>82</v>
      </c>
      <c r="E180">
        <v>2</v>
      </c>
      <c r="F180" t="s">
        <v>39</v>
      </c>
      <c r="G180" t="s">
        <v>1298</v>
      </c>
      <c r="H180" t="s">
        <v>1110</v>
      </c>
      <c r="I180" t="s">
        <v>1299</v>
      </c>
      <c r="J180" t="s">
        <v>1288</v>
      </c>
      <c r="O180" t="e" cm="1">
        <f t="array" ref="O180">INDEX(Grant[Country],MATCH(0,INDEX(COUNTIF($O$2:O179,Grant[Country]),),0))</f>
        <v>#N/A</v>
      </c>
      <c r="Y180" s="1035" t="s">
        <v>413</v>
      </c>
      <c r="Z180" s="1035" t="s">
        <v>3381</v>
      </c>
      <c r="AB180" s="1035" t="s">
        <v>1377</v>
      </c>
      <c r="AC180" s="1035" t="s">
        <v>1184</v>
      </c>
      <c r="AO180" t="str">
        <v>Ministry of Health of the Co-operative Republic of Guyana</v>
      </c>
      <c r="AU180" s="1035" t="s">
        <v>413</v>
      </c>
      <c r="AV180" s="1035" t="s">
        <v>187</v>
      </c>
      <c r="AW180" s="1035" t="s">
        <v>82</v>
      </c>
      <c r="AX180" s="1035" t="s">
        <v>3381</v>
      </c>
    </row>
    <row r="181" spans="1:50" x14ac:dyDescent="0.35">
      <c r="A181">
        <v>154</v>
      </c>
      <c r="B181" t="s">
        <v>420</v>
      </c>
      <c r="C181">
        <v>1</v>
      </c>
      <c r="D181" t="s">
        <v>82</v>
      </c>
      <c r="E181">
        <v>2</v>
      </c>
      <c r="F181" t="s">
        <v>39</v>
      </c>
      <c r="G181" t="s">
        <v>1300</v>
      </c>
      <c r="H181" t="s">
        <v>1114</v>
      </c>
      <c r="I181" t="s">
        <v>1301</v>
      </c>
      <c r="J181" t="s">
        <v>1293</v>
      </c>
      <c r="O181" t="e" cm="1">
        <f t="array" ref="O181">INDEX(Grant[Country],MATCH(0,INDEX(COUNTIF($O$2:O180,Grant[Country]),),0))</f>
        <v>#N/A</v>
      </c>
      <c r="Y181" s="1035" t="s">
        <v>414</v>
      </c>
      <c r="Z181" s="1035" t="s">
        <v>1201</v>
      </c>
      <c r="AB181" s="1035" t="s">
        <v>1376</v>
      </c>
      <c r="AC181" s="1035" t="s">
        <v>1184</v>
      </c>
      <c r="AO181" t="str">
        <v>Ministry of Health of the Co-operative Republic of Guyana</v>
      </c>
      <c r="AU181" s="1035" t="s">
        <v>414</v>
      </c>
      <c r="AV181" s="1035" t="s">
        <v>36</v>
      </c>
      <c r="AW181" s="1035" t="s">
        <v>82</v>
      </c>
      <c r="AX181" s="1035" t="s">
        <v>1201</v>
      </c>
    </row>
    <row r="182" spans="1:50" x14ac:dyDescent="0.35">
      <c r="A182">
        <v>154</v>
      </c>
      <c r="B182" t="s">
        <v>420</v>
      </c>
      <c r="C182">
        <v>1</v>
      </c>
      <c r="D182" t="s">
        <v>82</v>
      </c>
      <c r="E182">
        <v>2</v>
      </c>
      <c r="F182" t="s">
        <v>39</v>
      </c>
      <c r="G182" t="s">
        <v>1302</v>
      </c>
      <c r="H182" t="s">
        <v>1115</v>
      </c>
      <c r="I182" t="s">
        <v>1303</v>
      </c>
      <c r="J182" t="s">
        <v>1297</v>
      </c>
      <c r="O182" t="e" cm="1">
        <f t="array" ref="O182">INDEX(Grant[Country],MATCH(0,INDEX(COUNTIF($O$2:O181,Grant[Country]),),0))</f>
        <v>#N/A</v>
      </c>
      <c r="Y182" s="1035" t="s">
        <v>414</v>
      </c>
      <c r="Z182" s="1035" t="s">
        <v>1205</v>
      </c>
      <c r="AB182" s="1035" t="s">
        <v>1379</v>
      </c>
      <c r="AC182" s="1035" t="s">
        <v>1184</v>
      </c>
      <c r="AO182" t="str">
        <v>Ministry of Health of the Co-operative Republic of Guyana</v>
      </c>
      <c r="AU182" s="1035" t="s">
        <v>414</v>
      </c>
      <c r="AV182" s="1035" t="s">
        <v>37</v>
      </c>
      <c r="AW182" s="1035" t="s">
        <v>82</v>
      </c>
      <c r="AX182" s="1035" t="s">
        <v>1205</v>
      </c>
    </row>
    <row r="183" spans="1:50" x14ac:dyDescent="0.35">
      <c r="A183">
        <v>154</v>
      </c>
      <c r="B183" t="s">
        <v>420</v>
      </c>
      <c r="C183">
        <v>1</v>
      </c>
      <c r="D183" t="s">
        <v>82</v>
      </c>
      <c r="E183">
        <v>2</v>
      </c>
      <c r="F183" t="s">
        <v>39</v>
      </c>
      <c r="G183" t="s">
        <v>1289</v>
      </c>
      <c r="H183" t="s">
        <v>3404</v>
      </c>
      <c r="I183" t="s">
        <v>3409</v>
      </c>
      <c r="J183" t="s">
        <v>3410</v>
      </c>
      <c r="O183" t="e" cm="1">
        <f t="array" ref="O183">INDEX(Grant[Country],MATCH(0,INDEX(COUNTIF($O$2:O182,Grant[Country]),),0))</f>
        <v>#N/A</v>
      </c>
      <c r="Y183" s="1035" t="s">
        <v>414</v>
      </c>
      <c r="Z183" s="1035" t="s">
        <v>1208</v>
      </c>
      <c r="AB183" s="1035" t="s">
        <v>1383</v>
      </c>
      <c r="AC183" s="1035" t="s">
        <v>1184</v>
      </c>
      <c r="AO183" t="str">
        <v>Ministry of Health of the Co-operative Republic of Guyana</v>
      </c>
      <c r="AU183" s="1035" t="s">
        <v>414</v>
      </c>
      <c r="AV183" s="1035" t="s">
        <v>37</v>
      </c>
      <c r="AW183" s="1035" t="s">
        <v>82</v>
      </c>
      <c r="AX183" s="1035" t="s">
        <v>3388</v>
      </c>
    </row>
    <row r="184" spans="1:50" x14ac:dyDescent="0.35">
      <c r="A184">
        <v>155</v>
      </c>
      <c r="B184" t="s">
        <v>422</v>
      </c>
      <c r="C184">
        <v>1</v>
      </c>
      <c r="D184" t="s">
        <v>82</v>
      </c>
      <c r="E184">
        <v>1</v>
      </c>
      <c r="F184" t="s">
        <v>36</v>
      </c>
      <c r="G184" t="s">
        <v>1323</v>
      </c>
      <c r="H184" t="s">
        <v>772</v>
      </c>
      <c r="I184" t="s">
        <v>1324</v>
      </c>
      <c r="J184" t="s">
        <v>1325</v>
      </c>
      <c r="O184" t="e" cm="1">
        <f t="array" ref="O184">INDEX(Grant[Country],MATCH(0,INDEX(COUNTIF($O$2:O183,Grant[Country]),),0))</f>
        <v>#N/A</v>
      </c>
      <c r="Y184" s="1035" t="s">
        <v>414</v>
      </c>
      <c r="Z184" s="1035" t="s">
        <v>3388</v>
      </c>
      <c r="AB184" s="1035" t="s">
        <v>1396</v>
      </c>
      <c r="AC184" s="1035" t="s">
        <v>3414</v>
      </c>
      <c r="AO184" t="str">
        <v>Ministry of Health of the Co-operative Republic of Guyana</v>
      </c>
      <c r="AU184" s="1035" t="s">
        <v>414</v>
      </c>
      <c r="AV184" s="1035" t="s">
        <v>39</v>
      </c>
      <c r="AW184" s="1035" t="s">
        <v>82</v>
      </c>
      <c r="AX184" s="1035" t="s">
        <v>1208</v>
      </c>
    </row>
    <row r="185" spans="1:50" x14ac:dyDescent="0.35">
      <c r="A185">
        <v>119</v>
      </c>
      <c r="B185" t="s">
        <v>424</v>
      </c>
      <c r="C185">
        <v>1</v>
      </c>
      <c r="D185" t="s">
        <v>82</v>
      </c>
      <c r="E185">
        <v>1</v>
      </c>
      <c r="F185" t="s">
        <v>36</v>
      </c>
      <c r="G185" t="s">
        <v>1327</v>
      </c>
      <c r="H185" t="s">
        <v>3411</v>
      </c>
      <c r="I185" t="s">
        <v>1328</v>
      </c>
      <c r="J185" t="s">
        <v>1329</v>
      </c>
      <c r="O185" t="e" cm="1">
        <f t="array" ref="O185">INDEX(Grant[Country],MATCH(0,INDEX(COUNTIF($O$2:O184,Grant[Country]),),0))</f>
        <v>#N/A</v>
      </c>
      <c r="Y185" s="1035" t="s">
        <v>415</v>
      </c>
      <c r="Z185" s="1035" t="s">
        <v>1218</v>
      </c>
      <c r="AB185" s="1035" t="s">
        <v>1399</v>
      </c>
      <c r="AC185" s="1035" t="s">
        <v>3414</v>
      </c>
      <c r="AO185" t="str">
        <v>Ministry of Health of the Democratic Republic of Congo</v>
      </c>
      <c r="AU185" s="1035" t="s">
        <v>415</v>
      </c>
      <c r="AV185" s="1035" t="s">
        <v>36</v>
      </c>
      <c r="AW185" s="1035" t="s">
        <v>82</v>
      </c>
      <c r="AX185" s="1035" t="s">
        <v>1211</v>
      </c>
    </row>
    <row r="186" spans="1:50" x14ac:dyDescent="0.35">
      <c r="A186">
        <v>130</v>
      </c>
      <c r="B186" t="s">
        <v>426</v>
      </c>
      <c r="C186">
        <v>1</v>
      </c>
      <c r="D186" t="s">
        <v>82</v>
      </c>
      <c r="E186">
        <v>1</v>
      </c>
      <c r="F186" t="s">
        <v>36</v>
      </c>
      <c r="G186" t="s">
        <v>1333</v>
      </c>
      <c r="H186" t="s">
        <v>1157</v>
      </c>
      <c r="I186" t="s">
        <v>1334</v>
      </c>
      <c r="J186" t="s">
        <v>1335</v>
      </c>
      <c r="O186" t="e" cm="1">
        <f t="array" ref="O186">INDEX(Grant[Country],MATCH(0,INDEX(COUNTIF($O$2:O185,Grant[Country]),),0))</f>
        <v>#N/A</v>
      </c>
      <c r="Y186" s="1035" t="s">
        <v>415</v>
      </c>
      <c r="Z186" s="1035" t="s">
        <v>1211</v>
      </c>
      <c r="AB186" s="1035" t="s">
        <v>1408</v>
      </c>
      <c r="AC186" s="1035" t="s">
        <v>827</v>
      </c>
      <c r="AO186" t="str">
        <v>Ministry of Health of the Democratic Republic of Congo</v>
      </c>
      <c r="AU186" s="1035" t="s">
        <v>415</v>
      </c>
      <c r="AV186" s="1035" t="s">
        <v>36</v>
      </c>
      <c r="AW186" s="1035" t="s">
        <v>82</v>
      </c>
      <c r="AX186" s="1035" t="s">
        <v>1216</v>
      </c>
    </row>
    <row r="187" spans="1:50" x14ac:dyDescent="0.35">
      <c r="A187">
        <v>130</v>
      </c>
      <c r="B187" t="s">
        <v>426</v>
      </c>
      <c r="C187">
        <v>1</v>
      </c>
      <c r="D187" t="s">
        <v>82</v>
      </c>
      <c r="E187">
        <v>2</v>
      </c>
      <c r="F187" t="s">
        <v>39</v>
      </c>
      <c r="G187" t="s">
        <v>1337</v>
      </c>
      <c r="H187" t="s">
        <v>3412</v>
      </c>
      <c r="I187" t="s">
        <v>1338</v>
      </c>
      <c r="J187" t="s">
        <v>1339</v>
      </c>
      <c r="O187" t="e" cm="1">
        <f t="array" ref="O187">INDEX(Grant[Country],MATCH(0,INDEX(COUNTIF($O$2:O186,Grant[Country]),),0))</f>
        <v>#N/A</v>
      </c>
      <c r="Y187" s="1035" t="s">
        <v>415</v>
      </c>
      <c r="Z187" s="1035" t="s">
        <v>1216</v>
      </c>
      <c r="AB187" s="1035" t="s">
        <v>3242</v>
      </c>
      <c r="AC187" s="1035" t="s">
        <v>937</v>
      </c>
      <c r="AO187" t="str">
        <v>Ministry of Health of the Democratic Republic of Congo</v>
      </c>
      <c r="AU187" s="1035" t="s">
        <v>415</v>
      </c>
      <c r="AV187" s="1035" t="s">
        <v>37</v>
      </c>
      <c r="AW187" s="1035" t="s">
        <v>82</v>
      </c>
      <c r="AX187" s="1035" t="s">
        <v>1213</v>
      </c>
    </row>
    <row r="188" spans="1:50" x14ac:dyDescent="0.35">
      <c r="A188">
        <v>29</v>
      </c>
      <c r="B188" t="s">
        <v>427</v>
      </c>
      <c r="C188">
        <v>1</v>
      </c>
      <c r="D188" t="s">
        <v>82</v>
      </c>
      <c r="E188">
        <v>1</v>
      </c>
      <c r="F188" t="s">
        <v>36</v>
      </c>
      <c r="G188" t="s">
        <v>1341</v>
      </c>
      <c r="H188" t="s">
        <v>1161</v>
      </c>
      <c r="I188" t="s">
        <v>1342</v>
      </c>
      <c r="J188" t="s">
        <v>1343</v>
      </c>
      <c r="O188" t="e" cm="1">
        <f t="array" ref="O188">INDEX(Grant[Country],MATCH(0,INDEX(COUNTIF($O$2:O187,Grant[Country]),),0))</f>
        <v>#N/A</v>
      </c>
      <c r="Y188" s="1035" t="s">
        <v>415</v>
      </c>
      <c r="Z188" s="1035" t="s">
        <v>1213</v>
      </c>
      <c r="AB188" s="1035" t="s">
        <v>1401</v>
      </c>
      <c r="AC188" s="1035" t="s">
        <v>3414</v>
      </c>
      <c r="AO188" t="str">
        <v>Ministry of Health of the Democratic Republic of Congo</v>
      </c>
      <c r="AU188" s="1035" t="s">
        <v>415</v>
      </c>
      <c r="AV188" s="1035" t="s">
        <v>187</v>
      </c>
      <c r="AW188" s="1035" t="s">
        <v>82</v>
      </c>
      <c r="AX188" s="1035" t="s">
        <v>1218</v>
      </c>
    </row>
    <row r="189" spans="1:50" x14ac:dyDescent="0.35">
      <c r="A189">
        <v>29</v>
      </c>
      <c r="B189" t="s">
        <v>427</v>
      </c>
      <c r="C189">
        <v>1</v>
      </c>
      <c r="D189" t="s">
        <v>82</v>
      </c>
      <c r="E189">
        <v>1</v>
      </c>
      <c r="F189" t="s">
        <v>36</v>
      </c>
      <c r="G189" t="s">
        <v>1346</v>
      </c>
      <c r="H189" t="s">
        <v>1165</v>
      </c>
      <c r="I189" t="s">
        <v>1347</v>
      </c>
      <c r="J189" t="s">
        <v>1348</v>
      </c>
      <c r="O189" t="e" cm="1">
        <f t="array" ref="O189">INDEX(Grant[Country],MATCH(0,INDEX(COUNTIF($O$2:O188,Grant[Country]),),0))</f>
        <v>#N/A</v>
      </c>
      <c r="Y189" s="1035" t="s">
        <v>416</v>
      </c>
      <c r="Z189" s="1035" t="s">
        <v>1227</v>
      </c>
      <c r="AB189" s="1035" t="s">
        <v>1405</v>
      </c>
      <c r="AC189" s="1035" t="s">
        <v>827</v>
      </c>
      <c r="AO189" t="str">
        <v>Ministry of Health of the Democratic Republic of Congo</v>
      </c>
      <c r="AU189" s="1035" t="s">
        <v>416</v>
      </c>
      <c r="AV189" s="1035" t="s">
        <v>36</v>
      </c>
      <c r="AW189" s="1035" t="s">
        <v>367</v>
      </c>
      <c r="AX189" s="1035" t="s">
        <v>1231</v>
      </c>
    </row>
    <row r="190" spans="1:50" x14ac:dyDescent="0.35">
      <c r="A190">
        <v>29</v>
      </c>
      <c r="B190" t="s">
        <v>427</v>
      </c>
      <c r="C190">
        <v>1</v>
      </c>
      <c r="D190" t="s">
        <v>82</v>
      </c>
      <c r="E190">
        <v>3</v>
      </c>
      <c r="F190" t="s">
        <v>37</v>
      </c>
      <c r="G190" t="s">
        <v>1351</v>
      </c>
      <c r="H190" t="s">
        <v>3413</v>
      </c>
      <c r="I190" t="s">
        <v>1352</v>
      </c>
      <c r="J190" t="s">
        <v>1345</v>
      </c>
      <c r="O190" t="e" cm="1">
        <f t="array" ref="O190">INDEX(Grant[Country],MATCH(0,INDEX(COUNTIF($O$2:O189,Grant[Country]),),0))</f>
        <v>#N/A</v>
      </c>
      <c r="Y190" s="1035" t="s">
        <v>416</v>
      </c>
      <c r="Z190" s="1035" t="s">
        <v>1229</v>
      </c>
      <c r="AB190" s="1035" t="s">
        <v>1406</v>
      </c>
      <c r="AC190" s="1035" t="s">
        <v>3414</v>
      </c>
      <c r="AO190" t="str">
        <v>Ministry of Health of the Democratic Republic of Congo</v>
      </c>
      <c r="AU190" s="1035" t="s">
        <v>416</v>
      </c>
      <c r="AV190" s="1035" t="s">
        <v>36</v>
      </c>
      <c r="AW190" s="1035" t="s">
        <v>82</v>
      </c>
      <c r="AX190" s="1035" t="s">
        <v>1227</v>
      </c>
    </row>
    <row r="191" spans="1:50" x14ac:dyDescent="0.35">
      <c r="A191">
        <v>29</v>
      </c>
      <c r="B191" t="s">
        <v>427</v>
      </c>
      <c r="C191">
        <v>1</v>
      </c>
      <c r="D191" t="s">
        <v>82</v>
      </c>
      <c r="E191">
        <v>3</v>
      </c>
      <c r="F191" t="s">
        <v>37</v>
      </c>
      <c r="G191" t="s">
        <v>1346</v>
      </c>
      <c r="H191" t="s">
        <v>1165</v>
      </c>
      <c r="I191" t="s">
        <v>1353</v>
      </c>
      <c r="J191" t="s">
        <v>1354</v>
      </c>
      <c r="O191" t="e" cm="1">
        <f t="array" ref="O191">INDEX(Grant[Country],MATCH(0,INDEX(COUNTIF($O$2:O190,Grant[Country]),),0))</f>
        <v>#N/A</v>
      </c>
      <c r="Y191" s="1035" t="s">
        <v>416</v>
      </c>
      <c r="Z191" s="1035" t="s">
        <v>1231</v>
      </c>
      <c r="AB191" s="1035" t="s">
        <v>1764</v>
      </c>
      <c r="AC191" s="1035" t="s">
        <v>1491</v>
      </c>
      <c r="AO191" t="str">
        <v>Ministry of Health of the Democratic Republic of Timor-Leste</v>
      </c>
      <c r="AU191" s="1035" t="s">
        <v>416</v>
      </c>
      <c r="AV191" s="1035" t="s">
        <v>37</v>
      </c>
      <c r="AW191" s="1035" t="s">
        <v>367</v>
      </c>
      <c r="AX191" s="1035" t="s">
        <v>1235</v>
      </c>
    </row>
    <row r="192" spans="1:50" x14ac:dyDescent="0.35">
      <c r="A192">
        <v>29</v>
      </c>
      <c r="B192" t="s">
        <v>427</v>
      </c>
      <c r="C192">
        <v>1</v>
      </c>
      <c r="D192" t="s">
        <v>82</v>
      </c>
      <c r="E192">
        <v>2</v>
      </c>
      <c r="F192" t="s">
        <v>39</v>
      </c>
      <c r="G192" t="s">
        <v>1351</v>
      </c>
      <c r="H192" t="s">
        <v>3413</v>
      </c>
      <c r="I192" t="s">
        <v>1355</v>
      </c>
      <c r="J192" t="s">
        <v>1350</v>
      </c>
      <c r="O192" t="e" cm="1">
        <f t="array" ref="O192">INDEX(Grant[Country],MATCH(0,INDEX(COUNTIF($O$2:O191,Grant[Country]),),0))</f>
        <v>#N/A</v>
      </c>
      <c r="Y192" s="1035" t="s">
        <v>416</v>
      </c>
      <c r="Z192" s="1035" t="s">
        <v>1235</v>
      </c>
      <c r="AB192" s="1035" t="s">
        <v>1761</v>
      </c>
      <c r="AC192" s="1035" t="s">
        <v>3415</v>
      </c>
      <c r="AO192" t="str">
        <v>Ministry of Health of the Democratic Republic of Timor-Leste</v>
      </c>
      <c r="AU192" s="1035" t="s">
        <v>416</v>
      </c>
      <c r="AV192" s="1035" t="s">
        <v>187</v>
      </c>
      <c r="AW192" s="1035" t="s">
        <v>367</v>
      </c>
      <c r="AX192" s="1035" t="s">
        <v>1229</v>
      </c>
    </row>
    <row r="193" spans="1:50" x14ac:dyDescent="0.35">
      <c r="A193">
        <v>29</v>
      </c>
      <c r="B193" t="s">
        <v>427</v>
      </c>
      <c r="C193">
        <v>1</v>
      </c>
      <c r="D193" t="s">
        <v>82</v>
      </c>
      <c r="E193">
        <v>2</v>
      </c>
      <c r="F193" t="s">
        <v>39</v>
      </c>
      <c r="G193" t="s">
        <v>1346</v>
      </c>
      <c r="H193" t="s">
        <v>1165</v>
      </c>
      <c r="I193" t="s">
        <v>1356</v>
      </c>
      <c r="J193" t="s">
        <v>1357</v>
      </c>
      <c r="O193" t="e" cm="1">
        <f t="array" ref="O193">INDEX(Grant[Country],MATCH(0,INDEX(COUNTIF($O$2:O192,Grant[Country]),),0))</f>
        <v>#N/A</v>
      </c>
      <c r="Y193" s="1035" t="s">
        <v>416</v>
      </c>
      <c r="Z193" s="1035" t="s">
        <v>3236</v>
      </c>
      <c r="AB193" s="1035" t="s">
        <v>1765</v>
      </c>
      <c r="AC193" s="1035" t="s">
        <v>3415</v>
      </c>
      <c r="AO193" t="str">
        <v>Ministry of Health of the Democratic Republic of Timor-Leste</v>
      </c>
      <c r="AU193" s="1035" t="s">
        <v>416</v>
      </c>
      <c r="AV193" s="1035" t="s">
        <v>39</v>
      </c>
      <c r="AW193" s="1035" t="s">
        <v>367</v>
      </c>
      <c r="AX193" s="1035" t="s">
        <v>3236</v>
      </c>
    </row>
    <row r="194" spans="1:50" x14ac:dyDescent="0.35">
      <c r="A194">
        <v>131</v>
      </c>
      <c r="B194" t="s">
        <v>430</v>
      </c>
      <c r="C194">
        <v>1</v>
      </c>
      <c r="D194" t="s">
        <v>82</v>
      </c>
      <c r="E194">
        <v>4</v>
      </c>
      <c r="F194" t="s">
        <v>187</v>
      </c>
      <c r="G194" t="s">
        <v>1371</v>
      </c>
      <c r="H194" t="s">
        <v>772</v>
      </c>
      <c r="I194" t="s">
        <v>1372</v>
      </c>
      <c r="J194" t="s">
        <v>1373</v>
      </c>
      <c r="O194" t="e" cm="1">
        <f t="array" ref="O194">INDEX(Grant[Country],MATCH(0,INDEX(COUNTIF($O$2:O193,Grant[Country]),),0))</f>
        <v>#N/A</v>
      </c>
      <c r="Y194" s="1035" t="s">
        <v>417</v>
      </c>
      <c r="Z194" s="1035" t="s">
        <v>1242</v>
      </c>
      <c r="AB194" s="1035" t="s">
        <v>1767</v>
      </c>
      <c r="AC194" s="1035" t="s">
        <v>3415</v>
      </c>
      <c r="AO194" t="str">
        <v>Ministry of Health of the Democratic Socialist  Republic of Sri Lanka</v>
      </c>
      <c r="AU194" s="1035" t="s">
        <v>417</v>
      </c>
      <c r="AV194" s="1035" t="s">
        <v>36</v>
      </c>
      <c r="AW194" s="1035" t="s">
        <v>82</v>
      </c>
      <c r="AX194" s="1035" t="s">
        <v>1242</v>
      </c>
    </row>
    <row r="195" spans="1:50" x14ac:dyDescent="0.35">
      <c r="A195">
        <v>141</v>
      </c>
      <c r="B195" t="s">
        <v>386</v>
      </c>
      <c r="C195">
        <v>1</v>
      </c>
      <c r="D195" t="s">
        <v>82</v>
      </c>
      <c r="E195">
        <v>4</v>
      </c>
      <c r="F195" t="s">
        <v>187</v>
      </c>
      <c r="G195" t="s">
        <v>938</v>
      </c>
      <c r="H195" t="s">
        <v>887</v>
      </c>
      <c r="I195" t="s">
        <v>939</v>
      </c>
      <c r="J195" t="s">
        <v>940</v>
      </c>
      <c r="O195" t="e" cm="1">
        <f t="array" ref="O195">INDEX(Grant[Country],MATCH(0,INDEX(COUNTIF($O$2:O194,Grant[Country]),),0))</f>
        <v>#N/A</v>
      </c>
      <c r="Y195" s="1035" t="s">
        <v>417</v>
      </c>
      <c r="Z195" s="1035" t="s">
        <v>1244</v>
      </c>
      <c r="AB195" s="1035" t="s">
        <v>1389</v>
      </c>
      <c r="AC195" s="1035" t="s">
        <v>1187</v>
      </c>
      <c r="AO195" t="str">
        <v>Ministry of Health of the Democratic Socialist  Republic of Sri Lanka</v>
      </c>
      <c r="AU195" s="1035" t="s">
        <v>417</v>
      </c>
      <c r="AV195" s="1035" t="s">
        <v>36</v>
      </c>
      <c r="AW195" s="1035" t="s">
        <v>82</v>
      </c>
      <c r="AX195" s="1035" t="s">
        <v>1241</v>
      </c>
    </row>
    <row r="196" spans="1:50" x14ac:dyDescent="0.35">
      <c r="A196">
        <v>141</v>
      </c>
      <c r="B196" t="s">
        <v>386</v>
      </c>
      <c r="C196">
        <v>1</v>
      </c>
      <c r="D196" t="s">
        <v>82</v>
      </c>
      <c r="E196">
        <v>6</v>
      </c>
      <c r="F196" t="s">
        <v>2004</v>
      </c>
      <c r="G196" t="s">
        <v>938</v>
      </c>
      <c r="H196" t="s">
        <v>887</v>
      </c>
      <c r="I196" t="s">
        <v>942</v>
      </c>
      <c r="J196" t="s">
        <v>943</v>
      </c>
      <c r="O196" t="e" cm="1">
        <f t="array" ref="O196">INDEX(Grant[Country],MATCH(0,INDEX(COUNTIF($O$2:O195,Grant[Country]),),0))</f>
        <v>#N/A</v>
      </c>
      <c r="Y196" s="1035" t="s">
        <v>417</v>
      </c>
      <c r="Z196" s="1035" t="s">
        <v>1246</v>
      </c>
      <c r="AB196" s="1035" t="s">
        <v>1393</v>
      </c>
      <c r="AC196" s="1035" t="s">
        <v>3418</v>
      </c>
      <c r="AO196" t="str">
        <v>Ministry of Health of the Democratic Socialist  Republic of Sri Lanka</v>
      </c>
      <c r="AU196" s="1035" t="s">
        <v>417</v>
      </c>
      <c r="AV196" s="1035" t="s">
        <v>37</v>
      </c>
      <c r="AW196" s="1035" t="s">
        <v>82</v>
      </c>
      <c r="AX196" s="1035" t="s">
        <v>1244</v>
      </c>
    </row>
    <row r="197" spans="1:50" x14ac:dyDescent="0.35">
      <c r="A197">
        <v>143</v>
      </c>
      <c r="B197" t="s">
        <v>431</v>
      </c>
      <c r="C197">
        <v>1</v>
      </c>
      <c r="D197" t="s">
        <v>82</v>
      </c>
      <c r="E197">
        <v>4</v>
      </c>
      <c r="F197" t="s">
        <v>187</v>
      </c>
      <c r="G197" t="s">
        <v>1374</v>
      </c>
      <c r="H197" t="s">
        <v>1184</v>
      </c>
      <c r="I197" t="s">
        <v>1380</v>
      </c>
      <c r="J197" t="s">
        <v>1377</v>
      </c>
      <c r="O197" t="e" cm="1">
        <f t="array" ref="O197">INDEX(Grant[Country],MATCH(0,INDEX(COUNTIF($O$2:O196,Grant[Country]),),0))</f>
        <v>#N/A</v>
      </c>
      <c r="Y197" s="1035" t="s">
        <v>417</v>
      </c>
      <c r="Z197" s="1035" t="s">
        <v>1241</v>
      </c>
      <c r="AB197" s="1035" t="s">
        <v>1503</v>
      </c>
      <c r="AC197" s="1035" t="s">
        <v>1268</v>
      </c>
      <c r="AO197" t="str">
        <v>Ministry of Health of the Democratic Socialist  Republic of Sri Lanka</v>
      </c>
      <c r="AU197" s="1035" t="s">
        <v>417</v>
      </c>
      <c r="AV197" s="1035" t="s">
        <v>187</v>
      </c>
      <c r="AW197" s="1035" t="s">
        <v>82</v>
      </c>
      <c r="AX197" s="1035" t="s">
        <v>3391</v>
      </c>
    </row>
    <row r="198" spans="1:50" x14ac:dyDescent="0.35">
      <c r="A198">
        <v>143</v>
      </c>
      <c r="B198" t="s">
        <v>431</v>
      </c>
      <c r="C198">
        <v>1</v>
      </c>
      <c r="D198" t="s">
        <v>82</v>
      </c>
      <c r="E198">
        <v>1</v>
      </c>
      <c r="F198" t="s">
        <v>36</v>
      </c>
      <c r="G198" t="s">
        <v>1374</v>
      </c>
      <c r="H198" t="s">
        <v>1184</v>
      </c>
      <c r="I198" t="s">
        <v>1375</v>
      </c>
      <c r="J198" t="s">
        <v>1376</v>
      </c>
      <c r="O198" t="e" cm="1">
        <f t="array" ref="O198">INDEX(Grant[Country],MATCH(0,INDEX(COUNTIF($O$2:O197,Grant[Country]),),0))</f>
        <v>#N/A</v>
      </c>
      <c r="Y198" s="1035" t="s">
        <v>417</v>
      </c>
      <c r="Z198" s="1035" t="s">
        <v>3391</v>
      </c>
      <c r="AB198" s="1035" t="s">
        <v>1502</v>
      </c>
      <c r="AC198" s="1035" t="s">
        <v>1268</v>
      </c>
      <c r="AO198" t="str">
        <v>Ministry of Health of the Kingdom of Morocco</v>
      </c>
      <c r="AU198" s="1035" t="s">
        <v>417</v>
      </c>
      <c r="AV198" s="1035" t="s">
        <v>39</v>
      </c>
      <c r="AW198" s="1035" t="s">
        <v>82</v>
      </c>
      <c r="AX198" s="1035" t="s">
        <v>1246</v>
      </c>
    </row>
    <row r="199" spans="1:50" x14ac:dyDescent="0.35">
      <c r="A199">
        <v>143</v>
      </c>
      <c r="B199" t="s">
        <v>431</v>
      </c>
      <c r="C199">
        <v>1</v>
      </c>
      <c r="D199" t="s">
        <v>82</v>
      </c>
      <c r="E199">
        <v>3</v>
      </c>
      <c r="F199" t="s">
        <v>37</v>
      </c>
      <c r="G199" t="s">
        <v>1374</v>
      </c>
      <c r="H199" t="s">
        <v>1184</v>
      </c>
      <c r="I199" t="s">
        <v>1378</v>
      </c>
      <c r="J199" t="s">
        <v>1379</v>
      </c>
      <c r="O199" t="e" cm="1">
        <f t="array" ref="O199">INDEX(Grant[Country],MATCH(0,INDEX(COUNTIF($O$2:O198,Grant[Country]),),0))</f>
        <v>#N/A</v>
      </c>
      <c r="Y199" s="1035" t="s">
        <v>418</v>
      </c>
      <c r="Z199" s="1035" t="s">
        <v>1254</v>
      </c>
      <c r="AB199" s="1035" t="s">
        <v>3254</v>
      </c>
      <c r="AC199" s="1035" t="s">
        <v>1268</v>
      </c>
      <c r="AO199" t="str">
        <v>Ministry of Health of the Kingdom of Morocco</v>
      </c>
      <c r="AU199" s="1035" t="s">
        <v>418</v>
      </c>
      <c r="AV199" s="1035" t="s">
        <v>37</v>
      </c>
      <c r="AW199" s="1035" t="s">
        <v>82</v>
      </c>
      <c r="AX199" s="1035" t="s">
        <v>1249</v>
      </c>
    </row>
    <row r="200" spans="1:50" x14ac:dyDescent="0.35">
      <c r="A200">
        <v>143</v>
      </c>
      <c r="B200" t="s">
        <v>431</v>
      </c>
      <c r="C200">
        <v>1</v>
      </c>
      <c r="D200" t="s">
        <v>82</v>
      </c>
      <c r="E200">
        <v>2</v>
      </c>
      <c r="F200" t="s">
        <v>39</v>
      </c>
      <c r="G200" t="s">
        <v>1374</v>
      </c>
      <c r="H200" t="s">
        <v>1184</v>
      </c>
      <c r="I200" t="s">
        <v>1382</v>
      </c>
      <c r="J200" t="s">
        <v>1383</v>
      </c>
      <c r="O200" t="e" cm="1">
        <f t="array" ref="O200">INDEX(Grant[Country],MATCH(0,INDEX(COUNTIF($O$2:O199,Grant[Country]),),0))</f>
        <v>#N/A</v>
      </c>
      <c r="Y200" s="1035" t="s">
        <v>418</v>
      </c>
      <c r="Z200" s="1035" t="s">
        <v>1259</v>
      </c>
      <c r="AB200" s="1035" t="s">
        <v>1507</v>
      </c>
      <c r="AC200" s="1035" t="s">
        <v>1268</v>
      </c>
      <c r="AO200" t="str">
        <v>Ministry of Health of the Kingdom of Morocco</v>
      </c>
      <c r="AU200" s="1035" t="s">
        <v>418</v>
      </c>
      <c r="AV200" s="1035" t="s">
        <v>37</v>
      </c>
      <c r="AW200" s="1035" t="s">
        <v>82</v>
      </c>
      <c r="AX200" s="1035" t="s">
        <v>1253</v>
      </c>
    </row>
    <row r="201" spans="1:50" x14ac:dyDescent="0.35">
      <c r="A201">
        <v>72</v>
      </c>
      <c r="B201" t="s">
        <v>433</v>
      </c>
      <c r="C201">
        <v>1</v>
      </c>
      <c r="D201" t="s">
        <v>82</v>
      </c>
      <c r="E201">
        <v>1</v>
      </c>
      <c r="F201" t="s">
        <v>36</v>
      </c>
      <c r="G201" t="s">
        <v>1394</v>
      </c>
      <c r="H201" t="s">
        <v>3414</v>
      </c>
      <c r="I201" t="s">
        <v>1395</v>
      </c>
      <c r="J201" t="s">
        <v>1396</v>
      </c>
      <c r="O201" t="e" cm="1">
        <f t="array" ref="O201">INDEX(Grant[Country],MATCH(0,INDEX(COUNTIF($O$2:O200,Grant[Country]),),0))</f>
        <v>#N/A</v>
      </c>
      <c r="Y201" s="1035" t="s">
        <v>418</v>
      </c>
      <c r="Z201" s="1035" t="s">
        <v>1249</v>
      </c>
      <c r="AB201" s="1035" t="s">
        <v>1489</v>
      </c>
      <c r="AC201" s="1035" t="s">
        <v>3246</v>
      </c>
      <c r="AO201" t="str">
        <v>Ministry of Health of the Kingdom of Morocco</v>
      </c>
      <c r="AU201" s="1035" t="s">
        <v>418</v>
      </c>
      <c r="AV201" s="1035" t="s">
        <v>187</v>
      </c>
      <c r="AW201" s="1035" t="s">
        <v>82</v>
      </c>
      <c r="AX201" s="1035" t="s">
        <v>1254</v>
      </c>
    </row>
    <row r="202" spans="1:50" x14ac:dyDescent="0.35">
      <c r="A202">
        <v>72</v>
      </c>
      <c r="B202" t="s">
        <v>433</v>
      </c>
      <c r="C202">
        <v>1</v>
      </c>
      <c r="D202" t="s">
        <v>82</v>
      </c>
      <c r="E202">
        <v>4</v>
      </c>
      <c r="F202" t="s">
        <v>187</v>
      </c>
      <c r="G202" t="s">
        <v>1394</v>
      </c>
      <c r="H202" t="s">
        <v>3414</v>
      </c>
      <c r="I202" t="s">
        <v>1407</v>
      </c>
      <c r="J202" t="s">
        <v>1399</v>
      </c>
      <c r="O202" t="e" cm="1">
        <f t="array" ref="O202">INDEX(Grant[Country],MATCH(0,INDEX(COUNTIF($O$2:O201,Grant[Country]),),0))</f>
        <v>#N/A</v>
      </c>
      <c r="Y202" s="1035" t="s">
        <v>418</v>
      </c>
      <c r="Z202" s="1035" t="s">
        <v>1253</v>
      </c>
      <c r="AB202" s="1035" t="s">
        <v>3248</v>
      </c>
      <c r="AC202" s="1035" t="s">
        <v>1261</v>
      </c>
      <c r="AO202" t="str">
        <v>Ministry of Health of the Lao People's Democratic Republic</v>
      </c>
      <c r="AU202" s="1035" t="s">
        <v>418</v>
      </c>
      <c r="AV202" s="1035" t="s">
        <v>187</v>
      </c>
      <c r="AW202" s="1035" t="s">
        <v>82</v>
      </c>
      <c r="AX202" s="1035" t="s">
        <v>1259</v>
      </c>
    </row>
    <row r="203" spans="1:50" x14ac:dyDescent="0.35">
      <c r="A203">
        <v>72</v>
      </c>
      <c r="B203" t="s">
        <v>433</v>
      </c>
      <c r="C203">
        <v>1</v>
      </c>
      <c r="D203" t="s">
        <v>82</v>
      </c>
      <c r="E203">
        <v>4</v>
      </c>
      <c r="F203" t="s">
        <v>187</v>
      </c>
      <c r="G203" t="s">
        <v>1403</v>
      </c>
      <c r="H203" t="s">
        <v>827</v>
      </c>
      <c r="I203" t="s">
        <v>1409</v>
      </c>
      <c r="J203" t="s">
        <v>1408</v>
      </c>
      <c r="O203" t="e" cm="1">
        <f t="array" ref="O203">INDEX(Grant[Country],MATCH(0,INDEX(COUNTIF($O$2:O202,Grant[Country]),),0))</f>
        <v>#N/A</v>
      </c>
      <c r="Y203" s="1035" t="s">
        <v>418</v>
      </c>
      <c r="Z203" s="1035" t="s">
        <v>1250</v>
      </c>
      <c r="AB203" s="1035" t="s">
        <v>1414</v>
      </c>
      <c r="AC203" s="1035" t="s">
        <v>937</v>
      </c>
      <c r="AO203" t="str">
        <v>Ministry of Health of the Lao People's Democratic Republic</v>
      </c>
      <c r="AU203" s="1035" t="s">
        <v>418</v>
      </c>
      <c r="AV203" s="1035" t="s">
        <v>2004</v>
      </c>
      <c r="AW203" s="1035" t="s">
        <v>82</v>
      </c>
      <c r="AX203" s="1035" t="s">
        <v>1250</v>
      </c>
    </row>
    <row r="204" spans="1:50" x14ac:dyDescent="0.35">
      <c r="A204">
        <v>72</v>
      </c>
      <c r="B204" t="s">
        <v>433</v>
      </c>
      <c r="C204">
        <v>1</v>
      </c>
      <c r="D204" t="s">
        <v>82</v>
      </c>
      <c r="E204">
        <v>1</v>
      </c>
      <c r="F204" t="s">
        <v>36</v>
      </c>
      <c r="G204" t="s">
        <v>1043</v>
      </c>
      <c r="H204" t="s">
        <v>937</v>
      </c>
      <c r="I204" t="s">
        <v>3241</v>
      </c>
      <c r="J204" t="s">
        <v>3242</v>
      </c>
      <c r="O204" t="e" cm="1">
        <f t="array" ref="O204">INDEX(Grant[Country],MATCH(0,INDEX(COUNTIF($O$2:O203,Grant[Country]),),0))</f>
        <v>#N/A</v>
      </c>
      <c r="Y204" s="1035" t="s">
        <v>419</v>
      </c>
      <c r="Z204" s="1035" t="s">
        <v>1262</v>
      </c>
      <c r="AB204" s="1035" t="s">
        <v>1418</v>
      </c>
      <c r="AC204" s="1035" t="s">
        <v>1212</v>
      </c>
      <c r="AO204" t="str">
        <v>Ministry of Health of the Lao People's Democratic Republic</v>
      </c>
      <c r="AU204" s="1035" t="s">
        <v>419</v>
      </c>
      <c r="AV204" s="1035" t="s">
        <v>37</v>
      </c>
      <c r="AW204" s="1035" t="s">
        <v>82</v>
      </c>
      <c r="AX204" s="1035" t="s">
        <v>1264</v>
      </c>
    </row>
    <row r="205" spans="1:50" x14ac:dyDescent="0.35">
      <c r="A205">
        <v>72</v>
      </c>
      <c r="B205" t="s">
        <v>433</v>
      </c>
      <c r="C205">
        <v>1</v>
      </c>
      <c r="D205" t="s">
        <v>82</v>
      </c>
      <c r="E205">
        <v>3</v>
      </c>
      <c r="F205" t="s">
        <v>37</v>
      </c>
      <c r="G205" t="s">
        <v>1394</v>
      </c>
      <c r="H205" t="s">
        <v>3414</v>
      </c>
      <c r="I205" t="s">
        <v>1400</v>
      </c>
      <c r="J205" t="s">
        <v>1401</v>
      </c>
      <c r="O205" t="e" cm="1">
        <f t="array" ref="O205">INDEX(Grant[Country],MATCH(0,INDEX(COUNTIF($O$2:O204,Grant[Country]),),0))</f>
        <v>#N/A</v>
      </c>
      <c r="Y205" s="1035" t="s">
        <v>419</v>
      </c>
      <c r="Z205" s="1035" t="s">
        <v>1264</v>
      </c>
      <c r="AB205" s="1035" t="s">
        <v>1419</v>
      </c>
      <c r="AC205" s="1035" t="s">
        <v>1202</v>
      </c>
      <c r="AO205" t="str">
        <v>Ministry of Health of the Lao People's Democratic Republic</v>
      </c>
      <c r="AU205" s="1035" t="s">
        <v>419</v>
      </c>
      <c r="AV205" s="1035" t="s">
        <v>187</v>
      </c>
      <c r="AW205" s="1035" t="s">
        <v>82</v>
      </c>
      <c r="AX205" s="1035" t="s">
        <v>1262</v>
      </c>
    </row>
    <row r="206" spans="1:50" x14ac:dyDescent="0.35">
      <c r="A206">
        <v>72</v>
      </c>
      <c r="B206" t="s">
        <v>433</v>
      </c>
      <c r="C206">
        <v>1</v>
      </c>
      <c r="D206" t="s">
        <v>82</v>
      </c>
      <c r="E206">
        <v>3</v>
      </c>
      <c r="F206" t="s">
        <v>37</v>
      </c>
      <c r="G206" t="s">
        <v>1403</v>
      </c>
      <c r="H206" t="s">
        <v>827</v>
      </c>
      <c r="I206" t="s">
        <v>1404</v>
      </c>
      <c r="J206" t="s">
        <v>1405</v>
      </c>
      <c r="O206" t="e" cm="1">
        <f t="array" ref="O206">INDEX(Grant[Country],MATCH(0,INDEX(COUNTIF($O$2:O205,Grant[Country]),),0))</f>
        <v>#N/A</v>
      </c>
      <c r="Y206" s="1035" t="s">
        <v>420</v>
      </c>
      <c r="Z206" s="1035" t="s">
        <v>1291</v>
      </c>
      <c r="AB206" s="1035" t="s">
        <v>1424</v>
      </c>
      <c r="AC206" s="1035" t="s">
        <v>937</v>
      </c>
      <c r="AO206" t="str">
        <v>Ministry of Health of the Republic of Albania</v>
      </c>
      <c r="AU206" s="1035" t="s">
        <v>420</v>
      </c>
      <c r="AV206" s="1035" t="s">
        <v>36</v>
      </c>
      <c r="AW206" s="1035" t="s">
        <v>82</v>
      </c>
      <c r="AX206" s="1035" t="s">
        <v>1275</v>
      </c>
    </row>
    <row r="207" spans="1:50" x14ac:dyDescent="0.35">
      <c r="A207">
        <v>72</v>
      </c>
      <c r="B207" t="s">
        <v>433</v>
      </c>
      <c r="C207">
        <v>1</v>
      </c>
      <c r="D207" t="s">
        <v>82</v>
      </c>
      <c r="E207">
        <v>2</v>
      </c>
      <c r="F207" t="s">
        <v>39</v>
      </c>
      <c r="G207" t="s">
        <v>1394</v>
      </c>
      <c r="H207" t="s">
        <v>3414</v>
      </c>
      <c r="I207" t="s">
        <v>1410</v>
      </c>
      <c r="J207" t="s">
        <v>1406</v>
      </c>
      <c r="O207" t="e" cm="1">
        <f t="array" ref="O207">INDEX(Grant[Country],MATCH(0,INDEX(COUNTIF($O$2:O206,Grant[Country]),),0))</f>
        <v>#N/A</v>
      </c>
      <c r="Y207" s="1035" t="s">
        <v>420</v>
      </c>
      <c r="Z207" s="1035" t="s">
        <v>1275</v>
      </c>
      <c r="AB207" s="1035" t="s">
        <v>1415</v>
      </c>
      <c r="AC207" s="1035" t="s">
        <v>1039</v>
      </c>
      <c r="AO207" t="str">
        <v>Ministry of Health of the Republic of Angola</v>
      </c>
      <c r="AU207" s="1035" t="s">
        <v>420</v>
      </c>
      <c r="AV207" s="1035" t="s">
        <v>36</v>
      </c>
      <c r="AW207" s="1035" t="s">
        <v>82</v>
      </c>
      <c r="AX207" s="1035" t="s">
        <v>1271</v>
      </c>
    </row>
    <row r="208" spans="1:50" x14ac:dyDescent="0.35">
      <c r="A208">
        <v>159</v>
      </c>
      <c r="B208" t="s">
        <v>471</v>
      </c>
      <c r="C208">
        <v>1</v>
      </c>
      <c r="D208" t="s">
        <v>82</v>
      </c>
      <c r="E208">
        <v>1</v>
      </c>
      <c r="F208" t="s">
        <v>36</v>
      </c>
      <c r="G208" t="s">
        <v>1762</v>
      </c>
      <c r="H208" t="s">
        <v>1491</v>
      </c>
      <c r="I208" t="s">
        <v>1763</v>
      </c>
      <c r="J208" t="s">
        <v>1764</v>
      </c>
      <c r="O208" t="e" cm="1">
        <f t="array" ref="O208">INDEX(Grant[Country],MATCH(0,INDEX(COUNTIF($O$2:O207,Grant[Country]),),0))</f>
        <v>#N/A</v>
      </c>
      <c r="Y208" s="1035" t="s">
        <v>420</v>
      </c>
      <c r="Z208" s="1035" t="s">
        <v>1271</v>
      </c>
      <c r="AB208" s="1035" t="s">
        <v>1422</v>
      </c>
      <c r="AC208" s="1035" t="s">
        <v>1206</v>
      </c>
      <c r="AO208" t="str">
        <v>Ministry of Health of the Republic of Angola</v>
      </c>
      <c r="AU208" s="1035" t="s">
        <v>420</v>
      </c>
      <c r="AV208" s="1035" t="s">
        <v>36</v>
      </c>
      <c r="AW208" s="1035" t="s">
        <v>82</v>
      </c>
      <c r="AX208" s="1035" t="s">
        <v>1279</v>
      </c>
    </row>
    <row r="209" spans="1:50" x14ac:dyDescent="0.35">
      <c r="A209">
        <v>159</v>
      </c>
      <c r="B209" t="s">
        <v>471</v>
      </c>
      <c r="C209">
        <v>1</v>
      </c>
      <c r="D209" t="s">
        <v>82</v>
      </c>
      <c r="E209">
        <v>1</v>
      </c>
      <c r="F209" t="s">
        <v>36</v>
      </c>
      <c r="G209" t="s">
        <v>1759</v>
      </c>
      <c r="H209" t="s">
        <v>3415</v>
      </c>
      <c r="I209" t="s">
        <v>1760</v>
      </c>
      <c r="J209" t="s">
        <v>1761</v>
      </c>
      <c r="O209" t="e" cm="1">
        <f t="array" ref="O209">INDEX(Grant[Country],MATCH(0,INDEX(COUNTIF($O$2:O208,Grant[Country]),),0))</f>
        <v>#N/A</v>
      </c>
      <c r="Y209" s="1035" t="s">
        <v>420</v>
      </c>
      <c r="Z209" s="1035" t="s">
        <v>1279</v>
      </c>
      <c r="AB209" s="1035" t="s">
        <v>1464</v>
      </c>
      <c r="AC209" s="1035" t="s">
        <v>3425</v>
      </c>
      <c r="AO209" t="str">
        <v>Ministry of Health of the Republic of Angola</v>
      </c>
      <c r="AU209" s="1035" t="s">
        <v>420</v>
      </c>
      <c r="AV209" s="1035" t="s">
        <v>36</v>
      </c>
      <c r="AW209" s="1035" t="s">
        <v>82</v>
      </c>
      <c r="AX209" s="1035" t="s">
        <v>1284</v>
      </c>
    </row>
    <row r="210" spans="1:50" x14ac:dyDescent="0.35">
      <c r="A210">
        <v>159</v>
      </c>
      <c r="B210" t="s">
        <v>471</v>
      </c>
      <c r="C210">
        <v>1</v>
      </c>
      <c r="D210" t="s">
        <v>82</v>
      </c>
      <c r="E210">
        <v>3</v>
      </c>
      <c r="F210" t="s">
        <v>37</v>
      </c>
      <c r="G210" t="s">
        <v>1759</v>
      </c>
      <c r="H210" t="s">
        <v>3415</v>
      </c>
      <c r="I210" t="s">
        <v>1766</v>
      </c>
      <c r="J210" t="s">
        <v>1765</v>
      </c>
      <c r="O210" t="e" cm="1">
        <f t="array" ref="O210">INDEX(Grant[Country],MATCH(0,INDEX(COUNTIF($O$2:O209,Grant[Country]),),0))</f>
        <v>#N/A</v>
      </c>
      <c r="Y210" s="1035" t="s">
        <v>420</v>
      </c>
      <c r="Z210" s="1035" t="s">
        <v>1284</v>
      </c>
      <c r="AB210" s="1035" t="s">
        <v>1456</v>
      </c>
      <c r="AC210" s="1035" t="s">
        <v>1238</v>
      </c>
      <c r="AO210" t="str">
        <v>Ministry of Health of the Republic of Armenia</v>
      </c>
      <c r="AU210" s="1035" t="s">
        <v>420</v>
      </c>
      <c r="AV210" s="1035" t="s">
        <v>37</v>
      </c>
      <c r="AW210" s="1035" t="s">
        <v>82</v>
      </c>
      <c r="AX210" s="1035" t="s">
        <v>1281</v>
      </c>
    </row>
    <row r="211" spans="1:50" x14ac:dyDescent="0.35">
      <c r="A211">
        <v>159</v>
      </c>
      <c r="B211" t="s">
        <v>471</v>
      </c>
      <c r="C211">
        <v>1</v>
      </c>
      <c r="D211" t="s">
        <v>82</v>
      </c>
      <c r="E211">
        <v>6</v>
      </c>
      <c r="F211" t="s">
        <v>2004</v>
      </c>
      <c r="G211" t="s">
        <v>1759</v>
      </c>
      <c r="H211" t="s">
        <v>3415</v>
      </c>
      <c r="I211" t="s">
        <v>3416</v>
      </c>
      <c r="J211" t="s">
        <v>3417</v>
      </c>
      <c r="O211" t="e" cm="1">
        <f t="array" ref="O211">INDEX(Grant[Country],MATCH(0,INDEX(COUNTIF($O$2:O210,Grant[Country]),),0))</f>
        <v>#N/A</v>
      </c>
      <c r="Y211" s="1035" t="s">
        <v>420</v>
      </c>
      <c r="Z211" s="1035" t="s">
        <v>1281</v>
      </c>
      <c r="AB211" s="1035" t="s">
        <v>1459</v>
      </c>
      <c r="AC211" s="1035" t="s">
        <v>827</v>
      </c>
      <c r="AO211" t="str">
        <v>Ministry of Health of the Republic of Armenia</v>
      </c>
      <c r="AU211" s="1035" t="s">
        <v>420</v>
      </c>
      <c r="AV211" s="1035" t="s">
        <v>37</v>
      </c>
      <c r="AW211" s="1035" t="s">
        <v>82</v>
      </c>
      <c r="AX211" s="1035" t="s">
        <v>3408</v>
      </c>
    </row>
    <row r="212" spans="1:50" x14ac:dyDescent="0.35">
      <c r="A212">
        <v>159</v>
      </c>
      <c r="B212" t="s">
        <v>471</v>
      </c>
      <c r="C212">
        <v>1</v>
      </c>
      <c r="D212" t="s">
        <v>82</v>
      </c>
      <c r="E212">
        <v>2</v>
      </c>
      <c r="F212" t="s">
        <v>39</v>
      </c>
      <c r="G212" t="s">
        <v>1759</v>
      </c>
      <c r="H212" t="s">
        <v>3415</v>
      </c>
      <c r="I212" t="s">
        <v>1768</v>
      </c>
      <c r="J212" t="s">
        <v>1767</v>
      </c>
      <c r="O212" t="e" cm="1">
        <f t="array" ref="O212">INDEX(Grant[Country],MATCH(0,INDEX(COUNTIF($O$2:O211,Grant[Country]),),0))</f>
        <v>#N/A</v>
      </c>
      <c r="Y212" s="1035" t="s">
        <v>420</v>
      </c>
      <c r="Z212" s="1035" t="s">
        <v>3240</v>
      </c>
      <c r="AB212" s="1035" t="s">
        <v>1461</v>
      </c>
      <c r="AC212" s="1035" t="s">
        <v>937</v>
      </c>
      <c r="AO212" t="str">
        <v>Ministry of Health of the Republic of Azerbaijan</v>
      </c>
      <c r="AU212" s="1035" t="s">
        <v>420</v>
      </c>
      <c r="AV212" s="1035" t="s">
        <v>187</v>
      </c>
      <c r="AW212" s="1035" t="s">
        <v>82</v>
      </c>
      <c r="AX212" s="1035" t="s">
        <v>1291</v>
      </c>
    </row>
    <row r="213" spans="1:50" x14ac:dyDescent="0.35">
      <c r="A213">
        <v>60</v>
      </c>
      <c r="B213" t="s">
        <v>432</v>
      </c>
      <c r="C213">
        <v>1</v>
      </c>
      <c r="D213" t="s">
        <v>82</v>
      </c>
      <c r="E213">
        <v>4</v>
      </c>
      <c r="F213" t="s">
        <v>187</v>
      </c>
      <c r="G213" t="s">
        <v>1387</v>
      </c>
      <c r="H213" t="s">
        <v>1187</v>
      </c>
      <c r="I213" t="s">
        <v>1388</v>
      </c>
      <c r="J213" t="s">
        <v>1389</v>
      </c>
      <c r="O213" t="e" cm="1">
        <f t="array" ref="O213">INDEX(Grant[Country],MATCH(0,INDEX(COUNTIF($O$2:O212,Grant[Country]),),0))</f>
        <v>#N/A</v>
      </c>
      <c r="Y213" s="1035" t="s">
        <v>420</v>
      </c>
      <c r="Z213" s="1035" t="s">
        <v>1285</v>
      </c>
      <c r="AB213" s="1035" t="s">
        <v>1467</v>
      </c>
      <c r="AC213" s="1035" t="s">
        <v>3425</v>
      </c>
      <c r="AO213" t="str">
        <v>Ministry of Health of the Republic of Azerbaijan</v>
      </c>
      <c r="AU213" s="1035" t="s">
        <v>420</v>
      </c>
      <c r="AV213" s="1035" t="s">
        <v>187</v>
      </c>
      <c r="AW213" s="1035" t="s">
        <v>82</v>
      </c>
      <c r="AX213" s="1035" t="s">
        <v>3403</v>
      </c>
    </row>
    <row r="214" spans="1:50" x14ac:dyDescent="0.35">
      <c r="A214">
        <v>60</v>
      </c>
      <c r="B214" t="s">
        <v>432</v>
      </c>
      <c r="C214">
        <v>1</v>
      </c>
      <c r="D214" t="s">
        <v>82</v>
      </c>
      <c r="E214">
        <v>4</v>
      </c>
      <c r="F214" t="s">
        <v>187</v>
      </c>
      <c r="G214" t="s">
        <v>1391</v>
      </c>
      <c r="H214" t="s">
        <v>3418</v>
      </c>
      <c r="I214" t="s">
        <v>1392</v>
      </c>
      <c r="J214" t="s">
        <v>1393</v>
      </c>
      <c r="O214" t="e" cm="1">
        <f t="array" ref="O214">INDEX(Grant[Country],MATCH(0,INDEX(COUNTIF($O$2:O213,Grant[Country]),),0))</f>
        <v>#N/A</v>
      </c>
      <c r="Y214" s="1035" t="s">
        <v>420</v>
      </c>
      <c r="Z214" s="1035" t="s">
        <v>1288</v>
      </c>
      <c r="AB214" s="1035" t="s">
        <v>3244</v>
      </c>
      <c r="AC214" s="1035" t="s">
        <v>1039</v>
      </c>
      <c r="AO214" t="str">
        <v>Ministry of Health of the Republic of Azerbaijan</v>
      </c>
      <c r="AU214" s="1035" t="s">
        <v>420</v>
      </c>
      <c r="AV214" s="1035" t="s">
        <v>39</v>
      </c>
      <c r="AW214" s="1035" t="s">
        <v>82</v>
      </c>
      <c r="AX214" s="1035" t="s">
        <v>3240</v>
      </c>
    </row>
    <row r="215" spans="1:50" x14ac:dyDescent="0.35">
      <c r="A215">
        <v>55</v>
      </c>
      <c r="B215" t="s">
        <v>445</v>
      </c>
      <c r="C215">
        <v>2</v>
      </c>
      <c r="D215" t="s">
        <v>367</v>
      </c>
      <c r="E215">
        <v>4</v>
      </c>
      <c r="F215" t="s">
        <v>187</v>
      </c>
      <c r="G215" t="s">
        <v>1500</v>
      </c>
      <c r="H215" t="s">
        <v>1268</v>
      </c>
      <c r="I215" t="s">
        <v>1504</v>
      </c>
      <c r="J215" t="s">
        <v>1503</v>
      </c>
      <c r="O215" t="e" cm="1">
        <f t="array" ref="O215">INDEX(Grant[Country],MATCH(0,INDEX(COUNTIF($O$2:O214,Grant[Country]),),0))</f>
        <v>#N/A</v>
      </c>
      <c r="Y215" s="1035" t="s">
        <v>420</v>
      </c>
      <c r="Z215" s="1035" t="s">
        <v>1293</v>
      </c>
      <c r="AB215" s="1035" t="s">
        <v>1430</v>
      </c>
      <c r="AC215" s="1035" t="s">
        <v>1224</v>
      </c>
      <c r="AO215" t="str">
        <v>Ministry of Health of the Republic of El Salvador</v>
      </c>
      <c r="AU215" s="1035" t="s">
        <v>420</v>
      </c>
      <c r="AV215" s="1035" t="s">
        <v>39</v>
      </c>
      <c r="AW215" s="1035" t="s">
        <v>82</v>
      </c>
      <c r="AX215" s="1035" t="s">
        <v>1285</v>
      </c>
    </row>
    <row r="216" spans="1:50" x14ac:dyDescent="0.35">
      <c r="A216">
        <v>55</v>
      </c>
      <c r="B216" t="s">
        <v>445</v>
      </c>
      <c r="C216">
        <v>2</v>
      </c>
      <c r="D216" t="s">
        <v>367</v>
      </c>
      <c r="E216">
        <v>1</v>
      </c>
      <c r="F216" t="s">
        <v>36</v>
      </c>
      <c r="G216" t="s">
        <v>1500</v>
      </c>
      <c r="H216" t="s">
        <v>1268</v>
      </c>
      <c r="I216" t="s">
        <v>1501</v>
      </c>
      <c r="J216" t="s">
        <v>1502</v>
      </c>
      <c r="O216" t="e" cm="1">
        <f t="array" ref="O216">INDEX(Grant[Country],MATCH(0,INDEX(COUNTIF($O$2:O215,Grant[Country]),),0))</f>
        <v>#N/A</v>
      </c>
      <c r="Y216" s="1035" t="s">
        <v>420</v>
      </c>
      <c r="Z216" s="1035" t="s">
        <v>1297</v>
      </c>
      <c r="AB216" s="1035" t="s">
        <v>1536</v>
      </c>
      <c r="AC216" s="1035" t="s">
        <v>814</v>
      </c>
      <c r="AO216" t="str">
        <v>Ministry of Health of the Republic of El Salvador</v>
      </c>
      <c r="AU216" s="1035" t="s">
        <v>420</v>
      </c>
      <c r="AV216" s="1035" t="s">
        <v>39</v>
      </c>
      <c r="AW216" s="1035" t="s">
        <v>82</v>
      </c>
      <c r="AX216" s="1035" t="s">
        <v>1288</v>
      </c>
    </row>
    <row r="217" spans="1:50" x14ac:dyDescent="0.35">
      <c r="A217">
        <v>55</v>
      </c>
      <c r="B217" t="s">
        <v>445</v>
      </c>
      <c r="C217">
        <v>2</v>
      </c>
      <c r="D217" t="s">
        <v>367</v>
      </c>
      <c r="E217">
        <v>6</v>
      </c>
      <c r="F217" t="s">
        <v>2004</v>
      </c>
      <c r="G217" t="s">
        <v>1500</v>
      </c>
      <c r="H217" t="s">
        <v>1268</v>
      </c>
      <c r="I217" t="s">
        <v>3253</v>
      </c>
      <c r="J217" t="s">
        <v>3254</v>
      </c>
      <c r="O217" t="e" cm="1">
        <f t="array" ref="O217">INDEX(Grant[Country],MATCH(0,INDEX(COUNTIF($O$2:O216,Grant[Country]),),0))</f>
        <v>#N/A</v>
      </c>
      <c r="Y217" s="1035" t="s">
        <v>420</v>
      </c>
      <c r="Z217" s="1035" t="s">
        <v>3410</v>
      </c>
      <c r="AB217" s="1035" t="s">
        <v>1539</v>
      </c>
      <c r="AC217" s="1035" t="s">
        <v>3428</v>
      </c>
      <c r="AO217" t="str">
        <v>Ministry of Health of the Republic of El Salvador</v>
      </c>
      <c r="AU217" s="1035" t="s">
        <v>420</v>
      </c>
      <c r="AV217" s="1035" t="s">
        <v>39</v>
      </c>
      <c r="AW217" s="1035" t="s">
        <v>82</v>
      </c>
      <c r="AX217" s="1035" t="s">
        <v>1293</v>
      </c>
    </row>
    <row r="218" spans="1:50" x14ac:dyDescent="0.35">
      <c r="A218">
        <v>55</v>
      </c>
      <c r="B218" t="s">
        <v>445</v>
      </c>
      <c r="C218">
        <v>2</v>
      </c>
      <c r="D218" t="s">
        <v>367</v>
      </c>
      <c r="E218">
        <v>2</v>
      </c>
      <c r="F218" t="s">
        <v>39</v>
      </c>
      <c r="G218" t="s">
        <v>1500</v>
      </c>
      <c r="H218" t="s">
        <v>1268</v>
      </c>
      <c r="I218" t="s">
        <v>1506</v>
      </c>
      <c r="J218" t="s">
        <v>1507</v>
      </c>
      <c r="O218" t="e" cm="1">
        <f t="array" ref="O218">INDEX(Grant[Country],MATCH(0,INDEX(COUNTIF($O$2:O217,Grant[Country]),),0))</f>
        <v>#N/A</v>
      </c>
      <c r="Y218" s="1035" t="s">
        <v>420</v>
      </c>
      <c r="Z218" s="1035" t="s">
        <v>3403</v>
      </c>
      <c r="AB218" s="1035" t="s">
        <v>1540</v>
      </c>
      <c r="AC218" s="1035" t="s">
        <v>814</v>
      </c>
      <c r="AO218" t="str">
        <v>Ministry of Health of the Republic of Ghana</v>
      </c>
      <c r="AU218" s="1035" t="s">
        <v>420</v>
      </c>
      <c r="AV218" s="1035" t="s">
        <v>39</v>
      </c>
      <c r="AW218" s="1035" t="s">
        <v>82</v>
      </c>
      <c r="AX218" s="1035" t="s">
        <v>1297</v>
      </c>
    </row>
    <row r="219" spans="1:50" x14ac:dyDescent="0.35">
      <c r="A219">
        <v>183</v>
      </c>
      <c r="B219" t="s">
        <v>442</v>
      </c>
      <c r="C219">
        <v>2</v>
      </c>
      <c r="D219" t="s">
        <v>367</v>
      </c>
      <c r="E219">
        <v>4</v>
      </c>
      <c r="F219" t="s">
        <v>187</v>
      </c>
      <c r="G219" t="s">
        <v>1487</v>
      </c>
      <c r="H219" t="s">
        <v>3246</v>
      </c>
      <c r="I219" t="s">
        <v>1488</v>
      </c>
      <c r="J219" t="s">
        <v>1489</v>
      </c>
      <c r="O219" t="e" cm="1">
        <f t="array" ref="O219">INDEX(Grant[Country],MATCH(0,INDEX(COUNTIF($O$2:O218,Grant[Country]),),0))</f>
        <v>#N/A</v>
      </c>
      <c r="Y219" s="1035" t="s">
        <v>420</v>
      </c>
      <c r="Z219" s="1035" t="s">
        <v>3408</v>
      </c>
      <c r="AB219" s="1035" t="s">
        <v>1544</v>
      </c>
      <c r="AC219" s="1035" t="s">
        <v>3428</v>
      </c>
      <c r="AO219" t="str">
        <v>Ministry of Health of the Republic of Ghana</v>
      </c>
      <c r="AU219" s="1035" t="s">
        <v>420</v>
      </c>
      <c r="AV219" s="1035" t="s">
        <v>39</v>
      </c>
      <c r="AW219" s="1035" t="s">
        <v>82</v>
      </c>
      <c r="AX219" s="1035" t="s">
        <v>3410</v>
      </c>
    </row>
    <row r="220" spans="1:50" x14ac:dyDescent="0.35">
      <c r="A220">
        <v>183</v>
      </c>
      <c r="B220" t="s">
        <v>442</v>
      </c>
      <c r="C220">
        <v>2</v>
      </c>
      <c r="D220" t="s">
        <v>367</v>
      </c>
      <c r="E220">
        <v>2</v>
      </c>
      <c r="F220" t="s">
        <v>39</v>
      </c>
      <c r="G220" t="s">
        <v>1490</v>
      </c>
      <c r="H220" t="s">
        <v>1261</v>
      </c>
      <c r="I220" t="s">
        <v>3247</v>
      </c>
      <c r="J220" t="s">
        <v>3248</v>
      </c>
      <c r="O220" t="e" cm="1">
        <f t="array" ref="O220">INDEX(Grant[Country],MATCH(0,INDEX(COUNTIF($O$2:O219,Grant[Country]),),0))</f>
        <v>#N/A</v>
      </c>
      <c r="Y220" s="1035" t="s">
        <v>421</v>
      </c>
      <c r="Z220" s="1035" t="s">
        <v>1307</v>
      </c>
      <c r="AB220" s="1035" t="s">
        <v>1499</v>
      </c>
      <c r="AC220" s="1035" t="s">
        <v>1267</v>
      </c>
      <c r="AO220" t="str">
        <v>Ministry of Health of the Republic of Guinea-Bissau</v>
      </c>
      <c r="AU220" s="1035" t="s">
        <v>421</v>
      </c>
      <c r="AV220" s="1035" t="s">
        <v>36</v>
      </c>
      <c r="AW220" s="1035" t="s">
        <v>82</v>
      </c>
      <c r="AX220" s="1035" t="s">
        <v>1307</v>
      </c>
    </row>
    <row r="221" spans="1:50" x14ac:dyDescent="0.35">
      <c r="A221">
        <v>30</v>
      </c>
      <c r="B221" t="s">
        <v>434</v>
      </c>
      <c r="C221">
        <v>1</v>
      </c>
      <c r="D221" t="s">
        <v>82</v>
      </c>
      <c r="E221">
        <v>1</v>
      </c>
      <c r="F221" t="s">
        <v>36</v>
      </c>
      <c r="G221" t="s">
        <v>1043</v>
      </c>
      <c r="H221" t="s">
        <v>937</v>
      </c>
      <c r="I221" t="s">
        <v>1413</v>
      </c>
      <c r="J221" t="s">
        <v>1414</v>
      </c>
      <c r="O221" t="e" cm="1">
        <f t="array" ref="O221">INDEX(Grant[Country],MATCH(0,INDEX(COUNTIF($O$2:O220,Grant[Country]),),0))</f>
        <v>#N/A</v>
      </c>
      <c r="Y221" s="1035" t="s">
        <v>421</v>
      </c>
      <c r="Z221" s="1035" t="s">
        <v>1311</v>
      </c>
      <c r="AB221" s="1035" t="s">
        <v>1494</v>
      </c>
      <c r="AC221" s="1035" t="s">
        <v>1266</v>
      </c>
      <c r="AO221" t="str">
        <v>Ministry of Health of the Republic of Guinea-Bissau</v>
      </c>
      <c r="AU221" s="1035" t="s">
        <v>421</v>
      </c>
      <c r="AV221" s="1035" t="s">
        <v>36</v>
      </c>
      <c r="AW221" s="1035" t="s">
        <v>82</v>
      </c>
      <c r="AX221" s="1035" t="s">
        <v>1311</v>
      </c>
    </row>
    <row r="222" spans="1:50" x14ac:dyDescent="0.35">
      <c r="A222">
        <v>30</v>
      </c>
      <c r="B222" t="s">
        <v>434</v>
      </c>
      <c r="C222">
        <v>1</v>
      </c>
      <c r="D222" t="s">
        <v>82</v>
      </c>
      <c r="E222">
        <v>1</v>
      </c>
      <c r="F222" t="s">
        <v>36</v>
      </c>
      <c r="G222" t="s">
        <v>1416</v>
      </c>
      <c r="H222" t="s">
        <v>1212</v>
      </c>
      <c r="I222" t="s">
        <v>1417</v>
      </c>
      <c r="J222" t="s">
        <v>1418</v>
      </c>
      <c r="O222" t="e" cm="1">
        <f t="array" ref="O222">INDEX(Grant[Country],MATCH(0,INDEX(COUNTIF($O$2:O221,Grant[Country]),),0))</f>
        <v>#N/A</v>
      </c>
      <c r="Y222" s="1035" t="s">
        <v>421</v>
      </c>
      <c r="Z222" s="1035" t="s">
        <v>1313</v>
      </c>
      <c r="AB222" s="1035" t="s">
        <v>3250</v>
      </c>
      <c r="AC222" s="1035" t="s">
        <v>1266</v>
      </c>
      <c r="AO222" t="str">
        <v>Ministry of Health of the Republic of Malawi</v>
      </c>
      <c r="AU222" s="1035" t="s">
        <v>421</v>
      </c>
      <c r="AV222" s="1035" t="s">
        <v>36</v>
      </c>
      <c r="AW222" s="1035" t="s">
        <v>82</v>
      </c>
      <c r="AX222" s="1035" t="s">
        <v>3397</v>
      </c>
    </row>
    <row r="223" spans="1:50" x14ac:dyDescent="0.35">
      <c r="A223">
        <v>30</v>
      </c>
      <c r="B223" t="s">
        <v>434</v>
      </c>
      <c r="C223">
        <v>1</v>
      </c>
      <c r="D223" t="s">
        <v>82</v>
      </c>
      <c r="E223">
        <v>3</v>
      </c>
      <c r="F223" t="s">
        <v>37</v>
      </c>
      <c r="G223" t="s">
        <v>1420</v>
      </c>
      <c r="H223" t="s">
        <v>1202</v>
      </c>
      <c r="I223" t="s">
        <v>1421</v>
      </c>
      <c r="J223" t="s">
        <v>1419</v>
      </c>
      <c r="O223" t="e" cm="1">
        <f t="array" ref="O223">INDEX(Grant[Country],MATCH(0,INDEX(COUNTIF($O$2:O222,Grant[Country]),),0))</f>
        <v>#N/A</v>
      </c>
      <c r="Y223" s="1035" t="s">
        <v>421</v>
      </c>
      <c r="Z223" s="1035" t="s">
        <v>1318</v>
      </c>
      <c r="AB223" s="1035" t="s">
        <v>3252</v>
      </c>
      <c r="AC223" s="1035" t="s">
        <v>1266</v>
      </c>
      <c r="AO223" t="str">
        <v>Ministry of Health of the Republic of Malawi</v>
      </c>
      <c r="AU223" s="1035" t="s">
        <v>421</v>
      </c>
      <c r="AV223" s="1035" t="s">
        <v>37</v>
      </c>
      <c r="AW223" s="1035" t="s">
        <v>82</v>
      </c>
      <c r="AX223" s="1035" t="s">
        <v>1313</v>
      </c>
    </row>
    <row r="224" spans="1:50" x14ac:dyDescent="0.35">
      <c r="A224">
        <v>30</v>
      </c>
      <c r="B224" t="s">
        <v>434</v>
      </c>
      <c r="C224">
        <v>1</v>
      </c>
      <c r="D224" t="s">
        <v>82</v>
      </c>
      <c r="E224">
        <v>3</v>
      </c>
      <c r="F224" t="s">
        <v>37</v>
      </c>
      <c r="G224" t="s">
        <v>1043</v>
      </c>
      <c r="H224" t="s">
        <v>937</v>
      </c>
      <c r="I224" t="s">
        <v>1423</v>
      </c>
      <c r="J224" t="s">
        <v>1424</v>
      </c>
      <c r="O224" t="e" cm="1">
        <f t="array" ref="O224">INDEX(Grant[Country],MATCH(0,INDEX(COUNTIF($O$2:O223,Grant[Country]),),0))</f>
        <v>#N/A</v>
      </c>
      <c r="Y224" s="1035" t="s">
        <v>421</v>
      </c>
      <c r="Z224" s="1035" t="s">
        <v>1308</v>
      </c>
      <c r="AB224" s="1035" t="s">
        <v>1522</v>
      </c>
      <c r="AC224" s="1035" t="s">
        <v>1280</v>
      </c>
      <c r="AO224" t="str">
        <v>Ministry of Health of the Republic of Rwanda</v>
      </c>
      <c r="AU224" s="1035" t="s">
        <v>421</v>
      </c>
      <c r="AV224" s="1035" t="s">
        <v>37</v>
      </c>
      <c r="AW224" s="1035" t="s">
        <v>82</v>
      </c>
      <c r="AX224" s="1035" t="s">
        <v>1318</v>
      </c>
    </row>
    <row r="225" spans="1:50" x14ac:dyDescent="0.35">
      <c r="A225">
        <v>30</v>
      </c>
      <c r="B225" t="s">
        <v>434</v>
      </c>
      <c r="C225">
        <v>1</v>
      </c>
      <c r="D225" t="s">
        <v>82</v>
      </c>
      <c r="E225">
        <v>6</v>
      </c>
      <c r="F225" t="s">
        <v>2004</v>
      </c>
      <c r="G225" t="s">
        <v>1420</v>
      </c>
      <c r="H225" t="s">
        <v>1202</v>
      </c>
      <c r="I225" t="s">
        <v>3419</v>
      </c>
      <c r="J225" t="s">
        <v>3420</v>
      </c>
      <c r="O225" t="e" cm="1">
        <f t="array" ref="O225">INDEX(Grant[Country],MATCH(0,INDEX(COUNTIF($O$2:O224,Grant[Country]),),0))</f>
        <v>#N/A</v>
      </c>
      <c r="Y225" s="1035" t="s">
        <v>421</v>
      </c>
      <c r="Z225" s="1035" t="s">
        <v>1315</v>
      </c>
      <c r="AB225" s="1035" t="s">
        <v>1526</v>
      </c>
      <c r="AC225" s="1035" t="s">
        <v>1280</v>
      </c>
      <c r="AO225" t="str">
        <v>Ministry of Health of the Republic of Rwanda</v>
      </c>
      <c r="AU225" s="1035" t="s">
        <v>421</v>
      </c>
      <c r="AV225" s="1035" t="s">
        <v>39</v>
      </c>
      <c r="AW225" s="1035" t="s">
        <v>82</v>
      </c>
      <c r="AX225" s="1035" t="s">
        <v>1308</v>
      </c>
    </row>
    <row r="226" spans="1:50" x14ac:dyDescent="0.35">
      <c r="A226">
        <v>30</v>
      </c>
      <c r="B226" t="s">
        <v>434</v>
      </c>
      <c r="C226">
        <v>1</v>
      </c>
      <c r="D226" t="s">
        <v>82</v>
      </c>
      <c r="E226">
        <v>2</v>
      </c>
      <c r="F226" t="s">
        <v>39</v>
      </c>
      <c r="G226" t="s">
        <v>1021</v>
      </c>
      <c r="H226" t="s">
        <v>1039</v>
      </c>
      <c r="I226" t="s">
        <v>1425</v>
      </c>
      <c r="J226" t="s">
        <v>1415</v>
      </c>
      <c r="O226" t="e" cm="1">
        <f t="array" ref="O226">INDEX(Grant[Country],MATCH(0,INDEX(COUNTIF($O$2:O225,Grant[Country]),),0))</f>
        <v>#N/A</v>
      </c>
      <c r="Y226" s="1035" t="s">
        <v>421</v>
      </c>
      <c r="Z226" s="1035" t="s">
        <v>3401</v>
      </c>
      <c r="AB226" s="1035" t="s">
        <v>1511</v>
      </c>
      <c r="AC226" s="1035" t="s">
        <v>1272</v>
      </c>
      <c r="AO226" t="str">
        <v>Ministry of Health of the Republic of Rwanda</v>
      </c>
      <c r="AU226" s="1035" t="s">
        <v>421</v>
      </c>
      <c r="AV226" s="1035" t="s">
        <v>39</v>
      </c>
      <c r="AW226" s="1035" t="s">
        <v>82</v>
      </c>
      <c r="AX226" s="1035" t="s">
        <v>1315</v>
      </c>
    </row>
    <row r="227" spans="1:50" x14ac:dyDescent="0.35">
      <c r="A227">
        <v>30</v>
      </c>
      <c r="B227" t="s">
        <v>434</v>
      </c>
      <c r="C227">
        <v>1</v>
      </c>
      <c r="D227" t="s">
        <v>82</v>
      </c>
      <c r="E227">
        <v>2</v>
      </c>
      <c r="F227" t="s">
        <v>39</v>
      </c>
      <c r="G227" t="s">
        <v>1426</v>
      </c>
      <c r="H227" t="s">
        <v>1206</v>
      </c>
      <c r="I227" t="s">
        <v>1427</v>
      </c>
      <c r="J227" t="s">
        <v>1422</v>
      </c>
      <c r="O227" t="e" cm="1">
        <f t="array" ref="O227">INDEX(Grant[Country],MATCH(0,INDEX(COUNTIF($O$2:O226,Grant[Country]),),0))</f>
        <v>#N/A</v>
      </c>
      <c r="Y227" s="1035" t="s">
        <v>421</v>
      </c>
      <c r="Z227" s="1035" t="s">
        <v>3397</v>
      </c>
      <c r="AB227" s="1035" t="s">
        <v>1516</v>
      </c>
      <c r="AC227" s="1035" t="s">
        <v>1276</v>
      </c>
      <c r="AO227" t="str">
        <v>Ministry of Health of the Republic of Rwanda</v>
      </c>
      <c r="AU227" s="1035" t="s">
        <v>421</v>
      </c>
      <c r="AV227" s="1035" t="s">
        <v>39</v>
      </c>
      <c r="AW227" s="1035" t="s">
        <v>82</v>
      </c>
      <c r="AX227" s="1035" t="s">
        <v>3401</v>
      </c>
    </row>
    <row r="228" spans="1:50" x14ac:dyDescent="0.35">
      <c r="A228">
        <v>73</v>
      </c>
      <c r="B228" t="s">
        <v>438</v>
      </c>
      <c r="C228">
        <v>2</v>
      </c>
      <c r="D228" t="s">
        <v>367</v>
      </c>
      <c r="E228">
        <v>4</v>
      </c>
      <c r="F228" t="s">
        <v>187</v>
      </c>
      <c r="G228" t="s">
        <v>3421</v>
      </c>
      <c r="H228" t="s">
        <v>3422</v>
      </c>
      <c r="I228" t="s">
        <v>3423</v>
      </c>
      <c r="J228" t="s">
        <v>3424</v>
      </c>
      <c r="O228" t="e" cm="1">
        <f t="array" ref="O228">INDEX(Grant[Country],MATCH(0,INDEX(COUNTIF($O$2:O227,Grant[Country]),),0))</f>
        <v>#N/A</v>
      </c>
      <c r="Y228" s="1035" t="s">
        <v>422</v>
      </c>
      <c r="Z228" s="1035" t="s">
        <v>1325</v>
      </c>
      <c r="AB228" s="1035" t="s">
        <v>1510</v>
      </c>
      <c r="AC228" s="1035" t="s">
        <v>1276</v>
      </c>
      <c r="AO228" t="str">
        <v>Ministry of Health of the Republic of Suriname</v>
      </c>
      <c r="AU228" s="1035" t="s">
        <v>422</v>
      </c>
      <c r="AV228" s="1035" t="s">
        <v>36</v>
      </c>
      <c r="AW228" s="1035" t="s">
        <v>82</v>
      </c>
      <c r="AX228" s="1035" t="s">
        <v>1325</v>
      </c>
    </row>
    <row r="229" spans="1:50" x14ac:dyDescent="0.35">
      <c r="A229">
        <v>73</v>
      </c>
      <c r="B229" t="s">
        <v>438</v>
      </c>
      <c r="C229">
        <v>2</v>
      </c>
      <c r="D229" t="s">
        <v>367</v>
      </c>
      <c r="E229">
        <v>4</v>
      </c>
      <c r="F229" t="s">
        <v>187</v>
      </c>
      <c r="G229" t="s">
        <v>1462</v>
      </c>
      <c r="H229" t="s">
        <v>3425</v>
      </c>
      <c r="I229" t="s">
        <v>1463</v>
      </c>
      <c r="J229" t="s">
        <v>1464</v>
      </c>
      <c r="O229" t="e" cm="1">
        <f t="array" ref="O229">INDEX(Grant[Country],MATCH(0,INDEX(COUNTIF($O$2:O228,Grant[Country]),),0))</f>
        <v>#N/A</v>
      </c>
      <c r="Y229" s="1035" t="s">
        <v>424</v>
      </c>
      <c r="Z229" s="1035" t="s">
        <v>1329</v>
      </c>
      <c r="AB229" s="1035" t="s">
        <v>1514</v>
      </c>
      <c r="AC229" s="1035" t="s">
        <v>1280</v>
      </c>
      <c r="AO229" t="str">
        <v>Ministry of Health of the Republic of Suriname</v>
      </c>
      <c r="AU229" s="1035" t="s">
        <v>424</v>
      </c>
      <c r="AV229" s="1035" t="s">
        <v>36</v>
      </c>
      <c r="AW229" s="1035" t="s">
        <v>82</v>
      </c>
      <c r="AX229" s="1035" t="s">
        <v>1329</v>
      </c>
    </row>
    <row r="230" spans="1:50" x14ac:dyDescent="0.35">
      <c r="A230">
        <v>73</v>
      </c>
      <c r="B230" t="s">
        <v>438</v>
      </c>
      <c r="C230">
        <v>2</v>
      </c>
      <c r="D230" t="s">
        <v>367</v>
      </c>
      <c r="E230">
        <v>1</v>
      </c>
      <c r="F230" t="s">
        <v>36</v>
      </c>
      <c r="G230" t="s">
        <v>1453</v>
      </c>
      <c r="H230" t="s">
        <v>1238</v>
      </c>
      <c r="I230" t="s">
        <v>1455</v>
      </c>
      <c r="J230" t="s">
        <v>1456</v>
      </c>
      <c r="O230" t="e" cm="1">
        <f t="array" ref="O230">INDEX(Grant[Country],MATCH(0,INDEX(COUNTIF($O$2:O229,Grant[Country]),),0))</f>
        <v>#N/A</v>
      </c>
      <c r="Y230" s="1035" t="s">
        <v>426</v>
      </c>
      <c r="Z230" s="1035" t="s">
        <v>1335</v>
      </c>
      <c r="AB230" s="1035" t="s">
        <v>1518</v>
      </c>
      <c r="AC230" s="1035" t="s">
        <v>1280</v>
      </c>
      <c r="AO230" t="str">
        <v>Ministry of Health of the Republic of Suriname</v>
      </c>
      <c r="AU230" s="1035" t="s">
        <v>426</v>
      </c>
      <c r="AV230" s="1035" t="s">
        <v>36</v>
      </c>
      <c r="AW230" s="1035" t="s">
        <v>82</v>
      </c>
      <c r="AX230" s="1035" t="s">
        <v>1335</v>
      </c>
    </row>
    <row r="231" spans="1:50" x14ac:dyDescent="0.35">
      <c r="A231">
        <v>73</v>
      </c>
      <c r="B231" t="s">
        <v>438</v>
      </c>
      <c r="C231">
        <v>2</v>
      </c>
      <c r="D231" t="s">
        <v>367</v>
      </c>
      <c r="E231">
        <v>1</v>
      </c>
      <c r="F231" t="s">
        <v>36</v>
      </c>
      <c r="G231" t="s">
        <v>1457</v>
      </c>
      <c r="H231" t="s">
        <v>827</v>
      </c>
      <c r="I231" t="s">
        <v>1458</v>
      </c>
      <c r="J231" t="s">
        <v>1459</v>
      </c>
      <c r="O231" t="e" cm="1">
        <f t="array" ref="O231">INDEX(Grant[Country],MATCH(0,INDEX(COUNTIF($O$2:O230,Grant[Country]),),0))</f>
        <v>#N/A</v>
      </c>
      <c r="Y231" s="1035" t="s">
        <v>426</v>
      </c>
      <c r="Z231" s="1035" t="s">
        <v>1339</v>
      </c>
      <c r="AB231" s="1035" t="s">
        <v>1521</v>
      </c>
      <c r="AC231" s="1035" t="s">
        <v>789</v>
      </c>
      <c r="AO231" t="str">
        <v>Ministry of Health of the Republic of The Gambia</v>
      </c>
      <c r="AU231" s="1035" t="s">
        <v>426</v>
      </c>
      <c r="AV231" s="1035" t="s">
        <v>39</v>
      </c>
      <c r="AW231" s="1035" t="s">
        <v>82</v>
      </c>
      <c r="AX231" s="1035" t="s">
        <v>1339</v>
      </c>
    </row>
    <row r="232" spans="1:50" x14ac:dyDescent="0.35">
      <c r="A232">
        <v>73</v>
      </c>
      <c r="B232" t="s">
        <v>438</v>
      </c>
      <c r="C232">
        <v>2</v>
      </c>
      <c r="D232" t="s">
        <v>367</v>
      </c>
      <c r="E232">
        <v>3</v>
      </c>
      <c r="F232" t="s">
        <v>37</v>
      </c>
      <c r="G232" t="s">
        <v>1468</v>
      </c>
      <c r="H232" t="s">
        <v>1039</v>
      </c>
      <c r="I232" t="s">
        <v>3426</v>
      </c>
      <c r="J232" t="s">
        <v>3427</v>
      </c>
      <c r="O232" t="e" cm="1">
        <f t="array" ref="O232">INDEX(Grant[Country],MATCH(0,INDEX(COUNTIF($O$2:O231,Grant[Country]),),0))</f>
        <v>#N/A</v>
      </c>
      <c r="Y232" s="1035" t="s">
        <v>427</v>
      </c>
      <c r="Z232" s="1035" t="s">
        <v>1343</v>
      </c>
      <c r="AB232" s="1035" t="s">
        <v>1532</v>
      </c>
      <c r="AC232" s="1035" t="s">
        <v>1280</v>
      </c>
      <c r="AO232" t="str">
        <v>Ministry of Health of the Republic of Zambia</v>
      </c>
      <c r="AU232" s="1035" t="s">
        <v>427</v>
      </c>
      <c r="AV232" s="1035" t="s">
        <v>36</v>
      </c>
      <c r="AW232" s="1035" t="s">
        <v>82</v>
      </c>
      <c r="AX232" s="1035" t="s">
        <v>1343</v>
      </c>
    </row>
    <row r="233" spans="1:50" x14ac:dyDescent="0.35">
      <c r="A233">
        <v>73</v>
      </c>
      <c r="B233" t="s">
        <v>438</v>
      </c>
      <c r="C233">
        <v>2</v>
      </c>
      <c r="D233" t="s">
        <v>367</v>
      </c>
      <c r="E233">
        <v>3</v>
      </c>
      <c r="F233" t="s">
        <v>37</v>
      </c>
      <c r="G233" t="s">
        <v>1043</v>
      </c>
      <c r="H233" t="s">
        <v>937</v>
      </c>
      <c r="I233" t="s">
        <v>1460</v>
      </c>
      <c r="J233" t="s">
        <v>1461</v>
      </c>
      <c r="O233" t="e" cm="1">
        <f t="array" ref="O233">INDEX(Grant[Country],MATCH(0,INDEX(COUNTIF($O$2:O232,Grant[Country]),),0))</f>
        <v>#N/A</v>
      </c>
      <c r="Y233" s="1035" t="s">
        <v>427</v>
      </c>
      <c r="Z233" s="1035" t="s">
        <v>1348</v>
      </c>
      <c r="AB233" s="1035" t="s">
        <v>1473</v>
      </c>
      <c r="AC233" s="1035" t="s">
        <v>3245</v>
      </c>
      <c r="AO233" t="str">
        <v>Ministry of Health of the Republic of Zambia</v>
      </c>
      <c r="AU233" s="1035" t="s">
        <v>427</v>
      </c>
      <c r="AV233" s="1035" t="s">
        <v>36</v>
      </c>
      <c r="AW233" s="1035" t="s">
        <v>82</v>
      </c>
      <c r="AX233" s="1035" t="s">
        <v>1348</v>
      </c>
    </row>
    <row r="234" spans="1:50" x14ac:dyDescent="0.35">
      <c r="A234">
        <v>73</v>
      </c>
      <c r="B234" t="s">
        <v>438</v>
      </c>
      <c r="C234">
        <v>2</v>
      </c>
      <c r="D234" t="s">
        <v>367</v>
      </c>
      <c r="E234">
        <v>6</v>
      </c>
      <c r="F234" t="s">
        <v>2004</v>
      </c>
      <c r="G234" t="s">
        <v>1462</v>
      </c>
      <c r="H234" t="s">
        <v>3425</v>
      </c>
      <c r="I234" t="s">
        <v>1466</v>
      </c>
      <c r="J234" t="s">
        <v>1467</v>
      </c>
      <c r="O234" t="e" cm="1">
        <f t="array" ref="O234">INDEX(Grant[Country],MATCH(0,INDEX(COUNTIF($O$2:O233,Grant[Country]),),0))</f>
        <v>#N/A</v>
      </c>
      <c r="Y234" s="1035" t="s">
        <v>427</v>
      </c>
      <c r="Z234" s="1035" t="s">
        <v>1345</v>
      </c>
      <c r="AB234" s="1035" t="s">
        <v>1475</v>
      </c>
      <c r="AC234" s="1035" t="s">
        <v>3245</v>
      </c>
      <c r="AO234" t="str">
        <v>Ministry of Health of the Revolutionary Government of Zanzibar</v>
      </c>
      <c r="AU234" s="1035" t="s">
        <v>427</v>
      </c>
      <c r="AV234" s="1035" t="s">
        <v>37</v>
      </c>
      <c r="AW234" s="1035" t="s">
        <v>82</v>
      </c>
      <c r="AX234" s="1035" t="s">
        <v>1345</v>
      </c>
    </row>
    <row r="235" spans="1:50" x14ac:dyDescent="0.35">
      <c r="A235">
        <v>73</v>
      </c>
      <c r="B235" t="s">
        <v>438</v>
      </c>
      <c r="C235">
        <v>2</v>
      </c>
      <c r="D235" t="s">
        <v>367</v>
      </c>
      <c r="E235">
        <v>2</v>
      </c>
      <c r="F235" t="s">
        <v>39</v>
      </c>
      <c r="G235" t="s">
        <v>1468</v>
      </c>
      <c r="H235" t="s">
        <v>1039</v>
      </c>
      <c r="I235" t="s">
        <v>3243</v>
      </c>
      <c r="J235" t="s">
        <v>3244</v>
      </c>
      <c r="O235" t="e" cm="1">
        <f t="array" ref="O235">INDEX(Grant[Country],MATCH(0,INDEX(COUNTIF($O$2:O234,Grant[Country]),),0))</f>
        <v>#N/A</v>
      </c>
      <c r="Y235" s="1035" t="s">
        <v>427</v>
      </c>
      <c r="Z235" s="1035" t="s">
        <v>1354</v>
      </c>
      <c r="AB235" s="1035" t="s">
        <v>1479</v>
      </c>
      <c r="AC235" s="1035" t="s">
        <v>3245</v>
      </c>
      <c r="AO235" t="str">
        <v>Ministry of Health of the Revolutionary Government of Zanzibar</v>
      </c>
      <c r="AU235" s="1035" t="s">
        <v>427</v>
      </c>
      <c r="AV235" s="1035" t="s">
        <v>37</v>
      </c>
      <c r="AW235" s="1035" t="s">
        <v>82</v>
      </c>
      <c r="AX235" s="1035" t="s">
        <v>1354</v>
      </c>
    </row>
    <row r="236" spans="1:50" x14ac:dyDescent="0.35">
      <c r="A236">
        <v>31</v>
      </c>
      <c r="B236" t="s">
        <v>435</v>
      </c>
      <c r="C236">
        <v>1</v>
      </c>
      <c r="D236" t="s">
        <v>82</v>
      </c>
      <c r="E236">
        <v>1</v>
      </c>
      <c r="F236" t="s">
        <v>36</v>
      </c>
      <c r="G236" t="s">
        <v>1428</v>
      </c>
      <c r="H236" t="s">
        <v>1224</v>
      </c>
      <c r="I236" t="s">
        <v>1429</v>
      </c>
      <c r="J236" t="s">
        <v>1430</v>
      </c>
      <c r="O236" t="e" cm="1">
        <f t="array" ref="O236">INDEX(Grant[Country],MATCH(0,INDEX(COUNTIF($O$2:O235,Grant[Country]),),0))</f>
        <v>#N/A</v>
      </c>
      <c r="Y236" s="1035" t="s">
        <v>427</v>
      </c>
      <c r="Z236" s="1035" t="s">
        <v>1350</v>
      </c>
      <c r="AB236" s="1035" t="s">
        <v>1477</v>
      </c>
      <c r="AC236" s="1035" t="s">
        <v>3245</v>
      </c>
      <c r="AO236" t="str">
        <v>Ministry of Health of the Royal Government of Bhutan</v>
      </c>
      <c r="AU236" s="1035" t="s">
        <v>427</v>
      </c>
      <c r="AV236" s="1035" t="s">
        <v>39</v>
      </c>
      <c r="AW236" s="1035" t="s">
        <v>82</v>
      </c>
      <c r="AX236" s="1035" t="s">
        <v>1350</v>
      </c>
    </row>
    <row r="237" spans="1:50" x14ac:dyDescent="0.35">
      <c r="A237">
        <v>145</v>
      </c>
      <c r="B237" t="s">
        <v>447</v>
      </c>
      <c r="C237">
        <v>1</v>
      </c>
      <c r="D237" t="s">
        <v>82</v>
      </c>
      <c r="E237">
        <v>1</v>
      </c>
      <c r="F237" t="s">
        <v>36</v>
      </c>
      <c r="G237" t="s">
        <v>829</v>
      </c>
      <c r="H237" t="s">
        <v>814</v>
      </c>
      <c r="I237" t="s">
        <v>1535</v>
      </c>
      <c r="J237" t="s">
        <v>1536</v>
      </c>
      <c r="O237" t="e" cm="1">
        <f t="array" ref="O237">INDEX(Grant[Country],MATCH(0,INDEX(COUNTIF($O$2:O236,Grant[Country]),),0))</f>
        <v>#N/A</v>
      </c>
      <c r="Y237" s="1035" t="s">
        <v>427</v>
      </c>
      <c r="Z237" s="1035" t="s">
        <v>1357</v>
      </c>
      <c r="AB237" s="1035" t="s">
        <v>1483</v>
      </c>
      <c r="AC237" s="1035" t="s">
        <v>3429</v>
      </c>
      <c r="AO237" t="str">
        <v>Ministry of Health of the Royal Government of Bhutan</v>
      </c>
      <c r="AU237" s="1035" t="s">
        <v>427</v>
      </c>
      <c r="AV237" s="1035" t="s">
        <v>39</v>
      </c>
      <c r="AW237" s="1035" t="s">
        <v>82</v>
      </c>
      <c r="AX237" s="1035" t="s">
        <v>1357</v>
      </c>
    </row>
    <row r="238" spans="1:50" x14ac:dyDescent="0.35">
      <c r="A238">
        <v>145</v>
      </c>
      <c r="B238" t="s">
        <v>447</v>
      </c>
      <c r="C238">
        <v>1</v>
      </c>
      <c r="D238" t="s">
        <v>82</v>
      </c>
      <c r="E238">
        <v>1</v>
      </c>
      <c r="F238" t="s">
        <v>36</v>
      </c>
      <c r="G238" t="s">
        <v>1537</v>
      </c>
      <c r="H238" t="s">
        <v>3428</v>
      </c>
      <c r="I238" t="s">
        <v>1538</v>
      </c>
      <c r="J238" t="s">
        <v>1539</v>
      </c>
      <c r="O238" t="e" cm="1">
        <f t="array" ref="O238">INDEX(Grant[Country],MATCH(0,INDEX(COUNTIF($O$2:O237,Grant[Country]),),0))</f>
        <v>#N/A</v>
      </c>
      <c r="Y238" s="1035" t="s">
        <v>428</v>
      </c>
      <c r="Z238" s="1035" t="s">
        <v>1361</v>
      </c>
      <c r="AB238" s="1035" t="s">
        <v>1486</v>
      </c>
      <c r="AC238" s="1035" t="s">
        <v>1258</v>
      </c>
      <c r="AO238" t="str">
        <v>Ministry of Health of the Royal Government of Bhutan</v>
      </c>
      <c r="AU238" s="1035" t="s">
        <v>428</v>
      </c>
      <c r="AV238" s="1035" t="s">
        <v>187</v>
      </c>
      <c r="AW238" s="1035" t="s">
        <v>82</v>
      </c>
      <c r="AX238" s="1035" t="s">
        <v>1361</v>
      </c>
    </row>
    <row r="239" spans="1:50" x14ac:dyDescent="0.35">
      <c r="A239">
        <v>145</v>
      </c>
      <c r="B239" t="s">
        <v>447</v>
      </c>
      <c r="C239">
        <v>1</v>
      </c>
      <c r="D239" t="s">
        <v>82</v>
      </c>
      <c r="E239">
        <v>2</v>
      </c>
      <c r="F239" t="s">
        <v>39</v>
      </c>
      <c r="G239" t="s">
        <v>829</v>
      </c>
      <c r="H239" t="s">
        <v>814</v>
      </c>
      <c r="I239" t="s">
        <v>1541</v>
      </c>
      <c r="J239" t="s">
        <v>1540</v>
      </c>
      <c r="O239" t="e" cm="1">
        <f t="array" ref="O239">INDEX(Grant[Country],MATCH(0,INDEX(COUNTIF($O$2:O238,Grant[Country]),),0))</f>
        <v>#N/A</v>
      </c>
      <c r="Y239" s="1035" t="s">
        <v>429</v>
      </c>
      <c r="Z239" s="1035" t="s">
        <v>1366</v>
      </c>
      <c r="AB239" s="1035" t="s">
        <v>1432</v>
      </c>
      <c r="AC239" s="1035" t="s">
        <v>1217</v>
      </c>
      <c r="AO239" t="str">
        <v>Ministry of Health of the Royal Government of Bhutan</v>
      </c>
      <c r="AU239" s="1035" t="s">
        <v>429</v>
      </c>
      <c r="AV239" s="1035" t="s">
        <v>36</v>
      </c>
      <c r="AW239" s="1035" t="s">
        <v>367</v>
      </c>
      <c r="AX239" s="1035" t="s">
        <v>1366</v>
      </c>
    </row>
    <row r="240" spans="1:50" x14ac:dyDescent="0.35">
      <c r="A240">
        <v>145</v>
      </c>
      <c r="B240" t="s">
        <v>447</v>
      </c>
      <c r="C240">
        <v>1</v>
      </c>
      <c r="D240" t="s">
        <v>82</v>
      </c>
      <c r="E240">
        <v>2</v>
      </c>
      <c r="F240" t="s">
        <v>39</v>
      </c>
      <c r="G240" t="s">
        <v>1537</v>
      </c>
      <c r="H240" t="s">
        <v>3428</v>
      </c>
      <c r="I240" t="s">
        <v>1543</v>
      </c>
      <c r="J240" t="s">
        <v>1544</v>
      </c>
      <c r="O240" t="e" cm="1">
        <f t="array" ref="O240">INDEX(Grant[Country],MATCH(0,INDEX(COUNTIF($O$2:O239,Grant[Country]),),0))</f>
        <v>#N/A</v>
      </c>
      <c r="Y240" s="1035" t="s">
        <v>429</v>
      </c>
      <c r="Z240" s="1035" t="s">
        <v>1369</v>
      </c>
      <c r="AB240" s="1035" t="s">
        <v>1437</v>
      </c>
      <c r="AC240" s="1035" t="s">
        <v>1221</v>
      </c>
      <c r="AO240" t="str">
        <v>Ministry of Health of the State of Eritrea</v>
      </c>
      <c r="AU240" s="1035" t="s">
        <v>429</v>
      </c>
      <c r="AV240" s="1035" t="s">
        <v>187</v>
      </c>
      <c r="AW240" s="1035" t="s">
        <v>367</v>
      </c>
      <c r="AX240" s="1035" t="s">
        <v>3463</v>
      </c>
    </row>
    <row r="241" spans="1:50" x14ac:dyDescent="0.35">
      <c r="A241">
        <v>246</v>
      </c>
      <c r="B241" t="s">
        <v>444</v>
      </c>
      <c r="C241">
        <v>2</v>
      </c>
      <c r="D241" t="s">
        <v>367</v>
      </c>
      <c r="E241">
        <v>1</v>
      </c>
      <c r="F241" t="s">
        <v>36</v>
      </c>
      <c r="G241" t="s">
        <v>1497</v>
      </c>
      <c r="H241" t="s">
        <v>1267</v>
      </c>
      <c r="I241" t="s">
        <v>1498</v>
      </c>
      <c r="J241" t="s">
        <v>1499</v>
      </c>
      <c r="O241" t="e" cm="1">
        <f t="array" ref="O241">INDEX(Grant[Country],MATCH(0,INDEX(COUNTIF($O$2:O240,Grant[Country]),),0))</f>
        <v>#N/A</v>
      </c>
      <c r="Y241" s="1035" t="s">
        <v>429</v>
      </c>
      <c r="Z241" s="1035" t="s">
        <v>3463</v>
      </c>
      <c r="AB241" s="1035" t="s">
        <v>1447</v>
      </c>
      <c r="AC241" s="1035" t="s">
        <v>1228</v>
      </c>
      <c r="AO241" t="str">
        <v>Ministry of Health of the State of Eritrea</v>
      </c>
      <c r="AU241" s="1035" t="s">
        <v>429</v>
      </c>
      <c r="AV241" s="1035" t="s">
        <v>39</v>
      </c>
      <c r="AW241" s="1035" t="s">
        <v>367</v>
      </c>
      <c r="AX241" s="1035" t="s">
        <v>1369</v>
      </c>
    </row>
    <row r="242" spans="1:50" x14ac:dyDescent="0.35">
      <c r="A242">
        <v>139</v>
      </c>
      <c r="B242" t="s">
        <v>443</v>
      </c>
      <c r="C242">
        <v>1</v>
      </c>
      <c r="D242" t="s">
        <v>82</v>
      </c>
      <c r="E242">
        <v>4</v>
      </c>
      <c r="F242" t="s">
        <v>187</v>
      </c>
      <c r="G242" t="s">
        <v>1493</v>
      </c>
      <c r="H242" t="s">
        <v>1266</v>
      </c>
      <c r="I242" t="s">
        <v>1495</v>
      </c>
      <c r="J242" t="s">
        <v>1494</v>
      </c>
      <c r="O242" t="e" cm="1">
        <f t="array" ref="O242">INDEX(Grant[Country],MATCH(0,INDEX(COUNTIF($O$2:O241,Grant[Country]),),0))</f>
        <v>#N/A</v>
      </c>
      <c r="Y242" s="1035" t="s">
        <v>430</v>
      </c>
      <c r="Z242" s="1035" t="s">
        <v>1373</v>
      </c>
      <c r="AB242" s="1035" t="s">
        <v>1435</v>
      </c>
      <c r="AC242" s="1035" t="s">
        <v>1221</v>
      </c>
      <c r="AO242" t="str">
        <v>Ministry of Health of the State of Eritrea</v>
      </c>
      <c r="AU242" s="1035" t="s">
        <v>430</v>
      </c>
      <c r="AV242" s="1035" t="s">
        <v>187</v>
      </c>
      <c r="AW242" s="1035" t="s">
        <v>82</v>
      </c>
      <c r="AX242" s="1035" t="s">
        <v>1373</v>
      </c>
    </row>
    <row r="243" spans="1:50" x14ac:dyDescent="0.35">
      <c r="A243">
        <v>139</v>
      </c>
      <c r="B243" t="s">
        <v>443</v>
      </c>
      <c r="C243">
        <v>1</v>
      </c>
      <c r="D243" t="s">
        <v>82</v>
      </c>
      <c r="E243">
        <v>1</v>
      </c>
      <c r="F243" t="s">
        <v>36</v>
      </c>
      <c r="G243" t="s">
        <v>1493</v>
      </c>
      <c r="H243" t="s">
        <v>1266</v>
      </c>
      <c r="I243" t="s">
        <v>3249</v>
      </c>
      <c r="J243" t="s">
        <v>3250</v>
      </c>
      <c r="O243" t="e" cm="1">
        <f t="array" ref="O243">INDEX(Grant[Country],MATCH(0,INDEX(COUNTIF($O$2:O242,Grant[Country]),),0))</f>
        <v>#N/A</v>
      </c>
      <c r="Y243" s="1035" t="s">
        <v>431</v>
      </c>
      <c r="Z243" s="1035" t="s">
        <v>1377</v>
      </c>
      <c r="AB243" s="1035" t="s">
        <v>1440</v>
      </c>
      <c r="AC243" s="1035" t="s">
        <v>1228</v>
      </c>
      <c r="AO243" t="str">
        <v>Ministry of Health, Population and Hospital Reform of the People's Democratic Republic of Algeria</v>
      </c>
      <c r="AU243" s="1035" t="s">
        <v>431</v>
      </c>
      <c r="AV243" s="1035" t="s">
        <v>36</v>
      </c>
      <c r="AW243" s="1035" t="s">
        <v>82</v>
      </c>
      <c r="AX243" s="1035" t="s">
        <v>1376</v>
      </c>
    </row>
    <row r="244" spans="1:50" x14ac:dyDescent="0.35">
      <c r="A244">
        <v>139</v>
      </c>
      <c r="B244" t="s">
        <v>443</v>
      </c>
      <c r="C244">
        <v>1</v>
      </c>
      <c r="D244" t="s">
        <v>82</v>
      </c>
      <c r="E244">
        <v>2</v>
      </c>
      <c r="F244" t="s">
        <v>39</v>
      </c>
      <c r="G244" t="s">
        <v>1493</v>
      </c>
      <c r="H244" t="s">
        <v>1266</v>
      </c>
      <c r="I244" t="s">
        <v>3251</v>
      </c>
      <c r="J244" t="s">
        <v>3252</v>
      </c>
      <c r="O244" t="e" cm="1">
        <f t="array" ref="O244">INDEX(Grant[Country],MATCH(0,INDEX(COUNTIF($O$2:O243,Grant[Country]),),0))</f>
        <v>#N/A</v>
      </c>
      <c r="Y244" s="1035" t="s">
        <v>431</v>
      </c>
      <c r="Z244" s="1035" t="s">
        <v>1376</v>
      </c>
      <c r="AB244" s="1035" t="s">
        <v>1451</v>
      </c>
      <c r="AC244" s="1035" t="s">
        <v>1232</v>
      </c>
      <c r="AO244" t="str">
        <v>Ministry of Health, Prevention and Public Hygiene of the Republic of Senegal - AIDS Division</v>
      </c>
      <c r="AU244" s="1035" t="s">
        <v>431</v>
      </c>
      <c r="AV244" s="1035" t="s">
        <v>37</v>
      </c>
      <c r="AW244" s="1035" t="s">
        <v>82</v>
      </c>
      <c r="AX244" s="1035" t="s">
        <v>1379</v>
      </c>
    </row>
    <row r="245" spans="1:50" x14ac:dyDescent="0.35">
      <c r="A245">
        <v>34</v>
      </c>
      <c r="B245" t="s">
        <v>446</v>
      </c>
      <c r="C245">
        <v>1</v>
      </c>
      <c r="D245" t="s">
        <v>82</v>
      </c>
      <c r="E245">
        <v>2</v>
      </c>
      <c r="F245" t="s">
        <v>39</v>
      </c>
      <c r="G245" t="s">
        <v>1512</v>
      </c>
      <c r="H245" t="s">
        <v>1280</v>
      </c>
      <c r="I245" t="s">
        <v>1534</v>
      </c>
      <c r="J245" t="s">
        <v>1522</v>
      </c>
      <c r="O245" t="e" cm="1">
        <f t="array" ref="O245">INDEX(Grant[Country],MATCH(0,INDEX(COUNTIF($O$2:O244,Grant[Country]),),0))</f>
        <v>#N/A</v>
      </c>
      <c r="Y245" s="1035" t="s">
        <v>431</v>
      </c>
      <c r="Z245" s="1035" t="s">
        <v>1379</v>
      </c>
      <c r="AB245" s="1035" t="s">
        <v>1549</v>
      </c>
      <c r="AC245" s="1035" t="s">
        <v>1292</v>
      </c>
      <c r="AO245" t="str">
        <v>Ministry of Health, Public Hygiene and Universal Health Coverage of the Republic of Côte d’Ivoire</v>
      </c>
      <c r="AU245" s="1035" t="s">
        <v>431</v>
      </c>
      <c r="AV245" s="1035" t="s">
        <v>187</v>
      </c>
      <c r="AW245" s="1035" t="s">
        <v>82</v>
      </c>
      <c r="AX245" s="1035" t="s">
        <v>1377</v>
      </c>
    </row>
    <row r="246" spans="1:50" x14ac:dyDescent="0.35">
      <c r="A246">
        <v>34</v>
      </c>
      <c r="B246" t="s">
        <v>446</v>
      </c>
      <c r="C246">
        <v>1</v>
      </c>
      <c r="D246" t="s">
        <v>82</v>
      </c>
      <c r="E246">
        <v>6</v>
      </c>
      <c r="F246" t="s">
        <v>2004</v>
      </c>
      <c r="G246" t="s">
        <v>1512</v>
      </c>
      <c r="H246" t="s">
        <v>1280</v>
      </c>
      <c r="I246" t="s">
        <v>1529</v>
      </c>
      <c r="J246" t="s">
        <v>1526</v>
      </c>
      <c r="O246" t="e" cm="1">
        <f t="array" ref="O246">INDEX(Grant[Country],MATCH(0,INDEX(COUNTIF($O$2:O245,Grant[Country]),),0))</f>
        <v>#N/A</v>
      </c>
      <c r="Y246" s="1035" t="s">
        <v>431</v>
      </c>
      <c r="Z246" s="1035" t="s">
        <v>1383</v>
      </c>
      <c r="AB246" s="1035" t="s">
        <v>1557</v>
      </c>
      <c r="AC246" s="1035" t="s">
        <v>1296</v>
      </c>
      <c r="AO246" t="str">
        <v>Ministry of Health, Public Hygiene and Universal Health Coverage of the Republic of Côte d’Ivoire</v>
      </c>
      <c r="AU246" s="1035" t="s">
        <v>431</v>
      </c>
      <c r="AV246" s="1035" t="s">
        <v>39</v>
      </c>
      <c r="AW246" s="1035" t="s">
        <v>82</v>
      </c>
      <c r="AX246" s="1035" t="s">
        <v>1383</v>
      </c>
    </row>
    <row r="247" spans="1:50" x14ac:dyDescent="0.35">
      <c r="A247">
        <v>34</v>
      </c>
      <c r="B247" t="s">
        <v>446</v>
      </c>
      <c r="C247">
        <v>1</v>
      </c>
      <c r="D247" t="s">
        <v>82</v>
      </c>
      <c r="E247">
        <v>4</v>
      </c>
      <c r="F247" t="s">
        <v>187</v>
      </c>
      <c r="G247" t="s">
        <v>1523</v>
      </c>
      <c r="H247" t="s">
        <v>1272</v>
      </c>
      <c r="I247" t="s">
        <v>1524</v>
      </c>
      <c r="J247" t="s">
        <v>1511</v>
      </c>
      <c r="O247" t="e" cm="1">
        <f t="array" ref="O247">INDEX(Grant[Country],MATCH(0,INDEX(COUNTIF($O$2:O246,Grant[Country]),),0))</f>
        <v>#N/A</v>
      </c>
      <c r="Y247" s="1035" t="s">
        <v>432</v>
      </c>
      <c r="Z247" s="1035" t="s">
        <v>1389</v>
      </c>
      <c r="AB247" s="1035" t="s">
        <v>1552</v>
      </c>
      <c r="AC247" s="1035" t="s">
        <v>1292</v>
      </c>
      <c r="AO247" t="str">
        <v>Ministry of Health, Public Hygiene and Universal Health Coverage of the Republic of Côte d’Ivoire</v>
      </c>
      <c r="AU247" s="1035" t="s">
        <v>432</v>
      </c>
      <c r="AV247" s="1035" t="s">
        <v>187</v>
      </c>
      <c r="AW247" s="1035" t="s">
        <v>82</v>
      </c>
      <c r="AX247" s="1035" t="s">
        <v>1389</v>
      </c>
    </row>
    <row r="248" spans="1:50" x14ac:dyDescent="0.35">
      <c r="A248">
        <v>34</v>
      </c>
      <c r="B248" t="s">
        <v>446</v>
      </c>
      <c r="C248">
        <v>1</v>
      </c>
      <c r="D248" t="s">
        <v>82</v>
      </c>
      <c r="E248">
        <v>4</v>
      </c>
      <c r="F248" t="s">
        <v>187</v>
      </c>
      <c r="G248" t="s">
        <v>1508</v>
      </c>
      <c r="H248" t="s">
        <v>1276</v>
      </c>
      <c r="I248" t="s">
        <v>1527</v>
      </c>
      <c r="J248" t="s">
        <v>1516</v>
      </c>
      <c r="O248" t="e" cm="1">
        <f t="array" ref="O248">INDEX(Grant[Country],MATCH(0,INDEX(COUNTIF($O$2:O247,Grant[Country]),),0))</f>
        <v>#N/A</v>
      </c>
      <c r="Y248" s="1035" t="s">
        <v>432</v>
      </c>
      <c r="Z248" s="1035" t="s">
        <v>1393</v>
      </c>
      <c r="AB248" s="1035" t="s">
        <v>1554</v>
      </c>
      <c r="AC248" s="1035" t="s">
        <v>1292</v>
      </c>
      <c r="AO248" t="str">
        <v>Ministry of Health, Public Hygiene and Universal Health Coverage of the Republic of Côte d’Ivoire</v>
      </c>
      <c r="AU248" s="1035" t="s">
        <v>432</v>
      </c>
      <c r="AV248" s="1035" t="s">
        <v>187</v>
      </c>
      <c r="AW248" s="1035" t="s">
        <v>82</v>
      </c>
      <c r="AX248" s="1035" t="s">
        <v>1393</v>
      </c>
    </row>
    <row r="249" spans="1:50" x14ac:dyDescent="0.35">
      <c r="A249">
        <v>34</v>
      </c>
      <c r="B249" t="s">
        <v>446</v>
      </c>
      <c r="C249">
        <v>1</v>
      </c>
      <c r="D249" t="s">
        <v>82</v>
      </c>
      <c r="E249">
        <v>1</v>
      </c>
      <c r="F249" t="s">
        <v>36</v>
      </c>
      <c r="G249" t="s">
        <v>1508</v>
      </c>
      <c r="H249" t="s">
        <v>1276</v>
      </c>
      <c r="I249" t="s">
        <v>1509</v>
      </c>
      <c r="J249" t="s">
        <v>1510</v>
      </c>
      <c r="O249" t="e" cm="1">
        <f t="array" ref="O249">INDEX(Grant[Country],MATCH(0,INDEX(COUNTIF($O$2:O248,Grant[Country]),),0))</f>
        <v>#N/A</v>
      </c>
      <c r="Y249" s="1035" t="s">
        <v>433</v>
      </c>
      <c r="Z249" s="1035" t="s">
        <v>1396</v>
      </c>
      <c r="AB249" s="1035" t="s">
        <v>1566</v>
      </c>
      <c r="AC249" s="1035" t="s">
        <v>1304</v>
      </c>
      <c r="AO249" t="str">
        <v>Ministry of Health, Social Welfare and National Solidarity of the Gabonese Republic</v>
      </c>
      <c r="AU249" s="1035" t="s">
        <v>433</v>
      </c>
      <c r="AV249" s="1035" t="s">
        <v>36</v>
      </c>
      <c r="AW249" s="1035" t="s">
        <v>82</v>
      </c>
      <c r="AX249" s="1035" t="s">
        <v>1396</v>
      </c>
    </row>
    <row r="250" spans="1:50" x14ac:dyDescent="0.35">
      <c r="A250">
        <v>34</v>
      </c>
      <c r="B250" t="s">
        <v>446</v>
      </c>
      <c r="C250">
        <v>1</v>
      </c>
      <c r="D250" t="s">
        <v>82</v>
      </c>
      <c r="E250">
        <v>1</v>
      </c>
      <c r="F250" t="s">
        <v>36</v>
      </c>
      <c r="G250" t="s">
        <v>1512</v>
      </c>
      <c r="H250" t="s">
        <v>1280</v>
      </c>
      <c r="I250" t="s">
        <v>1513</v>
      </c>
      <c r="J250" t="s">
        <v>1514</v>
      </c>
      <c r="O250" t="e" cm="1">
        <f t="array" ref="O250">INDEX(Grant[Country],MATCH(0,INDEX(COUNTIF($O$2:O249,Grant[Country]),),0))</f>
        <v>#N/A</v>
      </c>
      <c r="Y250" s="1035" t="s">
        <v>433</v>
      </c>
      <c r="Z250" s="1035" t="s">
        <v>1399</v>
      </c>
      <c r="AB250" s="1035" t="s">
        <v>1585</v>
      </c>
      <c r="AC250" s="1035" t="s">
        <v>1321</v>
      </c>
      <c r="AO250" t="str">
        <v>Ministry of Health, Solidarity, Social Protection and Gender Promotion of the Union of the Comoros</v>
      </c>
      <c r="AU250" s="1035" t="s">
        <v>433</v>
      </c>
      <c r="AV250" s="1035" t="s">
        <v>36</v>
      </c>
      <c r="AW250" s="1035" t="s">
        <v>82</v>
      </c>
      <c r="AX250" s="1035" t="s">
        <v>3242</v>
      </c>
    </row>
    <row r="251" spans="1:50" x14ac:dyDescent="0.35">
      <c r="A251">
        <v>34</v>
      </c>
      <c r="B251" t="s">
        <v>446</v>
      </c>
      <c r="C251">
        <v>1</v>
      </c>
      <c r="D251" t="s">
        <v>82</v>
      </c>
      <c r="E251">
        <v>3</v>
      </c>
      <c r="F251" t="s">
        <v>37</v>
      </c>
      <c r="G251" t="s">
        <v>1512</v>
      </c>
      <c r="H251" t="s">
        <v>1280</v>
      </c>
      <c r="I251" t="s">
        <v>1517</v>
      </c>
      <c r="J251" t="s">
        <v>1518</v>
      </c>
      <c r="O251" t="e" cm="1">
        <f t="array" ref="O251">INDEX(Grant[Country],MATCH(0,INDEX(COUNTIF($O$2:O250,Grant[Country]),),0))</f>
        <v>#N/A</v>
      </c>
      <c r="Y251" s="1035" t="s">
        <v>433</v>
      </c>
      <c r="Z251" s="1035" t="s">
        <v>1408</v>
      </c>
      <c r="AB251" s="1035" t="s">
        <v>1590</v>
      </c>
      <c r="AC251" s="1035" t="s">
        <v>3430</v>
      </c>
      <c r="AO251" t="str">
        <v>Ministry of Health, Solidarity, Social Protection and Gender Promotion of the Union of the Comoros</v>
      </c>
      <c r="AU251" s="1035" t="s">
        <v>433</v>
      </c>
      <c r="AV251" s="1035" t="s">
        <v>37</v>
      </c>
      <c r="AW251" s="1035" t="s">
        <v>82</v>
      </c>
      <c r="AX251" s="1035" t="s">
        <v>1401</v>
      </c>
    </row>
    <row r="252" spans="1:50" x14ac:dyDescent="0.35">
      <c r="A252">
        <v>34</v>
      </c>
      <c r="B252" t="s">
        <v>446</v>
      </c>
      <c r="C252">
        <v>1</v>
      </c>
      <c r="D252" t="s">
        <v>82</v>
      </c>
      <c r="E252">
        <v>3</v>
      </c>
      <c r="F252" t="s">
        <v>37</v>
      </c>
      <c r="G252" t="s">
        <v>1519</v>
      </c>
      <c r="H252" t="s">
        <v>789</v>
      </c>
      <c r="I252" t="s">
        <v>1520</v>
      </c>
      <c r="J252" t="s">
        <v>1521</v>
      </c>
      <c r="O252" t="e" cm="1">
        <f t="array" ref="O252">INDEX(Grant[Country],MATCH(0,INDEX(COUNTIF($O$2:O251,Grant[Country]),),0))</f>
        <v>#N/A</v>
      </c>
      <c r="Y252" s="1035" t="s">
        <v>433</v>
      </c>
      <c r="Z252" s="1035" t="s">
        <v>3242</v>
      </c>
      <c r="AB252" s="1035" t="s">
        <v>1587</v>
      </c>
      <c r="AC252" s="1035" t="s">
        <v>1039</v>
      </c>
      <c r="AO252" t="str">
        <v>Ministry of Health, Solidarity, Social Protection and Gender Promotion of the Union of the Comoros</v>
      </c>
      <c r="AU252" s="1035" t="s">
        <v>433</v>
      </c>
      <c r="AV252" s="1035" t="s">
        <v>37</v>
      </c>
      <c r="AW252" s="1035" t="s">
        <v>82</v>
      </c>
      <c r="AX252" s="1035" t="s">
        <v>1405</v>
      </c>
    </row>
    <row r="253" spans="1:50" x14ac:dyDescent="0.35">
      <c r="A253">
        <v>34</v>
      </c>
      <c r="B253" t="s">
        <v>446</v>
      </c>
      <c r="C253">
        <v>1</v>
      </c>
      <c r="D253" t="s">
        <v>82</v>
      </c>
      <c r="E253">
        <v>2</v>
      </c>
      <c r="F253" t="s">
        <v>39</v>
      </c>
      <c r="G253" t="s">
        <v>1512</v>
      </c>
      <c r="H253" t="s">
        <v>1280</v>
      </c>
      <c r="I253" t="s">
        <v>1531</v>
      </c>
      <c r="J253" t="s">
        <v>1532</v>
      </c>
      <c r="O253" t="e" cm="1">
        <f t="array" ref="O253">INDEX(Grant[Country],MATCH(0,INDEX(COUNTIF($O$2:O252,Grant[Country]),),0))</f>
        <v>#N/A</v>
      </c>
      <c r="Y253" s="1035" t="s">
        <v>433</v>
      </c>
      <c r="Z253" s="1035" t="s">
        <v>1401</v>
      </c>
      <c r="AB253" s="1035" t="s">
        <v>1595</v>
      </c>
      <c r="AC253" s="1035" t="s">
        <v>3430</v>
      </c>
      <c r="AO253" t="str">
        <v>Ministry of Health, Solidarity, Social Protection and Gender Promotion of the Union of the Comoros</v>
      </c>
      <c r="AU253" s="1035" t="s">
        <v>433</v>
      </c>
      <c r="AV253" s="1035" t="s">
        <v>187</v>
      </c>
      <c r="AW253" s="1035" t="s">
        <v>82</v>
      </c>
      <c r="AX253" s="1035" t="s">
        <v>1399</v>
      </c>
    </row>
    <row r="254" spans="1:50" x14ac:dyDescent="0.35">
      <c r="A254">
        <v>74</v>
      </c>
      <c r="B254" t="s">
        <v>439</v>
      </c>
      <c r="C254">
        <v>1</v>
      </c>
      <c r="D254" t="s">
        <v>82</v>
      </c>
      <c r="E254">
        <v>1</v>
      </c>
      <c r="F254" t="s">
        <v>36</v>
      </c>
      <c r="G254" t="s">
        <v>1471</v>
      </c>
      <c r="H254" t="s">
        <v>3245</v>
      </c>
      <c r="I254" t="s">
        <v>1472</v>
      </c>
      <c r="J254" t="s">
        <v>1473</v>
      </c>
      <c r="O254" t="e" cm="1">
        <f t="array" ref="O254">INDEX(Grant[Country],MATCH(0,INDEX(COUNTIF($O$2:O253,Grant[Country]),),0))</f>
        <v>#N/A</v>
      </c>
      <c r="Y254" s="1035" t="s">
        <v>433</v>
      </c>
      <c r="Z254" s="1035" t="s">
        <v>1405</v>
      </c>
      <c r="AB254" s="1035" t="s">
        <v>3256</v>
      </c>
      <c r="AC254" s="1035" t="s">
        <v>814</v>
      </c>
      <c r="AO254" t="str">
        <v>Ministry of National Health Services, Regulations and Coordination of Pakistan</v>
      </c>
      <c r="AU254" s="1035" t="s">
        <v>433</v>
      </c>
      <c r="AV254" s="1035" t="s">
        <v>187</v>
      </c>
      <c r="AW254" s="1035" t="s">
        <v>82</v>
      </c>
      <c r="AX254" s="1035" t="s">
        <v>1408</v>
      </c>
    </row>
    <row r="255" spans="1:50" x14ac:dyDescent="0.35">
      <c r="A255">
        <v>74</v>
      </c>
      <c r="B255" t="s">
        <v>439</v>
      </c>
      <c r="C255">
        <v>1</v>
      </c>
      <c r="D255" t="s">
        <v>82</v>
      </c>
      <c r="E255">
        <v>3</v>
      </c>
      <c r="F255" t="s">
        <v>37</v>
      </c>
      <c r="G255" t="s">
        <v>1471</v>
      </c>
      <c r="H255" t="s">
        <v>3245</v>
      </c>
      <c r="I255" t="s">
        <v>1474</v>
      </c>
      <c r="J255" t="s">
        <v>1475</v>
      </c>
      <c r="O255" t="e" cm="1">
        <f t="array" ref="O255">INDEX(Grant[Country],MATCH(0,INDEX(COUNTIF($O$2:O254,Grant[Country]),),0))</f>
        <v>#N/A</v>
      </c>
      <c r="Y255" s="1035" t="s">
        <v>433</v>
      </c>
      <c r="Z255" s="1035" t="s">
        <v>1406</v>
      </c>
      <c r="AB255" s="1035" t="s">
        <v>1619</v>
      </c>
      <c r="AC255" s="1035" t="s">
        <v>1331</v>
      </c>
      <c r="AO255" t="str">
        <v>Ministry of Public Health and Fight against AIDS of the Republic of Burundi</v>
      </c>
      <c r="AU255" s="1035" t="s">
        <v>433</v>
      </c>
      <c r="AV255" s="1035" t="s">
        <v>39</v>
      </c>
      <c r="AW255" s="1035" t="s">
        <v>82</v>
      </c>
      <c r="AX255" s="1035" t="s">
        <v>1406</v>
      </c>
    </row>
    <row r="256" spans="1:50" x14ac:dyDescent="0.35">
      <c r="A256">
        <v>74</v>
      </c>
      <c r="B256" t="s">
        <v>439</v>
      </c>
      <c r="C256">
        <v>1</v>
      </c>
      <c r="D256" t="s">
        <v>82</v>
      </c>
      <c r="E256">
        <v>2</v>
      </c>
      <c r="F256" t="s">
        <v>39</v>
      </c>
      <c r="G256" t="s">
        <v>1471</v>
      </c>
      <c r="H256" t="s">
        <v>3245</v>
      </c>
      <c r="I256" t="s">
        <v>1480</v>
      </c>
      <c r="J256" t="s">
        <v>1479</v>
      </c>
      <c r="O256" t="e" cm="1">
        <f t="array" ref="O256">INDEX(Grant[Country],MATCH(0,INDEX(COUNTIF($O$2:O255,Grant[Country]),),0))</f>
        <v>#N/A</v>
      </c>
      <c r="Y256" s="1035" t="s">
        <v>434</v>
      </c>
      <c r="Z256" s="1035" t="s">
        <v>1414</v>
      </c>
      <c r="AB256" s="1035" t="s">
        <v>1602</v>
      </c>
      <c r="AC256" s="1035" t="s">
        <v>1326</v>
      </c>
      <c r="AO256" t="str">
        <v>Ministry of Public Health and Fight against AIDS of the Republic of Burundi</v>
      </c>
      <c r="AU256" s="1035" t="s">
        <v>434</v>
      </c>
      <c r="AV256" s="1035" t="s">
        <v>36</v>
      </c>
      <c r="AW256" s="1035" t="s">
        <v>82</v>
      </c>
      <c r="AX256" s="1035" t="s">
        <v>1414</v>
      </c>
    </row>
    <row r="257" spans="1:50" x14ac:dyDescent="0.35">
      <c r="A257">
        <v>74</v>
      </c>
      <c r="B257" t="s">
        <v>439</v>
      </c>
      <c r="C257">
        <v>1</v>
      </c>
      <c r="D257" t="s">
        <v>82</v>
      </c>
      <c r="E257">
        <v>5</v>
      </c>
      <c r="F257" t="s">
        <v>187</v>
      </c>
      <c r="G257" t="s">
        <v>1471</v>
      </c>
      <c r="H257" t="s">
        <v>3245</v>
      </c>
      <c r="I257" t="s">
        <v>1476</v>
      </c>
      <c r="J257" t="s">
        <v>1477</v>
      </c>
      <c r="O257" t="e" cm="1">
        <f t="array" ref="O257">INDEX(Grant[Country],MATCH(0,INDEX(COUNTIF($O$2:O256,Grant[Country]),),0))</f>
        <v>#N/A</v>
      </c>
      <c r="Y257" s="1035" t="s">
        <v>434</v>
      </c>
      <c r="Z257" s="1035" t="s">
        <v>1418</v>
      </c>
      <c r="AB257" s="1035" t="s">
        <v>1605</v>
      </c>
      <c r="AC257" s="1035" t="s">
        <v>1336</v>
      </c>
      <c r="AO257" t="str">
        <v>Ministry of Public Health and Fight against AIDS of the Republic of Burundi</v>
      </c>
      <c r="AU257" s="1035" t="s">
        <v>434</v>
      </c>
      <c r="AV257" s="1035" t="s">
        <v>36</v>
      </c>
      <c r="AW257" s="1035" t="s">
        <v>82</v>
      </c>
      <c r="AX257" s="1035" t="s">
        <v>1418</v>
      </c>
    </row>
    <row r="258" spans="1:50" x14ac:dyDescent="0.35">
      <c r="A258">
        <v>32</v>
      </c>
      <c r="B258" t="s">
        <v>440</v>
      </c>
      <c r="C258">
        <v>1</v>
      </c>
      <c r="D258" t="s">
        <v>82</v>
      </c>
      <c r="E258">
        <v>1</v>
      </c>
      <c r="F258" t="s">
        <v>36</v>
      </c>
      <c r="G258" t="s">
        <v>1481</v>
      </c>
      <c r="H258" t="s">
        <v>3429</v>
      </c>
      <c r="I258" t="s">
        <v>1482</v>
      </c>
      <c r="J258" t="s">
        <v>1483</v>
      </c>
      <c r="O258" t="e" cm="1">
        <f t="array" ref="O258">INDEX(Grant[Country],MATCH(0,INDEX(COUNTIF($O$2:O257,Grant[Country]),),0))</f>
        <v>#N/A</v>
      </c>
      <c r="Y258" s="1035" t="s">
        <v>434</v>
      </c>
      <c r="Z258" s="1035" t="s">
        <v>1419</v>
      </c>
      <c r="AB258" s="1035" t="s">
        <v>1610</v>
      </c>
      <c r="AC258" s="1035" t="s">
        <v>1349</v>
      </c>
      <c r="AO258" t="str">
        <v>Ministry of Public Health and National Solidarity</v>
      </c>
      <c r="AU258" s="1035" t="s">
        <v>434</v>
      </c>
      <c r="AV258" s="1035" t="s">
        <v>37</v>
      </c>
      <c r="AW258" s="1035" t="s">
        <v>82</v>
      </c>
      <c r="AX258" s="1035" t="s">
        <v>1419</v>
      </c>
    </row>
    <row r="259" spans="1:50" x14ac:dyDescent="0.35">
      <c r="A259">
        <v>32</v>
      </c>
      <c r="B259" t="s">
        <v>440</v>
      </c>
      <c r="C259">
        <v>1</v>
      </c>
      <c r="D259" t="s">
        <v>82</v>
      </c>
      <c r="E259">
        <v>1</v>
      </c>
      <c r="F259" t="s">
        <v>36</v>
      </c>
      <c r="G259" t="s">
        <v>1484</v>
      </c>
      <c r="H259" t="s">
        <v>1258</v>
      </c>
      <c r="I259" t="s">
        <v>1485</v>
      </c>
      <c r="J259" t="s">
        <v>1486</v>
      </c>
      <c r="O259" t="e" cm="1">
        <f t="array" ref="O259">INDEX(Grant[Country],MATCH(0,INDEX(COUNTIF($O$2:O258,Grant[Country]),),0))</f>
        <v>#N/A</v>
      </c>
      <c r="Y259" s="1035" t="s">
        <v>434</v>
      </c>
      <c r="Z259" s="1035" t="s">
        <v>1424</v>
      </c>
      <c r="AB259" s="1035" t="s">
        <v>1607</v>
      </c>
      <c r="AC259" s="1035" t="s">
        <v>1039</v>
      </c>
      <c r="AO259" t="str">
        <v>Ministry of Public Health and National Solidarity</v>
      </c>
      <c r="AU259" s="1035" t="s">
        <v>434</v>
      </c>
      <c r="AV259" s="1035" t="s">
        <v>37</v>
      </c>
      <c r="AW259" s="1035" t="s">
        <v>82</v>
      </c>
      <c r="AX259" s="1035" t="s">
        <v>1424</v>
      </c>
    </row>
    <row r="260" spans="1:50" x14ac:dyDescent="0.35">
      <c r="A260">
        <v>31</v>
      </c>
      <c r="B260" t="s">
        <v>435</v>
      </c>
      <c r="C260">
        <v>1</v>
      </c>
      <c r="D260" t="s">
        <v>82</v>
      </c>
      <c r="E260">
        <v>4</v>
      </c>
      <c r="F260" t="s">
        <v>187</v>
      </c>
      <c r="G260" t="s">
        <v>1442</v>
      </c>
      <c r="H260" t="s">
        <v>1217</v>
      </c>
      <c r="I260" t="s">
        <v>1443</v>
      </c>
      <c r="J260" t="s">
        <v>1432</v>
      </c>
      <c r="O260" t="e" cm="1">
        <f t="array" ref="O260">INDEX(Grant[Country],MATCH(0,INDEX(COUNTIF($O$2:O259,Grant[Country]),),0))</f>
        <v>#N/A</v>
      </c>
      <c r="Y260" s="1035" t="s">
        <v>434</v>
      </c>
      <c r="Z260" s="1035" t="s">
        <v>1415</v>
      </c>
      <c r="AB260" s="1035" t="s">
        <v>1617</v>
      </c>
      <c r="AC260" s="1035" t="s">
        <v>1340</v>
      </c>
      <c r="AO260" t="str">
        <v>Ministry of Public Health and National Solidarity</v>
      </c>
      <c r="AU260" s="1035" t="s">
        <v>434</v>
      </c>
      <c r="AV260" s="1035" t="s">
        <v>2004</v>
      </c>
      <c r="AW260" s="1035" t="s">
        <v>82</v>
      </c>
      <c r="AX260" s="1035" t="s">
        <v>3420</v>
      </c>
    </row>
    <row r="261" spans="1:50" x14ac:dyDescent="0.35">
      <c r="A261">
        <v>31</v>
      </c>
      <c r="B261" t="s">
        <v>435</v>
      </c>
      <c r="C261">
        <v>1</v>
      </c>
      <c r="D261" t="s">
        <v>82</v>
      </c>
      <c r="E261">
        <v>4</v>
      </c>
      <c r="F261" t="s">
        <v>187</v>
      </c>
      <c r="G261" t="s">
        <v>1433</v>
      </c>
      <c r="H261" t="s">
        <v>1221</v>
      </c>
      <c r="I261" t="s">
        <v>1445</v>
      </c>
      <c r="J261" t="s">
        <v>1437</v>
      </c>
      <c r="O261" t="e" cm="1">
        <f t="array" ref="O261">INDEX(Grant[Country],MATCH(0,INDEX(COUNTIF($O$2:O260,Grant[Country]),),0))</f>
        <v>#N/A</v>
      </c>
      <c r="Y261" s="1035" t="s">
        <v>434</v>
      </c>
      <c r="Z261" s="1035" t="s">
        <v>1422</v>
      </c>
      <c r="AB261" s="1035" t="s">
        <v>1625</v>
      </c>
      <c r="AC261" s="1035" t="s">
        <v>1332</v>
      </c>
      <c r="AO261" t="str">
        <v>Ministry of Public Health and National Solidarity</v>
      </c>
      <c r="AU261" s="1035" t="s">
        <v>434</v>
      </c>
      <c r="AV261" s="1035" t="s">
        <v>39</v>
      </c>
      <c r="AW261" s="1035" t="s">
        <v>82</v>
      </c>
      <c r="AX261" s="1035" t="s">
        <v>1415</v>
      </c>
    </row>
    <row r="262" spans="1:50" x14ac:dyDescent="0.35">
      <c r="A262">
        <v>31</v>
      </c>
      <c r="B262" t="s">
        <v>435</v>
      </c>
      <c r="C262">
        <v>1</v>
      </c>
      <c r="D262" t="s">
        <v>82</v>
      </c>
      <c r="E262">
        <v>4</v>
      </c>
      <c r="F262" t="s">
        <v>187</v>
      </c>
      <c r="G262" t="s">
        <v>1438</v>
      </c>
      <c r="H262" t="s">
        <v>1228</v>
      </c>
      <c r="I262" t="s">
        <v>1448</v>
      </c>
      <c r="J262" t="s">
        <v>1447</v>
      </c>
      <c r="O262" t="e" cm="1">
        <f t="array" ref="O262">INDEX(Grant[Country],MATCH(0,INDEX(COUNTIF($O$2:O261,Grant[Country]),),0))</f>
        <v>#N/A</v>
      </c>
      <c r="Y262" s="1035" t="s">
        <v>434</v>
      </c>
      <c r="Z262" s="1035" t="s">
        <v>3420</v>
      </c>
      <c r="AB262" s="1035" t="s">
        <v>1614</v>
      </c>
      <c r="AC262" s="1035" t="s">
        <v>1330</v>
      </c>
      <c r="AO262" t="str">
        <v>Ministry of Public Health and Social Assistance of the Dominican Republic</v>
      </c>
      <c r="AU262" s="1035" t="s">
        <v>434</v>
      </c>
      <c r="AV262" s="1035" t="s">
        <v>39</v>
      </c>
      <c r="AW262" s="1035" t="s">
        <v>82</v>
      </c>
      <c r="AX262" s="1035" t="s">
        <v>1422</v>
      </c>
    </row>
    <row r="263" spans="1:50" x14ac:dyDescent="0.35">
      <c r="A263">
        <v>31</v>
      </c>
      <c r="B263" t="s">
        <v>435</v>
      </c>
      <c r="C263">
        <v>1</v>
      </c>
      <c r="D263" t="s">
        <v>82</v>
      </c>
      <c r="E263">
        <v>3</v>
      </c>
      <c r="F263" t="s">
        <v>37</v>
      </c>
      <c r="G263" t="s">
        <v>1433</v>
      </c>
      <c r="H263" t="s">
        <v>1221</v>
      </c>
      <c r="I263" t="s">
        <v>1434</v>
      </c>
      <c r="J263" t="s">
        <v>1435</v>
      </c>
      <c r="O263" t="e" cm="1">
        <f t="array" ref="O263">INDEX(Grant[Country],MATCH(0,INDEX(COUNTIF($O$2:O262,Grant[Country]),),0))</f>
        <v>#N/A</v>
      </c>
      <c r="Y263" s="1035" t="s">
        <v>435</v>
      </c>
      <c r="Z263" s="1035" t="s">
        <v>1430</v>
      </c>
      <c r="AB263" s="1035" t="s">
        <v>1622</v>
      </c>
      <c r="AC263" s="1035" t="s">
        <v>1331</v>
      </c>
      <c r="AO263" t="str">
        <v>Ministry of Public Health of the Islamic Republic of Afghanistan</v>
      </c>
      <c r="AU263" s="1035" t="s">
        <v>435</v>
      </c>
      <c r="AV263" s="1035" t="s">
        <v>36</v>
      </c>
      <c r="AW263" s="1035" t="s">
        <v>82</v>
      </c>
      <c r="AX263" s="1035" t="s">
        <v>1430</v>
      </c>
    </row>
    <row r="264" spans="1:50" x14ac:dyDescent="0.35">
      <c r="A264">
        <v>31</v>
      </c>
      <c r="B264" t="s">
        <v>435</v>
      </c>
      <c r="C264">
        <v>1</v>
      </c>
      <c r="D264" t="s">
        <v>82</v>
      </c>
      <c r="E264">
        <v>3</v>
      </c>
      <c r="F264" t="s">
        <v>37</v>
      </c>
      <c r="G264" t="s">
        <v>1438</v>
      </c>
      <c r="H264" t="s">
        <v>1228</v>
      </c>
      <c r="I264" t="s">
        <v>1439</v>
      </c>
      <c r="J264" t="s">
        <v>1440</v>
      </c>
      <c r="O264" t="e" cm="1">
        <f t="array" ref="O264">INDEX(Grant[Country],MATCH(0,INDEX(COUNTIF($O$2:O263,Grant[Country]),),0))</f>
        <v>#N/A</v>
      </c>
      <c r="Y264" s="1035" t="s">
        <v>435</v>
      </c>
      <c r="Z264" s="1035" t="s">
        <v>1432</v>
      </c>
      <c r="AB264" s="1035" t="s">
        <v>1629</v>
      </c>
      <c r="AC264" s="1035" t="s">
        <v>1344</v>
      </c>
      <c r="AO264" t="str">
        <v>Ministry of Public Health of the Islamic Republic of Afghanistan</v>
      </c>
      <c r="AU264" s="1035" t="s">
        <v>435</v>
      </c>
      <c r="AV264" s="1035" t="s">
        <v>37</v>
      </c>
      <c r="AW264" s="1035" t="s">
        <v>82</v>
      </c>
      <c r="AX264" s="1035" t="s">
        <v>1435</v>
      </c>
    </row>
    <row r="265" spans="1:50" x14ac:dyDescent="0.35">
      <c r="A265">
        <v>144</v>
      </c>
      <c r="B265" t="s">
        <v>436</v>
      </c>
      <c r="C265">
        <v>1</v>
      </c>
      <c r="D265" t="s">
        <v>82</v>
      </c>
      <c r="E265">
        <v>1</v>
      </c>
      <c r="F265" t="s">
        <v>36</v>
      </c>
      <c r="G265" t="s">
        <v>1449</v>
      </c>
      <c r="H265" t="s">
        <v>1232</v>
      </c>
      <c r="I265" t="s">
        <v>1450</v>
      </c>
      <c r="J265" t="s">
        <v>1451</v>
      </c>
      <c r="O265" t="e" cm="1">
        <f t="array" ref="O265">INDEX(Grant[Country],MATCH(0,INDEX(COUNTIF($O$2:O264,Grant[Country]),),0))</f>
        <v>#N/A</v>
      </c>
      <c r="Y265" s="1035" t="s">
        <v>435</v>
      </c>
      <c r="Z265" s="1035" t="s">
        <v>1437</v>
      </c>
      <c r="AB265" s="1035" t="s">
        <v>1576</v>
      </c>
      <c r="AC265" s="1035" t="s">
        <v>789</v>
      </c>
      <c r="AO265" t="str">
        <v>Ministry of Public Health of the Republic of Cameroon</v>
      </c>
      <c r="AU265" s="1035" t="s">
        <v>435</v>
      </c>
      <c r="AV265" s="1035" t="s">
        <v>37</v>
      </c>
      <c r="AW265" s="1035" t="s">
        <v>82</v>
      </c>
      <c r="AX265" s="1035" t="s">
        <v>1440</v>
      </c>
    </row>
    <row r="266" spans="1:50" x14ac:dyDescent="0.35">
      <c r="A266">
        <v>61</v>
      </c>
      <c r="B266" t="s">
        <v>448</v>
      </c>
      <c r="C266">
        <v>1</v>
      </c>
      <c r="D266" t="s">
        <v>82</v>
      </c>
      <c r="E266">
        <v>4</v>
      </c>
      <c r="F266" t="s">
        <v>187</v>
      </c>
      <c r="G266" t="s">
        <v>1550</v>
      </c>
      <c r="H266" t="s">
        <v>1292</v>
      </c>
      <c r="I266" t="s">
        <v>1553</v>
      </c>
      <c r="J266" t="s">
        <v>1549</v>
      </c>
      <c r="O266" t="e" cm="1">
        <f t="array" ref="O266">INDEX(Grant[Country],MATCH(0,INDEX(COUNTIF($O$2:O265,Grant[Country]),),0))</f>
        <v>#N/A</v>
      </c>
      <c r="Y266" s="1035" t="s">
        <v>435</v>
      </c>
      <c r="Z266" s="1035" t="s">
        <v>1447</v>
      </c>
      <c r="AB266" s="1035" t="s">
        <v>1577</v>
      </c>
      <c r="AC266" s="1035" t="s">
        <v>1312</v>
      </c>
      <c r="AO266" t="str">
        <v>Ministry of Public Health of the Republic of Cameroon</v>
      </c>
      <c r="AU266" s="1035" t="s">
        <v>435</v>
      </c>
      <c r="AV266" s="1035" t="s">
        <v>187</v>
      </c>
      <c r="AW266" s="1035" t="s">
        <v>82</v>
      </c>
      <c r="AX266" s="1035" t="s">
        <v>1432</v>
      </c>
    </row>
    <row r="267" spans="1:50" x14ac:dyDescent="0.35">
      <c r="A267">
        <v>61</v>
      </c>
      <c r="B267" t="s">
        <v>448</v>
      </c>
      <c r="C267">
        <v>1</v>
      </c>
      <c r="D267" t="s">
        <v>82</v>
      </c>
      <c r="E267">
        <v>4</v>
      </c>
      <c r="F267" t="s">
        <v>187</v>
      </c>
      <c r="G267" t="s">
        <v>1546</v>
      </c>
      <c r="H267" t="s">
        <v>1296</v>
      </c>
      <c r="I267" t="s">
        <v>1558</v>
      </c>
      <c r="J267" t="s">
        <v>1557</v>
      </c>
      <c r="O267" t="e" cm="1">
        <f t="array" ref="O267">INDEX(Grant[Country],MATCH(0,INDEX(COUNTIF($O$2:O266,Grant[Country]),),0))</f>
        <v>#N/A</v>
      </c>
      <c r="Y267" s="1035" t="s">
        <v>435</v>
      </c>
      <c r="Z267" s="1035" t="s">
        <v>1435</v>
      </c>
      <c r="AB267" s="1035" t="s">
        <v>1581</v>
      </c>
      <c r="AC267" s="1035" t="s">
        <v>789</v>
      </c>
      <c r="AO267" t="str">
        <v>Ministry of Public Health of the Republic of Cameroon</v>
      </c>
      <c r="AU267" s="1035" t="s">
        <v>435</v>
      </c>
      <c r="AV267" s="1035" t="s">
        <v>187</v>
      </c>
      <c r="AW267" s="1035" t="s">
        <v>82</v>
      </c>
      <c r="AX267" s="1035" t="s">
        <v>1437</v>
      </c>
    </row>
    <row r="268" spans="1:50" x14ac:dyDescent="0.35">
      <c r="A268">
        <v>61</v>
      </c>
      <c r="B268" t="s">
        <v>448</v>
      </c>
      <c r="C268">
        <v>1</v>
      </c>
      <c r="D268" t="s">
        <v>82</v>
      </c>
      <c r="E268">
        <v>3</v>
      </c>
      <c r="F268" t="s">
        <v>37</v>
      </c>
      <c r="G268" t="s">
        <v>1550</v>
      </c>
      <c r="H268" t="s">
        <v>1292</v>
      </c>
      <c r="I268" t="s">
        <v>1551</v>
      </c>
      <c r="J268" t="s">
        <v>1552</v>
      </c>
      <c r="O268" t="e" cm="1">
        <f t="array" ref="O268">INDEX(Grant[Country],MATCH(0,INDEX(COUNTIF($O$2:O267,Grant[Country]),),0))</f>
        <v>#N/A</v>
      </c>
      <c r="Y268" s="1035" t="s">
        <v>435</v>
      </c>
      <c r="Z268" s="1035" t="s">
        <v>1440</v>
      </c>
      <c r="AB268" s="1035" t="s">
        <v>1548</v>
      </c>
      <c r="AC268" s="1035" t="s">
        <v>1296</v>
      </c>
      <c r="AO268" t="str">
        <v>Ministry of Public Health of the Republic of Cameroon</v>
      </c>
      <c r="AU268" s="1035" t="s">
        <v>435</v>
      </c>
      <c r="AV268" s="1035" t="s">
        <v>187</v>
      </c>
      <c r="AW268" s="1035" t="s">
        <v>82</v>
      </c>
      <c r="AX268" s="1035" t="s">
        <v>1447</v>
      </c>
    </row>
    <row r="269" spans="1:50" x14ac:dyDescent="0.35">
      <c r="A269">
        <v>61</v>
      </c>
      <c r="B269" t="s">
        <v>448</v>
      </c>
      <c r="C269">
        <v>1</v>
      </c>
      <c r="D269" t="s">
        <v>82</v>
      </c>
      <c r="E269">
        <v>5</v>
      </c>
      <c r="F269" t="s">
        <v>187</v>
      </c>
      <c r="G269" t="s">
        <v>1550</v>
      </c>
      <c r="H269" t="s">
        <v>1292</v>
      </c>
      <c r="I269" t="s">
        <v>1555</v>
      </c>
      <c r="J269" t="s">
        <v>1554</v>
      </c>
      <c r="O269" t="e" cm="1">
        <f t="array" ref="O269">INDEX(Grant[Country],MATCH(0,INDEX(COUNTIF($O$2:O268,Grant[Country]),),0))</f>
        <v>#N/A</v>
      </c>
      <c r="Y269" s="1035" t="s">
        <v>436</v>
      </c>
      <c r="Z269" s="1035" t="s">
        <v>1451</v>
      </c>
      <c r="AB269" s="1035" t="s">
        <v>1562</v>
      </c>
      <c r="AC269" s="1035" t="s">
        <v>814</v>
      </c>
      <c r="AO269" t="str">
        <v>Ministry of Public Health of the Republic of Ecuador</v>
      </c>
      <c r="AU269" s="1035" t="s">
        <v>436</v>
      </c>
      <c r="AV269" s="1035" t="s">
        <v>36</v>
      </c>
      <c r="AW269" s="1035" t="s">
        <v>82</v>
      </c>
      <c r="AX269" s="1035" t="s">
        <v>1451</v>
      </c>
    </row>
    <row r="270" spans="1:50" x14ac:dyDescent="0.35">
      <c r="A270">
        <v>157</v>
      </c>
      <c r="B270" t="s">
        <v>449</v>
      </c>
      <c r="C270">
        <v>1</v>
      </c>
      <c r="D270" t="s">
        <v>82</v>
      </c>
      <c r="E270">
        <v>1</v>
      </c>
      <c r="F270" t="s">
        <v>36</v>
      </c>
      <c r="G270" t="s">
        <v>1564</v>
      </c>
      <c r="H270" t="s">
        <v>1304</v>
      </c>
      <c r="I270" t="s">
        <v>1565</v>
      </c>
      <c r="J270" t="s">
        <v>1566</v>
      </c>
      <c r="O270" t="e" cm="1">
        <f t="array" ref="O270">INDEX(Grant[Country],MATCH(0,INDEX(COUNTIF($O$2:O269,Grant[Country]),),0))</f>
        <v>#N/A</v>
      </c>
      <c r="Y270" s="1035" t="s">
        <v>438</v>
      </c>
      <c r="Z270" s="1035" t="s">
        <v>1464</v>
      </c>
      <c r="AB270" s="1035" t="s">
        <v>1568</v>
      </c>
      <c r="AC270" s="1035" t="s">
        <v>814</v>
      </c>
      <c r="AO270" t="str">
        <v>Ministry of Public Health of the Republic of Madagascar</v>
      </c>
      <c r="AU270" s="1035" t="s">
        <v>438</v>
      </c>
      <c r="AV270" s="1035" t="s">
        <v>36</v>
      </c>
      <c r="AW270" s="1035" t="s">
        <v>367</v>
      </c>
      <c r="AX270" s="1035" t="s">
        <v>1456</v>
      </c>
    </row>
    <row r="271" spans="1:50" x14ac:dyDescent="0.35">
      <c r="A271">
        <v>75</v>
      </c>
      <c r="B271" t="s">
        <v>451</v>
      </c>
      <c r="C271">
        <v>2</v>
      </c>
      <c r="D271" t="s">
        <v>367</v>
      </c>
      <c r="E271">
        <v>1</v>
      </c>
      <c r="F271" t="s">
        <v>36</v>
      </c>
      <c r="G271" t="s">
        <v>1583</v>
      </c>
      <c r="H271" t="s">
        <v>1321</v>
      </c>
      <c r="I271" t="s">
        <v>1584</v>
      </c>
      <c r="J271" t="s">
        <v>1585</v>
      </c>
      <c r="O271" t="e" cm="1">
        <f t="array" ref="O271">INDEX(Grant[Country],MATCH(0,INDEX(COUNTIF($O$2:O270,Grant[Country]),),0))</f>
        <v>#N/A</v>
      </c>
      <c r="Y271" s="1035" t="s">
        <v>438</v>
      </c>
      <c r="Z271" s="1035" t="s">
        <v>1456</v>
      </c>
      <c r="AB271" s="1035" t="s">
        <v>1570</v>
      </c>
      <c r="AC271" s="1035" t="s">
        <v>814</v>
      </c>
      <c r="AO271" t="str">
        <v>Ministry of Public Health of the Republic of Madagascar</v>
      </c>
      <c r="AU271" s="1035" t="s">
        <v>438</v>
      </c>
      <c r="AV271" s="1035" t="s">
        <v>36</v>
      </c>
      <c r="AW271" s="1035" t="s">
        <v>367</v>
      </c>
      <c r="AX271" s="1035" t="s">
        <v>1459</v>
      </c>
    </row>
    <row r="272" spans="1:50" x14ac:dyDescent="0.35">
      <c r="A272">
        <v>75</v>
      </c>
      <c r="B272" t="s">
        <v>451</v>
      </c>
      <c r="C272">
        <v>2</v>
      </c>
      <c r="D272" t="s">
        <v>367</v>
      </c>
      <c r="E272">
        <v>1</v>
      </c>
      <c r="F272" t="s">
        <v>36</v>
      </c>
      <c r="G272" t="s">
        <v>1588</v>
      </c>
      <c r="H272" t="s">
        <v>3430</v>
      </c>
      <c r="I272" t="s">
        <v>1589</v>
      </c>
      <c r="J272" t="s">
        <v>1590</v>
      </c>
      <c r="O272" t="e" cm="1">
        <f t="array" ref="O272">INDEX(Grant[Country],MATCH(0,INDEX(COUNTIF($O$2:O271,Grant[Country]),),0))</f>
        <v>#N/A</v>
      </c>
      <c r="Y272" s="1035" t="s">
        <v>438</v>
      </c>
      <c r="Z272" s="1035" t="s">
        <v>1459</v>
      </c>
      <c r="AB272" s="1035" t="s">
        <v>1634</v>
      </c>
      <c r="AC272" s="1035" t="s">
        <v>1363</v>
      </c>
      <c r="AO272" t="str">
        <v>Ministry of Public Health, Population and Social Affairs</v>
      </c>
      <c r="AU272" s="1035" t="s">
        <v>438</v>
      </c>
      <c r="AV272" s="1035" t="s">
        <v>37</v>
      </c>
      <c r="AW272" s="1035" t="s">
        <v>367</v>
      </c>
      <c r="AX272" s="1035" t="s">
        <v>1461</v>
      </c>
    </row>
    <row r="273" spans="1:50" x14ac:dyDescent="0.35">
      <c r="A273">
        <v>75</v>
      </c>
      <c r="B273" t="s">
        <v>451</v>
      </c>
      <c r="C273">
        <v>2</v>
      </c>
      <c r="D273" t="s">
        <v>367</v>
      </c>
      <c r="E273">
        <v>3</v>
      </c>
      <c r="F273" t="s">
        <v>37</v>
      </c>
      <c r="G273" t="s">
        <v>1592</v>
      </c>
      <c r="H273" t="s">
        <v>1039</v>
      </c>
      <c r="I273" t="s">
        <v>1593</v>
      </c>
      <c r="J273" t="s">
        <v>1587</v>
      </c>
      <c r="O273" t="e" cm="1">
        <f t="array" ref="O273">INDEX(Grant[Country],MATCH(0,INDEX(COUNTIF($O$2:O272,Grant[Country]),),0))</f>
        <v>#N/A</v>
      </c>
      <c r="Y273" s="1035" t="s">
        <v>438</v>
      </c>
      <c r="Z273" s="1035" t="s">
        <v>1461</v>
      </c>
      <c r="AB273" s="1035" t="s">
        <v>1638</v>
      </c>
      <c r="AC273" s="1035" t="s">
        <v>1367</v>
      </c>
      <c r="AO273" t="str">
        <v>Ministry of Public Health, Population and Social Affairs</v>
      </c>
      <c r="AU273" s="1035" t="s">
        <v>438</v>
      </c>
      <c r="AV273" s="1035" t="s">
        <v>37</v>
      </c>
      <c r="AW273" s="1035" t="s">
        <v>367</v>
      </c>
      <c r="AX273" s="1035" t="s">
        <v>3427</v>
      </c>
    </row>
    <row r="274" spans="1:50" x14ac:dyDescent="0.35">
      <c r="A274">
        <v>75</v>
      </c>
      <c r="B274" t="s">
        <v>451</v>
      </c>
      <c r="C274">
        <v>2</v>
      </c>
      <c r="D274" t="s">
        <v>367</v>
      </c>
      <c r="E274">
        <v>2</v>
      </c>
      <c r="F274" t="s">
        <v>39</v>
      </c>
      <c r="G274" t="s">
        <v>1588</v>
      </c>
      <c r="H274" t="s">
        <v>3430</v>
      </c>
      <c r="I274" t="s">
        <v>1596</v>
      </c>
      <c r="J274" t="s">
        <v>1595</v>
      </c>
      <c r="O274" t="e" cm="1">
        <f t="array" ref="O274">INDEX(Grant[Country],MATCH(0,INDEX(COUNTIF($O$2:O273,Grant[Country]),),0))</f>
        <v>#N/A</v>
      </c>
      <c r="Y274" s="1035" t="s">
        <v>438</v>
      </c>
      <c r="Z274" s="1035" t="s">
        <v>1467</v>
      </c>
      <c r="AB274" s="1035" t="s">
        <v>1635</v>
      </c>
      <c r="AC274" s="1035" t="s">
        <v>1358</v>
      </c>
      <c r="AO274" t="str">
        <v>Nai Zindagi</v>
      </c>
      <c r="AU274" s="1035" t="s">
        <v>438</v>
      </c>
      <c r="AV274" s="1035" t="s">
        <v>187</v>
      </c>
      <c r="AW274" s="1035" t="s">
        <v>367</v>
      </c>
      <c r="AX274" s="1035" t="s">
        <v>1464</v>
      </c>
    </row>
    <row r="275" spans="1:50" x14ac:dyDescent="0.35">
      <c r="A275">
        <v>75</v>
      </c>
      <c r="B275" t="s">
        <v>451</v>
      </c>
      <c r="C275">
        <v>2</v>
      </c>
      <c r="D275" t="s">
        <v>367</v>
      </c>
      <c r="E275">
        <v>2</v>
      </c>
      <c r="F275" t="s">
        <v>39</v>
      </c>
      <c r="G275" t="s">
        <v>829</v>
      </c>
      <c r="H275" t="s">
        <v>814</v>
      </c>
      <c r="I275" t="s">
        <v>3255</v>
      </c>
      <c r="J275" t="s">
        <v>3256</v>
      </c>
      <c r="O275" t="e" cm="1">
        <f t="array" ref="O275">INDEX(Grant[Country],MATCH(0,INDEX(COUNTIF($O$2:O274,Grant[Country]),),0))</f>
        <v>#N/A</v>
      </c>
      <c r="Y275" s="1035" t="s">
        <v>438</v>
      </c>
      <c r="Z275" s="1035" t="s">
        <v>3244</v>
      </c>
      <c r="AB275" s="1035" t="s">
        <v>1644</v>
      </c>
      <c r="AC275" s="1035" t="s">
        <v>3438</v>
      </c>
      <c r="AO275" t="str">
        <v>Namibia Network of AIDS Service Organizations</v>
      </c>
      <c r="AU275" s="1035" t="s">
        <v>438</v>
      </c>
      <c r="AV275" s="1035" t="s">
        <v>187</v>
      </c>
      <c r="AW275" s="1035" t="s">
        <v>367</v>
      </c>
      <c r="AX275" s="1035" t="s">
        <v>3424</v>
      </c>
    </row>
    <row r="276" spans="1:50" x14ac:dyDescent="0.35">
      <c r="A276">
        <v>76</v>
      </c>
      <c r="B276" t="s">
        <v>452</v>
      </c>
      <c r="C276">
        <v>1</v>
      </c>
      <c r="D276" t="s">
        <v>82</v>
      </c>
      <c r="E276">
        <v>4</v>
      </c>
      <c r="F276" t="s">
        <v>187</v>
      </c>
      <c r="G276" t="s">
        <v>1620</v>
      </c>
      <c r="H276" t="s">
        <v>1331</v>
      </c>
      <c r="I276" t="s">
        <v>1621</v>
      </c>
      <c r="J276" t="s">
        <v>1619</v>
      </c>
      <c r="O276" t="e" cm="1">
        <f t="array" ref="O276">INDEX(Grant[Country],MATCH(0,INDEX(COUNTIF($O$2:O275,Grant[Country]),),0))</f>
        <v>#N/A</v>
      </c>
      <c r="Y276" s="1035" t="s">
        <v>438</v>
      </c>
      <c r="Z276" s="1035" t="s">
        <v>3424</v>
      </c>
      <c r="AB276" s="1035" t="s">
        <v>1639</v>
      </c>
      <c r="AC276" s="1035" t="s">
        <v>1362</v>
      </c>
      <c r="AO276" t="str">
        <v>Namibia Network of AIDS Service Organizations</v>
      </c>
      <c r="AU276" s="1035" t="s">
        <v>438</v>
      </c>
      <c r="AV276" s="1035" t="s">
        <v>2004</v>
      </c>
      <c r="AW276" s="1035" t="s">
        <v>367</v>
      </c>
      <c r="AX276" s="1035" t="s">
        <v>1467</v>
      </c>
    </row>
    <row r="277" spans="1:50" x14ac:dyDescent="0.35">
      <c r="A277">
        <v>76</v>
      </c>
      <c r="B277" t="s">
        <v>452</v>
      </c>
      <c r="C277">
        <v>1</v>
      </c>
      <c r="D277" t="s">
        <v>82</v>
      </c>
      <c r="E277">
        <v>1</v>
      </c>
      <c r="F277" t="s">
        <v>36</v>
      </c>
      <c r="G277" t="s">
        <v>1600</v>
      </c>
      <c r="H277" t="s">
        <v>1326</v>
      </c>
      <c r="I277" t="s">
        <v>1601</v>
      </c>
      <c r="J277" t="s">
        <v>1602</v>
      </c>
      <c r="O277" t="e" cm="1">
        <f t="array" ref="O277">INDEX(Grant[Country],MATCH(0,INDEX(COUNTIF($O$2:O276,Grant[Country]),),0))</f>
        <v>#N/A</v>
      </c>
      <c r="Y277" s="1035" t="s">
        <v>438</v>
      </c>
      <c r="Z277" s="1035" t="s">
        <v>3427</v>
      </c>
      <c r="AB277" s="1035" t="s">
        <v>1647</v>
      </c>
      <c r="AC277" s="1035" t="s">
        <v>1370</v>
      </c>
      <c r="AO277" t="str">
        <v>National Agency for the Control of AIDS</v>
      </c>
      <c r="AU277" s="1035" t="s">
        <v>438</v>
      </c>
      <c r="AV277" s="1035" t="s">
        <v>39</v>
      </c>
      <c r="AW277" s="1035" t="s">
        <v>367</v>
      </c>
      <c r="AX277" s="1035" t="s">
        <v>3244</v>
      </c>
    </row>
    <row r="278" spans="1:50" x14ac:dyDescent="0.35">
      <c r="A278">
        <v>76</v>
      </c>
      <c r="B278" t="s">
        <v>452</v>
      </c>
      <c r="C278">
        <v>1</v>
      </c>
      <c r="D278" t="s">
        <v>82</v>
      </c>
      <c r="E278">
        <v>1</v>
      </c>
      <c r="F278" t="s">
        <v>36</v>
      </c>
      <c r="G278" t="s">
        <v>1603</v>
      </c>
      <c r="H278" t="s">
        <v>1336</v>
      </c>
      <c r="I278" t="s">
        <v>1604</v>
      </c>
      <c r="J278" t="s">
        <v>1605</v>
      </c>
      <c r="O278" t="e" cm="1">
        <f t="array" ref="O278">INDEX(Grant[Country],MATCH(0,INDEX(COUNTIF($O$2:O277,Grant[Country]),),0))</f>
        <v>#N/A</v>
      </c>
      <c r="Y278" s="1035" t="s">
        <v>439</v>
      </c>
      <c r="Z278" s="1035" t="s">
        <v>1473</v>
      </c>
      <c r="AB278" s="1035" t="s">
        <v>1651</v>
      </c>
      <c r="AC278" s="1035" t="s">
        <v>3438</v>
      </c>
      <c r="AO278" t="str">
        <v>National Agency for the Control of AIDS</v>
      </c>
      <c r="AU278" s="1035" t="s">
        <v>439</v>
      </c>
      <c r="AV278" s="1035" t="s">
        <v>36</v>
      </c>
      <c r="AW278" s="1035" t="s">
        <v>82</v>
      </c>
      <c r="AX278" s="1035" t="s">
        <v>1473</v>
      </c>
    </row>
    <row r="279" spans="1:50" x14ac:dyDescent="0.35">
      <c r="A279">
        <v>76</v>
      </c>
      <c r="B279" t="s">
        <v>452</v>
      </c>
      <c r="C279">
        <v>1</v>
      </c>
      <c r="D279" t="s">
        <v>82</v>
      </c>
      <c r="E279">
        <v>1</v>
      </c>
      <c r="F279" t="s">
        <v>36</v>
      </c>
      <c r="G279" t="s">
        <v>1608</v>
      </c>
      <c r="H279" t="s">
        <v>1349</v>
      </c>
      <c r="I279" t="s">
        <v>1609</v>
      </c>
      <c r="J279" t="s">
        <v>1610</v>
      </c>
      <c r="O279" t="e" cm="1">
        <f t="array" ref="O279">INDEX(Grant[Country],MATCH(0,INDEX(COUNTIF($O$2:O278,Grant[Country]),),0))</f>
        <v>#N/A</v>
      </c>
      <c r="Y279" s="1035" t="s">
        <v>439</v>
      </c>
      <c r="Z279" s="1035" t="s">
        <v>1475</v>
      </c>
      <c r="AB279" s="1035" t="s">
        <v>1654</v>
      </c>
      <c r="AC279" s="1035" t="s">
        <v>772</v>
      </c>
      <c r="AO279" t="str">
        <v>National Center For Disease Control and Public Health</v>
      </c>
      <c r="AU279" s="1035" t="s">
        <v>439</v>
      </c>
      <c r="AV279" s="1035" t="s">
        <v>37</v>
      </c>
      <c r="AW279" s="1035" t="s">
        <v>82</v>
      </c>
      <c r="AX279" s="1035" t="s">
        <v>1475</v>
      </c>
    </row>
    <row r="280" spans="1:50" x14ac:dyDescent="0.35">
      <c r="A280">
        <v>76</v>
      </c>
      <c r="B280" t="s">
        <v>452</v>
      </c>
      <c r="C280">
        <v>1</v>
      </c>
      <c r="D280" t="s">
        <v>82</v>
      </c>
      <c r="E280">
        <v>3</v>
      </c>
      <c r="F280" t="s">
        <v>37</v>
      </c>
      <c r="G280" t="s">
        <v>1612</v>
      </c>
      <c r="H280" t="s">
        <v>1039</v>
      </c>
      <c r="I280" t="s">
        <v>1613</v>
      </c>
      <c r="J280" t="s">
        <v>1607</v>
      </c>
      <c r="O280" t="e" cm="1">
        <f t="array" ref="O280">INDEX(Grant[Country],MATCH(0,INDEX(COUNTIF($O$2:O279,Grant[Country]),),0))</f>
        <v>#N/A</v>
      </c>
      <c r="Y280" s="1035" t="s">
        <v>439</v>
      </c>
      <c r="Z280" s="1035" t="s">
        <v>1479</v>
      </c>
      <c r="AB280" s="1035" t="s">
        <v>1669</v>
      </c>
      <c r="AC280" s="1035" t="s">
        <v>1390</v>
      </c>
      <c r="AO280" t="str">
        <v>National Center For Disease Control and Public Health</v>
      </c>
      <c r="AU280" s="1035" t="s">
        <v>439</v>
      </c>
      <c r="AV280" s="1035" t="s">
        <v>187</v>
      </c>
      <c r="AW280" s="1035" t="s">
        <v>82</v>
      </c>
      <c r="AX280" s="1035" t="s">
        <v>1477</v>
      </c>
    </row>
    <row r="281" spans="1:50" x14ac:dyDescent="0.35">
      <c r="A281">
        <v>76</v>
      </c>
      <c r="B281" t="s">
        <v>452</v>
      </c>
      <c r="C281">
        <v>1</v>
      </c>
      <c r="D281" t="s">
        <v>82</v>
      </c>
      <c r="E281">
        <v>3</v>
      </c>
      <c r="F281" t="s">
        <v>37</v>
      </c>
      <c r="G281" t="s">
        <v>1615</v>
      </c>
      <c r="H281" t="s">
        <v>1340</v>
      </c>
      <c r="I281" t="s">
        <v>1616</v>
      </c>
      <c r="J281" t="s">
        <v>1617</v>
      </c>
      <c r="O281" t="e" cm="1">
        <f t="array" ref="O281">INDEX(Grant[Country],MATCH(0,INDEX(COUNTIF($O$2:O280,Grant[Country]),),0))</f>
        <v>#N/A</v>
      </c>
      <c r="Y281" s="1035" t="s">
        <v>439</v>
      </c>
      <c r="Z281" s="1035" t="s">
        <v>1477</v>
      </c>
      <c r="AB281" s="1035" t="s">
        <v>3260</v>
      </c>
      <c r="AC281" s="1035" t="s">
        <v>3258</v>
      </c>
      <c r="AO281" t="str">
        <v>National Coordination of the National AIDS Control Committee of the Government of the Central African Republic (CN-CNLS)</v>
      </c>
      <c r="AU281" s="1035" t="s">
        <v>439</v>
      </c>
      <c r="AV281" s="1035" t="s">
        <v>39</v>
      </c>
      <c r="AW281" s="1035" t="s">
        <v>82</v>
      </c>
      <c r="AX281" s="1035" t="s">
        <v>1479</v>
      </c>
    </row>
    <row r="282" spans="1:50" x14ac:dyDescent="0.35">
      <c r="A282">
        <v>76</v>
      </c>
      <c r="B282" t="s">
        <v>452</v>
      </c>
      <c r="C282">
        <v>1</v>
      </c>
      <c r="D282" t="s">
        <v>82</v>
      </c>
      <c r="E282">
        <v>6</v>
      </c>
      <c r="F282" t="s">
        <v>2004</v>
      </c>
      <c r="G282" t="s">
        <v>1623</v>
      </c>
      <c r="H282" t="s">
        <v>1332</v>
      </c>
      <c r="I282" t="s">
        <v>1624</v>
      </c>
      <c r="J282" t="s">
        <v>1625</v>
      </c>
      <c r="O282" t="e" cm="1">
        <f t="array" ref="O282">INDEX(Grant[Country],MATCH(0,INDEX(COUNTIF($O$2:O281,Grant[Country]),),0))</f>
        <v>#N/A</v>
      </c>
      <c r="Y282" s="1035" t="s">
        <v>440</v>
      </c>
      <c r="Z282" s="1035" t="s">
        <v>1483</v>
      </c>
      <c r="AB282" s="1035" t="s">
        <v>1672</v>
      </c>
      <c r="AC282" s="1035" t="s">
        <v>1397</v>
      </c>
      <c r="AO282" t="str">
        <v>National Department of Health of the Republic of South Africa</v>
      </c>
      <c r="AU282" s="1035" t="s">
        <v>440</v>
      </c>
      <c r="AV282" s="1035" t="s">
        <v>36</v>
      </c>
      <c r="AW282" s="1035" t="s">
        <v>82</v>
      </c>
      <c r="AX282" s="1035" t="s">
        <v>1483</v>
      </c>
    </row>
    <row r="283" spans="1:50" x14ac:dyDescent="0.35">
      <c r="A283">
        <v>76</v>
      </c>
      <c r="B283" t="s">
        <v>452</v>
      </c>
      <c r="C283">
        <v>1</v>
      </c>
      <c r="D283" t="s">
        <v>82</v>
      </c>
      <c r="E283">
        <v>6</v>
      </c>
      <c r="F283" t="s">
        <v>2004</v>
      </c>
      <c r="G283" t="s">
        <v>1603</v>
      </c>
      <c r="H283" t="s">
        <v>1336</v>
      </c>
      <c r="I283" t="s">
        <v>3431</v>
      </c>
      <c r="J283" t="s">
        <v>3432</v>
      </c>
      <c r="O283" t="e" cm="1">
        <f t="array" ref="O283">INDEX(Grant[Country],MATCH(0,INDEX(COUNTIF($O$2:O282,Grant[Country]),),0))</f>
        <v>#N/A</v>
      </c>
      <c r="Y283" s="1035" t="s">
        <v>440</v>
      </c>
      <c r="Z283" s="1035" t="s">
        <v>1486</v>
      </c>
      <c r="AB283" s="1035" t="s">
        <v>1675</v>
      </c>
      <c r="AC283" s="1035" t="s">
        <v>1402</v>
      </c>
      <c r="AO283" t="str">
        <v>National Emergency Response Council on HIV and AIDS</v>
      </c>
      <c r="AU283" s="1035" t="s">
        <v>440</v>
      </c>
      <c r="AV283" s="1035" t="s">
        <v>36</v>
      </c>
      <c r="AW283" s="1035" t="s">
        <v>82</v>
      </c>
      <c r="AX283" s="1035" t="s">
        <v>1486</v>
      </c>
    </row>
    <row r="284" spans="1:50" x14ac:dyDescent="0.35">
      <c r="A284">
        <v>76</v>
      </c>
      <c r="B284" t="s">
        <v>452</v>
      </c>
      <c r="C284">
        <v>1</v>
      </c>
      <c r="D284" t="s">
        <v>82</v>
      </c>
      <c r="E284">
        <v>2</v>
      </c>
      <c r="F284" t="s">
        <v>39</v>
      </c>
      <c r="G284" t="s">
        <v>1626</v>
      </c>
      <c r="H284" t="s">
        <v>1330</v>
      </c>
      <c r="I284" t="s">
        <v>1627</v>
      </c>
      <c r="J284" t="s">
        <v>1614</v>
      </c>
      <c r="O284" t="e" cm="1">
        <f t="array" ref="O284">INDEX(Grant[Country],MATCH(0,INDEX(COUNTIF($O$2:O283,Grant[Country]),),0))</f>
        <v>#N/A</v>
      </c>
      <c r="Y284" s="1035" t="s">
        <v>442</v>
      </c>
      <c r="Z284" s="1035" t="s">
        <v>1489</v>
      </c>
      <c r="AB284" s="1035" t="s">
        <v>1678</v>
      </c>
      <c r="AC284" s="1035" t="s">
        <v>814</v>
      </c>
      <c r="AO284" t="str">
        <v>National Emergency Response Council on HIV and AIDS</v>
      </c>
      <c r="AU284" s="1035" t="s">
        <v>442</v>
      </c>
      <c r="AV284" s="1035" t="s">
        <v>187</v>
      </c>
      <c r="AW284" s="1035" t="s">
        <v>367</v>
      </c>
      <c r="AX284" s="1035" t="s">
        <v>1489</v>
      </c>
    </row>
    <row r="285" spans="1:50" x14ac:dyDescent="0.35">
      <c r="A285">
        <v>76</v>
      </c>
      <c r="B285" t="s">
        <v>452</v>
      </c>
      <c r="C285">
        <v>1</v>
      </c>
      <c r="D285" t="s">
        <v>82</v>
      </c>
      <c r="E285">
        <v>2</v>
      </c>
      <c r="F285" t="s">
        <v>39</v>
      </c>
      <c r="G285" t="s">
        <v>1620</v>
      </c>
      <c r="H285" t="s">
        <v>1331</v>
      </c>
      <c r="I285" t="s">
        <v>1628</v>
      </c>
      <c r="J285" t="s">
        <v>1622</v>
      </c>
      <c r="O285" t="e" cm="1">
        <f t="array" ref="O285">INDEX(Grant[Country],MATCH(0,INDEX(COUNTIF($O$2:O284,Grant[Country]),),0))</f>
        <v>#N/A</v>
      </c>
      <c r="Y285" s="1035" t="s">
        <v>442</v>
      </c>
      <c r="Z285" s="1035" t="s">
        <v>3248</v>
      </c>
      <c r="AB285" s="1035" t="s">
        <v>1680</v>
      </c>
      <c r="AC285" s="1035" t="s">
        <v>1402</v>
      </c>
      <c r="AO285" t="str">
        <v>National Emergency Response Council on HIV and AIDS</v>
      </c>
      <c r="AU285" s="1035" t="s">
        <v>442</v>
      </c>
      <c r="AV285" s="1035" t="s">
        <v>39</v>
      </c>
      <c r="AW285" s="1035" t="s">
        <v>367</v>
      </c>
      <c r="AX285" s="1035" t="s">
        <v>3248</v>
      </c>
    </row>
    <row r="286" spans="1:50" x14ac:dyDescent="0.35">
      <c r="A286">
        <v>76</v>
      </c>
      <c r="B286" t="s">
        <v>452</v>
      </c>
      <c r="C286">
        <v>1</v>
      </c>
      <c r="D286" t="s">
        <v>82</v>
      </c>
      <c r="E286">
        <v>2</v>
      </c>
      <c r="F286" t="s">
        <v>39</v>
      </c>
      <c r="G286" t="s">
        <v>1630</v>
      </c>
      <c r="H286" t="s">
        <v>1344</v>
      </c>
      <c r="I286" t="s">
        <v>1631</v>
      </c>
      <c r="J286" t="s">
        <v>1629</v>
      </c>
      <c r="O286" t="e" cm="1">
        <f t="array" ref="O286">INDEX(Grant[Country],MATCH(0,INDEX(COUNTIF($O$2:O285,Grant[Country]),),0))</f>
        <v>#N/A</v>
      </c>
      <c r="Y286" s="1035" t="s">
        <v>443</v>
      </c>
      <c r="Z286" s="1035" t="s">
        <v>1494</v>
      </c>
      <c r="AB286" s="1035" t="s">
        <v>1676</v>
      </c>
      <c r="AC286" s="1035" t="s">
        <v>1398</v>
      </c>
      <c r="AO286" t="str">
        <v>National Emergency Response Council on HIV and AIDS</v>
      </c>
      <c r="AU286" s="1035" t="s">
        <v>443</v>
      </c>
      <c r="AV286" s="1035" t="s">
        <v>36</v>
      </c>
      <c r="AW286" s="1035" t="s">
        <v>82</v>
      </c>
      <c r="AX286" s="1035" t="s">
        <v>3250</v>
      </c>
    </row>
    <row r="287" spans="1:50" x14ac:dyDescent="0.35">
      <c r="A287">
        <v>86</v>
      </c>
      <c r="B287" t="s">
        <v>450</v>
      </c>
      <c r="C287">
        <v>1</v>
      </c>
      <c r="D287" t="s">
        <v>82</v>
      </c>
      <c r="E287">
        <v>4</v>
      </c>
      <c r="F287" t="s">
        <v>187</v>
      </c>
      <c r="G287" t="s">
        <v>1574</v>
      </c>
      <c r="H287" t="s">
        <v>789</v>
      </c>
      <c r="I287" t="s">
        <v>3433</v>
      </c>
      <c r="J287" t="s">
        <v>3434</v>
      </c>
      <c r="O287" t="e" cm="1">
        <f t="array" ref="O287">INDEX(Grant[Country],MATCH(0,INDEX(COUNTIF($O$2:O286,Grant[Country]),),0))</f>
        <v>#N/A</v>
      </c>
      <c r="Y287" s="1035" t="s">
        <v>443</v>
      </c>
      <c r="Z287" s="1035" t="s">
        <v>3250</v>
      </c>
      <c r="AB287" s="1035" t="s">
        <v>1660</v>
      </c>
      <c r="AC287" s="1035" t="s">
        <v>1384</v>
      </c>
      <c r="AO287" t="str">
        <v>National High Council for the Fight against AIDS</v>
      </c>
      <c r="AU287" s="1035" t="s">
        <v>443</v>
      </c>
      <c r="AV287" s="1035" t="s">
        <v>187</v>
      </c>
      <c r="AW287" s="1035" t="s">
        <v>82</v>
      </c>
      <c r="AX287" s="1035" t="s">
        <v>1494</v>
      </c>
    </row>
    <row r="288" spans="1:50" x14ac:dyDescent="0.35">
      <c r="A288">
        <v>86</v>
      </c>
      <c r="B288" t="s">
        <v>450</v>
      </c>
      <c r="C288">
        <v>1</v>
      </c>
      <c r="D288" t="s">
        <v>82</v>
      </c>
      <c r="E288">
        <v>1</v>
      </c>
      <c r="F288" t="s">
        <v>36</v>
      </c>
      <c r="G288" t="s">
        <v>1574</v>
      </c>
      <c r="H288" t="s">
        <v>789</v>
      </c>
      <c r="I288" t="s">
        <v>1575</v>
      </c>
      <c r="J288" t="s">
        <v>1576</v>
      </c>
      <c r="O288" t="e" cm="1">
        <f t="array" ref="O288">INDEX(Grant[Country],MATCH(0,INDEX(COUNTIF($O$2:O287,Grant[Country]),),0))</f>
        <v>#N/A</v>
      </c>
      <c r="Y288" s="1035" t="s">
        <v>443</v>
      </c>
      <c r="Z288" s="1035" t="s">
        <v>3252</v>
      </c>
      <c r="AB288" s="1035" t="s">
        <v>1657</v>
      </c>
      <c r="AC288" s="1035" t="s">
        <v>1381</v>
      </c>
      <c r="AO288" t="str">
        <v>National HIV/AIDS Secretariat</v>
      </c>
      <c r="AU288" s="1035" t="s">
        <v>443</v>
      </c>
      <c r="AV288" s="1035" t="s">
        <v>39</v>
      </c>
      <c r="AW288" s="1035" t="s">
        <v>82</v>
      </c>
      <c r="AX288" s="1035" t="s">
        <v>3252</v>
      </c>
    </row>
    <row r="289" spans="1:50" x14ac:dyDescent="0.35">
      <c r="A289">
        <v>86</v>
      </c>
      <c r="B289" t="s">
        <v>450</v>
      </c>
      <c r="C289">
        <v>1</v>
      </c>
      <c r="D289" t="s">
        <v>82</v>
      </c>
      <c r="E289">
        <v>3</v>
      </c>
      <c r="F289" t="s">
        <v>37</v>
      </c>
      <c r="G289" t="s">
        <v>1578</v>
      </c>
      <c r="H289" t="s">
        <v>1312</v>
      </c>
      <c r="I289" t="s">
        <v>1579</v>
      </c>
      <c r="J289" t="s">
        <v>1577</v>
      </c>
      <c r="O289" t="e" cm="1">
        <f t="array" ref="O289">INDEX(Grant[Country],MATCH(0,INDEX(COUNTIF($O$2:O288,Grant[Country]),),0))</f>
        <v>#N/A</v>
      </c>
      <c r="Y289" s="1035" t="s">
        <v>444</v>
      </c>
      <c r="Z289" s="1035" t="s">
        <v>1499</v>
      </c>
      <c r="AB289" s="1035" t="s">
        <v>1361</v>
      </c>
      <c r="AC289" s="1035" t="s">
        <v>1173</v>
      </c>
      <c r="AO289" t="str">
        <v>National Integrated Programme Against Leprosy and Tuberculosis</v>
      </c>
      <c r="AU289" s="1035" t="s">
        <v>444</v>
      </c>
      <c r="AV289" s="1035" t="s">
        <v>36</v>
      </c>
      <c r="AW289" s="1035" t="s">
        <v>367</v>
      </c>
      <c r="AX289" s="1035" t="s">
        <v>1499</v>
      </c>
    </row>
    <row r="290" spans="1:50" x14ac:dyDescent="0.35">
      <c r="A290">
        <v>86</v>
      </c>
      <c r="B290" t="s">
        <v>450</v>
      </c>
      <c r="C290">
        <v>1</v>
      </c>
      <c r="D290" t="s">
        <v>82</v>
      </c>
      <c r="E290">
        <v>2</v>
      </c>
      <c r="F290" t="s">
        <v>39</v>
      </c>
      <c r="G290" t="s">
        <v>1574</v>
      </c>
      <c r="H290" t="s">
        <v>789</v>
      </c>
      <c r="I290" t="s">
        <v>1580</v>
      </c>
      <c r="J290" t="s">
        <v>1581</v>
      </c>
      <c r="O290" t="e" cm="1">
        <f t="array" ref="O290">INDEX(Grant[Country],MATCH(0,INDEX(COUNTIF($O$2:O289,Grant[Country]),),0))</f>
        <v>#N/A</v>
      </c>
      <c r="Y290" s="1035" t="s">
        <v>445</v>
      </c>
      <c r="Z290" s="1035" t="s">
        <v>1503</v>
      </c>
      <c r="AB290" s="1035" t="s">
        <v>1663</v>
      </c>
      <c r="AC290" s="1035" t="s">
        <v>1386</v>
      </c>
      <c r="AO290" t="str">
        <v>National Malaria Elimination Programme of the Federal Ministry of Health of the Federal Republic of Nigeria</v>
      </c>
      <c r="AU290" s="1035" t="s">
        <v>445</v>
      </c>
      <c r="AV290" s="1035" t="s">
        <v>36</v>
      </c>
      <c r="AW290" s="1035" t="s">
        <v>367</v>
      </c>
      <c r="AX290" s="1035" t="s">
        <v>1502</v>
      </c>
    </row>
    <row r="291" spans="1:50" x14ac:dyDescent="0.35">
      <c r="A291">
        <v>61</v>
      </c>
      <c r="B291" t="s">
        <v>448</v>
      </c>
      <c r="C291">
        <v>1</v>
      </c>
      <c r="D291" t="s">
        <v>82</v>
      </c>
      <c r="E291">
        <v>1</v>
      </c>
      <c r="F291" t="s">
        <v>36</v>
      </c>
      <c r="G291" t="s">
        <v>1546</v>
      </c>
      <c r="H291" t="s">
        <v>1296</v>
      </c>
      <c r="I291" t="s">
        <v>1547</v>
      </c>
      <c r="J291" t="s">
        <v>1548</v>
      </c>
      <c r="O291" t="e" cm="1">
        <f t="array" ref="O291">INDEX(Grant[Country],MATCH(0,INDEX(COUNTIF($O$2:O290,Grant[Country]),),0))</f>
        <v>#N/A</v>
      </c>
      <c r="Y291" s="1035" t="s">
        <v>445</v>
      </c>
      <c r="Z291" s="1035" t="s">
        <v>1502</v>
      </c>
      <c r="AB291" s="1035" t="s">
        <v>1664</v>
      </c>
      <c r="AC291" s="1035" t="s">
        <v>1385</v>
      </c>
      <c r="AO291" t="str">
        <v>National Secretariat to Fight AIDS of Guinea-Bissau</v>
      </c>
      <c r="AU291" s="1035" t="s">
        <v>445</v>
      </c>
      <c r="AV291" s="1035" t="s">
        <v>187</v>
      </c>
      <c r="AW291" s="1035" t="s">
        <v>367</v>
      </c>
      <c r="AX291" s="1035" t="s">
        <v>1503</v>
      </c>
    </row>
    <row r="292" spans="1:50" x14ac:dyDescent="0.35">
      <c r="A292">
        <v>157</v>
      </c>
      <c r="B292" t="s">
        <v>449</v>
      </c>
      <c r="C292">
        <v>1</v>
      </c>
      <c r="D292" t="s">
        <v>82</v>
      </c>
      <c r="E292">
        <v>1</v>
      </c>
      <c r="F292" t="s">
        <v>36</v>
      </c>
      <c r="G292" t="s">
        <v>829</v>
      </c>
      <c r="H292" t="s">
        <v>814</v>
      </c>
      <c r="I292" t="s">
        <v>1561</v>
      </c>
      <c r="J292" t="s">
        <v>1562</v>
      </c>
      <c r="O292" t="e" cm="1">
        <f t="array" ref="O292">INDEX(Grant[Country],MATCH(0,INDEX(COUNTIF($O$2:O291,Grant[Country]),),0))</f>
        <v>#N/A</v>
      </c>
      <c r="Y292" s="1035" t="s">
        <v>445</v>
      </c>
      <c r="Z292" s="1035" t="s">
        <v>3254</v>
      </c>
      <c r="AB292" s="1035" t="s">
        <v>1366</v>
      </c>
      <c r="AC292" s="1035" t="s">
        <v>1177</v>
      </c>
      <c r="AO292" t="str">
        <v>National Secretariat to Fight AIDS of Guinea-Bissau</v>
      </c>
      <c r="AU292" s="1035" t="s">
        <v>445</v>
      </c>
      <c r="AV292" s="1035" t="s">
        <v>2004</v>
      </c>
      <c r="AW292" s="1035" t="s">
        <v>367</v>
      </c>
      <c r="AX292" s="1035" t="s">
        <v>3254</v>
      </c>
    </row>
    <row r="293" spans="1:50" x14ac:dyDescent="0.35">
      <c r="A293">
        <v>157</v>
      </c>
      <c r="B293" t="s">
        <v>449</v>
      </c>
      <c r="C293">
        <v>1</v>
      </c>
      <c r="D293" t="s">
        <v>82</v>
      </c>
      <c r="E293">
        <v>3</v>
      </c>
      <c r="F293" t="s">
        <v>37</v>
      </c>
      <c r="G293" t="s">
        <v>829</v>
      </c>
      <c r="H293" t="s">
        <v>814</v>
      </c>
      <c r="I293" t="s">
        <v>1569</v>
      </c>
      <c r="J293" t="s">
        <v>1568</v>
      </c>
      <c r="O293" t="e" cm="1">
        <f t="array" ref="O293">INDEX(Grant[Country],MATCH(0,INDEX(COUNTIF($O$2:O292,Grant[Country]),),0))</f>
        <v>#N/A</v>
      </c>
      <c r="Y293" s="1035" t="s">
        <v>445</v>
      </c>
      <c r="Z293" s="1035" t="s">
        <v>1507</v>
      </c>
      <c r="AB293" s="1035" t="s">
        <v>1369</v>
      </c>
      <c r="AC293" s="1035" t="s">
        <v>1177</v>
      </c>
      <c r="AO293" t="str">
        <v>National TB Control Programme Pakistan</v>
      </c>
      <c r="AU293" s="1035" t="s">
        <v>445</v>
      </c>
      <c r="AV293" s="1035" t="s">
        <v>39</v>
      </c>
      <c r="AW293" s="1035" t="s">
        <v>367</v>
      </c>
      <c r="AX293" s="1035" t="s">
        <v>1507</v>
      </c>
    </row>
    <row r="294" spans="1:50" x14ac:dyDescent="0.35">
      <c r="A294">
        <v>157</v>
      </c>
      <c r="B294" t="s">
        <v>449</v>
      </c>
      <c r="C294">
        <v>1</v>
      </c>
      <c r="D294" t="s">
        <v>82</v>
      </c>
      <c r="E294">
        <v>2</v>
      </c>
      <c r="F294" t="s">
        <v>39</v>
      </c>
      <c r="G294" t="s">
        <v>829</v>
      </c>
      <c r="H294" t="s">
        <v>814</v>
      </c>
      <c r="I294" t="s">
        <v>1571</v>
      </c>
      <c r="J294" t="s">
        <v>1570</v>
      </c>
      <c r="O294" t="e" cm="1">
        <f t="array" ref="O294">INDEX(Grant[Country],MATCH(0,INDEX(COUNTIF($O$2:O293,Grant[Country]),),0))</f>
        <v>#N/A</v>
      </c>
      <c r="Y294" s="1035" t="s">
        <v>446</v>
      </c>
      <c r="Z294" s="1035" t="s">
        <v>1522</v>
      </c>
      <c r="AB294" s="1035" t="s">
        <v>1901</v>
      </c>
      <c r="AC294" s="1035" t="s">
        <v>1606</v>
      </c>
      <c r="AO294" t="str">
        <v>National Treasury of the Republic of Kenya</v>
      </c>
      <c r="AU294" s="1035" t="s">
        <v>446</v>
      </c>
      <c r="AV294" s="1035" t="s">
        <v>36</v>
      </c>
      <c r="AW294" s="1035" t="s">
        <v>82</v>
      </c>
      <c r="AX294" s="1035" t="s">
        <v>1510</v>
      </c>
    </row>
    <row r="295" spans="1:50" x14ac:dyDescent="0.35">
      <c r="A295">
        <v>158</v>
      </c>
      <c r="B295" t="s">
        <v>453</v>
      </c>
      <c r="C295">
        <v>1</v>
      </c>
      <c r="D295" t="s">
        <v>82</v>
      </c>
      <c r="E295">
        <v>1</v>
      </c>
      <c r="F295" t="s">
        <v>36</v>
      </c>
      <c r="G295" t="s">
        <v>1632</v>
      </c>
      <c r="H295" t="s">
        <v>1363</v>
      </c>
      <c r="I295" t="s">
        <v>1633</v>
      </c>
      <c r="J295" t="s">
        <v>1634</v>
      </c>
      <c r="O295" t="e" cm="1">
        <f t="array" ref="O295">INDEX(Grant[Country],MATCH(0,INDEX(COUNTIF($O$2:O294,Grant[Country]),),0))</f>
        <v>#N/A</v>
      </c>
      <c r="Y295" s="1035" t="s">
        <v>446</v>
      </c>
      <c r="Z295" s="1035" t="s">
        <v>1526</v>
      </c>
      <c r="AB295" s="1035" t="s">
        <v>1900</v>
      </c>
      <c r="AC295" s="1035" t="s">
        <v>1606</v>
      </c>
      <c r="AO295" t="str">
        <v>National Treasury of the Republic of Kenya</v>
      </c>
      <c r="AU295" s="1035" t="s">
        <v>446</v>
      </c>
      <c r="AV295" s="1035" t="s">
        <v>36</v>
      </c>
      <c r="AW295" s="1035" t="s">
        <v>82</v>
      </c>
      <c r="AX295" s="1035" t="s">
        <v>1514</v>
      </c>
    </row>
    <row r="296" spans="1:50" x14ac:dyDescent="0.35">
      <c r="A296">
        <v>158</v>
      </c>
      <c r="B296" t="s">
        <v>453</v>
      </c>
      <c r="C296">
        <v>1</v>
      </c>
      <c r="D296" t="s">
        <v>82</v>
      </c>
      <c r="E296">
        <v>1</v>
      </c>
      <c r="F296" t="s">
        <v>36</v>
      </c>
      <c r="G296" t="s">
        <v>1636</v>
      </c>
      <c r="H296" t="s">
        <v>1367</v>
      </c>
      <c r="I296" t="s">
        <v>1637</v>
      </c>
      <c r="J296" t="s">
        <v>1638</v>
      </c>
      <c r="O296" t="e" cm="1">
        <f t="array" ref="O296">INDEX(Grant[Country],MATCH(0,INDEX(COUNTIF($O$2:O295,Grant[Country]),),0))</f>
        <v>#N/A</v>
      </c>
      <c r="Y296" s="1035" t="s">
        <v>446</v>
      </c>
      <c r="Z296" s="1035" t="s">
        <v>1511</v>
      </c>
      <c r="AB296" s="1035" t="s">
        <v>1685</v>
      </c>
      <c r="AC296" s="1035" t="s">
        <v>1411</v>
      </c>
      <c r="AO296" t="str">
        <v>National Treasury of the Republic of Kenya</v>
      </c>
      <c r="AU296" s="1035" t="s">
        <v>446</v>
      </c>
      <c r="AV296" s="1035" t="s">
        <v>37</v>
      </c>
      <c r="AW296" s="1035" t="s">
        <v>82</v>
      </c>
      <c r="AX296" s="1035" t="s">
        <v>1518</v>
      </c>
    </row>
    <row r="297" spans="1:50" x14ac:dyDescent="0.35">
      <c r="A297">
        <v>158</v>
      </c>
      <c r="B297" t="s">
        <v>453</v>
      </c>
      <c r="C297">
        <v>1</v>
      </c>
      <c r="D297" t="s">
        <v>82</v>
      </c>
      <c r="E297">
        <v>1</v>
      </c>
      <c r="F297" t="s">
        <v>36</v>
      </c>
      <c r="G297" t="s">
        <v>3435</v>
      </c>
      <c r="H297" t="s">
        <v>772</v>
      </c>
      <c r="I297" t="s">
        <v>3436</v>
      </c>
      <c r="J297" t="s">
        <v>3437</v>
      </c>
      <c r="O297" t="e" cm="1">
        <f t="array" ref="O297">INDEX(Grant[Country],MATCH(0,INDEX(COUNTIF($O$2:O296,Grant[Country]),),0))</f>
        <v>#N/A</v>
      </c>
      <c r="Y297" s="1035" t="s">
        <v>446</v>
      </c>
      <c r="Z297" s="1035" t="s">
        <v>1516</v>
      </c>
      <c r="AB297" s="1035" t="s">
        <v>1689</v>
      </c>
      <c r="AC297" s="1035" t="s">
        <v>1412</v>
      </c>
      <c r="AO297" t="str">
        <v>National Tuberculosis &amp; Leprosy Control Programme</v>
      </c>
      <c r="AU297" s="1035" t="s">
        <v>446</v>
      </c>
      <c r="AV297" s="1035" t="s">
        <v>37</v>
      </c>
      <c r="AW297" s="1035" t="s">
        <v>82</v>
      </c>
      <c r="AX297" s="1035" t="s">
        <v>1521</v>
      </c>
    </row>
    <row r="298" spans="1:50" x14ac:dyDescent="0.35">
      <c r="A298">
        <v>158</v>
      </c>
      <c r="B298" t="s">
        <v>453</v>
      </c>
      <c r="C298">
        <v>1</v>
      </c>
      <c r="D298" t="s">
        <v>82</v>
      </c>
      <c r="E298">
        <v>3</v>
      </c>
      <c r="F298" t="s">
        <v>37</v>
      </c>
      <c r="G298" t="s">
        <v>1640</v>
      </c>
      <c r="H298" t="s">
        <v>1358</v>
      </c>
      <c r="I298" t="s">
        <v>1641</v>
      </c>
      <c r="J298" t="s">
        <v>1635</v>
      </c>
      <c r="O298" t="e" cm="1">
        <f t="array" ref="O298">INDEX(Grant[Country],MATCH(0,INDEX(COUNTIF($O$2:O297,Grant[Country]),),0))</f>
        <v>#N/A</v>
      </c>
      <c r="Y298" s="1035" t="s">
        <v>446</v>
      </c>
      <c r="Z298" s="1035" t="s">
        <v>1510</v>
      </c>
      <c r="AB298" s="1035" t="s">
        <v>1688</v>
      </c>
      <c r="AC298" s="1035" t="s">
        <v>1412</v>
      </c>
      <c r="AO298" t="str">
        <v>National Tuberculosis Programme of the Republic of Benin</v>
      </c>
      <c r="AU298" s="1035" t="s">
        <v>446</v>
      </c>
      <c r="AV298" s="1035" t="s">
        <v>187</v>
      </c>
      <c r="AW298" s="1035" t="s">
        <v>82</v>
      </c>
      <c r="AX298" s="1035" t="s">
        <v>1511</v>
      </c>
    </row>
    <row r="299" spans="1:50" x14ac:dyDescent="0.35">
      <c r="A299">
        <v>158</v>
      </c>
      <c r="B299" t="s">
        <v>453</v>
      </c>
      <c r="C299">
        <v>1</v>
      </c>
      <c r="D299" t="s">
        <v>82</v>
      </c>
      <c r="E299">
        <v>3</v>
      </c>
      <c r="F299" t="s">
        <v>37</v>
      </c>
      <c r="G299" t="s">
        <v>1642</v>
      </c>
      <c r="H299" t="s">
        <v>3438</v>
      </c>
      <c r="I299" t="s">
        <v>1643</v>
      </c>
      <c r="J299" t="s">
        <v>1644</v>
      </c>
      <c r="O299" t="e" cm="1">
        <f t="array" ref="O299">INDEX(Grant[Country],MATCH(0,INDEX(COUNTIF($O$2:O298,Grant[Country]),),0))</f>
        <v>#N/A</v>
      </c>
      <c r="Y299" s="1035" t="s">
        <v>446</v>
      </c>
      <c r="Z299" s="1035" t="s">
        <v>1514</v>
      </c>
      <c r="AB299" s="1035" t="s">
        <v>1691</v>
      </c>
      <c r="AC299" s="1035" t="s">
        <v>1412</v>
      </c>
      <c r="AO299" t="str">
        <v>National Tuberculosis Programme of the Republic of Benin</v>
      </c>
      <c r="AU299" s="1035" t="s">
        <v>446</v>
      </c>
      <c r="AV299" s="1035" t="s">
        <v>187</v>
      </c>
      <c r="AW299" s="1035" t="s">
        <v>82</v>
      </c>
      <c r="AX299" s="1035" t="s">
        <v>1516</v>
      </c>
    </row>
    <row r="300" spans="1:50" x14ac:dyDescent="0.35">
      <c r="A300">
        <v>158</v>
      </c>
      <c r="B300" t="s">
        <v>453</v>
      </c>
      <c r="C300">
        <v>1</v>
      </c>
      <c r="D300" t="s">
        <v>82</v>
      </c>
      <c r="E300">
        <v>2</v>
      </c>
      <c r="F300" t="s">
        <v>39</v>
      </c>
      <c r="G300" t="s">
        <v>1645</v>
      </c>
      <c r="H300" t="s">
        <v>1362</v>
      </c>
      <c r="I300" t="s">
        <v>1646</v>
      </c>
      <c r="J300" t="s">
        <v>1639</v>
      </c>
      <c r="O300" t="e" cm="1">
        <f t="array" ref="O300">INDEX(Grant[Country],MATCH(0,INDEX(COUNTIF($O$2:O299,Grant[Country]),),0))</f>
        <v>#N/A</v>
      </c>
      <c r="Y300" s="1035" t="s">
        <v>446</v>
      </c>
      <c r="Z300" s="1035" t="s">
        <v>1518</v>
      </c>
      <c r="AB300" s="1035" t="s">
        <v>1694</v>
      </c>
      <c r="AC300" s="1035" t="s">
        <v>1412</v>
      </c>
      <c r="AO300" t="str">
        <v>National Union of Diocesan Associations (UNAD)</v>
      </c>
      <c r="AU300" s="1035" t="s">
        <v>446</v>
      </c>
      <c r="AV300" s="1035" t="s">
        <v>2004</v>
      </c>
      <c r="AW300" s="1035" t="s">
        <v>82</v>
      </c>
      <c r="AX300" s="1035" t="s">
        <v>1526</v>
      </c>
    </row>
    <row r="301" spans="1:50" x14ac:dyDescent="0.35">
      <c r="A301">
        <v>158</v>
      </c>
      <c r="B301" t="s">
        <v>453</v>
      </c>
      <c r="C301">
        <v>1</v>
      </c>
      <c r="D301" t="s">
        <v>82</v>
      </c>
      <c r="E301">
        <v>2</v>
      </c>
      <c r="F301" t="s">
        <v>39</v>
      </c>
      <c r="G301" t="s">
        <v>1648</v>
      </c>
      <c r="H301" t="s">
        <v>1370</v>
      </c>
      <c r="I301" t="s">
        <v>1649</v>
      </c>
      <c r="J301" t="s">
        <v>1647</v>
      </c>
      <c r="O301" t="e" cm="1">
        <f t="array" ref="O301">INDEX(Grant[Country],MATCH(0,INDEX(COUNTIF($O$2:O300,Grant[Country]),),0))</f>
        <v>#N/A</v>
      </c>
      <c r="Y301" s="1035" t="s">
        <v>446</v>
      </c>
      <c r="Z301" s="1035" t="s">
        <v>1521</v>
      </c>
      <c r="AB301" s="1035" t="s">
        <v>1771</v>
      </c>
      <c r="AC301" s="1035" t="s">
        <v>772</v>
      </c>
      <c r="AO301" t="str">
        <v>Networking HIV, AIDS Community of South Africa NPC</v>
      </c>
      <c r="AU301" s="1035" t="s">
        <v>446</v>
      </c>
      <c r="AV301" s="1035" t="s">
        <v>39</v>
      </c>
      <c r="AW301" s="1035" t="s">
        <v>82</v>
      </c>
      <c r="AX301" s="1035" t="s">
        <v>1522</v>
      </c>
    </row>
    <row r="302" spans="1:50" x14ac:dyDescent="0.35">
      <c r="A302">
        <v>158</v>
      </c>
      <c r="B302" t="s">
        <v>453</v>
      </c>
      <c r="C302">
        <v>1</v>
      </c>
      <c r="D302" t="s">
        <v>82</v>
      </c>
      <c r="E302">
        <v>2</v>
      </c>
      <c r="F302" t="s">
        <v>39</v>
      </c>
      <c r="G302" t="s">
        <v>1642</v>
      </c>
      <c r="H302" t="s">
        <v>3438</v>
      </c>
      <c r="I302" t="s">
        <v>1650</v>
      </c>
      <c r="J302" t="s">
        <v>1651</v>
      </c>
      <c r="O302" t="e" cm="1">
        <f t="array" ref="O302">INDEX(Grant[Country],MATCH(0,INDEX(COUNTIF($O$2:O301,Grant[Country]),),0))</f>
        <v>#N/A</v>
      </c>
      <c r="Y302" s="1035" t="s">
        <v>446</v>
      </c>
      <c r="Z302" s="1035" t="s">
        <v>1532</v>
      </c>
      <c r="AB302" s="1035" t="s">
        <v>1772</v>
      </c>
      <c r="AC302" s="1035" t="s">
        <v>1492</v>
      </c>
      <c r="AO302" t="str">
        <v>Office National de la Famille et de la Population de la République de Tunisie</v>
      </c>
      <c r="AU302" s="1035" t="s">
        <v>446</v>
      </c>
      <c r="AV302" s="1035" t="s">
        <v>39</v>
      </c>
      <c r="AW302" s="1035" t="s">
        <v>82</v>
      </c>
      <c r="AX302" s="1035" t="s">
        <v>1532</v>
      </c>
    </row>
    <row r="303" spans="1:50" x14ac:dyDescent="0.35">
      <c r="A303">
        <v>87</v>
      </c>
      <c r="B303" t="s">
        <v>455</v>
      </c>
      <c r="C303">
        <v>1</v>
      </c>
      <c r="D303" t="s">
        <v>82</v>
      </c>
      <c r="E303">
        <v>4</v>
      </c>
      <c r="F303" t="s">
        <v>187</v>
      </c>
      <c r="G303" t="s">
        <v>1652</v>
      </c>
      <c r="H303" t="s">
        <v>772</v>
      </c>
      <c r="I303" t="s">
        <v>1653</v>
      </c>
      <c r="J303" t="s">
        <v>1654</v>
      </c>
      <c r="O303" t="e" cm="1">
        <f t="array" ref="O303">INDEX(Grant[Country],MATCH(0,INDEX(COUNTIF($O$2:O302,Grant[Country]),),0))</f>
        <v>#N/A</v>
      </c>
      <c r="Y303" s="1035" t="s">
        <v>447</v>
      </c>
      <c r="Z303" s="1035" t="s">
        <v>1536</v>
      </c>
      <c r="AB303" s="1035" t="s">
        <v>3267</v>
      </c>
      <c r="AC303" s="1035" t="s">
        <v>772</v>
      </c>
      <c r="AO303" t="str">
        <v>Office National de la Famille et de la Population de la République de Tunisie</v>
      </c>
      <c r="AU303" s="1035" t="s">
        <v>447</v>
      </c>
      <c r="AV303" s="1035" t="s">
        <v>36</v>
      </c>
      <c r="AW303" s="1035" t="s">
        <v>82</v>
      </c>
      <c r="AX303" s="1035" t="s">
        <v>1536</v>
      </c>
    </row>
    <row r="304" spans="1:50" x14ac:dyDescent="0.35">
      <c r="A304">
        <v>102</v>
      </c>
      <c r="B304" t="s">
        <v>458</v>
      </c>
      <c r="C304">
        <v>1</v>
      </c>
      <c r="D304" t="s">
        <v>82</v>
      </c>
      <c r="E304">
        <v>4</v>
      </c>
      <c r="F304" t="s">
        <v>187</v>
      </c>
      <c r="G304" t="s">
        <v>1670</v>
      </c>
      <c r="H304" t="s">
        <v>1397</v>
      </c>
      <c r="I304" t="s">
        <v>3439</v>
      </c>
      <c r="J304" t="s">
        <v>3440</v>
      </c>
      <c r="O304" t="e" cm="1">
        <f t="array" ref="O304">INDEX(Grant[Country],MATCH(0,INDEX(COUNTIF($O$2:O303,Grant[Country]),),0))</f>
        <v>#N/A</v>
      </c>
      <c r="Y304" s="1035" t="s">
        <v>447</v>
      </c>
      <c r="Z304" s="1035" t="s">
        <v>1539</v>
      </c>
      <c r="AB304" s="1035" t="s">
        <v>1775</v>
      </c>
      <c r="AC304" s="1035" t="s">
        <v>1492</v>
      </c>
      <c r="AO304" t="str">
        <v>Office National de Nutrition</v>
      </c>
      <c r="AU304" s="1035" t="s">
        <v>447</v>
      </c>
      <c r="AV304" s="1035" t="s">
        <v>36</v>
      </c>
      <c r="AW304" s="1035" t="s">
        <v>82</v>
      </c>
      <c r="AX304" s="1035" t="s">
        <v>1539</v>
      </c>
    </row>
    <row r="305" spans="1:50" x14ac:dyDescent="0.35">
      <c r="A305">
        <v>102</v>
      </c>
      <c r="B305" t="s">
        <v>458</v>
      </c>
      <c r="C305">
        <v>1</v>
      </c>
      <c r="D305" t="s">
        <v>82</v>
      </c>
      <c r="E305">
        <v>1</v>
      </c>
      <c r="F305" t="s">
        <v>36</v>
      </c>
      <c r="G305" t="s">
        <v>1667</v>
      </c>
      <c r="H305" t="s">
        <v>1390</v>
      </c>
      <c r="I305" t="s">
        <v>1668</v>
      </c>
      <c r="J305" t="s">
        <v>1669</v>
      </c>
      <c r="O305" t="e" cm="1">
        <f t="array" ref="O305">INDEX(Grant[Country],MATCH(0,INDEX(COUNTIF($O$2:O304,Grant[Country]),),0))</f>
        <v>#N/A</v>
      </c>
      <c r="Y305" s="1035" t="s">
        <v>447</v>
      </c>
      <c r="Z305" s="1035" t="s">
        <v>1540</v>
      </c>
      <c r="AB305" s="1035" t="s">
        <v>1780</v>
      </c>
      <c r="AC305" s="1035" t="s">
        <v>772</v>
      </c>
      <c r="AO305" t="str">
        <v>Organisation of Eastern Caribbean States</v>
      </c>
      <c r="AU305" s="1035" t="s">
        <v>447</v>
      </c>
      <c r="AV305" s="1035" t="s">
        <v>39</v>
      </c>
      <c r="AW305" s="1035" t="s">
        <v>82</v>
      </c>
      <c r="AX305" s="1035" t="s">
        <v>1540</v>
      </c>
    </row>
    <row r="306" spans="1:50" x14ac:dyDescent="0.35">
      <c r="A306">
        <v>102</v>
      </c>
      <c r="B306" t="s">
        <v>458</v>
      </c>
      <c r="C306">
        <v>1</v>
      </c>
      <c r="D306" t="s">
        <v>82</v>
      </c>
      <c r="E306">
        <v>1</v>
      </c>
      <c r="F306" t="s">
        <v>36</v>
      </c>
      <c r="G306" t="s">
        <v>3257</v>
      </c>
      <c r="H306" t="s">
        <v>3258</v>
      </c>
      <c r="I306" t="s">
        <v>3259</v>
      </c>
      <c r="J306" t="s">
        <v>3260</v>
      </c>
      <c r="O306" t="e" cm="1">
        <f t="array" ref="O306">INDEX(Grant[Country],MATCH(0,INDEX(COUNTIF($O$2:O305,Grant[Country]),),0))</f>
        <v>#N/A</v>
      </c>
      <c r="Y306" s="1035" t="s">
        <v>447</v>
      </c>
      <c r="Z306" s="1035" t="s">
        <v>1544</v>
      </c>
      <c r="AB306" s="1035" t="s">
        <v>1700</v>
      </c>
      <c r="AC306" s="1035" t="s">
        <v>1431</v>
      </c>
      <c r="AO306" t="str">
        <v>Organismo Andino de Salud - Convenio Hipólito Unanue</v>
      </c>
      <c r="AU306" s="1035" t="s">
        <v>447</v>
      </c>
      <c r="AV306" s="1035" t="s">
        <v>39</v>
      </c>
      <c r="AW306" s="1035" t="s">
        <v>82</v>
      </c>
      <c r="AX306" s="1035" t="s">
        <v>1544</v>
      </c>
    </row>
    <row r="307" spans="1:50" x14ac:dyDescent="0.35">
      <c r="A307">
        <v>102</v>
      </c>
      <c r="B307" t="s">
        <v>458</v>
      </c>
      <c r="C307">
        <v>1</v>
      </c>
      <c r="D307" t="s">
        <v>82</v>
      </c>
      <c r="E307">
        <v>2</v>
      </c>
      <c r="F307" t="s">
        <v>39</v>
      </c>
      <c r="G307" t="s">
        <v>1670</v>
      </c>
      <c r="H307" t="s">
        <v>1397</v>
      </c>
      <c r="I307" t="s">
        <v>1671</v>
      </c>
      <c r="J307" t="s">
        <v>1672</v>
      </c>
      <c r="O307" t="e" cm="1">
        <f t="array" ref="O307">INDEX(Grant[Country],MATCH(0,INDEX(COUNTIF($O$2:O306,Grant[Country]),),0))</f>
        <v>#N/A</v>
      </c>
      <c r="Y307" s="1035" t="s">
        <v>448</v>
      </c>
      <c r="Z307" s="1035" t="s">
        <v>1549</v>
      </c>
      <c r="AB307" s="1035" t="s">
        <v>1703</v>
      </c>
      <c r="AC307" s="1035" t="s">
        <v>1436</v>
      </c>
      <c r="AO307" t="str">
        <v>Pact, Inc.</v>
      </c>
      <c r="AU307" s="1035" t="s">
        <v>448</v>
      </c>
      <c r="AV307" s="1035" t="s">
        <v>36</v>
      </c>
      <c r="AW307" s="1035" t="s">
        <v>82</v>
      </c>
      <c r="AX307" s="1035" t="s">
        <v>1548</v>
      </c>
    </row>
    <row r="308" spans="1:50" x14ac:dyDescent="0.35">
      <c r="A308">
        <v>146</v>
      </c>
      <c r="B308" t="s">
        <v>459</v>
      </c>
      <c r="C308">
        <v>1</v>
      </c>
      <c r="D308" t="s">
        <v>82</v>
      </c>
      <c r="E308">
        <v>1</v>
      </c>
      <c r="F308" t="s">
        <v>36</v>
      </c>
      <c r="G308" t="s">
        <v>1673</v>
      </c>
      <c r="H308" t="s">
        <v>1402</v>
      </c>
      <c r="I308" t="s">
        <v>1674</v>
      </c>
      <c r="J308" t="s">
        <v>1675</v>
      </c>
      <c r="O308" t="e" cm="1">
        <f t="array" ref="O308">INDEX(Grant[Country],MATCH(0,INDEX(COUNTIF($O$2:O307,Grant[Country]),),0))</f>
        <v>#N/A</v>
      </c>
      <c r="Y308" s="1035" t="s">
        <v>448</v>
      </c>
      <c r="Z308" s="1035" t="s">
        <v>1557</v>
      </c>
      <c r="AB308" s="1035" t="s">
        <v>1707</v>
      </c>
      <c r="AC308" s="1035" t="s">
        <v>1441</v>
      </c>
      <c r="AO308" t="str">
        <v>Partners In Health</v>
      </c>
      <c r="AU308" s="1035" t="s">
        <v>448</v>
      </c>
      <c r="AV308" s="1035" t="s">
        <v>37</v>
      </c>
      <c r="AW308" s="1035" t="s">
        <v>82</v>
      </c>
      <c r="AX308" s="1035" t="s">
        <v>1552</v>
      </c>
    </row>
    <row r="309" spans="1:50" x14ac:dyDescent="0.35">
      <c r="A309">
        <v>146</v>
      </c>
      <c r="B309" t="s">
        <v>459</v>
      </c>
      <c r="C309">
        <v>1</v>
      </c>
      <c r="D309" t="s">
        <v>82</v>
      </c>
      <c r="E309">
        <v>1</v>
      </c>
      <c r="F309" t="s">
        <v>36</v>
      </c>
      <c r="G309" t="s">
        <v>829</v>
      </c>
      <c r="H309" t="s">
        <v>814</v>
      </c>
      <c r="I309" t="s">
        <v>1677</v>
      </c>
      <c r="J309" t="s">
        <v>1678</v>
      </c>
      <c r="O309" t="e" cm="1">
        <f t="array" ref="O309">INDEX(Grant[Country],MATCH(0,INDEX(COUNTIF($O$2:O308,Grant[Country]),),0))</f>
        <v>#N/A</v>
      </c>
      <c r="Y309" s="1035" t="s">
        <v>448</v>
      </c>
      <c r="Z309" s="1035" t="s">
        <v>1552</v>
      </c>
      <c r="AB309" s="1035" t="s">
        <v>1710</v>
      </c>
      <c r="AC309" s="1035" t="s">
        <v>1441</v>
      </c>
      <c r="AO309" t="str">
        <v>Pathfinder International</v>
      </c>
      <c r="AU309" s="1035" t="s">
        <v>448</v>
      </c>
      <c r="AV309" s="1035" t="s">
        <v>187</v>
      </c>
      <c r="AW309" s="1035" t="s">
        <v>82</v>
      </c>
      <c r="AX309" s="1035" t="s">
        <v>1549</v>
      </c>
    </row>
    <row r="310" spans="1:50" x14ac:dyDescent="0.35">
      <c r="A310">
        <v>146</v>
      </c>
      <c r="B310" t="s">
        <v>459</v>
      </c>
      <c r="C310">
        <v>1</v>
      </c>
      <c r="D310" t="s">
        <v>82</v>
      </c>
      <c r="E310">
        <v>3</v>
      </c>
      <c r="F310" t="s">
        <v>37</v>
      </c>
      <c r="G310" t="s">
        <v>1673</v>
      </c>
      <c r="H310" t="s">
        <v>1402</v>
      </c>
      <c r="I310" t="s">
        <v>1679</v>
      </c>
      <c r="J310" t="s">
        <v>1680</v>
      </c>
      <c r="O310" t="e" cm="1">
        <f t="array" ref="O310">INDEX(Grant[Country],MATCH(0,INDEX(COUNTIF($O$2:O309,Grant[Country]),),0))</f>
        <v>#N/A</v>
      </c>
      <c r="Y310" s="1035" t="s">
        <v>448</v>
      </c>
      <c r="Z310" s="1035" t="s">
        <v>1554</v>
      </c>
      <c r="AB310" s="1035" t="s">
        <v>1712</v>
      </c>
      <c r="AC310" s="1035" t="s">
        <v>1441</v>
      </c>
      <c r="AO310" t="str">
        <v>Persatuan Karya Dharma Kesehatan Indonesia (also known as “PERDHAKI”, Association of Voluntary Health Services of Indonesia)</v>
      </c>
      <c r="AU310" s="1035" t="s">
        <v>448</v>
      </c>
      <c r="AV310" s="1035" t="s">
        <v>187</v>
      </c>
      <c r="AW310" s="1035" t="s">
        <v>82</v>
      </c>
      <c r="AX310" s="1035" t="s">
        <v>1557</v>
      </c>
    </row>
    <row r="311" spans="1:50" x14ac:dyDescent="0.35">
      <c r="A311">
        <v>146</v>
      </c>
      <c r="B311" t="s">
        <v>459</v>
      </c>
      <c r="C311">
        <v>1</v>
      </c>
      <c r="D311" t="s">
        <v>82</v>
      </c>
      <c r="E311">
        <v>2</v>
      </c>
      <c r="F311" t="s">
        <v>39</v>
      </c>
      <c r="G311" t="s">
        <v>1681</v>
      </c>
      <c r="H311" t="s">
        <v>1398</v>
      </c>
      <c r="I311" t="s">
        <v>1682</v>
      </c>
      <c r="J311" t="s">
        <v>1676</v>
      </c>
      <c r="O311" t="e" cm="1">
        <f t="array" ref="O311">INDEX(Grant[Country],MATCH(0,INDEX(COUNTIF($O$2:O310,Grant[Country]),),0))</f>
        <v>#N/A</v>
      </c>
      <c r="Y311" s="1035" t="s">
        <v>448</v>
      </c>
      <c r="Z311" s="1035" t="s">
        <v>1548</v>
      </c>
      <c r="AB311" s="1035" t="s">
        <v>1731</v>
      </c>
      <c r="AC311" s="1035" t="s">
        <v>1465</v>
      </c>
      <c r="AO311" t="str">
        <v>Philippine Business for Social Progress, Inc.</v>
      </c>
      <c r="AU311" s="1035" t="s">
        <v>448</v>
      </c>
      <c r="AV311" s="1035" t="s">
        <v>187</v>
      </c>
      <c r="AW311" s="1035" t="s">
        <v>82</v>
      </c>
      <c r="AX311" s="1035" t="s">
        <v>1554</v>
      </c>
    </row>
    <row r="312" spans="1:50" x14ac:dyDescent="0.35">
      <c r="A312">
        <v>226</v>
      </c>
      <c r="B312" t="s">
        <v>456</v>
      </c>
      <c r="C312">
        <v>1</v>
      </c>
      <c r="D312" t="s">
        <v>82</v>
      </c>
      <c r="E312">
        <v>4</v>
      </c>
      <c r="F312" t="s">
        <v>187</v>
      </c>
      <c r="G312" t="s">
        <v>1658</v>
      </c>
      <c r="H312" t="s">
        <v>1384</v>
      </c>
      <c r="I312" t="s">
        <v>1659</v>
      </c>
      <c r="J312" t="s">
        <v>1660</v>
      </c>
      <c r="O312" t="e" cm="1">
        <f t="array" ref="O312">INDEX(Grant[Country],MATCH(0,INDEX(COUNTIF($O$2:O311,Grant[Country]),),0))</f>
        <v>#N/A</v>
      </c>
      <c r="Y312" s="1035" t="s">
        <v>449</v>
      </c>
      <c r="Z312" s="1035" t="s">
        <v>1566</v>
      </c>
      <c r="AB312" s="1035" t="s">
        <v>1730</v>
      </c>
      <c r="AC312" s="1035" t="s">
        <v>1465</v>
      </c>
      <c r="AO312" t="str">
        <v>Pilipinas Shell Foundation, Inc.</v>
      </c>
      <c r="AU312" s="1035" t="s">
        <v>449</v>
      </c>
      <c r="AV312" s="1035" t="s">
        <v>36</v>
      </c>
      <c r="AW312" s="1035" t="s">
        <v>82</v>
      </c>
      <c r="AX312" s="1035" t="s">
        <v>1566</v>
      </c>
    </row>
    <row r="313" spans="1:50" x14ac:dyDescent="0.35">
      <c r="A313">
        <v>226</v>
      </c>
      <c r="B313" t="s">
        <v>456</v>
      </c>
      <c r="C313">
        <v>1</v>
      </c>
      <c r="D313" t="s">
        <v>82</v>
      </c>
      <c r="E313">
        <v>3</v>
      </c>
      <c r="F313" t="s">
        <v>37</v>
      </c>
      <c r="G313" t="s">
        <v>1655</v>
      </c>
      <c r="H313" t="s">
        <v>1381</v>
      </c>
      <c r="I313" t="s">
        <v>1656</v>
      </c>
      <c r="J313" t="s">
        <v>1657</v>
      </c>
      <c r="O313" t="e" cm="1">
        <f t="array" ref="O313">INDEX(Grant[Country],MATCH(0,INDEX(COUNTIF($O$2:O312,Grant[Country]),),0))</f>
        <v>#N/A</v>
      </c>
      <c r="Y313" s="1035" t="s">
        <v>449</v>
      </c>
      <c r="Z313" s="1035" t="s">
        <v>1562</v>
      </c>
      <c r="AB313" s="1035" t="s">
        <v>1734</v>
      </c>
      <c r="AC313" s="1035" t="s">
        <v>1465</v>
      </c>
      <c r="AO313" t="str">
        <v>Pilipinas Shell Foundation, Inc.</v>
      </c>
      <c r="AU313" s="1035" t="s">
        <v>449</v>
      </c>
      <c r="AV313" s="1035" t="s">
        <v>36</v>
      </c>
      <c r="AW313" s="1035" t="s">
        <v>82</v>
      </c>
      <c r="AX313" s="1035" t="s">
        <v>1562</v>
      </c>
    </row>
    <row r="314" spans="1:50" x14ac:dyDescent="0.35">
      <c r="A314">
        <v>136</v>
      </c>
      <c r="B314" t="s">
        <v>428</v>
      </c>
      <c r="C314">
        <v>1</v>
      </c>
      <c r="D314" t="s">
        <v>82</v>
      </c>
      <c r="E314">
        <v>5</v>
      </c>
      <c r="F314" t="s">
        <v>187</v>
      </c>
      <c r="G314" t="s">
        <v>1359</v>
      </c>
      <c r="H314" t="s">
        <v>1173</v>
      </c>
      <c r="I314" t="s">
        <v>1360</v>
      </c>
      <c r="J314" t="s">
        <v>1361</v>
      </c>
      <c r="O314" t="e" cm="1">
        <f t="array" ref="O314">INDEX(Grant[Country],MATCH(0,INDEX(COUNTIF($O$2:O313,Grant[Country]),),0))</f>
        <v>#N/A</v>
      </c>
      <c r="Y314" s="1035" t="s">
        <v>449</v>
      </c>
      <c r="Z314" s="1035" t="s">
        <v>1568</v>
      </c>
      <c r="AB314" s="1035" t="s">
        <v>1719</v>
      </c>
      <c r="AC314" s="1035" t="s">
        <v>1454</v>
      </c>
      <c r="AO314" t="str">
        <v>Plan International (India Chapter)</v>
      </c>
      <c r="AU314" s="1035" t="s">
        <v>449</v>
      </c>
      <c r="AV314" s="1035" t="s">
        <v>37</v>
      </c>
      <c r="AW314" s="1035" t="s">
        <v>82</v>
      </c>
      <c r="AX314" s="1035" t="s">
        <v>1568</v>
      </c>
    </row>
    <row r="315" spans="1:50" x14ac:dyDescent="0.35">
      <c r="A315">
        <v>101</v>
      </c>
      <c r="B315" t="s">
        <v>457</v>
      </c>
      <c r="C315">
        <v>1</v>
      </c>
      <c r="D315" t="s">
        <v>82</v>
      </c>
      <c r="E315">
        <v>1</v>
      </c>
      <c r="F315" t="s">
        <v>36</v>
      </c>
      <c r="G315" t="s">
        <v>1661</v>
      </c>
      <c r="H315" t="s">
        <v>1386</v>
      </c>
      <c r="I315" t="s">
        <v>1662</v>
      </c>
      <c r="J315" t="s">
        <v>1663</v>
      </c>
      <c r="O315" t="e" cm="1">
        <f t="array" ref="O315">INDEX(Grant[Country],MATCH(0,INDEX(COUNTIF($O$2:O314,Grant[Country]),),0))</f>
        <v>#N/A</v>
      </c>
      <c r="Y315" s="1035" t="s">
        <v>449</v>
      </c>
      <c r="Z315" s="1035" t="s">
        <v>1570</v>
      </c>
      <c r="AB315" s="1035" t="s">
        <v>1720</v>
      </c>
      <c r="AC315" s="1035" t="s">
        <v>1039</v>
      </c>
      <c r="AO315" t="str">
        <v>Plan International (India Chapter)</v>
      </c>
      <c r="AU315" s="1035" t="s">
        <v>449</v>
      </c>
      <c r="AV315" s="1035" t="s">
        <v>39</v>
      </c>
      <c r="AW315" s="1035" t="s">
        <v>82</v>
      </c>
      <c r="AX315" s="1035" t="s">
        <v>1570</v>
      </c>
    </row>
    <row r="316" spans="1:50" x14ac:dyDescent="0.35">
      <c r="A316">
        <v>101</v>
      </c>
      <c r="B316" t="s">
        <v>457</v>
      </c>
      <c r="C316">
        <v>1</v>
      </c>
      <c r="D316" t="s">
        <v>82</v>
      </c>
      <c r="E316">
        <v>2</v>
      </c>
      <c r="F316" t="s">
        <v>39</v>
      </c>
      <c r="G316" t="s">
        <v>1665</v>
      </c>
      <c r="H316" t="s">
        <v>1385</v>
      </c>
      <c r="I316" t="s">
        <v>1666</v>
      </c>
      <c r="J316" t="s">
        <v>1664</v>
      </c>
      <c r="O316" t="e" cm="1">
        <f t="array" ref="O316">INDEX(Grant[Country],MATCH(0,INDEX(COUNTIF($O$2:O315,Grant[Country]),),0))</f>
        <v>#N/A</v>
      </c>
      <c r="Y316" s="1035" t="s">
        <v>450</v>
      </c>
      <c r="Z316" s="1035" t="s">
        <v>1576</v>
      </c>
      <c r="AB316" s="1035" t="s">
        <v>1723</v>
      </c>
      <c r="AC316" s="1035" t="s">
        <v>1452</v>
      </c>
      <c r="AO316" t="str">
        <v>Plan International El Salvador</v>
      </c>
      <c r="AU316" s="1035" t="s">
        <v>450</v>
      </c>
      <c r="AV316" s="1035" t="s">
        <v>36</v>
      </c>
      <c r="AW316" s="1035" t="s">
        <v>82</v>
      </c>
      <c r="AX316" s="1035" t="s">
        <v>1576</v>
      </c>
    </row>
    <row r="317" spans="1:50" x14ac:dyDescent="0.35">
      <c r="A317">
        <v>291</v>
      </c>
      <c r="B317" t="s">
        <v>3580</v>
      </c>
      <c r="C317">
        <v>1</v>
      </c>
      <c r="D317" t="s">
        <v>82</v>
      </c>
      <c r="E317">
        <v>4</v>
      </c>
      <c r="F317" t="s">
        <v>187</v>
      </c>
      <c r="G317" t="s">
        <v>1858</v>
      </c>
      <c r="H317" t="s">
        <v>1563</v>
      </c>
      <c r="I317" t="s">
        <v>3441</v>
      </c>
      <c r="J317" t="s">
        <v>3442</v>
      </c>
      <c r="O317" t="e" cm="1">
        <f t="array" ref="O317">INDEX(Grant[Country],MATCH(0,INDEX(COUNTIF($O$2:O316,Grant[Country]),),0))</f>
        <v>#N/A</v>
      </c>
      <c r="Y317" s="1035" t="s">
        <v>450</v>
      </c>
      <c r="Z317" s="1035" t="s">
        <v>1577</v>
      </c>
      <c r="AB317" s="1035" t="s">
        <v>1726</v>
      </c>
      <c r="AC317" s="1035" t="s">
        <v>1452</v>
      </c>
      <c r="AO317" t="str">
        <v>Plan International, Inc.</v>
      </c>
      <c r="AU317" s="1035" t="s">
        <v>450</v>
      </c>
      <c r="AV317" s="1035" t="s">
        <v>37</v>
      </c>
      <c r="AW317" s="1035" t="s">
        <v>82</v>
      </c>
      <c r="AX317" s="1035" t="s">
        <v>1577</v>
      </c>
    </row>
    <row r="318" spans="1:50" x14ac:dyDescent="0.35">
      <c r="A318">
        <v>291</v>
      </c>
      <c r="B318" t="s">
        <v>3580</v>
      </c>
      <c r="C318">
        <v>1</v>
      </c>
      <c r="D318" t="s">
        <v>82</v>
      </c>
      <c r="E318">
        <v>1</v>
      </c>
      <c r="F318" t="s">
        <v>36</v>
      </c>
      <c r="G318" t="s">
        <v>3443</v>
      </c>
      <c r="H318" t="s">
        <v>3444</v>
      </c>
      <c r="I318" t="s">
        <v>3445</v>
      </c>
      <c r="J318" t="s">
        <v>3446</v>
      </c>
      <c r="O318" t="e" cm="1">
        <f t="array" ref="O318">INDEX(Grant[Country],MATCH(0,INDEX(COUNTIF($O$2:O317,Grant[Country]),),0))</f>
        <v>#N/A</v>
      </c>
      <c r="Y318" s="1035" t="s">
        <v>450</v>
      </c>
      <c r="Z318" s="1035" t="s">
        <v>1581</v>
      </c>
      <c r="AB318" s="1035" t="s">
        <v>1109</v>
      </c>
      <c r="AC318" s="1035" t="s">
        <v>994</v>
      </c>
      <c r="AO318" t="str">
        <v>Plan International, Inc.</v>
      </c>
      <c r="AU318" s="1035" t="s">
        <v>450</v>
      </c>
      <c r="AV318" s="1035" t="s">
        <v>187</v>
      </c>
      <c r="AW318" s="1035" t="s">
        <v>82</v>
      </c>
      <c r="AX318" s="1035" t="s">
        <v>3434</v>
      </c>
    </row>
    <row r="319" spans="1:50" x14ac:dyDescent="0.35">
      <c r="A319">
        <v>291</v>
      </c>
      <c r="B319" t="s">
        <v>3580</v>
      </c>
      <c r="C319">
        <v>1</v>
      </c>
      <c r="D319" t="s">
        <v>82</v>
      </c>
      <c r="E319">
        <v>1</v>
      </c>
      <c r="F319" t="s">
        <v>36</v>
      </c>
      <c r="G319" t="s">
        <v>1858</v>
      </c>
      <c r="H319" t="s">
        <v>1563</v>
      </c>
      <c r="I319" t="s">
        <v>3447</v>
      </c>
      <c r="J319" t="s">
        <v>3448</v>
      </c>
      <c r="O319" t="e" cm="1">
        <f t="array" ref="O319">INDEX(Grant[Country],MATCH(0,INDEX(COUNTIF($O$2:O318,Grant[Country]),),0))</f>
        <v>#N/A</v>
      </c>
      <c r="Y319" s="1035" t="s">
        <v>450</v>
      </c>
      <c r="Z319" s="1035" t="s">
        <v>3434</v>
      </c>
      <c r="AB319" s="1035" t="s">
        <v>1113</v>
      </c>
      <c r="AC319" s="1035" t="s">
        <v>994</v>
      </c>
      <c r="AO319" t="str">
        <v>Plan International, Inc.</v>
      </c>
      <c r="AU319" s="1035" t="s">
        <v>450</v>
      </c>
      <c r="AV319" s="1035" t="s">
        <v>39</v>
      </c>
      <c r="AW319" s="1035" t="s">
        <v>82</v>
      </c>
      <c r="AX319" s="1035" t="s">
        <v>1581</v>
      </c>
    </row>
    <row r="320" spans="1:50" x14ac:dyDescent="0.35">
      <c r="A320">
        <v>291</v>
      </c>
      <c r="B320" t="s">
        <v>3580</v>
      </c>
      <c r="C320">
        <v>1</v>
      </c>
      <c r="D320" t="s">
        <v>82</v>
      </c>
      <c r="E320">
        <v>1</v>
      </c>
      <c r="F320" t="s">
        <v>36</v>
      </c>
      <c r="G320" t="s">
        <v>3449</v>
      </c>
      <c r="H320" t="s">
        <v>3450</v>
      </c>
      <c r="I320" t="s">
        <v>3451</v>
      </c>
      <c r="J320" t="s">
        <v>3452</v>
      </c>
      <c r="K320" t="s">
        <v>600</v>
      </c>
      <c r="L320" t="s">
        <v>2703</v>
      </c>
      <c r="O320" t="e" cm="1">
        <f t="array" ref="O320">INDEX(Grant[Country],MATCH(0,INDEX(COUNTIF($O$2:O319,Grant[Country]),),0))</f>
        <v>#N/A</v>
      </c>
      <c r="Y320" s="1035" t="s">
        <v>451</v>
      </c>
      <c r="Z320" s="1035" t="s">
        <v>1585</v>
      </c>
      <c r="AB320" s="1035" t="s">
        <v>1706</v>
      </c>
      <c r="AC320" s="1035" t="s">
        <v>1444</v>
      </c>
      <c r="AO320" t="str">
        <v>Plan International, Inc.</v>
      </c>
      <c r="AU320" s="1035" t="s">
        <v>451</v>
      </c>
      <c r="AV320" s="1035" t="s">
        <v>36</v>
      </c>
      <c r="AW320" s="1035" t="s">
        <v>367</v>
      </c>
      <c r="AX320" s="1035" t="s">
        <v>1585</v>
      </c>
    </row>
    <row r="321" spans="1:50" x14ac:dyDescent="0.35">
      <c r="A321">
        <v>291</v>
      </c>
      <c r="B321" t="s">
        <v>3580</v>
      </c>
      <c r="C321">
        <v>1</v>
      </c>
      <c r="D321" t="s">
        <v>82</v>
      </c>
      <c r="E321">
        <v>2</v>
      </c>
      <c r="F321" t="s">
        <v>39</v>
      </c>
      <c r="G321" t="s">
        <v>1490</v>
      </c>
      <c r="H321" t="s">
        <v>1261</v>
      </c>
      <c r="I321" t="s">
        <v>3453</v>
      </c>
      <c r="J321" t="s">
        <v>3454</v>
      </c>
      <c r="K321" t="s">
        <v>600</v>
      </c>
      <c r="L321" t="s">
        <v>2703</v>
      </c>
      <c r="O321" t="e" cm="1">
        <f t="array" ref="O321">INDEX(Grant[Country],MATCH(0,INDEX(COUNTIF($O$2:O320,Grant[Country]),),0))</f>
        <v>#N/A</v>
      </c>
      <c r="Y321" s="1035" t="s">
        <v>451</v>
      </c>
      <c r="Z321" s="1035" t="s">
        <v>1590</v>
      </c>
      <c r="AB321" s="1035" t="s">
        <v>1736</v>
      </c>
      <c r="AC321" s="1035" t="s">
        <v>1173</v>
      </c>
      <c r="AO321" t="str">
        <v>Plan International, Inc.</v>
      </c>
      <c r="AU321" s="1035" t="s">
        <v>451</v>
      </c>
      <c r="AV321" s="1035" t="s">
        <v>36</v>
      </c>
      <c r="AW321" s="1035" t="s">
        <v>367</v>
      </c>
      <c r="AX321" s="1035" t="s">
        <v>1590</v>
      </c>
    </row>
    <row r="322" spans="1:50" x14ac:dyDescent="0.35">
      <c r="A322">
        <v>265</v>
      </c>
      <c r="B322" t="s">
        <v>3581</v>
      </c>
      <c r="C322">
        <v>2</v>
      </c>
      <c r="D322" t="s">
        <v>367</v>
      </c>
      <c r="E322">
        <v>2</v>
      </c>
      <c r="F322" t="s">
        <v>39</v>
      </c>
      <c r="G322" t="s">
        <v>867</v>
      </c>
      <c r="H322" t="s">
        <v>3351</v>
      </c>
      <c r="I322" t="s">
        <v>3455</v>
      </c>
      <c r="J322" t="s">
        <v>3456</v>
      </c>
      <c r="O322" t="e" cm="1">
        <f t="array" ref="O322">INDEX(Grant[Country],MATCH(0,INDEX(COUNTIF($O$2:O321,Grant[Country]),),0))</f>
        <v>#N/A</v>
      </c>
      <c r="Y322" s="1035" t="s">
        <v>451</v>
      </c>
      <c r="Z322" s="1035" t="s">
        <v>1587</v>
      </c>
      <c r="AB322" s="1035" t="s">
        <v>1738</v>
      </c>
      <c r="AC322" s="1035" t="s">
        <v>1173</v>
      </c>
      <c r="AO322" t="str">
        <v>Plan International, Inc.</v>
      </c>
      <c r="AU322" s="1035" t="s">
        <v>451</v>
      </c>
      <c r="AV322" s="1035" t="s">
        <v>37</v>
      </c>
      <c r="AW322" s="1035" t="s">
        <v>367</v>
      </c>
      <c r="AX322" s="1035" t="s">
        <v>1587</v>
      </c>
    </row>
    <row r="323" spans="1:50" x14ac:dyDescent="0.35">
      <c r="A323">
        <v>282</v>
      </c>
      <c r="B323" t="s">
        <v>3582</v>
      </c>
      <c r="C323">
        <v>1</v>
      </c>
      <c r="D323" t="s">
        <v>82</v>
      </c>
      <c r="E323">
        <v>2</v>
      </c>
      <c r="F323" t="s">
        <v>39</v>
      </c>
      <c r="G323" t="s">
        <v>3457</v>
      </c>
      <c r="H323" t="s">
        <v>772</v>
      </c>
      <c r="I323" t="s">
        <v>3458</v>
      </c>
      <c r="J323" t="s">
        <v>3459</v>
      </c>
      <c r="O323" t="e" cm="1">
        <f t="array" ref="O323">INDEX(Grant[Country],MATCH(0,INDEX(COUNTIF($O$2:O322,Grant[Country]),),0))</f>
        <v>#N/A</v>
      </c>
      <c r="Y323" s="1035" t="s">
        <v>451</v>
      </c>
      <c r="Z323" s="1035" t="s">
        <v>1595</v>
      </c>
      <c r="AB323" s="1035" t="s">
        <v>1741</v>
      </c>
      <c r="AC323" s="1035" t="s">
        <v>789</v>
      </c>
      <c r="AO323" t="str">
        <v>Population Services International</v>
      </c>
      <c r="AU323" s="1035" t="s">
        <v>451</v>
      </c>
      <c r="AV323" s="1035" t="s">
        <v>39</v>
      </c>
      <c r="AW323" s="1035" t="s">
        <v>367</v>
      </c>
      <c r="AX323" s="1035" t="s">
        <v>1595</v>
      </c>
    </row>
    <row r="324" spans="1:50" x14ac:dyDescent="0.35">
      <c r="A324">
        <v>281</v>
      </c>
      <c r="B324" t="s">
        <v>3583</v>
      </c>
      <c r="C324">
        <v>1</v>
      </c>
      <c r="D324" t="s">
        <v>82</v>
      </c>
      <c r="E324">
        <v>2</v>
      </c>
      <c r="F324" t="s">
        <v>39</v>
      </c>
      <c r="G324" t="s">
        <v>1537</v>
      </c>
      <c r="H324" t="s">
        <v>3428</v>
      </c>
      <c r="I324" t="s">
        <v>3460</v>
      </c>
      <c r="J324" t="s">
        <v>3461</v>
      </c>
      <c r="O324" t="e" cm="1">
        <f t="array" ref="O324">INDEX(Grant[Country],MATCH(0,INDEX(COUNTIF($O$2:O323,Grant[Country]),),0))</f>
        <v>#N/A</v>
      </c>
      <c r="Y324" s="1035" t="s">
        <v>451</v>
      </c>
      <c r="Z324" s="1035" t="s">
        <v>3256</v>
      </c>
      <c r="AB324" s="1035" t="s">
        <v>1716</v>
      </c>
      <c r="AC324" s="1035" t="s">
        <v>1446</v>
      </c>
      <c r="AO324" t="str">
        <v>Population Services International</v>
      </c>
      <c r="AU324" s="1035" t="s">
        <v>451</v>
      </c>
      <c r="AV324" s="1035" t="s">
        <v>39</v>
      </c>
      <c r="AW324" s="1035" t="s">
        <v>367</v>
      </c>
      <c r="AX324" s="1035" t="s">
        <v>3256</v>
      </c>
    </row>
    <row r="325" spans="1:50" x14ac:dyDescent="0.35">
      <c r="A325">
        <v>243</v>
      </c>
      <c r="B325" t="s">
        <v>429</v>
      </c>
      <c r="C325">
        <v>2</v>
      </c>
      <c r="D325" t="s">
        <v>367</v>
      </c>
      <c r="E325">
        <v>4</v>
      </c>
      <c r="F325" t="s">
        <v>187</v>
      </c>
      <c r="G325" t="s">
        <v>1364</v>
      </c>
      <c r="H325" t="s">
        <v>1177</v>
      </c>
      <c r="I325" t="s">
        <v>3462</v>
      </c>
      <c r="J325" t="s">
        <v>3463</v>
      </c>
      <c r="O325" t="e" cm="1">
        <f t="array" ref="O325">INDEX(Grant[Country],MATCH(0,INDEX(COUNTIF($O$2:O324,Grant[Country]),),0))</f>
        <v>#N/A</v>
      </c>
      <c r="Y325" s="1035" t="s">
        <v>452</v>
      </c>
      <c r="Z325" s="1035" t="s">
        <v>1619</v>
      </c>
      <c r="AB325" s="1035" t="s">
        <v>1757</v>
      </c>
      <c r="AC325" s="1035" t="s">
        <v>772</v>
      </c>
      <c r="AO325" t="str">
        <v>Population Services International</v>
      </c>
      <c r="AU325" s="1035" t="s">
        <v>452</v>
      </c>
      <c r="AV325" s="1035" t="s">
        <v>36</v>
      </c>
      <c r="AW325" s="1035" t="s">
        <v>82</v>
      </c>
      <c r="AX325" s="1035" t="s">
        <v>1602</v>
      </c>
    </row>
    <row r="326" spans="1:50" x14ac:dyDescent="0.35">
      <c r="A326">
        <v>243</v>
      </c>
      <c r="B326" t="s">
        <v>429</v>
      </c>
      <c r="C326">
        <v>2</v>
      </c>
      <c r="D326" t="s">
        <v>367</v>
      </c>
      <c r="E326">
        <v>1</v>
      </c>
      <c r="F326" t="s">
        <v>36</v>
      </c>
      <c r="G326" t="s">
        <v>1364</v>
      </c>
      <c r="H326" t="s">
        <v>1177</v>
      </c>
      <c r="I326" t="s">
        <v>1365</v>
      </c>
      <c r="J326" t="s">
        <v>1366</v>
      </c>
      <c r="O326" t="e" cm="1">
        <f t="array" ref="O326">INDEX(Grant[Country],MATCH(0,INDEX(COUNTIF($O$2:O325,Grant[Country]),),0))</f>
        <v>#N/A</v>
      </c>
      <c r="Y326" s="1035" t="s">
        <v>452</v>
      </c>
      <c r="Z326" s="1035" t="s">
        <v>1602</v>
      </c>
      <c r="AB326" s="1035" t="s">
        <v>3263</v>
      </c>
      <c r="AC326" s="1035" t="s">
        <v>772</v>
      </c>
      <c r="AO326" t="str">
        <v>Population Services International</v>
      </c>
      <c r="AU326" s="1035" t="s">
        <v>452</v>
      </c>
      <c r="AV326" s="1035" t="s">
        <v>36</v>
      </c>
      <c r="AW326" s="1035" t="s">
        <v>82</v>
      </c>
      <c r="AX326" s="1035" t="s">
        <v>1605</v>
      </c>
    </row>
    <row r="327" spans="1:50" x14ac:dyDescent="0.35">
      <c r="A327">
        <v>243</v>
      </c>
      <c r="B327" t="s">
        <v>429</v>
      </c>
      <c r="C327">
        <v>2</v>
      </c>
      <c r="D327" t="s">
        <v>367</v>
      </c>
      <c r="E327">
        <v>2</v>
      </c>
      <c r="F327" t="s">
        <v>39</v>
      </c>
      <c r="G327" t="s">
        <v>1364</v>
      </c>
      <c r="H327" t="s">
        <v>1177</v>
      </c>
      <c r="I327" t="s">
        <v>1368</v>
      </c>
      <c r="J327" t="s">
        <v>1369</v>
      </c>
      <c r="O327" t="e" cm="1">
        <f t="array" ref="O327">INDEX(Grant[Country],MATCH(0,INDEX(COUNTIF($O$2:O326,Grant[Country]),),0))</f>
        <v>#N/A</v>
      </c>
      <c r="Y327" s="1035" t="s">
        <v>452</v>
      </c>
      <c r="Z327" s="1035" t="s">
        <v>1605</v>
      </c>
      <c r="AB327" s="1035" t="s">
        <v>1755</v>
      </c>
      <c r="AC327" s="1035" t="s">
        <v>937</v>
      </c>
      <c r="AO327" t="str">
        <v>Population Services International</v>
      </c>
      <c r="AU327" s="1035" t="s">
        <v>452</v>
      </c>
      <c r="AV327" s="1035" t="s">
        <v>36</v>
      </c>
      <c r="AW327" s="1035" t="s">
        <v>82</v>
      </c>
      <c r="AX327" s="1035" t="s">
        <v>1610</v>
      </c>
    </row>
    <row r="328" spans="1:50" x14ac:dyDescent="0.35">
      <c r="A328">
        <v>244</v>
      </c>
      <c r="B328" t="s">
        <v>491</v>
      </c>
      <c r="C328">
        <v>1</v>
      </c>
      <c r="D328" t="s">
        <v>82</v>
      </c>
      <c r="E328">
        <v>4</v>
      </c>
      <c r="F328" t="s">
        <v>187</v>
      </c>
      <c r="G328" t="s">
        <v>1898</v>
      </c>
      <c r="H328" t="s">
        <v>1606</v>
      </c>
      <c r="I328" t="s">
        <v>1902</v>
      </c>
      <c r="J328" t="s">
        <v>1901</v>
      </c>
      <c r="O328" t="e" cm="1">
        <f t="array" ref="O328">INDEX(Grant[Country],MATCH(0,INDEX(COUNTIF($O$2:O327,Grant[Country]),),0))</f>
        <v>#N/A</v>
      </c>
      <c r="Y328" s="1035" t="s">
        <v>452</v>
      </c>
      <c r="Z328" s="1035" t="s">
        <v>1610</v>
      </c>
      <c r="AB328" s="1035" t="s">
        <v>3265</v>
      </c>
      <c r="AC328" s="1035" t="s">
        <v>772</v>
      </c>
      <c r="AO328" t="str">
        <v>Population Services International</v>
      </c>
      <c r="AU328" s="1035" t="s">
        <v>452</v>
      </c>
      <c r="AV328" s="1035" t="s">
        <v>37</v>
      </c>
      <c r="AW328" s="1035" t="s">
        <v>82</v>
      </c>
      <c r="AX328" s="1035" t="s">
        <v>1607</v>
      </c>
    </row>
    <row r="329" spans="1:50" x14ac:dyDescent="0.35">
      <c r="A329">
        <v>244</v>
      </c>
      <c r="B329" t="s">
        <v>491</v>
      </c>
      <c r="C329">
        <v>1</v>
      </c>
      <c r="D329" t="s">
        <v>82</v>
      </c>
      <c r="E329">
        <v>3</v>
      </c>
      <c r="F329" t="s">
        <v>37</v>
      </c>
      <c r="G329" t="s">
        <v>1898</v>
      </c>
      <c r="H329" t="s">
        <v>1606</v>
      </c>
      <c r="I329" t="s">
        <v>1899</v>
      </c>
      <c r="J329" t="s">
        <v>1900</v>
      </c>
      <c r="O329" t="e" cm="1">
        <f t="array" ref="O329">INDEX(Grant[Country],MATCH(0,INDEX(COUNTIF($O$2:O328,Grant[Country]),),0))</f>
        <v>#N/A</v>
      </c>
      <c r="Y329" s="1035" t="s">
        <v>452</v>
      </c>
      <c r="Z329" s="1035" t="s">
        <v>1607</v>
      </c>
      <c r="AB329" s="1035" t="s">
        <v>1697</v>
      </c>
      <c r="AC329" s="1035" t="s">
        <v>772</v>
      </c>
      <c r="AO329" t="str">
        <v>Population Services International</v>
      </c>
      <c r="AU329" s="1035" t="s">
        <v>452</v>
      </c>
      <c r="AV329" s="1035" t="s">
        <v>37</v>
      </c>
      <c r="AW329" s="1035" t="s">
        <v>82</v>
      </c>
      <c r="AX329" s="1035" t="s">
        <v>1617</v>
      </c>
    </row>
    <row r="330" spans="1:50" x14ac:dyDescent="0.35">
      <c r="A330">
        <v>265</v>
      </c>
      <c r="B330" t="s">
        <v>3581</v>
      </c>
      <c r="C330">
        <v>1</v>
      </c>
      <c r="D330" t="s">
        <v>82</v>
      </c>
      <c r="E330">
        <v>1</v>
      </c>
      <c r="F330" t="s">
        <v>36</v>
      </c>
      <c r="G330" t="s">
        <v>3464</v>
      </c>
      <c r="H330" t="s">
        <v>3465</v>
      </c>
      <c r="I330" t="s">
        <v>3466</v>
      </c>
      <c r="J330" t="s">
        <v>3467</v>
      </c>
      <c r="O330" t="e" cm="1">
        <f t="array" ref="O330">INDEX(Grant[Country],MATCH(0,INDEX(COUNTIF($O$2:O329,Grant[Country]),),0))</f>
        <v>#N/A</v>
      </c>
      <c r="Y330" s="1035" t="s">
        <v>452</v>
      </c>
      <c r="Z330" s="1035" t="s">
        <v>1617</v>
      </c>
      <c r="AB330" s="1035" t="s">
        <v>1774</v>
      </c>
      <c r="AC330" s="1035" t="s">
        <v>772</v>
      </c>
      <c r="AO330" t="str">
        <v>Population Services International</v>
      </c>
      <c r="AU330" s="1035" t="s">
        <v>452</v>
      </c>
      <c r="AV330" s="1035" t="s">
        <v>187</v>
      </c>
      <c r="AW330" s="1035" t="s">
        <v>82</v>
      </c>
      <c r="AX330" s="1035" t="s">
        <v>1619</v>
      </c>
    </row>
    <row r="331" spans="1:50" x14ac:dyDescent="0.35">
      <c r="A331">
        <v>265</v>
      </c>
      <c r="B331" t="s">
        <v>3581</v>
      </c>
      <c r="C331">
        <v>1</v>
      </c>
      <c r="D331" t="s">
        <v>82</v>
      </c>
      <c r="E331">
        <v>1</v>
      </c>
      <c r="F331" t="s">
        <v>36</v>
      </c>
      <c r="G331" t="s">
        <v>879</v>
      </c>
      <c r="H331" t="s">
        <v>3359</v>
      </c>
      <c r="I331" t="s">
        <v>3468</v>
      </c>
      <c r="J331" t="s">
        <v>3469</v>
      </c>
      <c r="O331" t="e" cm="1">
        <f t="array" ref="O331">INDEX(Grant[Country],MATCH(0,INDEX(COUNTIF($O$2:O330,Grant[Country]),),0))</f>
        <v>#N/A</v>
      </c>
      <c r="Y331" s="1035" t="s">
        <v>452</v>
      </c>
      <c r="Z331" s="1035" t="s">
        <v>1625</v>
      </c>
      <c r="AB331" s="1035" t="s">
        <v>1779</v>
      </c>
      <c r="AC331" s="1035" t="s">
        <v>772</v>
      </c>
      <c r="AO331" t="str">
        <v>Population Services International</v>
      </c>
      <c r="AU331" s="1035" t="s">
        <v>452</v>
      </c>
      <c r="AV331" s="1035" t="s">
        <v>2004</v>
      </c>
      <c r="AW331" s="1035" t="s">
        <v>82</v>
      </c>
      <c r="AX331" s="1035" t="s">
        <v>1625</v>
      </c>
    </row>
    <row r="332" spans="1:50" x14ac:dyDescent="0.35">
      <c r="A332">
        <v>265</v>
      </c>
      <c r="B332" t="s">
        <v>3581</v>
      </c>
      <c r="C332">
        <v>1</v>
      </c>
      <c r="D332" t="s">
        <v>82</v>
      </c>
      <c r="E332">
        <v>1</v>
      </c>
      <c r="F332" t="s">
        <v>36</v>
      </c>
      <c r="G332" t="s">
        <v>3470</v>
      </c>
      <c r="H332" t="s">
        <v>3471</v>
      </c>
      <c r="I332" t="s">
        <v>3472</v>
      </c>
      <c r="J332" t="s">
        <v>3473</v>
      </c>
      <c r="O332" t="e" cm="1">
        <f t="array" ref="O332">INDEX(Grant[Country],MATCH(0,INDEX(COUNTIF($O$2:O331,Grant[Country]),),0))</f>
        <v>#N/A</v>
      </c>
      <c r="Y332" s="1035" t="s">
        <v>452</v>
      </c>
      <c r="Z332" s="1035" t="s">
        <v>1614</v>
      </c>
      <c r="AB332" s="1035" t="s">
        <v>1782</v>
      </c>
      <c r="AC332" s="1035" t="s">
        <v>772</v>
      </c>
      <c r="AO332" t="str">
        <v>PR Organization</v>
      </c>
      <c r="AU332" s="1035" t="s">
        <v>452</v>
      </c>
      <c r="AV332" s="1035" t="s">
        <v>2004</v>
      </c>
      <c r="AW332" s="1035" t="s">
        <v>82</v>
      </c>
      <c r="AX332" s="1035" t="s">
        <v>3432</v>
      </c>
    </row>
    <row r="333" spans="1:50" x14ac:dyDescent="0.35">
      <c r="A333">
        <v>265</v>
      </c>
      <c r="B333" t="s">
        <v>3581</v>
      </c>
      <c r="C333">
        <v>1</v>
      </c>
      <c r="D333" t="s">
        <v>82</v>
      </c>
      <c r="E333">
        <v>3</v>
      </c>
      <c r="F333" t="s">
        <v>37</v>
      </c>
      <c r="G333" t="s">
        <v>3474</v>
      </c>
      <c r="H333" t="s">
        <v>3475</v>
      </c>
      <c r="I333" t="s">
        <v>3476</v>
      </c>
      <c r="J333" t="s">
        <v>3477</v>
      </c>
      <c r="O333" t="e" cm="1">
        <f t="array" ref="O333">INDEX(Grant[Country],MATCH(0,INDEX(COUNTIF($O$2:O332,Grant[Country]),),0))</f>
        <v>#N/A</v>
      </c>
      <c r="Y333" s="1035" t="s">
        <v>452</v>
      </c>
      <c r="Z333" s="1035" t="s">
        <v>1622</v>
      </c>
      <c r="AB333" s="1035" t="s">
        <v>1785</v>
      </c>
      <c r="AC333" s="1035" t="s">
        <v>772</v>
      </c>
      <c r="AO333" t="str">
        <v>Prévention Information Lutte contre le Sida</v>
      </c>
      <c r="AU333" s="1035" t="s">
        <v>452</v>
      </c>
      <c r="AV333" s="1035" t="s">
        <v>39</v>
      </c>
      <c r="AW333" s="1035" t="s">
        <v>82</v>
      </c>
      <c r="AX333" s="1035" t="s">
        <v>1614</v>
      </c>
    </row>
    <row r="334" spans="1:50" x14ac:dyDescent="0.35">
      <c r="A334">
        <v>265</v>
      </c>
      <c r="B334" t="s">
        <v>3581</v>
      </c>
      <c r="C334">
        <v>1</v>
      </c>
      <c r="D334" t="s">
        <v>82</v>
      </c>
      <c r="E334">
        <v>3</v>
      </c>
      <c r="F334" t="s">
        <v>37</v>
      </c>
      <c r="G334" t="s">
        <v>3478</v>
      </c>
      <c r="H334" t="s">
        <v>3479</v>
      </c>
      <c r="I334" t="s">
        <v>3480</v>
      </c>
      <c r="J334" t="s">
        <v>3481</v>
      </c>
      <c r="O334" t="e" cm="1">
        <f t="array" ref="O334">INDEX(Grant[Country],MATCH(0,INDEX(COUNTIF($O$2:O333,Grant[Country]),),0))</f>
        <v>#N/A</v>
      </c>
      <c r="Y334" s="1035" t="s">
        <v>452</v>
      </c>
      <c r="Z334" s="1035" t="s">
        <v>1629</v>
      </c>
      <c r="AB334" s="1035" t="s">
        <v>1790</v>
      </c>
      <c r="AC334" s="1035" t="s">
        <v>1496</v>
      </c>
      <c r="AO334" t="str">
        <v>Primature de la République Togolaise</v>
      </c>
      <c r="AU334" s="1035" t="s">
        <v>452</v>
      </c>
      <c r="AV334" s="1035" t="s">
        <v>39</v>
      </c>
      <c r="AW334" s="1035" t="s">
        <v>82</v>
      </c>
      <c r="AX334" s="1035" t="s">
        <v>1622</v>
      </c>
    </row>
    <row r="335" spans="1:50" x14ac:dyDescent="0.35">
      <c r="A335">
        <v>265</v>
      </c>
      <c r="B335" t="s">
        <v>3581</v>
      </c>
      <c r="C335">
        <v>1</v>
      </c>
      <c r="D335" t="s">
        <v>82</v>
      </c>
      <c r="E335">
        <v>2</v>
      </c>
      <c r="F335" t="s">
        <v>39</v>
      </c>
      <c r="G335" t="s">
        <v>3482</v>
      </c>
      <c r="H335" t="s">
        <v>3483</v>
      </c>
      <c r="I335" t="s">
        <v>3484</v>
      </c>
      <c r="J335" t="s">
        <v>3485</v>
      </c>
      <c r="O335" t="e" cm="1">
        <f t="array" ref="O335">INDEX(Grant[Country],MATCH(0,INDEX(COUNTIF($O$2:O334,Grant[Country]),),0))</f>
        <v>#N/A</v>
      </c>
      <c r="Y335" s="1035" t="s">
        <v>452</v>
      </c>
      <c r="Z335" s="1035" t="s">
        <v>3432</v>
      </c>
      <c r="AB335" s="1035" t="s">
        <v>1789</v>
      </c>
      <c r="AC335" s="1035" t="s">
        <v>1496</v>
      </c>
      <c r="AO335" t="str">
        <v>Primature de la République Togolaise</v>
      </c>
      <c r="AU335" s="1035" t="s">
        <v>452</v>
      </c>
      <c r="AV335" s="1035" t="s">
        <v>39</v>
      </c>
      <c r="AW335" s="1035" t="s">
        <v>82</v>
      </c>
      <c r="AX335" s="1035" t="s">
        <v>1629</v>
      </c>
    </row>
    <row r="336" spans="1:50" x14ac:dyDescent="0.35">
      <c r="A336">
        <v>270</v>
      </c>
      <c r="B336" t="s">
        <v>3584</v>
      </c>
      <c r="C336">
        <v>1</v>
      </c>
      <c r="D336" t="s">
        <v>82</v>
      </c>
      <c r="E336">
        <v>2</v>
      </c>
      <c r="F336" t="s">
        <v>39</v>
      </c>
      <c r="G336" t="s">
        <v>3486</v>
      </c>
      <c r="H336" t="s">
        <v>3487</v>
      </c>
      <c r="I336" t="s">
        <v>3488</v>
      </c>
      <c r="J336" t="s">
        <v>3489</v>
      </c>
      <c r="O336" t="e" cm="1">
        <f t="array" ref="O336">INDEX(Grant[Country],MATCH(0,INDEX(COUNTIF($O$2:O335,Grant[Country]),),0))</f>
        <v>#N/A</v>
      </c>
      <c r="Y336" s="1035" t="s">
        <v>3589</v>
      </c>
      <c r="Z336" s="1035" t="s">
        <v>3537</v>
      </c>
      <c r="AB336" s="1035" t="s">
        <v>1128</v>
      </c>
      <c r="AC336" s="1035" t="s">
        <v>1006</v>
      </c>
      <c r="AO336" t="str">
        <v>Primature de la République Togolaise</v>
      </c>
      <c r="AU336" s="1035" t="s">
        <v>3589</v>
      </c>
      <c r="AV336" s="1035" t="s">
        <v>37</v>
      </c>
      <c r="AW336" s="1035" t="s">
        <v>82</v>
      </c>
      <c r="AX336" s="1035" t="s">
        <v>3537</v>
      </c>
    </row>
    <row r="337" spans="1:50" x14ac:dyDescent="0.35">
      <c r="A337">
        <v>265</v>
      </c>
      <c r="B337" t="s">
        <v>3581</v>
      </c>
      <c r="C337">
        <v>1</v>
      </c>
      <c r="D337" t="s">
        <v>82</v>
      </c>
      <c r="E337">
        <v>2</v>
      </c>
      <c r="F337" t="s">
        <v>39</v>
      </c>
      <c r="G337" t="s">
        <v>3482</v>
      </c>
      <c r="H337" t="s">
        <v>3483</v>
      </c>
      <c r="I337" t="s">
        <v>3490</v>
      </c>
      <c r="J337" t="s">
        <v>3491</v>
      </c>
      <c r="O337" t="e" cm="1">
        <f t="array" ref="O337">INDEX(Grant[Country],MATCH(0,INDEX(COUNTIF($O$2:O336,Grant[Country]),),0))</f>
        <v>#N/A</v>
      </c>
      <c r="Y337" s="1035" t="s">
        <v>3589</v>
      </c>
      <c r="Z337" s="1035" t="s">
        <v>3535</v>
      </c>
      <c r="AB337" s="1035" t="s">
        <v>1135</v>
      </c>
      <c r="AC337" s="1035" t="s">
        <v>1010</v>
      </c>
      <c r="AO337" t="str">
        <v>Programme d'Appui au Développement Sanitaire (PADS)</v>
      </c>
      <c r="AU337" s="1035" t="s">
        <v>3589</v>
      </c>
      <c r="AV337" s="1035" t="s">
        <v>187</v>
      </c>
      <c r="AW337" s="1035" t="s">
        <v>82</v>
      </c>
      <c r="AX337" s="1035" t="s">
        <v>3535</v>
      </c>
    </row>
    <row r="338" spans="1:50" x14ac:dyDescent="0.35">
      <c r="A338">
        <v>265</v>
      </c>
      <c r="B338" t="s">
        <v>3581</v>
      </c>
      <c r="C338">
        <v>1</v>
      </c>
      <c r="D338" t="s">
        <v>82</v>
      </c>
      <c r="E338">
        <v>2</v>
      </c>
      <c r="F338" t="s">
        <v>39</v>
      </c>
      <c r="G338" t="s">
        <v>3492</v>
      </c>
      <c r="H338" t="s">
        <v>3493</v>
      </c>
      <c r="I338" t="s">
        <v>3494</v>
      </c>
      <c r="J338" t="s">
        <v>3495</v>
      </c>
      <c r="O338" t="e" cm="1">
        <f t="array" ref="O338">INDEX(Grant[Country],MATCH(0,INDEX(COUNTIF($O$2:O337,Grant[Country]),),0))</f>
        <v>#N/A</v>
      </c>
      <c r="Y338" s="1035" t="s">
        <v>453</v>
      </c>
      <c r="Z338" s="1035" t="s">
        <v>1634</v>
      </c>
      <c r="AB338" s="1035" t="s">
        <v>3234</v>
      </c>
      <c r="AC338" s="1035" t="s">
        <v>1006</v>
      </c>
      <c r="AO338" t="str">
        <v>Programme d'Appui au Développement Sanitaire (PADS)</v>
      </c>
      <c r="AU338" s="1035" t="s">
        <v>453</v>
      </c>
      <c r="AV338" s="1035" t="s">
        <v>36</v>
      </c>
      <c r="AW338" s="1035" t="s">
        <v>82</v>
      </c>
      <c r="AX338" s="1035" t="s">
        <v>1634</v>
      </c>
    </row>
    <row r="339" spans="1:50" x14ac:dyDescent="0.35">
      <c r="A339">
        <v>266</v>
      </c>
      <c r="B339" t="s">
        <v>3585</v>
      </c>
      <c r="C339">
        <v>1</v>
      </c>
      <c r="D339" t="s">
        <v>82</v>
      </c>
      <c r="E339">
        <v>1</v>
      </c>
      <c r="F339" t="s">
        <v>36</v>
      </c>
      <c r="G339" t="s">
        <v>3496</v>
      </c>
      <c r="H339" t="s">
        <v>3497</v>
      </c>
      <c r="I339" t="s">
        <v>3498</v>
      </c>
      <c r="J339" t="s">
        <v>3499</v>
      </c>
      <c r="O339" t="e" cm="1">
        <f t="array" ref="O339">INDEX(Grant[Country],MATCH(0,INDEX(COUNTIF($O$2:O338,Grant[Country]),),0))</f>
        <v>#N/A</v>
      </c>
      <c r="Y339" s="1035" t="s">
        <v>453</v>
      </c>
      <c r="Z339" s="1035" t="s">
        <v>1638</v>
      </c>
      <c r="AB339" s="1035" t="s">
        <v>1131</v>
      </c>
      <c r="AC339" s="1035" t="s">
        <v>1010</v>
      </c>
      <c r="AO339" t="str">
        <v>Programme National de Lutte contre la Tuberculose et la Lepre</v>
      </c>
      <c r="AU339" s="1035" t="s">
        <v>453</v>
      </c>
      <c r="AV339" s="1035" t="s">
        <v>36</v>
      </c>
      <c r="AW339" s="1035" t="s">
        <v>82</v>
      </c>
      <c r="AX339" s="1035" t="s">
        <v>1638</v>
      </c>
    </row>
    <row r="340" spans="1:50" x14ac:dyDescent="0.35">
      <c r="A340">
        <v>266</v>
      </c>
      <c r="B340" t="s">
        <v>3585</v>
      </c>
      <c r="C340">
        <v>1</v>
      </c>
      <c r="D340" t="s">
        <v>82</v>
      </c>
      <c r="E340">
        <v>1</v>
      </c>
      <c r="F340" t="s">
        <v>36</v>
      </c>
      <c r="G340" t="s">
        <v>1056</v>
      </c>
      <c r="H340" t="s">
        <v>3359</v>
      </c>
      <c r="I340" t="s">
        <v>3500</v>
      </c>
      <c r="J340" t="s">
        <v>3501</v>
      </c>
      <c r="O340" t="e" cm="1">
        <f t="array" ref="O340">INDEX(Grant[Country],MATCH(0,INDEX(COUNTIF($O$2:O339,Grant[Country]),),0))</f>
        <v>#N/A</v>
      </c>
      <c r="Y340" s="1035" t="s">
        <v>453</v>
      </c>
      <c r="Z340" s="1035" t="s">
        <v>1635</v>
      </c>
      <c r="AB340" s="1035" t="s">
        <v>1133</v>
      </c>
      <c r="AC340" s="1035" t="s">
        <v>1010</v>
      </c>
      <c r="AO340" t="str">
        <v>Programme National de Lutte contre le Paludisme de la République du Bénin</v>
      </c>
      <c r="AU340" s="1035" t="s">
        <v>453</v>
      </c>
      <c r="AV340" s="1035" t="s">
        <v>36</v>
      </c>
      <c r="AW340" s="1035" t="s">
        <v>82</v>
      </c>
      <c r="AX340" s="1035" t="s">
        <v>3437</v>
      </c>
    </row>
    <row r="341" spans="1:50" x14ac:dyDescent="0.35">
      <c r="A341">
        <v>266</v>
      </c>
      <c r="B341" t="s">
        <v>3585</v>
      </c>
      <c r="C341">
        <v>1</v>
      </c>
      <c r="D341" t="s">
        <v>82</v>
      </c>
      <c r="E341">
        <v>3</v>
      </c>
      <c r="F341" t="s">
        <v>37</v>
      </c>
      <c r="G341" t="s">
        <v>3385</v>
      </c>
      <c r="H341" t="s">
        <v>3386</v>
      </c>
      <c r="I341" t="s">
        <v>3502</v>
      </c>
      <c r="J341" t="s">
        <v>3503</v>
      </c>
      <c r="O341" t="e" cm="1">
        <f t="array" ref="O341">INDEX(Grant[Country],MATCH(0,INDEX(COUNTIF($O$2:O340,Grant[Country]),),0))</f>
        <v>#N/A</v>
      </c>
      <c r="Y341" s="1035" t="s">
        <v>453</v>
      </c>
      <c r="Z341" s="1035" t="s">
        <v>1644</v>
      </c>
      <c r="AB341" s="1035" t="s">
        <v>1140</v>
      </c>
      <c r="AC341" s="1035" t="s">
        <v>1010</v>
      </c>
      <c r="AO341" t="str">
        <v>Programme santé de lutte contre le Sida</v>
      </c>
      <c r="AU341" s="1035" t="s">
        <v>453</v>
      </c>
      <c r="AV341" s="1035" t="s">
        <v>37</v>
      </c>
      <c r="AW341" s="1035" t="s">
        <v>82</v>
      </c>
      <c r="AX341" s="1035" t="s">
        <v>1635</v>
      </c>
    </row>
    <row r="342" spans="1:50" x14ac:dyDescent="0.35">
      <c r="A342">
        <v>266</v>
      </c>
      <c r="B342" t="s">
        <v>3585</v>
      </c>
      <c r="C342">
        <v>1</v>
      </c>
      <c r="D342" t="s">
        <v>82</v>
      </c>
      <c r="E342">
        <v>2</v>
      </c>
      <c r="F342" t="s">
        <v>39</v>
      </c>
      <c r="G342" t="s">
        <v>3504</v>
      </c>
      <c r="H342" t="s">
        <v>3505</v>
      </c>
      <c r="I342" t="s">
        <v>3506</v>
      </c>
      <c r="J342" t="s">
        <v>3507</v>
      </c>
      <c r="O342" t="e" cm="1">
        <f t="array" ref="O342">INDEX(Grant[Country],MATCH(0,INDEX(COUNTIF($O$2:O341,Grant[Country]),),0))</f>
        <v>#N/A</v>
      </c>
      <c r="Y342" s="1035" t="s">
        <v>453</v>
      </c>
      <c r="Z342" s="1035" t="s">
        <v>1639</v>
      </c>
      <c r="AB342" s="1035" t="s">
        <v>3214</v>
      </c>
      <c r="AC342" s="1035" t="s">
        <v>3212</v>
      </c>
      <c r="AO342" t="str">
        <v>Public Institution - Coordination, Implementation and Monitoring Unit of the Health System Projects</v>
      </c>
      <c r="AU342" s="1035" t="s">
        <v>453</v>
      </c>
      <c r="AV342" s="1035" t="s">
        <v>37</v>
      </c>
      <c r="AW342" s="1035" t="s">
        <v>82</v>
      </c>
      <c r="AX342" s="1035" t="s">
        <v>1644</v>
      </c>
    </row>
    <row r="343" spans="1:50" x14ac:dyDescent="0.35">
      <c r="A343">
        <v>266</v>
      </c>
      <c r="B343" t="s">
        <v>3585</v>
      </c>
      <c r="C343">
        <v>1</v>
      </c>
      <c r="D343" t="s">
        <v>82</v>
      </c>
      <c r="E343">
        <v>2</v>
      </c>
      <c r="F343" t="s">
        <v>39</v>
      </c>
      <c r="G343" t="s">
        <v>3508</v>
      </c>
      <c r="H343" t="s">
        <v>3509</v>
      </c>
      <c r="I343" t="s">
        <v>3510</v>
      </c>
      <c r="J343" t="s">
        <v>3511</v>
      </c>
      <c r="O343" t="e" cm="1">
        <f t="array" ref="O343">INDEX(Grant[Country],MATCH(0,INDEX(COUNTIF($O$2:O342,Grant[Country]),),0))</f>
        <v>#N/A</v>
      </c>
      <c r="Y343" s="1035" t="s">
        <v>453</v>
      </c>
      <c r="Z343" s="1035" t="s">
        <v>1647</v>
      </c>
      <c r="AB343" s="1035" t="s">
        <v>973</v>
      </c>
      <c r="AC343" s="1035" t="s">
        <v>905</v>
      </c>
      <c r="AO343" t="str">
        <v>Raks Thai Foundation</v>
      </c>
      <c r="AU343" s="1035" t="s">
        <v>453</v>
      </c>
      <c r="AV343" s="1035" t="s">
        <v>39</v>
      </c>
      <c r="AW343" s="1035" t="s">
        <v>82</v>
      </c>
      <c r="AX343" s="1035" t="s">
        <v>1639</v>
      </c>
    </row>
    <row r="344" spans="1:50" x14ac:dyDescent="0.35">
      <c r="A344">
        <v>278</v>
      </c>
      <c r="B344" t="s">
        <v>3586</v>
      </c>
      <c r="C344">
        <v>1</v>
      </c>
      <c r="D344" t="s">
        <v>82</v>
      </c>
      <c r="E344">
        <v>4</v>
      </c>
      <c r="F344" t="s">
        <v>187</v>
      </c>
      <c r="G344" t="s">
        <v>3512</v>
      </c>
      <c r="H344" t="s">
        <v>3513</v>
      </c>
      <c r="I344" t="s">
        <v>3514</v>
      </c>
      <c r="J344" t="s">
        <v>3515</v>
      </c>
      <c r="O344" t="e" cm="1">
        <f t="array" ref="O344">INDEX(Grant[Country],MATCH(0,INDEX(COUNTIF($O$2:O343,Grant[Country]),),0))</f>
        <v>#N/A</v>
      </c>
      <c r="Y344" s="1035" t="s">
        <v>453</v>
      </c>
      <c r="Z344" s="1035" t="s">
        <v>1651</v>
      </c>
      <c r="AB344" s="1035" t="s">
        <v>3218</v>
      </c>
      <c r="AC344" s="1035" t="s">
        <v>3216</v>
      </c>
      <c r="AO344" t="str">
        <v>Republican Center of State Sanitary-Epidemiological Surveillance of the Republic of Uzbekistan</v>
      </c>
      <c r="AU344" s="1035" t="s">
        <v>453</v>
      </c>
      <c r="AV344" s="1035" t="s">
        <v>39</v>
      </c>
      <c r="AW344" s="1035" t="s">
        <v>82</v>
      </c>
      <c r="AX344" s="1035" t="s">
        <v>1647</v>
      </c>
    </row>
    <row r="345" spans="1:50" x14ac:dyDescent="0.35">
      <c r="A345">
        <v>267</v>
      </c>
      <c r="B345" t="s">
        <v>3587</v>
      </c>
      <c r="C345">
        <v>1</v>
      </c>
      <c r="D345" t="s">
        <v>82</v>
      </c>
      <c r="E345">
        <v>1</v>
      </c>
      <c r="F345" t="s">
        <v>36</v>
      </c>
      <c r="G345" t="s">
        <v>3443</v>
      </c>
      <c r="H345" t="s">
        <v>3444</v>
      </c>
      <c r="I345" t="s">
        <v>3516</v>
      </c>
      <c r="J345" t="s">
        <v>3517</v>
      </c>
      <c r="O345" t="e" cm="1">
        <f t="array" ref="O345">INDEX(Grant[Country],MATCH(0,INDEX(COUNTIF($O$2:O344,Grant[Country]),),0))</f>
        <v>#N/A</v>
      </c>
      <c r="Y345" s="1035" t="s">
        <v>453</v>
      </c>
      <c r="Z345" s="1035" t="s">
        <v>3437</v>
      </c>
      <c r="AB345" s="1035" t="s">
        <v>976</v>
      </c>
      <c r="AC345" s="1035" t="s">
        <v>905</v>
      </c>
      <c r="AO345" t="str">
        <v>Republican Center of Tuberculosis Control - Tajikistan</v>
      </c>
      <c r="AU345" s="1035" t="s">
        <v>453</v>
      </c>
      <c r="AV345" s="1035" t="s">
        <v>39</v>
      </c>
      <c r="AW345" s="1035" t="s">
        <v>82</v>
      </c>
      <c r="AX345" s="1035" t="s">
        <v>1651</v>
      </c>
    </row>
    <row r="346" spans="1:50" x14ac:dyDescent="0.35">
      <c r="A346">
        <v>267</v>
      </c>
      <c r="B346" t="s">
        <v>3587</v>
      </c>
      <c r="C346">
        <v>1</v>
      </c>
      <c r="D346" t="s">
        <v>82</v>
      </c>
      <c r="E346">
        <v>1</v>
      </c>
      <c r="F346" t="s">
        <v>36</v>
      </c>
      <c r="G346" t="s">
        <v>1273</v>
      </c>
      <c r="H346" t="s">
        <v>1111</v>
      </c>
      <c r="I346" t="s">
        <v>3518</v>
      </c>
      <c r="J346" t="s">
        <v>3519</v>
      </c>
      <c r="O346" t="e" cm="1">
        <f t="array" ref="O346">INDEX(Grant[Country],MATCH(0,INDEX(COUNTIF($O$2:O345,Grant[Country]),),0))</f>
        <v>#N/A</v>
      </c>
      <c r="Y346" s="1035" t="s">
        <v>455</v>
      </c>
      <c r="Z346" s="1035" t="s">
        <v>1654</v>
      </c>
      <c r="AB346" s="1035" t="s">
        <v>975</v>
      </c>
      <c r="AC346" s="1035" t="s">
        <v>905</v>
      </c>
      <c r="AO346" t="str">
        <v>Republican Center to Fight AIDS</v>
      </c>
      <c r="AU346" s="1035" t="s">
        <v>455</v>
      </c>
      <c r="AV346" s="1035" t="s">
        <v>187</v>
      </c>
      <c r="AW346" s="1035" t="s">
        <v>82</v>
      </c>
      <c r="AX346" s="1035" t="s">
        <v>1654</v>
      </c>
    </row>
    <row r="347" spans="1:50" x14ac:dyDescent="0.35">
      <c r="A347">
        <v>291</v>
      </c>
      <c r="B347" t="s">
        <v>3580</v>
      </c>
      <c r="C347">
        <v>1</v>
      </c>
      <c r="D347" t="s">
        <v>82</v>
      </c>
      <c r="E347">
        <v>1</v>
      </c>
      <c r="F347" t="s">
        <v>36</v>
      </c>
      <c r="G347" t="s">
        <v>829</v>
      </c>
      <c r="H347" t="s">
        <v>814</v>
      </c>
      <c r="I347" t="s">
        <v>3520</v>
      </c>
      <c r="J347" t="s">
        <v>3521</v>
      </c>
      <c r="O347" t="e" cm="1">
        <f t="array" ref="O347">INDEX(Grant[Country],MATCH(0,INDEX(COUNTIF($O$2:O346,Grant[Country]),),0))</f>
        <v>#N/A</v>
      </c>
      <c r="Y347" s="1035" t="s">
        <v>456</v>
      </c>
      <c r="Z347" s="1035" t="s">
        <v>1660</v>
      </c>
      <c r="AB347" s="1035" t="s">
        <v>979</v>
      </c>
      <c r="AC347" s="1035" t="s">
        <v>3561</v>
      </c>
      <c r="AO347" t="str">
        <v>Republican Center to Fight AIDS</v>
      </c>
      <c r="AU347" s="1035" t="s">
        <v>456</v>
      </c>
      <c r="AV347" s="1035" t="s">
        <v>37</v>
      </c>
      <c r="AW347" s="1035" t="s">
        <v>82</v>
      </c>
      <c r="AX347" s="1035" t="s">
        <v>1657</v>
      </c>
    </row>
    <row r="348" spans="1:50" x14ac:dyDescent="0.35">
      <c r="A348">
        <v>282</v>
      </c>
      <c r="B348" t="s">
        <v>3582</v>
      </c>
      <c r="C348">
        <v>1</v>
      </c>
      <c r="D348" t="s">
        <v>82</v>
      </c>
      <c r="E348">
        <v>2</v>
      </c>
      <c r="F348" t="s">
        <v>39</v>
      </c>
      <c r="G348" t="s">
        <v>771</v>
      </c>
      <c r="H348" t="s">
        <v>772</v>
      </c>
      <c r="I348" t="s">
        <v>3522</v>
      </c>
      <c r="J348" t="s">
        <v>3523</v>
      </c>
      <c r="O348" t="e" cm="1">
        <f t="array" ref="O348">INDEX(Grant[Country],MATCH(0,INDEX(COUNTIF($O$2:O347,Grant[Country]),),0))</f>
        <v>#N/A</v>
      </c>
      <c r="Y348" s="1035" t="s">
        <v>456</v>
      </c>
      <c r="Z348" s="1035" t="s">
        <v>1657</v>
      </c>
      <c r="AB348" s="1035" t="s">
        <v>987</v>
      </c>
      <c r="AC348" s="1035" t="s">
        <v>772</v>
      </c>
      <c r="AO348" t="str">
        <v>Republican DOTS Centre  Ministry of Health of the Republic of Uzbekistan</v>
      </c>
      <c r="AU348" s="1035" t="s">
        <v>456</v>
      </c>
      <c r="AV348" s="1035" t="s">
        <v>187</v>
      </c>
      <c r="AW348" s="1035" t="s">
        <v>82</v>
      </c>
      <c r="AX348" s="1035" t="s">
        <v>1660</v>
      </c>
    </row>
    <row r="349" spans="1:50" x14ac:dyDescent="0.35">
      <c r="A349">
        <v>281</v>
      </c>
      <c r="B349" t="s">
        <v>3583</v>
      </c>
      <c r="C349">
        <v>1</v>
      </c>
      <c r="D349" t="s">
        <v>82</v>
      </c>
      <c r="E349">
        <v>3</v>
      </c>
      <c r="F349" t="s">
        <v>37</v>
      </c>
      <c r="G349" t="s">
        <v>1537</v>
      </c>
      <c r="H349" t="s">
        <v>3428</v>
      </c>
      <c r="I349" t="s">
        <v>3524</v>
      </c>
      <c r="J349" t="s">
        <v>3525</v>
      </c>
      <c r="O349" t="e" cm="1">
        <f t="array" ref="O349">INDEX(Grant[Country],MATCH(0,INDEX(COUNTIF($O$2:O348,Grant[Country]),),0))</f>
        <v>#N/A</v>
      </c>
      <c r="Y349" s="1035" t="s">
        <v>457</v>
      </c>
      <c r="Z349" s="1035" t="s">
        <v>1663</v>
      </c>
      <c r="AB349" s="1035" t="s">
        <v>981</v>
      </c>
      <c r="AC349" s="1035" t="s">
        <v>905</v>
      </c>
      <c r="AO349" t="str">
        <v>Republican Scientific and Practical Center for Medical Technologies, Informatization, Administration and Management of Health</v>
      </c>
      <c r="AU349" s="1035" t="s">
        <v>457</v>
      </c>
      <c r="AV349" s="1035" t="s">
        <v>36</v>
      </c>
      <c r="AW349" s="1035" t="s">
        <v>82</v>
      </c>
      <c r="AX349" s="1035" t="s">
        <v>1663</v>
      </c>
    </row>
    <row r="350" spans="1:50" x14ac:dyDescent="0.35">
      <c r="A350">
        <v>281</v>
      </c>
      <c r="B350" t="s">
        <v>3583</v>
      </c>
      <c r="C350">
        <v>1</v>
      </c>
      <c r="D350" t="s">
        <v>82</v>
      </c>
      <c r="E350">
        <v>2</v>
      </c>
      <c r="F350" t="s">
        <v>39</v>
      </c>
      <c r="G350" t="s">
        <v>3526</v>
      </c>
      <c r="H350" t="s">
        <v>3527</v>
      </c>
      <c r="I350" t="s">
        <v>3528</v>
      </c>
      <c r="J350" t="s">
        <v>3529</v>
      </c>
      <c r="O350" t="e" cm="1">
        <f t="array" ref="O350">INDEX(Grant[Country],MATCH(0,INDEX(COUNTIF($O$2:O349,Grant[Country]),),0))</f>
        <v>#N/A</v>
      </c>
      <c r="Y350" s="1035" t="s">
        <v>457</v>
      </c>
      <c r="Z350" s="1035" t="s">
        <v>1664</v>
      </c>
      <c r="AB350" s="1035" t="s">
        <v>984</v>
      </c>
      <c r="AC350" s="1035" t="s">
        <v>905</v>
      </c>
      <c r="AO350" t="str">
        <v>Republican Scientific and Practical Center for Medical Technologies, Informatization, Administration and Management of Health</v>
      </c>
      <c r="AU350" s="1035" t="s">
        <v>457</v>
      </c>
      <c r="AV350" s="1035" t="s">
        <v>39</v>
      </c>
      <c r="AW350" s="1035" t="s">
        <v>82</v>
      </c>
      <c r="AX350" s="1035" t="s">
        <v>1664</v>
      </c>
    </row>
    <row r="351" spans="1:50" x14ac:dyDescent="0.35">
      <c r="A351">
        <v>260</v>
      </c>
      <c r="B351" t="s">
        <v>3588</v>
      </c>
      <c r="C351">
        <v>1</v>
      </c>
      <c r="D351" t="s">
        <v>82</v>
      </c>
      <c r="E351">
        <v>5</v>
      </c>
      <c r="F351" t="s">
        <v>187</v>
      </c>
      <c r="G351" t="s">
        <v>3530</v>
      </c>
      <c r="H351" t="s">
        <v>3527</v>
      </c>
      <c r="I351" t="s">
        <v>3531</v>
      </c>
      <c r="J351" t="s">
        <v>3532</v>
      </c>
      <c r="O351" t="e" cm="1">
        <f t="array" ref="O351">INDEX(Grant[Country],MATCH(0,INDEX(COUNTIF($O$2:O350,Grant[Country]),),0))</f>
        <v>#N/A</v>
      </c>
      <c r="Y351" s="1035" t="s">
        <v>458</v>
      </c>
      <c r="Z351" s="1035" t="s">
        <v>1669</v>
      </c>
      <c r="AB351" s="1035" t="s">
        <v>990</v>
      </c>
      <c r="AC351" s="1035" t="s">
        <v>3561</v>
      </c>
      <c r="AO351" t="str">
        <v>Republican Specialized Scientific-Practical Medical Center of Phthisiology and Pulmonology</v>
      </c>
      <c r="AU351" s="1035" t="s">
        <v>458</v>
      </c>
      <c r="AV351" s="1035" t="s">
        <v>36</v>
      </c>
      <c r="AW351" s="1035" t="s">
        <v>82</v>
      </c>
      <c r="AX351" s="1035" t="s">
        <v>1669</v>
      </c>
    </row>
    <row r="352" spans="1:50" x14ac:dyDescent="0.35">
      <c r="A352">
        <v>269</v>
      </c>
      <c r="B352" t="s">
        <v>3589</v>
      </c>
      <c r="C352">
        <v>1</v>
      </c>
      <c r="D352" t="s">
        <v>82</v>
      </c>
      <c r="E352">
        <v>4</v>
      </c>
      <c r="F352" t="s">
        <v>187</v>
      </c>
      <c r="G352" t="s">
        <v>3533</v>
      </c>
      <c r="H352" t="s">
        <v>772</v>
      </c>
      <c r="I352" t="s">
        <v>3534</v>
      </c>
      <c r="J352" t="s">
        <v>3535</v>
      </c>
      <c r="O352" t="e" cm="1">
        <f t="array" ref="O352">INDEX(Grant[Country],MATCH(0,INDEX(COUNTIF($O$2:O351,Grant[Country]),),0))</f>
        <v>#N/A</v>
      </c>
      <c r="Y352" s="1035" t="s">
        <v>458</v>
      </c>
      <c r="Z352" s="1035" t="s">
        <v>3260</v>
      </c>
      <c r="AB352" s="1035" t="s">
        <v>1825</v>
      </c>
      <c r="AC352" s="1035" t="s">
        <v>1533</v>
      </c>
      <c r="AO352" t="str">
        <v>RSE on REU “National Scientific Center of Phthisiopulmonology of the Republic of  Kazakhstan” of the Ministry of Health of the Republic of  Kazakhstan</v>
      </c>
      <c r="AU352" s="1035" t="s">
        <v>458</v>
      </c>
      <c r="AV352" s="1035" t="s">
        <v>36</v>
      </c>
      <c r="AW352" s="1035" t="s">
        <v>82</v>
      </c>
      <c r="AX352" s="1035" t="s">
        <v>3260</v>
      </c>
    </row>
    <row r="353" spans="1:50" x14ac:dyDescent="0.35">
      <c r="A353">
        <v>269</v>
      </c>
      <c r="B353" t="s">
        <v>3589</v>
      </c>
      <c r="C353">
        <v>1</v>
      </c>
      <c r="D353" t="s">
        <v>82</v>
      </c>
      <c r="E353">
        <v>3</v>
      </c>
      <c r="F353" t="s">
        <v>37</v>
      </c>
      <c r="G353" t="s">
        <v>3533</v>
      </c>
      <c r="H353" t="s">
        <v>772</v>
      </c>
      <c r="I353" t="s">
        <v>3536</v>
      </c>
      <c r="J353" t="s">
        <v>3537</v>
      </c>
      <c r="O353" t="e" cm="1">
        <f t="array" ref="O353">INDEX(Grant[Country],MATCH(0,INDEX(COUNTIF($O$2:O352,Grant[Country]),),0))</f>
        <v>#N/A</v>
      </c>
      <c r="Y353" s="1035" t="s">
        <v>458</v>
      </c>
      <c r="Z353" s="1035" t="s">
        <v>1672</v>
      </c>
      <c r="AB353" s="1035" t="s">
        <v>1827</v>
      </c>
      <c r="AC353" s="1035" t="s">
        <v>1533</v>
      </c>
      <c r="AO353" t="str">
        <v>SADC Malaria Elimination Eight Secretariat</v>
      </c>
      <c r="AU353" s="1035" t="s">
        <v>458</v>
      </c>
      <c r="AV353" s="1035" t="s">
        <v>187</v>
      </c>
      <c r="AW353" s="1035" t="s">
        <v>82</v>
      </c>
      <c r="AX353" s="1035" t="s">
        <v>3440</v>
      </c>
    </row>
    <row r="354" spans="1:50" x14ac:dyDescent="0.35">
      <c r="A354">
        <v>184</v>
      </c>
      <c r="B354" t="s">
        <v>460</v>
      </c>
      <c r="C354">
        <v>2</v>
      </c>
      <c r="D354" t="s">
        <v>367</v>
      </c>
      <c r="E354">
        <v>2</v>
      </c>
      <c r="F354" t="s">
        <v>39</v>
      </c>
      <c r="G354" t="s">
        <v>1683</v>
      </c>
      <c r="H354" t="s">
        <v>1411</v>
      </c>
      <c r="I354" t="s">
        <v>1684</v>
      </c>
      <c r="J354" t="s">
        <v>1685</v>
      </c>
      <c r="O354" t="e" cm="1">
        <f t="array" ref="O354">INDEX(Grant[Country],MATCH(0,INDEX(COUNTIF($O$2:O353,Grant[Country]),),0))</f>
        <v>#N/A</v>
      </c>
      <c r="Y354" s="1035" t="s">
        <v>458</v>
      </c>
      <c r="Z354" s="1035" t="s">
        <v>3440</v>
      </c>
      <c r="AB354" s="1035" t="s">
        <v>1829</v>
      </c>
      <c r="AC354" s="1035" t="s">
        <v>1533</v>
      </c>
      <c r="AO354" t="str">
        <v>SANRU Asbl</v>
      </c>
      <c r="AU354" s="1035" t="s">
        <v>458</v>
      </c>
      <c r="AV354" s="1035" t="s">
        <v>39</v>
      </c>
      <c r="AW354" s="1035" t="s">
        <v>82</v>
      </c>
      <c r="AX354" s="1035" t="s">
        <v>1672</v>
      </c>
    </row>
    <row r="355" spans="1:50" x14ac:dyDescent="0.35">
      <c r="A355">
        <v>185</v>
      </c>
      <c r="B355" t="s">
        <v>461</v>
      </c>
      <c r="C355">
        <v>1</v>
      </c>
      <c r="D355" t="s">
        <v>82</v>
      </c>
      <c r="E355">
        <v>1</v>
      </c>
      <c r="F355" t="s">
        <v>36</v>
      </c>
      <c r="G355" t="s">
        <v>3538</v>
      </c>
      <c r="H355" t="s">
        <v>3539</v>
      </c>
      <c r="I355" t="s">
        <v>3540</v>
      </c>
      <c r="J355" t="s">
        <v>3541</v>
      </c>
      <c r="O355" t="e" cm="1">
        <f t="array" ref="O355">INDEX(Grant[Country],MATCH(0,INDEX(COUNTIF($O$2:O354,Grant[Country]),),0))</f>
        <v>#N/A</v>
      </c>
      <c r="Y355" s="1035" t="s">
        <v>459</v>
      </c>
      <c r="Z355" s="1035" t="s">
        <v>1675</v>
      </c>
      <c r="AB355" s="1035" t="s">
        <v>1812</v>
      </c>
      <c r="AC355" s="1035" t="s">
        <v>1525</v>
      </c>
      <c r="AO355" t="str">
        <v>Save the Children Federation, Inc.</v>
      </c>
      <c r="AU355" s="1035" t="s">
        <v>459</v>
      </c>
      <c r="AV355" s="1035" t="s">
        <v>36</v>
      </c>
      <c r="AW355" s="1035" t="s">
        <v>82</v>
      </c>
      <c r="AX355" s="1035" t="s">
        <v>1675</v>
      </c>
    </row>
    <row r="356" spans="1:50" x14ac:dyDescent="0.35">
      <c r="A356">
        <v>36</v>
      </c>
      <c r="B356" t="s">
        <v>462</v>
      </c>
      <c r="C356">
        <v>1</v>
      </c>
      <c r="D356" t="s">
        <v>82</v>
      </c>
      <c r="E356">
        <v>4</v>
      </c>
      <c r="F356" t="s">
        <v>187</v>
      </c>
      <c r="G356" t="s">
        <v>1686</v>
      </c>
      <c r="H356" t="s">
        <v>1412</v>
      </c>
      <c r="I356" t="s">
        <v>1692</v>
      </c>
      <c r="J356" t="s">
        <v>1689</v>
      </c>
      <c r="O356" t="e" cm="1">
        <f t="array" ref="O356">INDEX(Grant[Country],MATCH(0,INDEX(COUNTIF($O$2:O355,Grant[Country]),),0))</f>
        <v>#N/A</v>
      </c>
      <c r="Y356" s="1035" t="s">
        <v>459</v>
      </c>
      <c r="Z356" s="1035" t="s">
        <v>1678</v>
      </c>
      <c r="AB356" s="1035" t="s">
        <v>1815</v>
      </c>
      <c r="AC356" s="1035" t="s">
        <v>1528</v>
      </c>
      <c r="AO356" t="str">
        <v>Save the Children Federation, Inc.</v>
      </c>
      <c r="AU356" s="1035" t="s">
        <v>459</v>
      </c>
      <c r="AV356" s="1035" t="s">
        <v>36</v>
      </c>
      <c r="AW356" s="1035" t="s">
        <v>82</v>
      </c>
      <c r="AX356" s="1035" t="s">
        <v>1678</v>
      </c>
    </row>
    <row r="357" spans="1:50" x14ac:dyDescent="0.35">
      <c r="A357">
        <v>36</v>
      </c>
      <c r="B357" t="s">
        <v>462</v>
      </c>
      <c r="C357">
        <v>1</v>
      </c>
      <c r="D357" t="s">
        <v>82</v>
      </c>
      <c r="E357">
        <v>1</v>
      </c>
      <c r="F357" t="s">
        <v>36</v>
      </c>
      <c r="G357" t="s">
        <v>1686</v>
      </c>
      <c r="H357" t="s">
        <v>1412</v>
      </c>
      <c r="I357" t="s">
        <v>1687</v>
      </c>
      <c r="J357" t="s">
        <v>1688</v>
      </c>
      <c r="O357" t="e" cm="1">
        <f t="array" ref="O357">INDEX(Grant[Country],MATCH(0,INDEX(COUNTIF($O$2:O356,Grant[Country]),),0))</f>
        <v>#N/A</v>
      </c>
      <c r="Y357" s="1035" t="s">
        <v>459</v>
      </c>
      <c r="Z357" s="1035" t="s">
        <v>1680</v>
      </c>
      <c r="AB357" s="1035" t="s">
        <v>1795</v>
      </c>
      <c r="AC357" s="1035" t="s">
        <v>772</v>
      </c>
      <c r="AO357" t="str">
        <v>Save the Children Federation, Inc.</v>
      </c>
      <c r="AU357" s="1035" t="s">
        <v>459</v>
      </c>
      <c r="AV357" s="1035" t="s">
        <v>37</v>
      </c>
      <c r="AW357" s="1035" t="s">
        <v>82</v>
      </c>
      <c r="AX357" s="1035" t="s">
        <v>1680</v>
      </c>
    </row>
    <row r="358" spans="1:50" x14ac:dyDescent="0.35">
      <c r="A358">
        <v>36</v>
      </c>
      <c r="B358" t="s">
        <v>462</v>
      </c>
      <c r="C358">
        <v>1</v>
      </c>
      <c r="D358" t="s">
        <v>82</v>
      </c>
      <c r="E358">
        <v>3</v>
      </c>
      <c r="F358" t="s">
        <v>37</v>
      </c>
      <c r="G358" t="s">
        <v>1686</v>
      </c>
      <c r="H358" t="s">
        <v>1412</v>
      </c>
      <c r="I358" t="s">
        <v>1690</v>
      </c>
      <c r="J358" t="s">
        <v>1691</v>
      </c>
      <c r="O358" t="e" cm="1">
        <f t="array" ref="O358">INDEX(Grant[Country],MATCH(0,INDEX(COUNTIF($O$2:O357,Grant[Country]),),0))</f>
        <v>#N/A</v>
      </c>
      <c r="Y358" s="1035" t="s">
        <v>459</v>
      </c>
      <c r="Z358" s="1035" t="s">
        <v>1676</v>
      </c>
      <c r="AB358" s="1035" t="s">
        <v>3269</v>
      </c>
      <c r="AC358" s="1035" t="s">
        <v>772</v>
      </c>
      <c r="AO358" t="str">
        <v>Save the Children Federation, Inc.</v>
      </c>
      <c r="AU358" s="1035" t="s">
        <v>459</v>
      </c>
      <c r="AV358" s="1035" t="s">
        <v>39</v>
      </c>
      <c r="AW358" s="1035" t="s">
        <v>82</v>
      </c>
      <c r="AX358" s="1035" t="s">
        <v>1676</v>
      </c>
    </row>
    <row r="359" spans="1:50" x14ac:dyDescent="0.35">
      <c r="A359">
        <v>36</v>
      </c>
      <c r="B359" t="s">
        <v>462</v>
      </c>
      <c r="C359">
        <v>1</v>
      </c>
      <c r="D359" t="s">
        <v>82</v>
      </c>
      <c r="E359">
        <v>2</v>
      </c>
      <c r="F359" t="s">
        <v>39</v>
      </c>
      <c r="G359" t="s">
        <v>1686</v>
      </c>
      <c r="H359" t="s">
        <v>1412</v>
      </c>
      <c r="I359" t="s">
        <v>1693</v>
      </c>
      <c r="J359" t="s">
        <v>1694</v>
      </c>
      <c r="O359" t="e" cm="1">
        <f t="array" ref="O359">INDEX(Grant[Country],MATCH(0,INDEX(COUNTIF($O$2:O358,Grant[Country]),),0))</f>
        <v>#N/A</v>
      </c>
      <c r="Y359" s="1035" t="s">
        <v>460</v>
      </c>
      <c r="Z359" s="1035" t="s">
        <v>1685</v>
      </c>
      <c r="AB359" s="1035" t="s">
        <v>1793</v>
      </c>
      <c r="AC359" s="1035" t="s">
        <v>1505</v>
      </c>
      <c r="AO359" t="str">
        <v>Save the Children Federation, Inc.</v>
      </c>
      <c r="AU359" s="1035" t="s">
        <v>460</v>
      </c>
      <c r="AV359" s="1035" t="s">
        <v>39</v>
      </c>
      <c r="AW359" s="1035" t="s">
        <v>367</v>
      </c>
      <c r="AX359" s="1035" t="s">
        <v>1685</v>
      </c>
    </row>
    <row r="360" spans="1:50" x14ac:dyDescent="0.35">
      <c r="A360">
        <v>56</v>
      </c>
      <c r="B360" t="s">
        <v>472</v>
      </c>
      <c r="C360">
        <v>1</v>
      </c>
      <c r="D360" t="s">
        <v>82</v>
      </c>
      <c r="E360">
        <v>1</v>
      </c>
      <c r="F360" t="s">
        <v>36</v>
      </c>
      <c r="G360" t="s">
        <v>1769</v>
      </c>
      <c r="H360" t="s">
        <v>772</v>
      </c>
      <c r="I360" t="s">
        <v>1770</v>
      </c>
      <c r="J360" t="s">
        <v>1771</v>
      </c>
      <c r="O360" t="e" cm="1">
        <f t="array" ref="O360">INDEX(Grant[Country],MATCH(0,INDEX(COUNTIF($O$2:O359,Grant[Country]),),0))</f>
        <v>#N/A</v>
      </c>
      <c r="Y360" s="1035" t="s">
        <v>461</v>
      </c>
      <c r="Z360" s="1035" t="s">
        <v>3541</v>
      </c>
      <c r="AB360" s="1035" t="s">
        <v>1840</v>
      </c>
      <c r="AC360" s="1035" t="s">
        <v>772</v>
      </c>
      <c r="AO360" t="str">
        <v>Save the Children Federation, Inc.</v>
      </c>
      <c r="AU360" s="1035" t="s">
        <v>461</v>
      </c>
      <c r="AV360" s="1035" t="s">
        <v>36</v>
      </c>
      <c r="AW360" s="1035" t="s">
        <v>82</v>
      </c>
      <c r="AX360" s="1035" t="s">
        <v>3541</v>
      </c>
    </row>
    <row r="361" spans="1:50" x14ac:dyDescent="0.35">
      <c r="A361">
        <v>56</v>
      </c>
      <c r="B361" t="s">
        <v>472</v>
      </c>
      <c r="C361">
        <v>1</v>
      </c>
      <c r="D361" t="s">
        <v>82</v>
      </c>
      <c r="E361">
        <v>3</v>
      </c>
      <c r="F361" t="s">
        <v>37</v>
      </c>
      <c r="G361" t="s">
        <v>1776</v>
      </c>
      <c r="H361" t="s">
        <v>1492</v>
      </c>
      <c r="I361" t="s">
        <v>1777</v>
      </c>
      <c r="J361" t="s">
        <v>1772</v>
      </c>
      <c r="O361" t="e" cm="1">
        <f t="array" ref="O361">INDEX(Grant[Country],MATCH(0,INDEX(COUNTIF($O$2:O360,Grant[Country]),),0))</f>
        <v>#N/A</v>
      </c>
      <c r="Y361" s="1035" t="s">
        <v>462</v>
      </c>
      <c r="Z361" s="1035" t="s">
        <v>1689</v>
      </c>
      <c r="AB361" s="1035" t="s">
        <v>1818</v>
      </c>
      <c r="AC361" s="1035" t="s">
        <v>1530</v>
      </c>
      <c r="AO361" t="str">
        <v>Save the Children Federation, Inc.</v>
      </c>
      <c r="AU361" s="1035" t="s">
        <v>462</v>
      </c>
      <c r="AV361" s="1035" t="s">
        <v>36</v>
      </c>
      <c r="AW361" s="1035" t="s">
        <v>82</v>
      </c>
      <c r="AX361" s="1035" t="s">
        <v>1688</v>
      </c>
    </row>
    <row r="362" spans="1:50" x14ac:dyDescent="0.35">
      <c r="A362">
        <v>56</v>
      </c>
      <c r="B362" t="s">
        <v>472</v>
      </c>
      <c r="C362">
        <v>1</v>
      </c>
      <c r="D362" t="s">
        <v>82</v>
      </c>
      <c r="E362">
        <v>3</v>
      </c>
      <c r="F362" t="s">
        <v>37</v>
      </c>
      <c r="G362" t="s">
        <v>1769</v>
      </c>
      <c r="H362" t="s">
        <v>772</v>
      </c>
      <c r="I362" t="s">
        <v>3266</v>
      </c>
      <c r="J362" t="s">
        <v>3267</v>
      </c>
      <c r="O362" t="e" cm="1">
        <f t="array" ref="O362">INDEX(Grant[Country],MATCH(0,INDEX(COUNTIF($O$2:O361,Grant[Country]),),0))</f>
        <v>#N/A</v>
      </c>
      <c r="Y362" s="1035" t="s">
        <v>462</v>
      </c>
      <c r="Z362" s="1035" t="s">
        <v>1688</v>
      </c>
      <c r="AB362" s="1035" t="s">
        <v>1820</v>
      </c>
      <c r="AC362" s="1035" t="s">
        <v>1530</v>
      </c>
      <c r="AO362" t="str">
        <v>Save the Children Federation, Inc.</v>
      </c>
      <c r="AU362" s="1035" t="s">
        <v>462</v>
      </c>
      <c r="AV362" s="1035" t="s">
        <v>37</v>
      </c>
      <c r="AW362" s="1035" t="s">
        <v>82</v>
      </c>
      <c r="AX362" s="1035" t="s">
        <v>1691</v>
      </c>
    </row>
    <row r="363" spans="1:50" x14ac:dyDescent="0.35">
      <c r="A363">
        <v>56</v>
      </c>
      <c r="B363" t="s">
        <v>472</v>
      </c>
      <c r="C363">
        <v>1</v>
      </c>
      <c r="D363" t="s">
        <v>82</v>
      </c>
      <c r="E363">
        <v>6</v>
      </c>
      <c r="F363" t="s">
        <v>2004</v>
      </c>
      <c r="G363" t="s">
        <v>1776</v>
      </c>
      <c r="H363" t="s">
        <v>1492</v>
      </c>
      <c r="I363" t="s">
        <v>1783</v>
      </c>
      <c r="J363" t="s">
        <v>1775</v>
      </c>
      <c r="O363" t="e" cm="1">
        <f t="array" ref="O363">INDEX(Grant[Country],MATCH(0,INDEX(COUNTIF($O$2:O362,Grant[Country]),),0))</f>
        <v>#N/A</v>
      </c>
      <c r="Y363" s="1035" t="s">
        <v>462</v>
      </c>
      <c r="Z363" s="1035" t="s">
        <v>1691</v>
      </c>
      <c r="AB363" s="1035" t="s">
        <v>1822</v>
      </c>
      <c r="AC363" s="1035" t="s">
        <v>1530</v>
      </c>
      <c r="AO363" t="str">
        <v>Save the Children Federation, Inc.</v>
      </c>
      <c r="AU363" s="1035" t="s">
        <v>462</v>
      </c>
      <c r="AV363" s="1035" t="s">
        <v>187</v>
      </c>
      <c r="AW363" s="1035" t="s">
        <v>82</v>
      </c>
      <c r="AX363" s="1035" t="s">
        <v>1689</v>
      </c>
    </row>
    <row r="364" spans="1:50" x14ac:dyDescent="0.35">
      <c r="A364">
        <v>56</v>
      </c>
      <c r="B364" t="s">
        <v>472</v>
      </c>
      <c r="C364">
        <v>1</v>
      </c>
      <c r="D364" t="s">
        <v>82</v>
      </c>
      <c r="E364">
        <v>2</v>
      </c>
      <c r="F364" t="s">
        <v>39</v>
      </c>
      <c r="G364" t="s">
        <v>1769</v>
      </c>
      <c r="H364" t="s">
        <v>772</v>
      </c>
      <c r="I364" t="s">
        <v>1786</v>
      </c>
      <c r="J364" t="s">
        <v>1780</v>
      </c>
      <c r="O364" t="e" cm="1">
        <f t="array" ref="O364">INDEX(Grant[Country],MATCH(0,INDEX(COUNTIF($O$2:O363,Grant[Country]),),0))</f>
        <v>#N/A</v>
      </c>
      <c r="Y364" s="1035" t="s">
        <v>462</v>
      </c>
      <c r="Z364" s="1035" t="s">
        <v>1694</v>
      </c>
      <c r="AB364" s="1035" t="s">
        <v>1802</v>
      </c>
      <c r="AC364" s="1035" t="s">
        <v>937</v>
      </c>
      <c r="AO364" t="str">
        <v>Save the Children Federation, Inc.</v>
      </c>
      <c r="AU364" s="1035" t="s">
        <v>462</v>
      </c>
      <c r="AV364" s="1035" t="s">
        <v>39</v>
      </c>
      <c r="AW364" s="1035" t="s">
        <v>82</v>
      </c>
      <c r="AX364" s="1035" t="s">
        <v>1694</v>
      </c>
    </row>
    <row r="365" spans="1:50" x14ac:dyDescent="0.35">
      <c r="A365">
        <v>77</v>
      </c>
      <c r="B365" t="s">
        <v>464</v>
      </c>
      <c r="C365">
        <v>2</v>
      </c>
      <c r="D365" t="s">
        <v>367</v>
      </c>
      <c r="E365">
        <v>1</v>
      </c>
      <c r="F365" t="s">
        <v>36</v>
      </c>
      <c r="G365" t="s">
        <v>1698</v>
      </c>
      <c r="H365" t="s">
        <v>1431</v>
      </c>
      <c r="I365" t="s">
        <v>1699</v>
      </c>
      <c r="J365" t="s">
        <v>1700</v>
      </c>
      <c r="O365" t="e" cm="1">
        <f t="array" ref="O365">INDEX(Grant[Country],MATCH(0,INDEX(COUNTIF($O$2:O364,Grant[Country]),),0))</f>
        <v>#N/A</v>
      </c>
      <c r="Y365" s="1035" t="s">
        <v>463</v>
      </c>
      <c r="Z365" s="1035" t="s">
        <v>1697</v>
      </c>
      <c r="AB365" s="1035" t="s">
        <v>1833</v>
      </c>
      <c r="AC365" s="1035" t="s">
        <v>1545</v>
      </c>
      <c r="AO365" t="str">
        <v>Save the Children Federation, Inc.</v>
      </c>
      <c r="AU365" s="1035" t="s">
        <v>463</v>
      </c>
      <c r="AV365" s="1035" t="s">
        <v>187</v>
      </c>
      <c r="AW365" s="1035" t="s">
        <v>367</v>
      </c>
      <c r="AX365" s="1035" t="s">
        <v>1697</v>
      </c>
    </row>
    <row r="366" spans="1:50" x14ac:dyDescent="0.35">
      <c r="A366">
        <v>77</v>
      </c>
      <c r="B366" t="s">
        <v>464</v>
      </c>
      <c r="C366">
        <v>2</v>
      </c>
      <c r="D366" t="s">
        <v>367</v>
      </c>
      <c r="E366">
        <v>1</v>
      </c>
      <c r="F366" t="s">
        <v>36</v>
      </c>
      <c r="G366" t="s">
        <v>1701</v>
      </c>
      <c r="H366" t="s">
        <v>1436</v>
      </c>
      <c r="I366" t="s">
        <v>1702</v>
      </c>
      <c r="J366" t="s">
        <v>1703</v>
      </c>
      <c r="O366" t="e" cm="1">
        <f t="array" ref="O366">INDEX(Grant[Country],MATCH(0,INDEX(COUNTIF($O$2:O365,Grant[Country]),),0))</f>
        <v>#N/A</v>
      </c>
      <c r="Y366" s="1035" t="s">
        <v>463</v>
      </c>
      <c r="Z366" s="1035" t="s">
        <v>3558</v>
      </c>
      <c r="AB366" s="1035" t="s">
        <v>1834</v>
      </c>
      <c r="AC366" s="1035" t="s">
        <v>1542</v>
      </c>
      <c r="AO366" t="str">
        <v>Secrétariat Exécutif du Comité National de Lutte contre le Sida de la République de Guinée</v>
      </c>
      <c r="AU366" s="1035" t="s">
        <v>463</v>
      </c>
      <c r="AV366" s="1035" t="s">
        <v>187</v>
      </c>
      <c r="AW366" s="1035" t="s">
        <v>367</v>
      </c>
      <c r="AX366" s="1035" t="s">
        <v>3558</v>
      </c>
    </row>
    <row r="367" spans="1:50" x14ac:dyDescent="0.35">
      <c r="A367">
        <v>77</v>
      </c>
      <c r="B367" t="s">
        <v>464</v>
      </c>
      <c r="C367">
        <v>2</v>
      </c>
      <c r="D367" t="s">
        <v>367</v>
      </c>
      <c r="E367">
        <v>3</v>
      </c>
      <c r="F367" t="s">
        <v>37</v>
      </c>
      <c r="G367" t="s">
        <v>1708</v>
      </c>
      <c r="H367" t="s">
        <v>1441</v>
      </c>
      <c r="I367" t="s">
        <v>1709</v>
      </c>
      <c r="J367" t="s">
        <v>1707</v>
      </c>
      <c r="O367" t="e" cm="1">
        <f t="array" ref="O367">INDEX(Grant[Country],MATCH(0,INDEX(COUNTIF($O$2:O366,Grant[Country]),),0))</f>
        <v>#N/A</v>
      </c>
      <c r="Y367" s="1035" t="s">
        <v>464</v>
      </c>
      <c r="Z367" s="1035" t="s">
        <v>1700</v>
      </c>
      <c r="AB367" s="1035" t="s">
        <v>1832</v>
      </c>
      <c r="AC367" s="1035" t="s">
        <v>1545</v>
      </c>
      <c r="AO367" t="str">
        <v>Sécrétariat Exécutif du Comité National de Lutte Contre le VIH/SIDA de la République de Madagascar</v>
      </c>
      <c r="AU367" s="1035" t="s">
        <v>464</v>
      </c>
      <c r="AV367" s="1035" t="s">
        <v>36</v>
      </c>
      <c r="AW367" s="1035" t="s">
        <v>367</v>
      </c>
      <c r="AX367" s="1035" t="s">
        <v>1700</v>
      </c>
    </row>
    <row r="368" spans="1:50" x14ac:dyDescent="0.35">
      <c r="A368">
        <v>77</v>
      </c>
      <c r="B368" t="s">
        <v>464</v>
      </c>
      <c r="C368">
        <v>2</v>
      </c>
      <c r="D368" t="s">
        <v>367</v>
      </c>
      <c r="E368">
        <v>6</v>
      </c>
      <c r="F368" t="s">
        <v>2004</v>
      </c>
      <c r="G368" t="s">
        <v>1708</v>
      </c>
      <c r="H368" t="s">
        <v>1441</v>
      </c>
      <c r="I368" t="s">
        <v>1711</v>
      </c>
      <c r="J368" t="s">
        <v>1710</v>
      </c>
      <c r="O368" t="e" cm="1">
        <f t="array" ref="O368">INDEX(Grant[Country],MATCH(0,INDEX(COUNTIF($O$2:O367,Grant[Country]),),0))</f>
        <v>#N/A</v>
      </c>
      <c r="Y368" s="1035" t="s">
        <v>464</v>
      </c>
      <c r="Z368" s="1035" t="s">
        <v>1703</v>
      </c>
      <c r="AB368" s="1035" t="s">
        <v>1800</v>
      </c>
      <c r="AC368" s="1035" t="s">
        <v>3413</v>
      </c>
      <c r="AO368" t="str">
        <v>Secrétariat Exécutif National de Lutte contre le SIDA de la République Islamique de Mauritanie</v>
      </c>
      <c r="AU368" s="1035" t="s">
        <v>464</v>
      </c>
      <c r="AV368" s="1035" t="s">
        <v>36</v>
      </c>
      <c r="AW368" s="1035" t="s">
        <v>367</v>
      </c>
      <c r="AX368" s="1035" t="s">
        <v>1703</v>
      </c>
    </row>
    <row r="369" spans="1:50" x14ac:dyDescent="0.35">
      <c r="A369">
        <v>77</v>
      </c>
      <c r="B369" t="s">
        <v>464</v>
      </c>
      <c r="C369">
        <v>2</v>
      </c>
      <c r="D369" t="s">
        <v>367</v>
      </c>
      <c r="E369">
        <v>5</v>
      </c>
      <c r="F369" t="s">
        <v>187</v>
      </c>
      <c r="G369" t="s">
        <v>1708</v>
      </c>
      <c r="H369" t="s">
        <v>1441</v>
      </c>
      <c r="I369" t="s">
        <v>1713</v>
      </c>
      <c r="J369" t="s">
        <v>1712</v>
      </c>
      <c r="O369" t="e" cm="1">
        <f t="array" ref="O369">INDEX(Grant[Country],MATCH(0,INDEX(COUNTIF($O$2:O368,Grant[Country]),),0))</f>
        <v>#N/A</v>
      </c>
      <c r="Y369" s="1035" t="s">
        <v>464</v>
      </c>
      <c r="Z369" s="1035" t="s">
        <v>1707</v>
      </c>
      <c r="AB369" s="1035" t="s">
        <v>1808</v>
      </c>
      <c r="AC369" s="1035" t="s">
        <v>814</v>
      </c>
      <c r="AO369" t="str">
        <v>Secrétariat Exécutif National de Lutte contre le SIDA de la République Islamique de Mauritanie</v>
      </c>
      <c r="AU369" s="1035" t="s">
        <v>464</v>
      </c>
      <c r="AV369" s="1035" t="s">
        <v>36</v>
      </c>
      <c r="AW369" s="1035" t="s">
        <v>367</v>
      </c>
      <c r="AX369" s="1035" t="s">
        <v>1706</v>
      </c>
    </row>
    <row r="370" spans="1:50" x14ac:dyDescent="0.35">
      <c r="A370">
        <v>77</v>
      </c>
      <c r="B370" t="s">
        <v>464</v>
      </c>
      <c r="C370">
        <v>2</v>
      </c>
      <c r="D370" t="s">
        <v>367</v>
      </c>
      <c r="E370">
        <v>5</v>
      </c>
      <c r="F370" t="s">
        <v>187</v>
      </c>
      <c r="G370" t="s">
        <v>3542</v>
      </c>
      <c r="H370" t="s">
        <v>827</v>
      </c>
      <c r="I370" t="s">
        <v>3543</v>
      </c>
      <c r="J370" t="s">
        <v>3544</v>
      </c>
      <c r="O370" t="e" cm="1">
        <f t="array" ref="O370">INDEX(Grant[Country],MATCH(0,INDEX(COUNTIF($O$2:O369,Grant[Country]),),0))</f>
        <v>#N/A</v>
      </c>
      <c r="Y370" s="1035" t="s">
        <v>464</v>
      </c>
      <c r="Z370" s="1035" t="s">
        <v>1710</v>
      </c>
      <c r="AB370" s="1035" t="s">
        <v>1804</v>
      </c>
      <c r="AC370" s="1035" t="s">
        <v>1515</v>
      </c>
      <c r="AO370" t="str">
        <v>Secrétariat Exécutif National de Lutte contre le SIDA de la République Islamique de Mauritanie</v>
      </c>
      <c r="AU370" s="1035" t="s">
        <v>464</v>
      </c>
      <c r="AV370" s="1035" t="s">
        <v>37</v>
      </c>
      <c r="AW370" s="1035" t="s">
        <v>367</v>
      </c>
      <c r="AX370" s="1035" t="s">
        <v>1707</v>
      </c>
    </row>
    <row r="371" spans="1:50" x14ac:dyDescent="0.35">
      <c r="A371">
        <v>227</v>
      </c>
      <c r="B371" t="s">
        <v>467</v>
      </c>
      <c r="C371">
        <v>1</v>
      </c>
      <c r="D371" t="s">
        <v>82</v>
      </c>
      <c r="E371">
        <v>4</v>
      </c>
      <c r="F371" t="s">
        <v>187</v>
      </c>
      <c r="G371" t="s">
        <v>1728</v>
      </c>
      <c r="H371" t="s">
        <v>1465</v>
      </c>
      <c r="I371" t="s">
        <v>1732</v>
      </c>
      <c r="J371" t="s">
        <v>1731</v>
      </c>
      <c r="O371" t="e" cm="1">
        <f t="array" ref="O371">INDEX(Grant[Country],MATCH(0,INDEX(COUNTIF($O$2:O370,Grant[Country]),),0))</f>
        <v>#N/A</v>
      </c>
      <c r="Y371" s="1035" t="s">
        <v>464</v>
      </c>
      <c r="Z371" s="1035" t="s">
        <v>1712</v>
      </c>
      <c r="AB371" s="1035" t="s">
        <v>1851</v>
      </c>
      <c r="AC371" s="1035" t="s">
        <v>1559</v>
      </c>
      <c r="AO371" t="str">
        <v>Secrétariat Exécutif National de Lutte contre le SIDA de la République Islamique de Mauritanie</v>
      </c>
      <c r="AU371" s="1035" t="s">
        <v>464</v>
      </c>
      <c r="AV371" s="1035" t="s">
        <v>187</v>
      </c>
      <c r="AW371" s="1035" t="s">
        <v>367</v>
      </c>
      <c r="AX371" s="1035" t="s">
        <v>1712</v>
      </c>
    </row>
    <row r="372" spans="1:50" x14ac:dyDescent="0.35">
      <c r="A372">
        <v>227</v>
      </c>
      <c r="B372" t="s">
        <v>467</v>
      </c>
      <c r="C372">
        <v>1</v>
      </c>
      <c r="D372" t="s">
        <v>82</v>
      </c>
      <c r="E372">
        <v>3</v>
      </c>
      <c r="F372" t="s">
        <v>37</v>
      </c>
      <c r="G372" t="s">
        <v>1728</v>
      </c>
      <c r="H372" t="s">
        <v>1465</v>
      </c>
      <c r="I372" t="s">
        <v>1729</v>
      </c>
      <c r="J372" t="s">
        <v>1730</v>
      </c>
      <c r="O372" t="e" cm="1">
        <f t="array" ref="O372">INDEX(Grant[Country],MATCH(0,INDEX(COUNTIF($O$2:O371,Grant[Country]),),0))</f>
        <v>#N/A</v>
      </c>
      <c r="Y372" s="1035" t="s">
        <v>464</v>
      </c>
      <c r="Z372" s="1035" t="s">
        <v>1706</v>
      </c>
      <c r="AB372" s="1035" t="s">
        <v>1843</v>
      </c>
      <c r="AC372" s="1035" t="s">
        <v>1556</v>
      </c>
      <c r="AO372" t="str">
        <v>Secrétariat Exécutif Permanent du Conseil National de Lutte contre le SIDA</v>
      </c>
      <c r="AU372" s="1035" t="s">
        <v>464</v>
      </c>
      <c r="AV372" s="1035" t="s">
        <v>187</v>
      </c>
      <c r="AW372" s="1035" t="s">
        <v>367</v>
      </c>
      <c r="AX372" s="1035" t="s">
        <v>3544</v>
      </c>
    </row>
    <row r="373" spans="1:50" x14ac:dyDescent="0.35">
      <c r="A373">
        <v>227</v>
      </c>
      <c r="B373" t="s">
        <v>467</v>
      </c>
      <c r="C373">
        <v>1</v>
      </c>
      <c r="D373" t="s">
        <v>82</v>
      </c>
      <c r="E373">
        <v>2</v>
      </c>
      <c r="F373" t="s">
        <v>39</v>
      </c>
      <c r="G373" t="s">
        <v>1728</v>
      </c>
      <c r="H373" t="s">
        <v>1465</v>
      </c>
      <c r="I373" t="s">
        <v>1733</v>
      </c>
      <c r="J373" t="s">
        <v>1734</v>
      </c>
      <c r="O373" t="e" cm="1">
        <f t="array" ref="O373">INDEX(Grant[Country],MATCH(0,INDEX(COUNTIF($O$2:O372,Grant[Country]),),0))</f>
        <v>#N/A</v>
      </c>
      <c r="Y373" s="1035" t="s">
        <v>464</v>
      </c>
      <c r="Z373" s="1035" t="s">
        <v>3544</v>
      </c>
      <c r="AB373" s="1035" t="s">
        <v>1845</v>
      </c>
      <c r="AC373" s="1035" t="s">
        <v>1556</v>
      </c>
      <c r="AO373" t="str">
        <v>Secrétariat Exécutif Permanent du Conseil National de Lutte contre le SIDA</v>
      </c>
      <c r="AU373" s="1035" t="s">
        <v>464</v>
      </c>
      <c r="AV373" s="1035" t="s">
        <v>2004</v>
      </c>
      <c r="AW373" s="1035" t="s">
        <v>367</v>
      </c>
      <c r="AX373" s="1035" t="s">
        <v>1710</v>
      </c>
    </row>
    <row r="374" spans="1:50" x14ac:dyDescent="0.35">
      <c r="A374">
        <v>78</v>
      </c>
      <c r="B374" t="s">
        <v>466</v>
      </c>
      <c r="C374">
        <v>1</v>
      </c>
      <c r="D374" t="s">
        <v>82</v>
      </c>
      <c r="E374">
        <v>1</v>
      </c>
      <c r="F374" t="s">
        <v>36</v>
      </c>
      <c r="G374" t="s">
        <v>1717</v>
      </c>
      <c r="H374" t="s">
        <v>1454</v>
      </c>
      <c r="I374" t="s">
        <v>1718</v>
      </c>
      <c r="J374" t="s">
        <v>1719</v>
      </c>
      <c r="O374" t="e" cm="1">
        <f t="array" ref="O374">INDEX(Grant[Country],MATCH(0,INDEX(COUNTIF($O$2:O373,Grant[Country]),),0))</f>
        <v>#N/A</v>
      </c>
      <c r="Y374" s="1035" t="s">
        <v>465</v>
      </c>
      <c r="Z374" s="1035" t="s">
        <v>1716</v>
      </c>
      <c r="AB374" s="1035" t="s">
        <v>1848</v>
      </c>
      <c r="AC374" s="1035" t="s">
        <v>1559</v>
      </c>
      <c r="AO374" t="str">
        <v>Secrétariat Exécutif Permanent du Conseil National de Lutte contre le SIDA</v>
      </c>
      <c r="AU374" s="1035" t="s">
        <v>465</v>
      </c>
      <c r="AV374" s="1035" t="s">
        <v>36</v>
      </c>
      <c r="AW374" s="1035" t="s">
        <v>367</v>
      </c>
      <c r="AX374" s="1035" t="s">
        <v>1716</v>
      </c>
    </row>
    <row r="375" spans="1:50" x14ac:dyDescent="0.35">
      <c r="A375">
        <v>78</v>
      </c>
      <c r="B375" t="s">
        <v>466</v>
      </c>
      <c r="C375">
        <v>1</v>
      </c>
      <c r="D375" t="s">
        <v>82</v>
      </c>
      <c r="E375">
        <v>3</v>
      </c>
      <c r="F375" t="s">
        <v>37</v>
      </c>
      <c r="G375" t="s">
        <v>1721</v>
      </c>
      <c r="H375" t="s">
        <v>1039</v>
      </c>
      <c r="I375" t="s">
        <v>1722</v>
      </c>
      <c r="J375" t="s">
        <v>1720</v>
      </c>
      <c r="O375" t="e" cm="1">
        <f t="array" ref="O375">INDEX(Grant[Country],MATCH(0,INDEX(COUNTIF($O$2:O374,Grant[Country]),),0))</f>
        <v>#N/A</v>
      </c>
      <c r="Y375" s="1035" t="s">
        <v>466</v>
      </c>
      <c r="Z375" s="1035" t="s">
        <v>1719</v>
      </c>
      <c r="AB375" s="1035" t="s">
        <v>1853</v>
      </c>
      <c r="AC375" s="1035" t="s">
        <v>1559</v>
      </c>
      <c r="AO375" t="str">
        <v>Secrétariat Permanent du Conseil National de Lutte contre le Sida et les Infections Sexuellement Transmissibles (SP/CNLS-IST)</v>
      </c>
      <c r="AU375" s="1035" t="s">
        <v>466</v>
      </c>
      <c r="AV375" s="1035" t="s">
        <v>36</v>
      </c>
      <c r="AW375" s="1035" t="s">
        <v>82</v>
      </c>
      <c r="AX375" s="1035" t="s">
        <v>1719</v>
      </c>
    </row>
    <row r="376" spans="1:50" x14ac:dyDescent="0.35">
      <c r="A376">
        <v>78</v>
      </c>
      <c r="B376" t="s">
        <v>466</v>
      </c>
      <c r="C376">
        <v>1</v>
      </c>
      <c r="D376" t="s">
        <v>82</v>
      </c>
      <c r="E376">
        <v>3</v>
      </c>
      <c r="F376" t="s">
        <v>37</v>
      </c>
      <c r="G376" t="s">
        <v>1724</v>
      </c>
      <c r="H376" t="s">
        <v>1452</v>
      </c>
      <c r="I376" t="s">
        <v>1725</v>
      </c>
      <c r="J376" t="s">
        <v>1723</v>
      </c>
      <c r="K376" t="s">
        <v>2704</v>
      </c>
      <c r="L376" t="s">
        <v>2705</v>
      </c>
      <c r="O376" t="e" cm="1">
        <f t="array" ref="O376">INDEX(Grant[Country],MATCH(0,INDEX(COUNTIF($O$2:O375,Grant[Country]),),0))</f>
        <v>#N/A</v>
      </c>
      <c r="Y376" s="1035" t="s">
        <v>466</v>
      </c>
      <c r="Z376" s="1035" t="s">
        <v>1720</v>
      </c>
      <c r="AB376" s="1035" t="s">
        <v>1849</v>
      </c>
      <c r="AC376" s="1035" t="s">
        <v>1556</v>
      </c>
      <c r="AO376" t="str">
        <v>Social Security Board</v>
      </c>
      <c r="AU376" s="1035" t="s">
        <v>466</v>
      </c>
      <c r="AV376" s="1035" t="s">
        <v>37</v>
      </c>
      <c r="AW376" s="1035" t="s">
        <v>82</v>
      </c>
      <c r="AX376" s="1035" t="s">
        <v>1720</v>
      </c>
    </row>
    <row r="377" spans="1:50" x14ac:dyDescent="0.35">
      <c r="A377">
        <v>78</v>
      </c>
      <c r="B377" t="s">
        <v>466</v>
      </c>
      <c r="C377">
        <v>1</v>
      </c>
      <c r="D377" t="s">
        <v>82</v>
      </c>
      <c r="E377">
        <v>5</v>
      </c>
      <c r="F377" t="s">
        <v>187</v>
      </c>
      <c r="G377" t="s">
        <v>1721</v>
      </c>
      <c r="H377" t="s">
        <v>1039</v>
      </c>
      <c r="I377" t="s">
        <v>3545</v>
      </c>
      <c r="J377" t="s">
        <v>3546</v>
      </c>
      <c r="K377" t="s">
        <v>2704</v>
      </c>
      <c r="L377" t="s">
        <v>2705</v>
      </c>
      <c r="O377" t="e" cm="1">
        <f t="array" ref="O377">INDEX(Grant[Country],MATCH(0,INDEX(COUNTIF($O$2:O376,Grant[Country]),),0))</f>
        <v>#N/A</v>
      </c>
      <c r="Y377" s="1035" t="s">
        <v>466</v>
      </c>
      <c r="Z377" s="1035" t="s">
        <v>1723</v>
      </c>
      <c r="AB377" s="1035" t="s">
        <v>1860</v>
      </c>
      <c r="AC377" s="1035" t="s">
        <v>1563</v>
      </c>
      <c r="AO377" t="str">
        <v>Society For Family Health</v>
      </c>
      <c r="AU377" s="1035" t="s">
        <v>466</v>
      </c>
      <c r="AV377" s="1035" t="s">
        <v>37</v>
      </c>
      <c r="AW377" s="1035" t="s">
        <v>82</v>
      </c>
      <c r="AX377" s="1035" t="s">
        <v>1723</v>
      </c>
    </row>
    <row r="378" spans="1:50" x14ac:dyDescent="0.35">
      <c r="A378">
        <v>78</v>
      </c>
      <c r="B378" t="s">
        <v>466</v>
      </c>
      <c r="C378">
        <v>1</v>
      </c>
      <c r="D378" t="s">
        <v>82</v>
      </c>
      <c r="E378">
        <v>5</v>
      </c>
      <c r="F378" t="s">
        <v>187</v>
      </c>
      <c r="G378" t="s">
        <v>1724</v>
      </c>
      <c r="H378" t="s">
        <v>1452</v>
      </c>
      <c r="I378" t="s">
        <v>1727</v>
      </c>
      <c r="J378" t="s">
        <v>1726</v>
      </c>
      <c r="K378" t="s">
        <v>2706</v>
      </c>
      <c r="L378" t="s">
        <v>2707</v>
      </c>
      <c r="O378" t="e" cm="1">
        <f t="array" ref="O378">INDEX(Grant[Country],MATCH(0,INDEX(COUNTIF($O$2:O377,Grant[Country]),),0))</f>
        <v>#N/A</v>
      </c>
      <c r="Y378" s="1035" t="s">
        <v>466</v>
      </c>
      <c r="Z378" s="1035" t="s">
        <v>1726</v>
      </c>
      <c r="AB378" s="1035" t="s">
        <v>1857</v>
      </c>
      <c r="AC378" s="1035" t="s">
        <v>1560</v>
      </c>
      <c r="AO378" t="str">
        <v>Socios en Salud sucursal Peru</v>
      </c>
      <c r="AU378" s="1035" t="s">
        <v>466</v>
      </c>
      <c r="AV378" s="1035" t="s">
        <v>187</v>
      </c>
      <c r="AW378" s="1035" t="s">
        <v>82</v>
      </c>
      <c r="AX378" s="1035" t="s">
        <v>1726</v>
      </c>
    </row>
    <row r="379" spans="1:50" x14ac:dyDescent="0.35">
      <c r="A379">
        <v>82</v>
      </c>
      <c r="B379" t="s">
        <v>404</v>
      </c>
      <c r="C379">
        <v>1</v>
      </c>
      <c r="D379" t="s">
        <v>82</v>
      </c>
      <c r="E379">
        <v>4</v>
      </c>
      <c r="F379" t="s">
        <v>187</v>
      </c>
      <c r="G379" t="s">
        <v>1107</v>
      </c>
      <c r="H379" t="s">
        <v>994</v>
      </c>
      <c r="I379" t="s">
        <v>3547</v>
      </c>
      <c r="J379" t="s">
        <v>3548</v>
      </c>
      <c r="K379" t="s">
        <v>2708</v>
      </c>
      <c r="L379" t="s">
        <v>2709</v>
      </c>
      <c r="O379" t="e" cm="1">
        <f t="array" ref="O379">INDEX(Grant[Country],MATCH(0,INDEX(COUNTIF($O$2:O378,Grant[Country]),),0))</f>
        <v>#N/A</v>
      </c>
      <c r="Y379" s="1035" t="s">
        <v>466</v>
      </c>
      <c r="Z379" s="1035" t="s">
        <v>3546</v>
      </c>
      <c r="AB379" s="1035" t="s">
        <v>1863</v>
      </c>
      <c r="AC379" s="1035" t="s">
        <v>1567</v>
      </c>
      <c r="AO379" t="str">
        <v>Socios en Salud sucursal Peru</v>
      </c>
      <c r="AU379" s="1035" t="s">
        <v>466</v>
      </c>
      <c r="AV379" s="1035" t="s">
        <v>187</v>
      </c>
      <c r="AW379" s="1035" t="s">
        <v>82</v>
      </c>
      <c r="AX379" s="1035" t="s">
        <v>3546</v>
      </c>
    </row>
    <row r="380" spans="1:50" x14ac:dyDescent="0.35">
      <c r="A380">
        <v>82</v>
      </c>
      <c r="B380" t="s">
        <v>404</v>
      </c>
      <c r="C380">
        <v>1</v>
      </c>
      <c r="D380" t="s">
        <v>82</v>
      </c>
      <c r="E380">
        <v>1</v>
      </c>
      <c r="F380" t="s">
        <v>36</v>
      </c>
      <c r="G380" t="s">
        <v>1107</v>
      </c>
      <c r="H380" t="s">
        <v>994</v>
      </c>
      <c r="I380" t="s">
        <v>1108</v>
      </c>
      <c r="J380" t="s">
        <v>1109</v>
      </c>
      <c r="K380" t="s">
        <v>2708</v>
      </c>
      <c r="L380" t="s">
        <v>2709</v>
      </c>
      <c r="O380" t="e" cm="1">
        <f t="array" ref="O380">INDEX(Grant[Country],MATCH(0,INDEX(COUNTIF($O$2:O379,Grant[Country]),),0))</f>
        <v>#N/A</v>
      </c>
      <c r="Y380" s="1035" t="s">
        <v>467</v>
      </c>
      <c r="Z380" s="1035" t="s">
        <v>1731</v>
      </c>
      <c r="AB380" s="1035" t="s">
        <v>1866</v>
      </c>
      <c r="AC380" s="1035" t="s">
        <v>1573</v>
      </c>
      <c r="AO380" t="str">
        <v>Solidarity and Action Against The HIV Infection in India</v>
      </c>
      <c r="AU380" s="1035" t="s">
        <v>467</v>
      </c>
      <c r="AV380" s="1035" t="s">
        <v>37</v>
      </c>
      <c r="AW380" s="1035" t="s">
        <v>82</v>
      </c>
      <c r="AX380" s="1035" t="s">
        <v>1730</v>
      </c>
    </row>
    <row r="381" spans="1:50" x14ac:dyDescent="0.35">
      <c r="A381">
        <v>82</v>
      </c>
      <c r="B381" t="s">
        <v>404</v>
      </c>
      <c r="C381">
        <v>1</v>
      </c>
      <c r="D381" t="s">
        <v>82</v>
      </c>
      <c r="E381">
        <v>1</v>
      </c>
      <c r="F381" t="s">
        <v>36</v>
      </c>
      <c r="G381" t="s">
        <v>3549</v>
      </c>
      <c r="H381" t="s">
        <v>3550</v>
      </c>
      <c r="I381" t="s">
        <v>3551</v>
      </c>
      <c r="J381" t="s">
        <v>3552</v>
      </c>
      <c r="O381" t="e" cm="1">
        <f t="array" ref="O381">INDEX(Grant[Country],MATCH(0,INDEX(COUNTIF($O$2:O380,Grant[Country]),),0))</f>
        <v>#N/A</v>
      </c>
      <c r="Y381" s="1035" t="s">
        <v>467</v>
      </c>
      <c r="Z381" s="1035" t="s">
        <v>1730</v>
      </c>
      <c r="AB381" s="1035" t="s">
        <v>1867</v>
      </c>
      <c r="AC381" s="1035" t="s">
        <v>1572</v>
      </c>
      <c r="AO381" t="str">
        <v>Solomon Islands Ministry of Health and Medical Services</v>
      </c>
      <c r="AU381" s="1035" t="s">
        <v>467</v>
      </c>
      <c r="AV381" s="1035" t="s">
        <v>187</v>
      </c>
      <c r="AW381" s="1035" t="s">
        <v>82</v>
      </c>
      <c r="AX381" s="1035" t="s">
        <v>1731</v>
      </c>
    </row>
    <row r="382" spans="1:50" x14ac:dyDescent="0.35">
      <c r="A382">
        <v>82</v>
      </c>
      <c r="B382" t="s">
        <v>404</v>
      </c>
      <c r="C382">
        <v>1</v>
      </c>
      <c r="D382" t="s">
        <v>82</v>
      </c>
      <c r="E382">
        <v>2</v>
      </c>
      <c r="F382" t="s">
        <v>39</v>
      </c>
      <c r="G382" t="s">
        <v>1107</v>
      </c>
      <c r="H382" t="s">
        <v>994</v>
      </c>
      <c r="I382" t="s">
        <v>1112</v>
      </c>
      <c r="J382" t="s">
        <v>1113</v>
      </c>
      <c r="O382" t="e" cm="1">
        <f t="array" ref="O382">INDEX(Grant[Country],MATCH(0,INDEX(COUNTIF($O$2:O381,Grant[Country]),),0))</f>
        <v>#N/A</v>
      </c>
      <c r="Y382" s="1035" t="s">
        <v>467</v>
      </c>
      <c r="Z382" s="1035" t="s">
        <v>1734</v>
      </c>
      <c r="AB382" s="1035" t="s">
        <v>1872</v>
      </c>
      <c r="AC382" s="1035" t="s">
        <v>3572</v>
      </c>
      <c r="AO382" t="str">
        <v>Solomon Islands Ministry of Health and Medical Services</v>
      </c>
      <c r="AU382" s="1035" t="s">
        <v>467</v>
      </c>
      <c r="AV382" s="1035" t="s">
        <v>39</v>
      </c>
      <c r="AW382" s="1035" t="s">
        <v>82</v>
      </c>
      <c r="AX382" s="1035" t="s">
        <v>1734</v>
      </c>
    </row>
    <row r="383" spans="1:50" x14ac:dyDescent="0.35">
      <c r="A383">
        <v>77</v>
      </c>
      <c r="B383" t="s">
        <v>464</v>
      </c>
      <c r="C383">
        <v>2</v>
      </c>
      <c r="D383" t="s">
        <v>367</v>
      </c>
      <c r="E383">
        <v>1</v>
      </c>
      <c r="F383" t="s">
        <v>36</v>
      </c>
      <c r="G383" t="s">
        <v>1704</v>
      </c>
      <c r="H383" t="s">
        <v>1444</v>
      </c>
      <c r="I383" t="s">
        <v>1705</v>
      </c>
      <c r="J383" t="s">
        <v>1706</v>
      </c>
      <c r="O383" t="e" cm="1">
        <f t="array" ref="O383">INDEX(Grant[Country],MATCH(0,INDEX(COUNTIF($O$2:O382,Grant[Country]),),0))</f>
        <v>#N/A</v>
      </c>
      <c r="Y383" s="1035" t="s">
        <v>468</v>
      </c>
      <c r="Z383" s="1035" t="s">
        <v>1736</v>
      </c>
      <c r="AB383" s="1035" t="s">
        <v>1875</v>
      </c>
      <c r="AC383" s="1035" t="s">
        <v>1586</v>
      </c>
      <c r="AO383" t="str">
        <v>Solomon Islands Ministry of Health and Medical Services</v>
      </c>
      <c r="AU383" s="1035" t="s">
        <v>468</v>
      </c>
      <c r="AV383" s="1035" t="s">
        <v>36</v>
      </c>
      <c r="AW383" s="1035" t="s">
        <v>82</v>
      </c>
      <c r="AX383" s="1035" t="s">
        <v>1736</v>
      </c>
    </row>
    <row r="384" spans="1:50" x14ac:dyDescent="0.35">
      <c r="A384">
        <v>38</v>
      </c>
      <c r="B384" t="s">
        <v>468</v>
      </c>
      <c r="C384">
        <v>1</v>
      </c>
      <c r="D384" t="s">
        <v>82</v>
      </c>
      <c r="E384">
        <v>1</v>
      </c>
      <c r="F384" t="s">
        <v>36</v>
      </c>
      <c r="G384" t="s">
        <v>1359</v>
      </c>
      <c r="H384" t="s">
        <v>1173</v>
      </c>
      <c r="I384" t="s">
        <v>1735</v>
      </c>
      <c r="J384" t="s">
        <v>1736</v>
      </c>
      <c r="O384" t="e" cm="1">
        <f t="array" ref="O384">INDEX(Grant[Country],MATCH(0,INDEX(COUNTIF($O$2:O383,Grant[Country]),),0))</f>
        <v>#N/A</v>
      </c>
      <c r="Y384" s="1035" t="s">
        <v>468</v>
      </c>
      <c r="Z384" s="1035" t="s">
        <v>1738</v>
      </c>
      <c r="AB384" s="1035" t="s">
        <v>1878</v>
      </c>
      <c r="AC384" s="1035" t="s">
        <v>1594</v>
      </c>
      <c r="AO384" t="str">
        <v>Southern African Development Community Secretariat</v>
      </c>
      <c r="AU384" s="1035" t="s">
        <v>468</v>
      </c>
      <c r="AV384" s="1035" t="s">
        <v>37</v>
      </c>
      <c r="AW384" s="1035" t="s">
        <v>82</v>
      </c>
      <c r="AX384" s="1035" t="s">
        <v>1738</v>
      </c>
    </row>
    <row r="385" spans="1:50" x14ac:dyDescent="0.35">
      <c r="A385">
        <v>38</v>
      </c>
      <c r="B385" t="s">
        <v>468</v>
      </c>
      <c r="C385">
        <v>1</v>
      </c>
      <c r="D385" t="s">
        <v>82</v>
      </c>
      <c r="E385">
        <v>3</v>
      </c>
      <c r="F385" t="s">
        <v>37</v>
      </c>
      <c r="G385" t="s">
        <v>1359</v>
      </c>
      <c r="H385" t="s">
        <v>1173</v>
      </c>
      <c r="I385" t="s">
        <v>1737</v>
      </c>
      <c r="J385" t="s">
        <v>1738</v>
      </c>
      <c r="O385" t="e" cm="1">
        <f t="array" ref="O385">INDEX(Grant[Country],MATCH(0,INDEX(COUNTIF($O$2:O384,Grant[Country]),),0))</f>
        <v>#N/A</v>
      </c>
      <c r="Y385" s="1035" t="s">
        <v>468</v>
      </c>
      <c r="Z385" s="1035" t="s">
        <v>1741</v>
      </c>
      <c r="AB385" s="1035" t="s">
        <v>1879</v>
      </c>
      <c r="AC385" s="1035" t="s">
        <v>1591</v>
      </c>
      <c r="AO385" t="str">
        <v>St. Petersburg charitable fund programs “Humanitarian action”</v>
      </c>
      <c r="AU385" s="1035" t="s">
        <v>468</v>
      </c>
      <c r="AV385" s="1035" t="s">
        <v>39</v>
      </c>
      <c r="AW385" s="1035" t="s">
        <v>82</v>
      </c>
      <c r="AX385" s="1035" t="s">
        <v>1741</v>
      </c>
    </row>
    <row r="386" spans="1:50" x14ac:dyDescent="0.35">
      <c r="A386">
        <v>38</v>
      </c>
      <c r="B386" t="s">
        <v>468</v>
      </c>
      <c r="C386">
        <v>1</v>
      </c>
      <c r="D386" t="s">
        <v>82</v>
      </c>
      <c r="E386">
        <v>2</v>
      </c>
      <c r="F386" t="s">
        <v>39</v>
      </c>
      <c r="G386" t="s">
        <v>1739</v>
      </c>
      <c r="H386" t="s">
        <v>789</v>
      </c>
      <c r="I386" t="s">
        <v>1740</v>
      </c>
      <c r="J386" t="s">
        <v>1741</v>
      </c>
      <c r="O386" t="e" cm="1">
        <f t="array" ref="O386">INDEX(Grant[Country],MATCH(0,INDEX(COUNTIF($O$2:O385,Grant[Country]),),0))</f>
        <v>#N/A</v>
      </c>
      <c r="Y386" s="1035" t="s">
        <v>469</v>
      </c>
      <c r="Z386" s="1035" t="s">
        <v>1744</v>
      </c>
      <c r="AB386" s="1035" t="s">
        <v>1884</v>
      </c>
      <c r="AC386" s="1035" t="s">
        <v>1597</v>
      </c>
      <c r="AO386" t="str">
        <v>State Institution "Public Health Center of the Ministry of Health of Ukraine"</v>
      </c>
      <c r="AU386" s="1035" t="s">
        <v>469</v>
      </c>
      <c r="AV386" s="1035" t="s">
        <v>187</v>
      </c>
      <c r="AW386" s="1035" t="s">
        <v>82</v>
      </c>
      <c r="AX386" s="1035" t="s">
        <v>1744</v>
      </c>
    </row>
    <row r="387" spans="1:50" x14ac:dyDescent="0.35">
      <c r="A387">
        <v>245</v>
      </c>
      <c r="B387" t="s">
        <v>465</v>
      </c>
      <c r="C387">
        <v>2</v>
      </c>
      <c r="D387" t="s">
        <v>367</v>
      </c>
      <c r="E387">
        <v>1</v>
      </c>
      <c r="F387" t="s">
        <v>36</v>
      </c>
      <c r="G387" t="s">
        <v>1714</v>
      </c>
      <c r="H387" t="s">
        <v>1446</v>
      </c>
      <c r="I387" t="s">
        <v>1715</v>
      </c>
      <c r="J387" t="s">
        <v>1716</v>
      </c>
      <c r="O387" t="e" cm="1">
        <f t="array" ref="O387">INDEX(Grant[Country],MATCH(0,INDEX(COUNTIF($O$2:O386,Grant[Country]),),0))</f>
        <v>#N/A</v>
      </c>
      <c r="Y387" s="1035" t="s">
        <v>469</v>
      </c>
      <c r="Z387" s="1035" t="s">
        <v>1747</v>
      </c>
      <c r="AB387" s="1035" t="s">
        <v>1744</v>
      </c>
      <c r="AC387" s="1035" t="s">
        <v>1469</v>
      </c>
      <c r="AO387" t="str">
        <v>Stichting Cordaid</v>
      </c>
      <c r="AU387" s="1035" t="s">
        <v>469</v>
      </c>
      <c r="AV387" s="1035" t="s">
        <v>187</v>
      </c>
      <c r="AW387" s="1035" t="s">
        <v>82</v>
      </c>
      <c r="AX387" s="1035" t="s">
        <v>1747</v>
      </c>
    </row>
    <row r="388" spans="1:50" x14ac:dyDescent="0.35">
      <c r="A388">
        <v>247</v>
      </c>
      <c r="B388" t="s">
        <v>470</v>
      </c>
      <c r="C388">
        <v>1</v>
      </c>
      <c r="D388" t="s">
        <v>82</v>
      </c>
      <c r="E388">
        <v>4</v>
      </c>
      <c r="F388" t="s">
        <v>187</v>
      </c>
      <c r="G388" t="s">
        <v>1754</v>
      </c>
      <c r="H388" t="s">
        <v>772</v>
      </c>
      <c r="I388" t="s">
        <v>1758</v>
      </c>
      <c r="J388" t="s">
        <v>1757</v>
      </c>
      <c r="O388" t="e" cm="1">
        <f t="array" ref="O388">INDEX(Grant[Country],MATCH(0,INDEX(COUNTIF($O$2:O387,Grant[Country]),),0))</f>
        <v>#N/A</v>
      </c>
      <c r="Y388" s="1035" t="s">
        <v>469</v>
      </c>
      <c r="Z388" s="1035" t="s">
        <v>1753</v>
      </c>
      <c r="AB388" s="1035" t="s">
        <v>1747</v>
      </c>
      <c r="AC388" s="1035" t="s">
        <v>1470</v>
      </c>
      <c r="AO388" t="str">
        <v>Stichting Cordaid</v>
      </c>
      <c r="AU388" s="1035" t="s">
        <v>469</v>
      </c>
      <c r="AV388" s="1035" t="s">
        <v>187</v>
      </c>
      <c r="AW388" s="1035" t="s">
        <v>82</v>
      </c>
      <c r="AX388" s="1035" t="s">
        <v>1753</v>
      </c>
    </row>
    <row r="389" spans="1:50" x14ac:dyDescent="0.35">
      <c r="A389">
        <v>247</v>
      </c>
      <c r="B389" t="s">
        <v>470</v>
      </c>
      <c r="C389">
        <v>1</v>
      </c>
      <c r="D389" t="s">
        <v>82</v>
      </c>
      <c r="E389">
        <v>1</v>
      </c>
      <c r="F389" t="s">
        <v>36</v>
      </c>
      <c r="G389" t="s">
        <v>1754</v>
      </c>
      <c r="H389" t="s">
        <v>772</v>
      </c>
      <c r="I389" t="s">
        <v>3262</v>
      </c>
      <c r="J389" t="s">
        <v>3263</v>
      </c>
      <c r="O389" t="e" cm="1">
        <f t="array" ref="O389">INDEX(Grant[Country],MATCH(0,INDEX(COUNTIF($O$2:O388,Grant[Country]),),0))</f>
        <v>#N/A</v>
      </c>
      <c r="Y389" s="1035" t="s">
        <v>469</v>
      </c>
      <c r="Z389" s="1035" t="s">
        <v>1750</v>
      </c>
      <c r="AB389" s="1035" t="s">
        <v>1753</v>
      </c>
      <c r="AC389" s="1035" t="s">
        <v>3261</v>
      </c>
      <c r="AO389" t="str">
        <v>T.C.I. Foundation</v>
      </c>
      <c r="AU389" s="1035" t="s">
        <v>469</v>
      </c>
      <c r="AV389" s="1035" t="s">
        <v>187</v>
      </c>
      <c r="AW389" s="1035" t="s">
        <v>82</v>
      </c>
      <c r="AX389" s="1035" t="s">
        <v>1750</v>
      </c>
    </row>
    <row r="390" spans="1:50" x14ac:dyDescent="0.35">
      <c r="A390">
        <v>247</v>
      </c>
      <c r="B390" t="s">
        <v>470</v>
      </c>
      <c r="C390">
        <v>1</v>
      </c>
      <c r="D390" t="s">
        <v>82</v>
      </c>
      <c r="E390">
        <v>3</v>
      </c>
      <c r="F390" t="s">
        <v>37</v>
      </c>
      <c r="G390" t="s">
        <v>1043</v>
      </c>
      <c r="H390" t="s">
        <v>937</v>
      </c>
      <c r="I390" t="s">
        <v>1756</v>
      </c>
      <c r="J390" t="s">
        <v>1755</v>
      </c>
      <c r="O390" t="e" cm="1">
        <f t="array" ref="O390">INDEX(Grant[Country],MATCH(0,INDEX(COUNTIF($O$2:O389,Grant[Country]),),0))</f>
        <v>#N/A</v>
      </c>
      <c r="Y390" s="1035" t="s">
        <v>470</v>
      </c>
      <c r="Z390" s="1035" t="s">
        <v>1757</v>
      </c>
      <c r="AB390" s="1035" t="s">
        <v>1750</v>
      </c>
      <c r="AC390" s="1035" t="s">
        <v>1478</v>
      </c>
      <c r="AO390" t="str">
        <v>The AIDS Support Organisation (Uganda) Limited</v>
      </c>
      <c r="AU390" s="1035" t="s">
        <v>470</v>
      </c>
      <c r="AV390" s="1035" t="s">
        <v>36</v>
      </c>
      <c r="AW390" s="1035" t="s">
        <v>82</v>
      </c>
      <c r="AX390" s="1035" t="s">
        <v>3263</v>
      </c>
    </row>
    <row r="391" spans="1:50" x14ac:dyDescent="0.35">
      <c r="A391">
        <v>247</v>
      </c>
      <c r="B391" t="s">
        <v>470</v>
      </c>
      <c r="C391">
        <v>1</v>
      </c>
      <c r="D391" t="s">
        <v>82</v>
      </c>
      <c r="E391">
        <v>3</v>
      </c>
      <c r="F391" t="s">
        <v>37</v>
      </c>
      <c r="G391" t="s">
        <v>1359</v>
      </c>
      <c r="H391" t="s">
        <v>1173</v>
      </c>
      <c r="I391" t="s">
        <v>3553</v>
      </c>
      <c r="J391" t="s">
        <v>3554</v>
      </c>
      <c r="O391" t="e" cm="1">
        <f t="array" ref="O391">INDEX(Grant[Country],MATCH(0,INDEX(COUNTIF($O$2:O390,Grant[Country]),),0))</f>
        <v>#N/A</v>
      </c>
      <c r="Y391" s="1035" t="s">
        <v>470</v>
      </c>
      <c r="Z391" s="1035" t="s">
        <v>3263</v>
      </c>
      <c r="AB391" s="1035" t="s">
        <v>1887</v>
      </c>
      <c r="AC391" s="1035" t="s">
        <v>772</v>
      </c>
      <c r="AO391" t="str">
        <v>The AIDS Support Organisation (Uganda) Limited</v>
      </c>
      <c r="AU391" s="1035" t="s">
        <v>470</v>
      </c>
      <c r="AV391" s="1035" t="s">
        <v>37</v>
      </c>
      <c r="AW391" s="1035" t="s">
        <v>82</v>
      </c>
      <c r="AX391" s="1035" t="s">
        <v>1755</v>
      </c>
    </row>
    <row r="392" spans="1:50" x14ac:dyDescent="0.35">
      <c r="A392">
        <v>247</v>
      </c>
      <c r="B392" t="s">
        <v>470</v>
      </c>
      <c r="C392">
        <v>1</v>
      </c>
      <c r="D392" t="s">
        <v>82</v>
      </c>
      <c r="E392">
        <v>2</v>
      </c>
      <c r="F392" t="s">
        <v>39</v>
      </c>
      <c r="G392" t="s">
        <v>1754</v>
      </c>
      <c r="H392" t="s">
        <v>772</v>
      </c>
      <c r="I392" t="s">
        <v>3264</v>
      </c>
      <c r="J392" t="s">
        <v>3265</v>
      </c>
      <c r="O392" t="e" cm="1">
        <f t="array" ref="O392">INDEX(Grant[Country],MATCH(0,INDEX(COUNTIF($O$2:O391,Grant[Country]),),0))</f>
        <v>#N/A</v>
      </c>
      <c r="Y392" s="1035" t="s">
        <v>470</v>
      </c>
      <c r="Z392" s="1035" t="s">
        <v>1755</v>
      </c>
      <c r="AB392" s="1035" t="s">
        <v>1040</v>
      </c>
      <c r="AC392" s="1035" t="s">
        <v>3367</v>
      </c>
      <c r="AO392" t="str">
        <v>The AIDS Support Organisation (Uganda) Limited</v>
      </c>
      <c r="AU392" s="1035" t="s">
        <v>470</v>
      </c>
      <c r="AV392" s="1035" t="s">
        <v>37</v>
      </c>
      <c r="AW392" s="1035" t="s">
        <v>82</v>
      </c>
      <c r="AX392" s="1035" t="s">
        <v>3554</v>
      </c>
    </row>
    <row r="393" spans="1:50" x14ac:dyDescent="0.35">
      <c r="A393">
        <v>51</v>
      </c>
      <c r="B393" t="s">
        <v>463</v>
      </c>
      <c r="C393">
        <v>2</v>
      </c>
      <c r="D393" t="s">
        <v>367</v>
      </c>
      <c r="E393">
        <v>5</v>
      </c>
      <c r="F393" t="s">
        <v>187</v>
      </c>
      <c r="G393" t="s">
        <v>3555</v>
      </c>
      <c r="H393" t="s">
        <v>3556</v>
      </c>
      <c r="I393" t="s">
        <v>3557</v>
      </c>
      <c r="J393" t="s">
        <v>3558</v>
      </c>
      <c r="O393" t="e" cm="1">
        <f t="array" ref="O393">INDEX(Grant[Country],MATCH(0,INDEX(COUNTIF($O$2:O392,Grant[Country]),),0))</f>
        <v>#N/A</v>
      </c>
      <c r="Y393" s="1035" t="s">
        <v>470</v>
      </c>
      <c r="Z393" s="1035" t="s">
        <v>3265</v>
      </c>
      <c r="AB393" s="1035" t="s">
        <v>1042</v>
      </c>
      <c r="AC393" s="1035" t="s">
        <v>3367</v>
      </c>
      <c r="AO393" t="str">
        <v>The Family Planning Association of Sri Lanka</v>
      </c>
      <c r="AU393" s="1035" t="s">
        <v>470</v>
      </c>
      <c r="AV393" s="1035" t="s">
        <v>187</v>
      </c>
      <c r="AW393" s="1035" t="s">
        <v>82</v>
      </c>
      <c r="AX393" s="1035" t="s">
        <v>1757</v>
      </c>
    </row>
    <row r="394" spans="1:50" x14ac:dyDescent="0.35">
      <c r="A394">
        <v>51</v>
      </c>
      <c r="B394" t="s">
        <v>463</v>
      </c>
      <c r="C394">
        <v>2</v>
      </c>
      <c r="D394" t="s">
        <v>367</v>
      </c>
      <c r="E394">
        <v>5</v>
      </c>
      <c r="F394" t="s">
        <v>187</v>
      </c>
      <c r="G394" t="s">
        <v>1695</v>
      </c>
      <c r="H394" t="s">
        <v>772</v>
      </c>
      <c r="I394" t="s">
        <v>1696</v>
      </c>
      <c r="J394" t="s">
        <v>1697</v>
      </c>
      <c r="O394" t="e" cm="1">
        <f t="array" ref="O394">INDEX(Grant[Country],MATCH(0,INDEX(COUNTIF($O$2:O393,Grant[Country]),),0))</f>
        <v>#N/A</v>
      </c>
      <c r="Y394" s="1035" t="s">
        <v>470</v>
      </c>
      <c r="Z394" s="1035" t="s">
        <v>3554</v>
      </c>
      <c r="AB394" s="1035" t="s">
        <v>1888</v>
      </c>
      <c r="AC394" s="1035" t="s">
        <v>1598</v>
      </c>
      <c r="AO394" t="str">
        <v>The Ministry of Health and Child Care of the Republic of Zimbabwe</v>
      </c>
      <c r="AU394" s="1035" t="s">
        <v>470</v>
      </c>
      <c r="AV394" s="1035" t="s">
        <v>39</v>
      </c>
      <c r="AW394" s="1035" t="s">
        <v>82</v>
      </c>
      <c r="AX394" s="1035" t="s">
        <v>3265</v>
      </c>
    </row>
    <row r="395" spans="1:50" x14ac:dyDescent="0.35">
      <c r="A395">
        <v>56</v>
      </c>
      <c r="B395" t="s">
        <v>472</v>
      </c>
      <c r="C395">
        <v>1</v>
      </c>
      <c r="D395" t="s">
        <v>82</v>
      </c>
      <c r="E395">
        <v>1</v>
      </c>
      <c r="F395" t="s">
        <v>36</v>
      </c>
      <c r="G395" t="s">
        <v>1769</v>
      </c>
      <c r="H395" t="s">
        <v>772</v>
      </c>
      <c r="I395" t="s">
        <v>1773</v>
      </c>
      <c r="J395" t="s">
        <v>1774</v>
      </c>
      <c r="O395" t="e" cm="1">
        <f t="array" ref="O395">INDEX(Grant[Country],MATCH(0,INDEX(COUNTIF($O$2:O394,Grant[Country]),),0))</f>
        <v>#N/A</v>
      </c>
      <c r="Y395" s="1035" t="s">
        <v>3583</v>
      </c>
      <c r="Z395" s="1035" t="s">
        <v>3529</v>
      </c>
      <c r="AB395" s="1035" t="s">
        <v>1895</v>
      </c>
      <c r="AC395" s="1035" t="s">
        <v>1599</v>
      </c>
      <c r="AO395" t="str">
        <v>The Ministry of Health and Child Care of the Republic of Zimbabwe</v>
      </c>
      <c r="AU395" s="1035" t="s">
        <v>3583</v>
      </c>
      <c r="AV395" s="1035" t="s">
        <v>37</v>
      </c>
      <c r="AW395" s="1035" t="s">
        <v>82</v>
      </c>
      <c r="AX395" s="1035" t="s">
        <v>3525</v>
      </c>
    </row>
    <row r="396" spans="1:50" x14ac:dyDescent="0.35">
      <c r="A396">
        <v>56</v>
      </c>
      <c r="B396" t="s">
        <v>472</v>
      </c>
      <c r="C396">
        <v>1</v>
      </c>
      <c r="D396" t="s">
        <v>82</v>
      </c>
      <c r="E396">
        <v>3</v>
      </c>
      <c r="F396" t="s">
        <v>37</v>
      </c>
      <c r="G396" t="s">
        <v>1769</v>
      </c>
      <c r="H396" t="s">
        <v>772</v>
      </c>
      <c r="I396" t="s">
        <v>1778</v>
      </c>
      <c r="J396" t="s">
        <v>1779</v>
      </c>
      <c r="O396" t="e" cm="1">
        <f t="array" ref="O396">INDEX(Grant[Country],MATCH(0,INDEX(COUNTIF($O$2:O395,Grant[Country]),),0))</f>
        <v>#N/A</v>
      </c>
      <c r="Y396" s="1035" t="s">
        <v>3583</v>
      </c>
      <c r="Z396" s="1035" t="s">
        <v>3461</v>
      </c>
      <c r="AB396" s="1035" t="s">
        <v>1891</v>
      </c>
      <c r="AC396" s="1035" t="s">
        <v>1598</v>
      </c>
      <c r="AO396" t="str">
        <v>The Ministry of Health and Population of Nepal</v>
      </c>
      <c r="AU396" s="1035" t="s">
        <v>3583</v>
      </c>
      <c r="AV396" s="1035" t="s">
        <v>39</v>
      </c>
      <c r="AW396" s="1035" t="s">
        <v>82</v>
      </c>
      <c r="AX396" s="1035" t="s">
        <v>3529</v>
      </c>
    </row>
    <row r="397" spans="1:50" x14ac:dyDescent="0.35">
      <c r="A397">
        <v>56</v>
      </c>
      <c r="B397" t="s">
        <v>472</v>
      </c>
      <c r="C397">
        <v>1</v>
      </c>
      <c r="D397" t="s">
        <v>82</v>
      </c>
      <c r="E397">
        <v>3</v>
      </c>
      <c r="F397" t="s">
        <v>37</v>
      </c>
      <c r="G397" t="s">
        <v>1769</v>
      </c>
      <c r="H397" t="s">
        <v>772</v>
      </c>
      <c r="I397" t="s">
        <v>1781</v>
      </c>
      <c r="J397" t="s">
        <v>1782</v>
      </c>
      <c r="O397" t="e" cm="1">
        <f t="array" ref="O397">INDEX(Grant[Country],MATCH(0,INDEX(COUNTIF($O$2:O396,Grant[Country]),),0))</f>
        <v>#N/A</v>
      </c>
      <c r="Y397" s="1035" t="s">
        <v>3583</v>
      </c>
      <c r="Z397" s="1035" t="s">
        <v>3525</v>
      </c>
      <c r="AB397" s="1035" t="s">
        <v>1894</v>
      </c>
      <c r="AC397" s="1035" t="s">
        <v>1599</v>
      </c>
      <c r="AO397" t="str">
        <v>The Ministry of Health of the Republic of Guinea</v>
      </c>
      <c r="AU397" s="1035" t="s">
        <v>3583</v>
      </c>
      <c r="AV397" s="1035" t="s">
        <v>39</v>
      </c>
      <c r="AW397" s="1035" t="s">
        <v>82</v>
      </c>
      <c r="AX397" s="1035" t="s">
        <v>3461</v>
      </c>
    </row>
    <row r="398" spans="1:50" x14ac:dyDescent="0.35">
      <c r="A398">
        <v>56</v>
      </c>
      <c r="B398" t="s">
        <v>472</v>
      </c>
      <c r="C398">
        <v>1</v>
      </c>
      <c r="D398" t="s">
        <v>82</v>
      </c>
      <c r="E398">
        <v>2</v>
      </c>
      <c r="F398" t="s">
        <v>39</v>
      </c>
      <c r="G398" t="s">
        <v>1769</v>
      </c>
      <c r="H398" t="s">
        <v>772</v>
      </c>
      <c r="I398" t="s">
        <v>1784</v>
      </c>
      <c r="J398" t="s">
        <v>1785</v>
      </c>
      <c r="O398" t="e" cm="1">
        <f t="array" ref="O398">INDEX(Grant[Country],MATCH(0,INDEX(COUNTIF($O$2:O397,Grant[Country]),),0))</f>
        <v>#N/A</v>
      </c>
      <c r="Y398" s="1035" t="s">
        <v>3582</v>
      </c>
      <c r="Z398" s="1035" t="s">
        <v>3459</v>
      </c>
      <c r="AB398" s="1035" t="s">
        <v>1905</v>
      </c>
      <c r="AC398" s="1035" t="s">
        <v>772</v>
      </c>
      <c r="AO398" t="str">
        <v>The Ministry of Public Heath, Population and the Fight Against HIV/AIDS of the Central African Republic</v>
      </c>
      <c r="AU398" s="1035" t="s">
        <v>3582</v>
      </c>
      <c r="AV398" s="1035" t="s">
        <v>39</v>
      </c>
      <c r="AW398" s="1035" t="s">
        <v>82</v>
      </c>
      <c r="AX398" s="1035" t="s">
        <v>3459</v>
      </c>
    </row>
    <row r="399" spans="1:50" x14ac:dyDescent="0.35">
      <c r="A399">
        <v>103</v>
      </c>
      <c r="B399" t="s">
        <v>473</v>
      </c>
      <c r="C399">
        <v>1</v>
      </c>
      <c r="D399" t="s">
        <v>82</v>
      </c>
      <c r="E399">
        <v>4</v>
      </c>
      <c r="F399" t="s">
        <v>187</v>
      </c>
      <c r="G399" t="s">
        <v>1787</v>
      </c>
      <c r="H399" t="s">
        <v>1496</v>
      </c>
      <c r="I399" t="s">
        <v>1791</v>
      </c>
      <c r="J399" t="s">
        <v>1790</v>
      </c>
      <c r="O399" t="e" cm="1">
        <f t="array" ref="O399">INDEX(Grant[Country],MATCH(0,INDEX(COUNTIF($O$2:O398,Grant[Country]),),0))</f>
        <v>#N/A</v>
      </c>
      <c r="Y399" s="1035" t="s">
        <v>3582</v>
      </c>
      <c r="Z399" s="1035" t="s">
        <v>3523</v>
      </c>
      <c r="AB399" s="1035" t="s">
        <v>1906</v>
      </c>
      <c r="AC399" s="1035" t="s">
        <v>1611</v>
      </c>
      <c r="AO399" t="str">
        <v>The National AIDS Secretariat of the Republic of The Gambia</v>
      </c>
      <c r="AU399" s="1035" t="s">
        <v>3582</v>
      </c>
      <c r="AV399" s="1035" t="s">
        <v>39</v>
      </c>
      <c r="AW399" s="1035" t="s">
        <v>82</v>
      </c>
      <c r="AX399" s="1035" t="s">
        <v>3523</v>
      </c>
    </row>
    <row r="400" spans="1:50" x14ac:dyDescent="0.35">
      <c r="A400">
        <v>103</v>
      </c>
      <c r="B400" t="s">
        <v>473</v>
      </c>
      <c r="C400">
        <v>1</v>
      </c>
      <c r="D400" t="s">
        <v>82</v>
      </c>
      <c r="E400">
        <v>1</v>
      </c>
      <c r="F400" t="s">
        <v>36</v>
      </c>
      <c r="G400" t="s">
        <v>1787</v>
      </c>
      <c r="H400" t="s">
        <v>1496</v>
      </c>
      <c r="I400" t="s">
        <v>3559</v>
      </c>
      <c r="J400" t="s">
        <v>3560</v>
      </c>
      <c r="O400" t="e" cm="1">
        <f t="array" ref="O400">INDEX(Grant[Country],MATCH(0,INDEX(COUNTIF($O$2:O399,Grant[Country]),),0))</f>
        <v>#N/A</v>
      </c>
      <c r="Y400" s="1035" t="s">
        <v>471</v>
      </c>
      <c r="Z400" s="1035" t="s">
        <v>1764</v>
      </c>
      <c r="AB400" s="1035" t="s">
        <v>1909</v>
      </c>
      <c r="AC400" s="1035" t="s">
        <v>1611</v>
      </c>
      <c r="AO400" t="str">
        <v>The National AIDS Secretariat of the Republic of The Gambia</v>
      </c>
      <c r="AU400" s="1035" t="s">
        <v>471</v>
      </c>
      <c r="AV400" s="1035" t="s">
        <v>36</v>
      </c>
      <c r="AW400" s="1035" t="s">
        <v>82</v>
      </c>
      <c r="AX400" s="1035" t="s">
        <v>1764</v>
      </c>
    </row>
    <row r="401" spans="1:50" x14ac:dyDescent="0.35">
      <c r="A401">
        <v>103</v>
      </c>
      <c r="B401" t="s">
        <v>473</v>
      </c>
      <c r="C401">
        <v>1</v>
      </c>
      <c r="D401" t="s">
        <v>82</v>
      </c>
      <c r="E401">
        <v>3</v>
      </c>
      <c r="F401" t="s">
        <v>37</v>
      </c>
      <c r="G401" t="s">
        <v>1787</v>
      </c>
      <c r="H401" t="s">
        <v>1496</v>
      </c>
      <c r="I401" t="s">
        <v>1788</v>
      </c>
      <c r="J401" t="s">
        <v>1789</v>
      </c>
      <c r="O401" t="e" cm="1">
        <f t="array" ref="O401">INDEX(Grant[Country],MATCH(0,INDEX(COUNTIF($O$2:O400,Grant[Country]),),0))</f>
        <v>#N/A</v>
      </c>
      <c r="Y401" s="1035" t="s">
        <v>471</v>
      </c>
      <c r="Z401" s="1035" t="s">
        <v>1761</v>
      </c>
      <c r="AB401" s="1035" t="s">
        <v>185</v>
      </c>
      <c r="AC401" s="1035" t="s">
        <v>185</v>
      </c>
      <c r="AO401" t="str">
        <v>The National Tuberculosis Control Program</v>
      </c>
      <c r="AU401" s="1035" t="s">
        <v>471</v>
      </c>
      <c r="AV401" s="1035" t="s">
        <v>36</v>
      </c>
      <c r="AW401" s="1035" t="s">
        <v>82</v>
      </c>
      <c r="AX401" s="1035" t="s">
        <v>1761</v>
      </c>
    </row>
    <row r="402" spans="1:50" x14ac:dyDescent="0.35">
      <c r="A402">
        <v>63</v>
      </c>
      <c r="B402" t="s">
        <v>1005</v>
      </c>
      <c r="C402">
        <v>1</v>
      </c>
      <c r="D402" t="s">
        <v>82</v>
      </c>
      <c r="E402">
        <v>4</v>
      </c>
      <c r="F402" t="s">
        <v>187</v>
      </c>
      <c r="G402" t="s">
        <v>1126</v>
      </c>
      <c r="H402" t="s">
        <v>1006</v>
      </c>
      <c r="I402" t="s">
        <v>1136</v>
      </c>
      <c r="J402" t="s">
        <v>1128</v>
      </c>
      <c r="O402" t="e" cm="1">
        <f t="array" ref="O402">INDEX(Grant[Country],MATCH(0,INDEX(COUNTIF($O$2:O401,Grant[Country]),),0))</f>
        <v>#N/A</v>
      </c>
      <c r="Y402" s="1035" t="s">
        <v>471</v>
      </c>
      <c r="Z402" s="1035" t="s">
        <v>1765</v>
      </c>
      <c r="AB402" s="1035" t="s">
        <v>3347</v>
      </c>
      <c r="AC402" s="1035" t="s">
        <v>772</v>
      </c>
      <c r="AO402" t="str">
        <v>The Registered Trustees of the National AIDS Commission Trust of the Republic of Malawi</v>
      </c>
      <c r="AU402" s="1035" t="s">
        <v>471</v>
      </c>
      <c r="AV402" s="1035" t="s">
        <v>37</v>
      </c>
      <c r="AW402" s="1035" t="s">
        <v>82</v>
      </c>
      <c r="AX402" s="1035" t="s">
        <v>1765</v>
      </c>
    </row>
    <row r="403" spans="1:50" x14ac:dyDescent="0.35">
      <c r="A403">
        <v>63</v>
      </c>
      <c r="B403" t="s">
        <v>1005</v>
      </c>
      <c r="C403">
        <v>1</v>
      </c>
      <c r="D403" t="s">
        <v>82</v>
      </c>
      <c r="E403">
        <v>4</v>
      </c>
      <c r="F403" t="s">
        <v>187</v>
      </c>
      <c r="G403" t="s">
        <v>1129</v>
      </c>
      <c r="H403" t="s">
        <v>1010</v>
      </c>
      <c r="I403" t="s">
        <v>1138</v>
      </c>
      <c r="J403" t="s">
        <v>1135</v>
      </c>
      <c r="O403" t="e" cm="1">
        <f t="array" ref="O403">INDEX(Grant[Country],MATCH(0,INDEX(COUNTIF($O$2:O402,Grant[Country]),),0))</f>
        <v>#N/A</v>
      </c>
      <c r="Y403" s="1035" t="s">
        <v>471</v>
      </c>
      <c r="Z403" s="1035" t="s">
        <v>1767</v>
      </c>
      <c r="AB403" s="1035" t="s">
        <v>3467</v>
      </c>
      <c r="AC403" s="1035" t="s">
        <v>3465</v>
      </c>
      <c r="AO403" t="str">
        <v>The Rotary Club of Port Moresby Inc.</v>
      </c>
      <c r="AU403" s="1035" t="s">
        <v>471</v>
      </c>
      <c r="AV403" s="1035" t="s">
        <v>2004</v>
      </c>
      <c r="AW403" s="1035" t="s">
        <v>82</v>
      </c>
      <c r="AX403" s="1035" t="s">
        <v>3417</v>
      </c>
    </row>
    <row r="404" spans="1:50" x14ac:dyDescent="0.35">
      <c r="A404">
        <v>63</v>
      </c>
      <c r="B404" t="s">
        <v>1005</v>
      </c>
      <c r="C404">
        <v>1</v>
      </c>
      <c r="D404" t="s">
        <v>82</v>
      </c>
      <c r="E404">
        <v>1</v>
      </c>
      <c r="F404" t="s">
        <v>36</v>
      </c>
      <c r="G404" t="s">
        <v>1126</v>
      </c>
      <c r="H404" t="s">
        <v>1006</v>
      </c>
      <c r="I404" t="s">
        <v>3233</v>
      </c>
      <c r="J404" t="s">
        <v>3234</v>
      </c>
      <c r="O404" t="e" cm="1">
        <f t="array" ref="O404">INDEX(Grant[Country],MATCH(0,INDEX(COUNTIF($O$2:O403,Grant[Country]),),0))</f>
        <v>#N/A</v>
      </c>
      <c r="Y404" s="1035" t="s">
        <v>471</v>
      </c>
      <c r="Z404" s="1035" t="s">
        <v>3417</v>
      </c>
      <c r="AB404" s="1035" t="s">
        <v>3473</v>
      </c>
      <c r="AC404" s="1035" t="s">
        <v>3471</v>
      </c>
      <c r="AO404" t="str">
        <v>United Nations Children's Fund</v>
      </c>
      <c r="AU404" s="1035" t="s">
        <v>471</v>
      </c>
      <c r="AV404" s="1035" t="s">
        <v>39</v>
      </c>
      <c r="AW404" s="1035" t="s">
        <v>82</v>
      </c>
      <c r="AX404" s="1035" t="s">
        <v>1767</v>
      </c>
    </row>
    <row r="405" spans="1:50" x14ac:dyDescent="0.35">
      <c r="A405">
        <v>63</v>
      </c>
      <c r="B405" t="s">
        <v>1005</v>
      </c>
      <c r="C405">
        <v>1</v>
      </c>
      <c r="D405" t="s">
        <v>82</v>
      </c>
      <c r="E405">
        <v>1</v>
      </c>
      <c r="F405" t="s">
        <v>36</v>
      </c>
      <c r="G405" t="s">
        <v>1129</v>
      </c>
      <c r="H405" t="s">
        <v>1010</v>
      </c>
      <c r="I405" t="s">
        <v>1130</v>
      </c>
      <c r="J405" t="s">
        <v>1131</v>
      </c>
      <c r="O405" t="e" cm="1">
        <f t="array" ref="O405">INDEX(Grant[Country],MATCH(0,INDEX(COUNTIF($O$2:O404,Grant[Country]),),0))</f>
        <v>#N/A</v>
      </c>
      <c r="Y405" s="1035" t="s">
        <v>472</v>
      </c>
      <c r="Z405" s="1035" t="s">
        <v>1771</v>
      </c>
      <c r="AB405" s="1035" t="s">
        <v>3485</v>
      </c>
      <c r="AC405" s="1035" t="s">
        <v>3483</v>
      </c>
      <c r="AO405" t="str">
        <v>United Nations Children's Fund</v>
      </c>
      <c r="AU405" s="1035" t="s">
        <v>472</v>
      </c>
      <c r="AV405" s="1035" t="s">
        <v>36</v>
      </c>
      <c r="AW405" s="1035" t="s">
        <v>82</v>
      </c>
      <c r="AX405" s="1035" t="s">
        <v>1771</v>
      </c>
    </row>
    <row r="406" spans="1:50" x14ac:dyDescent="0.35">
      <c r="A406">
        <v>63</v>
      </c>
      <c r="B406" t="s">
        <v>1005</v>
      </c>
      <c r="C406">
        <v>1</v>
      </c>
      <c r="D406" t="s">
        <v>82</v>
      </c>
      <c r="E406">
        <v>3</v>
      </c>
      <c r="F406" t="s">
        <v>37</v>
      </c>
      <c r="G406" t="s">
        <v>1129</v>
      </c>
      <c r="H406" t="s">
        <v>1010</v>
      </c>
      <c r="I406" t="s">
        <v>1132</v>
      </c>
      <c r="J406" t="s">
        <v>1133</v>
      </c>
      <c r="O406" t="e" cm="1">
        <f t="array" ref="O406">INDEX(Grant[Country],MATCH(0,INDEX(COUNTIF($O$2:O405,Grant[Country]),),0))</f>
        <v>#N/A</v>
      </c>
      <c r="Y406" s="1035" t="s">
        <v>472</v>
      </c>
      <c r="Z406" s="1035" t="s">
        <v>1772</v>
      </c>
      <c r="AB406" s="1035" t="s">
        <v>3477</v>
      </c>
      <c r="AC406" s="1035" t="s">
        <v>3475</v>
      </c>
      <c r="AO406" t="str">
        <v>United Nations Children's Fund</v>
      </c>
      <c r="AU406" s="1035" t="s">
        <v>472</v>
      </c>
      <c r="AV406" s="1035" t="s">
        <v>36</v>
      </c>
      <c r="AW406" s="1035" t="s">
        <v>82</v>
      </c>
      <c r="AX406" s="1035" t="s">
        <v>1774</v>
      </c>
    </row>
    <row r="407" spans="1:50" x14ac:dyDescent="0.35">
      <c r="A407">
        <v>63</v>
      </c>
      <c r="B407" t="s">
        <v>1005</v>
      </c>
      <c r="C407">
        <v>1</v>
      </c>
      <c r="D407" t="s">
        <v>82</v>
      </c>
      <c r="E407">
        <v>2</v>
      </c>
      <c r="F407" t="s">
        <v>39</v>
      </c>
      <c r="G407" t="s">
        <v>1129</v>
      </c>
      <c r="H407" t="s">
        <v>1010</v>
      </c>
      <c r="I407" t="s">
        <v>1139</v>
      </c>
      <c r="J407" t="s">
        <v>1140</v>
      </c>
      <c r="O407" t="e" cm="1">
        <f t="array" ref="O407">INDEX(Grant[Country],MATCH(0,INDEX(COUNTIF($O$2:O406,Grant[Country]),),0))</f>
        <v>#N/A</v>
      </c>
      <c r="Y407" s="1035" t="s">
        <v>472</v>
      </c>
      <c r="Z407" s="1035" t="s">
        <v>3267</v>
      </c>
      <c r="AB407" s="1035" t="s">
        <v>3491</v>
      </c>
      <c r="AC407" s="1035" t="s">
        <v>3483</v>
      </c>
      <c r="AO407" t="str">
        <v>United Nations Children's Fund</v>
      </c>
      <c r="AU407" s="1035" t="s">
        <v>472</v>
      </c>
      <c r="AV407" s="1035" t="s">
        <v>37</v>
      </c>
      <c r="AW407" s="1035" t="s">
        <v>82</v>
      </c>
      <c r="AX407" s="1035" t="s">
        <v>1772</v>
      </c>
    </row>
    <row r="408" spans="1:50" x14ac:dyDescent="0.35">
      <c r="A408">
        <v>46</v>
      </c>
      <c r="B408" t="s">
        <v>389</v>
      </c>
      <c r="C408">
        <v>2</v>
      </c>
      <c r="D408" t="s">
        <v>367</v>
      </c>
      <c r="E408">
        <v>1</v>
      </c>
      <c r="F408" t="s">
        <v>36</v>
      </c>
      <c r="G408" t="s">
        <v>3211</v>
      </c>
      <c r="H408" t="s">
        <v>3212</v>
      </c>
      <c r="I408" t="s">
        <v>3213</v>
      </c>
      <c r="J408" t="s">
        <v>3214</v>
      </c>
      <c r="O408" t="e" cm="1">
        <f t="array" ref="O408">INDEX(Grant[Country],MATCH(0,INDEX(COUNTIF($O$2:O407,Grant[Country]),),0))</f>
        <v>#N/A</v>
      </c>
      <c r="Y408" s="1035" t="s">
        <v>472</v>
      </c>
      <c r="Z408" s="1035" t="s">
        <v>1775</v>
      </c>
      <c r="AB408" s="1035" t="s">
        <v>3456</v>
      </c>
      <c r="AC408" s="1035" t="s">
        <v>3351</v>
      </c>
      <c r="AO408" t="str">
        <v>United Nations Children's Fund</v>
      </c>
      <c r="AU408" s="1035" t="s">
        <v>472</v>
      </c>
      <c r="AV408" s="1035" t="s">
        <v>37</v>
      </c>
      <c r="AW408" s="1035" t="s">
        <v>82</v>
      </c>
      <c r="AX408" s="1035" t="s">
        <v>3267</v>
      </c>
    </row>
    <row r="409" spans="1:50" x14ac:dyDescent="0.35">
      <c r="A409">
        <v>46</v>
      </c>
      <c r="B409" t="s">
        <v>389</v>
      </c>
      <c r="C409">
        <v>2</v>
      </c>
      <c r="D409" t="s">
        <v>367</v>
      </c>
      <c r="E409">
        <v>1</v>
      </c>
      <c r="F409" t="s">
        <v>36</v>
      </c>
      <c r="G409" t="s">
        <v>971</v>
      </c>
      <c r="H409" t="s">
        <v>905</v>
      </c>
      <c r="I409" t="s">
        <v>972</v>
      </c>
      <c r="J409" t="s">
        <v>973</v>
      </c>
      <c r="O409" t="e" cm="1">
        <f t="array" ref="O409">INDEX(Grant[Country],MATCH(0,INDEX(COUNTIF($O$2:O408,Grant[Country]),),0))</f>
        <v>#N/A</v>
      </c>
      <c r="Y409" s="1035" t="s">
        <v>472</v>
      </c>
      <c r="Z409" s="1035" t="s">
        <v>1780</v>
      </c>
      <c r="AB409" s="1035" t="s">
        <v>3481</v>
      </c>
      <c r="AC409" s="1035" t="s">
        <v>3479</v>
      </c>
      <c r="AO409" t="str">
        <v>United Nations Development Programme</v>
      </c>
      <c r="AU409" s="1035" t="s">
        <v>472</v>
      </c>
      <c r="AV409" s="1035" t="s">
        <v>37</v>
      </c>
      <c r="AW409" s="1035" t="s">
        <v>82</v>
      </c>
      <c r="AX409" s="1035" t="s">
        <v>1779</v>
      </c>
    </row>
    <row r="410" spans="1:50" x14ac:dyDescent="0.35">
      <c r="A410">
        <v>46</v>
      </c>
      <c r="B410" t="s">
        <v>389</v>
      </c>
      <c r="C410">
        <v>2</v>
      </c>
      <c r="D410" t="s">
        <v>367</v>
      </c>
      <c r="E410">
        <v>1</v>
      </c>
      <c r="F410" t="s">
        <v>36</v>
      </c>
      <c r="G410" t="s">
        <v>3215</v>
      </c>
      <c r="H410" t="s">
        <v>3216</v>
      </c>
      <c r="I410" t="s">
        <v>3217</v>
      </c>
      <c r="J410" t="s">
        <v>3218</v>
      </c>
      <c r="O410" t="e" cm="1">
        <f t="array" ref="O410">INDEX(Grant[Country],MATCH(0,INDEX(COUNTIF($O$2:O409,Grant[Country]),),0))</f>
        <v>#N/A</v>
      </c>
      <c r="Y410" s="1035" t="s">
        <v>472</v>
      </c>
      <c r="Z410" s="1035" t="s">
        <v>1774</v>
      </c>
      <c r="AB410" s="1035" t="s">
        <v>3495</v>
      </c>
      <c r="AC410" s="1035" t="s">
        <v>3493</v>
      </c>
      <c r="AO410" t="str">
        <v>United Nations Development Programme</v>
      </c>
      <c r="AU410" s="1035" t="s">
        <v>472</v>
      </c>
      <c r="AV410" s="1035" t="s">
        <v>37</v>
      </c>
      <c r="AW410" s="1035" t="s">
        <v>82</v>
      </c>
      <c r="AX410" s="1035" t="s">
        <v>1782</v>
      </c>
    </row>
    <row r="411" spans="1:50" x14ac:dyDescent="0.35">
      <c r="A411">
        <v>46</v>
      </c>
      <c r="B411" t="s">
        <v>389</v>
      </c>
      <c r="C411">
        <v>2</v>
      </c>
      <c r="D411" t="s">
        <v>367</v>
      </c>
      <c r="E411">
        <v>2</v>
      </c>
      <c r="F411" t="s">
        <v>39</v>
      </c>
      <c r="G411" t="s">
        <v>971</v>
      </c>
      <c r="H411" t="s">
        <v>905</v>
      </c>
      <c r="I411" t="s">
        <v>989</v>
      </c>
      <c r="J411" t="s">
        <v>976</v>
      </c>
      <c r="O411" t="e" cm="1">
        <f t="array" ref="O411">INDEX(Grant[Country],MATCH(0,INDEX(COUNTIF($O$2:O410,Grant[Country]),),0))</f>
        <v>#N/A</v>
      </c>
      <c r="Y411" s="1035" t="s">
        <v>472</v>
      </c>
      <c r="Z411" s="1035" t="s">
        <v>1779</v>
      </c>
      <c r="AB411" s="1035" t="s">
        <v>3469</v>
      </c>
      <c r="AC411" s="1035" t="s">
        <v>3359</v>
      </c>
      <c r="AO411" t="str">
        <v>United Nations Development Programme</v>
      </c>
      <c r="AU411" s="1035" t="s">
        <v>472</v>
      </c>
      <c r="AV411" s="1035" t="s">
        <v>2004</v>
      </c>
      <c r="AW411" s="1035" t="s">
        <v>82</v>
      </c>
      <c r="AX411" s="1035" t="s">
        <v>1775</v>
      </c>
    </row>
    <row r="412" spans="1:50" x14ac:dyDescent="0.35">
      <c r="A412">
        <v>46</v>
      </c>
      <c r="B412" t="s">
        <v>389</v>
      </c>
      <c r="C412">
        <v>2</v>
      </c>
      <c r="D412" t="s">
        <v>367</v>
      </c>
      <c r="E412">
        <v>4</v>
      </c>
      <c r="F412" t="s">
        <v>187</v>
      </c>
      <c r="G412" t="s">
        <v>977</v>
      </c>
      <c r="H412" t="s">
        <v>3561</v>
      </c>
      <c r="I412" t="s">
        <v>3562</v>
      </c>
      <c r="J412" t="s">
        <v>3563</v>
      </c>
      <c r="O412" t="e" cm="1">
        <f t="array" ref="O412">INDEX(Grant[Country],MATCH(0,INDEX(COUNTIF($O$2:O411,Grant[Country]),),0))</f>
        <v>#N/A</v>
      </c>
      <c r="Y412" s="1035" t="s">
        <v>472</v>
      </c>
      <c r="Z412" s="1035" t="s">
        <v>1782</v>
      </c>
      <c r="AB412" s="1035" t="s">
        <v>3501</v>
      </c>
      <c r="AC412" s="1035" t="s">
        <v>3359</v>
      </c>
      <c r="AO412" t="str">
        <v>United Nations Development Programme</v>
      </c>
      <c r="AU412" s="1035" t="s">
        <v>472</v>
      </c>
      <c r="AV412" s="1035" t="s">
        <v>39</v>
      </c>
      <c r="AW412" s="1035" t="s">
        <v>82</v>
      </c>
      <c r="AX412" s="1035" t="s">
        <v>1780</v>
      </c>
    </row>
    <row r="413" spans="1:50" x14ac:dyDescent="0.35">
      <c r="A413">
        <v>46</v>
      </c>
      <c r="B413" t="s">
        <v>389</v>
      </c>
      <c r="C413">
        <v>2</v>
      </c>
      <c r="D413" t="s">
        <v>367</v>
      </c>
      <c r="E413">
        <v>1</v>
      </c>
      <c r="F413" t="s">
        <v>36</v>
      </c>
      <c r="G413" t="s">
        <v>971</v>
      </c>
      <c r="H413" t="s">
        <v>905</v>
      </c>
      <c r="I413" t="s">
        <v>974</v>
      </c>
      <c r="J413" t="s">
        <v>975</v>
      </c>
      <c r="O413" t="e" cm="1">
        <f t="array" ref="O413">INDEX(Grant[Country],MATCH(0,INDEX(COUNTIF($O$2:O412,Grant[Country]),),0))</f>
        <v>#N/A</v>
      </c>
      <c r="Y413" s="1035" t="s">
        <v>472</v>
      </c>
      <c r="Z413" s="1035" t="s">
        <v>1785</v>
      </c>
      <c r="AB413" s="1035" t="s">
        <v>3503</v>
      </c>
      <c r="AC413" s="1035" t="s">
        <v>3386</v>
      </c>
      <c r="AO413" t="str">
        <v>United Nations Development Programme</v>
      </c>
      <c r="AU413" s="1035" t="s">
        <v>472</v>
      </c>
      <c r="AV413" s="1035" t="s">
        <v>39</v>
      </c>
      <c r="AW413" s="1035" t="s">
        <v>82</v>
      </c>
      <c r="AX413" s="1035" t="s">
        <v>1785</v>
      </c>
    </row>
    <row r="414" spans="1:50" x14ac:dyDescent="0.35">
      <c r="A414">
        <v>46</v>
      </c>
      <c r="B414" t="s">
        <v>389</v>
      </c>
      <c r="C414">
        <v>2</v>
      </c>
      <c r="D414" t="s">
        <v>367</v>
      </c>
      <c r="E414">
        <v>1</v>
      </c>
      <c r="F414" t="s">
        <v>36</v>
      </c>
      <c r="G414" t="s">
        <v>977</v>
      </c>
      <c r="H414" t="s">
        <v>3561</v>
      </c>
      <c r="I414" t="s">
        <v>978</v>
      </c>
      <c r="J414" t="s">
        <v>979</v>
      </c>
      <c r="O414" t="e" cm="1">
        <f t="array" ref="O414">INDEX(Grant[Country],MATCH(0,INDEX(COUNTIF($O$2:O413,Grant[Country]),),0))</f>
        <v>#N/A</v>
      </c>
      <c r="Y414" s="1035" t="s">
        <v>473</v>
      </c>
      <c r="Z414" s="1035" t="s">
        <v>1790</v>
      </c>
      <c r="AB414" s="1035" t="s">
        <v>3507</v>
      </c>
      <c r="AC414" s="1035" t="s">
        <v>3505</v>
      </c>
      <c r="AO414" t="str">
        <v>United Nations Development Programme</v>
      </c>
      <c r="AU414" s="1035" t="s">
        <v>473</v>
      </c>
      <c r="AV414" s="1035" t="s">
        <v>36</v>
      </c>
      <c r="AW414" s="1035" t="s">
        <v>82</v>
      </c>
      <c r="AX414" s="1035" t="s">
        <v>3560</v>
      </c>
    </row>
    <row r="415" spans="1:50" x14ac:dyDescent="0.35">
      <c r="A415">
        <v>46</v>
      </c>
      <c r="B415" t="s">
        <v>389</v>
      </c>
      <c r="C415">
        <v>2</v>
      </c>
      <c r="D415" t="s">
        <v>367</v>
      </c>
      <c r="E415">
        <v>3</v>
      </c>
      <c r="F415" t="s">
        <v>37</v>
      </c>
      <c r="G415" t="s">
        <v>977</v>
      </c>
      <c r="H415" t="s">
        <v>3561</v>
      </c>
      <c r="I415" t="s">
        <v>3564</v>
      </c>
      <c r="J415" t="s">
        <v>3565</v>
      </c>
      <c r="O415" t="e" cm="1">
        <f t="array" ref="O415">INDEX(Grant[Country],MATCH(0,INDEX(COUNTIF($O$2:O414,Grant[Country]),),0))</f>
        <v>#N/A</v>
      </c>
      <c r="Y415" s="1035" t="s">
        <v>473</v>
      </c>
      <c r="Z415" s="1035" t="s">
        <v>1789</v>
      </c>
      <c r="AB415" s="1035" t="s">
        <v>3511</v>
      </c>
      <c r="AC415" s="1035" t="s">
        <v>3509</v>
      </c>
      <c r="AO415" t="str">
        <v>United Nations Development Programme</v>
      </c>
      <c r="AU415" s="1035" t="s">
        <v>473</v>
      </c>
      <c r="AV415" s="1035" t="s">
        <v>37</v>
      </c>
      <c r="AW415" s="1035" t="s">
        <v>82</v>
      </c>
      <c r="AX415" s="1035" t="s">
        <v>1789</v>
      </c>
    </row>
    <row r="416" spans="1:50" x14ac:dyDescent="0.35">
      <c r="A416">
        <v>46</v>
      </c>
      <c r="B416" t="s">
        <v>389</v>
      </c>
      <c r="C416">
        <v>2</v>
      </c>
      <c r="D416" t="s">
        <v>367</v>
      </c>
      <c r="E416">
        <v>3</v>
      </c>
      <c r="F416" t="s">
        <v>37</v>
      </c>
      <c r="G416" t="s">
        <v>985</v>
      </c>
      <c r="H416" t="s">
        <v>772</v>
      </c>
      <c r="I416" t="s">
        <v>986</v>
      </c>
      <c r="J416" t="s">
        <v>987</v>
      </c>
      <c r="O416" t="e" cm="1">
        <f t="array" ref="O416">INDEX(Grant[Country],MATCH(0,INDEX(COUNTIF($O$2:O415,Grant[Country]),),0))</f>
        <v>#N/A</v>
      </c>
      <c r="Y416" s="1035" t="s">
        <v>473</v>
      </c>
      <c r="Z416" s="1035" t="s">
        <v>3560</v>
      </c>
      <c r="AB416" s="1035" t="s">
        <v>3499</v>
      </c>
      <c r="AC416" s="1035" t="s">
        <v>3497</v>
      </c>
      <c r="AO416" t="str">
        <v>United Nations Development Programme</v>
      </c>
      <c r="AU416" s="1035" t="s">
        <v>473</v>
      </c>
      <c r="AV416" s="1035" t="s">
        <v>187</v>
      </c>
      <c r="AW416" s="1035" t="s">
        <v>82</v>
      </c>
      <c r="AX416" s="1035" t="s">
        <v>1790</v>
      </c>
    </row>
    <row r="417" spans="1:50" x14ac:dyDescent="0.35">
      <c r="A417">
        <v>46</v>
      </c>
      <c r="B417" t="s">
        <v>389</v>
      </c>
      <c r="C417">
        <v>2</v>
      </c>
      <c r="D417" t="s">
        <v>367</v>
      </c>
      <c r="E417">
        <v>2</v>
      </c>
      <c r="F417" t="s">
        <v>39</v>
      </c>
      <c r="G417" t="s">
        <v>971</v>
      </c>
      <c r="H417" t="s">
        <v>905</v>
      </c>
      <c r="I417" t="s">
        <v>991</v>
      </c>
      <c r="J417" t="s">
        <v>984</v>
      </c>
      <c r="O417" t="e" cm="1">
        <f t="array" ref="O417">INDEX(Grant[Country],MATCH(0,INDEX(COUNTIF($O$2:O416,Grant[Country]),),0))</f>
        <v>#N/A</v>
      </c>
      <c r="Y417" s="1035" t="s">
        <v>476</v>
      </c>
      <c r="Z417" s="1035" t="s">
        <v>1795</v>
      </c>
      <c r="AB417" s="1035" t="s">
        <v>3519</v>
      </c>
      <c r="AC417" s="1035" t="s">
        <v>1111</v>
      </c>
      <c r="AO417" t="str">
        <v>United Nations Development Programme</v>
      </c>
      <c r="AU417" s="1035" t="s">
        <v>476</v>
      </c>
      <c r="AV417" s="1035" t="s">
        <v>36</v>
      </c>
      <c r="AW417" s="1035" t="s">
        <v>82</v>
      </c>
      <c r="AX417" s="1035" t="s">
        <v>3269</v>
      </c>
    </row>
    <row r="418" spans="1:50" x14ac:dyDescent="0.35">
      <c r="A418">
        <v>46</v>
      </c>
      <c r="B418" t="s">
        <v>389</v>
      </c>
      <c r="C418">
        <v>2</v>
      </c>
      <c r="D418" t="s">
        <v>367</v>
      </c>
      <c r="E418">
        <v>2</v>
      </c>
      <c r="F418" t="s">
        <v>39</v>
      </c>
      <c r="G418" t="s">
        <v>977</v>
      </c>
      <c r="H418" t="s">
        <v>3561</v>
      </c>
      <c r="I418" t="s">
        <v>993</v>
      </c>
      <c r="J418" t="s">
        <v>990</v>
      </c>
      <c r="O418" t="e" cm="1">
        <f t="array" ref="O418">INDEX(Grant[Country],MATCH(0,INDEX(COUNTIF($O$2:O417,Grant[Country]),),0))</f>
        <v>#N/A</v>
      </c>
      <c r="Y418" s="1035" t="s">
        <v>476</v>
      </c>
      <c r="Z418" s="1035" t="s">
        <v>3269</v>
      </c>
      <c r="AB418" s="1035" t="s">
        <v>3517</v>
      </c>
      <c r="AC418" s="1035" t="s">
        <v>3444</v>
      </c>
      <c r="AO418" t="str">
        <v>United Nations Development Programme</v>
      </c>
      <c r="AU418" s="1035" t="s">
        <v>476</v>
      </c>
      <c r="AV418" s="1035" t="s">
        <v>187</v>
      </c>
      <c r="AW418" s="1035" t="s">
        <v>82</v>
      </c>
      <c r="AX418" s="1035" t="s">
        <v>1795</v>
      </c>
    </row>
    <row r="419" spans="1:50" x14ac:dyDescent="0.35">
      <c r="A419">
        <v>46</v>
      </c>
      <c r="B419" t="s">
        <v>389</v>
      </c>
      <c r="C419">
        <v>2</v>
      </c>
      <c r="D419" t="s">
        <v>367</v>
      </c>
      <c r="E419">
        <v>3</v>
      </c>
      <c r="F419" t="s">
        <v>37</v>
      </c>
      <c r="G419" t="s">
        <v>971</v>
      </c>
      <c r="H419" t="s">
        <v>905</v>
      </c>
      <c r="I419" t="s">
        <v>982</v>
      </c>
      <c r="J419" t="s">
        <v>981</v>
      </c>
      <c r="O419" t="e" cm="1">
        <f t="array" ref="O419">INDEX(Grant[Country],MATCH(0,INDEX(COUNTIF($O$2:O418,Grant[Country]),),0))</f>
        <v>#N/A</v>
      </c>
      <c r="Y419" s="1035" t="s">
        <v>476</v>
      </c>
      <c r="Z419" s="1035" t="s">
        <v>1793</v>
      </c>
      <c r="AB419" s="1035" t="s">
        <v>3358</v>
      </c>
      <c r="AC419" s="1035" t="s">
        <v>3356</v>
      </c>
      <c r="AO419" t="str">
        <v>United Nations Development Programme</v>
      </c>
      <c r="AU419" s="1035" t="s">
        <v>476</v>
      </c>
      <c r="AV419" s="1035" t="s">
        <v>39</v>
      </c>
      <c r="AW419" s="1035" t="s">
        <v>82</v>
      </c>
      <c r="AX419" s="1035" t="s">
        <v>1793</v>
      </c>
    </row>
    <row r="420" spans="1:50" x14ac:dyDescent="0.35">
      <c r="A420">
        <v>79</v>
      </c>
      <c r="B420" t="s">
        <v>480</v>
      </c>
      <c r="C420">
        <v>2</v>
      </c>
      <c r="D420" t="s">
        <v>367</v>
      </c>
      <c r="E420">
        <v>1</v>
      </c>
      <c r="F420" t="s">
        <v>36</v>
      </c>
      <c r="G420" t="s">
        <v>1823</v>
      </c>
      <c r="H420" t="s">
        <v>1533</v>
      </c>
      <c r="I420" t="s">
        <v>1824</v>
      </c>
      <c r="J420" t="s">
        <v>1825</v>
      </c>
      <c r="O420" t="e" cm="1">
        <f t="array" ref="O420">INDEX(Grant[Country],MATCH(0,INDEX(COUNTIF($O$2:O419,Grant[Country]),),0))</f>
        <v>#N/A</v>
      </c>
      <c r="Y420" s="1035" t="s">
        <v>477</v>
      </c>
      <c r="Z420" s="1035" t="s">
        <v>1802</v>
      </c>
      <c r="AB420" s="1035" t="s">
        <v>3361</v>
      </c>
      <c r="AC420" s="1035" t="s">
        <v>840</v>
      </c>
      <c r="AO420" t="str">
        <v>United Nations Development Programme</v>
      </c>
      <c r="AU420" s="1035" t="s">
        <v>477</v>
      </c>
      <c r="AV420" s="1035" t="s">
        <v>36</v>
      </c>
      <c r="AW420" s="1035" t="s">
        <v>82</v>
      </c>
      <c r="AX420" s="1035" t="s">
        <v>1802</v>
      </c>
    </row>
    <row r="421" spans="1:50" x14ac:dyDescent="0.35">
      <c r="A421">
        <v>79</v>
      </c>
      <c r="B421" t="s">
        <v>480</v>
      </c>
      <c r="C421">
        <v>2</v>
      </c>
      <c r="D421" t="s">
        <v>367</v>
      </c>
      <c r="E421">
        <v>3</v>
      </c>
      <c r="F421" t="s">
        <v>37</v>
      </c>
      <c r="G421" t="s">
        <v>1823</v>
      </c>
      <c r="H421" t="s">
        <v>1533</v>
      </c>
      <c r="I421" t="s">
        <v>1826</v>
      </c>
      <c r="J421" t="s">
        <v>1827</v>
      </c>
      <c r="O421" t="e" cm="1">
        <f t="array" ref="O421">INDEX(Grant[Country],MATCH(0,INDEX(COUNTIF($O$2:O420,Grant[Country]),),0))</f>
        <v>#N/A</v>
      </c>
      <c r="Y421" s="1035" t="s">
        <v>477</v>
      </c>
      <c r="Z421" s="1035" t="s">
        <v>1800</v>
      </c>
      <c r="AB421" s="1035" t="s">
        <v>3350</v>
      </c>
      <c r="AC421" s="1035" t="s">
        <v>869</v>
      </c>
      <c r="AO421" t="str">
        <v>United Nations Development Programme</v>
      </c>
      <c r="AU421" s="1035" t="s">
        <v>477</v>
      </c>
      <c r="AV421" s="1035" t="s">
        <v>36</v>
      </c>
      <c r="AW421" s="1035" t="s">
        <v>82</v>
      </c>
      <c r="AX421" s="1035" t="s">
        <v>3566</v>
      </c>
    </row>
    <row r="422" spans="1:50" x14ac:dyDescent="0.35">
      <c r="A422">
        <v>79</v>
      </c>
      <c r="B422" t="s">
        <v>480</v>
      </c>
      <c r="C422">
        <v>2</v>
      </c>
      <c r="D422" t="s">
        <v>367</v>
      </c>
      <c r="E422">
        <v>2</v>
      </c>
      <c r="F422" t="s">
        <v>39</v>
      </c>
      <c r="G422" t="s">
        <v>1823</v>
      </c>
      <c r="H422" t="s">
        <v>1533</v>
      </c>
      <c r="I422" t="s">
        <v>1828</v>
      </c>
      <c r="J422" t="s">
        <v>1829</v>
      </c>
      <c r="O422" t="e" cm="1">
        <f t="array" ref="O422">INDEX(Grant[Country],MATCH(0,INDEX(COUNTIF($O$2:O421,Grant[Country]),),0))</f>
        <v>#N/A</v>
      </c>
      <c r="Y422" s="1035" t="s">
        <v>477</v>
      </c>
      <c r="Z422" s="1035" t="s">
        <v>1808</v>
      </c>
      <c r="AB422" s="1035" t="s">
        <v>3515</v>
      </c>
      <c r="AC422" s="1035" t="s">
        <v>3513</v>
      </c>
      <c r="AO422" t="str">
        <v>United Nations Development Programme</v>
      </c>
      <c r="AU422" s="1035" t="s">
        <v>477</v>
      </c>
      <c r="AV422" s="1035" t="s">
        <v>37</v>
      </c>
      <c r="AW422" s="1035" t="s">
        <v>82</v>
      </c>
      <c r="AX422" s="1035" t="s">
        <v>1804</v>
      </c>
    </row>
    <row r="423" spans="1:50" x14ac:dyDescent="0.35">
      <c r="A423">
        <v>148</v>
      </c>
      <c r="B423" t="s">
        <v>478</v>
      </c>
      <c r="C423">
        <v>1</v>
      </c>
      <c r="D423" t="s">
        <v>82</v>
      </c>
      <c r="E423">
        <v>4</v>
      </c>
      <c r="F423" t="s">
        <v>187</v>
      </c>
      <c r="G423" t="s">
        <v>1810</v>
      </c>
      <c r="H423" t="s">
        <v>1525</v>
      </c>
      <c r="I423" t="s">
        <v>1811</v>
      </c>
      <c r="J423" t="s">
        <v>1812</v>
      </c>
      <c r="O423" t="e" cm="1">
        <f t="array" ref="O423">INDEX(Grant[Country],MATCH(0,INDEX(COUNTIF($O$2:O422,Grant[Country]),),0))</f>
        <v>#N/A</v>
      </c>
      <c r="Y423" s="1035" t="s">
        <v>477</v>
      </c>
      <c r="Z423" s="1035" t="s">
        <v>1804</v>
      </c>
      <c r="AB423" s="1035" t="s">
        <v>3565</v>
      </c>
      <c r="AC423" s="1035" t="s">
        <v>3561</v>
      </c>
      <c r="AO423" t="str">
        <v>United Nations Development Programme</v>
      </c>
      <c r="AU423" s="1035" t="s">
        <v>477</v>
      </c>
      <c r="AV423" s="1035" t="s">
        <v>187</v>
      </c>
      <c r="AW423" s="1035" t="s">
        <v>82</v>
      </c>
      <c r="AX423" s="1035" t="s">
        <v>1800</v>
      </c>
    </row>
    <row r="424" spans="1:50" x14ac:dyDescent="0.35">
      <c r="A424">
        <v>148</v>
      </c>
      <c r="B424" t="s">
        <v>478</v>
      </c>
      <c r="C424">
        <v>1</v>
      </c>
      <c r="D424" t="s">
        <v>82</v>
      </c>
      <c r="E424">
        <v>4</v>
      </c>
      <c r="F424" t="s">
        <v>187</v>
      </c>
      <c r="G424" t="s">
        <v>1813</v>
      </c>
      <c r="H424" t="s">
        <v>1528</v>
      </c>
      <c r="I424" t="s">
        <v>1814</v>
      </c>
      <c r="J424" t="s">
        <v>1815</v>
      </c>
      <c r="O424" t="e" cm="1">
        <f t="array" ref="O424">INDEX(Grant[Country],MATCH(0,INDEX(COUNTIF($O$2:O423,Grant[Country]),),0))</f>
        <v>#N/A</v>
      </c>
      <c r="Y424" s="1035" t="s">
        <v>477</v>
      </c>
      <c r="Z424" s="1035" t="s">
        <v>3566</v>
      </c>
      <c r="AB424" s="1035" t="s">
        <v>3563</v>
      </c>
      <c r="AC424" s="1035" t="s">
        <v>3561</v>
      </c>
      <c r="AO424" t="str">
        <v>United Nations Development Programme</v>
      </c>
      <c r="AU424" s="1035" t="s">
        <v>477</v>
      </c>
      <c r="AV424" s="1035" t="s">
        <v>187</v>
      </c>
      <c r="AW424" s="1035" t="s">
        <v>82</v>
      </c>
      <c r="AX424" s="1035" t="s">
        <v>1808</v>
      </c>
    </row>
    <row r="425" spans="1:50" x14ac:dyDescent="0.35">
      <c r="A425">
        <v>132</v>
      </c>
      <c r="B425" t="s">
        <v>476</v>
      </c>
      <c r="C425">
        <v>1</v>
      </c>
      <c r="D425" t="s">
        <v>82</v>
      </c>
      <c r="E425">
        <v>4</v>
      </c>
      <c r="F425" t="s">
        <v>187</v>
      </c>
      <c r="G425" t="s">
        <v>1792</v>
      </c>
      <c r="H425" t="s">
        <v>772</v>
      </c>
      <c r="I425" t="s">
        <v>1794</v>
      </c>
      <c r="J425" t="s">
        <v>1795</v>
      </c>
      <c r="O425" t="e" cm="1">
        <f t="array" ref="O425">INDEX(Grant[Country],MATCH(0,INDEX(COUNTIF($O$2:O424,Grant[Country]),),0))</f>
        <v>#N/A</v>
      </c>
      <c r="Y425" s="1035" t="s">
        <v>477</v>
      </c>
      <c r="Z425" s="1035" t="s">
        <v>3567</v>
      </c>
      <c r="AB425" s="1035" t="s">
        <v>3375</v>
      </c>
      <c r="AC425" s="1035" t="s">
        <v>3373</v>
      </c>
      <c r="AO425" t="str">
        <v>United Nations Development Programme</v>
      </c>
      <c r="AU425" s="1035" t="s">
        <v>477</v>
      </c>
      <c r="AV425" s="1035" t="s">
        <v>39</v>
      </c>
      <c r="AW425" s="1035" t="s">
        <v>82</v>
      </c>
      <c r="AX425" s="1035" t="s">
        <v>3567</v>
      </c>
    </row>
    <row r="426" spans="1:50" x14ac:dyDescent="0.35">
      <c r="A426">
        <v>132</v>
      </c>
      <c r="B426" t="s">
        <v>476</v>
      </c>
      <c r="C426">
        <v>1</v>
      </c>
      <c r="D426" t="s">
        <v>82</v>
      </c>
      <c r="E426">
        <v>1</v>
      </c>
      <c r="F426" t="s">
        <v>36</v>
      </c>
      <c r="G426" t="s">
        <v>1792</v>
      </c>
      <c r="H426" t="s">
        <v>772</v>
      </c>
      <c r="I426" t="s">
        <v>3268</v>
      </c>
      <c r="J426" t="s">
        <v>3269</v>
      </c>
      <c r="O426" t="e" cm="1">
        <f t="array" ref="O426">INDEX(Grant[Country],MATCH(0,INDEX(COUNTIF($O$2:O425,Grant[Country]),),0))</f>
        <v>#N/A</v>
      </c>
      <c r="Y426" s="1035" t="s">
        <v>478</v>
      </c>
      <c r="Z426" s="1035" t="s">
        <v>1812</v>
      </c>
      <c r="AB426" s="1035" t="s">
        <v>3371</v>
      </c>
      <c r="AC426" s="1035" t="s">
        <v>772</v>
      </c>
      <c r="AO426" t="str">
        <v>United Nations Development Programme</v>
      </c>
      <c r="AU426" s="1035" t="s">
        <v>478</v>
      </c>
      <c r="AV426" s="1035" t="s">
        <v>187</v>
      </c>
      <c r="AW426" s="1035" t="s">
        <v>82</v>
      </c>
      <c r="AX426" s="1035" t="s">
        <v>1812</v>
      </c>
    </row>
    <row r="427" spans="1:50" x14ac:dyDescent="0.35">
      <c r="A427">
        <v>132</v>
      </c>
      <c r="B427" t="s">
        <v>476</v>
      </c>
      <c r="C427">
        <v>1</v>
      </c>
      <c r="D427" t="s">
        <v>82</v>
      </c>
      <c r="E427">
        <v>2</v>
      </c>
      <c r="F427" t="s">
        <v>39</v>
      </c>
      <c r="G427" t="s">
        <v>1796</v>
      </c>
      <c r="H427" t="s">
        <v>1505</v>
      </c>
      <c r="I427" t="s">
        <v>1797</v>
      </c>
      <c r="J427" t="s">
        <v>1793</v>
      </c>
      <c r="O427" t="e" cm="1">
        <f t="array" ref="O427">INDEX(Grant[Country],MATCH(0,INDEX(COUNTIF($O$2:O426,Grant[Country]),),0))</f>
        <v>#N/A</v>
      </c>
      <c r="Y427" s="1035" t="s">
        <v>478</v>
      </c>
      <c r="Z427" s="1035" t="s">
        <v>1815</v>
      </c>
      <c r="AB427" s="1035" t="s">
        <v>3368</v>
      </c>
      <c r="AC427" s="1035" t="s">
        <v>3367</v>
      </c>
      <c r="AO427" t="str">
        <v>United Nations Development Programme</v>
      </c>
      <c r="AU427" s="1035" t="s">
        <v>478</v>
      </c>
      <c r="AV427" s="1035" t="s">
        <v>187</v>
      </c>
      <c r="AW427" s="1035" t="s">
        <v>82</v>
      </c>
      <c r="AX427" s="1035" t="s">
        <v>1815</v>
      </c>
    </row>
    <row r="428" spans="1:50" x14ac:dyDescent="0.35">
      <c r="A428">
        <v>133</v>
      </c>
      <c r="B428" t="s">
        <v>483</v>
      </c>
      <c r="C428">
        <v>1</v>
      </c>
      <c r="D428" t="s">
        <v>82</v>
      </c>
      <c r="E428">
        <v>2</v>
      </c>
      <c r="F428" t="s">
        <v>39</v>
      </c>
      <c r="G428" t="s">
        <v>1838</v>
      </c>
      <c r="H428" t="s">
        <v>772</v>
      </c>
      <c r="I428" t="s">
        <v>1839</v>
      </c>
      <c r="J428" t="s">
        <v>1840</v>
      </c>
      <c r="O428" t="e" cm="1">
        <f t="array" ref="O428">INDEX(Grant[Country],MATCH(0,INDEX(COUNTIF($O$2:O427,Grant[Country]),),0))</f>
        <v>#N/A</v>
      </c>
      <c r="Y428" s="1035" t="s">
        <v>479</v>
      </c>
      <c r="Z428" s="1035" t="s">
        <v>1818</v>
      </c>
      <c r="AB428" s="1035" t="s">
        <v>3366</v>
      </c>
      <c r="AC428" s="1035" t="s">
        <v>3363</v>
      </c>
      <c r="AO428" t="str">
        <v>United Nations Development Programme</v>
      </c>
      <c r="AU428" s="1035" t="s">
        <v>479</v>
      </c>
      <c r="AV428" s="1035" t="s">
        <v>36</v>
      </c>
      <c r="AW428" s="1035" t="s">
        <v>82</v>
      </c>
      <c r="AX428" s="1035" t="s">
        <v>1818</v>
      </c>
    </row>
    <row r="429" spans="1:50" x14ac:dyDescent="0.35">
      <c r="A429">
        <v>149</v>
      </c>
      <c r="B429" t="s">
        <v>479</v>
      </c>
      <c r="C429">
        <v>1</v>
      </c>
      <c r="D429" t="s">
        <v>82</v>
      </c>
      <c r="E429">
        <v>1</v>
      </c>
      <c r="F429" t="s">
        <v>36</v>
      </c>
      <c r="G429" t="s">
        <v>1816</v>
      </c>
      <c r="H429" t="s">
        <v>1530</v>
      </c>
      <c r="I429" t="s">
        <v>1817</v>
      </c>
      <c r="J429" t="s">
        <v>1818</v>
      </c>
      <c r="O429" t="e" cm="1">
        <f t="array" ref="O429">INDEX(Grant[Country],MATCH(0,INDEX(COUNTIF($O$2:O428,Grant[Country]),),0))</f>
        <v>#N/A</v>
      </c>
      <c r="Y429" s="1035" t="s">
        <v>479</v>
      </c>
      <c r="Z429" s="1035" t="s">
        <v>1820</v>
      </c>
      <c r="AB429" s="1035" t="s">
        <v>3377</v>
      </c>
      <c r="AC429" s="1035" t="s">
        <v>772</v>
      </c>
      <c r="AO429" t="str">
        <v>United Nations Development Programme</v>
      </c>
      <c r="AU429" s="1035" t="s">
        <v>479</v>
      </c>
      <c r="AV429" s="1035" t="s">
        <v>37</v>
      </c>
      <c r="AW429" s="1035" t="s">
        <v>82</v>
      </c>
      <c r="AX429" s="1035" t="s">
        <v>1820</v>
      </c>
    </row>
    <row r="430" spans="1:50" x14ac:dyDescent="0.35">
      <c r="A430">
        <v>149</v>
      </c>
      <c r="B430" t="s">
        <v>479</v>
      </c>
      <c r="C430">
        <v>1</v>
      </c>
      <c r="D430" t="s">
        <v>82</v>
      </c>
      <c r="E430">
        <v>3</v>
      </c>
      <c r="F430" t="s">
        <v>37</v>
      </c>
      <c r="G430" t="s">
        <v>1816</v>
      </c>
      <c r="H430" t="s">
        <v>1530</v>
      </c>
      <c r="I430" t="s">
        <v>1819</v>
      </c>
      <c r="J430" t="s">
        <v>1820</v>
      </c>
      <c r="O430" t="e" cm="1">
        <f t="array" ref="O430">INDEX(Grant[Country],MATCH(0,INDEX(COUNTIF($O$2:O429,Grant[Country]),),0))</f>
        <v>#N/A</v>
      </c>
      <c r="Y430" s="1035" t="s">
        <v>479</v>
      </c>
      <c r="Z430" s="1035" t="s">
        <v>1822</v>
      </c>
      <c r="AB430" s="1035" t="s">
        <v>3489</v>
      </c>
      <c r="AC430" s="1035" t="s">
        <v>3487</v>
      </c>
      <c r="AO430" t="str">
        <v>United Nations Development Programme</v>
      </c>
      <c r="AU430" s="1035" t="s">
        <v>479</v>
      </c>
      <c r="AV430" s="1035" t="s">
        <v>39</v>
      </c>
      <c r="AW430" s="1035" t="s">
        <v>82</v>
      </c>
      <c r="AX430" s="1035" t="s">
        <v>1822</v>
      </c>
    </row>
    <row r="431" spans="1:50" x14ac:dyDescent="0.35">
      <c r="A431">
        <v>149</v>
      </c>
      <c r="B431" t="s">
        <v>479</v>
      </c>
      <c r="C431">
        <v>1</v>
      </c>
      <c r="D431" t="s">
        <v>82</v>
      </c>
      <c r="E431">
        <v>2</v>
      </c>
      <c r="F431" t="s">
        <v>39</v>
      </c>
      <c r="G431" t="s">
        <v>1816</v>
      </c>
      <c r="H431" t="s">
        <v>1530</v>
      </c>
      <c r="I431" t="s">
        <v>1821</v>
      </c>
      <c r="J431" t="s">
        <v>1822</v>
      </c>
      <c r="O431" t="e" cm="1">
        <f t="array" ref="O431">INDEX(Grant[Country],MATCH(0,INDEX(COUNTIF($O$2:O430,Grant[Country]),),0))</f>
        <v>#N/A</v>
      </c>
      <c r="Y431" s="1035" t="s">
        <v>480</v>
      </c>
      <c r="Z431" s="1035" t="s">
        <v>1825</v>
      </c>
      <c r="AB431" s="1035" t="s">
        <v>3548</v>
      </c>
      <c r="AC431" s="1035" t="s">
        <v>994</v>
      </c>
      <c r="AO431" t="str">
        <v>United Nations Development Programme</v>
      </c>
      <c r="AU431" s="1035" t="s">
        <v>480</v>
      </c>
      <c r="AV431" s="1035" t="s">
        <v>36</v>
      </c>
      <c r="AW431" s="1035" t="s">
        <v>367</v>
      </c>
      <c r="AX431" s="1035" t="s">
        <v>1825</v>
      </c>
    </row>
    <row r="432" spans="1:50" x14ac:dyDescent="0.35">
      <c r="A432">
        <v>40</v>
      </c>
      <c r="B432" t="s">
        <v>477</v>
      </c>
      <c r="C432">
        <v>1</v>
      </c>
      <c r="D432" t="s">
        <v>82</v>
      </c>
      <c r="E432">
        <v>1</v>
      </c>
      <c r="F432" t="s">
        <v>36</v>
      </c>
      <c r="G432" t="s">
        <v>1043</v>
      </c>
      <c r="H432" t="s">
        <v>937</v>
      </c>
      <c r="I432" t="s">
        <v>1801</v>
      </c>
      <c r="J432" t="s">
        <v>1802</v>
      </c>
      <c r="O432" t="e" cm="1">
        <f t="array" ref="O432">INDEX(Grant[Country],MATCH(0,INDEX(COUNTIF($O$2:O431,Grant[Country]),),0))</f>
        <v>#N/A</v>
      </c>
      <c r="Y432" s="1035" t="s">
        <v>480</v>
      </c>
      <c r="Z432" s="1035" t="s">
        <v>1827</v>
      </c>
      <c r="AB432" s="1035" t="s">
        <v>3552</v>
      </c>
      <c r="AC432" s="1035" t="s">
        <v>3550</v>
      </c>
      <c r="AO432" t="str">
        <v>United Nations Development Programme</v>
      </c>
      <c r="AU432" s="1035" t="s">
        <v>480</v>
      </c>
      <c r="AV432" s="1035" t="s">
        <v>37</v>
      </c>
      <c r="AW432" s="1035" t="s">
        <v>367</v>
      </c>
      <c r="AX432" s="1035" t="s">
        <v>1827</v>
      </c>
    </row>
    <row r="433" spans="1:50" x14ac:dyDescent="0.35">
      <c r="A433">
        <v>57</v>
      </c>
      <c r="B433" t="s">
        <v>481</v>
      </c>
      <c r="C433">
        <v>1</v>
      </c>
      <c r="D433" t="s">
        <v>82</v>
      </c>
      <c r="E433">
        <v>1</v>
      </c>
      <c r="F433" t="s">
        <v>36</v>
      </c>
      <c r="G433" t="s">
        <v>1830</v>
      </c>
      <c r="H433" t="s">
        <v>1545</v>
      </c>
      <c r="I433" t="s">
        <v>1835</v>
      </c>
      <c r="J433" t="s">
        <v>1833</v>
      </c>
      <c r="O433" t="e" cm="1">
        <f t="array" ref="O433">INDEX(Grant[Country],MATCH(0,INDEX(COUNTIF($O$2:O432,Grant[Country]),),0))</f>
        <v>#N/A</v>
      </c>
      <c r="Y433" s="1035" t="s">
        <v>480</v>
      </c>
      <c r="Z433" s="1035" t="s">
        <v>1829</v>
      </c>
      <c r="AB433" s="1035" t="s">
        <v>3381</v>
      </c>
      <c r="AC433" s="1035" t="s">
        <v>3379</v>
      </c>
      <c r="AO433" t="str">
        <v>United Nations Development Programme</v>
      </c>
      <c r="AU433" s="1035" t="s">
        <v>480</v>
      </c>
      <c r="AV433" s="1035" t="s">
        <v>39</v>
      </c>
      <c r="AW433" s="1035" t="s">
        <v>367</v>
      </c>
      <c r="AX433" s="1035" t="s">
        <v>1829</v>
      </c>
    </row>
    <row r="434" spans="1:50" x14ac:dyDescent="0.35">
      <c r="A434">
        <v>57</v>
      </c>
      <c r="B434" t="s">
        <v>481</v>
      </c>
      <c r="C434">
        <v>1</v>
      </c>
      <c r="D434" t="s">
        <v>82</v>
      </c>
      <c r="E434">
        <v>2</v>
      </c>
      <c r="F434" t="s">
        <v>39</v>
      </c>
      <c r="G434" t="s">
        <v>1836</v>
      </c>
      <c r="H434" t="s">
        <v>1542</v>
      </c>
      <c r="I434" t="s">
        <v>1837</v>
      </c>
      <c r="J434" t="s">
        <v>1834</v>
      </c>
      <c r="O434" t="e" cm="1">
        <f t="array" ref="O434">INDEX(Grant[Country],MATCH(0,INDEX(COUNTIF($O$2:O433,Grant[Country]),),0))</f>
        <v>#N/A</v>
      </c>
      <c r="Y434" s="1035" t="s">
        <v>481</v>
      </c>
      <c r="Z434" s="1035" t="s">
        <v>1833</v>
      </c>
      <c r="AB434" s="1035" t="s">
        <v>3388</v>
      </c>
      <c r="AC434" s="1035" t="s">
        <v>3386</v>
      </c>
      <c r="AO434" t="str">
        <v>United Nations Development Programme</v>
      </c>
      <c r="AU434" s="1035" t="s">
        <v>481</v>
      </c>
      <c r="AV434" s="1035" t="s">
        <v>36</v>
      </c>
      <c r="AW434" s="1035" t="s">
        <v>82</v>
      </c>
      <c r="AX434" s="1035" t="s">
        <v>1833</v>
      </c>
    </row>
    <row r="435" spans="1:50" x14ac:dyDescent="0.35">
      <c r="A435">
        <v>57</v>
      </c>
      <c r="B435" t="s">
        <v>481</v>
      </c>
      <c r="C435">
        <v>1</v>
      </c>
      <c r="D435" t="s">
        <v>82</v>
      </c>
      <c r="E435">
        <v>1</v>
      </c>
      <c r="F435" t="s">
        <v>36</v>
      </c>
      <c r="G435" t="s">
        <v>1830</v>
      </c>
      <c r="H435" t="s">
        <v>1545</v>
      </c>
      <c r="I435" t="s">
        <v>1831</v>
      </c>
      <c r="J435" t="s">
        <v>1832</v>
      </c>
      <c r="O435" t="e" cm="1">
        <f t="array" ref="O435">INDEX(Grant[Country],MATCH(0,INDEX(COUNTIF($O$2:O434,Grant[Country]),),0))</f>
        <v>#N/A</v>
      </c>
      <c r="Y435" s="1035" t="s">
        <v>481</v>
      </c>
      <c r="Z435" s="1035" t="s">
        <v>1834</v>
      </c>
      <c r="AB435" s="1035" t="s">
        <v>3391</v>
      </c>
      <c r="AC435" s="1035" t="s">
        <v>3389</v>
      </c>
      <c r="AO435" t="str">
        <v>United Nations Development Programme</v>
      </c>
      <c r="AU435" s="1035" t="s">
        <v>481</v>
      </c>
      <c r="AV435" s="1035" t="s">
        <v>36</v>
      </c>
      <c r="AW435" s="1035" t="s">
        <v>82</v>
      </c>
      <c r="AX435" s="1035" t="s">
        <v>1832</v>
      </c>
    </row>
    <row r="436" spans="1:50" x14ac:dyDescent="0.35">
      <c r="A436">
        <v>40</v>
      </c>
      <c r="B436" t="s">
        <v>477</v>
      </c>
      <c r="C436">
        <v>1</v>
      </c>
      <c r="D436" t="s">
        <v>82</v>
      </c>
      <c r="E436">
        <v>4</v>
      </c>
      <c r="F436" t="s">
        <v>187</v>
      </c>
      <c r="G436" t="s">
        <v>1805</v>
      </c>
      <c r="H436" t="s">
        <v>3413</v>
      </c>
      <c r="I436" t="s">
        <v>1806</v>
      </c>
      <c r="J436" t="s">
        <v>1800</v>
      </c>
      <c r="O436" t="e" cm="1">
        <f t="array" ref="O436">INDEX(Grant[Country],MATCH(0,INDEX(COUNTIF($O$2:O435,Grant[Country]),),0))</f>
        <v>#N/A</v>
      </c>
      <c r="Y436" s="1035" t="s">
        <v>481</v>
      </c>
      <c r="Z436" s="1035" t="s">
        <v>1832</v>
      </c>
      <c r="AB436" s="1035" t="s">
        <v>3410</v>
      </c>
      <c r="AC436" s="1035" t="s">
        <v>3404</v>
      </c>
      <c r="AO436" t="str">
        <v>United Nations Development Programme</v>
      </c>
      <c r="AU436" s="1035" t="s">
        <v>481</v>
      </c>
      <c r="AV436" s="1035" t="s">
        <v>39</v>
      </c>
      <c r="AW436" s="1035" t="s">
        <v>82</v>
      </c>
      <c r="AX436" s="1035" t="s">
        <v>1834</v>
      </c>
    </row>
    <row r="437" spans="1:50" x14ac:dyDescent="0.35">
      <c r="A437">
        <v>40</v>
      </c>
      <c r="B437" t="s">
        <v>477</v>
      </c>
      <c r="C437">
        <v>1</v>
      </c>
      <c r="D437" t="s">
        <v>82</v>
      </c>
      <c r="E437">
        <v>4</v>
      </c>
      <c r="F437" t="s">
        <v>187</v>
      </c>
      <c r="G437" t="s">
        <v>829</v>
      </c>
      <c r="H437" t="s">
        <v>814</v>
      </c>
      <c r="I437" t="s">
        <v>1807</v>
      </c>
      <c r="J437" t="s">
        <v>1808</v>
      </c>
      <c r="K437" t="s">
        <v>2710</v>
      </c>
      <c r="L437" t="s">
        <v>2711</v>
      </c>
      <c r="O437" t="e" cm="1">
        <f t="array" ref="O437">INDEX(Grant[Country],MATCH(0,INDEX(COUNTIF($O$2:O436,Grant[Country]),),0))</f>
        <v>#N/A</v>
      </c>
      <c r="Y437" s="1035" t="s">
        <v>483</v>
      </c>
      <c r="Z437" s="1035" t="s">
        <v>1840</v>
      </c>
      <c r="AB437" s="1035" t="s">
        <v>3403</v>
      </c>
      <c r="AC437" s="1035" t="s">
        <v>1119</v>
      </c>
      <c r="AO437" t="str">
        <v>United Nations Development Programme</v>
      </c>
      <c r="AU437" s="1035" t="s">
        <v>483</v>
      </c>
      <c r="AV437" s="1035" t="s">
        <v>39</v>
      </c>
      <c r="AW437" s="1035" t="s">
        <v>82</v>
      </c>
      <c r="AX437" s="1035" t="s">
        <v>1840</v>
      </c>
    </row>
    <row r="438" spans="1:50" x14ac:dyDescent="0.35">
      <c r="A438">
        <v>40</v>
      </c>
      <c r="B438" t="s">
        <v>477</v>
      </c>
      <c r="C438">
        <v>1</v>
      </c>
      <c r="D438" t="s">
        <v>82</v>
      </c>
      <c r="E438">
        <v>1</v>
      </c>
      <c r="F438" t="s">
        <v>36</v>
      </c>
      <c r="G438" t="s">
        <v>1798</v>
      </c>
      <c r="H438" t="s">
        <v>1515</v>
      </c>
      <c r="I438" t="s">
        <v>1799</v>
      </c>
      <c r="J438" t="s">
        <v>3566</v>
      </c>
      <c r="K438" t="s">
        <v>2712</v>
      </c>
      <c r="L438" t="s">
        <v>2713</v>
      </c>
      <c r="O438" t="e" cm="1">
        <f t="array" ref="O438">INDEX(Grant[Country],MATCH(0,INDEX(COUNTIF($O$2:O437,Grant[Country]),),0))</f>
        <v>#N/A</v>
      </c>
      <c r="Y438" s="1035" t="s">
        <v>484</v>
      </c>
      <c r="Z438" s="1035" t="s">
        <v>1851</v>
      </c>
      <c r="AB438" s="1035" t="s">
        <v>3408</v>
      </c>
      <c r="AC438" s="1035" t="s">
        <v>3406</v>
      </c>
      <c r="AO438" t="str">
        <v>United Nations Development Programme</v>
      </c>
      <c r="AU438" s="1035" t="s">
        <v>484</v>
      </c>
      <c r="AV438" s="1035" t="s">
        <v>36</v>
      </c>
      <c r="AW438" s="1035" t="s">
        <v>82</v>
      </c>
      <c r="AX438" s="1035" t="s">
        <v>1843</v>
      </c>
    </row>
    <row r="439" spans="1:50" x14ac:dyDescent="0.35">
      <c r="A439">
        <v>40</v>
      </c>
      <c r="B439" t="s">
        <v>477</v>
      </c>
      <c r="C439">
        <v>1</v>
      </c>
      <c r="D439" t="s">
        <v>82</v>
      </c>
      <c r="E439">
        <v>3</v>
      </c>
      <c r="F439" t="s">
        <v>37</v>
      </c>
      <c r="G439" t="s">
        <v>1798</v>
      </c>
      <c r="H439" t="s">
        <v>1515</v>
      </c>
      <c r="I439" t="s">
        <v>1803</v>
      </c>
      <c r="J439" t="s">
        <v>1804</v>
      </c>
      <c r="K439" t="s">
        <v>2714</v>
      </c>
      <c r="L439" t="s">
        <v>2715</v>
      </c>
      <c r="O439" t="e" cm="1">
        <f t="array" ref="O439">INDEX(Grant[Country],MATCH(0,INDEX(COUNTIF($O$2:O438,Grant[Country]),),0))</f>
        <v>#N/A</v>
      </c>
      <c r="Y439" s="1035" t="s">
        <v>484</v>
      </c>
      <c r="Z439" s="1035" t="s">
        <v>1843</v>
      </c>
      <c r="AB439" s="1035" t="s">
        <v>3401</v>
      </c>
      <c r="AC439" s="1035" t="s">
        <v>3399</v>
      </c>
      <c r="AO439" t="str">
        <v>United Nations Development Programme</v>
      </c>
      <c r="AU439" s="1035" t="s">
        <v>484</v>
      </c>
      <c r="AV439" s="1035" t="s">
        <v>36</v>
      </c>
      <c r="AW439" s="1035" t="s">
        <v>82</v>
      </c>
      <c r="AX439" s="1035" t="s">
        <v>3569</v>
      </c>
    </row>
    <row r="440" spans="1:50" x14ac:dyDescent="0.35">
      <c r="A440">
        <v>40</v>
      </c>
      <c r="B440" t="s">
        <v>477</v>
      </c>
      <c r="C440">
        <v>1</v>
      </c>
      <c r="D440" t="s">
        <v>82</v>
      </c>
      <c r="E440">
        <v>2</v>
      </c>
      <c r="F440" t="s">
        <v>39</v>
      </c>
      <c r="G440" t="s">
        <v>1798</v>
      </c>
      <c r="H440" t="s">
        <v>1515</v>
      </c>
      <c r="I440" t="s">
        <v>1809</v>
      </c>
      <c r="J440" t="s">
        <v>3567</v>
      </c>
      <c r="K440" t="s">
        <v>2716</v>
      </c>
      <c r="L440" t="s">
        <v>2717</v>
      </c>
      <c r="O440" t="e" cm="1">
        <f t="array" ref="O440">INDEX(Grant[Country],MATCH(0,INDEX(COUNTIF($O$2:O439,Grant[Country]),),0))</f>
        <v>#N/A</v>
      </c>
      <c r="Y440" s="1035" t="s">
        <v>484</v>
      </c>
      <c r="Z440" s="1035" t="s">
        <v>1845</v>
      </c>
      <c r="AB440" s="1035" t="s">
        <v>3397</v>
      </c>
      <c r="AC440" s="1035" t="s">
        <v>3395</v>
      </c>
      <c r="AO440" t="str">
        <v>United Nations Development Programme</v>
      </c>
      <c r="AU440" s="1035" t="s">
        <v>484</v>
      </c>
      <c r="AV440" s="1035" t="s">
        <v>37</v>
      </c>
      <c r="AW440" s="1035" t="s">
        <v>82</v>
      </c>
      <c r="AX440" s="1035" t="s">
        <v>1845</v>
      </c>
    </row>
    <row r="441" spans="1:50" x14ac:dyDescent="0.35">
      <c r="A441">
        <v>39</v>
      </c>
      <c r="B441" t="s">
        <v>484</v>
      </c>
      <c r="C441">
        <v>1</v>
      </c>
      <c r="D441" t="s">
        <v>82</v>
      </c>
      <c r="E441">
        <v>4</v>
      </c>
      <c r="F441" t="s">
        <v>187</v>
      </c>
      <c r="G441" t="s">
        <v>1846</v>
      </c>
      <c r="H441" t="s">
        <v>1559</v>
      </c>
      <c r="I441" t="s">
        <v>1850</v>
      </c>
      <c r="J441" t="s">
        <v>1851</v>
      </c>
      <c r="K441" t="s">
        <v>2718</v>
      </c>
      <c r="L441" t="s">
        <v>2719</v>
      </c>
      <c r="O441" t="e" cm="1">
        <f t="array" ref="O441">INDEX(Grant[Country],MATCH(0,INDEX(COUNTIF($O$2:O440,Grant[Country]),),0))</f>
        <v>#N/A</v>
      </c>
      <c r="Y441" s="1035" t="s">
        <v>484</v>
      </c>
      <c r="Z441" s="1035" t="s">
        <v>1848</v>
      </c>
      <c r="AB441" s="1035" t="s">
        <v>3463</v>
      </c>
      <c r="AC441" s="1035" t="s">
        <v>1177</v>
      </c>
      <c r="AO441" t="str">
        <v>United Nations Development Programme</v>
      </c>
      <c r="AU441" s="1035" t="s">
        <v>484</v>
      </c>
      <c r="AV441" s="1035" t="s">
        <v>37</v>
      </c>
      <c r="AW441" s="1035" t="s">
        <v>82</v>
      </c>
      <c r="AX441" s="1035" t="s">
        <v>1848</v>
      </c>
    </row>
    <row r="442" spans="1:50" x14ac:dyDescent="0.35">
      <c r="A442">
        <v>39</v>
      </c>
      <c r="B442" t="s">
        <v>484</v>
      </c>
      <c r="C442">
        <v>1</v>
      </c>
      <c r="D442" t="s">
        <v>82</v>
      </c>
      <c r="E442">
        <v>1</v>
      </c>
      <c r="F442" t="s">
        <v>36</v>
      </c>
      <c r="G442" t="s">
        <v>1841</v>
      </c>
      <c r="H442" t="s">
        <v>1556</v>
      </c>
      <c r="I442" t="s">
        <v>1842</v>
      </c>
      <c r="J442" t="s">
        <v>1843</v>
      </c>
      <c r="K442" t="s">
        <v>2720</v>
      </c>
      <c r="L442" t="s">
        <v>2721</v>
      </c>
      <c r="O442" t="e" cm="1">
        <f t="array" ref="O442">INDEX(Grant[Country],MATCH(0,INDEX(COUNTIF($O$2:O441,Grant[Country]),),0))</f>
        <v>#N/A</v>
      </c>
      <c r="Y442" s="1035" t="s">
        <v>484</v>
      </c>
      <c r="Z442" s="1035" t="s">
        <v>1853</v>
      </c>
      <c r="AB442" s="1035" t="s">
        <v>3420</v>
      </c>
      <c r="AC442" s="1035" t="s">
        <v>1202</v>
      </c>
      <c r="AO442" t="str">
        <v>United Nations Development Programme</v>
      </c>
      <c r="AU442" s="1035" t="s">
        <v>484</v>
      </c>
      <c r="AV442" s="1035" t="s">
        <v>187</v>
      </c>
      <c r="AW442" s="1035" t="s">
        <v>82</v>
      </c>
      <c r="AX442" s="1035" t="s">
        <v>1851</v>
      </c>
    </row>
    <row r="443" spans="1:50" x14ac:dyDescent="0.35">
      <c r="A443">
        <v>39</v>
      </c>
      <c r="B443" t="s">
        <v>484</v>
      </c>
      <c r="C443">
        <v>1</v>
      </c>
      <c r="D443" t="s">
        <v>82</v>
      </c>
      <c r="E443">
        <v>3</v>
      </c>
      <c r="F443" t="s">
        <v>37</v>
      </c>
      <c r="G443" t="s">
        <v>1841</v>
      </c>
      <c r="H443" t="s">
        <v>1556</v>
      </c>
      <c r="I443" t="s">
        <v>1844</v>
      </c>
      <c r="J443" t="s">
        <v>1845</v>
      </c>
      <c r="K443" t="s">
        <v>2697</v>
      </c>
      <c r="L443" t="s">
        <v>2698</v>
      </c>
      <c r="O443" t="e" cm="1">
        <f t="array" ref="O443">INDEX(Grant[Country],MATCH(0,INDEX(COUNTIF($O$2:O442,Grant[Country]),),0))</f>
        <v>#N/A</v>
      </c>
      <c r="Y443" s="1035" t="s">
        <v>484</v>
      </c>
      <c r="Z443" s="1035" t="s">
        <v>1849</v>
      </c>
      <c r="AB443" s="1035" t="s">
        <v>3424</v>
      </c>
      <c r="AC443" s="1035" t="s">
        <v>3422</v>
      </c>
      <c r="AO443" t="str">
        <v>United Nations Development Programme</v>
      </c>
      <c r="AU443" s="1035" t="s">
        <v>484</v>
      </c>
      <c r="AV443" s="1035" t="s">
        <v>2004</v>
      </c>
      <c r="AW443" s="1035" t="s">
        <v>82</v>
      </c>
      <c r="AX443" s="1035" t="s">
        <v>1853</v>
      </c>
    </row>
    <row r="444" spans="1:50" x14ac:dyDescent="0.35">
      <c r="A444">
        <v>39</v>
      </c>
      <c r="B444" t="s">
        <v>484</v>
      </c>
      <c r="C444">
        <v>1</v>
      </c>
      <c r="D444" t="s">
        <v>82</v>
      </c>
      <c r="E444">
        <v>3</v>
      </c>
      <c r="F444" t="s">
        <v>37</v>
      </c>
      <c r="G444" t="s">
        <v>1846</v>
      </c>
      <c r="H444" t="s">
        <v>1559</v>
      </c>
      <c r="I444" t="s">
        <v>1847</v>
      </c>
      <c r="J444" t="s">
        <v>1848</v>
      </c>
      <c r="O444" t="e" cm="1">
        <f t="array" ref="O444">INDEX(Grant[Country],MATCH(0,INDEX(COUNTIF($O$2:O443,Grant[Country]),),0))</f>
        <v>#N/A</v>
      </c>
      <c r="Y444" s="1035" t="s">
        <v>484</v>
      </c>
      <c r="Z444" s="1035" t="s">
        <v>3569</v>
      </c>
      <c r="AB444" s="1035" t="s">
        <v>3427</v>
      </c>
      <c r="AC444" s="1035" t="s">
        <v>1039</v>
      </c>
      <c r="AO444" t="str">
        <v>United Nations Development Programme</v>
      </c>
      <c r="AU444" s="1035" t="s">
        <v>484</v>
      </c>
      <c r="AV444" s="1035" t="s">
        <v>39</v>
      </c>
      <c r="AW444" s="1035" t="s">
        <v>82</v>
      </c>
      <c r="AX444" s="1035" t="s">
        <v>1849</v>
      </c>
    </row>
    <row r="445" spans="1:50" x14ac:dyDescent="0.35">
      <c r="A445">
        <v>39</v>
      </c>
      <c r="B445" t="s">
        <v>484</v>
      </c>
      <c r="C445">
        <v>1</v>
      </c>
      <c r="D445" t="s">
        <v>82</v>
      </c>
      <c r="E445">
        <v>6</v>
      </c>
      <c r="F445" t="s">
        <v>2004</v>
      </c>
      <c r="G445" t="s">
        <v>1846</v>
      </c>
      <c r="H445" t="s">
        <v>1559</v>
      </c>
      <c r="I445" t="s">
        <v>1852</v>
      </c>
      <c r="J445" t="s">
        <v>1853</v>
      </c>
      <c r="O445" t="e" cm="1">
        <f t="array" ref="O445">INDEX(Grant[Country],MATCH(0,INDEX(COUNTIF($O$2:O444,Grant[Country]),),0))</f>
        <v>#N/A</v>
      </c>
      <c r="Y445" s="1035" t="s">
        <v>485</v>
      </c>
      <c r="Z445" s="1035" t="s">
        <v>1860</v>
      </c>
      <c r="AB445" s="1035" t="s">
        <v>3434</v>
      </c>
      <c r="AC445" s="1035" t="s">
        <v>789</v>
      </c>
      <c r="AO445" t="str">
        <v>United Nations Development Programme</v>
      </c>
      <c r="AU445" s="1035" t="s">
        <v>485</v>
      </c>
      <c r="AV445" s="1035" t="s">
        <v>187</v>
      </c>
      <c r="AW445" s="1035" t="s">
        <v>82</v>
      </c>
      <c r="AX445" s="1035" t="s">
        <v>1860</v>
      </c>
    </row>
    <row r="446" spans="1:50" x14ac:dyDescent="0.35">
      <c r="A446">
        <v>39</v>
      </c>
      <c r="B446" t="s">
        <v>484</v>
      </c>
      <c r="C446">
        <v>1</v>
      </c>
      <c r="D446" t="s">
        <v>82</v>
      </c>
      <c r="E446">
        <v>2</v>
      </c>
      <c r="F446" t="s">
        <v>39</v>
      </c>
      <c r="G446" t="s">
        <v>1841</v>
      </c>
      <c r="H446" t="s">
        <v>1556</v>
      </c>
      <c r="I446" t="s">
        <v>1854</v>
      </c>
      <c r="J446" t="s">
        <v>1849</v>
      </c>
      <c r="O446" t="e" cm="1">
        <f t="array" ref="O446">INDEX(Grant[Country],MATCH(0,INDEX(COUNTIF($O$2:O445,Grant[Country]),),0))</f>
        <v>#N/A</v>
      </c>
      <c r="Y446" s="1035" t="s">
        <v>485</v>
      </c>
      <c r="Z446" s="1035" t="s">
        <v>1857</v>
      </c>
      <c r="AB446" s="1035" t="s">
        <v>3432</v>
      </c>
      <c r="AC446" s="1035" t="s">
        <v>1336</v>
      </c>
      <c r="AO446" t="str">
        <v>United Nations Development Programme</v>
      </c>
      <c r="AU446" s="1035" t="s">
        <v>485</v>
      </c>
      <c r="AV446" s="1035" t="s">
        <v>187</v>
      </c>
      <c r="AW446" s="1035" t="s">
        <v>82</v>
      </c>
      <c r="AX446" s="1035" t="s">
        <v>1857</v>
      </c>
    </row>
    <row r="447" spans="1:50" x14ac:dyDescent="0.35">
      <c r="A447">
        <v>39</v>
      </c>
      <c r="B447" t="s">
        <v>484</v>
      </c>
      <c r="C447">
        <v>1</v>
      </c>
      <c r="D447" t="s">
        <v>82</v>
      </c>
      <c r="E447">
        <v>1</v>
      </c>
      <c r="F447" t="s">
        <v>36</v>
      </c>
      <c r="G447" t="s">
        <v>1841</v>
      </c>
      <c r="H447" t="s">
        <v>1556</v>
      </c>
      <c r="I447" t="s">
        <v>3568</v>
      </c>
      <c r="J447" t="s">
        <v>3569</v>
      </c>
      <c r="O447" t="e" cm="1">
        <f t="array" ref="O447">INDEX(Grant[Country],MATCH(0,INDEX(COUNTIF($O$2:O446,Grant[Country]),),0))</f>
        <v>#N/A</v>
      </c>
      <c r="Y447" s="1035" t="s">
        <v>485</v>
      </c>
      <c r="Z447" s="1035" t="s">
        <v>1863</v>
      </c>
      <c r="AB447" s="1035" t="s">
        <v>3537</v>
      </c>
      <c r="AC447" s="1035" t="s">
        <v>772</v>
      </c>
      <c r="AO447" t="str">
        <v>United Nations Development Programme</v>
      </c>
      <c r="AU447" s="1035" t="s">
        <v>485</v>
      </c>
      <c r="AV447" s="1035" t="s">
        <v>187</v>
      </c>
      <c r="AW447" s="1035" t="s">
        <v>82</v>
      </c>
      <c r="AX447" s="1035" t="s">
        <v>1863</v>
      </c>
    </row>
    <row r="448" spans="1:50" x14ac:dyDescent="0.35">
      <c r="A448">
        <v>187</v>
      </c>
      <c r="B448" t="s">
        <v>485</v>
      </c>
      <c r="C448">
        <v>1</v>
      </c>
      <c r="D448" t="s">
        <v>82</v>
      </c>
      <c r="E448">
        <v>4</v>
      </c>
      <c r="F448" t="s">
        <v>187</v>
      </c>
      <c r="G448" t="s">
        <v>1858</v>
      </c>
      <c r="H448" t="s">
        <v>1563</v>
      </c>
      <c r="I448" t="s">
        <v>1859</v>
      </c>
      <c r="J448" t="s">
        <v>1860</v>
      </c>
      <c r="O448" t="e" cm="1">
        <f t="array" ref="O448">INDEX(Grant[Country],MATCH(0,INDEX(COUNTIF($O$2:O447,Grant[Country]),),0))</f>
        <v>#N/A</v>
      </c>
      <c r="Y448" s="1035" t="s">
        <v>487</v>
      </c>
      <c r="Z448" s="1035" t="s">
        <v>1866</v>
      </c>
      <c r="AB448" s="1035" t="s">
        <v>3535</v>
      </c>
      <c r="AC448" s="1035" t="s">
        <v>772</v>
      </c>
      <c r="AO448" t="str">
        <v>United Nations Development Programme</v>
      </c>
      <c r="AU448" s="1035" t="s">
        <v>487</v>
      </c>
      <c r="AV448" s="1035" t="s">
        <v>36</v>
      </c>
      <c r="AW448" s="1035" t="s">
        <v>82</v>
      </c>
      <c r="AX448" s="1035" t="s">
        <v>1866</v>
      </c>
    </row>
    <row r="449" spans="1:50" x14ac:dyDescent="0.35">
      <c r="A449">
        <v>187</v>
      </c>
      <c r="B449" t="s">
        <v>485</v>
      </c>
      <c r="C449">
        <v>1</v>
      </c>
      <c r="D449" t="s">
        <v>82</v>
      </c>
      <c r="E449">
        <v>4</v>
      </c>
      <c r="F449" t="s">
        <v>187</v>
      </c>
      <c r="G449" t="s">
        <v>1855</v>
      </c>
      <c r="H449" t="s">
        <v>1560</v>
      </c>
      <c r="I449" t="s">
        <v>1856</v>
      </c>
      <c r="J449" t="s">
        <v>1857</v>
      </c>
      <c r="O449" t="e" cm="1">
        <f t="array" ref="O449">INDEX(Grant[Country],MATCH(0,INDEX(COUNTIF($O$2:O448,Grant[Country]),),0))</f>
        <v>#N/A</v>
      </c>
      <c r="Y449" s="1035" t="s">
        <v>487</v>
      </c>
      <c r="Z449" s="1035" t="s">
        <v>1867</v>
      </c>
      <c r="AB449" s="1035" t="s">
        <v>3437</v>
      </c>
      <c r="AC449" s="1035" t="s">
        <v>772</v>
      </c>
      <c r="AO449" t="str">
        <v>United Nations Development Programme</v>
      </c>
      <c r="AU449" s="1035" t="s">
        <v>487</v>
      </c>
      <c r="AV449" s="1035" t="s">
        <v>37</v>
      </c>
      <c r="AW449" s="1035" t="s">
        <v>82</v>
      </c>
      <c r="AX449" s="1035" t="s">
        <v>1867</v>
      </c>
    </row>
    <row r="450" spans="1:50" x14ac:dyDescent="0.35">
      <c r="A450">
        <v>187</v>
      </c>
      <c r="B450" t="s">
        <v>485</v>
      </c>
      <c r="C450">
        <v>1</v>
      </c>
      <c r="D450" t="s">
        <v>82</v>
      </c>
      <c r="E450">
        <v>4</v>
      </c>
      <c r="F450" t="s">
        <v>187</v>
      </c>
      <c r="G450" t="s">
        <v>1861</v>
      </c>
      <c r="H450" t="s">
        <v>1567</v>
      </c>
      <c r="I450" t="s">
        <v>1862</v>
      </c>
      <c r="J450" t="s">
        <v>1863</v>
      </c>
      <c r="O450" t="e" cm="1">
        <f t="array" ref="O450">INDEX(Grant[Country],MATCH(0,INDEX(COUNTIF($O$2:O449,Grant[Country]),),0))</f>
        <v>#N/A</v>
      </c>
      <c r="Y450" s="1035" t="s">
        <v>487</v>
      </c>
      <c r="Z450" s="1035" t="s">
        <v>1872</v>
      </c>
      <c r="AB450" s="1035" t="s">
        <v>3440</v>
      </c>
      <c r="AC450" s="1035" t="s">
        <v>1397</v>
      </c>
      <c r="AO450" t="str">
        <v>United Nations Development Programme</v>
      </c>
      <c r="AU450" s="1035" t="s">
        <v>487</v>
      </c>
      <c r="AV450" s="1035" t="s">
        <v>187</v>
      </c>
      <c r="AW450" s="1035" t="s">
        <v>82</v>
      </c>
      <c r="AX450" s="1035" t="s">
        <v>3571</v>
      </c>
    </row>
    <row r="451" spans="1:50" x14ac:dyDescent="0.35">
      <c r="A451">
        <v>134</v>
      </c>
      <c r="B451" t="s">
        <v>487</v>
      </c>
      <c r="C451">
        <v>1</v>
      </c>
      <c r="D451" t="s">
        <v>82</v>
      </c>
      <c r="E451">
        <v>4</v>
      </c>
      <c r="F451" t="s">
        <v>187</v>
      </c>
      <c r="G451" t="s">
        <v>1864</v>
      </c>
      <c r="H451" t="s">
        <v>1573</v>
      </c>
      <c r="I451" t="s">
        <v>3570</v>
      </c>
      <c r="J451" t="s">
        <v>3571</v>
      </c>
      <c r="O451" t="e" cm="1">
        <f t="array" ref="O451">INDEX(Grant[Country],MATCH(0,INDEX(COUNTIF($O$2:O450,Grant[Country]),),0))</f>
        <v>#N/A</v>
      </c>
      <c r="Y451" s="1035" t="s">
        <v>487</v>
      </c>
      <c r="Z451" s="1035" t="s">
        <v>3576</v>
      </c>
      <c r="AB451" s="1035" t="s">
        <v>3541</v>
      </c>
      <c r="AC451" s="1035" t="s">
        <v>3539</v>
      </c>
      <c r="AO451" t="str">
        <v>United Nations Development Programme</v>
      </c>
      <c r="AU451" s="1035" t="s">
        <v>487</v>
      </c>
      <c r="AV451" s="1035" t="s">
        <v>39</v>
      </c>
      <c r="AW451" s="1035" t="s">
        <v>82</v>
      </c>
      <c r="AX451" s="1035" t="s">
        <v>1872</v>
      </c>
    </row>
    <row r="452" spans="1:50" x14ac:dyDescent="0.35">
      <c r="A452">
        <v>134</v>
      </c>
      <c r="B452" t="s">
        <v>487</v>
      </c>
      <c r="C452">
        <v>1</v>
      </c>
      <c r="D452" t="s">
        <v>82</v>
      </c>
      <c r="E452">
        <v>1</v>
      </c>
      <c r="F452" t="s">
        <v>36</v>
      </c>
      <c r="G452" t="s">
        <v>1864</v>
      </c>
      <c r="H452" t="s">
        <v>1573</v>
      </c>
      <c r="I452" t="s">
        <v>1865</v>
      </c>
      <c r="J452" t="s">
        <v>1866</v>
      </c>
      <c r="O452" t="e" cm="1">
        <f t="array" ref="O452">INDEX(Grant[Country],MATCH(0,INDEX(COUNTIF($O$2:O451,Grant[Country]),),0))</f>
        <v>#N/A</v>
      </c>
      <c r="Y452" s="1035" t="s">
        <v>487</v>
      </c>
      <c r="Z452" s="1035" t="s">
        <v>3571</v>
      </c>
      <c r="AB452" s="1035" t="s">
        <v>3558</v>
      </c>
      <c r="AC452" s="1035" t="s">
        <v>3556</v>
      </c>
      <c r="AO452" t="str">
        <v>United Nations Development Programme</v>
      </c>
      <c r="AU452" s="1035" t="s">
        <v>487</v>
      </c>
      <c r="AV452" s="1035" t="s">
        <v>39</v>
      </c>
      <c r="AW452" s="1035" t="s">
        <v>82</v>
      </c>
      <c r="AX452" s="1035" t="s">
        <v>3576</v>
      </c>
    </row>
    <row r="453" spans="1:50" x14ac:dyDescent="0.35">
      <c r="A453">
        <v>134</v>
      </c>
      <c r="B453" t="s">
        <v>487</v>
      </c>
      <c r="C453">
        <v>1</v>
      </c>
      <c r="D453" t="s">
        <v>82</v>
      </c>
      <c r="E453">
        <v>3</v>
      </c>
      <c r="F453" t="s">
        <v>37</v>
      </c>
      <c r="G453" t="s">
        <v>1868</v>
      </c>
      <c r="H453" t="s">
        <v>1572</v>
      </c>
      <c r="I453" t="s">
        <v>1869</v>
      </c>
      <c r="J453" t="s">
        <v>1867</v>
      </c>
      <c r="O453" t="e" cm="1">
        <f t="array" ref="O453">INDEX(Grant[Country],MATCH(0,INDEX(COUNTIF($O$2:O452,Grant[Country]),),0))</f>
        <v>#N/A</v>
      </c>
      <c r="Y453" s="1035" t="s">
        <v>1582</v>
      </c>
      <c r="Z453" s="1035" t="s">
        <v>3579</v>
      </c>
      <c r="AB453" s="1035" t="s">
        <v>3544</v>
      </c>
      <c r="AC453" s="1035" t="s">
        <v>827</v>
      </c>
      <c r="AO453" t="str">
        <v>United Nations Development Programme</v>
      </c>
      <c r="AU453" s="1035" t="s">
        <v>1582</v>
      </c>
      <c r="AV453" s="1035" t="s">
        <v>37</v>
      </c>
      <c r="AW453" s="1035" t="s">
        <v>82</v>
      </c>
      <c r="AX453" s="1035" t="s">
        <v>3579</v>
      </c>
    </row>
    <row r="454" spans="1:50" x14ac:dyDescent="0.35">
      <c r="A454">
        <v>134</v>
      </c>
      <c r="B454" t="s">
        <v>487</v>
      </c>
      <c r="C454">
        <v>1</v>
      </c>
      <c r="D454" t="s">
        <v>82</v>
      </c>
      <c r="E454">
        <v>2</v>
      </c>
      <c r="F454" t="s">
        <v>39</v>
      </c>
      <c r="G454" t="s">
        <v>1870</v>
      </c>
      <c r="H454" t="s">
        <v>3572</v>
      </c>
      <c r="I454" t="s">
        <v>1871</v>
      </c>
      <c r="J454" t="s">
        <v>1872</v>
      </c>
      <c r="O454" t="e" cm="1">
        <f t="array" ref="O454">INDEX(Grant[Country],MATCH(0,INDEX(COUNTIF($O$2:O453,Grant[Country]),),0))</f>
        <v>#N/A</v>
      </c>
      <c r="Y454" s="1035" t="s">
        <v>488</v>
      </c>
      <c r="Z454" s="1035" t="s">
        <v>1875</v>
      </c>
      <c r="AB454" s="1035" t="s">
        <v>3546</v>
      </c>
      <c r="AC454" s="1035" t="s">
        <v>1039</v>
      </c>
      <c r="AO454" t="str">
        <v>United Nations Office for Project Services</v>
      </c>
      <c r="AU454" s="1035" t="s">
        <v>488</v>
      </c>
      <c r="AV454" s="1035" t="s">
        <v>36</v>
      </c>
      <c r="AW454" s="1035" t="s">
        <v>82</v>
      </c>
      <c r="AX454" s="1035" t="s">
        <v>1875</v>
      </c>
    </row>
    <row r="455" spans="1:50" x14ac:dyDescent="0.35">
      <c r="A455">
        <v>134</v>
      </c>
      <c r="B455" t="s">
        <v>487</v>
      </c>
      <c r="C455">
        <v>1</v>
      </c>
      <c r="D455" t="s">
        <v>82</v>
      </c>
      <c r="E455">
        <v>2</v>
      </c>
      <c r="F455" t="s">
        <v>39</v>
      </c>
      <c r="G455" t="s">
        <v>3573</v>
      </c>
      <c r="H455" t="s">
        <v>3574</v>
      </c>
      <c r="I455" t="s">
        <v>3575</v>
      </c>
      <c r="J455" t="s">
        <v>3576</v>
      </c>
      <c r="O455" t="e" cm="1">
        <f t="array" ref="O455">INDEX(Grant[Country],MATCH(0,INDEX(COUNTIF($O$2:O454,Grant[Country]),),0))</f>
        <v>#N/A</v>
      </c>
      <c r="Y455" s="1035" t="s">
        <v>488</v>
      </c>
      <c r="Z455" s="1035" t="s">
        <v>1878</v>
      </c>
      <c r="AB455" s="1035" t="s">
        <v>3554</v>
      </c>
      <c r="AC455" s="1035" t="s">
        <v>1173</v>
      </c>
      <c r="AO455" t="str">
        <v>United Nations Office for Project Services</v>
      </c>
      <c r="AU455" s="1035" t="s">
        <v>488</v>
      </c>
      <c r="AV455" s="1035" t="s">
        <v>36</v>
      </c>
      <c r="AW455" s="1035" t="s">
        <v>82</v>
      </c>
      <c r="AX455" s="1035" t="s">
        <v>1878</v>
      </c>
    </row>
    <row r="456" spans="1:50" x14ac:dyDescent="0.35">
      <c r="A456">
        <v>105</v>
      </c>
      <c r="B456" t="s">
        <v>1582</v>
      </c>
      <c r="C456">
        <v>1</v>
      </c>
      <c r="D456" t="s">
        <v>82</v>
      </c>
      <c r="E456">
        <v>3</v>
      </c>
      <c r="F456" t="s">
        <v>37</v>
      </c>
      <c r="G456" t="s">
        <v>3577</v>
      </c>
      <c r="H456" t="s">
        <v>772</v>
      </c>
      <c r="I456" t="s">
        <v>3578</v>
      </c>
      <c r="J456" t="s">
        <v>3579</v>
      </c>
      <c r="O456" t="e" cm="1">
        <f t="array" ref="O456">INDEX(Grant[Country],MATCH(0,INDEX(COUNTIF($O$2:O455,Grant[Country]),),0))</f>
        <v>#N/A</v>
      </c>
      <c r="Y456" s="1035" t="s">
        <v>488</v>
      </c>
      <c r="Z456" s="1035" t="s">
        <v>1879</v>
      </c>
      <c r="AB456" s="1035" t="s">
        <v>3529</v>
      </c>
      <c r="AC456" s="1035" t="s">
        <v>3527</v>
      </c>
      <c r="AO456" t="str">
        <v>United Nations Office for Project Services</v>
      </c>
      <c r="AU456" s="1035" t="s">
        <v>488</v>
      </c>
      <c r="AV456" s="1035" t="s">
        <v>39</v>
      </c>
      <c r="AW456" s="1035" t="s">
        <v>82</v>
      </c>
      <c r="AX456" s="1035" t="s">
        <v>1879</v>
      </c>
    </row>
    <row r="457" spans="1:50" x14ac:dyDescent="0.35">
      <c r="A457">
        <v>150</v>
      </c>
      <c r="B457" t="s">
        <v>488</v>
      </c>
      <c r="C457">
        <v>1</v>
      </c>
      <c r="D457" t="s">
        <v>82</v>
      </c>
      <c r="E457">
        <v>1</v>
      </c>
      <c r="F457" t="s">
        <v>36</v>
      </c>
      <c r="G457" t="s">
        <v>1873</v>
      </c>
      <c r="H457" t="s">
        <v>1586</v>
      </c>
      <c r="I457" t="s">
        <v>1874</v>
      </c>
      <c r="J457" t="s">
        <v>1875</v>
      </c>
      <c r="O457" t="e" cm="1">
        <f t="array" ref="O457">INDEX(Grant[Country],MATCH(0,INDEX(COUNTIF($O$2:O456,Grant[Country]),),0))</f>
        <v>#N/A</v>
      </c>
      <c r="Y457" s="1035" t="s">
        <v>3588</v>
      </c>
      <c r="Z457" s="1035" t="s">
        <v>3532</v>
      </c>
      <c r="AB457" s="1035" t="s">
        <v>3461</v>
      </c>
      <c r="AC457" s="1035" t="s">
        <v>3428</v>
      </c>
      <c r="AO457" t="str">
        <v>United Nations Office for Project Services</v>
      </c>
      <c r="AU457" s="1035" t="s">
        <v>3588</v>
      </c>
      <c r="AV457" s="1035" t="s">
        <v>187</v>
      </c>
      <c r="AW457" s="1035" t="s">
        <v>82</v>
      </c>
      <c r="AX457" s="1035" t="s">
        <v>3532</v>
      </c>
    </row>
    <row r="458" spans="1:50" x14ac:dyDescent="0.35">
      <c r="A458">
        <v>150</v>
      </c>
      <c r="B458" t="s">
        <v>488</v>
      </c>
      <c r="C458">
        <v>1</v>
      </c>
      <c r="D458" t="s">
        <v>82</v>
      </c>
      <c r="E458">
        <v>1</v>
      </c>
      <c r="F458" t="s">
        <v>36</v>
      </c>
      <c r="G458" t="s">
        <v>1876</v>
      </c>
      <c r="H458" t="s">
        <v>1594</v>
      </c>
      <c r="I458" t="s">
        <v>1877</v>
      </c>
      <c r="J458" t="s">
        <v>1878</v>
      </c>
      <c r="O458" t="e" cm="1">
        <f t="array" ref="O458">INDEX(Grant[Country],MATCH(0,INDEX(COUNTIF($O$2:O457,Grant[Country]),),0))</f>
        <v>#N/A</v>
      </c>
      <c r="Y458" s="1035" t="s">
        <v>3580</v>
      </c>
      <c r="Z458" s="1035" t="s">
        <v>3521</v>
      </c>
      <c r="AB458" s="1035" t="s">
        <v>3525</v>
      </c>
      <c r="AC458" s="1035" t="s">
        <v>3428</v>
      </c>
      <c r="AO458" t="str">
        <v>Viet Nam Authority of HIV/AIDS Control</v>
      </c>
      <c r="AU458" s="1035" t="s">
        <v>3580</v>
      </c>
      <c r="AV458" s="1035" t="s">
        <v>36</v>
      </c>
      <c r="AW458" s="1035" t="s">
        <v>82</v>
      </c>
      <c r="AX458" s="1035" t="s">
        <v>3521</v>
      </c>
    </row>
    <row r="459" spans="1:50" x14ac:dyDescent="0.35">
      <c r="A459">
        <v>150</v>
      </c>
      <c r="B459" t="s">
        <v>488</v>
      </c>
      <c r="C459">
        <v>1</v>
      </c>
      <c r="D459" t="s">
        <v>82</v>
      </c>
      <c r="E459">
        <v>2</v>
      </c>
      <c r="F459" t="s">
        <v>39</v>
      </c>
      <c r="G459" t="s">
        <v>1880</v>
      </c>
      <c r="H459" t="s">
        <v>1591</v>
      </c>
      <c r="I459" t="s">
        <v>1881</v>
      </c>
      <c r="J459" t="s">
        <v>1879</v>
      </c>
      <c r="O459" t="e" cm="1">
        <f t="array" ref="O459">INDEX(Grant[Country],MATCH(0,INDEX(COUNTIF($O$2:O458,Grant[Country]),),0))</f>
        <v>#N/A</v>
      </c>
      <c r="Y459" s="1035" t="s">
        <v>3580</v>
      </c>
      <c r="Z459" s="1035" t="s">
        <v>3454</v>
      </c>
      <c r="AB459" s="1035" t="s">
        <v>3459</v>
      </c>
      <c r="AC459" s="1035" t="s">
        <v>772</v>
      </c>
      <c r="AO459" t="str">
        <v>Viet Nam National Lung Hospital</v>
      </c>
      <c r="AU459" s="1035" t="s">
        <v>3580</v>
      </c>
      <c r="AV459" s="1035" t="s">
        <v>36</v>
      </c>
      <c r="AW459" s="1035" t="s">
        <v>82</v>
      </c>
      <c r="AX459" s="1035" t="s">
        <v>3452</v>
      </c>
    </row>
    <row r="460" spans="1:50" x14ac:dyDescent="0.35">
      <c r="A460">
        <v>177</v>
      </c>
      <c r="B460" t="s">
        <v>489</v>
      </c>
      <c r="C460">
        <v>1</v>
      </c>
      <c r="D460" t="s">
        <v>82</v>
      </c>
      <c r="E460">
        <v>2</v>
      </c>
      <c r="F460" t="s">
        <v>39</v>
      </c>
      <c r="G460" t="s">
        <v>1882</v>
      </c>
      <c r="H460" t="s">
        <v>1597</v>
      </c>
      <c r="I460" t="s">
        <v>1883</v>
      </c>
      <c r="J460" t="s">
        <v>1884</v>
      </c>
      <c r="O460" t="e" cm="1">
        <f t="array" ref="O460">INDEX(Grant[Country],MATCH(0,INDEX(COUNTIF($O$2:O459,Grant[Country]),),0))</f>
        <v>#N/A</v>
      </c>
      <c r="Y460" s="1035" t="s">
        <v>3580</v>
      </c>
      <c r="Z460" s="1035" t="s">
        <v>3452</v>
      </c>
      <c r="AB460" s="1035" t="s">
        <v>3523</v>
      </c>
      <c r="AC460" s="1035" t="s">
        <v>772</v>
      </c>
      <c r="AO460" t="str">
        <v>Viet Nam Union of Science and Technology Associations</v>
      </c>
      <c r="AU460" s="1035" t="s">
        <v>3580</v>
      </c>
      <c r="AV460" s="1035" t="s">
        <v>36</v>
      </c>
      <c r="AW460" s="1035" t="s">
        <v>82</v>
      </c>
      <c r="AX460" s="1035" t="s">
        <v>3448</v>
      </c>
    </row>
    <row r="461" spans="1:50" x14ac:dyDescent="0.35">
      <c r="A461">
        <v>62</v>
      </c>
      <c r="B461" t="s">
        <v>469</v>
      </c>
      <c r="C461">
        <v>1</v>
      </c>
      <c r="D461" t="s">
        <v>82</v>
      </c>
      <c r="E461">
        <v>4</v>
      </c>
      <c r="F461" t="s">
        <v>187</v>
      </c>
      <c r="G461" t="s">
        <v>1742</v>
      </c>
      <c r="H461" t="s">
        <v>1469</v>
      </c>
      <c r="I461" t="s">
        <v>1743</v>
      </c>
      <c r="J461" t="s">
        <v>1744</v>
      </c>
      <c r="O461" t="e" cm="1">
        <f t="array" ref="O461">INDEX(Grant[Country],MATCH(0,INDEX(COUNTIF($O$2:O460,Grant[Country]),),0))</f>
        <v>#N/A</v>
      </c>
      <c r="Y461" s="1035" t="s">
        <v>3580</v>
      </c>
      <c r="Z461" s="1035" t="s">
        <v>3442</v>
      </c>
      <c r="AB461" s="1035" t="s">
        <v>3417</v>
      </c>
      <c r="AC461" s="1035" t="s">
        <v>3415</v>
      </c>
      <c r="AO461" t="str">
        <v>West African Program to Combat AIDS and STI</v>
      </c>
      <c r="AU461" s="1035" t="s">
        <v>3580</v>
      </c>
      <c r="AV461" s="1035" t="s">
        <v>36</v>
      </c>
      <c r="AW461" s="1035" t="s">
        <v>82</v>
      </c>
      <c r="AX461" s="1035" t="s">
        <v>3446</v>
      </c>
    </row>
    <row r="462" spans="1:50" x14ac:dyDescent="0.35">
      <c r="A462">
        <v>62</v>
      </c>
      <c r="B462" t="s">
        <v>469</v>
      </c>
      <c r="C462">
        <v>1</v>
      </c>
      <c r="D462" t="s">
        <v>82</v>
      </c>
      <c r="E462">
        <v>4</v>
      </c>
      <c r="F462" t="s">
        <v>187</v>
      </c>
      <c r="G462" t="s">
        <v>1745</v>
      </c>
      <c r="H462" t="s">
        <v>1470</v>
      </c>
      <c r="I462" t="s">
        <v>1746</v>
      </c>
      <c r="J462" t="s">
        <v>1747</v>
      </c>
      <c r="O462" t="e" cm="1">
        <f t="array" ref="O462">INDEX(Grant[Country],MATCH(0,INDEX(COUNTIF($O$2:O461,Grant[Country]),),0))</f>
        <v>#N/A</v>
      </c>
      <c r="Y462" s="1035" t="s">
        <v>3580</v>
      </c>
      <c r="Z462" s="1035" t="s">
        <v>3448</v>
      </c>
      <c r="AB462" s="1035" t="s">
        <v>3560</v>
      </c>
      <c r="AC462" s="1035" t="s">
        <v>1496</v>
      </c>
      <c r="AO462" t="str">
        <v>William J. Clinton Foundation</v>
      </c>
      <c r="AU462" s="1035" t="s">
        <v>3580</v>
      </c>
      <c r="AV462" s="1035" t="s">
        <v>187</v>
      </c>
      <c r="AW462" s="1035" t="s">
        <v>82</v>
      </c>
      <c r="AX462" s="1035" t="s">
        <v>3442</v>
      </c>
    </row>
    <row r="463" spans="1:50" x14ac:dyDescent="0.35">
      <c r="A463">
        <v>62</v>
      </c>
      <c r="B463" t="s">
        <v>469</v>
      </c>
      <c r="C463">
        <v>1</v>
      </c>
      <c r="D463" t="s">
        <v>82</v>
      </c>
      <c r="E463">
        <v>4</v>
      </c>
      <c r="F463" t="s">
        <v>187</v>
      </c>
      <c r="G463" t="s">
        <v>1751</v>
      </c>
      <c r="H463" t="s">
        <v>3261</v>
      </c>
      <c r="I463" t="s">
        <v>1752</v>
      </c>
      <c r="J463" t="s">
        <v>1753</v>
      </c>
      <c r="O463" t="e" cm="1">
        <f t="array" ref="O463">INDEX(Grant[Country],MATCH(0,INDEX(COUNTIF($O$2:O462,Grant[Country]),),0))</f>
        <v>#N/A</v>
      </c>
      <c r="Y463" s="1035" t="s">
        <v>3580</v>
      </c>
      <c r="Z463" s="1035" t="s">
        <v>3446</v>
      </c>
      <c r="AB463" s="1035" t="s">
        <v>3566</v>
      </c>
      <c r="AC463" s="1035" t="s">
        <v>1515</v>
      </c>
      <c r="AO463" t="str">
        <v>William J. Clinton Foundation</v>
      </c>
      <c r="AU463" s="1035" t="s">
        <v>3580</v>
      </c>
      <c r="AV463" s="1035" t="s">
        <v>39</v>
      </c>
      <c r="AW463" s="1035" t="s">
        <v>82</v>
      </c>
      <c r="AX463" s="1035" t="s">
        <v>3454</v>
      </c>
    </row>
    <row r="464" spans="1:50" x14ac:dyDescent="0.35">
      <c r="A464">
        <v>62</v>
      </c>
      <c r="B464" t="s">
        <v>469</v>
      </c>
      <c r="C464">
        <v>1</v>
      </c>
      <c r="D464" t="s">
        <v>82</v>
      </c>
      <c r="E464">
        <v>4</v>
      </c>
      <c r="F464" t="s">
        <v>187</v>
      </c>
      <c r="G464" t="s">
        <v>1748</v>
      </c>
      <c r="H464" t="s">
        <v>1478</v>
      </c>
      <c r="I464" t="s">
        <v>1749</v>
      </c>
      <c r="J464" t="s">
        <v>1750</v>
      </c>
      <c r="O464" t="e" cm="1">
        <f t="array" ref="O464">INDEX(Grant[Country],MATCH(0,INDEX(COUNTIF($O$2:O463,Grant[Country]),),0))</f>
        <v>#N/A</v>
      </c>
      <c r="Y464" s="1035" t="s">
        <v>489</v>
      </c>
      <c r="Z464" s="1035" t="s">
        <v>1884</v>
      </c>
      <c r="AB464" s="1035" t="s">
        <v>3567</v>
      </c>
      <c r="AC464" s="1035" t="s">
        <v>1515</v>
      </c>
      <c r="AO464" t="str">
        <v>Wits Health Consortium (Pty) Ltd</v>
      </c>
      <c r="AU464" s="1035" t="s">
        <v>489</v>
      </c>
      <c r="AV464" s="1035" t="s">
        <v>39</v>
      </c>
      <c r="AW464" s="1035" t="s">
        <v>82</v>
      </c>
      <c r="AX464" s="1035" t="s">
        <v>1884</v>
      </c>
    </row>
    <row r="465" spans="1:50" x14ac:dyDescent="0.35">
      <c r="A465">
        <v>41</v>
      </c>
      <c r="B465" t="s">
        <v>490</v>
      </c>
      <c r="C465">
        <v>1</v>
      </c>
      <c r="D465" t="s">
        <v>82</v>
      </c>
      <c r="E465">
        <v>1</v>
      </c>
      <c r="F465" t="s">
        <v>36</v>
      </c>
      <c r="G465" t="s">
        <v>1885</v>
      </c>
      <c r="H465" t="s">
        <v>772</v>
      </c>
      <c r="I465" t="s">
        <v>1886</v>
      </c>
      <c r="J465" t="s">
        <v>1887</v>
      </c>
      <c r="O465" t="e" cm="1">
        <f t="array" ref="O465">INDEX(Grant[Country],MATCH(0,INDEX(COUNTIF($O$2:O464,Grant[Country]),),0))</f>
        <v>#N/A</v>
      </c>
      <c r="Y465" s="1035" t="s">
        <v>490</v>
      </c>
      <c r="Z465" s="1035" t="s">
        <v>1887</v>
      </c>
      <c r="AB465" s="1035" t="s">
        <v>3569</v>
      </c>
      <c r="AC465" s="1035" t="s">
        <v>1556</v>
      </c>
      <c r="AO465" t="str">
        <v>World Vision (PNG) Trust</v>
      </c>
      <c r="AU465" s="1035" t="s">
        <v>490</v>
      </c>
      <c r="AV465" s="1035" t="s">
        <v>36</v>
      </c>
      <c r="AW465" s="1035" t="s">
        <v>82</v>
      </c>
      <c r="AX465" s="1035" t="s">
        <v>1887</v>
      </c>
    </row>
    <row r="466" spans="1:50" x14ac:dyDescent="0.35">
      <c r="A466">
        <v>48</v>
      </c>
      <c r="B466" t="s">
        <v>395</v>
      </c>
      <c r="C466">
        <v>1</v>
      </c>
      <c r="D466" t="s">
        <v>82</v>
      </c>
      <c r="E466">
        <v>2</v>
      </c>
      <c r="F466" t="s">
        <v>39</v>
      </c>
      <c r="G466" t="s">
        <v>1026</v>
      </c>
      <c r="H466" t="s">
        <v>3367</v>
      </c>
      <c r="I466" t="s">
        <v>1053</v>
      </c>
      <c r="J466" t="s">
        <v>1040</v>
      </c>
      <c r="O466" t="e" cm="1">
        <f t="array" ref="O466">INDEX(Grant[Country],MATCH(0,INDEX(COUNTIF($O$2:O465,Grant[Country]),),0))</f>
        <v>#N/A</v>
      </c>
      <c r="Y466" s="1035" t="s">
        <v>490</v>
      </c>
      <c r="Z466" s="1035" t="s">
        <v>1888</v>
      </c>
      <c r="AB466" s="1035" t="s">
        <v>3576</v>
      </c>
      <c r="AC466" s="1035" t="s">
        <v>3574</v>
      </c>
      <c r="AO466" t="str">
        <v>World Vision International</v>
      </c>
      <c r="AU466" s="1035" t="s">
        <v>490</v>
      </c>
      <c r="AV466" s="1035" t="s">
        <v>37</v>
      </c>
      <c r="AW466" s="1035" t="s">
        <v>82</v>
      </c>
      <c r="AX466" s="1035" t="s">
        <v>1891</v>
      </c>
    </row>
    <row r="467" spans="1:50" x14ac:dyDescent="0.35">
      <c r="A467">
        <v>48</v>
      </c>
      <c r="B467" t="s">
        <v>395</v>
      </c>
      <c r="C467">
        <v>1</v>
      </c>
      <c r="D467" t="s">
        <v>82</v>
      </c>
      <c r="E467">
        <v>3</v>
      </c>
      <c r="F467" t="s">
        <v>37</v>
      </c>
      <c r="G467" t="s">
        <v>1026</v>
      </c>
      <c r="H467" t="s">
        <v>3367</v>
      </c>
      <c r="I467" t="s">
        <v>1041</v>
      </c>
      <c r="J467" t="s">
        <v>1042</v>
      </c>
      <c r="O467" t="e" cm="1">
        <f t="array" ref="O467">INDEX(Grant[Country],MATCH(0,INDEX(COUNTIF($O$2:O466,Grant[Country]),),0))</f>
        <v>#N/A</v>
      </c>
      <c r="Y467" s="1035" t="s">
        <v>490</v>
      </c>
      <c r="Z467" s="1035" t="s">
        <v>1895</v>
      </c>
      <c r="AB467" s="1035" t="s">
        <v>3571</v>
      </c>
      <c r="AC467" s="1035" t="s">
        <v>1573</v>
      </c>
      <c r="AO467" t="str">
        <v>World Vision International</v>
      </c>
      <c r="AU467" s="1035" t="s">
        <v>490</v>
      </c>
      <c r="AV467" s="1035" t="s">
        <v>37</v>
      </c>
      <c r="AW467" s="1035" t="s">
        <v>82</v>
      </c>
      <c r="AX467" s="1035" t="s">
        <v>1894</v>
      </c>
    </row>
    <row r="468" spans="1:50" x14ac:dyDescent="0.35">
      <c r="A468">
        <v>41</v>
      </c>
      <c r="B468" t="s">
        <v>490</v>
      </c>
      <c r="C468">
        <v>1</v>
      </c>
      <c r="D468" t="s">
        <v>82</v>
      </c>
      <c r="E468">
        <v>4</v>
      </c>
      <c r="F468" t="s">
        <v>187</v>
      </c>
      <c r="G468" t="s">
        <v>1889</v>
      </c>
      <c r="H468" t="s">
        <v>1598</v>
      </c>
      <c r="I468" t="s">
        <v>1896</v>
      </c>
      <c r="J468" t="s">
        <v>1888</v>
      </c>
      <c r="O468" t="e" cm="1">
        <f t="array" ref="O468">INDEX(Grant[Country],MATCH(0,INDEX(COUNTIF($O$2:O467,Grant[Country]),),0))</f>
        <v>#N/A</v>
      </c>
      <c r="Y468" s="1035" t="s">
        <v>490</v>
      </c>
      <c r="Z468" s="1035" t="s">
        <v>1891</v>
      </c>
      <c r="AB468" s="1035" t="s">
        <v>3579</v>
      </c>
      <c r="AC468" s="1035" t="s">
        <v>772</v>
      </c>
      <c r="AO468" t="str">
        <v>World Vision International</v>
      </c>
      <c r="AU468" s="1035" t="s">
        <v>490</v>
      </c>
      <c r="AV468" s="1035" t="s">
        <v>187</v>
      </c>
      <c r="AW468" s="1035" t="s">
        <v>82</v>
      </c>
      <c r="AX468" s="1035" t="s">
        <v>1888</v>
      </c>
    </row>
    <row r="469" spans="1:50" x14ac:dyDescent="0.35">
      <c r="A469">
        <v>41</v>
      </c>
      <c r="B469" t="s">
        <v>490</v>
      </c>
      <c r="C469">
        <v>1</v>
      </c>
      <c r="D469" t="s">
        <v>82</v>
      </c>
      <c r="E469">
        <v>4</v>
      </c>
      <c r="F469" t="s">
        <v>187</v>
      </c>
      <c r="G469" t="s">
        <v>1892</v>
      </c>
      <c r="H469" t="s">
        <v>1599</v>
      </c>
      <c r="I469" t="s">
        <v>1897</v>
      </c>
      <c r="J469" t="s">
        <v>1895</v>
      </c>
      <c r="O469" t="e" cm="1">
        <f t="array" ref="O469">INDEX(Grant[Country],MATCH(0,INDEX(COUNTIF($O$2:O468,Grant[Country]),),0))</f>
        <v>#N/A</v>
      </c>
      <c r="Y469" s="1035" t="s">
        <v>490</v>
      </c>
      <c r="Z469" s="1035" t="s">
        <v>1894</v>
      </c>
      <c r="AB469" s="1035" t="s">
        <v>3532</v>
      </c>
      <c r="AC469" s="1035" t="s">
        <v>3527</v>
      </c>
      <c r="AO469" t="str">
        <v>World Vision International</v>
      </c>
      <c r="AU469" s="1035" t="s">
        <v>490</v>
      </c>
      <c r="AV469" s="1035" t="s">
        <v>187</v>
      </c>
      <c r="AW469" s="1035" t="s">
        <v>82</v>
      </c>
      <c r="AX469" s="1035" t="s">
        <v>1895</v>
      </c>
    </row>
    <row r="470" spans="1:50" x14ac:dyDescent="0.35">
      <c r="A470">
        <v>41</v>
      </c>
      <c r="B470" t="s">
        <v>490</v>
      </c>
      <c r="C470">
        <v>1</v>
      </c>
      <c r="D470" t="s">
        <v>82</v>
      </c>
      <c r="E470">
        <v>3</v>
      </c>
      <c r="F470" t="s">
        <v>37</v>
      </c>
      <c r="G470" t="s">
        <v>1889</v>
      </c>
      <c r="H470" t="s">
        <v>1598</v>
      </c>
      <c r="I470" t="s">
        <v>1890</v>
      </c>
      <c r="J470" t="s">
        <v>1891</v>
      </c>
      <c r="O470" t="e" cm="1">
        <f t="array" ref="O470">INDEX(Grant[Country],MATCH(0,INDEX(COUNTIF($O$2:O469,Grant[Country]),),0))</f>
        <v>#N/A</v>
      </c>
      <c r="Y470" s="1035" t="s">
        <v>491</v>
      </c>
      <c r="Z470" s="1035" t="s">
        <v>1901</v>
      </c>
      <c r="AB470" s="1035" t="s">
        <v>3521</v>
      </c>
      <c r="AC470" s="1035" t="s">
        <v>814</v>
      </c>
      <c r="AO470" t="str">
        <v>World Vision International</v>
      </c>
      <c r="AU470" s="1035" t="s">
        <v>491</v>
      </c>
      <c r="AV470" s="1035" t="s">
        <v>37</v>
      </c>
      <c r="AW470" s="1035" t="s">
        <v>82</v>
      </c>
      <c r="AX470" s="1035" t="s">
        <v>1900</v>
      </c>
    </row>
    <row r="471" spans="1:50" x14ac:dyDescent="0.35">
      <c r="A471">
        <v>41</v>
      </c>
      <c r="B471" t="s">
        <v>490</v>
      </c>
      <c r="C471">
        <v>1</v>
      </c>
      <c r="D471" t="s">
        <v>82</v>
      </c>
      <c r="E471">
        <v>3</v>
      </c>
      <c r="F471" t="s">
        <v>37</v>
      </c>
      <c r="G471" t="s">
        <v>1892</v>
      </c>
      <c r="H471" t="s">
        <v>1599</v>
      </c>
      <c r="I471" t="s">
        <v>1893</v>
      </c>
      <c r="J471" t="s">
        <v>1894</v>
      </c>
      <c r="O471" t="e" cm="1">
        <f t="array" ref="O471">INDEX(Grant[Country],MATCH(0,INDEX(COUNTIF($O$2:O470,Grant[Country]),),0))</f>
        <v>#N/A</v>
      </c>
      <c r="Y471" s="1035" t="s">
        <v>491</v>
      </c>
      <c r="Z471" s="1035" t="s">
        <v>1900</v>
      </c>
      <c r="AB471" s="1035" t="s">
        <v>3454</v>
      </c>
      <c r="AC471" s="1035" t="s">
        <v>1261</v>
      </c>
      <c r="AO471" t="str">
        <v>World Vision International</v>
      </c>
      <c r="AU471" s="1035" t="s">
        <v>491</v>
      </c>
      <c r="AV471" s="1035" t="s">
        <v>187</v>
      </c>
      <c r="AW471" s="1035" t="s">
        <v>82</v>
      </c>
      <c r="AX471" s="1035" t="s">
        <v>1901</v>
      </c>
    </row>
    <row r="472" spans="1:50" x14ac:dyDescent="0.35">
      <c r="A472">
        <v>42</v>
      </c>
      <c r="B472" t="s">
        <v>492</v>
      </c>
      <c r="C472">
        <v>1</v>
      </c>
      <c r="D472" t="s">
        <v>82</v>
      </c>
      <c r="E472">
        <v>1</v>
      </c>
      <c r="F472" t="s">
        <v>36</v>
      </c>
      <c r="G472" t="s">
        <v>1903</v>
      </c>
      <c r="H472" t="s">
        <v>772</v>
      </c>
      <c r="I472" t="s">
        <v>1904</v>
      </c>
      <c r="J472" t="s">
        <v>1905</v>
      </c>
      <c r="O472" t="e" cm="1">
        <f t="array" ref="O472">INDEX(Grant[Country],MATCH(0,INDEX(COUNTIF($O$2:O471,Grant[Country]),),0))</f>
        <v>#N/A</v>
      </c>
      <c r="Y472" s="1035" t="s">
        <v>492</v>
      </c>
      <c r="Z472" s="1035" t="s">
        <v>1905</v>
      </c>
      <c r="AB472" s="1035" t="s">
        <v>3452</v>
      </c>
      <c r="AC472" s="1035" t="s">
        <v>3450</v>
      </c>
      <c r="AO472" t="str">
        <v>World Vision International</v>
      </c>
      <c r="AU472" s="1035" t="s">
        <v>492</v>
      </c>
      <c r="AV472" s="1035" t="s">
        <v>36</v>
      </c>
      <c r="AW472" s="1035" t="s">
        <v>82</v>
      </c>
      <c r="AX472" s="1035" t="s">
        <v>1905</v>
      </c>
    </row>
    <row r="473" spans="1:50" x14ac:dyDescent="0.35">
      <c r="A473">
        <v>42</v>
      </c>
      <c r="B473" t="s">
        <v>492</v>
      </c>
      <c r="C473">
        <v>1</v>
      </c>
      <c r="D473" t="s">
        <v>82</v>
      </c>
      <c r="E473">
        <v>3</v>
      </c>
      <c r="F473" t="s">
        <v>37</v>
      </c>
      <c r="G473" t="s">
        <v>1907</v>
      </c>
      <c r="H473" t="s">
        <v>1611</v>
      </c>
      <c r="I473" t="s">
        <v>1908</v>
      </c>
      <c r="J473" t="s">
        <v>1906</v>
      </c>
      <c r="O473" t="e" cm="1">
        <f t="array" ref="O473">INDEX(Grant[Country],MATCH(0,INDEX(COUNTIF($O$2:O472,Grant[Country]),),0))</f>
        <v>#N/A</v>
      </c>
      <c r="Y473" s="1035" t="s">
        <v>492</v>
      </c>
      <c r="Z473" s="1035" t="s">
        <v>1906</v>
      </c>
      <c r="AB473" s="1035" t="s">
        <v>3442</v>
      </c>
      <c r="AC473" s="1035" t="s">
        <v>1563</v>
      </c>
      <c r="AO473" t="str">
        <v>World Vision International</v>
      </c>
      <c r="AU473" s="1035" t="s">
        <v>492</v>
      </c>
      <c r="AV473" s="1035" t="s">
        <v>37</v>
      </c>
      <c r="AW473" s="1035" t="s">
        <v>82</v>
      </c>
      <c r="AX473" s="1035" t="s">
        <v>1906</v>
      </c>
    </row>
    <row r="474" spans="1:50" x14ac:dyDescent="0.35">
      <c r="A474">
        <v>42</v>
      </c>
      <c r="B474" t="s">
        <v>492</v>
      </c>
      <c r="C474">
        <v>1</v>
      </c>
      <c r="D474" t="s">
        <v>82</v>
      </c>
      <c r="E474">
        <v>2</v>
      </c>
      <c r="F474" t="s">
        <v>39</v>
      </c>
      <c r="G474" t="s">
        <v>1907</v>
      </c>
      <c r="H474" t="s">
        <v>1611</v>
      </c>
      <c r="I474" t="s">
        <v>1910</v>
      </c>
      <c r="J474" t="s">
        <v>1909</v>
      </c>
      <c r="O474" t="e" cm="1">
        <f t="array" ref="O474">INDEX(Grant[Country],MATCH(0,INDEX(COUNTIF($O$2:O473,Grant[Country]),),0))</f>
        <v>#N/A</v>
      </c>
      <c r="Y474" s="1035" t="s">
        <v>492</v>
      </c>
      <c r="Z474" s="1035" t="s">
        <v>1909</v>
      </c>
      <c r="AB474" s="1035" t="s">
        <v>3448</v>
      </c>
      <c r="AC474" s="1035" t="s">
        <v>1563</v>
      </c>
      <c r="AO474" t="str">
        <v>World Vision Malawi</v>
      </c>
      <c r="AU474" s="1035" t="s">
        <v>492</v>
      </c>
      <c r="AV474" s="1035" t="s">
        <v>39</v>
      </c>
      <c r="AW474" s="1035" t="s">
        <v>82</v>
      </c>
      <c r="AX474" s="1035" t="s">
        <v>1909</v>
      </c>
    </row>
    <row r="475" spans="1:50" x14ac:dyDescent="0.35">
      <c r="O475" t="e" cm="1">
        <f t="array" ref="O475">INDEX(Grant[Country],MATCH(0,INDEX(COUNTIF($O$2:O474,Grant[Country]),),0))</f>
        <v>#N/A</v>
      </c>
      <c r="Y475" s="1035" t="s">
        <v>185</v>
      </c>
      <c r="Z475" s="1035" t="s">
        <v>185</v>
      </c>
      <c r="AB475" s="1035" t="s">
        <v>3446</v>
      </c>
      <c r="AC475" s="1035" t="s">
        <v>3444</v>
      </c>
      <c r="AO475" t="str">
        <v>World Vision Malawi</v>
      </c>
      <c r="AU475" s="1035" t="s">
        <v>185</v>
      </c>
      <c r="AV475" s="1035" t="s">
        <v>185</v>
      </c>
      <c r="AW475" s="1035" t="s">
        <v>185</v>
      </c>
    </row>
    <row r="476" spans="1:50" x14ac:dyDescent="0.35">
      <c r="O476" t="e" cm="1">
        <f t="array" ref="O476">INDEX(Grant[Country],MATCH(0,INDEX(COUNTIF($O$2:O475,Grant[Country]),),0))</f>
        <v>#N/A</v>
      </c>
      <c r="Y476" s="1035" t="s">
        <v>1618</v>
      </c>
      <c r="AB476" s="1035" t="s">
        <v>1618</v>
      </c>
      <c r="AO476" t="str">
        <v>Yayasan Spiritia</v>
      </c>
      <c r="AU476" s="1035" t="s">
        <v>1618</v>
      </c>
    </row>
    <row r="477" spans="1:50" x14ac:dyDescent="0.35">
      <c r="O477" t="e" cm="1">
        <f t="array" ref="O477">INDEX(Grant[Country],MATCH(0,INDEX(COUNTIF($O$2:O476,Grant[Country]),),0))</f>
        <v>#N/A</v>
      </c>
      <c r="AO477">
        <v>0</v>
      </c>
    </row>
    <row r="478" spans="1:50" x14ac:dyDescent="0.35">
      <c r="O478" t="e" cm="1">
        <f t="array" ref="O478">INDEX(Grant[Country],MATCH(0,INDEX(COUNTIF($O$2:O477,Grant[Country]),),0))</f>
        <v>#N/A</v>
      </c>
    </row>
    <row r="479" spans="1:50" x14ac:dyDescent="0.35">
      <c r="O479" t="e" cm="1">
        <f t="array" ref="O479">INDEX(Grant[Country],MATCH(0,INDEX(COUNTIF($O$2:O478,Grant[Country]),),0))</f>
        <v>#N/A</v>
      </c>
    </row>
    <row r="480" spans="1:50" x14ac:dyDescent="0.35">
      <c r="O480" t="e" cm="1">
        <f t="array" ref="O480">INDEX(Grant[Country],MATCH(0,INDEX(COUNTIF($O$2:O479,Grant[Country]),),0))</f>
        <v>#N/A</v>
      </c>
    </row>
    <row r="481" spans="15:15" x14ac:dyDescent="0.35">
      <c r="O481" t="e" cm="1">
        <f t="array" ref="O481">INDEX(Grant[Country],MATCH(0,INDEX(COUNTIF($O$2:O480,Grant[Country]),),0))</f>
        <v>#N/A</v>
      </c>
    </row>
    <row r="482" spans="15:15" x14ac:dyDescent="0.35">
      <c r="O482" t="e" cm="1">
        <f t="array" ref="O482">INDEX(Grant[Country],MATCH(0,INDEX(COUNTIF($O$2:O481,Grant[Country]),),0))</f>
        <v>#N/A</v>
      </c>
    </row>
    <row r="483" spans="15:15" x14ac:dyDescent="0.35">
      <c r="O483" t="e" cm="1">
        <f t="array" ref="O483">INDEX(Grant[Country],MATCH(0,INDEX(COUNTIF($O$2:O482,Grant[Country]),),0))</f>
        <v>#N/A</v>
      </c>
    </row>
    <row r="484" spans="15:15" x14ac:dyDescent="0.35">
      <c r="O484" t="e" cm="1">
        <f t="array" ref="O484">INDEX(Grant[Country],MATCH(0,INDEX(COUNTIF($O$2:O483,Grant[Country]),),0))</f>
        <v>#N/A</v>
      </c>
    </row>
    <row r="485" spans="15:15" x14ac:dyDescent="0.35">
      <c r="O485" t="e" cm="1">
        <f t="array" ref="O485">INDEX(Grant[Country],MATCH(0,INDEX(COUNTIF($O$2:O484,Grant[Country]),),0))</f>
        <v>#N/A</v>
      </c>
    </row>
    <row r="486" spans="15:15" x14ac:dyDescent="0.35">
      <c r="O486" t="e" cm="1">
        <f t="array" ref="O486">INDEX(Grant[Country],MATCH(0,INDEX(COUNTIF($O$2:O485,Grant[Country]),),0))</f>
        <v>#N/A</v>
      </c>
    </row>
    <row r="487" spans="15:15" x14ac:dyDescent="0.35">
      <c r="O487" t="e" cm="1">
        <f t="array" ref="O487">INDEX(Grant[Country],MATCH(0,INDEX(COUNTIF($O$2:O486,Grant[Country]),),0))</f>
        <v>#N/A</v>
      </c>
    </row>
    <row r="488" spans="15:15" x14ac:dyDescent="0.35">
      <c r="O488" t="e" cm="1">
        <f t="array" ref="O488">INDEX(Grant[Country],MATCH(0,INDEX(COUNTIF($O$2:O487,Grant[Country]),),0))</f>
        <v>#N/A</v>
      </c>
    </row>
    <row r="489" spans="15:15" x14ac:dyDescent="0.35">
      <c r="O489" t="e" cm="1">
        <f t="array" ref="O489">INDEX(Grant[Country],MATCH(0,INDEX(COUNTIF($O$2:O488,Grant[Country]),),0))</f>
        <v>#N/A</v>
      </c>
    </row>
    <row r="490" spans="15:15" x14ac:dyDescent="0.35">
      <c r="O490" t="e" cm="1">
        <f t="array" ref="O490">INDEX(Grant[Country],MATCH(0,INDEX(COUNTIF($O$2:O489,Grant[Country]),),0))</f>
        <v>#N/A</v>
      </c>
    </row>
    <row r="491" spans="15:15" x14ac:dyDescent="0.35">
      <c r="O491" t="e" cm="1">
        <f t="array" ref="O491">INDEX(Grant[Country],MATCH(0,INDEX(COUNTIF($O$2:O490,Grant[Country]),),0))</f>
        <v>#N/A</v>
      </c>
    </row>
    <row r="492" spans="15:15" x14ac:dyDescent="0.35">
      <c r="O492" t="e" cm="1">
        <f t="array" ref="O492">INDEX(Grant[Country],MATCH(0,INDEX(COUNTIF($O$2:O491,Grant[Country]),),0))</f>
        <v>#N/A</v>
      </c>
    </row>
    <row r="493" spans="15:15" x14ac:dyDescent="0.35">
      <c r="O493" t="e" cm="1">
        <f t="array" ref="O493">INDEX(Grant[Country],MATCH(0,INDEX(COUNTIF($O$2:O492,Grant[Country]),),0))</f>
        <v>#N/A</v>
      </c>
    </row>
    <row r="494" spans="15:15" x14ac:dyDescent="0.35">
      <c r="O494" t="e" cm="1">
        <f t="array" ref="O494">INDEX(Grant[Country],MATCH(0,INDEX(COUNTIF($O$2:O493,Grant[Country]),),0))</f>
        <v>#N/A</v>
      </c>
    </row>
    <row r="495" spans="15:15" x14ac:dyDescent="0.35">
      <c r="O495" t="e" cm="1">
        <f t="array" ref="O495">INDEX(Grant[Country],MATCH(0,INDEX(COUNTIF($O$2:O494,Grant[Country]),),0))</f>
        <v>#N/A</v>
      </c>
    </row>
    <row r="496" spans="15:15" x14ac:dyDescent="0.35">
      <c r="O496" t="e" cm="1">
        <f t="array" ref="O496">INDEX(Grant[Country],MATCH(0,INDEX(COUNTIF($O$2:O495,Grant[Country]),),0))</f>
        <v>#N/A</v>
      </c>
    </row>
    <row r="497" spans="15:15" x14ac:dyDescent="0.35">
      <c r="O497" t="e" cm="1">
        <f t="array" ref="O497">INDEX(Grant[Country],MATCH(0,INDEX(COUNTIF($O$2:O496,Grant[Country]),),0))</f>
        <v>#N/A</v>
      </c>
    </row>
    <row r="498" spans="15:15" x14ac:dyDescent="0.35">
      <c r="O498" t="e" cm="1">
        <f t="array" ref="O498">INDEX(Grant[Country],MATCH(0,INDEX(COUNTIF($O$2:O497,Grant[Country]),),0))</f>
        <v>#N/A</v>
      </c>
    </row>
    <row r="499" spans="15:15" x14ac:dyDescent="0.35">
      <c r="O499" t="e" cm="1">
        <f t="array" ref="O499">INDEX(Grant[Country],MATCH(0,INDEX(COUNTIF($O$2:O498,Grant[Country]),),0))</f>
        <v>#N/A</v>
      </c>
    </row>
    <row r="500" spans="15:15" x14ac:dyDescent="0.35">
      <c r="O500" t="e" cm="1">
        <f t="array" ref="O500">INDEX(Grant[Country],MATCH(0,INDEX(COUNTIF($O$2:O499,Grant[Country]),),0))</f>
        <v>#N/A</v>
      </c>
    </row>
    <row r="501" spans="15:15" x14ac:dyDescent="0.35">
      <c r="O501" t="e" cm="1">
        <f t="array" ref="O501">INDEX(Grant[Country],MATCH(0,INDEX(COUNTIF($O$2:O500,Grant[Country]),),0))</f>
        <v>#N/A</v>
      </c>
    </row>
    <row r="502" spans="15:15" x14ac:dyDescent="0.35">
      <c r="O502" t="e" cm="1">
        <f t="array" ref="O502">INDEX(Grant[Country],MATCH(0,INDEX(COUNTIF($O$2:O501,Grant[Country]),),0))</f>
        <v>#N/A</v>
      </c>
    </row>
    <row r="503" spans="15:15" x14ac:dyDescent="0.35">
      <c r="O503" t="e" cm="1">
        <f t="array" ref="O503">INDEX(Grant[Country],MATCH(0,INDEX(COUNTIF($O$2:O502,Grant[Country]),),0))</f>
        <v>#N/A</v>
      </c>
    </row>
    <row r="504" spans="15:15" x14ac:dyDescent="0.35">
      <c r="O504" t="e" cm="1">
        <f t="array" ref="O504">INDEX(Grant[Country],MATCH(0,INDEX(COUNTIF($O$2:O503,Grant[Country]),),0))</f>
        <v>#N/A</v>
      </c>
    </row>
    <row r="505" spans="15:15" x14ac:dyDescent="0.35">
      <c r="O505" t="e" cm="1">
        <f t="array" ref="O505">INDEX(Grant[Country],MATCH(0,INDEX(COUNTIF($O$2:O504,Grant[Country]),),0))</f>
        <v>#N/A</v>
      </c>
    </row>
    <row r="506" spans="15:15" x14ac:dyDescent="0.35">
      <c r="O506" t="e" cm="1">
        <f t="array" ref="O506">INDEX(Grant[Country],MATCH(0,INDEX(COUNTIF($O$2:O505,Grant[Country]),),0))</f>
        <v>#N/A</v>
      </c>
    </row>
    <row r="507" spans="15:15" x14ac:dyDescent="0.35">
      <c r="O507" t="e" cm="1">
        <f t="array" ref="O507">INDEX(Grant[Country],MATCH(0,INDEX(COUNTIF($O$2:O506,Grant[Country]),),0))</f>
        <v>#N/A</v>
      </c>
    </row>
    <row r="508" spans="15:15" x14ac:dyDescent="0.35">
      <c r="O508" t="e" cm="1">
        <f t="array" ref="O508">INDEX(Grant[Country],MATCH(0,INDEX(COUNTIF($O$2:O507,Grant[Country]),),0))</f>
        <v>#N/A</v>
      </c>
    </row>
    <row r="509" spans="15:15" x14ac:dyDescent="0.35">
      <c r="O509" t="e" cm="1">
        <f t="array" ref="O509">INDEX(Grant[Country],MATCH(0,INDEX(COUNTIF($O$2:O508,Grant[Country]),),0))</f>
        <v>#N/A</v>
      </c>
    </row>
    <row r="510" spans="15:15" x14ac:dyDescent="0.35">
      <c r="O510" t="e" cm="1">
        <f t="array" ref="O510">INDEX(Grant[Country],MATCH(0,INDEX(COUNTIF($O$2:O509,Grant[Country]),),0))</f>
        <v>#N/A</v>
      </c>
    </row>
    <row r="511" spans="15:15" x14ac:dyDescent="0.35">
      <c r="O511" t="e" cm="1">
        <f t="array" ref="O511">INDEX(Grant[Country],MATCH(0,INDEX(COUNTIF($O$2:O510,Grant[Country]),),0))</f>
        <v>#N/A</v>
      </c>
    </row>
    <row r="512" spans="15:15" x14ac:dyDescent="0.35">
      <c r="O512" t="e" cm="1">
        <f t="array" ref="O512">INDEX(Grant[Country],MATCH(0,INDEX(COUNTIF($O$2:O511,Grant[Country]),),0))</f>
        <v>#N/A</v>
      </c>
    </row>
    <row r="513" spans="15:15" x14ac:dyDescent="0.35">
      <c r="O513" t="e" cm="1">
        <f t="array" ref="O513">INDEX(Grant[Country],MATCH(0,INDEX(COUNTIF($O$2:O512,Grant[Country]),),0))</f>
        <v>#N/A</v>
      </c>
    </row>
    <row r="514" spans="15:15" x14ac:dyDescent="0.35">
      <c r="O514" t="e" cm="1">
        <f t="array" ref="O514">INDEX(Grant[Country],MATCH(0,INDEX(COUNTIF($O$2:O513,Grant[Country]),),0))</f>
        <v>#N/A</v>
      </c>
    </row>
    <row r="515" spans="15:15" x14ac:dyDescent="0.35">
      <c r="O515" t="e" cm="1">
        <f t="array" ref="O515">INDEX(Grant[Country],MATCH(0,INDEX(COUNTIF($O$2:O514,Grant[Country]),),0))</f>
        <v>#N/A</v>
      </c>
    </row>
    <row r="516" spans="15:15" x14ac:dyDescent="0.35">
      <c r="O516" t="e" cm="1">
        <f t="array" ref="O516">INDEX(Grant[Country],MATCH(0,INDEX(COUNTIF($O$2:O515,Grant[Country]),),0))</f>
        <v>#N/A</v>
      </c>
    </row>
    <row r="517" spans="15:15" x14ac:dyDescent="0.35">
      <c r="O517" t="e" cm="1">
        <f t="array" ref="O517">INDEX(Grant[Country],MATCH(0,INDEX(COUNTIF($O$2:O516,Grant[Country]),),0))</f>
        <v>#N/A</v>
      </c>
    </row>
    <row r="518" spans="15:15" x14ac:dyDescent="0.35">
      <c r="O518" t="e" cm="1">
        <f t="array" ref="O518">INDEX(Grant[Country],MATCH(0,INDEX(COUNTIF($O$2:O517,Grant[Country]),),0))</f>
        <v>#N/A</v>
      </c>
    </row>
    <row r="519" spans="15:15" x14ac:dyDescent="0.35">
      <c r="O519" t="e" cm="1">
        <f t="array" ref="O519">INDEX(Grant[Country],MATCH(0,INDEX(COUNTIF($O$2:O518,Grant[Country]),),0))</f>
        <v>#N/A</v>
      </c>
    </row>
    <row r="520" spans="15:15" x14ac:dyDescent="0.35">
      <c r="O520" t="e" cm="1">
        <f t="array" ref="O520">INDEX(Grant[Country],MATCH(0,INDEX(COUNTIF($O$2:O519,Grant[Country]),),0))</f>
        <v>#N/A</v>
      </c>
    </row>
    <row r="521" spans="15:15" x14ac:dyDescent="0.35">
      <c r="O521" t="e" cm="1">
        <f t="array" ref="O521">INDEX(Grant[Country],MATCH(0,INDEX(COUNTIF($O$2:O520,Grant[Country]),),0))</f>
        <v>#N/A</v>
      </c>
    </row>
    <row r="522" spans="15:15" x14ac:dyDescent="0.35">
      <c r="O522" t="e" cm="1">
        <f t="array" ref="O522">INDEX(Grant[Country],MATCH(0,INDEX(COUNTIF($O$2:O521,Grant[Country]),),0))</f>
        <v>#N/A</v>
      </c>
    </row>
    <row r="523" spans="15:15" x14ac:dyDescent="0.35">
      <c r="O523" t="e" cm="1">
        <f t="array" ref="O523">INDEX(Grant[Country],MATCH(0,INDEX(COUNTIF($O$2:O522,Grant[Country]),),0))</f>
        <v>#N/A</v>
      </c>
    </row>
    <row r="524" spans="15:15" x14ac:dyDescent="0.35">
      <c r="O524" t="e" cm="1">
        <f t="array" ref="O524">INDEX(Grant[Country],MATCH(0,INDEX(COUNTIF($O$2:O523,Grant[Country]),),0))</f>
        <v>#N/A</v>
      </c>
    </row>
    <row r="525" spans="15:15" x14ac:dyDescent="0.35">
      <c r="O525" t="e" cm="1">
        <f t="array" ref="O525">INDEX(Grant[Country],MATCH(0,INDEX(COUNTIF($O$2:O524,Grant[Country]),),0))</f>
        <v>#N/A</v>
      </c>
    </row>
  </sheetData>
  <sheetProtection algorithmName="SHA-512" hashValue="gqr97SIlW+xw5yw3RpSSfWYCkBC3Yxv8oVSO1yo9Vd72Iyu34dDKV1u+v7QzrA+dOgt6hS1WuwutK4rzEPrh4A==" saltValue="5Morccsh9TkSpZHHlJsJQg==" spinCount="100000" sheet="1" objects="1" scenarios="1"/>
  <phoneticPr fontId="46" type="noConversion"/>
  <pageMargins left="0.7" right="0.7" top="0.75" bottom="0.75" header="0.3" footer="0.3"/>
  <pageSetup orientation="portrait" r:id="rId5"/>
  <tableParts count="1">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5BBC7-E77E-4C9F-BE45-FCEF045A7841}">
  <sheetPr>
    <tabColor rgb="FF77061F"/>
    <pageSetUpPr autoPageBreaks="0"/>
  </sheetPr>
  <dimension ref="A1:CN286"/>
  <sheetViews>
    <sheetView showGridLines="0" zoomScale="60" zoomScaleNormal="60" workbookViewId="0">
      <pane ySplit="1" topLeftCell="A2" activePane="bottomLeft" state="frozen"/>
      <selection activeCell="I21" sqref="I21:K21"/>
      <selection pane="bottomLeft" activeCell="M6" sqref="M6"/>
    </sheetView>
  </sheetViews>
  <sheetFormatPr defaultColWidth="8.81640625" defaultRowHeight="14.5" customHeight="1" zeroHeight="1" x14ac:dyDescent="0.35"/>
  <cols>
    <col min="1" max="1" width="16.7265625" style="12" customWidth="1"/>
    <col min="2" max="2" width="15.453125" style="12" customWidth="1"/>
    <col min="3" max="3" width="18.90625" style="12" customWidth="1"/>
    <col min="4" max="6" width="15.453125" style="12" customWidth="1"/>
    <col min="7" max="7" width="19.90625" style="12" customWidth="1"/>
    <col min="8" max="8" width="15.36328125" style="12" customWidth="1"/>
    <col min="9" max="9" width="13.6328125" style="12" customWidth="1"/>
    <col min="10" max="10" width="15.81640625" style="12" customWidth="1"/>
    <col min="11" max="11" width="16.36328125" style="12" customWidth="1"/>
    <col min="12" max="12" width="12.54296875" style="12" customWidth="1"/>
    <col min="13" max="13" width="22.1796875" style="12" customWidth="1"/>
    <col min="14" max="14" width="18.54296875" style="12" customWidth="1"/>
    <col min="15" max="15" width="17.1796875" style="12" customWidth="1"/>
    <col min="16" max="16" width="15.453125" style="12" customWidth="1"/>
    <col min="17" max="17" width="14.1796875" style="12" customWidth="1"/>
    <col min="18" max="18" width="15.1796875" style="12" customWidth="1"/>
    <col min="19" max="19" width="14.1796875" style="12" customWidth="1"/>
    <col min="20" max="20" width="14.54296875" style="12" customWidth="1"/>
    <col min="21" max="21" width="15.81640625" style="12" customWidth="1"/>
    <col min="22" max="22" width="23.1796875" style="12" customWidth="1"/>
    <col min="23" max="23" width="13.1796875" style="12" customWidth="1"/>
    <col min="24" max="24" width="14.1796875" style="12" customWidth="1"/>
    <col min="25" max="25" width="13.81640625" style="12" customWidth="1"/>
    <col min="26" max="26" width="13.453125" style="12" customWidth="1"/>
    <col min="27" max="27" width="15.6328125" style="12" customWidth="1"/>
    <col min="28" max="28" width="13.81640625" style="12" customWidth="1"/>
    <col min="29" max="29" width="20.81640625" style="12" customWidth="1"/>
    <col min="30" max="30" width="12.453125" style="12" customWidth="1"/>
    <col min="31" max="31" width="13.54296875" style="12" customWidth="1"/>
    <col min="32" max="32" width="13.453125" style="12" customWidth="1"/>
    <col min="33" max="33" width="14.36328125" style="12" customWidth="1"/>
    <col min="34" max="34" width="14" style="12" customWidth="1"/>
    <col min="35" max="35" width="15.54296875" style="49" customWidth="1"/>
    <col min="36" max="36" width="21.81640625" style="12" customWidth="1"/>
    <col min="37" max="37" width="11.54296875" style="12" customWidth="1"/>
    <col min="38" max="39" width="14" style="12" customWidth="1"/>
    <col min="40" max="40" width="13.1796875" style="12" customWidth="1"/>
    <col min="41" max="41" width="16.453125" style="12" customWidth="1"/>
    <col min="42" max="42" width="14.453125" style="49" customWidth="1"/>
    <col min="43" max="43" width="21.54296875" style="12" customWidth="1"/>
    <col min="44" max="44" width="17.6328125" style="12" customWidth="1"/>
    <col min="45" max="45" width="15.1796875" style="12" customWidth="1"/>
    <col min="46" max="46" width="15.453125" style="12" customWidth="1"/>
    <col min="47" max="47" width="15.81640625" style="12" customWidth="1"/>
    <col min="48" max="48" width="14.1796875" style="12" customWidth="1"/>
    <col min="49" max="49" width="17.54296875" style="12" customWidth="1"/>
    <col min="50" max="50" width="18" style="12" customWidth="1"/>
    <col min="51" max="51" width="18.54296875" style="12" customWidth="1"/>
    <col min="52" max="52" width="15.453125" style="12" customWidth="1"/>
    <col min="53" max="53" width="14.36328125" style="12" customWidth="1"/>
    <col min="54" max="54" width="15.54296875" style="12" customWidth="1"/>
    <col min="55" max="56" width="14.54296875" style="12" customWidth="1"/>
    <col min="57" max="57" width="23.6328125" style="12" customWidth="1"/>
    <col min="58" max="58" width="24.453125" style="12" customWidth="1"/>
    <col min="59" max="59" width="20.90625" style="12" customWidth="1"/>
    <col min="60" max="60" width="23.90625" style="12" customWidth="1"/>
    <col min="61" max="61" width="48.81640625" style="12" customWidth="1"/>
    <col min="62" max="62" width="10.81640625" style="12" customWidth="1"/>
    <col min="63" max="63" width="8.81640625" style="53" hidden="1" customWidth="1"/>
    <col min="64" max="64" width="5.453125" style="12" hidden="1" customWidth="1"/>
    <col min="65" max="65" width="8.81640625" style="12" customWidth="1"/>
    <col min="66" max="68" width="8.81640625" style="12" hidden="1" customWidth="1"/>
    <col min="69" max="72" width="8.81640625" hidden="1" customWidth="1"/>
    <col min="73" max="73" width="12.90625" style="12" hidden="1" customWidth="1"/>
    <col min="74" max="74" width="11.54296875" hidden="1" customWidth="1"/>
    <col min="75" max="75" width="10" hidden="1" customWidth="1"/>
    <col min="76" max="87" width="10" customWidth="1"/>
    <col min="88" max="92" width="8.81640625" customWidth="1"/>
    <col min="93" max="96" width="8.81640625" style="12" customWidth="1"/>
    <col min="97" max="16384" width="8.81640625" style="12"/>
  </cols>
  <sheetData>
    <row r="1" spans="1:92" ht="51.5" customHeight="1" thickBot="1" x14ac:dyDescent="0.4">
      <c r="A1" s="430"/>
      <c r="B1" s="1084" t="str">
        <f>VLOOKUP("Health Product Management Template - C19RM - List of pharmaceuticals",Language!$D$72:$G$268,$L$1,FALSE)</f>
        <v>Health Product Management Template - C19RM - List of pharmaceuticals</v>
      </c>
      <c r="C1" s="1085"/>
      <c r="D1" s="1085"/>
      <c r="E1" s="1085"/>
      <c r="F1" s="1085"/>
      <c r="G1" s="1085"/>
      <c r="H1" s="1085"/>
      <c r="I1" s="1085"/>
      <c r="J1" s="1085"/>
      <c r="K1" s="1086"/>
      <c r="L1" s="154">
        <f>SETUP!$A$2</f>
        <v>2</v>
      </c>
      <c r="M1" s="1091" t="str">
        <f t="shared" ref="M1" si="0">IF(BU1&gt;0,"Data missmatch in Item Category, INN and Specification","")</f>
        <v/>
      </c>
      <c r="N1" s="1091"/>
      <c r="O1" s="1091"/>
      <c r="P1" s="1091"/>
      <c r="Q1" s="1091"/>
      <c r="R1" s="1091"/>
      <c r="S1" s="1092"/>
      <c r="T1" s="11"/>
      <c r="U1" s="11"/>
      <c r="V1" s="11"/>
      <c r="W1" s="11"/>
      <c r="X1" s="11"/>
      <c r="Y1" s="11"/>
      <c r="Z1" s="11"/>
      <c r="AA1" s="11"/>
      <c r="AB1" s="11"/>
      <c r="AC1" s="11"/>
      <c r="AD1" s="11"/>
      <c r="AE1" s="31"/>
      <c r="AF1" s="17"/>
      <c r="AI1" s="12"/>
      <c r="AK1" s="11"/>
      <c r="AL1" s="31"/>
      <c r="AM1" s="17"/>
      <c r="AP1" s="12"/>
      <c r="BU1" s="12">
        <f>SUM(BU2:BU171)</f>
        <v>0</v>
      </c>
    </row>
    <row r="2" spans="1:92" ht="15" thickBot="1" x14ac:dyDescent="0.4">
      <c r="A2" s="34"/>
      <c r="B2" s="34"/>
      <c r="C2" s="34"/>
      <c r="D2" s="34"/>
      <c r="E2" s="34"/>
      <c r="F2" s="34"/>
      <c r="G2" s="34"/>
      <c r="H2" s="34"/>
      <c r="I2" s="34"/>
      <c r="J2" s="34"/>
      <c r="K2" s="34"/>
      <c r="L2" s="38"/>
      <c r="M2" s="24"/>
      <c r="N2" s="24"/>
      <c r="O2" s="401"/>
      <c r="P2"/>
      <c r="Q2"/>
      <c r="R2"/>
      <c r="S2" s="10"/>
      <c r="T2" s="11"/>
      <c r="U2" s="11"/>
      <c r="V2" s="11"/>
      <c r="W2" s="11"/>
      <c r="X2" s="11"/>
      <c r="Y2" s="11"/>
      <c r="Z2" s="11"/>
      <c r="AA2" s="11"/>
      <c r="AB2" s="11"/>
      <c r="AC2" s="11"/>
      <c r="AD2" s="11"/>
      <c r="AE2" s="31"/>
      <c r="AF2" s="17"/>
      <c r="AI2" s="12"/>
      <c r="AK2" s="11"/>
      <c r="AL2" s="31"/>
      <c r="AM2" s="17"/>
      <c r="AP2" s="12"/>
    </row>
    <row r="3" spans="1:92" ht="15" customHeight="1" thickBot="1" x14ac:dyDescent="0.4">
      <c r="A3" s="431"/>
      <c r="B3" s="1126" t="str">
        <f>VLOOKUP("COUNTRY:",Language!$D$1067:$G$1151,$L$1,FALSE)</f>
        <v>COUNTRY:</v>
      </c>
      <c r="C3" s="1128">
        <f>SETUP!$E$3</f>
        <v>0</v>
      </c>
      <c r="D3" s="1128"/>
      <c r="E3" s="1129"/>
      <c r="F3" s="432"/>
      <c r="G3" s="1132" t="str">
        <f>VLOOKUP("GRANT NUMBER:",Language!$D$1067:$G$1151,$L$1,FALSE)</f>
        <v>GRANT NUMBER:</v>
      </c>
      <c r="H3" s="1128">
        <f>GRAN_NO</f>
        <v>0</v>
      </c>
      <c r="I3" s="1128"/>
      <c r="J3" s="1128"/>
      <c r="K3" s="1129"/>
      <c r="L3" s="38"/>
      <c r="M3" s="147"/>
      <c r="N3" s="147"/>
      <c r="O3" s="13"/>
      <c r="P3" s="14"/>
      <c r="Q3" s="14"/>
      <c r="R3" s="14"/>
      <c r="S3" s="14"/>
      <c r="T3" s="11"/>
      <c r="U3" s="11"/>
      <c r="V3" s="11"/>
      <c r="W3" s="11"/>
      <c r="X3" s="11"/>
      <c r="Y3" s="11"/>
      <c r="Z3" s="11"/>
      <c r="AA3" s="11"/>
      <c r="AB3" s="11"/>
      <c r="AC3" s="11"/>
      <c r="AD3" s="11"/>
      <c r="AE3" s="11"/>
      <c r="AF3" s="11"/>
      <c r="AG3" s="39"/>
      <c r="AH3" s="39"/>
      <c r="AI3" s="40"/>
      <c r="AJ3" s="20"/>
      <c r="AK3" s="11"/>
      <c r="AL3" s="11"/>
      <c r="AM3" s="11"/>
      <c r="AN3" s="39"/>
      <c r="AO3" s="39"/>
      <c r="AP3" s="40"/>
      <c r="AQ3" s="20"/>
    </row>
    <row r="4" spans="1:92" ht="15.75" customHeight="1" thickBot="1" x14ac:dyDescent="0.4">
      <c r="A4" s="431"/>
      <c r="B4" s="1127"/>
      <c r="C4" s="1130"/>
      <c r="D4" s="1130"/>
      <c r="E4" s="1131"/>
      <c r="F4" s="432"/>
      <c r="G4" s="1133"/>
      <c r="H4" s="1130"/>
      <c r="I4" s="1130"/>
      <c r="J4" s="1130"/>
      <c r="K4" s="1131"/>
      <c r="L4" s="10"/>
      <c r="M4" s="10"/>
      <c r="N4" s="10"/>
      <c r="O4" s="10"/>
      <c r="P4" s="11"/>
      <c r="Q4" s="11"/>
      <c r="R4" s="11"/>
      <c r="S4" s="11"/>
      <c r="T4" s="11"/>
      <c r="U4" s="11"/>
      <c r="V4" s="11"/>
      <c r="W4" s="11"/>
      <c r="X4" s="11"/>
      <c r="Y4" s="11"/>
      <c r="Z4" s="11"/>
      <c r="AA4" s="11"/>
      <c r="AB4" s="11"/>
      <c r="AC4" s="11"/>
      <c r="AD4" s="11"/>
      <c r="AE4" s="11"/>
      <c r="AF4" s="11"/>
      <c r="AG4" s="39"/>
      <c r="AH4" s="39"/>
      <c r="AI4" s="40"/>
      <c r="AJ4" s="20"/>
      <c r="AK4" s="11"/>
      <c r="AL4" s="11"/>
      <c r="AM4" s="11"/>
      <c r="AN4" s="39"/>
      <c r="AO4" s="39"/>
      <c r="AP4" s="40"/>
      <c r="AQ4" s="20"/>
    </row>
    <row r="5" spans="1:92" ht="15.65" customHeight="1" thickBot="1" x14ac:dyDescent="0.4">
      <c r="A5" s="431"/>
      <c r="B5" s="1127" t="str">
        <f>VLOOKUP("COMPONENT:",Language!$D$1067:$G$1151,$L$1,FALSE)</f>
        <v>COMPONENT:</v>
      </c>
      <c r="C5" s="1130" t="str">
        <f>SETUP!$E$9</f>
        <v>C19RM</v>
      </c>
      <c r="D5" s="1130"/>
      <c r="E5" s="1131"/>
      <c r="F5" s="432"/>
      <c r="G5" s="1127" t="str">
        <f>VLOOKUP("PR: ",Language!$D$1067:$G$1151,$L$1,FALSE)</f>
        <v xml:space="preserve">PR: </v>
      </c>
      <c r="H5" s="1130" t="str">
        <f ca="1">SETUP!J5</f>
        <v>NA</v>
      </c>
      <c r="I5" s="1130"/>
      <c r="J5" s="1130"/>
      <c r="K5" s="1131"/>
      <c r="L5" s="10"/>
      <c r="M5" s="10"/>
      <c r="N5" s="10"/>
      <c r="O5" s="10"/>
      <c r="P5" s="11"/>
      <c r="Q5" s="11"/>
      <c r="R5" s="11"/>
      <c r="S5" s="11"/>
      <c r="T5" s="11"/>
      <c r="U5" s="11"/>
      <c r="V5" s="11"/>
      <c r="W5" s="11"/>
      <c r="X5" s="11"/>
      <c r="Y5" s="11"/>
      <c r="Z5" s="11"/>
      <c r="AA5" s="11"/>
      <c r="AB5" s="11"/>
      <c r="AC5" s="11"/>
      <c r="AD5" s="11"/>
      <c r="AE5" s="11"/>
      <c r="AF5" s="11"/>
      <c r="AG5" s="39"/>
      <c r="AH5" s="39"/>
      <c r="AI5" s="40"/>
      <c r="AJ5" s="20"/>
      <c r="AK5" s="11"/>
      <c r="AL5" s="11"/>
      <c r="AM5" s="11"/>
      <c r="AN5" s="39"/>
      <c r="AO5" s="39"/>
      <c r="AP5" s="40"/>
      <c r="AQ5" s="20"/>
    </row>
    <row r="6" spans="1:92" ht="15" thickBot="1" x14ac:dyDescent="0.4">
      <c r="A6" s="431"/>
      <c r="B6" s="1137"/>
      <c r="C6" s="1138"/>
      <c r="D6" s="1138"/>
      <c r="E6" s="1139"/>
      <c r="F6" s="432"/>
      <c r="G6" s="1137"/>
      <c r="H6" s="1138"/>
      <c r="I6" s="1138"/>
      <c r="J6" s="1138"/>
      <c r="K6" s="1139"/>
      <c r="L6" s="10"/>
      <c r="M6" s="10"/>
      <c r="N6" s="10"/>
      <c r="O6" s="10"/>
      <c r="P6" s="11"/>
      <c r="Q6" s="11"/>
      <c r="R6" s="11"/>
      <c r="S6" s="11"/>
      <c r="T6" s="11"/>
      <c r="U6" s="11"/>
      <c r="V6" s="11"/>
      <c r="W6" s="11"/>
      <c r="X6" s="11"/>
      <c r="Y6" s="11"/>
      <c r="Z6" s="11"/>
      <c r="AA6" s="11"/>
      <c r="AB6" s="11"/>
      <c r="AC6" s="11"/>
      <c r="AD6" s="11"/>
      <c r="AE6" s="11"/>
      <c r="AF6" s="11"/>
      <c r="AG6" s="39"/>
      <c r="AH6" s="39"/>
      <c r="AI6" s="40"/>
      <c r="AJ6" s="20"/>
      <c r="AK6" s="11"/>
      <c r="AL6" s="11"/>
      <c r="AM6" s="11"/>
      <c r="AN6" s="39"/>
      <c r="AO6" s="39"/>
      <c r="AP6" s="40"/>
      <c r="AQ6" s="20"/>
    </row>
    <row r="7" spans="1:92" ht="15" thickBot="1" x14ac:dyDescent="0.4">
      <c r="A7" s="91" t="str">
        <f ca="1">MID(CELL("filename",A1),FIND("]",CELL("filename",A1))+1,255)</f>
        <v>C19RM 2021-Pharma</v>
      </c>
      <c r="B7" s="15"/>
      <c r="C7" s="165"/>
      <c r="D7" s="15"/>
      <c r="E7" s="91" t="s">
        <v>73</v>
      </c>
      <c r="F7" s="15"/>
      <c r="G7" s="15"/>
      <c r="H7" s="15"/>
      <c r="I7" s="15"/>
      <c r="J7" s="15"/>
      <c r="K7" s="91" t="s">
        <v>132</v>
      </c>
      <c r="L7" s="11"/>
      <c r="M7" s="10"/>
      <c r="N7" s="10"/>
      <c r="O7" s="32"/>
      <c r="P7" s="18"/>
      <c r="Q7" s="18"/>
      <c r="R7" s="18"/>
      <c r="S7" s="18"/>
      <c r="T7" s="18"/>
      <c r="U7" s="11"/>
      <c r="V7" s="11"/>
      <c r="W7" s="11"/>
      <c r="X7" s="11"/>
      <c r="Y7" s="11"/>
      <c r="Z7" s="11"/>
      <c r="AA7" s="11"/>
      <c r="AB7" s="11"/>
      <c r="AC7" s="11"/>
      <c r="AD7" s="11"/>
      <c r="AE7" s="11"/>
      <c r="AF7" s="11"/>
      <c r="AG7" s="39"/>
      <c r="AH7" s="39"/>
      <c r="AI7" s="40"/>
      <c r="AJ7" s="20"/>
      <c r="AK7" s="11"/>
      <c r="AL7" s="11"/>
      <c r="AM7" s="11"/>
      <c r="AN7" s="39"/>
      <c r="AO7" s="39"/>
      <c r="AP7" s="40"/>
      <c r="AQ7" s="20"/>
    </row>
    <row r="8" spans="1:92" ht="22.5" customHeight="1" thickBot="1" x14ac:dyDescent="0.4">
      <c r="A8" s="1140">
        <v>1</v>
      </c>
      <c r="B8" s="1142" t="s">
        <v>3026</v>
      </c>
      <c r="C8" s="1142"/>
      <c r="D8" s="462"/>
      <c r="E8" s="1134" t="s">
        <v>3024</v>
      </c>
      <c r="F8" s="1134"/>
      <c r="G8" s="1134"/>
      <c r="H8" s="1135"/>
      <c r="I8" s="1144"/>
      <c r="J8" s="1144"/>
      <c r="O8" s="1145" t="str">
        <f>CONCATENATE(K7," ",SETUP!E7)</f>
        <v xml:space="preserve">Total Amount in </v>
      </c>
      <c r="P8" s="532" t="s">
        <v>125</v>
      </c>
      <c r="Q8" s="532" t="s">
        <v>126</v>
      </c>
      <c r="R8" s="532" t="s">
        <v>127</v>
      </c>
      <c r="S8" s="532" t="s">
        <v>128</v>
      </c>
      <c r="T8" s="532" t="s">
        <v>661</v>
      </c>
      <c r="U8" s="533" t="s">
        <v>129</v>
      </c>
      <c r="V8" s="11"/>
      <c r="W8" s="11"/>
      <c r="Y8" s="11"/>
      <c r="Z8" s="11"/>
      <c r="AA8" s="11"/>
      <c r="AB8" s="11"/>
      <c r="AC8" s="11"/>
      <c r="AD8" s="11"/>
      <c r="AE8" s="11"/>
      <c r="AF8" s="11"/>
      <c r="AG8" s="39"/>
      <c r="AH8" s="39"/>
      <c r="AI8" s="40"/>
      <c r="AJ8" s="20"/>
      <c r="AK8" s="11"/>
      <c r="AL8" s="11"/>
      <c r="AM8" s="11"/>
      <c r="AN8" s="39"/>
      <c r="AO8" s="39"/>
      <c r="AP8" s="40"/>
      <c r="AQ8" s="20"/>
    </row>
    <row r="9" spans="1:92" ht="30.5" customHeight="1" thickBot="1" x14ac:dyDescent="0.4">
      <c r="A9" s="1141"/>
      <c r="B9" s="1143"/>
      <c r="C9" s="1143"/>
      <c r="D9" s="463"/>
      <c r="E9" s="1136"/>
      <c r="F9" s="1136"/>
      <c r="G9" s="1136"/>
      <c r="H9" s="1136"/>
      <c r="I9" s="1144"/>
      <c r="J9" s="1144"/>
      <c r="O9" s="1146"/>
      <c r="P9" s="534">
        <f>SUM(V14:V113)</f>
        <v>0</v>
      </c>
      <c r="Q9" s="534">
        <f>SUM(AC14:AC113)</f>
        <v>0</v>
      </c>
      <c r="R9" s="534">
        <f>SUM(AJ14:AJ113)</f>
        <v>0</v>
      </c>
      <c r="S9" s="534">
        <f>SUM(AQ14:AQ113)</f>
        <v>0</v>
      </c>
      <c r="T9" s="534">
        <f>SUM(AX14:AX113)</f>
        <v>0</v>
      </c>
      <c r="U9" s="535">
        <f>SUM(P9:T9)</f>
        <v>0</v>
      </c>
      <c r="V9" s="18"/>
      <c r="W9" s="18"/>
      <c r="X9" s="18"/>
      <c r="Y9" s="18"/>
      <c r="Z9" s="18"/>
      <c r="AA9" s="18"/>
      <c r="AB9" s="18"/>
      <c r="AC9" s="18"/>
      <c r="AD9" s="18"/>
      <c r="AE9" s="18"/>
      <c r="AF9" s="18"/>
      <c r="AG9" s="41"/>
      <c r="AH9" s="41"/>
      <c r="AI9" s="42"/>
      <c r="AJ9" s="20"/>
      <c r="AK9" s="18"/>
      <c r="AL9"/>
      <c r="AM9"/>
      <c r="AN9"/>
      <c r="AO9" s="41"/>
      <c r="AP9" s="42"/>
      <c r="AQ9" s="20"/>
    </row>
    <row r="10" spans="1:92" ht="228.5" customHeight="1" thickBot="1" x14ac:dyDescent="0.4">
      <c r="A10" s="1147" t="str">
        <f>IF($L$1=2,Language!$E$85,IF($L$1=3,Language!$F$85,Language!$G$85))</f>
        <v>1. Column A: Select the Item Category from the drop-down menu.
2. Column E: Select the Product name (INN) and Strength from the drop-down menu.
3. Column I: Select the Specification from the drop-down menu; for Specifications that state "enter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0" s="1148"/>
      <c r="C10" s="1148"/>
      <c r="D10" s="1148"/>
      <c r="E10" s="1148"/>
      <c r="F10" s="1148"/>
      <c r="G10" s="1148"/>
      <c r="H10" s="1148"/>
      <c r="I10" s="1148"/>
      <c r="J10" s="1148"/>
      <c r="K10" s="1148"/>
      <c r="L10" s="1148"/>
      <c r="M10" s="1148"/>
      <c r="N10" s="1148"/>
      <c r="O10" s="1149"/>
      <c r="P10" s="15"/>
      <c r="Q10" s="151"/>
      <c r="R10" s="422"/>
      <c r="S10" s="405"/>
      <c r="T10"/>
      <c r="U10" s="35"/>
      <c r="V10" s="25"/>
      <c r="W10" s="25"/>
      <c r="X10" s="25"/>
      <c r="Y10" s="25"/>
      <c r="Z10" s="25"/>
      <c r="AA10" s="25"/>
      <c r="AB10" s="25"/>
      <c r="AC10" s="25"/>
      <c r="AD10" s="25"/>
      <c r="AE10" s="25"/>
      <c r="AF10" s="25"/>
      <c r="AG10" s="26"/>
      <c r="AH10" s="26"/>
      <c r="AI10" s="150"/>
      <c r="AJ10" s="26"/>
      <c r="AK10" s="25"/>
      <c r="AL10"/>
      <c r="AM10"/>
      <c r="AN10"/>
      <c r="AO10" s="26"/>
      <c r="AP10" s="150"/>
      <c r="AQ10" s="26"/>
    </row>
    <row r="11" spans="1:92" ht="13" customHeight="1" thickBot="1" x14ac:dyDescent="0.4">
      <c r="A11" s="21"/>
      <c r="B11" s="22"/>
      <c r="C11" s="62"/>
      <c r="D11" s="88"/>
      <c r="E11" s="88"/>
      <c r="F11" s="15"/>
      <c r="G11" s="15"/>
      <c r="H11" s="15"/>
      <c r="I11" s="15"/>
      <c r="J11" s="15"/>
      <c r="K11" s="15"/>
      <c r="L11" s="24"/>
      <c r="M11" s="24"/>
      <c r="N11" s="24"/>
      <c r="O11" s="16"/>
      <c r="P11" s="434" t="s">
        <v>130</v>
      </c>
      <c r="Q11" s="435" t="str">
        <f>IF(IMP_ST_DATE="","-",'Master Data-C19RM'!$N$2)</f>
        <v>Jan21 - Mar21</v>
      </c>
      <c r="R11" s="435" t="str">
        <f>IF(IMP_ST_DATE="","-",'Master Data-C19RM'!$N$3)</f>
        <v>Apr21 - Jun21</v>
      </c>
      <c r="S11" s="435" t="str">
        <f>IF(IMP_ST_DATE="","-",'Master Data-C19RM'!$N$4)</f>
        <v>Jul21 - Sep21</v>
      </c>
      <c r="T11" s="436" t="str">
        <f>IF(IMP_ST_DATE="","-",'Master Data-C19RM'!$N$5)</f>
        <v>Oct21 - Dec21</v>
      </c>
      <c r="U11" s="151"/>
      <c r="V11" s="152"/>
      <c r="W11" s="433" t="s">
        <v>130</v>
      </c>
      <c r="X11" s="816" t="str">
        <f>IF(IMP_ST_DATE="","-",'Master Data-C19RM'!$N$6)</f>
        <v>Jan22 - Mar22</v>
      </c>
      <c r="Y11" s="816" t="str">
        <f>IF(IMP_ST_DATE="","-",'Master Data-C19RM'!$N$7)</f>
        <v>Apr22 - Jun22</v>
      </c>
      <c r="Z11" s="816" t="str">
        <f>IF(IMP_ST_DATE="","-",'Master Data-C19RM'!$N$8)</f>
        <v>Jul22 - Sep22</v>
      </c>
      <c r="AA11" s="817" t="str">
        <f>IF(IMP_ST_DATE="","-",'Master Data-C19RM'!$N$9)</f>
        <v>Oct22 - Dec22</v>
      </c>
      <c r="AB11" s="446"/>
      <c r="AC11" s="447"/>
      <c r="AD11" s="433" t="s">
        <v>130</v>
      </c>
      <c r="AE11" s="816" t="str">
        <f>IF(IMP_ST_DATE="","-",'Master Data-C19RM'!$N$10)</f>
        <v>Jan23 - Mar23</v>
      </c>
      <c r="AF11" s="816" t="str">
        <f>IF(IMP_ST_DATE="","-",'Master Data-C19RM'!$N$11)</f>
        <v>Apr23 - Jun23</v>
      </c>
      <c r="AG11" s="816" t="str">
        <f>IF(IMP_ST_DATE="","-",'Master Data-C19RM'!$N$12)</f>
        <v>Jul23 - Sep23</v>
      </c>
      <c r="AH11" s="817" t="str">
        <f>IF(IMP_ST_DATE="","-",'Master Data-C19RM'!$N$13)</f>
        <v>Oct23 - Dec23</v>
      </c>
      <c r="AI11" s="446"/>
      <c r="AJ11" s="447"/>
      <c r="AK11" s="433" t="s">
        <v>130</v>
      </c>
      <c r="AL11" s="816" t="str">
        <f>IF(IMP_ST_DATE="","-",'Master Data-C19RM'!$N$14)</f>
        <v>Jan24 - Mar24</v>
      </c>
      <c r="AM11" s="816" t="str">
        <f>IF(IMP_ST_DATE="","-",'Master Data-C19RM'!$N$15)</f>
        <v>Apr24 - Jun24</v>
      </c>
      <c r="AN11" s="816" t="str">
        <f>IF(IMP_ST_DATE="","-",'Master Data-C19RM'!$N$16)</f>
        <v>Jul24 - Sep24</v>
      </c>
      <c r="AO11" s="817" t="str">
        <f>IF(IMP_ST_DATE="","-",'Master Data-C19RM'!$N$17)</f>
        <v>Oct24 - Dec24</v>
      </c>
      <c r="AP11" s="446"/>
      <c r="AQ11" s="447"/>
      <c r="AR11" s="433" t="s">
        <v>130</v>
      </c>
      <c r="AS11" s="823" t="str">
        <f>IF(IMP_ST_DATE="","-",'Master Data-C19RM'!$N$18)</f>
        <v>Jan25 - Mar25</v>
      </c>
      <c r="AT11" s="823" t="str">
        <f>IF(IMP_ST_DATE="","-",'Master Data-C19RM'!$N$19)</f>
        <v>Apr25 - Jun25</v>
      </c>
      <c r="AU11" s="823" t="str">
        <f>IF(IMP_ST_DATE="","-",'Master Data-C19RM'!$N$20)</f>
        <v>Jul25 - Sep25</v>
      </c>
      <c r="AV11" s="824" t="str">
        <f>IF(IMP_ST_DATE="","-",'Master Data-C19RM'!$N$21)</f>
        <v>Oct25 - Dec25</v>
      </c>
      <c r="AW11" s="447"/>
      <c r="AX11" s="447"/>
      <c r="AY11" s="433" t="s">
        <v>130</v>
      </c>
      <c r="AZ11" s="823" t="str">
        <f>IF(IMP_ST_DATE="","-",'Master Data-C19RM'!$N$22)</f>
        <v>-</v>
      </c>
      <c r="BA11" s="823" t="str">
        <f>IF(IMP_ST_DATE="","-",'Master Data-C19RM'!$N$23)</f>
        <v>-</v>
      </c>
      <c r="BB11" s="823" t="str">
        <f>IF(IMP_ST_DATE="","-",'Master Data-C19RM'!$N$24)</f>
        <v>-</v>
      </c>
      <c r="BC11" s="824" t="str">
        <f>IF(IMP_ST_DATE="","-",'Master Data-C19RM'!$N$25)</f>
        <v>-</v>
      </c>
      <c r="BD11" s="447"/>
      <c r="BE11" s="447"/>
      <c r="BF11" s="448"/>
      <c r="BG11" s="448"/>
      <c r="BH11" s="448"/>
      <c r="BI11" s="448"/>
      <c r="BJ11" s="448"/>
    </row>
    <row r="12" spans="1:92" s="44" customFormat="1" ht="14" customHeight="1" thickBot="1" x14ac:dyDescent="0.4">
      <c r="A12" s="1150" t="str">
        <f>VLOOKUP("Item Category",Language!$D$72:$G$268,$L$1,FALSE)</f>
        <v>Item Category</v>
      </c>
      <c r="B12" s="1151"/>
      <c r="C12" s="1151"/>
      <c r="D12" s="1152"/>
      <c r="E12" s="1150" t="str">
        <f>VLOOKUP("INN + Strength",Language!$D$72:$G$268,$L$1,FALSE)</f>
        <v>INN + Strength</v>
      </c>
      <c r="F12" s="1151"/>
      <c r="G12" s="1151"/>
      <c r="H12" s="1152"/>
      <c r="I12" s="1156" t="str">
        <f>VLOOKUP("Specification",Language!$D$72:$G$268,$L$1,FALSE)</f>
        <v>Specification</v>
      </c>
      <c r="J12" s="1157"/>
      <c r="K12" s="1158"/>
      <c r="L12" s="1156" t="str">
        <f>VLOOKUP("Unit of measure",Language!$D$72:$G$268,$L$1,FALSE)</f>
        <v>Unit of measure</v>
      </c>
      <c r="M12" s="1157" t="str">
        <f>VLOOKUP("Procurement Channel",Language!$D$72:$G$268,SETUP!$A$2,FALSE)</f>
        <v>Procurement Channel</v>
      </c>
      <c r="N12" s="1157" t="str">
        <f>VLOOKUP("Reference Price (In Payment Currency)",Language!$D$72:$G$268,SETUP!$A$2,FALSE)</f>
        <v>Reference Price (In Payment Currency)</v>
      </c>
      <c r="O12" s="1158" t="str">
        <f>VLOOKUP("Payment Currency",Language!$D$72:$G$268,$L$1,FALSE)</f>
        <v>Payment Currency</v>
      </c>
      <c r="P12" s="1167" t="str">
        <f>IF(ISBLANK(IMP_ST_DATE),SETUP!$A$3,'Master Data-C19RM'!$W$2)</f>
        <v>2021</v>
      </c>
      <c r="Q12" s="1168"/>
      <c r="R12" s="1168"/>
      <c r="S12" s="1168"/>
      <c r="T12" s="1168"/>
      <c r="U12" s="1168"/>
      <c r="V12" s="1169"/>
      <c r="W12" s="1167" t="str">
        <f>IF(ISBLANK(IMP_ST_DATE),SETUP!$A$3,'Master Data-C19RM'!$W$6)</f>
        <v>2022</v>
      </c>
      <c r="X12" s="1168"/>
      <c r="Y12" s="1168"/>
      <c r="Z12" s="1168"/>
      <c r="AA12" s="1168"/>
      <c r="AB12" s="1168"/>
      <c r="AC12" s="1169"/>
      <c r="AD12" s="1167" t="str">
        <f>IF(ISBLANK(IMP_ST_DATE),SETUP!$A$3,'Master Data-C19RM'!$W$10)</f>
        <v>2023</v>
      </c>
      <c r="AE12" s="1168"/>
      <c r="AF12" s="1168"/>
      <c r="AG12" s="1168"/>
      <c r="AH12" s="1168"/>
      <c r="AI12" s="1168"/>
      <c r="AJ12" s="1169"/>
      <c r="AK12" s="1167" t="str">
        <f>IF(ISBLANK(IMP_ST_DATE),SETUP!$A$3,'Master Data-C19RM'!$W$14)</f>
        <v>2024</v>
      </c>
      <c r="AL12" s="1168"/>
      <c r="AM12" s="1168"/>
      <c r="AN12" s="1168"/>
      <c r="AO12" s="1168"/>
      <c r="AP12" s="1168"/>
      <c r="AQ12" s="1169"/>
      <c r="AR12" s="1167" t="str">
        <f>IF(ISBLANK(IMP_ST_DATE),SETUP!$A$3,'Master Data-C19RM'!$W$18)</f>
        <v>2025</v>
      </c>
      <c r="AS12" s="1168"/>
      <c r="AT12" s="1168"/>
      <c r="AU12" s="1168"/>
      <c r="AV12" s="1168"/>
      <c r="AW12" s="1168"/>
      <c r="AX12" s="1169"/>
      <c r="AY12" s="1167" t="str">
        <f>IF(ISBLANK(IMP_ST_DATE),SETUP!$A$3,'Master Data-C19RM'!$W$22)</f>
        <v/>
      </c>
      <c r="AZ12" s="1168"/>
      <c r="BA12" s="1168"/>
      <c r="BB12" s="1168"/>
      <c r="BC12" s="1168"/>
      <c r="BD12" s="1168"/>
      <c r="BE12" s="1169"/>
      <c r="BF12" s="1167" t="str">
        <f>VLOOKUP("Total grant period",Language!$D$1067:$G$1151,$L$1,FALSE)</f>
        <v>Total grant period</v>
      </c>
      <c r="BG12" s="1169"/>
      <c r="BH12" s="1170" t="str">
        <f>VLOOKUP("Cost Input",Language!$D$72:$G$268,$L$1,FALSE)</f>
        <v>Cost Input</v>
      </c>
      <c r="BI12" s="1174" t="str">
        <f>VLOOKUP("Comments",Language!$D$72:$G$268,$L$1,FALSE)</f>
        <v>Comments</v>
      </c>
      <c r="BJ12" s="1170" t="str">
        <f>VLOOKUP("Delivery Lead Time",Language!$D$72:$G$268,$L$1,FALSE)</f>
        <v>Delivery Lead Time</v>
      </c>
      <c r="BK12" s="1176" t="e">
        <f>VLOOKUP("Cash Flow",Language!$D$72:$G$268,$L$1,FALSE)</f>
        <v>#N/A</v>
      </c>
      <c r="BL12" s="156" t="e">
        <f>VLOOKUP("Finance",Language!$D$1067:$G$1151,$L$1,FALSE)</f>
        <v>#N/A</v>
      </c>
      <c r="BO12" t="str">
        <f>P12</f>
        <v>2021</v>
      </c>
      <c r="BP12" t="str">
        <f>W12</f>
        <v>2022</v>
      </c>
      <c r="BQ12" t="str">
        <f>AD12</f>
        <v>2023</v>
      </c>
      <c r="BR12" t="str">
        <f>AK12</f>
        <v>2024</v>
      </c>
      <c r="BS12" t="str">
        <f>AR12</f>
        <v>2025</v>
      </c>
      <c r="BT12" t="str">
        <f>AY12</f>
        <v/>
      </c>
      <c r="BU12" s="1162" t="s">
        <v>2172</v>
      </c>
      <c r="BV12"/>
      <c r="BW12"/>
      <c r="BX12"/>
      <c r="BY12"/>
      <c r="BZ12"/>
      <c r="CA12"/>
      <c r="CB12"/>
      <c r="CC12"/>
      <c r="CD12"/>
      <c r="CE12"/>
      <c r="CF12"/>
      <c r="CG12"/>
      <c r="CH12"/>
      <c r="CI12"/>
      <c r="CJ12"/>
      <c r="CK12"/>
      <c r="CL12"/>
      <c r="CM12"/>
      <c r="CN12"/>
    </row>
    <row r="13" spans="1:92" s="47" customFormat="1" ht="51" customHeight="1" thickBot="1" x14ac:dyDescent="0.4">
      <c r="A13" s="1153"/>
      <c r="B13" s="1154"/>
      <c r="C13" s="1154"/>
      <c r="D13" s="1155"/>
      <c r="E13" s="1153"/>
      <c r="F13" s="1154"/>
      <c r="G13" s="1154"/>
      <c r="H13" s="1155"/>
      <c r="I13" s="1159"/>
      <c r="J13" s="1160"/>
      <c r="K13" s="1161"/>
      <c r="L13" s="1159"/>
      <c r="M13" s="1160"/>
      <c r="N13" s="1160"/>
      <c r="O13" s="1161"/>
      <c r="P13" s="449" t="str">
        <f>VLOOKUP("Y1 Unit cost",Language!$D$72:$G$268,$L$1,FALSE)</f>
        <v>Y1 Unit cost</v>
      </c>
      <c r="Q13" s="450" t="str">
        <f>VLOOKUP("Y1 Q1 quantity",Language!$D$72:$G$268,$L$1,FALSE)</f>
        <v>Y1 Q1 quantity</v>
      </c>
      <c r="R13" s="450" t="str">
        <f>VLOOKUP("Y1 Q2 quantity",Language!$D$72:$G$268,$L$1,FALSE)</f>
        <v>Y1 Q2 quantity</v>
      </c>
      <c r="S13" s="450" t="str">
        <f>VLOOKUP("Y1 Q3 quantity",Language!$D$72:$G$268,$L$1,FALSE)</f>
        <v>Y1 Q3 quantity</v>
      </c>
      <c r="T13" s="450" t="str">
        <f>VLOOKUP("Y1 Q4 quantity",Language!$D$72:$G$268,$L$1,FALSE)</f>
        <v>Y1 Q4 quantity</v>
      </c>
      <c r="U13" s="450" t="str">
        <f>VLOOKUP("Y1 Total quantity",Language!$D$72:$G$268,$L$1,FALSE)</f>
        <v>Y1 Total quantity</v>
      </c>
      <c r="V13" s="451" t="str">
        <f>VLOOKUP("Y1 Total cost (In Grant Currency -",Language!$D$72:$G$268,$L$1,FALSE)&amp;SETUP!E7&amp;")"</f>
        <v>Y1 Total cost (In Grant Currency -)</v>
      </c>
      <c r="W13" s="449" t="str">
        <f>VLOOKUP("Y2 Unit cost",Language!$D$72:$G$268,$L$1,FALSE)</f>
        <v>Y2 Unit cost</v>
      </c>
      <c r="X13" s="450" t="str">
        <f>VLOOKUP("Y2 Q1 quantity",Language!$D$72:$G$268,$L$1,FALSE)</f>
        <v>Y2 Q1 quantity</v>
      </c>
      <c r="Y13" s="450" t="str">
        <f>VLOOKUP("Y2 Q2 quantity",Language!$D$72:$G$268,$L$1,FALSE)</f>
        <v>Y2 Q2 quantity</v>
      </c>
      <c r="Z13" s="450" t="str">
        <f>VLOOKUP("Y2 Q3 quantity",Language!$D$72:$G$268,$L$1,FALSE)</f>
        <v>Y2 Q3 quantity</v>
      </c>
      <c r="AA13" s="450" t="str">
        <f>VLOOKUP("Y2 Q4 quantity",Language!$D$72:$G$268,$L$1,FALSE)</f>
        <v>Y2 Q4 quantity</v>
      </c>
      <c r="AB13" s="450" t="str">
        <f>VLOOKUP("Y2 Total quantity",Language!$D$72:$G$268,$L$1,FALSE)</f>
        <v>Y2 Total quantity</v>
      </c>
      <c r="AC13" s="451" t="str">
        <f>VLOOKUP("Y2 Total cost (In Grant Currency -",Language!$D$72:$G$268,$L$1,FALSE)&amp;SETUP!$E$7&amp;")"</f>
        <v>Y2 Total cost (In Grant Currency -)</v>
      </c>
      <c r="AD13" s="449" t="str">
        <f>VLOOKUP("Y3 Unit cost",Language!$D$72:$G$268,$L$1,FALSE)</f>
        <v>Y3 Unit cost</v>
      </c>
      <c r="AE13" s="450" t="str">
        <f>VLOOKUP("Y3 Q1 quantity",Language!$D$72:$G$268,$L$1,FALSE)</f>
        <v>Y3 Q1 quantity</v>
      </c>
      <c r="AF13" s="450" t="str">
        <f>VLOOKUP("Y3 Q2 quantity",Language!$D$72:$G$268,$L$1,FALSE)</f>
        <v>Y3 Q2 quantity</v>
      </c>
      <c r="AG13" s="450" t="str">
        <f>VLOOKUP("Y3 Q3 quantity",Language!$D$72:$G$268,$L$1,FALSE)</f>
        <v>Y3 Q3 quantity</v>
      </c>
      <c r="AH13" s="450" t="str">
        <f>VLOOKUP("Y3 Q4 quantity",Language!$D$72:$G$268,$L$1,FALSE)</f>
        <v>Y3 Q4 quantity</v>
      </c>
      <c r="AI13" s="450" t="str">
        <f>VLOOKUP("Y3 Total quantity",Language!$D$72:$G$268,$L$1,FALSE)</f>
        <v>Y3 Total quantity</v>
      </c>
      <c r="AJ13" s="451" t="str">
        <f>VLOOKUP("Y3 Total cost (In Grant Currency -",Language!$D$72:$G$268,$L$1,FALSE)&amp;SETUP!$E$7&amp;")"</f>
        <v>Y3 Total cost (In Grant Currency -)</v>
      </c>
      <c r="AK13" s="449" t="str">
        <f>VLOOKUP("Y4 Unit cost",Language!$D$72:$G$268,$L$1,FALSE)</f>
        <v>Y4 Unit cost</v>
      </c>
      <c r="AL13" s="450" t="str">
        <f>VLOOKUP("Y4 Q1 quantity",Language!$D$72:$G$268,$L$1,FALSE)</f>
        <v>Y4 Q1 quantity</v>
      </c>
      <c r="AM13" s="450" t="str">
        <f>VLOOKUP("Y4 Q2 quantity",Language!$D$72:$G$268,$L$1,FALSE)</f>
        <v>Y4 Q2 quantity</v>
      </c>
      <c r="AN13" s="450" t="str">
        <f>VLOOKUP("Y4 Q3 quantity",Language!$D$72:$G$268,$L$1,FALSE)</f>
        <v>Y4 Q3 quantity</v>
      </c>
      <c r="AO13" s="450" t="str">
        <f>VLOOKUP("Y4 Q4 quantity",Language!$D$72:$G$268,$L$1,FALSE)</f>
        <v>Y4 Q4 quantity</v>
      </c>
      <c r="AP13" s="450" t="str">
        <f>VLOOKUP("Y4 Total quantity",Language!$D$72:$G$268,$L$1,FALSE)</f>
        <v>Y4 Total quantity</v>
      </c>
      <c r="AQ13" s="451" t="str">
        <f>VLOOKUP("Y4 Total cost (In Grant Currency -",Language!$D$72:$G$268,$L$1,FALSE)&amp;SETUP!$E$7&amp;")"</f>
        <v>Y4 Total cost (In Grant Currency -)</v>
      </c>
      <c r="AR13" s="449" t="str">
        <f>VLOOKUP("Y5 Unit cost",Language!$D$72:$G$268,$L$1,FALSE)</f>
        <v>Y5 Unit cost</v>
      </c>
      <c r="AS13" s="450" t="str">
        <f>VLOOKUP("Y5 Q1 quantity",Language!$D$72:$G$268,$L$1,FALSE)</f>
        <v>Y5 Q1 quantity</v>
      </c>
      <c r="AT13" s="450" t="str">
        <f>VLOOKUP("Y5 Q2 quantity",Language!$D$72:$G$268,$L$1,FALSE)</f>
        <v>Y5 Q2 quantity</v>
      </c>
      <c r="AU13" s="450" t="str">
        <f>VLOOKUP("Y5 Q3 quantity",Language!$D$72:$G$268,$L$1,FALSE)</f>
        <v>Y5 Q3 quantity</v>
      </c>
      <c r="AV13" s="450" t="str">
        <f>VLOOKUP("Y5 Q4 quantity",Language!$D$72:$G$268,$L$1,FALSE)</f>
        <v>Y5 Q4 quantity</v>
      </c>
      <c r="AW13" s="450" t="str">
        <f>VLOOKUP("Y5 Total quantity",Language!$D$72:$G$268,$L$1,FALSE)</f>
        <v>Y5 Total quantity</v>
      </c>
      <c r="AX13" s="451" t="str">
        <f>VLOOKUP("Y5 Total cost (In Grant Currency -",Language!$D$72:$G$268,$L$1,FALSE)&amp;SETUP!$E$7&amp;")"</f>
        <v>Y5 Total cost (In Grant Currency -)</v>
      </c>
      <c r="AY13" s="449" t="str">
        <f>VLOOKUP("Y6 Unit cost",Language!$D$72:$G$268,$L$1,FALSE)</f>
        <v>Y6 Unit cost</v>
      </c>
      <c r="AZ13" s="450" t="str">
        <f>VLOOKUP("Y6 Q1 quantity",Language!$D$72:$G$268,$L$1,FALSE)</f>
        <v>Y6 Q1 quantity</v>
      </c>
      <c r="BA13" s="450" t="str">
        <f>VLOOKUP("Y6 Q2 quantity",Language!$D$72:$G$268,$L$1,FALSE)</f>
        <v>Y6 Q2 quantity</v>
      </c>
      <c r="BB13" s="450" t="str">
        <f>VLOOKUP("Y6 Q3 quantity",Language!$D$72:$G$268,$L$1,FALSE)</f>
        <v>Y6 Q3 quantity</v>
      </c>
      <c r="BC13" s="450" t="str">
        <f>VLOOKUP("Y6 Q4 quantity",Language!$D$72:$G$268,$L$1,FALSE)</f>
        <v>Y6 Q4 quantity</v>
      </c>
      <c r="BD13" s="450" t="str">
        <f>VLOOKUP("Y6 Total quantity",Language!$D$72:$G$268,$L$1,FALSE)</f>
        <v>Y6 Total quantity</v>
      </c>
      <c r="BE13" s="451" t="str">
        <f>VLOOKUP("Y6 Total cost (In Grant Currency -",Language!$D$72:$G$268,$L$1,FALSE)&amp;SETUP!$E$7&amp;")"</f>
        <v>Y6 Total cost (In Grant Currency -)</v>
      </c>
      <c r="BF13" s="449" t="str">
        <f>VLOOKUP("Total quantity",Language!$D$72:$G$268,$L$1,FALSE)</f>
        <v>Total quantity</v>
      </c>
      <c r="BG13" s="451" t="str">
        <f>VLOOKUP("Total cost (In Grant Currency -",Language!$D$72:$G$268,$L$1,FALSE)&amp;SETUP!$E$7&amp;")"</f>
        <v>Total cost (In Grant Currency -)</v>
      </c>
      <c r="BH13" s="1171"/>
      <c r="BI13" s="1175"/>
      <c r="BJ13" s="1171"/>
      <c r="BK13" s="1177"/>
      <c r="BL13" s="155" t="str">
        <f>VLOOKUP("Cost Input",Language!$D$72:$G$268,$L$1,FALSE)</f>
        <v>Cost Input</v>
      </c>
      <c r="BO13" s="1164" t="s">
        <v>1984</v>
      </c>
      <c r="BP13" s="1164"/>
      <c r="BQ13" s="1164"/>
      <c r="BR13" s="1164"/>
      <c r="BS13" s="822"/>
      <c r="BT13" s="822"/>
      <c r="BU13" s="1163"/>
      <c r="BV13"/>
      <c r="BW13"/>
      <c r="BX13"/>
      <c r="BY13"/>
      <c r="BZ13"/>
      <c r="CA13"/>
      <c r="CB13"/>
      <c r="CC13"/>
      <c r="CD13"/>
      <c r="CE13"/>
      <c r="CF13"/>
      <c r="CG13"/>
      <c r="CH13"/>
      <c r="CI13"/>
      <c r="CJ13"/>
      <c r="CK13"/>
      <c r="CL13"/>
      <c r="CM13"/>
      <c r="CN13"/>
    </row>
    <row r="14" spans="1:92" x14ac:dyDescent="0.35">
      <c r="A14" s="1178"/>
      <c r="B14" s="1178"/>
      <c r="C14" s="1178"/>
      <c r="D14" s="1178"/>
      <c r="E14" s="1179"/>
      <c r="F14" s="1179"/>
      <c r="G14" s="1179"/>
      <c r="H14" s="1179"/>
      <c r="I14" s="1179"/>
      <c r="J14" s="1179"/>
      <c r="K14" s="1179"/>
      <c r="L14" s="487" t="str" cm="1">
        <f t="array" ref="L14">IF(A14&lt;&gt;"",IFERROR(INDEX(PMtbl[[WKst]:[Unit of measure*]],MATCH($A$8&amp;$A14&amp;$E14&amp;$I14,INDEX(PMtbl[Sec]&amp;PMtbl[Category]&amp;PMtbl[Each]&amp;PMtbl[Packaging],0,),0),14),""),"")</f>
        <v/>
      </c>
      <c r="M14" s="478" t="str">
        <f>IF(L14="","",INDEX(SETUP!$E$20:$E$122,(MATCH(INDEX(PMsheet!$D:$E,MATCH(A14,PMsheet!E:E,0),1),SETUP!$D$20:$D$122,0))))</f>
        <v/>
      </c>
      <c r="N14" s="488">
        <f>IF($O14="USD",_xlfn.IFNA(VLOOKUP(A14&amp;E14&amp;I14,PMsheet!J:K,2,0),0),(_xlfn.IFNA(VLOOKUP(A14&amp;E14&amp;I14,PMsheet!J:K,2,0),0)*'Master Data-C19RM'!$C$2))</f>
        <v>0</v>
      </c>
      <c r="O14" s="489" t="str">
        <f>IF(L14="", "",SETUP!$E$7)</f>
        <v/>
      </c>
      <c r="P14" s="442">
        <f>IF($O14="USD",_xlfn.IFNA(VLOOKUP($A14&amp;$E14&amp;$I14,PMsheet!$J:$K,2,0),0),(_xlfn.IFNA(VLOOKUP($A14&amp;$E14&amp;$I14,PMsheet!$J:$K,2,0),0)*'Master Data-C19RM'!$C$2))</f>
        <v>0</v>
      </c>
      <c r="Q14" s="443"/>
      <c r="R14" s="443"/>
      <c r="S14" s="443"/>
      <c r="T14" s="443"/>
      <c r="U14" s="497">
        <f>SUM('C19RM 2021-Pharma'!$Q14:$T14)</f>
        <v>0</v>
      </c>
      <c r="V14" s="498">
        <f>IF(SETUP!$E$7="USD",(U14*(IF(O14="USD",P14,(P14/'Master Data-C19RM'!$C$2)))),(U14*(IF(O14="EUR",P14,(P14*'Master Data-C19RM'!$C$2)))))</f>
        <v>0</v>
      </c>
      <c r="W14" s="442">
        <v>0</v>
      </c>
      <c r="X14" s="443"/>
      <c r="Y14" s="443"/>
      <c r="Z14" s="443"/>
      <c r="AA14" s="443"/>
      <c r="AB14" s="497">
        <f>SUM('C19RM 2021-Pharma'!$X14:$AA14)</f>
        <v>0</v>
      </c>
      <c r="AC14" s="498">
        <f>IF(SETUP!$E$7="USD",(AB14*(IF(O14="USD",W14,(W14/'Master Data-C19RM'!$D$2)))),(AB14*(IF(O14="EUR",W14,(W14*'Master Data-C19RM'!$D$2)))))</f>
        <v>0</v>
      </c>
      <c r="AD14" s="442">
        <f>IF($O14="USD",_xlfn.IFNA(VLOOKUP($A14&amp;$E14&amp;$I14,PMsheet!$J:$K,2,0),0),(_xlfn.IFNA(VLOOKUP($A14&amp;$E14&amp;$I14,PMsheet!$J:$K,2,0),0)*'Master Data-C19RM'!$E$2))</f>
        <v>0</v>
      </c>
      <c r="AE14" s="443"/>
      <c r="AF14" s="443"/>
      <c r="AG14" s="443"/>
      <c r="AH14" s="443"/>
      <c r="AI14" s="497">
        <f>SUM('C19RM 2021-Pharma'!$AE14:$AH14)</f>
        <v>0</v>
      </c>
      <c r="AJ14" s="498">
        <f>IF(SETUP!$E$7="USD",(AI14*(IF(O14="USD",AD14,(AD14/'Master Data-C19RM'!$E$2)))),(AI14*(IF(O14="EUR",AD14,(AD14*'Master Data-C19RM'!$E$2)))))</f>
        <v>0</v>
      </c>
      <c r="AK14" s="442">
        <f>IF($O14="USD",_xlfn.IFNA(VLOOKUP($A14&amp;$E14&amp;$I14,PMsheet!$J:$K,2,0),0),(_xlfn.IFNA(VLOOKUP($A14&amp;$E14&amp;$I14,PMsheet!$J:$K,2,0),0)*'Master Data-C19RM'!$F$2))</f>
        <v>0</v>
      </c>
      <c r="AL14" s="443"/>
      <c r="AM14" s="443"/>
      <c r="AN14" s="443"/>
      <c r="AO14" s="443"/>
      <c r="AP14" s="497">
        <f>SUM('C19RM 2021-Pharma'!$AL14:$AO14)</f>
        <v>0</v>
      </c>
      <c r="AQ14" s="498">
        <f>IF(SETUP!$E$7="USD",(AP14*(IF(O14="USD",AK14,(AK14/'Master Data-C19RM'!$F$2)))),(AP14*(IF(O14="EUR",AK14,(AK14*'Master Data-C19RM'!$F$2)))))</f>
        <v>0</v>
      </c>
      <c r="AR14" s="442">
        <f>IF($O14="USD",_xlfn.IFNA(VLOOKUP($A14&amp;$E14&amp;$I14,PMsheet!$J:$K,2,0),0),(_xlfn.IFNA(VLOOKUP($A14&amp;$E14&amp;$I14,PMsheet!$J:$K,2,0),0)*'Master Data-C19RM'!$G$2))</f>
        <v>0</v>
      </c>
      <c r="AS14" s="443"/>
      <c r="AT14" s="443"/>
      <c r="AU14" s="443"/>
      <c r="AV14" s="443"/>
      <c r="AW14" s="482">
        <f>SUM('C19RM 2021-Pharma'!$AS14:$AV14)</f>
        <v>0</v>
      </c>
      <c r="AX14" s="484">
        <f>IF(SETUP!$E$7="USD",(AW14*(IF(O14="USD",AR14,(AR14/'Master Data-C19RM'!$G$2)))),(AW14*(IF(O14="EUR",AR14,(AR14*'Master Data-C19RM'!$G$2)))))</f>
        <v>0</v>
      </c>
      <c r="AY14" s="882"/>
      <c r="AZ14" s="883"/>
      <c r="BA14" s="883"/>
      <c r="BB14" s="883"/>
      <c r="BC14" s="883"/>
      <c r="BD14" s="884"/>
      <c r="BE14" s="885"/>
      <c r="BF14" s="504">
        <f>'C19RM 2021-Pharma'!$U14+'C19RM 2021-Pharma'!$AB14+'C19RM 2021-Pharma'!$AP14+'C19RM 2021-Pharma'!$AI14+$AW14+$BD14</f>
        <v>0</v>
      </c>
      <c r="BG14" s="484">
        <f>'C19RM 2021-Pharma'!$V14+'C19RM 2021-Pharma'!$AC14+'C19RM 2021-Pharma'!$AQ14+'C19RM 2021-Pharma'!$AJ14+$AX14+$BE14</f>
        <v>0</v>
      </c>
      <c r="BH14" s="499" t="str" cm="1">
        <f t="array" ref="BH14">IF(A14&lt;&gt;"",IFERROR(INDEX(PMtbl[[WKst]:[Unit of measure*]],MATCH($A$8&amp;$A14&amp;$E14&amp;$I14,INDEX(PMtbl[Sec]&amp;PMtbl[Category]&amp;PMtbl[Each]&amp;PMtbl[Packaging],0,),0),11),""),"")</f>
        <v/>
      </c>
      <c r="BI14" s="818"/>
      <c r="BJ14" s="501" t="str">
        <f>IFERROR(INDEX(SETUP!$C$19:$G$121,MATCH((INDEX(PMtbl[[WKst]:[Unit of measure*]],MATCH($A14&amp;$E14&amp;$I14,INDEX(PMtbl[Category]&amp;PMtbl[Each]&amp;PMtbl[Packaging],0,),0),3)),SETUP!$D$19:$D$121,0),5),"")</f>
        <v/>
      </c>
      <c r="BK14" s="437"/>
      <c r="BL14" s="192"/>
      <c r="BO14" s="12">
        <f>IF(N14="",0,IF(SETUP!$E$7="USD",((IF(O14="USD",P14,(P14/'Master Data-C19RM'!$C$2)))),((IF(O14="EUR",P14,(P14*'Master Data-C19RM'!$C$2))))))</f>
        <v>0</v>
      </c>
      <c r="BP14" s="12">
        <f>IF(N14="",0,IF(SETUP!$E$7="USD",((IF(O14="USD",W14,(W14/'Master Data-C19RM'!$D$2)))),((IF(O14="EUR",W14,(W14*'Master Data-C19RM'!$D$2))))))</f>
        <v>0</v>
      </c>
      <c r="BQ14">
        <f>IF(N14="",0,IF(SETUP!$E$7="USD",((IF(O14="USD",AD14,(AD14/'Master Data-C19RM'!$E$2)))),((IF(O14="EUR",AD14,(AD14*'Master Data-C19RM'!$E$2))))))</f>
        <v>0</v>
      </c>
      <c r="BR14">
        <f>IF(N14="",0,IF(SETUP!$E$7="USD",((IF(O14="USD",AK14,(AK14/'Master Data-C19RM'!$F$2)))),((IF(O14="EUR",AK14,(AK14*'Master Data-C19RM'!$F$2))))))</f>
        <v>0</v>
      </c>
      <c r="BS14">
        <f>IF(N14="",0,IF(SETUP!$E$7="USD",((IF(O14="USD",AR14,(AR14/'Master Data-C19RM'!$F$2)))),((IF(O14="EUR",AR14,(AR14*'Master Data-C19RM'!$G$2))))))</f>
        <v>0</v>
      </c>
      <c r="BT14">
        <f>IF(N14="",0,IF(SETUP!$E$7="USD",((IF(O14="USD",AY14,(AY14/'Master Data-C19RM'!$F$2)))),((IF(O14="EUR",AY14,(AY14*'Master Data-C19RM'!$H$2))))))</f>
        <v>0</v>
      </c>
      <c r="BU14" s="12">
        <f t="shared" ref="BU14:BU62" si="1">IF(AND(L14="",(COUNTBLANK(A14:K14)=8)),1,0)</f>
        <v>0</v>
      </c>
      <c r="BV14" s="142">
        <f t="shared" ref="BV14:BV62" si="2">BF14</f>
        <v>0</v>
      </c>
    </row>
    <row r="15" spans="1:92" ht="14.9" customHeight="1" x14ac:dyDescent="0.35">
      <c r="A15" s="1165"/>
      <c r="B15" s="1165"/>
      <c r="C15" s="1165"/>
      <c r="D15" s="1165"/>
      <c r="E15" s="1166"/>
      <c r="F15" s="1166"/>
      <c r="G15" s="1166"/>
      <c r="H15" s="1166"/>
      <c r="I15" s="1166"/>
      <c r="J15" s="1166"/>
      <c r="K15" s="1166"/>
      <c r="L15" s="490" t="str" cm="1">
        <f t="array" ref="L15">IF(A15&lt;&gt;"",IFERROR(INDEX(PMtbl[[WKst]:[Unit of measure*]],MATCH($A$8&amp;$A15&amp;$E15&amp;$I15,INDEX(PMtbl[Sec]&amp;PMtbl[Category]&amp;PMtbl[Each]&amp;PMtbl[Packaging],0,),0),14),""),"")</f>
        <v/>
      </c>
      <c r="M15" s="479" t="str">
        <f>IF(L15="","",INDEX(SETUP!$E$20:$E$122,(MATCH(INDEX(PMsheet!$D:$E,MATCH(A15,PMsheet!E:E,0),1),SETUP!$D$20:$D$122,0))))</f>
        <v/>
      </c>
      <c r="N15" s="491">
        <f>IF($O15="USD",_xlfn.IFNA(VLOOKUP(A15&amp;E15&amp;I15,PMsheet!J:K,2,0),0),(_xlfn.IFNA(VLOOKUP(A15&amp;E15&amp;I15,PMsheet!J:K,2,0),0)*'Master Data-C19RM'!$C$2))</f>
        <v>0</v>
      </c>
      <c r="O15" s="492" t="str">
        <f>IF(L15="", "",SETUP!$E$7)</f>
        <v/>
      </c>
      <c r="P15" s="444">
        <f>IF($O15="USD",_xlfn.IFNA(VLOOKUP($A15&amp;$E15&amp;$I15,PMsheet!$J:$K,2,0),0),(_xlfn.IFNA(VLOOKUP($A15&amp;$E15&amp;$I15,PMsheet!$J:$K,2,0),0)*'Master Data-C19RM'!$C$2))</f>
        <v>0</v>
      </c>
      <c r="Q15" s="441"/>
      <c r="R15" s="441"/>
      <c r="S15" s="441"/>
      <c r="T15" s="441"/>
      <c r="U15" s="481">
        <f>SUM('C19RM 2021-Pharma'!$Q15:$T15)</f>
        <v>0</v>
      </c>
      <c r="V15" s="483">
        <f>IF(SETUP!$E$7="USD",(U15*(IF(O15="USD",P15,(P15/'Master Data-C19RM'!$C$2)))),(U15*(IF(O15="EUR",P15,(P15*'Master Data-C19RM'!$C$2)))))</f>
        <v>0</v>
      </c>
      <c r="W15" s="444">
        <v>0</v>
      </c>
      <c r="X15" s="441"/>
      <c r="Y15" s="441"/>
      <c r="Z15" s="441"/>
      <c r="AA15" s="441"/>
      <c r="AB15" s="481">
        <f>SUM('C19RM 2021-Pharma'!$X15:$AA15)</f>
        <v>0</v>
      </c>
      <c r="AC15" s="483">
        <f>IF(SETUP!$E$7="USD",(AB15*(IF(O15="USD",W15,(W15/'Master Data-C19RM'!$D$2)))),(AB15*(IF(O15="EUR",W15,(W15*'Master Data-C19RM'!$D$2)))))</f>
        <v>0</v>
      </c>
      <c r="AD15" s="444">
        <f>IF($O15="USD",_xlfn.IFNA(VLOOKUP($A15&amp;$E15&amp;$I15,PMsheet!$J:$K,2,0),0),(_xlfn.IFNA(VLOOKUP($A15&amp;$E15&amp;$I15,PMsheet!$J:$K,2,0),0)*'Master Data-C19RM'!$E$2))</f>
        <v>0</v>
      </c>
      <c r="AE15" s="441"/>
      <c r="AF15" s="441"/>
      <c r="AG15" s="441"/>
      <c r="AH15" s="441"/>
      <c r="AI15" s="481">
        <f>SUM('C19RM 2021-Pharma'!$AE15:$AH15)</f>
        <v>0</v>
      </c>
      <c r="AJ15" s="483">
        <f>IF(SETUP!$E$7="USD",(AI15*(IF(O15="USD",AD15,(AD15/'Master Data-C19RM'!$E$2)))),(AI15*(IF(O15="EUR",AD15,(AD15*'Master Data-C19RM'!$E$2)))))</f>
        <v>0</v>
      </c>
      <c r="AK15" s="444">
        <f>IF($O15="USD",_xlfn.IFNA(VLOOKUP($A15&amp;$E15&amp;$I15,PMsheet!$J:$K,2,0),0),(_xlfn.IFNA(VLOOKUP($A15&amp;$E15&amp;$I15,PMsheet!$J:$K,2,0),0)*'Master Data-C19RM'!$F$2))</f>
        <v>0</v>
      </c>
      <c r="AL15" s="441"/>
      <c r="AM15" s="441"/>
      <c r="AN15" s="441"/>
      <c r="AO15" s="441"/>
      <c r="AP15" s="481">
        <f>SUM('C19RM 2021-Pharma'!$AL15:$AO15)</f>
        <v>0</v>
      </c>
      <c r="AQ15" s="483">
        <f>IF(SETUP!$E$7="USD",(AP15*(IF(O15="USD",AK15,(AK15/'Master Data-C19RM'!$F$2)))),(AP15*(IF(O15="EUR",AK15,(AK15*'Master Data-C19RM'!$F$2)))))</f>
        <v>0</v>
      </c>
      <c r="AR15" s="444">
        <f>IF($O15="USD",_xlfn.IFNA(VLOOKUP($A15&amp;$E15&amp;$I15,PMsheet!$J:$K,2,0),0),(_xlfn.IFNA(VLOOKUP($A15&amp;$E15&amp;$I15,PMsheet!$J:$K,2,0),0)*'Master Data-C19RM'!$G$2))</f>
        <v>0</v>
      </c>
      <c r="AS15" s="441"/>
      <c r="AT15" s="441"/>
      <c r="AU15" s="441"/>
      <c r="AV15" s="441"/>
      <c r="AW15" s="481">
        <f>SUM('C19RM 2021-Pharma'!$AS15:$AV15)</f>
        <v>0</v>
      </c>
      <c r="AX15" s="483">
        <f>IF(SETUP!$E$7="USD",(AW15*(IF(O15="USD",AR15,(AR15/'Master Data-C19RM'!$G$2)))),(AW15*(IF(O15="EUR",AR15,(AR15*'Master Data-C19RM'!$G$2)))))</f>
        <v>0</v>
      </c>
      <c r="AY15" s="886"/>
      <c r="AZ15" s="887"/>
      <c r="BA15" s="887"/>
      <c r="BB15" s="887"/>
      <c r="BC15" s="887"/>
      <c r="BD15" s="887"/>
      <c r="BE15" s="888"/>
      <c r="BF15" s="505">
        <f>'C19RM 2021-Pharma'!$U15+'C19RM 2021-Pharma'!$AB15+'C19RM 2021-Pharma'!$AP15+'C19RM 2021-Pharma'!$AI15+$AW15+$BD15</f>
        <v>0</v>
      </c>
      <c r="BG15" s="483">
        <f>'C19RM 2021-Pharma'!$V15+'C19RM 2021-Pharma'!$AC15+'C19RM 2021-Pharma'!$AQ15+'C19RM 2021-Pharma'!$AJ15+$AX15+$BE15</f>
        <v>0</v>
      </c>
      <c r="BH15" s="500" t="str" cm="1">
        <f t="array" ref="BH15">IF(A15&lt;&gt;"",IFERROR(INDEX(PMtbl[[WKst]:[Unit of measure*]],MATCH($A$8&amp;$A15&amp;$E15&amp;$I15,INDEX(PMtbl[Sec]&amp;PMtbl[Category]&amp;PMtbl[Each]&amp;PMtbl[Packaging],0,),0),11),""),"")</f>
        <v/>
      </c>
      <c r="BI15" s="819"/>
      <c r="BJ15" s="502" t="str">
        <f>IFERROR(INDEX(SETUP!$C$19:$G$121,MATCH((INDEX(PMtbl[[WKst]:[Unit of measure*]],MATCH($A15&amp;$E15&amp;$I15,INDEX(PMtbl[Category]&amp;PMtbl[Each]&amp;PMtbl[Packaging],0,),0),3)),SETUP!$D$19:$D$121,0),5),"")</f>
        <v/>
      </c>
      <c r="BK15" s="438"/>
      <c r="BL15" s="193"/>
      <c r="BO15" s="12">
        <f>IF(N15="",0,IF(SETUP!$E$7="USD",((IF(O15="USD",P15,(P15/'Master Data-C19RM'!$C$2)))),((IF(O15="EUR",P15,(P15*'Master Data-C19RM'!$C$2))))))</f>
        <v>0</v>
      </c>
      <c r="BP15" s="12">
        <f>IF(N15="",0,IF(SETUP!$E$7="USD",((IF(O15="USD",W15,(W15/'Master Data-C19RM'!$D$2)))),((IF(O15="EUR",W15,(W15*'Master Data-C19RM'!$D$2))))))</f>
        <v>0</v>
      </c>
      <c r="BQ15">
        <f>IF(N15="",0,IF(SETUP!$E$7="USD",((IF(O15="USD",AD15,(AD15/'Master Data-C19RM'!$E$2)))),((IF(O15="EUR",AD15,(AD15*'Master Data-C19RM'!$E$2))))))</f>
        <v>0</v>
      </c>
      <c r="BR15">
        <f>IF(N15="",0,IF(SETUP!$E$7="USD",((IF(O15="USD",AK15,(AK15/'Master Data-C19RM'!$F$2)))),((IF(O15="EUR",AK15,(AK15*'Master Data-C19RM'!$F$2))))))</f>
        <v>0</v>
      </c>
      <c r="BS15">
        <f>IF(N15="",0,IF(SETUP!$E$7="USD",((IF(O15="USD",AR15,(AR15/'Master Data-C19RM'!$F$2)))),((IF(O15="EUR",AR15,(AR15*'Master Data-C19RM'!$G$2))))))</f>
        <v>0</v>
      </c>
      <c r="BT15">
        <f>IF(N15="",0,IF(SETUP!$E$7="USD",((IF(O15="USD",AY15,(AY15/'Master Data-C19RM'!$F$2)))),((IF(O15="EUR",AY15,(AY15*'Master Data-C19RM'!$H$2))))))</f>
        <v>0</v>
      </c>
      <c r="BU15" s="12">
        <f t="shared" si="1"/>
        <v>0</v>
      </c>
      <c r="BV15" s="142">
        <f t="shared" si="2"/>
        <v>0</v>
      </c>
    </row>
    <row r="16" spans="1:92" ht="14.9" customHeight="1" x14ac:dyDescent="0.35">
      <c r="A16" s="1172"/>
      <c r="B16" s="1172"/>
      <c r="C16" s="1172"/>
      <c r="D16" s="1172"/>
      <c r="E16" s="1172"/>
      <c r="F16" s="1172"/>
      <c r="G16" s="1172"/>
      <c r="H16" s="1172"/>
      <c r="I16" s="1173"/>
      <c r="J16" s="1173"/>
      <c r="K16" s="1173"/>
      <c r="L16" s="493" t="str" cm="1">
        <f t="array" ref="L16">IF(A16&lt;&gt;"",IFERROR(INDEX(PMtbl[[WKst]:[Unit of measure*]],MATCH($A$8&amp;$A16&amp;$E16&amp;$I16,INDEX(PMtbl[Sec]&amp;PMtbl[Category]&amp;PMtbl[Each]&amp;PMtbl[Packaging],0,),0),14),""),"")</f>
        <v/>
      </c>
      <c r="M16" s="480" t="str">
        <f>IF(L16="","",INDEX(SETUP!$E$20:$E$122,(MATCH(INDEX(PMsheet!$D:$E,MATCH(A16,PMsheet!E:E,0),1),SETUP!$D$20:$D$122,0))))</f>
        <v/>
      </c>
      <c r="N16" s="494">
        <f>IF($O16="USD",_xlfn.IFNA(VLOOKUP(A16&amp;E16&amp;I16,PMsheet!J:K,2,0),0),(_xlfn.IFNA(VLOOKUP(A16&amp;E16&amp;I16,PMsheet!J:K,2,0),0)*'Master Data-C19RM'!$C$2))</f>
        <v>0</v>
      </c>
      <c r="O16" s="495" t="str">
        <f>IF(L16="", "",SETUP!$E$7)</f>
        <v/>
      </c>
      <c r="P16" s="445">
        <f>IF($O16="USD",_xlfn.IFNA(VLOOKUP($A16&amp;$E16&amp;$I16,PMsheet!$J:$K,2,0),0),(_xlfn.IFNA(VLOOKUP($A16&amp;$E16&amp;$I16,PMsheet!$J:$K,2,0),0)*'Master Data-C19RM'!$C$2))</f>
        <v>0</v>
      </c>
      <c r="Q16" s="440"/>
      <c r="R16" s="440"/>
      <c r="S16" s="440"/>
      <c r="T16" s="440"/>
      <c r="U16" s="482">
        <f>SUM('C19RM 2021-Pharma'!$Q16:$T16)</f>
        <v>0</v>
      </c>
      <c r="V16" s="484">
        <f>IF(SETUP!$E$7="USD",(U16*(IF(O16="USD",P16,(P16/'Master Data-C19RM'!$C$2)))),(U16*(IF(O16="EUR",P16,(P16*'Master Data-C19RM'!$C$2)))))</f>
        <v>0</v>
      </c>
      <c r="W16" s="445">
        <v>0</v>
      </c>
      <c r="X16" s="440"/>
      <c r="Y16" s="440"/>
      <c r="Z16" s="440"/>
      <c r="AA16" s="440"/>
      <c r="AB16" s="482">
        <f>SUM('C19RM 2021-Pharma'!$X16:$AA16)</f>
        <v>0</v>
      </c>
      <c r="AC16" s="484">
        <f>IF(SETUP!$E$7="USD",(AB16*(IF(O16="USD",W16,(W16/'Master Data-C19RM'!$D$2)))),(AB16*(IF(O16="EUR",W16,(W16*'Master Data-C19RM'!$D$2)))))</f>
        <v>0</v>
      </c>
      <c r="AD16" s="445">
        <f>IF($O16="USD",_xlfn.IFNA(VLOOKUP($A16&amp;$E16&amp;$I16,PMsheet!$J:$K,2,0),0),(_xlfn.IFNA(VLOOKUP($A16&amp;$E16&amp;$I16,PMsheet!$J:$K,2,0),0)*'Master Data-C19RM'!$E$2))</f>
        <v>0</v>
      </c>
      <c r="AE16" s="440"/>
      <c r="AF16" s="440"/>
      <c r="AG16" s="440"/>
      <c r="AH16" s="440"/>
      <c r="AI16" s="482">
        <f>SUM('C19RM 2021-Pharma'!$AE16:$AH16)</f>
        <v>0</v>
      </c>
      <c r="AJ16" s="484">
        <f>IF(SETUP!$E$7="USD",(AI16*(IF(O16="USD",AD16,(AD16/'Master Data-C19RM'!$E$2)))),(AI16*(IF(O16="EUR",AD16,(AD16*'Master Data-C19RM'!$E$2)))))</f>
        <v>0</v>
      </c>
      <c r="AK16" s="445">
        <f>IF($O16="USD",_xlfn.IFNA(VLOOKUP($A16&amp;$E16&amp;$I16,PMsheet!$J:$K,2,0),0),(_xlfn.IFNA(VLOOKUP($A16&amp;$E16&amp;$I16,PMsheet!$J:$K,2,0),0)*'Master Data-C19RM'!$F$2))</f>
        <v>0</v>
      </c>
      <c r="AL16" s="440"/>
      <c r="AM16" s="440"/>
      <c r="AN16" s="440"/>
      <c r="AO16" s="440"/>
      <c r="AP16" s="482">
        <f>SUM('C19RM 2021-Pharma'!$AL16:$AO16)</f>
        <v>0</v>
      </c>
      <c r="AQ16" s="484">
        <f>IF(SETUP!$E$7="USD",(AP16*(IF(O16="USD",AK16,(AK16/'Master Data-C19RM'!$F$2)))),(AP16*(IF(O16="EUR",AK16,(AK16*'Master Data-C19RM'!$F$2)))))</f>
        <v>0</v>
      </c>
      <c r="AR16" s="445">
        <f>IF($O16="USD",_xlfn.IFNA(VLOOKUP($A16&amp;$E16&amp;$I16,PMsheet!$J:$K,2,0),0),(_xlfn.IFNA(VLOOKUP($A16&amp;$E16&amp;$I16,PMsheet!$J:$K,2,0),0)*'Master Data-C19RM'!$G$2))</f>
        <v>0</v>
      </c>
      <c r="AS16" s="440"/>
      <c r="AT16" s="440"/>
      <c r="AU16" s="440"/>
      <c r="AV16" s="440"/>
      <c r="AW16" s="482">
        <f>SUM('C19RM 2021-Pharma'!$AS16:$AV16)</f>
        <v>0</v>
      </c>
      <c r="AX16" s="484">
        <f>IF(SETUP!$E$7="USD",(AW16*(IF(O16="USD",AR16,(AR16/'Master Data-C19RM'!$G$2)))),(AW16*(IF(O16="EUR",AR16,(AR16*'Master Data-C19RM'!$G$2)))))</f>
        <v>0</v>
      </c>
      <c r="AY16" s="889"/>
      <c r="AZ16" s="884"/>
      <c r="BA16" s="884"/>
      <c r="BB16" s="884"/>
      <c r="BC16" s="884"/>
      <c r="BD16" s="884"/>
      <c r="BE16" s="885"/>
      <c r="BF16" s="504">
        <f>'C19RM 2021-Pharma'!$U16+'C19RM 2021-Pharma'!$AB16+'C19RM 2021-Pharma'!$AP16+'C19RM 2021-Pharma'!$AI16+$AW16+$BD16</f>
        <v>0</v>
      </c>
      <c r="BG16" s="484">
        <f>'C19RM 2021-Pharma'!$V16+'C19RM 2021-Pharma'!$AC16+'C19RM 2021-Pharma'!$AQ16+'C19RM 2021-Pharma'!$AJ16+$AX16+$BE16</f>
        <v>0</v>
      </c>
      <c r="BH16" s="499" t="str" cm="1">
        <f t="array" ref="BH16">IF(A16&lt;&gt;"",IFERROR(INDEX(PMtbl[[WKst]:[Unit of measure*]],MATCH($A$8&amp;$A16&amp;$E16&amp;$I16,INDEX(PMtbl[Sec]&amp;PMtbl[Category]&amp;PMtbl[Each]&amp;PMtbl[Packaging],0,),0),11),""),"")</f>
        <v/>
      </c>
      <c r="BI16" s="818"/>
      <c r="BJ16" s="503" t="str">
        <f>IFERROR(INDEX(SETUP!$C$19:$G$121,MATCH((INDEX(PMtbl[[WKst]:[Unit of measure*]],MATCH($A16&amp;$E16&amp;$I16,INDEX(PMtbl[Category]&amp;PMtbl[Each]&amp;PMtbl[Packaging],0,),0),3)),SETUP!$D$19:$D$121,0),5),"")</f>
        <v/>
      </c>
      <c r="BK16" s="439"/>
      <c r="BL16" s="194"/>
      <c r="BO16" s="12">
        <f>IF(N16="",0,IF(SETUP!$E$7="USD",((IF(O16="USD",P16,(P16/'Master Data-C19RM'!$C$2)))),((IF(O16="EUR",P16,(P16*'Master Data-C19RM'!$C$2))))))</f>
        <v>0</v>
      </c>
      <c r="BP16" s="12">
        <f>IF(N16="",0,IF(SETUP!$E$7="USD",((IF(O16="USD",W16,(W16/'Master Data-C19RM'!$D$2)))),((IF(O16="EUR",W16,(W16*'Master Data-C19RM'!$D$2))))))</f>
        <v>0</v>
      </c>
      <c r="BQ16">
        <f>IF(N16="",0,IF(SETUP!$E$7="USD",((IF(O16="USD",AD16,(AD16/'Master Data-C19RM'!$E$2)))),((IF(O16="EUR",AD16,(AD16*'Master Data-C19RM'!$E$2))))))</f>
        <v>0</v>
      </c>
      <c r="BR16">
        <f>IF(N16="",0,IF(SETUP!$E$7="USD",((IF(O16="USD",AK16,(AK16/'Master Data-C19RM'!$F$2)))),((IF(O16="EUR",AK16,(AK16*'Master Data-C19RM'!$F$2))))))</f>
        <v>0</v>
      </c>
      <c r="BS16">
        <f>IF(N16="",0,IF(SETUP!$E$7="USD",((IF(O16="USD",AR16,(AR16/'Master Data-C19RM'!$F$2)))),((IF(O16="EUR",AR16,(AR16*'Master Data-C19RM'!$G$2))))))</f>
        <v>0</v>
      </c>
      <c r="BT16">
        <f>IF(N16="",0,IF(SETUP!$E$7="USD",((IF(O16="USD",AY16,(AY16/'Master Data-C19RM'!$F$2)))),((IF(O16="EUR",AY16,(AY16*'Master Data-C19RM'!$H$2))))))</f>
        <v>0</v>
      </c>
      <c r="BU16" s="12">
        <f t="shared" si="1"/>
        <v>0</v>
      </c>
      <c r="BV16" s="142">
        <f t="shared" si="2"/>
        <v>0</v>
      </c>
    </row>
    <row r="17" spans="1:74" ht="14.9" customHeight="1" x14ac:dyDescent="0.35">
      <c r="A17" s="1165"/>
      <c r="B17" s="1165"/>
      <c r="C17" s="1165"/>
      <c r="D17" s="1165"/>
      <c r="E17" s="1166"/>
      <c r="F17" s="1166"/>
      <c r="G17" s="1166"/>
      <c r="H17" s="1166"/>
      <c r="I17" s="1166"/>
      <c r="J17" s="1166"/>
      <c r="K17" s="1166"/>
      <c r="L17" s="490" t="str" cm="1">
        <f t="array" ref="L17">IF(A17&lt;&gt;"",IFERROR(INDEX(PMtbl[[WKst]:[Unit of measure*]],MATCH($A$8&amp;$A17&amp;$E17&amp;$I17,INDEX(PMtbl[Sec]&amp;PMtbl[Category]&amp;PMtbl[Each]&amp;PMtbl[Packaging],0,),0),14),""),"")</f>
        <v/>
      </c>
      <c r="M17" s="479" t="str">
        <f>IF(L17="","",INDEX(SETUP!$E$20:$E$122,(MATCH(INDEX(PMsheet!$D:$E,MATCH(A17,PMsheet!E:E,0),1),SETUP!$D$20:$D$122,0))))</f>
        <v/>
      </c>
      <c r="N17" s="491">
        <f>IF($O17="USD",_xlfn.IFNA(VLOOKUP(A17&amp;E17&amp;I17,PMsheet!J:K,2,0),0),(_xlfn.IFNA(VLOOKUP(A17&amp;E17&amp;I17,PMsheet!J:K,2,0),0)*'Master Data-C19RM'!$C$2))</f>
        <v>0</v>
      </c>
      <c r="O17" s="492" t="str">
        <f>IF(L17="", "",SETUP!$E$7)</f>
        <v/>
      </c>
      <c r="P17" s="444">
        <f>IF($O17="USD",_xlfn.IFNA(VLOOKUP($A17&amp;$E17&amp;$I17,PMsheet!$J:$K,2,0),0),(_xlfn.IFNA(VLOOKUP($A17&amp;$E17&amp;$I17,PMsheet!$J:$K,2,0),0)*'Master Data-C19RM'!$C$2))</f>
        <v>0</v>
      </c>
      <c r="Q17" s="441"/>
      <c r="R17" s="441"/>
      <c r="S17" s="441"/>
      <c r="T17" s="441"/>
      <c r="U17" s="481">
        <f>SUM('C19RM 2021-Pharma'!$Q17:$T17)</f>
        <v>0</v>
      </c>
      <c r="V17" s="483">
        <f>IF(SETUP!$E$7="USD",(U17*(IF(O17="USD",P17,(P17/'Master Data-C19RM'!$C$2)))),(U17*(IF(O17="EUR",P17,(P17*'Master Data-C19RM'!$C$2)))))</f>
        <v>0</v>
      </c>
      <c r="W17" s="444">
        <v>0</v>
      </c>
      <c r="X17" s="441"/>
      <c r="Y17" s="441"/>
      <c r="Z17" s="441"/>
      <c r="AA17" s="441"/>
      <c r="AB17" s="481">
        <f>SUM('C19RM 2021-Pharma'!$X17:$AA17)</f>
        <v>0</v>
      </c>
      <c r="AC17" s="483">
        <f>IF(SETUP!$E$7="USD",(AB17*(IF(O17="USD",W17,(W17/'Master Data-C19RM'!$D$2)))),(AB17*(IF(O17="EUR",W17,(W17*'Master Data-C19RM'!$D$2)))))</f>
        <v>0</v>
      </c>
      <c r="AD17" s="444">
        <f>IF($O17="USD",_xlfn.IFNA(VLOOKUP($A17&amp;$E17&amp;$I17,PMsheet!$J:$K,2,0),0),(_xlfn.IFNA(VLOOKUP($A17&amp;$E17&amp;$I17,PMsheet!$J:$K,2,0),0)*'Master Data-C19RM'!$E$2))</f>
        <v>0</v>
      </c>
      <c r="AE17" s="441"/>
      <c r="AF17" s="441"/>
      <c r="AG17" s="441"/>
      <c r="AH17" s="441"/>
      <c r="AI17" s="481">
        <f>SUM('C19RM 2021-Pharma'!$AE17:$AH17)</f>
        <v>0</v>
      </c>
      <c r="AJ17" s="483">
        <f>IF(SETUP!$E$7="USD",(AI17*(IF(O17="USD",AD17,(AD17/'Master Data-C19RM'!$E$2)))),(AI17*(IF(O17="EUR",AD17,(AD17*'Master Data-C19RM'!$E$2)))))</f>
        <v>0</v>
      </c>
      <c r="AK17" s="444">
        <f>IF($O17="USD",_xlfn.IFNA(VLOOKUP($A17&amp;$E17&amp;$I17,PMsheet!$J:$K,2,0),0),(_xlfn.IFNA(VLOOKUP($A17&amp;$E17&amp;$I17,PMsheet!$J:$K,2,0),0)*'Master Data-C19RM'!$F$2))</f>
        <v>0</v>
      </c>
      <c r="AL17" s="441"/>
      <c r="AM17" s="441"/>
      <c r="AN17" s="441"/>
      <c r="AO17" s="441"/>
      <c r="AP17" s="481">
        <f>SUM('C19RM 2021-Pharma'!$AL17:$AO17)</f>
        <v>0</v>
      </c>
      <c r="AQ17" s="483">
        <f>IF(SETUP!$E$7="USD",(AP17*(IF(O17="USD",AK17,(AK17/'Master Data-C19RM'!$F$2)))),(AP17*(IF(O17="EUR",AK17,(AK17*'Master Data-C19RM'!$F$2)))))</f>
        <v>0</v>
      </c>
      <c r="AR17" s="444">
        <f>IF($O17="USD",_xlfn.IFNA(VLOOKUP($A17&amp;$E17&amp;$I17,PMsheet!$J:$K,2,0),0),(_xlfn.IFNA(VLOOKUP($A17&amp;$E17&amp;$I17,PMsheet!$J:$K,2,0),0)*'Master Data-C19RM'!$G$2))</f>
        <v>0</v>
      </c>
      <c r="AS17" s="441"/>
      <c r="AT17" s="441"/>
      <c r="AU17" s="441"/>
      <c r="AV17" s="441"/>
      <c r="AW17" s="481">
        <f>SUM('C19RM 2021-Pharma'!$AS17:$AV17)</f>
        <v>0</v>
      </c>
      <c r="AX17" s="483">
        <f>IF(SETUP!$E$7="USD",(AW17*(IF(O17="USD",AR17,(AR17/'Master Data-C19RM'!$G$2)))),(AW17*(IF(O17="EUR",AR17,(AR17*'Master Data-C19RM'!$G$2)))))</f>
        <v>0</v>
      </c>
      <c r="AY17" s="886"/>
      <c r="AZ17" s="887"/>
      <c r="BA17" s="887"/>
      <c r="BB17" s="887"/>
      <c r="BC17" s="887"/>
      <c r="BD17" s="887"/>
      <c r="BE17" s="888"/>
      <c r="BF17" s="505">
        <f>'C19RM 2021-Pharma'!$U17+'C19RM 2021-Pharma'!$AB17+'C19RM 2021-Pharma'!$AP17+'C19RM 2021-Pharma'!$AI17+$AW17+$BD17</f>
        <v>0</v>
      </c>
      <c r="BG17" s="483">
        <f>'C19RM 2021-Pharma'!$V17+'C19RM 2021-Pharma'!$AC17+'C19RM 2021-Pharma'!$AQ17+'C19RM 2021-Pharma'!$AJ17+$AX17+$BE17</f>
        <v>0</v>
      </c>
      <c r="BH17" s="500" t="str" cm="1">
        <f t="array" ref="BH17">IF(A17&lt;&gt;"",IFERROR(INDEX(PMtbl[[WKst]:[Unit of measure*]],MATCH($A$8&amp;$A17&amp;$E17&amp;$I17,INDEX(PMtbl[Sec]&amp;PMtbl[Category]&amp;PMtbl[Each]&amp;PMtbl[Packaging],0,),0),11),""),"")</f>
        <v/>
      </c>
      <c r="BI17" s="819"/>
      <c r="BJ17" s="502" t="str">
        <f>IFERROR(INDEX(SETUP!$C$19:$G$121,MATCH((INDEX(PMtbl[[WKst]:[Unit of measure*]],MATCH($A17&amp;$E17&amp;$I17,INDEX(PMtbl[Category]&amp;PMtbl[Each]&amp;PMtbl[Packaging],0,),0),3)),SETUP!$D$19:$D$121,0),5),"")</f>
        <v/>
      </c>
      <c r="BK17" s="438"/>
      <c r="BL17" s="193"/>
      <c r="BO17" s="12">
        <f>IF(N17="",0,IF(SETUP!$E$7="USD",((IF(O17="USD",P17,(P17/'Master Data-C19RM'!$C$2)))),((IF(O17="EUR",P17,(P17*'Master Data-C19RM'!$C$2))))))</f>
        <v>0</v>
      </c>
      <c r="BP17" s="12">
        <f>IF(N17="",0,IF(SETUP!$E$7="USD",((IF(O17="USD",W17,(W17/'Master Data-C19RM'!$D$2)))),((IF(O17="EUR",W17,(W17*'Master Data-C19RM'!$D$2))))))</f>
        <v>0</v>
      </c>
      <c r="BQ17">
        <f>IF(N17="",0,IF(SETUP!$E$7="USD",((IF(O17="USD",AD17,(AD17/'Master Data-C19RM'!$E$2)))),((IF(O17="EUR",AD17,(AD17*'Master Data-C19RM'!$E$2))))))</f>
        <v>0</v>
      </c>
      <c r="BR17">
        <f>IF(N17="",0,IF(SETUP!$E$7="USD",((IF(O17="USD",AK17,(AK17/'Master Data-C19RM'!$F$2)))),((IF(O17="EUR",AK17,(AK17*'Master Data-C19RM'!$F$2))))))</f>
        <v>0</v>
      </c>
      <c r="BS17">
        <f>IF(N17="",0,IF(SETUP!$E$7="USD",((IF(O17="USD",AR17,(AR17/'Master Data-C19RM'!$F$2)))),((IF(O17="EUR",AR17,(AR17*'Master Data-C19RM'!$G$2))))))</f>
        <v>0</v>
      </c>
      <c r="BT17">
        <f>IF(N17="",0,IF(SETUP!$E$7="USD",((IF(O17="USD",AY17,(AY17/'Master Data-C19RM'!$F$2)))),((IF(O17="EUR",AY17,(AY17*'Master Data-C19RM'!$H$2))))))</f>
        <v>0</v>
      </c>
      <c r="BU17" s="12">
        <f t="shared" si="1"/>
        <v>0</v>
      </c>
      <c r="BV17" s="142">
        <f t="shared" si="2"/>
        <v>0</v>
      </c>
    </row>
    <row r="18" spans="1:74" ht="14.9" customHeight="1" x14ac:dyDescent="0.35">
      <c r="A18" s="1172"/>
      <c r="B18" s="1172"/>
      <c r="C18" s="1172"/>
      <c r="D18" s="1172"/>
      <c r="E18" s="1172"/>
      <c r="F18" s="1172"/>
      <c r="G18" s="1172"/>
      <c r="H18" s="1172"/>
      <c r="I18" s="1173"/>
      <c r="J18" s="1173"/>
      <c r="K18" s="1173"/>
      <c r="L18" s="493" t="str" cm="1">
        <f t="array" ref="L18">IF(A18&lt;&gt;"",IFERROR(INDEX(PMtbl[[WKst]:[Unit of measure*]],MATCH($A$8&amp;$A18&amp;$E18&amp;$I18,INDEX(PMtbl[Sec]&amp;PMtbl[Category]&amp;PMtbl[Each]&amp;PMtbl[Packaging],0,),0),14),""),"")</f>
        <v/>
      </c>
      <c r="M18" s="480" t="str">
        <f>IF(L18="","",INDEX(SETUP!$E$20:$E$122,(MATCH(INDEX(PMsheet!$D:$E,MATCH(A18,PMsheet!E:E,0),1),SETUP!$D$20:$D$122,0))))</f>
        <v/>
      </c>
      <c r="N18" s="494">
        <f>IF($O18="USD",_xlfn.IFNA(VLOOKUP(A18&amp;E18&amp;I18,PMsheet!J:K,2,0),0),(_xlfn.IFNA(VLOOKUP(A18&amp;E18&amp;I18,PMsheet!J:K,2,0),0)*'Master Data-C19RM'!$C$2))</f>
        <v>0</v>
      </c>
      <c r="O18" s="495" t="str">
        <f>IF(L18="", "",SETUP!$E$7)</f>
        <v/>
      </c>
      <c r="P18" s="445">
        <f>IF($O18="USD",_xlfn.IFNA(VLOOKUP($A18&amp;$E18&amp;$I18,PMsheet!$J:$K,2,0),0),(_xlfn.IFNA(VLOOKUP($A18&amp;$E18&amp;$I18,PMsheet!$J:$K,2,0),0)*'Master Data-C19RM'!$C$2))</f>
        <v>0</v>
      </c>
      <c r="Q18" s="440"/>
      <c r="R18" s="440"/>
      <c r="S18" s="440"/>
      <c r="T18" s="440"/>
      <c r="U18" s="482">
        <f>SUM('C19RM 2021-Pharma'!$Q18:$T18)</f>
        <v>0</v>
      </c>
      <c r="V18" s="484">
        <f>IF(SETUP!$E$7="USD",(U18*(IF(O18="USD",P18,(P18/'Master Data-C19RM'!$C$2)))),(U18*(IF(O18="EUR",P18,(P18*'Master Data-C19RM'!$C$2)))))</f>
        <v>0</v>
      </c>
      <c r="W18" s="445">
        <v>0</v>
      </c>
      <c r="X18" s="440"/>
      <c r="Y18" s="440"/>
      <c r="Z18" s="440"/>
      <c r="AA18" s="440"/>
      <c r="AB18" s="482">
        <f>SUM('C19RM 2021-Pharma'!$X18:$AA18)</f>
        <v>0</v>
      </c>
      <c r="AC18" s="484">
        <f>IF(SETUP!$E$7="USD",(AB18*(IF(O18="USD",W18,(W18/'Master Data-C19RM'!$D$2)))),(AB18*(IF(O18="EUR",W18,(W18*'Master Data-C19RM'!$D$2)))))</f>
        <v>0</v>
      </c>
      <c r="AD18" s="445">
        <f>IF($O18="USD",_xlfn.IFNA(VLOOKUP($A18&amp;$E18&amp;$I18,PMsheet!$J:$K,2,0),0),(_xlfn.IFNA(VLOOKUP($A18&amp;$E18&amp;$I18,PMsheet!$J:$K,2,0),0)*'Master Data-C19RM'!$E$2))</f>
        <v>0</v>
      </c>
      <c r="AE18" s="440"/>
      <c r="AF18" s="440"/>
      <c r="AG18" s="440"/>
      <c r="AH18" s="440"/>
      <c r="AI18" s="482">
        <f>SUM('C19RM 2021-Pharma'!$AE18:$AH18)</f>
        <v>0</v>
      </c>
      <c r="AJ18" s="484">
        <f>IF(SETUP!$E$7="USD",(AI18*(IF(O18="USD",AD18,(AD18/'Master Data-C19RM'!$E$2)))),(AI18*(IF(O18="EUR",AD18,(AD18*'Master Data-C19RM'!$E$2)))))</f>
        <v>0</v>
      </c>
      <c r="AK18" s="445">
        <f>IF($O18="USD",_xlfn.IFNA(VLOOKUP($A18&amp;$E18&amp;$I18,PMsheet!$J:$K,2,0),0),(_xlfn.IFNA(VLOOKUP($A18&amp;$E18&amp;$I18,PMsheet!$J:$K,2,0),0)*'Master Data-C19RM'!$F$2))</f>
        <v>0</v>
      </c>
      <c r="AL18" s="440"/>
      <c r="AM18" s="440"/>
      <c r="AN18" s="440"/>
      <c r="AO18" s="440"/>
      <c r="AP18" s="482">
        <f>SUM('C19RM 2021-Pharma'!$AL18:$AO18)</f>
        <v>0</v>
      </c>
      <c r="AQ18" s="484">
        <f>IF(SETUP!$E$7="USD",(AP18*(IF(O18="USD",AK18,(AK18/'Master Data-C19RM'!$F$2)))),(AP18*(IF(O18="EUR",AK18,(AK18*'Master Data-C19RM'!$F$2)))))</f>
        <v>0</v>
      </c>
      <c r="AR18" s="445">
        <f>IF($O18="USD",_xlfn.IFNA(VLOOKUP($A18&amp;$E18&amp;$I18,PMsheet!$J:$K,2,0),0),(_xlfn.IFNA(VLOOKUP($A18&amp;$E18&amp;$I18,PMsheet!$J:$K,2,0),0)*'Master Data-C19RM'!$G$2))</f>
        <v>0</v>
      </c>
      <c r="AS18" s="440"/>
      <c r="AT18" s="440"/>
      <c r="AU18" s="440"/>
      <c r="AV18" s="440"/>
      <c r="AW18" s="482">
        <f>SUM('C19RM 2021-Pharma'!$AS18:$AV18)</f>
        <v>0</v>
      </c>
      <c r="AX18" s="484">
        <f>IF(SETUP!$E$7="USD",(AW18*(IF(O18="USD",AR18,(AR18/'Master Data-C19RM'!$G$2)))),(AW18*(IF(O18="EUR",AR18,(AR18*'Master Data-C19RM'!$G$2)))))</f>
        <v>0</v>
      </c>
      <c r="AY18" s="889"/>
      <c r="AZ18" s="884"/>
      <c r="BA18" s="884"/>
      <c r="BB18" s="884"/>
      <c r="BC18" s="884"/>
      <c r="BD18" s="884"/>
      <c r="BE18" s="885"/>
      <c r="BF18" s="504">
        <f>'C19RM 2021-Pharma'!$U18+'C19RM 2021-Pharma'!$AB18+'C19RM 2021-Pharma'!$AP18+'C19RM 2021-Pharma'!$AI18+$AW18+$BD18</f>
        <v>0</v>
      </c>
      <c r="BG18" s="484">
        <f>'C19RM 2021-Pharma'!$V18+'C19RM 2021-Pharma'!$AC18+'C19RM 2021-Pharma'!$AQ18+'C19RM 2021-Pharma'!$AJ18+$AX18+$BE18</f>
        <v>0</v>
      </c>
      <c r="BH18" s="499" t="str" cm="1">
        <f t="array" ref="BH18">IF(A18&lt;&gt;"",IFERROR(INDEX(PMtbl[[WKst]:[Unit of measure*]],MATCH($A$8&amp;$A18&amp;$E18&amp;$I18,INDEX(PMtbl[Sec]&amp;PMtbl[Category]&amp;PMtbl[Each]&amp;PMtbl[Packaging],0,),0),11),""),"")</f>
        <v/>
      </c>
      <c r="BI18" s="818"/>
      <c r="BJ18" s="503" t="str">
        <f>IFERROR(INDEX(SETUP!$C$19:$G$121,MATCH((INDEX(PMtbl[[WKst]:[Unit of measure*]],MATCH($A18&amp;$E18&amp;$I18,INDEX(PMtbl[Category]&amp;PMtbl[Each]&amp;PMtbl[Packaging],0,),0),3)),SETUP!$D$19:$D$121,0),5),"")</f>
        <v/>
      </c>
      <c r="BK18" s="439"/>
      <c r="BL18" s="194"/>
      <c r="BO18" s="12">
        <f>IF(N18="",0,IF(SETUP!$E$7="USD",((IF(O18="USD",P18,(P18/'Master Data-C19RM'!$C$2)))),((IF(O18="EUR",P18,(P18*'Master Data-C19RM'!$C$2))))))</f>
        <v>0</v>
      </c>
      <c r="BP18" s="12">
        <f>IF(N18="",0,IF(SETUP!$E$7="USD",((IF(O18="USD",W18,(W18/'Master Data-C19RM'!$D$2)))),((IF(O18="EUR",W18,(W18*'Master Data-C19RM'!$D$2))))))</f>
        <v>0</v>
      </c>
      <c r="BQ18">
        <f>IF(N18="",0,IF(SETUP!$E$7="USD",((IF(O18="USD",AD18,(AD18/'Master Data-C19RM'!$E$2)))),((IF(O18="EUR",AD18,(AD18*'Master Data-C19RM'!$E$2))))))</f>
        <v>0</v>
      </c>
      <c r="BR18">
        <f>IF(N18="",0,IF(SETUP!$E$7="USD",((IF(O18="USD",AK18,(AK18/'Master Data-C19RM'!$F$2)))),((IF(O18="EUR",AK18,(AK18*'Master Data-C19RM'!$F$2))))))</f>
        <v>0</v>
      </c>
      <c r="BS18">
        <f>IF(N18="",0,IF(SETUP!$E$7="USD",((IF(O18="USD",AR18,(AR18/'Master Data-C19RM'!$F$2)))),((IF(O18="EUR",AR18,(AR18*'Master Data-C19RM'!$G$2))))))</f>
        <v>0</v>
      </c>
      <c r="BT18">
        <f>IF(N18="",0,IF(SETUP!$E$7="USD",((IF(O18="USD",AY18,(AY18/'Master Data-C19RM'!$F$2)))),((IF(O18="EUR",AY18,(AY18*'Master Data-C19RM'!$H$2))))))</f>
        <v>0</v>
      </c>
      <c r="BU18" s="12">
        <f t="shared" si="1"/>
        <v>0</v>
      </c>
      <c r="BV18" s="142">
        <f t="shared" si="2"/>
        <v>0</v>
      </c>
    </row>
    <row r="19" spans="1:74" ht="14.9" customHeight="1" x14ac:dyDescent="0.35">
      <c r="A19" s="1165"/>
      <c r="B19" s="1165"/>
      <c r="C19" s="1165"/>
      <c r="D19" s="1165"/>
      <c r="E19" s="1166"/>
      <c r="F19" s="1166"/>
      <c r="G19" s="1166"/>
      <c r="H19" s="1166"/>
      <c r="I19" s="1166"/>
      <c r="J19" s="1166"/>
      <c r="K19" s="1166"/>
      <c r="L19" s="490" t="str" cm="1">
        <f t="array" ref="L19">IF(A19&lt;&gt;"",IFERROR(INDEX(PMtbl[[WKst]:[Unit of measure*]],MATCH($A$8&amp;$A19&amp;$E19&amp;$I19,INDEX(PMtbl[Sec]&amp;PMtbl[Category]&amp;PMtbl[Each]&amp;PMtbl[Packaging],0,),0),14),""),"")</f>
        <v/>
      </c>
      <c r="M19" s="479" t="str">
        <f>IF(L19="","",INDEX(SETUP!$E$20:$E$122,(MATCH(INDEX(PMsheet!$D:$E,MATCH(A19,PMsheet!E:E,0),1),SETUP!$D$20:$D$122,0))))</f>
        <v/>
      </c>
      <c r="N19" s="491">
        <f>IF($O19="USD",_xlfn.IFNA(VLOOKUP(A19&amp;E19&amp;I19,PMsheet!J:K,2,0),0),(_xlfn.IFNA(VLOOKUP(A19&amp;E19&amp;I19,PMsheet!J:K,2,0),0)*'Master Data-C19RM'!$C$2))</f>
        <v>0</v>
      </c>
      <c r="O19" s="492" t="str">
        <f>IF(L19="", "",SETUP!$E$7)</f>
        <v/>
      </c>
      <c r="P19" s="444">
        <f>IF($O19="USD",_xlfn.IFNA(VLOOKUP($A19&amp;$E19&amp;$I19,PMsheet!$J:$K,2,0),0),(_xlfn.IFNA(VLOOKUP($A19&amp;$E19&amp;$I19,PMsheet!$J:$K,2,0),0)*'Master Data-C19RM'!$C$2))</f>
        <v>0</v>
      </c>
      <c r="Q19" s="441"/>
      <c r="R19" s="441"/>
      <c r="S19" s="441"/>
      <c r="T19" s="441"/>
      <c r="U19" s="481">
        <f>SUM('C19RM 2021-Pharma'!$Q19:$T19)</f>
        <v>0</v>
      </c>
      <c r="V19" s="483">
        <f>IF(SETUP!$E$7="USD",(U19*(IF(O19="USD",P19,(P19/'Master Data-C19RM'!$C$2)))),(U19*(IF(O19="EUR",P19,(P19*'Master Data-C19RM'!$C$2)))))</f>
        <v>0</v>
      </c>
      <c r="W19" s="444">
        <v>0</v>
      </c>
      <c r="X19" s="441"/>
      <c r="Y19" s="441"/>
      <c r="Z19" s="441"/>
      <c r="AA19" s="441"/>
      <c r="AB19" s="481">
        <f>SUM('C19RM 2021-Pharma'!$X19:$AA19)</f>
        <v>0</v>
      </c>
      <c r="AC19" s="483">
        <f>IF(SETUP!$E$7="USD",(AB19*(IF(O19="USD",W19,(W19/'Master Data-C19RM'!$D$2)))),(AB19*(IF(O19="EUR",W19,(W19*'Master Data-C19RM'!$D$2)))))</f>
        <v>0</v>
      </c>
      <c r="AD19" s="444">
        <f>IF($O19="USD",_xlfn.IFNA(VLOOKUP($A19&amp;$E19&amp;$I19,PMsheet!$J:$K,2,0),0),(_xlfn.IFNA(VLOOKUP($A19&amp;$E19&amp;$I19,PMsheet!$J:$K,2,0),0)*'Master Data-C19RM'!$E$2))</f>
        <v>0</v>
      </c>
      <c r="AE19" s="441"/>
      <c r="AF19" s="441"/>
      <c r="AG19" s="441"/>
      <c r="AH19" s="441"/>
      <c r="AI19" s="481">
        <f>SUM('C19RM 2021-Pharma'!$AE19:$AH19)</f>
        <v>0</v>
      </c>
      <c r="AJ19" s="483">
        <f>IF(SETUP!$E$7="USD",(AI19*(IF(O19="USD",AD19,(AD19/'Master Data-C19RM'!$E$2)))),(AI19*(IF(O19="EUR",AD19,(AD19*'Master Data-C19RM'!$E$2)))))</f>
        <v>0</v>
      </c>
      <c r="AK19" s="444">
        <f>IF($O19="USD",_xlfn.IFNA(VLOOKUP($A19&amp;$E19&amp;$I19,PMsheet!$J:$K,2,0),0),(_xlfn.IFNA(VLOOKUP($A19&amp;$E19&amp;$I19,PMsheet!$J:$K,2,0),0)*'Master Data-C19RM'!$F$2))</f>
        <v>0</v>
      </c>
      <c r="AL19" s="441"/>
      <c r="AM19" s="441"/>
      <c r="AN19" s="441"/>
      <c r="AO19" s="441"/>
      <c r="AP19" s="481">
        <f>SUM('C19RM 2021-Pharma'!$AL19:$AO19)</f>
        <v>0</v>
      </c>
      <c r="AQ19" s="483">
        <f>IF(SETUP!$E$7="USD",(AP19*(IF(O19="USD",AK19,(AK19/'Master Data-C19RM'!$F$2)))),(AP19*(IF(O19="EUR",AK19,(AK19*'Master Data-C19RM'!$F$2)))))</f>
        <v>0</v>
      </c>
      <c r="AR19" s="444">
        <f>IF($O19="USD",_xlfn.IFNA(VLOOKUP($A19&amp;$E19&amp;$I19,PMsheet!$J:$K,2,0),0),(_xlfn.IFNA(VLOOKUP($A19&amp;$E19&amp;$I19,PMsheet!$J:$K,2,0),0)*'Master Data-C19RM'!$G$2))</f>
        <v>0</v>
      </c>
      <c r="AS19" s="441"/>
      <c r="AT19" s="441"/>
      <c r="AU19" s="441"/>
      <c r="AV19" s="441"/>
      <c r="AW19" s="481">
        <f>SUM('C19RM 2021-Pharma'!$AS19:$AV19)</f>
        <v>0</v>
      </c>
      <c r="AX19" s="483">
        <f>IF(SETUP!$E$7="USD",(AW19*(IF(O19="USD",AR19,(AR19/'Master Data-C19RM'!$G$2)))),(AW19*(IF(O19="EUR",AR19,(AR19*'Master Data-C19RM'!$G$2)))))</f>
        <v>0</v>
      </c>
      <c r="AY19" s="886"/>
      <c r="AZ19" s="887"/>
      <c r="BA19" s="887"/>
      <c r="BB19" s="887"/>
      <c r="BC19" s="887"/>
      <c r="BD19" s="887"/>
      <c r="BE19" s="888"/>
      <c r="BF19" s="505">
        <f>'C19RM 2021-Pharma'!$U19+'C19RM 2021-Pharma'!$AB19+'C19RM 2021-Pharma'!$AP19+'C19RM 2021-Pharma'!$AI19+$AW19+$BD19</f>
        <v>0</v>
      </c>
      <c r="BG19" s="483">
        <f>'C19RM 2021-Pharma'!$V19+'C19RM 2021-Pharma'!$AC19+'C19RM 2021-Pharma'!$AQ19+'C19RM 2021-Pharma'!$AJ19+$AX19+$BE19</f>
        <v>0</v>
      </c>
      <c r="BH19" s="500" t="str" cm="1">
        <f t="array" ref="BH19">IF(A19&lt;&gt;"",IFERROR(INDEX(PMtbl[[WKst]:[Unit of measure*]],MATCH($A$8&amp;$A19&amp;$E19&amp;$I19,INDEX(PMtbl[Sec]&amp;PMtbl[Category]&amp;PMtbl[Each]&amp;PMtbl[Packaging],0,),0),11),""),"")</f>
        <v/>
      </c>
      <c r="BI19" s="819"/>
      <c r="BJ19" s="502" t="str">
        <f>IFERROR(INDEX(SETUP!$C$19:$G$121,MATCH((INDEX(PMtbl[[WKst]:[Unit of measure*]],MATCH($A19&amp;$E19&amp;$I19,INDEX(PMtbl[Category]&amp;PMtbl[Each]&amp;PMtbl[Packaging],0,),0),3)),SETUP!$D$19:$D$121,0),5),"")</f>
        <v/>
      </c>
      <c r="BK19" s="438"/>
      <c r="BL19" s="193"/>
      <c r="BO19" s="12">
        <f>IF(N19="",0,IF(SETUP!$E$7="USD",((IF(O19="USD",P19,(P19/'Master Data-C19RM'!$C$2)))),((IF(O19="EUR",P19,(P19*'Master Data-C19RM'!$C$2))))))</f>
        <v>0</v>
      </c>
      <c r="BP19" s="12">
        <f>IF(N19="",0,IF(SETUP!$E$7="USD",((IF(O19="USD",W19,(W19/'Master Data-C19RM'!$D$2)))),((IF(O19="EUR",W19,(W19*'Master Data-C19RM'!$D$2))))))</f>
        <v>0</v>
      </c>
      <c r="BQ19">
        <f>IF(N19="",0,IF(SETUP!$E$7="USD",((IF(O19="USD",AD19,(AD19/'Master Data-C19RM'!$E$2)))),((IF(O19="EUR",AD19,(AD19*'Master Data-C19RM'!$E$2))))))</f>
        <v>0</v>
      </c>
      <c r="BR19">
        <f>IF(N19="",0,IF(SETUP!$E$7="USD",((IF(O19="USD",AK19,(AK19/'Master Data-C19RM'!$F$2)))),((IF(O19="EUR",AK19,(AK19*'Master Data-C19RM'!$F$2))))))</f>
        <v>0</v>
      </c>
      <c r="BS19">
        <f>IF(N19="",0,IF(SETUP!$E$7="USD",((IF(O19="USD",AR19,(AR19/'Master Data-C19RM'!$F$2)))),((IF(O19="EUR",AR19,(AR19*'Master Data-C19RM'!$G$2))))))</f>
        <v>0</v>
      </c>
      <c r="BT19">
        <f>IF(N19="",0,IF(SETUP!$E$7="USD",((IF(O19="USD",AY19,(AY19/'Master Data-C19RM'!$F$2)))),((IF(O19="EUR",AY19,(AY19*'Master Data-C19RM'!$H$2))))))</f>
        <v>0</v>
      </c>
      <c r="BU19" s="12">
        <f t="shared" si="1"/>
        <v>0</v>
      </c>
      <c r="BV19" s="142">
        <f t="shared" si="2"/>
        <v>0</v>
      </c>
    </row>
    <row r="20" spans="1:74" ht="14.9" customHeight="1" x14ac:dyDescent="0.35">
      <c r="A20" s="1172"/>
      <c r="B20" s="1172"/>
      <c r="C20" s="1172"/>
      <c r="D20" s="1172"/>
      <c r="E20" s="1172"/>
      <c r="F20" s="1172"/>
      <c r="G20" s="1172"/>
      <c r="H20" s="1172"/>
      <c r="I20" s="1173"/>
      <c r="J20" s="1173"/>
      <c r="K20" s="1173"/>
      <c r="L20" s="493" t="str" cm="1">
        <f t="array" ref="L20">IF(A20&lt;&gt;"",IFERROR(INDEX(PMtbl[[WKst]:[Unit of measure*]],MATCH($A$8&amp;$A20&amp;$E20&amp;$I20,INDEX(PMtbl[Sec]&amp;PMtbl[Category]&amp;PMtbl[Each]&amp;PMtbl[Packaging],0,),0),14),""),"")</f>
        <v/>
      </c>
      <c r="M20" s="480" t="str">
        <f>IF(L20="","",INDEX(SETUP!$E$20:$E$122,(MATCH(INDEX(PMsheet!$D:$E,MATCH(A20,PMsheet!E:E,0),1),SETUP!$D$20:$D$122,0))))</f>
        <v/>
      </c>
      <c r="N20" s="494">
        <f>IF($O20="USD",_xlfn.IFNA(VLOOKUP(A20&amp;E20&amp;I20,PMsheet!J:K,2,0),0),(_xlfn.IFNA(VLOOKUP(A20&amp;E20&amp;I20,PMsheet!J:K,2,0),0)*'Master Data-C19RM'!$C$2))</f>
        <v>0</v>
      </c>
      <c r="O20" s="495" t="str">
        <f>IF(L20="", "",SETUP!$E$7)</f>
        <v/>
      </c>
      <c r="P20" s="445">
        <f>IF($O20="USD",_xlfn.IFNA(VLOOKUP($A20&amp;$E20&amp;$I20,PMsheet!$J:$K,2,0),0),(_xlfn.IFNA(VLOOKUP($A20&amp;$E20&amp;$I20,PMsheet!$J:$K,2,0),0)*'Master Data-C19RM'!$C$2))</f>
        <v>0</v>
      </c>
      <c r="Q20" s="440"/>
      <c r="R20" s="440"/>
      <c r="S20" s="440"/>
      <c r="T20" s="440"/>
      <c r="U20" s="482">
        <f>SUM('C19RM 2021-Pharma'!$Q20:$T20)</f>
        <v>0</v>
      </c>
      <c r="V20" s="484">
        <f>IF(SETUP!$E$7="USD",(U20*(IF(O20="USD",P20,(P20/'Master Data-C19RM'!$C$2)))),(U20*(IF(O20="EUR",P20,(P20*'Master Data-C19RM'!$C$2)))))</f>
        <v>0</v>
      </c>
      <c r="W20" s="445">
        <v>0</v>
      </c>
      <c r="X20" s="440"/>
      <c r="Y20" s="440"/>
      <c r="Z20" s="440"/>
      <c r="AA20" s="440"/>
      <c r="AB20" s="482">
        <f>SUM('C19RM 2021-Pharma'!$X20:$AA20)</f>
        <v>0</v>
      </c>
      <c r="AC20" s="484">
        <f>IF(SETUP!$E$7="USD",(AB20*(IF(O20="USD",W20,(W20/'Master Data-C19RM'!$D$2)))),(AB20*(IF(O20="EUR",W20,(W20*'Master Data-C19RM'!$D$2)))))</f>
        <v>0</v>
      </c>
      <c r="AD20" s="445">
        <f>IF($O20="USD",_xlfn.IFNA(VLOOKUP($A20&amp;$E20&amp;$I20,PMsheet!$J:$K,2,0),0),(_xlfn.IFNA(VLOOKUP($A20&amp;$E20&amp;$I20,PMsheet!$J:$K,2,0),0)*'Master Data-C19RM'!$E$2))</f>
        <v>0</v>
      </c>
      <c r="AE20" s="440"/>
      <c r="AF20" s="440"/>
      <c r="AG20" s="440"/>
      <c r="AH20" s="440"/>
      <c r="AI20" s="482">
        <f>SUM('C19RM 2021-Pharma'!$AE20:$AH20)</f>
        <v>0</v>
      </c>
      <c r="AJ20" s="484">
        <f>IF(SETUP!$E$7="USD",(AI20*(IF(O20="USD",AD20,(AD20/'Master Data-C19RM'!$E$2)))),(AI20*(IF(O20="EUR",AD20,(AD20*'Master Data-C19RM'!$E$2)))))</f>
        <v>0</v>
      </c>
      <c r="AK20" s="445">
        <f>IF($O20="USD",_xlfn.IFNA(VLOOKUP($A20&amp;$E20&amp;$I20,PMsheet!$J:$K,2,0),0),(_xlfn.IFNA(VLOOKUP($A20&amp;$E20&amp;$I20,PMsheet!$J:$K,2,0),0)*'Master Data-C19RM'!$F$2))</f>
        <v>0</v>
      </c>
      <c r="AL20" s="440"/>
      <c r="AM20" s="440"/>
      <c r="AN20" s="440"/>
      <c r="AO20" s="440"/>
      <c r="AP20" s="482">
        <f>SUM('C19RM 2021-Pharma'!$AL20:$AO20)</f>
        <v>0</v>
      </c>
      <c r="AQ20" s="484">
        <f>IF(SETUP!$E$7="USD",(AP20*(IF(O20="USD",AK20,(AK20/'Master Data-C19RM'!$F$2)))),(AP20*(IF(O20="EUR",AK20,(AK20*'Master Data-C19RM'!$F$2)))))</f>
        <v>0</v>
      </c>
      <c r="AR20" s="445">
        <f>IF($O20="USD",_xlfn.IFNA(VLOOKUP($A20&amp;$E20&amp;$I20,PMsheet!$J:$K,2,0),0),(_xlfn.IFNA(VLOOKUP($A20&amp;$E20&amp;$I20,PMsheet!$J:$K,2,0),0)*'Master Data-C19RM'!$G$2))</f>
        <v>0</v>
      </c>
      <c r="AS20" s="440"/>
      <c r="AT20" s="440"/>
      <c r="AU20" s="440"/>
      <c r="AV20" s="440"/>
      <c r="AW20" s="482">
        <f>SUM('C19RM 2021-Pharma'!$AS20:$AV20)</f>
        <v>0</v>
      </c>
      <c r="AX20" s="484">
        <f>IF(SETUP!$E$7="USD",(AW20*(IF(O20="USD",AR20,(AR20/'Master Data-C19RM'!$G$2)))),(AW20*(IF(O20="EUR",AR20,(AR20*'Master Data-C19RM'!$G$2)))))</f>
        <v>0</v>
      </c>
      <c r="AY20" s="889"/>
      <c r="AZ20" s="884"/>
      <c r="BA20" s="884"/>
      <c r="BB20" s="884"/>
      <c r="BC20" s="884"/>
      <c r="BD20" s="884"/>
      <c r="BE20" s="885"/>
      <c r="BF20" s="504">
        <f>'C19RM 2021-Pharma'!$U20+'C19RM 2021-Pharma'!$AB20+'C19RM 2021-Pharma'!$AP20+'C19RM 2021-Pharma'!$AI20+$AW20+$BD20</f>
        <v>0</v>
      </c>
      <c r="BG20" s="484">
        <f>'C19RM 2021-Pharma'!$V20+'C19RM 2021-Pharma'!$AC20+'C19RM 2021-Pharma'!$AQ20+'C19RM 2021-Pharma'!$AJ20+$AX20+$BE20</f>
        <v>0</v>
      </c>
      <c r="BH20" s="499" t="str" cm="1">
        <f t="array" ref="BH20">IF(A20&lt;&gt;"",IFERROR(INDEX(PMtbl[[WKst]:[Unit of measure*]],MATCH($A$8&amp;$A20&amp;$E20&amp;$I20,INDEX(PMtbl[Sec]&amp;PMtbl[Category]&amp;PMtbl[Each]&amp;PMtbl[Packaging],0,),0),11),""),"")</f>
        <v/>
      </c>
      <c r="BI20" s="818"/>
      <c r="BJ20" s="503" t="str">
        <f>IFERROR(INDEX(SETUP!$C$19:$G$121,MATCH((INDEX(PMtbl[[WKst]:[Unit of measure*]],MATCH($A20&amp;$E20&amp;$I20,INDEX(PMtbl[Category]&amp;PMtbl[Each]&amp;PMtbl[Packaging],0,),0),3)),SETUP!$D$19:$D$121,0),5),"")</f>
        <v/>
      </c>
      <c r="BK20" s="439"/>
      <c r="BL20" s="194"/>
      <c r="BO20" s="12">
        <f>IF(N20="",0,IF(SETUP!$E$7="USD",((IF(O20="USD",P20,(P20/'Master Data-C19RM'!$C$2)))),((IF(O20="EUR",P20,(P20*'Master Data-C19RM'!$C$2))))))</f>
        <v>0</v>
      </c>
      <c r="BP20" s="12">
        <f>IF(N20="",0,IF(SETUP!$E$7="USD",((IF(O20="USD",W20,(W20/'Master Data-C19RM'!$D$2)))),((IF(O20="EUR",W20,(W20*'Master Data-C19RM'!$D$2))))))</f>
        <v>0</v>
      </c>
      <c r="BQ20">
        <f>IF(N20="",0,IF(SETUP!$E$7="USD",((IF(O20="USD",AD20,(AD20/'Master Data-C19RM'!$E$2)))),((IF(O20="EUR",AD20,(AD20*'Master Data-C19RM'!$E$2))))))</f>
        <v>0</v>
      </c>
      <c r="BR20">
        <f>IF(N20="",0,IF(SETUP!$E$7="USD",((IF(O20="USD",AK20,(AK20/'Master Data-C19RM'!$F$2)))),((IF(O20="EUR",AK20,(AK20*'Master Data-C19RM'!$F$2))))))</f>
        <v>0</v>
      </c>
      <c r="BS20">
        <f>IF(N20="",0,IF(SETUP!$E$7="USD",((IF(O20="USD",AR20,(AR20/'Master Data-C19RM'!$F$2)))),((IF(O20="EUR",AR20,(AR20*'Master Data-C19RM'!$G$2))))))</f>
        <v>0</v>
      </c>
      <c r="BT20">
        <f>IF(N20="",0,IF(SETUP!$E$7="USD",((IF(O20="USD",AY20,(AY20/'Master Data-C19RM'!$F$2)))),((IF(O20="EUR",AY20,(AY20*'Master Data-C19RM'!$H$2))))))</f>
        <v>0</v>
      </c>
      <c r="BU20" s="12">
        <f t="shared" si="1"/>
        <v>0</v>
      </c>
      <c r="BV20" s="142">
        <f t="shared" si="2"/>
        <v>0</v>
      </c>
    </row>
    <row r="21" spans="1:74" ht="14.9" customHeight="1" x14ac:dyDescent="0.35">
      <c r="A21" s="1165"/>
      <c r="B21" s="1165"/>
      <c r="C21" s="1165"/>
      <c r="D21" s="1165"/>
      <c r="E21" s="1166"/>
      <c r="F21" s="1166"/>
      <c r="G21" s="1166"/>
      <c r="H21" s="1166"/>
      <c r="I21" s="1166"/>
      <c r="J21" s="1166"/>
      <c r="K21" s="1166"/>
      <c r="L21" s="490" t="str" cm="1">
        <f t="array" ref="L21">IF(A21&lt;&gt;"",IFERROR(INDEX(PMtbl[[WKst]:[Unit of measure*]],MATCH($A$8&amp;$A21&amp;$E21&amp;$I21,INDEX(PMtbl[Sec]&amp;PMtbl[Category]&amp;PMtbl[Each]&amp;PMtbl[Packaging],0,),0),14),""),"")</f>
        <v/>
      </c>
      <c r="M21" s="479" t="str">
        <f>IF(L21="","",INDEX(SETUP!$E$20:$E$122,(MATCH(INDEX(PMsheet!$D:$E,MATCH(A21,PMsheet!E:E,0),1),SETUP!$D$20:$D$122,0))))</f>
        <v/>
      </c>
      <c r="N21" s="491">
        <f>IF($O21="USD",_xlfn.IFNA(VLOOKUP(A21&amp;E21&amp;I21,PMsheet!J:K,2,0),0),(_xlfn.IFNA(VLOOKUP(A21&amp;E21&amp;I21,PMsheet!J:K,2,0),0)*'Master Data-C19RM'!$C$2))</f>
        <v>0</v>
      </c>
      <c r="O21" s="492" t="str">
        <f>IF(L21="", "",SETUP!$E$7)</f>
        <v/>
      </c>
      <c r="P21" s="444">
        <f>IF($O21="USD",_xlfn.IFNA(VLOOKUP($A21&amp;$E21&amp;$I21,PMsheet!$J:$K,2,0),0),(_xlfn.IFNA(VLOOKUP($A21&amp;$E21&amp;$I21,PMsheet!$J:$K,2,0),0)*'Master Data-C19RM'!$C$2))</f>
        <v>0</v>
      </c>
      <c r="Q21" s="441"/>
      <c r="R21" s="441"/>
      <c r="S21" s="441"/>
      <c r="T21" s="441"/>
      <c r="U21" s="481">
        <f>SUM('C19RM 2021-Pharma'!$Q21:$T21)</f>
        <v>0</v>
      </c>
      <c r="V21" s="483">
        <f>IF(SETUP!$E$7="USD",(U21*(IF(O21="USD",P21,(P21/'Master Data-C19RM'!$C$2)))),(U21*(IF(O21="EUR",P21,(P21*'Master Data-C19RM'!$C$2)))))</f>
        <v>0</v>
      </c>
      <c r="W21" s="444">
        <v>0</v>
      </c>
      <c r="X21" s="441"/>
      <c r="Y21" s="441"/>
      <c r="Z21" s="441"/>
      <c r="AA21" s="441"/>
      <c r="AB21" s="481">
        <f>SUM('C19RM 2021-Pharma'!$X21:$AA21)</f>
        <v>0</v>
      </c>
      <c r="AC21" s="483">
        <f>IF(SETUP!$E$7="USD",(AB21*(IF(O21="USD",W21,(W21/'Master Data-C19RM'!$D$2)))),(AB21*(IF(O21="EUR",W21,(W21*'Master Data-C19RM'!$D$2)))))</f>
        <v>0</v>
      </c>
      <c r="AD21" s="444">
        <f>IF($O21="USD",_xlfn.IFNA(VLOOKUP($A21&amp;$E21&amp;$I21,PMsheet!$J:$K,2,0),0),(_xlfn.IFNA(VLOOKUP($A21&amp;$E21&amp;$I21,PMsheet!$J:$K,2,0),0)*'Master Data-C19RM'!$E$2))</f>
        <v>0</v>
      </c>
      <c r="AE21" s="441"/>
      <c r="AF21" s="441"/>
      <c r="AG21" s="441"/>
      <c r="AH21" s="441"/>
      <c r="AI21" s="481">
        <f>SUM('C19RM 2021-Pharma'!$AE21:$AH21)</f>
        <v>0</v>
      </c>
      <c r="AJ21" s="483">
        <f>IF(SETUP!$E$7="USD",(AI21*(IF(O21="USD",AD21,(AD21/'Master Data-C19RM'!$E$2)))),(AI21*(IF(O21="EUR",AD21,(AD21*'Master Data-C19RM'!$E$2)))))</f>
        <v>0</v>
      </c>
      <c r="AK21" s="444">
        <f>IF($O21="USD",_xlfn.IFNA(VLOOKUP($A21&amp;$E21&amp;$I21,PMsheet!$J:$K,2,0),0),(_xlfn.IFNA(VLOOKUP($A21&amp;$E21&amp;$I21,PMsheet!$J:$K,2,0),0)*'Master Data-C19RM'!$F$2))</f>
        <v>0</v>
      </c>
      <c r="AL21" s="441"/>
      <c r="AM21" s="441"/>
      <c r="AN21" s="441"/>
      <c r="AO21" s="441"/>
      <c r="AP21" s="481">
        <f>SUM('C19RM 2021-Pharma'!$AL21:$AO21)</f>
        <v>0</v>
      </c>
      <c r="AQ21" s="483">
        <f>IF(SETUP!$E$7="USD",(AP21*(IF(O21="USD",AK21,(AK21/'Master Data-C19RM'!$F$2)))),(AP21*(IF(O21="EUR",AK21,(AK21*'Master Data-C19RM'!$F$2)))))</f>
        <v>0</v>
      </c>
      <c r="AR21" s="444">
        <f>IF($O21="USD",_xlfn.IFNA(VLOOKUP($A21&amp;$E21&amp;$I21,PMsheet!$J:$K,2,0),0),(_xlfn.IFNA(VLOOKUP($A21&amp;$E21&amp;$I21,PMsheet!$J:$K,2,0),0)*'Master Data-C19RM'!$G$2))</f>
        <v>0</v>
      </c>
      <c r="AS21" s="441"/>
      <c r="AT21" s="441"/>
      <c r="AU21" s="441"/>
      <c r="AV21" s="441"/>
      <c r="AW21" s="481">
        <f>SUM('C19RM 2021-Pharma'!$AS21:$AV21)</f>
        <v>0</v>
      </c>
      <c r="AX21" s="483">
        <f>IF(SETUP!$E$7="USD",(AW21*(IF(O21="USD",AR21,(AR21/'Master Data-C19RM'!$G$2)))),(AW21*(IF(O21="EUR",AR21,(AR21*'Master Data-C19RM'!$G$2)))))</f>
        <v>0</v>
      </c>
      <c r="AY21" s="886"/>
      <c r="AZ21" s="887"/>
      <c r="BA21" s="887"/>
      <c r="BB21" s="887"/>
      <c r="BC21" s="887"/>
      <c r="BD21" s="887"/>
      <c r="BE21" s="888"/>
      <c r="BF21" s="505">
        <f>'C19RM 2021-Pharma'!$U21+'C19RM 2021-Pharma'!$AB21+'C19RM 2021-Pharma'!$AP21+'C19RM 2021-Pharma'!$AI21+$AW21+$BD21</f>
        <v>0</v>
      </c>
      <c r="BG21" s="483">
        <f>'C19RM 2021-Pharma'!$V21+'C19RM 2021-Pharma'!$AC21+'C19RM 2021-Pharma'!$AQ21+'C19RM 2021-Pharma'!$AJ21+$AX21+$BE21</f>
        <v>0</v>
      </c>
      <c r="BH21" s="500" t="str" cm="1">
        <f t="array" ref="BH21">IF(A21&lt;&gt;"",IFERROR(INDEX(PMtbl[[WKst]:[Unit of measure*]],MATCH($A$8&amp;$A21&amp;$E21&amp;$I21,INDEX(PMtbl[Sec]&amp;PMtbl[Category]&amp;PMtbl[Each]&amp;PMtbl[Packaging],0,),0),11),""),"")</f>
        <v/>
      </c>
      <c r="BI21" s="819"/>
      <c r="BJ21" s="502" t="str">
        <f>IFERROR(INDEX(SETUP!$C$19:$G$121,MATCH((INDEX(PMtbl[[WKst]:[Unit of measure*]],MATCH($A21&amp;$E21&amp;$I21,INDEX(PMtbl[Category]&amp;PMtbl[Each]&amp;PMtbl[Packaging],0,),0),3)),SETUP!$D$19:$D$121,0),5),"")</f>
        <v/>
      </c>
      <c r="BK21" s="438"/>
      <c r="BL21" s="193"/>
      <c r="BO21" s="12">
        <f>IF(N21="",0,IF(SETUP!$E$7="USD",((IF(O21="USD",P21,(P21/'Master Data-C19RM'!$C$2)))),((IF(O21="EUR",P21,(P21*'Master Data-C19RM'!$C$2))))))</f>
        <v>0</v>
      </c>
      <c r="BP21" s="12">
        <f>IF(N21="",0,IF(SETUP!$E$7="USD",((IF(O21="USD",W21,(W21/'Master Data-C19RM'!$D$2)))),((IF(O21="EUR",W21,(W21*'Master Data-C19RM'!$D$2))))))</f>
        <v>0</v>
      </c>
      <c r="BQ21">
        <f>IF(N21="",0,IF(SETUP!$E$7="USD",((IF(O21="USD",AD21,(AD21/'Master Data-C19RM'!$E$2)))),((IF(O21="EUR",AD21,(AD21*'Master Data-C19RM'!$E$2))))))</f>
        <v>0</v>
      </c>
      <c r="BR21">
        <f>IF(N21="",0,IF(SETUP!$E$7="USD",((IF(O21="USD",AK21,(AK21/'Master Data-C19RM'!$F$2)))),((IF(O21="EUR",AK21,(AK21*'Master Data-C19RM'!$F$2))))))</f>
        <v>0</v>
      </c>
      <c r="BS21">
        <f>IF(N21="",0,IF(SETUP!$E$7="USD",((IF(O21="USD",AR21,(AR21/'Master Data-C19RM'!$F$2)))),((IF(O21="EUR",AR21,(AR21*'Master Data-C19RM'!$G$2))))))</f>
        <v>0</v>
      </c>
      <c r="BT21">
        <f>IF(N21="",0,IF(SETUP!$E$7="USD",((IF(O21="USD",AY21,(AY21/'Master Data-C19RM'!$F$2)))),((IF(O21="EUR",AY21,(AY21*'Master Data-C19RM'!$H$2))))))</f>
        <v>0</v>
      </c>
      <c r="BU21" s="12">
        <f t="shared" si="1"/>
        <v>0</v>
      </c>
      <c r="BV21" s="142">
        <f t="shared" si="2"/>
        <v>0</v>
      </c>
    </row>
    <row r="22" spans="1:74" ht="14.9" customHeight="1" x14ac:dyDescent="0.35">
      <c r="A22" s="1172"/>
      <c r="B22" s="1172"/>
      <c r="C22" s="1172"/>
      <c r="D22" s="1172"/>
      <c r="E22" s="1172"/>
      <c r="F22" s="1172"/>
      <c r="G22" s="1172"/>
      <c r="H22" s="1172"/>
      <c r="I22" s="1173"/>
      <c r="J22" s="1173"/>
      <c r="K22" s="1173"/>
      <c r="L22" s="493" t="str" cm="1">
        <f t="array" ref="L22">IF(A22&lt;&gt;"",IFERROR(INDEX(PMtbl[[WKst]:[Unit of measure*]],MATCH($A$8&amp;$A22&amp;$E22&amp;$I22,INDEX(PMtbl[Sec]&amp;PMtbl[Category]&amp;PMtbl[Each]&amp;PMtbl[Packaging],0,),0),14),""),"")</f>
        <v/>
      </c>
      <c r="M22" s="480" t="str">
        <f>IF(L22="","",INDEX(SETUP!$E$20:$E$122,(MATCH(INDEX(PMsheet!$D:$E,MATCH(A22,PMsheet!E:E,0),1),SETUP!$D$20:$D$122,0))))</f>
        <v/>
      </c>
      <c r="N22" s="494">
        <f>IF($O22="USD",_xlfn.IFNA(VLOOKUP(A22&amp;E22&amp;I22,PMsheet!J:K,2,0),0),(_xlfn.IFNA(VLOOKUP(A22&amp;E22&amp;I22,PMsheet!J:K,2,0),0)*'Master Data-C19RM'!$C$2))</f>
        <v>0</v>
      </c>
      <c r="O22" s="495" t="str">
        <f>IF(L22="", "",SETUP!$E$7)</f>
        <v/>
      </c>
      <c r="P22" s="445">
        <f>IF($O22="USD",_xlfn.IFNA(VLOOKUP($A22&amp;$E22&amp;$I22,PMsheet!$J:$K,2,0),0),(_xlfn.IFNA(VLOOKUP($A22&amp;$E22&amp;$I22,PMsheet!$J:$K,2,0),0)*'Master Data-C19RM'!$C$2))</f>
        <v>0</v>
      </c>
      <c r="Q22" s="440"/>
      <c r="R22" s="440"/>
      <c r="S22" s="440"/>
      <c r="T22" s="440"/>
      <c r="U22" s="482">
        <f>SUM('C19RM 2021-Pharma'!$Q22:$T22)</f>
        <v>0</v>
      </c>
      <c r="V22" s="484">
        <f>IF(SETUP!$E$7="USD",(U22*(IF(O22="USD",P22,(P22/'Master Data-C19RM'!$C$2)))),(U22*(IF(O22="EUR",P22,(P22*'Master Data-C19RM'!$C$2)))))</f>
        <v>0</v>
      </c>
      <c r="W22" s="445">
        <v>0</v>
      </c>
      <c r="X22" s="440"/>
      <c r="Y22" s="440"/>
      <c r="Z22" s="440"/>
      <c r="AA22" s="440"/>
      <c r="AB22" s="482">
        <f>SUM('C19RM 2021-Pharma'!$X22:$AA22)</f>
        <v>0</v>
      </c>
      <c r="AC22" s="484">
        <f>IF(SETUP!$E$7="USD",(AB22*(IF(O22="USD",W22,(W22/'Master Data-C19RM'!$D$2)))),(AB22*(IF(O22="EUR",W22,(W22*'Master Data-C19RM'!$D$2)))))</f>
        <v>0</v>
      </c>
      <c r="AD22" s="445">
        <f>IF($O22="USD",_xlfn.IFNA(VLOOKUP($A22&amp;$E22&amp;$I22,PMsheet!$J:$K,2,0),0),(_xlfn.IFNA(VLOOKUP($A22&amp;$E22&amp;$I22,PMsheet!$J:$K,2,0),0)*'Master Data-C19RM'!$E$2))</f>
        <v>0</v>
      </c>
      <c r="AE22" s="440"/>
      <c r="AF22" s="440"/>
      <c r="AG22" s="440"/>
      <c r="AH22" s="440"/>
      <c r="AI22" s="482">
        <f>SUM('C19RM 2021-Pharma'!$AE22:$AH22)</f>
        <v>0</v>
      </c>
      <c r="AJ22" s="484">
        <f>IF(SETUP!$E$7="USD",(AI22*(IF(O22="USD",AD22,(AD22/'Master Data-C19RM'!$E$2)))),(AI22*(IF(O22="EUR",AD22,(AD22*'Master Data-C19RM'!$E$2)))))</f>
        <v>0</v>
      </c>
      <c r="AK22" s="445">
        <f>IF($O22="USD",_xlfn.IFNA(VLOOKUP($A22&amp;$E22&amp;$I22,PMsheet!$J:$K,2,0),0),(_xlfn.IFNA(VLOOKUP($A22&amp;$E22&amp;$I22,PMsheet!$J:$K,2,0),0)*'Master Data-C19RM'!$F$2))</f>
        <v>0</v>
      </c>
      <c r="AL22" s="440"/>
      <c r="AM22" s="440"/>
      <c r="AN22" s="440"/>
      <c r="AO22" s="440"/>
      <c r="AP22" s="482">
        <f>SUM('C19RM 2021-Pharma'!$AL22:$AO22)</f>
        <v>0</v>
      </c>
      <c r="AQ22" s="484">
        <f>IF(SETUP!$E$7="USD",(AP22*(IF(O22="USD",AK22,(AK22/'Master Data-C19RM'!$F$2)))),(AP22*(IF(O22="EUR",AK22,(AK22*'Master Data-C19RM'!$F$2)))))</f>
        <v>0</v>
      </c>
      <c r="AR22" s="445">
        <f>IF($O22="USD",_xlfn.IFNA(VLOOKUP($A22&amp;$E22&amp;$I22,PMsheet!$J:$K,2,0),0),(_xlfn.IFNA(VLOOKUP($A22&amp;$E22&amp;$I22,PMsheet!$J:$K,2,0),0)*'Master Data-C19RM'!$G$2))</f>
        <v>0</v>
      </c>
      <c r="AS22" s="440"/>
      <c r="AT22" s="440"/>
      <c r="AU22" s="440"/>
      <c r="AV22" s="440"/>
      <c r="AW22" s="482">
        <f>SUM('C19RM 2021-Pharma'!$AS22:$AV22)</f>
        <v>0</v>
      </c>
      <c r="AX22" s="484">
        <f>IF(SETUP!$E$7="USD",(AW22*(IF(O22="USD",AR22,(AR22/'Master Data-C19RM'!$G$2)))),(AW22*(IF(O22="EUR",AR22,(AR22*'Master Data-C19RM'!$G$2)))))</f>
        <v>0</v>
      </c>
      <c r="AY22" s="889"/>
      <c r="AZ22" s="884"/>
      <c r="BA22" s="884"/>
      <c r="BB22" s="884"/>
      <c r="BC22" s="884"/>
      <c r="BD22" s="884"/>
      <c r="BE22" s="885"/>
      <c r="BF22" s="504">
        <f>'C19RM 2021-Pharma'!$U22+'C19RM 2021-Pharma'!$AB22+'C19RM 2021-Pharma'!$AP22+'C19RM 2021-Pharma'!$AI22+$AW22+$BD22</f>
        <v>0</v>
      </c>
      <c r="BG22" s="484">
        <f>'C19RM 2021-Pharma'!$V22+'C19RM 2021-Pharma'!$AC22+'C19RM 2021-Pharma'!$AQ22+'C19RM 2021-Pharma'!$AJ22+$AX22+$BE22</f>
        <v>0</v>
      </c>
      <c r="BH22" s="499" t="str" cm="1">
        <f t="array" ref="BH22">IF(A22&lt;&gt;"",IFERROR(INDEX(PMtbl[[WKst]:[Unit of measure*]],MATCH($A$8&amp;$A22&amp;$E22&amp;$I22,INDEX(PMtbl[Sec]&amp;PMtbl[Category]&amp;PMtbl[Each]&amp;PMtbl[Packaging],0,),0),11),""),"")</f>
        <v/>
      </c>
      <c r="BI22" s="818"/>
      <c r="BJ22" s="503" t="str">
        <f>IFERROR(INDEX(SETUP!$C$19:$G$121,MATCH((INDEX(PMtbl[[WKst]:[Unit of measure*]],MATCH($A22&amp;$E22&amp;$I22,INDEX(PMtbl[Category]&amp;PMtbl[Each]&amp;PMtbl[Packaging],0,),0),3)),SETUP!$D$19:$D$121,0),5),"")</f>
        <v/>
      </c>
      <c r="BK22" s="439"/>
      <c r="BL22" s="194"/>
      <c r="BO22" s="12">
        <f>IF(N22="",0,IF(SETUP!$E$7="USD",((IF(O22="USD",P22,(P22/'Master Data-C19RM'!$C$2)))),((IF(O22="EUR",P22,(P22*'Master Data-C19RM'!$C$2))))))</f>
        <v>0</v>
      </c>
      <c r="BP22" s="12">
        <f>IF(N22="",0,IF(SETUP!$E$7="USD",((IF(O22="USD",W22,(W22/'Master Data-C19RM'!$D$2)))),((IF(O22="EUR",W22,(W22*'Master Data-C19RM'!$D$2))))))</f>
        <v>0</v>
      </c>
      <c r="BQ22">
        <f>IF(N22="",0,IF(SETUP!$E$7="USD",((IF(O22="USD",AD22,(AD22/'Master Data-C19RM'!$E$2)))),((IF(O22="EUR",AD22,(AD22*'Master Data-C19RM'!$E$2))))))</f>
        <v>0</v>
      </c>
      <c r="BR22">
        <f>IF(N22="",0,IF(SETUP!$E$7="USD",((IF(O22="USD",AK22,(AK22/'Master Data-C19RM'!$F$2)))),((IF(O22="EUR",AK22,(AK22*'Master Data-C19RM'!$F$2))))))</f>
        <v>0</v>
      </c>
      <c r="BS22">
        <f>IF(N22="",0,IF(SETUP!$E$7="USD",((IF(O22="USD",AR22,(AR22/'Master Data-C19RM'!$F$2)))),((IF(O22="EUR",AR22,(AR22*'Master Data-C19RM'!$G$2))))))</f>
        <v>0</v>
      </c>
      <c r="BT22">
        <f>IF(N22="",0,IF(SETUP!$E$7="USD",((IF(O22="USD",AY22,(AY22/'Master Data-C19RM'!$F$2)))),((IF(O22="EUR",AY22,(AY22*'Master Data-C19RM'!$H$2))))))</f>
        <v>0</v>
      </c>
      <c r="BU22" s="12">
        <f t="shared" si="1"/>
        <v>0</v>
      </c>
      <c r="BV22" s="142">
        <f t="shared" si="2"/>
        <v>0</v>
      </c>
    </row>
    <row r="23" spans="1:74" ht="14.9" customHeight="1" x14ac:dyDescent="0.35">
      <c r="A23" s="1165"/>
      <c r="B23" s="1165"/>
      <c r="C23" s="1165"/>
      <c r="D23" s="1165"/>
      <c r="E23" s="1166"/>
      <c r="F23" s="1166"/>
      <c r="G23" s="1166"/>
      <c r="H23" s="1166"/>
      <c r="I23" s="1166"/>
      <c r="J23" s="1166"/>
      <c r="K23" s="1166"/>
      <c r="L23" s="490" t="str" cm="1">
        <f t="array" ref="L23">IF(A23&lt;&gt;"",IFERROR(INDEX(PMtbl[[WKst]:[Unit of measure*]],MATCH($A$8&amp;$A23&amp;$E23&amp;$I23,INDEX(PMtbl[Sec]&amp;PMtbl[Category]&amp;PMtbl[Each]&amp;PMtbl[Packaging],0,),0),14),""),"")</f>
        <v/>
      </c>
      <c r="M23" s="479" t="str">
        <f>IF(L23="","",INDEX(SETUP!$E$20:$E$122,(MATCH(INDEX(PMsheet!$D:$E,MATCH(A23,PMsheet!E:E,0),1),SETUP!$D$20:$D$122,0))))</f>
        <v/>
      </c>
      <c r="N23" s="491">
        <f>IF($O23="USD",_xlfn.IFNA(VLOOKUP(A23&amp;E23&amp;I23,PMsheet!J:K,2,0),0),(_xlfn.IFNA(VLOOKUP(A23&amp;E23&amp;I23,PMsheet!J:K,2,0),0)*'Master Data-C19RM'!$C$2))</f>
        <v>0</v>
      </c>
      <c r="O23" s="492" t="str">
        <f>IF(L23="", "",SETUP!$E$7)</f>
        <v/>
      </c>
      <c r="P23" s="444">
        <f>IF($O23="USD",_xlfn.IFNA(VLOOKUP($A23&amp;$E23&amp;$I23,PMsheet!$J:$K,2,0),0),(_xlfn.IFNA(VLOOKUP($A23&amp;$E23&amp;$I23,PMsheet!$J:$K,2,0),0)*'Master Data-C19RM'!$C$2))</f>
        <v>0</v>
      </c>
      <c r="Q23" s="441"/>
      <c r="R23" s="441"/>
      <c r="S23" s="441"/>
      <c r="T23" s="441"/>
      <c r="U23" s="481">
        <f>SUM('C19RM 2021-Pharma'!$Q23:$T23)</f>
        <v>0</v>
      </c>
      <c r="V23" s="483">
        <f>IF(SETUP!$E$7="USD",(U23*(IF(O23="USD",P23,(P23/'Master Data-C19RM'!$C$2)))),(U23*(IF(O23="EUR",P23,(P23*'Master Data-C19RM'!$C$2)))))</f>
        <v>0</v>
      </c>
      <c r="W23" s="444">
        <f>IF($O23="USD",_xlfn.IFNA(VLOOKUP($A23&amp;$E23&amp;$I23,PMsheet!$J:$K,2,0),0),(_xlfn.IFNA(VLOOKUP($A23&amp;$E23&amp;$I23,PMsheet!$J:$K,2,0),0)*'Master Data-C19RM'!$D$2))</f>
        <v>0</v>
      </c>
      <c r="X23" s="441"/>
      <c r="Y23" s="441"/>
      <c r="Z23" s="441"/>
      <c r="AA23" s="441"/>
      <c r="AB23" s="481">
        <f>SUM('C19RM 2021-Pharma'!$X23:$AA23)</f>
        <v>0</v>
      </c>
      <c r="AC23" s="483">
        <f>IF(SETUP!$E$7="USD",(AB23*(IF(O23="USD",W23,(W23/'Master Data-C19RM'!$D$2)))),(AB23*(IF(O23="EUR",W23,(W23*'Master Data-C19RM'!$D$2)))))</f>
        <v>0</v>
      </c>
      <c r="AD23" s="444">
        <f>IF($O23="USD",_xlfn.IFNA(VLOOKUP($A23&amp;$E23&amp;$I23,PMsheet!$J:$K,2,0),0),(_xlfn.IFNA(VLOOKUP($A23&amp;$E23&amp;$I23,PMsheet!$J:$K,2,0),0)*'Master Data-C19RM'!$E$2))</f>
        <v>0</v>
      </c>
      <c r="AE23" s="441"/>
      <c r="AF23" s="441"/>
      <c r="AG23" s="441"/>
      <c r="AH23" s="441"/>
      <c r="AI23" s="481">
        <f>SUM('C19RM 2021-Pharma'!$AE23:$AH23)</f>
        <v>0</v>
      </c>
      <c r="AJ23" s="483">
        <f>IF(SETUP!$E$7="USD",(AI23*(IF(O23="USD",AD23,(AD23/'Master Data-C19RM'!$E$2)))),(AI23*(IF(O23="EUR",AD23,(AD23*'Master Data-C19RM'!$E$2)))))</f>
        <v>0</v>
      </c>
      <c r="AK23" s="444">
        <f>IF($O23="USD",_xlfn.IFNA(VLOOKUP($A23&amp;$E23&amp;$I23,PMsheet!$J:$K,2,0),0),(_xlfn.IFNA(VLOOKUP($A23&amp;$E23&amp;$I23,PMsheet!$J:$K,2,0),0)*'Master Data-C19RM'!$F$2))</f>
        <v>0</v>
      </c>
      <c r="AL23" s="441"/>
      <c r="AM23" s="441"/>
      <c r="AN23" s="441"/>
      <c r="AO23" s="441"/>
      <c r="AP23" s="481">
        <f>SUM('C19RM 2021-Pharma'!$AL23:$AO23)</f>
        <v>0</v>
      </c>
      <c r="AQ23" s="483">
        <f>IF(SETUP!$E$7="USD",(AP23*(IF(O23="USD",AK23,(AK23/'Master Data-C19RM'!$F$2)))),(AP23*(IF(O23="EUR",AK23,(AK23*'Master Data-C19RM'!$F$2)))))</f>
        <v>0</v>
      </c>
      <c r="AR23" s="444">
        <f>IF($O23="USD",_xlfn.IFNA(VLOOKUP($A23&amp;$E23&amp;$I23,PMsheet!$J:$K,2,0),0),(_xlfn.IFNA(VLOOKUP($A23&amp;$E23&amp;$I23,PMsheet!$J:$K,2,0),0)*'Master Data-C19RM'!$G$2))</f>
        <v>0</v>
      </c>
      <c r="AS23" s="441"/>
      <c r="AT23" s="441"/>
      <c r="AU23" s="441"/>
      <c r="AV23" s="441"/>
      <c r="AW23" s="481">
        <f>SUM('C19RM 2021-Pharma'!$AS23:$AV23)</f>
        <v>0</v>
      </c>
      <c r="AX23" s="483">
        <f>IF(SETUP!$E$7="USD",(AW23*(IF(O23="USD",AR23,(AR23/'Master Data-C19RM'!$G$2)))),(AW23*(IF(O23="EUR",AR23,(AR23*'Master Data-C19RM'!$G$2)))))</f>
        <v>0</v>
      </c>
      <c r="AY23" s="886"/>
      <c r="AZ23" s="887"/>
      <c r="BA23" s="887"/>
      <c r="BB23" s="887"/>
      <c r="BC23" s="887"/>
      <c r="BD23" s="887"/>
      <c r="BE23" s="888"/>
      <c r="BF23" s="505">
        <f>'C19RM 2021-Pharma'!$U23+'C19RM 2021-Pharma'!$AB23+'C19RM 2021-Pharma'!$AP23+'C19RM 2021-Pharma'!$AI23+$AW23+$BD23</f>
        <v>0</v>
      </c>
      <c r="BG23" s="483">
        <f>'C19RM 2021-Pharma'!$V23+'C19RM 2021-Pharma'!$AC23+'C19RM 2021-Pharma'!$AQ23+'C19RM 2021-Pharma'!$AJ23+$AX23+$BE23</f>
        <v>0</v>
      </c>
      <c r="BH23" s="500" t="str" cm="1">
        <f t="array" ref="BH23">IF(A23&lt;&gt;"",IFERROR(INDEX(PMtbl[[WKst]:[Unit of measure*]],MATCH($A$8&amp;$A23&amp;$E23&amp;$I23,INDEX(PMtbl[Sec]&amp;PMtbl[Category]&amp;PMtbl[Each]&amp;PMtbl[Packaging],0,),0),11),""),"")</f>
        <v/>
      </c>
      <c r="BI23" s="819"/>
      <c r="BJ23" s="502" t="str">
        <f>IFERROR(INDEX(SETUP!$C$19:$G$121,MATCH((INDEX(PMtbl[[WKst]:[Unit of measure*]],MATCH($A23&amp;$E23&amp;$I23,INDEX(PMtbl[Category]&amp;PMtbl[Each]&amp;PMtbl[Packaging],0,),0),3)),SETUP!$D$19:$D$121,0),5),"")</f>
        <v/>
      </c>
      <c r="BK23" s="438"/>
      <c r="BL23" s="193"/>
      <c r="BO23" s="12">
        <f>IF(N23="",0,IF(SETUP!$E$7="USD",((IF(O23="USD",P23,(P23/'Master Data-C19RM'!$C$2)))),((IF(O23="EUR",P23,(P23*'Master Data-C19RM'!$C$2))))))</f>
        <v>0</v>
      </c>
      <c r="BP23" s="12">
        <f>IF(N23="",0,IF(SETUP!$E$7="USD",((IF(O23="USD",W23,(W23/'Master Data-C19RM'!$D$2)))),((IF(O23="EUR",W23,(W23*'Master Data-C19RM'!$D$2))))))</f>
        <v>0</v>
      </c>
      <c r="BQ23">
        <f>IF(N23="",0,IF(SETUP!$E$7="USD",((IF(O23="USD",AD23,(AD23/'Master Data-C19RM'!$E$2)))),((IF(O23="EUR",AD23,(AD23*'Master Data-C19RM'!$E$2))))))</f>
        <v>0</v>
      </c>
      <c r="BR23">
        <f>IF(N23="",0,IF(SETUP!$E$7="USD",((IF(O23="USD",AK23,(AK23/'Master Data-C19RM'!$F$2)))),((IF(O23="EUR",AK23,(AK23*'Master Data-C19RM'!$F$2))))))</f>
        <v>0</v>
      </c>
      <c r="BS23">
        <f>IF(N23="",0,IF(SETUP!$E$7="USD",((IF(O23="USD",AR23,(AR23/'Master Data-C19RM'!$F$2)))),((IF(O23="EUR",AR23,(AR23*'Master Data-C19RM'!$G$2))))))</f>
        <v>0</v>
      </c>
      <c r="BT23">
        <f>IF(N23="",0,IF(SETUP!$E$7="USD",((IF(O23="USD",AY23,(AY23/'Master Data-C19RM'!$F$2)))),((IF(O23="EUR",AY23,(AY23*'Master Data-C19RM'!$H$2))))))</f>
        <v>0</v>
      </c>
      <c r="BU23" s="12">
        <f t="shared" si="1"/>
        <v>0</v>
      </c>
      <c r="BV23" s="142">
        <f t="shared" si="2"/>
        <v>0</v>
      </c>
    </row>
    <row r="24" spans="1:74" ht="14.9" customHeight="1" x14ac:dyDescent="0.35">
      <c r="A24" s="1172"/>
      <c r="B24" s="1172"/>
      <c r="C24" s="1172"/>
      <c r="D24" s="1172"/>
      <c r="E24" s="1172"/>
      <c r="F24" s="1172"/>
      <c r="G24" s="1172"/>
      <c r="H24" s="1172"/>
      <c r="I24" s="1173"/>
      <c r="J24" s="1173"/>
      <c r="K24" s="1173"/>
      <c r="L24" s="493" t="str" cm="1">
        <f t="array" ref="L24">IF(A24&lt;&gt;"",IFERROR(INDEX(PMtbl[[WKst]:[Unit of measure*]],MATCH($A$8&amp;$A24&amp;$E24&amp;$I24,INDEX(PMtbl[Sec]&amp;PMtbl[Category]&amp;PMtbl[Each]&amp;PMtbl[Packaging],0,),0),14),""),"")</f>
        <v/>
      </c>
      <c r="M24" s="480" t="str">
        <f>IF(L24="","",INDEX(SETUP!$E$20:$E$122,(MATCH(INDEX(PMsheet!$D:$E,MATCH(A24,PMsheet!E:E,0),1),SETUP!$D$20:$D$122,0))))</f>
        <v/>
      </c>
      <c r="N24" s="494">
        <f>IF($O24="USD",_xlfn.IFNA(VLOOKUP(A24&amp;E24&amp;I24,PMsheet!J:K,2,0),0),(_xlfn.IFNA(VLOOKUP(A24&amp;E24&amp;I24,PMsheet!J:K,2,0),0)*'Master Data-C19RM'!$C$2))</f>
        <v>0</v>
      </c>
      <c r="O24" s="495" t="str">
        <f>IF(L24="", "",SETUP!$E$7)</f>
        <v/>
      </c>
      <c r="P24" s="445">
        <f>IF($O24="USD",_xlfn.IFNA(VLOOKUP($A24&amp;$E24&amp;$I24,PMsheet!$J:$K,2,0),0),(_xlfn.IFNA(VLOOKUP($A24&amp;$E24&amp;$I24,PMsheet!$J:$K,2,0),0)*'Master Data-C19RM'!$C$2))</f>
        <v>0</v>
      </c>
      <c r="Q24" s="440"/>
      <c r="R24" s="440"/>
      <c r="S24" s="440"/>
      <c r="T24" s="440"/>
      <c r="U24" s="482">
        <f>SUM('C19RM 2021-Pharma'!$Q24:$T24)</f>
        <v>0</v>
      </c>
      <c r="V24" s="484">
        <f>IF(SETUP!$E$7="USD",(U24*(IF(O24="USD",P24,(P24/'Master Data-C19RM'!$C$2)))),(U24*(IF(O24="EUR",P24,(P24*'Master Data-C19RM'!$C$2)))))</f>
        <v>0</v>
      </c>
      <c r="W24" s="445">
        <f>IF($O24="USD",_xlfn.IFNA(VLOOKUP($A24&amp;$E24&amp;$I24,PMsheet!$J:$K,2,0),0),(_xlfn.IFNA(VLOOKUP($A24&amp;$E24&amp;$I24,PMsheet!$J:$K,2,0),0)*'Master Data-C19RM'!$D$2))</f>
        <v>0</v>
      </c>
      <c r="X24" s="440"/>
      <c r="Y24" s="440"/>
      <c r="Z24" s="440"/>
      <c r="AA24" s="440"/>
      <c r="AB24" s="482">
        <f>SUM('C19RM 2021-Pharma'!$X24:$AA24)</f>
        <v>0</v>
      </c>
      <c r="AC24" s="484">
        <f>IF(SETUP!$E$7="USD",(AB24*(IF(O24="USD",W24,(W24/'Master Data-C19RM'!$D$2)))),(AB24*(IF(O24="EUR",W24,(W24*'Master Data-C19RM'!$D$2)))))</f>
        <v>0</v>
      </c>
      <c r="AD24" s="445">
        <f>IF($O24="USD",_xlfn.IFNA(VLOOKUP($A24&amp;$E24&amp;$I24,PMsheet!$J:$K,2,0),0),(_xlfn.IFNA(VLOOKUP($A24&amp;$E24&amp;$I24,PMsheet!$J:$K,2,0),0)*'Master Data-C19RM'!$E$2))</f>
        <v>0</v>
      </c>
      <c r="AE24" s="440"/>
      <c r="AF24" s="440"/>
      <c r="AG24" s="440"/>
      <c r="AH24" s="440"/>
      <c r="AI24" s="482">
        <f>SUM('C19RM 2021-Pharma'!$AE24:$AH24)</f>
        <v>0</v>
      </c>
      <c r="AJ24" s="484">
        <f>IF(SETUP!$E$7="USD",(AI24*(IF(O24="USD",AD24,(AD24/'Master Data-C19RM'!$E$2)))),(AI24*(IF(O24="EUR",AD24,(AD24*'Master Data-C19RM'!$E$2)))))</f>
        <v>0</v>
      </c>
      <c r="AK24" s="445">
        <f>IF($O24="USD",_xlfn.IFNA(VLOOKUP($A24&amp;$E24&amp;$I24,PMsheet!$J:$K,2,0),0),(_xlfn.IFNA(VLOOKUP($A24&amp;$E24&amp;$I24,PMsheet!$J:$K,2,0),0)*'Master Data-C19RM'!$F$2))</f>
        <v>0</v>
      </c>
      <c r="AL24" s="440"/>
      <c r="AM24" s="440"/>
      <c r="AN24" s="440"/>
      <c r="AO24" s="440"/>
      <c r="AP24" s="482">
        <f>SUM('C19RM 2021-Pharma'!$AL24:$AO24)</f>
        <v>0</v>
      </c>
      <c r="AQ24" s="484">
        <f>IF(SETUP!$E$7="USD",(AP24*(IF(O24="USD",AK24,(AK24/'Master Data-C19RM'!$F$2)))),(AP24*(IF(O24="EUR",AK24,(AK24*'Master Data-C19RM'!$F$2)))))</f>
        <v>0</v>
      </c>
      <c r="AR24" s="445">
        <f>IF($O24="USD",_xlfn.IFNA(VLOOKUP($A24&amp;$E24&amp;$I24,PMsheet!$J:$K,2,0),0),(_xlfn.IFNA(VLOOKUP($A24&amp;$E24&amp;$I24,PMsheet!$J:$K,2,0),0)*'Master Data-C19RM'!$G$2))</f>
        <v>0</v>
      </c>
      <c r="AS24" s="440"/>
      <c r="AT24" s="440"/>
      <c r="AU24" s="440"/>
      <c r="AV24" s="440"/>
      <c r="AW24" s="482">
        <f>SUM('C19RM 2021-Pharma'!$AS24:$AV24)</f>
        <v>0</v>
      </c>
      <c r="AX24" s="484">
        <f>IF(SETUP!$E$7="USD",(AW24*(IF(O24="USD",AR24,(AR24/'Master Data-C19RM'!$G$2)))),(AW24*(IF(O24="EUR",AR24,(AR24*'Master Data-C19RM'!$G$2)))))</f>
        <v>0</v>
      </c>
      <c r="AY24" s="889"/>
      <c r="AZ24" s="884"/>
      <c r="BA24" s="884"/>
      <c r="BB24" s="884"/>
      <c r="BC24" s="884"/>
      <c r="BD24" s="884"/>
      <c r="BE24" s="885"/>
      <c r="BF24" s="504">
        <f>'C19RM 2021-Pharma'!$U24+'C19RM 2021-Pharma'!$AB24+'C19RM 2021-Pharma'!$AP24+'C19RM 2021-Pharma'!$AI24+$AW24+$BD24</f>
        <v>0</v>
      </c>
      <c r="BG24" s="484">
        <f>'C19RM 2021-Pharma'!$V24+'C19RM 2021-Pharma'!$AC24+'C19RM 2021-Pharma'!$AQ24+'C19RM 2021-Pharma'!$AJ24+$AX24+$BE24</f>
        <v>0</v>
      </c>
      <c r="BH24" s="499" t="str" cm="1">
        <f t="array" ref="BH24">IF(A24&lt;&gt;"",IFERROR(INDEX(PMtbl[[WKst]:[Unit of measure*]],MATCH($A$8&amp;$A24&amp;$E24&amp;$I24,INDEX(PMtbl[Sec]&amp;PMtbl[Category]&amp;PMtbl[Each]&amp;PMtbl[Packaging],0,),0),11),""),"")</f>
        <v/>
      </c>
      <c r="BI24" s="818"/>
      <c r="BJ24" s="503" t="str">
        <f>IFERROR(INDEX(SETUP!$C$19:$G$121,MATCH((INDEX(PMtbl[[WKst]:[Unit of measure*]],MATCH($A24&amp;$E24&amp;$I24,INDEX(PMtbl[Category]&amp;PMtbl[Each]&amp;PMtbl[Packaging],0,),0),3)),SETUP!$D$19:$D$121,0),5),"")</f>
        <v/>
      </c>
      <c r="BK24" s="439"/>
      <c r="BL24" s="194"/>
      <c r="BO24" s="12">
        <f>IF(N24="",0,IF(SETUP!$E$7="USD",((IF(O24="USD",P24,(P24/'Master Data-C19RM'!$C$2)))),((IF(O24="EUR",P24,(P24*'Master Data-C19RM'!$C$2))))))</f>
        <v>0</v>
      </c>
      <c r="BP24" s="12">
        <f>IF(N24="",0,IF(SETUP!$E$7="USD",((IF(O24="USD",W24,(W24/'Master Data-C19RM'!$D$2)))),((IF(O24="EUR",W24,(W24*'Master Data-C19RM'!$D$2))))))</f>
        <v>0</v>
      </c>
      <c r="BQ24">
        <f>IF(N24="",0,IF(SETUP!$E$7="USD",((IF(O24="USD",AD24,(AD24/'Master Data-C19RM'!$E$2)))),((IF(O24="EUR",AD24,(AD24*'Master Data-C19RM'!$E$2))))))</f>
        <v>0</v>
      </c>
      <c r="BR24">
        <f>IF(N24="",0,IF(SETUP!$E$7="USD",((IF(O24="USD",AK24,(AK24/'Master Data-C19RM'!$F$2)))),((IF(O24="EUR",AK24,(AK24*'Master Data-C19RM'!$F$2))))))</f>
        <v>0</v>
      </c>
      <c r="BS24">
        <f>IF(N24="",0,IF(SETUP!$E$7="USD",((IF(O24="USD",AR24,(AR24/'Master Data-C19RM'!$F$2)))),((IF(O24="EUR",AR24,(AR24*'Master Data-C19RM'!$G$2))))))</f>
        <v>0</v>
      </c>
      <c r="BT24">
        <f>IF(N24="",0,IF(SETUP!$E$7="USD",((IF(O24="USD",AY24,(AY24/'Master Data-C19RM'!$F$2)))),((IF(O24="EUR",AY24,(AY24*'Master Data-C19RM'!$H$2))))))</f>
        <v>0</v>
      </c>
      <c r="BU24" s="12">
        <f t="shared" si="1"/>
        <v>0</v>
      </c>
      <c r="BV24" s="142">
        <f t="shared" si="2"/>
        <v>0</v>
      </c>
    </row>
    <row r="25" spans="1:74" ht="14.9" customHeight="1" x14ac:dyDescent="0.35">
      <c r="A25" s="1165"/>
      <c r="B25" s="1165"/>
      <c r="C25" s="1165"/>
      <c r="D25" s="1165"/>
      <c r="E25" s="1166"/>
      <c r="F25" s="1166"/>
      <c r="G25" s="1166"/>
      <c r="H25" s="1166"/>
      <c r="I25" s="1166"/>
      <c r="J25" s="1166"/>
      <c r="K25" s="1166"/>
      <c r="L25" s="490" t="str" cm="1">
        <f t="array" ref="L25">IF(A25&lt;&gt;"",IFERROR(INDEX(PMtbl[[WKst]:[Unit of measure*]],MATCH($A$8&amp;$A25&amp;$E25&amp;$I25,INDEX(PMtbl[Sec]&amp;PMtbl[Category]&amp;PMtbl[Each]&amp;PMtbl[Packaging],0,),0),14),""),"")</f>
        <v/>
      </c>
      <c r="M25" s="479" t="str">
        <f>IF(L25="","",INDEX(SETUP!$E$20:$E$122,(MATCH(INDEX(PMsheet!$D:$E,MATCH(A25,PMsheet!E:E,0),1),SETUP!$D$20:$D$122,0))))</f>
        <v/>
      </c>
      <c r="N25" s="491">
        <f>IF($O25="USD",_xlfn.IFNA(VLOOKUP(A25&amp;E25&amp;I25,PMsheet!J:K,2,0),0),(_xlfn.IFNA(VLOOKUP(A25&amp;E25&amp;I25,PMsheet!J:K,2,0),0)*'Master Data-C19RM'!$C$2))</f>
        <v>0</v>
      </c>
      <c r="O25" s="492" t="str">
        <f>IF(L25="", "",SETUP!$E$7)</f>
        <v/>
      </c>
      <c r="P25" s="444">
        <f>IF($O25="USD",_xlfn.IFNA(VLOOKUP($A25&amp;$E25&amp;$I25,PMsheet!$J:$K,2,0),0),(_xlfn.IFNA(VLOOKUP($A25&amp;$E25&amp;$I25,PMsheet!$J:$K,2,0),0)*'Master Data-C19RM'!$C$2))</f>
        <v>0</v>
      </c>
      <c r="Q25" s="441"/>
      <c r="R25" s="441"/>
      <c r="S25" s="441"/>
      <c r="T25" s="441"/>
      <c r="U25" s="481">
        <f>SUM('C19RM 2021-Pharma'!$Q25:$T25)</f>
        <v>0</v>
      </c>
      <c r="V25" s="483">
        <f>IF(SETUP!$E$7="USD",(U25*(IF(O25="USD",P25,(P25/'Master Data-C19RM'!$C$2)))),(U25*(IF(O25="EUR",P25,(P25*'Master Data-C19RM'!$C$2)))))</f>
        <v>0</v>
      </c>
      <c r="W25" s="444">
        <f>IF($O25="USD",_xlfn.IFNA(VLOOKUP($A25&amp;$E25&amp;$I25,PMsheet!$J:$K,2,0),0),(_xlfn.IFNA(VLOOKUP($A25&amp;$E25&amp;$I25,PMsheet!$J:$K,2,0),0)*'Master Data-C19RM'!$D$2))</f>
        <v>0</v>
      </c>
      <c r="X25" s="441"/>
      <c r="Y25" s="441"/>
      <c r="Z25" s="441"/>
      <c r="AA25" s="441"/>
      <c r="AB25" s="481">
        <f>SUM('C19RM 2021-Pharma'!$X25:$AA25)</f>
        <v>0</v>
      </c>
      <c r="AC25" s="483">
        <f>IF(SETUP!$E$7="USD",(AB25*(IF(O25="USD",W25,(W25/'Master Data-C19RM'!$D$2)))),(AB25*(IF(O25="EUR",W25,(W25*'Master Data-C19RM'!$D$2)))))</f>
        <v>0</v>
      </c>
      <c r="AD25" s="444">
        <f>IF($O25="USD",_xlfn.IFNA(VLOOKUP($A25&amp;$E25&amp;$I25,PMsheet!$J:$K,2,0),0),(_xlfn.IFNA(VLOOKUP($A25&amp;$E25&amp;$I25,PMsheet!$J:$K,2,0),0)*'Master Data-C19RM'!$E$2))</f>
        <v>0</v>
      </c>
      <c r="AE25" s="441"/>
      <c r="AF25" s="441"/>
      <c r="AG25" s="441"/>
      <c r="AH25" s="441"/>
      <c r="AI25" s="481">
        <f>SUM('C19RM 2021-Pharma'!$AE25:$AH25)</f>
        <v>0</v>
      </c>
      <c r="AJ25" s="483">
        <f>IF(SETUP!$E$7="USD",(AI25*(IF(O25="USD",AD25,(AD25/'Master Data-C19RM'!$E$2)))),(AI25*(IF(O25="EUR",AD25,(AD25*'Master Data-C19RM'!$E$2)))))</f>
        <v>0</v>
      </c>
      <c r="AK25" s="444">
        <f>IF($O25="USD",_xlfn.IFNA(VLOOKUP($A25&amp;$E25&amp;$I25,PMsheet!$J:$K,2,0),0),(_xlfn.IFNA(VLOOKUP($A25&amp;$E25&amp;$I25,PMsheet!$J:$K,2,0),0)*'Master Data-C19RM'!$F$2))</f>
        <v>0</v>
      </c>
      <c r="AL25" s="441"/>
      <c r="AM25" s="441"/>
      <c r="AN25" s="441"/>
      <c r="AO25" s="441"/>
      <c r="AP25" s="481">
        <f>SUM('C19RM 2021-Pharma'!$AL25:$AO25)</f>
        <v>0</v>
      </c>
      <c r="AQ25" s="483">
        <f>IF(SETUP!$E$7="USD",(AP25*(IF(O25="USD",AK25,(AK25/'Master Data-C19RM'!$F$2)))),(AP25*(IF(O25="EUR",AK25,(AK25*'Master Data-C19RM'!$F$2)))))</f>
        <v>0</v>
      </c>
      <c r="AR25" s="444">
        <f>IF($O25="USD",_xlfn.IFNA(VLOOKUP($A25&amp;$E25&amp;$I25,PMsheet!$J:$K,2,0),0),(_xlfn.IFNA(VLOOKUP($A25&amp;$E25&amp;$I25,PMsheet!$J:$K,2,0),0)*'Master Data-C19RM'!$G$2))</f>
        <v>0</v>
      </c>
      <c r="AS25" s="441"/>
      <c r="AT25" s="441"/>
      <c r="AU25" s="441"/>
      <c r="AV25" s="441"/>
      <c r="AW25" s="481">
        <f>SUM('C19RM 2021-Pharma'!$AS25:$AV25)</f>
        <v>0</v>
      </c>
      <c r="AX25" s="483">
        <f>IF(SETUP!$E$7="USD",(AW25*(IF(O25="USD",AR25,(AR25/'Master Data-C19RM'!$G$2)))),(AW25*(IF(O25="EUR",AR25,(AR25*'Master Data-C19RM'!$G$2)))))</f>
        <v>0</v>
      </c>
      <c r="AY25" s="886"/>
      <c r="AZ25" s="887"/>
      <c r="BA25" s="887"/>
      <c r="BB25" s="887"/>
      <c r="BC25" s="887"/>
      <c r="BD25" s="887"/>
      <c r="BE25" s="888"/>
      <c r="BF25" s="505">
        <f>'C19RM 2021-Pharma'!$U25+'C19RM 2021-Pharma'!$AB25+'C19RM 2021-Pharma'!$AP25+'C19RM 2021-Pharma'!$AI25+$AW25+$BD25</f>
        <v>0</v>
      </c>
      <c r="BG25" s="483">
        <f>'C19RM 2021-Pharma'!$V25+'C19RM 2021-Pharma'!$AC25+'C19RM 2021-Pharma'!$AQ25+'C19RM 2021-Pharma'!$AJ25+$AX25+$BE25</f>
        <v>0</v>
      </c>
      <c r="BH25" s="500" t="str" cm="1">
        <f t="array" ref="BH25">IF(A25&lt;&gt;"",IFERROR(INDEX(PMtbl[[WKst]:[Unit of measure*]],MATCH($A$8&amp;$A25&amp;$E25&amp;$I25,INDEX(PMtbl[Sec]&amp;PMtbl[Category]&amp;PMtbl[Each]&amp;PMtbl[Packaging],0,),0),11),""),"")</f>
        <v/>
      </c>
      <c r="BI25" s="819"/>
      <c r="BJ25" s="502" t="str">
        <f>IFERROR(INDEX(SETUP!$C$19:$G$121,MATCH((INDEX(PMtbl[[WKst]:[Unit of measure*]],MATCH($A25&amp;$E25&amp;$I25,INDEX(PMtbl[Category]&amp;PMtbl[Each]&amp;PMtbl[Packaging],0,),0),3)),SETUP!$D$19:$D$121,0),5),"")</f>
        <v/>
      </c>
      <c r="BK25" s="438"/>
      <c r="BL25" s="193"/>
      <c r="BO25" s="12">
        <f>IF(N25="",0,IF(SETUP!$E$7="USD",((IF(O25="USD",P25,(P25/'Master Data-C19RM'!$C$2)))),((IF(O25="EUR",P25,(P25*'Master Data-C19RM'!$C$2))))))</f>
        <v>0</v>
      </c>
      <c r="BP25" s="12">
        <f>IF(N25="",0,IF(SETUP!$E$7="USD",((IF(O25="USD",W25,(W25/'Master Data-C19RM'!$D$2)))),((IF(O25="EUR",W25,(W25*'Master Data-C19RM'!$D$2))))))</f>
        <v>0</v>
      </c>
      <c r="BQ25">
        <f>IF(N25="",0,IF(SETUP!$E$7="USD",((IF(O25="USD",AD25,(AD25/'Master Data-C19RM'!$E$2)))),((IF(O25="EUR",AD25,(AD25*'Master Data-C19RM'!$E$2))))))</f>
        <v>0</v>
      </c>
      <c r="BR25">
        <f>IF(N25="",0,IF(SETUP!$E$7="USD",((IF(O25="USD",AK25,(AK25/'Master Data-C19RM'!$F$2)))),((IF(O25="EUR",AK25,(AK25*'Master Data-C19RM'!$F$2))))))</f>
        <v>0</v>
      </c>
      <c r="BS25">
        <f>IF(N25="",0,IF(SETUP!$E$7="USD",((IF(O25="USD",AR25,(AR25/'Master Data-C19RM'!$F$2)))),((IF(O25="EUR",AR25,(AR25*'Master Data-C19RM'!$G$2))))))</f>
        <v>0</v>
      </c>
      <c r="BT25">
        <f>IF(N25="",0,IF(SETUP!$E$7="USD",((IF(O25="USD",AY25,(AY25/'Master Data-C19RM'!$F$2)))),((IF(O25="EUR",AY25,(AY25*'Master Data-C19RM'!$H$2))))))</f>
        <v>0</v>
      </c>
      <c r="BU25" s="12">
        <f t="shared" si="1"/>
        <v>0</v>
      </c>
      <c r="BV25" s="142">
        <f t="shared" si="2"/>
        <v>0</v>
      </c>
    </row>
    <row r="26" spans="1:74" ht="14.9" customHeight="1" x14ac:dyDescent="0.35">
      <c r="A26" s="1172"/>
      <c r="B26" s="1172"/>
      <c r="C26" s="1172"/>
      <c r="D26" s="1172"/>
      <c r="E26" s="1172"/>
      <c r="F26" s="1172"/>
      <c r="G26" s="1172"/>
      <c r="H26" s="1172"/>
      <c r="I26" s="1173"/>
      <c r="J26" s="1173"/>
      <c r="K26" s="1173"/>
      <c r="L26" s="493" t="str" cm="1">
        <f t="array" ref="L26">IF(A26&lt;&gt;"",IFERROR(INDEX(PMtbl[[WKst]:[Unit of measure*]],MATCH($A$8&amp;$A26&amp;$E26&amp;$I26,INDEX(PMtbl[Sec]&amp;PMtbl[Category]&amp;PMtbl[Each]&amp;PMtbl[Packaging],0,),0),14),""),"")</f>
        <v/>
      </c>
      <c r="M26" s="480" t="str">
        <f>IF(L26="","",INDEX(SETUP!$E$20:$E$122,(MATCH(INDEX(PMsheet!$D:$E,MATCH(A26,PMsheet!E:E,0),1),SETUP!$D$20:$D$122,0))))</f>
        <v/>
      </c>
      <c r="N26" s="494">
        <f>IF($O26="USD",_xlfn.IFNA(VLOOKUP(A26&amp;E26&amp;I26,PMsheet!J:K,2,0),0),(_xlfn.IFNA(VLOOKUP(A26&amp;E26&amp;I26,PMsheet!J:K,2,0),0)*'Master Data-C19RM'!$C$2))</f>
        <v>0</v>
      </c>
      <c r="O26" s="495" t="str">
        <f>IF(L26="", "",SETUP!$E$7)</f>
        <v/>
      </c>
      <c r="P26" s="445">
        <f>IF($O26="USD",_xlfn.IFNA(VLOOKUP($A26&amp;$E26&amp;$I26,PMsheet!$J:$K,2,0),0),(_xlfn.IFNA(VLOOKUP($A26&amp;$E26&amp;$I26,PMsheet!$J:$K,2,0),0)*'Master Data-C19RM'!$C$2))</f>
        <v>0</v>
      </c>
      <c r="Q26" s="440"/>
      <c r="R26" s="440"/>
      <c r="S26" s="440"/>
      <c r="T26" s="440"/>
      <c r="U26" s="482">
        <f>SUM('C19RM 2021-Pharma'!$Q26:$T26)</f>
        <v>0</v>
      </c>
      <c r="V26" s="484">
        <f>IF(SETUP!$E$7="USD",(U26*(IF(O26="USD",P26,(P26/'Master Data-C19RM'!$C$2)))),(U26*(IF(O26="EUR",P26,(P26*'Master Data-C19RM'!$C$2)))))</f>
        <v>0</v>
      </c>
      <c r="W26" s="445">
        <f>IF($O26="USD",_xlfn.IFNA(VLOOKUP($A26&amp;$E26&amp;$I26,PMsheet!$J:$K,2,0),0),(_xlfn.IFNA(VLOOKUP($A26&amp;$E26&amp;$I26,PMsheet!$J:$K,2,0),0)*'Master Data-C19RM'!$D$2))</f>
        <v>0</v>
      </c>
      <c r="X26" s="440"/>
      <c r="Y26" s="440"/>
      <c r="Z26" s="440"/>
      <c r="AA26" s="440"/>
      <c r="AB26" s="482">
        <f>SUM('C19RM 2021-Pharma'!$X26:$AA26)</f>
        <v>0</v>
      </c>
      <c r="AC26" s="484">
        <f>IF(SETUP!$E$7="USD",(AB26*(IF(O26="USD",W26,(W26/'Master Data-C19RM'!$D$2)))),(AB26*(IF(O26="EUR",W26,(W26*'Master Data-C19RM'!$D$2)))))</f>
        <v>0</v>
      </c>
      <c r="AD26" s="445">
        <f>IF($O26="USD",_xlfn.IFNA(VLOOKUP($A26&amp;$E26&amp;$I26,PMsheet!$J:$K,2,0),0),(_xlfn.IFNA(VLOOKUP($A26&amp;$E26&amp;$I26,PMsheet!$J:$K,2,0),0)*'Master Data-C19RM'!$E$2))</f>
        <v>0</v>
      </c>
      <c r="AE26" s="440"/>
      <c r="AF26" s="440"/>
      <c r="AG26" s="440"/>
      <c r="AH26" s="440"/>
      <c r="AI26" s="482">
        <f>SUM('C19RM 2021-Pharma'!$AE26:$AH26)</f>
        <v>0</v>
      </c>
      <c r="AJ26" s="484">
        <f>IF(SETUP!$E$7="USD",(AI26*(IF(O26="USD",AD26,(AD26/'Master Data-C19RM'!$E$2)))),(AI26*(IF(O26="EUR",AD26,(AD26*'Master Data-C19RM'!$E$2)))))</f>
        <v>0</v>
      </c>
      <c r="AK26" s="445">
        <f>IF($O26="USD",_xlfn.IFNA(VLOOKUP($A26&amp;$E26&amp;$I26,PMsheet!$J:$K,2,0),0),(_xlfn.IFNA(VLOOKUP($A26&amp;$E26&amp;$I26,PMsheet!$J:$K,2,0),0)*'Master Data-C19RM'!$F$2))</f>
        <v>0</v>
      </c>
      <c r="AL26" s="440"/>
      <c r="AM26" s="440"/>
      <c r="AN26" s="440"/>
      <c r="AO26" s="440"/>
      <c r="AP26" s="482">
        <f>SUM('C19RM 2021-Pharma'!$AL26:$AO26)</f>
        <v>0</v>
      </c>
      <c r="AQ26" s="484">
        <f>IF(SETUP!$E$7="USD",(AP26*(IF(O26="USD",AK26,(AK26/'Master Data-C19RM'!$F$2)))),(AP26*(IF(O26="EUR",AK26,(AK26*'Master Data-C19RM'!$F$2)))))</f>
        <v>0</v>
      </c>
      <c r="AR26" s="445">
        <f>IF($O26="USD",_xlfn.IFNA(VLOOKUP($A26&amp;$E26&amp;$I26,PMsheet!$J:$K,2,0),0),(_xlfn.IFNA(VLOOKUP($A26&amp;$E26&amp;$I26,PMsheet!$J:$K,2,0),0)*'Master Data-C19RM'!$G$2))</f>
        <v>0</v>
      </c>
      <c r="AS26" s="440"/>
      <c r="AT26" s="440"/>
      <c r="AU26" s="440"/>
      <c r="AV26" s="440"/>
      <c r="AW26" s="482">
        <f>SUM('C19RM 2021-Pharma'!$AS26:$AV26)</f>
        <v>0</v>
      </c>
      <c r="AX26" s="484">
        <f>IF(SETUP!$E$7="USD",(AW26*(IF(O26="USD",AR26,(AR26/'Master Data-C19RM'!$G$2)))),(AW26*(IF(O26="EUR",AR26,(AR26*'Master Data-C19RM'!$G$2)))))</f>
        <v>0</v>
      </c>
      <c r="AY26" s="889"/>
      <c r="AZ26" s="884"/>
      <c r="BA26" s="884"/>
      <c r="BB26" s="884"/>
      <c r="BC26" s="884"/>
      <c r="BD26" s="884"/>
      <c r="BE26" s="885"/>
      <c r="BF26" s="504">
        <f>'C19RM 2021-Pharma'!$U26+'C19RM 2021-Pharma'!$AB26+'C19RM 2021-Pharma'!$AP26+'C19RM 2021-Pharma'!$AI26+$AW26+$BD26</f>
        <v>0</v>
      </c>
      <c r="BG26" s="484">
        <f>'C19RM 2021-Pharma'!$V26+'C19RM 2021-Pharma'!$AC26+'C19RM 2021-Pharma'!$AQ26+'C19RM 2021-Pharma'!$AJ26+$AX26+$BE26</f>
        <v>0</v>
      </c>
      <c r="BH26" s="499" t="str" cm="1">
        <f t="array" ref="BH26">IF(A26&lt;&gt;"",IFERROR(INDEX(PMtbl[[WKst]:[Unit of measure*]],MATCH($A$8&amp;$A26&amp;$E26&amp;$I26,INDEX(PMtbl[Sec]&amp;PMtbl[Category]&amp;PMtbl[Each]&amp;PMtbl[Packaging],0,),0),11),""),"")</f>
        <v/>
      </c>
      <c r="BI26" s="818"/>
      <c r="BJ26" s="503" t="str">
        <f>IFERROR(INDEX(SETUP!$C$19:$G$121,MATCH((INDEX(PMtbl[[WKst]:[Unit of measure*]],MATCH($A26&amp;$E26&amp;$I26,INDEX(PMtbl[Category]&amp;PMtbl[Each]&amp;PMtbl[Packaging],0,),0),3)),SETUP!$D$19:$D$121,0),5),"")</f>
        <v/>
      </c>
      <c r="BK26" s="439"/>
      <c r="BL26" s="194"/>
      <c r="BO26" s="12">
        <f>IF(N26="",0,IF(SETUP!$E$7="USD",((IF(O26="USD",P26,(P26/'Master Data-C19RM'!$C$2)))),((IF(O26="EUR",P26,(P26*'Master Data-C19RM'!$C$2))))))</f>
        <v>0</v>
      </c>
      <c r="BP26" s="12">
        <f>IF(N26="",0,IF(SETUP!$E$7="USD",((IF(O26="USD",W26,(W26/'Master Data-C19RM'!$D$2)))),((IF(O26="EUR",W26,(W26*'Master Data-C19RM'!$D$2))))))</f>
        <v>0</v>
      </c>
      <c r="BQ26">
        <f>IF(N26="",0,IF(SETUP!$E$7="USD",((IF(O26="USD",AD26,(AD26/'Master Data-C19RM'!$E$2)))),((IF(O26="EUR",AD26,(AD26*'Master Data-C19RM'!$E$2))))))</f>
        <v>0</v>
      </c>
      <c r="BR26">
        <f>IF(N26="",0,IF(SETUP!$E$7="USD",((IF(O26="USD",AK26,(AK26/'Master Data-C19RM'!$F$2)))),((IF(O26="EUR",AK26,(AK26*'Master Data-C19RM'!$F$2))))))</f>
        <v>0</v>
      </c>
      <c r="BS26">
        <f>IF(N26="",0,IF(SETUP!$E$7="USD",((IF(O26="USD",AR26,(AR26/'Master Data-C19RM'!$F$2)))),((IF(O26="EUR",AR26,(AR26*'Master Data-C19RM'!$G$2))))))</f>
        <v>0</v>
      </c>
      <c r="BT26">
        <f>IF(N26="",0,IF(SETUP!$E$7="USD",((IF(O26="USD",AY26,(AY26/'Master Data-C19RM'!$F$2)))),((IF(O26="EUR",AY26,(AY26*'Master Data-C19RM'!$H$2))))))</f>
        <v>0</v>
      </c>
      <c r="BU26" s="12">
        <f t="shared" si="1"/>
        <v>0</v>
      </c>
      <c r="BV26" s="142">
        <f t="shared" si="2"/>
        <v>0</v>
      </c>
    </row>
    <row r="27" spans="1:74" ht="14.9" customHeight="1" x14ac:dyDescent="0.35">
      <c r="A27" s="1165"/>
      <c r="B27" s="1165"/>
      <c r="C27" s="1165"/>
      <c r="D27" s="1165"/>
      <c r="E27" s="1166"/>
      <c r="F27" s="1166"/>
      <c r="G27" s="1166"/>
      <c r="H27" s="1166"/>
      <c r="I27" s="1166"/>
      <c r="J27" s="1166"/>
      <c r="K27" s="1166"/>
      <c r="L27" s="490" t="str" cm="1">
        <f t="array" ref="L27">IF(A27&lt;&gt;"",IFERROR(INDEX(PMtbl[[WKst]:[Unit of measure*]],MATCH($A$8&amp;$A27&amp;$E27&amp;$I27,INDEX(PMtbl[Sec]&amp;PMtbl[Category]&amp;PMtbl[Each]&amp;PMtbl[Packaging],0,),0),14),""),"")</f>
        <v/>
      </c>
      <c r="M27" s="479" t="str">
        <f>IF(L27="","",INDEX(SETUP!$E$20:$E$122,(MATCH(INDEX(PMsheet!$D:$E,MATCH(A27,PMsheet!E:E,0),1),SETUP!$D$20:$D$122,0))))</f>
        <v/>
      </c>
      <c r="N27" s="491">
        <f>IF($O27="USD",_xlfn.IFNA(VLOOKUP(A27&amp;E27&amp;I27,PMsheet!J:K,2,0),0),(_xlfn.IFNA(VLOOKUP(A27&amp;E27&amp;I27,PMsheet!J:K,2,0),0)*'Master Data-C19RM'!$C$2))</f>
        <v>0</v>
      </c>
      <c r="O27" s="492" t="str">
        <f>IF(L27="", "",SETUP!$E$7)</f>
        <v/>
      </c>
      <c r="P27" s="444">
        <f>IF($O27="USD",_xlfn.IFNA(VLOOKUP($A27&amp;$E27&amp;$I27,PMsheet!$J:$K,2,0),0),(_xlfn.IFNA(VLOOKUP($A27&amp;$E27&amp;$I27,PMsheet!$J:$K,2,0),0)*'Master Data-C19RM'!$C$2))</f>
        <v>0</v>
      </c>
      <c r="Q27" s="441"/>
      <c r="R27" s="441"/>
      <c r="S27" s="441"/>
      <c r="T27" s="441"/>
      <c r="U27" s="481">
        <f>SUM('C19RM 2021-Pharma'!$Q27:$T27)</f>
        <v>0</v>
      </c>
      <c r="V27" s="483">
        <f>IF(SETUP!$E$7="USD",(U27*(IF(O27="USD",P27,(P27/'Master Data-C19RM'!$C$2)))),(U27*(IF(O27="EUR",P27,(P27*'Master Data-C19RM'!$C$2)))))</f>
        <v>0</v>
      </c>
      <c r="W27" s="444">
        <f>IF($O27="USD",_xlfn.IFNA(VLOOKUP($A27&amp;$E27&amp;$I27,PMsheet!$J:$K,2,0),0),(_xlfn.IFNA(VLOOKUP($A27&amp;$E27&amp;$I27,PMsheet!$J:$K,2,0),0)*'Master Data-C19RM'!$D$2))</f>
        <v>0</v>
      </c>
      <c r="X27" s="441"/>
      <c r="Y27" s="441"/>
      <c r="Z27" s="441"/>
      <c r="AA27" s="441"/>
      <c r="AB27" s="481">
        <f>SUM('C19RM 2021-Pharma'!$X27:$AA27)</f>
        <v>0</v>
      </c>
      <c r="AC27" s="483">
        <f>IF(SETUP!$E$7="USD",(AB27*(IF(O27="USD",W27,(W27/'Master Data-C19RM'!$D$2)))),(AB27*(IF(O27="EUR",W27,(W27*'Master Data-C19RM'!$D$2)))))</f>
        <v>0</v>
      </c>
      <c r="AD27" s="444">
        <f>IF($O27="USD",_xlfn.IFNA(VLOOKUP($A27&amp;$E27&amp;$I27,PMsheet!$J:$K,2,0),0),(_xlfn.IFNA(VLOOKUP($A27&amp;$E27&amp;$I27,PMsheet!$J:$K,2,0),0)*'Master Data-C19RM'!$E$2))</f>
        <v>0</v>
      </c>
      <c r="AE27" s="441"/>
      <c r="AF27" s="441"/>
      <c r="AG27" s="441"/>
      <c r="AH27" s="441"/>
      <c r="AI27" s="481">
        <f>SUM('C19RM 2021-Pharma'!$AE27:$AH27)</f>
        <v>0</v>
      </c>
      <c r="AJ27" s="483">
        <f>IF(SETUP!$E$7="USD",(AI27*(IF(O27="USD",AD27,(AD27/'Master Data-C19RM'!$E$2)))),(AI27*(IF(O27="EUR",AD27,(AD27*'Master Data-C19RM'!$E$2)))))</f>
        <v>0</v>
      </c>
      <c r="AK27" s="444">
        <f>IF($O27="USD",_xlfn.IFNA(VLOOKUP($A27&amp;$E27&amp;$I27,PMsheet!$J:$K,2,0),0),(_xlfn.IFNA(VLOOKUP($A27&amp;$E27&amp;$I27,PMsheet!$J:$K,2,0),0)*'Master Data-C19RM'!$F$2))</f>
        <v>0</v>
      </c>
      <c r="AL27" s="441"/>
      <c r="AM27" s="441"/>
      <c r="AN27" s="441"/>
      <c r="AO27" s="441"/>
      <c r="AP27" s="481">
        <f>SUM('C19RM 2021-Pharma'!$AL27:$AO27)</f>
        <v>0</v>
      </c>
      <c r="AQ27" s="483">
        <f>IF(SETUP!$E$7="USD",(AP27*(IF(O27="USD",AK27,(AK27/'Master Data-C19RM'!$F$2)))),(AP27*(IF(O27="EUR",AK27,(AK27*'Master Data-C19RM'!$F$2)))))</f>
        <v>0</v>
      </c>
      <c r="AR27" s="444">
        <f>IF($O27="USD",_xlfn.IFNA(VLOOKUP($A27&amp;$E27&amp;$I27,PMsheet!$J:$K,2,0),0),(_xlfn.IFNA(VLOOKUP($A27&amp;$E27&amp;$I27,PMsheet!$J:$K,2,0),0)*'Master Data-C19RM'!$G$2))</f>
        <v>0</v>
      </c>
      <c r="AS27" s="441"/>
      <c r="AT27" s="441"/>
      <c r="AU27" s="441"/>
      <c r="AV27" s="441"/>
      <c r="AW27" s="481">
        <f>SUM('C19RM 2021-Pharma'!$AS27:$AV27)</f>
        <v>0</v>
      </c>
      <c r="AX27" s="483">
        <f>IF(SETUP!$E$7="USD",(AW27*(IF(O27="USD",AR27,(AR27/'Master Data-C19RM'!$G$2)))),(AW27*(IF(O27="EUR",AR27,(AR27*'Master Data-C19RM'!$G$2)))))</f>
        <v>0</v>
      </c>
      <c r="AY27" s="886"/>
      <c r="AZ27" s="887"/>
      <c r="BA27" s="887"/>
      <c r="BB27" s="887"/>
      <c r="BC27" s="887"/>
      <c r="BD27" s="887"/>
      <c r="BE27" s="888"/>
      <c r="BF27" s="505">
        <f>'C19RM 2021-Pharma'!$U27+'C19RM 2021-Pharma'!$AB27+'C19RM 2021-Pharma'!$AP27+'C19RM 2021-Pharma'!$AI27+$AW27+$BD27</f>
        <v>0</v>
      </c>
      <c r="BG27" s="483">
        <f>'C19RM 2021-Pharma'!$V27+'C19RM 2021-Pharma'!$AC27+'C19RM 2021-Pharma'!$AQ27+'C19RM 2021-Pharma'!$AJ27+$AX27+$BE27</f>
        <v>0</v>
      </c>
      <c r="BH27" s="500" t="str" cm="1">
        <f t="array" ref="BH27">IF(A27&lt;&gt;"",IFERROR(INDEX(PMtbl[[WKst]:[Unit of measure*]],MATCH($A$8&amp;$A27&amp;$E27&amp;$I27,INDEX(PMtbl[Sec]&amp;PMtbl[Category]&amp;PMtbl[Each]&amp;PMtbl[Packaging],0,),0),11),""),"")</f>
        <v/>
      </c>
      <c r="BI27" s="819"/>
      <c r="BJ27" s="502" t="str">
        <f>IFERROR(INDEX(SETUP!$C$19:$G$121,MATCH((INDEX(PMtbl[[WKst]:[Unit of measure*]],MATCH($A27&amp;$E27&amp;$I27,INDEX(PMtbl[Category]&amp;PMtbl[Each]&amp;PMtbl[Packaging],0,),0),3)),SETUP!$D$19:$D$121,0),5),"")</f>
        <v/>
      </c>
      <c r="BK27" s="438"/>
      <c r="BL27" s="193"/>
      <c r="BO27" s="12">
        <f>IF(N27="",0,IF(SETUP!$E$7="USD",((IF(O27="USD",P27,(P27/'Master Data-C19RM'!$C$2)))),((IF(O27="EUR",P27,(P27*'Master Data-C19RM'!$C$2))))))</f>
        <v>0</v>
      </c>
      <c r="BP27" s="12">
        <f>IF(N27="",0,IF(SETUP!$E$7="USD",((IF(O27="USD",W27,(W27/'Master Data-C19RM'!$D$2)))),((IF(O27="EUR",W27,(W27*'Master Data-C19RM'!$D$2))))))</f>
        <v>0</v>
      </c>
      <c r="BQ27">
        <f>IF(N27="",0,IF(SETUP!$E$7="USD",((IF(O27="USD",AD27,(AD27/'Master Data-C19RM'!$E$2)))),((IF(O27="EUR",AD27,(AD27*'Master Data-C19RM'!$E$2))))))</f>
        <v>0</v>
      </c>
      <c r="BR27">
        <f>IF(N27="",0,IF(SETUP!$E$7="USD",((IF(O27="USD",AK27,(AK27/'Master Data-C19RM'!$F$2)))),((IF(O27="EUR",AK27,(AK27*'Master Data-C19RM'!$F$2))))))</f>
        <v>0</v>
      </c>
      <c r="BS27">
        <f>IF(N27="",0,IF(SETUP!$E$7="USD",((IF(O27="USD",AR27,(AR27/'Master Data-C19RM'!$F$2)))),((IF(O27="EUR",AR27,(AR27*'Master Data-C19RM'!$G$2))))))</f>
        <v>0</v>
      </c>
      <c r="BT27">
        <f>IF(N27="",0,IF(SETUP!$E$7="USD",((IF(O27="USD",AY27,(AY27/'Master Data-C19RM'!$F$2)))),((IF(O27="EUR",AY27,(AY27*'Master Data-C19RM'!$H$2))))))</f>
        <v>0</v>
      </c>
      <c r="BU27" s="12">
        <f t="shared" si="1"/>
        <v>0</v>
      </c>
      <c r="BV27" s="142">
        <f t="shared" si="2"/>
        <v>0</v>
      </c>
    </row>
    <row r="28" spans="1:74" ht="14.9" customHeight="1" x14ac:dyDescent="0.35">
      <c r="A28" s="1172"/>
      <c r="B28" s="1172"/>
      <c r="C28" s="1172"/>
      <c r="D28" s="1172"/>
      <c r="E28" s="1172"/>
      <c r="F28" s="1172"/>
      <c r="G28" s="1172"/>
      <c r="H28" s="1172"/>
      <c r="I28" s="1173"/>
      <c r="J28" s="1173"/>
      <c r="K28" s="1173"/>
      <c r="L28" s="493" t="str" cm="1">
        <f t="array" ref="L28">IF(A28&lt;&gt;"",IFERROR(INDEX(PMtbl[[WKst]:[Unit of measure*]],MATCH($A$8&amp;$A28&amp;$E28&amp;$I28,INDEX(PMtbl[Sec]&amp;PMtbl[Category]&amp;PMtbl[Each]&amp;PMtbl[Packaging],0,),0),14),""),"")</f>
        <v/>
      </c>
      <c r="M28" s="480" t="str">
        <f>IF(L28="","",INDEX(SETUP!$E$20:$E$122,(MATCH(INDEX(PMsheet!$D:$E,MATCH(A28,PMsheet!E:E,0),1),SETUP!$D$20:$D$122,0))))</f>
        <v/>
      </c>
      <c r="N28" s="494">
        <f>IF($O28="USD",_xlfn.IFNA(VLOOKUP(A28&amp;E28&amp;I28,PMsheet!J:K,2,0),0),(_xlfn.IFNA(VLOOKUP(A28&amp;E28&amp;I28,PMsheet!J:K,2,0),0)*'Master Data-C19RM'!$C$2))</f>
        <v>0</v>
      </c>
      <c r="O28" s="495" t="str">
        <f>IF(L28="", "",SETUP!$E$7)</f>
        <v/>
      </c>
      <c r="P28" s="445">
        <f>IF($O28="USD",_xlfn.IFNA(VLOOKUP($A28&amp;$E28&amp;$I28,PMsheet!$J:$K,2,0),0),(_xlfn.IFNA(VLOOKUP($A28&amp;$E28&amp;$I28,PMsheet!$J:$K,2,0),0)*'Master Data-C19RM'!$C$2))</f>
        <v>0</v>
      </c>
      <c r="Q28" s="440"/>
      <c r="R28" s="440"/>
      <c r="S28" s="440"/>
      <c r="T28" s="440"/>
      <c r="U28" s="482">
        <f>SUM('C19RM 2021-Pharma'!$Q28:$T28)</f>
        <v>0</v>
      </c>
      <c r="V28" s="484">
        <f>IF(SETUP!$E$7="USD",(U28*(IF(O28="USD",P28,(P28/'Master Data-C19RM'!$C$2)))),(U28*(IF(O28="EUR",P28,(P28*'Master Data-C19RM'!$C$2)))))</f>
        <v>0</v>
      </c>
      <c r="W28" s="445">
        <f>IF($O28="USD",_xlfn.IFNA(VLOOKUP($A28&amp;$E28&amp;$I28,PMsheet!$J:$K,2,0),0),(_xlfn.IFNA(VLOOKUP($A28&amp;$E28&amp;$I28,PMsheet!$J:$K,2,0),0)*'Master Data-C19RM'!$D$2))</f>
        <v>0</v>
      </c>
      <c r="X28" s="440"/>
      <c r="Y28" s="440"/>
      <c r="Z28" s="440"/>
      <c r="AA28" s="440"/>
      <c r="AB28" s="482">
        <f>SUM('C19RM 2021-Pharma'!$X28:$AA28)</f>
        <v>0</v>
      </c>
      <c r="AC28" s="484">
        <f>IF(SETUP!$E$7="USD",(AB28*(IF(O28="USD",W28,(W28/'Master Data-C19RM'!$D$2)))),(AB28*(IF(O28="EUR",W28,(W28*'Master Data-C19RM'!$D$2)))))</f>
        <v>0</v>
      </c>
      <c r="AD28" s="445">
        <f>IF($O28="USD",_xlfn.IFNA(VLOOKUP($A28&amp;$E28&amp;$I28,PMsheet!$J:$K,2,0),0),(_xlfn.IFNA(VLOOKUP($A28&amp;$E28&amp;$I28,PMsheet!$J:$K,2,0),0)*'Master Data-C19RM'!$E$2))</f>
        <v>0</v>
      </c>
      <c r="AE28" s="440"/>
      <c r="AF28" s="440"/>
      <c r="AG28" s="440"/>
      <c r="AH28" s="440"/>
      <c r="AI28" s="482">
        <f>SUM('C19RM 2021-Pharma'!$AE28:$AH28)</f>
        <v>0</v>
      </c>
      <c r="AJ28" s="484">
        <f>IF(SETUP!$E$7="USD",(AI28*(IF(O28="USD",AD28,(AD28/'Master Data-C19RM'!$E$2)))),(AI28*(IF(O28="EUR",AD28,(AD28*'Master Data-C19RM'!$E$2)))))</f>
        <v>0</v>
      </c>
      <c r="AK28" s="445">
        <f>IF($O28="USD",_xlfn.IFNA(VLOOKUP($A28&amp;$E28&amp;$I28,PMsheet!$J:$K,2,0),0),(_xlfn.IFNA(VLOOKUP($A28&amp;$E28&amp;$I28,PMsheet!$J:$K,2,0),0)*'Master Data-C19RM'!$F$2))</f>
        <v>0</v>
      </c>
      <c r="AL28" s="440"/>
      <c r="AM28" s="440"/>
      <c r="AN28" s="440"/>
      <c r="AO28" s="440"/>
      <c r="AP28" s="482">
        <f>SUM('C19RM 2021-Pharma'!$AL28:$AO28)</f>
        <v>0</v>
      </c>
      <c r="AQ28" s="484">
        <f>IF(SETUP!$E$7="USD",(AP28*(IF(O28="USD",AK28,(AK28/'Master Data-C19RM'!$F$2)))),(AP28*(IF(O28="EUR",AK28,(AK28*'Master Data-C19RM'!$F$2)))))</f>
        <v>0</v>
      </c>
      <c r="AR28" s="445">
        <f>IF($O28="USD",_xlfn.IFNA(VLOOKUP($A28&amp;$E28&amp;$I28,PMsheet!$J:$K,2,0),0),(_xlfn.IFNA(VLOOKUP($A28&amp;$E28&amp;$I28,PMsheet!$J:$K,2,0),0)*'Master Data-C19RM'!$G$2))</f>
        <v>0</v>
      </c>
      <c r="AS28" s="440"/>
      <c r="AT28" s="440"/>
      <c r="AU28" s="440"/>
      <c r="AV28" s="440"/>
      <c r="AW28" s="482">
        <f>SUM('C19RM 2021-Pharma'!$AS28:$AV28)</f>
        <v>0</v>
      </c>
      <c r="AX28" s="484">
        <f>IF(SETUP!$E$7="USD",(AW28*(IF(O28="USD",AR28,(AR28/'Master Data-C19RM'!$G$2)))),(AW28*(IF(O28="EUR",AR28,(AR28*'Master Data-C19RM'!$G$2)))))</f>
        <v>0</v>
      </c>
      <c r="AY28" s="889"/>
      <c r="AZ28" s="884"/>
      <c r="BA28" s="884"/>
      <c r="BB28" s="884"/>
      <c r="BC28" s="884"/>
      <c r="BD28" s="884"/>
      <c r="BE28" s="885"/>
      <c r="BF28" s="504">
        <f>'C19RM 2021-Pharma'!$U28+'C19RM 2021-Pharma'!$AB28+'C19RM 2021-Pharma'!$AP28+'C19RM 2021-Pharma'!$AI28+$AW28+$BD28</f>
        <v>0</v>
      </c>
      <c r="BG28" s="484">
        <f>'C19RM 2021-Pharma'!$V28+'C19RM 2021-Pharma'!$AC28+'C19RM 2021-Pharma'!$AQ28+'C19RM 2021-Pharma'!$AJ28+$AX28+$BE28</f>
        <v>0</v>
      </c>
      <c r="BH28" s="499" t="str" cm="1">
        <f t="array" ref="BH28">IF(A28&lt;&gt;"",IFERROR(INDEX(PMtbl[[WKst]:[Unit of measure*]],MATCH($A$8&amp;$A28&amp;$E28&amp;$I28,INDEX(PMtbl[Sec]&amp;PMtbl[Category]&amp;PMtbl[Each]&amp;PMtbl[Packaging],0,),0),11),""),"")</f>
        <v/>
      </c>
      <c r="BI28" s="818"/>
      <c r="BJ28" s="503" t="str">
        <f>IFERROR(INDEX(SETUP!$C$19:$G$121,MATCH((INDEX(PMtbl[[WKst]:[Unit of measure*]],MATCH($A28&amp;$E28&amp;$I28,INDEX(PMtbl[Category]&amp;PMtbl[Each]&amp;PMtbl[Packaging],0,),0),3)),SETUP!$D$19:$D$121,0),5),"")</f>
        <v/>
      </c>
      <c r="BK28" s="439"/>
      <c r="BL28" s="194"/>
      <c r="BO28" s="12">
        <f>IF(N28="",0,IF(SETUP!$E$7="USD",((IF(O28="USD",P28,(P28/'Master Data-C19RM'!$C$2)))),((IF(O28="EUR",P28,(P28*'Master Data-C19RM'!$C$2))))))</f>
        <v>0</v>
      </c>
      <c r="BP28" s="12">
        <f>IF(N28="",0,IF(SETUP!$E$7="USD",((IF(O28="USD",W28,(W28/'Master Data-C19RM'!$D$2)))),((IF(O28="EUR",W28,(W28*'Master Data-C19RM'!$D$2))))))</f>
        <v>0</v>
      </c>
      <c r="BQ28">
        <f>IF(N28="",0,IF(SETUP!$E$7="USD",((IF(O28="USD",AD28,(AD28/'Master Data-C19RM'!$E$2)))),((IF(O28="EUR",AD28,(AD28*'Master Data-C19RM'!$E$2))))))</f>
        <v>0</v>
      </c>
      <c r="BR28">
        <f>IF(N28="",0,IF(SETUP!$E$7="USD",((IF(O28="USD",AK28,(AK28/'Master Data-C19RM'!$F$2)))),((IF(O28="EUR",AK28,(AK28*'Master Data-C19RM'!$F$2))))))</f>
        <v>0</v>
      </c>
      <c r="BS28">
        <f>IF(N28="",0,IF(SETUP!$E$7="USD",((IF(O28="USD",AR28,(AR28/'Master Data-C19RM'!$F$2)))),((IF(O28="EUR",AR28,(AR28*'Master Data-C19RM'!$G$2))))))</f>
        <v>0</v>
      </c>
      <c r="BT28">
        <f>IF(N28="",0,IF(SETUP!$E$7="USD",((IF(O28="USD",AY28,(AY28/'Master Data-C19RM'!$F$2)))),((IF(O28="EUR",AY28,(AY28*'Master Data-C19RM'!$H$2))))))</f>
        <v>0</v>
      </c>
      <c r="BU28" s="12">
        <f t="shared" si="1"/>
        <v>0</v>
      </c>
      <c r="BV28" s="142">
        <f t="shared" si="2"/>
        <v>0</v>
      </c>
    </row>
    <row r="29" spans="1:74" ht="14.9" customHeight="1" x14ac:dyDescent="0.35">
      <c r="A29" s="1165"/>
      <c r="B29" s="1165"/>
      <c r="C29" s="1165"/>
      <c r="D29" s="1165"/>
      <c r="E29" s="1166"/>
      <c r="F29" s="1166"/>
      <c r="G29" s="1166"/>
      <c r="H29" s="1166"/>
      <c r="I29" s="1166"/>
      <c r="J29" s="1166"/>
      <c r="K29" s="1166"/>
      <c r="L29" s="490" t="str" cm="1">
        <f t="array" ref="L29">IF(A29&lt;&gt;"",IFERROR(INDEX(PMtbl[[WKst]:[Unit of measure*]],MATCH($A$8&amp;$A29&amp;$E29&amp;$I29,INDEX(PMtbl[Sec]&amp;PMtbl[Category]&amp;PMtbl[Each]&amp;PMtbl[Packaging],0,),0),14),""),"")</f>
        <v/>
      </c>
      <c r="M29" s="479" t="str">
        <f>IF(L29="","",INDEX(SETUP!$E$20:$E$122,(MATCH(INDEX(PMsheet!$D:$E,MATCH(A29,PMsheet!E:E,0),1),SETUP!$D$20:$D$122,0))))</f>
        <v/>
      </c>
      <c r="N29" s="491">
        <f>IF($O29="USD",_xlfn.IFNA(VLOOKUP(A29&amp;E29&amp;I29,PMsheet!J:K,2,0),0),(_xlfn.IFNA(VLOOKUP(A29&amp;E29&amp;I29,PMsheet!J:K,2,0),0)*'Master Data-C19RM'!$C$2))</f>
        <v>0</v>
      </c>
      <c r="O29" s="492" t="str">
        <f>IF(L29="", "",SETUP!$E$7)</f>
        <v/>
      </c>
      <c r="P29" s="444">
        <f>IF($O29="USD",_xlfn.IFNA(VLOOKUP($A29&amp;$E29&amp;$I29,PMsheet!$J:$K,2,0),0),(_xlfn.IFNA(VLOOKUP($A29&amp;$E29&amp;$I29,PMsheet!$J:$K,2,0),0)*'Master Data-C19RM'!$C$2))</f>
        <v>0</v>
      </c>
      <c r="Q29" s="441"/>
      <c r="R29" s="441"/>
      <c r="S29" s="441"/>
      <c r="T29" s="441"/>
      <c r="U29" s="481">
        <f>SUM('C19RM 2021-Pharma'!$Q29:$T29)</f>
        <v>0</v>
      </c>
      <c r="V29" s="483">
        <f>IF(SETUP!$E$7="USD",(U29*(IF(O29="USD",P29,(P29/'Master Data-C19RM'!$C$2)))),(U29*(IF(O29="EUR",P29,(P29*'Master Data-C19RM'!$C$2)))))</f>
        <v>0</v>
      </c>
      <c r="W29" s="444">
        <f>IF($O29="USD",_xlfn.IFNA(VLOOKUP($A29&amp;$E29&amp;$I29,PMsheet!$J:$K,2,0),0),(_xlfn.IFNA(VLOOKUP($A29&amp;$E29&amp;$I29,PMsheet!$J:$K,2,0),0)*'Master Data-C19RM'!$D$2))</f>
        <v>0</v>
      </c>
      <c r="X29" s="441"/>
      <c r="Y29" s="441"/>
      <c r="Z29" s="441"/>
      <c r="AA29" s="441"/>
      <c r="AB29" s="481">
        <f>SUM('C19RM 2021-Pharma'!$X29:$AA29)</f>
        <v>0</v>
      </c>
      <c r="AC29" s="483">
        <f>IF(SETUP!$E$7="USD",(AB29*(IF(O29="USD",W29,(W29/'Master Data-C19RM'!$D$2)))),(AB29*(IF(O29="EUR",W29,(W29*'Master Data-C19RM'!$D$2)))))</f>
        <v>0</v>
      </c>
      <c r="AD29" s="444">
        <f>IF($O29="USD",_xlfn.IFNA(VLOOKUP($A29&amp;$E29&amp;$I29,PMsheet!$J:$K,2,0),0),(_xlfn.IFNA(VLOOKUP($A29&amp;$E29&amp;$I29,PMsheet!$J:$K,2,0),0)*'Master Data-C19RM'!$E$2))</f>
        <v>0</v>
      </c>
      <c r="AE29" s="441"/>
      <c r="AF29" s="441"/>
      <c r="AG29" s="441"/>
      <c r="AH29" s="441"/>
      <c r="AI29" s="481">
        <f>SUM('C19RM 2021-Pharma'!$AE29:$AH29)</f>
        <v>0</v>
      </c>
      <c r="AJ29" s="483">
        <f>IF(SETUP!$E$7="USD",(AI29*(IF(O29="USD",AD29,(AD29/'Master Data-C19RM'!$E$2)))),(AI29*(IF(O29="EUR",AD29,(AD29*'Master Data-C19RM'!$E$2)))))</f>
        <v>0</v>
      </c>
      <c r="AK29" s="444">
        <f>IF($O29="USD",_xlfn.IFNA(VLOOKUP($A29&amp;$E29&amp;$I29,PMsheet!$J:$K,2,0),0),(_xlfn.IFNA(VLOOKUP($A29&amp;$E29&amp;$I29,PMsheet!$J:$K,2,0),0)*'Master Data-C19RM'!$F$2))</f>
        <v>0</v>
      </c>
      <c r="AL29" s="441"/>
      <c r="AM29" s="441"/>
      <c r="AN29" s="441"/>
      <c r="AO29" s="441"/>
      <c r="AP29" s="481">
        <f>SUM('C19RM 2021-Pharma'!$AL29:$AO29)</f>
        <v>0</v>
      </c>
      <c r="AQ29" s="483">
        <f>IF(SETUP!$E$7="USD",(AP29*(IF(O29="USD",AK29,(AK29/'Master Data-C19RM'!$F$2)))),(AP29*(IF(O29="EUR",AK29,(AK29*'Master Data-C19RM'!$F$2)))))</f>
        <v>0</v>
      </c>
      <c r="AR29" s="444">
        <f>IF($O29="USD",_xlfn.IFNA(VLOOKUP($A29&amp;$E29&amp;$I29,PMsheet!$J:$K,2,0),0),(_xlfn.IFNA(VLOOKUP($A29&amp;$E29&amp;$I29,PMsheet!$J:$K,2,0),0)*'Master Data-C19RM'!$G$2))</f>
        <v>0</v>
      </c>
      <c r="AS29" s="441"/>
      <c r="AT29" s="441"/>
      <c r="AU29" s="441"/>
      <c r="AV29" s="441"/>
      <c r="AW29" s="481">
        <f>SUM('C19RM 2021-Pharma'!$AS29:$AV29)</f>
        <v>0</v>
      </c>
      <c r="AX29" s="483">
        <f>IF(SETUP!$E$7="USD",(AW29*(IF(O29="USD",AR29,(AR29/'Master Data-C19RM'!$G$2)))),(AW29*(IF(O29="EUR",AR29,(AR29*'Master Data-C19RM'!$G$2)))))</f>
        <v>0</v>
      </c>
      <c r="AY29" s="886"/>
      <c r="AZ29" s="887"/>
      <c r="BA29" s="887"/>
      <c r="BB29" s="887"/>
      <c r="BC29" s="887"/>
      <c r="BD29" s="887"/>
      <c r="BE29" s="888"/>
      <c r="BF29" s="505">
        <f>'C19RM 2021-Pharma'!$U29+'C19RM 2021-Pharma'!$AB29+'C19RM 2021-Pharma'!$AP29+'C19RM 2021-Pharma'!$AI29+$AW29+$BD29</f>
        <v>0</v>
      </c>
      <c r="BG29" s="483">
        <f>'C19RM 2021-Pharma'!$V29+'C19RM 2021-Pharma'!$AC29+'C19RM 2021-Pharma'!$AQ29+'C19RM 2021-Pharma'!$AJ29+$AX29+$BE29</f>
        <v>0</v>
      </c>
      <c r="BH29" s="500" t="str" cm="1">
        <f t="array" ref="BH29">IF(A29&lt;&gt;"",IFERROR(INDEX(PMtbl[[WKst]:[Unit of measure*]],MATCH($A$8&amp;$A29&amp;$E29&amp;$I29,INDEX(PMtbl[Sec]&amp;PMtbl[Category]&amp;PMtbl[Each]&amp;PMtbl[Packaging],0,),0),11),""),"")</f>
        <v/>
      </c>
      <c r="BI29" s="819"/>
      <c r="BJ29" s="502" t="str">
        <f>IFERROR(INDEX(SETUP!$C$19:$G$121,MATCH((INDEX(PMtbl[[WKst]:[Unit of measure*]],MATCH($A29&amp;$E29&amp;$I29,INDEX(PMtbl[Category]&amp;PMtbl[Each]&amp;PMtbl[Packaging],0,),0),3)),SETUP!$D$19:$D$121,0),5),"")</f>
        <v/>
      </c>
      <c r="BK29" s="438"/>
      <c r="BL29" s="193"/>
      <c r="BO29" s="12">
        <f>IF(N29="",0,IF(SETUP!$E$7="USD",((IF(O29="USD",P29,(P29/'Master Data-C19RM'!$C$2)))),((IF(O29="EUR",P29,(P29*'Master Data-C19RM'!$C$2))))))</f>
        <v>0</v>
      </c>
      <c r="BP29" s="12">
        <f>IF(N29="",0,IF(SETUP!$E$7="USD",((IF(O29="USD",W29,(W29/'Master Data-C19RM'!$D$2)))),((IF(O29="EUR",W29,(W29*'Master Data-C19RM'!$D$2))))))</f>
        <v>0</v>
      </c>
      <c r="BQ29">
        <f>IF(N29="",0,IF(SETUP!$E$7="USD",((IF(O29="USD",AD29,(AD29/'Master Data-C19RM'!$E$2)))),((IF(O29="EUR",AD29,(AD29*'Master Data-C19RM'!$E$2))))))</f>
        <v>0</v>
      </c>
      <c r="BR29">
        <f>IF(N29="",0,IF(SETUP!$E$7="USD",((IF(O29="USD",AK29,(AK29/'Master Data-C19RM'!$F$2)))),((IF(O29="EUR",AK29,(AK29*'Master Data-C19RM'!$F$2))))))</f>
        <v>0</v>
      </c>
      <c r="BS29">
        <f>IF(N29="",0,IF(SETUP!$E$7="USD",((IF(O29="USD",AR29,(AR29/'Master Data-C19RM'!$F$2)))),((IF(O29="EUR",AR29,(AR29*'Master Data-C19RM'!$G$2))))))</f>
        <v>0</v>
      </c>
      <c r="BT29">
        <f>IF(N29="",0,IF(SETUP!$E$7="USD",((IF(O29="USD",AY29,(AY29/'Master Data-C19RM'!$F$2)))),((IF(O29="EUR",AY29,(AY29*'Master Data-C19RM'!$H$2))))))</f>
        <v>0</v>
      </c>
      <c r="BU29" s="12">
        <f t="shared" si="1"/>
        <v>0</v>
      </c>
      <c r="BV29" s="142">
        <f t="shared" si="2"/>
        <v>0</v>
      </c>
    </row>
    <row r="30" spans="1:74" ht="14.9" customHeight="1" x14ac:dyDescent="0.35">
      <c r="A30" s="1172"/>
      <c r="B30" s="1172"/>
      <c r="C30" s="1172"/>
      <c r="D30" s="1172"/>
      <c r="E30" s="1172"/>
      <c r="F30" s="1172"/>
      <c r="G30" s="1172"/>
      <c r="H30" s="1172"/>
      <c r="I30" s="1173"/>
      <c r="J30" s="1173"/>
      <c r="K30" s="1173"/>
      <c r="L30" s="493" t="str" cm="1">
        <f t="array" ref="L30">IF(A30&lt;&gt;"",IFERROR(INDEX(PMtbl[[WKst]:[Unit of measure*]],MATCH($A$8&amp;$A30&amp;$E30&amp;$I30,INDEX(PMtbl[Sec]&amp;PMtbl[Category]&amp;PMtbl[Each]&amp;PMtbl[Packaging],0,),0),14),""),"")</f>
        <v/>
      </c>
      <c r="M30" s="480" t="str">
        <f>IF(L30="","",INDEX(SETUP!$E$20:$E$122,(MATCH(INDEX(PMsheet!$D:$E,MATCH(A30,PMsheet!E:E,0),1),SETUP!$D$20:$D$122,0))))</f>
        <v/>
      </c>
      <c r="N30" s="494">
        <f>IF($O30="USD",_xlfn.IFNA(VLOOKUP(A30&amp;E30&amp;I30,PMsheet!J:K,2,0),0),(_xlfn.IFNA(VLOOKUP(A30&amp;E30&amp;I30,PMsheet!J:K,2,0),0)*'Master Data-C19RM'!$C$2))</f>
        <v>0</v>
      </c>
      <c r="O30" s="495" t="str">
        <f>IF(L30="", "",SETUP!$E$7)</f>
        <v/>
      </c>
      <c r="P30" s="445">
        <f>IF($O30="USD",_xlfn.IFNA(VLOOKUP($A30&amp;$E30&amp;$I30,PMsheet!$J:$K,2,0),0),(_xlfn.IFNA(VLOOKUP($A30&amp;$E30&amp;$I30,PMsheet!$J:$K,2,0),0)*'Master Data-C19RM'!$C$2))</f>
        <v>0</v>
      </c>
      <c r="Q30" s="440"/>
      <c r="R30" s="440"/>
      <c r="S30" s="440"/>
      <c r="T30" s="440"/>
      <c r="U30" s="482">
        <f>SUM('C19RM 2021-Pharma'!$Q30:$T30)</f>
        <v>0</v>
      </c>
      <c r="V30" s="484">
        <f>IF(SETUP!$E$7="USD",(U30*(IF(O30="USD",P30,(P30/'Master Data-C19RM'!$C$2)))),(U30*(IF(O30="EUR",P30,(P30*'Master Data-C19RM'!$C$2)))))</f>
        <v>0</v>
      </c>
      <c r="W30" s="445">
        <f>IF($O30="USD",_xlfn.IFNA(VLOOKUP($A30&amp;$E30&amp;$I30,PMsheet!$J:$K,2,0),0),(_xlfn.IFNA(VLOOKUP($A30&amp;$E30&amp;$I30,PMsheet!$J:$K,2,0),0)*'Master Data-C19RM'!$D$2))</f>
        <v>0</v>
      </c>
      <c r="X30" s="440"/>
      <c r="Y30" s="440"/>
      <c r="Z30" s="440"/>
      <c r="AA30" s="440"/>
      <c r="AB30" s="482">
        <f>SUM('C19RM 2021-Pharma'!$X30:$AA30)</f>
        <v>0</v>
      </c>
      <c r="AC30" s="484">
        <f>IF(SETUP!$E$7="USD",(AB30*(IF(O30="USD",W30,(W30/'Master Data-C19RM'!$D$2)))),(AB30*(IF(O30="EUR",W30,(W30*'Master Data-C19RM'!$D$2)))))</f>
        <v>0</v>
      </c>
      <c r="AD30" s="445">
        <f>IF($O30="USD",_xlfn.IFNA(VLOOKUP($A30&amp;$E30&amp;$I30,PMsheet!$J:$K,2,0),0),(_xlfn.IFNA(VLOOKUP($A30&amp;$E30&amp;$I30,PMsheet!$J:$K,2,0),0)*'Master Data-C19RM'!$E$2))</f>
        <v>0</v>
      </c>
      <c r="AE30" s="440"/>
      <c r="AF30" s="440"/>
      <c r="AG30" s="440"/>
      <c r="AH30" s="440"/>
      <c r="AI30" s="482">
        <f>SUM('C19RM 2021-Pharma'!$AE30:$AH30)</f>
        <v>0</v>
      </c>
      <c r="AJ30" s="484">
        <f>IF(SETUP!$E$7="USD",(AI30*(IF(O30="USD",AD30,(AD30/'Master Data-C19RM'!$E$2)))),(AI30*(IF(O30="EUR",AD30,(AD30*'Master Data-C19RM'!$E$2)))))</f>
        <v>0</v>
      </c>
      <c r="AK30" s="445">
        <f>IF($O30="USD",_xlfn.IFNA(VLOOKUP($A30&amp;$E30&amp;$I30,PMsheet!$J:$K,2,0),0),(_xlfn.IFNA(VLOOKUP($A30&amp;$E30&amp;$I30,PMsheet!$J:$K,2,0),0)*'Master Data-C19RM'!$F$2))</f>
        <v>0</v>
      </c>
      <c r="AL30" s="440"/>
      <c r="AM30" s="440"/>
      <c r="AN30" s="440"/>
      <c r="AO30" s="440"/>
      <c r="AP30" s="482">
        <f>SUM('C19RM 2021-Pharma'!$AL30:$AO30)</f>
        <v>0</v>
      </c>
      <c r="AQ30" s="484">
        <f>IF(SETUP!$E$7="USD",(AP30*(IF(O30="USD",AK30,(AK30/'Master Data-C19RM'!$F$2)))),(AP30*(IF(O30="EUR",AK30,(AK30*'Master Data-C19RM'!$F$2)))))</f>
        <v>0</v>
      </c>
      <c r="AR30" s="445">
        <f>IF($O30="USD",_xlfn.IFNA(VLOOKUP($A30&amp;$E30&amp;$I30,PMsheet!$J:$K,2,0),0),(_xlfn.IFNA(VLOOKUP($A30&amp;$E30&amp;$I30,PMsheet!$J:$K,2,0),0)*'Master Data-C19RM'!$G$2))</f>
        <v>0</v>
      </c>
      <c r="AS30" s="440"/>
      <c r="AT30" s="440"/>
      <c r="AU30" s="440"/>
      <c r="AV30" s="440"/>
      <c r="AW30" s="482">
        <f>SUM('C19RM 2021-Pharma'!$AS30:$AV30)</f>
        <v>0</v>
      </c>
      <c r="AX30" s="484">
        <f>IF(SETUP!$E$7="USD",(AW30*(IF(O30="USD",AR30,(AR30/'Master Data-C19RM'!$G$2)))),(AW30*(IF(O30="EUR",AR30,(AR30*'Master Data-C19RM'!$G$2)))))</f>
        <v>0</v>
      </c>
      <c r="AY30" s="889"/>
      <c r="AZ30" s="884"/>
      <c r="BA30" s="884"/>
      <c r="BB30" s="884"/>
      <c r="BC30" s="884"/>
      <c r="BD30" s="884"/>
      <c r="BE30" s="885"/>
      <c r="BF30" s="504">
        <f>'C19RM 2021-Pharma'!$U30+'C19RM 2021-Pharma'!$AB30+'C19RM 2021-Pharma'!$AP30+'C19RM 2021-Pharma'!$AI30+$AW30+$BD30</f>
        <v>0</v>
      </c>
      <c r="BG30" s="484">
        <f>'C19RM 2021-Pharma'!$V30+'C19RM 2021-Pharma'!$AC30+'C19RM 2021-Pharma'!$AQ30+'C19RM 2021-Pharma'!$AJ30+$AX30+$BE30</f>
        <v>0</v>
      </c>
      <c r="BH30" s="499" t="str" cm="1">
        <f t="array" ref="BH30">IF(A30&lt;&gt;"",IFERROR(INDEX(PMtbl[[WKst]:[Unit of measure*]],MATCH($A$8&amp;$A30&amp;$E30&amp;$I30,INDEX(PMtbl[Sec]&amp;PMtbl[Category]&amp;PMtbl[Each]&amp;PMtbl[Packaging],0,),0),11),""),"")</f>
        <v/>
      </c>
      <c r="BI30" s="818"/>
      <c r="BJ30" s="503" t="str">
        <f>IFERROR(INDEX(SETUP!$C$19:$G$121,MATCH((INDEX(PMtbl[[WKst]:[Unit of measure*]],MATCH($A30&amp;$E30&amp;$I30,INDEX(PMtbl[Category]&amp;PMtbl[Each]&amp;PMtbl[Packaging],0,),0),3)),SETUP!$D$19:$D$121,0),5),"")</f>
        <v/>
      </c>
      <c r="BK30" s="439"/>
      <c r="BL30" s="194"/>
      <c r="BO30" s="12">
        <f>IF(N30="",0,IF(SETUP!$E$7="USD",((IF(O30="USD",P30,(P30/'Master Data-C19RM'!$C$2)))),((IF(O30="EUR",P30,(P30*'Master Data-C19RM'!$C$2))))))</f>
        <v>0</v>
      </c>
      <c r="BP30" s="12">
        <f>IF(N30="",0,IF(SETUP!$E$7="USD",((IF(O30="USD",W30,(W30/'Master Data-C19RM'!$D$2)))),((IF(O30="EUR",W30,(W30*'Master Data-C19RM'!$D$2))))))</f>
        <v>0</v>
      </c>
      <c r="BQ30">
        <f>IF(N30="",0,IF(SETUP!$E$7="USD",((IF(O30="USD",AD30,(AD30/'Master Data-C19RM'!$E$2)))),((IF(O30="EUR",AD30,(AD30*'Master Data-C19RM'!$E$2))))))</f>
        <v>0</v>
      </c>
      <c r="BR30">
        <f>IF(N30="",0,IF(SETUP!$E$7="USD",((IF(O30="USD",AK30,(AK30/'Master Data-C19RM'!$F$2)))),((IF(O30="EUR",AK30,(AK30*'Master Data-C19RM'!$F$2))))))</f>
        <v>0</v>
      </c>
      <c r="BS30">
        <f>IF(N30="",0,IF(SETUP!$E$7="USD",((IF(O30="USD",AR30,(AR30/'Master Data-C19RM'!$F$2)))),((IF(O30="EUR",AR30,(AR30*'Master Data-C19RM'!$G$2))))))</f>
        <v>0</v>
      </c>
      <c r="BT30">
        <f>IF(N30="",0,IF(SETUP!$E$7="USD",((IF(O30="USD",AY30,(AY30/'Master Data-C19RM'!$F$2)))),((IF(O30="EUR",AY30,(AY30*'Master Data-C19RM'!$H$2))))))</f>
        <v>0</v>
      </c>
      <c r="BU30" s="12">
        <f t="shared" si="1"/>
        <v>0</v>
      </c>
      <c r="BV30" s="142">
        <f t="shared" si="2"/>
        <v>0</v>
      </c>
    </row>
    <row r="31" spans="1:74" ht="14.9" customHeight="1" x14ac:dyDescent="0.35">
      <c r="A31" s="1165"/>
      <c r="B31" s="1165"/>
      <c r="C31" s="1165"/>
      <c r="D31" s="1165"/>
      <c r="E31" s="1166"/>
      <c r="F31" s="1166"/>
      <c r="G31" s="1166"/>
      <c r="H31" s="1166"/>
      <c r="I31" s="1166"/>
      <c r="J31" s="1166"/>
      <c r="K31" s="1166"/>
      <c r="L31" s="490" t="str" cm="1">
        <f t="array" ref="L31">IF(A31&lt;&gt;"",IFERROR(INDEX(PMtbl[[WKst]:[Unit of measure*]],MATCH($A$8&amp;$A31&amp;$E31&amp;$I31,INDEX(PMtbl[Sec]&amp;PMtbl[Category]&amp;PMtbl[Each]&amp;PMtbl[Packaging],0,),0),14),""),"")</f>
        <v/>
      </c>
      <c r="M31" s="479" t="str">
        <f>IF(L31="","",INDEX(SETUP!$E$20:$E$122,(MATCH(INDEX(PMsheet!$D:$E,MATCH(A31,PMsheet!E:E,0),1),SETUP!$D$20:$D$122,0))))</f>
        <v/>
      </c>
      <c r="N31" s="491">
        <f>IF($O31="USD",_xlfn.IFNA(VLOOKUP(A31&amp;E31&amp;I31,PMsheet!J:K,2,0),0),(_xlfn.IFNA(VLOOKUP(A31&amp;E31&amp;I31,PMsheet!J:K,2,0),0)*'Master Data-C19RM'!$C$2))</f>
        <v>0</v>
      </c>
      <c r="O31" s="492" t="str">
        <f>IF(L31="", "",SETUP!$E$7)</f>
        <v/>
      </c>
      <c r="P31" s="444">
        <f>IF($O31="USD",_xlfn.IFNA(VLOOKUP($A31&amp;$E31&amp;$I31,PMsheet!$J:$K,2,0),0),(_xlfn.IFNA(VLOOKUP($A31&amp;$E31&amp;$I31,PMsheet!$J:$K,2,0),0)*'Master Data-C19RM'!$C$2))</f>
        <v>0</v>
      </c>
      <c r="Q31" s="441"/>
      <c r="R31" s="441"/>
      <c r="S31" s="441"/>
      <c r="T31" s="441"/>
      <c r="U31" s="481">
        <f>SUM('C19RM 2021-Pharma'!$Q31:$T31)</f>
        <v>0</v>
      </c>
      <c r="V31" s="483">
        <f>IF(SETUP!$E$7="USD",(U31*(IF(O31="USD",P31,(P31/'Master Data-C19RM'!$C$2)))),(U31*(IF(O31="EUR",P31,(P31*'Master Data-C19RM'!$C$2)))))</f>
        <v>0</v>
      </c>
      <c r="W31" s="444">
        <f>IF($O31="USD",_xlfn.IFNA(VLOOKUP($A31&amp;$E31&amp;$I31,PMsheet!$J:$K,2,0),0),(_xlfn.IFNA(VLOOKUP($A31&amp;$E31&amp;$I31,PMsheet!$J:$K,2,0),0)*'Master Data-C19RM'!$D$2))</f>
        <v>0</v>
      </c>
      <c r="X31" s="441"/>
      <c r="Y31" s="441"/>
      <c r="Z31" s="441"/>
      <c r="AA31" s="441"/>
      <c r="AB31" s="481">
        <f>SUM('C19RM 2021-Pharma'!$X31:$AA31)</f>
        <v>0</v>
      </c>
      <c r="AC31" s="483">
        <f>IF(SETUP!$E$7="USD",(AB31*(IF(O31="USD",W31,(W31/'Master Data-C19RM'!$D$2)))),(AB31*(IF(O31="EUR",W31,(W31*'Master Data-C19RM'!$D$2)))))</f>
        <v>0</v>
      </c>
      <c r="AD31" s="444">
        <f>IF($O31="USD",_xlfn.IFNA(VLOOKUP($A31&amp;$E31&amp;$I31,PMsheet!$J:$K,2,0),0),(_xlfn.IFNA(VLOOKUP($A31&amp;$E31&amp;$I31,PMsheet!$J:$K,2,0),0)*'Master Data-C19RM'!$E$2))</f>
        <v>0</v>
      </c>
      <c r="AE31" s="441"/>
      <c r="AF31" s="441"/>
      <c r="AG31" s="441"/>
      <c r="AH31" s="441"/>
      <c r="AI31" s="481">
        <f>SUM('C19RM 2021-Pharma'!$AE31:$AH31)</f>
        <v>0</v>
      </c>
      <c r="AJ31" s="483">
        <f>IF(SETUP!$E$7="USD",(AI31*(IF(O31="USD",AD31,(AD31/'Master Data-C19RM'!$E$2)))),(AI31*(IF(O31="EUR",AD31,(AD31*'Master Data-C19RM'!$E$2)))))</f>
        <v>0</v>
      </c>
      <c r="AK31" s="444">
        <f>IF($O31="USD",_xlfn.IFNA(VLOOKUP($A31&amp;$E31&amp;$I31,PMsheet!$J:$K,2,0),0),(_xlfn.IFNA(VLOOKUP($A31&amp;$E31&amp;$I31,PMsheet!$J:$K,2,0),0)*'Master Data-C19RM'!$F$2))</f>
        <v>0</v>
      </c>
      <c r="AL31" s="441"/>
      <c r="AM31" s="441"/>
      <c r="AN31" s="441"/>
      <c r="AO31" s="441"/>
      <c r="AP31" s="481">
        <f>SUM('C19RM 2021-Pharma'!$AL31:$AO31)</f>
        <v>0</v>
      </c>
      <c r="AQ31" s="483">
        <f>IF(SETUP!$E$7="USD",(AP31*(IF(O31="USD",AK31,(AK31/'Master Data-C19RM'!$F$2)))),(AP31*(IF(O31="EUR",AK31,(AK31*'Master Data-C19RM'!$F$2)))))</f>
        <v>0</v>
      </c>
      <c r="AR31" s="444">
        <f>IF($O31="USD",_xlfn.IFNA(VLOOKUP($A31&amp;$E31&amp;$I31,PMsheet!$J:$K,2,0),0),(_xlfn.IFNA(VLOOKUP($A31&amp;$E31&amp;$I31,PMsheet!$J:$K,2,0),0)*'Master Data-C19RM'!$G$2))</f>
        <v>0</v>
      </c>
      <c r="AS31" s="441"/>
      <c r="AT31" s="441"/>
      <c r="AU31" s="441"/>
      <c r="AV31" s="441"/>
      <c r="AW31" s="481">
        <f>SUM('C19RM 2021-Pharma'!$AS31:$AV31)</f>
        <v>0</v>
      </c>
      <c r="AX31" s="483">
        <f>IF(SETUP!$E$7="USD",(AW31*(IF(O31="USD",AR31,(AR31/'Master Data-C19RM'!$G$2)))),(AW31*(IF(O31="EUR",AR31,(AR31*'Master Data-C19RM'!$G$2)))))</f>
        <v>0</v>
      </c>
      <c r="AY31" s="886"/>
      <c r="AZ31" s="887"/>
      <c r="BA31" s="887"/>
      <c r="BB31" s="887"/>
      <c r="BC31" s="887"/>
      <c r="BD31" s="887"/>
      <c r="BE31" s="888"/>
      <c r="BF31" s="505">
        <f>'C19RM 2021-Pharma'!$U31+'C19RM 2021-Pharma'!$AB31+'C19RM 2021-Pharma'!$AP31+'C19RM 2021-Pharma'!$AI31+$AW31+$BD31</f>
        <v>0</v>
      </c>
      <c r="BG31" s="483">
        <f>'C19RM 2021-Pharma'!$V31+'C19RM 2021-Pharma'!$AC31+'C19RM 2021-Pharma'!$AQ31+'C19RM 2021-Pharma'!$AJ31+$AX31+$BE31</f>
        <v>0</v>
      </c>
      <c r="BH31" s="500" t="str" cm="1">
        <f t="array" ref="BH31">IF(A31&lt;&gt;"",IFERROR(INDEX(PMtbl[[WKst]:[Unit of measure*]],MATCH($A$8&amp;$A31&amp;$E31&amp;$I31,INDEX(PMtbl[Sec]&amp;PMtbl[Category]&amp;PMtbl[Each]&amp;PMtbl[Packaging],0,),0),11),""),"")</f>
        <v/>
      </c>
      <c r="BI31" s="819"/>
      <c r="BJ31" s="502" t="str">
        <f>IFERROR(INDEX(SETUP!$C$19:$G$121,MATCH((INDEX(PMtbl[[WKst]:[Unit of measure*]],MATCH($A31&amp;$E31&amp;$I31,INDEX(PMtbl[Category]&amp;PMtbl[Each]&amp;PMtbl[Packaging],0,),0),3)),SETUP!$D$19:$D$121,0),5),"")</f>
        <v/>
      </c>
      <c r="BK31" s="438"/>
      <c r="BL31" s="193"/>
      <c r="BO31" s="12">
        <f>IF(N31="",0,IF(SETUP!$E$7="USD",((IF(O31="USD",P31,(P31/'Master Data-C19RM'!$C$2)))),((IF(O31="EUR",P31,(P31*'Master Data-C19RM'!$C$2))))))</f>
        <v>0</v>
      </c>
      <c r="BP31" s="12">
        <f>IF(N31="",0,IF(SETUP!$E$7="USD",((IF(O31="USD",W31,(W31/'Master Data-C19RM'!$D$2)))),((IF(O31="EUR",W31,(W31*'Master Data-C19RM'!$D$2))))))</f>
        <v>0</v>
      </c>
      <c r="BQ31">
        <f>IF(N31="",0,IF(SETUP!$E$7="USD",((IF(O31="USD",AD31,(AD31/'Master Data-C19RM'!$E$2)))),((IF(O31="EUR",AD31,(AD31*'Master Data-C19RM'!$E$2))))))</f>
        <v>0</v>
      </c>
      <c r="BR31">
        <f>IF(N31="",0,IF(SETUP!$E$7="USD",((IF(O31="USD",AK31,(AK31/'Master Data-C19RM'!$F$2)))),((IF(O31="EUR",AK31,(AK31*'Master Data-C19RM'!$F$2))))))</f>
        <v>0</v>
      </c>
      <c r="BS31">
        <f>IF(N31="",0,IF(SETUP!$E$7="USD",((IF(O31="USD",AR31,(AR31/'Master Data-C19RM'!$F$2)))),((IF(O31="EUR",AR31,(AR31*'Master Data-C19RM'!$G$2))))))</f>
        <v>0</v>
      </c>
      <c r="BT31">
        <f>IF(N31="",0,IF(SETUP!$E$7="USD",((IF(O31="USD",AY31,(AY31/'Master Data-C19RM'!$F$2)))),((IF(O31="EUR",AY31,(AY31*'Master Data-C19RM'!$H$2))))))</f>
        <v>0</v>
      </c>
      <c r="BU31" s="12">
        <f t="shared" si="1"/>
        <v>0</v>
      </c>
      <c r="BV31" s="142">
        <f t="shared" si="2"/>
        <v>0</v>
      </c>
    </row>
    <row r="32" spans="1:74" ht="14.9" customHeight="1" x14ac:dyDescent="0.35">
      <c r="A32" s="1172"/>
      <c r="B32" s="1172"/>
      <c r="C32" s="1172"/>
      <c r="D32" s="1172"/>
      <c r="E32" s="1172"/>
      <c r="F32" s="1172"/>
      <c r="G32" s="1172"/>
      <c r="H32" s="1172"/>
      <c r="I32" s="1173"/>
      <c r="J32" s="1173"/>
      <c r="K32" s="1173"/>
      <c r="L32" s="493" t="str" cm="1">
        <f t="array" ref="L32">IF(A32&lt;&gt;"",IFERROR(INDEX(PMtbl[[WKst]:[Unit of measure*]],MATCH($A$8&amp;$A32&amp;$E32&amp;$I32,INDEX(PMtbl[Sec]&amp;PMtbl[Category]&amp;PMtbl[Each]&amp;PMtbl[Packaging],0,),0),14),""),"")</f>
        <v/>
      </c>
      <c r="M32" s="480" t="str">
        <f>IF(L32="","",INDEX(SETUP!$E$20:$E$122,(MATCH(INDEX(PMsheet!$D:$E,MATCH(A32,PMsheet!E:E,0),1),SETUP!$D$20:$D$122,0))))</f>
        <v/>
      </c>
      <c r="N32" s="494">
        <f>IF($O32="USD",_xlfn.IFNA(VLOOKUP(A32&amp;E32&amp;I32,PMsheet!J:K,2,0),0),(_xlfn.IFNA(VLOOKUP(A32&amp;E32&amp;I32,PMsheet!J:K,2,0),0)*'Master Data-C19RM'!$C$2))</f>
        <v>0</v>
      </c>
      <c r="O32" s="495" t="str">
        <f>IF(L32="", "",SETUP!$E$7)</f>
        <v/>
      </c>
      <c r="P32" s="445">
        <f>IF($O32="USD",_xlfn.IFNA(VLOOKUP($A32&amp;$E32&amp;$I32,PMsheet!$J:$K,2,0),0),(_xlfn.IFNA(VLOOKUP($A32&amp;$E32&amp;$I32,PMsheet!$J:$K,2,0),0)*'Master Data-C19RM'!$C$2))</f>
        <v>0</v>
      </c>
      <c r="Q32" s="440"/>
      <c r="R32" s="440"/>
      <c r="S32" s="440"/>
      <c r="T32" s="440"/>
      <c r="U32" s="482">
        <f>SUM('C19RM 2021-Pharma'!$Q32:$T32)</f>
        <v>0</v>
      </c>
      <c r="V32" s="484">
        <f>IF(SETUP!$E$7="USD",(U32*(IF(O32="USD",P32,(P32/'Master Data-C19RM'!$C$2)))),(U32*(IF(O32="EUR",P32,(P32*'Master Data-C19RM'!$C$2)))))</f>
        <v>0</v>
      </c>
      <c r="W32" s="445">
        <f>IF($O32="USD",_xlfn.IFNA(VLOOKUP($A32&amp;$E32&amp;$I32,PMsheet!$J:$K,2,0),0),(_xlfn.IFNA(VLOOKUP($A32&amp;$E32&amp;$I32,PMsheet!$J:$K,2,0),0)*'Master Data-C19RM'!$D$2))</f>
        <v>0</v>
      </c>
      <c r="X32" s="440"/>
      <c r="Y32" s="440"/>
      <c r="Z32" s="440"/>
      <c r="AA32" s="440"/>
      <c r="AB32" s="482">
        <f>SUM('C19RM 2021-Pharma'!$X32:$AA32)</f>
        <v>0</v>
      </c>
      <c r="AC32" s="484">
        <f>IF(SETUP!$E$7="USD",(AB32*(IF(O32="USD",W32,(W32/'Master Data-C19RM'!$D$2)))),(AB32*(IF(O32="EUR",W32,(W32*'Master Data-C19RM'!$D$2)))))</f>
        <v>0</v>
      </c>
      <c r="AD32" s="445">
        <f>IF($O32="USD",_xlfn.IFNA(VLOOKUP($A32&amp;$E32&amp;$I32,PMsheet!$J:$K,2,0),0),(_xlfn.IFNA(VLOOKUP($A32&amp;$E32&amp;$I32,PMsheet!$J:$K,2,0),0)*'Master Data-C19RM'!$E$2))</f>
        <v>0</v>
      </c>
      <c r="AE32" s="440"/>
      <c r="AF32" s="440"/>
      <c r="AG32" s="440"/>
      <c r="AH32" s="440"/>
      <c r="AI32" s="482">
        <f>SUM('C19RM 2021-Pharma'!$AE32:$AH32)</f>
        <v>0</v>
      </c>
      <c r="AJ32" s="484">
        <f>IF(SETUP!$E$7="USD",(AI32*(IF(O32="USD",AD32,(AD32/'Master Data-C19RM'!$E$2)))),(AI32*(IF(O32="EUR",AD32,(AD32*'Master Data-C19RM'!$E$2)))))</f>
        <v>0</v>
      </c>
      <c r="AK32" s="445">
        <f>IF($O32="USD",_xlfn.IFNA(VLOOKUP($A32&amp;$E32&amp;$I32,PMsheet!$J:$K,2,0),0),(_xlfn.IFNA(VLOOKUP($A32&amp;$E32&amp;$I32,PMsheet!$J:$K,2,0),0)*'Master Data-C19RM'!$F$2))</f>
        <v>0</v>
      </c>
      <c r="AL32" s="440"/>
      <c r="AM32" s="440"/>
      <c r="AN32" s="440"/>
      <c r="AO32" s="440"/>
      <c r="AP32" s="482">
        <f>SUM('C19RM 2021-Pharma'!$AL32:$AO32)</f>
        <v>0</v>
      </c>
      <c r="AQ32" s="484">
        <f>IF(SETUP!$E$7="USD",(AP32*(IF(O32="USD",AK32,(AK32/'Master Data-C19RM'!$F$2)))),(AP32*(IF(O32="EUR",AK32,(AK32*'Master Data-C19RM'!$F$2)))))</f>
        <v>0</v>
      </c>
      <c r="AR32" s="445">
        <f>IF($O32="USD",_xlfn.IFNA(VLOOKUP($A32&amp;$E32&amp;$I32,PMsheet!$J:$K,2,0),0),(_xlfn.IFNA(VLOOKUP($A32&amp;$E32&amp;$I32,PMsheet!$J:$K,2,0),0)*'Master Data-C19RM'!$G$2))</f>
        <v>0</v>
      </c>
      <c r="AS32" s="440"/>
      <c r="AT32" s="440"/>
      <c r="AU32" s="440"/>
      <c r="AV32" s="440"/>
      <c r="AW32" s="482">
        <f>SUM('C19RM 2021-Pharma'!$AS32:$AV32)</f>
        <v>0</v>
      </c>
      <c r="AX32" s="484">
        <f>IF(SETUP!$E$7="USD",(AW32*(IF(O32="USD",AR32,(AR32/'Master Data-C19RM'!$G$2)))),(AW32*(IF(O32="EUR",AR32,(AR32*'Master Data-C19RM'!$G$2)))))</f>
        <v>0</v>
      </c>
      <c r="AY32" s="889"/>
      <c r="AZ32" s="884"/>
      <c r="BA32" s="884"/>
      <c r="BB32" s="884"/>
      <c r="BC32" s="884"/>
      <c r="BD32" s="884"/>
      <c r="BE32" s="885"/>
      <c r="BF32" s="504">
        <f>'C19RM 2021-Pharma'!$U32+'C19RM 2021-Pharma'!$AB32+'C19RM 2021-Pharma'!$AP32+'C19RM 2021-Pharma'!$AI32+$AW32+$BD32</f>
        <v>0</v>
      </c>
      <c r="BG32" s="484">
        <f>'C19RM 2021-Pharma'!$V32+'C19RM 2021-Pharma'!$AC32+'C19RM 2021-Pharma'!$AQ32+'C19RM 2021-Pharma'!$AJ32+$AX32+$BE32</f>
        <v>0</v>
      </c>
      <c r="BH32" s="499" t="str" cm="1">
        <f t="array" ref="BH32">IF(A32&lt;&gt;"",IFERROR(INDEX(PMtbl[[WKst]:[Unit of measure*]],MATCH($A$8&amp;$A32&amp;$E32&amp;$I32,INDEX(PMtbl[Sec]&amp;PMtbl[Category]&amp;PMtbl[Each]&amp;PMtbl[Packaging],0,),0),11),""),"")</f>
        <v/>
      </c>
      <c r="BI32" s="818"/>
      <c r="BJ32" s="503" t="str">
        <f>IFERROR(INDEX(SETUP!$C$19:$G$121,MATCH((INDEX(PMtbl[[WKst]:[Unit of measure*]],MATCH($A32&amp;$E32&amp;$I32,INDEX(PMtbl[Category]&amp;PMtbl[Each]&amp;PMtbl[Packaging],0,),0),3)),SETUP!$D$19:$D$121,0),5),"")</f>
        <v/>
      </c>
      <c r="BK32" s="439"/>
      <c r="BL32" s="194"/>
      <c r="BO32" s="12">
        <f>IF(N32="",0,IF(SETUP!$E$7="USD",((IF(O32="USD",P32,(P32/'Master Data-C19RM'!$C$2)))),((IF(O32="EUR",P32,(P32*'Master Data-C19RM'!$C$2))))))</f>
        <v>0</v>
      </c>
      <c r="BP32" s="12">
        <f>IF(N32="",0,IF(SETUP!$E$7="USD",((IF(O32="USD",W32,(W32/'Master Data-C19RM'!$D$2)))),((IF(O32="EUR",W32,(W32*'Master Data-C19RM'!$D$2))))))</f>
        <v>0</v>
      </c>
      <c r="BQ32">
        <f>IF(N32="",0,IF(SETUP!$E$7="USD",((IF(O32="USD",AD32,(AD32/'Master Data-C19RM'!$E$2)))),((IF(O32="EUR",AD32,(AD32*'Master Data-C19RM'!$E$2))))))</f>
        <v>0</v>
      </c>
      <c r="BR32">
        <f>IF(N32="",0,IF(SETUP!$E$7="USD",((IF(O32="USD",AK32,(AK32/'Master Data-C19RM'!$F$2)))),((IF(O32="EUR",AK32,(AK32*'Master Data-C19RM'!$F$2))))))</f>
        <v>0</v>
      </c>
      <c r="BS32">
        <f>IF(N32="",0,IF(SETUP!$E$7="USD",((IF(O32="USD",AR32,(AR32/'Master Data-C19RM'!$F$2)))),((IF(O32="EUR",AR32,(AR32*'Master Data-C19RM'!$G$2))))))</f>
        <v>0</v>
      </c>
      <c r="BT32">
        <f>IF(N32="",0,IF(SETUP!$E$7="USD",((IF(O32="USD",AY32,(AY32/'Master Data-C19RM'!$F$2)))),((IF(O32="EUR",AY32,(AY32*'Master Data-C19RM'!$H$2))))))</f>
        <v>0</v>
      </c>
      <c r="BU32" s="12">
        <f t="shared" si="1"/>
        <v>0</v>
      </c>
      <c r="BV32" s="142">
        <f t="shared" si="2"/>
        <v>0</v>
      </c>
    </row>
    <row r="33" spans="1:74" ht="14.9" customHeight="1" x14ac:dyDescent="0.35">
      <c r="A33" s="1165"/>
      <c r="B33" s="1165"/>
      <c r="C33" s="1165"/>
      <c r="D33" s="1165"/>
      <c r="E33" s="1166"/>
      <c r="F33" s="1166"/>
      <c r="G33" s="1166"/>
      <c r="H33" s="1166"/>
      <c r="I33" s="1166"/>
      <c r="J33" s="1166"/>
      <c r="K33" s="1166"/>
      <c r="L33" s="490" t="str" cm="1">
        <f t="array" ref="L33">IF(A33&lt;&gt;"",IFERROR(INDEX(PMtbl[[WKst]:[Unit of measure*]],MATCH($A$8&amp;$A33&amp;$E33&amp;$I33,INDEX(PMtbl[Sec]&amp;PMtbl[Category]&amp;PMtbl[Each]&amp;PMtbl[Packaging],0,),0),14),""),"")</f>
        <v/>
      </c>
      <c r="M33" s="479" t="str">
        <f>IF(L33="","",INDEX(SETUP!$E$20:$E$122,(MATCH(INDEX(PMsheet!$D:$E,MATCH(A33,PMsheet!E:E,0),1),SETUP!$D$20:$D$122,0))))</f>
        <v/>
      </c>
      <c r="N33" s="491">
        <f>IF($O33="USD",_xlfn.IFNA(VLOOKUP(A33&amp;E33&amp;I33,PMsheet!J:K,2,0),0),(_xlfn.IFNA(VLOOKUP(A33&amp;E33&amp;I33,PMsheet!J:K,2,0),0)*'Master Data-C19RM'!$C$2))</f>
        <v>0</v>
      </c>
      <c r="O33" s="492" t="str">
        <f>IF(L33="", "",SETUP!$E$7)</f>
        <v/>
      </c>
      <c r="P33" s="444">
        <f>IF($O33="USD",_xlfn.IFNA(VLOOKUP($A33&amp;$E33&amp;$I33,PMsheet!$J:$K,2,0),0),(_xlfn.IFNA(VLOOKUP($A33&amp;$E33&amp;$I33,PMsheet!$J:$K,2,0),0)*'Master Data-C19RM'!$C$2))</f>
        <v>0</v>
      </c>
      <c r="Q33" s="441"/>
      <c r="R33" s="441"/>
      <c r="S33" s="441"/>
      <c r="T33" s="441"/>
      <c r="U33" s="481">
        <f>SUM('C19RM 2021-Pharma'!$Q33:$T33)</f>
        <v>0</v>
      </c>
      <c r="V33" s="483">
        <f>IF(SETUP!$E$7="USD",(U33*(IF(O33="USD",P33,(P33/'Master Data-C19RM'!$C$2)))),(U33*(IF(O33="EUR",P33,(P33*'Master Data-C19RM'!$C$2)))))</f>
        <v>0</v>
      </c>
      <c r="W33" s="444">
        <f>IF($O33="USD",_xlfn.IFNA(VLOOKUP($A33&amp;$E33&amp;$I33,PMsheet!$J:$K,2,0),0),(_xlfn.IFNA(VLOOKUP($A33&amp;$E33&amp;$I33,PMsheet!$J:$K,2,0),0)*'Master Data-C19RM'!$D$2))</f>
        <v>0</v>
      </c>
      <c r="X33" s="441"/>
      <c r="Y33" s="441"/>
      <c r="Z33" s="441"/>
      <c r="AA33" s="441"/>
      <c r="AB33" s="481">
        <f>SUM('C19RM 2021-Pharma'!$X33:$AA33)</f>
        <v>0</v>
      </c>
      <c r="AC33" s="483">
        <f>IF(SETUP!$E$7="USD",(AB33*(IF(O33="USD",W33,(W33/'Master Data-C19RM'!$D$2)))),(AB33*(IF(O33="EUR",W33,(W33*'Master Data-C19RM'!$D$2)))))</f>
        <v>0</v>
      </c>
      <c r="AD33" s="444">
        <f>IF($O33="USD",_xlfn.IFNA(VLOOKUP($A33&amp;$E33&amp;$I33,PMsheet!$J:$K,2,0),0),(_xlfn.IFNA(VLOOKUP($A33&amp;$E33&amp;$I33,PMsheet!$J:$K,2,0),0)*'Master Data-C19RM'!$E$2))</f>
        <v>0</v>
      </c>
      <c r="AE33" s="441"/>
      <c r="AF33" s="441"/>
      <c r="AG33" s="441"/>
      <c r="AH33" s="441"/>
      <c r="AI33" s="481">
        <f>SUM('C19RM 2021-Pharma'!$AE33:$AH33)</f>
        <v>0</v>
      </c>
      <c r="AJ33" s="483">
        <f>IF(SETUP!$E$7="USD",(AI33*(IF(O33="USD",AD33,(AD33/'Master Data-C19RM'!$E$2)))),(AI33*(IF(O33="EUR",AD33,(AD33*'Master Data-C19RM'!$E$2)))))</f>
        <v>0</v>
      </c>
      <c r="AK33" s="444">
        <f>IF($O33="USD",_xlfn.IFNA(VLOOKUP($A33&amp;$E33&amp;$I33,PMsheet!$J:$K,2,0),0),(_xlfn.IFNA(VLOOKUP($A33&amp;$E33&amp;$I33,PMsheet!$J:$K,2,0),0)*'Master Data-C19RM'!$F$2))</f>
        <v>0</v>
      </c>
      <c r="AL33" s="441"/>
      <c r="AM33" s="441"/>
      <c r="AN33" s="441"/>
      <c r="AO33" s="441"/>
      <c r="AP33" s="481">
        <f>SUM('C19RM 2021-Pharma'!$AL33:$AO33)</f>
        <v>0</v>
      </c>
      <c r="AQ33" s="483">
        <f>IF(SETUP!$E$7="USD",(AP33*(IF(O33="USD",AK33,(AK33/'Master Data-C19RM'!$F$2)))),(AP33*(IF(O33="EUR",AK33,(AK33*'Master Data-C19RM'!$F$2)))))</f>
        <v>0</v>
      </c>
      <c r="AR33" s="444">
        <f>IF($O33="USD",_xlfn.IFNA(VLOOKUP($A33&amp;$E33&amp;$I33,PMsheet!$J:$K,2,0),0),(_xlfn.IFNA(VLOOKUP($A33&amp;$E33&amp;$I33,PMsheet!$J:$K,2,0),0)*'Master Data-C19RM'!$G$2))</f>
        <v>0</v>
      </c>
      <c r="AS33" s="441"/>
      <c r="AT33" s="441"/>
      <c r="AU33" s="441"/>
      <c r="AV33" s="441"/>
      <c r="AW33" s="481">
        <f>SUM('C19RM 2021-Pharma'!$AS33:$AV33)</f>
        <v>0</v>
      </c>
      <c r="AX33" s="483">
        <f>IF(SETUP!$E$7="USD",(AW33*(IF(O33="USD",AR33,(AR33/'Master Data-C19RM'!$G$2)))),(AW33*(IF(O33="EUR",AR33,(AR33*'Master Data-C19RM'!$G$2)))))</f>
        <v>0</v>
      </c>
      <c r="AY33" s="886"/>
      <c r="AZ33" s="887"/>
      <c r="BA33" s="887"/>
      <c r="BB33" s="887"/>
      <c r="BC33" s="887"/>
      <c r="BD33" s="887"/>
      <c r="BE33" s="888"/>
      <c r="BF33" s="505">
        <f>'C19RM 2021-Pharma'!$U33+'C19RM 2021-Pharma'!$AB33+'C19RM 2021-Pharma'!$AP33+'C19RM 2021-Pharma'!$AI33+$AW33+$BD33</f>
        <v>0</v>
      </c>
      <c r="BG33" s="483">
        <f>'C19RM 2021-Pharma'!$V33+'C19RM 2021-Pharma'!$AC33+'C19RM 2021-Pharma'!$AQ33+'C19RM 2021-Pharma'!$AJ33+$AX33+$BE33</f>
        <v>0</v>
      </c>
      <c r="BH33" s="500" t="str" cm="1">
        <f t="array" ref="BH33">IF(A33&lt;&gt;"",IFERROR(INDEX(PMtbl[[WKst]:[Unit of measure*]],MATCH($A$8&amp;$A33&amp;$E33&amp;$I33,INDEX(PMtbl[Sec]&amp;PMtbl[Category]&amp;PMtbl[Each]&amp;PMtbl[Packaging],0,),0),11),""),"")</f>
        <v/>
      </c>
      <c r="BI33" s="819"/>
      <c r="BJ33" s="502" t="str">
        <f>IFERROR(INDEX(SETUP!$C$19:$G$121,MATCH((INDEX(PMtbl[[WKst]:[Unit of measure*]],MATCH($A33&amp;$E33&amp;$I33,INDEX(PMtbl[Category]&amp;PMtbl[Each]&amp;PMtbl[Packaging],0,),0),3)),SETUP!$D$19:$D$121,0),5),"")</f>
        <v/>
      </c>
      <c r="BK33" s="438"/>
      <c r="BL33" s="193"/>
      <c r="BO33" s="12">
        <f>IF(N33="",0,IF(SETUP!$E$7="USD",((IF(O33="USD",P33,(P33/'Master Data-C19RM'!$C$2)))),((IF(O33="EUR",P33,(P33*'Master Data-C19RM'!$C$2))))))</f>
        <v>0</v>
      </c>
      <c r="BP33" s="12">
        <f>IF(N33="",0,IF(SETUP!$E$7="USD",((IF(O33="USD",W33,(W33/'Master Data-C19RM'!$D$2)))),((IF(O33="EUR",W33,(W33*'Master Data-C19RM'!$D$2))))))</f>
        <v>0</v>
      </c>
      <c r="BQ33">
        <f>IF(N33="",0,IF(SETUP!$E$7="USD",((IF(O33="USD",AD33,(AD33/'Master Data-C19RM'!$E$2)))),((IF(O33="EUR",AD33,(AD33*'Master Data-C19RM'!$E$2))))))</f>
        <v>0</v>
      </c>
      <c r="BR33">
        <f>IF(N33="",0,IF(SETUP!$E$7="USD",((IF(O33="USD",AK33,(AK33/'Master Data-C19RM'!$F$2)))),((IF(O33="EUR",AK33,(AK33*'Master Data-C19RM'!$F$2))))))</f>
        <v>0</v>
      </c>
      <c r="BS33">
        <f>IF(N33="",0,IF(SETUP!$E$7="USD",((IF(O33="USD",AR33,(AR33/'Master Data-C19RM'!$F$2)))),((IF(O33="EUR",AR33,(AR33*'Master Data-C19RM'!$G$2))))))</f>
        <v>0</v>
      </c>
      <c r="BT33">
        <f>IF(N33="",0,IF(SETUP!$E$7="USD",((IF(O33="USD",AY33,(AY33/'Master Data-C19RM'!$F$2)))),((IF(O33="EUR",AY33,(AY33*'Master Data-C19RM'!$H$2))))))</f>
        <v>0</v>
      </c>
      <c r="BU33" s="12">
        <f t="shared" si="1"/>
        <v>0</v>
      </c>
      <c r="BV33" s="142">
        <f t="shared" si="2"/>
        <v>0</v>
      </c>
    </row>
    <row r="34" spans="1:74" ht="14.9" customHeight="1" x14ac:dyDescent="0.35">
      <c r="A34" s="1172"/>
      <c r="B34" s="1172"/>
      <c r="C34" s="1172"/>
      <c r="D34" s="1172"/>
      <c r="E34" s="1172"/>
      <c r="F34" s="1172"/>
      <c r="G34" s="1172"/>
      <c r="H34" s="1172"/>
      <c r="I34" s="1173"/>
      <c r="J34" s="1173"/>
      <c r="K34" s="1173"/>
      <c r="L34" s="493" t="str" cm="1">
        <f t="array" ref="L34">IF(A34&lt;&gt;"",IFERROR(INDEX(PMtbl[[WKst]:[Unit of measure*]],MATCH($A$8&amp;$A34&amp;$E34&amp;$I34,INDEX(PMtbl[Sec]&amp;PMtbl[Category]&amp;PMtbl[Each]&amp;PMtbl[Packaging],0,),0),14),""),"")</f>
        <v/>
      </c>
      <c r="M34" s="480" t="str">
        <f>IF(L34="","",INDEX(SETUP!$E$20:$E$122,(MATCH(INDEX(PMsheet!$D:$E,MATCH(A34,PMsheet!E:E,0),1),SETUP!$D$20:$D$122,0))))</f>
        <v/>
      </c>
      <c r="N34" s="494">
        <f>IF($O34="USD",_xlfn.IFNA(VLOOKUP(A34&amp;E34&amp;I34,PMsheet!J:K,2,0),0),(_xlfn.IFNA(VLOOKUP(A34&amp;E34&amp;I34,PMsheet!J:K,2,0),0)*'Master Data-C19RM'!$C$2))</f>
        <v>0</v>
      </c>
      <c r="O34" s="495" t="str">
        <f>IF(L34="", "",SETUP!$E$7)</f>
        <v/>
      </c>
      <c r="P34" s="445">
        <f>IF($O34="USD",_xlfn.IFNA(VLOOKUP($A34&amp;$E34&amp;$I34,PMsheet!$J:$K,2,0),0),(_xlfn.IFNA(VLOOKUP($A34&amp;$E34&amp;$I34,PMsheet!$J:$K,2,0),0)*'Master Data-C19RM'!$C$2))</f>
        <v>0</v>
      </c>
      <c r="Q34" s="440"/>
      <c r="R34" s="440"/>
      <c r="S34" s="440"/>
      <c r="T34" s="440"/>
      <c r="U34" s="482">
        <f>SUM('C19RM 2021-Pharma'!$Q34:$T34)</f>
        <v>0</v>
      </c>
      <c r="V34" s="484">
        <f>IF(SETUP!$E$7="USD",(U34*(IF(O34="USD",P34,(P34/'Master Data-C19RM'!$C$2)))),(U34*(IF(O34="EUR",P34,(P34*'Master Data-C19RM'!$C$2)))))</f>
        <v>0</v>
      </c>
      <c r="W34" s="445">
        <f>IF($O34="USD",_xlfn.IFNA(VLOOKUP($A34&amp;$E34&amp;$I34,PMsheet!$J:$K,2,0),0),(_xlfn.IFNA(VLOOKUP($A34&amp;$E34&amp;$I34,PMsheet!$J:$K,2,0),0)*'Master Data-C19RM'!$D$2))</f>
        <v>0</v>
      </c>
      <c r="X34" s="440"/>
      <c r="Y34" s="440"/>
      <c r="Z34" s="440"/>
      <c r="AA34" s="440"/>
      <c r="AB34" s="482">
        <f>SUM('C19RM 2021-Pharma'!$X34:$AA34)</f>
        <v>0</v>
      </c>
      <c r="AC34" s="484">
        <f>IF(SETUP!$E$7="USD",(AB34*(IF(O34="USD",W34,(W34/'Master Data-C19RM'!$D$2)))),(AB34*(IF(O34="EUR",W34,(W34*'Master Data-C19RM'!$D$2)))))</f>
        <v>0</v>
      </c>
      <c r="AD34" s="445">
        <f>IF($O34="USD",_xlfn.IFNA(VLOOKUP($A34&amp;$E34&amp;$I34,PMsheet!$J:$K,2,0),0),(_xlfn.IFNA(VLOOKUP($A34&amp;$E34&amp;$I34,PMsheet!$J:$K,2,0),0)*'Master Data-C19RM'!$E$2))</f>
        <v>0</v>
      </c>
      <c r="AE34" s="440"/>
      <c r="AF34" s="440"/>
      <c r="AG34" s="440"/>
      <c r="AH34" s="440"/>
      <c r="AI34" s="482">
        <f>SUM('C19RM 2021-Pharma'!$AE34:$AH34)</f>
        <v>0</v>
      </c>
      <c r="AJ34" s="484">
        <f>IF(SETUP!$E$7="USD",(AI34*(IF(O34="USD",AD34,(AD34/'Master Data-C19RM'!$E$2)))),(AI34*(IF(O34="EUR",AD34,(AD34*'Master Data-C19RM'!$E$2)))))</f>
        <v>0</v>
      </c>
      <c r="AK34" s="445">
        <f>IF($O34="USD",_xlfn.IFNA(VLOOKUP($A34&amp;$E34&amp;$I34,PMsheet!$J:$K,2,0),0),(_xlfn.IFNA(VLOOKUP($A34&amp;$E34&amp;$I34,PMsheet!$J:$K,2,0),0)*'Master Data-C19RM'!$F$2))</f>
        <v>0</v>
      </c>
      <c r="AL34" s="440"/>
      <c r="AM34" s="440"/>
      <c r="AN34" s="440"/>
      <c r="AO34" s="440"/>
      <c r="AP34" s="482">
        <f>SUM('C19RM 2021-Pharma'!$AL34:$AO34)</f>
        <v>0</v>
      </c>
      <c r="AQ34" s="484">
        <f>IF(SETUP!$E$7="USD",(AP34*(IF(O34="USD",AK34,(AK34/'Master Data-C19RM'!$F$2)))),(AP34*(IF(O34="EUR",AK34,(AK34*'Master Data-C19RM'!$F$2)))))</f>
        <v>0</v>
      </c>
      <c r="AR34" s="445">
        <f>IF($O34="USD",_xlfn.IFNA(VLOOKUP($A34&amp;$E34&amp;$I34,PMsheet!$J:$K,2,0),0),(_xlfn.IFNA(VLOOKUP($A34&amp;$E34&amp;$I34,PMsheet!$J:$K,2,0),0)*'Master Data-C19RM'!$G$2))</f>
        <v>0</v>
      </c>
      <c r="AS34" s="440"/>
      <c r="AT34" s="440"/>
      <c r="AU34" s="440"/>
      <c r="AV34" s="440"/>
      <c r="AW34" s="482">
        <f>SUM('C19RM 2021-Pharma'!$AS34:$AV34)</f>
        <v>0</v>
      </c>
      <c r="AX34" s="484">
        <f>IF(SETUP!$E$7="USD",(AW34*(IF(O34="USD",AR34,(AR34/'Master Data-C19RM'!$G$2)))),(AW34*(IF(O34="EUR",AR34,(AR34*'Master Data-C19RM'!$G$2)))))</f>
        <v>0</v>
      </c>
      <c r="AY34" s="889"/>
      <c r="AZ34" s="884"/>
      <c r="BA34" s="884"/>
      <c r="BB34" s="884"/>
      <c r="BC34" s="884"/>
      <c r="BD34" s="884"/>
      <c r="BE34" s="885"/>
      <c r="BF34" s="504">
        <f>'C19RM 2021-Pharma'!$U34+'C19RM 2021-Pharma'!$AB34+'C19RM 2021-Pharma'!$AP34+'C19RM 2021-Pharma'!$AI34+$AW34+$BD34</f>
        <v>0</v>
      </c>
      <c r="BG34" s="484">
        <f>'C19RM 2021-Pharma'!$V34+'C19RM 2021-Pharma'!$AC34+'C19RM 2021-Pharma'!$AQ34+'C19RM 2021-Pharma'!$AJ34+$AX34+$BE34</f>
        <v>0</v>
      </c>
      <c r="BH34" s="499" t="str" cm="1">
        <f t="array" ref="BH34">IF(A34&lt;&gt;"",IFERROR(INDEX(PMtbl[[WKst]:[Unit of measure*]],MATCH($A$8&amp;$A34&amp;$E34&amp;$I34,INDEX(PMtbl[Sec]&amp;PMtbl[Category]&amp;PMtbl[Each]&amp;PMtbl[Packaging],0,),0),11),""),"")</f>
        <v/>
      </c>
      <c r="BI34" s="818"/>
      <c r="BJ34" s="503" t="str">
        <f>IFERROR(INDEX(SETUP!$C$19:$G$121,MATCH((INDEX(PMtbl[[WKst]:[Unit of measure*]],MATCH($A34&amp;$E34&amp;$I34,INDEX(PMtbl[Category]&amp;PMtbl[Each]&amp;PMtbl[Packaging],0,),0),3)),SETUP!$D$19:$D$121,0),5),"")</f>
        <v/>
      </c>
      <c r="BK34" s="439"/>
      <c r="BL34" s="194"/>
      <c r="BO34" s="12">
        <f>IF(N34="",0,IF(SETUP!$E$7="USD",((IF(O34="USD",P34,(P34/'Master Data-C19RM'!$C$2)))),((IF(O34="EUR",P34,(P34*'Master Data-C19RM'!$C$2))))))</f>
        <v>0</v>
      </c>
      <c r="BP34" s="12">
        <f>IF(N34="",0,IF(SETUP!$E$7="USD",((IF(O34="USD",W34,(W34/'Master Data-C19RM'!$D$2)))),((IF(O34="EUR",W34,(W34*'Master Data-C19RM'!$D$2))))))</f>
        <v>0</v>
      </c>
      <c r="BQ34">
        <f>IF(N34="",0,IF(SETUP!$E$7="USD",((IF(O34="USD",AD34,(AD34/'Master Data-C19RM'!$E$2)))),((IF(O34="EUR",AD34,(AD34*'Master Data-C19RM'!$E$2))))))</f>
        <v>0</v>
      </c>
      <c r="BR34">
        <f>IF(N34="",0,IF(SETUP!$E$7="USD",((IF(O34="USD",AK34,(AK34/'Master Data-C19RM'!$F$2)))),((IF(O34="EUR",AK34,(AK34*'Master Data-C19RM'!$F$2))))))</f>
        <v>0</v>
      </c>
      <c r="BS34">
        <f>IF(N34="",0,IF(SETUP!$E$7="USD",((IF(O34="USD",AR34,(AR34/'Master Data-C19RM'!$F$2)))),((IF(O34="EUR",AR34,(AR34*'Master Data-C19RM'!$G$2))))))</f>
        <v>0</v>
      </c>
      <c r="BT34">
        <f>IF(N34="",0,IF(SETUP!$E$7="USD",((IF(O34="USD",AY34,(AY34/'Master Data-C19RM'!$F$2)))),((IF(O34="EUR",AY34,(AY34*'Master Data-C19RM'!$H$2))))))</f>
        <v>0</v>
      </c>
      <c r="BU34" s="12">
        <f t="shared" si="1"/>
        <v>0</v>
      </c>
      <c r="BV34" s="142">
        <f t="shared" si="2"/>
        <v>0</v>
      </c>
    </row>
    <row r="35" spans="1:74" ht="14.9" customHeight="1" x14ac:dyDescent="0.35">
      <c r="A35" s="1165"/>
      <c r="B35" s="1165"/>
      <c r="C35" s="1165"/>
      <c r="D35" s="1165"/>
      <c r="E35" s="1166"/>
      <c r="F35" s="1166"/>
      <c r="G35" s="1166"/>
      <c r="H35" s="1166"/>
      <c r="I35" s="1166"/>
      <c r="J35" s="1166"/>
      <c r="K35" s="1166"/>
      <c r="L35" s="490" t="str" cm="1">
        <f t="array" ref="L35">IF(A35&lt;&gt;"",IFERROR(INDEX(PMtbl[[WKst]:[Unit of measure*]],MATCH($A$8&amp;$A35&amp;$E35&amp;$I35,INDEX(PMtbl[Sec]&amp;PMtbl[Category]&amp;PMtbl[Each]&amp;PMtbl[Packaging],0,),0),14),""),"")</f>
        <v/>
      </c>
      <c r="M35" s="479" t="str">
        <f>IF(L35="","",INDEX(SETUP!$E$20:$E$122,(MATCH(INDEX(PMsheet!$D:$E,MATCH(A35,PMsheet!E:E,0),1),SETUP!$D$20:$D$122,0))))</f>
        <v/>
      </c>
      <c r="N35" s="491">
        <f>IF($O35="USD",_xlfn.IFNA(VLOOKUP(A35&amp;E35&amp;I35,PMsheet!J:K,2,0),0),(_xlfn.IFNA(VLOOKUP(A35&amp;E35&amp;I35,PMsheet!J:K,2,0),0)*'Master Data-C19RM'!$C$2))</f>
        <v>0</v>
      </c>
      <c r="O35" s="492" t="str">
        <f>IF(L35="", "",SETUP!$E$7)</f>
        <v/>
      </c>
      <c r="P35" s="444">
        <f>IF($O35="USD",_xlfn.IFNA(VLOOKUP($A35&amp;$E35&amp;$I35,PMsheet!$J:$K,2,0),0),(_xlfn.IFNA(VLOOKUP($A35&amp;$E35&amp;$I35,PMsheet!$J:$K,2,0),0)*'Master Data-C19RM'!$C$2))</f>
        <v>0</v>
      </c>
      <c r="Q35" s="441"/>
      <c r="R35" s="441"/>
      <c r="S35" s="441"/>
      <c r="T35" s="441"/>
      <c r="U35" s="481">
        <f>SUM('C19RM 2021-Pharma'!$Q35:$T35)</f>
        <v>0</v>
      </c>
      <c r="V35" s="483">
        <f>IF(SETUP!$E$7="USD",(U35*(IF(O35="USD",P35,(P35/'Master Data-C19RM'!$C$2)))),(U35*(IF(O35="EUR",P35,(P35*'Master Data-C19RM'!$C$2)))))</f>
        <v>0</v>
      </c>
      <c r="W35" s="444">
        <f>IF($O35="USD",_xlfn.IFNA(VLOOKUP($A35&amp;$E35&amp;$I35,PMsheet!$J:$K,2,0),0),(_xlfn.IFNA(VLOOKUP($A35&amp;$E35&amp;$I35,PMsheet!$J:$K,2,0),0)*'Master Data-C19RM'!$D$2))</f>
        <v>0</v>
      </c>
      <c r="X35" s="441"/>
      <c r="Y35" s="441"/>
      <c r="Z35" s="441"/>
      <c r="AA35" s="441"/>
      <c r="AB35" s="481">
        <f>SUM('C19RM 2021-Pharma'!$X35:$AA35)</f>
        <v>0</v>
      </c>
      <c r="AC35" s="483">
        <f>IF(SETUP!$E$7="USD",(AB35*(IF(O35="USD",W35,(W35/'Master Data-C19RM'!$D$2)))),(AB35*(IF(O35="EUR",W35,(W35*'Master Data-C19RM'!$D$2)))))</f>
        <v>0</v>
      </c>
      <c r="AD35" s="444">
        <f>IF($O35="USD",_xlfn.IFNA(VLOOKUP($A35&amp;$E35&amp;$I35,PMsheet!$J:$K,2,0),0),(_xlfn.IFNA(VLOOKUP($A35&amp;$E35&amp;$I35,PMsheet!$J:$K,2,0),0)*'Master Data-C19RM'!$E$2))</f>
        <v>0</v>
      </c>
      <c r="AE35" s="441"/>
      <c r="AF35" s="441"/>
      <c r="AG35" s="441"/>
      <c r="AH35" s="441"/>
      <c r="AI35" s="481">
        <f>SUM('C19RM 2021-Pharma'!$AE35:$AH35)</f>
        <v>0</v>
      </c>
      <c r="AJ35" s="483">
        <f>IF(SETUP!$E$7="USD",(AI35*(IF(O35="USD",AD35,(AD35/'Master Data-C19RM'!$E$2)))),(AI35*(IF(O35="EUR",AD35,(AD35*'Master Data-C19RM'!$E$2)))))</f>
        <v>0</v>
      </c>
      <c r="AK35" s="444">
        <f>IF($O35="USD",_xlfn.IFNA(VLOOKUP($A35&amp;$E35&amp;$I35,PMsheet!$J:$K,2,0),0),(_xlfn.IFNA(VLOOKUP($A35&amp;$E35&amp;$I35,PMsheet!$J:$K,2,0),0)*'Master Data-C19RM'!$F$2))</f>
        <v>0</v>
      </c>
      <c r="AL35" s="441"/>
      <c r="AM35" s="441"/>
      <c r="AN35" s="441"/>
      <c r="AO35" s="441"/>
      <c r="AP35" s="481">
        <f>SUM('C19RM 2021-Pharma'!$AL35:$AO35)</f>
        <v>0</v>
      </c>
      <c r="AQ35" s="483">
        <f>IF(SETUP!$E$7="USD",(AP35*(IF(O35="USD",AK35,(AK35/'Master Data-C19RM'!$F$2)))),(AP35*(IF(O35="EUR",AK35,(AK35*'Master Data-C19RM'!$F$2)))))</f>
        <v>0</v>
      </c>
      <c r="AR35" s="444">
        <f>IF($O35="USD",_xlfn.IFNA(VLOOKUP($A35&amp;$E35&amp;$I35,PMsheet!$J:$K,2,0),0),(_xlfn.IFNA(VLOOKUP($A35&amp;$E35&amp;$I35,PMsheet!$J:$K,2,0),0)*'Master Data-C19RM'!$G$2))</f>
        <v>0</v>
      </c>
      <c r="AS35" s="441"/>
      <c r="AT35" s="441"/>
      <c r="AU35" s="441"/>
      <c r="AV35" s="441"/>
      <c r="AW35" s="481">
        <f>SUM('C19RM 2021-Pharma'!$AS35:$AV35)</f>
        <v>0</v>
      </c>
      <c r="AX35" s="483">
        <f>IF(SETUP!$E$7="USD",(AW35*(IF(O35="USD",AR35,(AR35/'Master Data-C19RM'!$G$2)))),(AW35*(IF(O35="EUR",AR35,(AR35*'Master Data-C19RM'!$G$2)))))</f>
        <v>0</v>
      </c>
      <c r="AY35" s="886"/>
      <c r="AZ35" s="887"/>
      <c r="BA35" s="887"/>
      <c r="BB35" s="887"/>
      <c r="BC35" s="887"/>
      <c r="BD35" s="887"/>
      <c r="BE35" s="888"/>
      <c r="BF35" s="505">
        <f>'C19RM 2021-Pharma'!$U35+'C19RM 2021-Pharma'!$AB35+'C19RM 2021-Pharma'!$AP35+'C19RM 2021-Pharma'!$AI35+$AW35+$BD35</f>
        <v>0</v>
      </c>
      <c r="BG35" s="483">
        <f>'C19RM 2021-Pharma'!$V35+'C19RM 2021-Pharma'!$AC35+'C19RM 2021-Pharma'!$AQ35+'C19RM 2021-Pharma'!$AJ35+$AX35+$BE35</f>
        <v>0</v>
      </c>
      <c r="BH35" s="500" t="str" cm="1">
        <f t="array" ref="BH35">IF(A35&lt;&gt;"",IFERROR(INDEX(PMtbl[[WKst]:[Unit of measure*]],MATCH($A$8&amp;$A35&amp;$E35&amp;$I35,INDEX(PMtbl[Sec]&amp;PMtbl[Category]&amp;PMtbl[Each]&amp;PMtbl[Packaging],0,),0),11),""),"")</f>
        <v/>
      </c>
      <c r="BI35" s="819"/>
      <c r="BJ35" s="502" t="str">
        <f>IFERROR(INDEX(SETUP!$C$19:$G$121,MATCH((INDEX(PMtbl[[WKst]:[Unit of measure*]],MATCH($A35&amp;$E35&amp;$I35,INDEX(PMtbl[Category]&amp;PMtbl[Each]&amp;PMtbl[Packaging],0,),0),3)),SETUP!$D$19:$D$121,0),5),"")</f>
        <v/>
      </c>
      <c r="BK35" s="438"/>
      <c r="BL35" s="193"/>
      <c r="BO35" s="12">
        <f>IF(N35="",0,IF(SETUP!$E$7="USD",((IF(O35="USD",P35,(P35/'Master Data-C19RM'!$C$2)))),((IF(O35="EUR",P35,(P35*'Master Data-C19RM'!$C$2))))))</f>
        <v>0</v>
      </c>
      <c r="BP35" s="12">
        <f>IF(N35="",0,IF(SETUP!$E$7="USD",((IF(O35="USD",W35,(W35/'Master Data-C19RM'!$D$2)))),((IF(O35="EUR",W35,(W35*'Master Data-C19RM'!$D$2))))))</f>
        <v>0</v>
      </c>
      <c r="BQ35">
        <f>IF(N35="",0,IF(SETUP!$E$7="USD",((IF(O35="USD",AD35,(AD35/'Master Data-C19RM'!$E$2)))),((IF(O35="EUR",AD35,(AD35*'Master Data-C19RM'!$E$2))))))</f>
        <v>0</v>
      </c>
      <c r="BR35">
        <f>IF(N35="",0,IF(SETUP!$E$7="USD",((IF(O35="USD",AK35,(AK35/'Master Data-C19RM'!$F$2)))),((IF(O35="EUR",AK35,(AK35*'Master Data-C19RM'!$F$2))))))</f>
        <v>0</v>
      </c>
      <c r="BS35">
        <f>IF(N35="",0,IF(SETUP!$E$7="USD",((IF(O35="USD",AR35,(AR35/'Master Data-C19RM'!$F$2)))),((IF(O35="EUR",AR35,(AR35*'Master Data-C19RM'!$G$2))))))</f>
        <v>0</v>
      </c>
      <c r="BT35">
        <f>IF(N35="",0,IF(SETUP!$E$7="USD",((IF(O35="USD",AY35,(AY35/'Master Data-C19RM'!$F$2)))),((IF(O35="EUR",AY35,(AY35*'Master Data-C19RM'!$H$2))))))</f>
        <v>0</v>
      </c>
      <c r="BU35" s="12">
        <f t="shared" si="1"/>
        <v>0</v>
      </c>
      <c r="BV35" s="142">
        <f t="shared" si="2"/>
        <v>0</v>
      </c>
    </row>
    <row r="36" spans="1:74" ht="14.9" customHeight="1" x14ac:dyDescent="0.35">
      <c r="A36" s="1172"/>
      <c r="B36" s="1172"/>
      <c r="C36" s="1172"/>
      <c r="D36" s="1172"/>
      <c r="E36" s="1172"/>
      <c r="F36" s="1172"/>
      <c r="G36" s="1172"/>
      <c r="H36" s="1172"/>
      <c r="I36" s="1173"/>
      <c r="J36" s="1173"/>
      <c r="K36" s="1173"/>
      <c r="L36" s="493" t="str" cm="1">
        <f t="array" ref="L36">IF(A36&lt;&gt;"",IFERROR(INDEX(PMtbl[[WKst]:[Unit of measure*]],MATCH($A$8&amp;$A36&amp;$E36&amp;$I36,INDEX(PMtbl[Sec]&amp;PMtbl[Category]&amp;PMtbl[Each]&amp;PMtbl[Packaging],0,),0),14),""),"")</f>
        <v/>
      </c>
      <c r="M36" s="480" t="str">
        <f>IF(L36="","",INDEX(SETUP!$E$20:$E$122,(MATCH(INDEX(PMsheet!$D:$E,MATCH(A36,PMsheet!E:E,0),1),SETUP!$D$20:$D$122,0))))</f>
        <v/>
      </c>
      <c r="N36" s="494">
        <f>IF($O36="USD",_xlfn.IFNA(VLOOKUP(A36&amp;E36&amp;I36,PMsheet!J:K,2,0),0),(_xlfn.IFNA(VLOOKUP(A36&amp;E36&amp;I36,PMsheet!J:K,2,0),0)*'Master Data-C19RM'!$C$2))</f>
        <v>0</v>
      </c>
      <c r="O36" s="495" t="str">
        <f>IF(L36="", "",SETUP!$E$7)</f>
        <v/>
      </c>
      <c r="P36" s="445">
        <f>IF($O36="USD",_xlfn.IFNA(VLOOKUP($A36&amp;$E36&amp;$I36,PMsheet!$J:$K,2,0),0),(_xlfn.IFNA(VLOOKUP($A36&amp;$E36&amp;$I36,PMsheet!$J:$K,2,0),0)*'Master Data-C19RM'!$C$2))</f>
        <v>0</v>
      </c>
      <c r="Q36" s="440"/>
      <c r="R36" s="440"/>
      <c r="S36" s="440"/>
      <c r="T36" s="440"/>
      <c r="U36" s="482">
        <f>SUM('C19RM 2021-Pharma'!$Q36:$T36)</f>
        <v>0</v>
      </c>
      <c r="V36" s="484">
        <f>IF(SETUP!$E$7="USD",(U36*(IF(O36="USD",P36,(P36/'Master Data-C19RM'!$C$2)))),(U36*(IF(O36="EUR",P36,(P36*'Master Data-C19RM'!$C$2)))))</f>
        <v>0</v>
      </c>
      <c r="W36" s="445">
        <f>IF($O36="USD",_xlfn.IFNA(VLOOKUP($A36&amp;$E36&amp;$I36,PMsheet!$J:$K,2,0),0),(_xlfn.IFNA(VLOOKUP($A36&amp;$E36&amp;$I36,PMsheet!$J:$K,2,0),0)*'Master Data-C19RM'!$D$2))</f>
        <v>0</v>
      </c>
      <c r="X36" s="440"/>
      <c r="Y36" s="440"/>
      <c r="Z36" s="440"/>
      <c r="AA36" s="440"/>
      <c r="AB36" s="482">
        <f>SUM('C19RM 2021-Pharma'!$X36:$AA36)</f>
        <v>0</v>
      </c>
      <c r="AC36" s="484">
        <f>IF(SETUP!$E$7="USD",(AB36*(IF(O36="USD",W36,(W36/'Master Data-C19RM'!$D$2)))),(AB36*(IF(O36="EUR",W36,(W36*'Master Data-C19RM'!$D$2)))))</f>
        <v>0</v>
      </c>
      <c r="AD36" s="445">
        <f>IF($O36="USD",_xlfn.IFNA(VLOOKUP($A36&amp;$E36&amp;$I36,PMsheet!$J:$K,2,0),0),(_xlfn.IFNA(VLOOKUP($A36&amp;$E36&amp;$I36,PMsheet!$J:$K,2,0),0)*'Master Data-C19RM'!$E$2))</f>
        <v>0</v>
      </c>
      <c r="AE36" s="440"/>
      <c r="AF36" s="440"/>
      <c r="AG36" s="440"/>
      <c r="AH36" s="440"/>
      <c r="AI36" s="482">
        <f>SUM('C19RM 2021-Pharma'!$AE36:$AH36)</f>
        <v>0</v>
      </c>
      <c r="AJ36" s="484">
        <f>IF(SETUP!$E$7="USD",(AI36*(IF(O36="USD",AD36,(AD36/'Master Data-C19RM'!$E$2)))),(AI36*(IF(O36="EUR",AD36,(AD36*'Master Data-C19RM'!$E$2)))))</f>
        <v>0</v>
      </c>
      <c r="AK36" s="445">
        <f>IF($O36="USD",_xlfn.IFNA(VLOOKUP($A36&amp;$E36&amp;$I36,PMsheet!$J:$K,2,0),0),(_xlfn.IFNA(VLOOKUP($A36&amp;$E36&amp;$I36,PMsheet!$J:$K,2,0),0)*'Master Data-C19RM'!$F$2))</f>
        <v>0</v>
      </c>
      <c r="AL36" s="440"/>
      <c r="AM36" s="440"/>
      <c r="AN36" s="440"/>
      <c r="AO36" s="440"/>
      <c r="AP36" s="482">
        <f>SUM('C19RM 2021-Pharma'!$AL36:$AO36)</f>
        <v>0</v>
      </c>
      <c r="AQ36" s="484">
        <f>IF(SETUP!$E$7="USD",(AP36*(IF(O36="USD",AK36,(AK36/'Master Data-C19RM'!$F$2)))),(AP36*(IF(O36="EUR",AK36,(AK36*'Master Data-C19RM'!$F$2)))))</f>
        <v>0</v>
      </c>
      <c r="AR36" s="445">
        <f>IF($O36="USD",_xlfn.IFNA(VLOOKUP($A36&amp;$E36&amp;$I36,PMsheet!$J:$K,2,0),0),(_xlfn.IFNA(VLOOKUP($A36&amp;$E36&amp;$I36,PMsheet!$J:$K,2,0),0)*'Master Data-C19RM'!$G$2))</f>
        <v>0</v>
      </c>
      <c r="AS36" s="440"/>
      <c r="AT36" s="440"/>
      <c r="AU36" s="440"/>
      <c r="AV36" s="440"/>
      <c r="AW36" s="482">
        <f>SUM('C19RM 2021-Pharma'!$AS36:$AV36)</f>
        <v>0</v>
      </c>
      <c r="AX36" s="484">
        <f>IF(SETUP!$E$7="USD",(AW36*(IF(O36="USD",AR36,(AR36/'Master Data-C19RM'!$G$2)))),(AW36*(IF(O36="EUR",AR36,(AR36*'Master Data-C19RM'!$G$2)))))</f>
        <v>0</v>
      </c>
      <c r="AY36" s="889"/>
      <c r="AZ36" s="884"/>
      <c r="BA36" s="884"/>
      <c r="BB36" s="884"/>
      <c r="BC36" s="884"/>
      <c r="BD36" s="884"/>
      <c r="BE36" s="885"/>
      <c r="BF36" s="504">
        <f>'C19RM 2021-Pharma'!$U36+'C19RM 2021-Pharma'!$AB36+'C19RM 2021-Pharma'!$AP36+'C19RM 2021-Pharma'!$AI36+$AW36+$BD36</f>
        <v>0</v>
      </c>
      <c r="BG36" s="484">
        <f>'C19RM 2021-Pharma'!$V36+'C19RM 2021-Pharma'!$AC36+'C19RM 2021-Pharma'!$AQ36+'C19RM 2021-Pharma'!$AJ36+$AX36+$BE36</f>
        <v>0</v>
      </c>
      <c r="BH36" s="499" t="str" cm="1">
        <f t="array" ref="BH36">IF(A36&lt;&gt;"",IFERROR(INDEX(PMtbl[[WKst]:[Unit of measure*]],MATCH($A$8&amp;$A36&amp;$E36&amp;$I36,INDEX(PMtbl[Sec]&amp;PMtbl[Category]&amp;PMtbl[Each]&amp;PMtbl[Packaging],0,),0),11),""),"")</f>
        <v/>
      </c>
      <c r="BI36" s="818"/>
      <c r="BJ36" s="503" t="str">
        <f>IFERROR(INDEX(SETUP!$C$19:$G$121,MATCH((INDEX(PMtbl[[WKst]:[Unit of measure*]],MATCH($A36&amp;$E36&amp;$I36,INDEX(PMtbl[Category]&amp;PMtbl[Each]&amp;PMtbl[Packaging],0,),0),3)),SETUP!$D$19:$D$121,0),5),"")</f>
        <v/>
      </c>
      <c r="BK36" s="439"/>
      <c r="BL36" s="194"/>
      <c r="BO36" s="12">
        <f>IF(N36="",0,IF(SETUP!$E$7="USD",((IF(O36="USD",P36,(P36/'Master Data-C19RM'!$C$2)))),((IF(O36="EUR",P36,(P36*'Master Data-C19RM'!$C$2))))))</f>
        <v>0</v>
      </c>
      <c r="BP36" s="12">
        <f>IF(N36="",0,IF(SETUP!$E$7="USD",((IF(O36="USD",W36,(W36/'Master Data-C19RM'!$D$2)))),((IF(O36="EUR",W36,(W36*'Master Data-C19RM'!$D$2))))))</f>
        <v>0</v>
      </c>
      <c r="BQ36">
        <f>IF(N36="",0,IF(SETUP!$E$7="USD",((IF(O36="USD",AD36,(AD36/'Master Data-C19RM'!$E$2)))),((IF(O36="EUR",AD36,(AD36*'Master Data-C19RM'!$E$2))))))</f>
        <v>0</v>
      </c>
      <c r="BR36">
        <f>IF(N36="",0,IF(SETUP!$E$7="USD",((IF(O36="USD",AK36,(AK36/'Master Data-C19RM'!$F$2)))),((IF(O36="EUR",AK36,(AK36*'Master Data-C19RM'!$F$2))))))</f>
        <v>0</v>
      </c>
      <c r="BS36">
        <f>IF(N36="",0,IF(SETUP!$E$7="USD",((IF(O36="USD",AR36,(AR36/'Master Data-C19RM'!$F$2)))),((IF(O36="EUR",AR36,(AR36*'Master Data-C19RM'!$G$2))))))</f>
        <v>0</v>
      </c>
      <c r="BT36">
        <f>IF(N36="",0,IF(SETUP!$E$7="USD",((IF(O36="USD",AY36,(AY36/'Master Data-C19RM'!$F$2)))),((IF(O36="EUR",AY36,(AY36*'Master Data-C19RM'!$H$2))))))</f>
        <v>0</v>
      </c>
      <c r="BU36" s="12">
        <f t="shared" si="1"/>
        <v>0</v>
      </c>
      <c r="BV36" s="142">
        <f t="shared" si="2"/>
        <v>0</v>
      </c>
    </row>
    <row r="37" spans="1:74" ht="14.9" customHeight="1" x14ac:dyDescent="0.35">
      <c r="A37" s="1165"/>
      <c r="B37" s="1165"/>
      <c r="C37" s="1165"/>
      <c r="D37" s="1165"/>
      <c r="E37" s="1166"/>
      <c r="F37" s="1166"/>
      <c r="G37" s="1166"/>
      <c r="H37" s="1166"/>
      <c r="I37" s="1166"/>
      <c r="J37" s="1166"/>
      <c r="K37" s="1166"/>
      <c r="L37" s="490" t="str" cm="1">
        <f t="array" ref="L37">IF(A37&lt;&gt;"",IFERROR(INDEX(PMtbl[[WKst]:[Unit of measure*]],MATCH($A$8&amp;$A37&amp;$E37&amp;$I37,INDEX(PMtbl[Sec]&amp;PMtbl[Category]&amp;PMtbl[Each]&amp;PMtbl[Packaging],0,),0),14),""),"")</f>
        <v/>
      </c>
      <c r="M37" s="479" t="str">
        <f>IF(L37="","",INDEX(SETUP!$E$20:$E$122,(MATCH(INDEX(PMsheet!$D:$E,MATCH(A37,PMsheet!E:E,0),1),SETUP!$D$20:$D$122,0))))</f>
        <v/>
      </c>
      <c r="N37" s="491">
        <f>IF($O37="USD",_xlfn.IFNA(VLOOKUP(A37&amp;E37&amp;I37,PMsheet!J:K,2,0),0),(_xlfn.IFNA(VLOOKUP(A37&amp;E37&amp;I37,PMsheet!J:K,2,0),0)*'Master Data-C19RM'!$C$2))</f>
        <v>0</v>
      </c>
      <c r="O37" s="492" t="str">
        <f>IF(L37="", "",SETUP!$E$7)</f>
        <v/>
      </c>
      <c r="P37" s="444">
        <f>IF($O37="USD",_xlfn.IFNA(VLOOKUP($A37&amp;$E37&amp;$I37,PMsheet!$J:$K,2,0),0),(_xlfn.IFNA(VLOOKUP($A37&amp;$E37&amp;$I37,PMsheet!$J:$K,2,0),0)*'Master Data-C19RM'!$C$2))</f>
        <v>0</v>
      </c>
      <c r="Q37" s="441"/>
      <c r="R37" s="441"/>
      <c r="S37" s="441"/>
      <c r="T37" s="441"/>
      <c r="U37" s="481">
        <f>SUM('C19RM 2021-Pharma'!$Q37:$T37)</f>
        <v>0</v>
      </c>
      <c r="V37" s="483">
        <f>IF(SETUP!$E$7="USD",(U37*(IF(O37="USD",P37,(P37/'Master Data-C19RM'!$C$2)))),(U37*(IF(O37="EUR",P37,(P37*'Master Data-C19RM'!$C$2)))))</f>
        <v>0</v>
      </c>
      <c r="W37" s="444">
        <f>IF($O37="USD",_xlfn.IFNA(VLOOKUP($A37&amp;$E37&amp;$I37,PMsheet!$J:$K,2,0),0),(_xlfn.IFNA(VLOOKUP($A37&amp;$E37&amp;$I37,PMsheet!$J:$K,2,0),0)*'Master Data-C19RM'!$D$2))</f>
        <v>0</v>
      </c>
      <c r="X37" s="441"/>
      <c r="Y37" s="441"/>
      <c r="Z37" s="441"/>
      <c r="AA37" s="441"/>
      <c r="AB37" s="481">
        <f>SUM('C19RM 2021-Pharma'!$X37:$AA37)</f>
        <v>0</v>
      </c>
      <c r="AC37" s="483">
        <f>IF(SETUP!$E$7="USD",(AB37*(IF(O37="USD",W37,(W37/'Master Data-C19RM'!$D$2)))),(AB37*(IF(O37="EUR",W37,(W37*'Master Data-C19RM'!$D$2)))))</f>
        <v>0</v>
      </c>
      <c r="AD37" s="444">
        <f>IF($O37="USD",_xlfn.IFNA(VLOOKUP($A37&amp;$E37&amp;$I37,PMsheet!$J:$K,2,0),0),(_xlfn.IFNA(VLOOKUP($A37&amp;$E37&amp;$I37,PMsheet!$J:$K,2,0),0)*'Master Data-C19RM'!$E$2))</f>
        <v>0</v>
      </c>
      <c r="AE37" s="441"/>
      <c r="AF37" s="441"/>
      <c r="AG37" s="441"/>
      <c r="AH37" s="441"/>
      <c r="AI37" s="481">
        <f>SUM('C19RM 2021-Pharma'!$AE37:$AH37)</f>
        <v>0</v>
      </c>
      <c r="AJ37" s="483">
        <f>IF(SETUP!$E$7="USD",(AI37*(IF(O37="USD",AD37,(AD37/'Master Data-C19RM'!$E$2)))),(AI37*(IF(O37="EUR",AD37,(AD37*'Master Data-C19RM'!$E$2)))))</f>
        <v>0</v>
      </c>
      <c r="AK37" s="444">
        <f>IF($O37="USD",_xlfn.IFNA(VLOOKUP($A37&amp;$E37&amp;$I37,PMsheet!$J:$K,2,0),0),(_xlfn.IFNA(VLOOKUP($A37&amp;$E37&amp;$I37,PMsheet!$J:$K,2,0),0)*'Master Data-C19RM'!$F$2))</f>
        <v>0</v>
      </c>
      <c r="AL37" s="441"/>
      <c r="AM37" s="441"/>
      <c r="AN37" s="441"/>
      <c r="AO37" s="441"/>
      <c r="AP37" s="481">
        <f>SUM('C19RM 2021-Pharma'!$AL37:$AO37)</f>
        <v>0</v>
      </c>
      <c r="AQ37" s="483">
        <f>IF(SETUP!$E$7="USD",(AP37*(IF(O37="USD",AK37,(AK37/'Master Data-C19RM'!$F$2)))),(AP37*(IF(O37="EUR",AK37,(AK37*'Master Data-C19RM'!$F$2)))))</f>
        <v>0</v>
      </c>
      <c r="AR37" s="444">
        <f>IF($O37="USD",_xlfn.IFNA(VLOOKUP($A37&amp;$E37&amp;$I37,PMsheet!$J:$K,2,0),0),(_xlfn.IFNA(VLOOKUP($A37&amp;$E37&amp;$I37,PMsheet!$J:$K,2,0),0)*'Master Data-C19RM'!$G$2))</f>
        <v>0</v>
      </c>
      <c r="AS37" s="441"/>
      <c r="AT37" s="441"/>
      <c r="AU37" s="441"/>
      <c r="AV37" s="441"/>
      <c r="AW37" s="481">
        <f>SUM('C19RM 2021-Pharma'!$AS37:$AV37)</f>
        <v>0</v>
      </c>
      <c r="AX37" s="483">
        <f>IF(SETUP!$E$7="USD",(AW37*(IF(O37="USD",AR37,(AR37/'Master Data-C19RM'!$G$2)))),(AW37*(IF(O37="EUR",AR37,(AR37*'Master Data-C19RM'!$G$2)))))</f>
        <v>0</v>
      </c>
      <c r="AY37" s="886"/>
      <c r="AZ37" s="887"/>
      <c r="BA37" s="887"/>
      <c r="BB37" s="887"/>
      <c r="BC37" s="887"/>
      <c r="BD37" s="887"/>
      <c r="BE37" s="888"/>
      <c r="BF37" s="505">
        <f>'C19RM 2021-Pharma'!$U37+'C19RM 2021-Pharma'!$AB37+'C19RM 2021-Pharma'!$AP37+'C19RM 2021-Pharma'!$AI37+$AW37+$BD37</f>
        <v>0</v>
      </c>
      <c r="BG37" s="483">
        <f>'C19RM 2021-Pharma'!$V37+'C19RM 2021-Pharma'!$AC37+'C19RM 2021-Pharma'!$AQ37+'C19RM 2021-Pharma'!$AJ37+$AX37+$BE37</f>
        <v>0</v>
      </c>
      <c r="BH37" s="500" t="str" cm="1">
        <f t="array" ref="BH37">IF(A37&lt;&gt;"",IFERROR(INDEX(PMtbl[[WKst]:[Unit of measure*]],MATCH($A$8&amp;$A37&amp;$E37&amp;$I37,INDEX(PMtbl[Sec]&amp;PMtbl[Category]&amp;PMtbl[Each]&amp;PMtbl[Packaging],0,),0),11),""),"")</f>
        <v/>
      </c>
      <c r="BI37" s="819"/>
      <c r="BJ37" s="502" t="str">
        <f>IFERROR(INDEX(SETUP!$C$19:$G$121,MATCH((INDEX(PMtbl[[WKst]:[Unit of measure*]],MATCH($A37&amp;$E37&amp;$I37,INDEX(PMtbl[Category]&amp;PMtbl[Each]&amp;PMtbl[Packaging],0,),0),3)),SETUP!$D$19:$D$121,0),5),"")</f>
        <v/>
      </c>
      <c r="BK37" s="438"/>
      <c r="BL37" s="193"/>
      <c r="BO37" s="12">
        <f>IF(N37="",0,IF(SETUP!$E$7="USD",((IF(O37="USD",P37,(P37/'Master Data-C19RM'!$C$2)))),((IF(O37="EUR",P37,(P37*'Master Data-C19RM'!$C$2))))))</f>
        <v>0</v>
      </c>
      <c r="BP37" s="12">
        <f>IF(N37="",0,IF(SETUP!$E$7="USD",((IF(O37="USD",W37,(W37/'Master Data-C19RM'!$D$2)))),((IF(O37="EUR",W37,(W37*'Master Data-C19RM'!$D$2))))))</f>
        <v>0</v>
      </c>
      <c r="BQ37">
        <f>IF(N37="",0,IF(SETUP!$E$7="USD",((IF(O37="USD",AD37,(AD37/'Master Data-C19RM'!$E$2)))),((IF(O37="EUR",AD37,(AD37*'Master Data-C19RM'!$E$2))))))</f>
        <v>0</v>
      </c>
      <c r="BR37">
        <f>IF(N37="",0,IF(SETUP!$E$7="USD",((IF(O37="USD",AK37,(AK37/'Master Data-C19RM'!$F$2)))),((IF(O37="EUR",AK37,(AK37*'Master Data-C19RM'!$F$2))))))</f>
        <v>0</v>
      </c>
      <c r="BS37">
        <f>IF(N37="",0,IF(SETUP!$E$7="USD",((IF(O37="USD",AR37,(AR37/'Master Data-C19RM'!$F$2)))),((IF(O37="EUR",AR37,(AR37*'Master Data-C19RM'!$G$2))))))</f>
        <v>0</v>
      </c>
      <c r="BT37">
        <f>IF(N37="",0,IF(SETUP!$E$7="USD",((IF(O37="USD",AY37,(AY37/'Master Data-C19RM'!$F$2)))),((IF(O37="EUR",AY37,(AY37*'Master Data-C19RM'!$H$2))))))</f>
        <v>0</v>
      </c>
      <c r="BU37" s="12">
        <f t="shared" si="1"/>
        <v>0</v>
      </c>
      <c r="BV37" s="142">
        <f t="shared" si="2"/>
        <v>0</v>
      </c>
    </row>
    <row r="38" spans="1:74" ht="14.9" customHeight="1" x14ac:dyDescent="0.35">
      <c r="A38" s="1172"/>
      <c r="B38" s="1172"/>
      <c r="C38" s="1172"/>
      <c r="D38" s="1172"/>
      <c r="E38" s="1172"/>
      <c r="F38" s="1172"/>
      <c r="G38" s="1172"/>
      <c r="H38" s="1172"/>
      <c r="I38" s="1173"/>
      <c r="J38" s="1173"/>
      <c r="K38" s="1173"/>
      <c r="L38" s="493" t="str" cm="1">
        <f t="array" ref="L38">IF(A38&lt;&gt;"",IFERROR(INDEX(PMtbl[[WKst]:[Unit of measure*]],MATCH($A$8&amp;$A38&amp;$E38&amp;$I38,INDEX(PMtbl[Sec]&amp;PMtbl[Category]&amp;PMtbl[Each]&amp;PMtbl[Packaging],0,),0),14),""),"")</f>
        <v/>
      </c>
      <c r="M38" s="480" t="str">
        <f>IF(L38="","",INDEX(SETUP!$E$20:$E$122,(MATCH(INDEX(PMsheet!$D:$E,MATCH(A38,PMsheet!E:E,0),1),SETUP!$D$20:$D$122,0))))</f>
        <v/>
      </c>
      <c r="N38" s="494">
        <f>IF($O38="USD",_xlfn.IFNA(VLOOKUP(A38&amp;E38&amp;I38,PMsheet!J:K,2,0),0),(_xlfn.IFNA(VLOOKUP(A38&amp;E38&amp;I38,PMsheet!J:K,2,0),0)*'Master Data-C19RM'!$C$2))</f>
        <v>0</v>
      </c>
      <c r="O38" s="495" t="str">
        <f>IF(L38="", "",SETUP!$E$7)</f>
        <v/>
      </c>
      <c r="P38" s="445">
        <f>IF($O38="USD",_xlfn.IFNA(VLOOKUP($A38&amp;$E38&amp;$I38,PMsheet!$J:$K,2,0),0),(_xlfn.IFNA(VLOOKUP($A38&amp;$E38&amp;$I38,PMsheet!$J:$K,2,0),0)*'Master Data-C19RM'!$C$2))</f>
        <v>0</v>
      </c>
      <c r="Q38" s="440"/>
      <c r="R38" s="440"/>
      <c r="S38" s="440"/>
      <c r="T38" s="440"/>
      <c r="U38" s="482">
        <f>SUM('C19RM 2021-Pharma'!$Q38:$T38)</f>
        <v>0</v>
      </c>
      <c r="V38" s="484">
        <f>IF(SETUP!$E$7="USD",(U38*(IF(O38="USD",P38,(P38/'Master Data-C19RM'!$C$2)))),(U38*(IF(O38="EUR",P38,(P38*'Master Data-C19RM'!$C$2)))))</f>
        <v>0</v>
      </c>
      <c r="W38" s="445">
        <f>IF($O38="USD",_xlfn.IFNA(VLOOKUP($A38&amp;$E38&amp;$I38,PMsheet!$J:$K,2,0),0),(_xlfn.IFNA(VLOOKUP($A38&amp;$E38&amp;$I38,PMsheet!$J:$K,2,0),0)*'Master Data-C19RM'!$D$2))</f>
        <v>0</v>
      </c>
      <c r="X38" s="440"/>
      <c r="Y38" s="440"/>
      <c r="Z38" s="440"/>
      <c r="AA38" s="440"/>
      <c r="AB38" s="482">
        <f>SUM('C19RM 2021-Pharma'!$X38:$AA38)</f>
        <v>0</v>
      </c>
      <c r="AC38" s="484">
        <f>IF(SETUP!$E$7="USD",(AB38*(IF(O38="USD",W38,(W38/'Master Data-C19RM'!$D$2)))),(AB38*(IF(O38="EUR",W38,(W38*'Master Data-C19RM'!$D$2)))))</f>
        <v>0</v>
      </c>
      <c r="AD38" s="445">
        <f>IF($O38="USD",_xlfn.IFNA(VLOOKUP($A38&amp;$E38&amp;$I38,PMsheet!$J:$K,2,0),0),(_xlfn.IFNA(VLOOKUP($A38&amp;$E38&amp;$I38,PMsheet!$J:$K,2,0),0)*'Master Data-C19RM'!$E$2))</f>
        <v>0</v>
      </c>
      <c r="AE38" s="440"/>
      <c r="AF38" s="440"/>
      <c r="AG38" s="440"/>
      <c r="AH38" s="440"/>
      <c r="AI38" s="482">
        <f>SUM('C19RM 2021-Pharma'!$AE38:$AH38)</f>
        <v>0</v>
      </c>
      <c r="AJ38" s="484">
        <f>IF(SETUP!$E$7="USD",(AI38*(IF(O38="USD",AD38,(AD38/'Master Data-C19RM'!$E$2)))),(AI38*(IF(O38="EUR",AD38,(AD38*'Master Data-C19RM'!$E$2)))))</f>
        <v>0</v>
      </c>
      <c r="AK38" s="445">
        <f>IF($O38="USD",_xlfn.IFNA(VLOOKUP($A38&amp;$E38&amp;$I38,PMsheet!$J:$K,2,0),0),(_xlfn.IFNA(VLOOKUP($A38&amp;$E38&amp;$I38,PMsheet!$J:$K,2,0),0)*'Master Data-C19RM'!$F$2))</f>
        <v>0</v>
      </c>
      <c r="AL38" s="440"/>
      <c r="AM38" s="440"/>
      <c r="AN38" s="440"/>
      <c r="AO38" s="440"/>
      <c r="AP38" s="482">
        <f>SUM('C19RM 2021-Pharma'!$AL38:$AO38)</f>
        <v>0</v>
      </c>
      <c r="AQ38" s="484">
        <f>IF(SETUP!$E$7="USD",(AP38*(IF(O38="USD",AK38,(AK38/'Master Data-C19RM'!$F$2)))),(AP38*(IF(O38="EUR",AK38,(AK38*'Master Data-C19RM'!$F$2)))))</f>
        <v>0</v>
      </c>
      <c r="AR38" s="445">
        <f>IF($O38="USD",_xlfn.IFNA(VLOOKUP($A38&amp;$E38&amp;$I38,PMsheet!$J:$K,2,0),0),(_xlfn.IFNA(VLOOKUP($A38&amp;$E38&amp;$I38,PMsheet!$J:$K,2,0),0)*'Master Data-C19RM'!$G$2))</f>
        <v>0</v>
      </c>
      <c r="AS38" s="440"/>
      <c r="AT38" s="440"/>
      <c r="AU38" s="440"/>
      <c r="AV38" s="440"/>
      <c r="AW38" s="482">
        <f>SUM('C19RM 2021-Pharma'!$AS38:$AV38)</f>
        <v>0</v>
      </c>
      <c r="AX38" s="484">
        <f>IF(SETUP!$E$7="USD",(AW38*(IF(O38="USD",AR38,(AR38/'Master Data-C19RM'!$G$2)))),(AW38*(IF(O38="EUR",AR38,(AR38*'Master Data-C19RM'!$G$2)))))</f>
        <v>0</v>
      </c>
      <c r="AY38" s="889"/>
      <c r="AZ38" s="884"/>
      <c r="BA38" s="884"/>
      <c r="BB38" s="884"/>
      <c r="BC38" s="884"/>
      <c r="BD38" s="884"/>
      <c r="BE38" s="885"/>
      <c r="BF38" s="504">
        <f>'C19RM 2021-Pharma'!$U38+'C19RM 2021-Pharma'!$AB38+'C19RM 2021-Pharma'!$AP38+'C19RM 2021-Pharma'!$AI38+$AW38+$BD38</f>
        <v>0</v>
      </c>
      <c r="BG38" s="484">
        <f>'C19RM 2021-Pharma'!$V38+'C19RM 2021-Pharma'!$AC38+'C19RM 2021-Pharma'!$AQ38+'C19RM 2021-Pharma'!$AJ38+$AX38+$BE38</f>
        <v>0</v>
      </c>
      <c r="BH38" s="499" t="str" cm="1">
        <f t="array" ref="BH38">IF(A38&lt;&gt;"",IFERROR(INDEX(PMtbl[[WKst]:[Unit of measure*]],MATCH($A$8&amp;$A38&amp;$E38&amp;$I38,INDEX(PMtbl[Sec]&amp;PMtbl[Category]&amp;PMtbl[Each]&amp;PMtbl[Packaging],0,),0),11),""),"")</f>
        <v/>
      </c>
      <c r="BI38" s="818"/>
      <c r="BJ38" s="503" t="str">
        <f>IFERROR(INDEX(SETUP!$C$19:$G$121,MATCH((INDEX(PMtbl[[WKst]:[Unit of measure*]],MATCH($A38&amp;$E38&amp;$I38,INDEX(PMtbl[Category]&amp;PMtbl[Each]&amp;PMtbl[Packaging],0,),0),3)),SETUP!$D$19:$D$121,0),5),"")</f>
        <v/>
      </c>
      <c r="BK38" s="439"/>
      <c r="BL38" s="194"/>
      <c r="BO38" s="12">
        <f>IF(N38="",0,IF(SETUP!$E$7="USD",((IF(O38="USD",P38,(P38/'Master Data-C19RM'!$C$2)))),((IF(O38="EUR",P38,(P38*'Master Data-C19RM'!$C$2))))))</f>
        <v>0</v>
      </c>
      <c r="BP38" s="12">
        <f>IF(N38="",0,IF(SETUP!$E$7="USD",((IF(O38="USD",W38,(W38/'Master Data-C19RM'!$D$2)))),((IF(O38="EUR",W38,(W38*'Master Data-C19RM'!$D$2))))))</f>
        <v>0</v>
      </c>
      <c r="BQ38">
        <f>IF(N38="",0,IF(SETUP!$E$7="USD",((IF(O38="USD",AD38,(AD38/'Master Data-C19RM'!$E$2)))),((IF(O38="EUR",AD38,(AD38*'Master Data-C19RM'!$E$2))))))</f>
        <v>0</v>
      </c>
      <c r="BR38">
        <f>IF(N38="",0,IF(SETUP!$E$7="USD",((IF(O38="USD",AK38,(AK38/'Master Data-C19RM'!$F$2)))),((IF(O38="EUR",AK38,(AK38*'Master Data-C19RM'!$F$2))))))</f>
        <v>0</v>
      </c>
      <c r="BS38">
        <f>IF(N38="",0,IF(SETUP!$E$7="USD",((IF(O38="USD",AR38,(AR38/'Master Data-C19RM'!$F$2)))),((IF(O38="EUR",AR38,(AR38*'Master Data-C19RM'!$G$2))))))</f>
        <v>0</v>
      </c>
      <c r="BT38">
        <f>IF(N38="",0,IF(SETUP!$E$7="USD",((IF(O38="USD",AY38,(AY38/'Master Data-C19RM'!$F$2)))),((IF(O38="EUR",AY38,(AY38*'Master Data-C19RM'!$H$2))))))</f>
        <v>0</v>
      </c>
      <c r="BU38" s="12">
        <f t="shared" si="1"/>
        <v>0</v>
      </c>
      <c r="BV38" s="142">
        <f t="shared" si="2"/>
        <v>0</v>
      </c>
    </row>
    <row r="39" spans="1:74" ht="14.9" customHeight="1" x14ac:dyDescent="0.35">
      <c r="A39" s="1165"/>
      <c r="B39" s="1165"/>
      <c r="C39" s="1165"/>
      <c r="D39" s="1165"/>
      <c r="E39" s="1166"/>
      <c r="F39" s="1166"/>
      <c r="G39" s="1166"/>
      <c r="H39" s="1166"/>
      <c r="I39" s="1166"/>
      <c r="J39" s="1166"/>
      <c r="K39" s="1166"/>
      <c r="L39" s="490" t="str" cm="1">
        <f t="array" ref="L39">IF(A39&lt;&gt;"",IFERROR(INDEX(PMtbl[[WKst]:[Unit of measure*]],MATCH($A$8&amp;$A39&amp;$E39&amp;$I39,INDEX(PMtbl[Sec]&amp;PMtbl[Category]&amp;PMtbl[Each]&amp;PMtbl[Packaging],0,),0),14),""),"")</f>
        <v/>
      </c>
      <c r="M39" s="479" t="str">
        <f>IF(L39="","",INDEX(SETUP!$E$20:$E$122,(MATCH(INDEX(PMsheet!$D:$E,MATCH(A39,PMsheet!E:E,0),1),SETUP!$D$20:$D$122,0))))</f>
        <v/>
      </c>
      <c r="N39" s="491">
        <f>IF($O39="USD",_xlfn.IFNA(VLOOKUP(A39&amp;E39&amp;I39,PMsheet!J:K,2,0),0),(_xlfn.IFNA(VLOOKUP(A39&amp;E39&amp;I39,PMsheet!J:K,2,0),0)*'Master Data-C19RM'!$C$2))</f>
        <v>0</v>
      </c>
      <c r="O39" s="492" t="str">
        <f>IF(L39="", "",SETUP!$E$7)</f>
        <v/>
      </c>
      <c r="P39" s="444">
        <f>IF($O39="USD",_xlfn.IFNA(VLOOKUP($A39&amp;$E39&amp;$I39,PMsheet!$J:$K,2,0),0),(_xlfn.IFNA(VLOOKUP($A39&amp;$E39&amp;$I39,PMsheet!$J:$K,2,0),0)*'Master Data-C19RM'!$C$2))</f>
        <v>0</v>
      </c>
      <c r="Q39" s="441"/>
      <c r="R39" s="441"/>
      <c r="S39" s="441"/>
      <c r="T39" s="441"/>
      <c r="U39" s="481">
        <f>SUM('C19RM 2021-Pharma'!$Q39:$T39)</f>
        <v>0</v>
      </c>
      <c r="V39" s="483">
        <f>IF(SETUP!$E$7="USD",(U39*(IF(O39="USD",P39,(P39/'Master Data-C19RM'!$C$2)))),(U39*(IF(O39="EUR",P39,(P39*'Master Data-C19RM'!$C$2)))))</f>
        <v>0</v>
      </c>
      <c r="W39" s="444">
        <f>IF($O39="USD",_xlfn.IFNA(VLOOKUP($A39&amp;$E39&amp;$I39,PMsheet!$J:$K,2,0),0),(_xlfn.IFNA(VLOOKUP($A39&amp;$E39&amp;$I39,PMsheet!$J:$K,2,0),0)*'Master Data-C19RM'!$D$2))</f>
        <v>0</v>
      </c>
      <c r="X39" s="441"/>
      <c r="Y39" s="441"/>
      <c r="Z39" s="441"/>
      <c r="AA39" s="441"/>
      <c r="AB39" s="481">
        <f>SUM('C19RM 2021-Pharma'!$X39:$AA39)</f>
        <v>0</v>
      </c>
      <c r="AC39" s="483">
        <f>IF(SETUP!$E$7="USD",(AB39*(IF(O39="USD",W39,(W39/'Master Data-C19RM'!$D$2)))),(AB39*(IF(O39="EUR",W39,(W39*'Master Data-C19RM'!$D$2)))))</f>
        <v>0</v>
      </c>
      <c r="AD39" s="444">
        <f>IF($O39="USD",_xlfn.IFNA(VLOOKUP($A39&amp;$E39&amp;$I39,PMsheet!$J:$K,2,0),0),(_xlfn.IFNA(VLOOKUP($A39&amp;$E39&amp;$I39,PMsheet!$J:$K,2,0),0)*'Master Data-C19RM'!$E$2))</f>
        <v>0</v>
      </c>
      <c r="AE39" s="441"/>
      <c r="AF39" s="441"/>
      <c r="AG39" s="441"/>
      <c r="AH39" s="441"/>
      <c r="AI39" s="481">
        <f>SUM('C19RM 2021-Pharma'!$AE39:$AH39)</f>
        <v>0</v>
      </c>
      <c r="AJ39" s="483">
        <f>IF(SETUP!$E$7="USD",(AI39*(IF(O39="USD",AD39,(AD39/'Master Data-C19RM'!$E$2)))),(AI39*(IF(O39="EUR",AD39,(AD39*'Master Data-C19RM'!$E$2)))))</f>
        <v>0</v>
      </c>
      <c r="AK39" s="444">
        <f>IF($O39="USD",_xlfn.IFNA(VLOOKUP($A39&amp;$E39&amp;$I39,PMsheet!$J:$K,2,0),0),(_xlfn.IFNA(VLOOKUP($A39&amp;$E39&amp;$I39,PMsheet!$J:$K,2,0),0)*'Master Data-C19RM'!$F$2))</f>
        <v>0</v>
      </c>
      <c r="AL39" s="441"/>
      <c r="AM39" s="441"/>
      <c r="AN39" s="441"/>
      <c r="AO39" s="441"/>
      <c r="AP39" s="481">
        <f>SUM('C19RM 2021-Pharma'!$AL39:$AO39)</f>
        <v>0</v>
      </c>
      <c r="AQ39" s="483">
        <f>IF(SETUP!$E$7="USD",(AP39*(IF(O39="USD",AK39,(AK39/'Master Data-C19RM'!$F$2)))),(AP39*(IF(O39="EUR",AK39,(AK39*'Master Data-C19RM'!$F$2)))))</f>
        <v>0</v>
      </c>
      <c r="AR39" s="444">
        <f>IF($O39="USD",_xlfn.IFNA(VLOOKUP($A39&amp;$E39&amp;$I39,PMsheet!$J:$K,2,0),0),(_xlfn.IFNA(VLOOKUP($A39&amp;$E39&amp;$I39,PMsheet!$J:$K,2,0),0)*'Master Data-C19RM'!$G$2))</f>
        <v>0</v>
      </c>
      <c r="AS39" s="441"/>
      <c r="AT39" s="441"/>
      <c r="AU39" s="441"/>
      <c r="AV39" s="441"/>
      <c r="AW39" s="481">
        <f>SUM('C19RM 2021-Pharma'!$AS39:$AV39)</f>
        <v>0</v>
      </c>
      <c r="AX39" s="483">
        <f>IF(SETUP!$E$7="USD",(AW39*(IF(O39="USD",AR39,(AR39/'Master Data-C19RM'!$G$2)))),(AW39*(IF(O39="EUR",AR39,(AR39*'Master Data-C19RM'!$G$2)))))</f>
        <v>0</v>
      </c>
      <c r="AY39" s="886"/>
      <c r="AZ39" s="887"/>
      <c r="BA39" s="887"/>
      <c r="BB39" s="887"/>
      <c r="BC39" s="887"/>
      <c r="BD39" s="887"/>
      <c r="BE39" s="888"/>
      <c r="BF39" s="505">
        <f>'C19RM 2021-Pharma'!$U39+'C19RM 2021-Pharma'!$AB39+'C19RM 2021-Pharma'!$AP39+'C19RM 2021-Pharma'!$AI39+$AW39+$BD39</f>
        <v>0</v>
      </c>
      <c r="BG39" s="483">
        <f>'C19RM 2021-Pharma'!$V39+'C19RM 2021-Pharma'!$AC39+'C19RM 2021-Pharma'!$AQ39+'C19RM 2021-Pharma'!$AJ39+$AX39+$BE39</f>
        <v>0</v>
      </c>
      <c r="BH39" s="500" t="str" cm="1">
        <f t="array" ref="BH39">IF(A39&lt;&gt;"",IFERROR(INDEX(PMtbl[[WKst]:[Unit of measure*]],MATCH($A$8&amp;$A39&amp;$E39&amp;$I39,INDEX(PMtbl[Sec]&amp;PMtbl[Category]&amp;PMtbl[Each]&amp;PMtbl[Packaging],0,),0),11),""),"")</f>
        <v/>
      </c>
      <c r="BI39" s="819"/>
      <c r="BJ39" s="502" t="str">
        <f>IFERROR(INDEX(SETUP!$C$19:$G$121,MATCH((INDEX(PMtbl[[WKst]:[Unit of measure*]],MATCH($A39&amp;$E39&amp;$I39,INDEX(PMtbl[Category]&amp;PMtbl[Each]&amp;PMtbl[Packaging],0,),0),3)),SETUP!$D$19:$D$121,0),5),"")</f>
        <v/>
      </c>
      <c r="BK39" s="438"/>
      <c r="BL39" s="193"/>
      <c r="BO39" s="12">
        <f>IF(N39="",0,IF(SETUP!$E$7="USD",((IF(O39="USD",P39,(P39/'Master Data-C19RM'!$C$2)))),((IF(O39="EUR",P39,(P39*'Master Data-C19RM'!$C$2))))))</f>
        <v>0</v>
      </c>
      <c r="BP39" s="12">
        <f>IF(N39="",0,IF(SETUP!$E$7="USD",((IF(O39="USD",W39,(W39/'Master Data-C19RM'!$D$2)))),((IF(O39="EUR",W39,(W39*'Master Data-C19RM'!$D$2))))))</f>
        <v>0</v>
      </c>
      <c r="BQ39">
        <f>IF(N39="",0,IF(SETUP!$E$7="USD",((IF(O39="USD",AD39,(AD39/'Master Data-C19RM'!$E$2)))),((IF(O39="EUR",AD39,(AD39*'Master Data-C19RM'!$E$2))))))</f>
        <v>0</v>
      </c>
      <c r="BR39">
        <f>IF(N39="",0,IF(SETUP!$E$7="USD",((IF(O39="USD",AK39,(AK39/'Master Data-C19RM'!$F$2)))),((IF(O39="EUR",AK39,(AK39*'Master Data-C19RM'!$F$2))))))</f>
        <v>0</v>
      </c>
      <c r="BS39">
        <f>IF(N39="",0,IF(SETUP!$E$7="USD",((IF(O39="USD",AR39,(AR39/'Master Data-C19RM'!$F$2)))),((IF(O39="EUR",AR39,(AR39*'Master Data-C19RM'!$G$2))))))</f>
        <v>0</v>
      </c>
      <c r="BT39">
        <f>IF(N39="",0,IF(SETUP!$E$7="USD",((IF(O39="USD",AY39,(AY39/'Master Data-C19RM'!$F$2)))),((IF(O39="EUR",AY39,(AY39*'Master Data-C19RM'!$H$2))))))</f>
        <v>0</v>
      </c>
      <c r="BU39" s="12">
        <f t="shared" si="1"/>
        <v>0</v>
      </c>
      <c r="BV39" s="142">
        <f t="shared" si="2"/>
        <v>0</v>
      </c>
    </row>
    <row r="40" spans="1:74" ht="14.9" customHeight="1" x14ac:dyDescent="0.35">
      <c r="A40" s="1172"/>
      <c r="B40" s="1172"/>
      <c r="C40" s="1172"/>
      <c r="D40" s="1172"/>
      <c r="E40" s="1172"/>
      <c r="F40" s="1172"/>
      <c r="G40" s="1172"/>
      <c r="H40" s="1172"/>
      <c r="I40" s="1173"/>
      <c r="J40" s="1173"/>
      <c r="K40" s="1173"/>
      <c r="L40" s="493" t="str" cm="1">
        <f t="array" ref="L40">IF(A40&lt;&gt;"",IFERROR(INDEX(PMtbl[[WKst]:[Unit of measure*]],MATCH($A$8&amp;$A40&amp;$E40&amp;$I40,INDEX(PMtbl[Sec]&amp;PMtbl[Category]&amp;PMtbl[Each]&amp;PMtbl[Packaging],0,),0),14),""),"")</f>
        <v/>
      </c>
      <c r="M40" s="480" t="str">
        <f>IF(L40="","",INDEX(SETUP!$E$20:$E$122,(MATCH(INDEX(PMsheet!$D:$E,MATCH(A40,PMsheet!E:E,0),1),SETUP!$D$20:$D$122,0))))</f>
        <v/>
      </c>
      <c r="N40" s="494">
        <f>IF($O40="USD",_xlfn.IFNA(VLOOKUP(A40&amp;E40&amp;I40,PMsheet!J:K,2,0),0),(_xlfn.IFNA(VLOOKUP(A40&amp;E40&amp;I40,PMsheet!J:K,2,0),0)*'Master Data-C19RM'!$C$2))</f>
        <v>0</v>
      </c>
      <c r="O40" s="495" t="str">
        <f>IF(L40="", "",SETUP!$E$7)</f>
        <v/>
      </c>
      <c r="P40" s="445">
        <f>IF($O40="USD",_xlfn.IFNA(VLOOKUP($A40&amp;$E40&amp;$I40,PMsheet!$J:$K,2,0),0),(_xlfn.IFNA(VLOOKUP($A40&amp;$E40&amp;$I40,PMsheet!$J:$K,2,0),0)*'Master Data-C19RM'!$C$2))</f>
        <v>0</v>
      </c>
      <c r="Q40" s="440"/>
      <c r="R40" s="440"/>
      <c r="S40" s="440"/>
      <c r="T40" s="440"/>
      <c r="U40" s="482">
        <f>SUM('C19RM 2021-Pharma'!$Q40:$T40)</f>
        <v>0</v>
      </c>
      <c r="V40" s="484">
        <f>IF(SETUP!$E$7="USD",(U40*(IF(O40="USD",P40,(P40/'Master Data-C19RM'!$C$2)))),(U40*(IF(O40="EUR",P40,(P40*'Master Data-C19RM'!$C$2)))))</f>
        <v>0</v>
      </c>
      <c r="W40" s="445">
        <f>IF($O40="USD",_xlfn.IFNA(VLOOKUP($A40&amp;$E40&amp;$I40,PMsheet!$J:$K,2,0),0),(_xlfn.IFNA(VLOOKUP($A40&amp;$E40&amp;$I40,PMsheet!$J:$K,2,0),0)*'Master Data-C19RM'!$D$2))</f>
        <v>0</v>
      </c>
      <c r="X40" s="440"/>
      <c r="Y40" s="440"/>
      <c r="Z40" s="440"/>
      <c r="AA40" s="440"/>
      <c r="AB40" s="482">
        <f>SUM('C19RM 2021-Pharma'!$X40:$AA40)</f>
        <v>0</v>
      </c>
      <c r="AC40" s="484">
        <f>IF(SETUP!$E$7="USD",(AB40*(IF(O40="USD",W40,(W40/'Master Data-C19RM'!$D$2)))),(AB40*(IF(O40="EUR",W40,(W40*'Master Data-C19RM'!$D$2)))))</f>
        <v>0</v>
      </c>
      <c r="AD40" s="445">
        <f>IF($O40="USD",_xlfn.IFNA(VLOOKUP($A40&amp;$E40&amp;$I40,PMsheet!$J:$K,2,0),0),(_xlfn.IFNA(VLOOKUP($A40&amp;$E40&amp;$I40,PMsheet!$J:$K,2,0),0)*'Master Data-C19RM'!$E$2))</f>
        <v>0</v>
      </c>
      <c r="AE40" s="440"/>
      <c r="AF40" s="440"/>
      <c r="AG40" s="440"/>
      <c r="AH40" s="440"/>
      <c r="AI40" s="482">
        <f>SUM('C19RM 2021-Pharma'!$AE40:$AH40)</f>
        <v>0</v>
      </c>
      <c r="AJ40" s="484">
        <f>IF(SETUP!$E$7="USD",(AI40*(IF(O40="USD",AD40,(AD40/'Master Data-C19RM'!$E$2)))),(AI40*(IF(O40="EUR",AD40,(AD40*'Master Data-C19RM'!$E$2)))))</f>
        <v>0</v>
      </c>
      <c r="AK40" s="445">
        <f>IF($O40="USD",_xlfn.IFNA(VLOOKUP($A40&amp;$E40&amp;$I40,PMsheet!$J:$K,2,0),0),(_xlfn.IFNA(VLOOKUP($A40&amp;$E40&amp;$I40,PMsheet!$J:$K,2,0),0)*'Master Data-C19RM'!$F$2))</f>
        <v>0</v>
      </c>
      <c r="AL40" s="440"/>
      <c r="AM40" s="440"/>
      <c r="AN40" s="440"/>
      <c r="AO40" s="440"/>
      <c r="AP40" s="482">
        <f>SUM('C19RM 2021-Pharma'!$AL40:$AO40)</f>
        <v>0</v>
      </c>
      <c r="AQ40" s="484">
        <f>IF(SETUP!$E$7="USD",(AP40*(IF(O40="USD",AK40,(AK40/'Master Data-C19RM'!$F$2)))),(AP40*(IF(O40="EUR",AK40,(AK40*'Master Data-C19RM'!$F$2)))))</f>
        <v>0</v>
      </c>
      <c r="AR40" s="445">
        <f>IF($O40="USD",_xlfn.IFNA(VLOOKUP($A40&amp;$E40&amp;$I40,PMsheet!$J:$K,2,0),0),(_xlfn.IFNA(VLOOKUP($A40&amp;$E40&amp;$I40,PMsheet!$J:$K,2,0),0)*'Master Data-C19RM'!$G$2))</f>
        <v>0</v>
      </c>
      <c r="AS40" s="440"/>
      <c r="AT40" s="440"/>
      <c r="AU40" s="440"/>
      <c r="AV40" s="440"/>
      <c r="AW40" s="482">
        <f>SUM('C19RM 2021-Pharma'!$AS40:$AV40)</f>
        <v>0</v>
      </c>
      <c r="AX40" s="484">
        <f>IF(SETUP!$E$7="USD",(AW40*(IF(O40="USD",AR40,(AR40/'Master Data-C19RM'!$G$2)))),(AW40*(IF(O40="EUR",AR40,(AR40*'Master Data-C19RM'!$G$2)))))</f>
        <v>0</v>
      </c>
      <c r="AY40" s="889"/>
      <c r="AZ40" s="884"/>
      <c r="BA40" s="884"/>
      <c r="BB40" s="884"/>
      <c r="BC40" s="884"/>
      <c r="BD40" s="884"/>
      <c r="BE40" s="885"/>
      <c r="BF40" s="504">
        <f>'C19RM 2021-Pharma'!$U40+'C19RM 2021-Pharma'!$AB40+'C19RM 2021-Pharma'!$AP40+'C19RM 2021-Pharma'!$AI40+$AW40+$BD40</f>
        <v>0</v>
      </c>
      <c r="BG40" s="484">
        <f>'C19RM 2021-Pharma'!$V40+'C19RM 2021-Pharma'!$AC40+'C19RM 2021-Pharma'!$AQ40+'C19RM 2021-Pharma'!$AJ40+$AX40+$BE40</f>
        <v>0</v>
      </c>
      <c r="BH40" s="499" t="str" cm="1">
        <f t="array" ref="BH40">IF(A40&lt;&gt;"",IFERROR(INDEX(PMtbl[[WKst]:[Unit of measure*]],MATCH($A$8&amp;$A40&amp;$E40&amp;$I40,INDEX(PMtbl[Sec]&amp;PMtbl[Category]&amp;PMtbl[Each]&amp;PMtbl[Packaging],0,),0),11),""),"")</f>
        <v/>
      </c>
      <c r="BI40" s="818"/>
      <c r="BJ40" s="503" t="str">
        <f>IFERROR(INDEX(SETUP!$C$19:$G$121,MATCH((INDEX(PMtbl[[WKst]:[Unit of measure*]],MATCH($A40&amp;$E40&amp;$I40,INDEX(PMtbl[Category]&amp;PMtbl[Each]&amp;PMtbl[Packaging],0,),0),3)),SETUP!$D$19:$D$121,0),5),"")</f>
        <v/>
      </c>
      <c r="BK40" s="439"/>
      <c r="BL40" s="194"/>
      <c r="BO40" s="12">
        <f>IF(N40="",0,IF(SETUP!$E$7="USD",((IF(O40="USD",P40,(P40/'Master Data-C19RM'!$C$2)))),((IF(O40="EUR",P40,(P40*'Master Data-C19RM'!$C$2))))))</f>
        <v>0</v>
      </c>
      <c r="BP40" s="12">
        <f>IF(N40="",0,IF(SETUP!$E$7="USD",((IF(O40="USD",W40,(W40/'Master Data-C19RM'!$D$2)))),((IF(O40="EUR",W40,(W40*'Master Data-C19RM'!$D$2))))))</f>
        <v>0</v>
      </c>
      <c r="BQ40">
        <f>IF(N40="",0,IF(SETUP!$E$7="USD",((IF(O40="USD",AD40,(AD40/'Master Data-C19RM'!$E$2)))),((IF(O40="EUR",AD40,(AD40*'Master Data-C19RM'!$E$2))))))</f>
        <v>0</v>
      </c>
      <c r="BR40">
        <f>IF(N40="",0,IF(SETUP!$E$7="USD",((IF(O40="USD",AK40,(AK40/'Master Data-C19RM'!$F$2)))),((IF(O40="EUR",AK40,(AK40*'Master Data-C19RM'!$F$2))))))</f>
        <v>0</v>
      </c>
      <c r="BS40">
        <f>IF(N40="",0,IF(SETUP!$E$7="USD",((IF(O40="USD",AR40,(AR40/'Master Data-C19RM'!$F$2)))),((IF(O40="EUR",AR40,(AR40*'Master Data-C19RM'!$G$2))))))</f>
        <v>0</v>
      </c>
      <c r="BT40">
        <f>IF(N40="",0,IF(SETUP!$E$7="USD",((IF(O40="USD",AY40,(AY40/'Master Data-C19RM'!$F$2)))),((IF(O40="EUR",AY40,(AY40*'Master Data-C19RM'!$H$2))))))</f>
        <v>0</v>
      </c>
      <c r="BU40" s="12">
        <f t="shared" si="1"/>
        <v>0</v>
      </c>
      <c r="BV40" s="142">
        <f t="shared" si="2"/>
        <v>0</v>
      </c>
    </row>
    <row r="41" spans="1:74" ht="14.9" customHeight="1" x14ac:dyDescent="0.35">
      <c r="A41" s="1165"/>
      <c r="B41" s="1165"/>
      <c r="C41" s="1165"/>
      <c r="D41" s="1165"/>
      <c r="E41" s="1166"/>
      <c r="F41" s="1166"/>
      <c r="G41" s="1166"/>
      <c r="H41" s="1166"/>
      <c r="I41" s="1166"/>
      <c r="J41" s="1166"/>
      <c r="K41" s="1166"/>
      <c r="L41" s="490" t="str" cm="1">
        <f t="array" ref="L41">IF(A41&lt;&gt;"",IFERROR(INDEX(PMtbl[[WKst]:[Unit of measure*]],MATCH($A$8&amp;$A41&amp;$E41&amp;$I41,INDEX(PMtbl[Sec]&amp;PMtbl[Category]&amp;PMtbl[Each]&amp;PMtbl[Packaging],0,),0),14),""),"")</f>
        <v/>
      </c>
      <c r="M41" s="479" t="str">
        <f>IF(L41="","",INDEX(SETUP!$E$20:$E$122,(MATCH(INDEX(PMsheet!$D:$E,MATCH(A41,PMsheet!E:E,0),1),SETUP!$D$20:$D$122,0))))</f>
        <v/>
      </c>
      <c r="N41" s="491">
        <f>IF($O41="USD",_xlfn.IFNA(VLOOKUP(A41&amp;E41&amp;I41,PMsheet!J:K,2,0),0),(_xlfn.IFNA(VLOOKUP(A41&amp;E41&amp;I41,PMsheet!J:K,2,0),0)*'Master Data-C19RM'!$C$2))</f>
        <v>0</v>
      </c>
      <c r="O41" s="492" t="str">
        <f>IF(L41="", "",SETUP!$E$7)</f>
        <v/>
      </c>
      <c r="P41" s="444">
        <f>IF($O41="USD",_xlfn.IFNA(VLOOKUP($A41&amp;$E41&amp;$I41,PMsheet!$J:$K,2,0),0),(_xlfn.IFNA(VLOOKUP($A41&amp;$E41&amp;$I41,PMsheet!$J:$K,2,0),0)*'Master Data-C19RM'!$C$2))</f>
        <v>0</v>
      </c>
      <c r="Q41" s="441"/>
      <c r="R41" s="441"/>
      <c r="S41" s="441"/>
      <c r="T41" s="441"/>
      <c r="U41" s="481">
        <f>SUM('C19RM 2021-Pharma'!$Q41:$T41)</f>
        <v>0</v>
      </c>
      <c r="V41" s="483">
        <f>IF(SETUP!$E$7="USD",(U41*(IF(O41="USD",P41,(P41/'Master Data-C19RM'!$C$2)))),(U41*(IF(O41="EUR",P41,(P41*'Master Data-C19RM'!$C$2)))))</f>
        <v>0</v>
      </c>
      <c r="W41" s="444">
        <f>IF($O41="USD",_xlfn.IFNA(VLOOKUP($A41&amp;$E41&amp;$I41,PMsheet!$J:$K,2,0),0),(_xlfn.IFNA(VLOOKUP($A41&amp;$E41&amp;$I41,PMsheet!$J:$K,2,0),0)*'Master Data-C19RM'!$D$2))</f>
        <v>0</v>
      </c>
      <c r="X41" s="441"/>
      <c r="Y41" s="441"/>
      <c r="Z41" s="441"/>
      <c r="AA41" s="441"/>
      <c r="AB41" s="481">
        <f>SUM('C19RM 2021-Pharma'!$X41:$AA41)</f>
        <v>0</v>
      </c>
      <c r="AC41" s="483">
        <f>IF(SETUP!$E$7="USD",(AB41*(IF(O41="USD",W41,(W41/'Master Data-C19RM'!$D$2)))),(AB41*(IF(O41="EUR",W41,(W41*'Master Data-C19RM'!$D$2)))))</f>
        <v>0</v>
      </c>
      <c r="AD41" s="444">
        <f>IF($O41="USD",_xlfn.IFNA(VLOOKUP($A41&amp;$E41&amp;$I41,PMsheet!$J:$K,2,0),0),(_xlfn.IFNA(VLOOKUP($A41&amp;$E41&amp;$I41,PMsheet!$J:$K,2,0),0)*'Master Data-C19RM'!$E$2))</f>
        <v>0</v>
      </c>
      <c r="AE41" s="441"/>
      <c r="AF41" s="441"/>
      <c r="AG41" s="441"/>
      <c r="AH41" s="441"/>
      <c r="AI41" s="481">
        <f>SUM('C19RM 2021-Pharma'!$AE41:$AH41)</f>
        <v>0</v>
      </c>
      <c r="AJ41" s="483">
        <f>IF(SETUP!$E$7="USD",(AI41*(IF(O41="USD",AD41,(AD41/'Master Data-C19RM'!$E$2)))),(AI41*(IF(O41="EUR",AD41,(AD41*'Master Data-C19RM'!$E$2)))))</f>
        <v>0</v>
      </c>
      <c r="AK41" s="444">
        <f>IF($O41="USD",_xlfn.IFNA(VLOOKUP($A41&amp;$E41&amp;$I41,PMsheet!$J:$K,2,0),0),(_xlfn.IFNA(VLOOKUP($A41&amp;$E41&amp;$I41,PMsheet!$J:$K,2,0),0)*'Master Data-C19RM'!$F$2))</f>
        <v>0</v>
      </c>
      <c r="AL41" s="441"/>
      <c r="AM41" s="441"/>
      <c r="AN41" s="441"/>
      <c r="AO41" s="441"/>
      <c r="AP41" s="481">
        <f>SUM('C19RM 2021-Pharma'!$AL41:$AO41)</f>
        <v>0</v>
      </c>
      <c r="AQ41" s="483">
        <f>IF(SETUP!$E$7="USD",(AP41*(IF(O41="USD",AK41,(AK41/'Master Data-C19RM'!$F$2)))),(AP41*(IF(O41="EUR",AK41,(AK41*'Master Data-C19RM'!$F$2)))))</f>
        <v>0</v>
      </c>
      <c r="AR41" s="444">
        <f>IF($O41="USD",_xlfn.IFNA(VLOOKUP($A41&amp;$E41&amp;$I41,PMsheet!$J:$K,2,0),0),(_xlfn.IFNA(VLOOKUP($A41&amp;$E41&amp;$I41,PMsheet!$J:$K,2,0),0)*'Master Data-C19RM'!$G$2))</f>
        <v>0</v>
      </c>
      <c r="AS41" s="441"/>
      <c r="AT41" s="441"/>
      <c r="AU41" s="441"/>
      <c r="AV41" s="441"/>
      <c r="AW41" s="481">
        <f>SUM('C19RM 2021-Pharma'!$AS41:$AV41)</f>
        <v>0</v>
      </c>
      <c r="AX41" s="483">
        <f>IF(SETUP!$E$7="USD",(AW41*(IF(O41="USD",AR41,(AR41/'Master Data-C19RM'!$G$2)))),(AW41*(IF(O41="EUR",AR41,(AR41*'Master Data-C19RM'!$G$2)))))</f>
        <v>0</v>
      </c>
      <c r="AY41" s="886"/>
      <c r="AZ41" s="887"/>
      <c r="BA41" s="887"/>
      <c r="BB41" s="887"/>
      <c r="BC41" s="887"/>
      <c r="BD41" s="887"/>
      <c r="BE41" s="888"/>
      <c r="BF41" s="505">
        <f>'C19RM 2021-Pharma'!$U41+'C19RM 2021-Pharma'!$AB41+'C19RM 2021-Pharma'!$AP41+'C19RM 2021-Pharma'!$AI41+$AW41+$BD41</f>
        <v>0</v>
      </c>
      <c r="BG41" s="483">
        <f>'C19RM 2021-Pharma'!$V41+'C19RM 2021-Pharma'!$AC41+'C19RM 2021-Pharma'!$AQ41+'C19RM 2021-Pharma'!$AJ41+$AX41+$BE41</f>
        <v>0</v>
      </c>
      <c r="BH41" s="500" t="str" cm="1">
        <f t="array" ref="BH41">IF(A41&lt;&gt;"",IFERROR(INDEX(PMtbl[[WKst]:[Unit of measure*]],MATCH($A$8&amp;$A41&amp;$E41&amp;$I41,INDEX(PMtbl[Sec]&amp;PMtbl[Category]&amp;PMtbl[Each]&amp;PMtbl[Packaging],0,),0),11),""),"")</f>
        <v/>
      </c>
      <c r="BI41" s="819"/>
      <c r="BJ41" s="502" t="str">
        <f>IFERROR(INDEX(SETUP!$C$19:$G$121,MATCH((INDEX(PMtbl[[WKst]:[Unit of measure*]],MATCH($A41&amp;$E41&amp;$I41,INDEX(PMtbl[Category]&amp;PMtbl[Each]&amp;PMtbl[Packaging],0,),0),3)),SETUP!$D$19:$D$121,0),5),"")</f>
        <v/>
      </c>
      <c r="BK41" s="438"/>
      <c r="BL41" s="193"/>
      <c r="BO41" s="12">
        <f>IF(N41="",0,IF(SETUP!$E$7="USD",((IF(O41="USD",P41,(P41/'Master Data-C19RM'!$C$2)))),((IF(O41="EUR",P41,(P41*'Master Data-C19RM'!$C$2))))))</f>
        <v>0</v>
      </c>
      <c r="BP41" s="12">
        <f>IF(N41="",0,IF(SETUP!$E$7="USD",((IF(O41="USD",W41,(W41/'Master Data-C19RM'!$D$2)))),((IF(O41="EUR",W41,(W41*'Master Data-C19RM'!$D$2))))))</f>
        <v>0</v>
      </c>
      <c r="BQ41">
        <f>IF(N41="",0,IF(SETUP!$E$7="USD",((IF(O41="USD",AD41,(AD41/'Master Data-C19RM'!$E$2)))),((IF(O41="EUR",AD41,(AD41*'Master Data-C19RM'!$E$2))))))</f>
        <v>0</v>
      </c>
      <c r="BR41">
        <f>IF(N41="",0,IF(SETUP!$E$7="USD",((IF(O41="USD",AK41,(AK41/'Master Data-C19RM'!$F$2)))),((IF(O41="EUR",AK41,(AK41*'Master Data-C19RM'!$F$2))))))</f>
        <v>0</v>
      </c>
      <c r="BS41">
        <f>IF(N41="",0,IF(SETUP!$E$7="USD",((IF(O41="USD",AR41,(AR41/'Master Data-C19RM'!$F$2)))),((IF(O41="EUR",AR41,(AR41*'Master Data-C19RM'!$G$2))))))</f>
        <v>0</v>
      </c>
      <c r="BT41">
        <f>IF(N41="",0,IF(SETUP!$E$7="USD",((IF(O41="USD",AY41,(AY41/'Master Data-C19RM'!$F$2)))),((IF(O41="EUR",AY41,(AY41*'Master Data-C19RM'!$H$2))))))</f>
        <v>0</v>
      </c>
      <c r="BU41" s="12">
        <f t="shared" si="1"/>
        <v>0</v>
      </c>
      <c r="BV41" s="142">
        <f t="shared" si="2"/>
        <v>0</v>
      </c>
    </row>
    <row r="42" spans="1:74" ht="14.9" customHeight="1" x14ac:dyDescent="0.35">
      <c r="A42" s="1172"/>
      <c r="B42" s="1172"/>
      <c r="C42" s="1172"/>
      <c r="D42" s="1172"/>
      <c r="E42" s="1172"/>
      <c r="F42" s="1172"/>
      <c r="G42" s="1172"/>
      <c r="H42" s="1172"/>
      <c r="I42" s="1173"/>
      <c r="J42" s="1173"/>
      <c r="K42" s="1173"/>
      <c r="L42" s="493" t="str" cm="1">
        <f t="array" ref="L42">IF(A42&lt;&gt;"",IFERROR(INDEX(PMtbl[[WKst]:[Unit of measure*]],MATCH($A$8&amp;$A42&amp;$E42&amp;$I42,INDEX(PMtbl[Sec]&amp;PMtbl[Category]&amp;PMtbl[Each]&amp;PMtbl[Packaging],0,),0),14),""),"")</f>
        <v/>
      </c>
      <c r="M42" s="480" t="str">
        <f>IF(L42="","",INDEX(SETUP!$E$20:$E$122,(MATCH(INDEX(PMsheet!$D:$E,MATCH(A42,PMsheet!E:E,0),1),SETUP!$D$20:$D$122,0))))</f>
        <v/>
      </c>
      <c r="N42" s="494">
        <f>IF($O42="USD",_xlfn.IFNA(VLOOKUP(A42&amp;E42&amp;I42,PMsheet!J:K,2,0),0),(_xlfn.IFNA(VLOOKUP(A42&amp;E42&amp;I42,PMsheet!J:K,2,0),0)*'Master Data-C19RM'!$C$2))</f>
        <v>0</v>
      </c>
      <c r="O42" s="495" t="str">
        <f>IF(L42="", "",SETUP!$E$7)</f>
        <v/>
      </c>
      <c r="P42" s="445">
        <f>IF($O42="USD",_xlfn.IFNA(VLOOKUP($A42&amp;$E42&amp;$I42,PMsheet!$J:$K,2,0),0),(_xlfn.IFNA(VLOOKUP($A42&amp;$E42&amp;$I42,PMsheet!$J:$K,2,0),0)*'Master Data-C19RM'!$C$2))</f>
        <v>0</v>
      </c>
      <c r="Q42" s="440"/>
      <c r="R42" s="440"/>
      <c r="S42" s="440"/>
      <c r="T42" s="440"/>
      <c r="U42" s="482">
        <f>SUM('C19RM 2021-Pharma'!$Q42:$T42)</f>
        <v>0</v>
      </c>
      <c r="V42" s="484">
        <f>IF(SETUP!$E$7="USD",(U42*(IF(O42="USD",P42,(P42/'Master Data-C19RM'!$C$2)))),(U42*(IF(O42="EUR",P42,(P42*'Master Data-C19RM'!$C$2)))))</f>
        <v>0</v>
      </c>
      <c r="W42" s="445">
        <f>IF($O42="USD",_xlfn.IFNA(VLOOKUP($A42&amp;$E42&amp;$I42,PMsheet!$J:$K,2,0),0),(_xlfn.IFNA(VLOOKUP($A42&amp;$E42&amp;$I42,PMsheet!$J:$K,2,0),0)*'Master Data-C19RM'!$D$2))</f>
        <v>0</v>
      </c>
      <c r="X42" s="440"/>
      <c r="Y42" s="440"/>
      <c r="Z42" s="440"/>
      <c r="AA42" s="440"/>
      <c r="AB42" s="482">
        <f>SUM('C19RM 2021-Pharma'!$X42:$AA42)</f>
        <v>0</v>
      </c>
      <c r="AC42" s="484">
        <f>IF(SETUP!$E$7="USD",(AB42*(IF(O42="USD",W42,(W42/'Master Data-C19RM'!$D$2)))),(AB42*(IF(O42="EUR",W42,(W42*'Master Data-C19RM'!$D$2)))))</f>
        <v>0</v>
      </c>
      <c r="AD42" s="445">
        <f>IF($O42="USD",_xlfn.IFNA(VLOOKUP($A42&amp;$E42&amp;$I42,PMsheet!$J:$K,2,0),0),(_xlfn.IFNA(VLOOKUP($A42&amp;$E42&amp;$I42,PMsheet!$J:$K,2,0),0)*'Master Data-C19RM'!$E$2))</f>
        <v>0</v>
      </c>
      <c r="AE42" s="440"/>
      <c r="AF42" s="440"/>
      <c r="AG42" s="440"/>
      <c r="AH42" s="440"/>
      <c r="AI42" s="482">
        <f>SUM('C19RM 2021-Pharma'!$AE42:$AH42)</f>
        <v>0</v>
      </c>
      <c r="AJ42" s="484">
        <f>IF(SETUP!$E$7="USD",(AI42*(IF(O42="USD",AD42,(AD42/'Master Data-C19RM'!$E$2)))),(AI42*(IF(O42="EUR",AD42,(AD42*'Master Data-C19RM'!$E$2)))))</f>
        <v>0</v>
      </c>
      <c r="AK42" s="445">
        <f>IF($O42="USD",_xlfn.IFNA(VLOOKUP($A42&amp;$E42&amp;$I42,PMsheet!$J:$K,2,0),0),(_xlfn.IFNA(VLOOKUP($A42&amp;$E42&amp;$I42,PMsheet!$J:$K,2,0),0)*'Master Data-C19RM'!$F$2))</f>
        <v>0</v>
      </c>
      <c r="AL42" s="440"/>
      <c r="AM42" s="440"/>
      <c r="AN42" s="440"/>
      <c r="AO42" s="440"/>
      <c r="AP42" s="482">
        <f>SUM('C19RM 2021-Pharma'!$AL42:$AO42)</f>
        <v>0</v>
      </c>
      <c r="AQ42" s="484">
        <f>IF(SETUP!$E$7="USD",(AP42*(IF(O42="USD",AK42,(AK42/'Master Data-C19RM'!$F$2)))),(AP42*(IF(O42="EUR",AK42,(AK42*'Master Data-C19RM'!$F$2)))))</f>
        <v>0</v>
      </c>
      <c r="AR42" s="445">
        <f>IF($O42="USD",_xlfn.IFNA(VLOOKUP($A42&amp;$E42&amp;$I42,PMsheet!$J:$K,2,0),0),(_xlfn.IFNA(VLOOKUP($A42&amp;$E42&amp;$I42,PMsheet!$J:$K,2,0),0)*'Master Data-C19RM'!$G$2))</f>
        <v>0</v>
      </c>
      <c r="AS42" s="440"/>
      <c r="AT42" s="440"/>
      <c r="AU42" s="440"/>
      <c r="AV42" s="440"/>
      <c r="AW42" s="482">
        <f>SUM('C19RM 2021-Pharma'!$AS42:$AV42)</f>
        <v>0</v>
      </c>
      <c r="AX42" s="484">
        <f>IF(SETUP!$E$7="USD",(AW42*(IF(O42="USD",AR42,(AR42/'Master Data-C19RM'!$G$2)))),(AW42*(IF(O42="EUR",AR42,(AR42*'Master Data-C19RM'!$G$2)))))</f>
        <v>0</v>
      </c>
      <c r="AY42" s="889"/>
      <c r="AZ42" s="884"/>
      <c r="BA42" s="884"/>
      <c r="BB42" s="884"/>
      <c r="BC42" s="884"/>
      <c r="BD42" s="884"/>
      <c r="BE42" s="885"/>
      <c r="BF42" s="504">
        <f>'C19RM 2021-Pharma'!$U42+'C19RM 2021-Pharma'!$AB42+'C19RM 2021-Pharma'!$AP42+'C19RM 2021-Pharma'!$AI42+$AW42+$BD42</f>
        <v>0</v>
      </c>
      <c r="BG42" s="484">
        <f>'C19RM 2021-Pharma'!$V42+'C19RM 2021-Pharma'!$AC42+'C19RM 2021-Pharma'!$AQ42+'C19RM 2021-Pharma'!$AJ42+$AX42+$BE42</f>
        <v>0</v>
      </c>
      <c r="BH42" s="499" t="str" cm="1">
        <f t="array" ref="BH42">IF(A42&lt;&gt;"",IFERROR(INDEX(PMtbl[[WKst]:[Unit of measure*]],MATCH($A$8&amp;$A42&amp;$E42&amp;$I42,INDEX(PMtbl[Sec]&amp;PMtbl[Category]&amp;PMtbl[Each]&amp;PMtbl[Packaging],0,),0),11),""),"")</f>
        <v/>
      </c>
      <c r="BI42" s="818"/>
      <c r="BJ42" s="503" t="str">
        <f>IFERROR(INDEX(SETUP!$C$19:$G$121,MATCH((INDEX(PMtbl[[WKst]:[Unit of measure*]],MATCH($A42&amp;$E42&amp;$I42,INDEX(PMtbl[Category]&amp;PMtbl[Each]&amp;PMtbl[Packaging],0,),0),3)),SETUP!$D$19:$D$121,0),5),"")</f>
        <v/>
      </c>
      <c r="BK42" s="439"/>
      <c r="BL42" s="194"/>
      <c r="BO42" s="12">
        <f>IF(N42="",0,IF(SETUP!$E$7="USD",((IF(O42="USD",P42,(P42/'Master Data-C19RM'!$C$2)))),((IF(O42="EUR",P42,(P42*'Master Data-C19RM'!$C$2))))))</f>
        <v>0</v>
      </c>
      <c r="BP42" s="12">
        <f>IF(N42="",0,IF(SETUP!$E$7="USD",((IF(O42="USD",W42,(W42/'Master Data-C19RM'!$D$2)))),((IF(O42="EUR",W42,(W42*'Master Data-C19RM'!$D$2))))))</f>
        <v>0</v>
      </c>
      <c r="BQ42">
        <f>IF(N42="",0,IF(SETUP!$E$7="USD",((IF(O42="USD",AD42,(AD42/'Master Data-C19RM'!$E$2)))),((IF(O42="EUR",AD42,(AD42*'Master Data-C19RM'!$E$2))))))</f>
        <v>0</v>
      </c>
      <c r="BR42">
        <f>IF(N42="",0,IF(SETUP!$E$7="USD",((IF(O42="USD",AK42,(AK42/'Master Data-C19RM'!$F$2)))),((IF(O42="EUR",AK42,(AK42*'Master Data-C19RM'!$F$2))))))</f>
        <v>0</v>
      </c>
      <c r="BS42">
        <f>IF(N42="",0,IF(SETUP!$E$7="USD",((IF(O42="USD",AR42,(AR42/'Master Data-C19RM'!$F$2)))),((IF(O42="EUR",AR42,(AR42*'Master Data-C19RM'!$G$2))))))</f>
        <v>0</v>
      </c>
      <c r="BT42">
        <f>IF(N42="",0,IF(SETUP!$E$7="USD",((IF(O42="USD",AY42,(AY42/'Master Data-C19RM'!$F$2)))),((IF(O42="EUR",AY42,(AY42*'Master Data-C19RM'!$H$2))))))</f>
        <v>0</v>
      </c>
      <c r="BU42" s="12">
        <f t="shared" si="1"/>
        <v>0</v>
      </c>
      <c r="BV42" s="142">
        <f t="shared" si="2"/>
        <v>0</v>
      </c>
    </row>
    <row r="43" spans="1:74" ht="14.9" customHeight="1" x14ac:dyDescent="0.35">
      <c r="A43" s="1165"/>
      <c r="B43" s="1165"/>
      <c r="C43" s="1165"/>
      <c r="D43" s="1165"/>
      <c r="E43" s="1166"/>
      <c r="F43" s="1166"/>
      <c r="G43" s="1166"/>
      <c r="H43" s="1166"/>
      <c r="I43" s="1166"/>
      <c r="J43" s="1166"/>
      <c r="K43" s="1166"/>
      <c r="L43" s="490" t="str" cm="1">
        <f t="array" ref="L43">IF(A43&lt;&gt;"",IFERROR(INDEX(PMtbl[[WKst]:[Unit of measure*]],MATCH($A$8&amp;$A43&amp;$E43&amp;$I43,INDEX(PMtbl[Sec]&amp;PMtbl[Category]&amp;PMtbl[Each]&amp;PMtbl[Packaging],0,),0),14),""),"")</f>
        <v/>
      </c>
      <c r="M43" s="479" t="str">
        <f>IF(L43="","",INDEX(SETUP!$E$20:$E$122,(MATCH(INDEX(PMsheet!$D:$E,MATCH(A43,PMsheet!E:E,0),1),SETUP!$D$20:$D$122,0))))</f>
        <v/>
      </c>
      <c r="N43" s="491">
        <f>IF($O43="USD",_xlfn.IFNA(VLOOKUP(A43&amp;E43&amp;I43,PMsheet!J:K,2,0),0),(_xlfn.IFNA(VLOOKUP(A43&amp;E43&amp;I43,PMsheet!J:K,2,0),0)*'Master Data-C19RM'!$C$2))</f>
        <v>0</v>
      </c>
      <c r="O43" s="492" t="str">
        <f>IF(L43="", "",SETUP!$E$7)</f>
        <v/>
      </c>
      <c r="P43" s="444">
        <f>IF($O43="USD",_xlfn.IFNA(VLOOKUP($A43&amp;$E43&amp;$I43,PMsheet!$J:$K,2,0),0),(_xlfn.IFNA(VLOOKUP($A43&amp;$E43&amp;$I43,PMsheet!$J:$K,2,0),0)*'Master Data-C19RM'!$C$2))</f>
        <v>0</v>
      </c>
      <c r="Q43" s="441"/>
      <c r="R43" s="441"/>
      <c r="S43" s="441"/>
      <c r="T43" s="441"/>
      <c r="U43" s="481">
        <f>SUM('C19RM 2021-Pharma'!$Q43:$T43)</f>
        <v>0</v>
      </c>
      <c r="V43" s="483">
        <f>IF(SETUP!$E$7="USD",(U43*(IF(O43="USD",P43,(P43/'Master Data-C19RM'!$C$2)))),(U43*(IF(O43="EUR",P43,(P43*'Master Data-C19RM'!$C$2)))))</f>
        <v>0</v>
      </c>
      <c r="W43" s="444">
        <f>IF($O43="USD",_xlfn.IFNA(VLOOKUP($A43&amp;$E43&amp;$I43,PMsheet!$J:$K,2,0),0),(_xlfn.IFNA(VLOOKUP($A43&amp;$E43&amp;$I43,PMsheet!$J:$K,2,0),0)*'Master Data-C19RM'!$D$2))</f>
        <v>0</v>
      </c>
      <c r="X43" s="441"/>
      <c r="Y43" s="441"/>
      <c r="Z43" s="441"/>
      <c r="AA43" s="441"/>
      <c r="AB43" s="481">
        <f>SUM('C19RM 2021-Pharma'!$X43:$AA43)</f>
        <v>0</v>
      </c>
      <c r="AC43" s="483">
        <f>IF(SETUP!$E$7="USD",(AB43*(IF(O43="USD",W43,(W43/'Master Data-C19RM'!$D$2)))),(AB43*(IF(O43="EUR",W43,(W43*'Master Data-C19RM'!$D$2)))))</f>
        <v>0</v>
      </c>
      <c r="AD43" s="444">
        <f>IF($O43="USD",_xlfn.IFNA(VLOOKUP($A43&amp;$E43&amp;$I43,PMsheet!$J:$K,2,0),0),(_xlfn.IFNA(VLOOKUP($A43&amp;$E43&amp;$I43,PMsheet!$J:$K,2,0),0)*'Master Data-C19RM'!$E$2))</f>
        <v>0</v>
      </c>
      <c r="AE43" s="441"/>
      <c r="AF43" s="441"/>
      <c r="AG43" s="441"/>
      <c r="AH43" s="441"/>
      <c r="AI43" s="481">
        <f>SUM('C19RM 2021-Pharma'!$AE43:$AH43)</f>
        <v>0</v>
      </c>
      <c r="AJ43" s="483">
        <f>IF(SETUP!$E$7="USD",(AI43*(IF(O43="USD",AD43,(AD43/'Master Data-C19RM'!$E$2)))),(AI43*(IF(O43="EUR",AD43,(AD43*'Master Data-C19RM'!$E$2)))))</f>
        <v>0</v>
      </c>
      <c r="AK43" s="444">
        <f>IF($O43="USD",_xlfn.IFNA(VLOOKUP($A43&amp;$E43&amp;$I43,PMsheet!$J:$K,2,0),0),(_xlfn.IFNA(VLOOKUP($A43&amp;$E43&amp;$I43,PMsheet!$J:$K,2,0),0)*'Master Data-C19RM'!$F$2))</f>
        <v>0</v>
      </c>
      <c r="AL43" s="441"/>
      <c r="AM43" s="441"/>
      <c r="AN43" s="441"/>
      <c r="AO43" s="441"/>
      <c r="AP43" s="481">
        <f>SUM('C19RM 2021-Pharma'!$AL43:$AO43)</f>
        <v>0</v>
      </c>
      <c r="AQ43" s="483">
        <f>IF(SETUP!$E$7="USD",(AP43*(IF(O43="USD",AK43,(AK43/'Master Data-C19RM'!$F$2)))),(AP43*(IF(O43="EUR",AK43,(AK43*'Master Data-C19RM'!$F$2)))))</f>
        <v>0</v>
      </c>
      <c r="AR43" s="444">
        <f>IF($O43="USD",_xlfn.IFNA(VLOOKUP($A43&amp;$E43&amp;$I43,PMsheet!$J:$K,2,0),0),(_xlfn.IFNA(VLOOKUP($A43&amp;$E43&amp;$I43,PMsheet!$J:$K,2,0),0)*'Master Data-C19RM'!$G$2))</f>
        <v>0</v>
      </c>
      <c r="AS43" s="441"/>
      <c r="AT43" s="441"/>
      <c r="AU43" s="441"/>
      <c r="AV43" s="441"/>
      <c r="AW43" s="481">
        <f>SUM('C19RM 2021-Pharma'!$AS43:$AV43)</f>
        <v>0</v>
      </c>
      <c r="AX43" s="483">
        <f>IF(SETUP!$E$7="USD",(AW43*(IF(O43="USD",AR43,(AR43/'Master Data-C19RM'!$G$2)))),(AW43*(IF(O43="EUR",AR43,(AR43*'Master Data-C19RM'!$G$2)))))</f>
        <v>0</v>
      </c>
      <c r="AY43" s="886"/>
      <c r="AZ43" s="887"/>
      <c r="BA43" s="887"/>
      <c r="BB43" s="887"/>
      <c r="BC43" s="887"/>
      <c r="BD43" s="887"/>
      <c r="BE43" s="888"/>
      <c r="BF43" s="505">
        <f>'C19RM 2021-Pharma'!$U43+'C19RM 2021-Pharma'!$AB43+'C19RM 2021-Pharma'!$AP43+'C19RM 2021-Pharma'!$AI43+$AW43+$BD43</f>
        <v>0</v>
      </c>
      <c r="BG43" s="483">
        <f>'C19RM 2021-Pharma'!$V43+'C19RM 2021-Pharma'!$AC43+'C19RM 2021-Pharma'!$AQ43+'C19RM 2021-Pharma'!$AJ43+$AX43+$BE43</f>
        <v>0</v>
      </c>
      <c r="BH43" s="500" t="str" cm="1">
        <f t="array" ref="BH43">IF(A43&lt;&gt;"",IFERROR(INDEX(PMtbl[[WKst]:[Unit of measure*]],MATCH($A$8&amp;$A43&amp;$E43&amp;$I43,INDEX(PMtbl[Sec]&amp;PMtbl[Category]&amp;PMtbl[Each]&amp;PMtbl[Packaging],0,),0),11),""),"")</f>
        <v/>
      </c>
      <c r="BI43" s="819"/>
      <c r="BJ43" s="502" t="str">
        <f>IFERROR(INDEX(SETUP!$C$19:$G$121,MATCH((INDEX(PMtbl[[WKst]:[Unit of measure*]],MATCH($A43&amp;$E43&amp;$I43,INDEX(PMtbl[Category]&amp;PMtbl[Each]&amp;PMtbl[Packaging],0,),0),3)),SETUP!$D$19:$D$121,0),5),"")</f>
        <v/>
      </c>
      <c r="BK43" s="438"/>
      <c r="BL43" s="193"/>
      <c r="BO43" s="12">
        <f>IF(N43="",0,IF(SETUP!$E$7="USD",((IF(O43="USD",P43,(P43/'Master Data-C19RM'!$C$2)))),((IF(O43="EUR",P43,(P43*'Master Data-C19RM'!$C$2))))))</f>
        <v>0</v>
      </c>
      <c r="BP43" s="12">
        <f>IF(N43="",0,IF(SETUP!$E$7="USD",((IF(O43="USD",W43,(W43/'Master Data-C19RM'!$D$2)))),((IF(O43="EUR",W43,(W43*'Master Data-C19RM'!$D$2))))))</f>
        <v>0</v>
      </c>
      <c r="BQ43">
        <f>IF(N43="",0,IF(SETUP!$E$7="USD",((IF(O43="USD",AD43,(AD43/'Master Data-C19RM'!$E$2)))),((IF(O43="EUR",AD43,(AD43*'Master Data-C19RM'!$E$2))))))</f>
        <v>0</v>
      </c>
      <c r="BR43">
        <f>IF(N43="",0,IF(SETUP!$E$7="USD",((IF(O43="USD",AK43,(AK43/'Master Data-C19RM'!$F$2)))),((IF(O43="EUR",AK43,(AK43*'Master Data-C19RM'!$F$2))))))</f>
        <v>0</v>
      </c>
      <c r="BS43">
        <f>IF(N43="",0,IF(SETUP!$E$7="USD",((IF(O43="USD",AR43,(AR43/'Master Data-C19RM'!$F$2)))),((IF(O43="EUR",AR43,(AR43*'Master Data-C19RM'!$G$2))))))</f>
        <v>0</v>
      </c>
      <c r="BT43">
        <f>IF(N43="",0,IF(SETUP!$E$7="USD",((IF(O43="USD",AY43,(AY43/'Master Data-C19RM'!$F$2)))),((IF(O43="EUR",AY43,(AY43*'Master Data-C19RM'!$H$2))))))</f>
        <v>0</v>
      </c>
      <c r="BU43" s="12">
        <f t="shared" si="1"/>
        <v>0</v>
      </c>
      <c r="BV43" s="142">
        <f t="shared" si="2"/>
        <v>0</v>
      </c>
    </row>
    <row r="44" spans="1:74" ht="14.9" customHeight="1" x14ac:dyDescent="0.35">
      <c r="A44" s="1172"/>
      <c r="B44" s="1172"/>
      <c r="C44" s="1172"/>
      <c r="D44" s="1172"/>
      <c r="E44" s="1172"/>
      <c r="F44" s="1172"/>
      <c r="G44" s="1172"/>
      <c r="H44" s="1172"/>
      <c r="I44" s="1173"/>
      <c r="J44" s="1173"/>
      <c r="K44" s="1173"/>
      <c r="L44" s="493" t="str" cm="1">
        <f t="array" ref="L44">IF(A44&lt;&gt;"",IFERROR(INDEX(PMtbl[[WKst]:[Unit of measure*]],MATCH($A$8&amp;$A44&amp;$E44&amp;$I44,INDEX(PMtbl[Sec]&amp;PMtbl[Category]&amp;PMtbl[Each]&amp;PMtbl[Packaging],0,),0),14),""),"")</f>
        <v/>
      </c>
      <c r="M44" s="480" t="str">
        <f>IF(L44="","",INDEX(SETUP!$E$20:$E$122,(MATCH(INDEX(PMsheet!$D:$E,MATCH(A44,PMsheet!E:E,0),1),SETUP!$D$20:$D$122,0))))</f>
        <v/>
      </c>
      <c r="N44" s="494">
        <f>IF($O44="USD",_xlfn.IFNA(VLOOKUP(A44&amp;E44&amp;I44,PMsheet!J:K,2,0),0),(_xlfn.IFNA(VLOOKUP(A44&amp;E44&amp;I44,PMsheet!J:K,2,0),0)*'Master Data-C19RM'!$C$2))</f>
        <v>0</v>
      </c>
      <c r="O44" s="495" t="str">
        <f>IF(L44="", "",SETUP!$E$7)</f>
        <v/>
      </c>
      <c r="P44" s="445">
        <f>IF($O44="USD",_xlfn.IFNA(VLOOKUP($A44&amp;$E44&amp;$I44,PMsheet!$J:$K,2,0),0),(_xlfn.IFNA(VLOOKUP($A44&amp;$E44&amp;$I44,PMsheet!$J:$K,2,0),0)*'Master Data-C19RM'!$C$2))</f>
        <v>0</v>
      </c>
      <c r="Q44" s="440"/>
      <c r="R44" s="440"/>
      <c r="S44" s="440"/>
      <c r="T44" s="440"/>
      <c r="U44" s="482">
        <f>SUM('C19RM 2021-Pharma'!$Q44:$T44)</f>
        <v>0</v>
      </c>
      <c r="V44" s="484">
        <f>IF(SETUP!$E$7="USD",(U44*(IF(O44="USD",P44,(P44/'Master Data-C19RM'!$C$2)))),(U44*(IF(O44="EUR",P44,(P44*'Master Data-C19RM'!$C$2)))))</f>
        <v>0</v>
      </c>
      <c r="W44" s="445">
        <f>IF($O44="USD",_xlfn.IFNA(VLOOKUP($A44&amp;$E44&amp;$I44,PMsheet!$J:$K,2,0),0),(_xlfn.IFNA(VLOOKUP($A44&amp;$E44&amp;$I44,PMsheet!$J:$K,2,0),0)*'Master Data-C19RM'!$D$2))</f>
        <v>0</v>
      </c>
      <c r="X44" s="440"/>
      <c r="Y44" s="440"/>
      <c r="Z44" s="440"/>
      <c r="AA44" s="440"/>
      <c r="AB44" s="482">
        <f>SUM('C19RM 2021-Pharma'!$X44:$AA44)</f>
        <v>0</v>
      </c>
      <c r="AC44" s="484">
        <f>IF(SETUP!$E$7="USD",(AB44*(IF(O44="USD",W44,(W44/'Master Data-C19RM'!$D$2)))),(AB44*(IF(O44="EUR",W44,(W44*'Master Data-C19RM'!$D$2)))))</f>
        <v>0</v>
      </c>
      <c r="AD44" s="445">
        <f>IF($O44="USD",_xlfn.IFNA(VLOOKUP($A44&amp;$E44&amp;$I44,PMsheet!$J:$K,2,0),0),(_xlfn.IFNA(VLOOKUP($A44&amp;$E44&amp;$I44,PMsheet!$J:$K,2,0),0)*'Master Data-C19RM'!$E$2))</f>
        <v>0</v>
      </c>
      <c r="AE44" s="440"/>
      <c r="AF44" s="440"/>
      <c r="AG44" s="440"/>
      <c r="AH44" s="440"/>
      <c r="AI44" s="482">
        <f>SUM('C19RM 2021-Pharma'!$AE44:$AH44)</f>
        <v>0</v>
      </c>
      <c r="AJ44" s="484">
        <f>IF(SETUP!$E$7="USD",(AI44*(IF(O44="USD",AD44,(AD44/'Master Data-C19RM'!$E$2)))),(AI44*(IF(O44="EUR",AD44,(AD44*'Master Data-C19RM'!$E$2)))))</f>
        <v>0</v>
      </c>
      <c r="AK44" s="445">
        <f>IF($O44="USD",_xlfn.IFNA(VLOOKUP($A44&amp;$E44&amp;$I44,PMsheet!$J:$K,2,0),0),(_xlfn.IFNA(VLOOKUP($A44&amp;$E44&amp;$I44,PMsheet!$J:$K,2,0),0)*'Master Data-C19RM'!$F$2))</f>
        <v>0</v>
      </c>
      <c r="AL44" s="440"/>
      <c r="AM44" s="440"/>
      <c r="AN44" s="440"/>
      <c r="AO44" s="440"/>
      <c r="AP44" s="482">
        <f>SUM('C19RM 2021-Pharma'!$AL44:$AO44)</f>
        <v>0</v>
      </c>
      <c r="AQ44" s="484">
        <f>IF(SETUP!$E$7="USD",(AP44*(IF(O44="USD",AK44,(AK44/'Master Data-C19RM'!$F$2)))),(AP44*(IF(O44="EUR",AK44,(AK44*'Master Data-C19RM'!$F$2)))))</f>
        <v>0</v>
      </c>
      <c r="AR44" s="445">
        <f>IF($O44="USD",_xlfn.IFNA(VLOOKUP($A44&amp;$E44&amp;$I44,PMsheet!$J:$K,2,0),0),(_xlfn.IFNA(VLOOKUP($A44&amp;$E44&amp;$I44,PMsheet!$J:$K,2,0),0)*'Master Data-C19RM'!$G$2))</f>
        <v>0</v>
      </c>
      <c r="AS44" s="440"/>
      <c r="AT44" s="440"/>
      <c r="AU44" s="440"/>
      <c r="AV44" s="440"/>
      <c r="AW44" s="482">
        <f>SUM('C19RM 2021-Pharma'!$AS44:$AV44)</f>
        <v>0</v>
      </c>
      <c r="AX44" s="484">
        <f>IF(SETUP!$E$7="USD",(AW44*(IF(O44="USD",AR44,(AR44/'Master Data-C19RM'!$G$2)))),(AW44*(IF(O44="EUR",AR44,(AR44*'Master Data-C19RM'!$G$2)))))</f>
        <v>0</v>
      </c>
      <c r="AY44" s="889"/>
      <c r="AZ44" s="884"/>
      <c r="BA44" s="884"/>
      <c r="BB44" s="884"/>
      <c r="BC44" s="884"/>
      <c r="BD44" s="884"/>
      <c r="BE44" s="885"/>
      <c r="BF44" s="504">
        <f>'C19RM 2021-Pharma'!$U44+'C19RM 2021-Pharma'!$AB44+'C19RM 2021-Pharma'!$AP44+'C19RM 2021-Pharma'!$AI44+$AW44+$BD44</f>
        <v>0</v>
      </c>
      <c r="BG44" s="484">
        <f>'C19RM 2021-Pharma'!$V44+'C19RM 2021-Pharma'!$AC44+'C19RM 2021-Pharma'!$AQ44+'C19RM 2021-Pharma'!$AJ44+$AX44+$BE44</f>
        <v>0</v>
      </c>
      <c r="BH44" s="499" t="str" cm="1">
        <f t="array" ref="BH44">IF(A44&lt;&gt;"",IFERROR(INDEX(PMtbl[[WKst]:[Unit of measure*]],MATCH($A$8&amp;$A44&amp;$E44&amp;$I44,INDEX(PMtbl[Sec]&amp;PMtbl[Category]&amp;PMtbl[Each]&amp;PMtbl[Packaging],0,),0),11),""),"")</f>
        <v/>
      </c>
      <c r="BI44" s="818"/>
      <c r="BJ44" s="503" t="str">
        <f>IFERROR(INDEX(SETUP!$C$19:$G$121,MATCH((INDEX(PMtbl[[WKst]:[Unit of measure*]],MATCH($A44&amp;$E44&amp;$I44,INDEX(PMtbl[Category]&amp;PMtbl[Each]&amp;PMtbl[Packaging],0,),0),3)),SETUP!$D$19:$D$121,0),5),"")</f>
        <v/>
      </c>
      <c r="BK44" s="439"/>
      <c r="BL44" s="194"/>
      <c r="BO44" s="12">
        <f>IF(N44="",0,IF(SETUP!$E$7="USD",((IF(O44="USD",P44,(P44/'Master Data-C19RM'!$C$2)))),((IF(O44="EUR",P44,(P44*'Master Data-C19RM'!$C$2))))))</f>
        <v>0</v>
      </c>
      <c r="BP44" s="12">
        <f>IF(N44="",0,IF(SETUP!$E$7="USD",((IF(O44="USD",W44,(W44/'Master Data-C19RM'!$D$2)))),((IF(O44="EUR",W44,(W44*'Master Data-C19RM'!$D$2))))))</f>
        <v>0</v>
      </c>
      <c r="BQ44">
        <f>IF(N44="",0,IF(SETUP!$E$7="USD",((IF(O44="USD",AD44,(AD44/'Master Data-C19RM'!$E$2)))),((IF(O44="EUR",AD44,(AD44*'Master Data-C19RM'!$E$2))))))</f>
        <v>0</v>
      </c>
      <c r="BR44">
        <f>IF(N44="",0,IF(SETUP!$E$7="USD",((IF(O44="USD",AK44,(AK44/'Master Data-C19RM'!$F$2)))),((IF(O44="EUR",AK44,(AK44*'Master Data-C19RM'!$F$2))))))</f>
        <v>0</v>
      </c>
      <c r="BS44">
        <f>IF(N44="",0,IF(SETUP!$E$7="USD",((IF(O44="USD",AR44,(AR44/'Master Data-C19RM'!$F$2)))),((IF(O44="EUR",AR44,(AR44*'Master Data-C19RM'!$G$2))))))</f>
        <v>0</v>
      </c>
      <c r="BT44">
        <f>IF(N44="",0,IF(SETUP!$E$7="USD",((IF(O44="USD",AY44,(AY44/'Master Data-C19RM'!$F$2)))),((IF(O44="EUR",AY44,(AY44*'Master Data-C19RM'!$H$2))))))</f>
        <v>0</v>
      </c>
      <c r="BU44" s="12">
        <f t="shared" si="1"/>
        <v>0</v>
      </c>
      <c r="BV44" s="142">
        <f t="shared" si="2"/>
        <v>0</v>
      </c>
    </row>
    <row r="45" spans="1:74" ht="14.9" customHeight="1" x14ac:dyDescent="0.35">
      <c r="A45" s="1165"/>
      <c r="B45" s="1165"/>
      <c r="C45" s="1165"/>
      <c r="D45" s="1165"/>
      <c r="E45" s="1166"/>
      <c r="F45" s="1166"/>
      <c r="G45" s="1166"/>
      <c r="H45" s="1166"/>
      <c r="I45" s="1166"/>
      <c r="J45" s="1166"/>
      <c r="K45" s="1166"/>
      <c r="L45" s="490" t="str" cm="1">
        <f t="array" ref="L45">IF(A45&lt;&gt;"",IFERROR(INDEX(PMtbl[[WKst]:[Unit of measure*]],MATCH($A$8&amp;$A45&amp;$E45&amp;$I45,INDEX(PMtbl[Sec]&amp;PMtbl[Category]&amp;PMtbl[Each]&amp;PMtbl[Packaging],0,),0),14),""),"")</f>
        <v/>
      </c>
      <c r="M45" s="479" t="str">
        <f>IF(L45="","",INDEX(SETUP!$E$20:$E$122,(MATCH(INDEX(PMsheet!$D:$E,MATCH(A45,PMsheet!E:E,0),1),SETUP!$D$20:$D$122,0))))</f>
        <v/>
      </c>
      <c r="N45" s="491">
        <f>IF($O45="USD",_xlfn.IFNA(VLOOKUP(A45&amp;E45&amp;I45,PMsheet!J:K,2,0),0),(_xlfn.IFNA(VLOOKUP(A45&amp;E45&amp;I45,PMsheet!J:K,2,0),0)*'Master Data-C19RM'!$C$2))</f>
        <v>0</v>
      </c>
      <c r="O45" s="492" t="str">
        <f>IF(L45="", "",SETUP!$E$7)</f>
        <v/>
      </c>
      <c r="P45" s="444">
        <f>IF($O45="USD",_xlfn.IFNA(VLOOKUP($A45&amp;$E45&amp;$I45,PMsheet!$J:$K,2,0),0),(_xlfn.IFNA(VLOOKUP($A45&amp;$E45&amp;$I45,PMsheet!$J:$K,2,0),0)*'Master Data-C19RM'!$C$2))</f>
        <v>0</v>
      </c>
      <c r="Q45" s="441"/>
      <c r="R45" s="441"/>
      <c r="S45" s="441"/>
      <c r="T45" s="441"/>
      <c r="U45" s="481">
        <f>SUM('C19RM 2021-Pharma'!$Q45:$T45)</f>
        <v>0</v>
      </c>
      <c r="V45" s="483">
        <f>IF(SETUP!$E$7="USD",(U45*(IF(O45="USD",P45,(P45/'Master Data-C19RM'!$C$2)))),(U45*(IF(O45="EUR",P45,(P45*'Master Data-C19RM'!$C$2)))))</f>
        <v>0</v>
      </c>
      <c r="W45" s="444">
        <f>IF($O45="USD",_xlfn.IFNA(VLOOKUP($A45&amp;$E45&amp;$I45,PMsheet!$J:$K,2,0),0),(_xlfn.IFNA(VLOOKUP($A45&amp;$E45&amp;$I45,PMsheet!$J:$K,2,0),0)*'Master Data-C19RM'!$D$2))</f>
        <v>0</v>
      </c>
      <c r="X45" s="441"/>
      <c r="Y45" s="441"/>
      <c r="Z45" s="441"/>
      <c r="AA45" s="441"/>
      <c r="AB45" s="481">
        <f>SUM('C19RM 2021-Pharma'!$X45:$AA45)</f>
        <v>0</v>
      </c>
      <c r="AC45" s="483">
        <f>IF(SETUP!$E$7="USD",(AB45*(IF(O45="USD",W45,(W45/'Master Data-C19RM'!$D$2)))),(AB45*(IF(O45="EUR",W45,(W45*'Master Data-C19RM'!$D$2)))))</f>
        <v>0</v>
      </c>
      <c r="AD45" s="444">
        <f>IF($O45="USD",_xlfn.IFNA(VLOOKUP($A45&amp;$E45&amp;$I45,PMsheet!$J:$K,2,0),0),(_xlfn.IFNA(VLOOKUP($A45&amp;$E45&amp;$I45,PMsheet!$J:$K,2,0),0)*'Master Data-C19RM'!$E$2))</f>
        <v>0</v>
      </c>
      <c r="AE45" s="441"/>
      <c r="AF45" s="441"/>
      <c r="AG45" s="441"/>
      <c r="AH45" s="441"/>
      <c r="AI45" s="481">
        <f>SUM('C19RM 2021-Pharma'!$AE45:$AH45)</f>
        <v>0</v>
      </c>
      <c r="AJ45" s="483">
        <f>IF(SETUP!$E$7="USD",(AI45*(IF(O45="USD",AD45,(AD45/'Master Data-C19RM'!$E$2)))),(AI45*(IF(O45="EUR",AD45,(AD45*'Master Data-C19RM'!$E$2)))))</f>
        <v>0</v>
      </c>
      <c r="AK45" s="444">
        <f>IF($O45="USD",_xlfn.IFNA(VLOOKUP($A45&amp;$E45&amp;$I45,PMsheet!$J:$K,2,0),0),(_xlfn.IFNA(VLOOKUP($A45&amp;$E45&amp;$I45,PMsheet!$J:$K,2,0),0)*'Master Data-C19RM'!$F$2))</f>
        <v>0</v>
      </c>
      <c r="AL45" s="441"/>
      <c r="AM45" s="441"/>
      <c r="AN45" s="441"/>
      <c r="AO45" s="441"/>
      <c r="AP45" s="481">
        <f>SUM('C19RM 2021-Pharma'!$AL45:$AO45)</f>
        <v>0</v>
      </c>
      <c r="AQ45" s="483">
        <f>IF(SETUP!$E$7="USD",(AP45*(IF(O45="USD",AK45,(AK45/'Master Data-C19RM'!$F$2)))),(AP45*(IF(O45="EUR",AK45,(AK45*'Master Data-C19RM'!$F$2)))))</f>
        <v>0</v>
      </c>
      <c r="AR45" s="444">
        <f>IF($O45="USD",_xlfn.IFNA(VLOOKUP($A45&amp;$E45&amp;$I45,PMsheet!$J:$K,2,0),0),(_xlfn.IFNA(VLOOKUP($A45&amp;$E45&amp;$I45,PMsheet!$J:$K,2,0),0)*'Master Data-C19RM'!$G$2))</f>
        <v>0</v>
      </c>
      <c r="AS45" s="441"/>
      <c r="AT45" s="441"/>
      <c r="AU45" s="441"/>
      <c r="AV45" s="441"/>
      <c r="AW45" s="481">
        <f>SUM('C19RM 2021-Pharma'!$AS45:$AV45)</f>
        <v>0</v>
      </c>
      <c r="AX45" s="483">
        <f>IF(SETUP!$E$7="USD",(AW45*(IF(O45="USD",AR45,(AR45/'Master Data-C19RM'!$G$2)))),(AW45*(IF(O45="EUR",AR45,(AR45*'Master Data-C19RM'!$G$2)))))</f>
        <v>0</v>
      </c>
      <c r="AY45" s="886"/>
      <c r="AZ45" s="887"/>
      <c r="BA45" s="887"/>
      <c r="BB45" s="887"/>
      <c r="BC45" s="887"/>
      <c r="BD45" s="887"/>
      <c r="BE45" s="888"/>
      <c r="BF45" s="505">
        <f>'C19RM 2021-Pharma'!$U45+'C19RM 2021-Pharma'!$AB45+'C19RM 2021-Pharma'!$AP45+'C19RM 2021-Pharma'!$AI45+$AW45+$BD45</f>
        <v>0</v>
      </c>
      <c r="BG45" s="483">
        <f>'C19RM 2021-Pharma'!$V45+'C19RM 2021-Pharma'!$AC45+'C19RM 2021-Pharma'!$AQ45+'C19RM 2021-Pharma'!$AJ45+$AX45+$BE45</f>
        <v>0</v>
      </c>
      <c r="BH45" s="500" t="str" cm="1">
        <f t="array" ref="BH45">IF(A45&lt;&gt;"",IFERROR(INDEX(PMtbl[[WKst]:[Unit of measure*]],MATCH($A$8&amp;$A45&amp;$E45&amp;$I45,INDEX(PMtbl[Sec]&amp;PMtbl[Category]&amp;PMtbl[Each]&amp;PMtbl[Packaging],0,),0),11),""),"")</f>
        <v/>
      </c>
      <c r="BI45" s="819"/>
      <c r="BJ45" s="502" t="str">
        <f>IFERROR(INDEX(SETUP!$C$19:$G$121,MATCH((INDEX(PMtbl[[WKst]:[Unit of measure*]],MATCH($A45&amp;$E45&amp;$I45,INDEX(PMtbl[Category]&amp;PMtbl[Each]&amp;PMtbl[Packaging],0,),0),3)),SETUP!$D$19:$D$121,0),5),"")</f>
        <v/>
      </c>
      <c r="BK45" s="438"/>
      <c r="BL45" s="193"/>
      <c r="BO45" s="12">
        <f>IF(N45="",0,IF(SETUP!$E$7="USD",((IF(O45="USD",P45,(P45/'Master Data-C19RM'!$C$2)))),((IF(O45="EUR",P45,(P45*'Master Data-C19RM'!$C$2))))))</f>
        <v>0</v>
      </c>
      <c r="BP45" s="12">
        <f>IF(N45="",0,IF(SETUP!$E$7="USD",((IF(O45="USD",W45,(W45/'Master Data-C19RM'!$D$2)))),((IF(O45="EUR",W45,(W45*'Master Data-C19RM'!$D$2))))))</f>
        <v>0</v>
      </c>
      <c r="BQ45">
        <f>IF(N45="",0,IF(SETUP!$E$7="USD",((IF(O45="USD",AD45,(AD45/'Master Data-C19RM'!$E$2)))),((IF(O45="EUR",AD45,(AD45*'Master Data-C19RM'!$E$2))))))</f>
        <v>0</v>
      </c>
      <c r="BR45">
        <f>IF(N45="",0,IF(SETUP!$E$7="USD",((IF(O45="USD",AK45,(AK45/'Master Data-C19RM'!$F$2)))),((IF(O45="EUR",AK45,(AK45*'Master Data-C19RM'!$F$2))))))</f>
        <v>0</v>
      </c>
      <c r="BS45">
        <f>IF(N45="",0,IF(SETUP!$E$7="USD",((IF(O45="USD",AR45,(AR45/'Master Data-C19RM'!$F$2)))),((IF(O45="EUR",AR45,(AR45*'Master Data-C19RM'!$G$2))))))</f>
        <v>0</v>
      </c>
      <c r="BT45">
        <f>IF(N45="",0,IF(SETUP!$E$7="USD",((IF(O45="USD",AY45,(AY45/'Master Data-C19RM'!$F$2)))),((IF(O45="EUR",AY45,(AY45*'Master Data-C19RM'!$H$2))))))</f>
        <v>0</v>
      </c>
      <c r="BU45" s="12">
        <f t="shared" si="1"/>
        <v>0</v>
      </c>
      <c r="BV45" s="142">
        <f t="shared" si="2"/>
        <v>0</v>
      </c>
    </row>
    <row r="46" spans="1:74" ht="14.9" customHeight="1" x14ac:dyDescent="0.35">
      <c r="A46" s="1172"/>
      <c r="B46" s="1172"/>
      <c r="C46" s="1172"/>
      <c r="D46" s="1172"/>
      <c r="E46" s="1172"/>
      <c r="F46" s="1172"/>
      <c r="G46" s="1172"/>
      <c r="H46" s="1172"/>
      <c r="I46" s="1173"/>
      <c r="J46" s="1173"/>
      <c r="K46" s="1173"/>
      <c r="L46" s="493" t="str" cm="1">
        <f t="array" ref="L46">IF(A46&lt;&gt;"",IFERROR(INDEX(PMtbl[[WKst]:[Unit of measure*]],MATCH($A$8&amp;$A46&amp;$E46&amp;$I46,INDEX(PMtbl[Sec]&amp;PMtbl[Category]&amp;PMtbl[Each]&amp;PMtbl[Packaging],0,),0),14),""),"")</f>
        <v/>
      </c>
      <c r="M46" s="480" t="str">
        <f>IF(L46="","",INDEX(SETUP!$E$20:$E$122,(MATCH(INDEX(PMsheet!$D:$E,MATCH(A46,PMsheet!E:E,0),1),SETUP!$D$20:$D$122,0))))</f>
        <v/>
      </c>
      <c r="N46" s="494">
        <f>IF($O46="USD",_xlfn.IFNA(VLOOKUP(A46&amp;E46&amp;I46,PMsheet!J:K,2,0),0),(_xlfn.IFNA(VLOOKUP(A46&amp;E46&amp;I46,PMsheet!J:K,2,0),0)*'Master Data-C19RM'!$C$2))</f>
        <v>0</v>
      </c>
      <c r="O46" s="495" t="str">
        <f>IF(L46="", "",SETUP!$E$7)</f>
        <v/>
      </c>
      <c r="P46" s="445">
        <f>IF($O46="USD",_xlfn.IFNA(VLOOKUP($A46&amp;$E46&amp;$I46,PMsheet!$J:$K,2,0),0),(_xlfn.IFNA(VLOOKUP($A46&amp;$E46&amp;$I46,PMsheet!$J:$K,2,0),0)*'Master Data-C19RM'!$C$2))</f>
        <v>0</v>
      </c>
      <c r="Q46" s="440"/>
      <c r="R46" s="440"/>
      <c r="S46" s="440"/>
      <c r="T46" s="440"/>
      <c r="U46" s="482">
        <f>SUM('C19RM 2021-Pharma'!$Q46:$T46)</f>
        <v>0</v>
      </c>
      <c r="V46" s="484">
        <f>IF(SETUP!$E$7="USD",(U46*(IF(O46="USD",P46,(P46/'Master Data-C19RM'!$C$2)))),(U46*(IF(O46="EUR",P46,(P46*'Master Data-C19RM'!$C$2)))))</f>
        <v>0</v>
      </c>
      <c r="W46" s="445">
        <f>IF($O46="USD",_xlfn.IFNA(VLOOKUP($A46&amp;$E46&amp;$I46,PMsheet!$J:$K,2,0),0),(_xlfn.IFNA(VLOOKUP($A46&amp;$E46&amp;$I46,PMsheet!$J:$K,2,0),0)*'Master Data-C19RM'!$D$2))</f>
        <v>0</v>
      </c>
      <c r="X46" s="440"/>
      <c r="Y46" s="440"/>
      <c r="Z46" s="440"/>
      <c r="AA46" s="440"/>
      <c r="AB46" s="482">
        <f>SUM('C19RM 2021-Pharma'!$X46:$AA46)</f>
        <v>0</v>
      </c>
      <c r="AC46" s="484">
        <f>IF(SETUP!$E$7="USD",(AB46*(IF(O46="USD",W46,(W46/'Master Data-C19RM'!$D$2)))),(AB46*(IF(O46="EUR",W46,(W46*'Master Data-C19RM'!$D$2)))))</f>
        <v>0</v>
      </c>
      <c r="AD46" s="445">
        <f>IF($O46="USD",_xlfn.IFNA(VLOOKUP($A46&amp;$E46&amp;$I46,PMsheet!$J:$K,2,0),0),(_xlfn.IFNA(VLOOKUP($A46&amp;$E46&amp;$I46,PMsheet!$J:$K,2,0),0)*'Master Data-C19RM'!$E$2))</f>
        <v>0</v>
      </c>
      <c r="AE46" s="440"/>
      <c r="AF46" s="440"/>
      <c r="AG46" s="440"/>
      <c r="AH46" s="440"/>
      <c r="AI46" s="482">
        <f>SUM('C19RM 2021-Pharma'!$AE46:$AH46)</f>
        <v>0</v>
      </c>
      <c r="AJ46" s="484">
        <f>IF(SETUP!$E$7="USD",(AI46*(IF(O46="USD",AD46,(AD46/'Master Data-C19RM'!$E$2)))),(AI46*(IF(O46="EUR",AD46,(AD46*'Master Data-C19RM'!$E$2)))))</f>
        <v>0</v>
      </c>
      <c r="AK46" s="445">
        <f>IF($O46="USD",_xlfn.IFNA(VLOOKUP($A46&amp;$E46&amp;$I46,PMsheet!$J:$K,2,0),0),(_xlfn.IFNA(VLOOKUP($A46&amp;$E46&amp;$I46,PMsheet!$J:$K,2,0),0)*'Master Data-C19RM'!$F$2))</f>
        <v>0</v>
      </c>
      <c r="AL46" s="440"/>
      <c r="AM46" s="440"/>
      <c r="AN46" s="440"/>
      <c r="AO46" s="440"/>
      <c r="AP46" s="482">
        <f>SUM('C19RM 2021-Pharma'!$AL46:$AO46)</f>
        <v>0</v>
      </c>
      <c r="AQ46" s="484">
        <f>IF(SETUP!$E$7="USD",(AP46*(IF(O46="USD",AK46,(AK46/'Master Data-C19RM'!$F$2)))),(AP46*(IF(O46="EUR",AK46,(AK46*'Master Data-C19RM'!$F$2)))))</f>
        <v>0</v>
      </c>
      <c r="AR46" s="445">
        <f>IF($O46="USD",_xlfn.IFNA(VLOOKUP($A46&amp;$E46&amp;$I46,PMsheet!$J:$K,2,0),0),(_xlfn.IFNA(VLOOKUP($A46&amp;$E46&amp;$I46,PMsheet!$J:$K,2,0),0)*'Master Data-C19RM'!$G$2))</f>
        <v>0</v>
      </c>
      <c r="AS46" s="440"/>
      <c r="AT46" s="440"/>
      <c r="AU46" s="440"/>
      <c r="AV46" s="440"/>
      <c r="AW46" s="482">
        <f>SUM('C19RM 2021-Pharma'!$AS46:$AV46)</f>
        <v>0</v>
      </c>
      <c r="AX46" s="484">
        <f>IF(SETUP!$E$7="USD",(AW46*(IF(O46="USD",AR46,(AR46/'Master Data-C19RM'!$G$2)))),(AW46*(IF(O46="EUR",AR46,(AR46*'Master Data-C19RM'!$G$2)))))</f>
        <v>0</v>
      </c>
      <c r="AY46" s="889"/>
      <c r="AZ46" s="884"/>
      <c r="BA46" s="884"/>
      <c r="BB46" s="884"/>
      <c r="BC46" s="884"/>
      <c r="BD46" s="884"/>
      <c r="BE46" s="885"/>
      <c r="BF46" s="504">
        <f>'C19RM 2021-Pharma'!$U46+'C19RM 2021-Pharma'!$AB46+'C19RM 2021-Pharma'!$AP46+'C19RM 2021-Pharma'!$AI46+$AW46+$BD46</f>
        <v>0</v>
      </c>
      <c r="BG46" s="484">
        <f>'C19RM 2021-Pharma'!$V46+'C19RM 2021-Pharma'!$AC46+'C19RM 2021-Pharma'!$AQ46+'C19RM 2021-Pharma'!$AJ46+$AX46+$BE46</f>
        <v>0</v>
      </c>
      <c r="BH46" s="499" t="str" cm="1">
        <f t="array" ref="BH46">IF(A46&lt;&gt;"",IFERROR(INDEX(PMtbl[[WKst]:[Unit of measure*]],MATCH($A$8&amp;$A46&amp;$E46&amp;$I46,INDEX(PMtbl[Sec]&amp;PMtbl[Category]&amp;PMtbl[Each]&amp;PMtbl[Packaging],0,),0),11),""),"")</f>
        <v/>
      </c>
      <c r="BI46" s="818"/>
      <c r="BJ46" s="503" t="str">
        <f>IFERROR(INDEX(SETUP!$C$19:$G$121,MATCH((INDEX(PMtbl[[WKst]:[Unit of measure*]],MATCH($A46&amp;$E46&amp;$I46,INDEX(PMtbl[Category]&amp;PMtbl[Each]&amp;PMtbl[Packaging],0,),0),3)),SETUP!$D$19:$D$121,0),5),"")</f>
        <v/>
      </c>
      <c r="BK46" s="439"/>
      <c r="BL46" s="194"/>
      <c r="BO46" s="12">
        <f>IF(N46="",0,IF(SETUP!$E$7="USD",((IF(O46="USD",P46,(P46/'Master Data-C19RM'!$C$2)))),((IF(O46="EUR",P46,(P46*'Master Data-C19RM'!$C$2))))))</f>
        <v>0</v>
      </c>
      <c r="BP46" s="12">
        <f>IF(N46="",0,IF(SETUP!$E$7="USD",((IF(O46="USD",W46,(W46/'Master Data-C19RM'!$D$2)))),((IF(O46="EUR",W46,(W46*'Master Data-C19RM'!$D$2))))))</f>
        <v>0</v>
      </c>
      <c r="BQ46">
        <f>IF(N46="",0,IF(SETUP!$E$7="USD",((IF(O46="USD",AD46,(AD46/'Master Data-C19RM'!$E$2)))),((IF(O46="EUR",AD46,(AD46*'Master Data-C19RM'!$E$2))))))</f>
        <v>0</v>
      </c>
      <c r="BR46">
        <f>IF(N46="",0,IF(SETUP!$E$7="USD",((IF(O46="USD",AK46,(AK46/'Master Data-C19RM'!$F$2)))),((IF(O46="EUR",AK46,(AK46*'Master Data-C19RM'!$F$2))))))</f>
        <v>0</v>
      </c>
      <c r="BS46">
        <f>IF(N46="",0,IF(SETUP!$E$7="USD",((IF(O46="USD",AR46,(AR46/'Master Data-C19RM'!$F$2)))),((IF(O46="EUR",AR46,(AR46*'Master Data-C19RM'!$G$2))))))</f>
        <v>0</v>
      </c>
      <c r="BT46">
        <f>IF(N46="",0,IF(SETUP!$E$7="USD",((IF(O46="USD",AY46,(AY46/'Master Data-C19RM'!$F$2)))),((IF(O46="EUR",AY46,(AY46*'Master Data-C19RM'!$H$2))))))</f>
        <v>0</v>
      </c>
      <c r="BU46" s="12">
        <f t="shared" si="1"/>
        <v>0</v>
      </c>
      <c r="BV46" s="142">
        <f t="shared" si="2"/>
        <v>0</v>
      </c>
    </row>
    <row r="47" spans="1:74" ht="14.9" customHeight="1" x14ac:dyDescent="0.35">
      <c r="A47" s="1165"/>
      <c r="B47" s="1165"/>
      <c r="C47" s="1165"/>
      <c r="D47" s="1165"/>
      <c r="E47" s="1166"/>
      <c r="F47" s="1166"/>
      <c r="G47" s="1166"/>
      <c r="H47" s="1166"/>
      <c r="I47" s="1166"/>
      <c r="J47" s="1166"/>
      <c r="K47" s="1166"/>
      <c r="L47" s="490" t="str" cm="1">
        <f t="array" ref="L47">IF(A47&lt;&gt;"",IFERROR(INDEX(PMtbl[[WKst]:[Unit of measure*]],MATCH($A$8&amp;$A47&amp;$E47&amp;$I47,INDEX(PMtbl[Sec]&amp;PMtbl[Category]&amp;PMtbl[Each]&amp;PMtbl[Packaging],0,),0),14),""),"")</f>
        <v/>
      </c>
      <c r="M47" s="479" t="str">
        <f>IF(L47="","",INDEX(SETUP!$E$20:$E$122,(MATCH(INDEX(PMsheet!$D:$E,MATCH(A47,PMsheet!E:E,0),1),SETUP!$D$20:$D$122,0))))</f>
        <v/>
      </c>
      <c r="N47" s="491">
        <f>IF($O47="USD",_xlfn.IFNA(VLOOKUP(A47&amp;E47&amp;I47,PMsheet!J:K,2,0),0),(_xlfn.IFNA(VLOOKUP(A47&amp;E47&amp;I47,PMsheet!J:K,2,0),0)*'Master Data-C19RM'!$C$2))</f>
        <v>0</v>
      </c>
      <c r="O47" s="492" t="str">
        <f>IF(L47="", "",SETUP!$E$7)</f>
        <v/>
      </c>
      <c r="P47" s="444">
        <f>IF($O47="USD",_xlfn.IFNA(VLOOKUP($A47&amp;$E47&amp;$I47,PMsheet!$J:$K,2,0),0),(_xlfn.IFNA(VLOOKUP($A47&amp;$E47&amp;$I47,PMsheet!$J:$K,2,0),0)*'Master Data-C19RM'!$C$2))</f>
        <v>0</v>
      </c>
      <c r="Q47" s="441"/>
      <c r="R47" s="441"/>
      <c r="S47" s="441"/>
      <c r="T47" s="441"/>
      <c r="U47" s="481">
        <f>SUM('C19RM 2021-Pharma'!$Q47:$T47)</f>
        <v>0</v>
      </c>
      <c r="V47" s="483">
        <f>IF(SETUP!$E$7="USD",(U47*(IF(O47="USD",P47,(P47/'Master Data-C19RM'!$C$2)))),(U47*(IF(O47="EUR",P47,(P47*'Master Data-C19RM'!$C$2)))))</f>
        <v>0</v>
      </c>
      <c r="W47" s="444">
        <f>IF($O47="USD",_xlfn.IFNA(VLOOKUP($A47&amp;$E47&amp;$I47,PMsheet!$J:$K,2,0),0),(_xlfn.IFNA(VLOOKUP($A47&amp;$E47&amp;$I47,PMsheet!$J:$K,2,0),0)*'Master Data-C19RM'!$D$2))</f>
        <v>0</v>
      </c>
      <c r="X47" s="441"/>
      <c r="Y47" s="441"/>
      <c r="Z47" s="441"/>
      <c r="AA47" s="441"/>
      <c r="AB47" s="481">
        <f>SUM('C19RM 2021-Pharma'!$X47:$AA47)</f>
        <v>0</v>
      </c>
      <c r="AC47" s="483">
        <f>IF(SETUP!$E$7="USD",(AB47*(IF(O47="USD",W47,(W47/'Master Data-C19RM'!$D$2)))),(AB47*(IF(O47="EUR",W47,(W47*'Master Data-C19RM'!$D$2)))))</f>
        <v>0</v>
      </c>
      <c r="AD47" s="444">
        <f>IF($O47="USD",_xlfn.IFNA(VLOOKUP($A47&amp;$E47&amp;$I47,PMsheet!$J:$K,2,0),0),(_xlfn.IFNA(VLOOKUP($A47&amp;$E47&amp;$I47,PMsheet!$J:$K,2,0),0)*'Master Data-C19RM'!$E$2))</f>
        <v>0</v>
      </c>
      <c r="AE47" s="441"/>
      <c r="AF47" s="441"/>
      <c r="AG47" s="441"/>
      <c r="AH47" s="441"/>
      <c r="AI47" s="481">
        <f>SUM('C19RM 2021-Pharma'!$AE47:$AH47)</f>
        <v>0</v>
      </c>
      <c r="AJ47" s="483">
        <f>IF(SETUP!$E$7="USD",(AI47*(IF(O47="USD",AD47,(AD47/'Master Data-C19RM'!$E$2)))),(AI47*(IF(O47="EUR",AD47,(AD47*'Master Data-C19RM'!$E$2)))))</f>
        <v>0</v>
      </c>
      <c r="AK47" s="444">
        <f>IF($O47="USD",_xlfn.IFNA(VLOOKUP($A47&amp;$E47&amp;$I47,PMsheet!$J:$K,2,0),0),(_xlfn.IFNA(VLOOKUP($A47&amp;$E47&amp;$I47,PMsheet!$J:$K,2,0),0)*'Master Data-C19RM'!$F$2))</f>
        <v>0</v>
      </c>
      <c r="AL47" s="441"/>
      <c r="AM47" s="441"/>
      <c r="AN47" s="441"/>
      <c r="AO47" s="441"/>
      <c r="AP47" s="481">
        <f>SUM('C19RM 2021-Pharma'!$AL47:$AO47)</f>
        <v>0</v>
      </c>
      <c r="AQ47" s="483">
        <f>IF(SETUP!$E$7="USD",(AP47*(IF(O47="USD",AK47,(AK47/'Master Data-C19RM'!$F$2)))),(AP47*(IF(O47="EUR",AK47,(AK47*'Master Data-C19RM'!$F$2)))))</f>
        <v>0</v>
      </c>
      <c r="AR47" s="444">
        <f>IF($O47="USD",_xlfn.IFNA(VLOOKUP($A47&amp;$E47&amp;$I47,PMsheet!$J:$K,2,0),0),(_xlfn.IFNA(VLOOKUP($A47&amp;$E47&amp;$I47,PMsheet!$J:$K,2,0),0)*'Master Data-C19RM'!$G$2))</f>
        <v>0</v>
      </c>
      <c r="AS47" s="441"/>
      <c r="AT47" s="441"/>
      <c r="AU47" s="441"/>
      <c r="AV47" s="441"/>
      <c r="AW47" s="481">
        <f>SUM('C19RM 2021-Pharma'!$AS47:$AV47)</f>
        <v>0</v>
      </c>
      <c r="AX47" s="483">
        <f>IF(SETUP!$E$7="USD",(AW47*(IF(O47="USD",AR47,(AR47/'Master Data-C19RM'!$G$2)))),(AW47*(IF(O47="EUR",AR47,(AR47*'Master Data-C19RM'!$G$2)))))</f>
        <v>0</v>
      </c>
      <c r="AY47" s="886"/>
      <c r="AZ47" s="887"/>
      <c r="BA47" s="887"/>
      <c r="BB47" s="887"/>
      <c r="BC47" s="887"/>
      <c r="BD47" s="887"/>
      <c r="BE47" s="888"/>
      <c r="BF47" s="505">
        <f>'C19RM 2021-Pharma'!$U47+'C19RM 2021-Pharma'!$AB47+'C19RM 2021-Pharma'!$AP47+'C19RM 2021-Pharma'!$AI47+$AW47+$BD47</f>
        <v>0</v>
      </c>
      <c r="BG47" s="483">
        <f>'C19RM 2021-Pharma'!$V47+'C19RM 2021-Pharma'!$AC47+'C19RM 2021-Pharma'!$AQ47+'C19RM 2021-Pharma'!$AJ47+$AX47+$BE47</f>
        <v>0</v>
      </c>
      <c r="BH47" s="500" t="str" cm="1">
        <f t="array" ref="BH47">IF(A47&lt;&gt;"",IFERROR(INDEX(PMtbl[[WKst]:[Unit of measure*]],MATCH($A$8&amp;$A47&amp;$E47&amp;$I47,INDEX(PMtbl[Sec]&amp;PMtbl[Category]&amp;PMtbl[Each]&amp;PMtbl[Packaging],0,),0),11),""),"")</f>
        <v/>
      </c>
      <c r="BI47" s="819"/>
      <c r="BJ47" s="502" t="str">
        <f>IFERROR(INDEX(SETUP!$C$19:$G$121,MATCH((INDEX(PMtbl[[WKst]:[Unit of measure*]],MATCH($A47&amp;$E47&amp;$I47,INDEX(PMtbl[Category]&amp;PMtbl[Each]&amp;PMtbl[Packaging],0,),0),3)),SETUP!$D$19:$D$121,0),5),"")</f>
        <v/>
      </c>
      <c r="BK47" s="438"/>
      <c r="BL47" s="193"/>
      <c r="BO47" s="12">
        <f>IF(N47="",0,IF(SETUP!$E$7="USD",((IF(O47="USD",P47,(P47/'Master Data-C19RM'!$C$2)))),((IF(O47="EUR",P47,(P47*'Master Data-C19RM'!$C$2))))))</f>
        <v>0</v>
      </c>
      <c r="BP47" s="12">
        <f>IF(N47="",0,IF(SETUP!$E$7="USD",((IF(O47="USD",W47,(W47/'Master Data-C19RM'!$D$2)))),((IF(O47="EUR",W47,(W47*'Master Data-C19RM'!$D$2))))))</f>
        <v>0</v>
      </c>
      <c r="BQ47">
        <f>IF(N47="",0,IF(SETUP!$E$7="USD",((IF(O47="USD",AD47,(AD47/'Master Data-C19RM'!$E$2)))),((IF(O47="EUR",AD47,(AD47*'Master Data-C19RM'!$E$2))))))</f>
        <v>0</v>
      </c>
      <c r="BR47">
        <f>IF(N47="",0,IF(SETUP!$E$7="USD",((IF(O47="USD",AK47,(AK47/'Master Data-C19RM'!$F$2)))),((IF(O47="EUR",AK47,(AK47*'Master Data-C19RM'!$F$2))))))</f>
        <v>0</v>
      </c>
      <c r="BS47">
        <f>IF(N47="",0,IF(SETUP!$E$7="USD",((IF(O47="USD",AR47,(AR47/'Master Data-C19RM'!$F$2)))),((IF(O47="EUR",AR47,(AR47*'Master Data-C19RM'!$G$2))))))</f>
        <v>0</v>
      </c>
      <c r="BT47">
        <f>IF(N47="",0,IF(SETUP!$E$7="USD",((IF(O47="USD",AY47,(AY47/'Master Data-C19RM'!$F$2)))),((IF(O47="EUR",AY47,(AY47*'Master Data-C19RM'!$H$2))))))</f>
        <v>0</v>
      </c>
      <c r="BU47" s="12">
        <f t="shared" si="1"/>
        <v>0</v>
      </c>
      <c r="BV47" s="142">
        <f t="shared" si="2"/>
        <v>0</v>
      </c>
    </row>
    <row r="48" spans="1:74" ht="14.9" customHeight="1" x14ac:dyDescent="0.35">
      <c r="A48" s="1172"/>
      <c r="B48" s="1172"/>
      <c r="C48" s="1172"/>
      <c r="D48" s="1172"/>
      <c r="E48" s="1172"/>
      <c r="F48" s="1172"/>
      <c r="G48" s="1172"/>
      <c r="H48" s="1172"/>
      <c r="I48" s="1173"/>
      <c r="J48" s="1173"/>
      <c r="K48" s="1173"/>
      <c r="L48" s="493" t="str" cm="1">
        <f t="array" ref="L48">IF(A48&lt;&gt;"",IFERROR(INDEX(PMtbl[[WKst]:[Unit of measure*]],MATCH($A$8&amp;$A48&amp;$E48&amp;$I48,INDEX(PMtbl[Sec]&amp;PMtbl[Category]&amp;PMtbl[Each]&amp;PMtbl[Packaging],0,),0),14),""),"")</f>
        <v/>
      </c>
      <c r="M48" s="480" t="str">
        <f>IF(L48="","",INDEX(SETUP!$E$20:$E$122,(MATCH(INDEX(PMsheet!$D:$E,MATCH(A48,PMsheet!E:E,0),1),SETUP!$D$20:$D$122,0))))</f>
        <v/>
      </c>
      <c r="N48" s="494">
        <f>IF($O48="USD",_xlfn.IFNA(VLOOKUP(A48&amp;E48&amp;I48,PMsheet!J:K,2,0),0),(_xlfn.IFNA(VLOOKUP(A48&amp;E48&amp;I48,PMsheet!J:K,2,0),0)*'Master Data-C19RM'!$C$2))</f>
        <v>0</v>
      </c>
      <c r="O48" s="495" t="str">
        <f>IF(L48="", "",SETUP!$E$7)</f>
        <v/>
      </c>
      <c r="P48" s="445">
        <f>IF($O48="USD",_xlfn.IFNA(VLOOKUP($A48&amp;$E48&amp;$I48,PMsheet!$J:$K,2,0),0),(_xlfn.IFNA(VLOOKUP($A48&amp;$E48&amp;$I48,PMsheet!$J:$K,2,0),0)*'Master Data-C19RM'!$C$2))</f>
        <v>0</v>
      </c>
      <c r="Q48" s="440"/>
      <c r="R48" s="440"/>
      <c r="S48" s="440"/>
      <c r="T48" s="440"/>
      <c r="U48" s="482">
        <f>SUM('C19RM 2021-Pharma'!$Q48:$T48)</f>
        <v>0</v>
      </c>
      <c r="V48" s="484">
        <f>IF(SETUP!$E$7="USD",(U48*(IF(O48="USD",P48,(P48/'Master Data-C19RM'!$C$2)))),(U48*(IF(O48="EUR",P48,(P48*'Master Data-C19RM'!$C$2)))))</f>
        <v>0</v>
      </c>
      <c r="W48" s="445">
        <f>IF($O48="USD",_xlfn.IFNA(VLOOKUP($A48&amp;$E48&amp;$I48,PMsheet!$J:$K,2,0),0),(_xlfn.IFNA(VLOOKUP($A48&amp;$E48&amp;$I48,PMsheet!$J:$K,2,0),0)*'Master Data-C19RM'!$D$2))</f>
        <v>0</v>
      </c>
      <c r="X48" s="440"/>
      <c r="Y48" s="440"/>
      <c r="Z48" s="440"/>
      <c r="AA48" s="440"/>
      <c r="AB48" s="482">
        <f>SUM('C19RM 2021-Pharma'!$X48:$AA48)</f>
        <v>0</v>
      </c>
      <c r="AC48" s="484">
        <f>IF(SETUP!$E$7="USD",(AB48*(IF(O48="USD",W48,(W48/'Master Data-C19RM'!$D$2)))),(AB48*(IF(O48="EUR",W48,(W48*'Master Data-C19RM'!$D$2)))))</f>
        <v>0</v>
      </c>
      <c r="AD48" s="445">
        <f>IF($O48="USD",_xlfn.IFNA(VLOOKUP($A48&amp;$E48&amp;$I48,PMsheet!$J:$K,2,0),0),(_xlfn.IFNA(VLOOKUP($A48&amp;$E48&amp;$I48,PMsheet!$J:$K,2,0),0)*'Master Data-C19RM'!$E$2))</f>
        <v>0</v>
      </c>
      <c r="AE48" s="440"/>
      <c r="AF48" s="440"/>
      <c r="AG48" s="440"/>
      <c r="AH48" s="440"/>
      <c r="AI48" s="482">
        <f>SUM('C19RM 2021-Pharma'!$AE48:$AH48)</f>
        <v>0</v>
      </c>
      <c r="AJ48" s="484">
        <f>IF(SETUP!$E$7="USD",(AI48*(IF(O48="USD",AD48,(AD48/'Master Data-C19RM'!$E$2)))),(AI48*(IF(O48="EUR",AD48,(AD48*'Master Data-C19RM'!$E$2)))))</f>
        <v>0</v>
      </c>
      <c r="AK48" s="445">
        <f>IF($O48="USD",_xlfn.IFNA(VLOOKUP($A48&amp;$E48&amp;$I48,PMsheet!$J:$K,2,0),0),(_xlfn.IFNA(VLOOKUP($A48&amp;$E48&amp;$I48,PMsheet!$J:$K,2,0),0)*'Master Data-C19RM'!$F$2))</f>
        <v>0</v>
      </c>
      <c r="AL48" s="440"/>
      <c r="AM48" s="440"/>
      <c r="AN48" s="440"/>
      <c r="AO48" s="440"/>
      <c r="AP48" s="482">
        <f>SUM('C19RM 2021-Pharma'!$AL48:$AO48)</f>
        <v>0</v>
      </c>
      <c r="AQ48" s="484">
        <f>IF(SETUP!$E$7="USD",(AP48*(IF(O48="USD",AK48,(AK48/'Master Data-C19RM'!$F$2)))),(AP48*(IF(O48="EUR",AK48,(AK48*'Master Data-C19RM'!$F$2)))))</f>
        <v>0</v>
      </c>
      <c r="AR48" s="445">
        <f>IF($O48="USD",_xlfn.IFNA(VLOOKUP($A48&amp;$E48&amp;$I48,PMsheet!$J:$K,2,0),0),(_xlfn.IFNA(VLOOKUP($A48&amp;$E48&amp;$I48,PMsheet!$J:$K,2,0),0)*'Master Data-C19RM'!$G$2))</f>
        <v>0</v>
      </c>
      <c r="AS48" s="440"/>
      <c r="AT48" s="440"/>
      <c r="AU48" s="440"/>
      <c r="AV48" s="440"/>
      <c r="AW48" s="482">
        <f>SUM('C19RM 2021-Pharma'!$AS48:$AV48)</f>
        <v>0</v>
      </c>
      <c r="AX48" s="484">
        <f>IF(SETUP!$E$7="USD",(AW48*(IF(O48="USD",AR48,(AR48/'Master Data-C19RM'!$G$2)))),(AW48*(IF(O48="EUR",AR48,(AR48*'Master Data-C19RM'!$G$2)))))</f>
        <v>0</v>
      </c>
      <c r="AY48" s="889"/>
      <c r="AZ48" s="884"/>
      <c r="BA48" s="884"/>
      <c r="BB48" s="884"/>
      <c r="BC48" s="884"/>
      <c r="BD48" s="884"/>
      <c r="BE48" s="885"/>
      <c r="BF48" s="504">
        <f>'C19RM 2021-Pharma'!$U48+'C19RM 2021-Pharma'!$AB48+'C19RM 2021-Pharma'!$AP48+'C19RM 2021-Pharma'!$AI48+$AW48+$BD48</f>
        <v>0</v>
      </c>
      <c r="BG48" s="484">
        <f>'C19RM 2021-Pharma'!$V48+'C19RM 2021-Pharma'!$AC48+'C19RM 2021-Pharma'!$AQ48+'C19RM 2021-Pharma'!$AJ48+$AX48+$BE48</f>
        <v>0</v>
      </c>
      <c r="BH48" s="499" t="str" cm="1">
        <f t="array" ref="BH48">IF(A48&lt;&gt;"",IFERROR(INDEX(PMtbl[[WKst]:[Unit of measure*]],MATCH($A$8&amp;$A48&amp;$E48&amp;$I48,INDEX(PMtbl[Sec]&amp;PMtbl[Category]&amp;PMtbl[Each]&amp;PMtbl[Packaging],0,),0),11),""),"")</f>
        <v/>
      </c>
      <c r="BI48" s="818"/>
      <c r="BJ48" s="503" t="str">
        <f>IFERROR(INDEX(SETUP!$C$19:$G$121,MATCH((INDEX(PMtbl[[WKst]:[Unit of measure*]],MATCH($A48&amp;$E48&amp;$I48,INDEX(PMtbl[Category]&amp;PMtbl[Each]&amp;PMtbl[Packaging],0,),0),3)),SETUP!$D$19:$D$121,0),5),"")</f>
        <v/>
      </c>
      <c r="BK48" s="439"/>
      <c r="BL48" s="194"/>
      <c r="BO48" s="12">
        <f>IF(N48="",0,IF(SETUP!$E$7="USD",((IF(O48="USD",P48,(P48/'Master Data-C19RM'!$C$2)))),((IF(O48="EUR",P48,(P48*'Master Data-C19RM'!$C$2))))))</f>
        <v>0</v>
      </c>
      <c r="BP48" s="12">
        <f>IF(N48="",0,IF(SETUP!$E$7="USD",((IF(O48="USD",W48,(W48/'Master Data-C19RM'!$D$2)))),((IF(O48="EUR",W48,(W48*'Master Data-C19RM'!$D$2))))))</f>
        <v>0</v>
      </c>
      <c r="BQ48">
        <f>IF(N48="",0,IF(SETUP!$E$7="USD",((IF(O48="USD",AD48,(AD48/'Master Data-C19RM'!$E$2)))),((IF(O48="EUR",AD48,(AD48*'Master Data-C19RM'!$E$2))))))</f>
        <v>0</v>
      </c>
      <c r="BR48">
        <f>IF(N48="",0,IF(SETUP!$E$7="USD",((IF(O48="USD",AK48,(AK48/'Master Data-C19RM'!$F$2)))),((IF(O48="EUR",AK48,(AK48*'Master Data-C19RM'!$F$2))))))</f>
        <v>0</v>
      </c>
      <c r="BS48">
        <f>IF(N48="",0,IF(SETUP!$E$7="USD",((IF(O48="USD",AR48,(AR48/'Master Data-C19RM'!$F$2)))),((IF(O48="EUR",AR48,(AR48*'Master Data-C19RM'!$G$2))))))</f>
        <v>0</v>
      </c>
      <c r="BT48">
        <f>IF(N48="",0,IF(SETUP!$E$7="USD",((IF(O48="USD",AY48,(AY48/'Master Data-C19RM'!$F$2)))),((IF(O48="EUR",AY48,(AY48*'Master Data-C19RM'!$H$2))))))</f>
        <v>0</v>
      </c>
      <c r="BU48" s="12">
        <f t="shared" si="1"/>
        <v>0</v>
      </c>
      <c r="BV48" s="142">
        <f t="shared" si="2"/>
        <v>0</v>
      </c>
    </row>
    <row r="49" spans="1:74" ht="14.9" customHeight="1" x14ac:dyDescent="0.35">
      <c r="A49" s="1165"/>
      <c r="B49" s="1165"/>
      <c r="C49" s="1165"/>
      <c r="D49" s="1165"/>
      <c r="E49" s="1166"/>
      <c r="F49" s="1166"/>
      <c r="G49" s="1166"/>
      <c r="H49" s="1166"/>
      <c r="I49" s="1166"/>
      <c r="J49" s="1166"/>
      <c r="K49" s="1166"/>
      <c r="L49" s="490" t="str" cm="1">
        <f t="array" ref="L49">IF(A49&lt;&gt;"",IFERROR(INDEX(PMtbl[[WKst]:[Unit of measure*]],MATCH($A$8&amp;$A49&amp;$E49&amp;$I49,INDEX(PMtbl[Sec]&amp;PMtbl[Category]&amp;PMtbl[Each]&amp;PMtbl[Packaging],0,),0),14),""),"")</f>
        <v/>
      </c>
      <c r="M49" s="479" t="str">
        <f>IF(L49="","",INDEX(SETUP!$E$20:$E$122,(MATCH(INDEX(PMsheet!$D:$E,MATCH(A49,PMsheet!E:E,0),1),SETUP!$D$20:$D$122,0))))</f>
        <v/>
      </c>
      <c r="N49" s="491">
        <f>IF($O49="USD",_xlfn.IFNA(VLOOKUP(A49&amp;E49&amp;I49,PMsheet!J:K,2,0),0),(_xlfn.IFNA(VLOOKUP(A49&amp;E49&amp;I49,PMsheet!J:K,2,0),0)*'Master Data-C19RM'!$C$2))</f>
        <v>0</v>
      </c>
      <c r="O49" s="492" t="str">
        <f>IF(L49="", "",SETUP!$E$7)</f>
        <v/>
      </c>
      <c r="P49" s="444">
        <f>IF($O49="USD",_xlfn.IFNA(VLOOKUP($A49&amp;$E49&amp;$I49,PMsheet!$J:$K,2,0),0),(_xlfn.IFNA(VLOOKUP($A49&amp;$E49&amp;$I49,PMsheet!$J:$K,2,0),0)*'Master Data-C19RM'!$C$2))</f>
        <v>0</v>
      </c>
      <c r="Q49" s="441"/>
      <c r="R49" s="441"/>
      <c r="S49" s="441"/>
      <c r="T49" s="441"/>
      <c r="U49" s="481">
        <f>SUM('C19RM 2021-Pharma'!$Q49:$T49)</f>
        <v>0</v>
      </c>
      <c r="V49" s="483">
        <f>IF(SETUP!$E$7="USD",(U49*(IF(O49="USD",P49,(P49/'Master Data-C19RM'!$C$2)))),(U49*(IF(O49="EUR",P49,(P49*'Master Data-C19RM'!$C$2)))))</f>
        <v>0</v>
      </c>
      <c r="W49" s="444">
        <f>IF($O49="USD",_xlfn.IFNA(VLOOKUP($A49&amp;$E49&amp;$I49,PMsheet!$J:$K,2,0),0),(_xlfn.IFNA(VLOOKUP($A49&amp;$E49&amp;$I49,PMsheet!$J:$K,2,0),0)*'Master Data-C19RM'!$D$2))</f>
        <v>0</v>
      </c>
      <c r="X49" s="441"/>
      <c r="Y49" s="441"/>
      <c r="Z49" s="441"/>
      <c r="AA49" s="441"/>
      <c r="AB49" s="481">
        <f>SUM('C19RM 2021-Pharma'!$X49:$AA49)</f>
        <v>0</v>
      </c>
      <c r="AC49" s="483">
        <f>IF(SETUP!$E$7="USD",(AB49*(IF(O49="USD",W49,(W49/'Master Data-C19RM'!$D$2)))),(AB49*(IF(O49="EUR",W49,(W49*'Master Data-C19RM'!$D$2)))))</f>
        <v>0</v>
      </c>
      <c r="AD49" s="444">
        <f>IF($O49="USD",_xlfn.IFNA(VLOOKUP($A49&amp;$E49&amp;$I49,PMsheet!$J:$K,2,0),0),(_xlfn.IFNA(VLOOKUP($A49&amp;$E49&amp;$I49,PMsheet!$J:$K,2,0),0)*'Master Data-C19RM'!$E$2))</f>
        <v>0</v>
      </c>
      <c r="AE49" s="441"/>
      <c r="AF49" s="441"/>
      <c r="AG49" s="441"/>
      <c r="AH49" s="441"/>
      <c r="AI49" s="481">
        <f>SUM('C19RM 2021-Pharma'!$AE49:$AH49)</f>
        <v>0</v>
      </c>
      <c r="AJ49" s="483">
        <f>IF(SETUP!$E$7="USD",(AI49*(IF(O49="USD",AD49,(AD49/'Master Data-C19RM'!$E$2)))),(AI49*(IF(O49="EUR",AD49,(AD49*'Master Data-C19RM'!$E$2)))))</f>
        <v>0</v>
      </c>
      <c r="AK49" s="444">
        <f>IF($O49="USD",_xlfn.IFNA(VLOOKUP($A49&amp;$E49&amp;$I49,PMsheet!$J:$K,2,0),0),(_xlfn.IFNA(VLOOKUP($A49&amp;$E49&amp;$I49,PMsheet!$J:$K,2,0),0)*'Master Data-C19RM'!$F$2))</f>
        <v>0</v>
      </c>
      <c r="AL49" s="441"/>
      <c r="AM49" s="441"/>
      <c r="AN49" s="441"/>
      <c r="AO49" s="441"/>
      <c r="AP49" s="481">
        <f>SUM('C19RM 2021-Pharma'!$AL49:$AO49)</f>
        <v>0</v>
      </c>
      <c r="AQ49" s="483">
        <f>IF(SETUP!$E$7="USD",(AP49*(IF(O49="USD",AK49,(AK49/'Master Data-C19RM'!$F$2)))),(AP49*(IF(O49="EUR",AK49,(AK49*'Master Data-C19RM'!$F$2)))))</f>
        <v>0</v>
      </c>
      <c r="AR49" s="444">
        <f>IF($O49="USD",_xlfn.IFNA(VLOOKUP($A49&amp;$E49&amp;$I49,PMsheet!$J:$K,2,0),0),(_xlfn.IFNA(VLOOKUP($A49&amp;$E49&amp;$I49,PMsheet!$J:$K,2,0),0)*'Master Data-C19RM'!$G$2))</f>
        <v>0</v>
      </c>
      <c r="AS49" s="441"/>
      <c r="AT49" s="441"/>
      <c r="AU49" s="441"/>
      <c r="AV49" s="441"/>
      <c r="AW49" s="481">
        <f>SUM('C19RM 2021-Pharma'!$AS49:$AV49)</f>
        <v>0</v>
      </c>
      <c r="AX49" s="483">
        <f>IF(SETUP!$E$7="USD",(AW49*(IF(O49="USD",AR49,(AR49/'Master Data-C19RM'!$G$2)))),(AW49*(IF(O49="EUR",AR49,(AR49*'Master Data-C19RM'!$G$2)))))</f>
        <v>0</v>
      </c>
      <c r="AY49" s="886"/>
      <c r="AZ49" s="887"/>
      <c r="BA49" s="887"/>
      <c r="BB49" s="887"/>
      <c r="BC49" s="887"/>
      <c r="BD49" s="887"/>
      <c r="BE49" s="888"/>
      <c r="BF49" s="505">
        <f>'C19RM 2021-Pharma'!$U49+'C19RM 2021-Pharma'!$AB49+'C19RM 2021-Pharma'!$AP49+'C19RM 2021-Pharma'!$AI49+$AW49+$BD49</f>
        <v>0</v>
      </c>
      <c r="BG49" s="483">
        <f>'C19RM 2021-Pharma'!$V49+'C19RM 2021-Pharma'!$AC49+'C19RM 2021-Pharma'!$AQ49+'C19RM 2021-Pharma'!$AJ49+$AX49+$BE49</f>
        <v>0</v>
      </c>
      <c r="BH49" s="500" t="str" cm="1">
        <f t="array" ref="BH49">IF(A49&lt;&gt;"",IFERROR(INDEX(PMtbl[[WKst]:[Unit of measure*]],MATCH($A$8&amp;$A49&amp;$E49&amp;$I49,INDEX(PMtbl[Sec]&amp;PMtbl[Category]&amp;PMtbl[Each]&amp;PMtbl[Packaging],0,),0),11),""),"")</f>
        <v/>
      </c>
      <c r="BI49" s="819"/>
      <c r="BJ49" s="502" t="str">
        <f>IFERROR(INDEX(SETUP!$C$19:$G$121,MATCH((INDEX(PMtbl[[WKst]:[Unit of measure*]],MATCH($A49&amp;$E49&amp;$I49,INDEX(PMtbl[Category]&amp;PMtbl[Each]&amp;PMtbl[Packaging],0,),0),3)),SETUP!$D$19:$D$121,0),5),"")</f>
        <v/>
      </c>
      <c r="BK49" s="438"/>
      <c r="BL49" s="193"/>
      <c r="BO49" s="12">
        <f>IF(N49="",0,IF(SETUP!$E$7="USD",((IF(O49="USD",P49,(P49/'Master Data-C19RM'!$C$2)))),((IF(O49="EUR",P49,(P49*'Master Data-C19RM'!$C$2))))))</f>
        <v>0</v>
      </c>
      <c r="BP49" s="12">
        <f>IF(N49="",0,IF(SETUP!$E$7="USD",((IF(O49="USD",W49,(W49/'Master Data-C19RM'!$D$2)))),((IF(O49="EUR",W49,(W49*'Master Data-C19RM'!$D$2))))))</f>
        <v>0</v>
      </c>
      <c r="BQ49">
        <f>IF(N49="",0,IF(SETUP!$E$7="USD",((IF(O49="USD",AD49,(AD49/'Master Data-C19RM'!$E$2)))),((IF(O49="EUR",AD49,(AD49*'Master Data-C19RM'!$E$2))))))</f>
        <v>0</v>
      </c>
      <c r="BR49">
        <f>IF(N49="",0,IF(SETUP!$E$7="USD",((IF(O49="USD",AK49,(AK49/'Master Data-C19RM'!$F$2)))),((IF(O49="EUR",AK49,(AK49*'Master Data-C19RM'!$F$2))))))</f>
        <v>0</v>
      </c>
      <c r="BS49">
        <f>IF(N49="",0,IF(SETUP!$E$7="USD",((IF(O49="USD",AR49,(AR49/'Master Data-C19RM'!$F$2)))),((IF(O49="EUR",AR49,(AR49*'Master Data-C19RM'!$G$2))))))</f>
        <v>0</v>
      </c>
      <c r="BT49">
        <f>IF(N49="",0,IF(SETUP!$E$7="USD",((IF(O49="USD",AY49,(AY49/'Master Data-C19RM'!$F$2)))),((IF(O49="EUR",AY49,(AY49*'Master Data-C19RM'!$H$2))))))</f>
        <v>0</v>
      </c>
      <c r="BU49" s="12">
        <f t="shared" si="1"/>
        <v>0</v>
      </c>
      <c r="BV49" s="142">
        <f t="shared" si="2"/>
        <v>0</v>
      </c>
    </row>
    <row r="50" spans="1:74" ht="14.9" customHeight="1" x14ac:dyDescent="0.35">
      <c r="A50" s="1172"/>
      <c r="B50" s="1172"/>
      <c r="C50" s="1172"/>
      <c r="D50" s="1172"/>
      <c r="E50" s="1172"/>
      <c r="F50" s="1172"/>
      <c r="G50" s="1172"/>
      <c r="H50" s="1172"/>
      <c r="I50" s="1173"/>
      <c r="J50" s="1173"/>
      <c r="K50" s="1173"/>
      <c r="L50" s="493" t="str" cm="1">
        <f t="array" ref="L50">IF(A50&lt;&gt;"",IFERROR(INDEX(PMtbl[[WKst]:[Unit of measure*]],MATCH($A$8&amp;$A50&amp;$E50&amp;$I50,INDEX(PMtbl[Sec]&amp;PMtbl[Category]&amp;PMtbl[Each]&amp;PMtbl[Packaging],0,),0),14),""),"")</f>
        <v/>
      </c>
      <c r="M50" s="480" t="str">
        <f>IF(L50="","",INDEX(SETUP!$E$20:$E$122,(MATCH(INDEX(PMsheet!$D:$E,MATCH(A50,PMsheet!E:E,0),1),SETUP!$D$20:$D$122,0))))</f>
        <v/>
      </c>
      <c r="N50" s="494">
        <f>IF($O50="USD",_xlfn.IFNA(VLOOKUP(A50&amp;E50&amp;I50,PMsheet!J:K,2,0),0),(_xlfn.IFNA(VLOOKUP(A50&amp;E50&amp;I50,PMsheet!J:K,2,0),0)*'Master Data-C19RM'!$C$2))</f>
        <v>0</v>
      </c>
      <c r="O50" s="495" t="str">
        <f>IF(L50="", "",SETUP!$E$7)</f>
        <v/>
      </c>
      <c r="P50" s="445">
        <f>IF($O50="USD",_xlfn.IFNA(VLOOKUP($A50&amp;$E50&amp;$I50,PMsheet!$J:$K,2,0),0),(_xlfn.IFNA(VLOOKUP($A50&amp;$E50&amp;$I50,PMsheet!$J:$K,2,0),0)*'Master Data-C19RM'!$C$2))</f>
        <v>0</v>
      </c>
      <c r="Q50" s="440"/>
      <c r="R50" s="440"/>
      <c r="S50" s="440"/>
      <c r="T50" s="440"/>
      <c r="U50" s="482">
        <f>SUM('C19RM 2021-Pharma'!$Q50:$T50)</f>
        <v>0</v>
      </c>
      <c r="V50" s="484">
        <f>IF(SETUP!$E$7="USD",(U50*(IF(O50="USD",P50,(P50/'Master Data-C19RM'!$C$2)))),(U50*(IF(O50="EUR",P50,(P50*'Master Data-C19RM'!$C$2)))))</f>
        <v>0</v>
      </c>
      <c r="W50" s="445">
        <f>IF($O50="USD",_xlfn.IFNA(VLOOKUP($A50&amp;$E50&amp;$I50,PMsheet!$J:$K,2,0),0),(_xlfn.IFNA(VLOOKUP($A50&amp;$E50&amp;$I50,PMsheet!$J:$K,2,0),0)*'Master Data-C19RM'!$D$2))</f>
        <v>0</v>
      </c>
      <c r="X50" s="440"/>
      <c r="Y50" s="440"/>
      <c r="Z50" s="440"/>
      <c r="AA50" s="440"/>
      <c r="AB50" s="482">
        <f>SUM('C19RM 2021-Pharma'!$X50:$AA50)</f>
        <v>0</v>
      </c>
      <c r="AC50" s="484">
        <f>IF(SETUP!$E$7="USD",(AB50*(IF(O50="USD",W50,(W50/'Master Data-C19RM'!$D$2)))),(AB50*(IF(O50="EUR",W50,(W50*'Master Data-C19RM'!$D$2)))))</f>
        <v>0</v>
      </c>
      <c r="AD50" s="445">
        <f>IF($O50="USD",_xlfn.IFNA(VLOOKUP($A50&amp;$E50&amp;$I50,PMsheet!$J:$K,2,0),0),(_xlfn.IFNA(VLOOKUP($A50&amp;$E50&amp;$I50,PMsheet!$J:$K,2,0),0)*'Master Data-C19RM'!$E$2))</f>
        <v>0</v>
      </c>
      <c r="AE50" s="440"/>
      <c r="AF50" s="440"/>
      <c r="AG50" s="440"/>
      <c r="AH50" s="440"/>
      <c r="AI50" s="482">
        <f>SUM('C19RM 2021-Pharma'!$AE50:$AH50)</f>
        <v>0</v>
      </c>
      <c r="AJ50" s="484">
        <f>IF(SETUP!$E$7="USD",(AI50*(IF(O50="USD",AD50,(AD50/'Master Data-C19RM'!$E$2)))),(AI50*(IF(O50="EUR",AD50,(AD50*'Master Data-C19RM'!$E$2)))))</f>
        <v>0</v>
      </c>
      <c r="AK50" s="445">
        <f>IF($O50="USD",_xlfn.IFNA(VLOOKUP($A50&amp;$E50&amp;$I50,PMsheet!$J:$K,2,0),0),(_xlfn.IFNA(VLOOKUP($A50&amp;$E50&amp;$I50,PMsheet!$J:$K,2,0),0)*'Master Data-C19RM'!$F$2))</f>
        <v>0</v>
      </c>
      <c r="AL50" s="440"/>
      <c r="AM50" s="440"/>
      <c r="AN50" s="440"/>
      <c r="AO50" s="440"/>
      <c r="AP50" s="482">
        <f>SUM('C19RM 2021-Pharma'!$AL50:$AO50)</f>
        <v>0</v>
      </c>
      <c r="AQ50" s="484">
        <f>IF(SETUP!$E$7="USD",(AP50*(IF(O50="USD",AK50,(AK50/'Master Data-C19RM'!$F$2)))),(AP50*(IF(O50="EUR",AK50,(AK50*'Master Data-C19RM'!$F$2)))))</f>
        <v>0</v>
      </c>
      <c r="AR50" s="445">
        <f>IF($O50="USD",_xlfn.IFNA(VLOOKUP($A50&amp;$E50&amp;$I50,PMsheet!$J:$K,2,0),0),(_xlfn.IFNA(VLOOKUP($A50&amp;$E50&amp;$I50,PMsheet!$J:$K,2,0),0)*'Master Data-C19RM'!$G$2))</f>
        <v>0</v>
      </c>
      <c r="AS50" s="440"/>
      <c r="AT50" s="440"/>
      <c r="AU50" s="440"/>
      <c r="AV50" s="440"/>
      <c r="AW50" s="482">
        <f>SUM('C19RM 2021-Pharma'!$AS50:$AV50)</f>
        <v>0</v>
      </c>
      <c r="AX50" s="484">
        <f>IF(SETUP!$E$7="USD",(AW50*(IF(O50="USD",AR50,(AR50/'Master Data-C19RM'!$G$2)))),(AW50*(IF(O50="EUR",AR50,(AR50*'Master Data-C19RM'!$G$2)))))</f>
        <v>0</v>
      </c>
      <c r="AY50" s="889"/>
      <c r="AZ50" s="884"/>
      <c r="BA50" s="884"/>
      <c r="BB50" s="884"/>
      <c r="BC50" s="884"/>
      <c r="BD50" s="884"/>
      <c r="BE50" s="885"/>
      <c r="BF50" s="504">
        <f>'C19RM 2021-Pharma'!$U50+'C19RM 2021-Pharma'!$AB50+'C19RM 2021-Pharma'!$AP50+'C19RM 2021-Pharma'!$AI50+$AW50+$BD50</f>
        <v>0</v>
      </c>
      <c r="BG50" s="484">
        <f>'C19RM 2021-Pharma'!$V50+'C19RM 2021-Pharma'!$AC50+'C19RM 2021-Pharma'!$AQ50+'C19RM 2021-Pharma'!$AJ50+$AX50+$BE50</f>
        <v>0</v>
      </c>
      <c r="BH50" s="499" t="str" cm="1">
        <f t="array" ref="BH50">IF(A50&lt;&gt;"",IFERROR(INDEX(PMtbl[[WKst]:[Unit of measure*]],MATCH($A$8&amp;$A50&amp;$E50&amp;$I50,INDEX(PMtbl[Sec]&amp;PMtbl[Category]&amp;PMtbl[Each]&amp;PMtbl[Packaging],0,),0),11),""),"")</f>
        <v/>
      </c>
      <c r="BI50" s="818"/>
      <c r="BJ50" s="503" t="str">
        <f>IFERROR(INDEX(SETUP!$C$19:$G$121,MATCH((INDEX(PMtbl[[WKst]:[Unit of measure*]],MATCH($A50&amp;$E50&amp;$I50,INDEX(PMtbl[Category]&amp;PMtbl[Each]&amp;PMtbl[Packaging],0,),0),3)),SETUP!$D$19:$D$121,0),5),"")</f>
        <v/>
      </c>
      <c r="BK50" s="439"/>
      <c r="BL50" s="194"/>
      <c r="BO50" s="12">
        <f>IF(N50="",0,IF(SETUP!$E$7="USD",((IF(O50="USD",P50,(P50/'Master Data-C19RM'!$C$2)))),((IF(O50="EUR",P50,(P50*'Master Data-C19RM'!$C$2))))))</f>
        <v>0</v>
      </c>
      <c r="BP50" s="12">
        <f>IF(N50="",0,IF(SETUP!$E$7="USD",((IF(O50="USD",W50,(W50/'Master Data-C19RM'!$D$2)))),((IF(O50="EUR",W50,(W50*'Master Data-C19RM'!$D$2))))))</f>
        <v>0</v>
      </c>
      <c r="BQ50">
        <f>IF(N50="",0,IF(SETUP!$E$7="USD",((IF(O50="USD",AD50,(AD50/'Master Data-C19RM'!$E$2)))),((IF(O50="EUR",AD50,(AD50*'Master Data-C19RM'!$E$2))))))</f>
        <v>0</v>
      </c>
      <c r="BR50">
        <f>IF(N50="",0,IF(SETUP!$E$7="USD",((IF(O50="USD",AK50,(AK50/'Master Data-C19RM'!$F$2)))),((IF(O50="EUR",AK50,(AK50*'Master Data-C19RM'!$F$2))))))</f>
        <v>0</v>
      </c>
      <c r="BS50">
        <f>IF(N50="",0,IF(SETUP!$E$7="USD",((IF(O50="USD",AR50,(AR50/'Master Data-C19RM'!$F$2)))),((IF(O50="EUR",AR50,(AR50*'Master Data-C19RM'!$G$2))))))</f>
        <v>0</v>
      </c>
      <c r="BT50">
        <f>IF(N50="",0,IF(SETUP!$E$7="USD",((IF(O50="USD",AY50,(AY50/'Master Data-C19RM'!$F$2)))),((IF(O50="EUR",AY50,(AY50*'Master Data-C19RM'!$H$2))))))</f>
        <v>0</v>
      </c>
      <c r="BU50" s="12">
        <f t="shared" si="1"/>
        <v>0</v>
      </c>
      <c r="BV50" s="142">
        <f t="shared" si="2"/>
        <v>0</v>
      </c>
    </row>
    <row r="51" spans="1:74" ht="14.9" customHeight="1" x14ac:dyDescent="0.35">
      <c r="A51" s="1165"/>
      <c r="B51" s="1165"/>
      <c r="C51" s="1165"/>
      <c r="D51" s="1165"/>
      <c r="E51" s="1166"/>
      <c r="F51" s="1166"/>
      <c r="G51" s="1166"/>
      <c r="H51" s="1166"/>
      <c r="I51" s="1166"/>
      <c r="J51" s="1166"/>
      <c r="K51" s="1166"/>
      <c r="L51" s="490" t="str" cm="1">
        <f t="array" ref="L51">IF(A51&lt;&gt;"",IFERROR(INDEX(PMtbl[[WKst]:[Unit of measure*]],MATCH($A$8&amp;$A51&amp;$E51&amp;$I51,INDEX(PMtbl[Sec]&amp;PMtbl[Category]&amp;PMtbl[Each]&amp;PMtbl[Packaging],0,),0),14),""),"")</f>
        <v/>
      </c>
      <c r="M51" s="479" t="str">
        <f>IF(L51="","",INDEX(SETUP!$E$20:$E$122,(MATCH(INDEX(PMsheet!$D:$E,MATCH(A51,PMsheet!E:E,0),1),SETUP!$D$20:$D$122,0))))</f>
        <v/>
      </c>
      <c r="N51" s="491">
        <f>IF($O51="USD",_xlfn.IFNA(VLOOKUP(A51&amp;E51&amp;I51,PMsheet!J:K,2,0),0),(_xlfn.IFNA(VLOOKUP(A51&amp;E51&amp;I51,PMsheet!J:K,2,0),0)*'Master Data-C19RM'!$C$2))</f>
        <v>0</v>
      </c>
      <c r="O51" s="492" t="str">
        <f>IF(L51="", "",SETUP!$E$7)</f>
        <v/>
      </c>
      <c r="P51" s="444">
        <f>IF($O51="USD",_xlfn.IFNA(VLOOKUP($A51&amp;$E51&amp;$I51,PMsheet!$J:$K,2,0),0),(_xlfn.IFNA(VLOOKUP($A51&amp;$E51&amp;$I51,PMsheet!$J:$K,2,0),0)*'Master Data-C19RM'!$C$2))</f>
        <v>0</v>
      </c>
      <c r="Q51" s="441"/>
      <c r="R51" s="441"/>
      <c r="S51" s="441"/>
      <c r="T51" s="441"/>
      <c r="U51" s="481">
        <f>SUM('C19RM 2021-Pharma'!$Q51:$T51)</f>
        <v>0</v>
      </c>
      <c r="V51" s="483">
        <f>IF(SETUP!$E$7="USD",(U51*(IF(O51="USD",P51,(P51/'Master Data-C19RM'!$C$2)))),(U51*(IF(O51="EUR",P51,(P51*'Master Data-C19RM'!$C$2)))))</f>
        <v>0</v>
      </c>
      <c r="W51" s="444">
        <f>IF($O51="USD",_xlfn.IFNA(VLOOKUP($A51&amp;$E51&amp;$I51,PMsheet!$J:$K,2,0),0),(_xlfn.IFNA(VLOOKUP($A51&amp;$E51&amp;$I51,PMsheet!$J:$K,2,0),0)*'Master Data-C19RM'!$D$2))</f>
        <v>0</v>
      </c>
      <c r="X51" s="441"/>
      <c r="Y51" s="441"/>
      <c r="Z51" s="441"/>
      <c r="AA51" s="441"/>
      <c r="AB51" s="481">
        <f>SUM('C19RM 2021-Pharma'!$X51:$AA51)</f>
        <v>0</v>
      </c>
      <c r="AC51" s="483">
        <f>IF(SETUP!$E$7="USD",(AB51*(IF(O51="USD",W51,(W51/'Master Data-C19RM'!$D$2)))),(AB51*(IF(O51="EUR",W51,(W51*'Master Data-C19RM'!$D$2)))))</f>
        <v>0</v>
      </c>
      <c r="AD51" s="444">
        <f>IF($O51="USD",_xlfn.IFNA(VLOOKUP($A51&amp;$E51&amp;$I51,PMsheet!$J:$K,2,0),0),(_xlfn.IFNA(VLOOKUP($A51&amp;$E51&amp;$I51,PMsheet!$J:$K,2,0),0)*'Master Data-C19RM'!$E$2))</f>
        <v>0</v>
      </c>
      <c r="AE51" s="441"/>
      <c r="AF51" s="441"/>
      <c r="AG51" s="441"/>
      <c r="AH51" s="441"/>
      <c r="AI51" s="481">
        <f>SUM('C19RM 2021-Pharma'!$AE51:$AH51)</f>
        <v>0</v>
      </c>
      <c r="AJ51" s="483">
        <f>IF(SETUP!$E$7="USD",(AI51*(IF(O51="USD",AD51,(AD51/'Master Data-C19RM'!$E$2)))),(AI51*(IF(O51="EUR",AD51,(AD51*'Master Data-C19RM'!$E$2)))))</f>
        <v>0</v>
      </c>
      <c r="AK51" s="444">
        <f>IF($O51="USD",_xlfn.IFNA(VLOOKUP($A51&amp;$E51&amp;$I51,PMsheet!$J:$K,2,0),0),(_xlfn.IFNA(VLOOKUP($A51&amp;$E51&amp;$I51,PMsheet!$J:$K,2,0),0)*'Master Data-C19RM'!$F$2))</f>
        <v>0</v>
      </c>
      <c r="AL51" s="441"/>
      <c r="AM51" s="441"/>
      <c r="AN51" s="441"/>
      <c r="AO51" s="441"/>
      <c r="AP51" s="481">
        <f>SUM('C19RM 2021-Pharma'!$AL51:$AO51)</f>
        <v>0</v>
      </c>
      <c r="AQ51" s="483">
        <f>IF(SETUP!$E$7="USD",(AP51*(IF(O51="USD",AK51,(AK51/'Master Data-C19RM'!$F$2)))),(AP51*(IF(O51="EUR",AK51,(AK51*'Master Data-C19RM'!$F$2)))))</f>
        <v>0</v>
      </c>
      <c r="AR51" s="444">
        <f>IF($O51="USD",_xlfn.IFNA(VLOOKUP($A51&amp;$E51&amp;$I51,PMsheet!$J:$K,2,0),0),(_xlfn.IFNA(VLOOKUP($A51&amp;$E51&amp;$I51,PMsheet!$J:$K,2,0),0)*'Master Data-C19RM'!$G$2))</f>
        <v>0</v>
      </c>
      <c r="AS51" s="441"/>
      <c r="AT51" s="441"/>
      <c r="AU51" s="441"/>
      <c r="AV51" s="441"/>
      <c r="AW51" s="481">
        <f>SUM('C19RM 2021-Pharma'!$AS51:$AV51)</f>
        <v>0</v>
      </c>
      <c r="AX51" s="483">
        <f>IF(SETUP!$E$7="USD",(AW51*(IF(O51="USD",AR51,(AR51/'Master Data-C19RM'!$G$2)))),(AW51*(IF(O51="EUR",AR51,(AR51*'Master Data-C19RM'!$G$2)))))</f>
        <v>0</v>
      </c>
      <c r="AY51" s="886"/>
      <c r="AZ51" s="887"/>
      <c r="BA51" s="887"/>
      <c r="BB51" s="887"/>
      <c r="BC51" s="887"/>
      <c r="BD51" s="887"/>
      <c r="BE51" s="888"/>
      <c r="BF51" s="505">
        <f>'C19RM 2021-Pharma'!$U51+'C19RM 2021-Pharma'!$AB51+'C19RM 2021-Pharma'!$AP51+'C19RM 2021-Pharma'!$AI51+$AW51+$BD51</f>
        <v>0</v>
      </c>
      <c r="BG51" s="483">
        <f>'C19RM 2021-Pharma'!$V51+'C19RM 2021-Pharma'!$AC51+'C19RM 2021-Pharma'!$AQ51+'C19RM 2021-Pharma'!$AJ51+$AX51+$BE51</f>
        <v>0</v>
      </c>
      <c r="BH51" s="500" t="str" cm="1">
        <f t="array" ref="BH51">IF(A51&lt;&gt;"",IFERROR(INDEX(PMtbl[[WKst]:[Unit of measure*]],MATCH($A$8&amp;$A51&amp;$E51&amp;$I51,INDEX(PMtbl[Sec]&amp;PMtbl[Category]&amp;PMtbl[Each]&amp;PMtbl[Packaging],0,),0),11),""),"")</f>
        <v/>
      </c>
      <c r="BI51" s="819"/>
      <c r="BJ51" s="502" t="str">
        <f>IFERROR(INDEX(SETUP!$C$19:$G$121,MATCH((INDEX(PMtbl[[WKst]:[Unit of measure*]],MATCH($A51&amp;$E51&amp;$I51,INDEX(PMtbl[Category]&amp;PMtbl[Each]&amp;PMtbl[Packaging],0,),0),3)),SETUP!$D$19:$D$121,0),5),"")</f>
        <v/>
      </c>
      <c r="BK51" s="438"/>
      <c r="BL51" s="193"/>
      <c r="BO51" s="12">
        <f>IF(N51="",0,IF(SETUP!$E$7="USD",((IF(O51="USD",P51,(P51/'Master Data-C19RM'!$C$2)))),((IF(O51="EUR",P51,(P51*'Master Data-C19RM'!$C$2))))))</f>
        <v>0</v>
      </c>
      <c r="BP51" s="12">
        <f>IF(N51="",0,IF(SETUP!$E$7="USD",((IF(O51="USD",W51,(W51/'Master Data-C19RM'!$D$2)))),((IF(O51="EUR",W51,(W51*'Master Data-C19RM'!$D$2))))))</f>
        <v>0</v>
      </c>
      <c r="BQ51">
        <f>IF(N51="",0,IF(SETUP!$E$7="USD",((IF(O51="USD",AD51,(AD51/'Master Data-C19RM'!$E$2)))),((IF(O51="EUR",AD51,(AD51*'Master Data-C19RM'!$E$2))))))</f>
        <v>0</v>
      </c>
      <c r="BR51">
        <f>IF(N51="",0,IF(SETUP!$E$7="USD",((IF(O51="USD",AK51,(AK51/'Master Data-C19RM'!$F$2)))),((IF(O51="EUR",AK51,(AK51*'Master Data-C19RM'!$F$2))))))</f>
        <v>0</v>
      </c>
      <c r="BS51">
        <f>IF(N51="",0,IF(SETUP!$E$7="USD",((IF(O51="USD",AR51,(AR51/'Master Data-C19RM'!$F$2)))),((IF(O51="EUR",AR51,(AR51*'Master Data-C19RM'!$G$2))))))</f>
        <v>0</v>
      </c>
      <c r="BT51">
        <f>IF(N51="",0,IF(SETUP!$E$7="USD",((IF(O51="USD",AY51,(AY51/'Master Data-C19RM'!$F$2)))),((IF(O51="EUR",AY51,(AY51*'Master Data-C19RM'!$H$2))))))</f>
        <v>0</v>
      </c>
      <c r="BU51" s="12">
        <f t="shared" si="1"/>
        <v>0</v>
      </c>
      <c r="BV51" s="142">
        <f t="shared" si="2"/>
        <v>0</v>
      </c>
    </row>
    <row r="52" spans="1:74" ht="14.9" customHeight="1" x14ac:dyDescent="0.35">
      <c r="A52" s="1172"/>
      <c r="B52" s="1172"/>
      <c r="C52" s="1172"/>
      <c r="D52" s="1172"/>
      <c r="E52" s="1172"/>
      <c r="F52" s="1172"/>
      <c r="G52" s="1172"/>
      <c r="H52" s="1172"/>
      <c r="I52" s="1173"/>
      <c r="J52" s="1173"/>
      <c r="K52" s="1173"/>
      <c r="L52" s="493" t="str" cm="1">
        <f t="array" ref="L52">IF(A52&lt;&gt;"",IFERROR(INDEX(PMtbl[[WKst]:[Unit of measure*]],MATCH($A$8&amp;$A52&amp;$E52&amp;$I52,INDEX(PMtbl[Sec]&amp;PMtbl[Category]&amp;PMtbl[Each]&amp;PMtbl[Packaging],0,),0),14),""),"")</f>
        <v/>
      </c>
      <c r="M52" s="480" t="str">
        <f>IF(L52="","",INDEX(SETUP!$E$20:$E$122,(MATCH(INDEX(PMsheet!$D:$E,MATCH(A52,PMsheet!E:E,0),1),SETUP!$D$20:$D$122,0))))</f>
        <v/>
      </c>
      <c r="N52" s="494">
        <f>IF($O52="USD",_xlfn.IFNA(VLOOKUP(A52&amp;E52&amp;I52,PMsheet!J:K,2,0),0),(_xlfn.IFNA(VLOOKUP(A52&amp;E52&amp;I52,PMsheet!J:K,2,0),0)*'Master Data-C19RM'!$C$2))</f>
        <v>0</v>
      </c>
      <c r="O52" s="495" t="str">
        <f>IF(L52="", "",SETUP!$E$7)</f>
        <v/>
      </c>
      <c r="P52" s="445">
        <f>IF($O52="USD",_xlfn.IFNA(VLOOKUP($A52&amp;$E52&amp;$I52,PMsheet!$J:$K,2,0),0),(_xlfn.IFNA(VLOOKUP($A52&amp;$E52&amp;$I52,PMsheet!$J:$K,2,0),0)*'Master Data-C19RM'!$C$2))</f>
        <v>0</v>
      </c>
      <c r="Q52" s="440"/>
      <c r="R52" s="440"/>
      <c r="S52" s="440"/>
      <c r="T52" s="440"/>
      <c r="U52" s="482">
        <f>SUM('C19RM 2021-Pharma'!$Q52:$T52)</f>
        <v>0</v>
      </c>
      <c r="V52" s="484">
        <f>IF(SETUP!$E$7="USD",(U52*(IF(O52="USD",P52,(P52/'Master Data-C19RM'!$C$2)))),(U52*(IF(O52="EUR",P52,(P52*'Master Data-C19RM'!$C$2)))))</f>
        <v>0</v>
      </c>
      <c r="W52" s="445">
        <f>IF($O52="USD",_xlfn.IFNA(VLOOKUP($A52&amp;$E52&amp;$I52,PMsheet!$J:$K,2,0),0),(_xlfn.IFNA(VLOOKUP($A52&amp;$E52&amp;$I52,PMsheet!$J:$K,2,0),0)*'Master Data-C19RM'!$D$2))</f>
        <v>0</v>
      </c>
      <c r="X52" s="440"/>
      <c r="Y52" s="440"/>
      <c r="Z52" s="440"/>
      <c r="AA52" s="440"/>
      <c r="AB52" s="482">
        <f>SUM('C19RM 2021-Pharma'!$X52:$AA52)</f>
        <v>0</v>
      </c>
      <c r="AC52" s="484">
        <f>IF(SETUP!$E$7="USD",(AB52*(IF(O52="USD",W52,(W52/'Master Data-C19RM'!$D$2)))),(AB52*(IF(O52="EUR",W52,(W52*'Master Data-C19RM'!$D$2)))))</f>
        <v>0</v>
      </c>
      <c r="AD52" s="445">
        <f>IF($O52="USD",_xlfn.IFNA(VLOOKUP($A52&amp;$E52&amp;$I52,PMsheet!$J:$K,2,0),0),(_xlfn.IFNA(VLOOKUP($A52&amp;$E52&amp;$I52,PMsheet!$J:$K,2,0),0)*'Master Data-C19RM'!$E$2))</f>
        <v>0</v>
      </c>
      <c r="AE52" s="440"/>
      <c r="AF52" s="440"/>
      <c r="AG52" s="440"/>
      <c r="AH52" s="440"/>
      <c r="AI52" s="482">
        <f>SUM('C19RM 2021-Pharma'!$AE52:$AH52)</f>
        <v>0</v>
      </c>
      <c r="AJ52" s="484">
        <f>IF(SETUP!$E$7="USD",(AI52*(IF(O52="USD",AD52,(AD52/'Master Data-C19RM'!$E$2)))),(AI52*(IF(O52="EUR",AD52,(AD52*'Master Data-C19RM'!$E$2)))))</f>
        <v>0</v>
      </c>
      <c r="AK52" s="445">
        <f>IF($O52="USD",_xlfn.IFNA(VLOOKUP($A52&amp;$E52&amp;$I52,PMsheet!$J:$K,2,0),0),(_xlfn.IFNA(VLOOKUP($A52&amp;$E52&amp;$I52,PMsheet!$J:$K,2,0),0)*'Master Data-C19RM'!$F$2))</f>
        <v>0</v>
      </c>
      <c r="AL52" s="440"/>
      <c r="AM52" s="440"/>
      <c r="AN52" s="440"/>
      <c r="AO52" s="440"/>
      <c r="AP52" s="482">
        <f>SUM('C19RM 2021-Pharma'!$AL52:$AO52)</f>
        <v>0</v>
      </c>
      <c r="AQ52" s="484">
        <f>IF(SETUP!$E$7="USD",(AP52*(IF(O52="USD",AK52,(AK52/'Master Data-C19RM'!$F$2)))),(AP52*(IF(O52="EUR",AK52,(AK52*'Master Data-C19RM'!$F$2)))))</f>
        <v>0</v>
      </c>
      <c r="AR52" s="445">
        <f>IF($O52="USD",_xlfn.IFNA(VLOOKUP($A52&amp;$E52&amp;$I52,PMsheet!$J:$K,2,0),0),(_xlfn.IFNA(VLOOKUP($A52&amp;$E52&amp;$I52,PMsheet!$J:$K,2,0),0)*'Master Data-C19RM'!$G$2))</f>
        <v>0</v>
      </c>
      <c r="AS52" s="440"/>
      <c r="AT52" s="440"/>
      <c r="AU52" s="440"/>
      <c r="AV52" s="440"/>
      <c r="AW52" s="482">
        <f>SUM('C19RM 2021-Pharma'!$AS52:$AV52)</f>
        <v>0</v>
      </c>
      <c r="AX52" s="484">
        <f>IF(SETUP!$E$7="USD",(AW52*(IF(O52="USD",AR52,(AR52/'Master Data-C19RM'!$G$2)))),(AW52*(IF(O52="EUR",AR52,(AR52*'Master Data-C19RM'!$G$2)))))</f>
        <v>0</v>
      </c>
      <c r="AY52" s="889"/>
      <c r="AZ52" s="884"/>
      <c r="BA52" s="884"/>
      <c r="BB52" s="884"/>
      <c r="BC52" s="884"/>
      <c r="BD52" s="884"/>
      <c r="BE52" s="885"/>
      <c r="BF52" s="504">
        <f>'C19RM 2021-Pharma'!$U52+'C19RM 2021-Pharma'!$AB52+'C19RM 2021-Pharma'!$AP52+'C19RM 2021-Pharma'!$AI52+$AW52+$BD52</f>
        <v>0</v>
      </c>
      <c r="BG52" s="484">
        <f>'C19RM 2021-Pharma'!$V52+'C19RM 2021-Pharma'!$AC52+'C19RM 2021-Pharma'!$AQ52+'C19RM 2021-Pharma'!$AJ52+$AX52+$BE52</f>
        <v>0</v>
      </c>
      <c r="BH52" s="499" t="str" cm="1">
        <f t="array" ref="BH52">IF(A52&lt;&gt;"",IFERROR(INDEX(PMtbl[[WKst]:[Unit of measure*]],MATCH($A$8&amp;$A52&amp;$E52&amp;$I52,INDEX(PMtbl[Sec]&amp;PMtbl[Category]&amp;PMtbl[Each]&amp;PMtbl[Packaging],0,),0),11),""),"")</f>
        <v/>
      </c>
      <c r="BI52" s="818"/>
      <c r="BJ52" s="503" t="str">
        <f>IFERROR(INDEX(SETUP!$C$19:$G$121,MATCH((INDEX(PMtbl[[WKst]:[Unit of measure*]],MATCH($A52&amp;$E52&amp;$I52,INDEX(PMtbl[Category]&amp;PMtbl[Each]&amp;PMtbl[Packaging],0,),0),3)),SETUP!$D$19:$D$121,0),5),"")</f>
        <v/>
      </c>
      <c r="BK52" s="439"/>
      <c r="BL52" s="194"/>
      <c r="BO52" s="12">
        <f>IF(N52="",0,IF(SETUP!$E$7="USD",((IF(O52="USD",P52,(P52/'Master Data-C19RM'!$C$2)))),((IF(O52="EUR",P52,(P52*'Master Data-C19RM'!$C$2))))))</f>
        <v>0</v>
      </c>
      <c r="BP52" s="12">
        <f>IF(N52="",0,IF(SETUP!$E$7="USD",((IF(O52="USD",W52,(W52/'Master Data-C19RM'!$D$2)))),((IF(O52="EUR",W52,(W52*'Master Data-C19RM'!$D$2))))))</f>
        <v>0</v>
      </c>
      <c r="BQ52">
        <f>IF(N52="",0,IF(SETUP!$E$7="USD",((IF(O52="USD",AD52,(AD52/'Master Data-C19RM'!$E$2)))),((IF(O52="EUR",AD52,(AD52*'Master Data-C19RM'!$E$2))))))</f>
        <v>0</v>
      </c>
      <c r="BR52">
        <f>IF(N52="",0,IF(SETUP!$E$7="USD",((IF(O52="USD",AK52,(AK52/'Master Data-C19RM'!$F$2)))),((IF(O52="EUR",AK52,(AK52*'Master Data-C19RM'!$F$2))))))</f>
        <v>0</v>
      </c>
      <c r="BS52">
        <f>IF(N52="",0,IF(SETUP!$E$7="USD",((IF(O52="USD",AR52,(AR52/'Master Data-C19RM'!$F$2)))),((IF(O52="EUR",AR52,(AR52*'Master Data-C19RM'!$G$2))))))</f>
        <v>0</v>
      </c>
      <c r="BT52">
        <f>IF(N52="",0,IF(SETUP!$E$7="USD",((IF(O52="USD",AY52,(AY52/'Master Data-C19RM'!$F$2)))),((IF(O52="EUR",AY52,(AY52*'Master Data-C19RM'!$H$2))))))</f>
        <v>0</v>
      </c>
      <c r="BU52" s="12">
        <f t="shared" si="1"/>
        <v>0</v>
      </c>
      <c r="BV52" s="142">
        <f t="shared" si="2"/>
        <v>0</v>
      </c>
    </row>
    <row r="53" spans="1:74" ht="14.9" customHeight="1" x14ac:dyDescent="0.35">
      <c r="A53" s="1165"/>
      <c r="B53" s="1165"/>
      <c r="C53" s="1165"/>
      <c r="D53" s="1165"/>
      <c r="E53" s="1166"/>
      <c r="F53" s="1166"/>
      <c r="G53" s="1166"/>
      <c r="H53" s="1166"/>
      <c r="I53" s="1166"/>
      <c r="J53" s="1166"/>
      <c r="K53" s="1166"/>
      <c r="L53" s="490" t="str" cm="1">
        <f t="array" ref="L53">IF(A53&lt;&gt;"",IFERROR(INDEX(PMtbl[[WKst]:[Unit of measure*]],MATCH($A$8&amp;$A53&amp;$E53&amp;$I53,INDEX(PMtbl[Sec]&amp;PMtbl[Category]&amp;PMtbl[Each]&amp;PMtbl[Packaging],0,),0),14),""),"")</f>
        <v/>
      </c>
      <c r="M53" s="479" t="str">
        <f>IF(L53="","",INDEX(SETUP!$E$20:$E$122,(MATCH(INDEX(PMsheet!$D:$E,MATCH(A53,PMsheet!E:E,0),1),SETUP!$D$20:$D$122,0))))</f>
        <v/>
      </c>
      <c r="N53" s="491">
        <f>IF($O53="USD",_xlfn.IFNA(VLOOKUP(A53&amp;E53&amp;I53,PMsheet!J:K,2,0),0),(_xlfn.IFNA(VLOOKUP(A53&amp;E53&amp;I53,PMsheet!J:K,2,0),0)*'Master Data-C19RM'!$C$2))</f>
        <v>0</v>
      </c>
      <c r="O53" s="492" t="str">
        <f>IF(L53="", "",SETUP!$E$7)</f>
        <v/>
      </c>
      <c r="P53" s="444">
        <f>IF($O53="USD",_xlfn.IFNA(VLOOKUP($A53&amp;$E53&amp;$I53,PMsheet!$J:$K,2,0),0),(_xlfn.IFNA(VLOOKUP($A53&amp;$E53&amp;$I53,PMsheet!$J:$K,2,0),0)*'Master Data-C19RM'!$C$2))</f>
        <v>0</v>
      </c>
      <c r="Q53" s="441"/>
      <c r="R53" s="441"/>
      <c r="S53" s="441"/>
      <c r="T53" s="441"/>
      <c r="U53" s="481">
        <f>SUM('C19RM 2021-Pharma'!$Q53:$T53)</f>
        <v>0</v>
      </c>
      <c r="V53" s="483">
        <f>IF(SETUP!$E$7="USD",(U53*(IF(O53="USD",P53,(P53/'Master Data-C19RM'!$C$2)))),(U53*(IF(O53="EUR",P53,(P53*'Master Data-C19RM'!$C$2)))))</f>
        <v>0</v>
      </c>
      <c r="W53" s="444">
        <f>IF($O53="USD",_xlfn.IFNA(VLOOKUP($A53&amp;$E53&amp;$I53,PMsheet!$J:$K,2,0),0),(_xlfn.IFNA(VLOOKUP($A53&amp;$E53&amp;$I53,PMsheet!$J:$K,2,0),0)*'Master Data-C19RM'!$D$2))</f>
        <v>0</v>
      </c>
      <c r="X53" s="441"/>
      <c r="Y53" s="441"/>
      <c r="Z53" s="441"/>
      <c r="AA53" s="441"/>
      <c r="AB53" s="481">
        <f>SUM('C19RM 2021-Pharma'!$X53:$AA53)</f>
        <v>0</v>
      </c>
      <c r="AC53" s="483">
        <f>IF(SETUP!$E$7="USD",(AB53*(IF(O53="USD",W53,(W53/'Master Data-C19RM'!$D$2)))),(AB53*(IF(O53="EUR",W53,(W53*'Master Data-C19RM'!$D$2)))))</f>
        <v>0</v>
      </c>
      <c r="AD53" s="444">
        <f>IF($O53="USD",_xlfn.IFNA(VLOOKUP($A53&amp;$E53&amp;$I53,PMsheet!$J:$K,2,0),0),(_xlfn.IFNA(VLOOKUP($A53&amp;$E53&amp;$I53,PMsheet!$J:$K,2,0),0)*'Master Data-C19RM'!$E$2))</f>
        <v>0</v>
      </c>
      <c r="AE53" s="441"/>
      <c r="AF53" s="441"/>
      <c r="AG53" s="441"/>
      <c r="AH53" s="441"/>
      <c r="AI53" s="481">
        <f>SUM('C19RM 2021-Pharma'!$AE53:$AH53)</f>
        <v>0</v>
      </c>
      <c r="AJ53" s="483">
        <f>IF(SETUP!$E$7="USD",(AI53*(IF(O53="USD",AD53,(AD53/'Master Data-C19RM'!$E$2)))),(AI53*(IF(O53="EUR",AD53,(AD53*'Master Data-C19RM'!$E$2)))))</f>
        <v>0</v>
      </c>
      <c r="AK53" s="444">
        <f>IF($O53="USD",_xlfn.IFNA(VLOOKUP($A53&amp;$E53&amp;$I53,PMsheet!$J:$K,2,0),0),(_xlfn.IFNA(VLOOKUP($A53&amp;$E53&amp;$I53,PMsheet!$J:$K,2,0),0)*'Master Data-C19RM'!$F$2))</f>
        <v>0</v>
      </c>
      <c r="AL53" s="441"/>
      <c r="AM53" s="441"/>
      <c r="AN53" s="441"/>
      <c r="AO53" s="441"/>
      <c r="AP53" s="481">
        <f>SUM('C19RM 2021-Pharma'!$AL53:$AO53)</f>
        <v>0</v>
      </c>
      <c r="AQ53" s="483">
        <f>IF(SETUP!$E$7="USD",(AP53*(IF(O53="USD",AK53,(AK53/'Master Data-C19RM'!$F$2)))),(AP53*(IF(O53="EUR",AK53,(AK53*'Master Data-C19RM'!$F$2)))))</f>
        <v>0</v>
      </c>
      <c r="AR53" s="444">
        <f>IF($O53="USD",_xlfn.IFNA(VLOOKUP($A53&amp;$E53&amp;$I53,PMsheet!$J:$K,2,0),0),(_xlfn.IFNA(VLOOKUP($A53&amp;$E53&amp;$I53,PMsheet!$J:$K,2,0),0)*'Master Data-C19RM'!$G$2))</f>
        <v>0</v>
      </c>
      <c r="AS53" s="441"/>
      <c r="AT53" s="441"/>
      <c r="AU53" s="441"/>
      <c r="AV53" s="441"/>
      <c r="AW53" s="481">
        <f>SUM('C19RM 2021-Pharma'!$AS53:$AV53)</f>
        <v>0</v>
      </c>
      <c r="AX53" s="483">
        <f>IF(SETUP!$E$7="USD",(AW53*(IF(O53="USD",AR53,(AR53/'Master Data-C19RM'!$G$2)))),(AW53*(IF(O53="EUR",AR53,(AR53*'Master Data-C19RM'!$G$2)))))</f>
        <v>0</v>
      </c>
      <c r="AY53" s="886"/>
      <c r="AZ53" s="887"/>
      <c r="BA53" s="887"/>
      <c r="BB53" s="887"/>
      <c r="BC53" s="887"/>
      <c r="BD53" s="887"/>
      <c r="BE53" s="888"/>
      <c r="BF53" s="505">
        <f>'C19RM 2021-Pharma'!$U53+'C19RM 2021-Pharma'!$AB53+'C19RM 2021-Pharma'!$AP53+'C19RM 2021-Pharma'!$AI53+$AW53+$BD53</f>
        <v>0</v>
      </c>
      <c r="BG53" s="483">
        <f>'C19RM 2021-Pharma'!$V53+'C19RM 2021-Pharma'!$AC53+'C19RM 2021-Pharma'!$AQ53+'C19RM 2021-Pharma'!$AJ53+$AX53+$BE53</f>
        <v>0</v>
      </c>
      <c r="BH53" s="500" t="str" cm="1">
        <f t="array" ref="BH53">IF(A53&lt;&gt;"",IFERROR(INDEX(PMtbl[[WKst]:[Unit of measure*]],MATCH($A$8&amp;$A53&amp;$E53&amp;$I53,INDEX(PMtbl[Sec]&amp;PMtbl[Category]&amp;PMtbl[Each]&amp;PMtbl[Packaging],0,),0),11),""),"")</f>
        <v/>
      </c>
      <c r="BI53" s="819"/>
      <c r="BJ53" s="502" t="str">
        <f>IFERROR(INDEX(SETUP!$C$19:$G$121,MATCH((INDEX(PMtbl[[WKst]:[Unit of measure*]],MATCH($A53&amp;$E53&amp;$I53,INDEX(PMtbl[Category]&amp;PMtbl[Each]&amp;PMtbl[Packaging],0,),0),3)),SETUP!$D$19:$D$121,0),5),"")</f>
        <v/>
      </c>
      <c r="BK53" s="438"/>
      <c r="BL53" s="193"/>
      <c r="BO53" s="12">
        <f>IF(N53="",0,IF(SETUP!$E$7="USD",((IF(O53="USD",P53,(P53/'Master Data-C19RM'!$C$2)))),((IF(O53="EUR",P53,(P53*'Master Data-C19RM'!$C$2))))))</f>
        <v>0</v>
      </c>
      <c r="BP53" s="12">
        <f>IF(N53="",0,IF(SETUP!$E$7="USD",((IF(O53="USD",W53,(W53/'Master Data-C19RM'!$D$2)))),((IF(O53="EUR",W53,(W53*'Master Data-C19RM'!$D$2))))))</f>
        <v>0</v>
      </c>
      <c r="BQ53">
        <f>IF(N53="",0,IF(SETUP!$E$7="USD",((IF(O53="USD",AD53,(AD53/'Master Data-C19RM'!$E$2)))),((IF(O53="EUR",AD53,(AD53*'Master Data-C19RM'!$E$2))))))</f>
        <v>0</v>
      </c>
      <c r="BR53">
        <f>IF(N53="",0,IF(SETUP!$E$7="USD",((IF(O53="USD",AK53,(AK53/'Master Data-C19RM'!$F$2)))),((IF(O53="EUR",AK53,(AK53*'Master Data-C19RM'!$F$2))))))</f>
        <v>0</v>
      </c>
      <c r="BS53">
        <f>IF(N53="",0,IF(SETUP!$E$7="USD",((IF(O53="USD",AR53,(AR53/'Master Data-C19RM'!$F$2)))),((IF(O53="EUR",AR53,(AR53*'Master Data-C19RM'!$G$2))))))</f>
        <v>0</v>
      </c>
      <c r="BT53">
        <f>IF(N53="",0,IF(SETUP!$E$7="USD",((IF(O53="USD",AY53,(AY53/'Master Data-C19RM'!$F$2)))),((IF(O53="EUR",AY53,(AY53*'Master Data-C19RM'!$H$2))))))</f>
        <v>0</v>
      </c>
      <c r="BU53" s="12">
        <f t="shared" si="1"/>
        <v>0</v>
      </c>
      <c r="BV53" s="142">
        <f t="shared" si="2"/>
        <v>0</v>
      </c>
    </row>
    <row r="54" spans="1:74" ht="14.9" customHeight="1" x14ac:dyDescent="0.35">
      <c r="A54" s="1172"/>
      <c r="B54" s="1172"/>
      <c r="C54" s="1172"/>
      <c r="D54" s="1172"/>
      <c r="E54" s="1172"/>
      <c r="F54" s="1172"/>
      <c r="G54" s="1172"/>
      <c r="H54" s="1172"/>
      <c r="I54" s="1173"/>
      <c r="J54" s="1173"/>
      <c r="K54" s="1173"/>
      <c r="L54" s="493" t="str" cm="1">
        <f t="array" ref="L54">IF(A54&lt;&gt;"",IFERROR(INDEX(PMtbl[[WKst]:[Unit of measure*]],MATCH($A$8&amp;$A54&amp;$E54&amp;$I54,INDEX(PMtbl[Sec]&amp;PMtbl[Category]&amp;PMtbl[Each]&amp;PMtbl[Packaging],0,),0),14),""),"")</f>
        <v/>
      </c>
      <c r="M54" s="480" t="str">
        <f>IF(L54="","",INDEX(SETUP!$E$20:$E$122,(MATCH(INDEX(PMsheet!$D:$E,MATCH(A54,PMsheet!E:E,0),1),SETUP!$D$20:$D$122,0))))</f>
        <v/>
      </c>
      <c r="N54" s="494">
        <f>IF($O54="USD",_xlfn.IFNA(VLOOKUP(A54&amp;E54&amp;I54,PMsheet!J:K,2,0),0),(_xlfn.IFNA(VLOOKUP(A54&amp;E54&amp;I54,PMsheet!J:K,2,0),0)*'Master Data-C19RM'!$C$2))</f>
        <v>0</v>
      </c>
      <c r="O54" s="495" t="str">
        <f>IF(L54="", "",SETUP!$E$7)</f>
        <v/>
      </c>
      <c r="P54" s="445">
        <f>IF($O54="USD",_xlfn.IFNA(VLOOKUP($A54&amp;$E54&amp;$I54,PMsheet!$J:$K,2,0),0),(_xlfn.IFNA(VLOOKUP($A54&amp;$E54&amp;$I54,PMsheet!$J:$K,2,0),0)*'Master Data-C19RM'!$C$2))</f>
        <v>0</v>
      </c>
      <c r="Q54" s="440"/>
      <c r="R54" s="440"/>
      <c r="S54" s="440"/>
      <c r="T54" s="440"/>
      <c r="U54" s="482">
        <f>SUM('C19RM 2021-Pharma'!$Q54:$T54)</f>
        <v>0</v>
      </c>
      <c r="V54" s="484">
        <f>IF(SETUP!$E$7="USD",(U54*(IF(O54="USD",P54,(P54/'Master Data-C19RM'!$C$2)))),(U54*(IF(O54="EUR",P54,(P54*'Master Data-C19RM'!$C$2)))))</f>
        <v>0</v>
      </c>
      <c r="W54" s="445">
        <f>IF($O54="USD",_xlfn.IFNA(VLOOKUP($A54&amp;$E54&amp;$I54,PMsheet!$J:$K,2,0),0),(_xlfn.IFNA(VLOOKUP($A54&amp;$E54&amp;$I54,PMsheet!$J:$K,2,0),0)*'Master Data-C19RM'!$D$2))</f>
        <v>0</v>
      </c>
      <c r="X54" s="440"/>
      <c r="Y54" s="440"/>
      <c r="Z54" s="440"/>
      <c r="AA54" s="440"/>
      <c r="AB54" s="482">
        <f>SUM('C19RM 2021-Pharma'!$X54:$AA54)</f>
        <v>0</v>
      </c>
      <c r="AC54" s="484">
        <f>IF(SETUP!$E$7="USD",(AB54*(IF(O54="USD",W54,(W54/'Master Data-C19RM'!$D$2)))),(AB54*(IF(O54="EUR",W54,(W54*'Master Data-C19RM'!$D$2)))))</f>
        <v>0</v>
      </c>
      <c r="AD54" s="445">
        <f>IF($O54="USD",_xlfn.IFNA(VLOOKUP($A54&amp;$E54&amp;$I54,PMsheet!$J:$K,2,0),0),(_xlfn.IFNA(VLOOKUP($A54&amp;$E54&amp;$I54,PMsheet!$J:$K,2,0),0)*'Master Data-C19RM'!$E$2))</f>
        <v>0</v>
      </c>
      <c r="AE54" s="440"/>
      <c r="AF54" s="440"/>
      <c r="AG54" s="440"/>
      <c r="AH54" s="440"/>
      <c r="AI54" s="482">
        <f>SUM('C19RM 2021-Pharma'!$AE54:$AH54)</f>
        <v>0</v>
      </c>
      <c r="AJ54" s="484">
        <f>IF(SETUP!$E$7="USD",(AI54*(IF(O54="USD",AD54,(AD54/'Master Data-C19RM'!$E$2)))),(AI54*(IF(O54="EUR",AD54,(AD54*'Master Data-C19RM'!$E$2)))))</f>
        <v>0</v>
      </c>
      <c r="AK54" s="445">
        <f>IF($O54="USD",_xlfn.IFNA(VLOOKUP($A54&amp;$E54&amp;$I54,PMsheet!$J:$K,2,0),0),(_xlfn.IFNA(VLOOKUP($A54&amp;$E54&amp;$I54,PMsheet!$J:$K,2,0),0)*'Master Data-C19RM'!$F$2))</f>
        <v>0</v>
      </c>
      <c r="AL54" s="440"/>
      <c r="AM54" s="440"/>
      <c r="AN54" s="440"/>
      <c r="AO54" s="440"/>
      <c r="AP54" s="482">
        <f>SUM('C19RM 2021-Pharma'!$AL54:$AO54)</f>
        <v>0</v>
      </c>
      <c r="AQ54" s="484">
        <f>IF(SETUP!$E$7="USD",(AP54*(IF(O54="USD",AK54,(AK54/'Master Data-C19RM'!$F$2)))),(AP54*(IF(O54="EUR",AK54,(AK54*'Master Data-C19RM'!$F$2)))))</f>
        <v>0</v>
      </c>
      <c r="AR54" s="445">
        <f>IF($O54="USD",_xlfn.IFNA(VLOOKUP($A54&amp;$E54&amp;$I54,PMsheet!$J:$K,2,0),0),(_xlfn.IFNA(VLOOKUP($A54&amp;$E54&amp;$I54,PMsheet!$J:$K,2,0),0)*'Master Data-C19RM'!$G$2))</f>
        <v>0</v>
      </c>
      <c r="AS54" s="440"/>
      <c r="AT54" s="440"/>
      <c r="AU54" s="440"/>
      <c r="AV54" s="440"/>
      <c r="AW54" s="482">
        <f>SUM('C19RM 2021-Pharma'!$AS54:$AV54)</f>
        <v>0</v>
      </c>
      <c r="AX54" s="484">
        <f>IF(SETUP!$E$7="USD",(AW54*(IF(O54="USD",AR54,(AR54/'Master Data-C19RM'!$G$2)))),(AW54*(IF(O54="EUR",AR54,(AR54*'Master Data-C19RM'!$G$2)))))</f>
        <v>0</v>
      </c>
      <c r="AY54" s="889"/>
      <c r="AZ54" s="884"/>
      <c r="BA54" s="884"/>
      <c r="BB54" s="884"/>
      <c r="BC54" s="884"/>
      <c r="BD54" s="884"/>
      <c r="BE54" s="885"/>
      <c r="BF54" s="504">
        <f>'C19RM 2021-Pharma'!$U54+'C19RM 2021-Pharma'!$AB54+'C19RM 2021-Pharma'!$AP54+'C19RM 2021-Pharma'!$AI54+$AW54+$BD54</f>
        <v>0</v>
      </c>
      <c r="BG54" s="484">
        <f>'C19RM 2021-Pharma'!$V54+'C19RM 2021-Pharma'!$AC54+'C19RM 2021-Pharma'!$AQ54+'C19RM 2021-Pharma'!$AJ54+$AX54+$BE54</f>
        <v>0</v>
      </c>
      <c r="BH54" s="499" t="str" cm="1">
        <f t="array" ref="BH54">IF(A54&lt;&gt;"",IFERROR(INDEX(PMtbl[[WKst]:[Unit of measure*]],MATCH($A$8&amp;$A54&amp;$E54&amp;$I54,INDEX(PMtbl[Sec]&amp;PMtbl[Category]&amp;PMtbl[Each]&amp;PMtbl[Packaging],0,),0),11),""),"")</f>
        <v/>
      </c>
      <c r="BI54" s="818"/>
      <c r="BJ54" s="503" t="str">
        <f>IFERROR(INDEX(SETUP!$C$19:$G$121,MATCH((INDEX(PMtbl[[WKst]:[Unit of measure*]],MATCH($A54&amp;$E54&amp;$I54,INDEX(PMtbl[Category]&amp;PMtbl[Each]&amp;PMtbl[Packaging],0,),0),3)),SETUP!$D$19:$D$121,0),5),"")</f>
        <v/>
      </c>
      <c r="BK54" s="439"/>
      <c r="BL54" s="194"/>
      <c r="BO54" s="12">
        <f>IF(N54="",0,IF(SETUP!$E$7="USD",((IF(O54="USD",P54,(P54/'Master Data-C19RM'!$C$2)))),((IF(O54="EUR",P54,(P54*'Master Data-C19RM'!$C$2))))))</f>
        <v>0</v>
      </c>
      <c r="BP54" s="12">
        <f>IF(N54="",0,IF(SETUP!$E$7="USD",((IF(O54="USD",W54,(W54/'Master Data-C19RM'!$D$2)))),((IF(O54="EUR",W54,(W54*'Master Data-C19RM'!$D$2))))))</f>
        <v>0</v>
      </c>
      <c r="BQ54">
        <f>IF(N54="",0,IF(SETUP!$E$7="USD",((IF(O54="USD",AD54,(AD54/'Master Data-C19RM'!$E$2)))),((IF(O54="EUR",AD54,(AD54*'Master Data-C19RM'!$E$2))))))</f>
        <v>0</v>
      </c>
      <c r="BR54">
        <f>IF(N54="",0,IF(SETUP!$E$7="USD",((IF(O54="USD",AK54,(AK54/'Master Data-C19RM'!$F$2)))),((IF(O54="EUR",AK54,(AK54*'Master Data-C19RM'!$F$2))))))</f>
        <v>0</v>
      </c>
      <c r="BS54">
        <f>IF(N54="",0,IF(SETUP!$E$7="USD",((IF(O54="USD",AR54,(AR54/'Master Data-C19RM'!$F$2)))),((IF(O54="EUR",AR54,(AR54*'Master Data-C19RM'!$G$2))))))</f>
        <v>0</v>
      </c>
      <c r="BT54">
        <f>IF(N54="",0,IF(SETUP!$E$7="USD",((IF(O54="USD",AY54,(AY54/'Master Data-C19RM'!$F$2)))),((IF(O54="EUR",AY54,(AY54*'Master Data-C19RM'!$H$2))))))</f>
        <v>0</v>
      </c>
      <c r="BU54" s="12">
        <f t="shared" si="1"/>
        <v>0</v>
      </c>
      <c r="BV54" s="142">
        <f t="shared" si="2"/>
        <v>0</v>
      </c>
    </row>
    <row r="55" spans="1:74" ht="14.9" customHeight="1" x14ac:dyDescent="0.35">
      <c r="A55" s="1165"/>
      <c r="B55" s="1165"/>
      <c r="C55" s="1165"/>
      <c r="D55" s="1165"/>
      <c r="E55" s="1166"/>
      <c r="F55" s="1166"/>
      <c r="G55" s="1166"/>
      <c r="H55" s="1166"/>
      <c r="I55" s="1166"/>
      <c r="J55" s="1166"/>
      <c r="K55" s="1166"/>
      <c r="L55" s="490" t="str" cm="1">
        <f t="array" ref="L55">IF(A55&lt;&gt;"",IFERROR(INDEX(PMtbl[[WKst]:[Unit of measure*]],MATCH($A$8&amp;$A55&amp;$E55&amp;$I55,INDEX(PMtbl[Sec]&amp;PMtbl[Category]&amp;PMtbl[Each]&amp;PMtbl[Packaging],0,),0),14),""),"")</f>
        <v/>
      </c>
      <c r="M55" s="479" t="str">
        <f>IF(L55="","",INDEX(SETUP!$E$20:$E$122,(MATCH(INDEX(PMsheet!$D:$E,MATCH(A55,PMsheet!E:E,0),1),SETUP!$D$20:$D$122,0))))</f>
        <v/>
      </c>
      <c r="N55" s="491">
        <f>IF($O55="USD",_xlfn.IFNA(VLOOKUP(A55&amp;E55&amp;I55,PMsheet!J:K,2,0),0),(_xlfn.IFNA(VLOOKUP(A55&amp;E55&amp;I55,PMsheet!J:K,2,0),0)*'Master Data-C19RM'!$C$2))</f>
        <v>0</v>
      </c>
      <c r="O55" s="492" t="str">
        <f>IF(L55="", "",SETUP!$E$7)</f>
        <v/>
      </c>
      <c r="P55" s="444">
        <f>IF($O55="USD",_xlfn.IFNA(VLOOKUP($A55&amp;$E55&amp;$I55,PMsheet!$J:$K,2,0),0),(_xlfn.IFNA(VLOOKUP($A55&amp;$E55&amp;$I55,PMsheet!$J:$K,2,0),0)*'Master Data-C19RM'!$C$2))</f>
        <v>0</v>
      </c>
      <c r="Q55" s="441"/>
      <c r="R55" s="441"/>
      <c r="S55" s="441"/>
      <c r="T55" s="441"/>
      <c r="U55" s="481">
        <f>SUM('C19RM 2021-Pharma'!$Q55:$T55)</f>
        <v>0</v>
      </c>
      <c r="V55" s="483">
        <f>IF(SETUP!$E$7="USD",(U55*(IF(O55="USD",P55,(P55/'Master Data-C19RM'!$C$2)))),(U55*(IF(O55="EUR",P55,(P55*'Master Data-C19RM'!$C$2)))))</f>
        <v>0</v>
      </c>
      <c r="W55" s="444">
        <f>IF($O55="USD",_xlfn.IFNA(VLOOKUP($A55&amp;$E55&amp;$I55,PMsheet!$J:$K,2,0),0),(_xlfn.IFNA(VLOOKUP($A55&amp;$E55&amp;$I55,PMsheet!$J:$K,2,0),0)*'Master Data-C19RM'!$D$2))</f>
        <v>0</v>
      </c>
      <c r="X55" s="441"/>
      <c r="Y55" s="441"/>
      <c r="Z55" s="441"/>
      <c r="AA55" s="441"/>
      <c r="AB55" s="481">
        <f>SUM('C19RM 2021-Pharma'!$X55:$AA55)</f>
        <v>0</v>
      </c>
      <c r="AC55" s="483">
        <f>IF(SETUP!$E$7="USD",(AB55*(IF(O55="USD",W55,(W55/'Master Data-C19RM'!$D$2)))),(AB55*(IF(O55="EUR",W55,(W55*'Master Data-C19RM'!$D$2)))))</f>
        <v>0</v>
      </c>
      <c r="AD55" s="444">
        <f>IF($O55="USD",_xlfn.IFNA(VLOOKUP($A55&amp;$E55&amp;$I55,PMsheet!$J:$K,2,0),0),(_xlfn.IFNA(VLOOKUP($A55&amp;$E55&amp;$I55,PMsheet!$J:$K,2,0),0)*'Master Data-C19RM'!$E$2))</f>
        <v>0</v>
      </c>
      <c r="AE55" s="441"/>
      <c r="AF55" s="441"/>
      <c r="AG55" s="441"/>
      <c r="AH55" s="441"/>
      <c r="AI55" s="481">
        <f>SUM('C19RM 2021-Pharma'!$AE55:$AH55)</f>
        <v>0</v>
      </c>
      <c r="AJ55" s="483">
        <f>IF(SETUP!$E$7="USD",(AI55*(IF(O55="USD",AD55,(AD55/'Master Data-C19RM'!$E$2)))),(AI55*(IF(O55="EUR",AD55,(AD55*'Master Data-C19RM'!$E$2)))))</f>
        <v>0</v>
      </c>
      <c r="AK55" s="444">
        <f>IF($O55="USD",_xlfn.IFNA(VLOOKUP($A55&amp;$E55&amp;$I55,PMsheet!$J:$K,2,0),0),(_xlfn.IFNA(VLOOKUP($A55&amp;$E55&amp;$I55,PMsheet!$J:$K,2,0),0)*'Master Data-C19RM'!$F$2))</f>
        <v>0</v>
      </c>
      <c r="AL55" s="441"/>
      <c r="AM55" s="441"/>
      <c r="AN55" s="441"/>
      <c r="AO55" s="441"/>
      <c r="AP55" s="481">
        <f>SUM('C19RM 2021-Pharma'!$AL55:$AO55)</f>
        <v>0</v>
      </c>
      <c r="AQ55" s="483">
        <f>IF(SETUP!$E$7="USD",(AP55*(IF(O55="USD",AK55,(AK55/'Master Data-C19RM'!$F$2)))),(AP55*(IF(O55="EUR",AK55,(AK55*'Master Data-C19RM'!$F$2)))))</f>
        <v>0</v>
      </c>
      <c r="AR55" s="444">
        <f>IF($O55="USD",_xlfn.IFNA(VLOOKUP($A55&amp;$E55&amp;$I55,PMsheet!$J:$K,2,0),0),(_xlfn.IFNA(VLOOKUP($A55&amp;$E55&amp;$I55,PMsheet!$J:$K,2,0),0)*'Master Data-C19RM'!$G$2))</f>
        <v>0</v>
      </c>
      <c r="AS55" s="441"/>
      <c r="AT55" s="441"/>
      <c r="AU55" s="441"/>
      <c r="AV55" s="441"/>
      <c r="AW55" s="481">
        <f>SUM('C19RM 2021-Pharma'!$AS55:$AV55)</f>
        <v>0</v>
      </c>
      <c r="AX55" s="483">
        <f>IF(SETUP!$E$7="USD",(AW55*(IF(O55="USD",AR55,(AR55/'Master Data-C19RM'!$G$2)))),(AW55*(IF(O55="EUR",AR55,(AR55*'Master Data-C19RM'!$G$2)))))</f>
        <v>0</v>
      </c>
      <c r="AY55" s="886"/>
      <c r="AZ55" s="887"/>
      <c r="BA55" s="887"/>
      <c r="BB55" s="887"/>
      <c r="BC55" s="887"/>
      <c r="BD55" s="887"/>
      <c r="BE55" s="888"/>
      <c r="BF55" s="505">
        <f>'C19RM 2021-Pharma'!$U55+'C19RM 2021-Pharma'!$AB55+'C19RM 2021-Pharma'!$AP55+'C19RM 2021-Pharma'!$AI55+$AW55+$BD55</f>
        <v>0</v>
      </c>
      <c r="BG55" s="483">
        <f>'C19RM 2021-Pharma'!$V55+'C19RM 2021-Pharma'!$AC55+'C19RM 2021-Pharma'!$AQ55+'C19RM 2021-Pharma'!$AJ55+$AX55+$BE55</f>
        <v>0</v>
      </c>
      <c r="BH55" s="500" t="str" cm="1">
        <f t="array" ref="BH55">IF(A55&lt;&gt;"",IFERROR(INDEX(PMtbl[[WKst]:[Unit of measure*]],MATCH($A$8&amp;$A55&amp;$E55&amp;$I55,INDEX(PMtbl[Sec]&amp;PMtbl[Category]&amp;PMtbl[Each]&amp;PMtbl[Packaging],0,),0),11),""),"")</f>
        <v/>
      </c>
      <c r="BI55" s="819"/>
      <c r="BJ55" s="502" t="str">
        <f>IFERROR(INDEX(SETUP!$C$19:$G$121,MATCH((INDEX(PMtbl[[WKst]:[Unit of measure*]],MATCH($A55&amp;$E55&amp;$I55,INDEX(PMtbl[Category]&amp;PMtbl[Each]&amp;PMtbl[Packaging],0,),0),3)),SETUP!$D$19:$D$121,0),5),"")</f>
        <v/>
      </c>
      <c r="BK55" s="438"/>
      <c r="BL55" s="193"/>
      <c r="BO55" s="12">
        <f>IF(N55="",0,IF(SETUP!$E$7="USD",((IF(O55="USD",P55,(P55/'Master Data-C19RM'!$C$2)))),((IF(O55="EUR",P55,(P55*'Master Data-C19RM'!$C$2))))))</f>
        <v>0</v>
      </c>
      <c r="BP55" s="12">
        <f>IF(N55="",0,IF(SETUP!$E$7="USD",((IF(O55="USD",W55,(W55/'Master Data-C19RM'!$D$2)))),((IF(O55="EUR",W55,(W55*'Master Data-C19RM'!$D$2))))))</f>
        <v>0</v>
      </c>
      <c r="BQ55">
        <f>IF(N55="",0,IF(SETUP!$E$7="USD",((IF(O55="USD",AD55,(AD55/'Master Data-C19RM'!$E$2)))),((IF(O55="EUR",AD55,(AD55*'Master Data-C19RM'!$E$2))))))</f>
        <v>0</v>
      </c>
      <c r="BR55">
        <f>IF(N55="",0,IF(SETUP!$E$7="USD",((IF(O55="USD",AK55,(AK55/'Master Data-C19RM'!$F$2)))),((IF(O55="EUR",AK55,(AK55*'Master Data-C19RM'!$F$2))))))</f>
        <v>0</v>
      </c>
      <c r="BS55">
        <f>IF(N55="",0,IF(SETUP!$E$7="USD",((IF(O55="USD",AR55,(AR55/'Master Data-C19RM'!$F$2)))),((IF(O55="EUR",AR55,(AR55*'Master Data-C19RM'!$G$2))))))</f>
        <v>0</v>
      </c>
      <c r="BT55">
        <f>IF(N55="",0,IF(SETUP!$E$7="USD",((IF(O55="USD",AY55,(AY55/'Master Data-C19RM'!$F$2)))),((IF(O55="EUR",AY55,(AY55*'Master Data-C19RM'!$H$2))))))</f>
        <v>0</v>
      </c>
      <c r="BU55" s="12">
        <f t="shared" si="1"/>
        <v>0</v>
      </c>
      <c r="BV55" s="142">
        <f t="shared" si="2"/>
        <v>0</v>
      </c>
    </row>
    <row r="56" spans="1:74" ht="14.9" customHeight="1" x14ac:dyDescent="0.35">
      <c r="A56" s="1172"/>
      <c r="B56" s="1172"/>
      <c r="C56" s="1172"/>
      <c r="D56" s="1172"/>
      <c r="E56" s="1172"/>
      <c r="F56" s="1172"/>
      <c r="G56" s="1172"/>
      <c r="H56" s="1172"/>
      <c r="I56" s="1173"/>
      <c r="J56" s="1173"/>
      <c r="K56" s="1173"/>
      <c r="L56" s="493" t="str" cm="1">
        <f t="array" ref="L56">IF(A56&lt;&gt;"",IFERROR(INDEX(PMtbl[[WKst]:[Unit of measure*]],MATCH($A$8&amp;$A56&amp;$E56&amp;$I56,INDEX(PMtbl[Sec]&amp;PMtbl[Category]&amp;PMtbl[Each]&amp;PMtbl[Packaging],0,),0),14),""),"")</f>
        <v/>
      </c>
      <c r="M56" s="480" t="str">
        <f>IF(L56="","",INDEX(SETUP!$E$20:$E$122,(MATCH(INDEX(PMsheet!$D:$E,MATCH(A56,PMsheet!E:E,0),1),SETUP!$D$20:$D$122,0))))</f>
        <v/>
      </c>
      <c r="N56" s="494">
        <f>IF($O56="USD",_xlfn.IFNA(VLOOKUP(A56&amp;E56&amp;I56,PMsheet!J:K,2,0),0),(_xlfn.IFNA(VLOOKUP(A56&amp;E56&amp;I56,PMsheet!J:K,2,0),0)*'Master Data-C19RM'!$C$2))</f>
        <v>0</v>
      </c>
      <c r="O56" s="495" t="str">
        <f>IF(L56="", "",SETUP!$E$7)</f>
        <v/>
      </c>
      <c r="P56" s="445">
        <f>IF($O56="USD",_xlfn.IFNA(VLOOKUP($A56&amp;$E56&amp;$I56,PMsheet!$J:$K,2,0),0),(_xlfn.IFNA(VLOOKUP($A56&amp;$E56&amp;$I56,PMsheet!$J:$K,2,0),0)*'Master Data-C19RM'!$C$2))</f>
        <v>0</v>
      </c>
      <c r="Q56" s="440"/>
      <c r="R56" s="440"/>
      <c r="S56" s="440"/>
      <c r="T56" s="440"/>
      <c r="U56" s="482">
        <f>SUM('C19RM 2021-Pharma'!$Q56:$T56)</f>
        <v>0</v>
      </c>
      <c r="V56" s="484">
        <f>IF(SETUP!$E$7="USD",(U56*(IF(O56="USD",P56,(P56/'Master Data-C19RM'!$C$2)))),(U56*(IF(O56="EUR",P56,(P56*'Master Data-C19RM'!$C$2)))))</f>
        <v>0</v>
      </c>
      <c r="W56" s="445">
        <f>IF($O56="USD",_xlfn.IFNA(VLOOKUP($A56&amp;$E56&amp;$I56,PMsheet!$J:$K,2,0),0),(_xlfn.IFNA(VLOOKUP($A56&amp;$E56&amp;$I56,PMsheet!$J:$K,2,0),0)*'Master Data-C19RM'!$D$2))</f>
        <v>0</v>
      </c>
      <c r="X56" s="440"/>
      <c r="Y56" s="440"/>
      <c r="Z56" s="440"/>
      <c r="AA56" s="440"/>
      <c r="AB56" s="482">
        <f>SUM('C19RM 2021-Pharma'!$X56:$AA56)</f>
        <v>0</v>
      </c>
      <c r="AC56" s="484">
        <f>IF(SETUP!$E$7="USD",(AB56*(IF(O56="USD",W56,(W56/'Master Data-C19RM'!$D$2)))),(AB56*(IF(O56="EUR",W56,(W56*'Master Data-C19RM'!$D$2)))))</f>
        <v>0</v>
      </c>
      <c r="AD56" s="445">
        <f>IF($O56="USD",_xlfn.IFNA(VLOOKUP($A56&amp;$E56&amp;$I56,PMsheet!$J:$K,2,0),0),(_xlfn.IFNA(VLOOKUP($A56&amp;$E56&amp;$I56,PMsheet!$J:$K,2,0),0)*'Master Data-C19RM'!$E$2))</f>
        <v>0</v>
      </c>
      <c r="AE56" s="440"/>
      <c r="AF56" s="440"/>
      <c r="AG56" s="440"/>
      <c r="AH56" s="440"/>
      <c r="AI56" s="482">
        <f>SUM('C19RM 2021-Pharma'!$AE56:$AH56)</f>
        <v>0</v>
      </c>
      <c r="AJ56" s="484">
        <f>IF(SETUP!$E$7="USD",(AI56*(IF(O56="USD",AD56,(AD56/'Master Data-C19RM'!$E$2)))),(AI56*(IF(O56="EUR",AD56,(AD56*'Master Data-C19RM'!$E$2)))))</f>
        <v>0</v>
      </c>
      <c r="AK56" s="445">
        <f>IF($O56="USD",_xlfn.IFNA(VLOOKUP($A56&amp;$E56&amp;$I56,PMsheet!$J:$K,2,0),0),(_xlfn.IFNA(VLOOKUP($A56&amp;$E56&amp;$I56,PMsheet!$J:$K,2,0),0)*'Master Data-C19RM'!$F$2))</f>
        <v>0</v>
      </c>
      <c r="AL56" s="440"/>
      <c r="AM56" s="440"/>
      <c r="AN56" s="440"/>
      <c r="AO56" s="440"/>
      <c r="AP56" s="482">
        <f>SUM('C19RM 2021-Pharma'!$AL56:$AO56)</f>
        <v>0</v>
      </c>
      <c r="AQ56" s="484">
        <f>IF(SETUP!$E$7="USD",(AP56*(IF(O56="USD",AK56,(AK56/'Master Data-C19RM'!$F$2)))),(AP56*(IF(O56="EUR",AK56,(AK56*'Master Data-C19RM'!$F$2)))))</f>
        <v>0</v>
      </c>
      <c r="AR56" s="445">
        <f>IF($O56="USD",_xlfn.IFNA(VLOOKUP($A56&amp;$E56&amp;$I56,PMsheet!$J:$K,2,0),0),(_xlfn.IFNA(VLOOKUP($A56&amp;$E56&amp;$I56,PMsheet!$J:$K,2,0),0)*'Master Data-C19RM'!$G$2))</f>
        <v>0</v>
      </c>
      <c r="AS56" s="440"/>
      <c r="AT56" s="440"/>
      <c r="AU56" s="440"/>
      <c r="AV56" s="440"/>
      <c r="AW56" s="482">
        <f>SUM('C19RM 2021-Pharma'!$AS56:$AV56)</f>
        <v>0</v>
      </c>
      <c r="AX56" s="484">
        <f>IF(SETUP!$E$7="USD",(AW56*(IF(O56="USD",AR56,(AR56/'Master Data-C19RM'!$G$2)))),(AW56*(IF(O56="EUR",AR56,(AR56*'Master Data-C19RM'!$G$2)))))</f>
        <v>0</v>
      </c>
      <c r="AY56" s="889"/>
      <c r="AZ56" s="884"/>
      <c r="BA56" s="884"/>
      <c r="BB56" s="884"/>
      <c r="BC56" s="884"/>
      <c r="BD56" s="884"/>
      <c r="BE56" s="885"/>
      <c r="BF56" s="504">
        <f>'C19RM 2021-Pharma'!$U56+'C19RM 2021-Pharma'!$AB56+'C19RM 2021-Pharma'!$AP56+'C19RM 2021-Pharma'!$AI56+$AW56+$BD56</f>
        <v>0</v>
      </c>
      <c r="BG56" s="484">
        <f>'C19RM 2021-Pharma'!$V56+'C19RM 2021-Pharma'!$AC56+'C19RM 2021-Pharma'!$AQ56+'C19RM 2021-Pharma'!$AJ56+$AX56+$BE56</f>
        <v>0</v>
      </c>
      <c r="BH56" s="499" t="str" cm="1">
        <f t="array" ref="BH56">IF(A56&lt;&gt;"",IFERROR(INDEX(PMtbl[[WKst]:[Unit of measure*]],MATCH($A$8&amp;$A56&amp;$E56&amp;$I56,INDEX(PMtbl[Sec]&amp;PMtbl[Category]&amp;PMtbl[Each]&amp;PMtbl[Packaging],0,),0),11),""),"")</f>
        <v/>
      </c>
      <c r="BI56" s="818"/>
      <c r="BJ56" s="503" t="str">
        <f>IFERROR(INDEX(SETUP!$C$19:$G$121,MATCH((INDEX(PMtbl[[WKst]:[Unit of measure*]],MATCH($A56&amp;$E56&amp;$I56,INDEX(PMtbl[Category]&amp;PMtbl[Each]&amp;PMtbl[Packaging],0,),0),3)),SETUP!$D$19:$D$121,0),5),"")</f>
        <v/>
      </c>
      <c r="BK56" s="439"/>
      <c r="BL56" s="194"/>
      <c r="BO56" s="12">
        <f>IF(N56="",0,IF(SETUP!$E$7="USD",((IF(O56="USD",P56,(P56/'Master Data-C19RM'!$C$2)))),((IF(O56="EUR",P56,(P56*'Master Data-C19RM'!$C$2))))))</f>
        <v>0</v>
      </c>
      <c r="BP56" s="12">
        <f>IF(N56="",0,IF(SETUP!$E$7="USD",((IF(O56="USD",W56,(W56/'Master Data-C19RM'!$D$2)))),((IF(O56="EUR",W56,(W56*'Master Data-C19RM'!$D$2))))))</f>
        <v>0</v>
      </c>
      <c r="BQ56">
        <f>IF(N56="",0,IF(SETUP!$E$7="USD",((IF(O56="USD",AD56,(AD56/'Master Data-C19RM'!$E$2)))),((IF(O56="EUR",AD56,(AD56*'Master Data-C19RM'!$E$2))))))</f>
        <v>0</v>
      </c>
      <c r="BR56">
        <f>IF(N56="",0,IF(SETUP!$E$7="USD",((IF(O56="USD",AK56,(AK56/'Master Data-C19RM'!$F$2)))),((IF(O56="EUR",AK56,(AK56*'Master Data-C19RM'!$F$2))))))</f>
        <v>0</v>
      </c>
      <c r="BS56">
        <f>IF(N56="",0,IF(SETUP!$E$7="USD",((IF(O56="USD",AR56,(AR56/'Master Data-C19RM'!$F$2)))),((IF(O56="EUR",AR56,(AR56*'Master Data-C19RM'!$G$2))))))</f>
        <v>0</v>
      </c>
      <c r="BT56">
        <f>IF(N56="",0,IF(SETUP!$E$7="USD",((IF(O56="USD",AY56,(AY56/'Master Data-C19RM'!$F$2)))),((IF(O56="EUR",AY56,(AY56*'Master Data-C19RM'!$H$2))))))</f>
        <v>0</v>
      </c>
      <c r="BU56" s="12">
        <f t="shared" si="1"/>
        <v>0</v>
      </c>
      <c r="BV56" s="142">
        <f t="shared" si="2"/>
        <v>0</v>
      </c>
    </row>
    <row r="57" spans="1:74" ht="14.9" customHeight="1" x14ac:dyDescent="0.35">
      <c r="A57" s="1165"/>
      <c r="B57" s="1165"/>
      <c r="C57" s="1165"/>
      <c r="D57" s="1165"/>
      <c r="E57" s="1166"/>
      <c r="F57" s="1166"/>
      <c r="G57" s="1166"/>
      <c r="H57" s="1166"/>
      <c r="I57" s="1166"/>
      <c r="J57" s="1166"/>
      <c r="K57" s="1166"/>
      <c r="L57" s="490" t="str" cm="1">
        <f t="array" ref="L57">IF(A57&lt;&gt;"",IFERROR(INDEX(PMtbl[[WKst]:[Unit of measure*]],MATCH($A$8&amp;$A57&amp;$E57&amp;$I57,INDEX(PMtbl[Sec]&amp;PMtbl[Category]&amp;PMtbl[Each]&amp;PMtbl[Packaging],0,),0),14),""),"")</f>
        <v/>
      </c>
      <c r="M57" s="479" t="str">
        <f>IF(L57="","",INDEX(SETUP!$E$20:$E$122,(MATCH(INDEX(PMsheet!$D:$E,MATCH(A57,PMsheet!E:E,0),1),SETUP!$D$20:$D$122,0))))</f>
        <v/>
      </c>
      <c r="N57" s="491">
        <f>IF($O57="USD",_xlfn.IFNA(VLOOKUP(A57&amp;E57&amp;I57,PMsheet!J:K,2,0),0),(_xlfn.IFNA(VLOOKUP(A57&amp;E57&amp;I57,PMsheet!J:K,2,0),0)*'Master Data-C19RM'!$C$2))</f>
        <v>0</v>
      </c>
      <c r="O57" s="492" t="str">
        <f>IF(L57="", "",SETUP!$E$7)</f>
        <v/>
      </c>
      <c r="P57" s="444">
        <f>IF($O57="USD",_xlfn.IFNA(VLOOKUP($A57&amp;$E57&amp;$I57,PMsheet!$J:$K,2,0),0),(_xlfn.IFNA(VLOOKUP($A57&amp;$E57&amp;$I57,PMsheet!$J:$K,2,0),0)*'Master Data-C19RM'!$C$2))</f>
        <v>0</v>
      </c>
      <c r="Q57" s="441"/>
      <c r="R57" s="441"/>
      <c r="S57" s="441"/>
      <c r="T57" s="441"/>
      <c r="U57" s="481">
        <f>SUM('C19RM 2021-Pharma'!$Q57:$T57)</f>
        <v>0</v>
      </c>
      <c r="V57" s="483">
        <f>IF(SETUP!$E$7="USD",(U57*(IF(O57="USD",P57,(P57/'Master Data-C19RM'!$C$2)))),(U57*(IF(O57="EUR",P57,(P57*'Master Data-C19RM'!$C$2)))))</f>
        <v>0</v>
      </c>
      <c r="W57" s="444">
        <f>IF($O57="USD",_xlfn.IFNA(VLOOKUP($A57&amp;$E57&amp;$I57,PMsheet!$J:$K,2,0),0),(_xlfn.IFNA(VLOOKUP($A57&amp;$E57&amp;$I57,PMsheet!$J:$K,2,0),0)*'Master Data-C19RM'!$D$2))</f>
        <v>0</v>
      </c>
      <c r="X57" s="441"/>
      <c r="Y57" s="441"/>
      <c r="Z57" s="441"/>
      <c r="AA57" s="441"/>
      <c r="AB57" s="481">
        <f>SUM('C19RM 2021-Pharma'!$X57:$AA57)</f>
        <v>0</v>
      </c>
      <c r="AC57" s="483">
        <f>IF(SETUP!$E$7="USD",(AB57*(IF(O57="USD",W57,(W57/'Master Data-C19RM'!$D$2)))),(AB57*(IF(O57="EUR",W57,(W57*'Master Data-C19RM'!$D$2)))))</f>
        <v>0</v>
      </c>
      <c r="AD57" s="444">
        <f>IF($O57="USD",_xlfn.IFNA(VLOOKUP($A57&amp;$E57&amp;$I57,PMsheet!$J:$K,2,0),0),(_xlfn.IFNA(VLOOKUP($A57&amp;$E57&amp;$I57,PMsheet!$J:$K,2,0),0)*'Master Data-C19RM'!$E$2))</f>
        <v>0</v>
      </c>
      <c r="AE57" s="441"/>
      <c r="AF57" s="441"/>
      <c r="AG57" s="441"/>
      <c r="AH57" s="441"/>
      <c r="AI57" s="481">
        <f>SUM('C19RM 2021-Pharma'!$AE57:$AH57)</f>
        <v>0</v>
      </c>
      <c r="AJ57" s="483">
        <f>IF(SETUP!$E$7="USD",(AI57*(IF(O57="USD",AD57,(AD57/'Master Data-C19RM'!$E$2)))),(AI57*(IF(O57="EUR",AD57,(AD57*'Master Data-C19RM'!$E$2)))))</f>
        <v>0</v>
      </c>
      <c r="AK57" s="444">
        <f>IF($O57="USD",_xlfn.IFNA(VLOOKUP($A57&amp;$E57&amp;$I57,PMsheet!$J:$K,2,0),0),(_xlfn.IFNA(VLOOKUP($A57&amp;$E57&amp;$I57,PMsheet!$J:$K,2,0),0)*'Master Data-C19RM'!$F$2))</f>
        <v>0</v>
      </c>
      <c r="AL57" s="441"/>
      <c r="AM57" s="441"/>
      <c r="AN57" s="441"/>
      <c r="AO57" s="441"/>
      <c r="AP57" s="481">
        <f>SUM('C19RM 2021-Pharma'!$AL57:$AO57)</f>
        <v>0</v>
      </c>
      <c r="AQ57" s="483">
        <f>IF(SETUP!$E$7="USD",(AP57*(IF(O57="USD",AK57,(AK57/'Master Data-C19RM'!$F$2)))),(AP57*(IF(O57="EUR",AK57,(AK57*'Master Data-C19RM'!$F$2)))))</f>
        <v>0</v>
      </c>
      <c r="AR57" s="444">
        <f>IF($O57="USD",_xlfn.IFNA(VLOOKUP($A57&amp;$E57&amp;$I57,PMsheet!$J:$K,2,0),0),(_xlfn.IFNA(VLOOKUP($A57&amp;$E57&amp;$I57,PMsheet!$J:$K,2,0),0)*'Master Data-C19RM'!$G$2))</f>
        <v>0</v>
      </c>
      <c r="AS57" s="441"/>
      <c r="AT57" s="441"/>
      <c r="AU57" s="441"/>
      <c r="AV57" s="441"/>
      <c r="AW57" s="481">
        <f>SUM('C19RM 2021-Pharma'!$AS57:$AV57)</f>
        <v>0</v>
      </c>
      <c r="AX57" s="483">
        <f>IF(SETUP!$E$7="USD",(AW57*(IF(O57="USD",AR57,(AR57/'Master Data-C19RM'!$G$2)))),(AW57*(IF(O57="EUR",AR57,(AR57*'Master Data-C19RM'!$G$2)))))</f>
        <v>0</v>
      </c>
      <c r="AY57" s="886"/>
      <c r="AZ57" s="887"/>
      <c r="BA57" s="887"/>
      <c r="BB57" s="887"/>
      <c r="BC57" s="887"/>
      <c r="BD57" s="887"/>
      <c r="BE57" s="888"/>
      <c r="BF57" s="505">
        <f>'C19RM 2021-Pharma'!$U57+'C19RM 2021-Pharma'!$AB57+'C19RM 2021-Pharma'!$AP57+'C19RM 2021-Pharma'!$AI57+$AW57+$BD57</f>
        <v>0</v>
      </c>
      <c r="BG57" s="483">
        <f>'C19RM 2021-Pharma'!$V57+'C19RM 2021-Pharma'!$AC57+'C19RM 2021-Pharma'!$AQ57+'C19RM 2021-Pharma'!$AJ57+$AX57+$BE57</f>
        <v>0</v>
      </c>
      <c r="BH57" s="500" t="str" cm="1">
        <f t="array" ref="BH57">IF(A57&lt;&gt;"",IFERROR(INDEX(PMtbl[[WKst]:[Unit of measure*]],MATCH($A$8&amp;$A57&amp;$E57&amp;$I57,INDEX(PMtbl[Sec]&amp;PMtbl[Category]&amp;PMtbl[Each]&amp;PMtbl[Packaging],0,),0),11),""),"")</f>
        <v/>
      </c>
      <c r="BI57" s="819"/>
      <c r="BJ57" s="502" t="str">
        <f>IFERROR(INDEX(SETUP!$C$19:$G$121,MATCH((INDEX(PMtbl[[WKst]:[Unit of measure*]],MATCH($A57&amp;$E57&amp;$I57,INDEX(PMtbl[Category]&amp;PMtbl[Each]&amp;PMtbl[Packaging],0,),0),3)),SETUP!$D$19:$D$121,0),5),"")</f>
        <v/>
      </c>
      <c r="BK57" s="438"/>
      <c r="BL57" s="193"/>
      <c r="BO57" s="12">
        <f>IF(N57="",0,IF(SETUP!$E$7="USD",((IF(O57="USD",P57,(P57/'Master Data-C19RM'!$C$2)))),((IF(O57="EUR",P57,(P57*'Master Data-C19RM'!$C$2))))))</f>
        <v>0</v>
      </c>
      <c r="BP57" s="12">
        <f>IF(N57="",0,IF(SETUP!$E$7="USD",((IF(O57="USD",W57,(W57/'Master Data-C19RM'!$D$2)))),((IF(O57="EUR",W57,(W57*'Master Data-C19RM'!$D$2))))))</f>
        <v>0</v>
      </c>
      <c r="BQ57">
        <f>IF(N57="",0,IF(SETUP!$E$7="USD",((IF(O57="USD",AD57,(AD57/'Master Data-C19RM'!$E$2)))),((IF(O57="EUR",AD57,(AD57*'Master Data-C19RM'!$E$2))))))</f>
        <v>0</v>
      </c>
      <c r="BR57">
        <f>IF(N57="",0,IF(SETUP!$E$7="USD",((IF(O57="USD",AK57,(AK57/'Master Data-C19RM'!$F$2)))),((IF(O57="EUR",AK57,(AK57*'Master Data-C19RM'!$F$2))))))</f>
        <v>0</v>
      </c>
      <c r="BS57">
        <f>IF(N57="",0,IF(SETUP!$E$7="USD",((IF(O57="USD",AR57,(AR57/'Master Data-C19RM'!$F$2)))),((IF(O57="EUR",AR57,(AR57*'Master Data-C19RM'!$G$2))))))</f>
        <v>0</v>
      </c>
      <c r="BT57">
        <f>IF(N57="",0,IF(SETUP!$E$7="USD",((IF(O57="USD",AY57,(AY57/'Master Data-C19RM'!$F$2)))),((IF(O57="EUR",AY57,(AY57*'Master Data-C19RM'!$H$2))))))</f>
        <v>0</v>
      </c>
      <c r="BU57" s="12">
        <f t="shared" si="1"/>
        <v>0</v>
      </c>
      <c r="BV57" s="142">
        <f t="shared" si="2"/>
        <v>0</v>
      </c>
    </row>
    <row r="58" spans="1:74" ht="14.9" customHeight="1" x14ac:dyDescent="0.35">
      <c r="A58" s="1172"/>
      <c r="B58" s="1172"/>
      <c r="C58" s="1172"/>
      <c r="D58" s="1172"/>
      <c r="E58" s="1172"/>
      <c r="F58" s="1172"/>
      <c r="G58" s="1172"/>
      <c r="H58" s="1172"/>
      <c r="I58" s="1173"/>
      <c r="J58" s="1173"/>
      <c r="K58" s="1173"/>
      <c r="L58" s="493" t="str" cm="1">
        <f t="array" ref="L58">IF(A58&lt;&gt;"",IFERROR(INDEX(PMtbl[[WKst]:[Unit of measure*]],MATCH($A$8&amp;$A58&amp;$E58&amp;$I58,INDEX(PMtbl[Sec]&amp;PMtbl[Category]&amp;PMtbl[Each]&amp;PMtbl[Packaging],0,),0),14),""),"")</f>
        <v/>
      </c>
      <c r="M58" s="480" t="str">
        <f>IF(L58="","",INDEX(SETUP!$E$20:$E$122,(MATCH(INDEX(PMsheet!$D:$E,MATCH(A58,PMsheet!E:E,0),1),SETUP!$D$20:$D$122,0))))</f>
        <v/>
      </c>
      <c r="N58" s="494">
        <f>IF($O58="USD",_xlfn.IFNA(VLOOKUP(A58&amp;E58&amp;I58,PMsheet!J:K,2,0),0),(_xlfn.IFNA(VLOOKUP(A58&amp;E58&amp;I58,PMsheet!J:K,2,0),0)*'Master Data-C19RM'!$C$2))</f>
        <v>0</v>
      </c>
      <c r="O58" s="495" t="str">
        <f>IF(L58="", "",SETUP!$E$7)</f>
        <v/>
      </c>
      <c r="P58" s="445">
        <f>IF($O58="USD",_xlfn.IFNA(VLOOKUP($A58&amp;$E58&amp;$I58,PMsheet!$J:$K,2,0),0),(_xlfn.IFNA(VLOOKUP($A58&amp;$E58&amp;$I58,PMsheet!$J:$K,2,0),0)*'Master Data-C19RM'!$C$2))</f>
        <v>0</v>
      </c>
      <c r="Q58" s="440"/>
      <c r="R58" s="440"/>
      <c r="S58" s="440"/>
      <c r="T58" s="440"/>
      <c r="U58" s="482">
        <f>SUM('C19RM 2021-Pharma'!$Q58:$T58)</f>
        <v>0</v>
      </c>
      <c r="V58" s="484">
        <f>IF(SETUP!$E$7="USD",(U58*(IF(O58="USD",P58,(P58/'Master Data-C19RM'!$C$2)))),(U58*(IF(O58="EUR",P58,(P58*'Master Data-C19RM'!$C$2)))))</f>
        <v>0</v>
      </c>
      <c r="W58" s="445">
        <f>IF($O58="USD",_xlfn.IFNA(VLOOKUP($A58&amp;$E58&amp;$I58,PMsheet!$J:$K,2,0),0),(_xlfn.IFNA(VLOOKUP($A58&amp;$E58&amp;$I58,PMsheet!$J:$K,2,0),0)*'Master Data-C19RM'!$D$2))</f>
        <v>0</v>
      </c>
      <c r="X58" s="440"/>
      <c r="Y58" s="440"/>
      <c r="Z58" s="440"/>
      <c r="AA58" s="440"/>
      <c r="AB58" s="482">
        <f>SUM('C19RM 2021-Pharma'!$X58:$AA58)</f>
        <v>0</v>
      </c>
      <c r="AC58" s="484">
        <f>IF(SETUP!$E$7="USD",(AB58*(IF(O58="USD",W58,(W58/'Master Data-C19RM'!$D$2)))),(AB58*(IF(O58="EUR",W58,(W58*'Master Data-C19RM'!$D$2)))))</f>
        <v>0</v>
      </c>
      <c r="AD58" s="445">
        <f>IF($O58="USD",_xlfn.IFNA(VLOOKUP($A58&amp;$E58&amp;$I58,PMsheet!$J:$K,2,0),0),(_xlfn.IFNA(VLOOKUP($A58&amp;$E58&amp;$I58,PMsheet!$J:$K,2,0),0)*'Master Data-C19RM'!$E$2))</f>
        <v>0</v>
      </c>
      <c r="AE58" s="440"/>
      <c r="AF58" s="440"/>
      <c r="AG58" s="440"/>
      <c r="AH58" s="440"/>
      <c r="AI58" s="482">
        <f>SUM('C19RM 2021-Pharma'!$AE58:$AH58)</f>
        <v>0</v>
      </c>
      <c r="AJ58" s="484">
        <f>IF(SETUP!$E$7="USD",(AI58*(IF(O58="USD",AD58,(AD58/'Master Data-C19RM'!$E$2)))),(AI58*(IF(O58="EUR",AD58,(AD58*'Master Data-C19RM'!$E$2)))))</f>
        <v>0</v>
      </c>
      <c r="AK58" s="445">
        <f>IF($O58="USD",_xlfn.IFNA(VLOOKUP($A58&amp;$E58&amp;$I58,PMsheet!$J:$K,2,0),0),(_xlfn.IFNA(VLOOKUP($A58&amp;$E58&amp;$I58,PMsheet!$J:$K,2,0),0)*'Master Data-C19RM'!$F$2))</f>
        <v>0</v>
      </c>
      <c r="AL58" s="440"/>
      <c r="AM58" s="440"/>
      <c r="AN58" s="440"/>
      <c r="AO58" s="440"/>
      <c r="AP58" s="482">
        <f>SUM('C19RM 2021-Pharma'!$AL58:$AO58)</f>
        <v>0</v>
      </c>
      <c r="AQ58" s="484">
        <f>IF(SETUP!$E$7="USD",(AP58*(IF(O58="USD",AK58,(AK58/'Master Data-C19RM'!$F$2)))),(AP58*(IF(O58="EUR",AK58,(AK58*'Master Data-C19RM'!$F$2)))))</f>
        <v>0</v>
      </c>
      <c r="AR58" s="445">
        <f>IF($O58="USD",_xlfn.IFNA(VLOOKUP($A58&amp;$E58&amp;$I58,PMsheet!$J:$K,2,0),0),(_xlfn.IFNA(VLOOKUP($A58&amp;$E58&amp;$I58,PMsheet!$J:$K,2,0),0)*'Master Data-C19RM'!$G$2))</f>
        <v>0</v>
      </c>
      <c r="AS58" s="440"/>
      <c r="AT58" s="440"/>
      <c r="AU58" s="440"/>
      <c r="AV58" s="440"/>
      <c r="AW58" s="482">
        <f>SUM('C19RM 2021-Pharma'!$AS58:$AV58)</f>
        <v>0</v>
      </c>
      <c r="AX58" s="484">
        <f>IF(SETUP!$E$7="USD",(AW58*(IF(O58="USD",AR58,(AR58/'Master Data-C19RM'!$G$2)))),(AW58*(IF(O58="EUR",AR58,(AR58*'Master Data-C19RM'!$G$2)))))</f>
        <v>0</v>
      </c>
      <c r="AY58" s="889"/>
      <c r="AZ58" s="884"/>
      <c r="BA58" s="884"/>
      <c r="BB58" s="884"/>
      <c r="BC58" s="884"/>
      <c r="BD58" s="884"/>
      <c r="BE58" s="885"/>
      <c r="BF58" s="504">
        <f>'C19RM 2021-Pharma'!$U58+'C19RM 2021-Pharma'!$AB58+'C19RM 2021-Pharma'!$AP58+'C19RM 2021-Pharma'!$AI58+$AW58+$BD58</f>
        <v>0</v>
      </c>
      <c r="BG58" s="484">
        <f>'C19RM 2021-Pharma'!$V58+'C19RM 2021-Pharma'!$AC58+'C19RM 2021-Pharma'!$AQ58+'C19RM 2021-Pharma'!$AJ58+$AX58+$BE58</f>
        <v>0</v>
      </c>
      <c r="BH58" s="499" t="str" cm="1">
        <f t="array" ref="BH58">IF(A58&lt;&gt;"",IFERROR(INDEX(PMtbl[[WKst]:[Unit of measure*]],MATCH($A$8&amp;$A58&amp;$E58&amp;$I58,INDEX(PMtbl[Sec]&amp;PMtbl[Category]&amp;PMtbl[Each]&amp;PMtbl[Packaging],0,),0),11),""),"")</f>
        <v/>
      </c>
      <c r="BI58" s="818"/>
      <c r="BJ58" s="503" t="str">
        <f>IFERROR(INDEX(SETUP!$C$19:$G$121,MATCH((INDEX(PMtbl[[WKst]:[Unit of measure*]],MATCH($A58&amp;$E58&amp;$I58,INDEX(PMtbl[Category]&amp;PMtbl[Each]&amp;PMtbl[Packaging],0,),0),3)),SETUP!$D$19:$D$121,0),5),"")</f>
        <v/>
      </c>
      <c r="BK58" s="439"/>
      <c r="BL58" s="194"/>
      <c r="BO58" s="12">
        <f>IF(N58="",0,IF(SETUP!$E$7="USD",((IF(O58="USD",P58,(P58/'Master Data-C19RM'!$C$2)))),((IF(O58="EUR",P58,(P58*'Master Data-C19RM'!$C$2))))))</f>
        <v>0</v>
      </c>
      <c r="BP58" s="12">
        <f>IF(N58="",0,IF(SETUP!$E$7="USD",((IF(O58="USD",W58,(W58/'Master Data-C19RM'!$D$2)))),((IF(O58="EUR",W58,(W58*'Master Data-C19RM'!$D$2))))))</f>
        <v>0</v>
      </c>
      <c r="BQ58">
        <f>IF(N58="",0,IF(SETUP!$E$7="USD",((IF(O58="USD",AD58,(AD58/'Master Data-C19RM'!$E$2)))),((IF(O58="EUR",AD58,(AD58*'Master Data-C19RM'!$E$2))))))</f>
        <v>0</v>
      </c>
      <c r="BR58">
        <f>IF(N58="",0,IF(SETUP!$E$7="USD",((IF(O58="USD",AK58,(AK58/'Master Data-C19RM'!$F$2)))),((IF(O58="EUR",AK58,(AK58*'Master Data-C19RM'!$F$2))))))</f>
        <v>0</v>
      </c>
      <c r="BS58">
        <f>IF(N58="",0,IF(SETUP!$E$7="USD",((IF(O58="USD",AR58,(AR58/'Master Data-C19RM'!$F$2)))),((IF(O58="EUR",AR58,(AR58*'Master Data-C19RM'!$G$2))))))</f>
        <v>0</v>
      </c>
      <c r="BT58">
        <f>IF(N58="",0,IF(SETUP!$E$7="USD",((IF(O58="USD",AY58,(AY58/'Master Data-C19RM'!$F$2)))),((IF(O58="EUR",AY58,(AY58*'Master Data-C19RM'!$H$2))))))</f>
        <v>0</v>
      </c>
      <c r="BU58" s="12">
        <f t="shared" si="1"/>
        <v>0</v>
      </c>
      <c r="BV58" s="142">
        <f t="shared" si="2"/>
        <v>0</v>
      </c>
    </row>
    <row r="59" spans="1:74" ht="14.9" customHeight="1" x14ac:dyDescent="0.35">
      <c r="A59" s="1165"/>
      <c r="B59" s="1165"/>
      <c r="C59" s="1165"/>
      <c r="D59" s="1165"/>
      <c r="E59" s="1166"/>
      <c r="F59" s="1166"/>
      <c r="G59" s="1166"/>
      <c r="H59" s="1166"/>
      <c r="I59" s="1166"/>
      <c r="J59" s="1166"/>
      <c r="K59" s="1166"/>
      <c r="L59" s="490" t="str" cm="1">
        <f t="array" ref="L59">IF(A59&lt;&gt;"",IFERROR(INDEX(PMtbl[[WKst]:[Unit of measure*]],MATCH($A$8&amp;$A59&amp;$E59&amp;$I59,INDEX(PMtbl[Sec]&amp;PMtbl[Category]&amp;PMtbl[Each]&amp;PMtbl[Packaging],0,),0),14),""),"")</f>
        <v/>
      </c>
      <c r="M59" s="479" t="str">
        <f>IF(L59="","",INDEX(SETUP!$E$20:$E$122,(MATCH(INDEX(PMsheet!$D:$E,MATCH(A59,PMsheet!E:E,0),1),SETUP!$D$20:$D$122,0))))</f>
        <v/>
      </c>
      <c r="N59" s="491">
        <f>IF($O59="USD",_xlfn.IFNA(VLOOKUP(A59&amp;E59&amp;I59,PMsheet!J:K,2,0),0),(_xlfn.IFNA(VLOOKUP(A59&amp;E59&amp;I59,PMsheet!J:K,2,0),0)*'Master Data-C19RM'!$C$2))</f>
        <v>0</v>
      </c>
      <c r="O59" s="492" t="str">
        <f>IF(L59="", "",SETUP!$E$7)</f>
        <v/>
      </c>
      <c r="P59" s="444">
        <f>IF($O59="USD",_xlfn.IFNA(VLOOKUP($A59&amp;$E59&amp;$I59,PMsheet!$J:$K,2,0),0),(_xlfn.IFNA(VLOOKUP($A59&amp;$E59&amp;$I59,PMsheet!$J:$K,2,0),0)*'Master Data-C19RM'!$C$2))</f>
        <v>0</v>
      </c>
      <c r="Q59" s="441"/>
      <c r="R59" s="441"/>
      <c r="S59" s="441"/>
      <c r="T59" s="441"/>
      <c r="U59" s="481">
        <f>SUM('C19RM 2021-Pharma'!$Q59:$T59)</f>
        <v>0</v>
      </c>
      <c r="V59" s="483">
        <f>IF(SETUP!$E$7="USD",(U59*(IF(O59="USD",P59,(P59/'Master Data-C19RM'!$C$2)))),(U59*(IF(O59="EUR",P59,(P59*'Master Data-C19RM'!$C$2)))))</f>
        <v>0</v>
      </c>
      <c r="W59" s="444">
        <f>IF($O59="USD",_xlfn.IFNA(VLOOKUP($A59&amp;$E59&amp;$I59,PMsheet!$J:$K,2,0),0),(_xlfn.IFNA(VLOOKUP($A59&amp;$E59&amp;$I59,PMsheet!$J:$K,2,0),0)*'Master Data-C19RM'!$D$2))</f>
        <v>0</v>
      </c>
      <c r="X59" s="441"/>
      <c r="Y59" s="441"/>
      <c r="Z59" s="441"/>
      <c r="AA59" s="441"/>
      <c r="AB59" s="481">
        <f>SUM('C19RM 2021-Pharma'!$X59:$AA59)</f>
        <v>0</v>
      </c>
      <c r="AC59" s="483">
        <f>IF(SETUP!$E$7="USD",(AB59*(IF(O59="USD",W59,(W59/'Master Data-C19RM'!$D$2)))),(AB59*(IF(O59="EUR",W59,(W59*'Master Data-C19RM'!$D$2)))))</f>
        <v>0</v>
      </c>
      <c r="AD59" s="444">
        <f>IF($O59="USD",_xlfn.IFNA(VLOOKUP($A59&amp;$E59&amp;$I59,PMsheet!$J:$K,2,0),0),(_xlfn.IFNA(VLOOKUP($A59&amp;$E59&amp;$I59,PMsheet!$J:$K,2,0),0)*'Master Data-C19RM'!$E$2))</f>
        <v>0</v>
      </c>
      <c r="AE59" s="441"/>
      <c r="AF59" s="441"/>
      <c r="AG59" s="441"/>
      <c r="AH59" s="441"/>
      <c r="AI59" s="481">
        <f>SUM('C19RM 2021-Pharma'!$AE59:$AH59)</f>
        <v>0</v>
      </c>
      <c r="AJ59" s="483">
        <f>IF(SETUP!$E$7="USD",(AI59*(IF(O59="USD",AD59,(AD59/'Master Data-C19RM'!$E$2)))),(AI59*(IF(O59="EUR",AD59,(AD59*'Master Data-C19RM'!$E$2)))))</f>
        <v>0</v>
      </c>
      <c r="AK59" s="444">
        <f>IF($O59="USD",_xlfn.IFNA(VLOOKUP($A59&amp;$E59&amp;$I59,PMsheet!$J:$K,2,0),0),(_xlfn.IFNA(VLOOKUP($A59&amp;$E59&amp;$I59,PMsheet!$J:$K,2,0),0)*'Master Data-C19RM'!$F$2))</f>
        <v>0</v>
      </c>
      <c r="AL59" s="441"/>
      <c r="AM59" s="441"/>
      <c r="AN59" s="441"/>
      <c r="AO59" s="441"/>
      <c r="AP59" s="481">
        <f>SUM('C19RM 2021-Pharma'!$AL59:$AO59)</f>
        <v>0</v>
      </c>
      <c r="AQ59" s="483">
        <f>IF(SETUP!$E$7="USD",(AP59*(IF(O59="USD",AK59,(AK59/'Master Data-C19RM'!$F$2)))),(AP59*(IF(O59="EUR",AK59,(AK59*'Master Data-C19RM'!$F$2)))))</f>
        <v>0</v>
      </c>
      <c r="AR59" s="444">
        <f>IF($O59="USD",_xlfn.IFNA(VLOOKUP($A59&amp;$E59&amp;$I59,PMsheet!$J:$K,2,0),0),(_xlfn.IFNA(VLOOKUP($A59&amp;$E59&amp;$I59,PMsheet!$J:$K,2,0),0)*'Master Data-C19RM'!$G$2))</f>
        <v>0</v>
      </c>
      <c r="AS59" s="441"/>
      <c r="AT59" s="441"/>
      <c r="AU59" s="441"/>
      <c r="AV59" s="441"/>
      <c r="AW59" s="481">
        <f>SUM('C19RM 2021-Pharma'!$AS59:$AV59)</f>
        <v>0</v>
      </c>
      <c r="AX59" s="483">
        <f>IF(SETUP!$E$7="USD",(AW59*(IF(O59="USD",AR59,(AR59/'Master Data-C19RM'!$G$2)))),(AW59*(IF(O59="EUR",AR59,(AR59*'Master Data-C19RM'!$G$2)))))</f>
        <v>0</v>
      </c>
      <c r="AY59" s="886"/>
      <c r="AZ59" s="887"/>
      <c r="BA59" s="887"/>
      <c r="BB59" s="887"/>
      <c r="BC59" s="887"/>
      <c r="BD59" s="887"/>
      <c r="BE59" s="888"/>
      <c r="BF59" s="505">
        <f>'C19RM 2021-Pharma'!$U59+'C19RM 2021-Pharma'!$AB59+'C19RM 2021-Pharma'!$AP59+'C19RM 2021-Pharma'!$AI59+$AW59+$BD59</f>
        <v>0</v>
      </c>
      <c r="BG59" s="483">
        <f>'C19RM 2021-Pharma'!$V59+'C19RM 2021-Pharma'!$AC59+'C19RM 2021-Pharma'!$AQ59+'C19RM 2021-Pharma'!$AJ59+$AX59+$BE59</f>
        <v>0</v>
      </c>
      <c r="BH59" s="500" t="str" cm="1">
        <f t="array" ref="BH59">IF(A59&lt;&gt;"",IFERROR(INDEX(PMtbl[[WKst]:[Unit of measure*]],MATCH($A$8&amp;$A59&amp;$E59&amp;$I59,INDEX(PMtbl[Sec]&amp;PMtbl[Category]&amp;PMtbl[Each]&amp;PMtbl[Packaging],0,),0),11),""),"")</f>
        <v/>
      </c>
      <c r="BI59" s="819"/>
      <c r="BJ59" s="502" t="str">
        <f>IFERROR(INDEX(SETUP!$C$19:$G$121,MATCH((INDEX(PMtbl[[WKst]:[Unit of measure*]],MATCH($A59&amp;$E59&amp;$I59,INDEX(PMtbl[Category]&amp;PMtbl[Each]&amp;PMtbl[Packaging],0,),0),3)),SETUP!$D$19:$D$121,0),5),"")</f>
        <v/>
      </c>
      <c r="BK59" s="438"/>
      <c r="BL59" s="193"/>
      <c r="BO59" s="12">
        <f>IF(N59="",0,IF(SETUP!$E$7="USD",((IF(O59="USD",P59,(P59/'Master Data-C19RM'!$C$2)))),((IF(O59="EUR",P59,(P59*'Master Data-C19RM'!$C$2))))))</f>
        <v>0</v>
      </c>
      <c r="BP59" s="12">
        <f>IF(N59="",0,IF(SETUP!$E$7="USD",((IF(O59="USD",W59,(W59/'Master Data-C19RM'!$D$2)))),((IF(O59="EUR",W59,(W59*'Master Data-C19RM'!$D$2))))))</f>
        <v>0</v>
      </c>
      <c r="BQ59">
        <f>IF(N59="",0,IF(SETUP!$E$7="USD",((IF(O59="USD",AD59,(AD59/'Master Data-C19RM'!$E$2)))),((IF(O59="EUR",AD59,(AD59*'Master Data-C19RM'!$E$2))))))</f>
        <v>0</v>
      </c>
      <c r="BR59">
        <f>IF(N59="",0,IF(SETUP!$E$7="USD",((IF(O59="USD",AK59,(AK59/'Master Data-C19RM'!$F$2)))),((IF(O59="EUR",AK59,(AK59*'Master Data-C19RM'!$F$2))))))</f>
        <v>0</v>
      </c>
      <c r="BS59">
        <f>IF(N59="",0,IF(SETUP!$E$7="USD",((IF(O59="USD",AR59,(AR59/'Master Data-C19RM'!$F$2)))),((IF(O59="EUR",AR59,(AR59*'Master Data-C19RM'!$G$2))))))</f>
        <v>0</v>
      </c>
      <c r="BT59">
        <f>IF(N59="",0,IF(SETUP!$E$7="USD",((IF(O59="USD",AY59,(AY59/'Master Data-C19RM'!$F$2)))),((IF(O59="EUR",AY59,(AY59*'Master Data-C19RM'!$H$2))))))</f>
        <v>0</v>
      </c>
      <c r="BU59" s="12">
        <f t="shared" si="1"/>
        <v>0</v>
      </c>
      <c r="BV59" s="142">
        <f t="shared" si="2"/>
        <v>0</v>
      </c>
    </row>
    <row r="60" spans="1:74" ht="14.9" customHeight="1" x14ac:dyDescent="0.35">
      <c r="A60" s="1172"/>
      <c r="B60" s="1172"/>
      <c r="C60" s="1172"/>
      <c r="D60" s="1172"/>
      <c r="E60" s="1172"/>
      <c r="F60" s="1172"/>
      <c r="G60" s="1172"/>
      <c r="H60" s="1172"/>
      <c r="I60" s="1173"/>
      <c r="J60" s="1173"/>
      <c r="K60" s="1173"/>
      <c r="L60" s="493" t="str" cm="1">
        <f t="array" ref="L60">IF(A60&lt;&gt;"",IFERROR(INDEX(PMtbl[[WKst]:[Unit of measure*]],MATCH($A$8&amp;$A60&amp;$E60&amp;$I60,INDEX(PMtbl[Sec]&amp;PMtbl[Category]&amp;PMtbl[Each]&amp;PMtbl[Packaging],0,),0),14),""),"")</f>
        <v/>
      </c>
      <c r="M60" s="480" t="str">
        <f>IF(L60="","",INDEX(SETUP!$E$20:$E$122,(MATCH(INDEX(PMsheet!$D:$E,MATCH(A60,PMsheet!E:E,0),1),SETUP!$D$20:$D$122,0))))</f>
        <v/>
      </c>
      <c r="N60" s="494">
        <f>IF($O60="USD",_xlfn.IFNA(VLOOKUP(A60&amp;E60&amp;I60,PMsheet!J:K,2,0),0),(_xlfn.IFNA(VLOOKUP(A60&amp;E60&amp;I60,PMsheet!J:K,2,0),0)*'Master Data-C19RM'!$C$2))</f>
        <v>0</v>
      </c>
      <c r="O60" s="495" t="str">
        <f>IF(L60="", "",SETUP!$E$7)</f>
        <v/>
      </c>
      <c r="P60" s="445">
        <f>IF($O60="USD",_xlfn.IFNA(VLOOKUP($A60&amp;$E60&amp;$I60,PMsheet!$J:$K,2,0),0),(_xlfn.IFNA(VLOOKUP($A60&amp;$E60&amp;$I60,PMsheet!$J:$K,2,0),0)*'Master Data-C19RM'!$C$2))</f>
        <v>0</v>
      </c>
      <c r="Q60" s="440"/>
      <c r="R60" s="440"/>
      <c r="S60" s="440"/>
      <c r="T60" s="440"/>
      <c r="U60" s="482">
        <f>SUM('C19RM 2021-Pharma'!$Q60:$T60)</f>
        <v>0</v>
      </c>
      <c r="V60" s="484">
        <f>IF(SETUP!$E$7="USD",(U60*(IF(O60="USD",P60,(P60/'Master Data-C19RM'!$C$2)))),(U60*(IF(O60="EUR",P60,(P60*'Master Data-C19RM'!$C$2)))))</f>
        <v>0</v>
      </c>
      <c r="W60" s="445">
        <f>IF($O60="USD",_xlfn.IFNA(VLOOKUP($A60&amp;$E60&amp;$I60,PMsheet!$J:$K,2,0),0),(_xlfn.IFNA(VLOOKUP($A60&amp;$E60&amp;$I60,PMsheet!$J:$K,2,0),0)*'Master Data-C19RM'!$D$2))</f>
        <v>0</v>
      </c>
      <c r="X60" s="440"/>
      <c r="Y60" s="440"/>
      <c r="Z60" s="440"/>
      <c r="AA60" s="440"/>
      <c r="AB60" s="482">
        <f>SUM('C19RM 2021-Pharma'!$X60:$AA60)</f>
        <v>0</v>
      </c>
      <c r="AC60" s="484">
        <f>IF(SETUP!$E$7="USD",(AB60*(IF(O60="USD",W60,(W60/'Master Data-C19RM'!$D$2)))),(AB60*(IF(O60="EUR",W60,(W60*'Master Data-C19RM'!$D$2)))))</f>
        <v>0</v>
      </c>
      <c r="AD60" s="445">
        <f>IF($O60="USD",_xlfn.IFNA(VLOOKUP($A60&amp;$E60&amp;$I60,PMsheet!$J:$K,2,0),0),(_xlfn.IFNA(VLOOKUP($A60&amp;$E60&amp;$I60,PMsheet!$J:$K,2,0),0)*'Master Data-C19RM'!$E$2))</f>
        <v>0</v>
      </c>
      <c r="AE60" s="440"/>
      <c r="AF60" s="440"/>
      <c r="AG60" s="440"/>
      <c r="AH60" s="440"/>
      <c r="AI60" s="482">
        <f>SUM('C19RM 2021-Pharma'!$AE60:$AH60)</f>
        <v>0</v>
      </c>
      <c r="AJ60" s="484">
        <f>IF(SETUP!$E$7="USD",(AI60*(IF(O60="USD",AD60,(AD60/'Master Data-C19RM'!$E$2)))),(AI60*(IF(O60="EUR",AD60,(AD60*'Master Data-C19RM'!$E$2)))))</f>
        <v>0</v>
      </c>
      <c r="AK60" s="445">
        <f>IF($O60="USD",_xlfn.IFNA(VLOOKUP($A60&amp;$E60&amp;$I60,PMsheet!$J:$K,2,0),0),(_xlfn.IFNA(VLOOKUP($A60&amp;$E60&amp;$I60,PMsheet!$J:$K,2,0),0)*'Master Data-C19RM'!$F$2))</f>
        <v>0</v>
      </c>
      <c r="AL60" s="440"/>
      <c r="AM60" s="440"/>
      <c r="AN60" s="440"/>
      <c r="AO60" s="440"/>
      <c r="AP60" s="482">
        <f>SUM('C19RM 2021-Pharma'!$AL60:$AO60)</f>
        <v>0</v>
      </c>
      <c r="AQ60" s="484">
        <f>IF(SETUP!$E$7="USD",(AP60*(IF(O60="USD",AK60,(AK60/'Master Data-C19RM'!$F$2)))),(AP60*(IF(O60="EUR",AK60,(AK60*'Master Data-C19RM'!$F$2)))))</f>
        <v>0</v>
      </c>
      <c r="AR60" s="445">
        <f>IF($O60="USD",_xlfn.IFNA(VLOOKUP($A60&amp;$E60&amp;$I60,PMsheet!$J:$K,2,0),0),(_xlfn.IFNA(VLOOKUP($A60&amp;$E60&amp;$I60,PMsheet!$J:$K,2,0),0)*'Master Data-C19RM'!$G$2))</f>
        <v>0</v>
      </c>
      <c r="AS60" s="440"/>
      <c r="AT60" s="440"/>
      <c r="AU60" s="440"/>
      <c r="AV60" s="440"/>
      <c r="AW60" s="482">
        <f>SUM('C19RM 2021-Pharma'!$AS60:$AV60)</f>
        <v>0</v>
      </c>
      <c r="AX60" s="484">
        <f>IF(SETUP!$E$7="USD",(AW60*(IF(O60="USD",AR60,(AR60/'Master Data-C19RM'!$G$2)))),(AW60*(IF(O60="EUR",AR60,(AR60*'Master Data-C19RM'!$G$2)))))</f>
        <v>0</v>
      </c>
      <c r="AY60" s="889"/>
      <c r="AZ60" s="884"/>
      <c r="BA60" s="884"/>
      <c r="BB60" s="884"/>
      <c r="BC60" s="884"/>
      <c r="BD60" s="884"/>
      <c r="BE60" s="885"/>
      <c r="BF60" s="504">
        <f>'C19RM 2021-Pharma'!$U60+'C19RM 2021-Pharma'!$AB60+'C19RM 2021-Pharma'!$AP60+'C19RM 2021-Pharma'!$AI60+$AW60+$BD60</f>
        <v>0</v>
      </c>
      <c r="BG60" s="484">
        <f>'C19RM 2021-Pharma'!$V60+'C19RM 2021-Pharma'!$AC60+'C19RM 2021-Pharma'!$AQ60+'C19RM 2021-Pharma'!$AJ60+$AX60+$BE60</f>
        <v>0</v>
      </c>
      <c r="BH60" s="499" t="str" cm="1">
        <f t="array" ref="BH60">IF(A60&lt;&gt;"",IFERROR(INDEX(PMtbl[[WKst]:[Unit of measure*]],MATCH($A$8&amp;$A60&amp;$E60&amp;$I60,INDEX(PMtbl[Sec]&amp;PMtbl[Category]&amp;PMtbl[Each]&amp;PMtbl[Packaging],0,),0),11),""),"")</f>
        <v/>
      </c>
      <c r="BI60" s="818"/>
      <c r="BJ60" s="503" t="str">
        <f>IFERROR(INDEX(SETUP!$C$19:$G$121,MATCH((INDEX(PMtbl[[WKst]:[Unit of measure*]],MATCH($A60&amp;$E60&amp;$I60,INDEX(PMtbl[Category]&amp;PMtbl[Each]&amp;PMtbl[Packaging],0,),0),3)),SETUP!$D$19:$D$121,0),5),"")</f>
        <v/>
      </c>
      <c r="BK60" s="439"/>
      <c r="BL60" s="194"/>
      <c r="BO60" s="12">
        <f>IF(N60="",0,IF(SETUP!$E$7="USD",((IF(O60="USD",P60,(P60/'Master Data-C19RM'!$C$2)))),((IF(O60="EUR",P60,(P60*'Master Data-C19RM'!$C$2))))))</f>
        <v>0</v>
      </c>
      <c r="BP60" s="12">
        <f>IF(N60="",0,IF(SETUP!$E$7="USD",((IF(O60="USD",W60,(W60/'Master Data-C19RM'!$D$2)))),((IF(O60="EUR",W60,(W60*'Master Data-C19RM'!$D$2))))))</f>
        <v>0</v>
      </c>
      <c r="BQ60">
        <f>IF(N60="",0,IF(SETUP!$E$7="USD",((IF(O60="USD",AD60,(AD60/'Master Data-C19RM'!$E$2)))),((IF(O60="EUR",AD60,(AD60*'Master Data-C19RM'!$E$2))))))</f>
        <v>0</v>
      </c>
      <c r="BR60">
        <f>IF(N60="",0,IF(SETUP!$E$7="USD",((IF(O60="USD",AK60,(AK60/'Master Data-C19RM'!$F$2)))),((IF(O60="EUR",AK60,(AK60*'Master Data-C19RM'!$F$2))))))</f>
        <v>0</v>
      </c>
      <c r="BS60">
        <f>IF(N60="",0,IF(SETUP!$E$7="USD",((IF(O60="USD",AR60,(AR60/'Master Data-C19RM'!$F$2)))),((IF(O60="EUR",AR60,(AR60*'Master Data-C19RM'!$G$2))))))</f>
        <v>0</v>
      </c>
      <c r="BT60">
        <f>IF(N60="",0,IF(SETUP!$E$7="USD",((IF(O60="USD",AY60,(AY60/'Master Data-C19RM'!$F$2)))),((IF(O60="EUR",AY60,(AY60*'Master Data-C19RM'!$H$2))))))</f>
        <v>0</v>
      </c>
      <c r="BU60" s="12">
        <f t="shared" si="1"/>
        <v>0</v>
      </c>
      <c r="BV60" s="142">
        <f t="shared" si="2"/>
        <v>0</v>
      </c>
    </row>
    <row r="61" spans="1:74" ht="14.9" customHeight="1" x14ac:dyDescent="0.35">
      <c r="A61" s="1165"/>
      <c r="B61" s="1165"/>
      <c r="C61" s="1165"/>
      <c r="D61" s="1165"/>
      <c r="E61" s="1166"/>
      <c r="F61" s="1166"/>
      <c r="G61" s="1166"/>
      <c r="H61" s="1166"/>
      <c r="I61" s="1166"/>
      <c r="J61" s="1166"/>
      <c r="K61" s="1166"/>
      <c r="L61" s="490" t="str" cm="1">
        <f t="array" ref="L61">IF(A61&lt;&gt;"",IFERROR(INDEX(PMtbl[[WKst]:[Unit of measure*]],MATCH($A$8&amp;$A61&amp;$E61&amp;$I61,INDEX(PMtbl[Sec]&amp;PMtbl[Category]&amp;PMtbl[Each]&amp;PMtbl[Packaging],0,),0),14),""),"")</f>
        <v/>
      </c>
      <c r="M61" s="479" t="str">
        <f>IF(L61="","",INDEX(SETUP!$E$20:$E$122,(MATCH(INDEX(PMsheet!$D:$E,MATCH(A61,PMsheet!E:E,0),1),SETUP!$D$20:$D$122,0))))</f>
        <v/>
      </c>
      <c r="N61" s="491">
        <f>IF($O61="USD",_xlfn.IFNA(VLOOKUP(A61&amp;E61&amp;I61,PMsheet!J:K,2,0),0),(_xlfn.IFNA(VLOOKUP(A61&amp;E61&amp;I61,PMsheet!J:K,2,0),0)*'Master Data-C19RM'!$C$2))</f>
        <v>0</v>
      </c>
      <c r="O61" s="492" t="str">
        <f>IF(L61="", "",SETUP!$E$7)</f>
        <v/>
      </c>
      <c r="P61" s="444">
        <f>IF($O61="USD",_xlfn.IFNA(VLOOKUP($A61&amp;$E61&amp;$I61,PMsheet!$J:$K,2,0),0),(_xlfn.IFNA(VLOOKUP($A61&amp;$E61&amp;$I61,PMsheet!$J:$K,2,0),0)*'Master Data-C19RM'!$C$2))</f>
        <v>0</v>
      </c>
      <c r="Q61" s="441"/>
      <c r="R61" s="441"/>
      <c r="S61" s="441"/>
      <c r="T61" s="441"/>
      <c r="U61" s="481">
        <f>SUM('C19RM 2021-Pharma'!$Q61:$T61)</f>
        <v>0</v>
      </c>
      <c r="V61" s="483">
        <f>IF(SETUP!$E$7="USD",(U61*(IF(O61="USD",P61,(P61/'Master Data-C19RM'!$C$2)))),(U61*(IF(O61="EUR",P61,(P61*'Master Data-C19RM'!$C$2)))))</f>
        <v>0</v>
      </c>
      <c r="W61" s="444">
        <f>IF($O61="USD",_xlfn.IFNA(VLOOKUP($A61&amp;$E61&amp;$I61,PMsheet!$J:$K,2,0),0),(_xlfn.IFNA(VLOOKUP($A61&amp;$E61&amp;$I61,PMsheet!$J:$K,2,0),0)*'Master Data-C19RM'!$D$2))</f>
        <v>0</v>
      </c>
      <c r="X61" s="441"/>
      <c r="Y61" s="441"/>
      <c r="Z61" s="441"/>
      <c r="AA61" s="441"/>
      <c r="AB61" s="481">
        <f>SUM('C19RM 2021-Pharma'!$X61:$AA61)</f>
        <v>0</v>
      </c>
      <c r="AC61" s="483">
        <f>IF(SETUP!$E$7="USD",(AB61*(IF(O61="USD",W61,(W61/'Master Data-C19RM'!$D$2)))),(AB61*(IF(O61="EUR",W61,(W61*'Master Data-C19RM'!$D$2)))))</f>
        <v>0</v>
      </c>
      <c r="AD61" s="444">
        <f>IF($O61="USD",_xlfn.IFNA(VLOOKUP($A61&amp;$E61&amp;$I61,PMsheet!$J:$K,2,0),0),(_xlfn.IFNA(VLOOKUP($A61&amp;$E61&amp;$I61,PMsheet!$J:$K,2,0),0)*'Master Data-C19RM'!$E$2))</f>
        <v>0</v>
      </c>
      <c r="AE61" s="441"/>
      <c r="AF61" s="441"/>
      <c r="AG61" s="441"/>
      <c r="AH61" s="441"/>
      <c r="AI61" s="481">
        <f>SUM('C19RM 2021-Pharma'!$AE61:$AH61)</f>
        <v>0</v>
      </c>
      <c r="AJ61" s="483">
        <f>IF(SETUP!$E$7="USD",(AI61*(IF(O61="USD",AD61,(AD61/'Master Data-C19RM'!$E$2)))),(AI61*(IF(O61="EUR",AD61,(AD61*'Master Data-C19RM'!$E$2)))))</f>
        <v>0</v>
      </c>
      <c r="AK61" s="444">
        <f>IF($O61="USD",_xlfn.IFNA(VLOOKUP($A61&amp;$E61&amp;$I61,PMsheet!$J:$K,2,0),0),(_xlfn.IFNA(VLOOKUP($A61&amp;$E61&amp;$I61,PMsheet!$J:$K,2,0),0)*'Master Data-C19RM'!$F$2))</f>
        <v>0</v>
      </c>
      <c r="AL61" s="441"/>
      <c r="AM61" s="441"/>
      <c r="AN61" s="441"/>
      <c r="AO61" s="441"/>
      <c r="AP61" s="481">
        <f>SUM('C19RM 2021-Pharma'!$AL61:$AO61)</f>
        <v>0</v>
      </c>
      <c r="AQ61" s="483">
        <f>IF(SETUP!$E$7="USD",(AP61*(IF(O61="USD",AK61,(AK61/'Master Data-C19RM'!$F$2)))),(AP61*(IF(O61="EUR",AK61,(AK61*'Master Data-C19RM'!$F$2)))))</f>
        <v>0</v>
      </c>
      <c r="AR61" s="444">
        <f>IF($O61="USD",_xlfn.IFNA(VLOOKUP($A61&amp;$E61&amp;$I61,PMsheet!$J:$K,2,0),0),(_xlfn.IFNA(VLOOKUP($A61&amp;$E61&amp;$I61,PMsheet!$J:$K,2,0),0)*'Master Data-C19RM'!$G$2))</f>
        <v>0</v>
      </c>
      <c r="AS61" s="441"/>
      <c r="AT61" s="441"/>
      <c r="AU61" s="441"/>
      <c r="AV61" s="441"/>
      <c r="AW61" s="481">
        <f>SUM('C19RM 2021-Pharma'!$AS61:$AV61)</f>
        <v>0</v>
      </c>
      <c r="AX61" s="483">
        <f>IF(SETUP!$E$7="USD",(AW61*(IF(O61="USD",AR61,(AR61/'Master Data-C19RM'!$G$2)))),(AW61*(IF(O61="EUR",AR61,(AR61*'Master Data-C19RM'!$G$2)))))</f>
        <v>0</v>
      </c>
      <c r="AY61" s="886"/>
      <c r="AZ61" s="887"/>
      <c r="BA61" s="887"/>
      <c r="BB61" s="887"/>
      <c r="BC61" s="887"/>
      <c r="BD61" s="887"/>
      <c r="BE61" s="888"/>
      <c r="BF61" s="505">
        <f>'C19RM 2021-Pharma'!$U61+'C19RM 2021-Pharma'!$AB61+'C19RM 2021-Pharma'!$AP61+'C19RM 2021-Pharma'!$AI61+$AW61+$BD61</f>
        <v>0</v>
      </c>
      <c r="BG61" s="483">
        <f>'C19RM 2021-Pharma'!$V61+'C19RM 2021-Pharma'!$AC61+'C19RM 2021-Pharma'!$AQ61+'C19RM 2021-Pharma'!$AJ61+$AX61+$BE61</f>
        <v>0</v>
      </c>
      <c r="BH61" s="500" t="str" cm="1">
        <f t="array" ref="BH61">IF(A61&lt;&gt;"",IFERROR(INDEX(PMtbl[[WKst]:[Unit of measure*]],MATCH($A$8&amp;$A61&amp;$E61&amp;$I61,INDEX(PMtbl[Sec]&amp;PMtbl[Category]&amp;PMtbl[Each]&amp;PMtbl[Packaging],0,),0),11),""),"")</f>
        <v/>
      </c>
      <c r="BI61" s="819"/>
      <c r="BJ61" s="502" t="str">
        <f>IFERROR(INDEX(SETUP!$C$19:$G$121,MATCH((INDEX(PMtbl[[WKst]:[Unit of measure*]],MATCH($A61&amp;$E61&amp;$I61,INDEX(PMtbl[Category]&amp;PMtbl[Each]&amp;PMtbl[Packaging],0,),0),3)),SETUP!$D$19:$D$121,0),5),"")</f>
        <v/>
      </c>
      <c r="BK61" s="438"/>
      <c r="BL61" s="193"/>
      <c r="BO61" s="12">
        <f>IF(N61="",0,IF(SETUP!$E$7="USD",((IF(O61="USD",P61,(P61/'Master Data-C19RM'!$C$2)))),((IF(O61="EUR",P61,(P61*'Master Data-C19RM'!$C$2))))))</f>
        <v>0</v>
      </c>
      <c r="BP61" s="12">
        <f>IF(N61="",0,IF(SETUP!$E$7="USD",((IF(O61="USD",W61,(W61/'Master Data-C19RM'!$D$2)))),((IF(O61="EUR",W61,(W61*'Master Data-C19RM'!$D$2))))))</f>
        <v>0</v>
      </c>
      <c r="BQ61">
        <f>IF(N61="",0,IF(SETUP!$E$7="USD",((IF(O61="USD",AD61,(AD61/'Master Data-C19RM'!$E$2)))),((IF(O61="EUR",AD61,(AD61*'Master Data-C19RM'!$E$2))))))</f>
        <v>0</v>
      </c>
      <c r="BR61">
        <f>IF(N61="",0,IF(SETUP!$E$7="USD",((IF(O61="USD",AK61,(AK61/'Master Data-C19RM'!$F$2)))),((IF(O61="EUR",AK61,(AK61*'Master Data-C19RM'!$F$2))))))</f>
        <v>0</v>
      </c>
      <c r="BS61">
        <f>IF(N61="",0,IF(SETUP!$E$7="USD",((IF(O61="USD",AR61,(AR61/'Master Data-C19RM'!$F$2)))),((IF(O61="EUR",AR61,(AR61*'Master Data-C19RM'!$G$2))))))</f>
        <v>0</v>
      </c>
      <c r="BT61">
        <f>IF(N61="",0,IF(SETUP!$E$7="USD",((IF(O61="USD",AY61,(AY61/'Master Data-C19RM'!$F$2)))),((IF(O61="EUR",AY61,(AY61*'Master Data-C19RM'!$H$2))))))</f>
        <v>0</v>
      </c>
      <c r="BU61" s="12">
        <f t="shared" si="1"/>
        <v>0</v>
      </c>
      <c r="BV61" s="142">
        <f t="shared" si="2"/>
        <v>0</v>
      </c>
    </row>
    <row r="62" spans="1:74" ht="14.9" customHeight="1" x14ac:dyDescent="0.35">
      <c r="A62" s="1172"/>
      <c r="B62" s="1172"/>
      <c r="C62" s="1172"/>
      <c r="D62" s="1172"/>
      <c r="E62" s="1172"/>
      <c r="F62" s="1172"/>
      <c r="G62" s="1172"/>
      <c r="H62" s="1172"/>
      <c r="I62" s="1173"/>
      <c r="J62" s="1173"/>
      <c r="K62" s="1173"/>
      <c r="L62" s="493" t="str" cm="1">
        <f t="array" ref="L62">IF(A62&lt;&gt;"",IFERROR(INDEX(PMtbl[[WKst]:[Unit of measure*]],MATCH($A$8&amp;$A62&amp;$E62&amp;$I62,INDEX(PMtbl[Sec]&amp;PMtbl[Category]&amp;PMtbl[Each]&amp;PMtbl[Packaging],0,),0),14),""),"")</f>
        <v/>
      </c>
      <c r="M62" s="480" t="str">
        <f>IF(L62="","",INDEX(SETUP!$E$20:$E$122,(MATCH(INDEX(PMsheet!$D:$E,MATCH(A62,PMsheet!E:E,0),1),SETUP!$D$20:$D$122,0))))</f>
        <v/>
      </c>
      <c r="N62" s="494">
        <f>IF($O62="USD",_xlfn.IFNA(VLOOKUP(A62&amp;E62&amp;I62,PMsheet!J:K,2,0),0),(_xlfn.IFNA(VLOOKUP(A62&amp;E62&amp;I62,PMsheet!J:K,2,0),0)*'Master Data-C19RM'!$C$2))</f>
        <v>0</v>
      </c>
      <c r="O62" s="495" t="str">
        <f>IF(L62="", "",SETUP!$E$7)</f>
        <v/>
      </c>
      <c r="P62" s="445">
        <f>IF($O62="USD",_xlfn.IFNA(VLOOKUP($A62&amp;$E62&amp;$I62,PMsheet!$J:$K,2,0),0),(_xlfn.IFNA(VLOOKUP($A62&amp;$E62&amp;$I62,PMsheet!$J:$K,2,0),0)*'Master Data-C19RM'!$C$2))</f>
        <v>0</v>
      </c>
      <c r="Q62" s="440"/>
      <c r="R62" s="440"/>
      <c r="S62" s="440"/>
      <c r="T62" s="440"/>
      <c r="U62" s="482">
        <f>SUM('C19RM 2021-Pharma'!$Q62:$T62)</f>
        <v>0</v>
      </c>
      <c r="V62" s="484">
        <f>IF(SETUP!$E$7="USD",(U62*(IF(O62="USD",P62,(P62/'Master Data-C19RM'!$C$2)))),(U62*(IF(O62="EUR",P62,(P62*'Master Data-C19RM'!$C$2)))))</f>
        <v>0</v>
      </c>
      <c r="W62" s="445">
        <f>IF($O62="USD",_xlfn.IFNA(VLOOKUP($A62&amp;$E62&amp;$I62,PMsheet!$J:$K,2,0),0),(_xlfn.IFNA(VLOOKUP($A62&amp;$E62&amp;$I62,PMsheet!$J:$K,2,0),0)*'Master Data-C19RM'!$D$2))</f>
        <v>0</v>
      </c>
      <c r="X62" s="440"/>
      <c r="Y62" s="440"/>
      <c r="Z62" s="440"/>
      <c r="AA62" s="440"/>
      <c r="AB62" s="482">
        <f>SUM('C19RM 2021-Pharma'!$X62:$AA62)</f>
        <v>0</v>
      </c>
      <c r="AC62" s="484">
        <f>IF(SETUP!$E$7="USD",(AB62*(IF(O62="USD",W62,(W62/'Master Data-C19RM'!$D$2)))),(AB62*(IF(O62="EUR",W62,(W62*'Master Data-C19RM'!$D$2)))))</f>
        <v>0</v>
      </c>
      <c r="AD62" s="445">
        <f>IF($O62="USD",_xlfn.IFNA(VLOOKUP($A62&amp;$E62&amp;$I62,PMsheet!$J:$K,2,0),0),(_xlfn.IFNA(VLOOKUP($A62&amp;$E62&amp;$I62,PMsheet!$J:$K,2,0),0)*'Master Data-C19RM'!$E$2))</f>
        <v>0</v>
      </c>
      <c r="AE62" s="440"/>
      <c r="AF62" s="440"/>
      <c r="AG62" s="440"/>
      <c r="AH62" s="440"/>
      <c r="AI62" s="482">
        <f>SUM('C19RM 2021-Pharma'!$AE62:$AH62)</f>
        <v>0</v>
      </c>
      <c r="AJ62" s="484">
        <f>IF(SETUP!$E$7="USD",(AI62*(IF(O62="USD",AD62,(AD62/'Master Data-C19RM'!$E$2)))),(AI62*(IF(O62="EUR",AD62,(AD62*'Master Data-C19RM'!$E$2)))))</f>
        <v>0</v>
      </c>
      <c r="AK62" s="445">
        <f>IF($O62="USD",_xlfn.IFNA(VLOOKUP($A62&amp;$E62&amp;$I62,PMsheet!$J:$K,2,0),0),(_xlfn.IFNA(VLOOKUP($A62&amp;$E62&amp;$I62,PMsheet!$J:$K,2,0),0)*'Master Data-C19RM'!$F$2))</f>
        <v>0</v>
      </c>
      <c r="AL62" s="440"/>
      <c r="AM62" s="440"/>
      <c r="AN62" s="440"/>
      <c r="AO62" s="440"/>
      <c r="AP62" s="482">
        <f>SUM('C19RM 2021-Pharma'!$AL62:$AO62)</f>
        <v>0</v>
      </c>
      <c r="AQ62" s="484">
        <f>IF(SETUP!$E$7="USD",(AP62*(IF(O62="USD",AK62,(AK62/'Master Data-C19RM'!$F$2)))),(AP62*(IF(O62="EUR",AK62,(AK62*'Master Data-C19RM'!$F$2)))))</f>
        <v>0</v>
      </c>
      <c r="AR62" s="445">
        <f>IF($O62="USD",_xlfn.IFNA(VLOOKUP($A62&amp;$E62&amp;$I62,PMsheet!$J:$K,2,0),0),(_xlfn.IFNA(VLOOKUP($A62&amp;$E62&amp;$I62,PMsheet!$J:$K,2,0),0)*'Master Data-C19RM'!$G$2))</f>
        <v>0</v>
      </c>
      <c r="AS62" s="440"/>
      <c r="AT62" s="440"/>
      <c r="AU62" s="440"/>
      <c r="AV62" s="440"/>
      <c r="AW62" s="482">
        <f>SUM('C19RM 2021-Pharma'!$AS62:$AV62)</f>
        <v>0</v>
      </c>
      <c r="AX62" s="484">
        <f>IF(SETUP!$E$7="USD",(AW62*(IF(O62="USD",AR62,(AR62/'Master Data-C19RM'!$G$2)))),(AW62*(IF(O62="EUR",AR62,(AR62*'Master Data-C19RM'!$G$2)))))</f>
        <v>0</v>
      </c>
      <c r="AY62" s="889"/>
      <c r="AZ62" s="884"/>
      <c r="BA62" s="884"/>
      <c r="BB62" s="884"/>
      <c r="BC62" s="884"/>
      <c r="BD62" s="884"/>
      <c r="BE62" s="885"/>
      <c r="BF62" s="504">
        <f>'C19RM 2021-Pharma'!$U62+'C19RM 2021-Pharma'!$AB62+'C19RM 2021-Pharma'!$AP62+'C19RM 2021-Pharma'!$AI62+$AW62+$BD62</f>
        <v>0</v>
      </c>
      <c r="BG62" s="484">
        <f>'C19RM 2021-Pharma'!$V62+'C19RM 2021-Pharma'!$AC62+'C19RM 2021-Pharma'!$AQ62+'C19RM 2021-Pharma'!$AJ62+$AX62+$BE62</f>
        <v>0</v>
      </c>
      <c r="BH62" s="499" t="str" cm="1">
        <f t="array" ref="BH62">IF(A62&lt;&gt;"",IFERROR(INDEX(PMtbl[[WKst]:[Unit of measure*]],MATCH($A$8&amp;$A62&amp;$E62&amp;$I62,INDEX(PMtbl[Sec]&amp;PMtbl[Category]&amp;PMtbl[Each]&amp;PMtbl[Packaging],0,),0),11),""),"")</f>
        <v/>
      </c>
      <c r="BI62" s="818"/>
      <c r="BJ62" s="503" t="str">
        <f>IFERROR(INDEX(SETUP!$C$19:$G$121,MATCH((INDEX(PMtbl[[WKst]:[Unit of measure*]],MATCH($A62&amp;$E62&amp;$I62,INDEX(PMtbl[Category]&amp;PMtbl[Each]&amp;PMtbl[Packaging],0,),0),3)),SETUP!$D$19:$D$121,0),5),"")</f>
        <v/>
      </c>
      <c r="BK62" s="439"/>
      <c r="BL62" s="194"/>
      <c r="BO62" s="12">
        <f>IF(N62="",0,IF(SETUP!$E$7="USD",((IF(O62="USD",P62,(P62/'Master Data-C19RM'!$C$2)))),((IF(O62="EUR",P62,(P62*'Master Data-C19RM'!$C$2))))))</f>
        <v>0</v>
      </c>
      <c r="BP62" s="12">
        <f>IF(N62="",0,IF(SETUP!$E$7="USD",((IF(O62="USD",W62,(W62/'Master Data-C19RM'!$D$2)))),((IF(O62="EUR",W62,(W62*'Master Data-C19RM'!$D$2))))))</f>
        <v>0</v>
      </c>
      <c r="BQ62">
        <f>IF(N62="",0,IF(SETUP!$E$7="USD",((IF(O62="USD",AD62,(AD62/'Master Data-C19RM'!$E$2)))),((IF(O62="EUR",AD62,(AD62*'Master Data-C19RM'!$E$2))))))</f>
        <v>0</v>
      </c>
      <c r="BR62">
        <f>IF(N62="",0,IF(SETUP!$E$7="USD",((IF(O62="USD",AK62,(AK62/'Master Data-C19RM'!$F$2)))),((IF(O62="EUR",AK62,(AK62*'Master Data-C19RM'!$F$2))))))</f>
        <v>0</v>
      </c>
      <c r="BS62">
        <f>IF(N62="",0,IF(SETUP!$E$7="USD",((IF(O62="USD",AR62,(AR62/'Master Data-C19RM'!$F$2)))),((IF(O62="EUR",AR62,(AR62*'Master Data-C19RM'!$G$2))))))</f>
        <v>0</v>
      </c>
      <c r="BT62">
        <f>IF(N62="",0,IF(SETUP!$E$7="USD",((IF(O62="USD",AY62,(AY62/'Master Data-C19RM'!$F$2)))),((IF(O62="EUR",AY62,(AY62*'Master Data-C19RM'!$H$2))))))</f>
        <v>0</v>
      </c>
      <c r="BU62" s="12">
        <f t="shared" si="1"/>
        <v>0</v>
      </c>
      <c r="BV62" s="142">
        <f t="shared" si="2"/>
        <v>0</v>
      </c>
    </row>
    <row r="63" spans="1:74" ht="14.9" customHeight="1" x14ac:dyDescent="0.35">
      <c r="A63" s="1165"/>
      <c r="B63" s="1165"/>
      <c r="C63" s="1165"/>
      <c r="D63" s="1165"/>
      <c r="E63" s="1166"/>
      <c r="F63" s="1166"/>
      <c r="G63" s="1166"/>
      <c r="H63" s="1166"/>
      <c r="I63" s="1166"/>
      <c r="J63" s="1166"/>
      <c r="K63" s="1166"/>
      <c r="L63" s="490" t="str" cm="1">
        <f t="array" ref="L63">IF(A63&lt;&gt;"",IFERROR(INDEX(PMtbl[[WKst]:[Unit of measure*]],MATCH($A$8&amp;$A63&amp;$E63&amp;$I63,INDEX(PMtbl[Sec]&amp;PMtbl[Category]&amp;PMtbl[Each]&amp;PMtbl[Packaging],0,),0),14),""),"")</f>
        <v/>
      </c>
      <c r="M63" s="479" t="str">
        <f>IF(L63="","",INDEX(SETUP!$E$20:$E$122,(MATCH(INDEX(PMsheet!$D:$E,MATCH(A63,PMsheet!E:E,0),1),SETUP!$D$20:$D$122,0))))</f>
        <v/>
      </c>
      <c r="N63" s="491">
        <f>IF($O63="USD",_xlfn.IFNA(VLOOKUP(A63&amp;E63&amp;I63,PMsheet!J:K,2,0),0),(_xlfn.IFNA(VLOOKUP(A63&amp;E63&amp;I63,PMsheet!J:K,2,0),0)*'Master Data-C19RM'!$C$2))</f>
        <v>0</v>
      </c>
      <c r="O63" s="492" t="str">
        <f>IF(L63="", "",SETUP!$E$7)</f>
        <v/>
      </c>
      <c r="P63" s="444">
        <f>IF($O63="USD",_xlfn.IFNA(VLOOKUP($A63&amp;$E63&amp;$I63,PMsheet!$J:$K,2,0),0),(_xlfn.IFNA(VLOOKUP($A63&amp;$E63&amp;$I63,PMsheet!$J:$K,2,0),0)*'Master Data-C19RM'!$C$2))</f>
        <v>0</v>
      </c>
      <c r="Q63" s="441"/>
      <c r="R63" s="441"/>
      <c r="S63" s="441"/>
      <c r="T63" s="441"/>
      <c r="U63" s="481">
        <f>SUM('C19RM 2021-Pharma'!$Q63:$T63)</f>
        <v>0</v>
      </c>
      <c r="V63" s="483">
        <f>IF(SETUP!$E$7="USD",(U63*(IF(O63="USD",P63,(P63/'Master Data-C19RM'!$C$2)))),(U63*(IF(O63="EUR",P63,(P63*'Master Data-C19RM'!$C$2)))))</f>
        <v>0</v>
      </c>
      <c r="W63" s="444">
        <f>IF($O63="USD",_xlfn.IFNA(VLOOKUP($A63&amp;$E63&amp;$I63,PMsheet!$J:$K,2,0),0),(_xlfn.IFNA(VLOOKUP($A63&amp;$E63&amp;$I63,PMsheet!$J:$K,2,0),0)*'Master Data-C19RM'!$E$2))</f>
        <v>0</v>
      </c>
      <c r="X63" s="441"/>
      <c r="Y63" s="441"/>
      <c r="Z63" s="441"/>
      <c r="AA63" s="441"/>
      <c r="AB63" s="481">
        <f>SUM('C19RM 2021-Pharma'!$X63:$AA63)</f>
        <v>0</v>
      </c>
      <c r="AC63" s="483">
        <f>IF(SETUP!$E$7="USD",(AB63*(IF(O63="USD",W63,(W63/'Master Data-C19RM'!$D$2)))),(AB63*(IF(O63="EUR",W63,(W63*'Master Data-C19RM'!$D$2)))))</f>
        <v>0</v>
      </c>
      <c r="AD63" s="444">
        <f>IF($O63="USD",_xlfn.IFNA(VLOOKUP($A63&amp;$E63&amp;$I63,PMsheet!$J:$K,2,0),0),(_xlfn.IFNA(VLOOKUP($A63&amp;$E63&amp;$I63,PMsheet!$J:$K,2,0),0)*'Master Data-C19RM'!$E$2))</f>
        <v>0</v>
      </c>
      <c r="AE63" s="441"/>
      <c r="AF63" s="441"/>
      <c r="AG63" s="441"/>
      <c r="AH63" s="441"/>
      <c r="AI63" s="481">
        <f>SUM('C19RM 2021-Pharma'!$AE63:$AH63)</f>
        <v>0</v>
      </c>
      <c r="AJ63" s="483">
        <f>IF(SETUP!$E$7="USD",(AI63*(IF(O63="USD",AD63,(AD63/'Master Data-C19RM'!$E$2)))),(AI63*(IF(O63="EUR",AD63,(AD63*'Master Data-C19RM'!$E$2)))))</f>
        <v>0</v>
      </c>
      <c r="AK63" s="444">
        <f>IF($O63="USD",_xlfn.IFNA(VLOOKUP($A63&amp;$E63&amp;$I63,PMsheet!$J:$K,2,0),0),(_xlfn.IFNA(VLOOKUP($A63&amp;$E63&amp;$I63,PMsheet!$J:$K,2,0),0)*'Master Data-C19RM'!$F$2))</f>
        <v>0</v>
      </c>
      <c r="AL63" s="441"/>
      <c r="AM63" s="441"/>
      <c r="AN63" s="441"/>
      <c r="AO63" s="441"/>
      <c r="AP63" s="481">
        <f>SUM('C19RM 2021-Pharma'!$AL63:$AO63)</f>
        <v>0</v>
      </c>
      <c r="AQ63" s="483">
        <f>IF(SETUP!$E$7="USD",(AP63*(IF(O63="USD",AK63,(AK63/'Master Data-C19RM'!$F$2)))),(AP63*(IF(O63="EUR",AK63,(AK63*'Master Data-C19RM'!$F$2)))))</f>
        <v>0</v>
      </c>
      <c r="AR63" s="444">
        <f>IF($O63="USD",_xlfn.IFNA(VLOOKUP($A63&amp;$E63&amp;$I63,PMsheet!$J:$K,2,0),0),(_xlfn.IFNA(VLOOKUP($A63&amp;$E63&amp;$I63,PMsheet!$J:$K,2,0),0)*'Master Data-C19RM'!$G$2))</f>
        <v>0</v>
      </c>
      <c r="AS63" s="441"/>
      <c r="AT63" s="441"/>
      <c r="AU63" s="441"/>
      <c r="AV63" s="441"/>
      <c r="AW63" s="481">
        <f>SUM('C19RM 2021-Pharma'!$AS63:$AV63)</f>
        <v>0</v>
      </c>
      <c r="AX63" s="483">
        <f>IF(SETUP!$E$7="USD",(AW63*(IF(O63="USD",AR63,(AR63/'Master Data-C19RM'!$G$2)))),(AW63*(IF(O63="EUR",AR63,(AR63*'Master Data-C19RM'!$G$2)))))</f>
        <v>0</v>
      </c>
      <c r="AY63" s="886"/>
      <c r="AZ63" s="887"/>
      <c r="BA63" s="887"/>
      <c r="BB63" s="887"/>
      <c r="BC63" s="887"/>
      <c r="BD63" s="887"/>
      <c r="BE63" s="888"/>
      <c r="BF63" s="505">
        <f>'C19RM 2021-Pharma'!$U63+'C19RM 2021-Pharma'!$AB63+'C19RM 2021-Pharma'!$AP63+'C19RM 2021-Pharma'!$AI63+$AW63+$BD63</f>
        <v>0</v>
      </c>
      <c r="BG63" s="483">
        <f>'C19RM 2021-Pharma'!$V63+'C19RM 2021-Pharma'!$AC63+'C19RM 2021-Pharma'!$AQ63+'C19RM 2021-Pharma'!$AJ63+$AX63+$BE63</f>
        <v>0</v>
      </c>
      <c r="BH63" s="500" t="str" cm="1">
        <f t="array" ref="BH63">IF(A63&lt;&gt;"",IFERROR(INDEX(PMtbl[[WKst]:[Unit of measure*]],MATCH($A$8&amp;$A63&amp;$E63&amp;$I63,INDEX(PMtbl[Sec]&amp;PMtbl[Category]&amp;PMtbl[Each]&amp;PMtbl[Packaging],0,),0),11),""),"")</f>
        <v/>
      </c>
      <c r="BI63" s="819"/>
      <c r="BJ63" s="502" t="str">
        <f>IFERROR(INDEX(SETUP!$C$19:$G$121,MATCH((INDEX(PMtbl[[WKst]:[Unit of measure*]],MATCH($A63&amp;$E63&amp;$I63,INDEX(PMtbl[Category]&amp;PMtbl[Each]&amp;PMtbl[Packaging],0,),0),3)),SETUP!$D$19:$D$121,0),5),"")</f>
        <v/>
      </c>
      <c r="BK63" s="438" t="str">
        <f>IFERROR(IF((INDEX(SETUP!$C$19:$G$121,MATCH((INDEX(PMtbl[[WKst]:[Unit of measure*]],MATCH($A63&amp;$E63&amp;$I63,INDEX(PMtbl[Category]&amp;PMtbl[Each]&amp;PMtbl[Packaging],0,),0),3)),SETUP!$D$19:$D$121,0),4))="Upfront",0,INDEX(SETUP!$C$19:$G$121,MATCH((INDEX(PMtbl[[WKst]:[Unit of measure*]],MATCH($A63&amp;$E63&amp;$I63,INDEX(PMtbl[Category]&amp;PMtbl[Each]&amp;PMtbl[Packaging],0,),0),3)),SETUP!$D$19:$D$121,0),5)),"")</f>
        <v/>
      </c>
      <c r="BL63" s="193" t="str" cm="1">
        <f t="array" ref="BL63">IF(E63&lt;&gt;"",IFERROR(INDEX(PMtbl[[WKst]:[Unit of measure*]],MATCH($A$8&amp;$A63&amp;$E63&amp;$I63,INDEX(PMtbl[Sec]&amp;PMtbl[Category]&amp;PMtbl[Each]&amp;PMtbl[Packaging],0,),0),11),""),"")</f>
        <v/>
      </c>
      <c r="BO63" s="12">
        <f>IF(N63="",0,IF(SETUP!$E$7="USD",((IF(O63="USD",P63,(P63/'Master Data-C19RM'!$C$2)))),((IF(O63="EUR",P63,(P63*'Master Data-C19RM'!$C$2))))))</f>
        <v>0</v>
      </c>
      <c r="BP63" s="12">
        <f>IF(N63="",0,IF(SETUP!$E$7="USD",((IF(O63="USD",W63,(W63/'Master Data-C19RM'!$D$2)))),((IF(O63="EUR",W63,(W63*'Master Data-C19RM'!$D$2))))))</f>
        <v>0</v>
      </c>
      <c r="BQ63">
        <f>IF(N63="",0,IF(SETUP!$E$7="USD",((IF(O63="USD",AD63,(AD63/'Master Data-C19RM'!$E$2)))),((IF(O63="EUR",AD63,(AD63*'Master Data-C19RM'!$E$2))))))</f>
        <v>0</v>
      </c>
      <c r="BR63">
        <f>IF(N63="",0,IF(SETUP!$E$7="USD",((IF(O63="USD",AK63,(AK63/'Master Data-C19RM'!$F$2)))),((IF(O63="EUR",AK63,(AK63*'Master Data-C19RM'!$F$2))))))</f>
        <v>0</v>
      </c>
      <c r="BS63">
        <f>IF(N63="",0,IF(SETUP!$E$7="USD",((IF(O63="USD",AR63,(AR63/'Master Data-C19RM'!$F$2)))),((IF(O63="EUR",AR63,(AR63*'Master Data-C19RM'!$G$2))))))</f>
        <v>0</v>
      </c>
      <c r="BT63">
        <f>IF(N63="",0,IF(SETUP!$E$7="USD",((IF(O63="USD",AY63,(AY63/'Master Data-C19RM'!$F$2)))),((IF(O63="EUR",AY63,(AY63*'Master Data-C19RM'!$H$2))))))</f>
        <v>0</v>
      </c>
      <c r="BU63" s="12">
        <f>IF(AND(L63="",(COUNTBLANK(A63:K63)=8)),1,0)</f>
        <v>0</v>
      </c>
      <c r="BV63" s="142">
        <f>BF63</f>
        <v>0</v>
      </c>
    </row>
    <row r="64" spans="1:74" ht="14.9" customHeight="1" x14ac:dyDescent="0.35">
      <c r="A64" s="1172"/>
      <c r="B64" s="1172"/>
      <c r="C64" s="1172"/>
      <c r="D64" s="1172"/>
      <c r="E64" s="1172"/>
      <c r="F64" s="1172"/>
      <c r="G64" s="1172"/>
      <c r="H64" s="1172"/>
      <c r="I64" s="1173"/>
      <c r="J64" s="1173"/>
      <c r="K64" s="1173"/>
      <c r="L64" s="493" t="str" cm="1">
        <f t="array" ref="L64">IF(A64&lt;&gt;"",IFERROR(INDEX(PMtbl[[WKst]:[Unit of measure*]],MATCH($A$8&amp;$A64&amp;$E64&amp;$I64,INDEX(PMtbl[Sec]&amp;PMtbl[Category]&amp;PMtbl[Each]&amp;PMtbl[Packaging],0,),0),14),""),"")</f>
        <v/>
      </c>
      <c r="M64" s="480" t="str">
        <f>IF(L64="","",INDEX(SETUP!$E$20:$E$122,(MATCH(INDEX(PMsheet!$D:$E,MATCH(A64,PMsheet!E:E,0),1),SETUP!$D$20:$D$122,0))))</f>
        <v/>
      </c>
      <c r="N64" s="494">
        <f>IF($O64="USD",_xlfn.IFNA(VLOOKUP(A64&amp;E64&amp;I64,PMsheet!J:K,2,0),0),(_xlfn.IFNA(VLOOKUP(A64&amp;E64&amp;I64,PMsheet!J:K,2,0),0)*'Master Data-C19RM'!$C$2))</f>
        <v>0</v>
      </c>
      <c r="O64" s="495" t="str">
        <f>IF(L64="", "",SETUP!$E$7)</f>
        <v/>
      </c>
      <c r="P64" s="445">
        <f>IF($O64="USD",_xlfn.IFNA(VLOOKUP($A64&amp;$E64&amp;$I64,PMsheet!$J:$K,2,0),0),(_xlfn.IFNA(VLOOKUP($A64&amp;$E64&amp;$I64,PMsheet!$J:$K,2,0),0)*'Master Data-C19RM'!$C$2))</f>
        <v>0</v>
      </c>
      <c r="Q64" s="440"/>
      <c r="R64" s="440"/>
      <c r="S64" s="440"/>
      <c r="T64" s="440"/>
      <c r="U64" s="482">
        <f>SUM('C19RM 2021-Pharma'!$Q64:$T64)</f>
        <v>0</v>
      </c>
      <c r="V64" s="484">
        <f>IF(SETUP!$E$7="USD",(U64*(IF(O64="USD",P64,(P64/'Master Data-C19RM'!$C$2)))),(U64*(IF(O64="EUR",P64,(P64*'Master Data-C19RM'!$C$2)))))</f>
        <v>0</v>
      </c>
      <c r="W64" s="445">
        <f>IF($O64="USD",_xlfn.IFNA(VLOOKUP($A64&amp;$E64&amp;$I64,PMsheet!$J:$K,2,0),0),(_xlfn.IFNA(VLOOKUP($A64&amp;$E64&amp;$I64,PMsheet!$J:$K,2,0),0)*'Master Data-C19RM'!$E$2))</f>
        <v>0</v>
      </c>
      <c r="X64" s="440"/>
      <c r="Y64" s="440"/>
      <c r="Z64" s="440"/>
      <c r="AA64" s="440"/>
      <c r="AB64" s="482">
        <f>SUM('C19RM 2021-Pharma'!$X64:$AA64)</f>
        <v>0</v>
      </c>
      <c r="AC64" s="484">
        <f>IF(SETUP!$E$7="USD",(AB64*(IF(O64="USD",W64,(W64/'Master Data-C19RM'!$D$2)))),(AB64*(IF(O64="EUR",W64,(W64*'Master Data-C19RM'!$D$2)))))</f>
        <v>0</v>
      </c>
      <c r="AD64" s="445">
        <f>IF($O64="USD",_xlfn.IFNA(VLOOKUP($A64&amp;$E64&amp;$I64,PMsheet!$J:$K,2,0),0),(_xlfn.IFNA(VLOOKUP($A64&amp;$E64&amp;$I64,PMsheet!$J:$K,2,0),0)*'Master Data-C19RM'!$E$2))</f>
        <v>0</v>
      </c>
      <c r="AE64" s="440"/>
      <c r="AF64" s="440"/>
      <c r="AG64" s="440"/>
      <c r="AH64" s="440"/>
      <c r="AI64" s="482">
        <f>SUM('C19RM 2021-Pharma'!$AE64:$AH64)</f>
        <v>0</v>
      </c>
      <c r="AJ64" s="484">
        <f>IF(SETUP!$E$7="USD",(AI64*(IF(O64="USD",AD64,(AD64/'Master Data-C19RM'!$E$2)))),(AI64*(IF(O64="EUR",AD64,(AD64*'Master Data-C19RM'!$E$2)))))</f>
        <v>0</v>
      </c>
      <c r="AK64" s="445">
        <f>IF($O64="USD",_xlfn.IFNA(VLOOKUP($A64&amp;$E64&amp;$I64,PMsheet!$J:$K,2,0),0),(_xlfn.IFNA(VLOOKUP($A64&amp;$E64&amp;$I64,PMsheet!$J:$K,2,0),0)*'Master Data-C19RM'!$F$2))</f>
        <v>0</v>
      </c>
      <c r="AL64" s="440"/>
      <c r="AM64" s="440"/>
      <c r="AN64" s="440"/>
      <c r="AO64" s="440"/>
      <c r="AP64" s="482">
        <f>SUM('C19RM 2021-Pharma'!$AL64:$AO64)</f>
        <v>0</v>
      </c>
      <c r="AQ64" s="484">
        <f>IF(SETUP!$E$7="USD",(AP64*(IF(O64="USD",AK64,(AK64/'Master Data-C19RM'!$F$2)))),(AP64*(IF(O64="EUR",AK64,(AK64*'Master Data-C19RM'!$F$2)))))</f>
        <v>0</v>
      </c>
      <c r="AR64" s="445">
        <f>IF($O64="USD",_xlfn.IFNA(VLOOKUP($A64&amp;$E64&amp;$I64,PMsheet!$J:$K,2,0),0),(_xlfn.IFNA(VLOOKUP($A64&amp;$E64&amp;$I64,PMsheet!$J:$K,2,0),0)*'Master Data-C19RM'!$G$2))</f>
        <v>0</v>
      </c>
      <c r="AS64" s="440"/>
      <c r="AT64" s="440"/>
      <c r="AU64" s="440"/>
      <c r="AV64" s="440"/>
      <c r="AW64" s="482">
        <f>SUM('C19RM 2021-Pharma'!$AS64:$AV64)</f>
        <v>0</v>
      </c>
      <c r="AX64" s="484">
        <f>IF(SETUP!$E$7="USD",(AW64*(IF(O64="USD",AR64,(AR64/'Master Data-C19RM'!$G$2)))),(AW64*(IF(O64="EUR",AR64,(AR64*'Master Data-C19RM'!$G$2)))))</f>
        <v>0</v>
      </c>
      <c r="AY64" s="889"/>
      <c r="AZ64" s="884"/>
      <c r="BA64" s="884"/>
      <c r="BB64" s="884"/>
      <c r="BC64" s="884"/>
      <c r="BD64" s="884"/>
      <c r="BE64" s="885"/>
      <c r="BF64" s="504">
        <f>'C19RM 2021-Pharma'!$U64+'C19RM 2021-Pharma'!$AB64+'C19RM 2021-Pharma'!$AP64+'C19RM 2021-Pharma'!$AI64+$AW64+$BD64</f>
        <v>0</v>
      </c>
      <c r="BG64" s="484">
        <f>'C19RM 2021-Pharma'!$V64+'C19RM 2021-Pharma'!$AC64+'C19RM 2021-Pharma'!$AQ64+'C19RM 2021-Pharma'!$AJ64+$AX64+$BE64</f>
        <v>0</v>
      </c>
      <c r="BH64" s="499" t="str" cm="1">
        <f t="array" ref="BH64">IF(A64&lt;&gt;"",IFERROR(INDEX(PMtbl[[WKst]:[Unit of measure*]],MATCH($A$8&amp;$A64&amp;$E64&amp;$I64,INDEX(PMtbl[Sec]&amp;PMtbl[Category]&amp;PMtbl[Each]&amp;PMtbl[Packaging],0,),0),11),""),"")</f>
        <v/>
      </c>
      <c r="BI64" s="818"/>
      <c r="BJ64" s="503" t="str">
        <f>IFERROR(INDEX(SETUP!$C$19:$G$121,MATCH((INDEX(PMtbl[[WKst]:[Unit of measure*]],MATCH($A64&amp;$E64&amp;$I64,INDEX(PMtbl[Category]&amp;PMtbl[Each]&amp;PMtbl[Packaging],0,),0),3)),SETUP!$D$19:$D$121,0),5),"")</f>
        <v/>
      </c>
      <c r="BK64" s="439" t="str">
        <f>IFERROR(IF((INDEX(SETUP!$C$19:$G$121,MATCH((INDEX(PMtbl[[WKst]:[Unit of measure*]],MATCH($A64&amp;$E64&amp;$I64,INDEX(PMtbl[Category]&amp;PMtbl[Each]&amp;PMtbl[Packaging],0,),0),3)),SETUP!$D$19:$D$121,0),4))="Upfront",0,INDEX(SETUP!$C$19:$G$121,MATCH((INDEX(PMtbl[[WKst]:[Unit of measure*]],MATCH($A64&amp;$E64&amp;$I64,INDEX(PMtbl[Category]&amp;PMtbl[Each]&amp;PMtbl[Packaging],0,),0),3)),SETUP!$D$19:$D$121,0),5)),"")</f>
        <v/>
      </c>
      <c r="BL64" s="194" t="str" cm="1">
        <f t="array" ref="BL64">IF(E64&lt;&gt;"",IFERROR(INDEX(PMtbl[[WKst]:[Unit of measure*]],MATCH($A$8&amp;$A64&amp;$E64&amp;$I64,INDEX(PMtbl[Sec]&amp;PMtbl[Category]&amp;PMtbl[Each]&amp;PMtbl[Packaging],0,),0),11),""),"")</f>
        <v/>
      </c>
      <c r="BO64" s="12">
        <f>IF(N64="",0,IF(SETUP!$E$7="USD",((IF(O64="USD",P64,(P64/'Master Data-C19RM'!$C$2)))),((IF(O64="EUR",P64,(P64*'Master Data-C19RM'!$C$2))))))</f>
        <v>0</v>
      </c>
      <c r="BP64" s="12">
        <f>IF(N64="",0,IF(SETUP!$E$7="USD",((IF(O64="USD",W64,(W64/'Master Data-C19RM'!$D$2)))),((IF(O64="EUR",W64,(W64*'Master Data-C19RM'!$D$2))))))</f>
        <v>0</v>
      </c>
      <c r="BQ64">
        <f>IF(N64="",0,IF(SETUP!$E$7="USD",((IF(O64="USD",AD64,(AD64/'Master Data-C19RM'!$E$2)))),((IF(O64="EUR",AD64,(AD64*'Master Data-C19RM'!$E$2))))))</f>
        <v>0</v>
      </c>
      <c r="BR64">
        <f>IF(N64="",0,IF(SETUP!$E$7="USD",((IF(O64="USD",AK64,(AK64/'Master Data-C19RM'!$F$2)))),((IF(O64="EUR",AK64,(AK64*'Master Data-C19RM'!$F$2))))))</f>
        <v>0</v>
      </c>
      <c r="BS64">
        <f>IF(N64="",0,IF(SETUP!$E$7="USD",((IF(O64="USD",AR64,(AR64/'Master Data-C19RM'!$F$2)))),((IF(O64="EUR",AR64,(AR64*'Master Data-C19RM'!$G$2))))))</f>
        <v>0</v>
      </c>
      <c r="BT64">
        <f>IF(N64="",0,IF(SETUP!$E$7="USD",((IF(O64="USD",AY64,(AY64/'Master Data-C19RM'!$F$2)))),((IF(O64="EUR",AY64,(AY64*'Master Data-C19RM'!$H$2))))))</f>
        <v>0</v>
      </c>
      <c r="BU64" s="12">
        <f t="shared" ref="BU64:BU113" si="3">IF(AND(L64="",(COUNTBLANK(A64:K64)=8)),1,0)</f>
        <v>0</v>
      </c>
      <c r="BV64" s="142">
        <f t="shared" ref="BV64:BV113" si="4">BF64</f>
        <v>0</v>
      </c>
    </row>
    <row r="65" spans="1:74" ht="14.9" customHeight="1" x14ac:dyDescent="0.35">
      <c r="A65" s="1165"/>
      <c r="B65" s="1165"/>
      <c r="C65" s="1165"/>
      <c r="D65" s="1165"/>
      <c r="E65" s="1166"/>
      <c r="F65" s="1166"/>
      <c r="G65" s="1166"/>
      <c r="H65" s="1166"/>
      <c r="I65" s="1166"/>
      <c r="J65" s="1166"/>
      <c r="K65" s="1166"/>
      <c r="L65" s="490" t="str" cm="1">
        <f t="array" ref="L65">IF(A65&lt;&gt;"",IFERROR(INDEX(PMtbl[[WKst]:[Unit of measure*]],MATCH($A$8&amp;$A65&amp;$E65&amp;$I65,INDEX(PMtbl[Sec]&amp;PMtbl[Category]&amp;PMtbl[Each]&amp;PMtbl[Packaging],0,),0),14),""),"")</f>
        <v/>
      </c>
      <c r="M65" s="479" t="str">
        <f>IF(L65="","",INDEX(SETUP!$E$20:$E$122,(MATCH(INDEX(PMsheet!$D:$E,MATCH(A65,PMsheet!E:E,0),1),SETUP!$D$20:$D$122,0))))</f>
        <v/>
      </c>
      <c r="N65" s="491">
        <f>IF($O65="USD",_xlfn.IFNA(VLOOKUP(A65&amp;E65&amp;I65,PMsheet!J:K,2,0),0),(_xlfn.IFNA(VLOOKUP(A65&amp;E65&amp;I65,PMsheet!J:K,2,0),0)*'Master Data-C19RM'!$C$2))</f>
        <v>0</v>
      </c>
      <c r="O65" s="492" t="str">
        <f>IF(L65="", "",SETUP!$E$7)</f>
        <v/>
      </c>
      <c r="P65" s="444">
        <f>IF($O65="USD",_xlfn.IFNA(VLOOKUP($A65&amp;$E65&amp;$I65,PMsheet!$J:$K,2,0),0),(_xlfn.IFNA(VLOOKUP($A65&amp;$E65&amp;$I65,PMsheet!$J:$K,2,0),0)*'Master Data-C19RM'!$C$2))</f>
        <v>0</v>
      </c>
      <c r="Q65" s="441"/>
      <c r="R65" s="441"/>
      <c r="S65" s="441"/>
      <c r="T65" s="441"/>
      <c r="U65" s="481">
        <f>SUM('C19RM 2021-Pharma'!$Q65:$T65)</f>
        <v>0</v>
      </c>
      <c r="V65" s="483">
        <f>IF(SETUP!$E$7="USD",(U65*(IF(O65="USD",P65,(P65/'Master Data-C19RM'!$C$2)))),(U65*(IF(O65="EUR",P65,(P65*'Master Data-C19RM'!$C$2)))))</f>
        <v>0</v>
      </c>
      <c r="W65" s="444">
        <f>IF($O65="USD",_xlfn.IFNA(VLOOKUP($A65&amp;$E65&amp;$I65,PMsheet!$J:$K,2,0),0),(_xlfn.IFNA(VLOOKUP($A65&amp;$E65&amp;$I65,PMsheet!$J:$K,2,0),0)*'Master Data-C19RM'!$E$2))</f>
        <v>0</v>
      </c>
      <c r="X65" s="441"/>
      <c r="Y65" s="441"/>
      <c r="Z65" s="441"/>
      <c r="AA65" s="441"/>
      <c r="AB65" s="481">
        <f>SUM('C19RM 2021-Pharma'!$X65:$AA65)</f>
        <v>0</v>
      </c>
      <c r="AC65" s="483">
        <f>IF(SETUP!$E$7="USD",(AB65*(IF(O65="USD",W65,(W65/'Master Data-C19RM'!$D$2)))),(AB65*(IF(O65="EUR",W65,(W65*'Master Data-C19RM'!$D$2)))))</f>
        <v>0</v>
      </c>
      <c r="AD65" s="444">
        <f>IF($O65="USD",_xlfn.IFNA(VLOOKUP($A65&amp;$E65&amp;$I65,PMsheet!$J:$K,2,0),0),(_xlfn.IFNA(VLOOKUP($A65&amp;$E65&amp;$I65,PMsheet!$J:$K,2,0),0)*'Master Data-C19RM'!$E$2))</f>
        <v>0</v>
      </c>
      <c r="AE65" s="441"/>
      <c r="AF65" s="441"/>
      <c r="AG65" s="441"/>
      <c r="AH65" s="441"/>
      <c r="AI65" s="481">
        <f>SUM('C19RM 2021-Pharma'!$AE65:$AH65)</f>
        <v>0</v>
      </c>
      <c r="AJ65" s="483">
        <f>IF(SETUP!$E$7="USD",(AI65*(IF(O65="USD",AD65,(AD65/'Master Data-C19RM'!$E$2)))),(AI65*(IF(O65="EUR",AD65,(AD65*'Master Data-C19RM'!$E$2)))))</f>
        <v>0</v>
      </c>
      <c r="AK65" s="444">
        <f>IF($O65="USD",_xlfn.IFNA(VLOOKUP($A65&amp;$E65&amp;$I65,PMsheet!$J:$K,2,0),0),(_xlfn.IFNA(VLOOKUP($A65&amp;$E65&amp;$I65,PMsheet!$J:$K,2,0),0)*'Master Data-C19RM'!$F$2))</f>
        <v>0</v>
      </c>
      <c r="AL65" s="441"/>
      <c r="AM65" s="441"/>
      <c r="AN65" s="441"/>
      <c r="AO65" s="441"/>
      <c r="AP65" s="481">
        <f>SUM('C19RM 2021-Pharma'!$AL65:$AO65)</f>
        <v>0</v>
      </c>
      <c r="AQ65" s="483">
        <f>IF(SETUP!$E$7="USD",(AP65*(IF(O65="USD",AK65,(AK65/'Master Data-C19RM'!$F$2)))),(AP65*(IF(O65="EUR",AK65,(AK65*'Master Data-C19RM'!$F$2)))))</f>
        <v>0</v>
      </c>
      <c r="AR65" s="444">
        <f>IF($O65="USD",_xlfn.IFNA(VLOOKUP($A65&amp;$E65&amp;$I65,PMsheet!$J:$K,2,0),0),(_xlfn.IFNA(VLOOKUP($A65&amp;$E65&amp;$I65,PMsheet!$J:$K,2,0),0)*'Master Data-C19RM'!$G$2))</f>
        <v>0</v>
      </c>
      <c r="AS65" s="441"/>
      <c r="AT65" s="441"/>
      <c r="AU65" s="441"/>
      <c r="AV65" s="441"/>
      <c r="AW65" s="481">
        <f>SUM('C19RM 2021-Pharma'!$AS65:$AV65)</f>
        <v>0</v>
      </c>
      <c r="AX65" s="483">
        <f>IF(SETUP!$E$7="USD",(AW65*(IF(O65="USD",AR65,(AR65/'Master Data-C19RM'!$G$2)))),(AW65*(IF(O65="EUR",AR65,(AR65*'Master Data-C19RM'!$G$2)))))</f>
        <v>0</v>
      </c>
      <c r="AY65" s="886"/>
      <c r="AZ65" s="887"/>
      <c r="BA65" s="887"/>
      <c r="BB65" s="887"/>
      <c r="BC65" s="887"/>
      <c r="BD65" s="887"/>
      <c r="BE65" s="888"/>
      <c r="BF65" s="505">
        <f>'C19RM 2021-Pharma'!$U65+'C19RM 2021-Pharma'!$AB65+'C19RM 2021-Pharma'!$AP65+'C19RM 2021-Pharma'!$AI65+$AW65+$BD65</f>
        <v>0</v>
      </c>
      <c r="BG65" s="483">
        <f>'C19RM 2021-Pharma'!$V65+'C19RM 2021-Pharma'!$AC65+'C19RM 2021-Pharma'!$AQ65+'C19RM 2021-Pharma'!$AJ65+$AX65+$BE65</f>
        <v>0</v>
      </c>
      <c r="BH65" s="500" t="str" cm="1">
        <f t="array" ref="BH65">IF(A65&lt;&gt;"",IFERROR(INDEX(PMtbl[[WKst]:[Unit of measure*]],MATCH($A$8&amp;$A65&amp;$E65&amp;$I65,INDEX(PMtbl[Sec]&amp;PMtbl[Category]&amp;PMtbl[Each]&amp;PMtbl[Packaging],0,),0),11),""),"")</f>
        <v/>
      </c>
      <c r="BI65" s="819"/>
      <c r="BJ65" s="502" t="str">
        <f>IFERROR(INDEX(SETUP!$C$19:$G$121,MATCH((INDEX(PMtbl[[WKst]:[Unit of measure*]],MATCH($A65&amp;$E65&amp;$I65,INDEX(PMtbl[Category]&amp;PMtbl[Each]&amp;PMtbl[Packaging],0,),0),3)),SETUP!$D$19:$D$121,0),5),"")</f>
        <v/>
      </c>
      <c r="BK65" s="438" t="str">
        <f>IFERROR(IF((INDEX(SETUP!$C$19:$G$121,MATCH((INDEX(PMtbl[[WKst]:[Unit of measure*]],MATCH($A65&amp;$E65&amp;$I65,INDEX(PMtbl[Category]&amp;PMtbl[Each]&amp;PMtbl[Packaging],0,),0),3)),SETUP!$D$19:$D$121,0),4))="Upfront",0,INDEX(SETUP!$C$19:$G$121,MATCH((INDEX(PMtbl[[WKst]:[Unit of measure*]],MATCH($A65&amp;$E65&amp;$I65,INDEX(PMtbl[Category]&amp;PMtbl[Each]&amp;PMtbl[Packaging],0,),0),3)),SETUP!$D$19:$D$121,0),5)),"")</f>
        <v/>
      </c>
      <c r="BL65" s="193" t="str" cm="1">
        <f t="array" ref="BL65">IF(E65&lt;&gt;"",IFERROR(INDEX(PMtbl[[WKst]:[Unit of measure*]],MATCH($A$8&amp;$A65&amp;$E65&amp;$I65,INDEX(PMtbl[Sec]&amp;PMtbl[Category]&amp;PMtbl[Each]&amp;PMtbl[Packaging],0,),0),11),""),"")</f>
        <v/>
      </c>
      <c r="BO65" s="12">
        <f>IF(N65="",0,IF(SETUP!$E$7="USD",((IF(O65="USD",P65,(P65/'Master Data-C19RM'!$C$2)))),((IF(O65="EUR",P65,(P65*'Master Data-C19RM'!$C$2))))))</f>
        <v>0</v>
      </c>
      <c r="BP65" s="12">
        <f>IF(N65="",0,IF(SETUP!$E$7="USD",((IF(O65="USD",W65,(W65/'Master Data-C19RM'!$D$2)))),((IF(O65="EUR",W65,(W65*'Master Data-C19RM'!$D$2))))))</f>
        <v>0</v>
      </c>
      <c r="BQ65">
        <f>IF(N65="",0,IF(SETUP!$E$7="USD",((IF(O65="USD",AD65,(AD65/'Master Data-C19RM'!$E$2)))),((IF(O65="EUR",AD65,(AD65*'Master Data-C19RM'!$E$2))))))</f>
        <v>0</v>
      </c>
      <c r="BR65">
        <f>IF(N65="",0,IF(SETUP!$E$7="USD",((IF(O65="USD",AK65,(AK65/'Master Data-C19RM'!$F$2)))),((IF(O65="EUR",AK65,(AK65*'Master Data-C19RM'!$F$2))))))</f>
        <v>0</v>
      </c>
      <c r="BS65">
        <f>IF(N65="",0,IF(SETUP!$E$7="USD",((IF(O65="USD",AR65,(AR65/'Master Data-C19RM'!$F$2)))),((IF(O65="EUR",AR65,(AR65*'Master Data-C19RM'!$G$2))))))</f>
        <v>0</v>
      </c>
      <c r="BT65">
        <f>IF(N65="",0,IF(SETUP!$E$7="USD",((IF(O65="USD",AY65,(AY65/'Master Data-C19RM'!$F$2)))),((IF(O65="EUR",AY65,(AY65*'Master Data-C19RM'!$H$2))))))</f>
        <v>0</v>
      </c>
      <c r="BU65" s="12">
        <f t="shared" si="3"/>
        <v>0</v>
      </c>
      <c r="BV65" s="142">
        <f t="shared" si="4"/>
        <v>0</v>
      </c>
    </row>
    <row r="66" spans="1:74" ht="14.9" customHeight="1" x14ac:dyDescent="0.35">
      <c r="A66" s="1172"/>
      <c r="B66" s="1172"/>
      <c r="C66" s="1172"/>
      <c r="D66" s="1172"/>
      <c r="E66" s="1172"/>
      <c r="F66" s="1172"/>
      <c r="G66" s="1172"/>
      <c r="H66" s="1172"/>
      <c r="I66" s="1173"/>
      <c r="J66" s="1173"/>
      <c r="K66" s="1173"/>
      <c r="L66" s="493" t="str" cm="1">
        <f t="array" ref="L66">IF(A66&lt;&gt;"",IFERROR(INDEX(PMtbl[[WKst]:[Unit of measure*]],MATCH($A$8&amp;$A66&amp;$E66&amp;$I66,INDEX(PMtbl[Sec]&amp;PMtbl[Category]&amp;PMtbl[Each]&amp;PMtbl[Packaging],0,),0),14),""),"")</f>
        <v/>
      </c>
      <c r="M66" s="480" t="str">
        <f>IF(L66="","",INDEX(SETUP!$E$20:$E$122,(MATCH(INDEX(PMsheet!$D:$E,MATCH(A66,PMsheet!E:E,0),1),SETUP!$D$20:$D$122,0))))</f>
        <v/>
      </c>
      <c r="N66" s="494">
        <f>IF($O66="USD",_xlfn.IFNA(VLOOKUP(A66&amp;E66&amp;I66,PMsheet!J:K,2,0),0),(_xlfn.IFNA(VLOOKUP(A66&amp;E66&amp;I66,PMsheet!J:K,2,0),0)*'Master Data-C19RM'!$C$2))</f>
        <v>0</v>
      </c>
      <c r="O66" s="495" t="str">
        <f>IF(L66="", "",SETUP!$E$7)</f>
        <v/>
      </c>
      <c r="P66" s="445">
        <f>IF($O66="USD",_xlfn.IFNA(VLOOKUP($A66&amp;$E66&amp;$I66,PMsheet!$J:$K,2,0),0),(_xlfn.IFNA(VLOOKUP($A66&amp;$E66&amp;$I66,PMsheet!$J:$K,2,0),0)*'Master Data-C19RM'!$C$2))</f>
        <v>0</v>
      </c>
      <c r="Q66" s="440"/>
      <c r="R66" s="440"/>
      <c r="S66" s="440"/>
      <c r="T66" s="440"/>
      <c r="U66" s="482">
        <f>SUM('C19RM 2021-Pharma'!$Q66:$T66)</f>
        <v>0</v>
      </c>
      <c r="V66" s="484">
        <f>IF(SETUP!$E$7="USD",(U66*(IF(O66="USD",P66,(P66/'Master Data-C19RM'!$C$2)))),(U66*(IF(O66="EUR",P66,(P66*'Master Data-C19RM'!$C$2)))))</f>
        <v>0</v>
      </c>
      <c r="W66" s="445">
        <f>IF($O66="USD",_xlfn.IFNA(VLOOKUP($A66&amp;$E66&amp;$I66,PMsheet!$J:$K,2,0),0),(_xlfn.IFNA(VLOOKUP($A66&amp;$E66&amp;$I66,PMsheet!$J:$K,2,0),0)*'Master Data-C19RM'!$E$2))</f>
        <v>0</v>
      </c>
      <c r="X66" s="440"/>
      <c r="Y66" s="440"/>
      <c r="Z66" s="440"/>
      <c r="AA66" s="440"/>
      <c r="AB66" s="482">
        <f>SUM('C19RM 2021-Pharma'!$X66:$AA66)</f>
        <v>0</v>
      </c>
      <c r="AC66" s="484">
        <f>IF(SETUP!$E$7="USD",(AB66*(IF(O66="USD",W66,(W66/'Master Data-C19RM'!$D$2)))),(AB66*(IF(O66="EUR",W66,(W66*'Master Data-C19RM'!$D$2)))))</f>
        <v>0</v>
      </c>
      <c r="AD66" s="445">
        <f>IF($O66="USD",_xlfn.IFNA(VLOOKUP($A66&amp;$E66&amp;$I66,PMsheet!$J:$K,2,0),0),(_xlfn.IFNA(VLOOKUP($A66&amp;$E66&amp;$I66,PMsheet!$J:$K,2,0),0)*'Master Data-C19RM'!$E$2))</f>
        <v>0</v>
      </c>
      <c r="AE66" s="440"/>
      <c r="AF66" s="440"/>
      <c r="AG66" s="440"/>
      <c r="AH66" s="440"/>
      <c r="AI66" s="482">
        <f>SUM('C19RM 2021-Pharma'!$AE66:$AH66)</f>
        <v>0</v>
      </c>
      <c r="AJ66" s="484">
        <f>IF(SETUP!$E$7="USD",(AI66*(IF(O66="USD",AD66,(AD66/'Master Data-C19RM'!$E$2)))),(AI66*(IF(O66="EUR",AD66,(AD66*'Master Data-C19RM'!$E$2)))))</f>
        <v>0</v>
      </c>
      <c r="AK66" s="445">
        <f>IF($O66="USD",_xlfn.IFNA(VLOOKUP($A66&amp;$E66&amp;$I66,PMsheet!$J:$K,2,0),0),(_xlfn.IFNA(VLOOKUP($A66&amp;$E66&amp;$I66,PMsheet!$J:$K,2,0),0)*'Master Data-C19RM'!$F$2))</f>
        <v>0</v>
      </c>
      <c r="AL66" s="440"/>
      <c r="AM66" s="440"/>
      <c r="AN66" s="440"/>
      <c r="AO66" s="440"/>
      <c r="AP66" s="482">
        <f>SUM('C19RM 2021-Pharma'!$AL66:$AO66)</f>
        <v>0</v>
      </c>
      <c r="AQ66" s="484">
        <f>IF(SETUP!$E$7="USD",(AP66*(IF(O66="USD",AK66,(AK66/'Master Data-C19RM'!$F$2)))),(AP66*(IF(O66="EUR",AK66,(AK66*'Master Data-C19RM'!$F$2)))))</f>
        <v>0</v>
      </c>
      <c r="AR66" s="445">
        <f>IF($O66="USD",_xlfn.IFNA(VLOOKUP($A66&amp;$E66&amp;$I66,PMsheet!$J:$K,2,0),0),(_xlfn.IFNA(VLOOKUP($A66&amp;$E66&amp;$I66,PMsheet!$J:$K,2,0),0)*'Master Data-C19RM'!$G$2))</f>
        <v>0</v>
      </c>
      <c r="AS66" s="440"/>
      <c r="AT66" s="440"/>
      <c r="AU66" s="440"/>
      <c r="AV66" s="440"/>
      <c r="AW66" s="482">
        <f>SUM('C19RM 2021-Pharma'!$AS66:$AV66)</f>
        <v>0</v>
      </c>
      <c r="AX66" s="484">
        <f>IF(SETUP!$E$7="USD",(AW66*(IF(O66="USD",AR66,(AR66/'Master Data-C19RM'!$G$2)))),(AW66*(IF(O66="EUR",AR66,(AR66*'Master Data-C19RM'!$G$2)))))</f>
        <v>0</v>
      </c>
      <c r="AY66" s="889"/>
      <c r="AZ66" s="884"/>
      <c r="BA66" s="884"/>
      <c r="BB66" s="884"/>
      <c r="BC66" s="884"/>
      <c r="BD66" s="884"/>
      <c r="BE66" s="885"/>
      <c r="BF66" s="504">
        <f>'C19RM 2021-Pharma'!$U66+'C19RM 2021-Pharma'!$AB66+'C19RM 2021-Pharma'!$AP66+'C19RM 2021-Pharma'!$AI66+$AW66+$BD66</f>
        <v>0</v>
      </c>
      <c r="BG66" s="484">
        <f>'C19RM 2021-Pharma'!$V66+'C19RM 2021-Pharma'!$AC66+'C19RM 2021-Pharma'!$AQ66+'C19RM 2021-Pharma'!$AJ66+$AX66+$BE66</f>
        <v>0</v>
      </c>
      <c r="BH66" s="499" t="str" cm="1">
        <f t="array" ref="BH66">IF(A66&lt;&gt;"",IFERROR(INDEX(PMtbl[[WKst]:[Unit of measure*]],MATCH($A$8&amp;$A66&amp;$E66&amp;$I66,INDEX(PMtbl[Sec]&amp;PMtbl[Category]&amp;PMtbl[Each]&amp;PMtbl[Packaging],0,),0),11),""),"")</f>
        <v/>
      </c>
      <c r="BI66" s="818"/>
      <c r="BJ66" s="503" t="str">
        <f>IFERROR(INDEX(SETUP!$C$19:$G$121,MATCH((INDEX(PMtbl[[WKst]:[Unit of measure*]],MATCH($A66&amp;$E66&amp;$I66,INDEX(PMtbl[Category]&amp;PMtbl[Each]&amp;PMtbl[Packaging],0,),0),3)),SETUP!$D$19:$D$121,0),5),"")</f>
        <v/>
      </c>
      <c r="BK66" s="439" t="str">
        <f>IFERROR(IF((INDEX(SETUP!$C$19:$G$121,MATCH((INDEX(PMtbl[[WKst]:[Unit of measure*]],MATCH($A66&amp;$E66&amp;$I66,INDEX(PMtbl[Category]&amp;PMtbl[Each]&amp;PMtbl[Packaging],0,),0),3)),SETUP!$D$19:$D$121,0),4))="Upfront",0,INDEX(SETUP!$C$19:$G$121,MATCH((INDEX(PMtbl[[WKst]:[Unit of measure*]],MATCH($A66&amp;$E66&amp;$I66,INDEX(PMtbl[Category]&amp;PMtbl[Each]&amp;PMtbl[Packaging],0,),0),3)),SETUP!$D$19:$D$121,0),5)),"")</f>
        <v/>
      </c>
      <c r="BL66" s="194" t="str" cm="1">
        <f t="array" ref="BL66">IF(E66&lt;&gt;"",IFERROR(INDEX(PMtbl[[WKst]:[Unit of measure*]],MATCH($A$8&amp;$A66&amp;$E66&amp;$I66,INDEX(PMtbl[Sec]&amp;PMtbl[Category]&amp;PMtbl[Each]&amp;PMtbl[Packaging],0,),0),11),""),"")</f>
        <v/>
      </c>
      <c r="BO66" s="12">
        <f>IF(N66="",0,IF(SETUP!$E$7="USD",((IF(O66="USD",P66,(P66/'Master Data-C19RM'!$C$2)))),((IF(O66="EUR",P66,(P66*'Master Data-C19RM'!$C$2))))))</f>
        <v>0</v>
      </c>
      <c r="BP66" s="12">
        <f>IF(N66="",0,IF(SETUP!$E$7="USD",((IF(O66="USD",W66,(W66/'Master Data-C19RM'!$D$2)))),((IF(O66="EUR",W66,(W66*'Master Data-C19RM'!$D$2))))))</f>
        <v>0</v>
      </c>
      <c r="BQ66">
        <f>IF(N66="",0,IF(SETUP!$E$7="USD",((IF(O66="USD",AD66,(AD66/'Master Data-C19RM'!$E$2)))),((IF(O66="EUR",AD66,(AD66*'Master Data-C19RM'!$E$2))))))</f>
        <v>0</v>
      </c>
      <c r="BR66">
        <f>IF(N66="",0,IF(SETUP!$E$7="USD",((IF(O66="USD",AK66,(AK66/'Master Data-C19RM'!$F$2)))),((IF(O66="EUR",AK66,(AK66*'Master Data-C19RM'!$F$2))))))</f>
        <v>0</v>
      </c>
      <c r="BS66">
        <f>IF(N66="",0,IF(SETUP!$E$7="USD",((IF(O66="USD",AR66,(AR66/'Master Data-C19RM'!$F$2)))),((IF(O66="EUR",AR66,(AR66*'Master Data-C19RM'!$G$2))))))</f>
        <v>0</v>
      </c>
      <c r="BT66">
        <f>IF(N66="",0,IF(SETUP!$E$7="USD",((IF(O66="USD",AY66,(AY66/'Master Data-C19RM'!$F$2)))),((IF(O66="EUR",AY66,(AY66*'Master Data-C19RM'!$H$2))))))</f>
        <v>0</v>
      </c>
      <c r="BU66" s="12">
        <f t="shared" si="3"/>
        <v>0</v>
      </c>
      <c r="BV66" s="142">
        <f t="shared" si="4"/>
        <v>0</v>
      </c>
    </row>
    <row r="67" spans="1:74" ht="14.9" customHeight="1" x14ac:dyDescent="0.35">
      <c r="A67" s="1165"/>
      <c r="B67" s="1165"/>
      <c r="C67" s="1165"/>
      <c r="D67" s="1165"/>
      <c r="E67" s="1166"/>
      <c r="F67" s="1166"/>
      <c r="G67" s="1166"/>
      <c r="H67" s="1166"/>
      <c r="I67" s="1166"/>
      <c r="J67" s="1166"/>
      <c r="K67" s="1166"/>
      <c r="L67" s="490" t="str" cm="1">
        <f t="array" ref="L67">IF(A67&lt;&gt;"",IFERROR(INDEX(PMtbl[[WKst]:[Unit of measure*]],MATCH($A$8&amp;$A67&amp;$E67&amp;$I67,INDEX(PMtbl[Sec]&amp;PMtbl[Category]&amp;PMtbl[Each]&amp;PMtbl[Packaging],0,),0),14),""),"")</f>
        <v/>
      </c>
      <c r="M67" s="479" t="str">
        <f>IF(L67="","",INDEX(SETUP!$E$20:$E$122,(MATCH(INDEX(PMsheet!$D:$E,MATCH(A67,PMsheet!E:E,0),1),SETUP!$D$20:$D$122,0))))</f>
        <v/>
      </c>
      <c r="N67" s="491">
        <f>IF($O67="USD",_xlfn.IFNA(VLOOKUP(A67&amp;E67&amp;I67,PMsheet!J:K,2,0),0),(_xlfn.IFNA(VLOOKUP(A67&amp;E67&amp;I67,PMsheet!J:K,2,0),0)*'Master Data-C19RM'!$C$2))</f>
        <v>0</v>
      </c>
      <c r="O67" s="492" t="str">
        <f>IF(L67="", "",SETUP!$E$7)</f>
        <v/>
      </c>
      <c r="P67" s="444">
        <f>IF($O67="USD",_xlfn.IFNA(VLOOKUP($A67&amp;$E67&amp;$I67,PMsheet!$J:$K,2,0),0),(_xlfn.IFNA(VLOOKUP($A67&amp;$E67&amp;$I67,PMsheet!$J:$K,2,0),0)*'Master Data-C19RM'!$C$2))</f>
        <v>0</v>
      </c>
      <c r="Q67" s="441"/>
      <c r="R67" s="441"/>
      <c r="S67" s="441"/>
      <c r="T67" s="441"/>
      <c r="U67" s="481">
        <f>SUM('C19RM 2021-Pharma'!$Q67:$T67)</f>
        <v>0</v>
      </c>
      <c r="V67" s="483">
        <f>IF(SETUP!$E$7="USD",(U67*(IF(O67="USD",P67,(P67/'Master Data-C19RM'!$C$2)))),(U67*(IF(O67="EUR",P67,(P67*'Master Data-C19RM'!$C$2)))))</f>
        <v>0</v>
      </c>
      <c r="W67" s="444">
        <f>IF($O67="USD",_xlfn.IFNA(VLOOKUP($A67&amp;$E67&amp;$I67,PMsheet!$J:$K,2,0),0),(_xlfn.IFNA(VLOOKUP($A67&amp;$E67&amp;$I67,PMsheet!$J:$K,2,0),0)*'Master Data-C19RM'!$E$2))</f>
        <v>0</v>
      </c>
      <c r="X67" s="441"/>
      <c r="Y67" s="441"/>
      <c r="Z67" s="441"/>
      <c r="AA67" s="441"/>
      <c r="AB67" s="481">
        <f>SUM('C19RM 2021-Pharma'!$X67:$AA67)</f>
        <v>0</v>
      </c>
      <c r="AC67" s="483">
        <f>IF(SETUP!$E$7="USD",(AB67*(IF(O67="USD",W67,(W67/'Master Data-C19RM'!$D$2)))),(AB67*(IF(O67="EUR",W67,(W67*'Master Data-C19RM'!$D$2)))))</f>
        <v>0</v>
      </c>
      <c r="AD67" s="444">
        <f>IF($O67="USD",_xlfn.IFNA(VLOOKUP($A67&amp;$E67&amp;$I67,PMsheet!$J:$K,2,0),0),(_xlfn.IFNA(VLOOKUP($A67&amp;$E67&amp;$I67,PMsheet!$J:$K,2,0),0)*'Master Data-C19RM'!$E$2))</f>
        <v>0</v>
      </c>
      <c r="AE67" s="441"/>
      <c r="AF67" s="441"/>
      <c r="AG67" s="441"/>
      <c r="AH67" s="441"/>
      <c r="AI67" s="481">
        <f>SUM('C19RM 2021-Pharma'!$AE67:$AH67)</f>
        <v>0</v>
      </c>
      <c r="AJ67" s="483">
        <f>IF(SETUP!$E$7="USD",(AI67*(IF(O67="USD",AD67,(AD67/'Master Data-C19RM'!$E$2)))),(AI67*(IF(O67="EUR",AD67,(AD67*'Master Data-C19RM'!$E$2)))))</f>
        <v>0</v>
      </c>
      <c r="AK67" s="444">
        <f>IF($O67="USD",_xlfn.IFNA(VLOOKUP($A67&amp;$E67&amp;$I67,PMsheet!$J:$K,2,0),0),(_xlfn.IFNA(VLOOKUP($A67&amp;$E67&amp;$I67,PMsheet!$J:$K,2,0),0)*'Master Data-C19RM'!$F$2))</f>
        <v>0</v>
      </c>
      <c r="AL67" s="441"/>
      <c r="AM67" s="441"/>
      <c r="AN67" s="441"/>
      <c r="AO67" s="441"/>
      <c r="AP67" s="481">
        <f>SUM('C19RM 2021-Pharma'!$AL67:$AO67)</f>
        <v>0</v>
      </c>
      <c r="AQ67" s="483">
        <f>IF(SETUP!$E$7="USD",(AP67*(IF(O67="USD",AK67,(AK67/'Master Data-C19RM'!$F$2)))),(AP67*(IF(O67="EUR",AK67,(AK67*'Master Data-C19RM'!$F$2)))))</f>
        <v>0</v>
      </c>
      <c r="AR67" s="444">
        <f>IF($O67="USD",_xlfn.IFNA(VLOOKUP($A67&amp;$E67&amp;$I67,PMsheet!$J:$K,2,0),0),(_xlfn.IFNA(VLOOKUP($A67&amp;$E67&amp;$I67,PMsheet!$J:$K,2,0),0)*'Master Data-C19RM'!$G$2))</f>
        <v>0</v>
      </c>
      <c r="AS67" s="441"/>
      <c r="AT67" s="441"/>
      <c r="AU67" s="441"/>
      <c r="AV67" s="441"/>
      <c r="AW67" s="481">
        <f>SUM('C19RM 2021-Pharma'!$AS67:$AV67)</f>
        <v>0</v>
      </c>
      <c r="AX67" s="483">
        <f>IF(SETUP!$E$7="USD",(AW67*(IF(O67="USD",AR67,(AR67/'Master Data-C19RM'!$G$2)))),(AW67*(IF(O67="EUR",AR67,(AR67*'Master Data-C19RM'!$G$2)))))</f>
        <v>0</v>
      </c>
      <c r="AY67" s="886"/>
      <c r="AZ67" s="887"/>
      <c r="BA67" s="887"/>
      <c r="BB67" s="887"/>
      <c r="BC67" s="887"/>
      <c r="BD67" s="887"/>
      <c r="BE67" s="888"/>
      <c r="BF67" s="505">
        <f>'C19RM 2021-Pharma'!$U67+'C19RM 2021-Pharma'!$AB67+'C19RM 2021-Pharma'!$AP67+'C19RM 2021-Pharma'!$AI67+$AW67+$BD67</f>
        <v>0</v>
      </c>
      <c r="BG67" s="483">
        <f>'C19RM 2021-Pharma'!$V67+'C19RM 2021-Pharma'!$AC67+'C19RM 2021-Pharma'!$AQ67+'C19RM 2021-Pharma'!$AJ67+$AX67+$BE67</f>
        <v>0</v>
      </c>
      <c r="BH67" s="500" t="str" cm="1">
        <f t="array" ref="BH67">IF(A67&lt;&gt;"",IFERROR(INDEX(PMtbl[[WKst]:[Unit of measure*]],MATCH($A$8&amp;$A67&amp;$E67&amp;$I67,INDEX(PMtbl[Sec]&amp;PMtbl[Category]&amp;PMtbl[Each]&amp;PMtbl[Packaging],0,),0),11),""),"")</f>
        <v/>
      </c>
      <c r="BI67" s="819"/>
      <c r="BJ67" s="502" t="str">
        <f>IFERROR(INDEX(SETUP!$C$19:$G$121,MATCH((INDEX(PMtbl[[WKst]:[Unit of measure*]],MATCH($A67&amp;$E67&amp;$I67,INDEX(PMtbl[Category]&amp;PMtbl[Each]&amp;PMtbl[Packaging],0,),0),3)),SETUP!$D$19:$D$121,0),5),"")</f>
        <v/>
      </c>
      <c r="BK67" s="438" t="str">
        <f>IFERROR(IF((INDEX(SETUP!$C$19:$G$121,MATCH((INDEX(PMtbl[[WKst]:[Unit of measure*]],MATCH($A67&amp;$E67&amp;$I67,INDEX(PMtbl[Category]&amp;PMtbl[Each]&amp;PMtbl[Packaging],0,),0),3)),SETUP!$D$19:$D$121,0),4))="Upfront",0,INDEX(SETUP!$C$19:$G$121,MATCH((INDEX(PMtbl[[WKst]:[Unit of measure*]],MATCH($A67&amp;$E67&amp;$I67,INDEX(PMtbl[Category]&amp;PMtbl[Each]&amp;PMtbl[Packaging],0,),0),3)),SETUP!$D$19:$D$121,0),5)),"")</f>
        <v/>
      </c>
      <c r="BL67" s="193" t="str" cm="1">
        <f t="array" ref="BL67">IF(E67&lt;&gt;"",IFERROR(INDEX(PMtbl[[WKst]:[Unit of measure*]],MATCH($A$8&amp;$A67&amp;$E67&amp;$I67,INDEX(PMtbl[Sec]&amp;PMtbl[Category]&amp;PMtbl[Each]&amp;PMtbl[Packaging],0,),0),11),""),"")</f>
        <v/>
      </c>
      <c r="BO67" s="12">
        <f>IF(N67="",0,IF(SETUP!$E$7="USD",((IF(O67="USD",P67,(P67/'Master Data-C19RM'!$C$2)))),((IF(O67="EUR",P67,(P67*'Master Data-C19RM'!$C$2))))))</f>
        <v>0</v>
      </c>
      <c r="BP67" s="12">
        <f>IF(N67="",0,IF(SETUP!$E$7="USD",((IF(O67="USD",W67,(W67/'Master Data-C19RM'!$D$2)))),((IF(O67="EUR",W67,(W67*'Master Data-C19RM'!$D$2))))))</f>
        <v>0</v>
      </c>
      <c r="BQ67">
        <f>IF(N67="",0,IF(SETUP!$E$7="USD",((IF(O67="USD",AD67,(AD67/'Master Data-C19RM'!$E$2)))),((IF(O67="EUR",AD67,(AD67*'Master Data-C19RM'!$E$2))))))</f>
        <v>0</v>
      </c>
      <c r="BR67">
        <f>IF(N67="",0,IF(SETUP!$E$7="USD",((IF(O67="USD",AK67,(AK67/'Master Data-C19RM'!$F$2)))),((IF(O67="EUR",AK67,(AK67*'Master Data-C19RM'!$F$2))))))</f>
        <v>0</v>
      </c>
      <c r="BS67">
        <f>IF(N67="",0,IF(SETUP!$E$7="USD",((IF(O67="USD",AR67,(AR67/'Master Data-C19RM'!$F$2)))),((IF(O67="EUR",AR67,(AR67*'Master Data-C19RM'!$G$2))))))</f>
        <v>0</v>
      </c>
      <c r="BT67">
        <f>IF(N67="",0,IF(SETUP!$E$7="USD",((IF(O67="USD",AY67,(AY67/'Master Data-C19RM'!$F$2)))),((IF(O67="EUR",AY67,(AY67*'Master Data-C19RM'!$H$2))))))</f>
        <v>0</v>
      </c>
      <c r="BU67" s="12">
        <f t="shared" si="3"/>
        <v>0</v>
      </c>
      <c r="BV67" s="142">
        <f t="shared" si="4"/>
        <v>0</v>
      </c>
    </row>
    <row r="68" spans="1:74" ht="14.9" customHeight="1" x14ac:dyDescent="0.35">
      <c r="A68" s="1172"/>
      <c r="B68" s="1172"/>
      <c r="C68" s="1172"/>
      <c r="D68" s="1172"/>
      <c r="E68" s="1172"/>
      <c r="F68" s="1172"/>
      <c r="G68" s="1172"/>
      <c r="H68" s="1172"/>
      <c r="I68" s="1173"/>
      <c r="J68" s="1173"/>
      <c r="K68" s="1173"/>
      <c r="L68" s="493" t="str" cm="1">
        <f t="array" ref="L68">IF(A68&lt;&gt;"",IFERROR(INDEX(PMtbl[[WKst]:[Unit of measure*]],MATCH($A$8&amp;$A68&amp;$E68&amp;$I68,INDEX(PMtbl[Sec]&amp;PMtbl[Category]&amp;PMtbl[Each]&amp;PMtbl[Packaging],0,),0),14),""),"")</f>
        <v/>
      </c>
      <c r="M68" s="480" t="str">
        <f>IF(L68="","",INDEX(SETUP!$E$20:$E$122,(MATCH(INDEX(PMsheet!$D:$E,MATCH(A68,PMsheet!E:E,0),1),SETUP!$D$20:$D$122,0))))</f>
        <v/>
      </c>
      <c r="N68" s="494">
        <f>IF($O68="USD",_xlfn.IFNA(VLOOKUP(A68&amp;E68&amp;I68,PMsheet!J:K,2,0),0),(_xlfn.IFNA(VLOOKUP(A68&amp;E68&amp;I68,PMsheet!J:K,2,0),0)*'Master Data-C19RM'!$C$2))</f>
        <v>0</v>
      </c>
      <c r="O68" s="495" t="str">
        <f>IF(L68="", "",SETUP!$E$7)</f>
        <v/>
      </c>
      <c r="P68" s="445">
        <f>IF($O68="USD",_xlfn.IFNA(VLOOKUP($A68&amp;$E68&amp;$I68,PMsheet!$J:$K,2,0),0),(_xlfn.IFNA(VLOOKUP($A68&amp;$E68&amp;$I68,PMsheet!$J:$K,2,0),0)*'Master Data-C19RM'!$C$2))</f>
        <v>0</v>
      </c>
      <c r="Q68" s="440"/>
      <c r="R68" s="440"/>
      <c r="S68" s="440"/>
      <c r="T68" s="440"/>
      <c r="U68" s="482">
        <f>SUM('C19RM 2021-Pharma'!$Q68:$T68)</f>
        <v>0</v>
      </c>
      <c r="V68" s="484">
        <f>IF(SETUP!$E$7="USD",(U68*(IF(O68="USD",P68,(P68/'Master Data-C19RM'!$C$2)))),(U68*(IF(O68="EUR",P68,(P68*'Master Data-C19RM'!$C$2)))))</f>
        <v>0</v>
      </c>
      <c r="W68" s="445">
        <f>IF($O68="USD",_xlfn.IFNA(VLOOKUP($A68&amp;$E68&amp;$I68,PMsheet!$J:$K,2,0),0),(_xlfn.IFNA(VLOOKUP($A68&amp;$E68&amp;$I68,PMsheet!$J:$K,2,0),0)*'Master Data-C19RM'!$E$2))</f>
        <v>0</v>
      </c>
      <c r="X68" s="440"/>
      <c r="Y68" s="440"/>
      <c r="Z68" s="440"/>
      <c r="AA68" s="440"/>
      <c r="AB68" s="482">
        <f>SUM('C19RM 2021-Pharma'!$X68:$AA68)</f>
        <v>0</v>
      </c>
      <c r="AC68" s="484">
        <f>IF(SETUP!$E$7="USD",(AB68*(IF(O68="USD",W68,(W68/'Master Data-C19RM'!$D$2)))),(AB68*(IF(O68="EUR",W68,(W68*'Master Data-C19RM'!$D$2)))))</f>
        <v>0</v>
      </c>
      <c r="AD68" s="445">
        <f>IF($O68="USD",_xlfn.IFNA(VLOOKUP($A68&amp;$E68&amp;$I68,PMsheet!$J:$K,2,0),0),(_xlfn.IFNA(VLOOKUP($A68&amp;$E68&amp;$I68,PMsheet!$J:$K,2,0),0)*'Master Data-C19RM'!$E$2))</f>
        <v>0</v>
      </c>
      <c r="AE68" s="440"/>
      <c r="AF68" s="440"/>
      <c r="AG68" s="440"/>
      <c r="AH68" s="440"/>
      <c r="AI68" s="482">
        <f>SUM('C19RM 2021-Pharma'!$AE68:$AH68)</f>
        <v>0</v>
      </c>
      <c r="AJ68" s="484">
        <f>IF(SETUP!$E$7="USD",(AI68*(IF(O68="USD",AD68,(AD68/'Master Data-C19RM'!$E$2)))),(AI68*(IF(O68="EUR",AD68,(AD68*'Master Data-C19RM'!$E$2)))))</f>
        <v>0</v>
      </c>
      <c r="AK68" s="445">
        <f>IF($O68="USD",_xlfn.IFNA(VLOOKUP($A68&amp;$E68&amp;$I68,PMsheet!$J:$K,2,0),0),(_xlfn.IFNA(VLOOKUP($A68&amp;$E68&amp;$I68,PMsheet!$J:$K,2,0),0)*'Master Data-C19RM'!$F$2))</f>
        <v>0</v>
      </c>
      <c r="AL68" s="440"/>
      <c r="AM68" s="440"/>
      <c r="AN68" s="440"/>
      <c r="AO68" s="440"/>
      <c r="AP68" s="482">
        <f>SUM('C19RM 2021-Pharma'!$AL68:$AO68)</f>
        <v>0</v>
      </c>
      <c r="AQ68" s="484">
        <f>IF(SETUP!$E$7="USD",(AP68*(IF(O68="USD",AK68,(AK68/'Master Data-C19RM'!$F$2)))),(AP68*(IF(O68="EUR",AK68,(AK68*'Master Data-C19RM'!$F$2)))))</f>
        <v>0</v>
      </c>
      <c r="AR68" s="445">
        <f>IF($O68="USD",_xlfn.IFNA(VLOOKUP($A68&amp;$E68&amp;$I68,PMsheet!$J:$K,2,0),0),(_xlfn.IFNA(VLOOKUP($A68&amp;$E68&amp;$I68,PMsheet!$J:$K,2,0),0)*'Master Data-C19RM'!$G$2))</f>
        <v>0</v>
      </c>
      <c r="AS68" s="440"/>
      <c r="AT68" s="440"/>
      <c r="AU68" s="440"/>
      <c r="AV68" s="440"/>
      <c r="AW68" s="482">
        <f>SUM('C19RM 2021-Pharma'!$AS68:$AV68)</f>
        <v>0</v>
      </c>
      <c r="AX68" s="484">
        <f>IF(SETUP!$E$7="USD",(AW68*(IF(O68="USD",AR68,(AR68/'Master Data-C19RM'!$G$2)))),(AW68*(IF(O68="EUR",AR68,(AR68*'Master Data-C19RM'!$G$2)))))</f>
        <v>0</v>
      </c>
      <c r="AY68" s="889"/>
      <c r="AZ68" s="884"/>
      <c r="BA68" s="884"/>
      <c r="BB68" s="884"/>
      <c r="BC68" s="884"/>
      <c r="BD68" s="884"/>
      <c r="BE68" s="885"/>
      <c r="BF68" s="504">
        <f>'C19RM 2021-Pharma'!$U68+'C19RM 2021-Pharma'!$AB68+'C19RM 2021-Pharma'!$AP68+'C19RM 2021-Pharma'!$AI68+$AW68+$BD68</f>
        <v>0</v>
      </c>
      <c r="BG68" s="484">
        <f>'C19RM 2021-Pharma'!$V68+'C19RM 2021-Pharma'!$AC68+'C19RM 2021-Pharma'!$AQ68+'C19RM 2021-Pharma'!$AJ68+$AX68+$BE68</f>
        <v>0</v>
      </c>
      <c r="BH68" s="499" t="str" cm="1">
        <f t="array" ref="BH68">IF(A68&lt;&gt;"",IFERROR(INDEX(PMtbl[[WKst]:[Unit of measure*]],MATCH($A$8&amp;$A68&amp;$E68&amp;$I68,INDEX(PMtbl[Sec]&amp;PMtbl[Category]&amp;PMtbl[Each]&amp;PMtbl[Packaging],0,),0),11),""),"")</f>
        <v/>
      </c>
      <c r="BI68" s="818"/>
      <c r="BJ68" s="503" t="str">
        <f>IFERROR(INDEX(SETUP!$C$19:$G$121,MATCH((INDEX(PMtbl[[WKst]:[Unit of measure*]],MATCH($A68&amp;$E68&amp;$I68,INDEX(PMtbl[Category]&amp;PMtbl[Each]&amp;PMtbl[Packaging],0,),0),3)),SETUP!$D$19:$D$121,0),5),"")</f>
        <v/>
      </c>
      <c r="BK68" s="439" t="str">
        <f>IFERROR(IF((INDEX(SETUP!$C$19:$G$121,MATCH((INDEX(PMtbl[[WKst]:[Unit of measure*]],MATCH($A68&amp;$E68&amp;$I68,INDEX(PMtbl[Category]&amp;PMtbl[Each]&amp;PMtbl[Packaging],0,),0),3)),SETUP!$D$19:$D$121,0),4))="Upfront",0,INDEX(SETUP!$C$19:$G$121,MATCH((INDEX(PMtbl[[WKst]:[Unit of measure*]],MATCH($A68&amp;$E68&amp;$I68,INDEX(PMtbl[Category]&amp;PMtbl[Each]&amp;PMtbl[Packaging],0,),0),3)),SETUP!$D$19:$D$121,0),5)),"")</f>
        <v/>
      </c>
      <c r="BL68" s="194" t="str" cm="1">
        <f t="array" ref="BL68">IF(E68&lt;&gt;"",IFERROR(INDEX(PMtbl[[WKst]:[Unit of measure*]],MATCH($A$8&amp;$A68&amp;$E68&amp;$I68,INDEX(PMtbl[Sec]&amp;PMtbl[Category]&amp;PMtbl[Each]&amp;PMtbl[Packaging],0,),0),11),""),"")</f>
        <v/>
      </c>
      <c r="BO68" s="12">
        <f>IF(N68="",0,IF(SETUP!$E$7="USD",((IF(O68="USD",P68,(P68/'Master Data-C19RM'!$C$2)))),((IF(O68="EUR",P68,(P68*'Master Data-C19RM'!$C$2))))))</f>
        <v>0</v>
      </c>
      <c r="BP68" s="12">
        <f>IF(N68="",0,IF(SETUP!$E$7="USD",((IF(O68="USD",W68,(W68/'Master Data-C19RM'!$D$2)))),((IF(O68="EUR",W68,(W68*'Master Data-C19RM'!$D$2))))))</f>
        <v>0</v>
      </c>
      <c r="BQ68">
        <f>IF(N68="",0,IF(SETUP!$E$7="USD",((IF(O68="USD",AD68,(AD68/'Master Data-C19RM'!$E$2)))),((IF(O68="EUR",AD68,(AD68*'Master Data-C19RM'!$E$2))))))</f>
        <v>0</v>
      </c>
      <c r="BR68">
        <f>IF(N68="",0,IF(SETUP!$E$7="USD",((IF(O68="USD",AK68,(AK68/'Master Data-C19RM'!$F$2)))),((IF(O68="EUR",AK68,(AK68*'Master Data-C19RM'!$F$2))))))</f>
        <v>0</v>
      </c>
      <c r="BS68">
        <f>IF(N68="",0,IF(SETUP!$E$7="USD",((IF(O68="USD",AR68,(AR68/'Master Data-C19RM'!$F$2)))),((IF(O68="EUR",AR68,(AR68*'Master Data-C19RM'!$G$2))))))</f>
        <v>0</v>
      </c>
      <c r="BT68">
        <f>IF(N68="",0,IF(SETUP!$E$7="USD",((IF(O68="USD",AY68,(AY68/'Master Data-C19RM'!$F$2)))),((IF(O68="EUR",AY68,(AY68*'Master Data-C19RM'!$H$2))))))</f>
        <v>0</v>
      </c>
      <c r="BU68" s="12">
        <f t="shared" si="3"/>
        <v>0</v>
      </c>
      <c r="BV68" s="142">
        <f t="shared" si="4"/>
        <v>0</v>
      </c>
    </row>
    <row r="69" spans="1:74" ht="14.9" customHeight="1" x14ac:dyDescent="0.35">
      <c r="A69" s="1165"/>
      <c r="B69" s="1165"/>
      <c r="C69" s="1165"/>
      <c r="D69" s="1165"/>
      <c r="E69" s="1166"/>
      <c r="F69" s="1166"/>
      <c r="G69" s="1166"/>
      <c r="H69" s="1166"/>
      <c r="I69" s="1166"/>
      <c r="J69" s="1166"/>
      <c r="K69" s="1166"/>
      <c r="L69" s="490" t="str" cm="1">
        <f t="array" ref="L69">IF(A69&lt;&gt;"",IFERROR(INDEX(PMtbl[[WKst]:[Unit of measure*]],MATCH($A$8&amp;$A69&amp;$E69&amp;$I69,INDEX(PMtbl[Sec]&amp;PMtbl[Category]&amp;PMtbl[Each]&amp;PMtbl[Packaging],0,),0),14),""),"")</f>
        <v/>
      </c>
      <c r="M69" s="479" t="str">
        <f>IF(L69="","",INDEX(SETUP!$E$20:$E$122,(MATCH(INDEX(PMsheet!$D:$E,MATCH(A69,PMsheet!E:E,0),1),SETUP!$D$20:$D$122,0))))</f>
        <v/>
      </c>
      <c r="N69" s="491">
        <f>IF($O69="USD",_xlfn.IFNA(VLOOKUP(A69&amp;E69&amp;I69,PMsheet!J:K,2,0),0),(_xlfn.IFNA(VLOOKUP(A69&amp;E69&amp;I69,PMsheet!J:K,2,0),0)*'Master Data-C19RM'!$C$2))</f>
        <v>0</v>
      </c>
      <c r="O69" s="492" t="str">
        <f>IF(L69="", "",SETUP!$E$7)</f>
        <v/>
      </c>
      <c r="P69" s="444">
        <f>IF($O69="USD",_xlfn.IFNA(VLOOKUP($A69&amp;$E69&amp;$I69,PMsheet!$J:$K,2,0),0),(_xlfn.IFNA(VLOOKUP($A69&amp;$E69&amp;$I69,PMsheet!$J:$K,2,0),0)*'Master Data-C19RM'!$C$2))</f>
        <v>0</v>
      </c>
      <c r="Q69" s="441"/>
      <c r="R69" s="441"/>
      <c r="S69" s="441"/>
      <c r="T69" s="441"/>
      <c r="U69" s="481">
        <f>SUM('C19RM 2021-Pharma'!$Q69:$T69)</f>
        <v>0</v>
      </c>
      <c r="V69" s="483">
        <f>IF(SETUP!$E$7="USD",(U69*(IF(O69="USD",P69,(P69/'Master Data-C19RM'!$C$2)))),(U69*(IF(O69="EUR",P69,(P69*'Master Data-C19RM'!$C$2)))))</f>
        <v>0</v>
      </c>
      <c r="W69" s="444">
        <f>IF($O69="USD",_xlfn.IFNA(VLOOKUP($A69&amp;$E69&amp;$I69,PMsheet!$J:$K,2,0),0),(_xlfn.IFNA(VLOOKUP($A69&amp;$E69&amp;$I69,PMsheet!$J:$K,2,0),0)*'Master Data-C19RM'!$D$2))</f>
        <v>0</v>
      </c>
      <c r="X69" s="441"/>
      <c r="Y69" s="441"/>
      <c r="Z69" s="441"/>
      <c r="AA69" s="441"/>
      <c r="AB69" s="481">
        <f>SUM('C19RM 2021-Pharma'!$X69:$AA69)</f>
        <v>0</v>
      </c>
      <c r="AC69" s="483">
        <f>IF(SETUP!$E$7="USD",(AB69*(IF(O69="USD",W69,(W69/'Master Data-C19RM'!$D$2)))),(AB69*(IF(O69="EUR",W69,(W69*'Master Data-C19RM'!$D$2)))))</f>
        <v>0</v>
      </c>
      <c r="AD69" s="444">
        <f>IF($O69="USD",_xlfn.IFNA(VLOOKUP($A69&amp;$E69&amp;$I69,PMsheet!$J:$K,2,0),0),(_xlfn.IFNA(VLOOKUP($A69&amp;$E69&amp;$I69,PMsheet!$J:$K,2,0),0)*'Master Data-C19RM'!$E$2))</f>
        <v>0</v>
      </c>
      <c r="AE69" s="441"/>
      <c r="AF69" s="441"/>
      <c r="AG69" s="441"/>
      <c r="AH69" s="441"/>
      <c r="AI69" s="481">
        <f>SUM('C19RM 2021-Pharma'!$AE69:$AH69)</f>
        <v>0</v>
      </c>
      <c r="AJ69" s="483">
        <f>IF(SETUP!$E$7="USD",(AI69*(IF(O69="USD",AD69,(AD69/'Master Data-C19RM'!$E$2)))),(AI69*(IF(O69="EUR",AD69,(AD69*'Master Data-C19RM'!$E$2)))))</f>
        <v>0</v>
      </c>
      <c r="AK69" s="444">
        <f>IF($O69="USD",_xlfn.IFNA(VLOOKUP($A69&amp;$E69&amp;$I69,PMsheet!$J:$K,2,0),0),(_xlfn.IFNA(VLOOKUP($A69&amp;$E69&amp;$I69,PMsheet!$J:$K,2,0),0)*'Master Data-C19RM'!$F$2))</f>
        <v>0</v>
      </c>
      <c r="AL69" s="441"/>
      <c r="AM69" s="441"/>
      <c r="AN69" s="441"/>
      <c r="AO69" s="441"/>
      <c r="AP69" s="481">
        <f>SUM('C19RM 2021-Pharma'!$AL69:$AO69)</f>
        <v>0</v>
      </c>
      <c r="AQ69" s="483">
        <f>IF(SETUP!$E$7="USD",(AP69*(IF(O69="USD",AK69,(AK69/'Master Data-C19RM'!$F$2)))),(AP69*(IF(O69="EUR",AK69,(AK69*'Master Data-C19RM'!$F$2)))))</f>
        <v>0</v>
      </c>
      <c r="AR69" s="444">
        <f>IF($O69="USD",_xlfn.IFNA(VLOOKUP($A69&amp;$E69&amp;$I69,PMsheet!$J:$K,2,0),0),(_xlfn.IFNA(VLOOKUP($A69&amp;$E69&amp;$I69,PMsheet!$J:$K,2,0),0)*'Master Data-C19RM'!$G$2))</f>
        <v>0</v>
      </c>
      <c r="AS69" s="441"/>
      <c r="AT69" s="441"/>
      <c r="AU69" s="441"/>
      <c r="AV69" s="441"/>
      <c r="AW69" s="481">
        <f>SUM('C19RM 2021-Pharma'!$AS69:$AV69)</f>
        <v>0</v>
      </c>
      <c r="AX69" s="483">
        <f>IF(SETUP!$E$7="USD",(AW69*(IF(O69="USD",AR69,(AR69/'Master Data-C19RM'!$G$2)))),(AW69*(IF(O69="EUR",AR69,(AR69*'Master Data-C19RM'!$G$2)))))</f>
        <v>0</v>
      </c>
      <c r="AY69" s="886"/>
      <c r="AZ69" s="887"/>
      <c r="BA69" s="887"/>
      <c r="BB69" s="887"/>
      <c r="BC69" s="887"/>
      <c r="BD69" s="887"/>
      <c r="BE69" s="888"/>
      <c r="BF69" s="505">
        <f>'C19RM 2021-Pharma'!$U69+'C19RM 2021-Pharma'!$AB69+'C19RM 2021-Pharma'!$AP69+'C19RM 2021-Pharma'!$AI69+$AW69+$BD69</f>
        <v>0</v>
      </c>
      <c r="BG69" s="483">
        <f>'C19RM 2021-Pharma'!$V69+'C19RM 2021-Pharma'!$AC69+'C19RM 2021-Pharma'!$AQ69+'C19RM 2021-Pharma'!$AJ69+$AX69+$BE69</f>
        <v>0</v>
      </c>
      <c r="BH69" s="500" t="str" cm="1">
        <f t="array" ref="BH69">IF(A69&lt;&gt;"",IFERROR(INDEX(PMtbl[[WKst]:[Unit of measure*]],MATCH($A$8&amp;$A69&amp;$E69&amp;$I69,INDEX(PMtbl[Sec]&amp;PMtbl[Category]&amp;PMtbl[Each]&amp;PMtbl[Packaging],0,),0),11),""),"")</f>
        <v/>
      </c>
      <c r="BI69" s="819"/>
      <c r="BJ69" s="502" t="str">
        <f>IFERROR(INDEX(SETUP!$C$19:$G$121,MATCH((INDEX(PMtbl[[WKst]:[Unit of measure*]],MATCH($A69&amp;$E69&amp;$I69,INDEX(PMtbl[Category]&amp;PMtbl[Each]&amp;PMtbl[Packaging],0,),0),3)),SETUP!$D$19:$D$121,0),5),"")</f>
        <v/>
      </c>
      <c r="BK69" s="438" t="str">
        <f>IFERROR(IF((INDEX(SETUP!$C$19:$G$121,MATCH((INDEX(PMtbl[[WKst]:[Unit of measure*]],MATCH($A69&amp;$E69&amp;$I69,INDEX(PMtbl[Category]&amp;PMtbl[Each]&amp;PMtbl[Packaging],0,),0),3)),SETUP!$D$19:$D$121,0),4))="Upfront",0,INDEX(SETUP!$C$19:$G$121,MATCH((INDEX(PMtbl[[WKst]:[Unit of measure*]],MATCH($A69&amp;$E69&amp;$I69,INDEX(PMtbl[Category]&amp;PMtbl[Each]&amp;PMtbl[Packaging],0,),0),3)),SETUP!$D$19:$D$121,0),5)),"")</f>
        <v/>
      </c>
      <c r="BL69" s="193" t="str" cm="1">
        <f t="array" ref="BL69">IF(E69&lt;&gt;"",IFERROR(INDEX(PMtbl[[WKst]:[Unit of measure*]],MATCH($A$8&amp;$A69&amp;$E69&amp;$I69,INDEX(PMtbl[Sec]&amp;PMtbl[Category]&amp;PMtbl[Each]&amp;PMtbl[Packaging],0,),0),11),""),"")</f>
        <v/>
      </c>
      <c r="BO69" s="12">
        <f>IF(N69="",0,IF(SETUP!$E$7="USD",((IF(O69="USD",P69,(P69/'Master Data-C19RM'!$C$2)))),((IF(O69="EUR",P69,(P69*'Master Data-C19RM'!$C$2))))))</f>
        <v>0</v>
      </c>
      <c r="BP69" s="12">
        <f>IF(N69="",0,IF(SETUP!$E$7="USD",((IF(O69="USD",W69,(W69/'Master Data-C19RM'!$D$2)))),((IF(O69="EUR",W69,(W69*'Master Data-C19RM'!$D$2))))))</f>
        <v>0</v>
      </c>
      <c r="BQ69">
        <f>IF(N69="",0,IF(SETUP!$E$7="USD",((IF(O69="USD",AD69,(AD69/'Master Data-C19RM'!$E$2)))),((IF(O69="EUR",AD69,(AD69*'Master Data-C19RM'!$E$2))))))</f>
        <v>0</v>
      </c>
      <c r="BR69">
        <f>IF(N69="",0,IF(SETUP!$E$7="USD",((IF(O69="USD",AK69,(AK69/'Master Data-C19RM'!$F$2)))),((IF(O69="EUR",AK69,(AK69*'Master Data-C19RM'!$F$2))))))</f>
        <v>0</v>
      </c>
      <c r="BS69">
        <f>IF(N69="",0,IF(SETUP!$E$7="USD",((IF(O69="USD",AR69,(AR69/'Master Data-C19RM'!$F$2)))),((IF(O69="EUR",AR69,(AR69*'Master Data-C19RM'!$G$2))))))</f>
        <v>0</v>
      </c>
      <c r="BT69">
        <f>IF(N69="",0,IF(SETUP!$E$7="USD",((IF(O69="USD",AY69,(AY69/'Master Data-C19RM'!$F$2)))),((IF(O69="EUR",AY69,(AY69*'Master Data-C19RM'!$H$2))))))</f>
        <v>0</v>
      </c>
      <c r="BU69" s="12">
        <f t="shared" si="3"/>
        <v>0</v>
      </c>
      <c r="BV69" s="142">
        <f t="shared" si="4"/>
        <v>0</v>
      </c>
    </row>
    <row r="70" spans="1:74" ht="14.9" customHeight="1" x14ac:dyDescent="0.35">
      <c r="A70" s="1172"/>
      <c r="B70" s="1172"/>
      <c r="C70" s="1172"/>
      <c r="D70" s="1172"/>
      <c r="E70" s="1172"/>
      <c r="F70" s="1172"/>
      <c r="G70" s="1172"/>
      <c r="H70" s="1172"/>
      <c r="I70" s="1173"/>
      <c r="J70" s="1173"/>
      <c r="K70" s="1173"/>
      <c r="L70" s="493" t="str" cm="1">
        <f t="array" ref="L70">IF(A70&lt;&gt;"",IFERROR(INDEX(PMtbl[[WKst]:[Unit of measure*]],MATCH($A$8&amp;$A70&amp;$E70&amp;$I70,INDEX(PMtbl[Sec]&amp;PMtbl[Category]&amp;PMtbl[Each]&amp;PMtbl[Packaging],0,),0),14),""),"")</f>
        <v/>
      </c>
      <c r="M70" s="480" t="str">
        <f>IF(L70="","",INDEX(SETUP!$E$20:$E$122,(MATCH(INDEX(PMsheet!$D:$E,MATCH(A70,PMsheet!E:E,0),1),SETUP!$D$20:$D$122,0))))</f>
        <v/>
      </c>
      <c r="N70" s="494">
        <f>IF($O70="USD",_xlfn.IFNA(VLOOKUP(A70&amp;E70&amp;I70,PMsheet!J:K,2,0),0),(_xlfn.IFNA(VLOOKUP(A70&amp;E70&amp;I70,PMsheet!J:K,2,0),0)*'Master Data-C19RM'!$C$2))</f>
        <v>0</v>
      </c>
      <c r="O70" s="495" t="str">
        <f>IF(L70="", "",SETUP!$E$7)</f>
        <v/>
      </c>
      <c r="P70" s="445">
        <f>IF($O70="USD",_xlfn.IFNA(VLOOKUP($A70&amp;$E70&amp;$I70,PMsheet!$J:$K,2,0),0),(_xlfn.IFNA(VLOOKUP($A70&amp;$E70&amp;$I70,PMsheet!$J:$K,2,0),0)*'Master Data-C19RM'!$C$2))</f>
        <v>0</v>
      </c>
      <c r="Q70" s="440"/>
      <c r="R70" s="440"/>
      <c r="S70" s="440"/>
      <c r="T70" s="440"/>
      <c r="U70" s="482">
        <f>SUM('C19RM 2021-Pharma'!$Q70:$T70)</f>
        <v>0</v>
      </c>
      <c r="V70" s="484">
        <f>IF(SETUP!$E$7="USD",(U70*(IF(O70="USD",P70,(P70/'Master Data-C19RM'!$C$2)))),(U70*(IF(O70="EUR",P70,(P70*'Master Data-C19RM'!$C$2)))))</f>
        <v>0</v>
      </c>
      <c r="W70" s="445">
        <f>IF($O70="USD",_xlfn.IFNA(VLOOKUP($A70&amp;$E70&amp;$I70,PMsheet!$J:$K,2,0),0),(_xlfn.IFNA(VLOOKUP($A70&amp;$E70&amp;$I70,PMsheet!$J:$K,2,0),0)*'Master Data-C19RM'!$D$2))</f>
        <v>0</v>
      </c>
      <c r="X70" s="440"/>
      <c r="Y70" s="440"/>
      <c r="Z70" s="440"/>
      <c r="AA70" s="440"/>
      <c r="AB70" s="482">
        <f>SUM('C19RM 2021-Pharma'!$X70:$AA70)</f>
        <v>0</v>
      </c>
      <c r="AC70" s="484">
        <f>IF(SETUP!$E$7="USD",(AB70*(IF(O70="USD",W70,(W70/'Master Data-C19RM'!$D$2)))),(AB70*(IF(O70="EUR",W70,(W70*'Master Data-C19RM'!$D$2)))))</f>
        <v>0</v>
      </c>
      <c r="AD70" s="445">
        <f>IF($O70="USD",_xlfn.IFNA(VLOOKUP($A70&amp;$E70&amp;$I70,PMsheet!$J:$K,2,0),0),(_xlfn.IFNA(VLOOKUP($A70&amp;$E70&amp;$I70,PMsheet!$J:$K,2,0),0)*'Master Data-C19RM'!$E$2))</f>
        <v>0</v>
      </c>
      <c r="AE70" s="440"/>
      <c r="AF70" s="440"/>
      <c r="AG70" s="440"/>
      <c r="AH70" s="440"/>
      <c r="AI70" s="482">
        <f>SUM('C19RM 2021-Pharma'!$AE70:$AH70)</f>
        <v>0</v>
      </c>
      <c r="AJ70" s="484">
        <f>IF(SETUP!$E$7="USD",(AI70*(IF(O70="USD",AD70,(AD70/'Master Data-C19RM'!$E$2)))),(AI70*(IF(O70="EUR",AD70,(AD70*'Master Data-C19RM'!$E$2)))))</f>
        <v>0</v>
      </c>
      <c r="AK70" s="445">
        <f>IF($O70="USD",_xlfn.IFNA(VLOOKUP($A70&amp;$E70&amp;$I70,PMsheet!$J:$K,2,0),0),(_xlfn.IFNA(VLOOKUP($A70&amp;$E70&amp;$I70,PMsheet!$J:$K,2,0),0)*'Master Data-C19RM'!$F$2))</f>
        <v>0</v>
      </c>
      <c r="AL70" s="440"/>
      <c r="AM70" s="440"/>
      <c r="AN70" s="440"/>
      <c r="AO70" s="440"/>
      <c r="AP70" s="482">
        <f>SUM('C19RM 2021-Pharma'!$AL70:$AO70)</f>
        <v>0</v>
      </c>
      <c r="AQ70" s="484">
        <f>IF(SETUP!$E$7="USD",(AP70*(IF(O70="USD",AK70,(AK70/'Master Data-C19RM'!$F$2)))),(AP70*(IF(O70="EUR",AK70,(AK70*'Master Data-C19RM'!$F$2)))))</f>
        <v>0</v>
      </c>
      <c r="AR70" s="445">
        <f>IF($O70="USD",_xlfn.IFNA(VLOOKUP($A70&amp;$E70&amp;$I70,PMsheet!$J:$K,2,0),0),(_xlfn.IFNA(VLOOKUP($A70&amp;$E70&amp;$I70,PMsheet!$J:$K,2,0),0)*'Master Data-C19RM'!$G$2))</f>
        <v>0</v>
      </c>
      <c r="AS70" s="440"/>
      <c r="AT70" s="440"/>
      <c r="AU70" s="440"/>
      <c r="AV70" s="440"/>
      <c r="AW70" s="482">
        <f>SUM('C19RM 2021-Pharma'!$AS70:$AV70)</f>
        <v>0</v>
      </c>
      <c r="AX70" s="484">
        <f>IF(SETUP!$E$7="USD",(AW70*(IF(O70="USD",AR70,(AR70/'Master Data-C19RM'!$G$2)))),(AW70*(IF(O70="EUR",AR70,(AR70*'Master Data-C19RM'!$G$2)))))</f>
        <v>0</v>
      </c>
      <c r="AY70" s="889"/>
      <c r="AZ70" s="884"/>
      <c r="BA70" s="884"/>
      <c r="BB70" s="884"/>
      <c r="BC70" s="884"/>
      <c r="BD70" s="884"/>
      <c r="BE70" s="885"/>
      <c r="BF70" s="504">
        <f>'C19RM 2021-Pharma'!$U70+'C19RM 2021-Pharma'!$AB70+'C19RM 2021-Pharma'!$AP70+'C19RM 2021-Pharma'!$AI70+$AW70+$BD70</f>
        <v>0</v>
      </c>
      <c r="BG70" s="484">
        <f>'C19RM 2021-Pharma'!$V70+'C19RM 2021-Pharma'!$AC70+'C19RM 2021-Pharma'!$AQ70+'C19RM 2021-Pharma'!$AJ70+$AX70+$BE70</f>
        <v>0</v>
      </c>
      <c r="BH70" s="499" t="str" cm="1">
        <f t="array" ref="BH70">IF(A70&lt;&gt;"",IFERROR(INDEX(PMtbl[[WKst]:[Unit of measure*]],MATCH($A$8&amp;$A70&amp;$E70&amp;$I70,INDEX(PMtbl[Sec]&amp;PMtbl[Category]&amp;PMtbl[Each]&amp;PMtbl[Packaging],0,),0),11),""),"")</f>
        <v/>
      </c>
      <c r="BI70" s="818"/>
      <c r="BJ70" s="503" t="str">
        <f>IFERROR(INDEX(SETUP!$C$19:$G$121,MATCH((INDEX(PMtbl[[WKst]:[Unit of measure*]],MATCH($A70&amp;$E70&amp;$I70,INDEX(PMtbl[Category]&amp;PMtbl[Each]&amp;PMtbl[Packaging],0,),0),3)),SETUP!$D$19:$D$121,0),5),"")</f>
        <v/>
      </c>
      <c r="BK70" s="439" t="str">
        <f>IFERROR(IF((INDEX(SETUP!$C$19:$G$121,MATCH((INDEX(PMtbl[[WKst]:[Unit of measure*]],MATCH($A70&amp;$E70&amp;$I70,INDEX(PMtbl[Category]&amp;PMtbl[Each]&amp;PMtbl[Packaging],0,),0),3)),SETUP!$D$19:$D$121,0),4))="Upfront",0,INDEX(SETUP!$C$19:$G$121,MATCH((INDEX(PMtbl[[WKst]:[Unit of measure*]],MATCH($A70&amp;$E70&amp;$I70,INDEX(PMtbl[Category]&amp;PMtbl[Each]&amp;PMtbl[Packaging],0,),0),3)),SETUP!$D$19:$D$121,0),5)),"")</f>
        <v/>
      </c>
      <c r="BL70" s="194" t="str" cm="1">
        <f t="array" ref="BL70">IF(E70&lt;&gt;"",IFERROR(INDEX(PMtbl[[WKst]:[Unit of measure*]],MATCH($A$8&amp;$A70&amp;$E70&amp;$I70,INDEX(PMtbl[Sec]&amp;PMtbl[Category]&amp;PMtbl[Each]&amp;PMtbl[Packaging],0,),0),11),""),"")</f>
        <v/>
      </c>
      <c r="BO70" s="12">
        <f>IF(N70="",0,IF(SETUP!$E$7="USD",((IF(O70="USD",P70,(P70/'Master Data-C19RM'!$C$2)))),((IF(O70="EUR",P70,(P70*'Master Data-C19RM'!$C$2))))))</f>
        <v>0</v>
      </c>
      <c r="BP70" s="12">
        <f>IF(N70="",0,IF(SETUP!$E$7="USD",((IF(O70="USD",W70,(W70/'Master Data-C19RM'!$D$2)))),((IF(O70="EUR",W70,(W70*'Master Data-C19RM'!$D$2))))))</f>
        <v>0</v>
      </c>
      <c r="BQ70">
        <f>IF(N70="",0,IF(SETUP!$E$7="USD",((IF(O70="USD",AD70,(AD70/'Master Data-C19RM'!$E$2)))),((IF(O70="EUR",AD70,(AD70*'Master Data-C19RM'!$E$2))))))</f>
        <v>0</v>
      </c>
      <c r="BR70">
        <f>IF(N70="",0,IF(SETUP!$E$7="USD",((IF(O70="USD",AK70,(AK70/'Master Data-C19RM'!$F$2)))),((IF(O70="EUR",AK70,(AK70*'Master Data-C19RM'!$F$2))))))</f>
        <v>0</v>
      </c>
      <c r="BS70">
        <f>IF(N70="",0,IF(SETUP!$E$7="USD",((IF(O70="USD",AR70,(AR70/'Master Data-C19RM'!$F$2)))),((IF(O70="EUR",AR70,(AR70*'Master Data-C19RM'!$G$2))))))</f>
        <v>0</v>
      </c>
      <c r="BT70">
        <f>IF(N70="",0,IF(SETUP!$E$7="USD",((IF(O70="USD",AY70,(AY70/'Master Data-C19RM'!$F$2)))),((IF(O70="EUR",AY70,(AY70*'Master Data-C19RM'!$H$2))))))</f>
        <v>0</v>
      </c>
      <c r="BU70" s="12">
        <f t="shared" si="3"/>
        <v>0</v>
      </c>
      <c r="BV70" s="142">
        <f t="shared" si="4"/>
        <v>0</v>
      </c>
    </row>
    <row r="71" spans="1:74" ht="14.9" customHeight="1" x14ac:dyDescent="0.35">
      <c r="A71" s="1165"/>
      <c r="B71" s="1165"/>
      <c r="C71" s="1165"/>
      <c r="D71" s="1165"/>
      <c r="E71" s="1166"/>
      <c r="F71" s="1166"/>
      <c r="G71" s="1166"/>
      <c r="H71" s="1166"/>
      <c r="I71" s="1166"/>
      <c r="J71" s="1166"/>
      <c r="K71" s="1166"/>
      <c r="L71" s="490" t="str" cm="1">
        <f t="array" ref="L71">IF(A71&lt;&gt;"",IFERROR(INDEX(PMtbl[[WKst]:[Unit of measure*]],MATCH($A$8&amp;$A71&amp;$E71&amp;$I71,INDEX(PMtbl[Sec]&amp;PMtbl[Category]&amp;PMtbl[Each]&amp;PMtbl[Packaging],0,),0),14),""),"")</f>
        <v/>
      </c>
      <c r="M71" s="479" t="str">
        <f>IF(L71="","",INDEX(SETUP!$E$20:$E$122,(MATCH(INDEX(PMsheet!$D:$E,MATCH(A71,PMsheet!E:E,0),1),SETUP!$D$20:$D$122,0))))</f>
        <v/>
      </c>
      <c r="N71" s="491">
        <f>IF($O71="USD",_xlfn.IFNA(VLOOKUP(A71&amp;E71&amp;I71,PMsheet!J:K,2,0),0),(_xlfn.IFNA(VLOOKUP(A71&amp;E71&amp;I71,PMsheet!J:K,2,0),0)*'Master Data-C19RM'!$C$2))</f>
        <v>0</v>
      </c>
      <c r="O71" s="492" t="str">
        <f>IF(L71="", "",SETUP!$E$7)</f>
        <v/>
      </c>
      <c r="P71" s="444">
        <f>IF($O71="USD",_xlfn.IFNA(VLOOKUP($A71&amp;$E71&amp;$I71,PMsheet!$J:$K,2,0),0),(_xlfn.IFNA(VLOOKUP($A71&amp;$E71&amp;$I71,PMsheet!$J:$K,2,0),0)*'Master Data-C19RM'!$C$2))</f>
        <v>0</v>
      </c>
      <c r="Q71" s="441"/>
      <c r="R71" s="441"/>
      <c r="S71" s="441"/>
      <c r="T71" s="441"/>
      <c r="U71" s="481">
        <f>SUM('C19RM 2021-Pharma'!$Q71:$T71)</f>
        <v>0</v>
      </c>
      <c r="V71" s="483">
        <f>IF(SETUP!$E$7="USD",(U71*(IF(O71="USD",P71,(P71/'Master Data-C19RM'!$C$2)))),(U71*(IF(O71="EUR",P71,(P71*'Master Data-C19RM'!$C$2)))))</f>
        <v>0</v>
      </c>
      <c r="W71" s="444">
        <f>IF($O71="USD",_xlfn.IFNA(VLOOKUP($A71&amp;$E71&amp;$I71,PMsheet!$J:$K,2,0),0),(_xlfn.IFNA(VLOOKUP($A71&amp;$E71&amp;$I71,PMsheet!$J:$K,2,0),0)*'Master Data-C19RM'!$D$2))</f>
        <v>0</v>
      </c>
      <c r="X71" s="441"/>
      <c r="Y71" s="441"/>
      <c r="Z71" s="441"/>
      <c r="AA71" s="441"/>
      <c r="AB71" s="481">
        <f>SUM('C19RM 2021-Pharma'!$X71:$AA71)</f>
        <v>0</v>
      </c>
      <c r="AC71" s="483">
        <f>IF(SETUP!$E$7="USD",(AB71*(IF(O71="USD",W71,(W71/'Master Data-C19RM'!$D$2)))),(AB71*(IF(O71="EUR",W71,(W71*'Master Data-C19RM'!$D$2)))))</f>
        <v>0</v>
      </c>
      <c r="AD71" s="444">
        <f>IF($O71="USD",_xlfn.IFNA(VLOOKUP($A71&amp;$E71&amp;$I71,PMsheet!$J:$K,2,0),0),(_xlfn.IFNA(VLOOKUP($A71&amp;$E71&amp;$I71,PMsheet!$J:$K,2,0),0)*'Master Data-C19RM'!$E$2))</f>
        <v>0</v>
      </c>
      <c r="AE71" s="441"/>
      <c r="AF71" s="441"/>
      <c r="AG71" s="441"/>
      <c r="AH71" s="441"/>
      <c r="AI71" s="481">
        <f>SUM('C19RM 2021-Pharma'!$AE71:$AH71)</f>
        <v>0</v>
      </c>
      <c r="AJ71" s="483">
        <f>IF(SETUP!$E$7="USD",(AI71*(IF(O71="USD",AD71,(AD71/'Master Data-C19RM'!$E$2)))),(AI71*(IF(O71="EUR",AD71,(AD71*'Master Data-C19RM'!$E$2)))))</f>
        <v>0</v>
      </c>
      <c r="AK71" s="444">
        <f>IF($O71="USD",_xlfn.IFNA(VLOOKUP($A71&amp;$E71&amp;$I71,PMsheet!$J:$K,2,0),0),(_xlfn.IFNA(VLOOKUP($A71&amp;$E71&amp;$I71,PMsheet!$J:$K,2,0),0)*'Master Data-C19RM'!$F$2))</f>
        <v>0</v>
      </c>
      <c r="AL71" s="441"/>
      <c r="AM71" s="441"/>
      <c r="AN71" s="441"/>
      <c r="AO71" s="441"/>
      <c r="AP71" s="481">
        <f>SUM('C19RM 2021-Pharma'!$AL71:$AO71)</f>
        <v>0</v>
      </c>
      <c r="AQ71" s="483">
        <f>IF(SETUP!$E$7="USD",(AP71*(IF(O71="USD",AK71,(AK71/'Master Data-C19RM'!$F$2)))),(AP71*(IF(O71="EUR",AK71,(AK71*'Master Data-C19RM'!$F$2)))))</f>
        <v>0</v>
      </c>
      <c r="AR71" s="444">
        <f>IF($O71="USD",_xlfn.IFNA(VLOOKUP($A71&amp;$E71&amp;$I71,PMsheet!$J:$K,2,0),0),(_xlfn.IFNA(VLOOKUP($A71&amp;$E71&amp;$I71,PMsheet!$J:$K,2,0),0)*'Master Data-C19RM'!$G$2))</f>
        <v>0</v>
      </c>
      <c r="AS71" s="441"/>
      <c r="AT71" s="441"/>
      <c r="AU71" s="441"/>
      <c r="AV71" s="441"/>
      <c r="AW71" s="481">
        <f>SUM('C19RM 2021-Pharma'!$AS71:$AV71)</f>
        <v>0</v>
      </c>
      <c r="AX71" s="483">
        <f>IF(SETUP!$E$7="USD",(AW71*(IF(O71="USD",AR71,(AR71/'Master Data-C19RM'!$G$2)))),(AW71*(IF(O71="EUR",AR71,(AR71*'Master Data-C19RM'!$G$2)))))</f>
        <v>0</v>
      </c>
      <c r="AY71" s="886"/>
      <c r="AZ71" s="887"/>
      <c r="BA71" s="887"/>
      <c r="BB71" s="887"/>
      <c r="BC71" s="887"/>
      <c r="BD71" s="887"/>
      <c r="BE71" s="888"/>
      <c r="BF71" s="505">
        <f>'C19RM 2021-Pharma'!$U71+'C19RM 2021-Pharma'!$AB71+'C19RM 2021-Pharma'!$AP71+'C19RM 2021-Pharma'!$AI71+$AW71+$BD71</f>
        <v>0</v>
      </c>
      <c r="BG71" s="483">
        <f>'C19RM 2021-Pharma'!$V71+'C19RM 2021-Pharma'!$AC71+'C19RM 2021-Pharma'!$AQ71+'C19RM 2021-Pharma'!$AJ71+$AX71+$BE71</f>
        <v>0</v>
      </c>
      <c r="BH71" s="500" t="str" cm="1">
        <f t="array" ref="BH71">IF(A71&lt;&gt;"",IFERROR(INDEX(PMtbl[[WKst]:[Unit of measure*]],MATCH($A$8&amp;$A71&amp;$E71&amp;$I71,INDEX(PMtbl[Sec]&amp;PMtbl[Category]&amp;PMtbl[Each]&amp;PMtbl[Packaging],0,),0),11),""),"")</f>
        <v/>
      </c>
      <c r="BI71" s="819"/>
      <c r="BJ71" s="502" t="str">
        <f>IFERROR(INDEX(SETUP!$C$19:$G$121,MATCH((INDEX(PMtbl[[WKst]:[Unit of measure*]],MATCH($A71&amp;$E71&amp;$I71,INDEX(PMtbl[Category]&amp;PMtbl[Each]&amp;PMtbl[Packaging],0,),0),3)),SETUP!$D$19:$D$121,0),5),"")</f>
        <v/>
      </c>
      <c r="BK71" s="438" t="str">
        <f>IFERROR(IF((INDEX(SETUP!$C$19:$G$121,MATCH((INDEX(PMtbl[[WKst]:[Unit of measure*]],MATCH($A71&amp;$E71&amp;$I71,INDEX(PMtbl[Category]&amp;PMtbl[Each]&amp;PMtbl[Packaging],0,),0),3)),SETUP!$D$19:$D$121,0),4))="Upfront",0,INDEX(SETUP!$C$19:$G$121,MATCH((INDEX(PMtbl[[WKst]:[Unit of measure*]],MATCH($A71&amp;$E71&amp;$I71,INDEX(PMtbl[Category]&amp;PMtbl[Each]&amp;PMtbl[Packaging],0,),0),3)),SETUP!$D$19:$D$121,0),5)),"")</f>
        <v/>
      </c>
      <c r="BL71" s="193" t="str" cm="1">
        <f t="array" ref="BL71">IF(E71&lt;&gt;"",IFERROR(INDEX(PMtbl[[WKst]:[Unit of measure*]],MATCH($A$8&amp;$A71&amp;$E71&amp;$I71,INDEX(PMtbl[Sec]&amp;PMtbl[Category]&amp;PMtbl[Each]&amp;PMtbl[Packaging],0,),0),11),""),"")</f>
        <v/>
      </c>
      <c r="BO71" s="12">
        <f>IF(N71="",0,IF(SETUP!$E$7="USD",((IF(O71="USD",P71,(P71/'Master Data-C19RM'!$C$2)))),((IF(O71="EUR",P71,(P71*'Master Data-C19RM'!$C$2))))))</f>
        <v>0</v>
      </c>
      <c r="BP71" s="12">
        <f>IF(N71="",0,IF(SETUP!$E$7="USD",((IF(O71="USD",W71,(W71/'Master Data-C19RM'!$D$2)))),((IF(O71="EUR",W71,(W71*'Master Data-C19RM'!$D$2))))))</f>
        <v>0</v>
      </c>
      <c r="BQ71">
        <f>IF(N71="",0,IF(SETUP!$E$7="USD",((IF(O71="USD",AD71,(AD71/'Master Data-C19RM'!$E$2)))),((IF(O71="EUR",AD71,(AD71*'Master Data-C19RM'!$E$2))))))</f>
        <v>0</v>
      </c>
      <c r="BR71">
        <f>IF(N71="",0,IF(SETUP!$E$7="USD",((IF(O71="USD",AK71,(AK71/'Master Data-C19RM'!$F$2)))),((IF(O71="EUR",AK71,(AK71*'Master Data-C19RM'!$F$2))))))</f>
        <v>0</v>
      </c>
      <c r="BS71">
        <f>IF(N71="",0,IF(SETUP!$E$7="USD",((IF(O71="USD",AR71,(AR71/'Master Data-C19RM'!$F$2)))),((IF(O71="EUR",AR71,(AR71*'Master Data-C19RM'!$G$2))))))</f>
        <v>0</v>
      </c>
      <c r="BT71">
        <f>IF(N71="",0,IF(SETUP!$E$7="USD",((IF(O71="USD",AY71,(AY71/'Master Data-C19RM'!$F$2)))),((IF(O71="EUR",AY71,(AY71*'Master Data-C19RM'!$H$2))))))</f>
        <v>0</v>
      </c>
      <c r="BU71" s="12">
        <f t="shared" si="3"/>
        <v>0</v>
      </c>
      <c r="BV71" s="142">
        <f t="shared" si="4"/>
        <v>0</v>
      </c>
    </row>
    <row r="72" spans="1:74" ht="14.9" customHeight="1" x14ac:dyDescent="0.35">
      <c r="A72" s="1172"/>
      <c r="B72" s="1172"/>
      <c r="C72" s="1172"/>
      <c r="D72" s="1172"/>
      <c r="E72" s="1172"/>
      <c r="F72" s="1172"/>
      <c r="G72" s="1172"/>
      <c r="H72" s="1172"/>
      <c r="I72" s="1173"/>
      <c r="J72" s="1173"/>
      <c r="K72" s="1173"/>
      <c r="L72" s="493" t="str" cm="1">
        <f t="array" ref="L72">IF(A72&lt;&gt;"",IFERROR(INDEX(PMtbl[[WKst]:[Unit of measure*]],MATCH($A$8&amp;$A72&amp;$E72&amp;$I72,INDEX(PMtbl[Sec]&amp;PMtbl[Category]&amp;PMtbl[Each]&amp;PMtbl[Packaging],0,),0),14),""),"")</f>
        <v/>
      </c>
      <c r="M72" s="480" t="str">
        <f>IF(L72="","",INDEX(SETUP!$E$20:$E$122,(MATCH(INDEX(PMsheet!$D:$E,MATCH(A72,PMsheet!E:E,0),1),SETUP!$D$20:$D$122,0))))</f>
        <v/>
      </c>
      <c r="N72" s="494">
        <f>IF($O72="USD",_xlfn.IFNA(VLOOKUP(A72&amp;E72&amp;I72,PMsheet!J:K,2,0),0),(_xlfn.IFNA(VLOOKUP(A72&amp;E72&amp;I72,PMsheet!J:K,2,0),0)*'Master Data-C19RM'!$C$2))</f>
        <v>0</v>
      </c>
      <c r="O72" s="495" t="str">
        <f>IF(L72="", "",SETUP!$E$7)</f>
        <v/>
      </c>
      <c r="P72" s="445">
        <f>IF($O72="USD",_xlfn.IFNA(VLOOKUP($A72&amp;$E72&amp;$I72,PMsheet!$J:$K,2,0),0),(_xlfn.IFNA(VLOOKUP($A72&amp;$E72&amp;$I72,PMsheet!$J:$K,2,0),0)*'Master Data-C19RM'!$C$2))</f>
        <v>0</v>
      </c>
      <c r="Q72" s="440"/>
      <c r="R72" s="440"/>
      <c r="S72" s="440"/>
      <c r="T72" s="440"/>
      <c r="U72" s="482">
        <f>SUM('C19RM 2021-Pharma'!$Q72:$T72)</f>
        <v>0</v>
      </c>
      <c r="V72" s="484">
        <f>IF(SETUP!$E$7="USD",(U72*(IF(O72="USD",P72,(P72/'Master Data-C19RM'!$C$2)))),(U72*(IF(O72="EUR",P72,(P72*'Master Data-C19RM'!$C$2)))))</f>
        <v>0</v>
      </c>
      <c r="W72" s="445">
        <f>IF($O72="USD",_xlfn.IFNA(VLOOKUP($A72&amp;$E72&amp;$I72,PMsheet!$J:$K,2,0),0),(_xlfn.IFNA(VLOOKUP($A72&amp;$E72&amp;$I72,PMsheet!$J:$K,2,0),0)*'Master Data-C19RM'!$D$2))</f>
        <v>0</v>
      </c>
      <c r="X72" s="440"/>
      <c r="Y72" s="440"/>
      <c r="Z72" s="440"/>
      <c r="AA72" s="440"/>
      <c r="AB72" s="482">
        <f>SUM('C19RM 2021-Pharma'!$X72:$AA72)</f>
        <v>0</v>
      </c>
      <c r="AC72" s="484">
        <f>IF(SETUP!$E$7="USD",(AB72*(IF(O72="USD",W72,(W72/'Master Data-C19RM'!$D$2)))),(AB72*(IF(O72="EUR",W72,(W72*'Master Data-C19RM'!$D$2)))))</f>
        <v>0</v>
      </c>
      <c r="AD72" s="445">
        <f>IF($O72="USD",_xlfn.IFNA(VLOOKUP($A72&amp;$E72&amp;$I72,PMsheet!$J:$K,2,0),0),(_xlfn.IFNA(VLOOKUP($A72&amp;$E72&amp;$I72,PMsheet!$J:$K,2,0),0)*'Master Data-C19RM'!$E$2))</f>
        <v>0</v>
      </c>
      <c r="AE72" s="440"/>
      <c r="AF72" s="440"/>
      <c r="AG72" s="440"/>
      <c r="AH72" s="440"/>
      <c r="AI72" s="482">
        <f>SUM('C19RM 2021-Pharma'!$AE72:$AH72)</f>
        <v>0</v>
      </c>
      <c r="AJ72" s="484">
        <f>IF(SETUP!$E$7="USD",(AI72*(IF(O72="USD",AD72,(AD72/'Master Data-C19RM'!$E$2)))),(AI72*(IF(O72="EUR",AD72,(AD72*'Master Data-C19RM'!$E$2)))))</f>
        <v>0</v>
      </c>
      <c r="AK72" s="445">
        <f>IF($O72="USD",_xlfn.IFNA(VLOOKUP($A72&amp;$E72&amp;$I72,PMsheet!$J:$K,2,0),0),(_xlfn.IFNA(VLOOKUP($A72&amp;$E72&amp;$I72,PMsheet!$J:$K,2,0),0)*'Master Data-C19RM'!$F$2))</f>
        <v>0</v>
      </c>
      <c r="AL72" s="440"/>
      <c r="AM72" s="440"/>
      <c r="AN72" s="440"/>
      <c r="AO72" s="440"/>
      <c r="AP72" s="482">
        <f>SUM('C19RM 2021-Pharma'!$AL72:$AO72)</f>
        <v>0</v>
      </c>
      <c r="AQ72" s="484">
        <f>IF(SETUP!$E$7="USD",(AP72*(IF(O72="USD",AK72,(AK72/'Master Data-C19RM'!$F$2)))),(AP72*(IF(O72="EUR",AK72,(AK72*'Master Data-C19RM'!$F$2)))))</f>
        <v>0</v>
      </c>
      <c r="AR72" s="445">
        <f>IF($O72="USD",_xlfn.IFNA(VLOOKUP($A72&amp;$E72&amp;$I72,PMsheet!$J:$K,2,0),0),(_xlfn.IFNA(VLOOKUP($A72&amp;$E72&amp;$I72,PMsheet!$J:$K,2,0),0)*'Master Data-C19RM'!$G$2))</f>
        <v>0</v>
      </c>
      <c r="AS72" s="440"/>
      <c r="AT72" s="440"/>
      <c r="AU72" s="440"/>
      <c r="AV72" s="440"/>
      <c r="AW72" s="482">
        <f>SUM('C19RM 2021-Pharma'!$AS72:$AV72)</f>
        <v>0</v>
      </c>
      <c r="AX72" s="484">
        <f>IF(SETUP!$E$7="USD",(AW72*(IF(O72="USD",AR72,(AR72/'Master Data-C19RM'!$G$2)))),(AW72*(IF(O72="EUR",AR72,(AR72*'Master Data-C19RM'!$G$2)))))</f>
        <v>0</v>
      </c>
      <c r="AY72" s="889"/>
      <c r="AZ72" s="884"/>
      <c r="BA72" s="884"/>
      <c r="BB72" s="884"/>
      <c r="BC72" s="884"/>
      <c r="BD72" s="884"/>
      <c r="BE72" s="885"/>
      <c r="BF72" s="504">
        <f>'C19RM 2021-Pharma'!$U72+'C19RM 2021-Pharma'!$AB72+'C19RM 2021-Pharma'!$AP72+'C19RM 2021-Pharma'!$AI72+$AW72+$BD72</f>
        <v>0</v>
      </c>
      <c r="BG72" s="484">
        <f>'C19RM 2021-Pharma'!$V72+'C19RM 2021-Pharma'!$AC72+'C19RM 2021-Pharma'!$AQ72+'C19RM 2021-Pharma'!$AJ72+$AX72+$BE72</f>
        <v>0</v>
      </c>
      <c r="BH72" s="499" t="str" cm="1">
        <f t="array" ref="BH72">IF(A72&lt;&gt;"",IFERROR(INDEX(PMtbl[[WKst]:[Unit of measure*]],MATCH($A$8&amp;$A72&amp;$E72&amp;$I72,INDEX(PMtbl[Sec]&amp;PMtbl[Category]&amp;PMtbl[Each]&amp;PMtbl[Packaging],0,),0),11),""),"")</f>
        <v/>
      </c>
      <c r="BI72" s="818"/>
      <c r="BJ72" s="503" t="str">
        <f>IFERROR(INDEX(SETUP!$C$19:$G$121,MATCH((INDEX(PMtbl[[WKst]:[Unit of measure*]],MATCH($A72&amp;$E72&amp;$I72,INDEX(PMtbl[Category]&amp;PMtbl[Each]&amp;PMtbl[Packaging],0,),0),3)),SETUP!$D$19:$D$121,0),5),"")</f>
        <v/>
      </c>
      <c r="BK72" s="439" t="str">
        <f>IFERROR(IF((INDEX(SETUP!$C$19:$G$121,MATCH((INDEX(PMtbl[[WKst]:[Unit of measure*]],MATCH($A72&amp;$E72&amp;$I72,INDEX(PMtbl[Category]&amp;PMtbl[Each]&amp;PMtbl[Packaging],0,),0),3)),SETUP!$D$19:$D$121,0),4))="Upfront",0,INDEX(SETUP!$C$19:$G$121,MATCH((INDEX(PMtbl[[WKst]:[Unit of measure*]],MATCH($A72&amp;$E72&amp;$I72,INDEX(PMtbl[Category]&amp;PMtbl[Each]&amp;PMtbl[Packaging],0,),0),3)),SETUP!$D$19:$D$121,0),5)),"")</f>
        <v/>
      </c>
      <c r="BL72" s="194" t="str" cm="1">
        <f t="array" ref="BL72">IF(E72&lt;&gt;"",IFERROR(INDEX(PMtbl[[WKst]:[Unit of measure*]],MATCH($A$8&amp;$A72&amp;$E72&amp;$I72,INDEX(PMtbl[Sec]&amp;PMtbl[Category]&amp;PMtbl[Each]&amp;PMtbl[Packaging],0,),0),11),""),"")</f>
        <v/>
      </c>
      <c r="BO72" s="12">
        <f>IF(N72="",0,IF(SETUP!$E$7="USD",((IF(O72="USD",P72,(P72/'Master Data-C19RM'!$C$2)))),((IF(O72="EUR",P72,(P72*'Master Data-C19RM'!$C$2))))))</f>
        <v>0</v>
      </c>
      <c r="BP72" s="12">
        <f>IF(N72="",0,IF(SETUP!$E$7="USD",((IF(O72="USD",W72,(W72/'Master Data-C19RM'!$D$2)))),((IF(O72="EUR",W72,(W72*'Master Data-C19RM'!$D$2))))))</f>
        <v>0</v>
      </c>
      <c r="BQ72">
        <f>IF(N72="",0,IF(SETUP!$E$7="USD",((IF(O72="USD",AD72,(AD72/'Master Data-C19RM'!$E$2)))),((IF(O72="EUR",AD72,(AD72*'Master Data-C19RM'!$E$2))))))</f>
        <v>0</v>
      </c>
      <c r="BR72">
        <f>IF(N72="",0,IF(SETUP!$E$7="USD",((IF(O72="USD",AK72,(AK72/'Master Data-C19RM'!$F$2)))),((IF(O72="EUR",AK72,(AK72*'Master Data-C19RM'!$F$2))))))</f>
        <v>0</v>
      </c>
      <c r="BS72">
        <f>IF(N72="",0,IF(SETUP!$E$7="USD",((IF(O72="USD",AR72,(AR72/'Master Data-C19RM'!$F$2)))),((IF(O72="EUR",AR72,(AR72*'Master Data-C19RM'!$G$2))))))</f>
        <v>0</v>
      </c>
      <c r="BT72">
        <f>IF(N72="",0,IF(SETUP!$E$7="USD",((IF(O72="USD",AY72,(AY72/'Master Data-C19RM'!$F$2)))),((IF(O72="EUR",AY72,(AY72*'Master Data-C19RM'!$H$2))))))</f>
        <v>0</v>
      </c>
      <c r="BU72" s="12">
        <f t="shared" si="3"/>
        <v>0</v>
      </c>
      <c r="BV72" s="142">
        <f t="shared" si="4"/>
        <v>0</v>
      </c>
    </row>
    <row r="73" spans="1:74" ht="14.9" customHeight="1" x14ac:dyDescent="0.35">
      <c r="A73" s="1165"/>
      <c r="B73" s="1165"/>
      <c r="C73" s="1165"/>
      <c r="D73" s="1165"/>
      <c r="E73" s="1166"/>
      <c r="F73" s="1166"/>
      <c r="G73" s="1166"/>
      <c r="H73" s="1166"/>
      <c r="I73" s="1166"/>
      <c r="J73" s="1166"/>
      <c r="K73" s="1166"/>
      <c r="L73" s="490" t="str" cm="1">
        <f t="array" ref="L73">IF(A73&lt;&gt;"",IFERROR(INDEX(PMtbl[[WKst]:[Unit of measure*]],MATCH($A$8&amp;$A73&amp;$E73&amp;$I73,INDEX(PMtbl[Sec]&amp;PMtbl[Category]&amp;PMtbl[Each]&amp;PMtbl[Packaging],0,),0),14),""),"")</f>
        <v/>
      </c>
      <c r="M73" s="479" t="str">
        <f>IF(L73="","",INDEX(SETUP!$E$20:$E$122,(MATCH(INDEX(PMsheet!$D:$E,MATCH(A73,PMsheet!E:E,0),1),SETUP!$D$20:$D$122,0))))</f>
        <v/>
      </c>
      <c r="N73" s="491">
        <f>IF($O73="USD",_xlfn.IFNA(VLOOKUP(A73&amp;E73&amp;I73,PMsheet!J:K,2,0),0),(_xlfn.IFNA(VLOOKUP(A73&amp;E73&amp;I73,PMsheet!J:K,2,0),0)*'Master Data-C19RM'!$C$2))</f>
        <v>0</v>
      </c>
      <c r="O73" s="492" t="str">
        <f>IF(L73="", "",SETUP!$E$7)</f>
        <v/>
      </c>
      <c r="P73" s="444">
        <f>IF($O73="USD",_xlfn.IFNA(VLOOKUP($A73&amp;$E73&amp;$I73,PMsheet!$J:$K,2,0),0),(_xlfn.IFNA(VLOOKUP($A73&amp;$E73&amp;$I73,PMsheet!$J:$K,2,0),0)*'Master Data-C19RM'!$C$2))</f>
        <v>0</v>
      </c>
      <c r="Q73" s="441"/>
      <c r="R73" s="441"/>
      <c r="S73" s="441"/>
      <c r="T73" s="441"/>
      <c r="U73" s="481">
        <f>SUM('C19RM 2021-Pharma'!$Q73:$T73)</f>
        <v>0</v>
      </c>
      <c r="V73" s="483">
        <f>IF(SETUP!$E$7="USD",(U73*(IF(O73="USD",P73,(P73/'Master Data-C19RM'!$C$2)))),(U73*(IF(O73="EUR",P73,(P73*'Master Data-C19RM'!$C$2)))))</f>
        <v>0</v>
      </c>
      <c r="W73" s="444">
        <f>IF($O73="USD",_xlfn.IFNA(VLOOKUP($A73&amp;$E73&amp;$I73,PMsheet!$J:$K,2,0),0),(_xlfn.IFNA(VLOOKUP($A73&amp;$E73&amp;$I73,PMsheet!$J:$K,2,0),0)*'Master Data-C19RM'!$D$2))</f>
        <v>0</v>
      </c>
      <c r="X73" s="441"/>
      <c r="Y73" s="441"/>
      <c r="Z73" s="441"/>
      <c r="AA73" s="441"/>
      <c r="AB73" s="481">
        <f>SUM('C19RM 2021-Pharma'!$X73:$AA73)</f>
        <v>0</v>
      </c>
      <c r="AC73" s="483">
        <f>IF(SETUP!$E$7="USD",(AB73*(IF(O73="USD",W73,(W73/'Master Data-C19RM'!$D$2)))),(AB73*(IF(O73="EUR",W73,(W73*'Master Data-C19RM'!$D$2)))))</f>
        <v>0</v>
      </c>
      <c r="AD73" s="444">
        <f>IF($O73="USD",_xlfn.IFNA(VLOOKUP($A73&amp;$E73&amp;$I73,PMsheet!$J:$K,2,0),0),(_xlfn.IFNA(VLOOKUP($A73&amp;$E73&amp;$I73,PMsheet!$J:$K,2,0),0)*'Master Data-C19RM'!$E$2))</f>
        <v>0</v>
      </c>
      <c r="AE73" s="441"/>
      <c r="AF73" s="441"/>
      <c r="AG73" s="441"/>
      <c r="AH73" s="441"/>
      <c r="AI73" s="481">
        <f>SUM('C19RM 2021-Pharma'!$AE73:$AH73)</f>
        <v>0</v>
      </c>
      <c r="AJ73" s="483">
        <f>IF(SETUP!$E$7="USD",(AI73*(IF(O73="USD",AD73,(AD73/'Master Data-C19RM'!$E$2)))),(AI73*(IF(O73="EUR",AD73,(AD73*'Master Data-C19RM'!$E$2)))))</f>
        <v>0</v>
      </c>
      <c r="AK73" s="444">
        <f>IF($O73="USD",_xlfn.IFNA(VLOOKUP($A73&amp;$E73&amp;$I73,PMsheet!$J:$K,2,0),0),(_xlfn.IFNA(VLOOKUP($A73&amp;$E73&amp;$I73,PMsheet!$J:$K,2,0),0)*'Master Data-C19RM'!$F$2))</f>
        <v>0</v>
      </c>
      <c r="AL73" s="441"/>
      <c r="AM73" s="441"/>
      <c r="AN73" s="441"/>
      <c r="AO73" s="441"/>
      <c r="AP73" s="481">
        <f>SUM('C19RM 2021-Pharma'!$AL73:$AO73)</f>
        <v>0</v>
      </c>
      <c r="AQ73" s="483">
        <f>IF(SETUP!$E$7="USD",(AP73*(IF(O73="USD",AK73,(AK73/'Master Data-C19RM'!$F$2)))),(AP73*(IF(O73="EUR",AK73,(AK73*'Master Data-C19RM'!$F$2)))))</f>
        <v>0</v>
      </c>
      <c r="AR73" s="444">
        <f>IF($O73="USD",_xlfn.IFNA(VLOOKUP($A73&amp;$E73&amp;$I73,PMsheet!$J:$K,2,0),0),(_xlfn.IFNA(VLOOKUP($A73&amp;$E73&amp;$I73,PMsheet!$J:$K,2,0),0)*'Master Data-C19RM'!$G$2))</f>
        <v>0</v>
      </c>
      <c r="AS73" s="441"/>
      <c r="AT73" s="441"/>
      <c r="AU73" s="441"/>
      <c r="AV73" s="441"/>
      <c r="AW73" s="481">
        <f>SUM('C19RM 2021-Pharma'!$AS73:$AV73)</f>
        <v>0</v>
      </c>
      <c r="AX73" s="483">
        <f>IF(SETUP!$E$7="USD",(AW73*(IF(O73="USD",AR73,(AR73/'Master Data-C19RM'!$G$2)))),(AW73*(IF(O73="EUR",AR73,(AR73*'Master Data-C19RM'!$G$2)))))</f>
        <v>0</v>
      </c>
      <c r="AY73" s="886"/>
      <c r="AZ73" s="887"/>
      <c r="BA73" s="887"/>
      <c r="BB73" s="887"/>
      <c r="BC73" s="887"/>
      <c r="BD73" s="887"/>
      <c r="BE73" s="888"/>
      <c r="BF73" s="505">
        <f>'C19RM 2021-Pharma'!$U73+'C19RM 2021-Pharma'!$AB73+'C19RM 2021-Pharma'!$AP73+'C19RM 2021-Pharma'!$AI73+$AW73+$BD73</f>
        <v>0</v>
      </c>
      <c r="BG73" s="483">
        <f>'C19RM 2021-Pharma'!$V73+'C19RM 2021-Pharma'!$AC73+'C19RM 2021-Pharma'!$AQ73+'C19RM 2021-Pharma'!$AJ73+$AX73+$BE73</f>
        <v>0</v>
      </c>
      <c r="BH73" s="500" t="str" cm="1">
        <f t="array" ref="BH73">IF(A73&lt;&gt;"",IFERROR(INDEX(PMtbl[[WKst]:[Unit of measure*]],MATCH($A$8&amp;$A73&amp;$E73&amp;$I73,INDEX(PMtbl[Sec]&amp;PMtbl[Category]&amp;PMtbl[Each]&amp;PMtbl[Packaging],0,),0),11),""),"")</f>
        <v/>
      </c>
      <c r="BI73" s="819"/>
      <c r="BJ73" s="502" t="str">
        <f>IFERROR(INDEX(SETUP!$C$19:$G$121,MATCH((INDEX(PMtbl[[WKst]:[Unit of measure*]],MATCH($A73&amp;$E73&amp;$I73,INDEX(PMtbl[Category]&amp;PMtbl[Each]&amp;PMtbl[Packaging],0,),0),3)),SETUP!$D$19:$D$121,0),5),"")</f>
        <v/>
      </c>
      <c r="BK73" s="438" t="str">
        <f>IFERROR(IF((INDEX(SETUP!$C$19:$G$121,MATCH((INDEX(PMtbl[[WKst]:[Unit of measure*]],MATCH($A73&amp;$E73&amp;$I73,INDEX(PMtbl[Category]&amp;PMtbl[Each]&amp;PMtbl[Packaging],0,),0),3)),SETUP!$D$19:$D$121,0),4))="Upfront",0,INDEX(SETUP!$C$19:$G$121,MATCH((INDEX(PMtbl[[WKst]:[Unit of measure*]],MATCH($A73&amp;$E73&amp;$I73,INDEX(PMtbl[Category]&amp;PMtbl[Each]&amp;PMtbl[Packaging],0,),0),3)),SETUP!$D$19:$D$121,0),5)),"")</f>
        <v/>
      </c>
      <c r="BL73" s="193" t="str" cm="1">
        <f t="array" ref="BL73">IF(E73&lt;&gt;"",IFERROR(INDEX(PMtbl[[WKst]:[Unit of measure*]],MATCH($A$8&amp;$A73&amp;$E73&amp;$I73,INDEX(PMtbl[Sec]&amp;PMtbl[Category]&amp;PMtbl[Each]&amp;PMtbl[Packaging],0,),0),11),""),"")</f>
        <v/>
      </c>
      <c r="BO73" s="12">
        <f>IF(N73="",0,IF(SETUP!$E$7="USD",((IF(O73="USD",P73,(P73/'Master Data-C19RM'!$C$2)))),((IF(O73="EUR",P73,(P73*'Master Data-C19RM'!$C$2))))))</f>
        <v>0</v>
      </c>
      <c r="BP73" s="12">
        <f>IF(N73="",0,IF(SETUP!$E$7="USD",((IF(O73="USD",W73,(W73/'Master Data-C19RM'!$D$2)))),((IF(O73="EUR",W73,(W73*'Master Data-C19RM'!$D$2))))))</f>
        <v>0</v>
      </c>
      <c r="BQ73">
        <f>IF(N73="",0,IF(SETUP!$E$7="USD",((IF(O73="USD",AD73,(AD73/'Master Data-C19RM'!$E$2)))),((IF(O73="EUR",AD73,(AD73*'Master Data-C19RM'!$E$2))))))</f>
        <v>0</v>
      </c>
      <c r="BR73">
        <f>IF(N73="",0,IF(SETUP!$E$7="USD",((IF(O73="USD",AK73,(AK73/'Master Data-C19RM'!$F$2)))),((IF(O73="EUR",AK73,(AK73*'Master Data-C19RM'!$F$2))))))</f>
        <v>0</v>
      </c>
      <c r="BS73">
        <f>IF(N73="",0,IF(SETUP!$E$7="USD",((IF(O73="USD",AR73,(AR73/'Master Data-C19RM'!$F$2)))),((IF(O73="EUR",AR73,(AR73*'Master Data-C19RM'!$G$2))))))</f>
        <v>0</v>
      </c>
      <c r="BT73">
        <f>IF(N73="",0,IF(SETUP!$E$7="USD",((IF(O73="USD",AY73,(AY73/'Master Data-C19RM'!$F$2)))),((IF(O73="EUR",AY73,(AY73*'Master Data-C19RM'!$H$2))))))</f>
        <v>0</v>
      </c>
      <c r="BU73" s="12">
        <f t="shared" si="3"/>
        <v>0</v>
      </c>
      <c r="BV73" s="142">
        <f t="shared" si="4"/>
        <v>0</v>
      </c>
    </row>
    <row r="74" spans="1:74" ht="14.9" customHeight="1" x14ac:dyDescent="0.35">
      <c r="A74" s="1172"/>
      <c r="B74" s="1172"/>
      <c r="C74" s="1172"/>
      <c r="D74" s="1172"/>
      <c r="E74" s="1172"/>
      <c r="F74" s="1172"/>
      <c r="G74" s="1172"/>
      <c r="H74" s="1172"/>
      <c r="I74" s="1173"/>
      <c r="J74" s="1173"/>
      <c r="K74" s="1173"/>
      <c r="L74" s="493" t="str" cm="1">
        <f t="array" ref="L74">IF(A74&lt;&gt;"",IFERROR(INDEX(PMtbl[[WKst]:[Unit of measure*]],MATCH($A$8&amp;$A74&amp;$E74&amp;$I74,INDEX(PMtbl[Sec]&amp;PMtbl[Category]&amp;PMtbl[Each]&amp;PMtbl[Packaging],0,),0),14),""),"")</f>
        <v/>
      </c>
      <c r="M74" s="480" t="str">
        <f>IF(L74="","",INDEX(SETUP!$E$20:$E$122,(MATCH(INDEX(PMsheet!$D:$E,MATCH(A74,PMsheet!E:E,0),1),SETUP!$D$20:$D$122,0))))</f>
        <v/>
      </c>
      <c r="N74" s="494">
        <f>IF($O74="USD",_xlfn.IFNA(VLOOKUP(A74&amp;E74&amp;I74,PMsheet!J:K,2,0),0),(_xlfn.IFNA(VLOOKUP(A74&amp;E74&amp;I74,PMsheet!J:K,2,0),0)*'Master Data-C19RM'!$C$2))</f>
        <v>0</v>
      </c>
      <c r="O74" s="495" t="str">
        <f>IF(L74="", "",SETUP!$E$7)</f>
        <v/>
      </c>
      <c r="P74" s="445">
        <f>IF($O74="USD",_xlfn.IFNA(VLOOKUP($A74&amp;$E74&amp;$I74,PMsheet!$J:$K,2,0),0),(_xlfn.IFNA(VLOOKUP($A74&amp;$E74&amp;$I74,PMsheet!$J:$K,2,0),0)*'Master Data-C19RM'!$C$2))</f>
        <v>0</v>
      </c>
      <c r="Q74" s="440"/>
      <c r="R74" s="440"/>
      <c r="S74" s="440"/>
      <c r="T74" s="440"/>
      <c r="U74" s="482">
        <f>SUM('C19RM 2021-Pharma'!$Q74:$T74)</f>
        <v>0</v>
      </c>
      <c r="V74" s="484">
        <f>IF(SETUP!$E$7="USD",(U74*(IF(O74="USD",P74,(P74/'Master Data-C19RM'!$C$2)))),(U74*(IF(O74="EUR",P74,(P74*'Master Data-C19RM'!$C$2)))))</f>
        <v>0</v>
      </c>
      <c r="W74" s="445">
        <f>IF($O74="USD",_xlfn.IFNA(VLOOKUP($A74&amp;$E74&amp;$I74,PMsheet!$J:$K,2,0),0),(_xlfn.IFNA(VLOOKUP($A74&amp;$E74&amp;$I74,PMsheet!$J:$K,2,0),0)*'Master Data-C19RM'!$D$2))</f>
        <v>0</v>
      </c>
      <c r="X74" s="440"/>
      <c r="Y74" s="440"/>
      <c r="Z74" s="440"/>
      <c r="AA74" s="440"/>
      <c r="AB74" s="482">
        <f>SUM('C19RM 2021-Pharma'!$X74:$AA74)</f>
        <v>0</v>
      </c>
      <c r="AC74" s="484">
        <f>IF(SETUP!$E$7="USD",(AB74*(IF(O74="USD",W74,(W74/'Master Data-C19RM'!$D$2)))),(AB74*(IF(O74="EUR",W74,(W74*'Master Data-C19RM'!$D$2)))))</f>
        <v>0</v>
      </c>
      <c r="AD74" s="445">
        <f>IF($O74="USD",_xlfn.IFNA(VLOOKUP($A74&amp;$E74&amp;$I74,PMsheet!$J:$K,2,0),0),(_xlfn.IFNA(VLOOKUP($A74&amp;$E74&amp;$I74,PMsheet!$J:$K,2,0),0)*'Master Data-C19RM'!$E$2))</f>
        <v>0</v>
      </c>
      <c r="AE74" s="440"/>
      <c r="AF74" s="440"/>
      <c r="AG74" s="440"/>
      <c r="AH74" s="440"/>
      <c r="AI74" s="482">
        <f>SUM('C19RM 2021-Pharma'!$AE74:$AH74)</f>
        <v>0</v>
      </c>
      <c r="AJ74" s="484">
        <f>IF(SETUP!$E$7="USD",(AI74*(IF(O74="USD",AD74,(AD74/'Master Data-C19RM'!$E$2)))),(AI74*(IF(O74="EUR",AD74,(AD74*'Master Data-C19RM'!$E$2)))))</f>
        <v>0</v>
      </c>
      <c r="AK74" s="445">
        <f>IF($O74="USD",_xlfn.IFNA(VLOOKUP($A74&amp;$E74&amp;$I74,PMsheet!$J:$K,2,0),0),(_xlfn.IFNA(VLOOKUP($A74&amp;$E74&amp;$I74,PMsheet!$J:$K,2,0),0)*'Master Data-C19RM'!$F$2))</f>
        <v>0</v>
      </c>
      <c r="AL74" s="440"/>
      <c r="AM74" s="440"/>
      <c r="AN74" s="440"/>
      <c r="AO74" s="440"/>
      <c r="AP74" s="482">
        <f>SUM('C19RM 2021-Pharma'!$AL74:$AO74)</f>
        <v>0</v>
      </c>
      <c r="AQ74" s="484">
        <f>IF(SETUP!$E$7="USD",(AP74*(IF(O74="USD",AK74,(AK74/'Master Data-C19RM'!$F$2)))),(AP74*(IF(O74="EUR",AK74,(AK74*'Master Data-C19RM'!$F$2)))))</f>
        <v>0</v>
      </c>
      <c r="AR74" s="445">
        <f>IF($O74="USD",_xlfn.IFNA(VLOOKUP($A74&amp;$E74&amp;$I74,PMsheet!$J:$K,2,0),0),(_xlfn.IFNA(VLOOKUP($A74&amp;$E74&amp;$I74,PMsheet!$J:$K,2,0),0)*'Master Data-C19RM'!$G$2))</f>
        <v>0</v>
      </c>
      <c r="AS74" s="440"/>
      <c r="AT74" s="440"/>
      <c r="AU74" s="440"/>
      <c r="AV74" s="440"/>
      <c r="AW74" s="482">
        <f>SUM('C19RM 2021-Pharma'!$AS74:$AV74)</f>
        <v>0</v>
      </c>
      <c r="AX74" s="484">
        <f>IF(SETUP!$E$7="USD",(AW74*(IF(O74="USD",AR74,(AR74/'Master Data-C19RM'!$G$2)))),(AW74*(IF(O74="EUR",AR74,(AR74*'Master Data-C19RM'!$G$2)))))</f>
        <v>0</v>
      </c>
      <c r="AY74" s="889"/>
      <c r="AZ74" s="884"/>
      <c r="BA74" s="884"/>
      <c r="BB74" s="884"/>
      <c r="BC74" s="884"/>
      <c r="BD74" s="884"/>
      <c r="BE74" s="885"/>
      <c r="BF74" s="504">
        <f>'C19RM 2021-Pharma'!$U74+'C19RM 2021-Pharma'!$AB74+'C19RM 2021-Pharma'!$AP74+'C19RM 2021-Pharma'!$AI74+$AW74+$BD74</f>
        <v>0</v>
      </c>
      <c r="BG74" s="484">
        <f>'C19RM 2021-Pharma'!$V74+'C19RM 2021-Pharma'!$AC74+'C19RM 2021-Pharma'!$AQ74+'C19RM 2021-Pharma'!$AJ74+$AX74+$BE74</f>
        <v>0</v>
      </c>
      <c r="BH74" s="499" t="str" cm="1">
        <f t="array" ref="BH74">IF(A74&lt;&gt;"",IFERROR(INDEX(PMtbl[[WKst]:[Unit of measure*]],MATCH($A$8&amp;$A74&amp;$E74&amp;$I74,INDEX(PMtbl[Sec]&amp;PMtbl[Category]&amp;PMtbl[Each]&amp;PMtbl[Packaging],0,),0),11),""),"")</f>
        <v/>
      </c>
      <c r="BI74" s="818"/>
      <c r="BJ74" s="503" t="str">
        <f>IFERROR(INDEX(SETUP!$C$19:$G$121,MATCH((INDEX(PMtbl[[WKst]:[Unit of measure*]],MATCH($A74&amp;$E74&amp;$I74,INDEX(PMtbl[Category]&amp;PMtbl[Each]&amp;PMtbl[Packaging],0,),0),3)),SETUP!$D$19:$D$121,0),5),"")</f>
        <v/>
      </c>
      <c r="BK74" s="439" t="str">
        <f>IFERROR(IF((INDEX(SETUP!$C$19:$G$121,MATCH((INDEX(PMtbl[[WKst]:[Unit of measure*]],MATCH($A74&amp;$E74&amp;$I74,INDEX(PMtbl[Category]&amp;PMtbl[Each]&amp;PMtbl[Packaging],0,),0),3)),SETUP!$D$19:$D$121,0),4))="Upfront",0,INDEX(SETUP!$C$19:$G$121,MATCH((INDEX(PMtbl[[WKst]:[Unit of measure*]],MATCH($A74&amp;$E74&amp;$I74,INDEX(PMtbl[Category]&amp;PMtbl[Each]&amp;PMtbl[Packaging],0,),0),3)),SETUP!$D$19:$D$121,0),5)),"")</f>
        <v/>
      </c>
      <c r="BL74" s="194" t="str" cm="1">
        <f t="array" ref="BL74">IF(E74&lt;&gt;"",IFERROR(INDEX(PMtbl[[WKst]:[Unit of measure*]],MATCH($A$8&amp;$A74&amp;$E74&amp;$I74,INDEX(PMtbl[Sec]&amp;PMtbl[Category]&amp;PMtbl[Each]&amp;PMtbl[Packaging],0,),0),11),""),"")</f>
        <v/>
      </c>
      <c r="BO74" s="12">
        <f>IF(N74="",0,IF(SETUP!$E$7="USD",((IF(O74="USD",P74,(P74/'Master Data-C19RM'!$C$2)))),((IF(O74="EUR",P74,(P74*'Master Data-C19RM'!$C$2))))))</f>
        <v>0</v>
      </c>
      <c r="BP74" s="12">
        <f>IF(N74="",0,IF(SETUP!$E$7="USD",((IF(O74="USD",W74,(W74/'Master Data-C19RM'!$D$2)))),((IF(O74="EUR",W74,(W74*'Master Data-C19RM'!$D$2))))))</f>
        <v>0</v>
      </c>
      <c r="BQ74">
        <f>IF(N74="",0,IF(SETUP!$E$7="USD",((IF(O74="USD",AD74,(AD74/'Master Data-C19RM'!$E$2)))),((IF(O74="EUR",AD74,(AD74*'Master Data-C19RM'!$E$2))))))</f>
        <v>0</v>
      </c>
      <c r="BR74">
        <f>IF(N74="",0,IF(SETUP!$E$7="USD",((IF(O74="USD",AK74,(AK74/'Master Data-C19RM'!$F$2)))),((IF(O74="EUR",AK74,(AK74*'Master Data-C19RM'!$F$2))))))</f>
        <v>0</v>
      </c>
      <c r="BS74">
        <f>IF(N74="",0,IF(SETUP!$E$7="USD",((IF(O74="USD",AR74,(AR74/'Master Data-C19RM'!$F$2)))),((IF(O74="EUR",AR74,(AR74*'Master Data-C19RM'!$G$2))))))</f>
        <v>0</v>
      </c>
      <c r="BT74">
        <f>IF(N74="",0,IF(SETUP!$E$7="USD",((IF(O74="USD",AY74,(AY74/'Master Data-C19RM'!$F$2)))),((IF(O74="EUR",AY74,(AY74*'Master Data-C19RM'!$H$2))))))</f>
        <v>0</v>
      </c>
      <c r="BU74" s="12">
        <f t="shared" si="3"/>
        <v>0</v>
      </c>
      <c r="BV74" s="142">
        <f t="shared" si="4"/>
        <v>0</v>
      </c>
    </row>
    <row r="75" spans="1:74" ht="14.9" customHeight="1" x14ac:dyDescent="0.35">
      <c r="A75" s="1165"/>
      <c r="B75" s="1165"/>
      <c r="C75" s="1165"/>
      <c r="D75" s="1165"/>
      <c r="E75" s="1166"/>
      <c r="F75" s="1166"/>
      <c r="G75" s="1166"/>
      <c r="H75" s="1166"/>
      <c r="I75" s="1166"/>
      <c r="J75" s="1166"/>
      <c r="K75" s="1166"/>
      <c r="L75" s="490" t="str" cm="1">
        <f t="array" ref="L75">IF(A75&lt;&gt;"",IFERROR(INDEX(PMtbl[[WKst]:[Unit of measure*]],MATCH($A$8&amp;$A75&amp;$E75&amp;$I75,INDEX(PMtbl[Sec]&amp;PMtbl[Category]&amp;PMtbl[Each]&amp;PMtbl[Packaging],0,),0),14),""),"")</f>
        <v/>
      </c>
      <c r="M75" s="479" t="str">
        <f>IF(L75="","",INDEX(SETUP!$E$20:$E$122,(MATCH(INDEX(PMsheet!$D:$E,MATCH(A75,PMsheet!E:E,0),1),SETUP!$D$20:$D$122,0))))</f>
        <v/>
      </c>
      <c r="N75" s="491">
        <f>IF($O75="USD",_xlfn.IFNA(VLOOKUP(A75&amp;E75&amp;I75,PMsheet!J:K,2,0),0),(_xlfn.IFNA(VLOOKUP(A75&amp;E75&amp;I75,PMsheet!J:K,2,0),0)*'Master Data-C19RM'!$C$2))</f>
        <v>0</v>
      </c>
      <c r="O75" s="492" t="str">
        <f>IF(L75="", "",SETUP!$E$7)</f>
        <v/>
      </c>
      <c r="P75" s="444">
        <f>IF($O75="USD",_xlfn.IFNA(VLOOKUP($A75&amp;$E75&amp;$I75,PMsheet!$J:$K,2,0),0),(_xlfn.IFNA(VLOOKUP($A75&amp;$E75&amp;$I75,PMsheet!$J:$K,2,0),0)*'Master Data-C19RM'!$C$2))</f>
        <v>0</v>
      </c>
      <c r="Q75" s="441"/>
      <c r="R75" s="441"/>
      <c r="S75" s="441"/>
      <c r="T75" s="441"/>
      <c r="U75" s="481">
        <f>SUM('C19RM 2021-Pharma'!$Q75:$T75)</f>
        <v>0</v>
      </c>
      <c r="V75" s="483">
        <f>IF(SETUP!$E$7="USD",(U75*(IF(O75="USD",P75,(P75/'Master Data-C19RM'!$C$2)))),(U75*(IF(O75="EUR",P75,(P75*'Master Data-C19RM'!$C$2)))))</f>
        <v>0</v>
      </c>
      <c r="W75" s="444">
        <f>IF($O75="USD",_xlfn.IFNA(VLOOKUP($A75&amp;$E75&amp;$I75,PMsheet!$J:$K,2,0),0),(_xlfn.IFNA(VLOOKUP($A75&amp;$E75&amp;$I75,PMsheet!$J:$K,2,0),0)*'Master Data-C19RM'!$D$2))</f>
        <v>0</v>
      </c>
      <c r="X75" s="441"/>
      <c r="Y75" s="441"/>
      <c r="Z75" s="441"/>
      <c r="AA75" s="441"/>
      <c r="AB75" s="481">
        <f>SUM('C19RM 2021-Pharma'!$X75:$AA75)</f>
        <v>0</v>
      </c>
      <c r="AC75" s="483">
        <f>IF(SETUP!$E$7="USD",(AB75*(IF(O75="USD",W75,(W75/'Master Data-C19RM'!$D$2)))),(AB75*(IF(O75="EUR",W75,(W75*'Master Data-C19RM'!$D$2)))))</f>
        <v>0</v>
      </c>
      <c r="AD75" s="444">
        <f>IF($O75="USD",_xlfn.IFNA(VLOOKUP($A75&amp;$E75&amp;$I75,PMsheet!$J:$K,2,0),0),(_xlfn.IFNA(VLOOKUP($A75&amp;$E75&amp;$I75,PMsheet!$J:$K,2,0),0)*'Master Data-C19RM'!$E$2))</f>
        <v>0</v>
      </c>
      <c r="AE75" s="441"/>
      <c r="AF75" s="441"/>
      <c r="AG75" s="441"/>
      <c r="AH75" s="441"/>
      <c r="AI75" s="481">
        <f>SUM('C19RM 2021-Pharma'!$AE75:$AH75)</f>
        <v>0</v>
      </c>
      <c r="AJ75" s="483">
        <f>IF(SETUP!$E$7="USD",(AI75*(IF(O75="USD",AD75,(AD75/'Master Data-C19RM'!$E$2)))),(AI75*(IF(O75="EUR",AD75,(AD75*'Master Data-C19RM'!$E$2)))))</f>
        <v>0</v>
      </c>
      <c r="AK75" s="444">
        <f>IF($O75="USD",_xlfn.IFNA(VLOOKUP($A75&amp;$E75&amp;$I75,PMsheet!$J:$K,2,0),0),(_xlfn.IFNA(VLOOKUP($A75&amp;$E75&amp;$I75,PMsheet!$J:$K,2,0),0)*'Master Data-C19RM'!$F$2))</f>
        <v>0</v>
      </c>
      <c r="AL75" s="441"/>
      <c r="AM75" s="441"/>
      <c r="AN75" s="441"/>
      <c r="AO75" s="441"/>
      <c r="AP75" s="481">
        <f>SUM('C19RM 2021-Pharma'!$AL75:$AO75)</f>
        <v>0</v>
      </c>
      <c r="AQ75" s="483">
        <f>IF(SETUP!$E$7="USD",(AP75*(IF(O75="USD",AK75,(AK75/'Master Data-C19RM'!$F$2)))),(AP75*(IF(O75="EUR",AK75,(AK75*'Master Data-C19RM'!$F$2)))))</f>
        <v>0</v>
      </c>
      <c r="AR75" s="444">
        <f>IF($O75="USD",_xlfn.IFNA(VLOOKUP($A75&amp;$E75&amp;$I75,PMsheet!$J:$K,2,0),0),(_xlfn.IFNA(VLOOKUP($A75&amp;$E75&amp;$I75,PMsheet!$J:$K,2,0),0)*'Master Data-C19RM'!$G$2))</f>
        <v>0</v>
      </c>
      <c r="AS75" s="441"/>
      <c r="AT75" s="441"/>
      <c r="AU75" s="441"/>
      <c r="AV75" s="441"/>
      <c r="AW75" s="481">
        <f>SUM('C19RM 2021-Pharma'!$AS75:$AV75)</f>
        <v>0</v>
      </c>
      <c r="AX75" s="483">
        <f>IF(SETUP!$E$7="USD",(AW75*(IF(O75="USD",AR75,(AR75/'Master Data-C19RM'!$G$2)))),(AW75*(IF(O75="EUR",AR75,(AR75*'Master Data-C19RM'!$G$2)))))</f>
        <v>0</v>
      </c>
      <c r="AY75" s="886"/>
      <c r="AZ75" s="887"/>
      <c r="BA75" s="887"/>
      <c r="BB75" s="887"/>
      <c r="BC75" s="887"/>
      <c r="BD75" s="887"/>
      <c r="BE75" s="888"/>
      <c r="BF75" s="505">
        <f>'C19RM 2021-Pharma'!$U75+'C19RM 2021-Pharma'!$AB75+'C19RM 2021-Pharma'!$AP75+'C19RM 2021-Pharma'!$AI75+$AW75+$BD75</f>
        <v>0</v>
      </c>
      <c r="BG75" s="483">
        <f>'C19RM 2021-Pharma'!$V75+'C19RM 2021-Pharma'!$AC75+'C19RM 2021-Pharma'!$AQ75+'C19RM 2021-Pharma'!$AJ75+$AX75+$BE75</f>
        <v>0</v>
      </c>
      <c r="BH75" s="500" t="str" cm="1">
        <f t="array" ref="BH75">IF(A75&lt;&gt;"",IFERROR(INDEX(PMtbl[[WKst]:[Unit of measure*]],MATCH($A$8&amp;$A75&amp;$E75&amp;$I75,INDEX(PMtbl[Sec]&amp;PMtbl[Category]&amp;PMtbl[Each]&amp;PMtbl[Packaging],0,),0),11),""),"")</f>
        <v/>
      </c>
      <c r="BI75" s="819"/>
      <c r="BJ75" s="502" t="str">
        <f>IFERROR(INDEX(SETUP!$C$19:$G$121,MATCH((INDEX(PMtbl[[WKst]:[Unit of measure*]],MATCH($A75&amp;$E75&amp;$I75,INDEX(PMtbl[Category]&amp;PMtbl[Each]&amp;PMtbl[Packaging],0,),0),3)),SETUP!$D$19:$D$121,0),5),"")</f>
        <v/>
      </c>
      <c r="BK75" s="438" t="str">
        <f>IFERROR(IF((INDEX(SETUP!$C$19:$G$121,MATCH((INDEX(PMtbl[[WKst]:[Unit of measure*]],MATCH($A75&amp;$E75&amp;$I75,INDEX(PMtbl[Category]&amp;PMtbl[Each]&amp;PMtbl[Packaging],0,),0),3)),SETUP!$D$19:$D$121,0),4))="Upfront",0,INDEX(SETUP!$C$19:$G$121,MATCH((INDEX(PMtbl[[WKst]:[Unit of measure*]],MATCH($A75&amp;$E75&amp;$I75,INDEX(PMtbl[Category]&amp;PMtbl[Each]&amp;PMtbl[Packaging],0,),0),3)),SETUP!$D$19:$D$121,0),5)),"")</f>
        <v/>
      </c>
      <c r="BL75" s="193" t="str" cm="1">
        <f t="array" ref="BL75">IF(E75&lt;&gt;"",IFERROR(INDEX(PMtbl[[WKst]:[Unit of measure*]],MATCH($A$8&amp;$A75&amp;$E75&amp;$I75,INDEX(PMtbl[Sec]&amp;PMtbl[Category]&amp;PMtbl[Each]&amp;PMtbl[Packaging],0,),0),11),""),"")</f>
        <v/>
      </c>
      <c r="BO75" s="12">
        <f>IF(N75="",0,IF(SETUP!$E$7="USD",((IF(O75="USD",P75,(P75/'Master Data-C19RM'!$C$2)))),((IF(O75="EUR",P75,(P75*'Master Data-C19RM'!$C$2))))))</f>
        <v>0</v>
      </c>
      <c r="BP75" s="12">
        <f>IF(N75="",0,IF(SETUP!$E$7="USD",((IF(O75="USD",W75,(W75/'Master Data-C19RM'!$D$2)))),((IF(O75="EUR",W75,(W75*'Master Data-C19RM'!$D$2))))))</f>
        <v>0</v>
      </c>
      <c r="BQ75">
        <f>IF(N75="",0,IF(SETUP!$E$7="USD",((IF(O75="USD",AD75,(AD75/'Master Data-C19RM'!$E$2)))),((IF(O75="EUR",AD75,(AD75*'Master Data-C19RM'!$E$2))))))</f>
        <v>0</v>
      </c>
      <c r="BR75">
        <f>IF(N75="",0,IF(SETUP!$E$7="USD",((IF(O75="USD",AK75,(AK75/'Master Data-C19RM'!$F$2)))),((IF(O75="EUR",AK75,(AK75*'Master Data-C19RM'!$F$2))))))</f>
        <v>0</v>
      </c>
      <c r="BS75">
        <f>IF(N75="",0,IF(SETUP!$E$7="USD",((IF(O75="USD",AR75,(AR75/'Master Data-C19RM'!$F$2)))),((IF(O75="EUR",AR75,(AR75*'Master Data-C19RM'!$G$2))))))</f>
        <v>0</v>
      </c>
      <c r="BT75">
        <f>IF(N75="",0,IF(SETUP!$E$7="USD",((IF(O75="USD",AY75,(AY75/'Master Data-C19RM'!$F$2)))),((IF(O75="EUR",AY75,(AY75*'Master Data-C19RM'!$H$2))))))</f>
        <v>0</v>
      </c>
      <c r="BU75" s="12">
        <f t="shared" si="3"/>
        <v>0</v>
      </c>
      <c r="BV75" s="142">
        <f t="shared" si="4"/>
        <v>0</v>
      </c>
    </row>
    <row r="76" spans="1:74" ht="14.9" customHeight="1" x14ac:dyDescent="0.35">
      <c r="A76" s="1172"/>
      <c r="B76" s="1172"/>
      <c r="C76" s="1172"/>
      <c r="D76" s="1172"/>
      <c r="E76" s="1172"/>
      <c r="F76" s="1172"/>
      <c r="G76" s="1172"/>
      <c r="H76" s="1172"/>
      <c r="I76" s="1173"/>
      <c r="J76" s="1173"/>
      <c r="K76" s="1173"/>
      <c r="L76" s="493" t="str" cm="1">
        <f t="array" ref="L76">IF(A76&lt;&gt;"",IFERROR(INDEX(PMtbl[[WKst]:[Unit of measure*]],MATCH($A$8&amp;$A76&amp;$E76&amp;$I76,INDEX(PMtbl[Sec]&amp;PMtbl[Category]&amp;PMtbl[Each]&amp;PMtbl[Packaging],0,),0),14),""),"")</f>
        <v/>
      </c>
      <c r="M76" s="480" t="str">
        <f>IF(L76="","",INDEX(SETUP!$E$20:$E$122,(MATCH(INDEX(PMsheet!$D:$E,MATCH(A76,PMsheet!E:E,0),1),SETUP!$D$20:$D$122,0))))</f>
        <v/>
      </c>
      <c r="N76" s="494">
        <f>IF($O76="USD",_xlfn.IFNA(VLOOKUP(A76&amp;E76&amp;I76,PMsheet!J:K,2,0),0),(_xlfn.IFNA(VLOOKUP(A76&amp;E76&amp;I76,PMsheet!J:K,2,0),0)*'Master Data-C19RM'!$C$2))</f>
        <v>0</v>
      </c>
      <c r="O76" s="495" t="str">
        <f>IF(L76="", "",SETUP!$E$7)</f>
        <v/>
      </c>
      <c r="P76" s="445">
        <f>IF($O76="USD",_xlfn.IFNA(VLOOKUP($A76&amp;$E76&amp;$I76,PMsheet!$J:$K,2,0),0),(_xlfn.IFNA(VLOOKUP($A76&amp;$E76&amp;$I76,PMsheet!$J:$K,2,0),0)*'Master Data-C19RM'!$C$2))</f>
        <v>0</v>
      </c>
      <c r="Q76" s="440"/>
      <c r="R76" s="440"/>
      <c r="S76" s="440"/>
      <c r="T76" s="440"/>
      <c r="U76" s="482">
        <f>SUM('C19RM 2021-Pharma'!$Q76:$T76)</f>
        <v>0</v>
      </c>
      <c r="V76" s="484">
        <f>IF(SETUP!$E$7="USD",(U76*(IF(O76="USD",P76,(P76/'Master Data-C19RM'!$C$2)))),(U76*(IF(O76="EUR",P76,(P76*'Master Data-C19RM'!$C$2)))))</f>
        <v>0</v>
      </c>
      <c r="W76" s="445">
        <f>IF($O76="USD",_xlfn.IFNA(VLOOKUP($A76&amp;$E76&amp;$I76,PMsheet!$J:$K,2,0),0),(_xlfn.IFNA(VLOOKUP($A76&amp;$E76&amp;$I76,PMsheet!$J:$K,2,0),0)*'Master Data-C19RM'!$D$2))</f>
        <v>0</v>
      </c>
      <c r="X76" s="440"/>
      <c r="Y76" s="440"/>
      <c r="Z76" s="440"/>
      <c r="AA76" s="440"/>
      <c r="AB76" s="482">
        <f>SUM('C19RM 2021-Pharma'!$X76:$AA76)</f>
        <v>0</v>
      </c>
      <c r="AC76" s="484">
        <f>IF(SETUP!$E$7="USD",(AB76*(IF(O76="USD",W76,(W76/'Master Data-C19RM'!$D$2)))),(AB76*(IF(O76="EUR",W76,(W76*'Master Data-C19RM'!$D$2)))))</f>
        <v>0</v>
      </c>
      <c r="AD76" s="445">
        <f>IF($O76="USD",_xlfn.IFNA(VLOOKUP($A76&amp;$E76&amp;$I76,PMsheet!$J:$K,2,0),0),(_xlfn.IFNA(VLOOKUP($A76&amp;$E76&amp;$I76,PMsheet!$J:$K,2,0),0)*'Master Data-C19RM'!$E$2))</f>
        <v>0</v>
      </c>
      <c r="AE76" s="440"/>
      <c r="AF76" s="440"/>
      <c r="AG76" s="440"/>
      <c r="AH76" s="440"/>
      <c r="AI76" s="482">
        <f>SUM('C19RM 2021-Pharma'!$AE76:$AH76)</f>
        <v>0</v>
      </c>
      <c r="AJ76" s="484">
        <f>IF(SETUP!$E$7="USD",(AI76*(IF(O76="USD",AD76,(AD76/'Master Data-C19RM'!$E$2)))),(AI76*(IF(O76="EUR",AD76,(AD76*'Master Data-C19RM'!$E$2)))))</f>
        <v>0</v>
      </c>
      <c r="AK76" s="445">
        <f>IF($O76="USD",_xlfn.IFNA(VLOOKUP($A76&amp;$E76&amp;$I76,PMsheet!$J:$K,2,0),0),(_xlfn.IFNA(VLOOKUP($A76&amp;$E76&amp;$I76,PMsheet!$J:$K,2,0),0)*'Master Data-C19RM'!$F$2))</f>
        <v>0</v>
      </c>
      <c r="AL76" s="440"/>
      <c r="AM76" s="440"/>
      <c r="AN76" s="440"/>
      <c r="AO76" s="440"/>
      <c r="AP76" s="482">
        <f>SUM('C19RM 2021-Pharma'!$AL76:$AO76)</f>
        <v>0</v>
      </c>
      <c r="AQ76" s="484">
        <f>IF(SETUP!$E$7="USD",(AP76*(IF(O76="USD",AK76,(AK76/'Master Data-C19RM'!$F$2)))),(AP76*(IF(O76="EUR",AK76,(AK76*'Master Data-C19RM'!$F$2)))))</f>
        <v>0</v>
      </c>
      <c r="AR76" s="445">
        <f>IF($O76="USD",_xlfn.IFNA(VLOOKUP($A76&amp;$E76&amp;$I76,PMsheet!$J:$K,2,0),0),(_xlfn.IFNA(VLOOKUP($A76&amp;$E76&amp;$I76,PMsheet!$J:$K,2,0),0)*'Master Data-C19RM'!$G$2))</f>
        <v>0</v>
      </c>
      <c r="AS76" s="440"/>
      <c r="AT76" s="440"/>
      <c r="AU76" s="440"/>
      <c r="AV76" s="440"/>
      <c r="AW76" s="482">
        <f>SUM('C19RM 2021-Pharma'!$AS76:$AV76)</f>
        <v>0</v>
      </c>
      <c r="AX76" s="484">
        <f>IF(SETUP!$E$7="USD",(AW76*(IF(O76="USD",AR76,(AR76/'Master Data-C19RM'!$G$2)))),(AW76*(IF(O76="EUR",AR76,(AR76*'Master Data-C19RM'!$G$2)))))</f>
        <v>0</v>
      </c>
      <c r="AY76" s="889"/>
      <c r="AZ76" s="884"/>
      <c r="BA76" s="884"/>
      <c r="BB76" s="884"/>
      <c r="BC76" s="884"/>
      <c r="BD76" s="884"/>
      <c r="BE76" s="885"/>
      <c r="BF76" s="504">
        <f>'C19RM 2021-Pharma'!$U76+'C19RM 2021-Pharma'!$AB76+'C19RM 2021-Pharma'!$AP76+'C19RM 2021-Pharma'!$AI76+$AW76+$BD76</f>
        <v>0</v>
      </c>
      <c r="BG76" s="484">
        <f>'C19RM 2021-Pharma'!$V76+'C19RM 2021-Pharma'!$AC76+'C19RM 2021-Pharma'!$AQ76+'C19RM 2021-Pharma'!$AJ76+$AX76+$BE76</f>
        <v>0</v>
      </c>
      <c r="BH76" s="499" t="str" cm="1">
        <f t="array" ref="BH76">IF(A76&lt;&gt;"",IFERROR(INDEX(PMtbl[[WKst]:[Unit of measure*]],MATCH($A$8&amp;$A76&amp;$E76&amp;$I76,INDEX(PMtbl[Sec]&amp;PMtbl[Category]&amp;PMtbl[Each]&amp;PMtbl[Packaging],0,),0),11),""),"")</f>
        <v/>
      </c>
      <c r="BI76" s="818"/>
      <c r="BJ76" s="503" t="str">
        <f>IFERROR(INDEX(SETUP!$C$19:$G$121,MATCH((INDEX(PMtbl[[WKst]:[Unit of measure*]],MATCH($A76&amp;$E76&amp;$I76,INDEX(PMtbl[Category]&amp;PMtbl[Each]&amp;PMtbl[Packaging],0,),0),3)),SETUP!$D$19:$D$121,0),5),"")</f>
        <v/>
      </c>
      <c r="BK76" s="439" t="str">
        <f>IFERROR(IF((INDEX(SETUP!$C$19:$G$121,MATCH((INDEX(PMtbl[[WKst]:[Unit of measure*]],MATCH($A76&amp;$E76&amp;$I76,INDEX(PMtbl[Category]&amp;PMtbl[Each]&amp;PMtbl[Packaging],0,),0),3)),SETUP!$D$19:$D$121,0),4))="Upfront",0,INDEX(SETUP!$C$19:$G$121,MATCH((INDEX(PMtbl[[WKst]:[Unit of measure*]],MATCH($A76&amp;$E76&amp;$I76,INDEX(PMtbl[Category]&amp;PMtbl[Each]&amp;PMtbl[Packaging],0,),0),3)),SETUP!$D$19:$D$121,0),5)),"")</f>
        <v/>
      </c>
      <c r="BL76" s="194" t="str" cm="1">
        <f t="array" ref="BL76">IF(E76&lt;&gt;"",IFERROR(INDEX(PMtbl[[WKst]:[Unit of measure*]],MATCH($A$8&amp;$A76&amp;$E76&amp;$I76,INDEX(PMtbl[Sec]&amp;PMtbl[Category]&amp;PMtbl[Each]&amp;PMtbl[Packaging],0,),0),11),""),"")</f>
        <v/>
      </c>
      <c r="BO76" s="12">
        <f>IF(N76="",0,IF(SETUP!$E$7="USD",((IF(O76="USD",P76,(P76/'Master Data-C19RM'!$C$2)))),((IF(O76="EUR",P76,(P76*'Master Data-C19RM'!$C$2))))))</f>
        <v>0</v>
      </c>
      <c r="BP76" s="12">
        <f>IF(N76="",0,IF(SETUP!$E$7="USD",((IF(O76="USD",W76,(W76/'Master Data-C19RM'!$D$2)))),((IF(O76="EUR",W76,(W76*'Master Data-C19RM'!$D$2))))))</f>
        <v>0</v>
      </c>
      <c r="BQ76">
        <f>IF(N76="",0,IF(SETUP!$E$7="USD",((IF(O76="USD",AD76,(AD76/'Master Data-C19RM'!$E$2)))),((IF(O76="EUR",AD76,(AD76*'Master Data-C19RM'!$E$2))))))</f>
        <v>0</v>
      </c>
      <c r="BR76">
        <f>IF(N76="",0,IF(SETUP!$E$7="USD",((IF(O76="USD",AK76,(AK76/'Master Data-C19RM'!$F$2)))),((IF(O76="EUR",AK76,(AK76*'Master Data-C19RM'!$F$2))))))</f>
        <v>0</v>
      </c>
      <c r="BS76">
        <f>IF(N76="",0,IF(SETUP!$E$7="USD",((IF(O76="USD",AR76,(AR76/'Master Data-C19RM'!$F$2)))),((IF(O76="EUR",AR76,(AR76*'Master Data-C19RM'!$G$2))))))</f>
        <v>0</v>
      </c>
      <c r="BT76">
        <f>IF(N76="",0,IF(SETUP!$E$7="USD",((IF(O76="USD",AY76,(AY76/'Master Data-C19RM'!$F$2)))),((IF(O76="EUR",AY76,(AY76*'Master Data-C19RM'!$H$2))))))</f>
        <v>0</v>
      </c>
      <c r="BU76" s="12">
        <f t="shared" si="3"/>
        <v>0</v>
      </c>
      <c r="BV76" s="142">
        <f t="shared" si="4"/>
        <v>0</v>
      </c>
    </row>
    <row r="77" spans="1:74" ht="14.9" customHeight="1" x14ac:dyDescent="0.35">
      <c r="A77" s="1165"/>
      <c r="B77" s="1165"/>
      <c r="C77" s="1165"/>
      <c r="D77" s="1165"/>
      <c r="E77" s="1166"/>
      <c r="F77" s="1166"/>
      <c r="G77" s="1166"/>
      <c r="H77" s="1166"/>
      <c r="I77" s="1166"/>
      <c r="J77" s="1166"/>
      <c r="K77" s="1166"/>
      <c r="L77" s="490" t="str" cm="1">
        <f t="array" ref="L77">IF(A77&lt;&gt;"",IFERROR(INDEX(PMtbl[[WKst]:[Unit of measure*]],MATCH($A$8&amp;$A77&amp;$E77&amp;$I77,INDEX(PMtbl[Sec]&amp;PMtbl[Category]&amp;PMtbl[Each]&amp;PMtbl[Packaging],0,),0),14),""),"")</f>
        <v/>
      </c>
      <c r="M77" s="479" t="str">
        <f>IF(L77="","",INDEX(SETUP!$E$20:$E$122,(MATCH(INDEX(PMsheet!$D:$E,MATCH(A77,PMsheet!E:E,0),1),SETUP!$D$20:$D$122,0))))</f>
        <v/>
      </c>
      <c r="N77" s="491">
        <f>IF($O77="USD",_xlfn.IFNA(VLOOKUP(A77&amp;E77&amp;I77,PMsheet!J:K,2,0),0),(_xlfn.IFNA(VLOOKUP(A77&amp;E77&amp;I77,PMsheet!J:K,2,0),0)*'Master Data-C19RM'!$C$2))</f>
        <v>0</v>
      </c>
      <c r="O77" s="492" t="str">
        <f>IF(L77="", "",SETUP!$E$7)</f>
        <v/>
      </c>
      <c r="P77" s="444">
        <f>IF($O77="USD",_xlfn.IFNA(VLOOKUP($A77&amp;$E77&amp;$I77,PMsheet!$J:$K,2,0),0),(_xlfn.IFNA(VLOOKUP($A77&amp;$E77&amp;$I77,PMsheet!$J:$K,2,0),0)*'Master Data-C19RM'!$C$2))</f>
        <v>0</v>
      </c>
      <c r="Q77" s="441"/>
      <c r="R77" s="441"/>
      <c r="S77" s="441"/>
      <c r="T77" s="441"/>
      <c r="U77" s="481">
        <f>SUM('C19RM 2021-Pharma'!$Q77:$T77)</f>
        <v>0</v>
      </c>
      <c r="V77" s="483">
        <f>IF(SETUP!$E$7="USD",(U77*(IF(O77="USD",P77,(P77/'Master Data-C19RM'!$C$2)))),(U77*(IF(O77="EUR",P77,(P77*'Master Data-C19RM'!$C$2)))))</f>
        <v>0</v>
      </c>
      <c r="W77" s="444">
        <f>IF($O77="USD",_xlfn.IFNA(VLOOKUP($A77&amp;$E77&amp;$I77,PMsheet!$J:$K,2,0),0),(_xlfn.IFNA(VLOOKUP($A77&amp;$E77&amp;$I77,PMsheet!$J:$K,2,0),0)*'Master Data-C19RM'!$D$2))</f>
        <v>0</v>
      </c>
      <c r="X77" s="441"/>
      <c r="Y77" s="441"/>
      <c r="Z77" s="441"/>
      <c r="AA77" s="441"/>
      <c r="AB77" s="481">
        <f>SUM('C19RM 2021-Pharma'!$X77:$AA77)</f>
        <v>0</v>
      </c>
      <c r="AC77" s="483">
        <f>IF(SETUP!$E$7="USD",(AB77*(IF(O77="USD",W77,(W77/'Master Data-C19RM'!$D$2)))),(AB77*(IF(O77="EUR",W77,(W77*'Master Data-C19RM'!$D$2)))))</f>
        <v>0</v>
      </c>
      <c r="AD77" s="444">
        <f>IF($O77="USD",_xlfn.IFNA(VLOOKUP($A77&amp;$E77&amp;$I77,PMsheet!$J:$K,2,0),0),(_xlfn.IFNA(VLOOKUP($A77&amp;$E77&amp;$I77,PMsheet!$J:$K,2,0),0)*'Master Data-C19RM'!$E$2))</f>
        <v>0</v>
      </c>
      <c r="AE77" s="441"/>
      <c r="AF77" s="441"/>
      <c r="AG77" s="441"/>
      <c r="AH77" s="441"/>
      <c r="AI77" s="481">
        <f>SUM('C19RM 2021-Pharma'!$AE77:$AH77)</f>
        <v>0</v>
      </c>
      <c r="AJ77" s="483">
        <f>IF(SETUP!$E$7="USD",(AI77*(IF(O77="USD",AD77,(AD77/'Master Data-C19RM'!$E$2)))),(AI77*(IF(O77="EUR",AD77,(AD77*'Master Data-C19RM'!$E$2)))))</f>
        <v>0</v>
      </c>
      <c r="AK77" s="444">
        <f>IF($O77="USD",_xlfn.IFNA(VLOOKUP($A77&amp;$E77&amp;$I77,PMsheet!$J:$K,2,0),0),(_xlfn.IFNA(VLOOKUP($A77&amp;$E77&amp;$I77,PMsheet!$J:$K,2,0),0)*'Master Data-C19RM'!$F$2))</f>
        <v>0</v>
      </c>
      <c r="AL77" s="441"/>
      <c r="AM77" s="441"/>
      <c r="AN77" s="441"/>
      <c r="AO77" s="441"/>
      <c r="AP77" s="481">
        <f>SUM('C19RM 2021-Pharma'!$AL77:$AO77)</f>
        <v>0</v>
      </c>
      <c r="AQ77" s="483">
        <f>IF(SETUP!$E$7="USD",(AP77*(IF(O77="USD",AK77,(AK77/'Master Data-C19RM'!$F$2)))),(AP77*(IF(O77="EUR",AK77,(AK77*'Master Data-C19RM'!$F$2)))))</f>
        <v>0</v>
      </c>
      <c r="AR77" s="444">
        <f>IF($O77="USD",_xlfn.IFNA(VLOOKUP($A77&amp;$E77&amp;$I77,PMsheet!$J:$K,2,0),0),(_xlfn.IFNA(VLOOKUP($A77&amp;$E77&amp;$I77,PMsheet!$J:$K,2,0),0)*'Master Data-C19RM'!$G$2))</f>
        <v>0</v>
      </c>
      <c r="AS77" s="441"/>
      <c r="AT77" s="441"/>
      <c r="AU77" s="441"/>
      <c r="AV77" s="441"/>
      <c r="AW77" s="481">
        <f>SUM('C19RM 2021-Pharma'!$AS77:$AV77)</f>
        <v>0</v>
      </c>
      <c r="AX77" s="483">
        <f>IF(SETUP!$E$7="USD",(AW77*(IF(O77="USD",AR77,(AR77/'Master Data-C19RM'!$G$2)))),(AW77*(IF(O77="EUR",AR77,(AR77*'Master Data-C19RM'!$G$2)))))</f>
        <v>0</v>
      </c>
      <c r="AY77" s="886"/>
      <c r="AZ77" s="887"/>
      <c r="BA77" s="887"/>
      <c r="BB77" s="887"/>
      <c r="BC77" s="887"/>
      <c r="BD77" s="887"/>
      <c r="BE77" s="888"/>
      <c r="BF77" s="505">
        <f>'C19RM 2021-Pharma'!$U77+'C19RM 2021-Pharma'!$AB77+'C19RM 2021-Pharma'!$AP77+'C19RM 2021-Pharma'!$AI77+$AW77+$BD77</f>
        <v>0</v>
      </c>
      <c r="BG77" s="483">
        <f>'C19RM 2021-Pharma'!$V77+'C19RM 2021-Pharma'!$AC77+'C19RM 2021-Pharma'!$AQ77+'C19RM 2021-Pharma'!$AJ77+$AX77+$BE77</f>
        <v>0</v>
      </c>
      <c r="BH77" s="500" t="str" cm="1">
        <f t="array" ref="BH77">IF(A77&lt;&gt;"",IFERROR(INDEX(PMtbl[[WKst]:[Unit of measure*]],MATCH($A$8&amp;$A77&amp;$E77&amp;$I77,INDEX(PMtbl[Sec]&amp;PMtbl[Category]&amp;PMtbl[Each]&amp;PMtbl[Packaging],0,),0),11),""),"")</f>
        <v/>
      </c>
      <c r="BI77" s="819"/>
      <c r="BJ77" s="502" t="str">
        <f>IFERROR(INDEX(SETUP!$C$19:$G$121,MATCH((INDEX(PMtbl[[WKst]:[Unit of measure*]],MATCH($A77&amp;$E77&amp;$I77,INDEX(PMtbl[Category]&amp;PMtbl[Each]&amp;PMtbl[Packaging],0,),0),3)),SETUP!$D$19:$D$121,0),5),"")</f>
        <v/>
      </c>
      <c r="BK77" s="438" t="str">
        <f>IFERROR(IF((INDEX(SETUP!$C$19:$G$121,MATCH((INDEX(PMtbl[[WKst]:[Unit of measure*]],MATCH($A77&amp;$E77&amp;$I77,INDEX(PMtbl[Category]&amp;PMtbl[Each]&amp;PMtbl[Packaging],0,),0),3)),SETUP!$D$19:$D$121,0),4))="Upfront",0,INDEX(SETUP!$C$19:$G$121,MATCH((INDEX(PMtbl[[WKst]:[Unit of measure*]],MATCH($A77&amp;$E77&amp;$I77,INDEX(PMtbl[Category]&amp;PMtbl[Each]&amp;PMtbl[Packaging],0,),0),3)),SETUP!$D$19:$D$121,0),5)),"")</f>
        <v/>
      </c>
      <c r="BL77" s="193" t="str" cm="1">
        <f t="array" ref="BL77">IF(E77&lt;&gt;"",IFERROR(INDEX(PMtbl[[WKst]:[Unit of measure*]],MATCH($A$8&amp;$A77&amp;$E77&amp;$I77,INDEX(PMtbl[Sec]&amp;PMtbl[Category]&amp;PMtbl[Each]&amp;PMtbl[Packaging],0,),0),11),""),"")</f>
        <v/>
      </c>
      <c r="BO77" s="12">
        <f>IF(N77="",0,IF(SETUP!$E$7="USD",((IF(O77="USD",P77,(P77/'Master Data-C19RM'!$C$2)))),((IF(O77="EUR",P77,(P77*'Master Data-C19RM'!$C$2))))))</f>
        <v>0</v>
      </c>
      <c r="BP77" s="12">
        <f>IF(N77="",0,IF(SETUP!$E$7="USD",((IF(O77="USD",W77,(W77/'Master Data-C19RM'!$D$2)))),((IF(O77="EUR",W77,(W77*'Master Data-C19RM'!$D$2))))))</f>
        <v>0</v>
      </c>
      <c r="BQ77">
        <f>IF(N77="",0,IF(SETUP!$E$7="USD",((IF(O77="USD",AD77,(AD77/'Master Data-C19RM'!$E$2)))),((IF(O77="EUR",AD77,(AD77*'Master Data-C19RM'!$E$2))))))</f>
        <v>0</v>
      </c>
      <c r="BR77">
        <f>IF(N77="",0,IF(SETUP!$E$7="USD",((IF(O77="USD",AK77,(AK77/'Master Data-C19RM'!$F$2)))),((IF(O77="EUR",AK77,(AK77*'Master Data-C19RM'!$F$2))))))</f>
        <v>0</v>
      </c>
      <c r="BS77">
        <f>IF(N77="",0,IF(SETUP!$E$7="USD",((IF(O77="USD",AR77,(AR77/'Master Data-C19RM'!$F$2)))),((IF(O77="EUR",AR77,(AR77*'Master Data-C19RM'!$G$2))))))</f>
        <v>0</v>
      </c>
      <c r="BT77">
        <f>IF(N77="",0,IF(SETUP!$E$7="USD",((IF(O77="USD",AY77,(AY77/'Master Data-C19RM'!$F$2)))),((IF(O77="EUR",AY77,(AY77*'Master Data-C19RM'!$H$2))))))</f>
        <v>0</v>
      </c>
      <c r="BU77" s="12">
        <f t="shared" si="3"/>
        <v>0</v>
      </c>
      <c r="BV77" s="142">
        <f t="shared" si="4"/>
        <v>0</v>
      </c>
    </row>
    <row r="78" spans="1:74" ht="14.9" customHeight="1" x14ac:dyDescent="0.35">
      <c r="A78" s="1172"/>
      <c r="B78" s="1172"/>
      <c r="C78" s="1172"/>
      <c r="D78" s="1172"/>
      <c r="E78" s="1172"/>
      <c r="F78" s="1172"/>
      <c r="G78" s="1172"/>
      <c r="H78" s="1172"/>
      <c r="I78" s="1173"/>
      <c r="J78" s="1173"/>
      <c r="K78" s="1173"/>
      <c r="L78" s="493" t="str" cm="1">
        <f t="array" ref="L78">IF(A78&lt;&gt;"",IFERROR(INDEX(PMtbl[[WKst]:[Unit of measure*]],MATCH($A$8&amp;$A78&amp;$E78&amp;$I78,INDEX(PMtbl[Sec]&amp;PMtbl[Category]&amp;PMtbl[Each]&amp;PMtbl[Packaging],0,),0),14),""),"")</f>
        <v/>
      </c>
      <c r="M78" s="480" t="str">
        <f>IF(L78="","",INDEX(SETUP!$E$20:$E$122,(MATCH(INDEX(PMsheet!$D:$E,MATCH(A78,PMsheet!E:E,0),1),SETUP!$D$20:$D$122,0))))</f>
        <v/>
      </c>
      <c r="N78" s="494">
        <f>IF($O78="USD",_xlfn.IFNA(VLOOKUP(A78&amp;E78&amp;I78,PMsheet!J:K,2,0),0),(_xlfn.IFNA(VLOOKUP(A78&amp;E78&amp;I78,PMsheet!J:K,2,0),0)*'Master Data-C19RM'!$C$2))</f>
        <v>0</v>
      </c>
      <c r="O78" s="495" t="str">
        <f>IF(L78="", "",SETUP!$E$7)</f>
        <v/>
      </c>
      <c r="P78" s="445">
        <f>IF($O78="USD",_xlfn.IFNA(VLOOKUP($A78&amp;$E78&amp;$I78,PMsheet!$J:$K,2,0),0),(_xlfn.IFNA(VLOOKUP($A78&amp;$E78&amp;$I78,PMsheet!$J:$K,2,0),0)*'Master Data-C19RM'!$C$2))</f>
        <v>0</v>
      </c>
      <c r="Q78" s="440"/>
      <c r="R78" s="440"/>
      <c r="S78" s="440"/>
      <c r="T78" s="440"/>
      <c r="U78" s="482">
        <f>SUM('C19RM 2021-Pharma'!$Q78:$T78)</f>
        <v>0</v>
      </c>
      <c r="V78" s="484">
        <f>IF(SETUP!$E$7="USD",(U78*(IF(O78="USD",P78,(P78/'Master Data-C19RM'!$C$2)))),(U78*(IF(O78="EUR",P78,(P78*'Master Data-C19RM'!$C$2)))))</f>
        <v>0</v>
      </c>
      <c r="W78" s="445">
        <f>IF($O78="USD",_xlfn.IFNA(VLOOKUP($A78&amp;$E78&amp;$I78,PMsheet!$J:$K,2,0),0),(_xlfn.IFNA(VLOOKUP($A78&amp;$E78&amp;$I78,PMsheet!$J:$K,2,0),0)*'Master Data-C19RM'!$D$2))</f>
        <v>0</v>
      </c>
      <c r="X78" s="440"/>
      <c r="Y78" s="440"/>
      <c r="Z78" s="440"/>
      <c r="AA78" s="440"/>
      <c r="AB78" s="482">
        <f>SUM('C19RM 2021-Pharma'!$X78:$AA78)</f>
        <v>0</v>
      </c>
      <c r="AC78" s="484">
        <f>IF(SETUP!$E$7="USD",(AB78*(IF(O78="USD",W78,(W78/'Master Data-C19RM'!$D$2)))),(AB78*(IF(O78="EUR",W78,(W78*'Master Data-C19RM'!$D$2)))))</f>
        <v>0</v>
      </c>
      <c r="AD78" s="445">
        <f>IF($O78="USD",_xlfn.IFNA(VLOOKUP($A78&amp;$E78&amp;$I78,PMsheet!$J:$K,2,0),0),(_xlfn.IFNA(VLOOKUP($A78&amp;$E78&amp;$I78,PMsheet!$J:$K,2,0),0)*'Master Data-C19RM'!$E$2))</f>
        <v>0</v>
      </c>
      <c r="AE78" s="440"/>
      <c r="AF78" s="440"/>
      <c r="AG78" s="440"/>
      <c r="AH78" s="440"/>
      <c r="AI78" s="482">
        <f>SUM('C19RM 2021-Pharma'!$AE78:$AH78)</f>
        <v>0</v>
      </c>
      <c r="AJ78" s="484">
        <f>IF(SETUP!$E$7="USD",(AI78*(IF(O78="USD",AD78,(AD78/'Master Data-C19RM'!$E$2)))),(AI78*(IF(O78="EUR",AD78,(AD78*'Master Data-C19RM'!$E$2)))))</f>
        <v>0</v>
      </c>
      <c r="AK78" s="445">
        <f>IF($O78="USD",_xlfn.IFNA(VLOOKUP($A78&amp;$E78&amp;$I78,PMsheet!$J:$K,2,0),0),(_xlfn.IFNA(VLOOKUP($A78&amp;$E78&amp;$I78,PMsheet!$J:$K,2,0),0)*'Master Data-C19RM'!$F$2))</f>
        <v>0</v>
      </c>
      <c r="AL78" s="440"/>
      <c r="AM78" s="440"/>
      <c r="AN78" s="440"/>
      <c r="AO78" s="440"/>
      <c r="AP78" s="482">
        <f>SUM('C19RM 2021-Pharma'!$AL78:$AO78)</f>
        <v>0</v>
      </c>
      <c r="AQ78" s="484">
        <f>IF(SETUP!$E$7="USD",(AP78*(IF(O78="USD",AK78,(AK78/'Master Data-C19RM'!$F$2)))),(AP78*(IF(O78="EUR",AK78,(AK78*'Master Data-C19RM'!$F$2)))))</f>
        <v>0</v>
      </c>
      <c r="AR78" s="445">
        <f>IF($O78="USD",_xlfn.IFNA(VLOOKUP($A78&amp;$E78&amp;$I78,PMsheet!$J:$K,2,0),0),(_xlfn.IFNA(VLOOKUP($A78&amp;$E78&amp;$I78,PMsheet!$J:$K,2,0),0)*'Master Data-C19RM'!$G$2))</f>
        <v>0</v>
      </c>
      <c r="AS78" s="440"/>
      <c r="AT78" s="440"/>
      <c r="AU78" s="440"/>
      <c r="AV78" s="440"/>
      <c r="AW78" s="482">
        <f>SUM('C19RM 2021-Pharma'!$AS78:$AV78)</f>
        <v>0</v>
      </c>
      <c r="AX78" s="484">
        <f>IF(SETUP!$E$7="USD",(AW78*(IF(O78="USD",AR78,(AR78/'Master Data-C19RM'!$G$2)))),(AW78*(IF(O78="EUR",AR78,(AR78*'Master Data-C19RM'!$G$2)))))</f>
        <v>0</v>
      </c>
      <c r="AY78" s="889"/>
      <c r="AZ78" s="884"/>
      <c r="BA78" s="884"/>
      <c r="BB78" s="884"/>
      <c r="BC78" s="884"/>
      <c r="BD78" s="884"/>
      <c r="BE78" s="885"/>
      <c r="BF78" s="504">
        <f>'C19RM 2021-Pharma'!$U78+'C19RM 2021-Pharma'!$AB78+'C19RM 2021-Pharma'!$AP78+'C19RM 2021-Pharma'!$AI78+$AW78+$BD78</f>
        <v>0</v>
      </c>
      <c r="BG78" s="484">
        <f>'C19RM 2021-Pharma'!$V78+'C19RM 2021-Pharma'!$AC78+'C19RM 2021-Pharma'!$AQ78+'C19RM 2021-Pharma'!$AJ78+$AX78+$BE78</f>
        <v>0</v>
      </c>
      <c r="BH78" s="499" t="str" cm="1">
        <f t="array" ref="BH78">IF(A78&lt;&gt;"",IFERROR(INDEX(PMtbl[[WKst]:[Unit of measure*]],MATCH($A$8&amp;$A78&amp;$E78&amp;$I78,INDEX(PMtbl[Sec]&amp;PMtbl[Category]&amp;PMtbl[Each]&amp;PMtbl[Packaging],0,),0),11),""),"")</f>
        <v/>
      </c>
      <c r="BI78" s="818"/>
      <c r="BJ78" s="503" t="str">
        <f>IFERROR(INDEX(SETUP!$C$19:$G$121,MATCH((INDEX(PMtbl[[WKst]:[Unit of measure*]],MATCH($A78&amp;$E78&amp;$I78,INDEX(PMtbl[Category]&amp;PMtbl[Each]&amp;PMtbl[Packaging],0,),0),3)),SETUP!$D$19:$D$121,0),5),"")</f>
        <v/>
      </c>
      <c r="BK78" s="439" t="str">
        <f>IFERROR(IF((INDEX(SETUP!$C$19:$G$121,MATCH((INDEX(PMtbl[[WKst]:[Unit of measure*]],MATCH($A78&amp;$E78&amp;$I78,INDEX(PMtbl[Category]&amp;PMtbl[Each]&amp;PMtbl[Packaging],0,),0),3)),SETUP!$D$19:$D$121,0),4))="Upfront",0,INDEX(SETUP!$C$19:$G$121,MATCH((INDEX(PMtbl[[WKst]:[Unit of measure*]],MATCH($A78&amp;$E78&amp;$I78,INDEX(PMtbl[Category]&amp;PMtbl[Each]&amp;PMtbl[Packaging],0,),0),3)),SETUP!$D$19:$D$121,0),5)),"")</f>
        <v/>
      </c>
      <c r="BL78" s="194" t="str" cm="1">
        <f t="array" ref="BL78">IF(E78&lt;&gt;"",IFERROR(INDEX(PMtbl[[WKst]:[Unit of measure*]],MATCH($A$8&amp;$A78&amp;$E78&amp;$I78,INDEX(PMtbl[Sec]&amp;PMtbl[Category]&amp;PMtbl[Each]&amp;PMtbl[Packaging],0,),0),11),""),"")</f>
        <v/>
      </c>
      <c r="BO78" s="12">
        <f>IF(N78="",0,IF(SETUP!$E$7="USD",((IF(O78="USD",P78,(P78/'Master Data-C19RM'!$C$2)))),((IF(O78="EUR",P78,(P78*'Master Data-C19RM'!$C$2))))))</f>
        <v>0</v>
      </c>
      <c r="BP78" s="12">
        <f>IF(N78="",0,IF(SETUP!$E$7="USD",((IF(O78="USD",W78,(W78/'Master Data-C19RM'!$D$2)))),((IF(O78="EUR",W78,(W78*'Master Data-C19RM'!$D$2))))))</f>
        <v>0</v>
      </c>
      <c r="BQ78">
        <f>IF(N78="",0,IF(SETUP!$E$7="USD",((IF(O78="USD",AD78,(AD78/'Master Data-C19RM'!$E$2)))),((IF(O78="EUR",AD78,(AD78*'Master Data-C19RM'!$E$2))))))</f>
        <v>0</v>
      </c>
      <c r="BR78">
        <f>IF(N78="",0,IF(SETUP!$E$7="USD",((IF(O78="USD",AK78,(AK78/'Master Data-C19RM'!$F$2)))),((IF(O78="EUR",AK78,(AK78*'Master Data-C19RM'!$F$2))))))</f>
        <v>0</v>
      </c>
      <c r="BS78">
        <f>IF(N78="",0,IF(SETUP!$E$7="USD",((IF(O78="USD",AR78,(AR78/'Master Data-C19RM'!$F$2)))),((IF(O78="EUR",AR78,(AR78*'Master Data-C19RM'!$G$2))))))</f>
        <v>0</v>
      </c>
      <c r="BT78">
        <f>IF(N78="",0,IF(SETUP!$E$7="USD",((IF(O78="USD",AY78,(AY78/'Master Data-C19RM'!$F$2)))),((IF(O78="EUR",AY78,(AY78*'Master Data-C19RM'!$H$2))))))</f>
        <v>0</v>
      </c>
      <c r="BU78" s="12">
        <f t="shared" si="3"/>
        <v>0</v>
      </c>
      <c r="BV78" s="142">
        <f t="shared" si="4"/>
        <v>0</v>
      </c>
    </row>
    <row r="79" spans="1:74" ht="14.9" customHeight="1" x14ac:dyDescent="0.35">
      <c r="A79" s="1165"/>
      <c r="B79" s="1165"/>
      <c r="C79" s="1165"/>
      <c r="D79" s="1165"/>
      <c r="E79" s="1166"/>
      <c r="F79" s="1166"/>
      <c r="G79" s="1166"/>
      <c r="H79" s="1166"/>
      <c r="I79" s="1166"/>
      <c r="J79" s="1166"/>
      <c r="K79" s="1166"/>
      <c r="L79" s="490" t="str" cm="1">
        <f t="array" ref="L79">IF(A79&lt;&gt;"",IFERROR(INDEX(PMtbl[[WKst]:[Unit of measure*]],MATCH($A$8&amp;$A79&amp;$E79&amp;$I79,INDEX(PMtbl[Sec]&amp;PMtbl[Category]&amp;PMtbl[Each]&amp;PMtbl[Packaging],0,),0),14),""),"")</f>
        <v/>
      </c>
      <c r="M79" s="479" t="str">
        <f>IF(L79="","",INDEX(SETUP!$E$20:$E$122,(MATCH(INDEX(PMsheet!$D:$E,MATCH(A79,PMsheet!E:E,0),1),SETUP!$D$20:$D$122,0))))</f>
        <v/>
      </c>
      <c r="N79" s="491">
        <f>IF($O79="USD",_xlfn.IFNA(VLOOKUP(A79&amp;E79&amp;I79,PMsheet!J:K,2,0),0),(_xlfn.IFNA(VLOOKUP(A79&amp;E79&amp;I79,PMsheet!J:K,2,0),0)*'Master Data-C19RM'!$C$2))</f>
        <v>0</v>
      </c>
      <c r="O79" s="492" t="str">
        <f>IF(L79="", "",SETUP!$E$7)</f>
        <v/>
      </c>
      <c r="P79" s="444">
        <f>IF($O79="USD",_xlfn.IFNA(VLOOKUP($A79&amp;$E79&amp;$I79,PMsheet!$J:$K,2,0),0),(_xlfn.IFNA(VLOOKUP($A79&amp;$E79&amp;$I79,PMsheet!$J:$K,2,0),0)*'Master Data-C19RM'!$C$2))</f>
        <v>0</v>
      </c>
      <c r="Q79" s="441"/>
      <c r="R79" s="441"/>
      <c r="S79" s="441"/>
      <c r="T79" s="441"/>
      <c r="U79" s="481">
        <f>SUM('C19RM 2021-Pharma'!$Q79:$T79)</f>
        <v>0</v>
      </c>
      <c r="V79" s="483">
        <f>IF(SETUP!$E$7="USD",(U79*(IF(O79="USD",P79,(P79/'Master Data-C19RM'!$C$2)))),(U79*(IF(O79="EUR",P79,(P79*'Master Data-C19RM'!$C$2)))))</f>
        <v>0</v>
      </c>
      <c r="W79" s="444">
        <f>IF($O79="USD",_xlfn.IFNA(VLOOKUP($A79&amp;$E79&amp;$I79,PMsheet!$J:$K,2,0),0),(_xlfn.IFNA(VLOOKUP($A79&amp;$E79&amp;$I79,PMsheet!$J:$K,2,0),0)*'Master Data-C19RM'!$D$2))</f>
        <v>0</v>
      </c>
      <c r="X79" s="441"/>
      <c r="Y79" s="441"/>
      <c r="Z79" s="441"/>
      <c r="AA79" s="441"/>
      <c r="AB79" s="481">
        <f>SUM('C19RM 2021-Pharma'!$X79:$AA79)</f>
        <v>0</v>
      </c>
      <c r="AC79" s="483">
        <f>IF(SETUP!$E$7="USD",(AB79*(IF(O79="USD",W79,(W79/'Master Data-C19RM'!$D$2)))),(AB79*(IF(O79="EUR",W79,(W79*'Master Data-C19RM'!$D$2)))))</f>
        <v>0</v>
      </c>
      <c r="AD79" s="444">
        <f>IF($O79="USD",_xlfn.IFNA(VLOOKUP($A79&amp;$E79&amp;$I79,PMsheet!$J:$K,2,0),0),(_xlfn.IFNA(VLOOKUP($A79&amp;$E79&amp;$I79,PMsheet!$J:$K,2,0),0)*'Master Data-C19RM'!$E$2))</f>
        <v>0</v>
      </c>
      <c r="AE79" s="441"/>
      <c r="AF79" s="441"/>
      <c r="AG79" s="441"/>
      <c r="AH79" s="441"/>
      <c r="AI79" s="481">
        <f>SUM('C19RM 2021-Pharma'!$AE79:$AH79)</f>
        <v>0</v>
      </c>
      <c r="AJ79" s="483">
        <f>IF(SETUP!$E$7="USD",(AI79*(IF(O79="USD",AD79,(AD79/'Master Data-C19RM'!$E$2)))),(AI79*(IF(O79="EUR",AD79,(AD79*'Master Data-C19RM'!$E$2)))))</f>
        <v>0</v>
      </c>
      <c r="AK79" s="444">
        <f>IF($O79="USD",_xlfn.IFNA(VLOOKUP($A79&amp;$E79&amp;$I79,PMsheet!$J:$K,2,0),0),(_xlfn.IFNA(VLOOKUP($A79&amp;$E79&amp;$I79,PMsheet!$J:$K,2,0),0)*'Master Data-C19RM'!$F$2))</f>
        <v>0</v>
      </c>
      <c r="AL79" s="441"/>
      <c r="AM79" s="441"/>
      <c r="AN79" s="441"/>
      <c r="AO79" s="441"/>
      <c r="AP79" s="481">
        <f>SUM('C19RM 2021-Pharma'!$AL79:$AO79)</f>
        <v>0</v>
      </c>
      <c r="AQ79" s="483">
        <f>IF(SETUP!$E$7="USD",(AP79*(IF(O79="USD",AK79,(AK79/'Master Data-C19RM'!$F$2)))),(AP79*(IF(O79="EUR",AK79,(AK79*'Master Data-C19RM'!$F$2)))))</f>
        <v>0</v>
      </c>
      <c r="AR79" s="444">
        <f>IF($O79="USD",_xlfn.IFNA(VLOOKUP($A79&amp;$E79&amp;$I79,PMsheet!$J:$K,2,0),0),(_xlfn.IFNA(VLOOKUP($A79&amp;$E79&amp;$I79,PMsheet!$J:$K,2,0),0)*'Master Data-C19RM'!$G$2))</f>
        <v>0</v>
      </c>
      <c r="AS79" s="441"/>
      <c r="AT79" s="441"/>
      <c r="AU79" s="441"/>
      <c r="AV79" s="441"/>
      <c r="AW79" s="481">
        <f>SUM('C19RM 2021-Pharma'!$AS79:$AV79)</f>
        <v>0</v>
      </c>
      <c r="AX79" s="483">
        <f>IF(SETUP!$E$7="USD",(AW79*(IF(O79="USD",AR79,(AR79/'Master Data-C19RM'!$G$2)))),(AW79*(IF(O79="EUR",AR79,(AR79*'Master Data-C19RM'!$G$2)))))</f>
        <v>0</v>
      </c>
      <c r="AY79" s="886"/>
      <c r="AZ79" s="887"/>
      <c r="BA79" s="887"/>
      <c r="BB79" s="887"/>
      <c r="BC79" s="887"/>
      <c r="BD79" s="887"/>
      <c r="BE79" s="888"/>
      <c r="BF79" s="505">
        <f>'C19RM 2021-Pharma'!$U79+'C19RM 2021-Pharma'!$AB79+'C19RM 2021-Pharma'!$AP79+'C19RM 2021-Pharma'!$AI79+$AW79+$BD79</f>
        <v>0</v>
      </c>
      <c r="BG79" s="483">
        <f>'C19RM 2021-Pharma'!$V79+'C19RM 2021-Pharma'!$AC79+'C19RM 2021-Pharma'!$AQ79+'C19RM 2021-Pharma'!$AJ79+$AX79+$BE79</f>
        <v>0</v>
      </c>
      <c r="BH79" s="500" t="str" cm="1">
        <f t="array" ref="BH79">IF(A79&lt;&gt;"",IFERROR(INDEX(PMtbl[[WKst]:[Unit of measure*]],MATCH($A$8&amp;$A79&amp;$E79&amp;$I79,INDEX(PMtbl[Sec]&amp;PMtbl[Category]&amp;PMtbl[Each]&amp;PMtbl[Packaging],0,),0),11),""),"")</f>
        <v/>
      </c>
      <c r="BI79" s="819"/>
      <c r="BJ79" s="502" t="str">
        <f>IFERROR(INDEX(SETUP!$C$19:$G$121,MATCH((INDEX(PMtbl[[WKst]:[Unit of measure*]],MATCH($A79&amp;$E79&amp;$I79,INDEX(PMtbl[Category]&amp;PMtbl[Each]&amp;PMtbl[Packaging],0,),0),3)),SETUP!$D$19:$D$121,0),5),"")</f>
        <v/>
      </c>
      <c r="BK79" s="438" t="str">
        <f>IFERROR(IF((INDEX(SETUP!$C$19:$G$121,MATCH((INDEX(PMtbl[[WKst]:[Unit of measure*]],MATCH($A79&amp;$E79&amp;$I79,INDEX(PMtbl[Category]&amp;PMtbl[Each]&amp;PMtbl[Packaging],0,),0),3)),SETUP!$D$19:$D$121,0),4))="Upfront",0,INDEX(SETUP!$C$19:$G$121,MATCH((INDEX(PMtbl[[WKst]:[Unit of measure*]],MATCH($A79&amp;$E79&amp;$I79,INDEX(PMtbl[Category]&amp;PMtbl[Each]&amp;PMtbl[Packaging],0,),0),3)),SETUP!$D$19:$D$121,0),5)),"")</f>
        <v/>
      </c>
      <c r="BL79" s="193" t="str" cm="1">
        <f t="array" ref="BL79">IF(E79&lt;&gt;"",IFERROR(INDEX(PMtbl[[WKst]:[Unit of measure*]],MATCH($A$8&amp;$A79&amp;$E79&amp;$I79,INDEX(PMtbl[Sec]&amp;PMtbl[Category]&amp;PMtbl[Each]&amp;PMtbl[Packaging],0,),0),11),""),"")</f>
        <v/>
      </c>
      <c r="BO79" s="12">
        <f>IF(N79="",0,IF(SETUP!$E$7="USD",((IF(O79="USD",P79,(P79/'Master Data-C19RM'!$C$2)))),((IF(O79="EUR",P79,(P79*'Master Data-C19RM'!$C$2))))))</f>
        <v>0</v>
      </c>
      <c r="BP79" s="12">
        <f>IF(N79="",0,IF(SETUP!$E$7="USD",((IF(O79="USD",W79,(W79/'Master Data-C19RM'!$D$2)))),((IF(O79="EUR",W79,(W79*'Master Data-C19RM'!$D$2))))))</f>
        <v>0</v>
      </c>
      <c r="BQ79">
        <f>IF(N79="",0,IF(SETUP!$E$7="USD",((IF(O79="USD",AD79,(AD79/'Master Data-C19RM'!$E$2)))),((IF(O79="EUR",AD79,(AD79*'Master Data-C19RM'!$E$2))))))</f>
        <v>0</v>
      </c>
      <c r="BR79">
        <f>IF(N79="",0,IF(SETUP!$E$7="USD",((IF(O79="USD",AK79,(AK79/'Master Data-C19RM'!$F$2)))),((IF(O79="EUR",AK79,(AK79*'Master Data-C19RM'!$F$2))))))</f>
        <v>0</v>
      </c>
      <c r="BS79">
        <f>IF(N79="",0,IF(SETUP!$E$7="USD",((IF(O79="USD",AR79,(AR79/'Master Data-C19RM'!$F$2)))),((IF(O79="EUR",AR79,(AR79*'Master Data-C19RM'!$G$2))))))</f>
        <v>0</v>
      </c>
      <c r="BT79">
        <f>IF(N79="",0,IF(SETUP!$E$7="USD",((IF(O79="USD",AY79,(AY79/'Master Data-C19RM'!$F$2)))),((IF(O79="EUR",AY79,(AY79*'Master Data-C19RM'!$H$2))))))</f>
        <v>0</v>
      </c>
      <c r="BU79" s="12">
        <f t="shared" si="3"/>
        <v>0</v>
      </c>
      <c r="BV79" s="142">
        <f t="shared" si="4"/>
        <v>0</v>
      </c>
    </row>
    <row r="80" spans="1:74" ht="14.9" customHeight="1" x14ac:dyDescent="0.35">
      <c r="A80" s="1172"/>
      <c r="B80" s="1172"/>
      <c r="C80" s="1172"/>
      <c r="D80" s="1172"/>
      <c r="E80" s="1172"/>
      <c r="F80" s="1172"/>
      <c r="G80" s="1172"/>
      <c r="H80" s="1172"/>
      <c r="I80" s="1173"/>
      <c r="J80" s="1173"/>
      <c r="K80" s="1173"/>
      <c r="L80" s="493" t="str" cm="1">
        <f t="array" ref="L80">IF(A80&lt;&gt;"",IFERROR(INDEX(PMtbl[[WKst]:[Unit of measure*]],MATCH($A$8&amp;$A80&amp;$E80&amp;$I80,INDEX(PMtbl[Sec]&amp;PMtbl[Category]&amp;PMtbl[Each]&amp;PMtbl[Packaging],0,),0),14),""),"")</f>
        <v/>
      </c>
      <c r="M80" s="480" t="str">
        <f>IF(L80="","",INDEX(SETUP!$E$20:$E$122,(MATCH(INDEX(PMsheet!$D:$E,MATCH(A80,PMsheet!E:E,0),1),SETUP!$D$20:$D$122,0))))</f>
        <v/>
      </c>
      <c r="N80" s="494">
        <f>IF($O80="USD",_xlfn.IFNA(VLOOKUP(A80&amp;E80&amp;I80,PMsheet!J:K,2,0),0),(_xlfn.IFNA(VLOOKUP(A80&amp;E80&amp;I80,PMsheet!J:K,2,0),0)*'Master Data-C19RM'!$C$2))</f>
        <v>0</v>
      </c>
      <c r="O80" s="495" t="str">
        <f>IF(L80="", "",SETUP!$E$7)</f>
        <v/>
      </c>
      <c r="P80" s="445">
        <f>IF($O80="USD",_xlfn.IFNA(VLOOKUP($A80&amp;$E80&amp;$I80,PMsheet!$J:$K,2,0),0),(_xlfn.IFNA(VLOOKUP($A80&amp;$E80&amp;$I80,PMsheet!$J:$K,2,0),0)*'Master Data-C19RM'!$C$2))</f>
        <v>0</v>
      </c>
      <c r="Q80" s="440"/>
      <c r="R80" s="440"/>
      <c r="S80" s="440"/>
      <c r="T80" s="440"/>
      <c r="U80" s="482">
        <f>SUM('C19RM 2021-Pharma'!$Q80:$T80)</f>
        <v>0</v>
      </c>
      <c r="V80" s="484">
        <f>IF(SETUP!$E$7="USD",(U80*(IF(O80="USD",P80,(P80/'Master Data-C19RM'!$C$2)))),(U80*(IF(O80="EUR",P80,(P80*'Master Data-C19RM'!$C$2)))))</f>
        <v>0</v>
      </c>
      <c r="W80" s="445">
        <f>IF($O80="USD",_xlfn.IFNA(VLOOKUP($A80&amp;$E80&amp;$I80,PMsheet!$J:$K,2,0),0),(_xlfn.IFNA(VLOOKUP($A80&amp;$E80&amp;$I80,PMsheet!$J:$K,2,0),0)*'Master Data-C19RM'!$D$2))</f>
        <v>0</v>
      </c>
      <c r="X80" s="440"/>
      <c r="Y80" s="440"/>
      <c r="Z80" s="440"/>
      <c r="AA80" s="440"/>
      <c r="AB80" s="482">
        <f>SUM('C19RM 2021-Pharma'!$X80:$AA80)</f>
        <v>0</v>
      </c>
      <c r="AC80" s="484">
        <f>IF(SETUP!$E$7="USD",(AB80*(IF(O80="USD",W80,(W80/'Master Data-C19RM'!$D$2)))),(AB80*(IF(O80="EUR",W80,(W80*'Master Data-C19RM'!$D$2)))))</f>
        <v>0</v>
      </c>
      <c r="AD80" s="445">
        <f>IF($O80="USD",_xlfn.IFNA(VLOOKUP($A80&amp;$E80&amp;$I80,PMsheet!$J:$K,2,0),0),(_xlfn.IFNA(VLOOKUP($A80&amp;$E80&amp;$I80,PMsheet!$J:$K,2,0),0)*'Master Data-C19RM'!$E$2))</f>
        <v>0</v>
      </c>
      <c r="AE80" s="440"/>
      <c r="AF80" s="440"/>
      <c r="AG80" s="440"/>
      <c r="AH80" s="440"/>
      <c r="AI80" s="482">
        <f>SUM('C19RM 2021-Pharma'!$AE80:$AH80)</f>
        <v>0</v>
      </c>
      <c r="AJ80" s="484">
        <f>IF(SETUP!$E$7="USD",(AI80*(IF(O80="USD",AD80,(AD80/'Master Data-C19RM'!$E$2)))),(AI80*(IF(O80="EUR",AD80,(AD80*'Master Data-C19RM'!$E$2)))))</f>
        <v>0</v>
      </c>
      <c r="AK80" s="445">
        <f>IF($O80="USD",_xlfn.IFNA(VLOOKUP($A80&amp;$E80&amp;$I80,PMsheet!$J:$K,2,0),0),(_xlfn.IFNA(VLOOKUP($A80&amp;$E80&amp;$I80,PMsheet!$J:$K,2,0),0)*'Master Data-C19RM'!$F$2))</f>
        <v>0</v>
      </c>
      <c r="AL80" s="440"/>
      <c r="AM80" s="440"/>
      <c r="AN80" s="440"/>
      <c r="AO80" s="440"/>
      <c r="AP80" s="482">
        <f>SUM('C19RM 2021-Pharma'!$AL80:$AO80)</f>
        <v>0</v>
      </c>
      <c r="AQ80" s="484">
        <f>IF(SETUP!$E$7="USD",(AP80*(IF(O80="USD",AK80,(AK80/'Master Data-C19RM'!$F$2)))),(AP80*(IF(O80="EUR",AK80,(AK80*'Master Data-C19RM'!$F$2)))))</f>
        <v>0</v>
      </c>
      <c r="AR80" s="445">
        <f>IF($O80="USD",_xlfn.IFNA(VLOOKUP($A80&amp;$E80&amp;$I80,PMsheet!$J:$K,2,0),0),(_xlfn.IFNA(VLOOKUP($A80&amp;$E80&amp;$I80,PMsheet!$J:$K,2,0),0)*'Master Data-C19RM'!$G$2))</f>
        <v>0</v>
      </c>
      <c r="AS80" s="440"/>
      <c r="AT80" s="440"/>
      <c r="AU80" s="440"/>
      <c r="AV80" s="440"/>
      <c r="AW80" s="482">
        <f>SUM('C19RM 2021-Pharma'!$AS80:$AV80)</f>
        <v>0</v>
      </c>
      <c r="AX80" s="484">
        <f>IF(SETUP!$E$7="USD",(AW80*(IF(O80="USD",AR80,(AR80/'Master Data-C19RM'!$G$2)))),(AW80*(IF(O80="EUR",AR80,(AR80*'Master Data-C19RM'!$G$2)))))</f>
        <v>0</v>
      </c>
      <c r="AY80" s="889"/>
      <c r="AZ80" s="884"/>
      <c r="BA80" s="884"/>
      <c r="BB80" s="884"/>
      <c r="BC80" s="884"/>
      <c r="BD80" s="884"/>
      <c r="BE80" s="885"/>
      <c r="BF80" s="504">
        <f>'C19RM 2021-Pharma'!$U80+'C19RM 2021-Pharma'!$AB80+'C19RM 2021-Pharma'!$AP80+'C19RM 2021-Pharma'!$AI80+$AW80+$BD80</f>
        <v>0</v>
      </c>
      <c r="BG80" s="484">
        <f>'C19RM 2021-Pharma'!$V80+'C19RM 2021-Pharma'!$AC80+'C19RM 2021-Pharma'!$AQ80+'C19RM 2021-Pharma'!$AJ80+$AX80+$BE80</f>
        <v>0</v>
      </c>
      <c r="BH80" s="499" t="str" cm="1">
        <f t="array" ref="BH80">IF(A80&lt;&gt;"",IFERROR(INDEX(PMtbl[[WKst]:[Unit of measure*]],MATCH($A$8&amp;$A80&amp;$E80&amp;$I80,INDEX(PMtbl[Sec]&amp;PMtbl[Category]&amp;PMtbl[Each]&amp;PMtbl[Packaging],0,),0),11),""),"")</f>
        <v/>
      </c>
      <c r="BI80" s="818"/>
      <c r="BJ80" s="503" t="str">
        <f>IFERROR(INDEX(SETUP!$C$19:$G$121,MATCH((INDEX(PMtbl[[WKst]:[Unit of measure*]],MATCH($A80&amp;$E80&amp;$I80,INDEX(PMtbl[Category]&amp;PMtbl[Each]&amp;PMtbl[Packaging],0,),0),3)),SETUP!$D$19:$D$121,0),5),"")</f>
        <v/>
      </c>
      <c r="BK80" s="439" t="str">
        <f>IFERROR(IF((INDEX(SETUP!$C$19:$G$121,MATCH((INDEX(PMtbl[[WKst]:[Unit of measure*]],MATCH($A80&amp;$E80&amp;$I80,INDEX(PMtbl[Category]&amp;PMtbl[Each]&amp;PMtbl[Packaging],0,),0),3)),SETUP!$D$19:$D$121,0),4))="Upfront",0,INDEX(SETUP!$C$19:$G$121,MATCH((INDEX(PMtbl[[WKst]:[Unit of measure*]],MATCH($A80&amp;$E80&amp;$I80,INDEX(PMtbl[Category]&amp;PMtbl[Each]&amp;PMtbl[Packaging],0,),0),3)),SETUP!$D$19:$D$121,0),5)),"")</f>
        <v/>
      </c>
      <c r="BL80" s="194" t="str" cm="1">
        <f t="array" ref="BL80">IF(E80&lt;&gt;"",IFERROR(INDEX(PMtbl[[WKst]:[Unit of measure*]],MATCH($A$8&amp;$A80&amp;$E80&amp;$I80,INDEX(PMtbl[Sec]&amp;PMtbl[Category]&amp;PMtbl[Each]&amp;PMtbl[Packaging],0,),0),11),""),"")</f>
        <v/>
      </c>
      <c r="BO80" s="12">
        <f>IF(N80="",0,IF(SETUP!$E$7="USD",((IF(O80="USD",P80,(P80/'Master Data-C19RM'!$C$2)))),((IF(O80="EUR",P80,(P80*'Master Data-C19RM'!$C$2))))))</f>
        <v>0</v>
      </c>
      <c r="BP80" s="12">
        <f>IF(N80="",0,IF(SETUP!$E$7="USD",((IF(O80="USD",W80,(W80/'Master Data-C19RM'!$D$2)))),((IF(O80="EUR",W80,(W80*'Master Data-C19RM'!$D$2))))))</f>
        <v>0</v>
      </c>
      <c r="BQ80">
        <f>IF(N80="",0,IF(SETUP!$E$7="USD",((IF(O80="USD",AD80,(AD80/'Master Data-C19RM'!$E$2)))),((IF(O80="EUR",AD80,(AD80*'Master Data-C19RM'!$E$2))))))</f>
        <v>0</v>
      </c>
      <c r="BR80">
        <f>IF(N80="",0,IF(SETUP!$E$7="USD",((IF(O80="USD",AK80,(AK80/'Master Data-C19RM'!$F$2)))),((IF(O80="EUR",AK80,(AK80*'Master Data-C19RM'!$F$2))))))</f>
        <v>0</v>
      </c>
      <c r="BS80">
        <f>IF(N80="",0,IF(SETUP!$E$7="USD",((IF(O80="USD",AR80,(AR80/'Master Data-C19RM'!$F$2)))),((IF(O80="EUR",AR80,(AR80*'Master Data-C19RM'!$G$2))))))</f>
        <v>0</v>
      </c>
      <c r="BT80">
        <f>IF(N80="",0,IF(SETUP!$E$7="USD",((IF(O80="USD",AY80,(AY80/'Master Data-C19RM'!$F$2)))),((IF(O80="EUR",AY80,(AY80*'Master Data-C19RM'!$H$2))))))</f>
        <v>0</v>
      </c>
      <c r="BU80" s="12">
        <f t="shared" si="3"/>
        <v>0</v>
      </c>
      <c r="BV80" s="142">
        <f t="shared" si="4"/>
        <v>0</v>
      </c>
    </row>
    <row r="81" spans="1:74" ht="14.9" customHeight="1" x14ac:dyDescent="0.35">
      <c r="A81" s="1165"/>
      <c r="B81" s="1165"/>
      <c r="C81" s="1165"/>
      <c r="D81" s="1165"/>
      <c r="E81" s="1166"/>
      <c r="F81" s="1166"/>
      <c r="G81" s="1166"/>
      <c r="H81" s="1166"/>
      <c r="I81" s="1166"/>
      <c r="J81" s="1166"/>
      <c r="K81" s="1166"/>
      <c r="L81" s="490" t="str" cm="1">
        <f t="array" ref="L81">IF(A81&lt;&gt;"",IFERROR(INDEX(PMtbl[[WKst]:[Unit of measure*]],MATCH($A$8&amp;$A81&amp;$E81&amp;$I81,INDEX(PMtbl[Sec]&amp;PMtbl[Category]&amp;PMtbl[Each]&amp;PMtbl[Packaging],0,),0),14),""),"")</f>
        <v/>
      </c>
      <c r="M81" s="479" t="str">
        <f>IF(L81="","",INDEX(SETUP!$E$20:$E$122,(MATCH(INDEX(PMsheet!$D:$E,MATCH(A81,PMsheet!E:E,0),1),SETUP!$D$20:$D$122,0))))</f>
        <v/>
      </c>
      <c r="N81" s="491">
        <f>IF($O81="USD",_xlfn.IFNA(VLOOKUP(A81&amp;E81&amp;I81,PMsheet!J:K,2,0),0),(_xlfn.IFNA(VLOOKUP(A81&amp;E81&amp;I81,PMsheet!J:K,2,0),0)*'Master Data-C19RM'!$C$2))</f>
        <v>0</v>
      </c>
      <c r="O81" s="492" t="str">
        <f>IF(L81="", "",SETUP!$E$7)</f>
        <v/>
      </c>
      <c r="P81" s="444">
        <f>IF($O81="USD",_xlfn.IFNA(VLOOKUP($A81&amp;$E81&amp;$I81,PMsheet!$J:$K,2,0),0),(_xlfn.IFNA(VLOOKUP($A81&amp;$E81&amp;$I81,PMsheet!$J:$K,2,0),0)*'Master Data-C19RM'!$C$2))</f>
        <v>0</v>
      </c>
      <c r="Q81" s="441"/>
      <c r="R81" s="441"/>
      <c r="S81" s="441"/>
      <c r="T81" s="441"/>
      <c r="U81" s="481">
        <f>SUM('C19RM 2021-Pharma'!$Q81:$T81)</f>
        <v>0</v>
      </c>
      <c r="V81" s="483">
        <f>IF(SETUP!$E$7="USD",(U81*(IF(O81="USD",P81,(P81/'Master Data-C19RM'!$C$2)))),(U81*(IF(O81="EUR",P81,(P81*'Master Data-C19RM'!$C$2)))))</f>
        <v>0</v>
      </c>
      <c r="W81" s="444">
        <f>IF($O81="USD",_xlfn.IFNA(VLOOKUP($A81&amp;$E81&amp;$I81,PMsheet!$J:$K,2,0),0),(_xlfn.IFNA(VLOOKUP($A81&amp;$E81&amp;$I81,PMsheet!$J:$K,2,0),0)*'Master Data-C19RM'!$D$2))</f>
        <v>0</v>
      </c>
      <c r="X81" s="441"/>
      <c r="Y81" s="441"/>
      <c r="Z81" s="441"/>
      <c r="AA81" s="441"/>
      <c r="AB81" s="481">
        <f>SUM('C19RM 2021-Pharma'!$X81:$AA81)</f>
        <v>0</v>
      </c>
      <c r="AC81" s="483">
        <f>IF(SETUP!$E$7="USD",(AB81*(IF(O81="USD",W81,(W81/'Master Data-C19RM'!$D$2)))),(AB81*(IF(O81="EUR",W81,(W81*'Master Data-C19RM'!$D$2)))))</f>
        <v>0</v>
      </c>
      <c r="AD81" s="444">
        <f>IF($O81="USD",_xlfn.IFNA(VLOOKUP($A81&amp;$E81&amp;$I81,PMsheet!$J:$K,2,0),0),(_xlfn.IFNA(VLOOKUP($A81&amp;$E81&amp;$I81,PMsheet!$J:$K,2,0),0)*'Master Data-C19RM'!$E$2))</f>
        <v>0</v>
      </c>
      <c r="AE81" s="441"/>
      <c r="AF81" s="441"/>
      <c r="AG81" s="441"/>
      <c r="AH81" s="441"/>
      <c r="AI81" s="481">
        <f>SUM('C19RM 2021-Pharma'!$AE81:$AH81)</f>
        <v>0</v>
      </c>
      <c r="AJ81" s="483">
        <f>IF(SETUP!$E$7="USD",(AI81*(IF(O81="USD",AD81,(AD81/'Master Data-C19RM'!$E$2)))),(AI81*(IF(O81="EUR",AD81,(AD81*'Master Data-C19RM'!$E$2)))))</f>
        <v>0</v>
      </c>
      <c r="AK81" s="444">
        <f>IF($O81="USD",_xlfn.IFNA(VLOOKUP($A81&amp;$E81&amp;$I81,PMsheet!$J:$K,2,0),0),(_xlfn.IFNA(VLOOKUP($A81&amp;$E81&amp;$I81,PMsheet!$J:$K,2,0),0)*'Master Data-C19RM'!$F$2))</f>
        <v>0</v>
      </c>
      <c r="AL81" s="441"/>
      <c r="AM81" s="441"/>
      <c r="AN81" s="441"/>
      <c r="AO81" s="441"/>
      <c r="AP81" s="481">
        <f>SUM('C19RM 2021-Pharma'!$AL81:$AO81)</f>
        <v>0</v>
      </c>
      <c r="AQ81" s="483">
        <f>IF(SETUP!$E$7="USD",(AP81*(IF(O81="USD",AK81,(AK81/'Master Data-C19RM'!$F$2)))),(AP81*(IF(O81="EUR",AK81,(AK81*'Master Data-C19RM'!$F$2)))))</f>
        <v>0</v>
      </c>
      <c r="AR81" s="444">
        <f>IF($O81="USD",_xlfn.IFNA(VLOOKUP($A81&amp;$E81&amp;$I81,PMsheet!$J:$K,2,0),0),(_xlfn.IFNA(VLOOKUP($A81&amp;$E81&amp;$I81,PMsheet!$J:$K,2,0),0)*'Master Data-C19RM'!$G$2))</f>
        <v>0</v>
      </c>
      <c r="AS81" s="441"/>
      <c r="AT81" s="441"/>
      <c r="AU81" s="441"/>
      <c r="AV81" s="441"/>
      <c r="AW81" s="481">
        <f>SUM('C19RM 2021-Pharma'!$AS81:$AV81)</f>
        <v>0</v>
      </c>
      <c r="AX81" s="483">
        <f>IF(SETUP!$E$7="USD",(AW81*(IF(O81="USD",AR81,(AR81/'Master Data-C19RM'!$G$2)))),(AW81*(IF(O81="EUR",AR81,(AR81*'Master Data-C19RM'!$G$2)))))</f>
        <v>0</v>
      </c>
      <c r="AY81" s="886"/>
      <c r="AZ81" s="887"/>
      <c r="BA81" s="887"/>
      <c r="BB81" s="887"/>
      <c r="BC81" s="887"/>
      <c r="BD81" s="887"/>
      <c r="BE81" s="888"/>
      <c r="BF81" s="505">
        <f>'C19RM 2021-Pharma'!$U81+'C19RM 2021-Pharma'!$AB81+'C19RM 2021-Pharma'!$AP81+'C19RM 2021-Pharma'!$AI81+$AW81+$BD81</f>
        <v>0</v>
      </c>
      <c r="BG81" s="483">
        <f>'C19RM 2021-Pharma'!$V81+'C19RM 2021-Pharma'!$AC81+'C19RM 2021-Pharma'!$AQ81+'C19RM 2021-Pharma'!$AJ81+$AX81+$BE81</f>
        <v>0</v>
      </c>
      <c r="BH81" s="500" t="str" cm="1">
        <f t="array" ref="BH81">IF(A81&lt;&gt;"",IFERROR(INDEX(PMtbl[[WKst]:[Unit of measure*]],MATCH($A$8&amp;$A81&amp;$E81&amp;$I81,INDEX(PMtbl[Sec]&amp;PMtbl[Category]&amp;PMtbl[Each]&amp;PMtbl[Packaging],0,),0),11),""),"")</f>
        <v/>
      </c>
      <c r="BI81" s="819"/>
      <c r="BJ81" s="502" t="str">
        <f>IFERROR(INDEX(SETUP!$C$19:$G$121,MATCH((INDEX(PMtbl[[WKst]:[Unit of measure*]],MATCH($A81&amp;$E81&amp;$I81,INDEX(PMtbl[Category]&amp;PMtbl[Each]&amp;PMtbl[Packaging],0,),0),3)),SETUP!$D$19:$D$121,0),5),"")</f>
        <v/>
      </c>
      <c r="BK81" s="438" t="str">
        <f>IFERROR(IF((INDEX(SETUP!$C$19:$G$121,MATCH((INDEX(PMtbl[[WKst]:[Unit of measure*]],MATCH($A81&amp;$E81&amp;$I81,INDEX(PMtbl[Category]&amp;PMtbl[Each]&amp;PMtbl[Packaging],0,),0),3)),SETUP!$D$19:$D$121,0),4))="Upfront",0,INDEX(SETUP!$C$19:$G$121,MATCH((INDEX(PMtbl[[WKst]:[Unit of measure*]],MATCH($A81&amp;$E81&amp;$I81,INDEX(PMtbl[Category]&amp;PMtbl[Each]&amp;PMtbl[Packaging],0,),0),3)),SETUP!$D$19:$D$121,0),5)),"")</f>
        <v/>
      </c>
      <c r="BL81" s="193" t="str" cm="1">
        <f t="array" ref="BL81">IF(E81&lt;&gt;"",IFERROR(INDEX(PMtbl[[WKst]:[Unit of measure*]],MATCH($A$8&amp;$A81&amp;$E81&amp;$I81,INDEX(PMtbl[Sec]&amp;PMtbl[Category]&amp;PMtbl[Each]&amp;PMtbl[Packaging],0,),0),11),""),"")</f>
        <v/>
      </c>
      <c r="BO81" s="12">
        <f>IF(N81="",0,IF(SETUP!$E$7="USD",((IF(O81="USD",P81,(P81/'Master Data-C19RM'!$C$2)))),((IF(O81="EUR",P81,(P81*'Master Data-C19RM'!$C$2))))))</f>
        <v>0</v>
      </c>
      <c r="BP81" s="12">
        <f>IF(N81="",0,IF(SETUP!$E$7="USD",((IF(O81="USD",W81,(W81/'Master Data-C19RM'!$D$2)))),((IF(O81="EUR",W81,(W81*'Master Data-C19RM'!$D$2))))))</f>
        <v>0</v>
      </c>
      <c r="BQ81">
        <f>IF(N81="",0,IF(SETUP!$E$7="USD",((IF(O81="USD",AD81,(AD81/'Master Data-C19RM'!$E$2)))),((IF(O81="EUR",AD81,(AD81*'Master Data-C19RM'!$E$2))))))</f>
        <v>0</v>
      </c>
      <c r="BR81">
        <f>IF(N81="",0,IF(SETUP!$E$7="USD",((IF(O81="USD",AK81,(AK81/'Master Data-C19RM'!$F$2)))),((IF(O81="EUR",AK81,(AK81*'Master Data-C19RM'!$F$2))))))</f>
        <v>0</v>
      </c>
      <c r="BS81">
        <f>IF(N81="",0,IF(SETUP!$E$7="USD",((IF(O81="USD",AR81,(AR81/'Master Data-C19RM'!$F$2)))),((IF(O81="EUR",AR81,(AR81*'Master Data-C19RM'!$G$2))))))</f>
        <v>0</v>
      </c>
      <c r="BT81">
        <f>IF(N81="",0,IF(SETUP!$E$7="USD",((IF(O81="USD",AY81,(AY81/'Master Data-C19RM'!$F$2)))),((IF(O81="EUR",AY81,(AY81*'Master Data-C19RM'!$H$2))))))</f>
        <v>0</v>
      </c>
      <c r="BU81" s="12">
        <f t="shared" si="3"/>
        <v>0</v>
      </c>
      <c r="BV81" s="142">
        <f t="shared" si="4"/>
        <v>0</v>
      </c>
    </row>
    <row r="82" spans="1:74" ht="14.9" customHeight="1" x14ac:dyDescent="0.35">
      <c r="A82" s="1172"/>
      <c r="B82" s="1172"/>
      <c r="C82" s="1172"/>
      <c r="D82" s="1172"/>
      <c r="E82" s="1172"/>
      <c r="F82" s="1172"/>
      <c r="G82" s="1172"/>
      <c r="H82" s="1172"/>
      <c r="I82" s="1173"/>
      <c r="J82" s="1173"/>
      <c r="K82" s="1173"/>
      <c r="L82" s="493" t="str" cm="1">
        <f t="array" ref="L82">IF(A82&lt;&gt;"",IFERROR(INDEX(PMtbl[[WKst]:[Unit of measure*]],MATCH($A$8&amp;$A82&amp;$E82&amp;$I82,INDEX(PMtbl[Sec]&amp;PMtbl[Category]&amp;PMtbl[Each]&amp;PMtbl[Packaging],0,),0),14),""),"")</f>
        <v/>
      </c>
      <c r="M82" s="480" t="str">
        <f>IF(L82="","",INDEX(SETUP!$E$20:$E$122,(MATCH(INDEX(PMsheet!$D:$E,MATCH(A82,PMsheet!E:E,0),1),SETUP!$D$20:$D$122,0))))</f>
        <v/>
      </c>
      <c r="N82" s="494">
        <f>IF($O82="USD",_xlfn.IFNA(VLOOKUP(A82&amp;E82&amp;I82,PMsheet!J:K,2,0),0),(_xlfn.IFNA(VLOOKUP(A82&amp;E82&amp;I82,PMsheet!J:K,2,0),0)*'Master Data-C19RM'!$C$2))</f>
        <v>0</v>
      </c>
      <c r="O82" s="495" t="str">
        <f>IF(L82="", "",SETUP!$E$7)</f>
        <v/>
      </c>
      <c r="P82" s="445">
        <f>IF($O82="USD",_xlfn.IFNA(VLOOKUP($A82&amp;$E82&amp;$I82,PMsheet!$J:$K,2,0),0),(_xlfn.IFNA(VLOOKUP($A82&amp;$E82&amp;$I82,PMsheet!$J:$K,2,0),0)*'Master Data-C19RM'!$C$2))</f>
        <v>0</v>
      </c>
      <c r="Q82" s="440"/>
      <c r="R82" s="440"/>
      <c r="S82" s="440"/>
      <c r="T82" s="440"/>
      <c r="U82" s="482">
        <f>SUM('C19RM 2021-Pharma'!$Q82:$T82)</f>
        <v>0</v>
      </c>
      <c r="V82" s="484">
        <f>IF(SETUP!$E$7="USD",(U82*(IF(O82="USD",P82,(P82/'Master Data-C19RM'!$C$2)))),(U82*(IF(O82="EUR",P82,(P82*'Master Data-C19RM'!$C$2)))))</f>
        <v>0</v>
      </c>
      <c r="W82" s="445">
        <f>IF($O82="USD",_xlfn.IFNA(VLOOKUP($A82&amp;$E82&amp;$I82,PMsheet!$J:$K,2,0),0),(_xlfn.IFNA(VLOOKUP($A82&amp;$E82&amp;$I82,PMsheet!$J:$K,2,0),0)*'Master Data-C19RM'!$D$2))</f>
        <v>0</v>
      </c>
      <c r="X82" s="440"/>
      <c r="Y82" s="440"/>
      <c r="Z82" s="440"/>
      <c r="AA82" s="440"/>
      <c r="AB82" s="482">
        <f>SUM('C19RM 2021-Pharma'!$X82:$AA82)</f>
        <v>0</v>
      </c>
      <c r="AC82" s="484">
        <f>IF(SETUP!$E$7="USD",(AB82*(IF(O82="USD",W82,(W82/'Master Data-C19RM'!$D$2)))),(AB82*(IF(O82="EUR",W82,(W82*'Master Data-C19RM'!$D$2)))))</f>
        <v>0</v>
      </c>
      <c r="AD82" s="445">
        <f>IF($O82="USD",_xlfn.IFNA(VLOOKUP($A82&amp;$E82&amp;$I82,PMsheet!$J:$K,2,0),0),(_xlfn.IFNA(VLOOKUP($A82&amp;$E82&amp;$I82,PMsheet!$J:$K,2,0),0)*'Master Data-C19RM'!$E$2))</f>
        <v>0</v>
      </c>
      <c r="AE82" s="440"/>
      <c r="AF82" s="440"/>
      <c r="AG82" s="440"/>
      <c r="AH82" s="440"/>
      <c r="AI82" s="482">
        <f>SUM('C19RM 2021-Pharma'!$AE82:$AH82)</f>
        <v>0</v>
      </c>
      <c r="AJ82" s="484">
        <f>IF(SETUP!$E$7="USD",(AI82*(IF(O82="USD",AD82,(AD82/'Master Data-C19RM'!$E$2)))),(AI82*(IF(O82="EUR",AD82,(AD82*'Master Data-C19RM'!$E$2)))))</f>
        <v>0</v>
      </c>
      <c r="AK82" s="445">
        <f>IF($O82="USD",_xlfn.IFNA(VLOOKUP($A82&amp;$E82&amp;$I82,PMsheet!$J:$K,2,0),0),(_xlfn.IFNA(VLOOKUP($A82&amp;$E82&amp;$I82,PMsheet!$J:$K,2,0),0)*'Master Data-C19RM'!$F$2))</f>
        <v>0</v>
      </c>
      <c r="AL82" s="440"/>
      <c r="AM82" s="440"/>
      <c r="AN82" s="440"/>
      <c r="AO82" s="440"/>
      <c r="AP82" s="482">
        <f>SUM('C19RM 2021-Pharma'!$AL82:$AO82)</f>
        <v>0</v>
      </c>
      <c r="AQ82" s="484">
        <f>IF(SETUP!$E$7="USD",(AP82*(IF(O82="USD",AK82,(AK82/'Master Data-C19RM'!$F$2)))),(AP82*(IF(O82="EUR",AK82,(AK82*'Master Data-C19RM'!$F$2)))))</f>
        <v>0</v>
      </c>
      <c r="AR82" s="445">
        <f>IF($O82="USD",_xlfn.IFNA(VLOOKUP($A82&amp;$E82&amp;$I82,PMsheet!$J:$K,2,0),0),(_xlfn.IFNA(VLOOKUP($A82&amp;$E82&amp;$I82,PMsheet!$J:$K,2,0),0)*'Master Data-C19RM'!$G$2))</f>
        <v>0</v>
      </c>
      <c r="AS82" s="440"/>
      <c r="AT82" s="440"/>
      <c r="AU82" s="440"/>
      <c r="AV82" s="440"/>
      <c r="AW82" s="482">
        <f>SUM('C19RM 2021-Pharma'!$AS82:$AV82)</f>
        <v>0</v>
      </c>
      <c r="AX82" s="484">
        <f>IF(SETUP!$E$7="USD",(AW82*(IF(O82="USD",AR82,(AR82/'Master Data-C19RM'!$G$2)))),(AW82*(IF(O82="EUR",AR82,(AR82*'Master Data-C19RM'!$G$2)))))</f>
        <v>0</v>
      </c>
      <c r="AY82" s="889"/>
      <c r="AZ82" s="884"/>
      <c r="BA82" s="884"/>
      <c r="BB82" s="884"/>
      <c r="BC82" s="884"/>
      <c r="BD82" s="884"/>
      <c r="BE82" s="885"/>
      <c r="BF82" s="504">
        <f>'C19RM 2021-Pharma'!$U82+'C19RM 2021-Pharma'!$AB82+'C19RM 2021-Pharma'!$AP82+'C19RM 2021-Pharma'!$AI82+$AW82+$BD82</f>
        <v>0</v>
      </c>
      <c r="BG82" s="484">
        <f>'C19RM 2021-Pharma'!$V82+'C19RM 2021-Pharma'!$AC82+'C19RM 2021-Pharma'!$AQ82+'C19RM 2021-Pharma'!$AJ82+$AX82+$BE82</f>
        <v>0</v>
      </c>
      <c r="BH82" s="499" t="str" cm="1">
        <f t="array" ref="BH82">IF(A82&lt;&gt;"",IFERROR(INDEX(PMtbl[[WKst]:[Unit of measure*]],MATCH($A$8&amp;$A82&amp;$E82&amp;$I82,INDEX(PMtbl[Sec]&amp;PMtbl[Category]&amp;PMtbl[Each]&amp;PMtbl[Packaging],0,),0),11),""),"")</f>
        <v/>
      </c>
      <c r="BI82" s="818"/>
      <c r="BJ82" s="503" t="str">
        <f>IFERROR(INDEX(SETUP!$C$19:$G$121,MATCH((INDEX(PMtbl[[WKst]:[Unit of measure*]],MATCH($A82&amp;$E82&amp;$I82,INDEX(PMtbl[Category]&amp;PMtbl[Each]&amp;PMtbl[Packaging],0,),0),3)),SETUP!$D$19:$D$121,0),5),"")</f>
        <v/>
      </c>
      <c r="BK82" s="439" t="str">
        <f>IFERROR(IF((INDEX(SETUP!$C$19:$G$121,MATCH((INDEX(PMtbl[[WKst]:[Unit of measure*]],MATCH($A82&amp;$E82&amp;$I82,INDEX(PMtbl[Category]&amp;PMtbl[Each]&amp;PMtbl[Packaging],0,),0),3)),SETUP!$D$19:$D$121,0),4))="Upfront",0,INDEX(SETUP!$C$19:$G$121,MATCH((INDEX(PMtbl[[WKst]:[Unit of measure*]],MATCH($A82&amp;$E82&amp;$I82,INDEX(PMtbl[Category]&amp;PMtbl[Each]&amp;PMtbl[Packaging],0,),0),3)),SETUP!$D$19:$D$121,0),5)),"")</f>
        <v/>
      </c>
      <c r="BL82" s="194" t="str" cm="1">
        <f t="array" ref="BL82">IF(E82&lt;&gt;"",IFERROR(INDEX(PMtbl[[WKst]:[Unit of measure*]],MATCH($A$8&amp;$A82&amp;$E82&amp;$I82,INDEX(PMtbl[Sec]&amp;PMtbl[Category]&amp;PMtbl[Each]&amp;PMtbl[Packaging],0,),0),11),""),"")</f>
        <v/>
      </c>
      <c r="BO82" s="12">
        <f>IF(N82="",0,IF(SETUP!$E$7="USD",((IF(O82="USD",P82,(P82/'Master Data-C19RM'!$C$2)))),((IF(O82="EUR",P82,(P82*'Master Data-C19RM'!$C$2))))))</f>
        <v>0</v>
      </c>
      <c r="BP82" s="12">
        <f>IF(N82="",0,IF(SETUP!$E$7="USD",((IF(O82="USD",W82,(W82/'Master Data-C19RM'!$D$2)))),((IF(O82="EUR",W82,(W82*'Master Data-C19RM'!$D$2))))))</f>
        <v>0</v>
      </c>
      <c r="BQ82">
        <f>IF(N82="",0,IF(SETUP!$E$7="USD",((IF(O82="USD",AD82,(AD82/'Master Data-C19RM'!$E$2)))),((IF(O82="EUR",AD82,(AD82*'Master Data-C19RM'!$E$2))))))</f>
        <v>0</v>
      </c>
      <c r="BR82">
        <f>IF(N82="",0,IF(SETUP!$E$7="USD",((IF(O82="USD",AK82,(AK82/'Master Data-C19RM'!$F$2)))),((IF(O82="EUR",AK82,(AK82*'Master Data-C19RM'!$F$2))))))</f>
        <v>0</v>
      </c>
      <c r="BS82">
        <f>IF(N82="",0,IF(SETUP!$E$7="USD",((IF(O82="USD",AR82,(AR82/'Master Data-C19RM'!$F$2)))),((IF(O82="EUR",AR82,(AR82*'Master Data-C19RM'!$G$2))))))</f>
        <v>0</v>
      </c>
      <c r="BT82">
        <f>IF(N82="",0,IF(SETUP!$E$7="USD",((IF(O82="USD",AY82,(AY82/'Master Data-C19RM'!$F$2)))),((IF(O82="EUR",AY82,(AY82*'Master Data-C19RM'!$H$2))))))</f>
        <v>0</v>
      </c>
      <c r="BU82" s="12">
        <f t="shared" si="3"/>
        <v>0</v>
      </c>
      <c r="BV82" s="142">
        <f t="shared" si="4"/>
        <v>0</v>
      </c>
    </row>
    <row r="83" spans="1:74" ht="14.9" customHeight="1" x14ac:dyDescent="0.35">
      <c r="A83" s="1165"/>
      <c r="B83" s="1165"/>
      <c r="C83" s="1165"/>
      <c r="D83" s="1165"/>
      <c r="E83" s="1166"/>
      <c r="F83" s="1166"/>
      <c r="G83" s="1166"/>
      <c r="H83" s="1166"/>
      <c r="I83" s="1166"/>
      <c r="J83" s="1166"/>
      <c r="K83" s="1166"/>
      <c r="L83" s="490" t="str" cm="1">
        <f t="array" ref="L83">IF(A83&lt;&gt;"",IFERROR(INDEX(PMtbl[[WKst]:[Unit of measure*]],MATCH($A$8&amp;$A83&amp;$E83&amp;$I83,INDEX(PMtbl[Sec]&amp;PMtbl[Category]&amp;PMtbl[Each]&amp;PMtbl[Packaging],0,),0),14),""),"")</f>
        <v/>
      </c>
      <c r="M83" s="479" t="str">
        <f>IF(L83="","",INDEX(SETUP!$E$20:$E$122,(MATCH(INDEX(PMsheet!$D:$E,MATCH(A83,PMsheet!E:E,0),1),SETUP!$D$20:$D$122,0))))</f>
        <v/>
      </c>
      <c r="N83" s="491">
        <f>IF($O83="USD",_xlfn.IFNA(VLOOKUP(A83&amp;E83&amp;I83,PMsheet!J:K,2,0),0),(_xlfn.IFNA(VLOOKUP(A83&amp;E83&amp;I83,PMsheet!J:K,2,0),0)*'Master Data-C19RM'!$C$2))</f>
        <v>0</v>
      </c>
      <c r="O83" s="492" t="str">
        <f>IF(L83="", "",SETUP!$E$7)</f>
        <v/>
      </c>
      <c r="P83" s="444">
        <f>IF($O83="USD",_xlfn.IFNA(VLOOKUP($A83&amp;$E83&amp;$I83,PMsheet!$J:$K,2,0),0),(_xlfn.IFNA(VLOOKUP($A83&amp;$E83&amp;$I83,PMsheet!$J:$K,2,0),0)*'Master Data-C19RM'!$C$2))</f>
        <v>0</v>
      </c>
      <c r="Q83" s="441"/>
      <c r="R83" s="441"/>
      <c r="S83" s="441"/>
      <c r="T83" s="441"/>
      <c r="U83" s="481">
        <f>SUM('C19RM 2021-Pharma'!$Q83:$T83)</f>
        <v>0</v>
      </c>
      <c r="V83" s="483">
        <f>IF(SETUP!$E$7="USD",(U83*(IF(O83="USD",P83,(P83/'Master Data-C19RM'!$C$2)))),(U83*(IF(O83="EUR",P83,(P83*'Master Data-C19RM'!$C$2)))))</f>
        <v>0</v>
      </c>
      <c r="W83" s="444">
        <f>IF($O83="USD",_xlfn.IFNA(VLOOKUP($A83&amp;$E83&amp;$I83,PMsheet!$J:$K,2,0),0),(_xlfn.IFNA(VLOOKUP($A83&amp;$E83&amp;$I83,PMsheet!$J:$K,2,0),0)*'Master Data-C19RM'!$D$2))</f>
        <v>0</v>
      </c>
      <c r="X83" s="441"/>
      <c r="Y83" s="441"/>
      <c r="Z83" s="441"/>
      <c r="AA83" s="441"/>
      <c r="AB83" s="481">
        <f>SUM('C19RM 2021-Pharma'!$X83:$AA83)</f>
        <v>0</v>
      </c>
      <c r="AC83" s="483">
        <f>IF(SETUP!$E$7="USD",(AB83*(IF(O83="USD",W83,(W83/'Master Data-C19RM'!$D$2)))),(AB83*(IF(O83="EUR",W83,(W83*'Master Data-C19RM'!$D$2)))))</f>
        <v>0</v>
      </c>
      <c r="AD83" s="444">
        <f>IF($O83="USD",_xlfn.IFNA(VLOOKUP($A83&amp;$E83&amp;$I83,PMsheet!$J:$K,2,0),0),(_xlfn.IFNA(VLOOKUP($A83&amp;$E83&amp;$I83,PMsheet!$J:$K,2,0),0)*'Master Data-C19RM'!$E$2))</f>
        <v>0</v>
      </c>
      <c r="AE83" s="441"/>
      <c r="AF83" s="441"/>
      <c r="AG83" s="441"/>
      <c r="AH83" s="441"/>
      <c r="AI83" s="481">
        <f>SUM('C19RM 2021-Pharma'!$AE83:$AH83)</f>
        <v>0</v>
      </c>
      <c r="AJ83" s="483">
        <f>IF(SETUP!$E$7="USD",(AI83*(IF(O83="USD",AD83,(AD83/'Master Data-C19RM'!$E$2)))),(AI83*(IF(O83="EUR",AD83,(AD83*'Master Data-C19RM'!$E$2)))))</f>
        <v>0</v>
      </c>
      <c r="AK83" s="444">
        <f>IF($O83="USD",_xlfn.IFNA(VLOOKUP($A83&amp;$E83&amp;$I83,PMsheet!$J:$K,2,0),0),(_xlfn.IFNA(VLOOKUP($A83&amp;$E83&amp;$I83,PMsheet!$J:$K,2,0),0)*'Master Data-C19RM'!$F$2))</f>
        <v>0</v>
      </c>
      <c r="AL83" s="441"/>
      <c r="AM83" s="441"/>
      <c r="AN83" s="441"/>
      <c r="AO83" s="441"/>
      <c r="AP83" s="481">
        <f>SUM('C19RM 2021-Pharma'!$AL83:$AO83)</f>
        <v>0</v>
      </c>
      <c r="AQ83" s="483">
        <f>IF(SETUP!$E$7="USD",(AP83*(IF(O83="USD",AK83,(AK83/'Master Data-C19RM'!$F$2)))),(AP83*(IF(O83="EUR",AK83,(AK83*'Master Data-C19RM'!$F$2)))))</f>
        <v>0</v>
      </c>
      <c r="AR83" s="444">
        <f>IF($O83="USD",_xlfn.IFNA(VLOOKUP($A83&amp;$E83&amp;$I83,PMsheet!$J:$K,2,0),0),(_xlfn.IFNA(VLOOKUP($A83&amp;$E83&amp;$I83,PMsheet!$J:$K,2,0),0)*'Master Data-C19RM'!$G$2))</f>
        <v>0</v>
      </c>
      <c r="AS83" s="441"/>
      <c r="AT83" s="441"/>
      <c r="AU83" s="441"/>
      <c r="AV83" s="441"/>
      <c r="AW83" s="481">
        <f>SUM('C19RM 2021-Pharma'!$AS83:$AV83)</f>
        <v>0</v>
      </c>
      <c r="AX83" s="483">
        <f>IF(SETUP!$E$7="USD",(AW83*(IF(O83="USD",AR83,(AR83/'Master Data-C19RM'!$G$2)))),(AW83*(IF(O83="EUR",AR83,(AR83*'Master Data-C19RM'!$G$2)))))</f>
        <v>0</v>
      </c>
      <c r="AY83" s="886"/>
      <c r="AZ83" s="887"/>
      <c r="BA83" s="887"/>
      <c r="BB83" s="887"/>
      <c r="BC83" s="887"/>
      <c r="BD83" s="887"/>
      <c r="BE83" s="888"/>
      <c r="BF83" s="505">
        <f>'C19RM 2021-Pharma'!$U83+'C19RM 2021-Pharma'!$AB83+'C19RM 2021-Pharma'!$AP83+'C19RM 2021-Pharma'!$AI83+$AW83+$BD83</f>
        <v>0</v>
      </c>
      <c r="BG83" s="483">
        <f>'C19RM 2021-Pharma'!$V83+'C19RM 2021-Pharma'!$AC83+'C19RM 2021-Pharma'!$AQ83+'C19RM 2021-Pharma'!$AJ83+$AX83+$BE83</f>
        <v>0</v>
      </c>
      <c r="BH83" s="500" t="str" cm="1">
        <f t="array" ref="BH83">IF(A83&lt;&gt;"",IFERROR(INDEX(PMtbl[[WKst]:[Unit of measure*]],MATCH($A$8&amp;$A83&amp;$E83&amp;$I83,INDEX(PMtbl[Sec]&amp;PMtbl[Category]&amp;PMtbl[Each]&amp;PMtbl[Packaging],0,),0),11),""),"")</f>
        <v/>
      </c>
      <c r="BI83" s="819"/>
      <c r="BJ83" s="502" t="str">
        <f>IFERROR(INDEX(SETUP!$C$19:$G$121,MATCH((INDEX(PMtbl[[WKst]:[Unit of measure*]],MATCH($A83&amp;$E83&amp;$I83,INDEX(PMtbl[Category]&amp;PMtbl[Each]&amp;PMtbl[Packaging],0,),0),3)),SETUP!$D$19:$D$121,0),5),"")</f>
        <v/>
      </c>
      <c r="BK83" s="438" t="str">
        <f>IFERROR(IF((INDEX(SETUP!$C$19:$G$121,MATCH((INDEX(PMtbl[[WKst]:[Unit of measure*]],MATCH($A83&amp;$E83&amp;$I83,INDEX(PMtbl[Category]&amp;PMtbl[Each]&amp;PMtbl[Packaging],0,),0),3)),SETUP!$D$19:$D$121,0),4))="Upfront",0,INDEX(SETUP!$C$19:$G$121,MATCH((INDEX(PMtbl[[WKst]:[Unit of measure*]],MATCH($A83&amp;$E83&amp;$I83,INDEX(PMtbl[Category]&amp;PMtbl[Each]&amp;PMtbl[Packaging],0,),0),3)),SETUP!$D$19:$D$121,0),5)),"")</f>
        <v/>
      </c>
      <c r="BL83" s="193" t="str" cm="1">
        <f t="array" ref="BL83">IF(E83&lt;&gt;"",IFERROR(INDEX(PMtbl[[WKst]:[Unit of measure*]],MATCH($A$8&amp;$A83&amp;$E83&amp;$I83,INDEX(PMtbl[Sec]&amp;PMtbl[Category]&amp;PMtbl[Each]&amp;PMtbl[Packaging],0,),0),11),""),"")</f>
        <v/>
      </c>
      <c r="BO83" s="12">
        <f>IF(N83="",0,IF(SETUP!$E$7="USD",((IF(O83="USD",P83,(P83/'Master Data-C19RM'!$C$2)))),((IF(O83="EUR",P83,(P83*'Master Data-C19RM'!$C$2))))))</f>
        <v>0</v>
      </c>
      <c r="BP83" s="12">
        <f>IF(N83="",0,IF(SETUP!$E$7="USD",((IF(O83="USD",W83,(W83/'Master Data-C19RM'!$D$2)))),((IF(O83="EUR",W83,(W83*'Master Data-C19RM'!$D$2))))))</f>
        <v>0</v>
      </c>
      <c r="BQ83">
        <f>IF(N83="",0,IF(SETUP!$E$7="USD",((IF(O83="USD",AD83,(AD83/'Master Data-C19RM'!$E$2)))),((IF(O83="EUR",AD83,(AD83*'Master Data-C19RM'!$E$2))))))</f>
        <v>0</v>
      </c>
      <c r="BR83">
        <f>IF(N83="",0,IF(SETUP!$E$7="USD",((IF(O83="USD",AK83,(AK83/'Master Data-C19RM'!$F$2)))),((IF(O83="EUR",AK83,(AK83*'Master Data-C19RM'!$F$2))))))</f>
        <v>0</v>
      </c>
      <c r="BS83">
        <f>IF(N83="",0,IF(SETUP!$E$7="USD",((IF(O83="USD",AR83,(AR83/'Master Data-C19RM'!$F$2)))),((IF(O83="EUR",AR83,(AR83*'Master Data-C19RM'!$G$2))))))</f>
        <v>0</v>
      </c>
      <c r="BT83">
        <f>IF(N83="",0,IF(SETUP!$E$7="USD",((IF(O83="USD",AY83,(AY83/'Master Data-C19RM'!$F$2)))),((IF(O83="EUR",AY83,(AY83*'Master Data-C19RM'!$H$2))))))</f>
        <v>0</v>
      </c>
      <c r="BU83" s="12">
        <f t="shared" si="3"/>
        <v>0</v>
      </c>
      <c r="BV83" s="142">
        <f t="shared" si="4"/>
        <v>0</v>
      </c>
    </row>
    <row r="84" spans="1:74" ht="14.9" customHeight="1" x14ac:dyDescent="0.35">
      <c r="A84" s="1172"/>
      <c r="B84" s="1172"/>
      <c r="C84" s="1172"/>
      <c r="D84" s="1172"/>
      <c r="E84" s="1172"/>
      <c r="F84" s="1172"/>
      <c r="G84" s="1172"/>
      <c r="H84" s="1172"/>
      <c r="I84" s="1173"/>
      <c r="J84" s="1173"/>
      <c r="K84" s="1173"/>
      <c r="L84" s="493" t="str" cm="1">
        <f t="array" ref="L84">IF(A84&lt;&gt;"",IFERROR(INDEX(PMtbl[[WKst]:[Unit of measure*]],MATCH($A$8&amp;$A84&amp;$E84&amp;$I84,INDEX(PMtbl[Sec]&amp;PMtbl[Category]&amp;PMtbl[Each]&amp;PMtbl[Packaging],0,),0),14),""),"")</f>
        <v/>
      </c>
      <c r="M84" s="480" t="str">
        <f>IF(L84="","",INDEX(SETUP!$E$20:$E$122,(MATCH(INDEX(PMsheet!$D:$E,MATCH(A84,PMsheet!E:E,0),1),SETUP!$D$20:$D$122,0))))</f>
        <v/>
      </c>
      <c r="N84" s="494">
        <f>IF($O84="USD",_xlfn.IFNA(VLOOKUP(A84&amp;E84&amp;I84,PMsheet!J:K,2,0),0),(_xlfn.IFNA(VLOOKUP(A84&amp;E84&amp;I84,PMsheet!J:K,2,0),0)*'Master Data-C19RM'!$C$2))</f>
        <v>0</v>
      </c>
      <c r="O84" s="495" t="str">
        <f>IF(L84="", "",SETUP!$E$7)</f>
        <v/>
      </c>
      <c r="P84" s="445">
        <f>IF($O84="USD",_xlfn.IFNA(VLOOKUP($A84&amp;$E84&amp;$I84,PMsheet!$J:$K,2,0),0),(_xlfn.IFNA(VLOOKUP($A84&amp;$E84&amp;$I84,PMsheet!$J:$K,2,0),0)*'Master Data-C19RM'!$C$2))</f>
        <v>0</v>
      </c>
      <c r="Q84" s="440"/>
      <c r="R84" s="440"/>
      <c r="S84" s="440"/>
      <c r="T84" s="440"/>
      <c r="U84" s="482">
        <f>SUM('C19RM 2021-Pharma'!$Q84:$T84)</f>
        <v>0</v>
      </c>
      <c r="V84" s="484">
        <f>IF(SETUP!$E$7="USD",(U84*(IF(O84="USD",P84,(P84/'Master Data-C19RM'!$C$2)))),(U84*(IF(O84="EUR",P84,(P84*'Master Data-C19RM'!$C$2)))))</f>
        <v>0</v>
      </c>
      <c r="W84" s="445">
        <f>IF($O84="USD",_xlfn.IFNA(VLOOKUP($A84&amp;$E84&amp;$I84,PMsheet!$J:$K,2,0),0),(_xlfn.IFNA(VLOOKUP($A84&amp;$E84&amp;$I84,PMsheet!$J:$K,2,0),0)*'Master Data-C19RM'!$D$2))</f>
        <v>0</v>
      </c>
      <c r="X84" s="440"/>
      <c r="Y84" s="440"/>
      <c r="Z84" s="440"/>
      <c r="AA84" s="440"/>
      <c r="AB84" s="482">
        <f>SUM('C19RM 2021-Pharma'!$X84:$AA84)</f>
        <v>0</v>
      </c>
      <c r="AC84" s="484">
        <f>IF(SETUP!$E$7="USD",(AB84*(IF(O84="USD",W84,(W84/'Master Data-C19RM'!$D$2)))),(AB84*(IF(O84="EUR",W84,(W84*'Master Data-C19RM'!$D$2)))))</f>
        <v>0</v>
      </c>
      <c r="AD84" s="445">
        <f>IF($O84="USD",_xlfn.IFNA(VLOOKUP($A84&amp;$E84&amp;$I84,PMsheet!$J:$K,2,0),0),(_xlfn.IFNA(VLOOKUP($A84&amp;$E84&amp;$I84,PMsheet!$J:$K,2,0),0)*'Master Data-C19RM'!$E$2))</f>
        <v>0</v>
      </c>
      <c r="AE84" s="440"/>
      <c r="AF84" s="440"/>
      <c r="AG84" s="440"/>
      <c r="AH84" s="440"/>
      <c r="AI84" s="482">
        <f>SUM('C19RM 2021-Pharma'!$AE84:$AH84)</f>
        <v>0</v>
      </c>
      <c r="AJ84" s="484">
        <f>IF(SETUP!$E$7="USD",(AI84*(IF(O84="USD",AD84,(AD84/'Master Data-C19RM'!$E$2)))),(AI84*(IF(O84="EUR",AD84,(AD84*'Master Data-C19RM'!$E$2)))))</f>
        <v>0</v>
      </c>
      <c r="AK84" s="445">
        <f>IF($O84="USD",_xlfn.IFNA(VLOOKUP($A84&amp;$E84&amp;$I84,PMsheet!$J:$K,2,0),0),(_xlfn.IFNA(VLOOKUP($A84&amp;$E84&amp;$I84,PMsheet!$J:$K,2,0),0)*'Master Data-C19RM'!$F$2))</f>
        <v>0</v>
      </c>
      <c r="AL84" s="440"/>
      <c r="AM84" s="440"/>
      <c r="AN84" s="440"/>
      <c r="AO84" s="440"/>
      <c r="AP84" s="482">
        <f>SUM('C19RM 2021-Pharma'!$AL84:$AO84)</f>
        <v>0</v>
      </c>
      <c r="AQ84" s="484">
        <f>IF(SETUP!$E$7="USD",(AP84*(IF(O84="USD",AK84,(AK84/'Master Data-C19RM'!$F$2)))),(AP84*(IF(O84="EUR",AK84,(AK84*'Master Data-C19RM'!$F$2)))))</f>
        <v>0</v>
      </c>
      <c r="AR84" s="445">
        <f>IF($O84="USD",_xlfn.IFNA(VLOOKUP($A84&amp;$E84&amp;$I84,PMsheet!$J:$K,2,0),0),(_xlfn.IFNA(VLOOKUP($A84&amp;$E84&amp;$I84,PMsheet!$J:$K,2,0),0)*'Master Data-C19RM'!$G$2))</f>
        <v>0</v>
      </c>
      <c r="AS84" s="440"/>
      <c r="AT84" s="440"/>
      <c r="AU84" s="440"/>
      <c r="AV84" s="440"/>
      <c r="AW84" s="482">
        <f>SUM('C19RM 2021-Pharma'!$AS84:$AV84)</f>
        <v>0</v>
      </c>
      <c r="AX84" s="484">
        <f>IF(SETUP!$E$7="USD",(AW84*(IF(O84="USD",AR84,(AR84/'Master Data-C19RM'!$G$2)))),(AW84*(IF(O84="EUR",AR84,(AR84*'Master Data-C19RM'!$G$2)))))</f>
        <v>0</v>
      </c>
      <c r="AY84" s="889"/>
      <c r="AZ84" s="884"/>
      <c r="BA84" s="884"/>
      <c r="BB84" s="884"/>
      <c r="BC84" s="884"/>
      <c r="BD84" s="884"/>
      <c r="BE84" s="885"/>
      <c r="BF84" s="504">
        <f>'C19RM 2021-Pharma'!$U84+'C19RM 2021-Pharma'!$AB84+'C19RM 2021-Pharma'!$AP84+'C19RM 2021-Pharma'!$AI84+$AW84+$BD84</f>
        <v>0</v>
      </c>
      <c r="BG84" s="484">
        <f>'C19RM 2021-Pharma'!$V84+'C19RM 2021-Pharma'!$AC84+'C19RM 2021-Pharma'!$AQ84+'C19RM 2021-Pharma'!$AJ84+$AX84+$BE84</f>
        <v>0</v>
      </c>
      <c r="BH84" s="499" t="str" cm="1">
        <f t="array" ref="BH84">IF(A84&lt;&gt;"",IFERROR(INDEX(PMtbl[[WKst]:[Unit of measure*]],MATCH($A$8&amp;$A84&amp;$E84&amp;$I84,INDEX(PMtbl[Sec]&amp;PMtbl[Category]&amp;PMtbl[Each]&amp;PMtbl[Packaging],0,),0),11),""),"")</f>
        <v/>
      </c>
      <c r="BI84" s="818"/>
      <c r="BJ84" s="503" t="str">
        <f>IFERROR(INDEX(SETUP!$C$19:$G$121,MATCH((INDEX(PMtbl[[WKst]:[Unit of measure*]],MATCH($A84&amp;$E84&amp;$I84,INDEX(PMtbl[Category]&amp;PMtbl[Each]&amp;PMtbl[Packaging],0,),0),3)),SETUP!$D$19:$D$121,0),5),"")</f>
        <v/>
      </c>
      <c r="BK84" s="439" t="str">
        <f>IFERROR(IF((INDEX(SETUP!$C$19:$G$121,MATCH((INDEX(PMtbl[[WKst]:[Unit of measure*]],MATCH($A84&amp;$E84&amp;$I84,INDEX(PMtbl[Category]&amp;PMtbl[Each]&amp;PMtbl[Packaging],0,),0),3)),SETUP!$D$19:$D$121,0),4))="Upfront",0,INDEX(SETUP!$C$19:$G$121,MATCH((INDEX(PMtbl[[WKst]:[Unit of measure*]],MATCH($A84&amp;$E84&amp;$I84,INDEX(PMtbl[Category]&amp;PMtbl[Each]&amp;PMtbl[Packaging],0,),0),3)),SETUP!$D$19:$D$121,0),5)),"")</f>
        <v/>
      </c>
      <c r="BL84" s="194" t="str" cm="1">
        <f t="array" ref="BL84">IF(E84&lt;&gt;"",IFERROR(INDEX(PMtbl[[WKst]:[Unit of measure*]],MATCH($A$8&amp;$A84&amp;$E84&amp;$I84,INDEX(PMtbl[Sec]&amp;PMtbl[Category]&amp;PMtbl[Each]&amp;PMtbl[Packaging],0,),0),11),""),"")</f>
        <v/>
      </c>
      <c r="BO84" s="12">
        <f>IF(N84="",0,IF(SETUP!$E$7="USD",((IF(O84="USD",P84,(P84/'Master Data-C19RM'!$C$2)))),((IF(O84="EUR",P84,(P84*'Master Data-C19RM'!$C$2))))))</f>
        <v>0</v>
      </c>
      <c r="BP84" s="12">
        <f>IF(N84="",0,IF(SETUP!$E$7="USD",((IF(O84="USD",W84,(W84/'Master Data-C19RM'!$D$2)))),((IF(O84="EUR",W84,(W84*'Master Data-C19RM'!$D$2))))))</f>
        <v>0</v>
      </c>
      <c r="BQ84">
        <f>IF(N84="",0,IF(SETUP!$E$7="USD",((IF(O84="USD",AD84,(AD84/'Master Data-C19RM'!$E$2)))),((IF(O84="EUR",AD84,(AD84*'Master Data-C19RM'!$E$2))))))</f>
        <v>0</v>
      </c>
      <c r="BR84">
        <f>IF(N84="",0,IF(SETUP!$E$7="USD",((IF(O84="USD",AK84,(AK84/'Master Data-C19RM'!$F$2)))),((IF(O84="EUR",AK84,(AK84*'Master Data-C19RM'!$F$2))))))</f>
        <v>0</v>
      </c>
      <c r="BS84">
        <f>IF(N84="",0,IF(SETUP!$E$7="USD",((IF(O84="USD",AR84,(AR84/'Master Data-C19RM'!$F$2)))),((IF(O84="EUR",AR84,(AR84*'Master Data-C19RM'!$G$2))))))</f>
        <v>0</v>
      </c>
      <c r="BT84">
        <f>IF(N84="",0,IF(SETUP!$E$7="USD",((IF(O84="USD",AY84,(AY84/'Master Data-C19RM'!$F$2)))),((IF(O84="EUR",AY84,(AY84*'Master Data-C19RM'!$H$2))))))</f>
        <v>0</v>
      </c>
      <c r="BU84" s="12">
        <f t="shared" si="3"/>
        <v>0</v>
      </c>
      <c r="BV84" s="142">
        <f t="shared" si="4"/>
        <v>0</v>
      </c>
    </row>
    <row r="85" spans="1:74" ht="14.9" customHeight="1" x14ac:dyDescent="0.35">
      <c r="A85" s="1165"/>
      <c r="B85" s="1165"/>
      <c r="C85" s="1165"/>
      <c r="D85" s="1165"/>
      <c r="E85" s="1166"/>
      <c r="F85" s="1166"/>
      <c r="G85" s="1166"/>
      <c r="H85" s="1166"/>
      <c r="I85" s="1166"/>
      <c r="J85" s="1166"/>
      <c r="K85" s="1166"/>
      <c r="L85" s="490" t="str" cm="1">
        <f t="array" ref="L85">IF(A85&lt;&gt;"",IFERROR(INDEX(PMtbl[[WKst]:[Unit of measure*]],MATCH($A$8&amp;$A85&amp;$E85&amp;$I85,INDEX(PMtbl[Sec]&amp;PMtbl[Category]&amp;PMtbl[Each]&amp;PMtbl[Packaging],0,),0),14),""),"")</f>
        <v/>
      </c>
      <c r="M85" s="479" t="str">
        <f>IF(L85="","",INDEX(SETUP!$E$20:$E$122,(MATCH(INDEX(PMsheet!$D:$E,MATCH(A85,PMsheet!E:E,0),1),SETUP!$D$20:$D$122,0))))</f>
        <v/>
      </c>
      <c r="N85" s="491">
        <f>IF($O85="USD",_xlfn.IFNA(VLOOKUP(A85&amp;E85&amp;I85,PMsheet!J:K,2,0),0),(_xlfn.IFNA(VLOOKUP(A85&amp;E85&amp;I85,PMsheet!J:K,2,0),0)*'Master Data-C19RM'!$C$2))</f>
        <v>0</v>
      </c>
      <c r="O85" s="492" t="str">
        <f>IF(L85="", "",SETUP!$E$7)</f>
        <v/>
      </c>
      <c r="P85" s="444">
        <f>IF($O85="USD",_xlfn.IFNA(VLOOKUP($A85&amp;$E85&amp;$I85,PMsheet!$J:$K,2,0),0),(_xlfn.IFNA(VLOOKUP($A85&amp;$E85&amp;$I85,PMsheet!$J:$K,2,0),0)*'Master Data-C19RM'!$C$2))</f>
        <v>0</v>
      </c>
      <c r="Q85" s="441"/>
      <c r="R85" s="441"/>
      <c r="S85" s="441"/>
      <c r="T85" s="441"/>
      <c r="U85" s="481">
        <f>SUM('C19RM 2021-Pharma'!$Q85:$T85)</f>
        <v>0</v>
      </c>
      <c r="V85" s="483">
        <f>IF(SETUP!$E$7="USD",(U85*(IF(O85="USD",P85,(P85/'Master Data-C19RM'!$C$2)))),(U85*(IF(O85="EUR",P85,(P85*'Master Data-C19RM'!$C$2)))))</f>
        <v>0</v>
      </c>
      <c r="W85" s="444">
        <f>IF($O85="USD",_xlfn.IFNA(VLOOKUP($A85&amp;$E85&amp;$I85,PMsheet!$J:$K,2,0),0),(_xlfn.IFNA(VLOOKUP($A85&amp;$E85&amp;$I85,PMsheet!$J:$K,2,0),0)*'Master Data-C19RM'!$D$2))</f>
        <v>0</v>
      </c>
      <c r="X85" s="441"/>
      <c r="Y85" s="441"/>
      <c r="Z85" s="441"/>
      <c r="AA85" s="441"/>
      <c r="AB85" s="481">
        <f>SUM('C19RM 2021-Pharma'!$X85:$AA85)</f>
        <v>0</v>
      </c>
      <c r="AC85" s="483">
        <f>IF(SETUP!$E$7="USD",(AB85*(IF(O85="USD",W85,(W85/'Master Data-C19RM'!$D$2)))),(AB85*(IF(O85="EUR",W85,(W85*'Master Data-C19RM'!$D$2)))))</f>
        <v>0</v>
      </c>
      <c r="AD85" s="444">
        <f>IF($O85="USD",_xlfn.IFNA(VLOOKUP($A85&amp;$E85&amp;$I85,PMsheet!$J:$K,2,0),0),(_xlfn.IFNA(VLOOKUP($A85&amp;$E85&amp;$I85,PMsheet!$J:$K,2,0),0)*'Master Data-C19RM'!$E$2))</f>
        <v>0</v>
      </c>
      <c r="AE85" s="441"/>
      <c r="AF85" s="441"/>
      <c r="AG85" s="441"/>
      <c r="AH85" s="441"/>
      <c r="AI85" s="481">
        <f>SUM('C19RM 2021-Pharma'!$AE85:$AH85)</f>
        <v>0</v>
      </c>
      <c r="AJ85" s="483">
        <f>IF(SETUP!$E$7="USD",(AI85*(IF(O85="USD",AD85,(AD85/'Master Data-C19RM'!$E$2)))),(AI85*(IF(O85="EUR",AD85,(AD85*'Master Data-C19RM'!$E$2)))))</f>
        <v>0</v>
      </c>
      <c r="AK85" s="444">
        <f>IF($O85="USD",_xlfn.IFNA(VLOOKUP($A85&amp;$E85&amp;$I85,PMsheet!$J:$K,2,0),0),(_xlfn.IFNA(VLOOKUP($A85&amp;$E85&amp;$I85,PMsheet!$J:$K,2,0),0)*'Master Data-C19RM'!$F$2))</f>
        <v>0</v>
      </c>
      <c r="AL85" s="441"/>
      <c r="AM85" s="441"/>
      <c r="AN85" s="441"/>
      <c r="AO85" s="441"/>
      <c r="AP85" s="481">
        <f>SUM('C19RM 2021-Pharma'!$AL85:$AO85)</f>
        <v>0</v>
      </c>
      <c r="AQ85" s="483">
        <f>IF(SETUP!$E$7="USD",(AP85*(IF(O85="USD",AK85,(AK85/'Master Data-C19RM'!$F$2)))),(AP85*(IF(O85="EUR",AK85,(AK85*'Master Data-C19RM'!$F$2)))))</f>
        <v>0</v>
      </c>
      <c r="AR85" s="444">
        <f>IF($O85="USD",_xlfn.IFNA(VLOOKUP($A85&amp;$E85&amp;$I85,PMsheet!$J:$K,2,0),0),(_xlfn.IFNA(VLOOKUP($A85&amp;$E85&amp;$I85,PMsheet!$J:$K,2,0),0)*'Master Data-C19RM'!$G$2))</f>
        <v>0</v>
      </c>
      <c r="AS85" s="441"/>
      <c r="AT85" s="441"/>
      <c r="AU85" s="441"/>
      <c r="AV85" s="441"/>
      <c r="AW85" s="481">
        <f>SUM('C19RM 2021-Pharma'!$AS85:$AV85)</f>
        <v>0</v>
      </c>
      <c r="AX85" s="483">
        <f>IF(SETUP!$E$7="USD",(AW85*(IF(O85="USD",AR85,(AR85/'Master Data-C19RM'!$G$2)))),(AW85*(IF(O85="EUR",AR85,(AR85*'Master Data-C19RM'!$G$2)))))</f>
        <v>0</v>
      </c>
      <c r="AY85" s="886"/>
      <c r="AZ85" s="887"/>
      <c r="BA85" s="887"/>
      <c r="BB85" s="887"/>
      <c r="BC85" s="887"/>
      <c r="BD85" s="887"/>
      <c r="BE85" s="888"/>
      <c r="BF85" s="505">
        <f>'C19RM 2021-Pharma'!$U85+'C19RM 2021-Pharma'!$AB85+'C19RM 2021-Pharma'!$AP85+'C19RM 2021-Pharma'!$AI85+$AW85+$BD85</f>
        <v>0</v>
      </c>
      <c r="BG85" s="483">
        <f>'C19RM 2021-Pharma'!$V85+'C19RM 2021-Pharma'!$AC85+'C19RM 2021-Pharma'!$AQ85+'C19RM 2021-Pharma'!$AJ85+$AX85+$BE85</f>
        <v>0</v>
      </c>
      <c r="BH85" s="500" t="str" cm="1">
        <f t="array" ref="BH85">IF(A85&lt;&gt;"",IFERROR(INDEX(PMtbl[[WKst]:[Unit of measure*]],MATCH($A$8&amp;$A85&amp;$E85&amp;$I85,INDEX(PMtbl[Sec]&amp;PMtbl[Category]&amp;PMtbl[Each]&amp;PMtbl[Packaging],0,),0),11),""),"")</f>
        <v/>
      </c>
      <c r="BI85" s="819"/>
      <c r="BJ85" s="502" t="str">
        <f>IFERROR(INDEX(SETUP!$C$19:$G$121,MATCH((INDEX(PMtbl[[WKst]:[Unit of measure*]],MATCH($A85&amp;$E85&amp;$I85,INDEX(PMtbl[Category]&amp;PMtbl[Each]&amp;PMtbl[Packaging],0,),0),3)),SETUP!$D$19:$D$121,0),5),"")</f>
        <v/>
      </c>
      <c r="BK85" s="438" t="str">
        <f>IFERROR(IF((INDEX(SETUP!$C$19:$G$121,MATCH((INDEX(PMtbl[[WKst]:[Unit of measure*]],MATCH($A85&amp;$E85&amp;$I85,INDEX(PMtbl[Category]&amp;PMtbl[Each]&amp;PMtbl[Packaging],0,),0),3)),SETUP!$D$19:$D$121,0),4))="Upfront",0,INDEX(SETUP!$C$19:$G$121,MATCH((INDEX(PMtbl[[WKst]:[Unit of measure*]],MATCH($A85&amp;$E85&amp;$I85,INDEX(PMtbl[Category]&amp;PMtbl[Each]&amp;PMtbl[Packaging],0,),0),3)),SETUP!$D$19:$D$121,0),5)),"")</f>
        <v/>
      </c>
      <c r="BL85" s="193" t="str" cm="1">
        <f t="array" ref="BL85">IF(E85&lt;&gt;"",IFERROR(INDEX(PMtbl[[WKst]:[Unit of measure*]],MATCH($A$8&amp;$A85&amp;$E85&amp;$I85,INDEX(PMtbl[Sec]&amp;PMtbl[Category]&amp;PMtbl[Each]&amp;PMtbl[Packaging],0,),0),11),""),"")</f>
        <v/>
      </c>
      <c r="BO85" s="12">
        <f>IF(N85="",0,IF(SETUP!$E$7="USD",((IF(O85="USD",P85,(P85/'Master Data-C19RM'!$C$2)))),((IF(O85="EUR",P85,(P85*'Master Data-C19RM'!$C$2))))))</f>
        <v>0</v>
      </c>
      <c r="BP85" s="12">
        <f>IF(N85="",0,IF(SETUP!$E$7="USD",((IF(O85="USD",W85,(W85/'Master Data-C19RM'!$D$2)))),((IF(O85="EUR",W85,(W85*'Master Data-C19RM'!$D$2))))))</f>
        <v>0</v>
      </c>
      <c r="BQ85">
        <f>IF(N85="",0,IF(SETUP!$E$7="USD",((IF(O85="USD",AD85,(AD85/'Master Data-C19RM'!$E$2)))),((IF(O85="EUR",AD85,(AD85*'Master Data-C19RM'!$E$2))))))</f>
        <v>0</v>
      </c>
      <c r="BR85">
        <f>IF(N85="",0,IF(SETUP!$E$7="USD",((IF(O85="USD",AK85,(AK85/'Master Data-C19RM'!$F$2)))),((IF(O85="EUR",AK85,(AK85*'Master Data-C19RM'!$F$2))))))</f>
        <v>0</v>
      </c>
      <c r="BS85">
        <f>IF(N85="",0,IF(SETUP!$E$7="USD",((IF(O85="USD",AR85,(AR85/'Master Data-C19RM'!$F$2)))),((IF(O85="EUR",AR85,(AR85*'Master Data-C19RM'!$G$2))))))</f>
        <v>0</v>
      </c>
      <c r="BT85">
        <f>IF(N85="",0,IF(SETUP!$E$7="USD",((IF(O85="USD",AY85,(AY85/'Master Data-C19RM'!$F$2)))),((IF(O85="EUR",AY85,(AY85*'Master Data-C19RM'!$H$2))))))</f>
        <v>0</v>
      </c>
      <c r="BU85" s="12">
        <f t="shared" si="3"/>
        <v>0</v>
      </c>
      <c r="BV85" s="142">
        <f t="shared" si="4"/>
        <v>0</v>
      </c>
    </row>
    <row r="86" spans="1:74" ht="14.9" customHeight="1" x14ac:dyDescent="0.35">
      <c r="A86" s="1172"/>
      <c r="B86" s="1172"/>
      <c r="C86" s="1172"/>
      <c r="D86" s="1172"/>
      <c r="E86" s="1172"/>
      <c r="F86" s="1172"/>
      <c r="G86" s="1172"/>
      <c r="H86" s="1172"/>
      <c r="I86" s="1173"/>
      <c r="J86" s="1173"/>
      <c r="K86" s="1173"/>
      <c r="L86" s="493" t="str" cm="1">
        <f t="array" ref="L86">IF(A86&lt;&gt;"",IFERROR(INDEX(PMtbl[[WKst]:[Unit of measure*]],MATCH($A$8&amp;$A86&amp;$E86&amp;$I86,INDEX(PMtbl[Sec]&amp;PMtbl[Category]&amp;PMtbl[Each]&amp;PMtbl[Packaging],0,),0),14),""),"")</f>
        <v/>
      </c>
      <c r="M86" s="480" t="str">
        <f>IF(L86="","",INDEX(SETUP!$E$20:$E$122,(MATCH(INDEX(PMsheet!$D:$E,MATCH(A86,PMsheet!E:E,0),1),SETUP!$D$20:$D$122,0))))</f>
        <v/>
      </c>
      <c r="N86" s="494">
        <f>IF($O86="USD",_xlfn.IFNA(VLOOKUP(A86&amp;E86&amp;I86,PMsheet!J:K,2,0),0),(_xlfn.IFNA(VLOOKUP(A86&amp;E86&amp;I86,PMsheet!J:K,2,0),0)*'Master Data-C19RM'!$C$2))</f>
        <v>0</v>
      </c>
      <c r="O86" s="495" t="str">
        <f>IF(L86="", "",SETUP!$E$7)</f>
        <v/>
      </c>
      <c r="P86" s="445">
        <f>IF($O86="USD",_xlfn.IFNA(VLOOKUP($A86&amp;$E86&amp;$I86,PMsheet!$J:$K,2,0),0),(_xlfn.IFNA(VLOOKUP($A86&amp;$E86&amp;$I86,PMsheet!$J:$K,2,0),0)*'Master Data-C19RM'!$C$2))</f>
        <v>0</v>
      </c>
      <c r="Q86" s="440"/>
      <c r="R86" s="440"/>
      <c r="S86" s="440"/>
      <c r="T86" s="440"/>
      <c r="U86" s="482">
        <f>SUM('C19RM 2021-Pharma'!$Q86:$T86)</f>
        <v>0</v>
      </c>
      <c r="V86" s="484">
        <f>IF(SETUP!$E$7="USD",(U86*(IF(O86="USD",P86,(P86/'Master Data-C19RM'!$C$2)))),(U86*(IF(O86="EUR",P86,(P86*'Master Data-C19RM'!$C$2)))))</f>
        <v>0</v>
      </c>
      <c r="W86" s="445">
        <f>IF($O86="USD",_xlfn.IFNA(VLOOKUP($A86&amp;$E86&amp;$I86,PMsheet!$J:$K,2,0),0),(_xlfn.IFNA(VLOOKUP($A86&amp;$E86&amp;$I86,PMsheet!$J:$K,2,0),0)*'Master Data-C19RM'!$D$2))</f>
        <v>0</v>
      </c>
      <c r="X86" s="440"/>
      <c r="Y86" s="440"/>
      <c r="Z86" s="440"/>
      <c r="AA86" s="440"/>
      <c r="AB86" s="482">
        <f>SUM('C19RM 2021-Pharma'!$X86:$AA86)</f>
        <v>0</v>
      </c>
      <c r="AC86" s="484">
        <f>IF(SETUP!$E$7="USD",(AB86*(IF(O86="USD",W86,(W86/'Master Data-C19RM'!$D$2)))),(AB86*(IF(O86="EUR",W86,(W86*'Master Data-C19RM'!$D$2)))))</f>
        <v>0</v>
      </c>
      <c r="AD86" s="445">
        <f>IF($O86="USD",_xlfn.IFNA(VLOOKUP($A86&amp;$E86&amp;$I86,PMsheet!$J:$K,2,0),0),(_xlfn.IFNA(VLOOKUP($A86&amp;$E86&amp;$I86,PMsheet!$J:$K,2,0),0)*'Master Data-C19RM'!$E$2))</f>
        <v>0</v>
      </c>
      <c r="AE86" s="440"/>
      <c r="AF86" s="440"/>
      <c r="AG86" s="440"/>
      <c r="AH86" s="440"/>
      <c r="AI86" s="482">
        <f>SUM('C19RM 2021-Pharma'!$AE86:$AH86)</f>
        <v>0</v>
      </c>
      <c r="AJ86" s="484">
        <f>IF(SETUP!$E$7="USD",(AI86*(IF(O86="USD",AD86,(AD86/'Master Data-C19RM'!$E$2)))),(AI86*(IF(O86="EUR",AD86,(AD86*'Master Data-C19RM'!$E$2)))))</f>
        <v>0</v>
      </c>
      <c r="AK86" s="445">
        <f>IF($O86="USD",_xlfn.IFNA(VLOOKUP($A86&amp;$E86&amp;$I86,PMsheet!$J:$K,2,0),0),(_xlfn.IFNA(VLOOKUP($A86&amp;$E86&amp;$I86,PMsheet!$J:$K,2,0),0)*'Master Data-C19RM'!$F$2))</f>
        <v>0</v>
      </c>
      <c r="AL86" s="440"/>
      <c r="AM86" s="440"/>
      <c r="AN86" s="440"/>
      <c r="AO86" s="440"/>
      <c r="AP86" s="482">
        <f>SUM('C19RM 2021-Pharma'!$AL86:$AO86)</f>
        <v>0</v>
      </c>
      <c r="AQ86" s="484">
        <f>IF(SETUP!$E$7="USD",(AP86*(IF(O86="USD",AK86,(AK86/'Master Data-C19RM'!$F$2)))),(AP86*(IF(O86="EUR",AK86,(AK86*'Master Data-C19RM'!$F$2)))))</f>
        <v>0</v>
      </c>
      <c r="AR86" s="445">
        <f>IF($O86="USD",_xlfn.IFNA(VLOOKUP($A86&amp;$E86&amp;$I86,PMsheet!$J:$K,2,0),0),(_xlfn.IFNA(VLOOKUP($A86&amp;$E86&amp;$I86,PMsheet!$J:$K,2,0),0)*'Master Data-C19RM'!$G$2))</f>
        <v>0</v>
      </c>
      <c r="AS86" s="440"/>
      <c r="AT86" s="440"/>
      <c r="AU86" s="440"/>
      <c r="AV86" s="440"/>
      <c r="AW86" s="482">
        <f>SUM('C19RM 2021-Pharma'!$AS86:$AV86)</f>
        <v>0</v>
      </c>
      <c r="AX86" s="484">
        <f>IF(SETUP!$E$7="USD",(AW86*(IF(O86="USD",AR86,(AR86/'Master Data-C19RM'!$G$2)))),(AW86*(IF(O86="EUR",AR86,(AR86*'Master Data-C19RM'!$G$2)))))</f>
        <v>0</v>
      </c>
      <c r="AY86" s="889"/>
      <c r="AZ86" s="884"/>
      <c r="BA86" s="884"/>
      <c r="BB86" s="884"/>
      <c r="BC86" s="884"/>
      <c r="BD86" s="884"/>
      <c r="BE86" s="885"/>
      <c r="BF86" s="504">
        <f>'C19RM 2021-Pharma'!$U86+'C19RM 2021-Pharma'!$AB86+'C19RM 2021-Pharma'!$AP86+'C19RM 2021-Pharma'!$AI86+$AW86+$BD86</f>
        <v>0</v>
      </c>
      <c r="BG86" s="484">
        <f>'C19RM 2021-Pharma'!$V86+'C19RM 2021-Pharma'!$AC86+'C19RM 2021-Pharma'!$AQ86+'C19RM 2021-Pharma'!$AJ86+$AX86+$BE86</f>
        <v>0</v>
      </c>
      <c r="BH86" s="499" t="str" cm="1">
        <f t="array" ref="BH86">IF(A86&lt;&gt;"",IFERROR(INDEX(PMtbl[[WKst]:[Unit of measure*]],MATCH($A$8&amp;$A86&amp;$E86&amp;$I86,INDEX(PMtbl[Sec]&amp;PMtbl[Category]&amp;PMtbl[Each]&amp;PMtbl[Packaging],0,),0),11),""),"")</f>
        <v/>
      </c>
      <c r="BI86" s="818"/>
      <c r="BJ86" s="503" t="str">
        <f>IFERROR(INDEX(SETUP!$C$19:$G$121,MATCH((INDEX(PMtbl[[WKst]:[Unit of measure*]],MATCH($A86&amp;$E86&amp;$I86,INDEX(PMtbl[Category]&amp;PMtbl[Each]&amp;PMtbl[Packaging],0,),0),3)),SETUP!$D$19:$D$121,0),5),"")</f>
        <v/>
      </c>
      <c r="BK86" s="439" t="str">
        <f>IFERROR(IF((INDEX(SETUP!$C$19:$G$121,MATCH((INDEX(PMtbl[[WKst]:[Unit of measure*]],MATCH($A86&amp;$E86&amp;$I86,INDEX(PMtbl[Category]&amp;PMtbl[Each]&amp;PMtbl[Packaging],0,),0),3)),SETUP!$D$19:$D$121,0),4))="Upfront",0,INDEX(SETUP!$C$19:$G$121,MATCH((INDEX(PMtbl[[WKst]:[Unit of measure*]],MATCH($A86&amp;$E86&amp;$I86,INDEX(PMtbl[Category]&amp;PMtbl[Each]&amp;PMtbl[Packaging],0,),0),3)),SETUP!$D$19:$D$121,0),5)),"")</f>
        <v/>
      </c>
      <c r="BL86" s="194" t="str" cm="1">
        <f t="array" ref="BL86">IF(E86&lt;&gt;"",IFERROR(INDEX(PMtbl[[WKst]:[Unit of measure*]],MATCH($A$8&amp;$A86&amp;$E86&amp;$I86,INDEX(PMtbl[Sec]&amp;PMtbl[Category]&amp;PMtbl[Each]&amp;PMtbl[Packaging],0,),0),11),""),"")</f>
        <v/>
      </c>
      <c r="BO86" s="12">
        <f>IF(N86="",0,IF(SETUP!$E$7="USD",((IF(O86="USD",P86,(P86/'Master Data-C19RM'!$C$2)))),((IF(O86="EUR",P86,(P86*'Master Data-C19RM'!$C$2))))))</f>
        <v>0</v>
      </c>
      <c r="BP86" s="12">
        <f>IF(N86="",0,IF(SETUP!$E$7="USD",((IF(O86="USD",W86,(W86/'Master Data-C19RM'!$D$2)))),((IF(O86="EUR",W86,(W86*'Master Data-C19RM'!$D$2))))))</f>
        <v>0</v>
      </c>
      <c r="BQ86">
        <f>IF(N86="",0,IF(SETUP!$E$7="USD",((IF(O86="USD",AD86,(AD86/'Master Data-C19RM'!$E$2)))),((IF(O86="EUR",AD86,(AD86*'Master Data-C19RM'!$E$2))))))</f>
        <v>0</v>
      </c>
      <c r="BR86">
        <f>IF(N86="",0,IF(SETUP!$E$7="USD",((IF(O86="USD",AK86,(AK86/'Master Data-C19RM'!$F$2)))),((IF(O86="EUR",AK86,(AK86*'Master Data-C19RM'!$F$2))))))</f>
        <v>0</v>
      </c>
      <c r="BS86">
        <f>IF(N86="",0,IF(SETUP!$E$7="USD",((IF(O86="USD",AR86,(AR86/'Master Data-C19RM'!$F$2)))),((IF(O86="EUR",AR86,(AR86*'Master Data-C19RM'!$G$2))))))</f>
        <v>0</v>
      </c>
      <c r="BT86">
        <f>IF(N86="",0,IF(SETUP!$E$7="USD",((IF(O86="USD",AY86,(AY86/'Master Data-C19RM'!$F$2)))),((IF(O86="EUR",AY86,(AY86*'Master Data-C19RM'!$H$2))))))</f>
        <v>0</v>
      </c>
      <c r="BU86" s="12">
        <f t="shared" si="3"/>
        <v>0</v>
      </c>
      <c r="BV86" s="142">
        <f t="shared" si="4"/>
        <v>0</v>
      </c>
    </row>
    <row r="87" spans="1:74" ht="14.9" customHeight="1" x14ac:dyDescent="0.35">
      <c r="A87" s="1165"/>
      <c r="B87" s="1165"/>
      <c r="C87" s="1165"/>
      <c r="D87" s="1165"/>
      <c r="E87" s="1166"/>
      <c r="F87" s="1166"/>
      <c r="G87" s="1166"/>
      <c r="H87" s="1166"/>
      <c r="I87" s="1166"/>
      <c r="J87" s="1166"/>
      <c r="K87" s="1166"/>
      <c r="L87" s="490" t="str" cm="1">
        <f t="array" ref="L87">IF(A87&lt;&gt;"",IFERROR(INDEX(PMtbl[[WKst]:[Unit of measure*]],MATCH($A$8&amp;$A87&amp;$E87&amp;$I87,INDEX(PMtbl[Sec]&amp;PMtbl[Category]&amp;PMtbl[Each]&amp;PMtbl[Packaging],0,),0),14),""),"")</f>
        <v/>
      </c>
      <c r="M87" s="479" t="str">
        <f>IF(L87="","",INDEX(SETUP!$E$20:$E$122,(MATCH(INDEX(PMsheet!$D:$E,MATCH(A87,PMsheet!E:E,0),1),SETUP!$D$20:$D$122,0))))</f>
        <v/>
      </c>
      <c r="N87" s="491">
        <f>IF($O87="USD",_xlfn.IFNA(VLOOKUP(A87&amp;E87&amp;I87,PMsheet!J:K,2,0),0),(_xlfn.IFNA(VLOOKUP(A87&amp;E87&amp;I87,PMsheet!J:K,2,0),0)*'Master Data-C19RM'!$C$2))</f>
        <v>0</v>
      </c>
      <c r="O87" s="492" t="str">
        <f>IF(L87="", "",SETUP!$E$7)</f>
        <v/>
      </c>
      <c r="P87" s="444">
        <f>IF($O87="USD",_xlfn.IFNA(VLOOKUP($A87&amp;$E87&amp;$I87,PMsheet!$J:$K,2,0),0),(_xlfn.IFNA(VLOOKUP($A87&amp;$E87&amp;$I87,PMsheet!$J:$K,2,0),0)*'Master Data-C19RM'!$C$2))</f>
        <v>0</v>
      </c>
      <c r="Q87" s="441"/>
      <c r="R87" s="441"/>
      <c r="S87" s="441"/>
      <c r="T87" s="441"/>
      <c r="U87" s="481">
        <f>SUM('C19RM 2021-Pharma'!$Q87:$T87)</f>
        <v>0</v>
      </c>
      <c r="V87" s="483">
        <f>IF(SETUP!$E$7="USD",(U87*(IF(O87="USD",P87,(P87/'Master Data-C19RM'!$C$2)))),(U87*(IF(O87="EUR",P87,(P87*'Master Data-C19RM'!$C$2)))))</f>
        <v>0</v>
      </c>
      <c r="W87" s="444">
        <f>IF($O87="USD",_xlfn.IFNA(VLOOKUP($A87&amp;$E87&amp;$I87,PMsheet!$J:$K,2,0),0),(_xlfn.IFNA(VLOOKUP($A87&amp;$E87&amp;$I87,PMsheet!$J:$K,2,0),0)*'Master Data-C19RM'!$D$2))</f>
        <v>0</v>
      </c>
      <c r="X87" s="441"/>
      <c r="Y87" s="441"/>
      <c r="Z87" s="441"/>
      <c r="AA87" s="441"/>
      <c r="AB87" s="481">
        <f>SUM('C19RM 2021-Pharma'!$X87:$AA87)</f>
        <v>0</v>
      </c>
      <c r="AC87" s="483">
        <f>IF(SETUP!$E$7="USD",(AB87*(IF(O87="USD",W87,(W87/'Master Data-C19RM'!$D$2)))),(AB87*(IF(O87="EUR",W87,(W87*'Master Data-C19RM'!$D$2)))))</f>
        <v>0</v>
      </c>
      <c r="AD87" s="444">
        <f>IF($O87="USD",_xlfn.IFNA(VLOOKUP($A87&amp;$E87&amp;$I87,PMsheet!$J:$K,2,0),0),(_xlfn.IFNA(VLOOKUP($A87&amp;$E87&amp;$I87,PMsheet!$J:$K,2,0),0)*'Master Data-C19RM'!$E$2))</f>
        <v>0</v>
      </c>
      <c r="AE87" s="441"/>
      <c r="AF87" s="441"/>
      <c r="AG87" s="441"/>
      <c r="AH87" s="441"/>
      <c r="AI87" s="481">
        <f>SUM('C19RM 2021-Pharma'!$AE87:$AH87)</f>
        <v>0</v>
      </c>
      <c r="AJ87" s="483">
        <f>IF(SETUP!$E$7="USD",(AI87*(IF(O87="USD",AD87,(AD87/'Master Data-C19RM'!$E$2)))),(AI87*(IF(O87="EUR",AD87,(AD87*'Master Data-C19RM'!$E$2)))))</f>
        <v>0</v>
      </c>
      <c r="AK87" s="444">
        <f>IF($O87="USD",_xlfn.IFNA(VLOOKUP($A87&amp;$E87&amp;$I87,PMsheet!$J:$K,2,0),0),(_xlfn.IFNA(VLOOKUP($A87&amp;$E87&amp;$I87,PMsheet!$J:$K,2,0),0)*'Master Data-C19RM'!$F$2))</f>
        <v>0</v>
      </c>
      <c r="AL87" s="441"/>
      <c r="AM87" s="441"/>
      <c r="AN87" s="441"/>
      <c r="AO87" s="441"/>
      <c r="AP87" s="481">
        <f>SUM('C19RM 2021-Pharma'!$AL87:$AO87)</f>
        <v>0</v>
      </c>
      <c r="AQ87" s="483">
        <f>IF(SETUP!$E$7="USD",(AP87*(IF(O87="USD",AK87,(AK87/'Master Data-C19RM'!$F$2)))),(AP87*(IF(O87="EUR",AK87,(AK87*'Master Data-C19RM'!$F$2)))))</f>
        <v>0</v>
      </c>
      <c r="AR87" s="444">
        <f>IF($O87="USD",_xlfn.IFNA(VLOOKUP($A87&amp;$E87&amp;$I87,PMsheet!$J:$K,2,0),0),(_xlfn.IFNA(VLOOKUP($A87&amp;$E87&amp;$I87,PMsheet!$J:$K,2,0),0)*'Master Data-C19RM'!$G$2))</f>
        <v>0</v>
      </c>
      <c r="AS87" s="441"/>
      <c r="AT87" s="441"/>
      <c r="AU87" s="441"/>
      <c r="AV87" s="441"/>
      <c r="AW87" s="481">
        <f>SUM('C19RM 2021-Pharma'!$AS87:$AV87)</f>
        <v>0</v>
      </c>
      <c r="AX87" s="483">
        <f>IF(SETUP!$E$7="USD",(AW87*(IF(O87="USD",AR87,(AR87/'Master Data-C19RM'!$G$2)))),(AW87*(IF(O87="EUR",AR87,(AR87*'Master Data-C19RM'!$G$2)))))</f>
        <v>0</v>
      </c>
      <c r="AY87" s="886"/>
      <c r="AZ87" s="887"/>
      <c r="BA87" s="887"/>
      <c r="BB87" s="887"/>
      <c r="BC87" s="887"/>
      <c r="BD87" s="887"/>
      <c r="BE87" s="888"/>
      <c r="BF87" s="505">
        <f>'C19RM 2021-Pharma'!$U87+'C19RM 2021-Pharma'!$AB87+'C19RM 2021-Pharma'!$AP87+'C19RM 2021-Pharma'!$AI87+$AW87+$BD87</f>
        <v>0</v>
      </c>
      <c r="BG87" s="483">
        <f>'C19RM 2021-Pharma'!$V87+'C19RM 2021-Pharma'!$AC87+'C19RM 2021-Pharma'!$AQ87+'C19RM 2021-Pharma'!$AJ87+$AX87+$BE87</f>
        <v>0</v>
      </c>
      <c r="BH87" s="500" t="str" cm="1">
        <f t="array" ref="BH87">IF(A87&lt;&gt;"",IFERROR(INDEX(PMtbl[[WKst]:[Unit of measure*]],MATCH($A$8&amp;$A87&amp;$E87&amp;$I87,INDEX(PMtbl[Sec]&amp;PMtbl[Category]&amp;PMtbl[Each]&amp;PMtbl[Packaging],0,),0),11),""),"")</f>
        <v/>
      </c>
      <c r="BI87" s="819"/>
      <c r="BJ87" s="502" t="str">
        <f>IFERROR(INDEX(SETUP!$C$19:$G$121,MATCH((INDEX(PMtbl[[WKst]:[Unit of measure*]],MATCH($A87&amp;$E87&amp;$I87,INDEX(PMtbl[Category]&amp;PMtbl[Each]&amp;PMtbl[Packaging],0,),0),3)),SETUP!$D$19:$D$121,0),5),"")</f>
        <v/>
      </c>
      <c r="BK87" s="438" t="str">
        <f>IFERROR(IF((INDEX(SETUP!$C$19:$G$121,MATCH((INDEX(PMtbl[[WKst]:[Unit of measure*]],MATCH($A87&amp;$E87&amp;$I87,INDEX(PMtbl[Category]&amp;PMtbl[Each]&amp;PMtbl[Packaging],0,),0),3)),SETUP!$D$19:$D$121,0),4))="Upfront",0,INDEX(SETUP!$C$19:$G$121,MATCH((INDEX(PMtbl[[WKst]:[Unit of measure*]],MATCH($A87&amp;$E87&amp;$I87,INDEX(PMtbl[Category]&amp;PMtbl[Each]&amp;PMtbl[Packaging],0,),0),3)),SETUP!$D$19:$D$121,0),5)),"")</f>
        <v/>
      </c>
      <c r="BL87" s="193" t="str" cm="1">
        <f t="array" ref="BL87">IF(E87&lt;&gt;"",IFERROR(INDEX(PMtbl[[WKst]:[Unit of measure*]],MATCH($A$8&amp;$A87&amp;$E87&amp;$I87,INDEX(PMtbl[Sec]&amp;PMtbl[Category]&amp;PMtbl[Each]&amp;PMtbl[Packaging],0,),0),11),""),"")</f>
        <v/>
      </c>
      <c r="BO87" s="12">
        <f>IF(N87="",0,IF(SETUP!$E$7="USD",((IF(O87="USD",P87,(P87/'Master Data-C19RM'!$C$2)))),((IF(O87="EUR",P87,(P87*'Master Data-C19RM'!$C$2))))))</f>
        <v>0</v>
      </c>
      <c r="BP87" s="12">
        <f>IF(N87="",0,IF(SETUP!$E$7="USD",((IF(O87="USD",W87,(W87/'Master Data-C19RM'!$D$2)))),((IF(O87="EUR",W87,(W87*'Master Data-C19RM'!$D$2))))))</f>
        <v>0</v>
      </c>
      <c r="BQ87">
        <f>IF(N87="",0,IF(SETUP!$E$7="USD",((IF(O87="USD",AD87,(AD87/'Master Data-C19RM'!$E$2)))),((IF(O87="EUR",AD87,(AD87*'Master Data-C19RM'!$E$2))))))</f>
        <v>0</v>
      </c>
      <c r="BR87">
        <f>IF(N87="",0,IF(SETUP!$E$7="USD",((IF(O87="USD",AK87,(AK87/'Master Data-C19RM'!$F$2)))),((IF(O87="EUR",AK87,(AK87*'Master Data-C19RM'!$F$2))))))</f>
        <v>0</v>
      </c>
      <c r="BS87">
        <f>IF(N87="",0,IF(SETUP!$E$7="USD",((IF(O87="USD",AR87,(AR87/'Master Data-C19RM'!$F$2)))),((IF(O87="EUR",AR87,(AR87*'Master Data-C19RM'!$G$2))))))</f>
        <v>0</v>
      </c>
      <c r="BT87">
        <f>IF(N87="",0,IF(SETUP!$E$7="USD",((IF(O87="USD",AY87,(AY87/'Master Data-C19RM'!$F$2)))),((IF(O87="EUR",AY87,(AY87*'Master Data-C19RM'!$H$2))))))</f>
        <v>0</v>
      </c>
      <c r="BU87" s="12">
        <f t="shared" si="3"/>
        <v>0</v>
      </c>
      <c r="BV87" s="142">
        <f t="shared" si="4"/>
        <v>0</v>
      </c>
    </row>
    <row r="88" spans="1:74" ht="14.9" customHeight="1" x14ac:dyDescent="0.35">
      <c r="A88" s="1172"/>
      <c r="B88" s="1172"/>
      <c r="C88" s="1172"/>
      <c r="D88" s="1172"/>
      <c r="E88" s="1172"/>
      <c r="F88" s="1172"/>
      <c r="G88" s="1172"/>
      <c r="H88" s="1172"/>
      <c r="I88" s="1173"/>
      <c r="J88" s="1173"/>
      <c r="K88" s="1173"/>
      <c r="L88" s="493" t="str" cm="1">
        <f t="array" ref="L88">IF(A88&lt;&gt;"",IFERROR(INDEX(PMtbl[[WKst]:[Unit of measure*]],MATCH($A$8&amp;$A88&amp;$E88&amp;$I88,INDEX(PMtbl[Sec]&amp;PMtbl[Category]&amp;PMtbl[Each]&amp;PMtbl[Packaging],0,),0),14),""),"")</f>
        <v/>
      </c>
      <c r="M88" s="480" t="str">
        <f>IF(L88="","",INDEX(SETUP!$E$20:$E$122,(MATCH(INDEX(PMsheet!$D:$E,MATCH(A88,PMsheet!E:E,0),1),SETUP!$D$20:$D$122,0))))</f>
        <v/>
      </c>
      <c r="N88" s="494">
        <f>IF($O88="USD",_xlfn.IFNA(VLOOKUP(A88&amp;E88&amp;I88,PMsheet!J:K,2,0),0),(_xlfn.IFNA(VLOOKUP(A88&amp;E88&amp;I88,PMsheet!J:K,2,0),0)*'Master Data-C19RM'!$C$2))</f>
        <v>0</v>
      </c>
      <c r="O88" s="495" t="str">
        <f>IF(L88="", "",SETUP!$E$7)</f>
        <v/>
      </c>
      <c r="P88" s="445">
        <f>IF($O88="USD",_xlfn.IFNA(VLOOKUP($A88&amp;$E88&amp;$I88,PMsheet!$J:$K,2,0),0),(_xlfn.IFNA(VLOOKUP($A88&amp;$E88&amp;$I88,PMsheet!$J:$K,2,0),0)*'Master Data-C19RM'!$C$2))</f>
        <v>0</v>
      </c>
      <c r="Q88" s="440"/>
      <c r="R88" s="440"/>
      <c r="S88" s="440"/>
      <c r="T88" s="440"/>
      <c r="U88" s="482">
        <f>SUM('C19RM 2021-Pharma'!$Q88:$T88)</f>
        <v>0</v>
      </c>
      <c r="V88" s="484">
        <f>IF(SETUP!$E$7="USD",(U88*(IF(O88="USD",P88,(P88/'Master Data-C19RM'!$C$2)))),(U88*(IF(O88="EUR",P88,(P88*'Master Data-C19RM'!$C$2)))))</f>
        <v>0</v>
      </c>
      <c r="W88" s="445">
        <f>IF($O88="USD",_xlfn.IFNA(VLOOKUP($A88&amp;$E88&amp;$I88,PMsheet!$J:$K,2,0),0),(_xlfn.IFNA(VLOOKUP($A88&amp;$E88&amp;$I88,PMsheet!$J:$K,2,0),0)*'Master Data-C19RM'!$D$2))</f>
        <v>0</v>
      </c>
      <c r="X88" s="440"/>
      <c r="Y88" s="440"/>
      <c r="Z88" s="440"/>
      <c r="AA88" s="440"/>
      <c r="AB88" s="482">
        <f>SUM('C19RM 2021-Pharma'!$X88:$AA88)</f>
        <v>0</v>
      </c>
      <c r="AC88" s="484">
        <f>IF(SETUP!$E$7="USD",(AB88*(IF(O88="USD",W88,(W88/'Master Data-C19RM'!$D$2)))),(AB88*(IF(O88="EUR",W88,(W88*'Master Data-C19RM'!$D$2)))))</f>
        <v>0</v>
      </c>
      <c r="AD88" s="445">
        <f>IF($O88="USD",_xlfn.IFNA(VLOOKUP($A88&amp;$E88&amp;$I88,PMsheet!$J:$K,2,0),0),(_xlfn.IFNA(VLOOKUP($A88&amp;$E88&amp;$I88,PMsheet!$J:$K,2,0),0)*'Master Data-C19RM'!$E$2))</f>
        <v>0</v>
      </c>
      <c r="AE88" s="440"/>
      <c r="AF88" s="440"/>
      <c r="AG88" s="440"/>
      <c r="AH88" s="440"/>
      <c r="AI88" s="482">
        <f>SUM('C19RM 2021-Pharma'!$AE88:$AH88)</f>
        <v>0</v>
      </c>
      <c r="AJ88" s="484">
        <f>IF(SETUP!$E$7="USD",(AI88*(IF(O88="USD",AD88,(AD88/'Master Data-C19RM'!$E$2)))),(AI88*(IF(O88="EUR",AD88,(AD88*'Master Data-C19RM'!$E$2)))))</f>
        <v>0</v>
      </c>
      <c r="AK88" s="445">
        <f>IF($O88="USD",_xlfn.IFNA(VLOOKUP($A88&amp;$E88&amp;$I88,PMsheet!$J:$K,2,0),0),(_xlfn.IFNA(VLOOKUP($A88&amp;$E88&amp;$I88,PMsheet!$J:$K,2,0),0)*'Master Data-C19RM'!$F$2))</f>
        <v>0</v>
      </c>
      <c r="AL88" s="440"/>
      <c r="AM88" s="440"/>
      <c r="AN88" s="440"/>
      <c r="AO88" s="440"/>
      <c r="AP88" s="482">
        <f>SUM('C19RM 2021-Pharma'!$AL88:$AO88)</f>
        <v>0</v>
      </c>
      <c r="AQ88" s="484">
        <f>IF(SETUP!$E$7="USD",(AP88*(IF(O88="USD",AK88,(AK88/'Master Data-C19RM'!$F$2)))),(AP88*(IF(O88="EUR",AK88,(AK88*'Master Data-C19RM'!$F$2)))))</f>
        <v>0</v>
      </c>
      <c r="AR88" s="445">
        <f>IF($O88="USD",_xlfn.IFNA(VLOOKUP($A88&amp;$E88&amp;$I88,PMsheet!$J:$K,2,0),0),(_xlfn.IFNA(VLOOKUP($A88&amp;$E88&amp;$I88,PMsheet!$J:$K,2,0),0)*'Master Data-C19RM'!$G$2))</f>
        <v>0</v>
      </c>
      <c r="AS88" s="440"/>
      <c r="AT88" s="440"/>
      <c r="AU88" s="440"/>
      <c r="AV88" s="440"/>
      <c r="AW88" s="482">
        <f>SUM('C19RM 2021-Pharma'!$AS88:$AV88)</f>
        <v>0</v>
      </c>
      <c r="AX88" s="484">
        <f>IF(SETUP!$E$7="USD",(AW88*(IF(O88="USD",AR88,(AR88/'Master Data-C19RM'!$G$2)))),(AW88*(IF(O88="EUR",AR88,(AR88*'Master Data-C19RM'!$G$2)))))</f>
        <v>0</v>
      </c>
      <c r="AY88" s="889"/>
      <c r="AZ88" s="884"/>
      <c r="BA88" s="884"/>
      <c r="BB88" s="884"/>
      <c r="BC88" s="884"/>
      <c r="BD88" s="884"/>
      <c r="BE88" s="885"/>
      <c r="BF88" s="504">
        <f>'C19RM 2021-Pharma'!$U88+'C19RM 2021-Pharma'!$AB88+'C19RM 2021-Pharma'!$AP88+'C19RM 2021-Pharma'!$AI88+$AW88+$BD88</f>
        <v>0</v>
      </c>
      <c r="BG88" s="484">
        <f>'C19RM 2021-Pharma'!$V88+'C19RM 2021-Pharma'!$AC88+'C19RM 2021-Pharma'!$AQ88+'C19RM 2021-Pharma'!$AJ88+$AX88+$BE88</f>
        <v>0</v>
      </c>
      <c r="BH88" s="499" t="str" cm="1">
        <f t="array" ref="BH88">IF(A88&lt;&gt;"",IFERROR(INDEX(PMtbl[[WKst]:[Unit of measure*]],MATCH($A$8&amp;$A88&amp;$E88&amp;$I88,INDEX(PMtbl[Sec]&amp;PMtbl[Category]&amp;PMtbl[Each]&amp;PMtbl[Packaging],0,),0),11),""),"")</f>
        <v/>
      </c>
      <c r="BI88" s="818"/>
      <c r="BJ88" s="503" t="str">
        <f>IFERROR(INDEX(SETUP!$C$19:$G$121,MATCH((INDEX(PMtbl[[WKst]:[Unit of measure*]],MATCH($A88&amp;$E88&amp;$I88,INDEX(PMtbl[Category]&amp;PMtbl[Each]&amp;PMtbl[Packaging],0,),0),3)),SETUP!$D$19:$D$121,0),5),"")</f>
        <v/>
      </c>
      <c r="BK88" s="439" t="str">
        <f>IFERROR(IF((INDEX(SETUP!$C$19:$G$121,MATCH((INDEX(PMtbl[[WKst]:[Unit of measure*]],MATCH($A88&amp;$E88&amp;$I88,INDEX(PMtbl[Category]&amp;PMtbl[Each]&amp;PMtbl[Packaging],0,),0),3)),SETUP!$D$19:$D$121,0),4))="Upfront",0,INDEX(SETUP!$C$19:$G$121,MATCH((INDEX(PMtbl[[WKst]:[Unit of measure*]],MATCH($A88&amp;$E88&amp;$I88,INDEX(PMtbl[Category]&amp;PMtbl[Each]&amp;PMtbl[Packaging],0,),0),3)),SETUP!$D$19:$D$121,0),5)),"")</f>
        <v/>
      </c>
      <c r="BL88" s="194" t="str" cm="1">
        <f t="array" ref="BL88">IF(E88&lt;&gt;"",IFERROR(INDEX(PMtbl[[WKst]:[Unit of measure*]],MATCH($A$8&amp;$A88&amp;$E88&amp;$I88,INDEX(PMtbl[Sec]&amp;PMtbl[Category]&amp;PMtbl[Each]&amp;PMtbl[Packaging],0,),0),11),""),"")</f>
        <v/>
      </c>
      <c r="BO88" s="12">
        <f>IF(N88="",0,IF(SETUP!$E$7="USD",((IF(O88="USD",P88,(P88/'Master Data-C19RM'!$C$2)))),((IF(O88="EUR",P88,(P88*'Master Data-C19RM'!$C$2))))))</f>
        <v>0</v>
      </c>
      <c r="BP88" s="12">
        <f>IF(N88="",0,IF(SETUP!$E$7="USD",((IF(O88="USD",W88,(W88/'Master Data-C19RM'!$D$2)))),((IF(O88="EUR",W88,(W88*'Master Data-C19RM'!$D$2))))))</f>
        <v>0</v>
      </c>
      <c r="BQ88">
        <f>IF(N88="",0,IF(SETUP!$E$7="USD",((IF(O88="USD",AD88,(AD88/'Master Data-C19RM'!$E$2)))),((IF(O88="EUR",AD88,(AD88*'Master Data-C19RM'!$E$2))))))</f>
        <v>0</v>
      </c>
      <c r="BR88">
        <f>IF(N88="",0,IF(SETUP!$E$7="USD",((IF(O88="USD",AK88,(AK88/'Master Data-C19RM'!$F$2)))),((IF(O88="EUR",AK88,(AK88*'Master Data-C19RM'!$F$2))))))</f>
        <v>0</v>
      </c>
      <c r="BS88">
        <f>IF(N88="",0,IF(SETUP!$E$7="USD",((IF(O88="USD",AR88,(AR88/'Master Data-C19RM'!$F$2)))),((IF(O88="EUR",AR88,(AR88*'Master Data-C19RM'!$G$2))))))</f>
        <v>0</v>
      </c>
      <c r="BT88">
        <f>IF(N88="",0,IF(SETUP!$E$7="USD",((IF(O88="USD",AY88,(AY88/'Master Data-C19RM'!$F$2)))),((IF(O88="EUR",AY88,(AY88*'Master Data-C19RM'!$H$2))))))</f>
        <v>0</v>
      </c>
      <c r="BU88" s="12">
        <f t="shared" si="3"/>
        <v>0</v>
      </c>
      <c r="BV88" s="142">
        <f t="shared" si="4"/>
        <v>0</v>
      </c>
    </row>
    <row r="89" spans="1:74" ht="14.9" customHeight="1" x14ac:dyDescent="0.35">
      <c r="A89" s="1165"/>
      <c r="B89" s="1165"/>
      <c r="C89" s="1165"/>
      <c r="D89" s="1165"/>
      <c r="E89" s="1166"/>
      <c r="F89" s="1166"/>
      <c r="G89" s="1166"/>
      <c r="H89" s="1166"/>
      <c r="I89" s="1166"/>
      <c r="J89" s="1166"/>
      <c r="K89" s="1166"/>
      <c r="L89" s="490" t="str" cm="1">
        <f t="array" ref="L89">IF(A89&lt;&gt;"",IFERROR(INDEX(PMtbl[[WKst]:[Unit of measure*]],MATCH($A$8&amp;$A89&amp;$E89&amp;$I89,INDEX(PMtbl[Sec]&amp;PMtbl[Category]&amp;PMtbl[Each]&amp;PMtbl[Packaging],0,),0),14),""),"")</f>
        <v/>
      </c>
      <c r="M89" s="479" t="str">
        <f>IF(L89="","",INDEX(SETUP!$E$20:$E$122,(MATCH(INDEX(PMsheet!$D:$E,MATCH(A89,PMsheet!E:E,0),1),SETUP!$D$20:$D$122,0))))</f>
        <v/>
      </c>
      <c r="N89" s="491">
        <f>IF($O89="USD",_xlfn.IFNA(VLOOKUP(A89&amp;E89&amp;I89,PMsheet!J:K,2,0),0),(_xlfn.IFNA(VLOOKUP(A89&amp;E89&amp;I89,PMsheet!J:K,2,0),0)*'Master Data-C19RM'!$C$2))</f>
        <v>0</v>
      </c>
      <c r="O89" s="492" t="str">
        <f>IF(L89="", "",SETUP!$E$7)</f>
        <v/>
      </c>
      <c r="P89" s="444">
        <f>IF($O89="USD",_xlfn.IFNA(VLOOKUP($A89&amp;$E89&amp;$I89,PMsheet!$J:$K,2,0),0),(_xlfn.IFNA(VLOOKUP($A89&amp;$E89&amp;$I89,PMsheet!$J:$K,2,0),0)*'Master Data-C19RM'!$C$2))</f>
        <v>0</v>
      </c>
      <c r="Q89" s="441"/>
      <c r="R89" s="441"/>
      <c r="S89" s="441"/>
      <c r="T89" s="441"/>
      <c r="U89" s="481">
        <f>SUM('C19RM 2021-Pharma'!$Q89:$T89)</f>
        <v>0</v>
      </c>
      <c r="V89" s="483">
        <f>IF(SETUP!$E$7="USD",(U89*(IF(O89="USD",P89,(P89/'Master Data-C19RM'!$C$2)))),(U89*(IF(O89="EUR",P89,(P89*'Master Data-C19RM'!$C$2)))))</f>
        <v>0</v>
      </c>
      <c r="W89" s="444">
        <f>IF($O89="USD",_xlfn.IFNA(VLOOKUP($A89&amp;$E89&amp;$I89,PMsheet!$J:$K,2,0),0),(_xlfn.IFNA(VLOOKUP($A89&amp;$E89&amp;$I89,PMsheet!$J:$K,2,0),0)*'Master Data-C19RM'!$D$2))</f>
        <v>0</v>
      </c>
      <c r="X89" s="441"/>
      <c r="Y89" s="441"/>
      <c r="Z89" s="441"/>
      <c r="AA89" s="441"/>
      <c r="AB89" s="481">
        <f>SUM('C19RM 2021-Pharma'!$X89:$AA89)</f>
        <v>0</v>
      </c>
      <c r="AC89" s="483">
        <f>IF(SETUP!$E$7="USD",(AB89*(IF(O89="USD",W89,(W89/'Master Data-C19RM'!$D$2)))),(AB89*(IF(O89="EUR",W89,(W89*'Master Data-C19RM'!$D$2)))))</f>
        <v>0</v>
      </c>
      <c r="AD89" s="444">
        <f>IF($O89="USD",_xlfn.IFNA(VLOOKUP($A89&amp;$E89&amp;$I89,PMsheet!$J:$K,2,0),0),(_xlfn.IFNA(VLOOKUP($A89&amp;$E89&amp;$I89,PMsheet!$J:$K,2,0),0)*'Master Data-C19RM'!$E$2))</f>
        <v>0</v>
      </c>
      <c r="AE89" s="441"/>
      <c r="AF89" s="441"/>
      <c r="AG89" s="441"/>
      <c r="AH89" s="441"/>
      <c r="AI89" s="481">
        <f>SUM('C19RM 2021-Pharma'!$AE89:$AH89)</f>
        <v>0</v>
      </c>
      <c r="AJ89" s="483">
        <f>IF(SETUP!$E$7="USD",(AI89*(IF(O89="USD",AD89,(AD89/'Master Data-C19RM'!$E$2)))),(AI89*(IF(O89="EUR",AD89,(AD89*'Master Data-C19RM'!$E$2)))))</f>
        <v>0</v>
      </c>
      <c r="AK89" s="444">
        <f>IF($O89="USD",_xlfn.IFNA(VLOOKUP($A89&amp;$E89&amp;$I89,PMsheet!$J:$K,2,0),0),(_xlfn.IFNA(VLOOKUP($A89&amp;$E89&amp;$I89,PMsheet!$J:$K,2,0),0)*'Master Data-C19RM'!$F$2))</f>
        <v>0</v>
      </c>
      <c r="AL89" s="441"/>
      <c r="AM89" s="441"/>
      <c r="AN89" s="441"/>
      <c r="AO89" s="441"/>
      <c r="AP89" s="481">
        <f>SUM('C19RM 2021-Pharma'!$AL89:$AO89)</f>
        <v>0</v>
      </c>
      <c r="AQ89" s="483">
        <f>IF(SETUP!$E$7="USD",(AP89*(IF(O89="USD",AK89,(AK89/'Master Data-C19RM'!$F$2)))),(AP89*(IF(O89="EUR",AK89,(AK89*'Master Data-C19RM'!$F$2)))))</f>
        <v>0</v>
      </c>
      <c r="AR89" s="444">
        <f>IF($O89="USD",_xlfn.IFNA(VLOOKUP($A89&amp;$E89&amp;$I89,PMsheet!$J:$K,2,0),0),(_xlfn.IFNA(VLOOKUP($A89&amp;$E89&amp;$I89,PMsheet!$J:$K,2,0),0)*'Master Data-C19RM'!$G$2))</f>
        <v>0</v>
      </c>
      <c r="AS89" s="441"/>
      <c r="AT89" s="441"/>
      <c r="AU89" s="441"/>
      <c r="AV89" s="441"/>
      <c r="AW89" s="481">
        <f>SUM('C19RM 2021-Pharma'!$AS89:$AV89)</f>
        <v>0</v>
      </c>
      <c r="AX89" s="483">
        <f>IF(SETUP!$E$7="USD",(AW89*(IF(O89="USD",AR89,(AR89/'Master Data-C19RM'!$G$2)))),(AW89*(IF(O89="EUR",AR89,(AR89*'Master Data-C19RM'!$G$2)))))</f>
        <v>0</v>
      </c>
      <c r="AY89" s="886"/>
      <c r="AZ89" s="887"/>
      <c r="BA89" s="887"/>
      <c r="BB89" s="887"/>
      <c r="BC89" s="887"/>
      <c r="BD89" s="887"/>
      <c r="BE89" s="888"/>
      <c r="BF89" s="505">
        <f>'C19RM 2021-Pharma'!$U89+'C19RM 2021-Pharma'!$AB89+'C19RM 2021-Pharma'!$AP89+'C19RM 2021-Pharma'!$AI89+$AW89+$BD89</f>
        <v>0</v>
      </c>
      <c r="BG89" s="483">
        <f>'C19RM 2021-Pharma'!$V89+'C19RM 2021-Pharma'!$AC89+'C19RM 2021-Pharma'!$AQ89+'C19RM 2021-Pharma'!$AJ89+$AX89+$BE89</f>
        <v>0</v>
      </c>
      <c r="BH89" s="500" t="str" cm="1">
        <f t="array" ref="BH89">IF(A89&lt;&gt;"",IFERROR(INDEX(PMtbl[[WKst]:[Unit of measure*]],MATCH($A$8&amp;$A89&amp;$E89&amp;$I89,INDEX(PMtbl[Sec]&amp;PMtbl[Category]&amp;PMtbl[Each]&amp;PMtbl[Packaging],0,),0),11),""),"")</f>
        <v/>
      </c>
      <c r="BI89" s="819"/>
      <c r="BJ89" s="502" t="str">
        <f>IFERROR(INDEX(SETUP!$C$19:$G$121,MATCH((INDEX(PMtbl[[WKst]:[Unit of measure*]],MATCH($A89&amp;$E89&amp;$I89,INDEX(PMtbl[Category]&amp;PMtbl[Each]&amp;PMtbl[Packaging],0,),0),3)),SETUP!$D$19:$D$121,0),5),"")</f>
        <v/>
      </c>
      <c r="BK89" s="438" t="str">
        <f>IFERROR(IF((INDEX(SETUP!$C$19:$G$121,MATCH((INDEX(PMtbl[[WKst]:[Unit of measure*]],MATCH($A89&amp;$E89&amp;$I89,INDEX(PMtbl[Category]&amp;PMtbl[Each]&amp;PMtbl[Packaging],0,),0),3)),SETUP!$D$19:$D$121,0),4))="Upfront",0,INDEX(SETUP!$C$19:$G$121,MATCH((INDEX(PMtbl[[WKst]:[Unit of measure*]],MATCH($A89&amp;$E89&amp;$I89,INDEX(PMtbl[Category]&amp;PMtbl[Each]&amp;PMtbl[Packaging],0,),0),3)),SETUP!$D$19:$D$121,0),5)),"")</f>
        <v/>
      </c>
      <c r="BL89" s="193" t="str" cm="1">
        <f t="array" ref="BL89">IF(E89&lt;&gt;"",IFERROR(INDEX(PMtbl[[WKst]:[Unit of measure*]],MATCH($A$8&amp;$A89&amp;$E89&amp;$I89,INDEX(PMtbl[Sec]&amp;PMtbl[Category]&amp;PMtbl[Each]&amp;PMtbl[Packaging],0,),0),11),""),"")</f>
        <v/>
      </c>
      <c r="BO89" s="12">
        <f>IF(N89="",0,IF(SETUP!$E$7="USD",((IF(O89="USD",P89,(P89/'Master Data-C19RM'!$C$2)))),((IF(O89="EUR",P89,(P89*'Master Data-C19RM'!$C$2))))))</f>
        <v>0</v>
      </c>
      <c r="BP89" s="12">
        <f>IF(N89="",0,IF(SETUP!$E$7="USD",((IF(O89="USD",W89,(W89/'Master Data-C19RM'!$D$2)))),((IF(O89="EUR",W89,(W89*'Master Data-C19RM'!$D$2))))))</f>
        <v>0</v>
      </c>
      <c r="BQ89">
        <f>IF(N89="",0,IF(SETUP!$E$7="USD",((IF(O89="USD",AD89,(AD89/'Master Data-C19RM'!$E$2)))),((IF(O89="EUR",AD89,(AD89*'Master Data-C19RM'!$E$2))))))</f>
        <v>0</v>
      </c>
      <c r="BR89">
        <f>IF(N89="",0,IF(SETUP!$E$7="USD",((IF(O89="USD",AK89,(AK89/'Master Data-C19RM'!$F$2)))),((IF(O89="EUR",AK89,(AK89*'Master Data-C19RM'!$F$2))))))</f>
        <v>0</v>
      </c>
      <c r="BS89">
        <f>IF(N89="",0,IF(SETUP!$E$7="USD",((IF(O89="USD",AR89,(AR89/'Master Data-C19RM'!$F$2)))),((IF(O89="EUR",AR89,(AR89*'Master Data-C19RM'!$G$2))))))</f>
        <v>0</v>
      </c>
      <c r="BT89">
        <f>IF(N89="",0,IF(SETUP!$E$7="USD",((IF(O89="USD",AY89,(AY89/'Master Data-C19RM'!$F$2)))),((IF(O89="EUR",AY89,(AY89*'Master Data-C19RM'!$H$2))))))</f>
        <v>0</v>
      </c>
      <c r="BU89" s="12">
        <f t="shared" si="3"/>
        <v>0</v>
      </c>
      <c r="BV89" s="142">
        <f t="shared" si="4"/>
        <v>0</v>
      </c>
    </row>
    <row r="90" spans="1:74" ht="14.9" customHeight="1" x14ac:dyDescent="0.35">
      <c r="A90" s="1172"/>
      <c r="B90" s="1172"/>
      <c r="C90" s="1172"/>
      <c r="D90" s="1172"/>
      <c r="E90" s="1172"/>
      <c r="F90" s="1172"/>
      <c r="G90" s="1172"/>
      <c r="H90" s="1172"/>
      <c r="I90" s="1173"/>
      <c r="J90" s="1173"/>
      <c r="K90" s="1173"/>
      <c r="L90" s="493" t="str" cm="1">
        <f t="array" ref="L90">IF(A90&lt;&gt;"",IFERROR(INDEX(PMtbl[[WKst]:[Unit of measure*]],MATCH($A$8&amp;$A90&amp;$E90&amp;$I90,INDEX(PMtbl[Sec]&amp;PMtbl[Category]&amp;PMtbl[Each]&amp;PMtbl[Packaging],0,),0),14),""),"")</f>
        <v/>
      </c>
      <c r="M90" s="480" t="str">
        <f>IF(L90="","",INDEX(SETUP!$E$20:$E$122,(MATCH(INDEX(PMsheet!$D:$E,MATCH(A90,PMsheet!E:E,0),1),SETUP!$D$20:$D$122,0))))</f>
        <v/>
      </c>
      <c r="N90" s="494">
        <f>IF($O90="USD",_xlfn.IFNA(VLOOKUP(A90&amp;E90&amp;I90,PMsheet!J:K,2,0),0),(_xlfn.IFNA(VLOOKUP(A90&amp;E90&amp;I90,PMsheet!J:K,2,0),0)*'Master Data-C19RM'!$C$2))</f>
        <v>0</v>
      </c>
      <c r="O90" s="495" t="str">
        <f>IF(L90="", "",SETUP!$E$7)</f>
        <v/>
      </c>
      <c r="P90" s="445">
        <f>IF($O90="USD",_xlfn.IFNA(VLOOKUP($A90&amp;$E90&amp;$I90,PMsheet!$J:$K,2,0),0),(_xlfn.IFNA(VLOOKUP($A90&amp;$E90&amp;$I90,PMsheet!$J:$K,2,0),0)*'Master Data-C19RM'!$C$2))</f>
        <v>0</v>
      </c>
      <c r="Q90" s="440"/>
      <c r="R90" s="440"/>
      <c r="S90" s="440"/>
      <c r="T90" s="440"/>
      <c r="U90" s="482">
        <f>SUM('C19RM 2021-Pharma'!$Q90:$T90)</f>
        <v>0</v>
      </c>
      <c r="V90" s="484">
        <f>IF(SETUP!$E$7="USD",(U90*(IF(O90="USD",P90,(P90/'Master Data-C19RM'!$C$2)))),(U90*(IF(O90="EUR",P90,(P90*'Master Data-C19RM'!$C$2)))))</f>
        <v>0</v>
      </c>
      <c r="W90" s="445">
        <f>IF($O90="USD",_xlfn.IFNA(VLOOKUP($A90&amp;$E90&amp;$I90,PMsheet!$J:$K,2,0),0),(_xlfn.IFNA(VLOOKUP($A90&amp;$E90&amp;$I90,PMsheet!$J:$K,2,0),0)*'Master Data-C19RM'!$D$2))</f>
        <v>0</v>
      </c>
      <c r="X90" s="440"/>
      <c r="Y90" s="440"/>
      <c r="Z90" s="440"/>
      <c r="AA90" s="440"/>
      <c r="AB90" s="482">
        <f>SUM('C19RM 2021-Pharma'!$X90:$AA90)</f>
        <v>0</v>
      </c>
      <c r="AC90" s="484">
        <f>IF(SETUP!$E$7="USD",(AB90*(IF(O90="USD",W90,(W90/'Master Data-C19RM'!$D$2)))),(AB90*(IF(O90="EUR",W90,(W90*'Master Data-C19RM'!$D$2)))))</f>
        <v>0</v>
      </c>
      <c r="AD90" s="445">
        <f>IF($O90="USD",_xlfn.IFNA(VLOOKUP($A90&amp;$E90&amp;$I90,PMsheet!$J:$K,2,0),0),(_xlfn.IFNA(VLOOKUP($A90&amp;$E90&amp;$I90,PMsheet!$J:$K,2,0),0)*'Master Data-C19RM'!$E$2))</f>
        <v>0</v>
      </c>
      <c r="AE90" s="440"/>
      <c r="AF90" s="440"/>
      <c r="AG90" s="440"/>
      <c r="AH90" s="440"/>
      <c r="AI90" s="482">
        <f>SUM('C19RM 2021-Pharma'!$AE90:$AH90)</f>
        <v>0</v>
      </c>
      <c r="AJ90" s="484">
        <f>IF(SETUP!$E$7="USD",(AI90*(IF(O90="USD",AD90,(AD90/'Master Data-C19RM'!$E$2)))),(AI90*(IF(O90="EUR",AD90,(AD90*'Master Data-C19RM'!$E$2)))))</f>
        <v>0</v>
      </c>
      <c r="AK90" s="445">
        <f>IF($O90="USD",_xlfn.IFNA(VLOOKUP($A90&amp;$E90&amp;$I90,PMsheet!$J:$K,2,0),0),(_xlfn.IFNA(VLOOKUP($A90&amp;$E90&amp;$I90,PMsheet!$J:$K,2,0),0)*'Master Data-C19RM'!$F$2))</f>
        <v>0</v>
      </c>
      <c r="AL90" s="440"/>
      <c r="AM90" s="440"/>
      <c r="AN90" s="440"/>
      <c r="AO90" s="440"/>
      <c r="AP90" s="482">
        <f>SUM('C19RM 2021-Pharma'!$AL90:$AO90)</f>
        <v>0</v>
      </c>
      <c r="AQ90" s="484">
        <f>IF(SETUP!$E$7="USD",(AP90*(IF(O90="USD",AK90,(AK90/'Master Data-C19RM'!$F$2)))),(AP90*(IF(O90="EUR",AK90,(AK90*'Master Data-C19RM'!$F$2)))))</f>
        <v>0</v>
      </c>
      <c r="AR90" s="445">
        <f>IF($O90="USD",_xlfn.IFNA(VLOOKUP($A90&amp;$E90&amp;$I90,PMsheet!$J:$K,2,0),0),(_xlfn.IFNA(VLOOKUP($A90&amp;$E90&amp;$I90,PMsheet!$J:$K,2,0),0)*'Master Data-C19RM'!$G$2))</f>
        <v>0</v>
      </c>
      <c r="AS90" s="440"/>
      <c r="AT90" s="440"/>
      <c r="AU90" s="440"/>
      <c r="AV90" s="440"/>
      <c r="AW90" s="482">
        <f>SUM('C19RM 2021-Pharma'!$AS90:$AV90)</f>
        <v>0</v>
      </c>
      <c r="AX90" s="484">
        <f>IF(SETUP!$E$7="USD",(AW90*(IF(O90="USD",AR90,(AR90/'Master Data-C19RM'!$G$2)))),(AW90*(IF(O90="EUR",AR90,(AR90*'Master Data-C19RM'!$G$2)))))</f>
        <v>0</v>
      </c>
      <c r="AY90" s="889"/>
      <c r="AZ90" s="884"/>
      <c r="BA90" s="884"/>
      <c r="BB90" s="884"/>
      <c r="BC90" s="884"/>
      <c r="BD90" s="884"/>
      <c r="BE90" s="885"/>
      <c r="BF90" s="504">
        <f>'C19RM 2021-Pharma'!$U90+'C19RM 2021-Pharma'!$AB90+'C19RM 2021-Pharma'!$AP90+'C19RM 2021-Pharma'!$AI90+$AW90+$BD90</f>
        <v>0</v>
      </c>
      <c r="BG90" s="484">
        <f>'C19RM 2021-Pharma'!$V90+'C19RM 2021-Pharma'!$AC90+'C19RM 2021-Pharma'!$AQ90+'C19RM 2021-Pharma'!$AJ90+$AX90+$BE90</f>
        <v>0</v>
      </c>
      <c r="BH90" s="499" t="str" cm="1">
        <f t="array" ref="BH90">IF(A90&lt;&gt;"",IFERROR(INDEX(PMtbl[[WKst]:[Unit of measure*]],MATCH($A$8&amp;$A90&amp;$E90&amp;$I90,INDEX(PMtbl[Sec]&amp;PMtbl[Category]&amp;PMtbl[Each]&amp;PMtbl[Packaging],0,),0),11),""),"")</f>
        <v/>
      </c>
      <c r="BI90" s="818"/>
      <c r="BJ90" s="503" t="str">
        <f>IFERROR(INDEX(SETUP!$C$19:$G$121,MATCH((INDEX(PMtbl[[WKst]:[Unit of measure*]],MATCH($A90&amp;$E90&amp;$I90,INDEX(PMtbl[Category]&amp;PMtbl[Each]&amp;PMtbl[Packaging],0,),0),3)),SETUP!$D$19:$D$121,0),5),"")</f>
        <v/>
      </c>
      <c r="BK90" s="439" t="str">
        <f>IFERROR(IF((INDEX(SETUP!$C$19:$G$121,MATCH((INDEX(PMtbl[[WKst]:[Unit of measure*]],MATCH($A90&amp;$E90&amp;$I90,INDEX(PMtbl[Category]&amp;PMtbl[Each]&amp;PMtbl[Packaging],0,),0),3)),SETUP!$D$19:$D$121,0),4))="Upfront",0,INDEX(SETUP!$C$19:$G$121,MATCH((INDEX(PMtbl[[WKst]:[Unit of measure*]],MATCH($A90&amp;$E90&amp;$I90,INDEX(PMtbl[Category]&amp;PMtbl[Each]&amp;PMtbl[Packaging],0,),0),3)),SETUP!$D$19:$D$121,0),5)),"")</f>
        <v/>
      </c>
      <c r="BL90" s="194" t="str" cm="1">
        <f t="array" ref="BL90">IF(E90&lt;&gt;"",IFERROR(INDEX(PMtbl[[WKst]:[Unit of measure*]],MATCH($A$8&amp;$A90&amp;$E90&amp;$I90,INDEX(PMtbl[Sec]&amp;PMtbl[Category]&amp;PMtbl[Each]&amp;PMtbl[Packaging],0,),0),11),""),"")</f>
        <v/>
      </c>
      <c r="BO90" s="12">
        <f>IF(N90="",0,IF(SETUP!$E$7="USD",((IF(O90="USD",P90,(P90/'Master Data-C19RM'!$C$2)))),((IF(O90="EUR",P90,(P90*'Master Data-C19RM'!$C$2))))))</f>
        <v>0</v>
      </c>
      <c r="BP90" s="12">
        <f>IF(N90="",0,IF(SETUP!$E$7="USD",((IF(O90="USD",W90,(W90/'Master Data-C19RM'!$D$2)))),((IF(O90="EUR",W90,(W90*'Master Data-C19RM'!$D$2))))))</f>
        <v>0</v>
      </c>
      <c r="BQ90">
        <f>IF(N90="",0,IF(SETUP!$E$7="USD",((IF(O90="USD",AD90,(AD90/'Master Data-C19RM'!$E$2)))),((IF(O90="EUR",AD90,(AD90*'Master Data-C19RM'!$E$2))))))</f>
        <v>0</v>
      </c>
      <c r="BR90">
        <f>IF(N90="",0,IF(SETUP!$E$7="USD",((IF(O90="USD",AK90,(AK90/'Master Data-C19RM'!$F$2)))),((IF(O90="EUR",AK90,(AK90*'Master Data-C19RM'!$F$2))))))</f>
        <v>0</v>
      </c>
      <c r="BS90">
        <f>IF(N90="",0,IF(SETUP!$E$7="USD",((IF(O90="USD",AR90,(AR90/'Master Data-C19RM'!$F$2)))),((IF(O90="EUR",AR90,(AR90*'Master Data-C19RM'!$G$2))))))</f>
        <v>0</v>
      </c>
      <c r="BT90">
        <f>IF(N90="",0,IF(SETUP!$E$7="USD",((IF(O90="USD",AY90,(AY90/'Master Data-C19RM'!$F$2)))),((IF(O90="EUR",AY90,(AY90*'Master Data-C19RM'!$H$2))))))</f>
        <v>0</v>
      </c>
      <c r="BU90" s="12">
        <f t="shared" si="3"/>
        <v>0</v>
      </c>
      <c r="BV90" s="142">
        <f t="shared" si="4"/>
        <v>0</v>
      </c>
    </row>
    <row r="91" spans="1:74" ht="14.9" customHeight="1" x14ac:dyDescent="0.35">
      <c r="A91" s="1165"/>
      <c r="B91" s="1165"/>
      <c r="C91" s="1165"/>
      <c r="D91" s="1165"/>
      <c r="E91" s="1166"/>
      <c r="F91" s="1166"/>
      <c r="G91" s="1166"/>
      <c r="H91" s="1166"/>
      <c r="I91" s="1166"/>
      <c r="J91" s="1166"/>
      <c r="K91" s="1166"/>
      <c r="L91" s="490" t="str" cm="1">
        <f t="array" ref="L91">IF(A91&lt;&gt;"",IFERROR(INDEX(PMtbl[[WKst]:[Unit of measure*]],MATCH($A$8&amp;$A91&amp;$E91&amp;$I91,INDEX(PMtbl[Sec]&amp;PMtbl[Category]&amp;PMtbl[Each]&amp;PMtbl[Packaging],0,),0),14),""),"")</f>
        <v/>
      </c>
      <c r="M91" s="479" t="str">
        <f>IF(L91="","",INDEX(SETUP!$E$20:$E$122,(MATCH(INDEX(PMsheet!$D:$E,MATCH(A91,PMsheet!E:E,0),1),SETUP!$D$20:$D$122,0))))</f>
        <v/>
      </c>
      <c r="N91" s="491">
        <f>IF($O91="USD",_xlfn.IFNA(VLOOKUP(A91&amp;E91&amp;I91,PMsheet!J:K,2,0),0),(_xlfn.IFNA(VLOOKUP(A91&amp;E91&amp;I91,PMsheet!J:K,2,0),0)*'Master Data-C19RM'!$C$2))</f>
        <v>0</v>
      </c>
      <c r="O91" s="492" t="str">
        <f>IF(L91="", "",SETUP!$E$7)</f>
        <v/>
      </c>
      <c r="P91" s="444">
        <f>IF($O91="USD",_xlfn.IFNA(VLOOKUP($A91&amp;$E91&amp;$I91,PMsheet!$J:$K,2,0),0),(_xlfn.IFNA(VLOOKUP($A91&amp;$E91&amp;$I91,PMsheet!$J:$K,2,0),0)*'Master Data-C19RM'!$C$2))</f>
        <v>0</v>
      </c>
      <c r="Q91" s="441"/>
      <c r="R91" s="441"/>
      <c r="S91" s="441"/>
      <c r="T91" s="441"/>
      <c r="U91" s="481">
        <f>SUM('C19RM 2021-Pharma'!$Q91:$T91)</f>
        <v>0</v>
      </c>
      <c r="V91" s="483">
        <f>IF(SETUP!$E$7="USD",(U91*(IF(O91="USD",P91,(P91/'Master Data-C19RM'!$C$2)))),(U91*(IF(O91="EUR",P91,(P91*'Master Data-C19RM'!$C$2)))))</f>
        <v>0</v>
      </c>
      <c r="W91" s="444">
        <f>IF($O91="USD",_xlfn.IFNA(VLOOKUP($A91&amp;$E91&amp;$I91,PMsheet!$J:$K,2,0),0),(_xlfn.IFNA(VLOOKUP($A91&amp;$E91&amp;$I91,PMsheet!$J:$K,2,0),0)*'Master Data-C19RM'!$D$2))</f>
        <v>0</v>
      </c>
      <c r="X91" s="441"/>
      <c r="Y91" s="441"/>
      <c r="Z91" s="441"/>
      <c r="AA91" s="441"/>
      <c r="AB91" s="481">
        <f>SUM('C19RM 2021-Pharma'!$X91:$AA91)</f>
        <v>0</v>
      </c>
      <c r="AC91" s="483">
        <f>IF(SETUP!$E$7="USD",(AB91*(IF(O91="USD",W91,(W91/'Master Data-C19RM'!$D$2)))),(AB91*(IF(O91="EUR",W91,(W91*'Master Data-C19RM'!$D$2)))))</f>
        <v>0</v>
      </c>
      <c r="AD91" s="444">
        <f>IF($O91="USD",_xlfn.IFNA(VLOOKUP($A91&amp;$E91&amp;$I91,PMsheet!$J:$K,2,0),0),(_xlfn.IFNA(VLOOKUP($A91&amp;$E91&amp;$I91,PMsheet!$J:$K,2,0),0)*'Master Data-C19RM'!$E$2))</f>
        <v>0</v>
      </c>
      <c r="AE91" s="441"/>
      <c r="AF91" s="441"/>
      <c r="AG91" s="441"/>
      <c r="AH91" s="441"/>
      <c r="AI91" s="481">
        <f>SUM('C19RM 2021-Pharma'!$AE91:$AH91)</f>
        <v>0</v>
      </c>
      <c r="AJ91" s="483">
        <f>IF(SETUP!$E$7="USD",(AI91*(IF(O91="USD",AD91,(AD91/'Master Data-C19RM'!$E$2)))),(AI91*(IF(O91="EUR",AD91,(AD91*'Master Data-C19RM'!$E$2)))))</f>
        <v>0</v>
      </c>
      <c r="AK91" s="444">
        <f>IF($O91="USD",_xlfn.IFNA(VLOOKUP($A91&amp;$E91&amp;$I91,PMsheet!$J:$K,2,0),0),(_xlfn.IFNA(VLOOKUP($A91&amp;$E91&amp;$I91,PMsheet!$J:$K,2,0),0)*'Master Data-C19RM'!$F$2))</f>
        <v>0</v>
      </c>
      <c r="AL91" s="441"/>
      <c r="AM91" s="441"/>
      <c r="AN91" s="441"/>
      <c r="AO91" s="441"/>
      <c r="AP91" s="481">
        <f>SUM('C19RM 2021-Pharma'!$AL91:$AO91)</f>
        <v>0</v>
      </c>
      <c r="AQ91" s="483">
        <f>IF(SETUP!$E$7="USD",(AP91*(IF(O91="USD",AK91,(AK91/'Master Data-C19RM'!$F$2)))),(AP91*(IF(O91="EUR",AK91,(AK91*'Master Data-C19RM'!$F$2)))))</f>
        <v>0</v>
      </c>
      <c r="AR91" s="444">
        <f>IF($O91="USD",_xlfn.IFNA(VLOOKUP($A91&amp;$E91&amp;$I91,PMsheet!$J:$K,2,0),0),(_xlfn.IFNA(VLOOKUP($A91&amp;$E91&amp;$I91,PMsheet!$J:$K,2,0),0)*'Master Data-C19RM'!$G$2))</f>
        <v>0</v>
      </c>
      <c r="AS91" s="441"/>
      <c r="AT91" s="441"/>
      <c r="AU91" s="441"/>
      <c r="AV91" s="441"/>
      <c r="AW91" s="481">
        <f>SUM('C19RM 2021-Pharma'!$AS91:$AV91)</f>
        <v>0</v>
      </c>
      <c r="AX91" s="483">
        <f>IF(SETUP!$E$7="USD",(AW91*(IF(O91="USD",AR91,(AR91/'Master Data-C19RM'!$G$2)))),(AW91*(IF(O91="EUR",AR91,(AR91*'Master Data-C19RM'!$G$2)))))</f>
        <v>0</v>
      </c>
      <c r="AY91" s="886"/>
      <c r="AZ91" s="887"/>
      <c r="BA91" s="887"/>
      <c r="BB91" s="887"/>
      <c r="BC91" s="887"/>
      <c r="BD91" s="887"/>
      <c r="BE91" s="888"/>
      <c r="BF91" s="505">
        <f>'C19RM 2021-Pharma'!$U91+'C19RM 2021-Pharma'!$AB91+'C19RM 2021-Pharma'!$AP91+'C19RM 2021-Pharma'!$AI91+$AW91+$BD91</f>
        <v>0</v>
      </c>
      <c r="BG91" s="483">
        <f>'C19RM 2021-Pharma'!$V91+'C19RM 2021-Pharma'!$AC91+'C19RM 2021-Pharma'!$AQ91+'C19RM 2021-Pharma'!$AJ91+$AX91+$BE91</f>
        <v>0</v>
      </c>
      <c r="BH91" s="500" t="str" cm="1">
        <f t="array" ref="BH91">IF(A91&lt;&gt;"",IFERROR(INDEX(PMtbl[[WKst]:[Unit of measure*]],MATCH($A$8&amp;$A91&amp;$E91&amp;$I91,INDEX(PMtbl[Sec]&amp;PMtbl[Category]&amp;PMtbl[Each]&amp;PMtbl[Packaging],0,),0),11),""),"")</f>
        <v/>
      </c>
      <c r="BI91" s="819"/>
      <c r="BJ91" s="502" t="str">
        <f>IFERROR(INDEX(SETUP!$C$19:$G$121,MATCH((INDEX(PMtbl[[WKst]:[Unit of measure*]],MATCH($A91&amp;$E91&amp;$I91,INDEX(PMtbl[Category]&amp;PMtbl[Each]&amp;PMtbl[Packaging],0,),0),3)),SETUP!$D$19:$D$121,0),5),"")</f>
        <v/>
      </c>
      <c r="BK91" s="438" t="str">
        <f>IFERROR(IF((INDEX(SETUP!$C$19:$G$121,MATCH((INDEX(PMtbl[[WKst]:[Unit of measure*]],MATCH($A91&amp;$E91&amp;$I91,INDEX(PMtbl[Category]&amp;PMtbl[Each]&amp;PMtbl[Packaging],0,),0),3)),SETUP!$D$19:$D$121,0),4))="Upfront",0,INDEX(SETUP!$C$19:$G$121,MATCH((INDEX(PMtbl[[WKst]:[Unit of measure*]],MATCH($A91&amp;$E91&amp;$I91,INDEX(PMtbl[Category]&amp;PMtbl[Each]&amp;PMtbl[Packaging],0,),0),3)),SETUP!$D$19:$D$121,0),5)),"")</f>
        <v/>
      </c>
      <c r="BL91" s="193" t="str" cm="1">
        <f t="array" ref="BL91">IF(E91&lt;&gt;"",IFERROR(INDEX(PMtbl[[WKst]:[Unit of measure*]],MATCH($A$8&amp;$A91&amp;$E91&amp;$I91,INDEX(PMtbl[Sec]&amp;PMtbl[Category]&amp;PMtbl[Each]&amp;PMtbl[Packaging],0,),0),11),""),"")</f>
        <v/>
      </c>
      <c r="BO91" s="12">
        <f>IF(N91="",0,IF(SETUP!$E$7="USD",((IF(O91="USD",P91,(P91/'Master Data-C19RM'!$C$2)))),((IF(O91="EUR",P91,(P91*'Master Data-C19RM'!$C$2))))))</f>
        <v>0</v>
      </c>
      <c r="BP91" s="12">
        <f>IF(N91="",0,IF(SETUP!$E$7="USD",((IF(O91="USD",W91,(W91/'Master Data-C19RM'!$D$2)))),((IF(O91="EUR",W91,(W91*'Master Data-C19RM'!$D$2))))))</f>
        <v>0</v>
      </c>
      <c r="BQ91">
        <f>IF(N91="",0,IF(SETUP!$E$7="USD",((IF(O91="USD",AD91,(AD91/'Master Data-C19RM'!$E$2)))),((IF(O91="EUR",AD91,(AD91*'Master Data-C19RM'!$E$2))))))</f>
        <v>0</v>
      </c>
      <c r="BR91">
        <f>IF(N91="",0,IF(SETUP!$E$7="USD",((IF(O91="USD",AK91,(AK91/'Master Data-C19RM'!$F$2)))),((IF(O91="EUR",AK91,(AK91*'Master Data-C19RM'!$F$2))))))</f>
        <v>0</v>
      </c>
      <c r="BS91">
        <f>IF(N91="",0,IF(SETUP!$E$7="USD",((IF(O91="USD",AR91,(AR91/'Master Data-C19RM'!$F$2)))),((IF(O91="EUR",AR91,(AR91*'Master Data-C19RM'!$G$2))))))</f>
        <v>0</v>
      </c>
      <c r="BT91">
        <f>IF(N91="",0,IF(SETUP!$E$7="USD",((IF(O91="USD",AY91,(AY91/'Master Data-C19RM'!$F$2)))),((IF(O91="EUR",AY91,(AY91*'Master Data-C19RM'!$H$2))))))</f>
        <v>0</v>
      </c>
      <c r="BU91" s="12">
        <f t="shared" si="3"/>
        <v>0</v>
      </c>
      <c r="BV91" s="142">
        <f t="shared" si="4"/>
        <v>0</v>
      </c>
    </row>
    <row r="92" spans="1:74" ht="14.9" customHeight="1" x14ac:dyDescent="0.35">
      <c r="A92" s="1172"/>
      <c r="B92" s="1172"/>
      <c r="C92" s="1172"/>
      <c r="D92" s="1172"/>
      <c r="E92" s="1172"/>
      <c r="F92" s="1172"/>
      <c r="G92" s="1172"/>
      <c r="H92" s="1172"/>
      <c r="I92" s="1173"/>
      <c r="J92" s="1173"/>
      <c r="K92" s="1173"/>
      <c r="L92" s="493" t="str" cm="1">
        <f t="array" ref="L92">IF(A92&lt;&gt;"",IFERROR(INDEX(PMtbl[[WKst]:[Unit of measure*]],MATCH($A$8&amp;$A92&amp;$E92&amp;$I92,INDEX(PMtbl[Sec]&amp;PMtbl[Category]&amp;PMtbl[Each]&amp;PMtbl[Packaging],0,),0),14),""),"")</f>
        <v/>
      </c>
      <c r="M92" s="480" t="str">
        <f>IF(L92="","",INDEX(SETUP!$E$20:$E$122,(MATCH(INDEX(PMsheet!$D:$E,MATCH(A92,PMsheet!E:E,0),1),SETUP!$D$20:$D$122,0))))</f>
        <v/>
      </c>
      <c r="N92" s="494">
        <f>IF($O92="USD",_xlfn.IFNA(VLOOKUP(A92&amp;E92&amp;I92,PMsheet!J:K,2,0),0),(_xlfn.IFNA(VLOOKUP(A92&amp;E92&amp;I92,PMsheet!J:K,2,0),0)*'Master Data-C19RM'!$C$2))</f>
        <v>0</v>
      </c>
      <c r="O92" s="495" t="str">
        <f>IF(L92="", "",SETUP!$E$7)</f>
        <v/>
      </c>
      <c r="P92" s="445">
        <f>IF($O92="USD",_xlfn.IFNA(VLOOKUP($A92&amp;$E92&amp;$I92,PMsheet!$J:$K,2,0),0),(_xlfn.IFNA(VLOOKUP($A92&amp;$E92&amp;$I92,PMsheet!$J:$K,2,0),0)*'Master Data-C19RM'!$C$2))</f>
        <v>0</v>
      </c>
      <c r="Q92" s="440"/>
      <c r="R92" s="440"/>
      <c r="S92" s="440"/>
      <c r="T92" s="440"/>
      <c r="U92" s="482">
        <f>SUM('C19RM 2021-Pharma'!$Q92:$T92)</f>
        <v>0</v>
      </c>
      <c r="V92" s="484">
        <f>IF(SETUP!$E$7="USD",(U92*(IF(O92="USD",P92,(P92/'Master Data-C19RM'!$C$2)))),(U92*(IF(O92="EUR",P92,(P92*'Master Data-C19RM'!$C$2)))))</f>
        <v>0</v>
      </c>
      <c r="W92" s="445">
        <f>IF($O92="USD",_xlfn.IFNA(VLOOKUP($A92&amp;$E92&amp;$I92,PMsheet!$J:$K,2,0),0),(_xlfn.IFNA(VLOOKUP($A92&amp;$E92&amp;$I92,PMsheet!$J:$K,2,0),0)*'Master Data-C19RM'!$D$2))</f>
        <v>0</v>
      </c>
      <c r="X92" s="440"/>
      <c r="Y92" s="440"/>
      <c r="Z92" s="440"/>
      <c r="AA92" s="440"/>
      <c r="AB92" s="482">
        <f>SUM('C19RM 2021-Pharma'!$X92:$AA92)</f>
        <v>0</v>
      </c>
      <c r="AC92" s="484">
        <f>IF(SETUP!$E$7="USD",(AB92*(IF(O92="USD",W92,(W92/'Master Data-C19RM'!$D$2)))),(AB92*(IF(O92="EUR",W92,(W92*'Master Data-C19RM'!$D$2)))))</f>
        <v>0</v>
      </c>
      <c r="AD92" s="445">
        <f>IF($O92="USD",_xlfn.IFNA(VLOOKUP($A92&amp;$E92&amp;$I92,PMsheet!$J:$K,2,0),0),(_xlfn.IFNA(VLOOKUP($A92&amp;$E92&amp;$I92,PMsheet!$J:$K,2,0),0)*'Master Data-C19RM'!$E$2))</f>
        <v>0</v>
      </c>
      <c r="AE92" s="440"/>
      <c r="AF92" s="440"/>
      <c r="AG92" s="440"/>
      <c r="AH92" s="440"/>
      <c r="AI92" s="482">
        <f>SUM('C19RM 2021-Pharma'!$AE92:$AH92)</f>
        <v>0</v>
      </c>
      <c r="AJ92" s="484">
        <f>IF(SETUP!$E$7="USD",(AI92*(IF(O92="USD",AD92,(AD92/'Master Data-C19RM'!$E$2)))),(AI92*(IF(O92="EUR",AD92,(AD92*'Master Data-C19RM'!$E$2)))))</f>
        <v>0</v>
      </c>
      <c r="AK92" s="445">
        <f>IF($O92="USD",_xlfn.IFNA(VLOOKUP($A92&amp;$E92&amp;$I92,PMsheet!$J:$K,2,0),0),(_xlfn.IFNA(VLOOKUP($A92&amp;$E92&amp;$I92,PMsheet!$J:$K,2,0),0)*'Master Data-C19RM'!$F$2))</f>
        <v>0</v>
      </c>
      <c r="AL92" s="440"/>
      <c r="AM92" s="440"/>
      <c r="AN92" s="440"/>
      <c r="AO92" s="440"/>
      <c r="AP92" s="482">
        <f>SUM('C19RM 2021-Pharma'!$AL92:$AO92)</f>
        <v>0</v>
      </c>
      <c r="AQ92" s="484">
        <f>IF(SETUP!$E$7="USD",(AP92*(IF(O92="USD",AK92,(AK92/'Master Data-C19RM'!$F$2)))),(AP92*(IF(O92="EUR",AK92,(AK92*'Master Data-C19RM'!$F$2)))))</f>
        <v>0</v>
      </c>
      <c r="AR92" s="445">
        <f>IF($O92="USD",_xlfn.IFNA(VLOOKUP($A92&amp;$E92&amp;$I92,PMsheet!$J:$K,2,0),0),(_xlfn.IFNA(VLOOKUP($A92&amp;$E92&amp;$I92,PMsheet!$J:$K,2,0),0)*'Master Data-C19RM'!$G$2))</f>
        <v>0</v>
      </c>
      <c r="AS92" s="440"/>
      <c r="AT92" s="440"/>
      <c r="AU92" s="440"/>
      <c r="AV92" s="440"/>
      <c r="AW92" s="482">
        <f>SUM('C19RM 2021-Pharma'!$AS92:$AV92)</f>
        <v>0</v>
      </c>
      <c r="AX92" s="484">
        <f>IF(SETUP!$E$7="USD",(AW92*(IF(O92="USD",AR92,(AR92/'Master Data-C19RM'!$G$2)))),(AW92*(IF(O92="EUR",AR92,(AR92*'Master Data-C19RM'!$G$2)))))</f>
        <v>0</v>
      </c>
      <c r="AY92" s="889"/>
      <c r="AZ92" s="884"/>
      <c r="BA92" s="884"/>
      <c r="BB92" s="884"/>
      <c r="BC92" s="884"/>
      <c r="BD92" s="884"/>
      <c r="BE92" s="885"/>
      <c r="BF92" s="504">
        <f>'C19RM 2021-Pharma'!$U92+'C19RM 2021-Pharma'!$AB92+'C19RM 2021-Pharma'!$AP92+'C19RM 2021-Pharma'!$AI92+$AW92+$BD92</f>
        <v>0</v>
      </c>
      <c r="BG92" s="484">
        <f>'C19RM 2021-Pharma'!$V92+'C19RM 2021-Pharma'!$AC92+'C19RM 2021-Pharma'!$AQ92+'C19RM 2021-Pharma'!$AJ92+$AX92+$BE92</f>
        <v>0</v>
      </c>
      <c r="BH92" s="499" t="str" cm="1">
        <f t="array" ref="BH92">IF(A92&lt;&gt;"",IFERROR(INDEX(PMtbl[[WKst]:[Unit of measure*]],MATCH($A$8&amp;$A92&amp;$E92&amp;$I92,INDEX(PMtbl[Sec]&amp;PMtbl[Category]&amp;PMtbl[Each]&amp;PMtbl[Packaging],0,),0),11),""),"")</f>
        <v/>
      </c>
      <c r="BI92" s="818"/>
      <c r="BJ92" s="503" t="str">
        <f>IFERROR(INDEX(SETUP!$C$19:$G$121,MATCH((INDEX(PMtbl[[WKst]:[Unit of measure*]],MATCH($A92&amp;$E92&amp;$I92,INDEX(PMtbl[Category]&amp;PMtbl[Each]&amp;PMtbl[Packaging],0,),0),3)),SETUP!$D$19:$D$121,0),5),"")</f>
        <v/>
      </c>
      <c r="BK92" s="439" t="str">
        <f>IFERROR(IF((INDEX(SETUP!$C$19:$G$121,MATCH((INDEX(PMtbl[[WKst]:[Unit of measure*]],MATCH($A92&amp;$E92&amp;$I92,INDEX(PMtbl[Category]&amp;PMtbl[Each]&amp;PMtbl[Packaging],0,),0),3)),SETUP!$D$19:$D$121,0),4))="Upfront",0,INDEX(SETUP!$C$19:$G$121,MATCH((INDEX(PMtbl[[WKst]:[Unit of measure*]],MATCH($A92&amp;$E92&amp;$I92,INDEX(PMtbl[Category]&amp;PMtbl[Each]&amp;PMtbl[Packaging],0,),0),3)),SETUP!$D$19:$D$121,0),5)),"")</f>
        <v/>
      </c>
      <c r="BL92" s="194" t="str" cm="1">
        <f t="array" ref="BL92">IF(E92&lt;&gt;"",IFERROR(INDEX(PMtbl[[WKst]:[Unit of measure*]],MATCH($A$8&amp;$A92&amp;$E92&amp;$I92,INDEX(PMtbl[Sec]&amp;PMtbl[Category]&amp;PMtbl[Each]&amp;PMtbl[Packaging],0,),0),11),""),"")</f>
        <v/>
      </c>
      <c r="BO92" s="12">
        <f>IF(N92="",0,IF(SETUP!$E$7="USD",((IF(O92="USD",P92,(P92/'Master Data-C19RM'!$C$2)))),((IF(O92="EUR",P92,(P92*'Master Data-C19RM'!$C$2))))))</f>
        <v>0</v>
      </c>
      <c r="BP92" s="12">
        <f>IF(N92="",0,IF(SETUP!$E$7="USD",((IF(O92="USD",W92,(W92/'Master Data-C19RM'!$D$2)))),((IF(O92="EUR",W92,(W92*'Master Data-C19RM'!$D$2))))))</f>
        <v>0</v>
      </c>
      <c r="BQ92">
        <f>IF(N92="",0,IF(SETUP!$E$7="USD",((IF(O92="USD",AD92,(AD92/'Master Data-C19RM'!$E$2)))),((IF(O92="EUR",AD92,(AD92*'Master Data-C19RM'!$E$2))))))</f>
        <v>0</v>
      </c>
      <c r="BR92">
        <f>IF(N92="",0,IF(SETUP!$E$7="USD",((IF(O92="USD",AK92,(AK92/'Master Data-C19RM'!$F$2)))),((IF(O92="EUR",AK92,(AK92*'Master Data-C19RM'!$F$2))))))</f>
        <v>0</v>
      </c>
      <c r="BS92">
        <f>IF(N92="",0,IF(SETUP!$E$7="USD",((IF(O92="USD",AR92,(AR92/'Master Data-C19RM'!$F$2)))),((IF(O92="EUR",AR92,(AR92*'Master Data-C19RM'!$G$2))))))</f>
        <v>0</v>
      </c>
      <c r="BT92">
        <f>IF(N92="",0,IF(SETUP!$E$7="USD",((IF(O92="USD",AY92,(AY92/'Master Data-C19RM'!$F$2)))),((IF(O92="EUR",AY92,(AY92*'Master Data-C19RM'!$H$2))))))</f>
        <v>0</v>
      </c>
      <c r="BU92" s="12">
        <f t="shared" si="3"/>
        <v>0</v>
      </c>
      <c r="BV92" s="142">
        <f t="shared" si="4"/>
        <v>0</v>
      </c>
    </row>
    <row r="93" spans="1:74" ht="14.9" customHeight="1" x14ac:dyDescent="0.35">
      <c r="A93" s="1165"/>
      <c r="B93" s="1165"/>
      <c r="C93" s="1165"/>
      <c r="D93" s="1165"/>
      <c r="E93" s="1166"/>
      <c r="F93" s="1166"/>
      <c r="G93" s="1166"/>
      <c r="H93" s="1166"/>
      <c r="I93" s="1166"/>
      <c r="J93" s="1166"/>
      <c r="K93" s="1166"/>
      <c r="L93" s="490" t="str" cm="1">
        <f t="array" ref="L93">IF(A93&lt;&gt;"",IFERROR(INDEX(PMtbl[[WKst]:[Unit of measure*]],MATCH($A$8&amp;$A93&amp;$E93&amp;$I93,INDEX(PMtbl[Sec]&amp;PMtbl[Category]&amp;PMtbl[Each]&amp;PMtbl[Packaging],0,),0),14),""),"")</f>
        <v/>
      </c>
      <c r="M93" s="479" t="str">
        <f>IF(L93="","",INDEX(SETUP!$E$20:$E$122,(MATCH(INDEX(PMsheet!$D:$E,MATCH(A93,PMsheet!E:E,0),1),SETUP!$D$20:$D$122,0))))</f>
        <v/>
      </c>
      <c r="N93" s="491">
        <f>IF($O93="USD",_xlfn.IFNA(VLOOKUP(A93&amp;E93&amp;I93,PMsheet!J:K,2,0),0),(_xlfn.IFNA(VLOOKUP(A93&amp;E93&amp;I93,PMsheet!J:K,2,0),0)*'Master Data-C19RM'!$C$2))</f>
        <v>0</v>
      </c>
      <c r="O93" s="492" t="str">
        <f>IF(L93="", "",SETUP!$E$7)</f>
        <v/>
      </c>
      <c r="P93" s="444">
        <f>IF($O93="USD",_xlfn.IFNA(VLOOKUP($A93&amp;$E93&amp;$I93,PMsheet!$J:$K,2,0),0),(_xlfn.IFNA(VLOOKUP($A93&amp;$E93&amp;$I93,PMsheet!$J:$K,2,0),0)*'Master Data-C19RM'!$C$2))</f>
        <v>0</v>
      </c>
      <c r="Q93" s="441"/>
      <c r="R93" s="441"/>
      <c r="S93" s="441"/>
      <c r="T93" s="441"/>
      <c r="U93" s="481">
        <f>SUM('C19RM 2021-Pharma'!$Q93:$T93)</f>
        <v>0</v>
      </c>
      <c r="V93" s="483">
        <f>IF(SETUP!$E$7="USD",(U93*(IF(O93="USD",P93,(P93/'Master Data-C19RM'!$C$2)))),(U93*(IF(O93="EUR",P93,(P93*'Master Data-C19RM'!$C$2)))))</f>
        <v>0</v>
      </c>
      <c r="W93" s="444">
        <f>IF($O93="USD",_xlfn.IFNA(VLOOKUP($A93&amp;$E93&amp;$I93,PMsheet!$J:$K,2,0),0),(_xlfn.IFNA(VLOOKUP($A93&amp;$E93&amp;$I93,PMsheet!$J:$K,2,0),0)*'Master Data-C19RM'!$D$2))</f>
        <v>0</v>
      </c>
      <c r="X93" s="441"/>
      <c r="Y93" s="441"/>
      <c r="Z93" s="441"/>
      <c r="AA93" s="441"/>
      <c r="AB93" s="481">
        <f>SUM('C19RM 2021-Pharma'!$X93:$AA93)</f>
        <v>0</v>
      </c>
      <c r="AC93" s="483">
        <f>IF(SETUP!$E$7="USD",(AB93*(IF(O93="USD",W93,(W93/'Master Data-C19RM'!$D$2)))),(AB93*(IF(O93="EUR",W93,(W93*'Master Data-C19RM'!$D$2)))))</f>
        <v>0</v>
      </c>
      <c r="AD93" s="444">
        <f>IF($O93="USD",_xlfn.IFNA(VLOOKUP($A93&amp;$E93&amp;$I93,PMsheet!$J:$K,2,0),0),(_xlfn.IFNA(VLOOKUP($A93&amp;$E93&amp;$I93,PMsheet!$J:$K,2,0),0)*'Master Data-C19RM'!$E$2))</f>
        <v>0</v>
      </c>
      <c r="AE93" s="441"/>
      <c r="AF93" s="441"/>
      <c r="AG93" s="441"/>
      <c r="AH93" s="441"/>
      <c r="AI93" s="481">
        <f>SUM('C19RM 2021-Pharma'!$AE93:$AH93)</f>
        <v>0</v>
      </c>
      <c r="AJ93" s="483">
        <f>IF(SETUP!$E$7="USD",(AI93*(IF(O93="USD",AD93,(AD93/'Master Data-C19RM'!$E$2)))),(AI93*(IF(O93="EUR",AD93,(AD93*'Master Data-C19RM'!$E$2)))))</f>
        <v>0</v>
      </c>
      <c r="AK93" s="444">
        <f>IF($O93="USD",_xlfn.IFNA(VLOOKUP($A93&amp;$E93&amp;$I93,PMsheet!$J:$K,2,0),0),(_xlfn.IFNA(VLOOKUP($A93&amp;$E93&amp;$I93,PMsheet!$J:$K,2,0),0)*'Master Data-C19RM'!$F$2))</f>
        <v>0</v>
      </c>
      <c r="AL93" s="441"/>
      <c r="AM93" s="441"/>
      <c r="AN93" s="441"/>
      <c r="AO93" s="441"/>
      <c r="AP93" s="481">
        <f>SUM('C19RM 2021-Pharma'!$AL93:$AO93)</f>
        <v>0</v>
      </c>
      <c r="AQ93" s="483">
        <f>IF(SETUP!$E$7="USD",(AP93*(IF(O93="USD",AK93,(AK93/'Master Data-C19RM'!$F$2)))),(AP93*(IF(O93="EUR",AK93,(AK93*'Master Data-C19RM'!$F$2)))))</f>
        <v>0</v>
      </c>
      <c r="AR93" s="444">
        <f>IF($O93="USD",_xlfn.IFNA(VLOOKUP($A93&amp;$E93&amp;$I93,PMsheet!$J:$K,2,0),0),(_xlfn.IFNA(VLOOKUP($A93&amp;$E93&amp;$I93,PMsheet!$J:$K,2,0),0)*'Master Data-C19RM'!$G$2))</f>
        <v>0</v>
      </c>
      <c r="AS93" s="441"/>
      <c r="AT93" s="441"/>
      <c r="AU93" s="441"/>
      <c r="AV93" s="441"/>
      <c r="AW93" s="481">
        <f>SUM('C19RM 2021-Pharma'!$AS93:$AV93)</f>
        <v>0</v>
      </c>
      <c r="AX93" s="483">
        <f>IF(SETUP!$E$7="USD",(AW93*(IF(O93="USD",AR93,(AR93/'Master Data-C19RM'!$G$2)))),(AW93*(IF(O93="EUR",AR93,(AR93*'Master Data-C19RM'!$G$2)))))</f>
        <v>0</v>
      </c>
      <c r="AY93" s="886"/>
      <c r="AZ93" s="887"/>
      <c r="BA93" s="887"/>
      <c r="BB93" s="887"/>
      <c r="BC93" s="887"/>
      <c r="BD93" s="887"/>
      <c r="BE93" s="888"/>
      <c r="BF93" s="505">
        <f>'C19RM 2021-Pharma'!$U93+'C19RM 2021-Pharma'!$AB93+'C19RM 2021-Pharma'!$AP93+'C19RM 2021-Pharma'!$AI93+$AW93+$BD93</f>
        <v>0</v>
      </c>
      <c r="BG93" s="483">
        <f>'C19RM 2021-Pharma'!$V93+'C19RM 2021-Pharma'!$AC93+'C19RM 2021-Pharma'!$AQ93+'C19RM 2021-Pharma'!$AJ93+$AX93+$BE93</f>
        <v>0</v>
      </c>
      <c r="BH93" s="500" t="str" cm="1">
        <f t="array" ref="BH93">IF(A93&lt;&gt;"",IFERROR(INDEX(PMtbl[[WKst]:[Unit of measure*]],MATCH($A$8&amp;$A93&amp;$E93&amp;$I93,INDEX(PMtbl[Sec]&amp;PMtbl[Category]&amp;PMtbl[Each]&amp;PMtbl[Packaging],0,),0),11),""),"")</f>
        <v/>
      </c>
      <c r="BI93" s="819"/>
      <c r="BJ93" s="502" t="str">
        <f>IFERROR(INDEX(SETUP!$C$19:$G$121,MATCH((INDEX(PMtbl[[WKst]:[Unit of measure*]],MATCH($A93&amp;$E93&amp;$I93,INDEX(PMtbl[Category]&amp;PMtbl[Each]&amp;PMtbl[Packaging],0,),0),3)),SETUP!$D$19:$D$121,0),5),"")</f>
        <v/>
      </c>
      <c r="BK93" s="438" t="str">
        <f>IFERROR(IF((INDEX(SETUP!$C$19:$G$121,MATCH((INDEX(PMtbl[[WKst]:[Unit of measure*]],MATCH($A93&amp;$E93&amp;$I93,INDEX(PMtbl[Category]&amp;PMtbl[Each]&amp;PMtbl[Packaging],0,),0),3)),SETUP!$D$19:$D$121,0),4))="Upfront",0,INDEX(SETUP!$C$19:$G$121,MATCH((INDEX(PMtbl[[WKst]:[Unit of measure*]],MATCH($A93&amp;$E93&amp;$I93,INDEX(PMtbl[Category]&amp;PMtbl[Each]&amp;PMtbl[Packaging],0,),0),3)),SETUP!$D$19:$D$121,0),5)),"")</f>
        <v/>
      </c>
      <c r="BL93" s="193" t="str" cm="1">
        <f t="array" ref="BL93">IF(E93&lt;&gt;"",IFERROR(INDEX(PMtbl[[WKst]:[Unit of measure*]],MATCH($A$8&amp;$A93&amp;$E93&amp;$I93,INDEX(PMtbl[Sec]&amp;PMtbl[Category]&amp;PMtbl[Each]&amp;PMtbl[Packaging],0,),0),11),""),"")</f>
        <v/>
      </c>
      <c r="BO93" s="12">
        <f>IF(N93="",0,IF(SETUP!$E$7="USD",((IF(O93="USD",P93,(P93/'Master Data-C19RM'!$C$2)))),((IF(O93="EUR",P93,(P93*'Master Data-C19RM'!$C$2))))))</f>
        <v>0</v>
      </c>
      <c r="BP93" s="12">
        <f>IF(N93="",0,IF(SETUP!$E$7="USD",((IF(O93="USD",W93,(W93/'Master Data-C19RM'!$D$2)))),((IF(O93="EUR",W93,(W93*'Master Data-C19RM'!$D$2))))))</f>
        <v>0</v>
      </c>
      <c r="BQ93">
        <f>IF(N93="",0,IF(SETUP!$E$7="USD",((IF(O93="USD",AD93,(AD93/'Master Data-C19RM'!$E$2)))),((IF(O93="EUR",AD93,(AD93*'Master Data-C19RM'!$E$2))))))</f>
        <v>0</v>
      </c>
      <c r="BR93">
        <f>IF(N93="",0,IF(SETUP!$E$7="USD",((IF(O93="USD",AK93,(AK93/'Master Data-C19RM'!$F$2)))),((IF(O93="EUR",AK93,(AK93*'Master Data-C19RM'!$F$2))))))</f>
        <v>0</v>
      </c>
      <c r="BS93">
        <f>IF(N93="",0,IF(SETUP!$E$7="USD",((IF(O93="USD",AR93,(AR93/'Master Data-C19RM'!$F$2)))),((IF(O93="EUR",AR93,(AR93*'Master Data-C19RM'!$G$2))))))</f>
        <v>0</v>
      </c>
      <c r="BT93">
        <f>IF(N93="",0,IF(SETUP!$E$7="USD",((IF(O93="USD",AY93,(AY93/'Master Data-C19RM'!$F$2)))),((IF(O93="EUR",AY93,(AY93*'Master Data-C19RM'!$H$2))))))</f>
        <v>0</v>
      </c>
      <c r="BU93" s="12">
        <f t="shared" si="3"/>
        <v>0</v>
      </c>
      <c r="BV93" s="142">
        <f t="shared" si="4"/>
        <v>0</v>
      </c>
    </row>
    <row r="94" spans="1:74" ht="14.9" customHeight="1" x14ac:dyDescent="0.35">
      <c r="A94" s="1172"/>
      <c r="B94" s="1172"/>
      <c r="C94" s="1172"/>
      <c r="D94" s="1172"/>
      <c r="E94" s="1172"/>
      <c r="F94" s="1172"/>
      <c r="G94" s="1172"/>
      <c r="H94" s="1172"/>
      <c r="I94" s="1173"/>
      <c r="J94" s="1173"/>
      <c r="K94" s="1173"/>
      <c r="L94" s="493" t="str" cm="1">
        <f t="array" ref="L94">IF(A94&lt;&gt;"",IFERROR(INDEX(PMtbl[[WKst]:[Unit of measure*]],MATCH($A$8&amp;$A94&amp;$E94&amp;$I94,INDEX(PMtbl[Sec]&amp;PMtbl[Category]&amp;PMtbl[Each]&amp;PMtbl[Packaging],0,),0),14),""),"")</f>
        <v/>
      </c>
      <c r="M94" s="480" t="str">
        <f>IF(L94="","",INDEX(SETUP!$E$20:$E$122,(MATCH(INDEX(PMsheet!$D:$E,MATCH(A94,PMsheet!E:E,0),1),SETUP!$D$20:$D$122,0))))</f>
        <v/>
      </c>
      <c r="N94" s="494">
        <f>IF($O94="USD",_xlfn.IFNA(VLOOKUP(A94&amp;E94&amp;I94,PMsheet!J:K,2,0),0),(_xlfn.IFNA(VLOOKUP(A94&amp;E94&amp;I94,PMsheet!J:K,2,0),0)*'Master Data-C19RM'!$C$2))</f>
        <v>0</v>
      </c>
      <c r="O94" s="495" t="str">
        <f>IF(L94="", "",SETUP!$E$7)</f>
        <v/>
      </c>
      <c r="P94" s="445">
        <f>IF($O94="USD",_xlfn.IFNA(VLOOKUP($A94&amp;$E94&amp;$I94,PMsheet!$J:$K,2,0),0),(_xlfn.IFNA(VLOOKUP($A94&amp;$E94&amp;$I94,PMsheet!$J:$K,2,0),0)*'Master Data-C19RM'!$C$2))</f>
        <v>0</v>
      </c>
      <c r="Q94" s="440"/>
      <c r="R94" s="440"/>
      <c r="S94" s="440"/>
      <c r="T94" s="440"/>
      <c r="U94" s="482">
        <f>SUM('C19RM 2021-Pharma'!$Q94:$T94)</f>
        <v>0</v>
      </c>
      <c r="V94" s="484">
        <f>IF(SETUP!$E$7="USD",(U94*(IF(O94="USD",P94,(P94/'Master Data-C19RM'!$C$2)))),(U94*(IF(O94="EUR",P94,(P94*'Master Data-C19RM'!$C$2)))))</f>
        <v>0</v>
      </c>
      <c r="W94" s="445">
        <f>IF($O94="USD",_xlfn.IFNA(VLOOKUP($A94&amp;$E94&amp;$I94,PMsheet!$J:$K,2,0),0),(_xlfn.IFNA(VLOOKUP($A94&amp;$E94&amp;$I94,PMsheet!$J:$K,2,0),0)*'Master Data-C19RM'!$D$2))</f>
        <v>0</v>
      </c>
      <c r="X94" s="440"/>
      <c r="Y94" s="440"/>
      <c r="Z94" s="440"/>
      <c r="AA94" s="440"/>
      <c r="AB94" s="482">
        <f>SUM('C19RM 2021-Pharma'!$X94:$AA94)</f>
        <v>0</v>
      </c>
      <c r="AC94" s="484">
        <f>IF(SETUP!$E$7="USD",(AB94*(IF(O94="USD",W94,(W94/'Master Data-C19RM'!$D$2)))),(AB94*(IF(O94="EUR",W94,(W94*'Master Data-C19RM'!$D$2)))))</f>
        <v>0</v>
      </c>
      <c r="AD94" s="445">
        <f>IF($O94="USD",_xlfn.IFNA(VLOOKUP($A94&amp;$E94&amp;$I94,PMsheet!$J:$K,2,0),0),(_xlfn.IFNA(VLOOKUP($A94&amp;$E94&amp;$I94,PMsheet!$J:$K,2,0),0)*'Master Data-C19RM'!$E$2))</f>
        <v>0</v>
      </c>
      <c r="AE94" s="440"/>
      <c r="AF94" s="440"/>
      <c r="AG94" s="440"/>
      <c r="AH94" s="440"/>
      <c r="AI94" s="482">
        <f>SUM('C19RM 2021-Pharma'!$AE94:$AH94)</f>
        <v>0</v>
      </c>
      <c r="AJ94" s="484">
        <f>IF(SETUP!$E$7="USD",(AI94*(IF(O94="USD",AD94,(AD94/'Master Data-C19RM'!$E$2)))),(AI94*(IF(O94="EUR",AD94,(AD94*'Master Data-C19RM'!$E$2)))))</f>
        <v>0</v>
      </c>
      <c r="AK94" s="445">
        <f>IF($O94="USD",_xlfn.IFNA(VLOOKUP($A94&amp;$E94&amp;$I94,PMsheet!$J:$K,2,0),0),(_xlfn.IFNA(VLOOKUP($A94&amp;$E94&amp;$I94,PMsheet!$J:$K,2,0),0)*'Master Data-C19RM'!$F$2))</f>
        <v>0</v>
      </c>
      <c r="AL94" s="440"/>
      <c r="AM94" s="440"/>
      <c r="AN94" s="440"/>
      <c r="AO94" s="440"/>
      <c r="AP94" s="482">
        <f>SUM('C19RM 2021-Pharma'!$AL94:$AO94)</f>
        <v>0</v>
      </c>
      <c r="AQ94" s="484">
        <f>IF(SETUP!$E$7="USD",(AP94*(IF(O94="USD",AK94,(AK94/'Master Data-C19RM'!$F$2)))),(AP94*(IF(O94="EUR",AK94,(AK94*'Master Data-C19RM'!$F$2)))))</f>
        <v>0</v>
      </c>
      <c r="AR94" s="445">
        <f>IF($O94="USD",_xlfn.IFNA(VLOOKUP($A94&amp;$E94&amp;$I94,PMsheet!$J:$K,2,0),0),(_xlfn.IFNA(VLOOKUP($A94&amp;$E94&amp;$I94,PMsheet!$J:$K,2,0),0)*'Master Data-C19RM'!$G$2))</f>
        <v>0</v>
      </c>
      <c r="AS94" s="440"/>
      <c r="AT94" s="440"/>
      <c r="AU94" s="440"/>
      <c r="AV94" s="440"/>
      <c r="AW94" s="482">
        <f>SUM('C19RM 2021-Pharma'!$AS94:$AV94)</f>
        <v>0</v>
      </c>
      <c r="AX94" s="484">
        <f>IF(SETUP!$E$7="USD",(AW94*(IF(O94="USD",AR94,(AR94/'Master Data-C19RM'!$G$2)))),(AW94*(IF(O94="EUR",AR94,(AR94*'Master Data-C19RM'!$G$2)))))</f>
        <v>0</v>
      </c>
      <c r="AY94" s="889"/>
      <c r="AZ94" s="884"/>
      <c r="BA94" s="884"/>
      <c r="BB94" s="884"/>
      <c r="BC94" s="884"/>
      <c r="BD94" s="884"/>
      <c r="BE94" s="885"/>
      <c r="BF94" s="504">
        <f>'C19RM 2021-Pharma'!$U94+'C19RM 2021-Pharma'!$AB94+'C19RM 2021-Pharma'!$AP94+'C19RM 2021-Pharma'!$AI94+$AW94+$BD94</f>
        <v>0</v>
      </c>
      <c r="BG94" s="484">
        <f>'C19RM 2021-Pharma'!$V94+'C19RM 2021-Pharma'!$AC94+'C19RM 2021-Pharma'!$AQ94+'C19RM 2021-Pharma'!$AJ94+$AX94+$BE94</f>
        <v>0</v>
      </c>
      <c r="BH94" s="499" t="str" cm="1">
        <f t="array" ref="BH94">IF(A94&lt;&gt;"",IFERROR(INDEX(PMtbl[[WKst]:[Unit of measure*]],MATCH($A$8&amp;$A94&amp;$E94&amp;$I94,INDEX(PMtbl[Sec]&amp;PMtbl[Category]&amp;PMtbl[Each]&amp;PMtbl[Packaging],0,),0),11),""),"")</f>
        <v/>
      </c>
      <c r="BI94" s="818"/>
      <c r="BJ94" s="503" t="str">
        <f>IFERROR(INDEX(SETUP!$C$19:$G$121,MATCH((INDEX(PMtbl[[WKst]:[Unit of measure*]],MATCH($A94&amp;$E94&amp;$I94,INDEX(PMtbl[Category]&amp;PMtbl[Each]&amp;PMtbl[Packaging],0,),0),3)),SETUP!$D$19:$D$121,0),5),"")</f>
        <v/>
      </c>
      <c r="BK94" s="439" t="str">
        <f>IFERROR(IF((INDEX(SETUP!$C$19:$G$121,MATCH((INDEX(PMtbl[[WKst]:[Unit of measure*]],MATCH($A94&amp;$E94&amp;$I94,INDEX(PMtbl[Category]&amp;PMtbl[Each]&amp;PMtbl[Packaging],0,),0),3)),SETUP!$D$19:$D$121,0),4))="Upfront",0,INDEX(SETUP!$C$19:$G$121,MATCH((INDEX(PMtbl[[WKst]:[Unit of measure*]],MATCH($A94&amp;$E94&amp;$I94,INDEX(PMtbl[Category]&amp;PMtbl[Each]&amp;PMtbl[Packaging],0,),0),3)),SETUP!$D$19:$D$121,0),5)),"")</f>
        <v/>
      </c>
      <c r="BL94" s="194" t="str" cm="1">
        <f t="array" ref="BL94">IF(E94&lt;&gt;"",IFERROR(INDEX(PMtbl[[WKst]:[Unit of measure*]],MATCH($A$8&amp;$A94&amp;$E94&amp;$I94,INDEX(PMtbl[Sec]&amp;PMtbl[Category]&amp;PMtbl[Each]&amp;PMtbl[Packaging],0,),0),11),""),"")</f>
        <v/>
      </c>
      <c r="BO94" s="12">
        <f>IF(N94="",0,IF(SETUP!$E$7="USD",((IF(O94="USD",P94,(P94/'Master Data-C19RM'!$C$2)))),((IF(O94="EUR",P94,(P94*'Master Data-C19RM'!$C$2))))))</f>
        <v>0</v>
      </c>
      <c r="BP94" s="12">
        <f>IF(N94="",0,IF(SETUP!$E$7="USD",((IF(O94="USD",W94,(W94/'Master Data-C19RM'!$D$2)))),((IF(O94="EUR",W94,(W94*'Master Data-C19RM'!$D$2))))))</f>
        <v>0</v>
      </c>
      <c r="BQ94">
        <f>IF(N94="",0,IF(SETUP!$E$7="USD",((IF(O94="USD",AD94,(AD94/'Master Data-C19RM'!$E$2)))),((IF(O94="EUR",AD94,(AD94*'Master Data-C19RM'!$E$2))))))</f>
        <v>0</v>
      </c>
      <c r="BR94">
        <f>IF(N94="",0,IF(SETUP!$E$7="USD",((IF(O94="USD",AK94,(AK94/'Master Data-C19RM'!$F$2)))),((IF(O94="EUR",AK94,(AK94*'Master Data-C19RM'!$F$2))))))</f>
        <v>0</v>
      </c>
      <c r="BS94">
        <f>IF(N94="",0,IF(SETUP!$E$7="USD",((IF(O94="USD",AR94,(AR94/'Master Data-C19RM'!$F$2)))),((IF(O94="EUR",AR94,(AR94*'Master Data-C19RM'!$G$2))))))</f>
        <v>0</v>
      </c>
      <c r="BT94">
        <f>IF(N94="",0,IF(SETUP!$E$7="USD",((IF(O94="USD",AY94,(AY94/'Master Data-C19RM'!$F$2)))),((IF(O94="EUR",AY94,(AY94*'Master Data-C19RM'!$H$2))))))</f>
        <v>0</v>
      </c>
      <c r="BU94" s="12">
        <f t="shared" si="3"/>
        <v>0</v>
      </c>
      <c r="BV94" s="142">
        <f t="shared" si="4"/>
        <v>0</v>
      </c>
    </row>
    <row r="95" spans="1:74" ht="14.9" customHeight="1" x14ac:dyDescent="0.35">
      <c r="A95" s="1165"/>
      <c r="B95" s="1165"/>
      <c r="C95" s="1165"/>
      <c r="D95" s="1165"/>
      <c r="E95" s="1166"/>
      <c r="F95" s="1166"/>
      <c r="G95" s="1166"/>
      <c r="H95" s="1166"/>
      <c r="I95" s="1166"/>
      <c r="J95" s="1166"/>
      <c r="K95" s="1166"/>
      <c r="L95" s="490" t="str" cm="1">
        <f t="array" ref="L95">IF(A95&lt;&gt;"",IFERROR(INDEX(PMtbl[[WKst]:[Unit of measure*]],MATCH($A$8&amp;$A95&amp;$E95&amp;$I95,INDEX(PMtbl[Sec]&amp;PMtbl[Category]&amp;PMtbl[Each]&amp;PMtbl[Packaging],0,),0),14),""),"")</f>
        <v/>
      </c>
      <c r="M95" s="479" t="str">
        <f>IF(L95="","",INDEX(SETUP!$E$20:$E$122,(MATCH(INDEX(PMsheet!$D:$E,MATCH(A95,PMsheet!E:E,0),1),SETUP!$D$20:$D$122,0))))</f>
        <v/>
      </c>
      <c r="N95" s="491">
        <f>IF($O95="USD",_xlfn.IFNA(VLOOKUP(A95&amp;E95&amp;I95,PMsheet!J:K,2,0),0),(_xlfn.IFNA(VLOOKUP(A95&amp;E95&amp;I95,PMsheet!J:K,2,0),0)*'Master Data-C19RM'!$C$2))</f>
        <v>0</v>
      </c>
      <c r="O95" s="492" t="str">
        <f>IF(L95="", "",SETUP!$E$7)</f>
        <v/>
      </c>
      <c r="P95" s="444">
        <f>IF($O95="USD",_xlfn.IFNA(VLOOKUP($A95&amp;$E95&amp;$I95,PMsheet!$J:$K,2,0),0),(_xlfn.IFNA(VLOOKUP($A95&amp;$E95&amp;$I95,PMsheet!$J:$K,2,0),0)*'Master Data-C19RM'!$C$2))</f>
        <v>0</v>
      </c>
      <c r="Q95" s="441"/>
      <c r="R95" s="441"/>
      <c r="S95" s="441"/>
      <c r="T95" s="441"/>
      <c r="U95" s="481">
        <f>SUM('C19RM 2021-Pharma'!$Q95:$T95)</f>
        <v>0</v>
      </c>
      <c r="V95" s="483">
        <f>IF(SETUP!$E$7="USD",(U95*(IF(O95="USD",P95,(P95/'Master Data-C19RM'!$C$2)))),(U95*(IF(O95="EUR",P95,(P95*'Master Data-C19RM'!$C$2)))))</f>
        <v>0</v>
      </c>
      <c r="W95" s="444">
        <f>IF($O95="USD",_xlfn.IFNA(VLOOKUP($A95&amp;$E95&amp;$I95,PMsheet!$J:$K,2,0),0),(_xlfn.IFNA(VLOOKUP($A95&amp;$E95&amp;$I95,PMsheet!$J:$K,2,0),0)*'Master Data-C19RM'!$D$2))</f>
        <v>0</v>
      </c>
      <c r="X95" s="441"/>
      <c r="Y95" s="441"/>
      <c r="Z95" s="441"/>
      <c r="AA95" s="441"/>
      <c r="AB95" s="481">
        <f>SUM('C19RM 2021-Pharma'!$X95:$AA95)</f>
        <v>0</v>
      </c>
      <c r="AC95" s="483">
        <f>IF(SETUP!$E$7="USD",(AB95*(IF(O95="USD",W95,(W95/'Master Data-C19RM'!$D$2)))),(AB95*(IF(O95="EUR",W95,(W95*'Master Data-C19RM'!$D$2)))))</f>
        <v>0</v>
      </c>
      <c r="AD95" s="444">
        <f>IF($O95="USD",_xlfn.IFNA(VLOOKUP($A95&amp;$E95&amp;$I95,PMsheet!$J:$K,2,0),0),(_xlfn.IFNA(VLOOKUP($A95&amp;$E95&amp;$I95,PMsheet!$J:$K,2,0),0)*'Master Data-C19RM'!$E$2))</f>
        <v>0</v>
      </c>
      <c r="AE95" s="441"/>
      <c r="AF95" s="441"/>
      <c r="AG95" s="441"/>
      <c r="AH95" s="441"/>
      <c r="AI95" s="481">
        <f>SUM('C19RM 2021-Pharma'!$AE95:$AH95)</f>
        <v>0</v>
      </c>
      <c r="AJ95" s="483">
        <f>IF(SETUP!$E$7="USD",(AI95*(IF(O95="USD",AD95,(AD95/'Master Data-C19RM'!$E$2)))),(AI95*(IF(O95="EUR",AD95,(AD95*'Master Data-C19RM'!$E$2)))))</f>
        <v>0</v>
      </c>
      <c r="AK95" s="444">
        <f>IF($O95="USD",_xlfn.IFNA(VLOOKUP($A95&amp;$E95&amp;$I95,PMsheet!$J:$K,2,0),0),(_xlfn.IFNA(VLOOKUP($A95&amp;$E95&amp;$I95,PMsheet!$J:$K,2,0),0)*'Master Data-C19RM'!$F$2))</f>
        <v>0</v>
      </c>
      <c r="AL95" s="441"/>
      <c r="AM95" s="441"/>
      <c r="AN95" s="441"/>
      <c r="AO95" s="441"/>
      <c r="AP95" s="481">
        <f>SUM('C19RM 2021-Pharma'!$AL95:$AO95)</f>
        <v>0</v>
      </c>
      <c r="AQ95" s="483">
        <f>IF(SETUP!$E$7="USD",(AP95*(IF(O95="USD",AK95,(AK95/'Master Data-C19RM'!$F$2)))),(AP95*(IF(O95="EUR",AK95,(AK95*'Master Data-C19RM'!$F$2)))))</f>
        <v>0</v>
      </c>
      <c r="AR95" s="444">
        <f>IF($O95="USD",_xlfn.IFNA(VLOOKUP($A95&amp;$E95&amp;$I95,PMsheet!$J:$K,2,0),0),(_xlfn.IFNA(VLOOKUP($A95&amp;$E95&amp;$I95,PMsheet!$J:$K,2,0),0)*'Master Data-C19RM'!$G$2))</f>
        <v>0</v>
      </c>
      <c r="AS95" s="441"/>
      <c r="AT95" s="441"/>
      <c r="AU95" s="441"/>
      <c r="AV95" s="441"/>
      <c r="AW95" s="481">
        <f>SUM('C19RM 2021-Pharma'!$AS95:$AV95)</f>
        <v>0</v>
      </c>
      <c r="AX95" s="483">
        <f>IF(SETUP!$E$7="USD",(AW95*(IF(O95="USD",AR95,(AR95/'Master Data-C19RM'!$G$2)))),(AW95*(IF(O95="EUR",AR95,(AR95*'Master Data-C19RM'!$G$2)))))</f>
        <v>0</v>
      </c>
      <c r="AY95" s="886"/>
      <c r="AZ95" s="887"/>
      <c r="BA95" s="887"/>
      <c r="BB95" s="887"/>
      <c r="BC95" s="887"/>
      <c r="BD95" s="887"/>
      <c r="BE95" s="888"/>
      <c r="BF95" s="505">
        <f>'C19RM 2021-Pharma'!$U95+'C19RM 2021-Pharma'!$AB95+'C19RM 2021-Pharma'!$AP95+'C19RM 2021-Pharma'!$AI95+$AW95+$BD95</f>
        <v>0</v>
      </c>
      <c r="BG95" s="483">
        <f>'C19RM 2021-Pharma'!$V95+'C19RM 2021-Pharma'!$AC95+'C19RM 2021-Pharma'!$AQ95+'C19RM 2021-Pharma'!$AJ95+$AX95+$BE95</f>
        <v>0</v>
      </c>
      <c r="BH95" s="500" t="str" cm="1">
        <f t="array" ref="BH95">IF(A95&lt;&gt;"",IFERROR(INDEX(PMtbl[[WKst]:[Unit of measure*]],MATCH($A$8&amp;$A95&amp;$E95&amp;$I95,INDEX(PMtbl[Sec]&amp;PMtbl[Category]&amp;PMtbl[Each]&amp;PMtbl[Packaging],0,),0),11),""),"")</f>
        <v/>
      </c>
      <c r="BI95" s="819"/>
      <c r="BJ95" s="502" t="str">
        <f>IFERROR(INDEX(SETUP!$C$19:$G$121,MATCH((INDEX(PMtbl[[WKst]:[Unit of measure*]],MATCH($A95&amp;$E95&amp;$I95,INDEX(PMtbl[Category]&amp;PMtbl[Each]&amp;PMtbl[Packaging],0,),0),3)),SETUP!$D$19:$D$121,0),5),"")</f>
        <v/>
      </c>
      <c r="BK95" s="438" t="str">
        <f>IFERROR(IF((INDEX(SETUP!$C$19:$G$121,MATCH((INDEX(PMtbl[[WKst]:[Unit of measure*]],MATCH($A95&amp;$E95&amp;$I95,INDEX(PMtbl[Category]&amp;PMtbl[Each]&amp;PMtbl[Packaging],0,),0),3)),SETUP!$D$19:$D$121,0),4))="Upfront",0,INDEX(SETUP!$C$19:$G$121,MATCH((INDEX(PMtbl[[WKst]:[Unit of measure*]],MATCH($A95&amp;$E95&amp;$I95,INDEX(PMtbl[Category]&amp;PMtbl[Each]&amp;PMtbl[Packaging],0,),0),3)),SETUP!$D$19:$D$121,0),5)),"")</f>
        <v/>
      </c>
      <c r="BL95" s="193" t="str" cm="1">
        <f t="array" ref="BL95">IF(E95&lt;&gt;"",IFERROR(INDEX(PMtbl[[WKst]:[Unit of measure*]],MATCH($A$8&amp;$A95&amp;$E95&amp;$I95,INDEX(PMtbl[Sec]&amp;PMtbl[Category]&amp;PMtbl[Each]&amp;PMtbl[Packaging],0,),0),11),""),"")</f>
        <v/>
      </c>
      <c r="BO95" s="12">
        <f>IF(N95="",0,IF(SETUP!$E$7="USD",((IF(O95="USD",P95,(P95/'Master Data-C19RM'!$C$2)))),((IF(O95="EUR",P95,(P95*'Master Data-C19RM'!$C$2))))))</f>
        <v>0</v>
      </c>
      <c r="BP95" s="12">
        <f>IF(N95="",0,IF(SETUP!$E$7="USD",((IF(O95="USD",W95,(W95/'Master Data-C19RM'!$D$2)))),((IF(O95="EUR",W95,(W95*'Master Data-C19RM'!$D$2))))))</f>
        <v>0</v>
      </c>
      <c r="BQ95">
        <f>IF(N95="",0,IF(SETUP!$E$7="USD",((IF(O95="USD",AD95,(AD95/'Master Data-C19RM'!$E$2)))),((IF(O95="EUR",AD95,(AD95*'Master Data-C19RM'!$E$2))))))</f>
        <v>0</v>
      </c>
      <c r="BR95">
        <f>IF(N95="",0,IF(SETUP!$E$7="USD",((IF(O95="USD",AK95,(AK95/'Master Data-C19RM'!$F$2)))),((IF(O95="EUR",AK95,(AK95*'Master Data-C19RM'!$F$2))))))</f>
        <v>0</v>
      </c>
      <c r="BS95">
        <f>IF(N95="",0,IF(SETUP!$E$7="USD",((IF(O95="USD",AR95,(AR95/'Master Data-C19RM'!$F$2)))),((IF(O95="EUR",AR95,(AR95*'Master Data-C19RM'!$G$2))))))</f>
        <v>0</v>
      </c>
      <c r="BT95">
        <f>IF(N95="",0,IF(SETUP!$E$7="USD",((IF(O95="USD",AY95,(AY95/'Master Data-C19RM'!$F$2)))),((IF(O95="EUR",AY95,(AY95*'Master Data-C19RM'!$H$2))))))</f>
        <v>0</v>
      </c>
      <c r="BU95" s="12">
        <f t="shared" si="3"/>
        <v>0</v>
      </c>
      <c r="BV95" s="142">
        <f t="shared" si="4"/>
        <v>0</v>
      </c>
    </row>
    <row r="96" spans="1:74" ht="14.9" customHeight="1" x14ac:dyDescent="0.35">
      <c r="A96" s="1172"/>
      <c r="B96" s="1172"/>
      <c r="C96" s="1172"/>
      <c r="D96" s="1172"/>
      <c r="E96" s="1172"/>
      <c r="F96" s="1172"/>
      <c r="G96" s="1172"/>
      <c r="H96" s="1172"/>
      <c r="I96" s="1173"/>
      <c r="J96" s="1173"/>
      <c r="K96" s="1173"/>
      <c r="L96" s="493" t="str" cm="1">
        <f t="array" ref="L96">IF(A96&lt;&gt;"",IFERROR(INDEX(PMtbl[[WKst]:[Unit of measure*]],MATCH($A$8&amp;$A96&amp;$E96&amp;$I96,INDEX(PMtbl[Sec]&amp;PMtbl[Category]&amp;PMtbl[Each]&amp;PMtbl[Packaging],0,),0),14),""),"")</f>
        <v/>
      </c>
      <c r="M96" s="480" t="str">
        <f>IF(L96="","",INDEX(SETUP!$E$20:$E$122,(MATCH(INDEX(PMsheet!$D:$E,MATCH(A96,PMsheet!E:E,0),1),SETUP!$D$20:$D$122,0))))</f>
        <v/>
      </c>
      <c r="N96" s="494">
        <f>IF($O96="USD",_xlfn.IFNA(VLOOKUP(A96&amp;E96&amp;I96,PMsheet!J:K,2,0),0),(_xlfn.IFNA(VLOOKUP(A96&amp;E96&amp;I96,PMsheet!J:K,2,0),0)*'Master Data-C19RM'!$C$2))</f>
        <v>0</v>
      </c>
      <c r="O96" s="495" t="str">
        <f>IF(L96="", "",SETUP!$E$7)</f>
        <v/>
      </c>
      <c r="P96" s="445">
        <f>IF($O96="USD",_xlfn.IFNA(VLOOKUP($A96&amp;$E96&amp;$I96,PMsheet!$J:$K,2,0),0),(_xlfn.IFNA(VLOOKUP($A96&amp;$E96&amp;$I96,PMsheet!$J:$K,2,0),0)*'Master Data-C19RM'!$C$2))</f>
        <v>0</v>
      </c>
      <c r="Q96" s="440"/>
      <c r="R96" s="440"/>
      <c r="S96" s="440"/>
      <c r="T96" s="440"/>
      <c r="U96" s="482">
        <f>SUM('C19RM 2021-Pharma'!$Q96:$T96)</f>
        <v>0</v>
      </c>
      <c r="V96" s="484">
        <f>IF(SETUP!$E$7="USD",(U96*(IF(O96="USD",P96,(P96/'Master Data-C19RM'!$C$2)))),(U96*(IF(O96="EUR",P96,(P96*'Master Data-C19RM'!$C$2)))))</f>
        <v>0</v>
      </c>
      <c r="W96" s="445">
        <f>IF($O96="USD",_xlfn.IFNA(VLOOKUP($A96&amp;$E96&amp;$I96,PMsheet!$J:$K,2,0),0),(_xlfn.IFNA(VLOOKUP($A96&amp;$E96&amp;$I96,PMsheet!$J:$K,2,0),0)*'Master Data-C19RM'!$D$2))</f>
        <v>0</v>
      </c>
      <c r="X96" s="440"/>
      <c r="Y96" s="440"/>
      <c r="Z96" s="440"/>
      <c r="AA96" s="440"/>
      <c r="AB96" s="482">
        <f>SUM('C19RM 2021-Pharma'!$X96:$AA96)</f>
        <v>0</v>
      </c>
      <c r="AC96" s="484">
        <f>IF(SETUP!$E$7="USD",(AB96*(IF(O96="USD",W96,(W96/'Master Data-C19RM'!$D$2)))),(AB96*(IF(O96="EUR",W96,(W96*'Master Data-C19RM'!$D$2)))))</f>
        <v>0</v>
      </c>
      <c r="AD96" s="445">
        <f>IF($O96="USD",_xlfn.IFNA(VLOOKUP($A96&amp;$E96&amp;$I96,PMsheet!$J:$K,2,0),0),(_xlfn.IFNA(VLOOKUP($A96&amp;$E96&amp;$I96,PMsheet!$J:$K,2,0),0)*'Master Data-C19RM'!$E$2))</f>
        <v>0</v>
      </c>
      <c r="AE96" s="440"/>
      <c r="AF96" s="440"/>
      <c r="AG96" s="440"/>
      <c r="AH96" s="440"/>
      <c r="AI96" s="482">
        <f>SUM('C19RM 2021-Pharma'!$AE96:$AH96)</f>
        <v>0</v>
      </c>
      <c r="AJ96" s="484">
        <f>IF(SETUP!$E$7="USD",(AI96*(IF(O96="USD",AD96,(AD96/'Master Data-C19RM'!$E$2)))),(AI96*(IF(O96="EUR",AD96,(AD96*'Master Data-C19RM'!$E$2)))))</f>
        <v>0</v>
      </c>
      <c r="AK96" s="445">
        <f>IF($O96="USD",_xlfn.IFNA(VLOOKUP($A96&amp;$E96&amp;$I96,PMsheet!$J:$K,2,0),0),(_xlfn.IFNA(VLOOKUP($A96&amp;$E96&amp;$I96,PMsheet!$J:$K,2,0),0)*'Master Data-C19RM'!$F$2))</f>
        <v>0</v>
      </c>
      <c r="AL96" s="440"/>
      <c r="AM96" s="440"/>
      <c r="AN96" s="440"/>
      <c r="AO96" s="440"/>
      <c r="AP96" s="482">
        <f>SUM('C19RM 2021-Pharma'!$AL96:$AO96)</f>
        <v>0</v>
      </c>
      <c r="AQ96" s="484">
        <f>IF(SETUP!$E$7="USD",(AP96*(IF(O96="USD",AK96,(AK96/'Master Data-C19RM'!$F$2)))),(AP96*(IF(O96="EUR",AK96,(AK96*'Master Data-C19RM'!$F$2)))))</f>
        <v>0</v>
      </c>
      <c r="AR96" s="445">
        <f>IF($O96="USD",_xlfn.IFNA(VLOOKUP($A96&amp;$E96&amp;$I96,PMsheet!$J:$K,2,0),0),(_xlfn.IFNA(VLOOKUP($A96&amp;$E96&amp;$I96,PMsheet!$J:$K,2,0),0)*'Master Data-C19RM'!$G$2))</f>
        <v>0</v>
      </c>
      <c r="AS96" s="440"/>
      <c r="AT96" s="440"/>
      <c r="AU96" s="440"/>
      <c r="AV96" s="440"/>
      <c r="AW96" s="482">
        <f>SUM('C19RM 2021-Pharma'!$AS96:$AV96)</f>
        <v>0</v>
      </c>
      <c r="AX96" s="484">
        <f>IF(SETUP!$E$7="USD",(AW96*(IF(O96="USD",AR96,(AR96/'Master Data-C19RM'!$G$2)))),(AW96*(IF(O96="EUR",AR96,(AR96*'Master Data-C19RM'!$G$2)))))</f>
        <v>0</v>
      </c>
      <c r="AY96" s="889"/>
      <c r="AZ96" s="884"/>
      <c r="BA96" s="884"/>
      <c r="BB96" s="884"/>
      <c r="BC96" s="884"/>
      <c r="BD96" s="884"/>
      <c r="BE96" s="885"/>
      <c r="BF96" s="504">
        <f>'C19RM 2021-Pharma'!$U96+'C19RM 2021-Pharma'!$AB96+'C19RM 2021-Pharma'!$AP96+'C19RM 2021-Pharma'!$AI96+$AW96+$BD96</f>
        <v>0</v>
      </c>
      <c r="BG96" s="484">
        <f>'C19RM 2021-Pharma'!$V96+'C19RM 2021-Pharma'!$AC96+'C19RM 2021-Pharma'!$AQ96+'C19RM 2021-Pharma'!$AJ96+$AX96+$BE96</f>
        <v>0</v>
      </c>
      <c r="BH96" s="499" t="str" cm="1">
        <f t="array" ref="BH96">IF(A96&lt;&gt;"",IFERROR(INDEX(PMtbl[[WKst]:[Unit of measure*]],MATCH($A$8&amp;$A96&amp;$E96&amp;$I96,INDEX(PMtbl[Sec]&amp;PMtbl[Category]&amp;PMtbl[Each]&amp;PMtbl[Packaging],0,),0),11),""),"")</f>
        <v/>
      </c>
      <c r="BI96" s="818"/>
      <c r="BJ96" s="503" t="str">
        <f>IFERROR(INDEX(SETUP!$C$19:$G$121,MATCH((INDEX(PMtbl[[WKst]:[Unit of measure*]],MATCH($A96&amp;$E96&amp;$I96,INDEX(PMtbl[Category]&amp;PMtbl[Each]&amp;PMtbl[Packaging],0,),0),3)),SETUP!$D$19:$D$121,0),5),"")</f>
        <v/>
      </c>
      <c r="BK96" s="439" t="str">
        <f>IFERROR(IF((INDEX(SETUP!$C$19:$G$121,MATCH((INDEX(PMtbl[[WKst]:[Unit of measure*]],MATCH($A96&amp;$E96&amp;$I96,INDEX(PMtbl[Category]&amp;PMtbl[Each]&amp;PMtbl[Packaging],0,),0),3)),SETUP!$D$19:$D$121,0),4))="Upfront",0,INDEX(SETUP!$C$19:$G$121,MATCH((INDEX(PMtbl[[WKst]:[Unit of measure*]],MATCH($A96&amp;$E96&amp;$I96,INDEX(PMtbl[Category]&amp;PMtbl[Each]&amp;PMtbl[Packaging],0,),0),3)),SETUP!$D$19:$D$121,0),5)),"")</f>
        <v/>
      </c>
      <c r="BL96" s="194" t="str" cm="1">
        <f t="array" ref="BL96">IF(E96&lt;&gt;"",IFERROR(INDEX(PMtbl[[WKst]:[Unit of measure*]],MATCH($A$8&amp;$A96&amp;$E96&amp;$I96,INDEX(PMtbl[Sec]&amp;PMtbl[Category]&amp;PMtbl[Each]&amp;PMtbl[Packaging],0,),0),11),""),"")</f>
        <v/>
      </c>
      <c r="BO96" s="12">
        <f>IF(N96="",0,IF(SETUP!$E$7="USD",((IF(O96="USD",P96,(P96/'Master Data-C19RM'!$C$2)))),((IF(O96="EUR",P96,(P96*'Master Data-C19RM'!$C$2))))))</f>
        <v>0</v>
      </c>
      <c r="BP96" s="12">
        <f>IF(N96="",0,IF(SETUP!$E$7="USD",((IF(O96="USD",W96,(W96/'Master Data-C19RM'!$D$2)))),((IF(O96="EUR",W96,(W96*'Master Data-C19RM'!$D$2))))))</f>
        <v>0</v>
      </c>
      <c r="BQ96">
        <f>IF(N96="",0,IF(SETUP!$E$7="USD",((IF(O96="USD",AD96,(AD96/'Master Data-C19RM'!$E$2)))),((IF(O96="EUR",AD96,(AD96*'Master Data-C19RM'!$E$2))))))</f>
        <v>0</v>
      </c>
      <c r="BR96">
        <f>IF(N96="",0,IF(SETUP!$E$7="USD",((IF(O96="USD",AK96,(AK96/'Master Data-C19RM'!$F$2)))),((IF(O96="EUR",AK96,(AK96*'Master Data-C19RM'!$F$2))))))</f>
        <v>0</v>
      </c>
      <c r="BS96">
        <f>IF(N96="",0,IF(SETUP!$E$7="USD",((IF(O96="USD",AR96,(AR96/'Master Data-C19RM'!$F$2)))),((IF(O96="EUR",AR96,(AR96*'Master Data-C19RM'!$G$2))))))</f>
        <v>0</v>
      </c>
      <c r="BT96">
        <f>IF(N96="",0,IF(SETUP!$E$7="USD",((IF(O96="USD",AY96,(AY96/'Master Data-C19RM'!$F$2)))),((IF(O96="EUR",AY96,(AY96*'Master Data-C19RM'!$H$2))))))</f>
        <v>0</v>
      </c>
      <c r="BU96" s="12">
        <f t="shared" si="3"/>
        <v>0</v>
      </c>
      <c r="BV96" s="142">
        <f t="shared" si="4"/>
        <v>0</v>
      </c>
    </row>
    <row r="97" spans="1:74" ht="14.9" customHeight="1" x14ac:dyDescent="0.35">
      <c r="A97" s="1165"/>
      <c r="B97" s="1165"/>
      <c r="C97" s="1165"/>
      <c r="D97" s="1165"/>
      <c r="E97" s="1166"/>
      <c r="F97" s="1166"/>
      <c r="G97" s="1166"/>
      <c r="H97" s="1166"/>
      <c r="I97" s="1166"/>
      <c r="J97" s="1166"/>
      <c r="K97" s="1166"/>
      <c r="L97" s="490" t="str" cm="1">
        <f t="array" ref="L97">IF(A97&lt;&gt;"",IFERROR(INDEX(PMtbl[[WKst]:[Unit of measure*]],MATCH($A$8&amp;$A97&amp;$E97&amp;$I97,INDEX(PMtbl[Sec]&amp;PMtbl[Category]&amp;PMtbl[Each]&amp;PMtbl[Packaging],0,),0),14),""),"")</f>
        <v/>
      </c>
      <c r="M97" s="479" t="str">
        <f>IF(L97="","",INDEX(SETUP!$E$20:$E$122,(MATCH(INDEX(PMsheet!$D:$E,MATCH(A97,PMsheet!E:E,0),1),SETUP!$D$20:$D$122,0))))</f>
        <v/>
      </c>
      <c r="N97" s="491">
        <f>IF($O97="USD",_xlfn.IFNA(VLOOKUP(A97&amp;E97&amp;I97,PMsheet!J:K,2,0),0),(_xlfn.IFNA(VLOOKUP(A97&amp;E97&amp;I97,PMsheet!J:K,2,0),0)*'Master Data-C19RM'!$C$2))</f>
        <v>0</v>
      </c>
      <c r="O97" s="492" t="str">
        <f>IF(L97="", "",SETUP!$E$7)</f>
        <v/>
      </c>
      <c r="P97" s="444">
        <f>IF($O97="USD",_xlfn.IFNA(VLOOKUP($A97&amp;$E97&amp;$I97,PMsheet!$J:$K,2,0),0),(_xlfn.IFNA(VLOOKUP($A97&amp;$E97&amp;$I97,PMsheet!$J:$K,2,0),0)*'Master Data-C19RM'!$C$2))</f>
        <v>0</v>
      </c>
      <c r="Q97" s="441"/>
      <c r="R97" s="441"/>
      <c r="S97" s="441"/>
      <c r="T97" s="441"/>
      <c r="U97" s="481">
        <f>SUM('C19RM 2021-Pharma'!$Q97:$T97)</f>
        <v>0</v>
      </c>
      <c r="V97" s="483">
        <f>IF(SETUP!$E$7="USD",(U97*(IF(O97="USD",P97,(P97/'Master Data-C19RM'!$C$2)))),(U97*(IF(O97="EUR",P97,(P97*'Master Data-C19RM'!$C$2)))))</f>
        <v>0</v>
      </c>
      <c r="W97" s="444">
        <f>IF($O97="USD",_xlfn.IFNA(VLOOKUP($A97&amp;$E97&amp;$I97,PMsheet!$J:$K,2,0),0),(_xlfn.IFNA(VLOOKUP($A97&amp;$E97&amp;$I97,PMsheet!$J:$K,2,0),0)*'Master Data-C19RM'!$D$2))</f>
        <v>0</v>
      </c>
      <c r="X97" s="441"/>
      <c r="Y97" s="441"/>
      <c r="Z97" s="441"/>
      <c r="AA97" s="441"/>
      <c r="AB97" s="481">
        <f>SUM('C19RM 2021-Pharma'!$X97:$AA97)</f>
        <v>0</v>
      </c>
      <c r="AC97" s="483">
        <f>IF(SETUP!$E$7="USD",(AB97*(IF(O97="USD",W97,(W97/'Master Data-C19RM'!$D$2)))),(AB97*(IF(O97="EUR",W97,(W97*'Master Data-C19RM'!$D$2)))))</f>
        <v>0</v>
      </c>
      <c r="AD97" s="444">
        <f>IF($O97="USD",_xlfn.IFNA(VLOOKUP($A97&amp;$E97&amp;$I97,PMsheet!$J:$K,2,0),0),(_xlfn.IFNA(VLOOKUP($A97&amp;$E97&amp;$I97,PMsheet!$J:$K,2,0),0)*'Master Data-C19RM'!$E$2))</f>
        <v>0</v>
      </c>
      <c r="AE97" s="441"/>
      <c r="AF97" s="441"/>
      <c r="AG97" s="441"/>
      <c r="AH97" s="441"/>
      <c r="AI97" s="481">
        <f>SUM('C19RM 2021-Pharma'!$AE97:$AH97)</f>
        <v>0</v>
      </c>
      <c r="AJ97" s="483">
        <f>IF(SETUP!$E$7="USD",(AI97*(IF(O97="USD",AD97,(AD97/'Master Data-C19RM'!$E$2)))),(AI97*(IF(O97="EUR",AD97,(AD97*'Master Data-C19RM'!$E$2)))))</f>
        <v>0</v>
      </c>
      <c r="AK97" s="444">
        <f>IF($O97="USD",_xlfn.IFNA(VLOOKUP($A97&amp;$E97&amp;$I97,PMsheet!$J:$K,2,0),0),(_xlfn.IFNA(VLOOKUP($A97&amp;$E97&amp;$I97,PMsheet!$J:$K,2,0),0)*'Master Data-C19RM'!$F$2))</f>
        <v>0</v>
      </c>
      <c r="AL97" s="441"/>
      <c r="AM97" s="441"/>
      <c r="AN97" s="441"/>
      <c r="AO97" s="441"/>
      <c r="AP97" s="481">
        <f>SUM('C19RM 2021-Pharma'!$AL97:$AO97)</f>
        <v>0</v>
      </c>
      <c r="AQ97" s="483">
        <f>IF(SETUP!$E$7="USD",(AP97*(IF(O97="USD",AK97,(AK97/'Master Data-C19RM'!$F$2)))),(AP97*(IF(O97="EUR",AK97,(AK97*'Master Data-C19RM'!$F$2)))))</f>
        <v>0</v>
      </c>
      <c r="AR97" s="444">
        <f>IF($O97="USD",_xlfn.IFNA(VLOOKUP($A97&amp;$E97&amp;$I97,PMsheet!$J:$K,2,0),0),(_xlfn.IFNA(VLOOKUP($A97&amp;$E97&amp;$I97,PMsheet!$J:$K,2,0),0)*'Master Data-C19RM'!$G$2))</f>
        <v>0</v>
      </c>
      <c r="AS97" s="441"/>
      <c r="AT97" s="441"/>
      <c r="AU97" s="441"/>
      <c r="AV97" s="441"/>
      <c r="AW97" s="481">
        <f>SUM('C19RM 2021-Pharma'!$AS97:$AV97)</f>
        <v>0</v>
      </c>
      <c r="AX97" s="483">
        <f>IF(SETUP!$E$7="USD",(AW97*(IF(O97="USD",AR97,(AR97/'Master Data-C19RM'!$G$2)))),(AW97*(IF(O97="EUR",AR97,(AR97*'Master Data-C19RM'!$G$2)))))</f>
        <v>0</v>
      </c>
      <c r="AY97" s="886"/>
      <c r="AZ97" s="887"/>
      <c r="BA97" s="887"/>
      <c r="BB97" s="887"/>
      <c r="BC97" s="887"/>
      <c r="BD97" s="887"/>
      <c r="BE97" s="888"/>
      <c r="BF97" s="505">
        <f>'C19RM 2021-Pharma'!$U97+'C19RM 2021-Pharma'!$AB97+'C19RM 2021-Pharma'!$AP97+'C19RM 2021-Pharma'!$AI97+$AW97+$BD97</f>
        <v>0</v>
      </c>
      <c r="BG97" s="483">
        <f>'C19RM 2021-Pharma'!$V97+'C19RM 2021-Pharma'!$AC97+'C19RM 2021-Pharma'!$AQ97+'C19RM 2021-Pharma'!$AJ97+$AX97+$BE97</f>
        <v>0</v>
      </c>
      <c r="BH97" s="500" t="str" cm="1">
        <f t="array" ref="BH97">IF(A97&lt;&gt;"",IFERROR(INDEX(PMtbl[[WKst]:[Unit of measure*]],MATCH($A$8&amp;$A97&amp;$E97&amp;$I97,INDEX(PMtbl[Sec]&amp;PMtbl[Category]&amp;PMtbl[Each]&amp;PMtbl[Packaging],0,),0),11),""),"")</f>
        <v/>
      </c>
      <c r="BI97" s="819"/>
      <c r="BJ97" s="502" t="str">
        <f>IFERROR(INDEX(SETUP!$C$19:$G$121,MATCH((INDEX(PMtbl[[WKst]:[Unit of measure*]],MATCH($A97&amp;$E97&amp;$I97,INDEX(PMtbl[Category]&amp;PMtbl[Each]&amp;PMtbl[Packaging],0,),0),3)),SETUP!$D$19:$D$121,0),5),"")</f>
        <v/>
      </c>
      <c r="BK97" s="438" t="str">
        <f>IFERROR(IF((INDEX(SETUP!$C$19:$G$121,MATCH((INDEX(PMtbl[[WKst]:[Unit of measure*]],MATCH($A97&amp;$E97&amp;$I97,INDEX(PMtbl[Category]&amp;PMtbl[Each]&amp;PMtbl[Packaging],0,),0),3)),SETUP!$D$19:$D$121,0),4))="Upfront",0,INDEX(SETUP!$C$19:$G$121,MATCH((INDEX(PMtbl[[WKst]:[Unit of measure*]],MATCH($A97&amp;$E97&amp;$I97,INDEX(PMtbl[Category]&amp;PMtbl[Each]&amp;PMtbl[Packaging],0,),0),3)),SETUP!$D$19:$D$121,0),5)),"")</f>
        <v/>
      </c>
      <c r="BL97" s="193" t="str" cm="1">
        <f t="array" ref="BL97">IF(E97&lt;&gt;"",IFERROR(INDEX(PMtbl[[WKst]:[Unit of measure*]],MATCH($A$8&amp;$A97&amp;$E97&amp;$I97,INDEX(PMtbl[Sec]&amp;PMtbl[Category]&amp;PMtbl[Each]&amp;PMtbl[Packaging],0,),0),11),""),"")</f>
        <v/>
      </c>
      <c r="BO97" s="12">
        <f>IF(N97="",0,IF(SETUP!$E$7="USD",((IF(O97="USD",P97,(P97/'Master Data-C19RM'!$C$2)))),((IF(O97="EUR",P97,(P97*'Master Data-C19RM'!$C$2))))))</f>
        <v>0</v>
      </c>
      <c r="BP97" s="12">
        <f>IF(N97="",0,IF(SETUP!$E$7="USD",((IF(O97="USD",W97,(W97/'Master Data-C19RM'!$D$2)))),((IF(O97="EUR",W97,(W97*'Master Data-C19RM'!$D$2))))))</f>
        <v>0</v>
      </c>
      <c r="BQ97">
        <f>IF(N97="",0,IF(SETUP!$E$7="USD",((IF(O97="USD",AD97,(AD97/'Master Data-C19RM'!$E$2)))),((IF(O97="EUR",AD97,(AD97*'Master Data-C19RM'!$E$2))))))</f>
        <v>0</v>
      </c>
      <c r="BR97">
        <f>IF(N97="",0,IF(SETUP!$E$7="USD",((IF(O97="USD",AK97,(AK97/'Master Data-C19RM'!$F$2)))),((IF(O97="EUR",AK97,(AK97*'Master Data-C19RM'!$F$2))))))</f>
        <v>0</v>
      </c>
      <c r="BS97">
        <f>IF(N97="",0,IF(SETUP!$E$7="USD",((IF(O97="USD",AR97,(AR97/'Master Data-C19RM'!$F$2)))),((IF(O97="EUR",AR97,(AR97*'Master Data-C19RM'!$G$2))))))</f>
        <v>0</v>
      </c>
      <c r="BT97">
        <f>IF(N97="",0,IF(SETUP!$E$7="USD",((IF(O97="USD",AY97,(AY97/'Master Data-C19RM'!$F$2)))),((IF(O97="EUR",AY97,(AY97*'Master Data-C19RM'!$H$2))))))</f>
        <v>0</v>
      </c>
      <c r="BU97" s="12">
        <f t="shared" si="3"/>
        <v>0</v>
      </c>
      <c r="BV97" s="142">
        <f t="shared" si="4"/>
        <v>0</v>
      </c>
    </row>
    <row r="98" spans="1:74" ht="14.9" customHeight="1" x14ac:dyDescent="0.35">
      <c r="A98" s="1172"/>
      <c r="B98" s="1172"/>
      <c r="C98" s="1172"/>
      <c r="D98" s="1172"/>
      <c r="E98" s="1172"/>
      <c r="F98" s="1172"/>
      <c r="G98" s="1172"/>
      <c r="H98" s="1172"/>
      <c r="I98" s="1173"/>
      <c r="J98" s="1173"/>
      <c r="K98" s="1173"/>
      <c r="L98" s="493" t="str" cm="1">
        <f t="array" ref="L98">IF(A98&lt;&gt;"",IFERROR(INDEX(PMtbl[[WKst]:[Unit of measure*]],MATCH($A$8&amp;$A98&amp;$E98&amp;$I98,INDEX(PMtbl[Sec]&amp;PMtbl[Category]&amp;PMtbl[Each]&amp;PMtbl[Packaging],0,),0),14),""),"")</f>
        <v/>
      </c>
      <c r="M98" s="480" t="str">
        <f>IF(L98="","",INDEX(SETUP!$E$20:$E$122,(MATCH(INDEX(PMsheet!$D:$E,MATCH(A98,PMsheet!E:E,0),1),SETUP!$D$20:$D$122,0))))</f>
        <v/>
      </c>
      <c r="N98" s="494">
        <f>IF($O98="USD",_xlfn.IFNA(VLOOKUP(A98&amp;E98&amp;I98,PMsheet!J:K,2,0),0),(_xlfn.IFNA(VLOOKUP(A98&amp;E98&amp;I98,PMsheet!J:K,2,0),0)*'Master Data-C19RM'!$C$2))</f>
        <v>0</v>
      </c>
      <c r="O98" s="495" t="str">
        <f>IF(L98="", "",SETUP!$E$7)</f>
        <v/>
      </c>
      <c r="P98" s="445">
        <f>IF($O98="USD",_xlfn.IFNA(VLOOKUP($A98&amp;$E98&amp;$I98,PMsheet!$J:$K,2,0),0),(_xlfn.IFNA(VLOOKUP($A98&amp;$E98&amp;$I98,PMsheet!$J:$K,2,0),0)*'Master Data-C19RM'!$C$2))</f>
        <v>0</v>
      </c>
      <c r="Q98" s="440"/>
      <c r="R98" s="440"/>
      <c r="S98" s="440"/>
      <c r="T98" s="440"/>
      <c r="U98" s="482">
        <f>SUM('C19RM 2021-Pharma'!$Q98:$T98)</f>
        <v>0</v>
      </c>
      <c r="V98" s="484">
        <f>IF(SETUP!$E$7="USD",(U98*(IF(O98="USD",P98,(P98/'Master Data-C19RM'!$C$2)))),(U98*(IF(O98="EUR",P98,(P98*'Master Data-C19RM'!$C$2)))))</f>
        <v>0</v>
      </c>
      <c r="W98" s="445">
        <f>IF($O98="USD",_xlfn.IFNA(VLOOKUP($A98&amp;$E98&amp;$I98,PMsheet!$J:$K,2,0),0),(_xlfn.IFNA(VLOOKUP($A98&amp;$E98&amp;$I98,PMsheet!$J:$K,2,0),0)*'Master Data-C19RM'!$D$2))</f>
        <v>0</v>
      </c>
      <c r="X98" s="440"/>
      <c r="Y98" s="440"/>
      <c r="Z98" s="440"/>
      <c r="AA98" s="440"/>
      <c r="AB98" s="482">
        <f>SUM('C19RM 2021-Pharma'!$X98:$AA98)</f>
        <v>0</v>
      </c>
      <c r="AC98" s="484">
        <f>IF(SETUP!$E$7="USD",(AB98*(IF(O98="USD",W98,(W98/'Master Data-C19RM'!$D$2)))),(AB98*(IF(O98="EUR",W98,(W98*'Master Data-C19RM'!$D$2)))))</f>
        <v>0</v>
      </c>
      <c r="AD98" s="445">
        <f>IF($O98="USD",_xlfn.IFNA(VLOOKUP($A98&amp;$E98&amp;$I98,PMsheet!$J:$K,2,0),0),(_xlfn.IFNA(VLOOKUP($A98&amp;$E98&amp;$I98,PMsheet!$J:$K,2,0),0)*'Master Data-C19RM'!$E$2))</f>
        <v>0</v>
      </c>
      <c r="AE98" s="440"/>
      <c r="AF98" s="440"/>
      <c r="AG98" s="440"/>
      <c r="AH98" s="440"/>
      <c r="AI98" s="482">
        <f>SUM('C19RM 2021-Pharma'!$AE98:$AH98)</f>
        <v>0</v>
      </c>
      <c r="AJ98" s="484">
        <f>IF(SETUP!$E$7="USD",(AI98*(IF(O98="USD",AD98,(AD98/'Master Data-C19RM'!$E$2)))),(AI98*(IF(O98="EUR",AD98,(AD98*'Master Data-C19RM'!$E$2)))))</f>
        <v>0</v>
      </c>
      <c r="AK98" s="445">
        <f>IF($O98="USD",_xlfn.IFNA(VLOOKUP($A98&amp;$E98&amp;$I98,PMsheet!$J:$K,2,0),0),(_xlfn.IFNA(VLOOKUP($A98&amp;$E98&amp;$I98,PMsheet!$J:$K,2,0),0)*'Master Data-C19RM'!$F$2))</f>
        <v>0</v>
      </c>
      <c r="AL98" s="440"/>
      <c r="AM98" s="440"/>
      <c r="AN98" s="440"/>
      <c r="AO98" s="440"/>
      <c r="AP98" s="482">
        <f>SUM('C19RM 2021-Pharma'!$AL98:$AO98)</f>
        <v>0</v>
      </c>
      <c r="AQ98" s="484">
        <f>IF(SETUP!$E$7="USD",(AP98*(IF(O98="USD",AK98,(AK98/'Master Data-C19RM'!$F$2)))),(AP98*(IF(O98="EUR",AK98,(AK98*'Master Data-C19RM'!$F$2)))))</f>
        <v>0</v>
      </c>
      <c r="AR98" s="445">
        <f>IF($O98="USD",_xlfn.IFNA(VLOOKUP($A98&amp;$E98&amp;$I98,PMsheet!$J:$K,2,0),0),(_xlfn.IFNA(VLOOKUP($A98&amp;$E98&amp;$I98,PMsheet!$J:$K,2,0),0)*'Master Data-C19RM'!$G$2))</f>
        <v>0</v>
      </c>
      <c r="AS98" s="440"/>
      <c r="AT98" s="440"/>
      <c r="AU98" s="440"/>
      <c r="AV98" s="440"/>
      <c r="AW98" s="482">
        <f>SUM('C19RM 2021-Pharma'!$AS98:$AV98)</f>
        <v>0</v>
      </c>
      <c r="AX98" s="484">
        <f>IF(SETUP!$E$7="USD",(AW98*(IF(O98="USD",AR98,(AR98/'Master Data-C19RM'!$G$2)))),(AW98*(IF(O98="EUR",AR98,(AR98*'Master Data-C19RM'!$G$2)))))</f>
        <v>0</v>
      </c>
      <c r="AY98" s="889"/>
      <c r="AZ98" s="884"/>
      <c r="BA98" s="884"/>
      <c r="BB98" s="884"/>
      <c r="BC98" s="884"/>
      <c r="BD98" s="884"/>
      <c r="BE98" s="885"/>
      <c r="BF98" s="504">
        <f>'C19RM 2021-Pharma'!$U98+'C19RM 2021-Pharma'!$AB98+'C19RM 2021-Pharma'!$AP98+'C19RM 2021-Pharma'!$AI98+$AW98+$BD98</f>
        <v>0</v>
      </c>
      <c r="BG98" s="484">
        <f>'C19RM 2021-Pharma'!$V98+'C19RM 2021-Pharma'!$AC98+'C19RM 2021-Pharma'!$AQ98+'C19RM 2021-Pharma'!$AJ98+$AX98+$BE98</f>
        <v>0</v>
      </c>
      <c r="BH98" s="499" t="str" cm="1">
        <f t="array" ref="BH98">IF(A98&lt;&gt;"",IFERROR(INDEX(PMtbl[[WKst]:[Unit of measure*]],MATCH($A$8&amp;$A98&amp;$E98&amp;$I98,INDEX(PMtbl[Sec]&amp;PMtbl[Category]&amp;PMtbl[Each]&amp;PMtbl[Packaging],0,),0),11),""),"")</f>
        <v/>
      </c>
      <c r="BI98" s="818"/>
      <c r="BJ98" s="503" t="str">
        <f>IFERROR(INDEX(SETUP!$C$19:$G$121,MATCH((INDEX(PMtbl[[WKst]:[Unit of measure*]],MATCH($A98&amp;$E98&amp;$I98,INDEX(PMtbl[Category]&amp;PMtbl[Each]&amp;PMtbl[Packaging],0,),0),3)),SETUP!$D$19:$D$121,0),5),"")</f>
        <v/>
      </c>
      <c r="BK98" s="439" t="str">
        <f>IFERROR(IF((INDEX(SETUP!$C$19:$G$121,MATCH((INDEX(PMtbl[[WKst]:[Unit of measure*]],MATCH($A98&amp;$E98&amp;$I98,INDEX(PMtbl[Category]&amp;PMtbl[Each]&amp;PMtbl[Packaging],0,),0),3)),SETUP!$D$19:$D$121,0),4))="Upfront",0,INDEX(SETUP!$C$19:$G$121,MATCH((INDEX(PMtbl[[WKst]:[Unit of measure*]],MATCH($A98&amp;$E98&amp;$I98,INDEX(PMtbl[Category]&amp;PMtbl[Each]&amp;PMtbl[Packaging],0,),0),3)),SETUP!$D$19:$D$121,0),5)),"")</f>
        <v/>
      </c>
      <c r="BL98" s="194" t="str" cm="1">
        <f t="array" ref="BL98">IF(E98&lt;&gt;"",IFERROR(INDEX(PMtbl[[WKst]:[Unit of measure*]],MATCH($A$8&amp;$A98&amp;$E98&amp;$I98,INDEX(PMtbl[Sec]&amp;PMtbl[Category]&amp;PMtbl[Each]&amp;PMtbl[Packaging],0,),0),11),""),"")</f>
        <v/>
      </c>
      <c r="BO98" s="12">
        <f>IF(N98="",0,IF(SETUP!$E$7="USD",((IF(O98="USD",P98,(P98/'Master Data-C19RM'!$C$2)))),((IF(O98="EUR",P98,(P98*'Master Data-C19RM'!$C$2))))))</f>
        <v>0</v>
      </c>
      <c r="BP98" s="12">
        <f>IF(N98="",0,IF(SETUP!$E$7="USD",((IF(O98="USD",W98,(W98/'Master Data-C19RM'!$D$2)))),((IF(O98="EUR",W98,(W98*'Master Data-C19RM'!$D$2))))))</f>
        <v>0</v>
      </c>
      <c r="BQ98">
        <f>IF(N98="",0,IF(SETUP!$E$7="USD",((IF(O98="USD",AD98,(AD98/'Master Data-C19RM'!$E$2)))),((IF(O98="EUR",AD98,(AD98*'Master Data-C19RM'!$E$2))))))</f>
        <v>0</v>
      </c>
      <c r="BR98">
        <f>IF(N98="",0,IF(SETUP!$E$7="USD",((IF(O98="USD",AK98,(AK98/'Master Data-C19RM'!$F$2)))),((IF(O98="EUR",AK98,(AK98*'Master Data-C19RM'!$F$2))))))</f>
        <v>0</v>
      </c>
      <c r="BS98">
        <f>IF(N98="",0,IF(SETUP!$E$7="USD",((IF(O98="USD",AR98,(AR98/'Master Data-C19RM'!$F$2)))),((IF(O98="EUR",AR98,(AR98*'Master Data-C19RM'!$G$2))))))</f>
        <v>0</v>
      </c>
      <c r="BT98">
        <f>IF(N98="",0,IF(SETUP!$E$7="USD",((IF(O98="USD",AY98,(AY98/'Master Data-C19RM'!$F$2)))),((IF(O98="EUR",AY98,(AY98*'Master Data-C19RM'!$H$2))))))</f>
        <v>0</v>
      </c>
      <c r="BU98" s="12">
        <f t="shared" si="3"/>
        <v>0</v>
      </c>
      <c r="BV98" s="142">
        <f t="shared" si="4"/>
        <v>0</v>
      </c>
    </row>
    <row r="99" spans="1:74" ht="14.9" customHeight="1" x14ac:dyDescent="0.35">
      <c r="A99" s="1165"/>
      <c r="B99" s="1165"/>
      <c r="C99" s="1165"/>
      <c r="D99" s="1165"/>
      <c r="E99" s="1166"/>
      <c r="F99" s="1166"/>
      <c r="G99" s="1166"/>
      <c r="H99" s="1166"/>
      <c r="I99" s="1166"/>
      <c r="J99" s="1166"/>
      <c r="K99" s="1166"/>
      <c r="L99" s="490" t="str" cm="1">
        <f t="array" ref="L99">IF(A99&lt;&gt;"",IFERROR(INDEX(PMtbl[[WKst]:[Unit of measure*]],MATCH($A$8&amp;$A99&amp;$E99&amp;$I99,INDEX(PMtbl[Sec]&amp;PMtbl[Category]&amp;PMtbl[Each]&amp;PMtbl[Packaging],0,),0),14),""),"")</f>
        <v/>
      </c>
      <c r="M99" s="479" t="str">
        <f>IF(L99="","",INDEX(SETUP!$E$20:$E$122,(MATCH(INDEX(PMsheet!$D:$E,MATCH(A99,PMsheet!E:E,0),1),SETUP!$D$20:$D$122,0))))</f>
        <v/>
      </c>
      <c r="N99" s="491">
        <f>IF($O99="USD",_xlfn.IFNA(VLOOKUP(A99&amp;E99&amp;I99,PMsheet!J:K,2,0),0),(_xlfn.IFNA(VLOOKUP(A99&amp;E99&amp;I99,PMsheet!J:K,2,0),0)*'Master Data-C19RM'!$C$2))</f>
        <v>0</v>
      </c>
      <c r="O99" s="492" t="str">
        <f>IF(L99="", "",SETUP!$E$7)</f>
        <v/>
      </c>
      <c r="P99" s="444">
        <f>IF($O99="USD",_xlfn.IFNA(VLOOKUP($A99&amp;$E99&amp;$I99,PMsheet!$J:$K,2,0),0),(_xlfn.IFNA(VLOOKUP($A99&amp;$E99&amp;$I99,PMsheet!$J:$K,2,0),0)*'Master Data-C19RM'!$C$2))</f>
        <v>0</v>
      </c>
      <c r="Q99" s="441"/>
      <c r="R99" s="441"/>
      <c r="S99" s="441"/>
      <c r="T99" s="441"/>
      <c r="U99" s="481">
        <f>SUM('C19RM 2021-Pharma'!$Q99:$T99)</f>
        <v>0</v>
      </c>
      <c r="V99" s="483">
        <f>IF(SETUP!$E$7="USD",(U99*(IF(O99="USD",P99,(P99/'Master Data-C19RM'!$C$2)))),(U99*(IF(O99="EUR",P99,(P99*'Master Data-C19RM'!$C$2)))))</f>
        <v>0</v>
      </c>
      <c r="W99" s="444">
        <f>IF($O99="USD",_xlfn.IFNA(VLOOKUP($A99&amp;$E99&amp;$I99,PMsheet!$J:$K,2,0),0),(_xlfn.IFNA(VLOOKUP($A99&amp;$E99&amp;$I99,PMsheet!$J:$K,2,0),0)*'Master Data-C19RM'!$D$2))</f>
        <v>0</v>
      </c>
      <c r="X99" s="441"/>
      <c r="Y99" s="441"/>
      <c r="Z99" s="441"/>
      <c r="AA99" s="441"/>
      <c r="AB99" s="481">
        <f>SUM('C19RM 2021-Pharma'!$X99:$AA99)</f>
        <v>0</v>
      </c>
      <c r="AC99" s="483">
        <f>IF(SETUP!$E$7="USD",(AB99*(IF(O99="USD",W99,(W99/'Master Data-C19RM'!$D$2)))),(AB99*(IF(O99="EUR",W99,(W99*'Master Data-C19RM'!$D$2)))))</f>
        <v>0</v>
      </c>
      <c r="AD99" s="444">
        <f>IF($O99="USD",_xlfn.IFNA(VLOOKUP($A99&amp;$E99&amp;$I99,PMsheet!$J:$K,2,0),0),(_xlfn.IFNA(VLOOKUP($A99&amp;$E99&amp;$I99,PMsheet!$J:$K,2,0),0)*'Master Data-C19RM'!$E$2))</f>
        <v>0</v>
      </c>
      <c r="AE99" s="441"/>
      <c r="AF99" s="441"/>
      <c r="AG99" s="441"/>
      <c r="AH99" s="441"/>
      <c r="AI99" s="481">
        <f>SUM('C19RM 2021-Pharma'!$AE99:$AH99)</f>
        <v>0</v>
      </c>
      <c r="AJ99" s="483">
        <f>IF(SETUP!$E$7="USD",(AI99*(IF(O99="USD",AD99,(AD99/'Master Data-C19RM'!$E$2)))),(AI99*(IF(O99="EUR",AD99,(AD99*'Master Data-C19RM'!$E$2)))))</f>
        <v>0</v>
      </c>
      <c r="AK99" s="444">
        <f>IF($O99="USD",_xlfn.IFNA(VLOOKUP($A99&amp;$E99&amp;$I99,PMsheet!$J:$K,2,0),0),(_xlfn.IFNA(VLOOKUP($A99&amp;$E99&amp;$I99,PMsheet!$J:$K,2,0),0)*'Master Data-C19RM'!$F$2))</f>
        <v>0</v>
      </c>
      <c r="AL99" s="441"/>
      <c r="AM99" s="441"/>
      <c r="AN99" s="441"/>
      <c r="AO99" s="441"/>
      <c r="AP99" s="481">
        <f>SUM('C19RM 2021-Pharma'!$AL99:$AO99)</f>
        <v>0</v>
      </c>
      <c r="AQ99" s="483">
        <f>IF(SETUP!$E$7="USD",(AP99*(IF(O99="USD",AK99,(AK99/'Master Data-C19RM'!$F$2)))),(AP99*(IF(O99="EUR",AK99,(AK99*'Master Data-C19RM'!$F$2)))))</f>
        <v>0</v>
      </c>
      <c r="AR99" s="444">
        <f>IF($O99="USD",_xlfn.IFNA(VLOOKUP($A99&amp;$E99&amp;$I99,PMsheet!$J:$K,2,0),0),(_xlfn.IFNA(VLOOKUP($A99&amp;$E99&amp;$I99,PMsheet!$J:$K,2,0),0)*'Master Data-C19RM'!$G$2))</f>
        <v>0</v>
      </c>
      <c r="AS99" s="441"/>
      <c r="AT99" s="441"/>
      <c r="AU99" s="441"/>
      <c r="AV99" s="441"/>
      <c r="AW99" s="481">
        <f>SUM('C19RM 2021-Pharma'!$AS99:$AV99)</f>
        <v>0</v>
      </c>
      <c r="AX99" s="483">
        <f>IF(SETUP!$E$7="USD",(AW99*(IF(O99="USD",AR99,(AR99/'Master Data-C19RM'!$G$2)))),(AW99*(IF(O99="EUR",AR99,(AR99*'Master Data-C19RM'!$G$2)))))</f>
        <v>0</v>
      </c>
      <c r="AY99" s="886"/>
      <c r="AZ99" s="887"/>
      <c r="BA99" s="887"/>
      <c r="BB99" s="887"/>
      <c r="BC99" s="887"/>
      <c r="BD99" s="887"/>
      <c r="BE99" s="888"/>
      <c r="BF99" s="505">
        <f>'C19RM 2021-Pharma'!$U99+'C19RM 2021-Pharma'!$AB99+'C19RM 2021-Pharma'!$AP99+'C19RM 2021-Pharma'!$AI99+$AW99+$BD99</f>
        <v>0</v>
      </c>
      <c r="BG99" s="483">
        <f>'C19RM 2021-Pharma'!$V99+'C19RM 2021-Pharma'!$AC99+'C19RM 2021-Pharma'!$AQ99+'C19RM 2021-Pharma'!$AJ99+$AX99+$BE99</f>
        <v>0</v>
      </c>
      <c r="BH99" s="500" t="str" cm="1">
        <f t="array" ref="BH99">IF(A99&lt;&gt;"",IFERROR(INDEX(PMtbl[[WKst]:[Unit of measure*]],MATCH($A$8&amp;$A99&amp;$E99&amp;$I99,INDEX(PMtbl[Sec]&amp;PMtbl[Category]&amp;PMtbl[Each]&amp;PMtbl[Packaging],0,),0),11),""),"")</f>
        <v/>
      </c>
      <c r="BI99" s="819"/>
      <c r="BJ99" s="502" t="str">
        <f>IFERROR(INDEX(SETUP!$C$19:$G$121,MATCH((INDEX(PMtbl[[WKst]:[Unit of measure*]],MATCH($A99&amp;$E99&amp;$I99,INDEX(PMtbl[Category]&amp;PMtbl[Each]&amp;PMtbl[Packaging],0,),0),3)),SETUP!$D$19:$D$121,0),5),"")</f>
        <v/>
      </c>
      <c r="BK99" s="438" t="str">
        <f>IFERROR(IF((INDEX(SETUP!$C$19:$G$121,MATCH((INDEX(PMtbl[[WKst]:[Unit of measure*]],MATCH($A99&amp;$E99&amp;$I99,INDEX(PMtbl[Category]&amp;PMtbl[Each]&amp;PMtbl[Packaging],0,),0),3)),SETUP!$D$19:$D$121,0),4))="Upfront",0,INDEX(SETUP!$C$19:$G$121,MATCH((INDEX(PMtbl[[WKst]:[Unit of measure*]],MATCH($A99&amp;$E99&amp;$I99,INDEX(PMtbl[Category]&amp;PMtbl[Each]&amp;PMtbl[Packaging],0,),0),3)),SETUP!$D$19:$D$121,0),5)),"")</f>
        <v/>
      </c>
      <c r="BL99" s="193" t="str" cm="1">
        <f t="array" ref="BL99">IF(E99&lt;&gt;"",IFERROR(INDEX(PMtbl[[WKst]:[Unit of measure*]],MATCH($A$8&amp;$A99&amp;$E99&amp;$I99,INDEX(PMtbl[Sec]&amp;PMtbl[Category]&amp;PMtbl[Each]&amp;PMtbl[Packaging],0,),0),11),""),"")</f>
        <v/>
      </c>
      <c r="BO99" s="12">
        <f>IF(N99="",0,IF(SETUP!$E$7="USD",((IF(O99="USD",P99,(P99/'Master Data-C19RM'!$C$2)))),((IF(O99="EUR",P99,(P99*'Master Data-C19RM'!$C$2))))))</f>
        <v>0</v>
      </c>
      <c r="BP99" s="12">
        <f>IF(N99="",0,IF(SETUP!$E$7="USD",((IF(O99="USD",W99,(W99/'Master Data-C19RM'!$D$2)))),((IF(O99="EUR",W99,(W99*'Master Data-C19RM'!$D$2))))))</f>
        <v>0</v>
      </c>
      <c r="BQ99">
        <f>IF(N99="",0,IF(SETUP!$E$7="USD",((IF(O99="USD",AD99,(AD99/'Master Data-C19RM'!$E$2)))),((IF(O99="EUR",AD99,(AD99*'Master Data-C19RM'!$E$2))))))</f>
        <v>0</v>
      </c>
      <c r="BR99">
        <f>IF(N99="",0,IF(SETUP!$E$7="USD",((IF(O99="USD",AK99,(AK99/'Master Data-C19RM'!$F$2)))),((IF(O99="EUR",AK99,(AK99*'Master Data-C19RM'!$F$2))))))</f>
        <v>0</v>
      </c>
      <c r="BS99">
        <f>IF(N99="",0,IF(SETUP!$E$7="USD",((IF(O99="USD",AR99,(AR99/'Master Data-C19RM'!$F$2)))),((IF(O99="EUR",AR99,(AR99*'Master Data-C19RM'!$G$2))))))</f>
        <v>0</v>
      </c>
      <c r="BT99">
        <f>IF(N99="",0,IF(SETUP!$E$7="USD",((IF(O99="USD",AY99,(AY99/'Master Data-C19RM'!$F$2)))),((IF(O99="EUR",AY99,(AY99*'Master Data-C19RM'!$H$2))))))</f>
        <v>0</v>
      </c>
      <c r="BU99" s="12">
        <f t="shared" si="3"/>
        <v>0</v>
      </c>
      <c r="BV99" s="142">
        <f t="shared" si="4"/>
        <v>0</v>
      </c>
    </row>
    <row r="100" spans="1:74" ht="14.9" customHeight="1" x14ac:dyDescent="0.35">
      <c r="A100" s="1172"/>
      <c r="B100" s="1172"/>
      <c r="C100" s="1172"/>
      <c r="D100" s="1172"/>
      <c r="E100" s="1172"/>
      <c r="F100" s="1172"/>
      <c r="G100" s="1172"/>
      <c r="H100" s="1172"/>
      <c r="I100" s="1173"/>
      <c r="J100" s="1173"/>
      <c r="K100" s="1173"/>
      <c r="L100" s="493" t="str" cm="1">
        <f t="array" ref="L100">IF(A100&lt;&gt;"",IFERROR(INDEX(PMtbl[[WKst]:[Unit of measure*]],MATCH($A$8&amp;$A100&amp;$E100&amp;$I100,INDEX(PMtbl[Sec]&amp;PMtbl[Category]&amp;PMtbl[Each]&amp;PMtbl[Packaging],0,),0),14),""),"")</f>
        <v/>
      </c>
      <c r="M100" s="480" t="str">
        <f>IF(L100="","",INDEX(SETUP!$E$20:$E$122,(MATCH(INDEX(PMsheet!$D:$E,MATCH(A100,PMsheet!E:E,0),1),SETUP!$D$20:$D$122,0))))</f>
        <v/>
      </c>
      <c r="N100" s="494">
        <f>IF($O100="USD",_xlfn.IFNA(VLOOKUP(A100&amp;E100&amp;I100,PMsheet!J:K,2,0),0),(_xlfn.IFNA(VLOOKUP(A100&amp;E100&amp;I100,PMsheet!J:K,2,0),0)*'Master Data-C19RM'!$C$2))</f>
        <v>0</v>
      </c>
      <c r="O100" s="495" t="str">
        <f>IF(L100="", "",SETUP!$E$7)</f>
        <v/>
      </c>
      <c r="P100" s="445">
        <f>IF($O100="USD",_xlfn.IFNA(VLOOKUP($A100&amp;$E100&amp;$I100,PMsheet!$J:$K,2,0),0),(_xlfn.IFNA(VLOOKUP($A100&amp;$E100&amp;$I100,PMsheet!$J:$K,2,0),0)*'Master Data-C19RM'!$C$2))</f>
        <v>0</v>
      </c>
      <c r="Q100" s="440"/>
      <c r="R100" s="440"/>
      <c r="S100" s="440"/>
      <c r="T100" s="440"/>
      <c r="U100" s="482">
        <f>SUM('C19RM 2021-Pharma'!$Q100:$T100)</f>
        <v>0</v>
      </c>
      <c r="V100" s="484">
        <f>IF(SETUP!$E$7="USD",(U100*(IF(O100="USD",P100,(P100/'Master Data-C19RM'!$C$2)))),(U100*(IF(O100="EUR",P100,(P100*'Master Data-C19RM'!$C$2)))))</f>
        <v>0</v>
      </c>
      <c r="W100" s="445">
        <f>IF($O100="USD",_xlfn.IFNA(VLOOKUP($A100&amp;$E100&amp;$I100,PMsheet!$J:$K,2,0),0),(_xlfn.IFNA(VLOOKUP($A100&amp;$E100&amp;$I100,PMsheet!$J:$K,2,0),0)*'Master Data-C19RM'!$D$2))</f>
        <v>0</v>
      </c>
      <c r="X100" s="440"/>
      <c r="Y100" s="440"/>
      <c r="Z100" s="440"/>
      <c r="AA100" s="440"/>
      <c r="AB100" s="482">
        <f>SUM('C19RM 2021-Pharma'!$X100:$AA100)</f>
        <v>0</v>
      </c>
      <c r="AC100" s="484">
        <f>IF(SETUP!$E$7="USD",(AB100*(IF(O100="USD",W100,(W100/'Master Data-C19RM'!$D$2)))),(AB100*(IF(O100="EUR",W100,(W100*'Master Data-C19RM'!$D$2)))))</f>
        <v>0</v>
      </c>
      <c r="AD100" s="445">
        <f>IF($O100="USD",_xlfn.IFNA(VLOOKUP($A100&amp;$E100&amp;$I100,PMsheet!$J:$K,2,0),0),(_xlfn.IFNA(VLOOKUP($A100&amp;$E100&amp;$I100,PMsheet!$J:$K,2,0),0)*'Master Data-C19RM'!$E$2))</f>
        <v>0</v>
      </c>
      <c r="AE100" s="440"/>
      <c r="AF100" s="440"/>
      <c r="AG100" s="440"/>
      <c r="AH100" s="440"/>
      <c r="AI100" s="482">
        <f>SUM('C19RM 2021-Pharma'!$AE100:$AH100)</f>
        <v>0</v>
      </c>
      <c r="AJ100" s="484">
        <f>IF(SETUP!$E$7="USD",(AI100*(IF(O100="USD",AD100,(AD100/'Master Data-C19RM'!$E$2)))),(AI100*(IF(O100="EUR",AD100,(AD100*'Master Data-C19RM'!$E$2)))))</f>
        <v>0</v>
      </c>
      <c r="AK100" s="445">
        <f>IF($O100="USD",_xlfn.IFNA(VLOOKUP($A100&amp;$E100&amp;$I100,PMsheet!$J:$K,2,0),0),(_xlfn.IFNA(VLOOKUP($A100&amp;$E100&amp;$I100,PMsheet!$J:$K,2,0),0)*'Master Data-C19RM'!$F$2))</f>
        <v>0</v>
      </c>
      <c r="AL100" s="440"/>
      <c r="AM100" s="440"/>
      <c r="AN100" s="440"/>
      <c r="AO100" s="440"/>
      <c r="AP100" s="482">
        <f>SUM('C19RM 2021-Pharma'!$AL100:$AO100)</f>
        <v>0</v>
      </c>
      <c r="AQ100" s="484">
        <f>IF(SETUP!$E$7="USD",(AP100*(IF(O100="USD",AK100,(AK100/'Master Data-C19RM'!$F$2)))),(AP100*(IF(O100="EUR",AK100,(AK100*'Master Data-C19RM'!$F$2)))))</f>
        <v>0</v>
      </c>
      <c r="AR100" s="445">
        <f>IF($O100="USD",_xlfn.IFNA(VLOOKUP($A100&amp;$E100&amp;$I100,PMsheet!$J:$K,2,0),0),(_xlfn.IFNA(VLOOKUP($A100&amp;$E100&amp;$I100,PMsheet!$J:$K,2,0),0)*'Master Data-C19RM'!$G$2))</f>
        <v>0</v>
      </c>
      <c r="AS100" s="440"/>
      <c r="AT100" s="440"/>
      <c r="AU100" s="440"/>
      <c r="AV100" s="440"/>
      <c r="AW100" s="482">
        <f>SUM('C19RM 2021-Pharma'!$AS100:$AV100)</f>
        <v>0</v>
      </c>
      <c r="AX100" s="484">
        <f>IF(SETUP!$E$7="USD",(AW100*(IF(O100="USD",AR100,(AR100/'Master Data-C19RM'!$G$2)))),(AW100*(IF(O100="EUR",AR100,(AR100*'Master Data-C19RM'!$G$2)))))</f>
        <v>0</v>
      </c>
      <c r="AY100" s="889"/>
      <c r="AZ100" s="884"/>
      <c r="BA100" s="884"/>
      <c r="BB100" s="884"/>
      <c r="BC100" s="884"/>
      <c r="BD100" s="884"/>
      <c r="BE100" s="885"/>
      <c r="BF100" s="504">
        <f>'C19RM 2021-Pharma'!$U100+'C19RM 2021-Pharma'!$AB100+'C19RM 2021-Pharma'!$AP100+'C19RM 2021-Pharma'!$AI100+$AW100+$BD100</f>
        <v>0</v>
      </c>
      <c r="BG100" s="484">
        <f>'C19RM 2021-Pharma'!$V100+'C19RM 2021-Pharma'!$AC100+'C19RM 2021-Pharma'!$AQ100+'C19RM 2021-Pharma'!$AJ100+$AX100+$BE100</f>
        <v>0</v>
      </c>
      <c r="BH100" s="499" t="str" cm="1">
        <f t="array" ref="BH100">IF(A100&lt;&gt;"",IFERROR(INDEX(PMtbl[[WKst]:[Unit of measure*]],MATCH($A$8&amp;$A100&amp;$E100&amp;$I100,INDEX(PMtbl[Sec]&amp;PMtbl[Category]&amp;PMtbl[Each]&amp;PMtbl[Packaging],0,),0),11),""),"")</f>
        <v/>
      </c>
      <c r="BI100" s="818"/>
      <c r="BJ100" s="503" t="str">
        <f>IFERROR(INDEX(SETUP!$C$19:$G$121,MATCH((INDEX(PMtbl[[WKst]:[Unit of measure*]],MATCH($A100&amp;$E100&amp;$I100,INDEX(PMtbl[Category]&amp;PMtbl[Each]&amp;PMtbl[Packaging],0,),0),3)),SETUP!$D$19:$D$121,0),5),"")</f>
        <v/>
      </c>
      <c r="BK100" s="439" t="str">
        <f>IFERROR(IF((INDEX(SETUP!$C$19:$G$121,MATCH((INDEX(PMtbl[[WKst]:[Unit of measure*]],MATCH($A100&amp;$E100&amp;$I100,INDEX(PMtbl[Category]&amp;PMtbl[Each]&amp;PMtbl[Packaging],0,),0),3)),SETUP!$D$19:$D$121,0),4))="Upfront",0,INDEX(SETUP!$C$19:$G$121,MATCH((INDEX(PMtbl[[WKst]:[Unit of measure*]],MATCH($A100&amp;$E100&amp;$I100,INDEX(PMtbl[Category]&amp;PMtbl[Each]&amp;PMtbl[Packaging],0,),0),3)),SETUP!$D$19:$D$121,0),5)),"")</f>
        <v/>
      </c>
      <c r="BL100" s="194" t="str" cm="1">
        <f t="array" ref="BL100">IF(E100&lt;&gt;"",IFERROR(INDEX(PMtbl[[WKst]:[Unit of measure*]],MATCH($A$8&amp;$A100&amp;$E100&amp;$I100,INDEX(PMtbl[Sec]&amp;PMtbl[Category]&amp;PMtbl[Each]&amp;PMtbl[Packaging],0,),0),11),""),"")</f>
        <v/>
      </c>
      <c r="BO100" s="12">
        <f>IF(N100="",0,IF(SETUP!$E$7="USD",((IF(O100="USD",P100,(P100/'Master Data-C19RM'!$C$2)))),((IF(O100="EUR",P100,(P100*'Master Data-C19RM'!$C$2))))))</f>
        <v>0</v>
      </c>
      <c r="BP100" s="12">
        <f>IF(N100="",0,IF(SETUP!$E$7="USD",((IF(O100="USD",W100,(W100/'Master Data-C19RM'!$D$2)))),((IF(O100="EUR",W100,(W100*'Master Data-C19RM'!$D$2))))))</f>
        <v>0</v>
      </c>
      <c r="BQ100">
        <f>IF(N100="",0,IF(SETUP!$E$7="USD",((IF(O100="USD",AD100,(AD100/'Master Data-C19RM'!$E$2)))),((IF(O100="EUR",AD100,(AD100*'Master Data-C19RM'!$E$2))))))</f>
        <v>0</v>
      </c>
      <c r="BR100">
        <f>IF(N100="",0,IF(SETUP!$E$7="USD",((IF(O100="USD",AK100,(AK100/'Master Data-C19RM'!$F$2)))),((IF(O100="EUR",AK100,(AK100*'Master Data-C19RM'!$F$2))))))</f>
        <v>0</v>
      </c>
      <c r="BS100">
        <f>IF(N100="",0,IF(SETUP!$E$7="USD",((IF(O100="USD",AR100,(AR100/'Master Data-C19RM'!$F$2)))),((IF(O100="EUR",AR100,(AR100*'Master Data-C19RM'!$G$2))))))</f>
        <v>0</v>
      </c>
      <c r="BT100">
        <f>IF(N100="",0,IF(SETUP!$E$7="USD",((IF(O100="USD",AY100,(AY100/'Master Data-C19RM'!$F$2)))),((IF(O100="EUR",AY100,(AY100*'Master Data-C19RM'!$H$2))))))</f>
        <v>0</v>
      </c>
      <c r="BU100" s="12">
        <f t="shared" si="3"/>
        <v>0</v>
      </c>
      <c r="BV100" s="142">
        <f t="shared" si="4"/>
        <v>0</v>
      </c>
    </row>
    <row r="101" spans="1:74" ht="14.9" customHeight="1" x14ac:dyDescent="0.35">
      <c r="A101" s="1165"/>
      <c r="B101" s="1165"/>
      <c r="C101" s="1165"/>
      <c r="D101" s="1165"/>
      <c r="E101" s="1166"/>
      <c r="F101" s="1166"/>
      <c r="G101" s="1166"/>
      <c r="H101" s="1166"/>
      <c r="I101" s="1166"/>
      <c r="J101" s="1166"/>
      <c r="K101" s="1166"/>
      <c r="L101" s="490" t="str" cm="1">
        <f t="array" ref="L101">IF(A101&lt;&gt;"",IFERROR(INDEX(PMtbl[[WKst]:[Unit of measure*]],MATCH($A$8&amp;$A101&amp;$E101&amp;$I101,INDEX(PMtbl[Sec]&amp;PMtbl[Category]&amp;PMtbl[Each]&amp;PMtbl[Packaging],0,),0),14),""),"")</f>
        <v/>
      </c>
      <c r="M101" s="479" t="str">
        <f>IF(L101="","",INDEX(SETUP!$E$20:$E$122,(MATCH(INDEX(PMsheet!$D:$E,MATCH(A101,PMsheet!E:E,0),1),SETUP!$D$20:$D$122,0))))</f>
        <v/>
      </c>
      <c r="N101" s="491">
        <f>IF($O101="USD",_xlfn.IFNA(VLOOKUP(A101&amp;E101&amp;I101,PMsheet!J:K,2,0),0),(_xlfn.IFNA(VLOOKUP(A101&amp;E101&amp;I101,PMsheet!J:K,2,0),0)*'Master Data-C19RM'!$C$2))</f>
        <v>0</v>
      </c>
      <c r="O101" s="492" t="str">
        <f>IF(L101="", "",SETUP!$E$7)</f>
        <v/>
      </c>
      <c r="P101" s="444">
        <f>IF($O101="USD",_xlfn.IFNA(VLOOKUP($A101&amp;$E101&amp;$I101,PMsheet!$J:$K,2,0),0),(_xlfn.IFNA(VLOOKUP($A101&amp;$E101&amp;$I101,PMsheet!$J:$K,2,0),0)*'Master Data-C19RM'!$C$2))</f>
        <v>0</v>
      </c>
      <c r="Q101" s="441"/>
      <c r="R101" s="441"/>
      <c r="S101" s="441"/>
      <c r="T101" s="441"/>
      <c r="U101" s="481">
        <f>SUM('C19RM 2021-Pharma'!$Q101:$T101)</f>
        <v>0</v>
      </c>
      <c r="V101" s="483">
        <f>IF(SETUP!$E$7="USD",(U101*(IF(O101="USD",P101,(P101/'Master Data-C19RM'!$C$2)))),(U101*(IF(O101="EUR",P101,(P101*'Master Data-C19RM'!$C$2)))))</f>
        <v>0</v>
      </c>
      <c r="W101" s="444">
        <f>IF($O101="USD",_xlfn.IFNA(VLOOKUP($A101&amp;$E101&amp;$I101,PMsheet!$J:$K,2,0),0),(_xlfn.IFNA(VLOOKUP($A101&amp;$E101&amp;$I101,PMsheet!$J:$K,2,0),0)*'Master Data-C19RM'!$D$2))</f>
        <v>0</v>
      </c>
      <c r="X101" s="441"/>
      <c r="Y101" s="441"/>
      <c r="Z101" s="441"/>
      <c r="AA101" s="441"/>
      <c r="AB101" s="481">
        <f>SUM('C19RM 2021-Pharma'!$X101:$AA101)</f>
        <v>0</v>
      </c>
      <c r="AC101" s="483">
        <f>IF(SETUP!$E$7="USD",(AB101*(IF(O101="USD",W101,(W101/'Master Data-C19RM'!$D$2)))),(AB101*(IF(O101="EUR",W101,(W101*'Master Data-C19RM'!$D$2)))))</f>
        <v>0</v>
      </c>
      <c r="AD101" s="444">
        <f>IF($O101="USD",_xlfn.IFNA(VLOOKUP($A101&amp;$E101&amp;$I101,PMsheet!$J:$K,2,0),0),(_xlfn.IFNA(VLOOKUP($A101&amp;$E101&amp;$I101,PMsheet!$J:$K,2,0),0)*'Master Data-C19RM'!$E$2))</f>
        <v>0</v>
      </c>
      <c r="AE101" s="441"/>
      <c r="AF101" s="441"/>
      <c r="AG101" s="441"/>
      <c r="AH101" s="441"/>
      <c r="AI101" s="481">
        <f>SUM('C19RM 2021-Pharma'!$AE101:$AH101)</f>
        <v>0</v>
      </c>
      <c r="AJ101" s="483">
        <f>IF(SETUP!$E$7="USD",(AI101*(IF(O101="USD",AD101,(AD101/'Master Data-C19RM'!$E$2)))),(AI101*(IF(O101="EUR",AD101,(AD101*'Master Data-C19RM'!$E$2)))))</f>
        <v>0</v>
      </c>
      <c r="AK101" s="444">
        <f>IF($O101="USD",_xlfn.IFNA(VLOOKUP($A101&amp;$E101&amp;$I101,PMsheet!$J:$K,2,0),0),(_xlfn.IFNA(VLOOKUP($A101&amp;$E101&amp;$I101,PMsheet!$J:$K,2,0),0)*'Master Data-C19RM'!$F$2))</f>
        <v>0</v>
      </c>
      <c r="AL101" s="441"/>
      <c r="AM101" s="441"/>
      <c r="AN101" s="441"/>
      <c r="AO101" s="441"/>
      <c r="AP101" s="481">
        <f>SUM('C19RM 2021-Pharma'!$AL101:$AO101)</f>
        <v>0</v>
      </c>
      <c r="AQ101" s="483">
        <f>IF(SETUP!$E$7="USD",(AP101*(IF(O101="USD",AK101,(AK101/'Master Data-C19RM'!$F$2)))),(AP101*(IF(O101="EUR",AK101,(AK101*'Master Data-C19RM'!$F$2)))))</f>
        <v>0</v>
      </c>
      <c r="AR101" s="444">
        <f>IF($O101="USD",_xlfn.IFNA(VLOOKUP($A101&amp;$E101&amp;$I101,PMsheet!$J:$K,2,0),0),(_xlfn.IFNA(VLOOKUP($A101&amp;$E101&amp;$I101,PMsheet!$J:$K,2,0),0)*'Master Data-C19RM'!$G$2))</f>
        <v>0</v>
      </c>
      <c r="AS101" s="441"/>
      <c r="AT101" s="441"/>
      <c r="AU101" s="441"/>
      <c r="AV101" s="441"/>
      <c r="AW101" s="481">
        <f>SUM('C19RM 2021-Pharma'!$AS101:$AV101)</f>
        <v>0</v>
      </c>
      <c r="AX101" s="483">
        <f>IF(SETUP!$E$7="USD",(AW101*(IF(O101="USD",AR101,(AR101/'Master Data-C19RM'!$G$2)))),(AW101*(IF(O101="EUR",AR101,(AR101*'Master Data-C19RM'!$G$2)))))</f>
        <v>0</v>
      </c>
      <c r="AY101" s="886"/>
      <c r="AZ101" s="887"/>
      <c r="BA101" s="887"/>
      <c r="BB101" s="887"/>
      <c r="BC101" s="887"/>
      <c r="BD101" s="887"/>
      <c r="BE101" s="888"/>
      <c r="BF101" s="505">
        <f>'C19RM 2021-Pharma'!$U101+'C19RM 2021-Pharma'!$AB101+'C19RM 2021-Pharma'!$AP101+'C19RM 2021-Pharma'!$AI101+$AW101+$BD101</f>
        <v>0</v>
      </c>
      <c r="BG101" s="483">
        <f>'C19RM 2021-Pharma'!$V101+'C19RM 2021-Pharma'!$AC101+'C19RM 2021-Pharma'!$AQ101+'C19RM 2021-Pharma'!$AJ101+$AX101+$BE101</f>
        <v>0</v>
      </c>
      <c r="BH101" s="500" t="str" cm="1">
        <f t="array" ref="BH101">IF(A101&lt;&gt;"",IFERROR(INDEX(PMtbl[[WKst]:[Unit of measure*]],MATCH($A$8&amp;$A101&amp;$E101&amp;$I101,INDEX(PMtbl[Sec]&amp;PMtbl[Category]&amp;PMtbl[Each]&amp;PMtbl[Packaging],0,),0),11),""),"")</f>
        <v/>
      </c>
      <c r="BI101" s="819"/>
      <c r="BJ101" s="502" t="str">
        <f>IFERROR(INDEX(SETUP!$C$19:$G$121,MATCH((INDEX(PMtbl[[WKst]:[Unit of measure*]],MATCH($A101&amp;$E101&amp;$I101,INDEX(PMtbl[Category]&amp;PMtbl[Each]&amp;PMtbl[Packaging],0,),0),3)),SETUP!$D$19:$D$121,0),5),"")</f>
        <v/>
      </c>
      <c r="BK101" s="438" t="str">
        <f>IFERROR(IF((INDEX(SETUP!$C$19:$G$121,MATCH((INDEX(PMtbl[[WKst]:[Unit of measure*]],MATCH($A101&amp;$E101&amp;$I101,INDEX(PMtbl[Category]&amp;PMtbl[Each]&amp;PMtbl[Packaging],0,),0),3)),SETUP!$D$19:$D$121,0),4))="Upfront",0,INDEX(SETUP!$C$19:$G$121,MATCH((INDEX(PMtbl[[WKst]:[Unit of measure*]],MATCH($A101&amp;$E101&amp;$I101,INDEX(PMtbl[Category]&amp;PMtbl[Each]&amp;PMtbl[Packaging],0,),0),3)),SETUP!$D$19:$D$121,0),5)),"")</f>
        <v/>
      </c>
      <c r="BL101" s="193" t="str" cm="1">
        <f t="array" ref="BL101">IF(E101&lt;&gt;"",IFERROR(INDEX(PMtbl[[WKst]:[Unit of measure*]],MATCH($A$8&amp;$A101&amp;$E101&amp;$I101,INDEX(PMtbl[Sec]&amp;PMtbl[Category]&amp;PMtbl[Each]&amp;PMtbl[Packaging],0,),0),11),""),"")</f>
        <v/>
      </c>
      <c r="BO101" s="12">
        <f>IF(N101="",0,IF(SETUP!$E$7="USD",((IF(O101="USD",P101,(P101/'Master Data-C19RM'!$C$2)))),((IF(O101="EUR",P101,(P101*'Master Data-C19RM'!$C$2))))))</f>
        <v>0</v>
      </c>
      <c r="BP101" s="12">
        <f>IF(N101="",0,IF(SETUP!$E$7="USD",((IF(O101="USD",W101,(W101/'Master Data-C19RM'!$D$2)))),((IF(O101="EUR",W101,(W101*'Master Data-C19RM'!$D$2))))))</f>
        <v>0</v>
      </c>
      <c r="BQ101">
        <f>IF(N101="",0,IF(SETUP!$E$7="USD",((IF(O101="USD",AD101,(AD101/'Master Data-C19RM'!$E$2)))),((IF(O101="EUR",AD101,(AD101*'Master Data-C19RM'!$E$2))))))</f>
        <v>0</v>
      </c>
      <c r="BR101">
        <f>IF(N101="",0,IF(SETUP!$E$7="USD",((IF(O101="USD",AK101,(AK101/'Master Data-C19RM'!$F$2)))),((IF(O101="EUR",AK101,(AK101*'Master Data-C19RM'!$F$2))))))</f>
        <v>0</v>
      </c>
      <c r="BS101">
        <f>IF(N101="",0,IF(SETUP!$E$7="USD",((IF(O101="USD",AR101,(AR101/'Master Data-C19RM'!$F$2)))),((IF(O101="EUR",AR101,(AR101*'Master Data-C19RM'!$G$2))))))</f>
        <v>0</v>
      </c>
      <c r="BT101">
        <f>IF(N101="",0,IF(SETUP!$E$7="USD",((IF(O101="USD",AY101,(AY101/'Master Data-C19RM'!$F$2)))),((IF(O101="EUR",AY101,(AY101*'Master Data-C19RM'!$H$2))))))</f>
        <v>0</v>
      </c>
      <c r="BU101" s="12">
        <f t="shared" si="3"/>
        <v>0</v>
      </c>
      <c r="BV101" s="142">
        <f t="shared" si="4"/>
        <v>0</v>
      </c>
    </row>
    <row r="102" spans="1:74" ht="14.9" customHeight="1" x14ac:dyDescent="0.35">
      <c r="A102" s="1172"/>
      <c r="B102" s="1172"/>
      <c r="C102" s="1172"/>
      <c r="D102" s="1172"/>
      <c r="E102" s="1172"/>
      <c r="F102" s="1172"/>
      <c r="G102" s="1172"/>
      <c r="H102" s="1172"/>
      <c r="I102" s="1173"/>
      <c r="J102" s="1173"/>
      <c r="K102" s="1173"/>
      <c r="L102" s="493" t="str" cm="1">
        <f t="array" ref="L102">IF(A102&lt;&gt;"",IFERROR(INDEX(PMtbl[[WKst]:[Unit of measure*]],MATCH($A$8&amp;$A102&amp;$E102&amp;$I102,INDEX(PMtbl[Sec]&amp;PMtbl[Category]&amp;PMtbl[Each]&amp;PMtbl[Packaging],0,),0),14),""),"")</f>
        <v/>
      </c>
      <c r="M102" s="480" t="str">
        <f>IF(L102="","",INDEX(SETUP!$E$20:$E$122,(MATCH(INDEX(PMsheet!$D:$E,MATCH(A102,PMsheet!E:E,0),1),SETUP!$D$20:$D$122,0))))</f>
        <v/>
      </c>
      <c r="N102" s="494">
        <f>IF($O102="USD",_xlfn.IFNA(VLOOKUP(A102&amp;E102&amp;I102,PMsheet!J:K,2,0),0),(_xlfn.IFNA(VLOOKUP(A102&amp;E102&amp;I102,PMsheet!J:K,2,0),0)*'Master Data-C19RM'!$C$2))</f>
        <v>0</v>
      </c>
      <c r="O102" s="495" t="str">
        <f>IF(L102="", "",SETUP!$E$7)</f>
        <v/>
      </c>
      <c r="P102" s="445">
        <f>IF($O102="USD",_xlfn.IFNA(VLOOKUP($A102&amp;$E102&amp;$I102,PMsheet!$J:$K,2,0),0),(_xlfn.IFNA(VLOOKUP($A102&amp;$E102&amp;$I102,PMsheet!$J:$K,2,0),0)*'Master Data-C19RM'!$C$2))</f>
        <v>0</v>
      </c>
      <c r="Q102" s="440"/>
      <c r="R102" s="440"/>
      <c r="S102" s="440"/>
      <c r="T102" s="440"/>
      <c r="U102" s="482">
        <f>SUM('C19RM 2021-Pharma'!$Q102:$T102)</f>
        <v>0</v>
      </c>
      <c r="V102" s="484">
        <f>IF(SETUP!$E$7="USD",(U102*(IF(O102="USD",P102,(P102/'Master Data-C19RM'!$C$2)))),(U102*(IF(O102="EUR",P102,(P102*'Master Data-C19RM'!$C$2)))))</f>
        <v>0</v>
      </c>
      <c r="W102" s="445">
        <f>IF($O102="USD",_xlfn.IFNA(VLOOKUP($A102&amp;$E102&amp;$I102,PMsheet!$J:$K,2,0),0),(_xlfn.IFNA(VLOOKUP($A102&amp;$E102&amp;$I102,PMsheet!$J:$K,2,0),0)*'Master Data-C19RM'!$D$2))</f>
        <v>0</v>
      </c>
      <c r="X102" s="440"/>
      <c r="Y102" s="440"/>
      <c r="Z102" s="440"/>
      <c r="AA102" s="440"/>
      <c r="AB102" s="482">
        <f>SUM('C19RM 2021-Pharma'!$X102:$AA102)</f>
        <v>0</v>
      </c>
      <c r="AC102" s="484">
        <f>IF(SETUP!$E$7="USD",(AB102*(IF(O102="USD",W102,(W102/'Master Data-C19RM'!$D$2)))),(AB102*(IF(O102="EUR",W102,(W102*'Master Data-C19RM'!$D$2)))))</f>
        <v>0</v>
      </c>
      <c r="AD102" s="445">
        <f>IF($O102="USD",_xlfn.IFNA(VLOOKUP($A102&amp;$E102&amp;$I102,PMsheet!$J:$K,2,0),0),(_xlfn.IFNA(VLOOKUP($A102&amp;$E102&amp;$I102,PMsheet!$J:$K,2,0),0)*'Master Data-C19RM'!$E$2))</f>
        <v>0</v>
      </c>
      <c r="AE102" s="440"/>
      <c r="AF102" s="440"/>
      <c r="AG102" s="440"/>
      <c r="AH102" s="440"/>
      <c r="AI102" s="482">
        <f>SUM('C19RM 2021-Pharma'!$AE102:$AH102)</f>
        <v>0</v>
      </c>
      <c r="AJ102" s="484">
        <f>IF(SETUP!$E$7="USD",(AI102*(IF(O102="USD",AD102,(AD102/'Master Data-C19RM'!$E$2)))),(AI102*(IF(O102="EUR",AD102,(AD102*'Master Data-C19RM'!$E$2)))))</f>
        <v>0</v>
      </c>
      <c r="AK102" s="445">
        <f>IF($O102="USD",_xlfn.IFNA(VLOOKUP($A102&amp;$E102&amp;$I102,PMsheet!$J:$K,2,0),0),(_xlfn.IFNA(VLOOKUP($A102&amp;$E102&amp;$I102,PMsheet!$J:$K,2,0),0)*'Master Data-C19RM'!$F$2))</f>
        <v>0</v>
      </c>
      <c r="AL102" s="440"/>
      <c r="AM102" s="440"/>
      <c r="AN102" s="440"/>
      <c r="AO102" s="440"/>
      <c r="AP102" s="482">
        <f>SUM('C19RM 2021-Pharma'!$AL102:$AO102)</f>
        <v>0</v>
      </c>
      <c r="AQ102" s="484">
        <f>IF(SETUP!$E$7="USD",(AP102*(IF(O102="USD",AK102,(AK102/'Master Data-C19RM'!$F$2)))),(AP102*(IF(O102="EUR",AK102,(AK102*'Master Data-C19RM'!$F$2)))))</f>
        <v>0</v>
      </c>
      <c r="AR102" s="445">
        <f>IF($O102="USD",_xlfn.IFNA(VLOOKUP($A102&amp;$E102&amp;$I102,PMsheet!$J:$K,2,0),0),(_xlfn.IFNA(VLOOKUP($A102&amp;$E102&amp;$I102,PMsheet!$J:$K,2,0),0)*'Master Data-C19RM'!$G$2))</f>
        <v>0</v>
      </c>
      <c r="AS102" s="440"/>
      <c r="AT102" s="440"/>
      <c r="AU102" s="440"/>
      <c r="AV102" s="440"/>
      <c r="AW102" s="482">
        <f>SUM('C19RM 2021-Pharma'!$AS102:$AV102)</f>
        <v>0</v>
      </c>
      <c r="AX102" s="484">
        <f>IF(SETUP!$E$7="USD",(AW102*(IF(O102="USD",AR102,(AR102/'Master Data-C19RM'!$G$2)))),(AW102*(IF(O102="EUR",AR102,(AR102*'Master Data-C19RM'!$G$2)))))</f>
        <v>0</v>
      </c>
      <c r="AY102" s="889"/>
      <c r="AZ102" s="884"/>
      <c r="BA102" s="884"/>
      <c r="BB102" s="884"/>
      <c r="BC102" s="884"/>
      <c r="BD102" s="884"/>
      <c r="BE102" s="885"/>
      <c r="BF102" s="504">
        <f>'C19RM 2021-Pharma'!$U102+'C19RM 2021-Pharma'!$AB102+'C19RM 2021-Pharma'!$AP102+'C19RM 2021-Pharma'!$AI102+$AW102+$BD102</f>
        <v>0</v>
      </c>
      <c r="BG102" s="484">
        <f>'C19RM 2021-Pharma'!$V102+'C19RM 2021-Pharma'!$AC102+'C19RM 2021-Pharma'!$AQ102+'C19RM 2021-Pharma'!$AJ102+$AX102+$BE102</f>
        <v>0</v>
      </c>
      <c r="BH102" s="499" t="str" cm="1">
        <f t="array" ref="BH102">IF(A102&lt;&gt;"",IFERROR(INDEX(PMtbl[[WKst]:[Unit of measure*]],MATCH($A$8&amp;$A102&amp;$E102&amp;$I102,INDEX(PMtbl[Sec]&amp;PMtbl[Category]&amp;PMtbl[Each]&amp;PMtbl[Packaging],0,),0),11),""),"")</f>
        <v/>
      </c>
      <c r="BI102" s="818"/>
      <c r="BJ102" s="503" t="str">
        <f>IFERROR(INDEX(SETUP!$C$19:$G$121,MATCH((INDEX(PMtbl[[WKst]:[Unit of measure*]],MATCH($A102&amp;$E102&amp;$I102,INDEX(PMtbl[Category]&amp;PMtbl[Each]&amp;PMtbl[Packaging],0,),0),3)),SETUP!$D$19:$D$121,0),5),"")</f>
        <v/>
      </c>
      <c r="BK102" s="439" t="str">
        <f>IFERROR(IF((INDEX(SETUP!$C$19:$G$121,MATCH((INDEX(PMtbl[[WKst]:[Unit of measure*]],MATCH($A102&amp;$E102&amp;$I102,INDEX(PMtbl[Category]&amp;PMtbl[Each]&amp;PMtbl[Packaging],0,),0),3)),SETUP!$D$19:$D$121,0),4))="Upfront",0,INDEX(SETUP!$C$19:$G$121,MATCH((INDEX(PMtbl[[WKst]:[Unit of measure*]],MATCH($A102&amp;$E102&amp;$I102,INDEX(PMtbl[Category]&amp;PMtbl[Each]&amp;PMtbl[Packaging],0,),0),3)),SETUP!$D$19:$D$121,0),5)),"")</f>
        <v/>
      </c>
      <c r="BL102" s="194" t="str" cm="1">
        <f t="array" ref="BL102">IF(E102&lt;&gt;"",IFERROR(INDEX(PMtbl[[WKst]:[Unit of measure*]],MATCH($A$8&amp;$A102&amp;$E102&amp;$I102,INDEX(PMtbl[Sec]&amp;PMtbl[Category]&amp;PMtbl[Each]&amp;PMtbl[Packaging],0,),0),11),""),"")</f>
        <v/>
      </c>
      <c r="BO102" s="12">
        <f>IF(N102="",0,IF(SETUP!$E$7="USD",((IF(O102="USD",P102,(P102/'Master Data-C19RM'!$C$2)))),((IF(O102="EUR",P102,(P102*'Master Data-C19RM'!$C$2))))))</f>
        <v>0</v>
      </c>
      <c r="BP102" s="12">
        <f>IF(N102="",0,IF(SETUP!$E$7="USD",((IF(O102="USD",W102,(W102/'Master Data-C19RM'!$D$2)))),((IF(O102="EUR",W102,(W102*'Master Data-C19RM'!$D$2))))))</f>
        <v>0</v>
      </c>
      <c r="BQ102">
        <f>IF(N102="",0,IF(SETUP!$E$7="USD",((IF(O102="USD",AD102,(AD102/'Master Data-C19RM'!$E$2)))),((IF(O102="EUR",AD102,(AD102*'Master Data-C19RM'!$E$2))))))</f>
        <v>0</v>
      </c>
      <c r="BR102">
        <f>IF(N102="",0,IF(SETUP!$E$7="USD",((IF(O102="USD",AK102,(AK102/'Master Data-C19RM'!$F$2)))),((IF(O102="EUR",AK102,(AK102*'Master Data-C19RM'!$F$2))))))</f>
        <v>0</v>
      </c>
      <c r="BS102">
        <f>IF(N102="",0,IF(SETUP!$E$7="USD",((IF(O102="USD",AR102,(AR102/'Master Data-C19RM'!$F$2)))),((IF(O102="EUR",AR102,(AR102*'Master Data-C19RM'!$G$2))))))</f>
        <v>0</v>
      </c>
      <c r="BT102">
        <f>IF(N102="",0,IF(SETUP!$E$7="USD",((IF(O102="USD",AY102,(AY102/'Master Data-C19RM'!$F$2)))),((IF(O102="EUR",AY102,(AY102*'Master Data-C19RM'!$H$2))))))</f>
        <v>0</v>
      </c>
      <c r="BU102" s="12">
        <f t="shared" si="3"/>
        <v>0</v>
      </c>
      <c r="BV102" s="142">
        <f t="shared" si="4"/>
        <v>0</v>
      </c>
    </row>
    <row r="103" spans="1:74" ht="14.9" customHeight="1" x14ac:dyDescent="0.35">
      <c r="A103" s="1165"/>
      <c r="B103" s="1165"/>
      <c r="C103" s="1165"/>
      <c r="D103" s="1165"/>
      <c r="E103" s="1166"/>
      <c r="F103" s="1166"/>
      <c r="G103" s="1166"/>
      <c r="H103" s="1166"/>
      <c r="I103" s="1166"/>
      <c r="J103" s="1166"/>
      <c r="K103" s="1166"/>
      <c r="L103" s="490" t="str" cm="1">
        <f t="array" ref="L103">IF(A103&lt;&gt;"",IFERROR(INDEX(PMtbl[[WKst]:[Unit of measure*]],MATCH($A$8&amp;$A103&amp;$E103&amp;$I103,INDEX(PMtbl[Sec]&amp;PMtbl[Category]&amp;PMtbl[Each]&amp;PMtbl[Packaging],0,),0),14),""),"")</f>
        <v/>
      </c>
      <c r="M103" s="479" t="str">
        <f>IF(L103="","",INDEX(SETUP!$E$20:$E$122,(MATCH(INDEX(PMsheet!$D:$E,MATCH(A103,PMsheet!E:E,0),1),SETUP!$D$20:$D$122,0))))</f>
        <v/>
      </c>
      <c r="N103" s="491">
        <f>IF($O103="USD",_xlfn.IFNA(VLOOKUP(A103&amp;E103&amp;I103,PMsheet!J:K,2,0),0),(_xlfn.IFNA(VLOOKUP(A103&amp;E103&amp;I103,PMsheet!J:K,2,0),0)*'Master Data-C19RM'!$C$2))</f>
        <v>0</v>
      </c>
      <c r="O103" s="492" t="str">
        <f>IF(L103="", "",SETUP!$E$7)</f>
        <v/>
      </c>
      <c r="P103" s="444">
        <f>IF($O103="USD",_xlfn.IFNA(VLOOKUP($A103&amp;$E103&amp;$I103,PMsheet!$J:$K,2,0),0),(_xlfn.IFNA(VLOOKUP($A103&amp;$E103&amp;$I103,PMsheet!$J:$K,2,0),0)*'Master Data-C19RM'!$C$2))</f>
        <v>0</v>
      </c>
      <c r="Q103" s="441"/>
      <c r="R103" s="441"/>
      <c r="S103" s="441"/>
      <c r="T103" s="441"/>
      <c r="U103" s="481">
        <f>SUM('C19RM 2021-Pharma'!$Q103:$T103)</f>
        <v>0</v>
      </c>
      <c r="V103" s="483">
        <f>IF(SETUP!$E$7="USD",(U103*(IF(O103="USD",P103,(P103/'Master Data-C19RM'!$C$2)))),(U103*(IF(O103="EUR",P103,(P103*'Master Data-C19RM'!$C$2)))))</f>
        <v>0</v>
      </c>
      <c r="W103" s="444">
        <f>IF($O103="USD",_xlfn.IFNA(VLOOKUP($A103&amp;$E103&amp;$I103,PMsheet!$J:$K,2,0),0),(_xlfn.IFNA(VLOOKUP($A103&amp;$E103&amp;$I103,PMsheet!$J:$K,2,0),0)*'Master Data-C19RM'!$D$2))</f>
        <v>0</v>
      </c>
      <c r="X103" s="441"/>
      <c r="Y103" s="441"/>
      <c r="Z103" s="441"/>
      <c r="AA103" s="441"/>
      <c r="AB103" s="481">
        <f>SUM('C19RM 2021-Pharma'!$X103:$AA103)</f>
        <v>0</v>
      </c>
      <c r="AC103" s="483">
        <f>IF(SETUP!$E$7="USD",(AB103*(IF(O103="USD",W103,(W103/'Master Data-C19RM'!$D$2)))),(AB103*(IF(O103="EUR",W103,(W103*'Master Data-C19RM'!$D$2)))))</f>
        <v>0</v>
      </c>
      <c r="AD103" s="444">
        <f>IF($O103="USD",_xlfn.IFNA(VLOOKUP($A103&amp;$E103&amp;$I103,PMsheet!$J:$K,2,0),0),(_xlfn.IFNA(VLOOKUP($A103&amp;$E103&amp;$I103,PMsheet!$J:$K,2,0),0)*'Master Data-C19RM'!$E$2))</f>
        <v>0</v>
      </c>
      <c r="AE103" s="441"/>
      <c r="AF103" s="441"/>
      <c r="AG103" s="441"/>
      <c r="AH103" s="441"/>
      <c r="AI103" s="481">
        <f>SUM('C19RM 2021-Pharma'!$AE103:$AH103)</f>
        <v>0</v>
      </c>
      <c r="AJ103" s="483">
        <f>IF(SETUP!$E$7="USD",(AI103*(IF(O103="USD",AD103,(AD103/'Master Data-C19RM'!$E$2)))),(AI103*(IF(O103="EUR",AD103,(AD103*'Master Data-C19RM'!$E$2)))))</f>
        <v>0</v>
      </c>
      <c r="AK103" s="444">
        <f>IF($O103="USD",_xlfn.IFNA(VLOOKUP($A103&amp;$E103&amp;$I103,PMsheet!$J:$K,2,0),0),(_xlfn.IFNA(VLOOKUP($A103&amp;$E103&amp;$I103,PMsheet!$J:$K,2,0),0)*'Master Data-C19RM'!$F$2))</f>
        <v>0</v>
      </c>
      <c r="AL103" s="441"/>
      <c r="AM103" s="441"/>
      <c r="AN103" s="441"/>
      <c r="AO103" s="441"/>
      <c r="AP103" s="481">
        <f>SUM('C19RM 2021-Pharma'!$AL103:$AO103)</f>
        <v>0</v>
      </c>
      <c r="AQ103" s="483">
        <f>IF(SETUP!$E$7="USD",(AP103*(IF(O103="USD",AK103,(AK103/'Master Data-C19RM'!$F$2)))),(AP103*(IF(O103="EUR",AK103,(AK103*'Master Data-C19RM'!$F$2)))))</f>
        <v>0</v>
      </c>
      <c r="AR103" s="444">
        <f>IF($O103="USD",_xlfn.IFNA(VLOOKUP($A103&amp;$E103&amp;$I103,PMsheet!$J:$K,2,0),0),(_xlfn.IFNA(VLOOKUP($A103&amp;$E103&amp;$I103,PMsheet!$J:$K,2,0),0)*'Master Data-C19RM'!$G$2))</f>
        <v>0</v>
      </c>
      <c r="AS103" s="441"/>
      <c r="AT103" s="441"/>
      <c r="AU103" s="441"/>
      <c r="AV103" s="441"/>
      <c r="AW103" s="481">
        <f>SUM('C19RM 2021-Pharma'!$AS103:$AV103)</f>
        <v>0</v>
      </c>
      <c r="AX103" s="483">
        <f>IF(SETUP!$E$7="USD",(AW103*(IF(O103="USD",AR103,(AR103/'Master Data-C19RM'!$G$2)))),(AW103*(IF(O103="EUR",AR103,(AR103*'Master Data-C19RM'!$G$2)))))</f>
        <v>0</v>
      </c>
      <c r="AY103" s="886"/>
      <c r="AZ103" s="887"/>
      <c r="BA103" s="887"/>
      <c r="BB103" s="887"/>
      <c r="BC103" s="887"/>
      <c r="BD103" s="887"/>
      <c r="BE103" s="888"/>
      <c r="BF103" s="505">
        <f>'C19RM 2021-Pharma'!$U103+'C19RM 2021-Pharma'!$AB103+'C19RM 2021-Pharma'!$AP103+'C19RM 2021-Pharma'!$AI103+$AW103+$BD103</f>
        <v>0</v>
      </c>
      <c r="BG103" s="483">
        <f>'C19RM 2021-Pharma'!$V103+'C19RM 2021-Pharma'!$AC103+'C19RM 2021-Pharma'!$AQ103+'C19RM 2021-Pharma'!$AJ103+$AX103+$BE103</f>
        <v>0</v>
      </c>
      <c r="BH103" s="500" t="str" cm="1">
        <f t="array" ref="BH103">IF(A103&lt;&gt;"",IFERROR(INDEX(PMtbl[[WKst]:[Unit of measure*]],MATCH($A$8&amp;$A103&amp;$E103&amp;$I103,INDEX(PMtbl[Sec]&amp;PMtbl[Category]&amp;PMtbl[Each]&amp;PMtbl[Packaging],0,),0),11),""),"")</f>
        <v/>
      </c>
      <c r="BI103" s="819"/>
      <c r="BJ103" s="502" t="str">
        <f>IFERROR(INDEX(SETUP!$C$19:$G$121,MATCH((INDEX(PMtbl[[WKst]:[Unit of measure*]],MATCH($A103&amp;$E103&amp;$I103,INDEX(PMtbl[Category]&amp;PMtbl[Each]&amp;PMtbl[Packaging],0,),0),3)),SETUP!$D$19:$D$121,0),5),"")</f>
        <v/>
      </c>
      <c r="BK103" s="438" t="str">
        <f>IFERROR(IF((INDEX(SETUP!$C$19:$G$121,MATCH((INDEX(PMtbl[[WKst]:[Unit of measure*]],MATCH($A103&amp;$E103&amp;$I103,INDEX(PMtbl[Category]&amp;PMtbl[Each]&amp;PMtbl[Packaging],0,),0),3)),SETUP!$D$19:$D$121,0),4))="Upfront",0,INDEX(SETUP!$C$19:$G$121,MATCH((INDEX(PMtbl[[WKst]:[Unit of measure*]],MATCH($A103&amp;$E103&amp;$I103,INDEX(PMtbl[Category]&amp;PMtbl[Each]&amp;PMtbl[Packaging],0,),0),3)),SETUP!$D$19:$D$121,0),5)),"")</f>
        <v/>
      </c>
      <c r="BL103" s="193" t="str" cm="1">
        <f t="array" ref="BL103">IF(E103&lt;&gt;"",IFERROR(INDEX(PMtbl[[WKst]:[Unit of measure*]],MATCH($A$8&amp;$A103&amp;$E103&amp;$I103,INDEX(PMtbl[Sec]&amp;PMtbl[Category]&amp;PMtbl[Each]&amp;PMtbl[Packaging],0,),0),11),""),"")</f>
        <v/>
      </c>
      <c r="BO103" s="12">
        <f>IF(N103="",0,IF(SETUP!$E$7="USD",((IF(O103="USD",P103,(P103/'Master Data-C19RM'!$C$2)))),((IF(O103="EUR",P103,(P103*'Master Data-C19RM'!$C$2))))))</f>
        <v>0</v>
      </c>
      <c r="BP103" s="12">
        <f>IF(N103="",0,IF(SETUP!$E$7="USD",((IF(O103="USD",W103,(W103/'Master Data-C19RM'!$D$2)))),((IF(O103="EUR",W103,(W103*'Master Data-C19RM'!$D$2))))))</f>
        <v>0</v>
      </c>
      <c r="BQ103">
        <f>IF(N103="",0,IF(SETUP!$E$7="USD",((IF(O103="USD",AD103,(AD103/'Master Data-C19RM'!$E$2)))),((IF(O103="EUR",AD103,(AD103*'Master Data-C19RM'!$E$2))))))</f>
        <v>0</v>
      </c>
      <c r="BR103">
        <f>IF(N103="",0,IF(SETUP!$E$7="USD",((IF(O103="USD",AK103,(AK103/'Master Data-C19RM'!$F$2)))),((IF(O103="EUR",AK103,(AK103*'Master Data-C19RM'!$F$2))))))</f>
        <v>0</v>
      </c>
      <c r="BS103">
        <f>IF(N103="",0,IF(SETUP!$E$7="USD",((IF(O103="USD",AR103,(AR103/'Master Data-C19RM'!$F$2)))),((IF(O103="EUR",AR103,(AR103*'Master Data-C19RM'!$G$2))))))</f>
        <v>0</v>
      </c>
      <c r="BT103">
        <f>IF(N103="",0,IF(SETUP!$E$7="USD",((IF(O103="USD",AY103,(AY103/'Master Data-C19RM'!$F$2)))),((IF(O103="EUR",AY103,(AY103*'Master Data-C19RM'!$H$2))))))</f>
        <v>0</v>
      </c>
      <c r="BU103" s="12">
        <f t="shared" si="3"/>
        <v>0</v>
      </c>
      <c r="BV103" s="142">
        <f t="shared" si="4"/>
        <v>0</v>
      </c>
    </row>
    <row r="104" spans="1:74" ht="14.9" customHeight="1" x14ac:dyDescent="0.35">
      <c r="A104" s="1172"/>
      <c r="B104" s="1172"/>
      <c r="C104" s="1172"/>
      <c r="D104" s="1172"/>
      <c r="E104" s="1172"/>
      <c r="F104" s="1172"/>
      <c r="G104" s="1172"/>
      <c r="H104" s="1172"/>
      <c r="I104" s="1173"/>
      <c r="J104" s="1173"/>
      <c r="K104" s="1173"/>
      <c r="L104" s="493" t="str" cm="1">
        <f t="array" ref="L104">IF(A104&lt;&gt;"",IFERROR(INDEX(PMtbl[[WKst]:[Unit of measure*]],MATCH($A$8&amp;$A104&amp;$E104&amp;$I104,INDEX(PMtbl[Sec]&amp;PMtbl[Category]&amp;PMtbl[Each]&amp;PMtbl[Packaging],0,),0),14),""),"")</f>
        <v/>
      </c>
      <c r="M104" s="480" t="str">
        <f>IF(L104="","",INDEX(SETUP!$E$20:$E$122,(MATCH(INDEX(PMsheet!$D:$E,MATCH(A104,PMsheet!E:E,0),1),SETUP!$D$20:$D$122,0))))</f>
        <v/>
      </c>
      <c r="N104" s="494">
        <f>IF($O104="USD",_xlfn.IFNA(VLOOKUP(A104&amp;E104&amp;I104,PMsheet!J:K,2,0),0),(_xlfn.IFNA(VLOOKUP(A104&amp;E104&amp;I104,PMsheet!J:K,2,0),0)*'Master Data-C19RM'!$C$2))</f>
        <v>0</v>
      </c>
      <c r="O104" s="495" t="str">
        <f>IF(L104="", "",SETUP!$E$7)</f>
        <v/>
      </c>
      <c r="P104" s="445">
        <f>IF($O104="USD",_xlfn.IFNA(VLOOKUP($A104&amp;$E104&amp;$I104,PMsheet!$J:$K,2,0),0),(_xlfn.IFNA(VLOOKUP($A104&amp;$E104&amp;$I104,PMsheet!$J:$K,2,0),0)*'Master Data-C19RM'!$C$2))</f>
        <v>0</v>
      </c>
      <c r="Q104" s="440"/>
      <c r="R104" s="440"/>
      <c r="S104" s="440"/>
      <c r="T104" s="440"/>
      <c r="U104" s="482">
        <f>SUM('C19RM 2021-Pharma'!$Q104:$T104)</f>
        <v>0</v>
      </c>
      <c r="V104" s="484">
        <f>IF(SETUP!$E$7="USD",(U104*(IF(O104="USD",P104,(P104/'Master Data-C19RM'!$C$2)))),(U104*(IF(O104="EUR",P104,(P104*'Master Data-C19RM'!$C$2)))))</f>
        <v>0</v>
      </c>
      <c r="W104" s="445">
        <f>IF($O104="USD",_xlfn.IFNA(VLOOKUP($A104&amp;$E104&amp;$I104,PMsheet!$J:$K,2,0),0),(_xlfn.IFNA(VLOOKUP($A104&amp;$E104&amp;$I104,PMsheet!$J:$K,2,0),0)*'Master Data-C19RM'!$D$2))</f>
        <v>0</v>
      </c>
      <c r="X104" s="440"/>
      <c r="Y104" s="440"/>
      <c r="Z104" s="440"/>
      <c r="AA104" s="440"/>
      <c r="AB104" s="482">
        <f>SUM('C19RM 2021-Pharma'!$X104:$AA104)</f>
        <v>0</v>
      </c>
      <c r="AC104" s="484">
        <f>IF(SETUP!$E$7="USD",(AB104*(IF(O104="USD",W104,(W104/'Master Data-C19RM'!$D$2)))),(AB104*(IF(O104="EUR",W104,(W104*'Master Data-C19RM'!$D$2)))))</f>
        <v>0</v>
      </c>
      <c r="AD104" s="445">
        <f>IF($O104="USD",_xlfn.IFNA(VLOOKUP($A104&amp;$E104&amp;$I104,PMsheet!$J:$K,2,0),0),(_xlfn.IFNA(VLOOKUP($A104&amp;$E104&amp;$I104,PMsheet!$J:$K,2,0),0)*'Master Data-C19RM'!$E$2))</f>
        <v>0</v>
      </c>
      <c r="AE104" s="440"/>
      <c r="AF104" s="440"/>
      <c r="AG104" s="440"/>
      <c r="AH104" s="440"/>
      <c r="AI104" s="482">
        <f>SUM('C19RM 2021-Pharma'!$AE104:$AH104)</f>
        <v>0</v>
      </c>
      <c r="AJ104" s="484">
        <f>IF(SETUP!$E$7="USD",(AI104*(IF(O104="USD",AD104,(AD104/'Master Data-C19RM'!$E$2)))),(AI104*(IF(O104="EUR",AD104,(AD104*'Master Data-C19RM'!$E$2)))))</f>
        <v>0</v>
      </c>
      <c r="AK104" s="445">
        <f>IF($O104="USD",_xlfn.IFNA(VLOOKUP($A104&amp;$E104&amp;$I104,PMsheet!$J:$K,2,0),0),(_xlfn.IFNA(VLOOKUP($A104&amp;$E104&amp;$I104,PMsheet!$J:$K,2,0),0)*'Master Data-C19RM'!$F$2))</f>
        <v>0</v>
      </c>
      <c r="AL104" s="440"/>
      <c r="AM104" s="440"/>
      <c r="AN104" s="440"/>
      <c r="AO104" s="440"/>
      <c r="AP104" s="482">
        <f>SUM('C19RM 2021-Pharma'!$AL104:$AO104)</f>
        <v>0</v>
      </c>
      <c r="AQ104" s="484">
        <f>IF(SETUP!$E$7="USD",(AP104*(IF(O104="USD",AK104,(AK104/'Master Data-C19RM'!$F$2)))),(AP104*(IF(O104="EUR",AK104,(AK104*'Master Data-C19RM'!$F$2)))))</f>
        <v>0</v>
      </c>
      <c r="AR104" s="445">
        <f>IF($O104="USD",_xlfn.IFNA(VLOOKUP($A104&amp;$E104&amp;$I104,PMsheet!$J:$K,2,0),0),(_xlfn.IFNA(VLOOKUP($A104&amp;$E104&amp;$I104,PMsheet!$J:$K,2,0),0)*'Master Data-C19RM'!$G$2))</f>
        <v>0</v>
      </c>
      <c r="AS104" s="440"/>
      <c r="AT104" s="440"/>
      <c r="AU104" s="440"/>
      <c r="AV104" s="440"/>
      <c r="AW104" s="482">
        <f>SUM('C19RM 2021-Pharma'!$AS104:$AV104)</f>
        <v>0</v>
      </c>
      <c r="AX104" s="484">
        <f>IF(SETUP!$E$7="USD",(AW104*(IF(O104="USD",AR104,(AR104/'Master Data-C19RM'!$G$2)))),(AW104*(IF(O104="EUR",AR104,(AR104*'Master Data-C19RM'!$G$2)))))</f>
        <v>0</v>
      </c>
      <c r="AY104" s="889"/>
      <c r="AZ104" s="884"/>
      <c r="BA104" s="884"/>
      <c r="BB104" s="884"/>
      <c r="BC104" s="884"/>
      <c r="BD104" s="884"/>
      <c r="BE104" s="885"/>
      <c r="BF104" s="504">
        <f>'C19RM 2021-Pharma'!$U104+'C19RM 2021-Pharma'!$AB104+'C19RM 2021-Pharma'!$AP104+'C19RM 2021-Pharma'!$AI104+$AW104+$BD104</f>
        <v>0</v>
      </c>
      <c r="BG104" s="484">
        <f>'C19RM 2021-Pharma'!$V104+'C19RM 2021-Pharma'!$AC104+'C19RM 2021-Pharma'!$AQ104+'C19RM 2021-Pharma'!$AJ104+$AX104+$BE104</f>
        <v>0</v>
      </c>
      <c r="BH104" s="499" t="str" cm="1">
        <f t="array" ref="BH104">IF(A104&lt;&gt;"",IFERROR(INDEX(PMtbl[[WKst]:[Unit of measure*]],MATCH($A$8&amp;$A104&amp;$E104&amp;$I104,INDEX(PMtbl[Sec]&amp;PMtbl[Category]&amp;PMtbl[Each]&amp;PMtbl[Packaging],0,),0),11),""),"")</f>
        <v/>
      </c>
      <c r="BI104" s="818"/>
      <c r="BJ104" s="503" t="str">
        <f>IFERROR(INDEX(SETUP!$C$19:$G$121,MATCH((INDEX(PMtbl[[WKst]:[Unit of measure*]],MATCH($A104&amp;$E104&amp;$I104,INDEX(PMtbl[Category]&amp;PMtbl[Each]&amp;PMtbl[Packaging],0,),0),3)),SETUP!$D$19:$D$121,0),5),"")</f>
        <v/>
      </c>
      <c r="BK104" s="439" t="str">
        <f>IFERROR(IF((INDEX(SETUP!$C$19:$G$121,MATCH((INDEX(PMtbl[[WKst]:[Unit of measure*]],MATCH($A104&amp;$E104&amp;$I104,INDEX(PMtbl[Category]&amp;PMtbl[Each]&amp;PMtbl[Packaging],0,),0),3)),SETUP!$D$19:$D$121,0),4))="Upfront",0,INDEX(SETUP!$C$19:$G$121,MATCH((INDEX(PMtbl[[WKst]:[Unit of measure*]],MATCH($A104&amp;$E104&amp;$I104,INDEX(PMtbl[Category]&amp;PMtbl[Each]&amp;PMtbl[Packaging],0,),0),3)),SETUP!$D$19:$D$121,0),5)),"")</f>
        <v/>
      </c>
      <c r="BL104" s="194" t="str" cm="1">
        <f t="array" ref="BL104">IF(E104&lt;&gt;"",IFERROR(INDEX(PMtbl[[WKst]:[Unit of measure*]],MATCH($A$8&amp;$A104&amp;$E104&amp;$I104,INDEX(PMtbl[Sec]&amp;PMtbl[Category]&amp;PMtbl[Each]&amp;PMtbl[Packaging],0,),0),11),""),"")</f>
        <v/>
      </c>
      <c r="BO104" s="12">
        <f>IF(N104="",0,IF(SETUP!$E$7="USD",((IF(O104="USD",P104,(P104/'Master Data-C19RM'!$C$2)))),((IF(O104="EUR",P104,(P104*'Master Data-C19RM'!$C$2))))))</f>
        <v>0</v>
      </c>
      <c r="BP104" s="12">
        <f>IF(N104="",0,IF(SETUP!$E$7="USD",((IF(O104="USD",W104,(W104/'Master Data-C19RM'!$D$2)))),((IF(O104="EUR",W104,(W104*'Master Data-C19RM'!$D$2))))))</f>
        <v>0</v>
      </c>
      <c r="BQ104">
        <f>IF(N104="",0,IF(SETUP!$E$7="USD",((IF(O104="USD",AD104,(AD104/'Master Data-C19RM'!$E$2)))),((IF(O104="EUR",AD104,(AD104*'Master Data-C19RM'!$E$2))))))</f>
        <v>0</v>
      </c>
      <c r="BR104">
        <f>IF(N104="",0,IF(SETUP!$E$7="USD",((IF(O104="USD",AK104,(AK104/'Master Data-C19RM'!$F$2)))),((IF(O104="EUR",AK104,(AK104*'Master Data-C19RM'!$F$2))))))</f>
        <v>0</v>
      </c>
      <c r="BS104">
        <f>IF(N104="",0,IF(SETUP!$E$7="USD",((IF(O104="USD",AR104,(AR104/'Master Data-C19RM'!$F$2)))),((IF(O104="EUR",AR104,(AR104*'Master Data-C19RM'!$G$2))))))</f>
        <v>0</v>
      </c>
      <c r="BT104">
        <f>IF(N104="",0,IF(SETUP!$E$7="USD",((IF(O104="USD",AY104,(AY104/'Master Data-C19RM'!$F$2)))),((IF(O104="EUR",AY104,(AY104*'Master Data-C19RM'!$H$2))))))</f>
        <v>0</v>
      </c>
      <c r="BU104" s="12">
        <f t="shared" si="3"/>
        <v>0</v>
      </c>
      <c r="BV104" s="142">
        <f t="shared" si="4"/>
        <v>0</v>
      </c>
    </row>
    <row r="105" spans="1:74" ht="14.9" customHeight="1" x14ac:dyDescent="0.35">
      <c r="A105" s="1165"/>
      <c r="B105" s="1165"/>
      <c r="C105" s="1165"/>
      <c r="D105" s="1165"/>
      <c r="E105" s="1166"/>
      <c r="F105" s="1166"/>
      <c r="G105" s="1166"/>
      <c r="H105" s="1166"/>
      <c r="I105" s="1166"/>
      <c r="J105" s="1166"/>
      <c r="K105" s="1166"/>
      <c r="L105" s="490" t="str" cm="1">
        <f t="array" ref="L105">IF(A105&lt;&gt;"",IFERROR(INDEX(PMtbl[[WKst]:[Unit of measure*]],MATCH($A$8&amp;$A105&amp;$E105&amp;$I105,INDEX(PMtbl[Sec]&amp;PMtbl[Category]&amp;PMtbl[Each]&amp;PMtbl[Packaging],0,),0),14),""),"")</f>
        <v/>
      </c>
      <c r="M105" s="479" t="str">
        <f>IF(L105="","",INDEX(SETUP!$E$20:$E$122,(MATCH(INDEX(PMsheet!$D:$E,MATCH(A105,PMsheet!E:E,0),1),SETUP!$D$20:$D$122,0))))</f>
        <v/>
      </c>
      <c r="N105" s="491">
        <f>IF($O105="USD",_xlfn.IFNA(VLOOKUP(A105&amp;E105&amp;I105,PMsheet!J:K,2,0),0),(_xlfn.IFNA(VLOOKUP(A105&amp;E105&amp;I105,PMsheet!J:K,2,0),0)*'Master Data-C19RM'!$C$2))</f>
        <v>0</v>
      </c>
      <c r="O105" s="492" t="str">
        <f>IF(L105="", "",SETUP!$E$7)</f>
        <v/>
      </c>
      <c r="P105" s="444">
        <f>IF($O105="USD",_xlfn.IFNA(VLOOKUP($A105&amp;$E105&amp;$I105,PMsheet!$J:$K,2,0),0),(_xlfn.IFNA(VLOOKUP($A105&amp;$E105&amp;$I105,PMsheet!$J:$K,2,0),0)*'Master Data-C19RM'!$C$2))</f>
        <v>0</v>
      </c>
      <c r="Q105" s="441"/>
      <c r="R105" s="441"/>
      <c r="S105" s="441"/>
      <c r="T105" s="441"/>
      <c r="U105" s="481">
        <f>SUM('C19RM 2021-Pharma'!$Q105:$T105)</f>
        <v>0</v>
      </c>
      <c r="V105" s="483">
        <f>IF(SETUP!$E$7="USD",(U105*(IF(O105="USD",P105,(P105/'Master Data-C19RM'!$C$2)))),(U105*(IF(O105="EUR",P105,(P105*'Master Data-C19RM'!$C$2)))))</f>
        <v>0</v>
      </c>
      <c r="W105" s="444">
        <f>IF($O105="USD",_xlfn.IFNA(VLOOKUP($A105&amp;$E105&amp;$I105,PMsheet!$J:$K,2,0),0),(_xlfn.IFNA(VLOOKUP($A105&amp;$E105&amp;$I105,PMsheet!$J:$K,2,0),0)*'Master Data-C19RM'!$D$2))</f>
        <v>0</v>
      </c>
      <c r="X105" s="441"/>
      <c r="Y105" s="441"/>
      <c r="Z105" s="441"/>
      <c r="AA105" s="441"/>
      <c r="AB105" s="481">
        <f>SUM('C19RM 2021-Pharma'!$X105:$AA105)</f>
        <v>0</v>
      </c>
      <c r="AC105" s="483">
        <f>IF(SETUP!$E$7="USD",(AB105*(IF(O105="USD",W105,(W105/'Master Data-C19RM'!$D$2)))),(AB105*(IF(O105="EUR",W105,(W105*'Master Data-C19RM'!$D$2)))))</f>
        <v>0</v>
      </c>
      <c r="AD105" s="444">
        <f>IF($O105="USD",_xlfn.IFNA(VLOOKUP($A105&amp;$E105&amp;$I105,PMsheet!$J:$K,2,0),0),(_xlfn.IFNA(VLOOKUP($A105&amp;$E105&amp;$I105,PMsheet!$J:$K,2,0),0)*'Master Data-C19RM'!$E$2))</f>
        <v>0</v>
      </c>
      <c r="AE105" s="441"/>
      <c r="AF105" s="441"/>
      <c r="AG105" s="441"/>
      <c r="AH105" s="441"/>
      <c r="AI105" s="481">
        <f>SUM('C19RM 2021-Pharma'!$AE105:$AH105)</f>
        <v>0</v>
      </c>
      <c r="AJ105" s="483">
        <f>IF(SETUP!$E$7="USD",(AI105*(IF(O105="USD",AD105,(AD105/'Master Data-C19RM'!$E$2)))),(AI105*(IF(O105="EUR",AD105,(AD105*'Master Data-C19RM'!$E$2)))))</f>
        <v>0</v>
      </c>
      <c r="AK105" s="444">
        <f>IF($O105="USD",_xlfn.IFNA(VLOOKUP($A105&amp;$E105&amp;$I105,PMsheet!$J:$K,2,0),0),(_xlfn.IFNA(VLOOKUP($A105&amp;$E105&amp;$I105,PMsheet!$J:$K,2,0),0)*'Master Data-C19RM'!$F$2))</f>
        <v>0</v>
      </c>
      <c r="AL105" s="441"/>
      <c r="AM105" s="441"/>
      <c r="AN105" s="441"/>
      <c r="AO105" s="441"/>
      <c r="AP105" s="481">
        <f>SUM('C19RM 2021-Pharma'!$AL105:$AO105)</f>
        <v>0</v>
      </c>
      <c r="AQ105" s="483">
        <f>IF(SETUP!$E$7="USD",(AP105*(IF(O105="USD",AK105,(AK105/'Master Data-C19RM'!$F$2)))),(AP105*(IF(O105="EUR",AK105,(AK105*'Master Data-C19RM'!$F$2)))))</f>
        <v>0</v>
      </c>
      <c r="AR105" s="444">
        <f>IF($O105="USD",_xlfn.IFNA(VLOOKUP($A105&amp;$E105&amp;$I105,PMsheet!$J:$K,2,0),0),(_xlfn.IFNA(VLOOKUP($A105&amp;$E105&amp;$I105,PMsheet!$J:$K,2,0),0)*'Master Data-C19RM'!$G$2))</f>
        <v>0</v>
      </c>
      <c r="AS105" s="441"/>
      <c r="AT105" s="441"/>
      <c r="AU105" s="441"/>
      <c r="AV105" s="441"/>
      <c r="AW105" s="481">
        <f>SUM('C19RM 2021-Pharma'!$AS105:$AV105)</f>
        <v>0</v>
      </c>
      <c r="AX105" s="483">
        <f>IF(SETUP!$E$7="USD",(AW105*(IF(O105="USD",AR105,(AR105/'Master Data-C19RM'!$G$2)))),(AW105*(IF(O105="EUR",AR105,(AR105*'Master Data-C19RM'!$G$2)))))</f>
        <v>0</v>
      </c>
      <c r="AY105" s="886"/>
      <c r="AZ105" s="887"/>
      <c r="BA105" s="887"/>
      <c r="BB105" s="887"/>
      <c r="BC105" s="887"/>
      <c r="BD105" s="887"/>
      <c r="BE105" s="888"/>
      <c r="BF105" s="505">
        <f>'C19RM 2021-Pharma'!$U105+'C19RM 2021-Pharma'!$AB105+'C19RM 2021-Pharma'!$AP105+'C19RM 2021-Pharma'!$AI105+$AW105+$BD105</f>
        <v>0</v>
      </c>
      <c r="BG105" s="483">
        <f>'C19RM 2021-Pharma'!$V105+'C19RM 2021-Pharma'!$AC105+'C19RM 2021-Pharma'!$AQ105+'C19RM 2021-Pharma'!$AJ105+$AX105+$BE105</f>
        <v>0</v>
      </c>
      <c r="BH105" s="500" t="str" cm="1">
        <f t="array" ref="BH105">IF(A105&lt;&gt;"",IFERROR(INDEX(PMtbl[[WKst]:[Unit of measure*]],MATCH($A$8&amp;$A105&amp;$E105&amp;$I105,INDEX(PMtbl[Sec]&amp;PMtbl[Category]&amp;PMtbl[Each]&amp;PMtbl[Packaging],0,),0),11),""),"")</f>
        <v/>
      </c>
      <c r="BI105" s="819"/>
      <c r="BJ105" s="502" t="str">
        <f>IFERROR(INDEX(SETUP!$C$19:$G$121,MATCH((INDEX(PMtbl[[WKst]:[Unit of measure*]],MATCH($A105&amp;$E105&amp;$I105,INDEX(PMtbl[Category]&amp;PMtbl[Each]&amp;PMtbl[Packaging],0,),0),3)),SETUP!$D$19:$D$121,0),5),"")</f>
        <v/>
      </c>
      <c r="BK105" s="438" t="str">
        <f>IFERROR(IF((INDEX(SETUP!$C$19:$G$121,MATCH((INDEX(PMtbl[[WKst]:[Unit of measure*]],MATCH($A105&amp;$E105&amp;$I105,INDEX(PMtbl[Category]&amp;PMtbl[Each]&amp;PMtbl[Packaging],0,),0),3)),SETUP!$D$19:$D$121,0),4))="Upfront",0,INDEX(SETUP!$C$19:$G$121,MATCH((INDEX(PMtbl[[WKst]:[Unit of measure*]],MATCH($A105&amp;$E105&amp;$I105,INDEX(PMtbl[Category]&amp;PMtbl[Each]&amp;PMtbl[Packaging],0,),0),3)),SETUP!$D$19:$D$121,0),5)),"")</f>
        <v/>
      </c>
      <c r="BL105" s="193" t="str" cm="1">
        <f t="array" ref="BL105">IF(E105&lt;&gt;"",IFERROR(INDEX(PMtbl[[WKst]:[Unit of measure*]],MATCH($A$8&amp;$A105&amp;$E105&amp;$I105,INDEX(PMtbl[Sec]&amp;PMtbl[Category]&amp;PMtbl[Each]&amp;PMtbl[Packaging],0,),0),11),""),"")</f>
        <v/>
      </c>
      <c r="BO105" s="12">
        <f>IF(N105="",0,IF(SETUP!$E$7="USD",((IF(O105="USD",P105,(P105/'Master Data-C19RM'!$C$2)))),((IF(O105="EUR",P105,(P105*'Master Data-C19RM'!$C$2))))))</f>
        <v>0</v>
      </c>
      <c r="BP105" s="12">
        <f>IF(N105="",0,IF(SETUP!$E$7="USD",((IF(O105="USD",W105,(W105/'Master Data-C19RM'!$D$2)))),((IF(O105="EUR",W105,(W105*'Master Data-C19RM'!$D$2))))))</f>
        <v>0</v>
      </c>
      <c r="BQ105">
        <f>IF(N105="",0,IF(SETUP!$E$7="USD",((IF(O105="USD",AD105,(AD105/'Master Data-C19RM'!$E$2)))),((IF(O105="EUR",AD105,(AD105*'Master Data-C19RM'!$E$2))))))</f>
        <v>0</v>
      </c>
      <c r="BR105">
        <f>IF(N105="",0,IF(SETUP!$E$7="USD",((IF(O105="USD",AK105,(AK105/'Master Data-C19RM'!$F$2)))),((IF(O105="EUR",AK105,(AK105*'Master Data-C19RM'!$F$2))))))</f>
        <v>0</v>
      </c>
      <c r="BS105">
        <f>IF(N105="",0,IF(SETUP!$E$7="USD",((IF(O105="USD",AR105,(AR105/'Master Data-C19RM'!$F$2)))),((IF(O105="EUR",AR105,(AR105*'Master Data-C19RM'!$G$2))))))</f>
        <v>0</v>
      </c>
      <c r="BT105">
        <f>IF(N105="",0,IF(SETUP!$E$7="USD",((IF(O105="USD",AY105,(AY105/'Master Data-C19RM'!$F$2)))),((IF(O105="EUR",AY105,(AY105*'Master Data-C19RM'!$H$2))))))</f>
        <v>0</v>
      </c>
      <c r="BU105" s="12">
        <f t="shared" si="3"/>
        <v>0</v>
      </c>
      <c r="BV105" s="142">
        <f t="shared" si="4"/>
        <v>0</v>
      </c>
    </row>
    <row r="106" spans="1:74" ht="14.9" customHeight="1" x14ac:dyDescent="0.35">
      <c r="A106" s="1172"/>
      <c r="B106" s="1172"/>
      <c r="C106" s="1172"/>
      <c r="D106" s="1172"/>
      <c r="E106" s="1172"/>
      <c r="F106" s="1172"/>
      <c r="G106" s="1172"/>
      <c r="H106" s="1172"/>
      <c r="I106" s="1173"/>
      <c r="J106" s="1173"/>
      <c r="K106" s="1173"/>
      <c r="L106" s="493" t="str" cm="1">
        <f t="array" ref="L106">IF(A106&lt;&gt;"",IFERROR(INDEX(PMtbl[[WKst]:[Unit of measure*]],MATCH($A$8&amp;$A106&amp;$E106&amp;$I106,INDEX(PMtbl[Sec]&amp;PMtbl[Category]&amp;PMtbl[Each]&amp;PMtbl[Packaging],0,),0),14),""),"")</f>
        <v/>
      </c>
      <c r="M106" s="480" t="str">
        <f>IF(L106="","",INDEX(SETUP!$E$20:$E$122,(MATCH(INDEX(PMsheet!$D:$E,MATCH(A106,PMsheet!E:E,0),1),SETUP!$D$20:$D$122,0))))</f>
        <v/>
      </c>
      <c r="N106" s="494">
        <f>IF($O106="USD",_xlfn.IFNA(VLOOKUP(A106&amp;E106&amp;I106,PMsheet!J:K,2,0),0),(_xlfn.IFNA(VLOOKUP(A106&amp;E106&amp;I106,PMsheet!J:K,2,0),0)*'Master Data-C19RM'!$C$2))</f>
        <v>0</v>
      </c>
      <c r="O106" s="495" t="str">
        <f>IF(L106="", "",SETUP!$E$7)</f>
        <v/>
      </c>
      <c r="P106" s="445">
        <f>IF($O106="USD",_xlfn.IFNA(VLOOKUP($A106&amp;$E106&amp;$I106,PMsheet!$J:$K,2,0),0),(_xlfn.IFNA(VLOOKUP($A106&amp;$E106&amp;$I106,PMsheet!$J:$K,2,0),0)*'Master Data-C19RM'!$C$2))</f>
        <v>0</v>
      </c>
      <c r="Q106" s="440"/>
      <c r="R106" s="440"/>
      <c r="S106" s="440"/>
      <c r="T106" s="440"/>
      <c r="U106" s="482">
        <f>SUM('C19RM 2021-Pharma'!$Q106:$T106)</f>
        <v>0</v>
      </c>
      <c r="V106" s="484">
        <f>IF(SETUP!$E$7="USD",(U106*(IF(O106="USD",P106,(P106/'Master Data-C19RM'!$C$2)))),(U106*(IF(O106="EUR",P106,(P106*'Master Data-C19RM'!$C$2)))))</f>
        <v>0</v>
      </c>
      <c r="W106" s="445">
        <f>IF($O106="USD",_xlfn.IFNA(VLOOKUP($A106&amp;$E106&amp;$I106,PMsheet!$J:$K,2,0),0),(_xlfn.IFNA(VLOOKUP($A106&amp;$E106&amp;$I106,PMsheet!$J:$K,2,0),0)*'Master Data-C19RM'!$D$2))</f>
        <v>0</v>
      </c>
      <c r="X106" s="440"/>
      <c r="Y106" s="440"/>
      <c r="Z106" s="440"/>
      <c r="AA106" s="440"/>
      <c r="AB106" s="482">
        <f>SUM('C19RM 2021-Pharma'!$X106:$AA106)</f>
        <v>0</v>
      </c>
      <c r="AC106" s="484">
        <f>IF(SETUP!$E$7="USD",(AB106*(IF(O106="USD",W106,(W106/'Master Data-C19RM'!$D$2)))),(AB106*(IF(O106="EUR",W106,(W106*'Master Data-C19RM'!$D$2)))))</f>
        <v>0</v>
      </c>
      <c r="AD106" s="445">
        <f>IF($O106="USD",_xlfn.IFNA(VLOOKUP($A106&amp;$E106&amp;$I106,PMsheet!$J:$K,2,0),0),(_xlfn.IFNA(VLOOKUP($A106&amp;$E106&amp;$I106,PMsheet!$J:$K,2,0),0)*'Master Data-C19RM'!$E$2))</f>
        <v>0</v>
      </c>
      <c r="AE106" s="440"/>
      <c r="AF106" s="440"/>
      <c r="AG106" s="440"/>
      <c r="AH106" s="440"/>
      <c r="AI106" s="482">
        <f>SUM('C19RM 2021-Pharma'!$AE106:$AH106)</f>
        <v>0</v>
      </c>
      <c r="AJ106" s="484">
        <f>IF(SETUP!$E$7="USD",(AI106*(IF(O106="USD",AD106,(AD106/'Master Data-C19RM'!$E$2)))),(AI106*(IF(O106="EUR",AD106,(AD106*'Master Data-C19RM'!$E$2)))))</f>
        <v>0</v>
      </c>
      <c r="AK106" s="445">
        <f>IF($O106="USD",_xlfn.IFNA(VLOOKUP($A106&amp;$E106&amp;$I106,PMsheet!$J:$K,2,0),0),(_xlfn.IFNA(VLOOKUP($A106&amp;$E106&amp;$I106,PMsheet!$J:$K,2,0),0)*'Master Data-C19RM'!$F$2))</f>
        <v>0</v>
      </c>
      <c r="AL106" s="440"/>
      <c r="AM106" s="440"/>
      <c r="AN106" s="440"/>
      <c r="AO106" s="440"/>
      <c r="AP106" s="482">
        <f>SUM('C19RM 2021-Pharma'!$AL106:$AO106)</f>
        <v>0</v>
      </c>
      <c r="AQ106" s="484">
        <f>IF(SETUP!$E$7="USD",(AP106*(IF(O106="USD",AK106,(AK106/'Master Data-C19RM'!$F$2)))),(AP106*(IF(O106="EUR",AK106,(AK106*'Master Data-C19RM'!$F$2)))))</f>
        <v>0</v>
      </c>
      <c r="AR106" s="445">
        <f>IF($O106="USD",_xlfn.IFNA(VLOOKUP($A106&amp;$E106&amp;$I106,PMsheet!$J:$K,2,0),0),(_xlfn.IFNA(VLOOKUP($A106&amp;$E106&amp;$I106,PMsheet!$J:$K,2,0),0)*'Master Data-C19RM'!$G$2))</f>
        <v>0</v>
      </c>
      <c r="AS106" s="440"/>
      <c r="AT106" s="440"/>
      <c r="AU106" s="440"/>
      <c r="AV106" s="440"/>
      <c r="AW106" s="482">
        <f>SUM('C19RM 2021-Pharma'!$AS106:$AV106)</f>
        <v>0</v>
      </c>
      <c r="AX106" s="484">
        <f>IF(SETUP!$E$7="USD",(AW106*(IF(O106="USD",AR106,(AR106/'Master Data-C19RM'!$G$2)))),(AW106*(IF(O106="EUR",AR106,(AR106*'Master Data-C19RM'!$G$2)))))</f>
        <v>0</v>
      </c>
      <c r="AY106" s="889"/>
      <c r="AZ106" s="884"/>
      <c r="BA106" s="884"/>
      <c r="BB106" s="884"/>
      <c r="BC106" s="884"/>
      <c r="BD106" s="884"/>
      <c r="BE106" s="885"/>
      <c r="BF106" s="504">
        <f>'C19RM 2021-Pharma'!$U106+'C19RM 2021-Pharma'!$AB106+'C19RM 2021-Pharma'!$AP106+'C19RM 2021-Pharma'!$AI106+$AW106+$BD106</f>
        <v>0</v>
      </c>
      <c r="BG106" s="484">
        <f>'C19RM 2021-Pharma'!$V106+'C19RM 2021-Pharma'!$AC106+'C19RM 2021-Pharma'!$AQ106+'C19RM 2021-Pharma'!$AJ106+$AX106+$BE106</f>
        <v>0</v>
      </c>
      <c r="BH106" s="499" t="str" cm="1">
        <f t="array" ref="BH106">IF(A106&lt;&gt;"",IFERROR(INDEX(PMtbl[[WKst]:[Unit of measure*]],MATCH($A$8&amp;$A106&amp;$E106&amp;$I106,INDEX(PMtbl[Sec]&amp;PMtbl[Category]&amp;PMtbl[Each]&amp;PMtbl[Packaging],0,),0),11),""),"")</f>
        <v/>
      </c>
      <c r="BI106" s="818"/>
      <c r="BJ106" s="503" t="str">
        <f>IFERROR(INDEX(SETUP!$C$19:$G$121,MATCH((INDEX(PMtbl[[WKst]:[Unit of measure*]],MATCH($A106&amp;$E106&amp;$I106,INDEX(PMtbl[Category]&amp;PMtbl[Each]&amp;PMtbl[Packaging],0,),0),3)),SETUP!$D$19:$D$121,0),5),"")</f>
        <v/>
      </c>
      <c r="BK106" s="439" t="str">
        <f>IFERROR(IF((INDEX(SETUP!$C$19:$G$121,MATCH((INDEX(PMtbl[[WKst]:[Unit of measure*]],MATCH($A106&amp;$E106&amp;$I106,INDEX(PMtbl[Category]&amp;PMtbl[Each]&amp;PMtbl[Packaging],0,),0),3)),SETUP!$D$19:$D$121,0),4))="Upfront",0,INDEX(SETUP!$C$19:$G$121,MATCH((INDEX(PMtbl[[WKst]:[Unit of measure*]],MATCH($A106&amp;$E106&amp;$I106,INDEX(PMtbl[Category]&amp;PMtbl[Each]&amp;PMtbl[Packaging],0,),0),3)),SETUP!$D$19:$D$121,0),5)),"")</f>
        <v/>
      </c>
      <c r="BL106" s="194" t="str" cm="1">
        <f t="array" ref="BL106">IF(E106&lt;&gt;"",IFERROR(INDEX(PMtbl[[WKst]:[Unit of measure*]],MATCH($A$8&amp;$A106&amp;$E106&amp;$I106,INDEX(PMtbl[Sec]&amp;PMtbl[Category]&amp;PMtbl[Each]&amp;PMtbl[Packaging],0,),0),11),""),"")</f>
        <v/>
      </c>
      <c r="BO106" s="12">
        <f>IF(N106="",0,IF(SETUP!$E$7="USD",((IF(O106="USD",P106,(P106/'Master Data-C19RM'!$C$2)))),((IF(O106="EUR",P106,(P106*'Master Data-C19RM'!$C$2))))))</f>
        <v>0</v>
      </c>
      <c r="BP106" s="12">
        <f>IF(N106="",0,IF(SETUP!$E$7="USD",((IF(O106="USD",W106,(W106/'Master Data-C19RM'!$D$2)))),((IF(O106="EUR",W106,(W106*'Master Data-C19RM'!$D$2))))))</f>
        <v>0</v>
      </c>
      <c r="BQ106">
        <f>IF(N106="",0,IF(SETUP!$E$7="USD",((IF(O106="USD",AD106,(AD106/'Master Data-C19RM'!$E$2)))),((IF(O106="EUR",AD106,(AD106*'Master Data-C19RM'!$E$2))))))</f>
        <v>0</v>
      </c>
      <c r="BR106">
        <f>IF(N106="",0,IF(SETUP!$E$7="USD",((IF(O106="USD",AK106,(AK106/'Master Data-C19RM'!$F$2)))),((IF(O106="EUR",AK106,(AK106*'Master Data-C19RM'!$F$2))))))</f>
        <v>0</v>
      </c>
      <c r="BS106">
        <f>IF(N106="",0,IF(SETUP!$E$7="USD",((IF(O106="USD",AR106,(AR106/'Master Data-C19RM'!$F$2)))),((IF(O106="EUR",AR106,(AR106*'Master Data-C19RM'!$G$2))))))</f>
        <v>0</v>
      </c>
      <c r="BT106">
        <f>IF(N106="",0,IF(SETUP!$E$7="USD",((IF(O106="USD",AY106,(AY106/'Master Data-C19RM'!$F$2)))),((IF(O106="EUR",AY106,(AY106*'Master Data-C19RM'!$H$2))))))</f>
        <v>0</v>
      </c>
      <c r="BU106" s="12">
        <f t="shared" si="3"/>
        <v>0</v>
      </c>
      <c r="BV106" s="142">
        <f t="shared" si="4"/>
        <v>0</v>
      </c>
    </row>
    <row r="107" spans="1:74" ht="14.9" customHeight="1" x14ac:dyDescent="0.35">
      <c r="A107" s="1165"/>
      <c r="B107" s="1165"/>
      <c r="C107" s="1165"/>
      <c r="D107" s="1165"/>
      <c r="E107" s="1166"/>
      <c r="F107" s="1166"/>
      <c r="G107" s="1166"/>
      <c r="H107" s="1166"/>
      <c r="I107" s="1166"/>
      <c r="J107" s="1166"/>
      <c r="K107" s="1166"/>
      <c r="L107" s="490" t="str" cm="1">
        <f t="array" ref="L107">IF(A107&lt;&gt;"",IFERROR(INDEX(PMtbl[[WKst]:[Unit of measure*]],MATCH($A$8&amp;$A107&amp;$E107&amp;$I107,INDEX(PMtbl[Sec]&amp;PMtbl[Category]&amp;PMtbl[Each]&amp;PMtbl[Packaging],0,),0),14),""),"")</f>
        <v/>
      </c>
      <c r="M107" s="479" t="str">
        <f>IF(L107="","",INDEX(SETUP!$E$20:$E$122,(MATCH(INDEX(PMsheet!$D:$E,MATCH(A107,PMsheet!E:E,0),1),SETUP!$D$20:$D$122,0))))</f>
        <v/>
      </c>
      <c r="N107" s="491">
        <f>IF($O107="USD",_xlfn.IFNA(VLOOKUP(A107&amp;E107&amp;I107,PMsheet!J:K,2,0),0),(_xlfn.IFNA(VLOOKUP(A107&amp;E107&amp;I107,PMsheet!J:K,2,0),0)*'Master Data-C19RM'!$C$2))</f>
        <v>0</v>
      </c>
      <c r="O107" s="492" t="str">
        <f>IF(L107="", "",SETUP!$E$7)</f>
        <v/>
      </c>
      <c r="P107" s="444">
        <f>IF($O107="USD",_xlfn.IFNA(VLOOKUP($A107&amp;$E107&amp;$I107,PMsheet!$J:$K,2,0),0),(_xlfn.IFNA(VLOOKUP($A107&amp;$E107&amp;$I107,PMsheet!$J:$K,2,0),0)*'Master Data-C19RM'!$C$2))</f>
        <v>0</v>
      </c>
      <c r="Q107" s="441"/>
      <c r="R107" s="441"/>
      <c r="S107" s="441"/>
      <c r="T107" s="441"/>
      <c r="U107" s="481">
        <f>SUM('C19RM 2021-Pharma'!$Q107:$T107)</f>
        <v>0</v>
      </c>
      <c r="V107" s="483">
        <f>IF(SETUP!$E$7="USD",(U107*(IF(O107="USD",P107,(P107/'Master Data-C19RM'!$C$2)))),(U107*(IF(O107="EUR",P107,(P107*'Master Data-C19RM'!$C$2)))))</f>
        <v>0</v>
      </c>
      <c r="W107" s="444">
        <f>IF($O107="USD",_xlfn.IFNA(VLOOKUP($A107&amp;$E107&amp;$I107,PMsheet!$J:$K,2,0),0),(_xlfn.IFNA(VLOOKUP($A107&amp;$E107&amp;$I107,PMsheet!$J:$K,2,0),0)*'Master Data-C19RM'!$D$2))</f>
        <v>0</v>
      </c>
      <c r="X107" s="441"/>
      <c r="Y107" s="441"/>
      <c r="Z107" s="441"/>
      <c r="AA107" s="441"/>
      <c r="AB107" s="481">
        <f>SUM('C19RM 2021-Pharma'!$X107:$AA107)</f>
        <v>0</v>
      </c>
      <c r="AC107" s="483">
        <f>IF(SETUP!$E$7="USD",(AB107*(IF(O107="USD",W107,(W107/'Master Data-C19RM'!$D$2)))),(AB107*(IF(O107="EUR",W107,(W107*'Master Data-C19RM'!$D$2)))))</f>
        <v>0</v>
      </c>
      <c r="AD107" s="444">
        <f>IF($O107="USD",_xlfn.IFNA(VLOOKUP($A107&amp;$E107&amp;$I107,PMsheet!$J:$K,2,0),0),(_xlfn.IFNA(VLOOKUP($A107&amp;$E107&amp;$I107,PMsheet!$J:$K,2,0),0)*'Master Data-C19RM'!$E$2))</f>
        <v>0</v>
      </c>
      <c r="AE107" s="441"/>
      <c r="AF107" s="441"/>
      <c r="AG107" s="441"/>
      <c r="AH107" s="441"/>
      <c r="AI107" s="481">
        <f>SUM('C19RM 2021-Pharma'!$AE107:$AH107)</f>
        <v>0</v>
      </c>
      <c r="AJ107" s="483">
        <f>IF(SETUP!$E$7="USD",(AI107*(IF(O107="USD",AD107,(AD107/'Master Data-C19RM'!$E$2)))),(AI107*(IF(O107="EUR",AD107,(AD107*'Master Data-C19RM'!$E$2)))))</f>
        <v>0</v>
      </c>
      <c r="AK107" s="444">
        <f>IF($O107="USD",_xlfn.IFNA(VLOOKUP($A107&amp;$E107&amp;$I107,PMsheet!$J:$K,2,0),0),(_xlfn.IFNA(VLOOKUP($A107&amp;$E107&amp;$I107,PMsheet!$J:$K,2,0),0)*'Master Data-C19RM'!$F$2))</f>
        <v>0</v>
      </c>
      <c r="AL107" s="441"/>
      <c r="AM107" s="441"/>
      <c r="AN107" s="441"/>
      <c r="AO107" s="441"/>
      <c r="AP107" s="481">
        <f>SUM('C19RM 2021-Pharma'!$AL107:$AO107)</f>
        <v>0</v>
      </c>
      <c r="AQ107" s="483">
        <f>IF(SETUP!$E$7="USD",(AP107*(IF(O107="USD",AK107,(AK107/'Master Data-C19RM'!$F$2)))),(AP107*(IF(O107="EUR",AK107,(AK107*'Master Data-C19RM'!$F$2)))))</f>
        <v>0</v>
      </c>
      <c r="AR107" s="444">
        <f>IF($O107="USD",_xlfn.IFNA(VLOOKUP($A107&amp;$E107&amp;$I107,PMsheet!$J:$K,2,0),0),(_xlfn.IFNA(VLOOKUP($A107&amp;$E107&amp;$I107,PMsheet!$J:$K,2,0),0)*'Master Data-C19RM'!$G$2))</f>
        <v>0</v>
      </c>
      <c r="AS107" s="441"/>
      <c r="AT107" s="441"/>
      <c r="AU107" s="441"/>
      <c r="AV107" s="441"/>
      <c r="AW107" s="481">
        <f>SUM('C19RM 2021-Pharma'!$AS107:$AV107)</f>
        <v>0</v>
      </c>
      <c r="AX107" s="483">
        <f>IF(SETUP!$E$7="USD",(AW107*(IF(O107="USD",AR107,(AR107/'Master Data-C19RM'!$G$2)))),(AW107*(IF(O107="EUR",AR107,(AR107*'Master Data-C19RM'!$G$2)))))</f>
        <v>0</v>
      </c>
      <c r="AY107" s="886"/>
      <c r="AZ107" s="887"/>
      <c r="BA107" s="887"/>
      <c r="BB107" s="887"/>
      <c r="BC107" s="887"/>
      <c r="BD107" s="887"/>
      <c r="BE107" s="888"/>
      <c r="BF107" s="505">
        <f>'C19RM 2021-Pharma'!$U107+'C19RM 2021-Pharma'!$AB107+'C19RM 2021-Pharma'!$AP107+'C19RM 2021-Pharma'!$AI107+$AW107+$BD107</f>
        <v>0</v>
      </c>
      <c r="BG107" s="483">
        <f>'C19RM 2021-Pharma'!$V107+'C19RM 2021-Pharma'!$AC107+'C19RM 2021-Pharma'!$AQ107+'C19RM 2021-Pharma'!$AJ107+$AX107+$BE107</f>
        <v>0</v>
      </c>
      <c r="BH107" s="500" t="str" cm="1">
        <f t="array" ref="BH107">IF(A107&lt;&gt;"",IFERROR(INDEX(PMtbl[[WKst]:[Unit of measure*]],MATCH($A$8&amp;$A107&amp;$E107&amp;$I107,INDEX(PMtbl[Sec]&amp;PMtbl[Category]&amp;PMtbl[Each]&amp;PMtbl[Packaging],0,),0),11),""),"")</f>
        <v/>
      </c>
      <c r="BI107" s="819"/>
      <c r="BJ107" s="502" t="str">
        <f>IFERROR(INDEX(SETUP!$C$19:$G$121,MATCH((INDEX(PMtbl[[WKst]:[Unit of measure*]],MATCH($A107&amp;$E107&amp;$I107,INDEX(PMtbl[Category]&amp;PMtbl[Each]&amp;PMtbl[Packaging],0,),0),3)),SETUP!$D$19:$D$121,0),5),"")</f>
        <v/>
      </c>
      <c r="BK107" s="438" t="str">
        <f>IFERROR(IF((INDEX(SETUP!$C$19:$G$121,MATCH((INDEX(PMtbl[[WKst]:[Unit of measure*]],MATCH($A107&amp;$E107&amp;$I107,INDEX(PMtbl[Category]&amp;PMtbl[Each]&amp;PMtbl[Packaging],0,),0),3)),SETUP!$D$19:$D$121,0),4))="Upfront",0,INDEX(SETUP!$C$19:$G$121,MATCH((INDEX(PMtbl[[WKst]:[Unit of measure*]],MATCH($A107&amp;$E107&amp;$I107,INDEX(PMtbl[Category]&amp;PMtbl[Each]&amp;PMtbl[Packaging],0,),0),3)),SETUP!$D$19:$D$121,0),5)),"")</f>
        <v/>
      </c>
      <c r="BL107" s="193" t="str" cm="1">
        <f t="array" ref="BL107">IF(E107&lt;&gt;"",IFERROR(INDEX(PMtbl[[WKst]:[Unit of measure*]],MATCH($A$8&amp;$A107&amp;$E107&amp;$I107,INDEX(PMtbl[Sec]&amp;PMtbl[Category]&amp;PMtbl[Each]&amp;PMtbl[Packaging],0,),0),11),""),"")</f>
        <v/>
      </c>
      <c r="BO107" s="12">
        <f>IF(N107="",0,IF(SETUP!$E$7="USD",((IF(O107="USD",P107,(P107/'Master Data-C19RM'!$C$2)))),((IF(O107="EUR",P107,(P107*'Master Data-C19RM'!$C$2))))))</f>
        <v>0</v>
      </c>
      <c r="BP107" s="12">
        <f>IF(N107="",0,IF(SETUP!$E$7="USD",((IF(O107="USD",W107,(W107/'Master Data-C19RM'!$D$2)))),((IF(O107="EUR",W107,(W107*'Master Data-C19RM'!$D$2))))))</f>
        <v>0</v>
      </c>
      <c r="BQ107">
        <f>IF(N107="",0,IF(SETUP!$E$7="USD",((IF(O107="USD",AD107,(AD107/'Master Data-C19RM'!$E$2)))),((IF(O107="EUR",AD107,(AD107*'Master Data-C19RM'!$E$2))))))</f>
        <v>0</v>
      </c>
      <c r="BR107">
        <f>IF(N107="",0,IF(SETUP!$E$7="USD",((IF(O107="USD",AK107,(AK107/'Master Data-C19RM'!$F$2)))),((IF(O107="EUR",AK107,(AK107*'Master Data-C19RM'!$F$2))))))</f>
        <v>0</v>
      </c>
      <c r="BS107">
        <f>IF(N107="",0,IF(SETUP!$E$7="USD",((IF(O107="USD",AR107,(AR107/'Master Data-C19RM'!$F$2)))),((IF(O107="EUR",AR107,(AR107*'Master Data-C19RM'!$G$2))))))</f>
        <v>0</v>
      </c>
      <c r="BT107">
        <f>IF(N107="",0,IF(SETUP!$E$7="USD",((IF(O107="USD",AY107,(AY107/'Master Data-C19RM'!$F$2)))),((IF(O107="EUR",AY107,(AY107*'Master Data-C19RM'!$H$2))))))</f>
        <v>0</v>
      </c>
      <c r="BU107" s="12">
        <f t="shared" si="3"/>
        <v>0</v>
      </c>
      <c r="BV107" s="142">
        <f t="shared" si="4"/>
        <v>0</v>
      </c>
    </row>
    <row r="108" spans="1:74" ht="14.9" customHeight="1" x14ac:dyDescent="0.35">
      <c r="A108" s="1172"/>
      <c r="B108" s="1172"/>
      <c r="C108" s="1172"/>
      <c r="D108" s="1172"/>
      <c r="E108" s="1172"/>
      <c r="F108" s="1172"/>
      <c r="G108" s="1172"/>
      <c r="H108" s="1172"/>
      <c r="I108" s="1173"/>
      <c r="J108" s="1173"/>
      <c r="K108" s="1173"/>
      <c r="L108" s="493" t="str" cm="1">
        <f t="array" ref="L108">IF(A108&lt;&gt;"",IFERROR(INDEX(PMtbl[[WKst]:[Unit of measure*]],MATCH($A$8&amp;$A108&amp;$E108&amp;$I108,INDEX(PMtbl[Sec]&amp;PMtbl[Category]&amp;PMtbl[Each]&amp;PMtbl[Packaging],0,),0),14),""),"")</f>
        <v/>
      </c>
      <c r="M108" s="480" t="str">
        <f>IF(L108="","",INDEX(SETUP!$E$20:$E$122,(MATCH(INDEX(PMsheet!$D:$E,MATCH(A108,PMsheet!E:E,0),1),SETUP!$D$20:$D$122,0))))</f>
        <v/>
      </c>
      <c r="N108" s="494">
        <f>IF($O108="USD",_xlfn.IFNA(VLOOKUP(A108&amp;E108&amp;I108,PMsheet!J:K,2,0),0),(_xlfn.IFNA(VLOOKUP(A108&amp;E108&amp;I108,PMsheet!J:K,2,0),0)*'Master Data-C19RM'!$C$2))</f>
        <v>0</v>
      </c>
      <c r="O108" s="495" t="str">
        <f>IF(L108="", "",SETUP!$E$7)</f>
        <v/>
      </c>
      <c r="P108" s="445">
        <f>IF($O108="USD",_xlfn.IFNA(VLOOKUP($A108&amp;$E108&amp;$I108,PMsheet!$J:$K,2,0),0),(_xlfn.IFNA(VLOOKUP($A108&amp;$E108&amp;$I108,PMsheet!$J:$K,2,0),0)*'Master Data-C19RM'!$C$2))</f>
        <v>0</v>
      </c>
      <c r="Q108" s="440"/>
      <c r="R108" s="440"/>
      <c r="S108" s="440"/>
      <c r="T108" s="440"/>
      <c r="U108" s="482">
        <f>SUM('C19RM 2021-Pharma'!$Q108:$T108)</f>
        <v>0</v>
      </c>
      <c r="V108" s="484">
        <f>IF(SETUP!$E$7="USD",(U108*(IF(O108="USD",P108,(P108/'Master Data-C19RM'!$C$2)))),(U108*(IF(O108="EUR",P108,(P108*'Master Data-C19RM'!$C$2)))))</f>
        <v>0</v>
      </c>
      <c r="W108" s="445">
        <f>IF($O108="USD",_xlfn.IFNA(VLOOKUP($A108&amp;$E108&amp;$I108,PMsheet!$J:$K,2,0),0),(_xlfn.IFNA(VLOOKUP($A108&amp;$E108&amp;$I108,PMsheet!$J:$K,2,0),0)*'Master Data-C19RM'!$D$2))</f>
        <v>0</v>
      </c>
      <c r="X108" s="440"/>
      <c r="Y108" s="440"/>
      <c r="Z108" s="440"/>
      <c r="AA108" s="440"/>
      <c r="AB108" s="482">
        <f>SUM('C19RM 2021-Pharma'!$X108:$AA108)</f>
        <v>0</v>
      </c>
      <c r="AC108" s="484">
        <f>IF(SETUP!$E$7="USD",(AB108*(IF(O108="USD",W108,(W108/'Master Data-C19RM'!$D$2)))),(AB108*(IF(O108="EUR",W108,(W108*'Master Data-C19RM'!$D$2)))))</f>
        <v>0</v>
      </c>
      <c r="AD108" s="445">
        <f>IF($O108="USD",_xlfn.IFNA(VLOOKUP($A108&amp;$E108&amp;$I108,PMsheet!$J:$K,2,0),0),(_xlfn.IFNA(VLOOKUP($A108&amp;$E108&amp;$I108,PMsheet!$J:$K,2,0),0)*'Master Data-C19RM'!$E$2))</f>
        <v>0</v>
      </c>
      <c r="AE108" s="440"/>
      <c r="AF108" s="440"/>
      <c r="AG108" s="440"/>
      <c r="AH108" s="440"/>
      <c r="AI108" s="482">
        <f>SUM('C19RM 2021-Pharma'!$AE108:$AH108)</f>
        <v>0</v>
      </c>
      <c r="AJ108" s="484">
        <f>IF(SETUP!$E$7="USD",(AI108*(IF(O108="USD",AD108,(AD108/'Master Data-C19RM'!$E$2)))),(AI108*(IF(O108="EUR",AD108,(AD108*'Master Data-C19RM'!$E$2)))))</f>
        <v>0</v>
      </c>
      <c r="AK108" s="445">
        <f>IF($O108="USD",_xlfn.IFNA(VLOOKUP($A108&amp;$E108&amp;$I108,PMsheet!$J:$K,2,0),0),(_xlfn.IFNA(VLOOKUP($A108&amp;$E108&amp;$I108,PMsheet!$J:$K,2,0),0)*'Master Data-C19RM'!$F$2))</f>
        <v>0</v>
      </c>
      <c r="AL108" s="440"/>
      <c r="AM108" s="440"/>
      <c r="AN108" s="440"/>
      <c r="AO108" s="440"/>
      <c r="AP108" s="482">
        <f>SUM('C19RM 2021-Pharma'!$AL108:$AO108)</f>
        <v>0</v>
      </c>
      <c r="AQ108" s="484">
        <f>IF(SETUP!$E$7="USD",(AP108*(IF(O108="USD",AK108,(AK108/'Master Data-C19RM'!$F$2)))),(AP108*(IF(O108="EUR",AK108,(AK108*'Master Data-C19RM'!$F$2)))))</f>
        <v>0</v>
      </c>
      <c r="AR108" s="445">
        <f>IF($O108="USD",_xlfn.IFNA(VLOOKUP($A108&amp;$E108&amp;$I108,PMsheet!$J:$K,2,0),0),(_xlfn.IFNA(VLOOKUP($A108&amp;$E108&amp;$I108,PMsheet!$J:$K,2,0),0)*'Master Data-C19RM'!$G$2))</f>
        <v>0</v>
      </c>
      <c r="AS108" s="440"/>
      <c r="AT108" s="440"/>
      <c r="AU108" s="440"/>
      <c r="AV108" s="440"/>
      <c r="AW108" s="482">
        <f>SUM('C19RM 2021-Pharma'!$AS108:$AV108)</f>
        <v>0</v>
      </c>
      <c r="AX108" s="484">
        <f>IF(SETUP!$E$7="USD",(AW108*(IF(O108="USD",AR108,(AR108/'Master Data-C19RM'!$G$2)))),(AW108*(IF(O108="EUR",AR108,(AR108*'Master Data-C19RM'!$G$2)))))</f>
        <v>0</v>
      </c>
      <c r="AY108" s="889"/>
      <c r="AZ108" s="884"/>
      <c r="BA108" s="884"/>
      <c r="BB108" s="884"/>
      <c r="BC108" s="884"/>
      <c r="BD108" s="884"/>
      <c r="BE108" s="885"/>
      <c r="BF108" s="504">
        <f>'C19RM 2021-Pharma'!$U108+'C19RM 2021-Pharma'!$AB108+'C19RM 2021-Pharma'!$AP108+'C19RM 2021-Pharma'!$AI108+$AW108+$BD108</f>
        <v>0</v>
      </c>
      <c r="BG108" s="484">
        <f>'C19RM 2021-Pharma'!$V108+'C19RM 2021-Pharma'!$AC108+'C19RM 2021-Pharma'!$AQ108+'C19RM 2021-Pharma'!$AJ108+$AX108+$BE108</f>
        <v>0</v>
      </c>
      <c r="BH108" s="499" t="str" cm="1">
        <f t="array" ref="BH108">IF(A108&lt;&gt;"",IFERROR(INDEX(PMtbl[[WKst]:[Unit of measure*]],MATCH($A$8&amp;$A108&amp;$E108&amp;$I108,INDEX(PMtbl[Sec]&amp;PMtbl[Category]&amp;PMtbl[Each]&amp;PMtbl[Packaging],0,),0),11),""),"")</f>
        <v/>
      </c>
      <c r="BI108" s="818"/>
      <c r="BJ108" s="503" t="str">
        <f>IFERROR(INDEX(SETUP!$C$19:$G$121,MATCH((INDEX(PMtbl[[WKst]:[Unit of measure*]],MATCH($A108&amp;$E108&amp;$I108,INDEX(PMtbl[Category]&amp;PMtbl[Each]&amp;PMtbl[Packaging],0,),0),3)),SETUP!$D$19:$D$121,0),5),"")</f>
        <v/>
      </c>
      <c r="BK108" s="439" t="str">
        <f>IFERROR(IF((INDEX(SETUP!$C$19:$G$121,MATCH((INDEX(PMtbl[[WKst]:[Unit of measure*]],MATCH($A108&amp;$E108&amp;$I108,INDEX(PMtbl[Category]&amp;PMtbl[Each]&amp;PMtbl[Packaging],0,),0),3)),SETUP!$D$19:$D$121,0),4))="Upfront",0,INDEX(SETUP!$C$19:$G$121,MATCH((INDEX(PMtbl[[WKst]:[Unit of measure*]],MATCH($A108&amp;$E108&amp;$I108,INDEX(PMtbl[Category]&amp;PMtbl[Each]&amp;PMtbl[Packaging],0,),0),3)),SETUP!$D$19:$D$121,0),5)),"")</f>
        <v/>
      </c>
      <c r="BL108" s="194" t="str" cm="1">
        <f t="array" ref="BL108">IF(E108&lt;&gt;"",IFERROR(INDEX(PMtbl[[WKst]:[Unit of measure*]],MATCH($A$8&amp;$A108&amp;$E108&amp;$I108,INDEX(PMtbl[Sec]&amp;PMtbl[Category]&amp;PMtbl[Each]&amp;PMtbl[Packaging],0,),0),11),""),"")</f>
        <v/>
      </c>
      <c r="BO108" s="12">
        <f>IF(N108="",0,IF(SETUP!$E$7="USD",((IF(O108="USD",P108,(P108/'Master Data-C19RM'!$C$2)))),((IF(O108="EUR",P108,(P108*'Master Data-C19RM'!$C$2))))))</f>
        <v>0</v>
      </c>
      <c r="BP108" s="12">
        <f>IF(N108="",0,IF(SETUP!$E$7="USD",((IF(O108="USD",W108,(W108/'Master Data-C19RM'!$D$2)))),((IF(O108="EUR",W108,(W108*'Master Data-C19RM'!$D$2))))))</f>
        <v>0</v>
      </c>
      <c r="BQ108">
        <f>IF(N108="",0,IF(SETUP!$E$7="USD",((IF(O108="USD",AD108,(AD108/'Master Data-C19RM'!$E$2)))),((IF(O108="EUR",AD108,(AD108*'Master Data-C19RM'!$E$2))))))</f>
        <v>0</v>
      </c>
      <c r="BR108">
        <f>IF(N108="",0,IF(SETUP!$E$7="USD",((IF(O108="USD",AK108,(AK108/'Master Data-C19RM'!$F$2)))),((IF(O108="EUR",AK108,(AK108*'Master Data-C19RM'!$F$2))))))</f>
        <v>0</v>
      </c>
      <c r="BS108">
        <f>IF(N108="",0,IF(SETUP!$E$7="USD",((IF(O108="USD",AR108,(AR108/'Master Data-C19RM'!$F$2)))),((IF(O108="EUR",AR108,(AR108*'Master Data-C19RM'!$G$2))))))</f>
        <v>0</v>
      </c>
      <c r="BT108">
        <f>IF(N108="",0,IF(SETUP!$E$7="USD",((IF(O108="USD",AY108,(AY108/'Master Data-C19RM'!$F$2)))),((IF(O108="EUR",AY108,(AY108*'Master Data-C19RM'!$H$2))))))</f>
        <v>0</v>
      </c>
      <c r="BU108" s="12">
        <f t="shared" si="3"/>
        <v>0</v>
      </c>
      <c r="BV108" s="142">
        <f t="shared" si="4"/>
        <v>0</v>
      </c>
    </row>
    <row r="109" spans="1:74" ht="14.9" customHeight="1" x14ac:dyDescent="0.35">
      <c r="A109" s="1165"/>
      <c r="B109" s="1165"/>
      <c r="C109" s="1165"/>
      <c r="D109" s="1165"/>
      <c r="E109" s="1166"/>
      <c r="F109" s="1166"/>
      <c r="G109" s="1166"/>
      <c r="H109" s="1166"/>
      <c r="I109" s="1166"/>
      <c r="J109" s="1166"/>
      <c r="K109" s="1166"/>
      <c r="L109" s="490" t="str" cm="1">
        <f t="array" ref="L109">IF(A109&lt;&gt;"",IFERROR(INDEX(PMtbl[[WKst]:[Unit of measure*]],MATCH($A$8&amp;$A109&amp;$E109&amp;$I109,INDEX(PMtbl[Sec]&amp;PMtbl[Category]&amp;PMtbl[Each]&amp;PMtbl[Packaging],0,),0),14),""),"")</f>
        <v/>
      </c>
      <c r="M109" s="479" t="str">
        <f>IF(L109="","",INDEX(SETUP!$E$20:$E$122,(MATCH(INDEX(PMsheet!$D:$E,MATCH(A109,PMsheet!E:E,0),1),SETUP!$D$20:$D$122,0))))</f>
        <v/>
      </c>
      <c r="N109" s="491">
        <f>IF($O109="USD",_xlfn.IFNA(VLOOKUP(A109&amp;E109&amp;I109,PMsheet!J:K,2,0),0),(_xlfn.IFNA(VLOOKUP(A109&amp;E109&amp;I109,PMsheet!J:K,2,0),0)*'Master Data-C19RM'!$C$2))</f>
        <v>0</v>
      </c>
      <c r="O109" s="492" t="str">
        <f>IF(L109="", "",SETUP!$E$7)</f>
        <v/>
      </c>
      <c r="P109" s="444">
        <f>IF($O109="USD",_xlfn.IFNA(VLOOKUP($A109&amp;$E109&amp;$I109,PMsheet!$J:$K,2,0),0),(_xlfn.IFNA(VLOOKUP($A109&amp;$E109&amp;$I109,PMsheet!$J:$K,2,0),0)*'Master Data-C19RM'!$C$2))</f>
        <v>0</v>
      </c>
      <c r="Q109" s="441"/>
      <c r="R109" s="441"/>
      <c r="S109" s="441"/>
      <c r="T109" s="441"/>
      <c r="U109" s="481">
        <f>SUM('C19RM 2021-Pharma'!$Q109:$T109)</f>
        <v>0</v>
      </c>
      <c r="V109" s="483">
        <f>IF(SETUP!$E$7="USD",(U109*(IF(O109="USD",P109,(P109/'Master Data-C19RM'!$C$2)))),(U109*(IF(O109="EUR",P109,(P109*'Master Data-C19RM'!$C$2)))))</f>
        <v>0</v>
      </c>
      <c r="W109" s="444">
        <f>IF($O109="USD",_xlfn.IFNA(VLOOKUP($A109&amp;$E109&amp;$I109,PMsheet!$J:$K,2,0),0),(_xlfn.IFNA(VLOOKUP($A109&amp;$E109&amp;$I109,PMsheet!$J:$K,2,0),0)*'Master Data-C19RM'!$D$2))</f>
        <v>0</v>
      </c>
      <c r="X109" s="441"/>
      <c r="Y109" s="441"/>
      <c r="Z109" s="441"/>
      <c r="AA109" s="441"/>
      <c r="AB109" s="481">
        <f>SUM('C19RM 2021-Pharma'!$X109:$AA109)</f>
        <v>0</v>
      </c>
      <c r="AC109" s="483">
        <f>IF(SETUP!$E$7="USD",(AB109*(IF(O109="USD",W109,(W109/'Master Data-C19RM'!$D$2)))),(AB109*(IF(O109="EUR",W109,(W109*'Master Data-C19RM'!$D$2)))))</f>
        <v>0</v>
      </c>
      <c r="AD109" s="444">
        <f>IF($O109="USD",_xlfn.IFNA(VLOOKUP($A109&amp;$E109&amp;$I109,PMsheet!$J:$K,2,0),0),(_xlfn.IFNA(VLOOKUP($A109&amp;$E109&amp;$I109,PMsheet!$J:$K,2,0),0)*'Master Data-C19RM'!$E$2))</f>
        <v>0</v>
      </c>
      <c r="AE109" s="441"/>
      <c r="AF109" s="441"/>
      <c r="AG109" s="441"/>
      <c r="AH109" s="441"/>
      <c r="AI109" s="481">
        <f>SUM('C19RM 2021-Pharma'!$AE109:$AH109)</f>
        <v>0</v>
      </c>
      <c r="AJ109" s="483">
        <f>IF(SETUP!$E$7="USD",(AI109*(IF(O109="USD",AD109,(AD109/'Master Data-C19RM'!$E$2)))),(AI109*(IF(O109="EUR",AD109,(AD109*'Master Data-C19RM'!$E$2)))))</f>
        <v>0</v>
      </c>
      <c r="AK109" s="444">
        <f>IF($O109="USD",_xlfn.IFNA(VLOOKUP($A109&amp;$E109&amp;$I109,PMsheet!$J:$K,2,0),0),(_xlfn.IFNA(VLOOKUP($A109&amp;$E109&amp;$I109,PMsheet!$J:$K,2,0),0)*'Master Data-C19RM'!$F$2))</f>
        <v>0</v>
      </c>
      <c r="AL109" s="441"/>
      <c r="AM109" s="441"/>
      <c r="AN109" s="441"/>
      <c r="AO109" s="441"/>
      <c r="AP109" s="481">
        <f>SUM('C19RM 2021-Pharma'!$AL109:$AO109)</f>
        <v>0</v>
      </c>
      <c r="AQ109" s="483">
        <f>IF(SETUP!$E$7="USD",(AP109*(IF(O109="USD",AK109,(AK109/'Master Data-C19RM'!$F$2)))),(AP109*(IF(O109="EUR",AK109,(AK109*'Master Data-C19RM'!$F$2)))))</f>
        <v>0</v>
      </c>
      <c r="AR109" s="444">
        <f>IF($O109="USD",_xlfn.IFNA(VLOOKUP($A109&amp;$E109&amp;$I109,PMsheet!$J:$K,2,0),0),(_xlfn.IFNA(VLOOKUP($A109&amp;$E109&amp;$I109,PMsheet!$J:$K,2,0),0)*'Master Data-C19RM'!$G$2))</f>
        <v>0</v>
      </c>
      <c r="AS109" s="441"/>
      <c r="AT109" s="441"/>
      <c r="AU109" s="441"/>
      <c r="AV109" s="441"/>
      <c r="AW109" s="481">
        <f>SUM('C19RM 2021-Pharma'!$AS109:$AV109)</f>
        <v>0</v>
      </c>
      <c r="AX109" s="483">
        <f>IF(SETUP!$E$7="USD",(AW109*(IF(O109="USD",AR109,(AR109/'Master Data-C19RM'!$G$2)))),(AW109*(IF(O109="EUR",AR109,(AR109*'Master Data-C19RM'!$G$2)))))</f>
        <v>0</v>
      </c>
      <c r="AY109" s="886"/>
      <c r="AZ109" s="887"/>
      <c r="BA109" s="887"/>
      <c r="BB109" s="887"/>
      <c r="BC109" s="887"/>
      <c r="BD109" s="887"/>
      <c r="BE109" s="888"/>
      <c r="BF109" s="505">
        <f>'C19RM 2021-Pharma'!$U109+'C19RM 2021-Pharma'!$AB109+'C19RM 2021-Pharma'!$AP109+'C19RM 2021-Pharma'!$AI109+$AW109+$BD109</f>
        <v>0</v>
      </c>
      <c r="BG109" s="483">
        <f>'C19RM 2021-Pharma'!$V109+'C19RM 2021-Pharma'!$AC109+'C19RM 2021-Pharma'!$AQ109+'C19RM 2021-Pharma'!$AJ109+$AX109+$BE109</f>
        <v>0</v>
      </c>
      <c r="BH109" s="500" t="str" cm="1">
        <f t="array" ref="BH109">IF(A109&lt;&gt;"",IFERROR(INDEX(PMtbl[[WKst]:[Unit of measure*]],MATCH($A$8&amp;$A109&amp;$E109&amp;$I109,INDEX(PMtbl[Sec]&amp;PMtbl[Category]&amp;PMtbl[Each]&amp;PMtbl[Packaging],0,),0),11),""),"")</f>
        <v/>
      </c>
      <c r="BI109" s="819"/>
      <c r="BJ109" s="502" t="str">
        <f>IFERROR(INDEX(SETUP!$C$19:$G$121,MATCH((INDEX(PMtbl[[WKst]:[Unit of measure*]],MATCH($A109&amp;$E109&amp;$I109,INDEX(PMtbl[Category]&amp;PMtbl[Each]&amp;PMtbl[Packaging],0,),0),3)),SETUP!$D$19:$D$121,0),5),"")</f>
        <v/>
      </c>
      <c r="BK109" s="438" t="str">
        <f>IFERROR(IF((INDEX(SETUP!$C$19:$G$121,MATCH((INDEX(PMtbl[[WKst]:[Unit of measure*]],MATCH($A109&amp;$E109&amp;$I109,INDEX(PMtbl[Category]&amp;PMtbl[Each]&amp;PMtbl[Packaging],0,),0),3)),SETUP!$D$19:$D$121,0),4))="Upfront",0,INDEX(SETUP!$C$19:$G$121,MATCH((INDEX(PMtbl[[WKst]:[Unit of measure*]],MATCH($A109&amp;$E109&amp;$I109,INDEX(PMtbl[Category]&amp;PMtbl[Each]&amp;PMtbl[Packaging],0,),0),3)),SETUP!$D$19:$D$121,0),5)),"")</f>
        <v/>
      </c>
      <c r="BL109" s="193" t="str" cm="1">
        <f t="array" ref="BL109">IF(E109&lt;&gt;"",IFERROR(INDEX(PMtbl[[WKst]:[Unit of measure*]],MATCH($A$8&amp;$A109&amp;$E109&amp;$I109,INDEX(PMtbl[Sec]&amp;PMtbl[Category]&amp;PMtbl[Each]&amp;PMtbl[Packaging],0,),0),11),""),"")</f>
        <v/>
      </c>
      <c r="BO109" s="12">
        <f>IF(N109="",0,IF(SETUP!$E$7="USD",((IF(O109="USD",P109,(P109/'Master Data-C19RM'!$C$2)))),((IF(O109="EUR",P109,(P109*'Master Data-C19RM'!$C$2))))))</f>
        <v>0</v>
      </c>
      <c r="BP109" s="12">
        <f>IF(N109="",0,IF(SETUP!$E$7="USD",((IF(O109="USD",W109,(W109/'Master Data-C19RM'!$D$2)))),((IF(O109="EUR",W109,(W109*'Master Data-C19RM'!$D$2))))))</f>
        <v>0</v>
      </c>
      <c r="BQ109">
        <f>IF(N109="",0,IF(SETUP!$E$7="USD",((IF(O109="USD",AD109,(AD109/'Master Data-C19RM'!$E$2)))),((IF(O109="EUR",AD109,(AD109*'Master Data-C19RM'!$E$2))))))</f>
        <v>0</v>
      </c>
      <c r="BR109">
        <f>IF(N109="",0,IF(SETUP!$E$7="USD",((IF(O109="USD",AK109,(AK109/'Master Data-C19RM'!$F$2)))),((IF(O109="EUR",AK109,(AK109*'Master Data-C19RM'!$F$2))))))</f>
        <v>0</v>
      </c>
      <c r="BS109">
        <f>IF(N109="",0,IF(SETUP!$E$7="USD",((IF(O109="USD",AR109,(AR109/'Master Data-C19RM'!$F$2)))),((IF(O109="EUR",AR109,(AR109*'Master Data-C19RM'!$G$2))))))</f>
        <v>0</v>
      </c>
      <c r="BT109">
        <f>IF(N109="",0,IF(SETUP!$E$7="USD",((IF(O109="USD",AY109,(AY109/'Master Data-C19RM'!$F$2)))),((IF(O109="EUR",AY109,(AY109*'Master Data-C19RM'!$H$2))))))</f>
        <v>0</v>
      </c>
      <c r="BU109" s="12">
        <f t="shared" si="3"/>
        <v>0</v>
      </c>
      <c r="BV109" s="142">
        <f t="shared" si="4"/>
        <v>0</v>
      </c>
    </row>
    <row r="110" spans="1:74" ht="14.9" customHeight="1" x14ac:dyDescent="0.35">
      <c r="A110" s="1172"/>
      <c r="B110" s="1172"/>
      <c r="C110" s="1172"/>
      <c r="D110" s="1172"/>
      <c r="E110" s="1172"/>
      <c r="F110" s="1172"/>
      <c r="G110" s="1172"/>
      <c r="H110" s="1172"/>
      <c r="I110" s="1173"/>
      <c r="J110" s="1173"/>
      <c r="K110" s="1173"/>
      <c r="L110" s="493" t="str" cm="1">
        <f t="array" ref="L110">IF(A110&lt;&gt;"",IFERROR(INDEX(PMtbl[[WKst]:[Unit of measure*]],MATCH($A$8&amp;$A110&amp;$E110&amp;$I110,INDEX(PMtbl[Sec]&amp;PMtbl[Category]&amp;PMtbl[Each]&amp;PMtbl[Packaging],0,),0),14),""),"")</f>
        <v/>
      </c>
      <c r="M110" s="480" t="str">
        <f>IF(L110="","",INDEX(SETUP!$E$20:$E$122,(MATCH(INDEX(PMsheet!$D:$E,MATCH(A110,PMsheet!E:E,0),1),SETUP!$D$20:$D$122,0))))</f>
        <v/>
      </c>
      <c r="N110" s="494">
        <f>IF($O110="USD",_xlfn.IFNA(VLOOKUP(A110&amp;E110&amp;I110,PMsheet!J:K,2,0),0),(_xlfn.IFNA(VLOOKUP(A110&amp;E110&amp;I110,PMsheet!J:K,2,0),0)*'Master Data-C19RM'!$C$2))</f>
        <v>0</v>
      </c>
      <c r="O110" s="495" t="str">
        <f>IF(L110="", "",SETUP!$E$7)</f>
        <v/>
      </c>
      <c r="P110" s="445">
        <f>IF($O110="USD",_xlfn.IFNA(VLOOKUP($A110&amp;$E110&amp;$I110,PMsheet!$J:$K,2,0),0),(_xlfn.IFNA(VLOOKUP($A110&amp;$E110&amp;$I110,PMsheet!$J:$K,2,0),0)*'Master Data-C19RM'!$C$2))</f>
        <v>0</v>
      </c>
      <c r="Q110" s="440"/>
      <c r="R110" s="440"/>
      <c r="S110" s="440"/>
      <c r="T110" s="440"/>
      <c r="U110" s="482">
        <f>SUM('C19RM 2021-Pharma'!$Q110:$T110)</f>
        <v>0</v>
      </c>
      <c r="V110" s="484">
        <f>IF(SETUP!$E$7="USD",(U110*(IF(O110="USD",P110,(P110/'Master Data-C19RM'!$C$2)))),(U110*(IF(O110="EUR",P110,(P110*'Master Data-C19RM'!$C$2)))))</f>
        <v>0</v>
      </c>
      <c r="W110" s="445">
        <f>IF($O110="USD",_xlfn.IFNA(VLOOKUP($A110&amp;$E110&amp;$I110,PMsheet!$J:$K,2,0),0),(_xlfn.IFNA(VLOOKUP($A110&amp;$E110&amp;$I110,PMsheet!$J:$K,2,0),0)*'Master Data-C19RM'!$D$2))</f>
        <v>0</v>
      </c>
      <c r="X110" s="440"/>
      <c r="Y110" s="440"/>
      <c r="Z110" s="440"/>
      <c r="AA110" s="440"/>
      <c r="AB110" s="482">
        <f>SUM('C19RM 2021-Pharma'!$X110:$AA110)</f>
        <v>0</v>
      </c>
      <c r="AC110" s="484">
        <f>IF(SETUP!$E$7="USD",(AB110*(IF(O110="USD",W110,(W110/'Master Data-C19RM'!$D$2)))),(AB110*(IF(O110="EUR",W110,(W110*'Master Data-C19RM'!$D$2)))))</f>
        <v>0</v>
      </c>
      <c r="AD110" s="445">
        <f>IF($O110="USD",_xlfn.IFNA(VLOOKUP($A110&amp;$E110&amp;$I110,PMsheet!$J:$K,2,0),0),(_xlfn.IFNA(VLOOKUP($A110&amp;$E110&amp;$I110,PMsheet!$J:$K,2,0),0)*'Master Data-C19RM'!$E$2))</f>
        <v>0</v>
      </c>
      <c r="AE110" s="440"/>
      <c r="AF110" s="440"/>
      <c r="AG110" s="440"/>
      <c r="AH110" s="440"/>
      <c r="AI110" s="482">
        <f>SUM('C19RM 2021-Pharma'!$AE110:$AH110)</f>
        <v>0</v>
      </c>
      <c r="AJ110" s="484">
        <f>IF(SETUP!$E$7="USD",(AI110*(IF(O110="USD",AD110,(AD110/'Master Data-C19RM'!$E$2)))),(AI110*(IF(O110="EUR",AD110,(AD110*'Master Data-C19RM'!$E$2)))))</f>
        <v>0</v>
      </c>
      <c r="AK110" s="445">
        <f>IF($O110="USD",_xlfn.IFNA(VLOOKUP($A110&amp;$E110&amp;$I110,PMsheet!$J:$K,2,0),0),(_xlfn.IFNA(VLOOKUP($A110&amp;$E110&amp;$I110,PMsheet!$J:$K,2,0),0)*'Master Data-C19RM'!$F$2))</f>
        <v>0</v>
      </c>
      <c r="AL110" s="440"/>
      <c r="AM110" s="440"/>
      <c r="AN110" s="440"/>
      <c r="AO110" s="440"/>
      <c r="AP110" s="482">
        <f>SUM('C19RM 2021-Pharma'!$AL110:$AO110)</f>
        <v>0</v>
      </c>
      <c r="AQ110" s="484">
        <f>IF(SETUP!$E$7="USD",(AP110*(IF(O110="USD",AK110,(AK110/'Master Data-C19RM'!$F$2)))),(AP110*(IF(O110="EUR",AK110,(AK110*'Master Data-C19RM'!$F$2)))))</f>
        <v>0</v>
      </c>
      <c r="AR110" s="445">
        <f>IF($O110="USD",_xlfn.IFNA(VLOOKUP($A110&amp;$E110&amp;$I110,PMsheet!$J:$K,2,0),0),(_xlfn.IFNA(VLOOKUP($A110&amp;$E110&amp;$I110,PMsheet!$J:$K,2,0),0)*'Master Data-C19RM'!$G$2))</f>
        <v>0</v>
      </c>
      <c r="AS110" s="440"/>
      <c r="AT110" s="440"/>
      <c r="AU110" s="440"/>
      <c r="AV110" s="440"/>
      <c r="AW110" s="482">
        <f>SUM('C19RM 2021-Pharma'!$AS110:$AV110)</f>
        <v>0</v>
      </c>
      <c r="AX110" s="484">
        <f>IF(SETUP!$E$7="USD",(AW110*(IF(O110="USD",AR110,(AR110/'Master Data-C19RM'!$G$2)))),(AW110*(IF(O110="EUR",AR110,(AR110*'Master Data-C19RM'!$G$2)))))</f>
        <v>0</v>
      </c>
      <c r="AY110" s="889"/>
      <c r="AZ110" s="884"/>
      <c r="BA110" s="884"/>
      <c r="BB110" s="884"/>
      <c r="BC110" s="884"/>
      <c r="BD110" s="884"/>
      <c r="BE110" s="885"/>
      <c r="BF110" s="504">
        <f>'C19RM 2021-Pharma'!$U110+'C19RM 2021-Pharma'!$AB110+'C19RM 2021-Pharma'!$AP110+'C19RM 2021-Pharma'!$AI110+$AW110+$BD110</f>
        <v>0</v>
      </c>
      <c r="BG110" s="484">
        <f>'C19RM 2021-Pharma'!$V110+'C19RM 2021-Pharma'!$AC110+'C19RM 2021-Pharma'!$AQ110+'C19RM 2021-Pharma'!$AJ110+$AX110+$BE110</f>
        <v>0</v>
      </c>
      <c r="BH110" s="499" t="str" cm="1">
        <f t="array" ref="BH110">IF(A110&lt;&gt;"",IFERROR(INDEX(PMtbl[[WKst]:[Unit of measure*]],MATCH($A$8&amp;$A110&amp;$E110&amp;$I110,INDEX(PMtbl[Sec]&amp;PMtbl[Category]&amp;PMtbl[Each]&amp;PMtbl[Packaging],0,),0),11),""),"")</f>
        <v/>
      </c>
      <c r="BI110" s="818"/>
      <c r="BJ110" s="503" t="str">
        <f>IFERROR(INDEX(SETUP!$C$19:$G$121,MATCH((INDEX(PMtbl[[WKst]:[Unit of measure*]],MATCH($A110&amp;$E110&amp;$I110,INDEX(PMtbl[Category]&amp;PMtbl[Each]&amp;PMtbl[Packaging],0,),0),3)),SETUP!$D$19:$D$121,0),5),"")</f>
        <v/>
      </c>
      <c r="BK110" s="439" t="str">
        <f>IFERROR(IF((INDEX(SETUP!$C$19:$G$121,MATCH((INDEX(PMtbl[[WKst]:[Unit of measure*]],MATCH($A110&amp;$E110&amp;$I110,INDEX(PMtbl[Category]&amp;PMtbl[Each]&amp;PMtbl[Packaging],0,),0),3)),SETUP!$D$19:$D$121,0),4))="Upfront",0,INDEX(SETUP!$C$19:$G$121,MATCH((INDEX(PMtbl[[WKst]:[Unit of measure*]],MATCH($A110&amp;$E110&amp;$I110,INDEX(PMtbl[Category]&amp;PMtbl[Each]&amp;PMtbl[Packaging],0,),0),3)),SETUP!$D$19:$D$121,0),5)),"")</f>
        <v/>
      </c>
      <c r="BL110" s="194" t="str" cm="1">
        <f t="array" ref="BL110">IF(E110&lt;&gt;"",IFERROR(INDEX(PMtbl[[WKst]:[Unit of measure*]],MATCH($A$8&amp;$A110&amp;$E110&amp;$I110,INDEX(PMtbl[Sec]&amp;PMtbl[Category]&amp;PMtbl[Each]&amp;PMtbl[Packaging],0,),0),11),""),"")</f>
        <v/>
      </c>
      <c r="BO110" s="12">
        <f>IF(N110="",0,IF(SETUP!$E$7="USD",((IF(O110="USD",P110,(P110/'Master Data-C19RM'!$C$2)))),((IF(O110="EUR",P110,(P110*'Master Data-C19RM'!$C$2))))))</f>
        <v>0</v>
      </c>
      <c r="BP110" s="12">
        <f>IF(N110="",0,IF(SETUP!$E$7="USD",((IF(O110="USD",W110,(W110/'Master Data-C19RM'!$D$2)))),((IF(O110="EUR",W110,(W110*'Master Data-C19RM'!$D$2))))))</f>
        <v>0</v>
      </c>
      <c r="BQ110">
        <f>IF(N110="",0,IF(SETUP!$E$7="USD",((IF(O110="USD",AD110,(AD110/'Master Data-C19RM'!$E$2)))),((IF(O110="EUR",AD110,(AD110*'Master Data-C19RM'!$E$2))))))</f>
        <v>0</v>
      </c>
      <c r="BR110">
        <f>IF(N110="",0,IF(SETUP!$E$7="USD",((IF(O110="USD",AK110,(AK110/'Master Data-C19RM'!$F$2)))),((IF(O110="EUR",AK110,(AK110*'Master Data-C19RM'!$F$2))))))</f>
        <v>0</v>
      </c>
      <c r="BS110">
        <f>IF(N110="",0,IF(SETUP!$E$7="USD",((IF(O110="USD",AR110,(AR110/'Master Data-C19RM'!$F$2)))),((IF(O110="EUR",AR110,(AR110*'Master Data-C19RM'!$G$2))))))</f>
        <v>0</v>
      </c>
      <c r="BT110">
        <f>IF(N110="",0,IF(SETUP!$E$7="USD",((IF(O110="USD",AY110,(AY110/'Master Data-C19RM'!$F$2)))),((IF(O110="EUR",AY110,(AY110*'Master Data-C19RM'!$H$2))))))</f>
        <v>0</v>
      </c>
      <c r="BU110" s="12">
        <f t="shared" si="3"/>
        <v>0</v>
      </c>
      <c r="BV110" s="142">
        <f t="shared" si="4"/>
        <v>0</v>
      </c>
    </row>
    <row r="111" spans="1:74" ht="14.9" customHeight="1" x14ac:dyDescent="0.35">
      <c r="A111" s="1165"/>
      <c r="B111" s="1165"/>
      <c r="C111" s="1165"/>
      <c r="D111" s="1165"/>
      <c r="E111" s="1166"/>
      <c r="F111" s="1166"/>
      <c r="G111" s="1166"/>
      <c r="H111" s="1166"/>
      <c r="I111" s="1166"/>
      <c r="J111" s="1166"/>
      <c r="K111" s="1166"/>
      <c r="L111" s="490" t="str" cm="1">
        <f t="array" ref="L111">IF(A111&lt;&gt;"",IFERROR(INDEX(PMtbl[[WKst]:[Unit of measure*]],MATCH($A$8&amp;$A111&amp;$E111&amp;$I111,INDEX(PMtbl[Sec]&amp;PMtbl[Category]&amp;PMtbl[Each]&amp;PMtbl[Packaging],0,),0),14),""),"")</f>
        <v/>
      </c>
      <c r="M111" s="479" t="str">
        <f>IF(L111="","",INDEX(SETUP!$E$20:$E$122,(MATCH(INDEX(PMsheet!$D:$E,MATCH(A111,PMsheet!E:E,0),1),SETUP!$D$20:$D$122,0))))</f>
        <v/>
      </c>
      <c r="N111" s="491">
        <f>IF($O111="USD",_xlfn.IFNA(VLOOKUP(A111&amp;E111&amp;I111,PMsheet!J:K,2,0),0),(_xlfn.IFNA(VLOOKUP(A111&amp;E111&amp;I111,PMsheet!J:K,2,0),0)*'Master Data-C19RM'!$C$2))</f>
        <v>0</v>
      </c>
      <c r="O111" s="492" t="str">
        <f>IF(L111="", "",SETUP!$E$7)</f>
        <v/>
      </c>
      <c r="P111" s="444">
        <f>IF($O111="USD",_xlfn.IFNA(VLOOKUP($A111&amp;$E111&amp;$I111,PMsheet!$J:$K,2,0),0),(_xlfn.IFNA(VLOOKUP($A111&amp;$E111&amp;$I111,PMsheet!$J:$K,2,0),0)*'Master Data-C19RM'!$C$2))</f>
        <v>0</v>
      </c>
      <c r="Q111" s="441"/>
      <c r="R111" s="441"/>
      <c r="S111" s="441"/>
      <c r="T111" s="441"/>
      <c r="U111" s="481">
        <f>SUM('C19RM 2021-Pharma'!$Q111:$T111)</f>
        <v>0</v>
      </c>
      <c r="V111" s="483">
        <f>IF(SETUP!$E$7="USD",(U111*(IF(O111="USD",P111,(P111/'Master Data-C19RM'!$C$2)))),(U111*(IF(O111="EUR",P111,(P111*'Master Data-C19RM'!$C$2)))))</f>
        <v>0</v>
      </c>
      <c r="W111" s="444">
        <f>IF($O111="USD",_xlfn.IFNA(VLOOKUP($A111&amp;$E111&amp;$I111,PMsheet!$J:$K,2,0),0),(_xlfn.IFNA(VLOOKUP($A111&amp;$E111&amp;$I111,PMsheet!$J:$K,2,0),0)*'Master Data-C19RM'!$D$2))</f>
        <v>0</v>
      </c>
      <c r="X111" s="441"/>
      <c r="Y111" s="441"/>
      <c r="Z111" s="441"/>
      <c r="AA111" s="441"/>
      <c r="AB111" s="481">
        <f>SUM('C19RM 2021-Pharma'!$X111:$AA111)</f>
        <v>0</v>
      </c>
      <c r="AC111" s="483">
        <f>IF(SETUP!$E$7="USD",(AB111*(IF(O111="USD",W111,(W111/'Master Data-C19RM'!$D$2)))),(AB111*(IF(O111="EUR",W111,(W111*'Master Data-C19RM'!$D$2)))))</f>
        <v>0</v>
      </c>
      <c r="AD111" s="444">
        <f>IF($O111="USD",_xlfn.IFNA(VLOOKUP($A111&amp;$E111&amp;$I111,PMsheet!$J:$K,2,0),0),(_xlfn.IFNA(VLOOKUP($A111&amp;$E111&amp;$I111,PMsheet!$J:$K,2,0),0)*'Master Data-C19RM'!$E$2))</f>
        <v>0</v>
      </c>
      <c r="AE111" s="441"/>
      <c r="AF111" s="441"/>
      <c r="AG111" s="441"/>
      <c r="AH111" s="441"/>
      <c r="AI111" s="481">
        <f>SUM('C19RM 2021-Pharma'!$AE111:$AH111)</f>
        <v>0</v>
      </c>
      <c r="AJ111" s="483">
        <f>IF(SETUP!$E$7="USD",(AI111*(IF(O111="USD",AD111,(AD111/'Master Data-C19RM'!$E$2)))),(AI111*(IF(O111="EUR",AD111,(AD111*'Master Data-C19RM'!$E$2)))))</f>
        <v>0</v>
      </c>
      <c r="AK111" s="444">
        <f>IF($O111="USD",_xlfn.IFNA(VLOOKUP($A111&amp;$E111&amp;$I111,PMsheet!$J:$K,2,0),0),(_xlfn.IFNA(VLOOKUP($A111&amp;$E111&amp;$I111,PMsheet!$J:$K,2,0),0)*'Master Data-C19RM'!$F$2))</f>
        <v>0</v>
      </c>
      <c r="AL111" s="441"/>
      <c r="AM111" s="441"/>
      <c r="AN111" s="441"/>
      <c r="AO111" s="441"/>
      <c r="AP111" s="481">
        <f>SUM('C19RM 2021-Pharma'!$AL111:$AO111)</f>
        <v>0</v>
      </c>
      <c r="AQ111" s="483">
        <f>IF(SETUP!$E$7="USD",(AP111*(IF(O111="USD",AK111,(AK111/'Master Data-C19RM'!$F$2)))),(AP111*(IF(O111="EUR",AK111,(AK111*'Master Data-C19RM'!$F$2)))))</f>
        <v>0</v>
      </c>
      <c r="AR111" s="444">
        <f>IF($O111="USD",_xlfn.IFNA(VLOOKUP($A111&amp;$E111&amp;$I111,PMsheet!$J:$K,2,0),0),(_xlfn.IFNA(VLOOKUP($A111&amp;$E111&amp;$I111,PMsheet!$J:$K,2,0),0)*'Master Data-C19RM'!$G$2))</f>
        <v>0</v>
      </c>
      <c r="AS111" s="441"/>
      <c r="AT111" s="441"/>
      <c r="AU111" s="441"/>
      <c r="AV111" s="441"/>
      <c r="AW111" s="481">
        <f>SUM('C19RM 2021-Pharma'!$AS111:$AV111)</f>
        <v>0</v>
      </c>
      <c r="AX111" s="483">
        <f>IF(SETUP!$E$7="USD",(AW111*(IF(O111="USD",AR111,(AR111/'Master Data-C19RM'!$G$2)))),(AW111*(IF(O111="EUR",AR111,(AR111*'Master Data-C19RM'!$G$2)))))</f>
        <v>0</v>
      </c>
      <c r="AY111" s="886"/>
      <c r="AZ111" s="887"/>
      <c r="BA111" s="887"/>
      <c r="BB111" s="887"/>
      <c r="BC111" s="887"/>
      <c r="BD111" s="887"/>
      <c r="BE111" s="888"/>
      <c r="BF111" s="505">
        <f>'C19RM 2021-Pharma'!$U111+'C19RM 2021-Pharma'!$AB111+'C19RM 2021-Pharma'!$AP111+'C19RM 2021-Pharma'!$AI111+$AW111+$BD111</f>
        <v>0</v>
      </c>
      <c r="BG111" s="483">
        <f>'C19RM 2021-Pharma'!$V111+'C19RM 2021-Pharma'!$AC111+'C19RM 2021-Pharma'!$AQ111+'C19RM 2021-Pharma'!$AJ111+$AX111+$BE111</f>
        <v>0</v>
      </c>
      <c r="BH111" s="500" t="str" cm="1">
        <f t="array" ref="BH111">IF(A111&lt;&gt;"",IFERROR(INDEX(PMtbl[[WKst]:[Unit of measure*]],MATCH($A$8&amp;$A111&amp;$E111&amp;$I111,INDEX(PMtbl[Sec]&amp;PMtbl[Category]&amp;PMtbl[Each]&amp;PMtbl[Packaging],0,),0),11),""),"")</f>
        <v/>
      </c>
      <c r="BI111" s="819"/>
      <c r="BJ111" s="502" t="str">
        <f>IFERROR(INDEX(SETUP!$C$19:$G$121,MATCH((INDEX(PMtbl[[WKst]:[Unit of measure*]],MATCH($A111&amp;$E111&amp;$I111,INDEX(PMtbl[Category]&amp;PMtbl[Each]&amp;PMtbl[Packaging],0,),0),3)),SETUP!$D$19:$D$121,0),5),"")</f>
        <v/>
      </c>
      <c r="BK111" s="438" t="str">
        <f>IFERROR(IF((INDEX(SETUP!$C$19:$G$121,MATCH((INDEX(PMtbl[[WKst]:[Unit of measure*]],MATCH($A111&amp;$E111&amp;$I111,INDEX(PMtbl[Category]&amp;PMtbl[Each]&amp;PMtbl[Packaging],0,),0),3)),SETUP!$D$19:$D$121,0),4))="Upfront",0,INDEX(SETUP!$C$19:$G$121,MATCH((INDEX(PMtbl[[WKst]:[Unit of measure*]],MATCH($A111&amp;$E111&amp;$I111,INDEX(PMtbl[Category]&amp;PMtbl[Each]&amp;PMtbl[Packaging],0,),0),3)),SETUP!$D$19:$D$121,0),5)),"")</f>
        <v/>
      </c>
      <c r="BL111" s="193" t="str" cm="1">
        <f t="array" ref="BL111">IF(E111&lt;&gt;"",IFERROR(INDEX(PMtbl[[WKst]:[Unit of measure*]],MATCH($A$8&amp;$A111&amp;$E111&amp;$I111,INDEX(PMtbl[Sec]&amp;PMtbl[Category]&amp;PMtbl[Each]&amp;PMtbl[Packaging],0,),0),11),""),"")</f>
        <v/>
      </c>
      <c r="BO111" s="12">
        <f>IF(N111="",0,IF(SETUP!$E$7="USD",((IF(O111="USD",P111,(P111/'Master Data-C19RM'!$C$2)))),((IF(O111="EUR",P111,(P111*'Master Data-C19RM'!$C$2))))))</f>
        <v>0</v>
      </c>
      <c r="BP111" s="12">
        <f>IF(N111="",0,IF(SETUP!$E$7="USD",((IF(O111="USD",W111,(W111/'Master Data-C19RM'!$D$2)))),((IF(O111="EUR",W111,(W111*'Master Data-C19RM'!$D$2))))))</f>
        <v>0</v>
      </c>
      <c r="BQ111">
        <f>IF(N111="",0,IF(SETUP!$E$7="USD",((IF(O111="USD",AD111,(AD111/'Master Data-C19RM'!$E$2)))),((IF(O111="EUR",AD111,(AD111*'Master Data-C19RM'!$E$2))))))</f>
        <v>0</v>
      </c>
      <c r="BR111">
        <f>IF(N111="",0,IF(SETUP!$E$7="USD",((IF(O111="USD",AK111,(AK111/'Master Data-C19RM'!$F$2)))),((IF(O111="EUR",AK111,(AK111*'Master Data-C19RM'!$F$2))))))</f>
        <v>0</v>
      </c>
      <c r="BS111">
        <f>IF(N111="",0,IF(SETUP!$E$7="USD",((IF(O111="USD",AR111,(AR111/'Master Data-C19RM'!$F$2)))),((IF(O111="EUR",AR111,(AR111*'Master Data-C19RM'!$G$2))))))</f>
        <v>0</v>
      </c>
      <c r="BT111">
        <f>IF(N111="",0,IF(SETUP!$E$7="USD",((IF(O111="USD",AY111,(AY111/'Master Data-C19RM'!$F$2)))),((IF(O111="EUR",AY111,(AY111*'Master Data-C19RM'!$H$2))))))</f>
        <v>0</v>
      </c>
      <c r="BU111" s="12">
        <f t="shared" si="3"/>
        <v>0</v>
      </c>
      <c r="BV111" s="142">
        <f t="shared" si="4"/>
        <v>0</v>
      </c>
    </row>
    <row r="112" spans="1:74" ht="14.9" customHeight="1" x14ac:dyDescent="0.35">
      <c r="A112" s="1172"/>
      <c r="B112" s="1172"/>
      <c r="C112" s="1172"/>
      <c r="D112" s="1172"/>
      <c r="E112" s="1172"/>
      <c r="F112" s="1172"/>
      <c r="G112" s="1172"/>
      <c r="H112" s="1172"/>
      <c r="I112" s="1173"/>
      <c r="J112" s="1173"/>
      <c r="K112" s="1173"/>
      <c r="L112" s="493" t="str" cm="1">
        <f t="array" ref="L112">IF(A112&lt;&gt;"",IFERROR(INDEX(PMtbl[[WKst]:[Unit of measure*]],MATCH($A$8&amp;$A112&amp;$E112&amp;$I112,INDEX(PMtbl[Sec]&amp;PMtbl[Category]&amp;PMtbl[Each]&amp;PMtbl[Packaging],0,),0),14),""),"")</f>
        <v/>
      </c>
      <c r="M112" s="480" t="str">
        <f>IF(L112="","",INDEX(SETUP!$E$20:$E$122,(MATCH(INDEX(PMsheet!$D:$E,MATCH(A112,PMsheet!E:E,0),1),SETUP!$D$20:$D$122,0))))</f>
        <v/>
      </c>
      <c r="N112" s="494">
        <f>IF($O112="USD",_xlfn.IFNA(VLOOKUP(A112&amp;E112&amp;I112,PMsheet!J:K,2,0),0),(_xlfn.IFNA(VLOOKUP(A112&amp;E112&amp;I112,PMsheet!J:K,2,0),0)*'Master Data-C19RM'!$C$2))</f>
        <v>0</v>
      </c>
      <c r="O112" s="495" t="str">
        <f>IF(L112="", "",SETUP!$E$7)</f>
        <v/>
      </c>
      <c r="P112" s="445">
        <f>IF($O112="USD",_xlfn.IFNA(VLOOKUP($A112&amp;$E112&amp;$I112,PMsheet!$J:$K,2,0),0),(_xlfn.IFNA(VLOOKUP($A112&amp;$E112&amp;$I112,PMsheet!$J:$K,2,0),0)*'Master Data-C19RM'!$C$2))</f>
        <v>0</v>
      </c>
      <c r="Q112" s="440"/>
      <c r="R112" s="440"/>
      <c r="S112" s="440"/>
      <c r="T112" s="440"/>
      <c r="U112" s="482">
        <f>SUM('C19RM 2021-Pharma'!$Q112:$T112)</f>
        <v>0</v>
      </c>
      <c r="V112" s="484">
        <f>IF(SETUP!$E$7="USD",(U112*(IF(O112="USD",P112,(P112/'Master Data-C19RM'!$C$2)))),(U112*(IF(O112="EUR",P112,(P112*'Master Data-C19RM'!$C$2)))))</f>
        <v>0</v>
      </c>
      <c r="W112" s="445">
        <f>IF($O112="USD",_xlfn.IFNA(VLOOKUP($A112&amp;$E112&amp;$I112,PMsheet!$J:$K,2,0),0),(_xlfn.IFNA(VLOOKUP($A112&amp;$E112&amp;$I112,PMsheet!$J:$K,2,0),0)*'Master Data-C19RM'!$D$2))</f>
        <v>0</v>
      </c>
      <c r="X112" s="440"/>
      <c r="Y112" s="440"/>
      <c r="Z112" s="440"/>
      <c r="AA112" s="440"/>
      <c r="AB112" s="482">
        <f>SUM('C19RM 2021-Pharma'!$X112:$AA112)</f>
        <v>0</v>
      </c>
      <c r="AC112" s="484">
        <f>IF(SETUP!$E$7="USD",(AB112*(IF(O112="USD",W112,(W112/'Master Data-C19RM'!$D$2)))),(AB112*(IF(O112="EUR",W112,(W112*'Master Data-C19RM'!$D$2)))))</f>
        <v>0</v>
      </c>
      <c r="AD112" s="445">
        <f>IF($O112="USD",_xlfn.IFNA(VLOOKUP($A112&amp;$E112&amp;$I112,PMsheet!$J:$K,2,0),0),(_xlfn.IFNA(VLOOKUP($A112&amp;$E112&amp;$I112,PMsheet!$J:$K,2,0),0)*'Master Data-C19RM'!$E$2))</f>
        <v>0</v>
      </c>
      <c r="AE112" s="440"/>
      <c r="AF112" s="440"/>
      <c r="AG112" s="440"/>
      <c r="AH112" s="440"/>
      <c r="AI112" s="482">
        <f>SUM('C19RM 2021-Pharma'!$AE112:$AH112)</f>
        <v>0</v>
      </c>
      <c r="AJ112" s="484">
        <f>IF(SETUP!$E$7="USD",(AI112*(IF(O112="USD",AD112,(AD112/'Master Data-C19RM'!$E$2)))),(AI112*(IF(O112="EUR",AD112,(AD112*'Master Data-C19RM'!$E$2)))))</f>
        <v>0</v>
      </c>
      <c r="AK112" s="445">
        <f>IF($O112="USD",_xlfn.IFNA(VLOOKUP($A112&amp;$E112&amp;$I112,PMsheet!$J:$K,2,0),0),(_xlfn.IFNA(VLOOKUP($A112&amp;$E112&amp;$I112,PMsheet!$J:$K,2,0),0)*'Master Data-C19RM'!$F$2))</f>
        <v>0</v>
      </c>
      <c r="AL112" s="440"/>
      <c r="AM112" s="440"/>
      <c r="AN112" s="440"/>
      <c r="AO112" s="440"/>
      <c r="AP112" s="482">
        <f>SUM('C19RM 2021-Pharma'!$AL112:$AO112)</f>
        <v>0</v>
      </c>
      <c r="AQ112" s="484">
        <f>IF(SETUP!$E$7="USD",(AP112*(IF(O112="USD",AK112,(AK112/'Master Data-C19RM'!$F$2)))),(AP112*(IF(O112="EUR",AK112,(AK112*'Master Data-C19RM'!$F$2)))))</f>
        <v>0</v>
      </c>
      <c r="AR112" s="445">
        <f>IF($O112="USD",_xlfn.IFNA(VLOOKUP($A112&amp;$E112&amp;$I112,PMsheet!$J:$K,2,0),0),(_xlfn.IFNA(VLOOKUP($A112&amp;$E112&amp;$I112,PMsheet!$J:$K,2,0),0)*'Master Data-C19RM'!$G$2))</f>
        <v>0</v>
      </c>
      <c r="AS112" s="440"/>
      <c r="AT112" s="440"/>
      <c r="AU112" s="440"/>
      <c r="AV112" s="440"/>
      <c r="AW112" s="482">
        <f>SUM('C19RM 2021-Pharma'!$AS112:$AV112)</f>
        <v>0</v>
      </c>
      <c r="AX112" s="484">
        <f>IF(SETUP!$E$7="USD",(AW112*(IF(O112="USD",AR112,(AR112/'Master Data-C19RM'!$G$2)))),(AW112*(IF(O112="EUR",AR112,(AR112*'Master Data-C19RM'!$G$2)))))</f>
        <v>0</v>
      </c>
      <c r="AY112" s="889"/>
      <c r="AZ112" s="884"/>
      <c r="BA112" s="884"/>
      <c r="BB112" s="884"/>
      <c r="BC112" s="884"/>
      <c r="BD112" s="884"/>
      <c r="BE112" s="885"/>
      <c r="BF112" s="504">
        <f>'C19RM 2021-Pharma'!$U112+'C19RM 2021-Pharma'!$AB112+'C19RM 2021-Pharma'!$AP112+'C19RM 2021-Pharma'!$AI112+$AW112+$BD112</f>
        <v>0</v>
      </c>
      <c r="BG112" s="484">
        <f>'C19RM 2021-Pharma'!$V112+'C19RM 2021-Pharma'!$AC112+'C19RM 2021-Pharma'!$AQ112+'C19RM 2021-Pharma'!$AJ112+$AX112+$BE112</f>
        <v>0</v>
      </c>
      <c r="BH112" s="499" t="str" cm="1">
        <f t="array" ref="BH112">IF(A112&lt;&gt;"",IFERROR(INDEX(PMtbl[[WKst]:[Unit of measure*]],MATCH($A$8&amp;$A112&amp;$E112&amp;$I112,INDEX(PMtbl[Sec]&amp;PMtbl[Category]&amp;PMtbl[Each]&amp;PMtbl[Packaging],0,),0),11),""),"")</f>
        <v/>
      </c>
      <c r="BI112" s="818"/>
      <c r="BJ112" s="503" t="str">
        <f>IFERROR(INDEX(SETUP!$C$19:$G$121,MATCH((INDEX(PMtbl[[WKst]:[Unit of measure*]],MATCH($A112&amp;$E112&amp;$I112,INDEX(PMtbl[Category]&amp;PMtbl[Each]&amp;PMtbl[Packaging],0,),0),3)),SETUP!$D$19:$D$121,0),5),"")</f>
        <v/>
      </c>
      <c r="BK112" s="439" t="str">
        <f>IFERROR(IF((INDEX(SETUP!$C$19:$G$121,MATCH((INDEX(PMtbl[[WKst]:[Unit of measure*]],MATCH($A112&amp;$E112&amp;$I112,INDEX(PMtbl[Category]&amp;PMtbl[Each]&amp;PMtbl[Packaging],0,),0),3)),SETUP!$D$19:$D$121,0),4))="Upfront",0,INDEX(SETUP!$C$19:$G$121,MATCH((INDEX(PMtbl[[WKst]:[Unit of measure*]],MATCH($A112&amp;$E112&amp;$I112,INDEX(PMtbl[Category]&amp;PMtbl[Each]&amp;PMtbl[Packaging],0,),0),3)),SETUP!$D$19:$D$121,0),5)),"")</f>
        <v/>
      </c>
      <c r="BL112" s="194" t="str" cm="1">
        <f t="array" ref="BL112">IF(E112&lt;&gt;"",IFERROR(INDEX(PMtbl[[WKst]:[Unit of measure*]],MATCH($A$8&amp;$A112&amp;$E112&amp;$I112,INDEX(PMtbl[Sec]&amp;PMtbl[Category]&amp;PMtbl[Each]&amp;PMtbl[Packaging],0,),0),11),""),"")</f>
        <v/>
      </c>
      <c r="BO112" s="12">
        <f>IF(N112="",0,IF(SETUP!$E$7="USD",((IF(O112="USD",P112,(P112/'Master Data-C19RM'!$C$2)))),((IF(O112="EUR",P112,(P112*'Master Data-C19RM'!$C$2))))))</f>
        <v>0</v>
      </c>
      <c r="BP112" s="12">
        <f>IF(N112="",0,IF(SETUP!$E$7="USD",((IF(O112="USD",W112,(W112/'Master Data-C19RM'!$D$2)))),((IF(O112="EUR",W112,(W112*'Master Data-C19RM'!$D$2))))))</f>
        <v>0</v>
      </c>
      <c r="BQ112">
        <f>IF(N112="",0,IF(SETUP!$E$7="USD",((IF(O112="USD",AD112,(AD112/'Master Data-C19RM'!$E$2)))),((IF(O112="EUR",AD112,(AD112*'Master Data-C19RM'!$E$2))))))</f>
        <v>0</v>
      </c>
      <c r="BR112">
        <f>IF(N112="",0,IF(SETUP!$E$7="USD",((IF(O112="USD",AK112,(AK112/'Master Data-C19RM'!$F$2)))),((IF(O112="EUR",AK112,(AK112*'Master Data-C19RM'!$F$2))))))</f>
        <v>0</v>
      </c>
      <c r="BS112">
        <f>IF(N112="",0,IF(SETUP!$E$7="USD",((IF(O112="USD",AR112,(AR112/'Master Data-C19RM'!$F$2)))),((IF(O112="EUR",AR112,(AR112*'Master Data-C19RM'!$G$2))))))</f>
        <v>0</v>
      </c>
      <c r="BT112">
        <f>IF(N112="",0,IF(SETUP!$E$7="USD",((IF(O112="USD",AY112,(AY112/'Master Data-C19RM'!$F$2)))),((IF(O112="EUR",AY112,(AY112*'Master Data-C19RM'!$H$2))))))</f>
        <v>0</v>
      </c>
      <c r="BU112" s="12">
        <f t="shared" si="3"/>
        <v>0</v>
      </c>
      <c r="BV112" s="142">
        <f t="shared" si="4"/>
        <v>0</v>
      </c>
    </row>
    <row r="113" spans="1:92" ht="14.9" customHeight="1" thickBot="1" x14ac:dyDescent="0.4">
      <c r="A113" s="1180"/>
      <c r="B113" s="1180"/>
      <c r="C113" s="1180"/>
      <c r="D113" s="1180"/>
      <c r="E113" s="1181"/>
      <c r="F113" s="1181"/>
      <c r="G113" s="1181"/>
      <c r="H113" s="1181"/>
      <c r="I113" s="1181"/>
      <c r="J113" s="1181"/>
      <c r="K113" s="1181"/>
      <c r="L113" s="506" t="str" cm="1">
        <f t="array" ref="L113">IF(A113&lt;&gt;"",IFERROR(INDEX(PMtbl[[WKst]:[Unit of measure*]],MATCH($A$8&amp;$A113&amp;$E113&amp;$I113,INDEX(PMtbl[Sec]&amp;PMtbl[Category]&amp;PMtbl[Each]&amp;PMtbl[Packaging],0,),0),14),""),"")</f>
        <v/>
      </c>
      <c r="M113" s="507" t="str">
        <f>IF(L113="","",INDEX(SETUP!$E$20:$E$122,(MATCH(INDEX(PMsheet!$D:$E,MATCH(A113,PMsheet!E:E,0),1),SETUP!$D$20:$D$122,0))))</f>
        <v/>
      </c>
      <c r="N113" s="528">
        <f>IF($O113="USD",_xlfn.IFNA(VLOOKUP(A113&amp;E113&amp;I113,PMsheet!J:K,2,0),0),(_xlfn.IFNA(VLOOKUP(A113&amp;E113&amp;I113,PMsheet!J:K,2,0),0)*'Master Data-C19RM'!$C$2))</f>
        <v>0</v>
      </c>
      <c r="O113" s="509" t="str">
        <f>IF(L113="", "",SETUP!$E$7)</f>
        <v/>
      </c>
      <c r="P113" s="460">
        <f>IF($O113="USD",_xlfn.IFNA(VLOOKUP($A113&amp;$E113&amp;$I113,PMsheet!$J:$K,2,0),0),(_xlfn.IFNA(VLOOKUP($A113&amp;$E113&amp;$I113,PMsheet!$J:$K,2,0),0)*'Master Data-C19RM'!$C$2))</f>
        <v>0</v>
      </c>
      <c r="Q113" s="459"/>
      <c r="R113" s="459"/>
      <c r="S113" s="459"/>
      <c r="T113" s="459"/>
      <c r="U113" s="510">
        <f>SUM('C19RM 2021-Pharma'!$Q113:$T113)</f>
        <v>0</v>
      </c>
      <c r="V113" s="511">
        <f>IF(SETUP!$E$7="USD",(U113*(IF(O113="USD",P113,(P113/'Master Data-C19RM'!$C$2)))),(U113*(IF(O113="EUR",P113,(P113*'Master Data-C19RM'!$C$2)))))</f>
        <v>0</v>
      </c>
      <c r="W113" s="460">
        <f>IF($O113="USD",_xlfn.IFNA(VLOOKUP($A113&amp;$E113&amp;$I113,PMsheet!$J:$K,2,0),0),(_xlfn.IFNA(VLOOKUP($A113&amp;$E113&amp;$I113,PMsheet!$J:$K,2,0),0)*'Master Data-C19RM'!$D$2))</f>
        <v>0</v>
      </c>
      <c r="X113" s="459"/>
      <c r="Y113" s="459"/>
      <c r="Z113" s="459"/>
      <c r="AA113" s="459"/>
      <c r="AB113" s="510">
        <f>SUM('C19RM 2021-Pharma'!$X113:$AA113)</f>
        <v>0</v>
      </c>
      <c r="AC113" s="511">
        <f>IF(SETUP!$E$7="USD",(AB113*(IF(O113="USD",W113,(W113/'Master Data-C19RM'!$D$2)))),(AB113*(IF(O113="EUR",W113,(W113*'Master Data-C19RM'!$D$2)))))</f>
        <v>0</v>
      </c>
      <c r="AD113" s="460">
        <f>IF($O113="USD",_xlfn.IFNA(VLOOKUP($A113&amp;$E113&amp;$I113,PMsheet!$J:$K,2,0),0),(_xlfn.IFNA(VLOOKUP($A113&amp;$E113&amp;$I113,PMsheet!$J:$K,2,0),0)*'Master Data-C19RM'!$E$2))</f>
        <v>0</v>
      </c>
      <c r="AE113" s="459"/>
      <c r="AF113" s="459"/>
      <c r="AG113" s="459"/>
      <c r="AH113" s="459"/>
      <c r="AI113" s="510">
        <f>SUM('C19RM 2021-Pharma'!$AE113:$AH113)</f>
        <v>0</v>
      </c>
      <c r="AJ113" s="511">
        <f>IF(SETUP!$E$7="USD",(AI113*(IF(O113="USD",AD113,(AD113/'Master Data-C19RM'!$E$2)))),(AI113*(IF(O113="EUR",AD113,(AD113*'Master Data-C19RM'!$E$2)))))</f>
        <v>0</v>
      </c>
      <c r="AK113" s="460">
        <f>IF($O113="USD",_xlfn.IFNA(VLOOKUP($A113&amp;$E113&amp;$I113,PMsheet!$J:$K,2,0),0),(_xlfn.IFNA(VLOOKUP($A113&amp;$E113&amp;$I113,PMsheet!$J:$K,2,0),0)*'Master Data-C19RM'!$F$2))</f>
        <v>0</v>
      </c>
      <c r="AL113" s="459"/>
      <c r="AM113" s="459"/>
      <c r="AN113" s="459"/>
      <c r="AO113" s="459"/>
      <c r="AP113" s="510">
        <f>SUM('C19RM 2021-Pharma'!$AL113:$AO113)</f>
        <v>0</v>
      </c>
      <c r="AQ113" s="511">
        <f>IF(SETUP!$E$7="USD",(AP113*(IF(O113="USD",AK113,(AK113/'Master Data-C19RM'!$F$2)))),(AP113*(IF(O113="EUR",AK113,(AK113*'Master Data-C19RM'!$F$2)))))</f>
        <v>0</v>
      </c>
      <c r="AR113" s="460">
        <f>IF($O113="USD",_xlfn.IFNA(VLOOKUP($A113&amp;$E113&amp;$I113,PMsheet!$J:$K,2,0),0),(_xlfn.IFNA(VLOOKUP($A113&amp;$E113&amp;$I113,PMsheet!$J:$K,2,0),0)*'Master Data-C19RM'!$G$2))</f>
        <v>0</v>
      </c>
      <c r="AS113" s="459"/>
      <c r="AT113" s="459"/>
      <c r="AU113" s="459"/>
      <c r="AV113" s="459"/>
      <c r="AW113" s="510">
        <f>SUM('C19RM 2021-Pharma'!$AS113:$AV113)</f>
        <v>0</v>
      </c>
      <c r="AX113" s="511">
        <f>IF(SETUP!$E$7="USD",(AW113*(IF(O113="USD",AR113,(AR113/'Master Data-C19RM'!$G$2)))),(AW113*(IF(O113="EUR",AR113,(AR113*'Master Data-C19RM'!$G$2)))))</f>
        <v>0</v>
      </c>
      <c r="AY113" s="890"/>
      <c r="AZ113" s="891"/>
      <c r="BA113" s="891"/>
      <c r="BB113" s="891"/>
      <c r="BC113" s="891"/>
      <c r="BD113" s="891"/>
      <c r="BE113" s="892"/>
      <c r="BF113" s="834">
        <f>'C19RM 2021-Pharma'!$U113+'C19RM 2021-Pharma'!$AB113+'C19RM 2021-Pharma'!$AP113+'C19RM 2021-Pharma'!$AI113+$AW113+$BD113</f>
        <v>0</v>
      </c>
      <c r="BG113" s="511">
        <f>'C19RM 2021-Pharma'!$V113+'C19RM 2021-Pharma'!$AC113+'C19RM 2021-Pharma'!$AQ113+'C19RM 2021-Pharma'!$AJ113+$AX113+$BE113</f>
        <v>0</v>
      </c>
      <c r="BH113" s="524" t="str" cm="1">
        <f t="array" ref="BH113">IF(A113&lt;&gt;"",IFERROR(INDEX(PMtbl[[WKst]:[Unit of measure*]],MATCH($A$8&amp;$A113&amp;$E113&amp;$I113,INDEX(PMtbl[Sec]&amp;PMtbl[Category]&amp;PMtbl[Each]&amp;PMtbl[Packaging],0,),0),11),""),"")</f>
        <v/>
      </c>
      <c r="BI113" s="821"/>
      <c r="BJ113" s="527" t="str">
        <f>IFERROR(INDEX(SETUP!$C$19:$G$121,MATCH((INDEX(PMtbl[[WKst]:[Unit of measure*]],MATCH($A113&amp;$E113&amp;$I113,INDEX(PMtbl[Category]&amp;PMtbl[Each]&amp;PMtbl[Packaging],0,),0),3)),SETUP!$D$19:$D$121,0),5),"")</f>
        <v/>
      </c>
      <c r="BK113" s="438" t="str" cm="1">
        <f t="array" ref="BK113">IFERROR(IF((INDEX(SETUP!$C$19:$G$121,MATCH((INDEX(PMtbl[[WKst]:[Unit of measure*]],MATCH($A113&amp;$E113&amp;$I113,INDEX(PMtbl[Category]&amp;PMtbl[Each]&amp;PMtbl[Packaging],0,),0),3)),SETUP!$D$19:$D$121,0),4))="Upfront",0,INDEX(SETUP!$C$19:$G$121,MATCH((INDEX(PMtbl[[WKst]:[Unit of measure*]],MATCH($A113&amp;$E113&amp;$I113,INDEX(PMtbl[Category]&amp;PMtbl[Each]&amp;PMtbl[Packaging],0,),0),3)),SETUP!$D$19:$D$121,0),5)),"")</f>
        <v/>
      </c>
      <c r="BL113" s="193" t="str" cm="1">
        <f t="array" ref="BL113">IF(E113&lt;&gt;"",IFERROR(INDEX(PMtbl[[WKst]:[Unit of measure*]],MATCH($A$8&amp;$A113&amp;$E113&amp;$I113,INDEX(PMtbl[Sec]&amp;PMtbl[Category]&amp;PMtbl[Each]&amp;PMtbl[Packaging],0,),0),11),""),"")</f>
        <v/>
      </c>
      <c r="BO113" s="12">
        <f>IF(N113="",0,IF(SETUP!$E$7="USD",((IF(O113="USD",P113,(P113/'Master Data-C19RM'!$C$2)))),((IF(O113="EUR",P113,(P113*'Master Data-C19RM'!$C$2))))))</f>
        <v>0</v>
      </c>
      <c r="BP113" s="12">
        <f>IF(N113="",0,IF(SETUP!$E$7="USD",((IF(O113="USD",W113,(W113/'Master Data-C19RM'!$D$2)))),((IF(O113="EUR",W113,(W113*'Master Data-C19RM'!$D$2))))))</f>
        <v>0</v>
      </c>
      <c r="BQ113">
        <f>IF(N113="",0,IF(SETUP!$E$7="USD",((IF(O113="USD",AD113,(AD113/'Master Data-C19RM'!$E$2)))),((IF(O113="EUR",AD113,(AD113*'Master Data-C19RM'!$E$2))))))</f>
        <v>0</v>
      </c>
      <c r="BR113">
        <f>IF(N113="",0,IF(SETUP!$E$7="USD",((IF(O113="USD",AK113,(AK113/'Master Data-C19RM'!$F$2)))),((IF(O113="EUR",AK113,(AK113*'Master Data-C19RM'!$F$2))))))</f>
        <v>0</v>
      </c>
      <c r="BS113">
        <f>IF(N113="",0,IF(SETUP!$E$7="USD",((IF(O113="USD",AR113,(AR113/'Master Data-C19RM'!$F$2)))),((IF(O113="EUR",AR113,(AR113*'Master Data-C19RM'!$G$2))))))</f>
        <v>0</v>
      </c>
      <c r="BT113">
        <f>IF(N113="",0,IF(SETUP!$E$7="USD",((IF(O113="USD",AY113,(AY113/'Master Data-C19RM'!$F$2)))),((IF(O113="EUR",AY113,(AY113*'Master Data-C19RM'!$H$2))))))</f>
        <v>0</v>
      </c>
      <c r="BU113" s="12">
        <f t="shared" si="3"/>
        <v>0</v>
      </c>
      <c r="BV113" s="142">
        <f t="shared" si="4"/>
        <v>0</v>
      </c>
    </row>
    <row r="114" spans="1:92" ht="16" customHeight="1" x14ac:dyDescent="0.35">
      <c r="A114" s="33"/>
      <c r="B114" s="33"/>
      <c r="C114" s="92"/>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50"/>
      <c r="AJ114" s="51"/>
      <c r="AK114" s="33"/>
      <c r="AL114" s="33"/>
      <c r="AM114" s="33"/>
      <c r="AN114" s="33"/>
      <c r="AO114" s="33"/>
      <c r="AP114" s="50"/>
      <c r="AQ114" s="51"/>
      <c r="BK114" s="12"/>
    </row>
    <row r="115" spans="1:92" ht="22" hidden="1" customHeight="1" thickBot="1" x14ac:dyDescent="0.4">
      <c r="A115" s="1140">
        <v>2</v>
      </c>
      <c r="B115" s="1142" t="s">
        <v>133</v>
      </c>
      <c r="C115" s="1142"/>
      <c r="D115" s="1142"/>
      <c r="E115" s="1134" t="s">
        <v>131</v>
      </c>
      <c r="F115" s="1134"/>
      <c r="G115" s="1135"/>
      <c r="H115" s="1144"/>
      <c r="I115" s="1144"/>
      <c r="J115" s="1144"/>
      <c r="O115" s="1145" t="str">
        <f>CONCATENATE(K7," ",SETUP!E7)</f>
        <v xml:space="preserve">Total Amount in </v>
      </c>
      <c r="P115" s="532" t="s">
        <v>125</v>
      </c>
      <c r="Q115" s="532" t="s">
        <v>126</v>
      </c>
      <c r="R115" s="532" t="s">
        <v>127</v>
      </c>
      <c r="S115" s="532" t="s">
        <v>128</v>
      </c>
      <c r="T115" s="533" t="s">
        <v>129</v>
      </c>
      <c r="U115" s="17"/>
      <c r="V115" s="17"/>
      <c r="W115" s="17"/>
      <c r="X115" s="17"/>
      <c r="Y115" s="17"/>
      <c r="Z115" s="17"/>
      <c r="AA115" s="17"/>
      <c r="AB115" s="17"/>
      <c r="AC115" s="17"/>
      <c r="AD115" s="17"/>
      <c r="AE115" s="17"/>
      <c r="AF115" s="17"/>
      <c r="AG115" s="17"/>
      <c r="AH115" s="17"/>
      <c r="AI115" s="52"/>
      <c r="AJ115" s="43"/>
      <c r="AK115" s="17"/>
      <c r="AL115" s="17"/>
      <c r="AM115" s="17"/>
      <c r="AN115" s="17"/>
      <c r="AO115" s="17"/>
      <c r="AP115" s="52"/>
      <c r="AQ115" s="43"/>
      <c r="BK115" s="12"/>
    </row>
    <row r="116" spans="1:92" ht="35.5" hidden="1" customHeight="1" thickBot="1" x14ac:dyDescent="0.4">
      <c r="A116" s="1141"/>
      <c r="B116" s="1143"/>
      <c r="C116" s="1143"/>
      <c r="D116" s="1143"/>
      <c r="E116" s="1182"/>
      <c r="F116" s="1182"/>
      <c r="G116" s="1183"/>
      <c r="H116" s="1144"/>
      <c r="I116" s="1144"/>
      <c r="J116" s="1144"/>
      <c r="O116" s="1146"/>
      <c r="P116" s="534">
        <f>SUM(V121:V170)</f>
        <v>0</v>
      </c>
      <c r="Q116" s="534">
        <f>SUM(AC121:AC170)</f>
        <v>0</v>
      </c>
      <c r="R116" s="534">
        <f>SUM(AJ121:AJ170)</f>
        <v>0</v>
      </c>
      <c r="S116" s="534">
        <f>SUM(AQ121:AQ170)</f>
        <v>0</v>
      </c>
      <c r="T116" s="535">
        <f>SUM(P116:S116)</f>
        <v>0</v>
      </c>
      <c r="U116" s="17"/>
      <c r="V116" s="17"/>
      <c r="W116" s="17"/>
      <c r="X116" s="17"/>
      <c r="Y116" s="17"/>
      <c r="Z116" s="17"/>
      <c r="AA116" s="17"/>
      <c r="AB116" s="17"/>
      <c r="AC116" s="17"/>
      <c r="AD116" s="17"/>
      <c r="AE116" s="17"/>
      <c r="AF116" s="17"/>
      <c r="AG116" s="17"/>
      <c r="AH116" s="17"/>
      <c r="AI116" s="52"/>
      <c r="AJ116" s="43"/>
      <c r="AK116" s="17"/>
      <c r="AL116" s="17"/>
      <c r="AM116" s="17"/>
      <c r="AN116" s="17"/>
      <c r="AO116" s="17"/>
      <c r="AP116" s="52"/>
      <c r="AQ116" s="43"/>
      <c r="BK116" s="12"/>
    </row>
    <row r="117" spans="1:92" ht="228" hidden="1" customHeight="1" thickBot="1" x14ac:dyDescent="0.4">
      <c r="A117" s="1147" t="str">
        <f>IF($L$1=2,Language!$E$147,IF($L$1=3,Language!$F$147,Language!$G$147))</f>
        <v>1. Column A: Select the Product Category from the drop-down menu
2. Column E: Select the Product name (INN) and Strength from the drop-down menu
3. Column I: Select the Specification from the drop-down menu; for Specifications which state "enter specifications manually", please use the "Comments" column AU to provide this information
4. Column N: Once the full product information has been entered (steps 1-3, above), if a reference price is available, it will automatically populate in Column N and in columns P, W, AD, AK. The Reference Price displayed will be in the grant currency selected in the SETUP worksheet.
5. Column O: The currency displayed in this column is defaulted to the grant currency selected in the SETUP worksheet. If the PR / Implementer needs to use a unit cost in an alternative currency (USD / EUR), please select the relevant currency for each product using the drop-down menu avaialble in this column.
6. Columns P, W, AD, AK: In case a reference price did not automatically populate (step 4, above) for the product selected, or in case the reference price is inaccurate for this PR / Implementer, insert the unit cost per product. The unit cost should be in the grant currency (USD or EUR). If the PR / Implementer needs to use a unit cost in an alternative currency (USD / EUR), follow step 5.
7. If a reference price was available (setp 4) and you have changed the unit cost to "more than or less than 30% of the reference price", the cell will display in red. Please double check that the unit cost is aligned with the product specifications selected. If everything is correct, you can proceed; the red color will not result in errors in the file.
8. Columns Q, R, S, T, X, Y, Z, AA, AE, AF, AG, AH, AL, AM, AN, AO: Insert the quantity per product that will be procured in the relevant quarter in which the order will be confirmed/placed with manufacturers
9. Column AU is optional and should be used if you have any relevant comments to communicate to the Country Team/LFA</v>
      </c>
      <c r="B117" s="1148"/>
      <c r="C117" s="1148"/>
      <c r="D117" s="1148"/>
      <c r="E117" s="1148"/>
      <c r="F117" s="1148"/>
      <c r="G117" s="1148"/>
      <c r="H117" s="1148"/>
      <c r="I117" s="1148"/>
      <c r="J117" s="1148"/>
      <c r="K117" s="1148"/>
      <c r="L117" s="1148"/>
      <c r="M117" s="1148"/>
      <c r="N117" s="1148"/>
      <c r="O117" s="1149"/>
      <c r="P117" s="25"/>
      <c r="Q117" s="25"/>
      <c r="R117" s="25"/>
      <c r="S117" s="25"/>
      <c r="T117" s="25"/>
      <c r="U117" s="25"/>
      <c r="V117" s="25"/>
      <c r="W117" s="25"/>
      <c r="X117" s="25"/>
      <c r="Y117" s="25"/>
      <c r="Z117" s="25"/>
      <c r="AA117" s="25"/>
      <c r="AB117" s="25"/>
      <c r="AC117" s="25"/>
      <c r="AD117" s="25"/>
      <c r="AE117" s="25"/>
      <c r="AF117" s="25"/>
      <c r="AG117" s="26"/>
      <c r="AH117" s="26"/>
      <c r="AI117" s="150"/>
      <c r="AJ117" s="26"/>
      <c r="AK117" s="25"/>
      <c r="AL117" s="25"/>
      <c r="AM117" s="25"/>
      <c r="AN117" s="26"/>
      <c r="AO117" s="26"/>
      <c r="AP117" s="150"/>
      <c r="AQ117" s="26"/>
      <c r="BK117" s="12"/>
    </row>
    <row r="118" spans="1:92" ht="16" hidden="1" customHeight="1" thickBot="1" x14ac:dyDescent="0.4">
      <c r="A118" s="21"/>
      <c r="B118" s="22"/>
      <c r="C118" s="62"/>
      <c r="D118" s="23"/>
      <c r="E118" s="23"/>
      <c r="F118" s="15"/>
      <c r="G118" s="15"/>
      <c r="H118" s="15"/>
      <c r="I118" s="15"/>
      <c r="J118" s="15"/>
      <c r="K118" s="15"/>
      <c r="L118" s="24"/>
      <c r="M118" s="24"/>
      <c r="N118" s="24"/>
      <c r="O118" s="16"/>
      <c r="P118" s="434" t="s">
        <v>130</v>
      </c>
      <c r="Q118" s="435" t="str">
        <f>Q11</f>
        <v>Jan21 - Mar21</v>
      </c>
      <c r="R118" s="435" t="str">
        <f>R11</f>
        <v>Apr21 - Jun21</v>
      </c>
      <c r="S118" s="435" t="str">
        <f>S11</f>
        <v>Jul21 - Sep21</v>
      </c>
      <c r="T118" s="436" t="str">
        <f>T11</f>
        <v>Oct21 - Dec21</v>
      </c>
      <c r="U118" s="446"/>
      <c r="V118" s="447"/>
      <c r="W118" s="434" t="s">
        <v>130</v>
      </c>
      <c r="X118" s="435" t="str">
        <f>X11</f>
        <v>Jan22 - Mar22</v>
      </c>
      <c r="Y118" s="435" t="str">
        <f>Y11</f>
        <v>Apr22 - Jun22</v>
      </c>
      <c r="Z118" s="435" t="str">
        <f>Z11</f>
        <v>Jul22 - Sep22</v>
      </c>
      <c r="AA118" s="436" t="str">
        <f>AA11</f>
        <v>Oct22 - Dec22</v>
      </c>
      <c r="AB118" s="446"/>
      <c r="AC118" s="447"/>
      <c r="AD118" s="433" t="s">
        <v>130</v>
      </c>
      <c r="AE118" s="816" t="str">
        <f>AE11</f>
        <v>Jan23 - Mar23</v>
      </c>
      <c r="AF118" s="816" t="str">
        <f>AF11</f>
        <v>Apr23 - Jun23</v>
      </c>
      <c r="AG118" s="816" t="str">
        <f>AG11</f>
        <v>Jul23 - Sep23</v>
      </c>
      <c r="AH118" s="817" t="str">
        <f>AH11</f>
        <v>Oct23 - Dec23</v>
      </c>
      <c r="AI118" s="446"/>
      <c r="AJ118" s="447"/>
      <c r="AK118" s="434" t="s">
        <v>130</v>
      </c>
      <c r="AL118" s="435" t="str">
        <f>AL11</f>
        <v>Jan24 - Mar24</v>
      </c>
      <c r="AM118" s="435" t="str">
        <f>AM11</f>
        <v>Apr24 - Jun24</v>
      </c>
      <c r="AN118" s="435" t="str">
        <f>AN11</f>
        <v>Jul24 - Sep24</v>
      </c>
      <c r="AO118" s="436" t="str">
        <f>AO11</f>
        <v>Oct24 - Dec24</v>
      </c>
      <c r="AP118" s="446"/>
      <c r="AQ118" s="447"/>
      <c r="AR118" s="447"/>
      <c r="AS118" s="447"/>
      <c r="AT118" s="447"/>
      <c r="AU118" s="447"/>
      <c r="AV118" s="447"/>
      <c r="AW118" s="447"/>
      <c r="AX118" s="447"/>
      <c r="AY118" s="447"/>
      <c r="AZ118" s="447"/>
      <c r="BA118" s="447"/>
      <c r="BB118" s="447"/>
      <c r="BC118" s="447"/>
      <c r="BD118" s="447"/>
      <c r="BE118" s="447"/>
      <c r="BF118" s="455"/>
      <c r="BG118" s="455"/>
      <c r="BH118" s="448"/>
      <c r="BI118" s="448"/>
      <c r="BJ118" s="448"/>
    </row>
    <row r="119" spans="1:92" s="44" customFormat="1" ht="15.75" hidden="1" customHeight="1" thickBot="1" x14ac:dyDescent="0.4">
      <c r="A119" s="1150" t="str">
        <f>A12</f>
        <v>Item Category</v>
      </c>
      <c r="B119" s="1151"/>
      <c r="C119" s="1151"/>
      <c r="D119" s="1152"/>
      <c r="E119" s="1150" t="str">
        <f>E12</f>
        <v>INN + Strength</v>
      </c>
      <c r="F119" s="1151"/>
      <c r="G119" s="1151"/>
      <c r="H119" s="1152"/>
      <c r="I119" s="1156" t="str">
        <f>I12</f>
        <v>Specification</v>
      </c>
      <c r="J119" s="1157"/>
      <c r="K119" s="1158"/>
      <c r="L119" s="1156" t="str">
        <f>L12</f>
        <v>Unit of measure</v>
      </c>
      <c r="M119" s="1157" t="str">
        <f>M12</f>
        <v>Procurement Channel</v>
      </c>
      <c r="N119" s="1157" t="str">
        <f>N12</f>
        <v>Reference Price (In Payment Currency)</v>
      </c>
      <c r="O119" s="1158" t="str">
        <f>O12</f>
        <v>Payment Currency</v>
      </c>
      <c r="P119" s="1167" t="str">
        <f>P12</f>
        <v>2021</v>
      </c>
      <c r="Q119" s="1168"/>
      <c r="R119" s="1168"/>
      <c r="S119" s="1168"/>
      <c r="T119" s="1168"/>
      <c r="U119" s="1168"/>
      <c r="V119" s="1169"/>
      <c r="W119" s="1167" t="str">
        <f>W12</f>
        <v>2022</v>
      </c>
      <c r="X119" s="1168"/>
      <c r="Y119" s="1168"/>
      <c r="Z119" s="1168"/>
      <c r="AA119" s="1168"/>
      <c r="AB119" s="1168"/>
      <c r="AC119" s="1169"/>
      <c r="AD119" s="1168" t="str">
        <f>AD12</f>
        <v>2023</v>
      </c>
      <c r="AE119" s="1168"/>
      <c r="AF119" s="1168"/>
      <c r="AG119" s="1168"/>
      <c r="AH119" s="1168"/>
      <c r="AI119" s="1168"/>
      <c r="AJ119" s="1169"/>
      <c r="AK119" s="1167" t="str">
        <f>AK12</f>
        <v>2024</v>
      </c>
      <c r="AL119" s="1168"/>
      <c r="AM119" s="1168"/>
      <c r="AN119" s="1168"/>
      <c r="AO119" s="1168"/>
      <c r="AP119" s="1168"/>
      <c r="AQ119" s="1169"/>
      <c r="AR119" s="1167" t="str">
        <f>AR12</f>
        <v>2025</v>
      </c>
      <c r="AS119" s="1168"/>
      <c r="AT119" s="1168"/>
      <c r="AU119" s="1168"/>
      <c r="AV119" s="1168"/>
      <c r="AW119" s="1168"/>
      <c r="AX119" s="1169"/>
      <c r="AY119" s="1167" t="str">
        <f>AY12</f>
        <v/>
      </c>
      <c r="AZ119" s="1168"/>
      <c r="BA119" s="1168"/>
      <c r="BB119" s="1168"/>
      <c r="BC119" s="1168"/>
      <c r="BD119" s="1168"/>
      <c r="BE119" s="1169"/>
      <c r="BF119" s="1190" t="str">
        <f>BF12</f>
        <v>Total grant period</v>
      </c>
      <c r="BG119" s="1191"/>
      <c r="BH119" s="1174" t="str">
        <f>BH12</f>
        <v>Cost Input</v>
      </c>
      <c r="BI119" s="1184" t="str">
        <f>BI12</f>
        <v>Comments</v>
      </c>
      <c r="BJ119" s="1186" t="str">
        <f>BJ12</f>
        <v>Delivery Lead Time</v>
      </c>
      <c r="BK119" s="1188" t="e">
        <f>BK12</f>
        <v>#N/A</v>
      </c>
      <c r="BL119" s="156" t="e">
        <f>BL12</f>
        <v>#N/A</v>
      </c>
      <c r="BO119"/>
      <c r="BP119"/>
      <c r="BQ119"/>
      <c r="BR119"/>
      <c r="BS119"/>
      <c r="BT119"/>
      <c r="BV119"/>
      <c r="BW119"/>
      <c r="BX119"/>
      <c r="BY119"/>
      <c r="BZ119"/>
      <c r="CA119"/>
      <c r="CB119"/>
      <c r="CC119"/>
      <c r="CD119"/>
      <c r="CE119"/>
      <c r="CF119"/>
      <c r="CG119"/>
      <c r="CH119"/>
      <c r="CI119"/>
      <c r="CJ119"/>
      <c r="CK119"/>
      <c r="CL119"/>
      <c r="CM119"/>
      <c r="CN119"/>
    </row>
    <row r="120" spans="1:92" s="47" customFormat="1" ht="43.5" hidden="1" customHeight="1" thickBot="1" x14ac:dyDescent="0.4">
      <c r="A120" s="1153"/>
      <c r="B120" s="1154"/>
      <c r="C120" s="1154"/>
      <c r="D120" s="1155"/>
      <c r="E120" s="1153"/>
      <c r="F120" s="1154"/>
      <c r="G120" s="1154"/>
      <c r="H120" s="1155"/>
      <c r="I120" s="1159"/>
      <c r="J120" s="1160"/>
      <c r="K120" s="1161"/>
      <c r="L120" s="1159"/>
      <c r="M120" s="1160"/>
      <c r="N120" s="1160"/>
      <c r="O120" s="1161"/>
      <c r="P120" s="449" t="str">
        <f t="shared" ref="P120:AP120" si="5">P13</f>
        <v>Y1 Unit cost</v>
      </c>
      <c r="Q120" s="450" t="str">
        <f t="shared" si="5"/>
        <v>Y1 Q1 quantity</v>
      </c>
      <c r="R120" s="450" t="str">
        <f t="shared" si="5"/>
        <v>Y1 Q2 quantity</v>
      </c>
      <c r="S120" s="450" t="str">
        <f t="shared" si="5"/>
        <v>Y1 Q3 quantity</v>
      </c>
      <c r="T120" s="450" t="str">
        <f t="shared" si="5"/>
        <v>Y1 Q4 quantity</v>
      </c>
      <c r="U120" s="450" t="str">
        <f t="shared" si="5"/>
        <v>Y1 Total quantity</v>
      </c>
      <c r="V120" s="451" t="str">
        <f t="shared" si="5"/>
        <v>Y1 Total cost (In Grant Currency -)</v>
      </c>
      <c r="W120" s="449" t="str">
        <f t="shared" si="5"/>
        <v>Y2 Unit cost</v>
      </c>
      <c r="X120" s="450" t="str">
        <f t="shared" si="5"/>
        <v>Y2 Q1 quantity</v>
      </c>
      <c r="Y120" s="450" t="str">
        <f t="shared" si="5"/>
        <v>Y2 Q2 quantity</v>
      </c>
      <c r="Z120" s="450" t="str">
        <f t="shared" si="5"/>
        <v>Y2 Q3 quantity</v>
      </c>
      <c r="AA120" s="450" t="str">
        <f t="shared" si="5"/>
        <v>Y2 Q4 quantity</v>
      </c>
      <c r="AB120" s="450" t="str">
        <f t="shared" si="5"/>
        <v>Y2 Total quantity</v>
      </c>
      <c r="AC120" s="451" t="str">
        <f t="shared" si="5"/>
        <v>Y2 Total cost (In Grant Currency -)</v>
      </c>
      <c r="AD120" s="450" t="str">
        <f t="shared" si="5"/>
        <v>Y3 Unit cost</v>
      </c>
      <c r="AE120" s="450" t="str">
        <f t="shared" si="5"/>
        <v>Y3 Q1 quantity</v>
      </c>
      <c r="AF120" s="450" t="str">
        <f t="shared" si="5"/>
        <v>Y3 Q2 quantity</v>
      </c>
      <c r="AG120" s="450" t="str">
        <f t="shared" si="5"/>
        <v>Y3 Q3 quantity</v>
      </c>
      <c r="AH120" s="450" t="str">
        <f t="shared" si="5"/>
        <v>Y3 Q4 quantity</v>
      </c>
      <c r="AI120" s="450" t="str">
        <f t="shared" si="5"/>
        <v>Y3 Total quantity</v>
      </c>
      <c r="AJ120" s="451" t="str">
        <f>AJ13</f>
        <v>Y3 Total cost (In Grant Currency -)</v>
      </c>
      <c r="AK120" s="449" t="str">
        <f t="shared" si="5"/>
        <v>Y4 Unit cost</v>
      </c>
      <c r="AL120" s="450" t="str">
        <f t="shared" si="5"/>
        <v>Y4 Q1 quantity</v>
      </c>
      <c r="AM120" s="450" t="str">
        <f t="shared" si="5"/>
        <v>Y4 Q2 quantity</v>
      </c>
      <c r="AN120" s="450" t="str">
        <f t="shared" si="5"/>
        <v>Y4 Q3 quantity</v>
      </c>
      <c r="AO120" s="450" t="str">
        <f t="shared" si="5"/>
        <v>Y4 Q4 quantity</v>
      </c>
      <c r="AP120" s="450" t="str">
        <f t="shared" si="5"/>
        <v>Y4 Total quantity</v>
      </c>
      <c r="AQ120" s="451" t="str">
        <f>AQ13</f>
        <v>Y4 Total cost (In Grant Currency -)</v>
      </c>
      <c r="AR120" s="449" t="str">
        <f>AR13</f>
        <v>Y5 Unit cost</v>
      </c>
      <c r="AS120" s="450" t="str">
        <f t="shared" ref="AS120:BE120" si="6">AS13</f>
        <v>Y5 Q1 quantity</v>
      </c>
      <c r="AT120" s="450" t="str">
        <f t="shared" si="6"/>
        <v>Y5 Q2 quantity</v>
      </c>
      <c r="AU120" s="450" t="str">
        <f t="shared" si="6"/>
        <v>Y5 Q3 quantity</v>
      </c>
      <c r="AV120" s="450" t="str">
        <f t="shared" si="6"/>
        <v>Y5 Q4 quantity</v>
      </c>
      <c r="AW120" s="450" t="str">
        <f t="shared" si="6"/>
        <v>Y5 Total quantity</v>
      </c>
      <c r="AX120" s="451" t="str">
        <f t="shared" si="6"/>
        <v>Y5 Total cost (In Grant Currency -)</v>
      </c>
      <c r="AY120" s="451" t="str">
        <f t="shared" si="6"/>
        <v>Y6 Unit cost</v>
      </c>
      <c r="AZ120" s="450" t="str">
        <f t="shared" si="6"/>
        <v>Y6 Q1 quantity</v>
      </c>
      <c r="BA120" s="450" t="str">
        <f t="shared" si="6"/>
        <v>Y6 Q2 quantity</v>
      </c>
      <c r="BB120" s="450" t="str">
        <f t="shared" si="6"/>
        <v>Y6 Q3 quantity</v>
      </c>
      <c r="BC120" s="450" t="str">
        <f t="shared" si="6"/>
        <v>Y6 Q4 quantity</v>
      </c>
      <c r="BD120" s="450" t="str">
        <f t="shared" si="6"/>
        <v>Y6 Total quantity</v>
      </c>
      <c r="BE120" s="450" t="str">
        <f t="shared" si="6"/>
        <v>Y6 Total cost (In Grant Currency -)</v>
      </c>
      <c r="BF120" s="461" t="str">
        <f>BF13</f>
        <v>Total quantity</v>
      </c>
      <c r="BG120" s="451" t="str">
        <f>BG13</f>
        <v>Total cost (In Grant Currency -)</v>
      </c>
      <c r="BH120" s="1175"/>
      <c r="BI120" s="1185"/>
      <c r="BJ120" s="1187"/>
      <c r="BK120" s="1188"/>
      <c r="BL120" s="156" t="str">
        <f>BL13</f>
        <v>Cost Input</v>
      </c>
      <c r="BO120" s="360"/>
      <c r="BP120" s="360"/>
      <c r="BQ120" s="360"/>
      <c r="BR120" s="360"/>
      <c r="BS120" s="360"/>
      <c r="BT120" s="360"/>
      <c r="BV120"/>
      <c r="BW120"/>
      <c r="BX120"/>
      <c r="BY120"/>
      <c r="BZ120"/>
      <c r="CA120"/>
      <c r="CB120"/>
      <c r="CC120"/>
      <c r="CD120"/>
      <c r="CE120"/>
      <c r="CF120"/>
      <c r="CG120"/>
      <c r="CH120"/>
      <c r="CI120"/>
      <c r="CJ120"/>
      <c r="CK120"/>
      <c r="CL120"/>
      <c r="CM120"/>
      <c r="CN120"/>
    </row>
    <row r="121" spans="1:92" hidden="1" x14ac:dyDescent="0.35">
      <c r="A121" s="1178"/>
      <c r="B121" s="1178"/>
      <c r="C121" s="1178"/>
      <c r="D121" s="1178"/>
      <c r="E121" s="1179"/>
      <c r="F121" s="1179"/>
      <c r="G121" s="1179"/>
      <c r="H121" s="1179"/>
      <c r="I121" s="1189"/>
      <c r="J121" s="1189"/>
      <c r="K121" s="1189"/>
      <c r="L121" s="487" t="str" cm="1">
        <f t="array" ref="L121">IF(A121&lt;&gt;"",IFERROR(INDEX(PMtbl[[WKst]:[Unit of measure*]],MATCH($A$115&amp;$A121&amp;$E121&amp;$I121,INDEX(PMtbl[Sec]&amp;PMtbl[Category]&amp;PMtbl[Each]&amp;PMtbl[Packaging],0,),0),14),""),"")</f>
        <v/>
      </c>
      <c r="M121" s="478" t="str">
        <f>IF(L121="","",INDEX(SETUP!$E$20:$E$122,(MATCH(INDEX(PMsheet!$D:$E,MATCH(A121,PMsheet!E:E,0),1),SETUP!$D$20:$D$122,0))))</f>
        <v/>
      </c>
      <c r="N121" s="488">
        <f>IF($O121="USD",_xlfn.IFNA(VLOOKUP(A121&amp;E121&amp;I121,PMsheet!J:K,2,0),0),(_xlfn.IFNA(VLOOKUP(A121&amp;E121&amp;I121,PMsheet!J:K,2,0),0)*'Master Data-C19RM'!$C$2))</f>
        <v>0</v>
      </c>
      <c r="O121" s="489" t="str">
        <f>IF(L121="", "",SETUP!$E$7)</f>
        <v/>
      </c>
      <c r="P121" s="442">
        <f>IF($O121="USD",_xlfn.IFNA(VLOOKUP($A121&amp;$E121&amp;$I121,PMsheet!$J:$K,2,0),0),(_xlfn.IFNA(VLOOKUP($A121&amp;$E121&amp;$I121,PMsheet!$J:$K,2,0),0)*'Master Data'!$C$2))</f>
        <v>0</v>
      </c>
      <c r="Q121" s="443"/>
      <c r="R121" s="443"/>
      <c r="S121" s="443"/>
      <c r="T121" s="443"/>
      <c r="U121" s="497">
        <f>SUM('C19RM 2021-Pharma'!$Q121:$T121)</f>
        <v>0</v>
      </c>
      <c r="V121" s="498">
        <f>IF(SETUP!$E$7="USD",(U121*(IF(O121="USD",P121,(P121/'Master Data'!$C$2)))),(U121*(IF(O121="EUR",P121,(P121*'Master Data'!$C$2)))))</f>
        <v>0</v>
      </c>
      <c r="W121" s="442">
        <f>IF($O121="USD",_xlfn.IFNA(VLOOKUP($A121&amp;$E121&amp;$I121,PMsheet!$J:$K,2,0),0),(_xlfn.IFNA(VLOOKUP($A121&amp;$E121&amp;$I121,PMsheet!$J:$K,2,0),0)*'Master Data'!$D$2))</f>
        <v>0</v>
      </c>
      <c r="X121" s="443"/>
      <c r="Y121" s="443"/>
      <c r="Z121" s="443"/>
      <c r="AA121" s="443"/>
      <c r="AB121" s="497">
        <f>SUM('C19RM 2021-Pharma'!$X121:$AA121)</f>
        <v>0</v>
      </c>
      <c r="AC121" s="498">
        <f>IF(SETUP!$E$7="USD",(AB121*(IF(O121="USD",W121,(W121/'Master Data'!$D$2)))),(AB121*(IF(O121="EUR",W121,(W121*'Master Data'!$D$2)))))</f>
        <v>0</v>
      </c>
      <c r="AD121" s="442">
        <f>IF($O121="USD",_xlfn.IFNA(VLOOKUP($A121&amp;$E121&amp;$I121,PMsheet!$J:$K,2,0),0),(_xlfn.IFNA(VLOOKUP($A121&amp;$E121&amp;$I121,PMsheet!$J:$K,2,0),0)*'Master Data'!$E$2))</f>
        <v>0</v>
      </c>
      <c r="AE121" s="443"/>
      <c r="AF121" s="443"/>
      <c r="AG121" s="443"/>
      <c r="AH121" s="443"/>
      <c r="AI121" s="497">
        <f>SUM('C19RM 2021-Pharma'!$AE121:$AH121)</f>
        <v>0</v>
      </c>
      <c r="AJ121" s="498">
        <f>IF(SETUP!$E$7="USD",(AI121*(IF(O121="USD",AD121,(AD121/'Master Data'!$E$2)))),(AI121*(IF(O121="EUR",AD121,(AD121*'Master Data'!$E$2)))))</f>
        <v>0</v>
      </c>
      <c r="AK121" s="442">
        <f>IF($O121="USD",_xlfn.IFNA(VLOOKUP($A121&amp;$E121&amp;$I121,PMsheet!$J:$K,2,0),0),(_xlfn.IFNA(VLOOKUP($A121&amp;$E121&amp;$I121,PMsheet!$J:$K,2,0),0)*'Master Data'!$F$2))</f>
        <v>0</v>
      </c>
      <c r="AL121" s="443"/>
      <c r="AM121" s="443"/>
      <c r="AN121" s="443"/>
      <c r="AO121" s="443"/>
      <c r="AP121" s="497">
        <f>SUM('C19RM 2021-Pharma'!$AL121:$AO121)</f>
        <v>0</v>
      </c>
      <c r="AQ121" s="498">
        <f>IF(SETUP!$E$7="USD",(AP121*(IF(O121="USD",AK121,(AK121/'Master Data'!$F$2)))),(AP121*(IF(O121="EUR",AK121,(AK121*'Master Data'!$F$2)))))</f>
        <v>0</v>
      </c>
      <c r="AR121" s="518"/>
      <c r="AS121" s="497"/>
      <c r="AT121" s="497"/>
      <c r="AU121" s="497"/>
      <c r="AV121" s="497"/>
      <c r="AW121" s="497"/>
      <c r="AX121" s="498"/>
      <c r="AY121" s="497"/>
      <c r="AZ121" s="497"/>
      <c r="BA121" s="497"/>
      <c r="BB121" s="497"/>
      <c r="BC121" s="497"/>
      <c r="BD121" s="497"/>
      <c r="BE121" s="497"/>
      <c r="BF121" s="518">
        <f>'C19RM 2021-Pharma'!$U121+'C19RM 2021-Pharma'!$AB121+'C19RM 2021-Pharma'!$AP121++'C19RM 2021-Pharma'!$AI121</f>
        <v>0</v>
      </c>
      <c r="BG121" s="498">
        <f>'C19RM 2021-Pharma'!$V121+'C19RM 2021-Pharma'!$AC121+'C19RM 2021-Pharma'!$AQ121+'C19RM 2021-Pharma'!$AJ121</f>
        <v>0</v>
      </c>
      <c r="BH121" s="519" t="str" cm="1">
        <f t="array" ref="BH121">IF(A121&lt;&gt;"",IFERROR(INDEX(PMtbl[[WKst]:[Unit of measure*]],MATCH($A$115&amp;$A121&amp;$E121&amp;$I121,INDEX(PMtbl[Sec]&amp;PMtbl[Category]&amp;PMtbl[Each]&amp;PMtbl[Packaging],0,),0),12),""),"")</f>
        <v/>
      </c>
      <c r="BI121" s="820"/>
      <c r="BJ121" s="525" t="str" cm="1">
        <f t="array" ref="BJ121">IFERROR(INDEX(SETUP!$C$19:$G$121,MATCH((INDEX(PMtbl[[WKst]:[Unit of measure*]],MATCH($A121&amp;$E121&amp;$I121,INDEX(PMtbl[Category]&amp;PMtbl[Each]&amp;PMtbl[Packaging],0,),0),3)),SETUP!$D$19:$D$121,0),5),"")</f>
        <v/>
      </c>
      <c r="BK121" s="437" t="str" cm="1">
        <f t="array" ref="BK121">IFERROR(IF((INDEX(SETUP!$C$19:$G$121,MATCH((INDEX(PMtbl[[WKst]:[Unit of measure*]],MATCH($A121&amp;$E121&amp;$I121,INDEX(PMtbl[Category]&amp;PMtbl[Each]&amp;PMtbl[Packaging],0,),0),3)),SETUP!$D$19:$D$121,0),4))="Upfront",0,INDEX(SETUP!$C$19:$G$121,MATCH((INDEX(PMtbl[[WKst]:[Unit of measure*]],MATCH($A121&amp;$E121&amp;$I121,INDEX(PMtbl[Category]&amp;PMtbl[Each]&amp;PMtbl[Packaging],0,),0),3)),SETUP!$D$19:$D$121,0),5)),"")</f>
        <v/>
      </c>
      <c r="BL121" s="195" t="str" cm="1">
        <f t="array" ref="BL121">IF(E121&lt;&gt;"",IFERROR(INDEX(PMtbl[[WKst]:[Unit of measure*]],MATCH($A$115&amp;$A121&amp;$E121&amp;$I121,INDEX(PMtbl[Sec]&amp;PMtbl[Category]&amp;PMtbl[Each]&amp;PMtbl[Packaging],0,),0),11),""),"")</f>
        <v/>
      </c>
      <c r="BO121" s="12">
        <f>IF(N121="",0,IF(SETUP!$E$7="USD",((IF(O121="USD",P121,(P121/'Master Data-C19RM'!$C$2)))),((IF(O121="EUR",P121,(P121*'Master Data-C19RM'!$C$2))))))</f>
        <v>0</v>
      </c>
      <c r="BP121" s="12">
        <f>IF(N121="",0,IF(SETUP!$E$7="USD",((IF(O121="USD",W121,(W121/'Master Data-C19RM'!$D$2)))),((IF(O121="EUR",W121,(W121*'Master Data-C19RM'!$D$2))))))</f>
        <v>0</v>
      </c>
      <c r="BQ121">
        <f>IF(N121="",0,IF(SETUP!$E$7="USD",((IF(O121="USD",AD121,(AD121/'Master Data-C19RM'!$E$2)))),((IF(O121="EUR",AD121,(AD121*'Master Data-C19RM'!$E$2))))))</f>
        <v>0</v>
      </c>
      <c r="BR121">
        <f>IF(N121="",0,IF(SETUP!$E$7="USD",((IF(O121="USD",AK121,(AK121/'Master Data-C19RM'!$F$2)))),((IF(O121="EUR",AK121,(AK121*'Master Data-C19RM'!$F$2))))))</f>
        <v>0</v>
      </c>
      <c r="BU121" s="12">
        <f t="shared" ref="BU121:BU170" si="7">IF(AND(L121="",(COUNTBLANK(A121:K121)=8)),1,0)</f>
        <v>0</v>
      </c>
      <c r="BV121" s="142">
        <f t="shared" ref="BV121:BV170" si="8">BF121</f>
        <v>0</v>
      </c>
    </row>
    <row r="122" spans="1:92" hidden="1" x14ac:dyDescent="0.35">
      <c r="A122" s="1165"/>
      <c r="B122" s="1165"/>
      <c r="C122" s="1165"/>
      <c r="D122" s="1165"/>
      <c r="E122" s="1166"/>
      <c r="F122" s="1166"/>
      <c r="G122" s="1166"/>
      <c r="H122" s="1166"/>
      <c r="I122" s="1166"/>
      <c r="J122" s="1166"/>
      <c r="K122" s="1166"/>
      <c r="L122" s="490" t="str" cm="1">
        <f t="array" ref="L122">IF(A122&lt;&gt;"",IFERROR(INDEX(PMtbl[[WKst]:[Unit of measure*]],MATCH($A$115&amp;$A122&amp;$E122&amp;$I122,INDEX(PMtbl[Sec]&amp;PMtbl[Category]&amp;PMtbl[Each]&amp;PMtbl[Packaging],0,),0),14),""),"")</f>
        <v/>
      </c>
      <c r="M122" s="479" t="str">
        <f>IF(L122="","",INDEX(SETUP!$E$20:$E$122,(MATCH(INDEX(PMsheet!$D:$E,MATCH(A122,PMsheet!E:E,0),1),SETUP!$D$20:$D$122,0))))</f>
        <v/>
      </c>
      <c r="N122" s="496">
        <f>IF($O122="USD",_xlfn.IFNA(VLOOKUP(A122&amp;E122&amp;I122,PMsheet!J:K,2,0),0),(_xlfn.IFNA(VLOOKUP(A122&amp;E122&amp;I122,PMsheet!J:K,2,0),0)*'Master Data-C19RM'!$C$2))</f>
        <v>0</v>
      </c>
      <c r="O122" s="492" t="str">
        <f>IF(L122="", "",SETUP!$E$7)</f>
        <v/>
      </c>
      <c r="P122" s="456">
        <f>IF($O122="USD",_xlfn.IFNA(VLOOKUP($A122&amp;$E122&amp;$I122,PMsheet!$J:$K,2,0),0),(_xlfn.IFNA(VLOOKUP($A122&amp;$E122&amp;$I122,PMsheet!$J:$K,2,0),0)*'Master Data'!$C$2))</f>
        <v>0</v>
      </c>
      <c r="Q122" s="441"/>
      <c r="R122" s="441"/>
      <c r="S122" s="441"/>
      <c r="T122" s="441"/>
      <c r="U122" s="481">
        <f>SUM('C19RM 2021-Pharma'!$Q122:$T122)</f>
        <v>0</v>
      </c>
      <c r="V122" s="483">
        <f>IF(SETUP!$E$7="USD",(U122*(IF(O122="USD",P122,(P122/'Master Data'!$C$2)))),(U122*(IF(O122="EUR",P122,(P122*'Master Data'!$C$2)))))</f>
        <v>0</v>
      </c>
      <c r="W122" s="444">
        <f>IF($O122="USD",_xlfn.IFNA(VLOOKUP($A122&amp;$E122&amp;$I122,PMsheet!$J:$K,2,0),0),(_xlfn.IFNA(VLOOKUP($A122&amp;$E122&amp;$I122,PMsheet!$J:$K,2,0),0)*'Master Data'!$D$2))</f>
        <v>0</v>
      </c>
      <c r="X122" s="441"/>
      <c r="Y122" s="441"/>
      <c r="Z122" s="441"/>
      <c r="AA122" s="441"/>
      <c r="AB122" s="481">
        <f>SUM('C19RM 2021-Pharma'!$X122:$AA122)</f>
        <v>0</v>
      </c>
      <c r="AC122" s="483">
        <f>IF(SETUP!$E$7="USD",(AB122*(IF(O122="USD",W122,(W122/'Master Data'!$D$2)))),(AB122*(IF(O122="EUR",W122,(W122*'Master Data'!$D$2)))))</f>
        <v>0</v>
      </c>
      <c r="AD122" s="444">
        <f>IF($O122="USD",_xlfn.IFNA(VLOOKUP($A122&amp;$E122&amp;$I122,PMsheet!$J:$K,2,0),0),(_xlfn.IFNA(VLOOKUP($A122&amp;$E122&amp;$I122,PMsheet!$J:$K,2,0),0)*'Master Data'!$E$2))</f>
        <v>0</v>
      </c>
      <c r="AE122" s="441"/>
      <c r="AF122" s="441"/>
      <c r="AG122" s="441"/>
      <c r="AH122" s="441"/>
      <c r="AI122" s="481">
        <f>SUM('C19RM 2021-Pharma'!$AE122:$AH122)</f>
        <v>0</v>
      </c>
      <c r="AJ122" s="483">
        <f>IF(SETUP!$E$7="USD",(AI122*(IF(O122="USD",AD122,(AD122/'Master Data'!$E$2)))),(AI122*(IF(O122="EUR",AD122,(AD122*'Master Data'!$E$2)))))</f>
        <v>0</v>
      </c>
      <c r="AK122" s="444">
        <f>IF($O122="USD",_xlfn.IFNA(VLOOKUP($A122&amp;$E122&amp;$I122,PMsheet!$J:$K,2,0),0),(_xlfn.IFNA(VLOOKUP($A122&amp;$E122&amp;$I122,PMsheet!$J:$K,2,0),0)*'Master Data'!$F$2))</f>
        <v>0</v>
      </c>
      <c r="AL122" s="441"/>
      <c r="AM122" s="441"/>
      <c r="AN122" s="441"/>
      <c r="AO122" s="441"/>
      <c r="AP122" s="512">
        <f>SUM('C19RM 2021-Pharma'!$AL122:$AO122)</f>
        <v>0</v>
      </c>
      <c r="AQ122" s="513">
        <f>IF(SETUP!$E$7="USD",(AP122*(IF(O122="USD",AK122,(AK122/'Master Data'!$F$2)))),(AP122*(IF(O122="EUR",AK122,(AK122*'Master Data'!$F$2)))))</f>
        <v>0</v>
      </c>
      <c r="AR122" s="520"/>
      <c r="AS122" s="512"/>
      <c r="AT122" s="512"/>
      <c r="AU122" s="512"/>
      <c r="AV122" s="512"/>
      <c r="AW122" s="512"/>
      <c r="AX122" s="513"/>
      <c r="AY122" s="512"/>
      <c r="AZ122" s="512"/>
      <c r="BA122" s="512"/>
      <c r="BB122" s="512"/>
      <c r="BC122" s="512"/>
      <c r="BD122" s="512"/>
      <c r="BE122" s="512"/>
      <c r="BF122" s="520">
        <f>'C19RM 2021-Pharma'!$U122+'C19RM 2021-Pharma'!$AB122+'C19RM 2021-Pharma'!$AP122++'C19RM 2021-Pharma'!$AI122</f>
        <v>0</v>
      </c>
      <c r="BG122" s="513">
        <f>'C19RM 2021-Pharma'!$V122+'C19RM 2021-Pharma'!$AC122+'C19RM 2021-Pharma'!$AQ122+'C19RM 2021-Pharma'!$AJ122</f>
        <v>0</v>
      </c>
      <c r="BH122" s="500" t="str" cm="1">
        <f t="array" ref="BH122">IF(A122&lt;&gt;"",IFERROR(INDEX(PMtbl[[WKst]:[Unit of measure*]],MATCH($A$115&amp;$A122&amp;$E122&amp;$I122,INDEX(PMtbl[Sec]&amp;PMtbl[Category]&amp;PMtbl[Each]&amp;PMtbl[Packaging],0,),0),12),""),"")</f>
        <v/>
      </c>
      <c r="BI122" s="819"/>
      <c r="BJ122" s="502" t="str" cm="1">
        <f t="array" ref="BJ122">IFERROR(INDEX(SETUP!$C$19:$G$121,MATCH((INDEX(PMtbl[[WKst]:[Unit of measure*]],MATCH($A122&amp;$E122&amp;$I122,INDEX(PMtbl[Category]&amp;PMtbl[Each]&amp;PMtbl[Packaging],0,),0),3)),SETUP!$D$19:$D$121,0),5),"")</f>
        <v/>
      </c>
      <c r="BK122" s="438" t="str" cm="1">
        <f t="array" ref="BK122">IFERROR(IF((INDEX(SETUP!$C$19:$G$121,MATCH((INDEX(PMtbl[[WKst]:[Unit of measure*]],MATCH($A122&amp;$E122&amp;$I122,INDEX(PMtbl[Category]&amp;PMtbl[Each]&amp;PMtbl[Packaging],0,),0),3)),SETUP!$D$19:$D$121,0),4))="Upfront",0,INDEX(SETUP!$C$19:$G$121,MATCH((INDEX(PMtbl[[WKst]:[Unit of measure*]],MATCH($A122&amp;$E122&amp;$I122,INDEX(PMtbl[Category]&amp;PMtbl[Each]&amp;PMtbl[Packaging],0,),0),3)),SETUP!$D$19:$D$121,0),5)),"")</f>
        <v/>
      </c>
      <c r="BL122" s="196" t="str" cm="1">
        <f t="array" ref="BL122">IF(E122&lt;&gt;"",IFERROR(INDEX(PMtbl[[WKst]:[Unit of measure*]],MATCH($A$115&amp;$A122&amp;$E122&amp;$I122,INDEX(PMtbl[Sec]&amp;PMtbl[Category]&amp;PMtbl[Each]&amp;PMtbl[Packaging],0,),0),11),""),"")</f>
        <v/>
      </c>
      <c r="BO122" s="12">
        <f>IF(N122="",0,IF(SETUP!$E$7="USD",((IF(O122="USD",P122,(P122/'Master Data-C19RM'!$C$2)))),((IF(O122="EUR",P122,(P122*'Master Data-C19RM'!$C$2))))))</f>
        <v>0</v>
      </c>
      <c r="BP122" s="12">
        <f>IF(N122="",0,IF(SETUP!$E$7="USD",((IF(O122="USD",W122,(W122/'Master Data-C19RM'!$D$2)))),((IF(O122="EUR",W122,(W122*'Master Data-C19RM'!$D$2))))))</f>
        <v>0</v>
      </c>
      <c r="BQ122">
        <f>IF(N122="",0,IF(SETUP!$E$7="USD",((IF(O122="USD",AD122,(AD122/'Master Data-C19RM'!$E$2)))),((IF(O122="EUR",AD122,(AD122*'Master Data-C19RM'!$E$2))))))</f>
        <v>0</v>
      </c>
      <c r="BR122">
        <f>IF(N122="",0,IF(SETUP!$E$7="USD",((IF(O122="USD",AK122,(AK122/'Master Data-C19RM'!$F$2)))),((IF(O122="EUR",AK122,(AK122*'Master Data-C19RM'!$F$2))))))</f>
        <v>0</v>
      </c>
      <c r="BU122" s="12">
        <f t="shared" si="7"/>
        <v>0</v>
      </c>
      <c r="BV122" s="142">
        <f t="shared" si="8"/>
        <v>0</v>
      </c>
    </row>
    <row r="123" spans="1:92" hidden="1" x14ac:dyDescent="0.35">
      <c r="A123" s="1192"/>
      <c r="B123" s="1192"/>
      <c r="C123" s="1192"/>
      <c r="D123" s="1192"/>
      <c r="E123" s="1173"/>
      <c r="F123" s="1173"/>
      <c r="G123" s="1173"/>
      <c r="H123" s="1173"/>
      <c r="I123" s="1193"/>
      <c r="J123" s="1193"/>
      <c r="K123" s="1193"/>
      <c r="L123" s="493" t="str" cm="1">
        <f t="array" ref="L123">IF(A123&lt;&gt;"",IFERROR(INDEX(PMtbl[[WKst]:[Unit of measure*]],MATCH($A$115&amp;$A123&amp;$E123&amp;$I123,INDEX(PMtbl[Sec]&amp;PMtbl[Category]&amp;PMtbl[Each]&amp;PMtbl[Packaging],0,),0),14),""),"")</f>
        <v/>
      </c>
      <c r="M123" s="480" t="str">
        <f>IF(L123="","",INDEX(SETUP!$E$20:$E$122,(MATCH(INDEX(PMsheet!$D:$E,MATCH(A123,PMsheet!E:E,0),1),SETUP!$D$20:$D$122,0))))</f>
        <v/>
      </c>
      <c r="N123" s="494">
        <f>IF($O123="USD",_xlfn.IFNA(VLOOKUP(A123&amp;E123&amp;I123,PMsheet!J:K,2,0),0),(_xlfn.IFNA(VLOOKUP(A123&amp;E123&amp;I123,PMsheet!J:K,2,0),0)*'Master Data-C19RM'!$C$2))</f>
        <v>0</v>
      </c>
      <c r="O123" s="495" t="str">
        <f>IF(L123="", "",SETUP!$E$7)</f>
        <v/>
      </c>
      <c r="P123" s="457">
        <f>IF($O123="USD",_xlfn.IFNA(VLOOKUP($A123&amp;$E123&amp;$I123,PMsheet!$J:$K,2,0),0),(_xlfn.IFNA(VLOOKUP($A123&amp;$E123&amp;$I123,PMsheet!$J:$K,2,0),0)*'Master Data'!$C$2))</f>
        <v>0</v>
      </c>
      <c r="Q123" s="440"/>
      <c r="R123" s="440"/>
      <c r="S123" s="440"/>
      <c r="T123" s="440"/>
      <c r="U123" s="482">
        <f>SUM('C19RM 2021-Pharma'!$Q123:$T123)</f>
        <v>0</v>
      </c>
      <c r="V123" s="484">
        <f>IF(SETUP!$E$7="USD",(U123*(IF(O123="USD",P123,(P123/'Master Data'!$C$2)))),(U123*(IF(O123="EUR",P123,(P123*'Master Data'!$C$2)))))</f>
        <v>0</v>
      </c>
      <c r="W123" s="445">
        <f>IF($O123="USD",_xlfn.IFNA(VLOOKUP($A123&amp;$E123&amp;$I123,PMsheet!$J:$K,2,0),0),(_xlfn.IFNA(VLOOKUP($A123&amp;$E123&amp;$I123,PMsheet!$J:$K,2,0),0)*'Master Data'!$D$2))</f>
        <v>0</v>
      </c>
      <c r="X123" s="440"/>
      <c r="Y123" s="440"/>
      <c r="Z123" s="440"/>
      <c r="AA123" s="440"/>
      <c r="AB123" s="482">
        <f>SUM('C19RM 2021-Pharma'!$X123:$AA123)</f>
        <v>0</v>
      </c>
      <c r="AC123" s="484">
        <f>IF(SETUP!$E$7="USD",(AB123*(IF(O123="USD",W123,(W123/'Master Data'!$D$2)))),(AB123*(IF(O123="EUR",W123,(W123*'Master Data'!$D$2)))))</f>
        <v>0</v>
      </c>
      <c r="AD123" s="445">
        <f>IF($O123="USD",_xlfn.IFNA(VLOOKUP($A123&amp;$E123&amp;$I123,PMsheet!$J:$K,2,0),0),(_xlfn.IFNA(VLOOKUP($A123&amp;$E123&amp;$I123,PMsheet!$J:$K,2,0),0)*'Master Data'!$E$2))</f>
        <v>0</v>
      </c>
      <c r="AE123" s="440"/>
      <c r="AF123" s="440"/>
      <c r="AG123" s="440"/>
      <c r="AH123" s="440"/>
      <c r="AI123" s="482">
        <f>SUM('C19RM 2021-Pharma'!$AE123:$AH123)</f>
        <v>0</v>
      </c>
      <c r="AJ123" s="484">
        <f>IF(SETUP!$E$7="USD",(AI123*(IF(O123="USD",AD123,(AD123/'Master Data'!$E$2)))),(AI123*(IF(O123="EUR",AD123,(AD123*'Master Data'!$E$2)))))</f>
        <v>0</v>
      </c>
      <c r="AK123" s="445">
        <f>IF($O123="USD",_xlfn.IFNA(VLOOKUP($A123&amp;$E123&amp;$I123,PMsheet!$J:$K,2,0),0),(_xlfn.IFNA(VLOOKUP($A123&amp;$E123&amp;$I123,PMsheet!$J:$K,2,0),0)*'Master Data'!$F$2))</f>
        <v>0</v>
      </c>
      <c r="AL123" s="440"/>
      <c r="AM123" s="440"/>
      <c r="AN123" s="440"/>
      <c r="AO123" s="440"/>
      <c r="AP123" s="514">
        <f>SUM('C19RM 2021-Pharma'!$AL123:$AO123)</f>
        <v>0</v>
      </c>
      <c r="AQ123" s="515">
        <f>IF(SETUP!$E$7="USD",(AP123*(IF(O123="USD",AK123,(AK123/'Master Data'!$F$2)))),(AP123*(IF(O123="EUR",AK123,(AK123*'Master Data'!$F$2)))))</f>
        <v>0</v>
      </c>
      <c r="AR123" s="521"/>
      <c r="AS123" s="514"/>
      <c r="AT123" s="514"/>
      <c r="AU123" s="514"/>
      <c r="AV123" s="514"/>
      <c r="AW123" s="514"/>
      <c r="AX123" s="515"/>
      <c r="AY123" s="514"/>
      <c r="AZ123" s="514"/>
      <c r="BA123" s="514"/>
      <c r="BB123" s="514"/>
      <c r="BC123" s="514"/>
      <c r="BD123" s="514"/>
      <c r="BE123" s="514"/>
      <c r="BF123" s="521">
        <f>'C19RM 2021-Pharma'!$U123+'C19RM 2021-Pharma'!$AB123+'C19RM 2021-Pharma'!$AP123++'C19RM 2021-Pharma'!$AI123</f>
        <v>0</v>
      </c>
      <c r="BG123" s="515">
        <f>'C19RM 2021-Pharma'!$V123+'C19RM 2021-Pharma'!$AC123+'C19RM 2021-Pharma'!$AQ123+'C19RM 2021-Pharma'!$AJ123</f>
        <v>0</v>
      </c>
      <c r="BH123" s="522" t="str" cm="1">
        <f t="array" ref="BH123">IF(A123&lt;&gt;"",IFERROR(INDEX(PMtbl[[WKst]:[Unit of measure*]],MATCH($A$115&amp;$A123&amp;$E123&amp;$I123,INDEX(PMtbl[Sec]&amp;PMtbl[Category]&amp;PMtbl[Each]&amp;PMtbl[Packaging],0,),0),12),""),"")</f>
        <v/>
      </c>
      <c r="BI123" s="818"/>
      <c r="BJ123" s="503" t="str" cm="1">
        <f t="array" ref="BJ123">IFERROR(INDEX(SETUP!$C$19:$G$121,MATCH((INDEX(PMtbl[[WKst]:[Unit of measure*]],MATCH($A123&amp;$E123&amp;$I123,INDEX(PMtbl[Category]&amp;PMtbl[Each]&amp;PMtbl[Packaging],0,),0),3)),SETUP!$D$19:$D$121,0),5),"")</f>
        <v/>
      </c>
      <c r="BK123" s="439" t="str" cm="1">
        <f t="array" ref="BK123">IFERROR(IF((INDEX(SETUP!$C$19:$G$121,MATCH((INDEX(PMtbl[[WKst]:[Unit of measure*]],MATCH($A123&amp;$E123&amp;$I123,INDEX(PMtbl[Category]&amp;PMtbl[Each]&amp;PMtbl[Packaging],0,),0),3)),SETUP!$D$19:$D$121,0),4))="Upfront",0,INDEX(SETUP!$C$19:$G$121,MATCH((INDEX(PMtbl[[WKst]:[Unit of measure*]],MATCH($A123&amp;$E123&amp;$I123,INDEX(PMtbl[Category]&amp;PMtbl[Each]&amp;PMtbl[Packaging],0,),0),3)),SETUP!$D$19:$D$121,0),5)),"")</f>
        <v/>
      </c>
      <c r="BL123" s="197" t="str" cm="1">
        <f t="array" ref="BL123">IF(E123&lt;&gt;"",IFERROR(INDEX(PMtbl[[WKst]:[Unit of measure*]],MATCH($A$115&amp;$A123&amp;$E123&amp;$I123,INDEX(PMtbl[Sec]&amp;PMtbl[Category]&amp;PMtbl[Each]&amp;PMtbl[Packaging],0,),0),11),""),"")</f>
        <v/>
      </c>
      <c r="BO123" s="12">
        <f>IF(N123="",0,IF(SETUP!$E$7="USD",((IF(O123="USD",P123,(P123/'Master Data-C19RM'!$C$2)))),((IF(O123="EUR",P123,(P123*'Master Data-C19RM'!$C$2))))))</f>
        <v>0</v>
      </c>
      <c r="BP123" s="12">
        <f>IF(N123="",0,IF(SETUP!$E$7="USD",((IF(O123="USD",W123,(W123/'Master Data-C19RM'!$D$2)))),((IF(O123="EUR",W123,(W123*'Master Data-C19RM'!$D$2))))))</f>
        <v>0</v>
      </c>
      <c r="BQ123">
        <f>IF(N123="",0,IF(SETUP!$E$7="USD",((IF(O123="USD",AD123,(AD123/'Master Data-C19RM'!$E$2)))),((IF(O123="EUR",AD123,(AD123*'Master Data-C19RM'!$E$2))))))</f>
        <v>0</v>
      </c>
      <c r="BR123">
        <f>IF(N123="",0,IF(SETUP!$E$7="USD",((IF(O123="USD",AK123,(AK123/'Master Data-C19RM'!$F$2)))),((IF(O123="EUR",AK123,(AK123*'Master Data-C19RM'!$F$2))))))</f>
        <v>0</v>
      </c>
      <c r="BU123" s="12">
        <f t="shared" si="7"/>
        <v>0</v>
      </c>
      <c r="BV123" s="142">
        <f t="shared" si="8"/>
        <v>0</v>
      </c>
    </row>
    <row r="124" spans="1:92" hidden="1" x14ac:dyDescent="0.35">
      <c r="A124" s="1165"/>
      <c r="B124" s="1165"/>
      <c r="C124" s="1165"/>
      <c r="D124" s="1165"/>
      <c r="E124" s="1166"/>
      <c r="F124" s="1166"/>
      <c r="G124" s="1166"/>
      <c r="H124" s="1166"/>
      <c r="I124" s="1166"/>
      <c r="J124" s="1166"/>
      <c r="K124" s="1166"/>
      <c r="L124" s="490" t="str" cm="1">
        <f t="array" ref="L124">IF(A124&lt;&gt;"",IFERROR(INDEX(PMtbl[[WKst]:[Unit of measure*]],MATCH($A$115&amp;$A124&amp;$E124&amp;$I124,INDEX(PMtbl[Sec]&amp;PMtbl[Category]&amp;PMtbl[Each]&amp;PMtbl[Packaging],0,),0),14),""),"")</f>
        <v/>
      </c>
      <c r="M124" s="479" t="str">
        <f>IF(L124="","",INDEX(SETUP!$E$20:$E$122,(MATCH(INDEX(PMsheet!$D:$E,MATCH(A124,PMsheet!E:E,0),1),SETUP!$D$20:$D$122,0))))</f>
        <v/>
      </c>
      <c r="N124" s="496">
        <f>IF($O124="USD",_xlfn.IFNA(VLOOKUP(A124&amp;E124&amp;I124,PMsheet!J:K,2,0),0),(_xlfn.IFNA(VLOOKUP(A124&amp;E124&amp;I124,PMsheet!J:K,2,0),0)*'Master Data-C19RM'!$C$2))</f>
        <v>0</v>
      </c>
      <c r="O124" s="492" t="str">
        <f>IF(L124="", "",SETUP!$E$7)</f>
        <v/>
      </c>
      <c r="P124" s="456">
        <f>IF($O124="USD",_xlfn.IFNA(VLOOKUP($A124&amp;$E124&amp;$I124,PMsheet!$J:$K,2,0),0),(_xlfn.IFNA(VLOOKUP($A124&amp;$E124&amp;$I124,PMsheet!$J:$K,2,0),0)*'Master Data'!$C$2))</f>
        <v>0</v>
      </c>
      <c r="Q124" s="441"/>
      <c r="R124" s="441"/>
      <c r="S124" s="441"/>
      <c r="T124" s="441"/>
      <c r="U124" s="481">
        <f>SUM('C19RM 2021-Pharma'!$Q124:$T124)</f>
        <v>0</v>
      </c>
      <c r="V124" s="483">
        <f>IF(SETUP!$E$7="USD",(U124*(IF(O124="USD",P124,(P124/'Master Data'!$C$2)))),(U124*(IF(O124="EUR",P124,(P124*'Master Data'!$C$2)))))</f>
        <v>0</v>
      </c>
      <c r="W124" s="444">
        <f>IF($O124="USD",_xlfn.IFNA(VLOOKUP($A124&amp;$E124&amp;$I124,PMsheet!$J:$K,2,0),0),(_xlfn.IFNA(VLOOKUP($A124&amp;$E124&amp;$I124,PMsheet!$J:$K,2,0),0)*'Master Data'!$D$2))</f>
        <v>0</v>
      </c>
      <c r="X124" s="441"/>
      <c r="Y124" s="441"/>
      <c r="Z124" s="441"/>
      <c r="AA124" s="441"/>
      <c r="AB124" s="481">
        <f>SUM('C19RM 2021-Pharma'!$X124:$AA124)</f>
        <v>0</v>
      </c>
      <c r="AC124" s="483">
        <f>IF(SETUP!$E$7="USD",(AB124*(IF(O124="USD",W124,(W124/'Master Data'!$D$2)))),(AB124*(IF(O124="EUR",W124,(W124*'Master Data'!$D$2)))))</f>
        <v>0</v>
      </c>
      <c r="AD124" s="444">
        <f>IF($O124="USD",_xlfn.IFNA(VLOOKUP($A124&amp;$E124&amp;$I124,PMsheet!$J:$K,2,0),0),(_xlfn.IFNA(VLOOKUP($A124&amp;$E124&amp;$I124,PMsheet!$J:$K,2,0),0)*'Master Data'!$E$2))</f>
        <v>0</v>
      </c>
      <c r="AE124" s="441"/>
      <c r="AF124" s="441"/>
      <c r="AG124" s="441"/>
      <c r="AH124" s="441"/>
      <c r="AI124" s="481">
        <f>SUM('C19RM 2021-Pharma'!$AE124:$AH124)</f>
        <v>0</v>
      </c>
      <c r="AJ124" s="483">
        <f>IF(SETUP!$E$7="USD",(AI124*(IF(O124="USD",AD124,(AD124/'Master Data'!$E$2)))),(AI124*(IF(O124="EUR",AD124,(AD124*'Master Data'!$E$2)))))</f>
        <v>0</v>
      </c>
      <c r="AK124" s="444">
        <f>IF($O124="USD",_xlfn.IFNA(VLOOKUP($A124&amp;$E124&amp;$I124,PMsheet!$J:$K,2,0),0),(_xlfn.IFNA(VLOOKUP($A124&amp;$E124&amp;$I124,PMsheet!$J:$K,2,0),0)*'Master Data'!$F$2))</f>
        <v>0</v>
      </c>
      <c r="AL124" s="441"/>
      <c r="AM124" s="441"/>
      <c r="AN124" s="441"/>
      <c r="AO124" s="441"/>
      <c r="AP124" s="512">
        <f>SUM('C19RM 2021-Pharma'!$AL124:$AO124)</f>
        <v>0</v>
      </c>
      <c r="AQ124" s="513">
        <f>IF(SETUP!$E$7="USD",(AP124*(IF(O124="USD",AK124,(AK124/'Master Data'!$F$2)))),(AP124*(IF(O124="EUR",AK124,(AK124*'Master Data'!$F$2)))))</f>
        <v>0</v>
      </c>
      <c r="AR124" s="520"/>
      <c r="AS124" s="512"/>
      <c r="AT124" s="512"/>
      <c r="AU124" s="512"/>
      <c r="AV124" s="512"/>
      <c r="AW124" s="512"/>
      <c r="AX124" s="513"/>
      <c r="AY124" s="512"/>
      <c r="AZ124" s="512"/>
      <c r="BA124" s="512"/>
      <c r="BB124" s="512"/>
      <c r="BC124" s="512"/>
      <c r="BD124" s="512"/>
      <c r="BE124" s="512"/>
      <c r="BF124" s="520">
        <f>'C19RM 2021-Pharma'!$U124+'C19RM 2021-Pharma'!$AB124+'C19RM 2021-Pharma'!$AP124++'C19RM 2021-Pharma'!$AI124</f>
        <v>0</v>
      </c>
      <c r="BG124" s="513">
        <f>'C19RM 2021-Pharma'!$V124+'C19RM 2021-Pharma'!$AC124+'C19RM 2021-Pharma'!$AQ124+'C19RM 2021-Pharma'!$AJ124</f>
        <v>0</v>
      </c>
      <c r="BH124" s="500" t="str" cm="1">
        <f t="array" ref="BH124">IF(A124&lt;&gt;"",IFERROR(INDEX(PMtbl[[WKst]:[Unit of measure*]],MATCH($A$115&amp;$A124&amp;$E124&amp;$I124,INDEX(PMtbl[Sec]&amp;PMtbl[Category]&amp;PMtbl[Each]&amp;PMtbl[Packaging],0,),0),12),""),"")</f>
        <v/>
      </c>
      <c r="BI124" s="819"/>
      <c r="BJ124" s="502" t="str" cm="1">
        <f t="array" ref="BJ124">IFERROR(INDEX(SETUP!$C$19:$G$121,MATCH((INDEX(PMtbl[[WKst]:[Unit of measure*]],MATCH($A124&amp;$E124&amp;$I124,INDEX(PMtbl[Category]&amp;PMtbl[Each]&amp;PMtbl[Packaging],0,),0),3)),SETUP!$D$19:$D$121,0),5),"")</f>
        <v/>
      </c>
      <c r="BK124" s="438" t="str" cm="1">
        <f t="array" ref="BK124">IFERROR(IF((INDEX(SETUP!$C$19:$G$121,MATCH((INDEX(PMtbl[[WKst]:[Unit of measure*]],MATCH($A124&amp;$E124&amp;$I124,INDEX(PMtbl[Category]&amp;PMtbl[Each]&amp;PMtbl[Packaging],0,),0),3)),SETUP!$D$19:$D$121,0),4))="Upfront",0,INDEX(SETUP!$C$19:$G$121,MATCH((INDEX(PMtbl[[WKst]:[Unit of measure*]],MATCH($A124&amp;$E124&amp;$I124,INDEX(PMtbl[Category]&amp;PMtbl[Each]&amp;PMtbl[Packaging],0,),0),3)),SETUP!$D$19:$D$121,0),5)),"")</f>
        <v/>
      </c>
      <c r="BL124" s="196" t="str" cm="1">
        <f t="array" ref="BL124">IF(E124&lt;&gt;"",IFERROR(INDEX(PMtbl[[WKst]:[Unit of measure*]],MATCH($A$115&amp;$A124&amp;$E124&amp;$I124,INDEX(PMtbl[Sec]&amp;PMtbl[Category]&amp;PMtbl[Each]&amp;PMtbl[Packaging],0,),0),11),""),"")</f>
        <v/>
      </c>
      <c r="BO124" s="12">
        <f>IF(N124="",0,IF(SETUP!$E$7="USD",((IF(O124="USD",P124,(P124/'Master Data-C19RM'!$C$2)))),((IF(O124="EUR",P124,(P124*'Master Data-C19RM'!$C$2))))))</f>
        <v>0</v>
      </c>
      <c r="BP124" s="12">
        <f>IF(N124="",0,IF(SETUP!$E$7="USD",((IF(O124="USD",W124,(W124/'Master Data-C19RM'!$D$2)))),((IF(O124="EUR",W124,(W124*'Master Data-C19RM'!$D$2))))))</f>
        <v>0</v>
      </c>
      <c r="BQ124">
        <f>IF(N124="",0,IF(SETUP!$E$7="USD",((IF(O124="USD",AD124,(AD124/'Master Data-C19RM'!$E$2)))),((IF(O124="EUR",AD124,(AD124*'Master Data-C19RM'!$E$2))))))</f>
        <v>0</v>
      </c>
      <c r="BR124">
        <f>IF(N124="",0,IF(SETUP!$E$7="USD",((IF(O124="USD",AK124,(AK124/'Master Data-C19RM'!$F$2)))),((IF(O124="EUR",AK124,(AK124*'Master Data-C19RM'!$F$2))))))</f>
        <v>0</v>
      </c>
      <c r="BU124" s="12">
        <f t="shared" si="7"/>
        <v>0</v>
      </c>
      <c r="BV124" s="142">
        <f t="shared" si="8"/>
        <v>0</v>
      </c>
    </row>
    <row r="125" spans="1:92" hidden="1" x14ac:dyDescent="0.35">
      <c r="A125" s="1192"/>
      <c r="B125" s="1192"/>
      <c r="C125" s="1192"/>
      <c r="D125" s="1192"/>
      <c r="E125" s="1173"/>
      <c r="F125" s="1173"/>
      <c r="G125" s="1173"/>
      <c r="H125" s="1173"/>
      <c r="I125" s="1193"/>
      <c r="J125" s="1193"/>
      <c r="K125" s="1193"/>
      <c r="L125" s="493" t="str" cm="1">
        <f t="array" ref="L125">IF(A125&lt;&gt;"",IFERROR(INDEX(PMtbl[[WKst]:[Unit of measure*]],MATCH($A$115&amp;$A125&amp;$E125&amp;$I125,INDEX(PMtbl[Sec]&amp;PMtbl[Category]&amp;PMtbl[Each]&amp;PMtbl[Packaging],0,),0),14),""),"")</f>
        <v/>
      </c>
      <c r="M125" s="480" t="str">
        <f>IF(L125="","",INDEX(SETUP!$E$20:$E$122,(MATCH(INDEX(PMsheet!$D:$E,MATCH(A125,PMsheet!E:E,0),1),SETUP!$D$20:$D$122,0))))</f>
        <v/>
      </c>
      <c r="N125" s="494">
        <f>IF($O125="USD",_xlfn.IFNA(VLOOKUP(A125&amp;E125&amp;I125,PMsheet!J:K,2,0),0),(_xlfn.IFNA(VLOOKUP(A125&amp;E125&amp;I125,PMsheet!J:K,2,0),0)*'Master Data-C19RM'!$C$2))</f>
        <v>0</v>
      </c>
      <c r="O125" s="495" t="str">
        <f>IF(L125="", "",SETUP!$E$7)</f>
        <v/>
      </c>
      <c r="P125" s="457">
        <f>IF($O125="USD",_xlfn.IFNA(VLOOKUP($A125&amp;$E125&amp;$I125,PMsheet!$J:$K,2,0),0),(_xlfn.IFNA(VLOOKUP($A125&amp;$E125&amp;$I125,PMsheet!$J:$K,2,0),0)*'Master Data'!$C$2))</f>
        <v>0</v>
      </c>
      <c r="Q125" s="440"/>
      <c r="R125" s="440"/>
      <c r="S125" s="440"/>
      <c r="T125" s="440"/>
      <c r="U125" s="482">
        <f>SUM('C19RM 2021-Pharma'!$Q125:$T125)</f>
        <v>0</v>
      </c>
      <c r="V125" s="484">
        <f>IF(SETUP!$E$7="USD",(U125*(IF(O125="USD",P125,(P125/'Master Data'!$C$2)))),(U125*(IF(O125="EUR",P125,(P125*'Master Data'!$C$2)))))</f>
        <v>0</v>
      </c>
      <c r="W125" s="445">
        <f>IF($O125="USD",_xlfn.IFNA(VLOOKUP($A125&amp;$E125&amp;$I125,PMsheet!$J:$K,2,0),0),(_xlfn.IFNA(VLOOKUP($A125&amp;$E125&amp;$I125,PMsheet!$J:$K,2,0),0)*'Master Data'!$D$2))</f>
        <v>0</v>
      </c>
      <c r="X125" s="440"/>
      <c r="Y125" s="440"/>
      <c r="Z125" s="440"/>
      <c r="AA125" s="440"/>
      <c r="AB125" s="482">
        <f>SUM('C19RM 2021-Pharma'!$X125:$AA125)</f>
        <v>0</v>
      </c>
      <c r="AC125" s="484">
        <f>IF(SETUP!$E$7="USD",(AB125*(IF(O125="USD",W125,(W125/'Master Data'!$D$2)))),(AB125*(IF(O125="EUR",W125,(W125*'Master Data'!$D$2)))))</f>
        <v>0</v>
      </c>
      <c r="AD125" s="445">
        <f>IF($O125="USD",_xlfn.IFNA(VLOOKUP($A125&amp;$E125&amp;$I125,PMsheet!$J:$K,2,0),0),(_xlfn.IFNA(VLOOKUP($A125&amp;$E125&amp;$I125,PMsheet!$J:$K,2,0),0)*'Master Data'!$E$2))</f>
        <v>0</v>
      </c>
      <c r="AE125" s="440"/>
      <c r="AF125" s="440"/>
      <c r="AG125" s="440"/>
      <c r="AH125" s="440"/>
      <c r="AI125" s="482">
        <f>SUM('C19RM 2021-Pharma'!$AE125:$AH125)</f>
        <v>0</v>
      </c>
      <c r="AJ125" s="484">
        <f>IF(SETUP!$E$7="USD",(AI125*(IF(O125="USD",AD125,(AD125/'Master Data'!$E$2)))),(AI125*(IF(O125="EUR",AD125,(AD125*'Master Data'!$E$2)))))</f>
        <v>0</v>
      </c>
      <c r="AK125" s="445">
        <f>IF($O125="USD",_xlfn.IFNA(VLOOKUP($A125&amp;$E125&amp;$I125,PMsheet!$J:$K,2,0),0),(_xlfn.IFNA(VLOOKUP($A125&amp;$E125&amp;$I125,PMsheet!$J:$K,2,0),0)*'Master Data'!$F$2))</f>
        <v>0</v>
      </c>
      <c r="AL125" s="440"/>
      <c r="AM125" s="440"/>
      <c r="AN125" s="440"/>
      <c r="AO125" s="440"/>
      <c r="AP125" s="514">
        <f>SUM('C19RM 2021-Pharma'!$AL125:$AO125)</f>
        <v>0</v>
      </c>
      <c r="AQ125" s="515">
        <f>IF(SETUP!$E$7="USD",(AP125*(IF(O125="USD",AK125,(AK125/'Master Data'!$F$2)))),(AP125*(IF(O125="EUR",AK125,(AK125*'Master Data'!$F$2)))))</f>
        <v>0</v>
      </c>
      <c r="AR125" s="521"/>
      <c r="AS125" s="514"/>
      <c r="AT125" s="514"/>
      <c r="AU125" s="514"/>
      <c r="AV125" s="514"/>
      <c r="AW125" s="514"/>
      <c r="AX125" s="515"/>
      <c r="AY125" s="514"/>
      <c r="AZ125" s="514"/>
      <c r="BA125" s="514"/>
      <c r="BB125" s="514"/>
      <c r="BC125" s="514"/>
      <c r="BD125" s="514"/>
      <c r="BE125" s="514"/>
      <c r="BF125" s="521">
        <f>'C19RM 2021-Pharma'!$U125+'C19RM 2021-Pharma'!$AB125+'C19RM 2021-Pharma'!$AP125++'C19RM 2021-Pharma'!$AI125</f>
        <v>0</v>
      </c>
      <c r="BG125" s="515">
        <f>'C19RM 2021-Pharma'!$V125+'C19RM 2021-Pharma'!$AC125+'C19RM 2021-Pharma'!$AQ125+'C19RM 2021-Pharma'!$AJ125</f>
        <v>0</v>
      </c>
      <c r="BH125" s="522" t="str" cm="1">
        <f t="array" ref="BH125">IF(A125&lt;&gt;"",IFERROR(INDEX(PMtbl[[WKst]:[Unit of measure*]],MATCH($A$115&amp;$A125&amp;$E125&amp;$I125,INDEX(PMtbl[Sec]&amp;PMtbl[Category]&amp;PMtbl[Each]&amp;PMtbl[Packaging],0,),0),12),""),"")</f>
        <v/>
      </c>
      <c r="BI125" s="818"/>
      <c r="BJ125" s="503" t="str" cm="1">
        <f t="array" ref="BJ125">IFERROR(INDEX(SETUP!$C$19:$G$121,MATCH((INDEX(PMtbl[[WKst]:[Unit of measure*]],MATCH($A125&amp;$E125&amp;$I125,INDEX(PMtbl[Category]&amp;PMtbl[Each]&amp;PMtbl[Packaging],0,),0),3)),SETUP!$D$19:$D$121,0),5),"")</f>
        <v/>
      </c>
      <c r="BK125" s="439" t="str" cm="1">
        <f t="array" ref="BK125">IFERROR(IF((INDEX(SETUP!$C$19:$G$121,MATCH((INDEX(PMtbl[[WKst]:[Unit of measure*]],MATCH($A125&amp;$E125&amp;$I125,INDEX(PMtbl[Category]&amp;PMtbl[Each]&amp;PMtbl[Packaging],0,),0),3)),SETUP!$D$19:$D$121,0),4))="Upfront",0,INDEX(SETUP!$C$19:$G$121,MATCH((INDEX(PMtbl[[WKst]:[Unit of measure*]],MATCH($A125&amp;$E125&amp;$I125,INDEX(PMtbl[Category]&amp;PMtbl[Each]&amp;PMtbl[Packaging],0,),0),3)),SETUP!$D$19:$D$121,0),5)),"")</f>
        <v/>
      </c>
      <c r="BL125" s="197" t="str" cm="1">
        <f t="array" ref="BL125">IF(E125&lt;&gt;"",IFERROR(INDEX(PMtbl[[WKst]:[Unit of measure*]],MATCH($A$115&amp;$A125&amp;$E125&amp;$I125,INDEX(PMtbl[Sec]&amp;PMtbl[Category]&amp;PMtbl[Each]&amp;PMtbl[Packaging],0,),0),11),""),"")</f>
        <v/>
      </c>
      <c r="BO125" s="12">
        <f>IF(N125="",0,IF(SETUP!$E$7="USD",((IF(O125="USD",P125,(P125/'Master Data-C19RM'!$C$2)))),((IF(O125="EUR",P125,(P125*'Master Data-C19RM'!$C$2))))))</f>
        <v>0</v>
      </c>
      <c r="BP125" s="12">
        <f>IF(N125="",0,IF(SETUP!$E$7="USD",((IF(O125="USD",W125,(W125/'Master Data-C19RM'!$D$2)))),((IF(O125="EUR",W125,(W125*'Master Data-C19RM'!$D$2))))))</f>
        <v>0</v>
      </c>
      <c r="BQ125">
        <f>IF(N125="",0,IF(SETUP!$E$7="USD",((IF(O125="USD",AD125,(AD125/'Master Data-C19RM'!$E$2)))),((IF(O125="EUR",AD125,(AD125*'Master Data-C19RM'!$E$2))))))</f>
        <v>0</v>
      </c>
      <c r="BR125">
        <f>IF(N125="",0,IF(SETUP!$E$7="USD",((IF(O125="USD",AK125,(AK125/'Master Data-C19RM'!$F$2)))),((IF(O125="EUR",AK125,(AK125*'Master Data-C19RM'!$F$2))))))</f>
        <v>0</v>
      </c>
      <c r="BU125" s="12">
        <f t="shared" si="7"/>
        <v>0</v>
      </c>
      <c r="BV125" s="142">
        <f t="shared" si="8"/>
        <v>0</v>
      </c>
    </row>
    <row r="126" spans="1:92" hidden="1" x14ac:dyDescent="0.35">
      <c r="A126" s="1165"/>
      <c r="B126" s="1165"/>
      <c r="C126" s="1165"/>
      <c r="D126" s="1165"/>
      <c r="E126" s="1166"/>
      <c r="F126" s="1166"/>
      <c r="G126" s="1166"/>
      <c r="H126" s="1166"/>
      <c r="I126" s="1166"/>
      <c r="J126" s="1166"/>
      <c r="K126" s="1166"/>
      <c r="L126" s="490" t="str" cm="1">
        <f t="array" ref="L126">IF(A126&lt;&gt;"",IFERROR(INDEX(PMtbl[[WKst]:[Unit of measure*]],MATCH($A$115&amp;$A126&amp;$E126&amp;$I126,INDEX(PMtbl[Sec]&amp;PMtbl[Category]&amp;PMtbl[Each]&amp;PMtbl[Packaging],0,),0),14),""),"")</f>
        <v/>
      </c>
      <c r="M126" s="479" t="str">
        <f>IF(L126="","",INDEX(SETUP!$E$20:$E$122,(MATCH(INDEX(PMsheet!$D:$E,MATCH(A126,PMsheet!E:E,0),1),SETUP!$D$20:$D$122,0))))</f>
        <v/>
      </c>
      <c r="N126" s="496">
        <f>IF($O126="USD",_xlfn.IFNA(VLOOKUP(A126&amp;E126&amp;I126,PMsheet!J:K,2,0),0),(_xlfn.IFNA(VLOOKUP(A126&amp;E126&amp;I126,PMsheet!J:K,2,0),0)*'Master Data-C19RM'!$C$2))</f>
        <v>0</v>
      </c>
      <c r="O126" s="492" t="str">
        <f>IF(L126="", "",SETUP!$E$7)</f>
        <v/>
      </c>
      <c r="P126" s="456">
        <f>IF($O126="USD",_xlfn.IFNA(VLOOKUP($A126&amp;$E126&amp;$I126,PMsheet!$J:$K,2,0),0),(_xlfn.IFNA(VLOOKUP($A126&amp;$E126&amp;$I126,PMsheet!$J:$K,2,0),0)*'Master Data'!$C$2))</f>
        <v>0</v>
      </c>
      <c r="Q126" s="441"/>
      <c r="R126" s="441"/>
      <c r="S126" s="441"/>
      <c r="T126" s="441"/>
      <c r="U126" s="481">
        <f>SUM('C19RM 2021-Pharma'!$Q126:$T126)</f>
        <v>0</v>
      </c>
      <c r="V126" s="483">
        <f>IF(SETUP!$E$7="USD",(U126*(IF(O126="USD",P126,(P126/'Master Data'!$C$2)))),(U126*(IF(O126="EUR",P126,(P126*'Master Data'!$C$2)))))</f>
        <v>0</v>
      </c>
      <c r="W126" s="444">
        <f>IF($O126="USD",_xlfn.IFNA(VLOOKUP($A126&amp;$E126&amp;$I126,PMsheet!$J:$K,2,0),0),(_xlfn.IFNA(VLOOKUP($A126&amp;$E126&amp;$I126,PMsheet!$J:$K,2,0),0)*'Master Data'!$D$2))</f>
        <v>0</v>
      </c>
      <c r="X126" s="441"/>
      <c r="Y126" s="441"/>
      <c r="Z126" s="441"/>
      <c r="AA126" s="441"/>
      <c r="AB126" s="481">
        <f>SUM('C19RM 2021-Pharma'!$X126:$AA126)</f>
        <v>0</v>
      </c>
      <c r="AC126" s="483">
        <f>IF(SETUP!$E$7="USD",(AB126*(IF(O126="USD",W126,(W126/'Master Data'!$D$2)))),(AB126*(IF(O126="EUR",W126,(W126*'Master Data'!$D$2)))))</f>
        <v>0</v>
      </c>
      <c r="AD126" s="444">
        <f>IF($O126="USD",_xlfn.IFNA(VLOOKUP($A126&amp;$E126&amp;$I126,PMsheet!$J:$K,2,0),0),(_xlfn.IFNA(VLOOKUP($A126&amp;$E126&amp;$I126,PMsheet!$J:$K,2,0),0)*'Master Data'!$E$2))</f>
        <v>0</v>
      </c>
      <c r="AE126" s="441"/>
      <c r="AF126" s="441"/>
      <c r="AG126" s="441"/>
      <c r="AH126" s="441"/>
      <c r="AI126" s="481">
        <f>SUM('C19RM 2021-Pharma'!$AE126:$AH126)</f>
        <v>0</v>
      </c>
      <c r="AJ126" s="483">
        <f>IF(SETUP!$E$7="USD",(AI126*(IF(O126="USD",AD126,(AD126/'Master Data'!$E$2)))),(AI126*(IF(O126="EUR",AD126,(AD126*'Master Data'!$E$2)))))</f>
        <v>0</v>
      </c>
      <c r="AK126" s="444">
        <f>IF($O126="USD",_xlfn.IFNA(VLOOKUP($A126&amp;$E126&amp;$I126,PMsheet!$J:$K,2,0),0),(_xlfn.IFNA(VLOOKUP($A126&amp;$E126&amp;$I126,PMsheet!$J:$K,2,0),0)*'Master Data'!$F$2))</f>
        <v>0</v>
      </c>
      <c r="AL126" s="441"/>
      <c r="AM126" s="441"/>
      <c r="AN126" s="441"/>
      <c r="AO126" s="441"/>
      <c r="AP126" s="512">
        <f>SUM('C19RM 2021-Pharma'!$AL126:$AO126)</f>
        <v>0</v>
      </c>
      <c r="AQ126" s="513">
        <f>IF(SETUP!$E$7="USD",(AP126*(IF(O126="USD",AK126,(AK126/'Master Data'!$F$2)))),(AP126*(IF(O126="EUR",AK126,(AK126*'Master Data'!$F$2)))))</f>
        <v>0</v>
      </c>
      <c r="AR126" s="520"/>
      <c r="AS126" s="512"/>
      <c r="AT126" s="512"/>
      <c r="AU126" s="512"/>
      <c r="AV126" s="512"/>
      <c r="AW126" s="512"/>
      <c r="AX126" s="513"/>
      <c r="AY126" s="512"/>
      <c r="AZ126" s="512"/>
      <c r="BA126" s="512"/>
      <c r="BB126" s="512"/>
      <c r="BC126" s="512"/>
      <c r="BD126" s="512"/>
      <c r="BE126" s="512"/>
      <c r="BF126" s="520">
        <f>'C19RM 2021-Pharma'!$U126+'C19RM 2021-Pharma'!$AB126+'C19RM 2021-Pharma'!$AP126++'C19RM 2021-Pharma'!$AI126</f>
        <v>0</v>
      </c>
      <c r="BG126" s="513">
        <f>'C19RM 2021-Pharma'!$V126+'C19RM 2021-Pharma'!$AC126+'C19RM 2021-Pharma'!$AQ126+'C19RM 2021-Pharma'!$AJ126</f>
        <v>0</v>
      </c>
      <c r="BH126" s="500" t="str" cm="1">
        <f t="array" ref="BH126">IF(A126&lt;&gt;"",IFERROR(INDEX(PMtbl[[WKst]:[Unit of measure*]],MATCH($A$115&amp;$A126&amp;$E126&amp;$I126,INDEX(PMtbl[Sec]&amp;PMtbl[Category]&amp;PMtbl[Each]&amp;PMtbl[Packaging],0,),0),12),""),"")</f>
        <v/>
      </c>
      <c r="BI126" s="819"/>
      <c r="BJ126" s="502" t="str" cm="1">
        <f t="array" ref="BJ126">IFERROR(INDEX(SETUP!$C$19:$G$121,MATCH((INDEX(PMtbl[[WKst]:[Unit of measure*]],MATCH($A126&amp;$E126&amp;$I126,INDEX(PMtbl[Category]&amp;PMtbl[Each]&amp;PMtbl[Packaging],0,),0),3)),SETUP!$D$19:$D$121,0),5),"")</f>
        <v/>
      </c>
      <c r="BK126" s="438" t="str" cm="1">
        <f t="array" ref="BK126">IFERROR(IF((INDEX(SETUP!$C$19:$G$121,MATCH((INDEX(PMtbl[[WKst]:[Unit of measure*]],MATCH($A126&amp;$E126&amp;$I126,INDEX(PMtbl[Category]&amp;PMtbl[Each]&amp;PMtbl[Packaging],0,),0),3)),SETUP!$D$19:$D$121,0),4))="Upfront",0,INDEX(SETUP!$C$19:$G$121,MATCH((INDEX(PMtbl[[WKst]:[Unit of measure*]],MATCH($A126&amp;$E126&amp;$I126,INDEX(PMtbl[Category]&amp;PMtbl[Each]&amp;PMtbl[Packaging],0,),0),3)),SETUP!$D$19:$D$121,0),5)),"")</f>
        <v/>
      </c>
      <c r="BL126" s="196" t="str" cm="1">
        <f t="array" ref="BL126">IF(E126&lt;&gt;"",IFERROR(INDEX(PMtbl[[WKst]:[Unit of measure*]],MATCH($A$115&amp;$A126&amp;$E126&amp;$I126,INDEX(PMtbl[Sec]&amp;PMtbl[Category]&amp;PMtbl[Each]&amp;PMtbl[Packaging],0,),0),11),""),"")</f>
        <v/>
      </c>
      <c r="BO126" s="12">
        <f>IF(N126="",0,IF(SETUP!$E$7="USD",((IF(O126="USD",P126,(P126/'Master Data-C19RM'!$C$2)))),((IF(O126="EUR",P126,(P126*'Master Data-C19RM'!$C$2))))))</f>
        <v>0</v>
      </c>
      <c r="BP126" s="12">
        <f>IF(N126="",0,IF(SETUP!$E$7="USD",((IF(O126="USD",W126,(W126/'Master Data-C19RM'!$D$2)))),((IF(O126="EUR",W126,(W126*'Master Data-C19RM'!$D$2))))))</f>
        <v>0</v>
      </c>
      <c r="BQ126">
        <f>IF(N126="",0,IF(SETUP!$E$7="USD",((IF(O126="USD",AD126,(AD126/'Master Data-C19RM'!$E$2)))),((IF(O126="EUR",AD126,(AD126*'Master Data-C19RM'!$E$2))))))</f>
        <v>0</v>
      </c>
      <c r="BR126">
        <f>IF(N126="",0,IF(SETUP!$E$7="USD",((IF(O126="USD",AK126,(AK126/'Master Data-C19RM'!$F$2)))),((IF(O126="EUR",AK126,(AK126*'Master Data-C19RM'!$F$2))))))</f>
        <v>0</v>
      </c>
      <c r="BU126" s="12">
        <f t="shared" si="7"/>
        <v>0</v>
      </c>
      <c r="BV126" s="142">
        <f t="shared" si="8"/>
        <v>0</v>
      </c>
    </row>
    <row r="127" spans="1:92" hidden="1" x14ac:dyDescent="0.35">
      <c r="A127" s="1192"/>
      <c r="B127" s="1192"/>
      <c r="C127" s="1192"/>
      <c r="D127" s="1192"/>
      <c r="E127" s="1173"/>
      <c r="F127" s="1173"/>
      <c r="G127" s="1173"/>
      <c r="H127" s="1173"/>
      <c r="I127" s="1193"/>
      <c r="J127" s="1193"/>
      <c r="K127" s="1193"/>
      <c r="L127" s="493" t="str" cm="1">
        <f t="array" ref="L127">IF(A127&lt;&gt;"",IFERROR(INDEX(PMtbl[[WKst]:[Unit of measure*]],MATCH($A$115&amp;$A127&amp;$E127&amp;$I127,INDEX(PMtbl[Sec]&amp;PMtbl[Category]&amp;PMtbl[Each]&amp;PMtbl[Packaging],0,),0),14),""),"")</f>
        <v/>
      </c>
      <c r="M127" s="480" t="str">
        <f>IF(L127="","",INDEX(SETUP!$E$20:$E$122,(MATCH(INDEX(PMsheet!$D:$E,MATCH(A127,PMsheet!E:E,0),1),SETUP!$D$20:$D$122,0))))</f>
        <v/>
      </c>
      <c r="N127" s="494">
        <f>IF($O127="USD",_xlfn.IFNA(VLOOKUP(A127&amp;E127&amp;I127,PMsheet!J:K,2,0),0),(_xlfn.IFNA(VLOOKUP(A127&amp;E127&amp;I127,PMsheet!J:K,2,0),0)*'Master Data-C19RM'!$C$2))</f>
        <v>0</v>
      </c>
      <c r="O127" s="495" t="str">
        <f>IF(L127="", "",SETUP!$E$7)</f>
        <v/>
      </c>
      <c r="P127" s="457">
        <f>IF($O127="USD",_xlfn.IFNA(VLOOKUP($A127&amp;$E127&amp;$I127,PMsheet!$J:$K,2,0),0),(_xlfn.IFNA(VLOOKUP($A127&amp;$E127&amp;$I127,PMsheet!$J:$K,2,0),0)*'Master Data'!$C$2))</f>
        <v>0</v>
      </c>
      <c r="Q127" s="440"/>
      <c r="R127" s="440"/>
      <c r="S127" s="440"/>
      <c r="T127" s="440"/>
      <c r="U127" s="482">
        <f>SUM('C19RM 2021-Pharma'!$Q127:$T127)</f>
        <v>0</v>
      </c>
      <c r="V127" s="484">
        <f>IF(SETUP!$E$7="USD",(U127*(IF(O127="USD",P127,(P127/'Master Data'!$C$2)))),(U127*(IF(O127="EUR",P127,(P127*'Master Data'!$C$2)))))</f>
        <v>0</v>
      </c>
      <c r="W127" s="445">
        <f>IF($O127="USD",_xlfn.IFNA(VLOOKUP($A127&amp;$E127&amp;$I127,PMsheet!$J:$K,2,0),0),(_xlfn.IFNA(VLOOKUP($A127&amp;$E127&amp;$I127,PMsheet!$J:$K,2,0),0)*'Master Data'!$D$2))</f>
        <v>0</v>
      </c>
      <c r="X127" s="440"/>
      <c r="Y127" s="440"/>
      <c r="Z127" s="440"/>
      <c r="AA127" s="440"/>
      <c r="AB127" s="482">
        <f>SUM('C19RM 2021-Pharma'!$X127:$AA127)</f>
        <v>0</v>
      </c>
      <c r="AC127" s="484">
        <f>IF(SETUP!$E$7="USD",(AB127*(IF(O127="USD",W127,(W127/'Master Data'!$D$2)))),(AB127*(IF(O127="EUR",W127,(W127*'Master Data'!$D$2)))))</f>
        <v>0</v>
      </c>
      <c r="AD127" s="445">
        <f>IF($O127="USD",_xlfn.IFNA(VLOOKUP($A127&amp;$E127&amp;$I127,PMsheet!$J:$K,2,0),0),(_xlfn.IFNA(VLOOKUP($A127&amp;$E127&amp;$I127,PMsheet!$J:$K,2,0),0)*'Master Data'!$E$2))</f>
        <v>0</v>
      </c>
      <c r="AE127" s="440"/>
      <c r="AF127" s="440"/>
      <c r="AG127" s="440"/>
      <c r="AH127" s="440"/>
      <c r="AI127" s="482">
        <f>SUM('C19RM 2021-Pharma'!$AE127:$AH127)</f>
        <v>0</v>
      </c>
      <c r="AJ127" s="484">
        <f>IF(SETUP!$E$7="USD",(AI127*(IF(O127="USD",AD127,(AD127/'Master Data'!$E$2)))),(AI127*(IF(O127="EUR",AD127,(AD127*'Master Data'!$E$2)))))</f>
        <v>0</v>
      </c>
      <c r="AK127" s="445">
        <f>IF($O127="USD",_xlfn.IFNA(VLOOKUP($A127&amp;$E127&amp;$I127,PMsheet!$J:$K,2,0),0),(_xlfn.IFNA(VLOOKUP($A127&amp;$E127&amp;$I127,PMsheet!$J:$K,2,0),0)*'Master Data'!$F$2))</f>
        <v>0</v>
      </c>
      <c r="AL127" s="440"/>
      <c r="AM127" s="440"/>
      <c r="AN127" s="440"/>
      <c r="AO127" s="440"/>
      <c r="AP127" s="514">
        <f>SUM('C19RM 2021-Pharma'!$AL127:$AO127)</f>
        <v>0</v>
      </c>
      <c r="AQ127" s="515">
        <f>IF(SETUP!$E$7="USD",(AP127*(IF(O127="USD",AK127,(AK127/'Master Data'!$F$2)))),(AP127*(IF(O127="EUR",AK127,(AK127*'Master Data'!$F$2)))))</f>
        <v>0</v>
      </c>
      <c r="AR127" s="521"/>
      <c r="AS127" s="514"/>
      <c r="AT127" s="514"/>
      <c r="AU127" s="514"/>
      <c r="AV127" s="514"/>
      <c r="AW127" s="514"/>
      <c r="AX127" s="515"/>
      <c r="AY127" s="514"/>
      <c r="AZ127" s="514"/>
      <c r="BA127" s="514"/>
      <c r="BB127" s="514"/>
      <c r="BC127" s="514"/>
      <c r="BD127" s="514"/>
      <c r="BE127" s="514"/>
      <c r="BF127" s="521">
        <f>'C19RM 2021-Pharma'!$U127+'C19RM 2021-Pharma'!$AB127+'C19RM 2021-Pharma'!$AP127++'C19RM 2021-Pharma'!$AI127</f>
        <v>0</v>
      </c>
      <c r="BG127" s="515">
        <f>'C19RM 2021-Pharma'!$V127+'C19RM 2021-Pharma'!$AC127+'C19RM 2021-Pharma'!$AQ127+'C19RM 2021-Pharma'!$AJ127</f>
        <v>0</v>
      </c>
      <c r="BH127" s="522" t="str" cm="1">
        <f t="array" ref="BH127">IF(A127&lt;&gt;"",IFERROR(INDEX(PMtbl[[WKst]:[Unit of measure*]],MATCH($A$115&amp;$A127&amp;$E127&amp;$I127,INDEX(PMtbl[Sec]&amp;PMtbl[Category]&amp;PMtbl[Each]&amp;PMtbl[Packaging],0,),0),12),""),"")</f>
        <v/>
      </c>
      <c r="BI127" s="818"/>
      <c r="BJ127" s="503" t="str" cm="1">
        <f t="array" ref="BJ127">IFERROR(INDEX(SETUP!$C$19:$G$121,MATCH((INDEX(PMtbl[[WKst]:[Unit of measure*]],MATCH($A127&amp;$E127&amp;$I127,INDEX(PMtbl[Category]&amp;PMtbl[Each]&amp;PMtbl[Packaging],0,),0),3)),SETUP!$D$19:$D$121,0),5),"")</f>
        <v/>
      </c>
      <c r="BK127" s="439" t="str" cm="1">
        <f t="array" ref="BK127">IFERROR(IF((INDEX(SETUP!$C$19:$G$121,MATCH((INDEX(PMtbl[[WKst]:[Unit of measure*]],MATCH($A127&amp;$E127&amp;$I127,INDEX(PMtbl[Category]&amp;PMtbl[Each]&amp;PMtbl[Packaging],0,),0),3)),SETUP!$D$19:$D$121,0),4))="Upfront",0,INDEX(SETUP!$C$19:$G$121,MATCH((INDEX(PMtbl[[WKst]:[Unit of measure*]],MATCH($A127&amp;$E127&amp;$I127,INDEX(PMtbl[Category]&amp;PMtbl[Each]&amp;PMtbl[Packaging],0,),0),3)),SETUP!$D$19:$D$121,0),5)),"")</f>
        <v/>
      </c>
      <c r="BL127" s="197" t="str" cm="1">
        <f t="array" ref="BL127">IF(E127&lt;&gt;"",IFERROR(INDEX(PMtbl[[WKst]:[Unit of measure*]],MATCH($A$115&amp;$A127&amp;$E127&amp;$I127,INDEX(PMtbl[Sec]&amp;PMtbl[Category]&amp;PMtbl[Each]&amp;PMtbl[Packaging],0,),0),11),""),"")</f>
        <v/>
      </c>
      <c r="BO127" s="12">
        <f>IF(N127="",0,IF(SETUP!$E$7="USD",((IF(O127="USD",P127,(P127/'Master Data-C19RM'!$C$2)))),((IF(O127="EUR",P127,(P127*'Master Data-C19RM'!$C$2))))))</f>
        <v>0</v>
      </c>
      <c r="BP127" s="12">
        <f>IF(N127="",0,IF(SETUP!$E$7="USD",((IF(O127="USD",W127,(W127/'Master Data-C19RM'!$D$2)))),((IF(O127="EUR",W127,(W127*'Master Data-C19RM'!$D$2))))))</f>
        <v>0</v>
      </c>
      <c r="BQ127">
        <f>IF(N127="",0,IF(SETUP!$E$7="USD",((IF(O127="USD",AD127,(AD127/'Master Data-C19RM'!$E$2)))),((IF(O127="EUR",AD127,(AD127*'Master Data-C19RM'!$E$2))))))</f>
        <v>0</v>
      </c>
      <c r="BR127">
        <f>IF(N127="",0,IF(SETUP!$E$7="USD",((IF(O127="USD",AK127,(AK127/'Master Data-C19RM'!$F$2)))),((IF(O127="EUR",AK127,(AK127*'Master Data-C19RM'!$F$2))))))</f>
        <v>0</v>
      </c>
      <c r="BU127" s="12">
        <f t="shared" si="7"/>
        <v>0</v>
      </c>
      <c r="BV127" s="142">
        <f t="shared" si="8"/>
        <v>0</v>
      </c>
    </row>
    <row r="128" spans="1:92" hidden="1" x14ac:dyDescent="0.35">
      <c r="A128" s="1165"/>
      <c r="B128" s="1165"/>
      <c r="C128" s="1165"/>
      <c r="D128" s="1165"/>
      <c r="E128" s="1166"/>
      <c r="F128" s="1166"/>
      <c r="G128" s="1166"/>
      <c r="H128" s="1166"/>
      <c r="I128" s="1166"/>
      <c r="J128" s="1166"/>
      <c r="K128" s="1166"/>
      <c r="L128" s="490" t="str" cm="1">
        <f t="array" ref="L128">IF(A128&lt;&gt;"",IFERROR(INDEX(PMtbl[[WKst]:[Unit of measure*]],MATCH($A$115&amp;$A128&amp;$E128&amp;$I128,INDEX(PMtbl[Sec]&amp;PMtbl[Category]&amp;PMtbl[Each]&amp;PMtbl[Packaging],0,),0),14),""),"")</f>
        <v/>
      </c>
      <c r="M128" s="479" t="str">
        <f>IF(L128="","",INDEX(SETUP!$E$20:$E$122,(MATCH(INDEX(PMsheet!$D:$E,MATCH(A128,PMsheet!E:E,0),1),SETUP!$D$20:$D$122,0))))</f>
        <v/>
      </c>
      <c r="N128" s="496">
        <f>IF($O128="USD",_xlfn.IFNA(VLOOKUP(A128&amp;E128&amp;I128,PMsheet!J:K,2,0),0),(_xlfn.IFNA(VLOOKUP(A128&amp;E128&amp;I128,PMsheet!J:K,2,0),0)*'Master Data-C19RM'!$C$2))</f>
        <v>0</v>
      </c>
      <c r="O128" s="492" t="str">
        <f>IF(L128="", "",SETUP!$E$7)</f>
        <v/>
      </c>
      <c r="P128" s="456">
        <f>IF($O128="USD",_xlfn.IFNA(VLOOKUP($A128&amp;$E128&amp;$I128,PMsheet!$J:$K,2,0),0),(_xlfn.IFNA(VLOOKUP($A128&amp;$E128&amp;$I128,PMsheet!$J:$K,2,0),0)*'Master Data'!$C$2))</f>
        <v>0</v>
      </c>
      <c r="Q128" s="441"/>
      <c r="R128" s="441"/>
      <c r="S128" s="441"/>
      <c r="T128" s="441"/>
      <c r="U128" s="481">
        <f>SUM('C19RM 2021-Pharma'!$Q128:$T128)</f>
        <v>0</v>
      </c>
      <c r="V128" s="483">
        <f>IF(SETUP!$E$7="USD",(U128*(IF(O128="USD",P128,(P128/'Master Data'!$C$2)))),(U128*(IF(O128="EUR",P128,(P128*'Master Data'!$C$2)))))</f>
        <v>0</v>
      </c>
      <c r="W128" s="444">
        <f>IF($O128="USD",_xlfn.IFNA(VLOOKUP($A128&amp;$E128&amp;$I128,PMsheet!$J:$K,2,0),0),(_xlfn.IFNA(VLOOKUP($A128&amp;$E128&amp;$I128,PMsheet!$J:$K,2,0),0)*'Master Data'!$D$2))</f>
        <v>0</v>
      </c>
      <c r="X128" s="441"/>
      <c r="Y128" s="441"/>
      <c r="Z128" s="441"/>
      <c r="AA128" s="441"/>
      <c r="AB128" s="481">
        <f>SUM('C19RM 2021-Pharma'!$X128:$AA128)</f>
        <v>0</v>
      </c>
      <c r="AC128" s="483">
        <f>IF(SETUP!$E$7="USD",(AB128*(IF(O128="USD",W128,(W128/'Master Data'!$D$2)))),(AB128*(IF(O128="EUR",W128,(W128*'Master Data'!$D$2)))))</f>
        <v>0</v>
      </c>
      <c r="AD128" s="444">
        <f>IF($O128="USD",_xlfn.IFNA(VLOOKUP($A128&amp;$E128&amp;$I128,PMsheet!$J:$K,2,0),0),(_xlfn.IFNA(VLOOKUP($A128&amp;$E128&amp;$I128,PMsheet!$J:$K,2,0),0)*'Master Data'!$E$2))</f>
        <v>0</v>
      </c>
      <c r="AE128" s="441"/>
      <c r="AF128" s="441"/>
      <c r="AG128" s="441"/>
      <c r="AH128" s="441"/>
      <c r="AI128" s="481">
        <f>SUM('C19RM 2021-Pharma'!$AE128:$AH128)</f>
        <v>0</v>
      </c>
      <c r="AJ128" s="483">
        <f>IF(SETUP!$E$7="USD",(AI128*(IF(O128="USD",AD128,(AD128/'Master Data'!$E$2)))),(AI128*(IF(O128="EUR",AD128,(AD128*'Master Data'!$E$2)))))</f>
        <v>0</v>
      </c>
      <c r="AK128" s="444">
        <f>IF($O128="USD",_xlfn.IFNA(VLOOKUP($A128&amp;$E128&amp;$I128,PMsheet!$J:$K,2,0),0),(_xlfn.IFNA(VLOOKUP($A128&amp;$E128&amp;$I128,PMsheet!$J:$K,2,0),0)*'Master Data'!$F$2))</f>
        <v>0</v>
      </c>
      <c r="AL128" s="441"/>
      <c r="AM128" s="441"/>
      <c r="AN128" s="441"/>
      <c r="AO128" s="441"/>
      <c r="AP128" s="512">
        <f>SUM('C19RM 2021-Pharma'!$AL128:$AO128)</f>
        <v>0</v>
      </c>
      <c r="AQ128" s="513">
        <f>IF(SETUP!$E$7="USD",(AP128*(IF(O128="USD",AK128,(AK128/'Master Data'!$F$2)))),(AP128*(IF(O128="EUR",AK128,(AK128*'Master Data'!$F$2)))))</f>
        <v>0</v>
      </c>
      <c r="AR128" s="520"/>
      <c r="AS128" s="512"/>
      <c r="AT128" s="512"/>
      <c r="AU128" s="512"/>
      <c r="AV128" s="512"/>
      <c r="AW128" s="512"/>
      <c r="AX128" s="513"/>
      <c r="AY128" s="512"/>
      <c r="AZ128" s="512"/>
      <c r="BA128" s="512"/>
      <c r="BB128" s="512"/>
      <c r="BC128" s="512"/>
      <c r="BD128" s="512"/>
      <c r="BE128" s="512"/>
      <c r="BF128" s="520">
        <f>'C19RM 2021-Pharma'!$U128+'C19RM 2021-Pharma'!$AB128+'C19RM 2021-Pharma'!$AP128++'C19RM 2021-Pharma'!$AI128</f>
        <v>0</v>
      </c>
      <c r="BG128" s="513">
        <f>'C19RM 2021-Pharma'!$V128+'C19RM 2021-Pharma'!$AC128+'C19RM 2021-Pharma'!$AQ128+'C19RM 2021-Pharma'!$AJ128</f>
        <v>0</v>
      </c>
      <c r="BH128" s="500" t="str" cm="1">
        <f t="array" ref="BH128">IF(A128&lt;&gt;"",IFERROR(INDEX(PMtbl[[WKst]:[Unit of measure*]],MATCH($A$115&amp;$A128&amp;$E128&amp;$I128,INDEX(PMtbl[Sec]&amp;PMtbl[Category]&amp;PMtbl[Each]&amp;PMtbl[Packaging],0,),0),12),""),"")</f>
        <v/>
      </c>
      <c r="BI128" s="819"/>
      <c r="BJ128" s="502" t="str" cm="1">
        <f t="array" ref="BJ128">IFERROR(INDEX(SETUP!$C$19:$G$121,MATCH((INDEX(PMtbl[[WKst]:[Unit of measure*]],MATCH($A128&amp;$E128&amp;$I128,INDEX(PMtbl[Category]&amp;PMtbl[Each]&amp;PMtbl[Packaging],0,),0),3)),SETUP!$D$19:$D$121,0),5),"")</f>
        <v/>
      </c>
      <c r="BK128" s="438" t="str" cm="1">
        <f t="array" ref="BK128">IFERROR(IF((INDEX(SETUP!$C$19:$G$121,MATCH((INDEX(PMtbl[[WKst]:[Unit of measure*]],MATCH($A128&amp;$E128&amp;$I128,INDEX(PMtbl[Category]&amp;PMtbl[Each]&amp;PMtbl[Packaging],0,),0),3)),SETUP!$D$19:$D$121,0),4))="Upfront",0,INDEX(SETUP!$C$19:$G$121,MATCH((INDEX(PMtbl[[WKst]:[Unit of measure*]],MATCH($A128&amp;$E128&amp;$I128,INDEX(PMtbl[Category]&amp;PMtbl[Each]&amp;PMtbl[Packaging],0,),0),3)),SETUP!$D$19:$D$121,0),5)),"")</f>
        <v/>
      </c>
      <c r="BL128" s="196" t="str" cm="1">
        <f t="array" ref="BL128">IF(E128&lt;&gt;"",IFERROR(INDEX(PMtbl[[WKst]:[Unit of measure*]],MATCH($A$115&amp;$A128&amp;$E128&amp;$I128,INDEX(PMtbl[Sec]&amp;PMtbl[Category]&amp;PMtbl[Each]&amp;PMtbl[Packaging],0,),0),11),""),"")</f>
        <v/>
      </c>
      <c r="BO128" s="12">
        <f>IF(N128="",0,IF(SETUP!$E$7="USD",((IF(O128="USD",P128,(P128/'Master Data-C19RM'!$C$2)))),((IF(O128="EUR",P128,(P128*'Master Data-C19RM'!$C$2))))))</f>
        <v>0</v>
      </c>
      <c r="BP128" s="12">
        <f>IF(N128="",0,IF(SETUP!$E$7="USD",((IF(O128="USD",W128,(W128/'Master Data-C19RM'!$D$2)))),((IF(O128="EUR",W128,(W128*'Master Data-C19RM'!$D$2))))))</f>
        <v>0</v>
      </c>
      <c r="BQ128">
        <f>IF(N128="",0,IF(SETUP!$E$7="USD",((IF(O128="USD",AD128,(AD128/'Master Data-C19RM'!$E$2)))),((IF(O128="EUR",AD128,(AD128*'Master Data-C19RM'!$E$2))))))</f>
        <v>0</v>
      </c>
      <c r="BR128">
        <f>IF(N128="",0,IF(SETUP!$E$7="USD",((IF(O128="USD",AK128,(AK128/'Master Data-C19RM'!$F$2)))),((IF(O128="EUR",AK128,(AK128*'Master Data-C19RM'!$F$2))))))</f>
        <v>0</v>
      </c>
      <c r="BU128" s="12">
        <f t="shared" si="7"/>
        <v>0</v>
      </c>
      <c r="BV128" s="142">
        <f t="shared" si="8"/>
        <v>0</v>
      </c>
    </row>
    <row r="129" spans="1:74" hidden="1" x14ac:dyDescent="0.35">
      <c r="A129" s="1192"/>
      <c r="B129" s="1192"/>
      <c r="C129" s="1192"/>
      <c r="D129" s="1192"/>
      <c r="E129" s="1173"/>
      <c r="F129" s="1173"/>
      <c r="G129" s="1173"/>
      <c r="H129" s="1173"/>
      <c r="I129" s="1193"/>
      <c r="J129" s="1193"/>
      <c r="K129" s="1193"/>
      <c r="L129" s="493" t="str" cm="1">
        <f t="array" ref="L129">IF(A129&lt;&gt;"",IFERROR(INDEX(PMtbl[[WKst]:[Unit of measure*]],MATCH($A$115&amp;$A129&amp;$E129&amp;$I129,INDEX(PMtbl[Sec]&amp;PMtbl[Category]&amp;PMtbl[Each]&amp;PMtbl[Packaging],0,),0),14),""),"")</f>
        <v/>
      </c>
      <c r="M129" s="480" t="str">
        <f>IF(L129="","",INDEX(SETUP!$E$20:$E$122,(MATCH(INDEX(PMsheet!$D:$E,MATCH(A129,PMsheet!E:E,0),1),SETUP!$D$20:$D$122,0))))</f>
        <v/>
      </c>
      <c r="N129" s="494">
        <f>IF($O129="USD",_xlfn.IFNA(VLOOKUP(A129&amp;E129&amp;I129,PMsheet!J:K,2,0),0),(_xlfn.IFNA(VLOOKUP(A129&amp;E129&amp;I129,PMsheet!J:K,2,0),0)*'Master Data-C19RM'!$C$2))</f>
        <v>0</v>
      </c>
      <c r="O129" s="495" t="str">
        <f>IF(L129="", "",SETUP!$E$7)</f>
        <v/>
      </c>
      <c r="P129" s="457">
        <f>IF($O129="USD",_xlfn.IFNA(VLOOKUP($A129&amp;$E129&amp;$I129,PMsheet!$J:$K,2,0),0),(_xlfn.IFNA(VLOOKUP($A129&amp;$E129&amp;$I129,PMsheet!$J:$K,2,0),0)*'Master Data'!$C$2))</f>
        <v>0</v>
      </c>
      <c r="Q129" s="440"/>
      <c r="R129" s="440"/>
      <c r="S129" s="440"/>
      <c r="T129" s="440"/>
      <c r="U129" s="482">
        <f>SUM('C19RM 2021-Pharma'!$Q129:$T129)</f>
        <v>0</v>
      </c>
      <c r="V129" s="484">
        <f>IF(SETUP!$E$7="USD",(U129*(IF(O129="USD",P129,(P129/'Master Data'!$C$2)))),(U129*(IF(O129="EUR",P129,(P129*'Master Data'!$C$2)))))</f>
        <v>0</v>
      </c>
      <c r="W129" s="445">
        <f>IF($O129="USD",_xlfn.IFNA(VLOOKUP($A129&amp;$E129&amp;$I129,PMsheet!$J:$K,2,0),0),(_xlfn.IFNA(VLOOKUP($A129&amp;$E129&amp;$I129,PMsheet!$J:$K,2,0),0)*'Master Data'!$D$2))</f>
        <v>0</v>
      </c>
      <c r="X129" s="440"/>
      <c r="Y129" s="440"/>
      <c r="Z129" s="440"/>
      <c r="AA129" s="440"/>
      <c r="AB129" s="482">
        <f>SUM('C19RM 2021-Pharma'!$X129:$AA129)</f>
        <v>0</v>
      </c>
      <c r="AC129" s="484">
        <f>IF(SETUP!$E$7="USD",(AB129*(IF(O129="USD",W129,(W129/'Master Data'!$D$2)))),(AB129*(IF(O129="EUR",W129,(W129*'Master Data'!$D$2)))))</f>
        <v>0</v>
      </c>
      <c r="AD129" s="445">
        <f>IF($O129="USD",_xlfn.IFNA(VLOOKUP($A129&amp;$E129&amp;$I129,PMsheet!$J:$K,2,0),0),(_xlfn.IFNA(VLOOKUP($A129&amp;$E129&amp;$I129,PMsheet!$J:$K,2,0),0)*'Master Data'!$E$2))</f>
        <v>0</v>
      </c>
      <c r="AE129" s="440"/>
      <c r="AF129" s="440"/>
      <c r="AG129" s="440"/>
      <c r="AH129" s="440"/>
      <c r="AI129" s="482">
        <f>SUM('C19RM 2021-Pharma'!$AE129:$AH129)</f>
        <v>0</v>
      </c>
      <c r="AJ129" s="484">
        <f>IF(SETUP!$E$7="USD",(AI129*(IF(O129="USD",AD129,(AD129/'Master Data'!$E$2)))),(AI129*(IF(O129="EUR",AD129,(AD129*'Master Data'!$E$2)))))</f>
        <v>0</v>
      </c>
      <c r="AK129" s="445">
        <f>IF($O129="USD",_xlfn.IFNA(VLOOKUP($A129&amp;$E129&amp;$I129,PMsheet!$J:$K,2,0),0),(_xlfn.IFNA(VLOOKUP($A129&amp;$E129&amp;$I129,PMsheet!$J:$K,2,0),0)*'Master Data'!$F$2))</f>
        <v>0</v>
      </c>
      <c r="AL129" s="440"/>
      <c r="AM129" s="440"/>
      <c r="AN129" s="440"/>
      <c r="AO129" s="440"/>
      <c r="AP129" s="514">
        <f>SUM('C19RM 2021-Pharma'!$AL129:$AO129)</f>
        <v>0</v>
      </c>
      <c r="AQ129" s="515">
        <f>IF(SETUP!$E$7="USD",(AP129*(IF(O129="USD",AK129,(AK129/'Master Data'!$F$2)))),(AP129*(IF(O129="EUR",AK129,(AK129*'Master Data'!$F$2)))))</f>
        <v>0</v>
      </c>
      <c r="AR129" s="521"/>
      <c r="AS129" s="514"/>
      <c r="AT129" s="514"/>
      <c r="AU129" s="514"/>
      <c r="AV129" s="514"/>
      <c r="AW129" s="514"/>
      <c r="AX129" s="515"/>
      <c r="AY129" s="514"/>
      <c r="AZ129" s="514"/>
      <c r="BA129" s="514"/>
      <c r="BB129" s="514"/>
      <c r="BC129" s="514"/>
      <c r="BD129" s="514"/>
      <c r="BE129" s="514"/>
      <c r="BF129" s="521">
        <f>'C19RM 2021-Pharma'!$U129+'C19RM 2021-Pharma'!$AB129+'C19RM 2021-Pharma'!$AP129++'C19RM 2021-Pharma'!$AI129</f>
        <v>0</v>
      </c>
      <c r="BG129" s="515">
        <f>'C19RM 2021-Pharma'!$V129+'C19RM 2021-Pharma'!$AC129+'C19RM 2021-Pharma'!$AQ129+'C19RM 2021-Pharma'!$AJ129</f>
        <v>0</v>
      </c>
      <c r="BH129" s="522" t="str" cm="1">
        <f t="array" ref="BH129">IF(A129&lt;&gt;"",IFERROR(INDEX(PMtbl[[WKst]:[Unit of measure*]],MATCH($A$115&amp;$A129&amp;$E129&amp;$I129,INDEX(PMtbl[Sec]&amp;PMtbl[Category]&amp;PMtbl[Each]&amp;PMtbl[Packaging],0,),0),12),""),"")</f>
        <v/>
      </c>
      <c r="BI129" s="818"/>
      <c r="BJ129" s="503" t="str" cm="1">
        <f t="array" ref="BJ129">IFERROR(INDEX(SETUP!$C$19:$G$121,MATCH((INDEX(PMtbl[[WKst]:[Unit of measure*]],MATCH($A129&amp;$E129&amp;$I129,INDEX(PMtbl[Category]&amp;PMtbl[Each]&amp;PMtbl[Packaging],0,),0),3)),SETUP!$D$19:$D$121,0),5),"")</f>
        <v/>
      </c>
      <c r="BK129" s="439" t="str" cm="1">
        <f t="array" ref="BK129">IFERROR(IF((INDEX(SETUP!$C$19:$G$121,MATCH((INDEX(PMtbl[[WKst]:[Unit of measure*]],MATCH($A129&amp;$E129&amp;$I129,INDEX(PMtbl[Category]&amp;PMtbl[Each]&amp;PMtbl[Packaging],0,),0),3)),SETUP!$D$19:$D$121,0),4))="Upfront",0,INDEX(SETUP!$C$19:$G$121,MATCH((INDEX(PMtbl[[WKst]:[Unit of measure*]],MATCH($A129&amp;$E129&amp;$I129,INDEX(PMtbl[Category]&amp;PMtbl[Each]&amp;PMtbl[Packaging],0,),0),3)),SETUP!$D$19:$D$121,0),5)),"")</f>
        <v/>
      </c>
      <c r="BL129" s="197" t="str" cm="1">
        <f t="array" ref="BL129">IF(E129&lt;&gt;"",IFERROR(INDEX(PMtbl[[WKst]:[Unit of measure*]],MATCH($A$115&amp;$A129&amp;$E129&amp;$I129,INDEX(PMtbl[Sec]&amp;PMtbl[Category]&amp;PMtbl[Each]&amp;PMtbl[Packaging],0,),0),11),""),"")</f>
        <v/>
      </c>
      <c r="BO129" s="12">
        <f>IF(N129="",0,IF(SETUP!$E$7="USD",((IF(O129="USD",P129,(P129/'Master Data-C19RM'!$C$2)))),((IF(O129="EUR",P129,(P129*'Master Data-C19RM'!$C$2))))))</f>
        <v>0</v>
      </c>
      <c r="BP129" s="12">
        <f>IF(N129="",0,IF(SETUP!$E$7="USD",((IF(O129="USD",W129,(W129/'Master Data-C19RM'!$D$2)))),((IF(O129="EUR",W129,(W129*'Master Data-C19RM'!$D$2))))))</f>
        <v>0</v>
      </c>
      <c r="BQ129">
        <f>IF(N129="",0,IF(SETUP!$E$7="USD",((IF(O129="USD",AD129,(AD129/'Master Data-C19RM'!$E$2)))),((IF(O129="EUR",AD129,(AD129*'Master Data-C19RM'!$E$2))))))</f>
        <v>0</v>
      </c>
      <c r="BR129">
        <f>IF(N129="",0,IF(SETUP!$E$7="USD",((IF(O129="USD",AK129,(AK129/'Master Data-C19RM'!$F$2)))),((IF(O129="EUR",AK129,(AK129*'Master Data-C19RM'!$F$2))))))</f>
        <v>0</v>
      </c>
      <c r="BU129" s="12">
        <f t="shared" si="7"/>
        <v>0</v>
      </c>
      <c r="BV129" s="142">
        <f t="shared" si="8"/>
        <v>0</v>
      </c>
    </row>
    <row r="130" spans="1:74" hidden="1" x14ac:dyDescent="0.35">
      <c r="A130" s="1165"/>
      <c r="B130" s="1165"/>
      <c r="C130" s="1165"/>
      <c r="D130" s="1165"/>
      <c r="E130" s="1166"/>
      <c r="F130" s="1166"/>
      <c r="G130" s="1166"/>
      <c r="H130" s="1166"/>
      <c r="I130" s="1166"/>
      <c r="J130" s="1166"/>
      <c r="K130" s="1166"/>
      <c r="L130" s="490" t="str" cm="1">
        <f t="array" ref="L130">IF(A130&lt;&gt;"",IFERROR(INDEX(PMtbl[[WKst]:[Unit of measure*]],MATCH($A$115&amp;$A130&amp;$E130&amp;$I130,INDEX(PMtbl[Sec]&amp;PMtbl[Category]&amp;PMtbl[Each]&amp;PMtbl[Packaging],0,),0),14),""),"")</f>
        <v/>
      </c>
      <c r="M130" s="479" t="str">
        <f>IF(L130="","",INDEX(SETUP!$E$20:$E$122,(MATCH(INDEX(PMsheet!$D:$E,MATCH(A130,PMsheet!E:E,0),1),SETUP!$D$20:$D$122,0))))</f>
        <v/>
      </c>
      <c r="N130" s="496">
        <f>IF($O130="USD",_xlfn.IFNA(VLOOKUP(A130&amp;E130&amp;I130,PMsheet!J:K,2,0),0),(_xlfn.IFNA(VLOOKUP(A130&amp;E130&amp;I130,PMsheet!J:K,2,0),0)*'Master Data-C19RM'!$C$2))</f>
        <v>0</v>
      </c>
      <c r="O130" s="492" t="str">
        <f>IF(L130="", "",SETUP!$E$7)</f>
        <v/>
      </c>
      <c r="P130" s="456">
        <f>IF($O130="USD",_xlfn.IFNA(VLOOKUP($A130&amp;$E130&amp;$I130,PMsheet!$J:$K,2,0),0),(_xlfn.IFNA(VLOOKUP($A130&amp;$E130&amp;$I130,PMsheet!$J:$K,2,0),0)*'Master Data'!$C$2))</f>
        <v>0</v>
      </c>
      <c r="Q130" s="441"/>
      <c r="R130" s="441"/>
      <c r="S130" s="441"/>
      <c r="T130" s="441"/>
      <c r="U130" s="481">
        <f>SUM('C19RM 2021-Pharma'!$Q130:$T130)</f>
        <v>0</v>
      </c>
      <c r="V130" s="483">
        <f>IF(SETUP!$E$7="USD",(U130*(IF(O130="USD",P130,(P130/'Master Data'!$C$2)))),(U130*(IF(O130="EUR",P130,(P130*'Master Data'!$C$2)))))</f>
        <v>0</v>
      </c>
      <c r="W130" s="444">
        <f>IF($O130="USD",_xlfn.IFNA(VLOOKUP($A130&amp;$E130&amp;$I130,PMsheet!$J:$K,2,0),0),(_xlfn.IFNA(VLOOKUP($A130&amp;$E130&amp;$I130,PMsheet!$J:$K,2,0),0)*'Master Data'!$D$2))</f>
        <v>0</v>
      </c>
      <c r="X130" s="441"/>
      <c r="Y130" s="441"/>
      <c r="Z130" s="441"/>
      <c r="AA130" s="441"/>
      <c r="AB130" s="481">
        <f>SUM('C19RM 2021-Pharma'!$X130:$AA130)</f>
        <v>0</v>
      </c>
      <c r="AC130" s="483">
        <f>IF(SETUP!$E$7="USD",(AB130*(IF(O130="USD",W130,(W130/'Master Data'!$D$2)))),(AB130*(IF(O130="EUR",W130,(W130*'Master Data'!$D$2)))))</f>
        <v>0</v>
      </c>
      <c r="AD130" s="444">
        <f>IF($O130="USD",_xlfn.IFNA(VLOOKUP($A130&amp;$E130&amp;$I130,PMsheet!$J:$K,2,0),0),(_xlfn.IFNA(VLOOKUP($A130&amp;$E130&amp;$I130,PMsheet!$J:$K,2,0),0)*'Master Data'!$E$2))</f>
        <v>0</v>
      </c>
      <c r="AE130" s="441"/>
      <c r="AF130" s="441"/>
      <c r="AG130" s="441"/>
      <c r="AH130" s="441"/>
      <c r="AI130" s="481">
        <f>SUM('C19RM 2021-Pharma'!$AE130:$AH130)</f>
        <v>0</v>
      </c>
      <c r="AJ130" s="483">
        <f>IF(SETUP!$E$7="USD",(AI130*(IF(O130="USD",AD130,(AD130/'Master Data'!$E$2)))),(AI130*(IF(O130="EUR",AD130,(AD130*'Master Data'!$E$2)))))</f>
        <v>0</v>
      </c>
      <c r="AK130" s="444">
        <f>IF($O130="USD",_xlfn.IFNA(VLOOKUP($A130&amp;$E130&amp;$I130,PMsheet!$J:$K,2,0),0),(_xlfn.IFNA(VLOOKUP($A130&amp;$E130&amp;$I130,PMsheet!$J:$K,2,0),0)*'Master Data'!$F$2))</f>
        <v>0</v>
      </c>
      <c r="AL130" s="441"/>
      <c r="AM130" s="441"/>
      <c r="AN130" s="441"/>
      <c r="AO130" s="441"/>
      <c r="AP130" s="512">
        <f>SUM('C19RM 2021-Pharma'!$AL130:$AO130)</f>
        <v>0</v>
      </c>
      <c r="AQ130" s="513">
        <f>IF(SETUP!$E$7="USD",(AP130*(IF(O130="USD",AK130,(AK130/'Master Data'!$F$2)))),(AP130*(IF(O130="EUR",AK130,(AK130*'Master Data'!$F$2)))))</f>
        <v>0</v>
      </c>
      <c r="AR130" s="520"/>
      <c r="AS130" s="512"/>
      <c r="AT130" s="512"/>
      <c r="AU130" s="512"/>
      <c r="AV130" s="512"/>
      <c r="AW130" s="512"/>
      <c r="AX130" s="513"/>
      <c r="AY130" s="512"/>
      <c r="AZ130" s="512"/>
      <c r="BA130" s="512"/>
      <c r="BB130" s="512"/>
      <c r="BC130" s="512"/>
      <c r="BD130" s="512"/>
      <c r="BE130" s="512"/>
      <c r="BF130" s="520">
        <f>'C19RM 2021-Pharma'!$U130+'C19RM 2021-Pharma'!$AB130+'C19RM 2021-Pharma'!$AP130++'C19RM 2021-Pharma'!$AI130</f>
        <v>0</v>
      </c>
      <c r="BG130" s="513">
        <f>'C19RM 2021-Pharma'!$V130+'C19RM 2021-Pharma'!$AC130+'C19RM 2021-Pharma'!$AQ130+'C19RM 2021-Pharma'!$AJ130</f>
        <v>0</v>
      </c>
      <c r="BH130" s="500" t="str" cm="1">
        <f t="array" ref="BH130">IF(A130&lt;&gt;"",IFERROR(INDEX(PMtbl[[WKst]:[Unit of measure*]],MATCH($A$115&amp;$A130&amp;$E130&amp;$I130,INDEX(PMtbl[Sec]&amp;PMtbl[Category]&amp;PMtbl[Each]&amp;PMtbl[Packaging],0,),0),12),""),"")</f>
        <v/>
      </c>
      <c r="BI130" s="819"/>
      <c r="BJ130" s="502" t="str" cm="1">
        <f t="array" ref="BJ130">IFERROR(INDEX(SETUP!$C$19:$G$121,MATCH((INDEX(PMtbl[[WKst]:[Unit of measure*]],MATCH($A130&amp;$E130&amp;$I130,INDEX(PMtbl[Category]&amp;PMtbl[Each]&amp;PMtbl[Packaging],0,),0),3)),SETUP!$D$19:$D$121,0),5),"")</f>
        <v/>
      </c>
      <c r="BK130" s="438" t="str" cm="1">
        <f t="array" ref="BK130">IFERROR(IF((INDEX(SETUP!$C$19:$G$121,MATCH((INDEX(PMtbl[[WKst]:[Unit of measure*]],MATCH($A130&amp;$E130&amp;$I130,INDEX(PMtbl[Category]&amp;PMtbl[Each]&amp;PMtbl[Packaging],0,),0),3)),SETUP!$D$19:$D$121,0),4))="Upfront",0,INDEX(SETUP!$C$19:$G$121,MATCH((INDEX(PMtbl[[WKst]:[Unit of measure*]],MATCH($A130&amp;$E130&amp;$I130,INDEX(PMtbl[Category]&amp;PMtbl[Each]&amp;PMtbl[Packaging],0,),0),3)),SETUP!$D$19:$D$121,0),5)),"")</f>
        <v/>
      </c>
      <c r="BL130" s="196" t="str" cm="1">
        <f t="array" ref="BL130">IF(E130&lt;&gt;"",IFERROR(INDEX(PMtbl[[WKst]:[Unit of measure*]],MATCH($A$115&amp;$A130&amp;$E130&amp;$I130,INDEX(PMtbl[Sec]&amp;PMtbl[Category]&amp;PMtbl[Each]&amp;PMtbl[Packaging],0,),0),11),""),"")</f>
        <v/>
      </c>
      <c r="BO130" s="12">
        <f>IF(N130="",0,IF(SETUP!$E$7="USD",((IF(O130="USD",P130,(P130/'Master Data-C19RM'!$C$2)))),((IF(O130="EUR",P130,(P130*'Master Data-C19RM'!$C$2))))))</f>
        <v>0</v>
      </c>
      <c r="BP130" s="12">
        <f>IF(N130="",0,IF(SETUP!$E$7="USD",((IF(O130="USD",W130,(W130/'Master Data-C19RM'!$D$2)))),((IF(O130="EUR",W130,(W130*'Master Data-C19RM'!$D$2))))))</f>
        <v>0</v>
      </c>
      <c r="BQ130">
        <f>IF(N130="",0,IF(SETUP!$E$7="USD",((IF(O130="USD",AD130,(AD130/'Master Data-C19RM'!$E$2)))),((IF(O130="EUR",AD130,(AD130*'Master Data-C19RM'!$E$2))))))</f>
        <v>0</v>
      </c>
      <c r="BR130">
        <f>IF(N130="",0,IF(SETUP!$E$7="USD",((IF(O130="USD",AK130,(AK130/'Master Data-C19RM'!$F$2)))),((IF(O130="EUR",AK130,(AK130*'Master Data-C19RM'!$F$2))))))</f>
        <v>0</v>
      </c>
      <c r="BU130" s="12">
        <f t="shared" si="7"/>
        <v>0</v>
      </c>
      <c r="BV130" s="142">
        <f t="shared" si="8"/>
        <v>0</v>
      </c>
    </row>
    <row r="131" spans="1:74" hidden="1" x14ac:dyDescent="0.35">
      <c r="A131" s="1192"/>
      <c r="B131" s="1192"/>
      <c r="C131" s="1192"/>
      <c r="D131" s="1192"/>
      <c r="E131" s="1173"/>
      <c r="F131" s="1173"/>
      <c r="G131" s="1173"/>
      <c r="H131" s="1173"/>
      <c r="I131" s="1193"/>
      <c r="J131" s="1193"/>
      <c r="K131" s="1193"/>
      <c r="L131" s="493" t="str" cm="1">
        <f t="array" ref="L131">IF(A131&lt;&gt;"",IFERROR(INDEX(PMtbl[[WKst]:[Unit of measure*]],MATCH($A$115&amp;$A131&amp;$E131&amp;$I131,INDEX(PMtbl[Sec]&amp;PMtbl[Category]&amp;PMtbl[Each]&amp;PMtbl[Packaging],0,),0),14),""),"")</f>
        <v/>
      </c>
      <c r="M131" s="480" t="str">
        <f>IF(L131="","",INDEX(SETUP!$E$20:$E$122,(MATCH(INDEX(PMsheet!$D:$E,MATCH(A131,PMsheet!E:E,0),1),SETUP!$D$20:$D$122,0))))</f>
        <v/>
      </c>
      <c r="N131" s="494">
        <f>IF($O131="USD",_xlfn.IFNA(VLOOKUP(A131&amp;E131&amp;I131,PMsheet!J:K,2,0),0),(_xlfn.IFNA(VLOOKUP(A131&amp;E131&amp;I131,PMsheet!J:K,2,0),0)*'Master Data-C19RM'!$C$2))</f>
        <v>0</v>
      </c>
      <c r="O131" s="495" t="str">
        <f>IF(L131="", "",SETUP!$E$7)</f>
        <v/>
      </c>
      <c r="P131" s="457">
        <f>IF($O131="USD",_xlfn.IFNA(VLOOKUP($A131&amp;$E131&amp;$I131,PMsheet!$J:$K,2,0),0),(_xlfn.IFNA(VLOOKUP($A131&amp;$E131&amp;$I131,PMsheet!$J:$K,2,0),0)*'Master Data'!$C$2))</f>
        <v>0</v>
      </c>
      <c r="Q131" s="440"/>
      <c r="R131" s="440"/>
      <c r="S131" s="440"/>
      <c r="T131" s="440"/>
      <c r="U131" s="482">
        <f>SUM('C19RM 2021-Pharma'!$Q131:$T131)</f>
        <v>0</v>
      </c>
      <c r="V131" s="484">
        <f>IF(SETUP!$E$7="USD",(U131*(IF(O131="USD",P131,(P131/'Master Data'!$C$2)))),(U131*(IF(O131="EUR",P131,(P131*'Master Data'!$C$2)))))</f>
        <v>0</v>
      </c>
      <c r="W131" s="445">
        <f>IF($O131="USD",_xlfn.IFNA(VLOOKUP($A131&amp;$E131&amp;$I131,PMsheet!$J:$K,2,0),0),(_xlfn.IFNA(VLOOKUP($A131&amp;$E131&amp;$I131,PMsheet!$J:$K,2,0),0)*'Master Data'!$D$2))</f>
        <v>0</v>
      </c>
      <c r="X131" s="440"/>
      <c r="Y131" s="440"/>
      <c r="Z131" s="440"/>
      <c r="AA131" s="440"/>
      <c r="AB131" s="482">
        <f>SUM('C19RM 2021-Pharma'!$X131:$AA131)</f>
        <v>0</v>
      </c>
      <c r="AC131" s="484">
        <f>IF(SETUP!$E$7="USD",(AB131*(IF(O131="USD",W131,(W131/'Master Data'!$D$2)))),(AB131*(IF(O131="EUR",W131,(W131*'Master Data'!$D$2)))))</f>
        <v>0</v>
      </c>
      <c r="AD131" s="445">
        <f>IF($O131="USD",_xlfn.IFNA(VLOOKUP($A131&amp;$E131&amp;$I131,PMsheet!$J:$K,2,0),0),(_xlfn.IFNA(VLOOKUP($A131&amp;$E131&amp;$I131,PMsheet!$J:$K,2,0),0)*'Master Data'!$E$2))</f>
        <v>0</v>
      </c>
      <c r="AE131" s="440"/>
      <c r="AF131" s="440"/>
      <c r="AG131" s="440"/>
      <c r="AH131" s="440"/>
      <c r="AI131" s="482">
        <f>SUM('C19RM 2021-Pharma'!$AE131:$AH131)</f>
        <v>0</v>
      </c>
      <c r="AJ131" s="484">
        <f>IF(SETUP!$E$7="USD",(AI131*(IF(O131="USD",AD131,(AD131/'Master Data'!$E$2)))),(AI131*(IF(O131="EUR",AD131,(AD131*'Master Data'!$E$2)))))</f>
        <v>0</v>
      </c>
      <c r="AK131" s="445">
        <f>IF($O131="USD",_xlfn.IFNA(VLOOKUP($A131&amp;$E131&amp;$I131,PMsheet!$J:$K,2,0),0),(_xlfn.IFNA(VLOOKUP($A131&amp;$E131&amp;$I131,PMsheet!$J:$K,2,0),0)*'Master Data'!$F$2))</f>
        <v>0</v>
      </c>
      <c r="AL131" s="440"/>
      <c r="AM131" s="440"/>
      <c r="AN131" s="440"/>
      <c r="AO131" s="440"/>
      <c r="AP131" s="514">
        <f>SUM('C19RM 2021-Pharma'!$AL131:$AO131)</f>
        <v>0</v>
      </c>
      <c r="AQ131" s="515">
        <f>IF(SETUP!$E$7="USD",(AP131*(IF(O131="USD",AK131,(AK131/'Master Data'!$F$2)))),(AP131*(IF(O131="EUR",AK131,(AK131*'Master Data'!$F$2)))))</f>
        <v>0</v>
      </c>
      <c r="AR131" s="521"/>
      <c r="AS131" s="514"/>
      <c r="AT131" s="514"/>
      <c r="AU131" s="514"/>
      <c r="AV131" s="514"/>
      <c r="AW131" s="514"/>
      <c r="AX131" s="515"/>
      <c r="AY131" s="514"/>
      <c r="AZ131" s="514"/>
      <c r="BA131" s="514"/>
      <c r="BB131" s="514"/>
      <c r="BC131" s="514"/>
      <c r="BD131" s="514"/>
      <c r="BE131" s="514"/>
      <c r="BF131" s="521">
        <f>'C19RM 2021-Pharma'!$U131+'C19RM 2021-Pharma'!$AB131+'C19RM 2021-Pharma'!$AP131++'C19RM 2021-Pharma'!$AI131</f>
        <v>0</v>
      </c>
      <c r="BG131" s="515">
        <f>'C19RM 2021-Pharma'!$V131+'C19RM 2021-Pharma'!$AC131+'C19RM 2021-Pharma'!$AQ131+'C19RM 2021-Pharma'!$AJ131</f>
        <v>0</v>
      </c>
      <c r="BH131" s="522" t="str" cm="1">
        <f t="array" ref="BH131">IF(A131&lt;&gt;"",IFERROR(INDEX(PMtbl[[WKst]:[Unit of measure*]],MATCH($A$115&amp;$A131&amp;$E131&amp;$I131,INDEX(PMtbl[Sec]&amp;PMtbl[Category]&amp;PMtbl[Each]&amp;PMtbl[Packaging],0,),0),12),""),"")</f>
        <v/>
      </c>
      <c r="BI131" s="818"/>
      <c r="BJ131" s="503" t="str" cm="1">
        <f t="array" ref="BJ131">IFERROR(INDEX(SETUP!$C$19:$G$121,MATCH((INDEX(PMtbl[[WKst]:[Unit of measure*]],MATCH($A131&amp;$E131&amp;$I131,INDEX(PMtbl[Category]&amp;PMtbl[Each]&amp;PMtbl[Packaging],0,),0),3)),SETUP!$D$19:$D$121,0),5),"")</f>
        <v/>
      </c>
      <c r="BK131" s="439" t="str" cm="1">
        <f t="array" ref="BK131">IFERROR(IF((INDEX(SETUP!$C$19:$G$121,MATCH((INDEX(PMtbl[[WKst]:[Unit of measure*]],MATCH($A131&amp;$E131&amp;$I131,INDEX(PMtbl[Category]&amp;PMtbl[Each]&amp;PMtbl[Packaging],0,),0),3)),SETUP!$D$19:$D$121,0),4))="Upfront",0,INDEX(SETUP!$C$19:$G$121,MATCH((INDEX(PMtbl[[WKst]:[Unit of measure*]],MATCH($A131&amp;$E131&amp;$I131,INDEX(PMtbl[Category]&amp;PMtbl[Each]&amp;PMtbl[Packaging],0,),0),3)),SETUP!$D$19:$D$121,0),5)),"")</f>
        <v/>
      </c>
      <c r="BL131" s="197" t="str" cm="1">
        <f t="array" ref="BL131">IF(E131&lt;&gt;"",IFERROR(INDEX(PMtbl[[WKst]:[Unit of measure*]],MATCH($A$115&amp;$A131&amp;$E131&amp;$I131,INDEX(PMtbl[Sec]&amp;PMtbl[Category]&amp;PMtbl[Each]&amp;PMtbl[Packaging],0,),0),11),""),"")</f>
        <v/>
      </c>
      <c r="BO131" s="12">
        <f>IF(N131="",0,IF(SETUP!$E$7="USD",((IF(O131="USD",P131,(P131/'Master Data-C19RM'!$C$2)))),((IF(O131="EUR",P131,(P131*'Master Data-C19RM'!$C$2))))))</f>
        <v>0</v>
      </c>
      <c r="BP131" s="12">
        <f>IF(N131="",0,IF(SETUP!$E$7="USD",((IF(O131="USD",W131,(W131/'Master Data-C19RM'!$D$2)))),((IF(O131="EUR",W131,(W131*'Master Data-C19RM'!$D$2))))))</f>
        <v>0</v>
      </c>
      <c r="BQ131">
        <f>IF(N131="",0,IF(SETUP!$E$7="USD",((IF(O131="USD",AD131,(AD131/'Master Data-C19RM'!$E$2)))),((IF(O131="EUR",AD131,(AD131*'Master Data-C19RM'!$E$2))))))</f>
        <v>0</v>
      </c>
      <c r="BR131">
        <f>IF(N131="",0,IF(SETUP!$E$7="USD",((IF(O131="USD",AK131,(AK131/'Master Data-C19RM'!$F$2)))),((IF(O131="EUR",AK131,(AK131*'Master Data-C19RM'!$F$2))))))</f>
        <v>0</v>
      </c>
      <c r="BU131" s="12">
        <f t="shared" si="7"/>
        <v>0</v>
      </c>
      <c r="BV131" s="142">
        <f t="shared" si="8"/>
        <v>0</v>
      </c>
    </row>
    <row r="132" spans="1:74" hidden="1" x14ac:dyDescent="0.35">
      <c r="A132" s="1165"/>
      <c r="B132" s="1165"/>
      <c r="C132" s="1165"/>
      <c r="D132" s="1165"/>
      <c r="E132" s="1166"/>
      <c r="F132" s="1166"/>
      <c r="G132" s="1166"/>
      <c r="H132" s="1166"/>
      <c r="I132" s="1166"/>
      <c r="J132" s="1166"/>
      <c r="K132" s="1166"/>
      <c r="L132" s="490" t="str" cm="1">
        <f t="array" ref="L132">IF(A132&lt;&gt;"",IFERROR(INDEX(PMtbl[[WKst]:[Unit of measure*]],MATCH($A$115&amp;$A132&amp;$E132&amp;$I132,INDEX(PMtbl[Sec]&amp;PMtbl[Category]&amp;PMtbl[Each]&amp;PMtbl[Packaging],0,),0),14),""),"")</f>
        <v/>
      </c>
      <c r="M132" s="479" t="str">
        <f>IF(L132="","",INDEX(SETUP!$E$20:$E$122,(MATCH(INDEX(PMsheet!$D:$E,MATCH(A132,PMsheet!E:E,0),1),SETUP!$D$20:$D$122,0))))</f>
        <v/>
      </c>
      <c r="N132" s="496">
        <f>IF($O132="USD",_xlfn.IFNA(VLOOKUP(A132&amp;E132&amp;I132,PMsheet!J:K,2,0),0),(_xlfn.IFNA(VLOOKUP(A132&amp;E132&amp;I132,PMsheet!J:K,2,0),0)*'Master Data-C19RM'!$C$2))</f>
        <v>0</v>
      </c>
      <c r="O132" s="492" t="str">
        <f>IF(L132="", "",SETUP!$E$7)</f>
        <v/>
      </c>
      <c r="P132" s="456">
        <f>IF($O132="USD",_xlfn.IFNA(VLOOKUP($A132&amp;$E132&amp;$I132,PMsheet!$J:$K,2,0),0),(_xlfn.IFNA(VLOOKUP($A132&amp;$E132&amp;$I132,PMsheet!$J:$K,2,0),0)*'Master Data'!$C$2))</f>
        <v>0</v>
      </c>
      <c r="Q132" s="441"/>
      <c r="R132" s="441"/>
      <c r="S132" s="441"/>
      <c r="T132" s="441"/>
      <c r="U132" s="481">
        <f>SUM('C19RM 2021-Pharma'!$Q132:$T132)</f>
        <v>0</v>
      </c>
      <c r="V132" s="483">
        <f>IF(SETUP!$E$7="USD",(U132*(IF(O132="USD",P132,(P132/'Master Data'!$C$2)))),(U132*(IF(O132="EUR",P132,(P132*'Master Data'!$C$2)))))</f>
        <v>0</v>
      </c>
      <c r="W132" s="444">
        <f>IF($O132="USD",_xlfn.IFNA(VLOOKUP($A132&amp;$E132&amp;$I132,PMsheet!$J:$K,2,0),0),(_xlfn.IFNA(VLOOKUP($A132&amp;$E132&amp;$I132,PMsheet!$J:$K,2,0),0)*'Master Data'!$D$2))</f>
        <v>0</v>
      </c>
      <c r="X132" s="441"/>
      <c r="Y132" s="441"/>
      <c r="Z132" s="441"/>
      <c r="AA132" s="441"/>
      <c r="AB132" s="481">
        <f>SUM('C19RM 2021-Pharma'!$X132:$AA132)</f>
        <v>0</v>
      </c>
      <c r="AC132" s="483">
        <f>IF(SETUP!$E$7="USD",(AB132*(IF(O132="USD",W132,(W132/'Master Data'!$D$2)))),(AB132*(IF(O132="EUR",W132,(W132*'Master Data'!$D$2)))))</f>
        <v>0</v>
      </c>
      <c r="AD132" s="444">
        <f>IF($O132="USD",_xlfn.IFNA(VLOOKUP($A132&amp;$E132&amp;$I132,PMsheet!$J:$K,2,0),0),(_xlfn.IFNA(VLOOKUP($A132&amp;$E132&amp;$I132,PMsheet!$J:$K,2,0),0)*'Master Data'!$E$2))</f>
        <v>0</v>
      </c>
      <c r="AE132" s="441"/>
      <c r="AF132" s="441"/>
      <c r="AG132" s="441"/>
      <c r="AH132" s="441"/>
      <c r="AI132" s="481">
        <f>SUM('C19RM 2021-Pharma'!$AE132:$AH132)</f>
        <v>0</v>
      </c>
      <c r="AJ132" s="483">
        <f>IF(SETUP!$E$7="USD",(AI132*(IF(O132="USD",AD132,(AD132/'Master Data'!$E$2)))),(AI132*(IF(O132="EUR",AD132,(AD132*'Master Data'!$E$2)))))</f>
        <v>0</v>
      </c>
      <c r="AK132" s="444">
        <f>IF($O132="USD",_xlfn.IFNA(VLOOKUP($A132&amp;$E132&amp;$I132,PMsheet!$J:$K,2,0),0),(_xlfn.IFNA(VLOOKUP($A132&amp;$E132&amp;$I132,PMsheet!$J:$K,2,0),0)*'Master Data'!$F$2))</f>
        <v>0</v>
      </c>
      <c r="AL132" s="441"/>
      <c r="AM132" s="441"/>
      <c r="AN132" s="441"/>
      <c r="AO132" s="441"/>
      <c r="AP132" s="512">
        <f>SUM('C19RM 2021-Pharma'!$AL132:$AO132)</f>
        <v>0</v>
      </c>
      <c r="AQ132" s="513">
        <f>IF(SETUP!$E$7="USD",(AP132*(IF(O132="USD",AK132,(AK132/'Master Data'!$F$2)))),(AP132*(IF(O132="EUR",AK132,(AK132*'Master Data'!$F$2)))))</f>
        <v>0</v>
      </c>
      <c r="AR132" s="520"/>
      <c r="AS132" s="512"/>
      <c r="AT132" s="512"/>
      <c r="AU132" s="512"/>
      <c r="AV132" s="512"/>
      <c r="AW132" s="512"/>
      <c r="AX132" s="513"/>
      <c r="AY132" s="512"/>
      <c r="AZ132" s="512"/>
      <c r="BA132" s="512"/>
      <c r="BB132" s="512"/>
      <c r="BC132" s="512"/>
      <c r="BD132" s="512"/>
      <c r="BE132" s="512"/>
      <c r="BF132" s="520">
        <f>'C19RM 2021-Pharma'!$U132+'C19RM 2021-Pharma'!$AB132+'C19RM 2021-Pharma'!$AP132++'C19RM 2021-Pharma'!$AI132</f>
        <v>0</v>
      </c>
      <c r="BG132" s="513">
        <f>'C19RM 2021-Pharma'!$V132+'C19RM 2021-Pharma'!$AC132+'C19RM 2021-Pharma'!$AQ132+'C19RM 2021-Pharma'!$AJ132</f>
        <v>0</v>
      </c>
      <c r="BH132" s="500" t="str" cm="1">
        <f t="array" ref="BH132">IF(A132&lt;&gt;"",IFERROR(INDEX(PMtbl[[WKst]:[Unit of measure*]],MATCH($A$115&amp;$A132&amp;$E132&amp;$I132,INDEX(PMtbl[Sec]&amp;PMtbl[Category]&amp;PMtbl[Each]&amp;PMtbl[Packaging],0,),0),12),""),"")</f>
        <v/>
      </c>
      <c r="BI132" s="819"/>
      <c r="BJ132" s="526" t="str" cm="1">
        <f t="array" ref="BJ132">IFERROR(INDEX(SETUP!$C$19:$G$121,MATCH((INDEX(PMtbl[[WKst]:[Unit of measure*]],MATCH($A132&amp;$E132&amp;$I132,INDEX(PMtbl[Category]&amp;PMtbl[Each]&amp;PMtbl[Packaging],0,),0),3)),SETUP!$D$19:$D$121,0),5),"")</f>
        <v/>
      </c>
      <c r="BK132" s="453" t="str" cm="1">
        <f t="array" ref="BK132">IFERROR(IF((INDEX(SETUP!$C$19:$G$121,MATCH((INDEX(PMtbl[[WKst]:[Unit of measure*]],MATCH($A132&amp;$E132&amp;$I132,INDEX(PMtbl[Category]&amp;PMtbl[Each]&amp;PMtbl[Packaging],0,),0),3)),SETUP!$D$19:$D$121,0),4))="Upfront",0,INDEX(SETUP!$C$19:$G$121,MATCH((INDEX(PMtbl[[WKst]:[Unit of measure*]],MATCH($A132&amp;$E132&amp;$I132,INDEX(PMtbl[Category]&amp;PMtbl[Each]&amp;PMtbl[Packaging],0,),0),3)),SETUP!$D$19:$D$121,0),5)),"")</f>
        <v/>
      </c>
      <c r="BL132" s="196" t="str" cm="1">
        <f t="array" ref="BL132">IF(E132&lt;&gt;"",IFERROR(INDEX(PMtbl[[WKst]:[Unit of measure*]],MATCH($A$115&amp;$A132&amp;$E132&amp;$I132,INDEX(PMtbl[Sec]&amp;PMtbl[Category]&amp;PMtbl[Each]&amp;PMtbl[Packaging],0,),0),11),""),"")</f>
        <v/>
      </c>
      <c r="BO132" s="12">
        <f>IF(N132="",0,IF(SETUP!$E$7="USD",((IF(O132="USD",P132,(P132/'Master Data-C19RM'!$C$2)))),((IF(O132="EUR",P132,(P132*'Master Data-C19RM'!$C$2))))))</f>
        <v>0</v>
      </c>
      <c r="BP132" s="12">
        <f>IF(N132="",0,IF(SETUP!$E$7="USD",((IF(O132="USD",W132,(W132/'Master Data-C19RM'!$D$2)))),((IF(O132="EUR",W132,(W132*'Master Data-C19RM'!$D$2))))))</f>
        <v>0</v>
      </c>
      <c r="BQ132">
        <f>IF(N132="",0,IF(SETUP!$E$7="USD",((IF(O132="USD",AD132,(AD132/'Master Data-C19RM'!$E$2)))),((IF(O132="EUR",AD132,(AD132*'Master Data-C19RM'!$E$2))))))</f>
        <v>0</v>
      </c>
      <c r="BR132">
        <f>IF(N132="",0,IF(SETUP!$E$7="USD",((IF(O132="USD",AK132,(AK132/'Master Data-C19RM'!$F$2)))),((IF(O132="EUR",AK132,(AK132*'Master Data-C19RM'!$F$2))))))</f>
        <v>0</v>
      </c>
      <c r="BU132" s="12">
        <f t="shared" si="7"/>
        <v>0</v>
      </c>
      <c r="BV132" s="142">
        <f t="shared" si="8"/>
        <v>0</v>
      </c>
    </row>
    <row r="133" spans="1:74" hidden="1" x14ac:dyDescent="0.35">
      <c r="A133" s="1192"/>
      <c r="B133" s="1192"/>
      <c r="C133" s="1192"/>
      <c r="D133" s="1192"/>
      <c r="E133" s="1173"/>
      <c r="F133" s="1173"/>
      <c r="G133" s="1173"/>
      <c r="H133" s="1173"/>
      <c r="I133" s="1193"/>
      <c r="J133" s="1193"/>
      <c r="K133" s="1193"/>
      <c r="L133" s="493" t="str" cm="1">
        <f t="array" ref="L133">IF(A133&lt;&gt;"",IFERROR(INDEX(PMtbl[[WKst]:[Unit of measure*]],MATCH($A$115&amp;$A133&amp;$E133&amp;$I133,INDEX(PMtbl[Sec]&amp;PMtbl[Category]&amp;PMtbl[Each]&amp;PMtbl[Packaging],0,),0),14),""),"")</f>
        <v/>
      </c>
      <c r="M133" s="480" t="str">
        <f>IF(L133="","",INDEX(SETUP!$E$20:$E$122,(MATCH(INDEX(PMsheet!$D:$E,MATCH(A133,PMsheet!E:E,0),1),SETUP!$D$20:$D$122,0))))</f>
        <v/>
      </c>
      <c r="N133" s="494">
        <f>IF($O133="USD",_xlfn.IFNA(VLOOKUP(A133&amp;E133&amp;I133,PMsheet!J:K,2,0),0),(_xlfn.IFNA(VLOOKUP(A133&amp;E133&amp;I133,PMsheet!J:K,2,0),0)*'Master Data-C19RM'!$C$2))</f>
        <v>0</v>
      </c>
      <c r="O133" s="495" t="str">
        <f>IF(L133="", "",SETUP!$E$7)</f>
        <v/>
      </c>
      <c r="P133" s="457">
        <f>IF($O133="USD",_xlfn.IFNA(VLOOKUP($A133&amp;$E133&amp;$I133,PMsheet!$J:$K,2,0),0),(_xlfn.IFNA(VLOOKUP($A133&amp;$E133&amp;$I133,PMsheet!$J:$K,2,0),0)*'Master Data'!$C$2))</f>
        <v>0</v>
      </c>
      <c r="Q133" s="440"/>
      <c r="R133" s="440"/>
      <c r="S133" s="440"/>
      <c r="T133" s="440"/>
      <c r="U133" s="482">
        <f>SUM('C19RM 2021-Pharma'!$Q133:$T133)</f>
        <v>0</v>
      </c>
      <c r="V133" s="484">
        <f>IF(SETUP!$E$7="USD",(U133*(IF(O133="USD",P133,(P133/'Master Data'!$C$2)))),(U133*(IF(O133="EUR",P133,(P133*'Master Data'!$C$2)))))</f>
        <v>0</v>
      </c>
      <c r="W133" s="445">
        <f>IF($O133="USD",_xlfn.IFNA(VLOOKUP($A133&amp;$E133&amp;$I133,PMsheet!$J:$K,2,0),0),(_xlfn.IFNA(VLOOKUP($A133&amp;$E133&amp;$I133,PMsheet!$J:$K,2,0),0)*'Master Data'!$D$2))</f>
        <v>0</v>
      </c>
      <c r="X133" s="440"/>
      <c r="Y133" s="440"/>
      <c r="Z133" s="440"/>
      <c r="AA133" s="440"/>
      <c r="AB133" s="482">
        <f>SUM('C19RM 2021-Pharma'!$X133:$AA133)</f>
        <v>0</v>
      </c>
      <c r="AC133" s="484">
        <f>IF(SETUP!$E$7="USD",(AB133*(IF(O133="USD",W133,(W133/'Master Data'!$D$2)))),(AB133*(IF(O133="EUR",W133,(W133*'Master Data'!$D$2)))))</f>
        <v>0</v>
      </c>
      <c r="AD133" s="445">
        <f>IF($O133="USD",_xlfn.IFNA(VLOOKUP($A133&amp;$E133&amp;$I133,PMsheet!$J:$K,2,0),0),(_xlfn.IFNA(VLOOKUP($A133&amp;$E133&amp;$I133,PMsheet!$J:$K,2,0),0)*'Master Data'!$E$2))</f>
        <v>0</v>
      </c>
      <c r="AE133" s="440"/>
      <c r="AF133" s="440"/>
      <c r="AG133" s="440"/>
      <c r="AH133" s="440"/>
      <c r="AI133" s="482">
        <f>SUM('C19RM 2021-Pharma'!$AE133:$AH133)</f>
        <v>0</v>
      </c>
      <c r="AJ133" s="484">
        <f>IF(SETUP!$E$7="USD",(AI133*(IF(O133="USD",AD133,(AD133/'Master Data'!$E$2)))),(AI133*(IF(O133="EUR",AD133,(AD133*'Master Data'!$E$2)))))</f>
        <v>0</v>
      </c>
      <c r="AK133" s="445">
        <f>IF($O133="USD",_xlfn.IFNA(VLOOKUP($A133&amp;$E133&amp;$I133,PMsheet!$J:$K,2,0),0),(_xlfn.IFNA(VLOOKUP($A133&amp;$E133&amp;$I133,PMsheet!$J:$K,2,0),0)*'Master Data'!$F$2))</f>
        <v>0</v>
      </c>
      <c r="AL133" s="440"/>
      <c r="AM133" s="440"/>
      <c r="AN133" s="440"/>
      <c r="AO133" s="440"/>
      <c r="AP133" s="514">
        <f>SUM('C19RM 2021-Pharma'!$AL133:$AO133)</f>
        <v>0</v>
      </c>
      <c r="AQ133" s="515">
        <f>IF(SETUP!$E$7="USD",(AP133*(IF(O133="USD",AK133,(AK133/'Master Data'!$F$2)))),(AP133*(IF(O133="EUR",AK133,(AK133*'Master Data'!$F$2)))))</f>
        <v>0</v>
      </c>
      <c r="AR133" s="521"/>
      <c r="AS133" s="514"/>
      <c r="AT133" s="514"/>
      <c r="AU133" s="514"/>
      <c r="AV133" s="514"/>
      <c r="AW133" s="514"/>
      <c r="AX133" s="515"/>
      <c r="AY133" s="514"/>
      <c r="AZ133" s="514"/>
      <c r="BA133" s="514"/>
      <c r="BB133" s="514"/>
      <c r="BC133" s="514"/>
      <c r="BD133" s="514"/>
      <c r="BE133" s="514"/>
      <c r="BF133" s="521">
        <f>'C19RM 2021-Pharma'!$U133+'C19RM 2021-Pharma'!$AB133+'C19RM 2021-Pharma'!$AP133++'C19RM 2021-Pharma'!$AI133</f>
        <v>0</v>
      </c>
      <c r="BG133" s="515">
        <f>'C19RM 2021-Pharma'!$V133+'C19RM 2021-Pharma'!$AC133+'C19RM 2021-Pharma'!$AQ133+'C19RM 2021-Pharma'!$AJ133</f>
        <v>0</v>
      </c>
      <c r="BH133" s="522" t="str" cm="1">
        <f t="array" ref="BH133">IF(A133&lt;&gt;"",IFERROR(INDEX(PMtbl[[WKst]:[Unit of measure*]],MATCH($A$115&amp;$A133&amp;$E133&amp;$I133,INDEX(PMtbl[Sec]&amp;PMtbl[Category]&amp;PMtbl[Each]&amp;PMtbl[Packaging],0,),0),12),""),"")</f>
        <v/>
      </c>
      <c r="BI133" s="818"/>
      <c r="BJ133" s="503" t="str" cm="1">
        <f t="array" ref="BJ133">IFERROR(INDEX(SETUP!$C$19:$G$121,MATCH((INDEX(PMtbl[[WKst]:[Unit of measure*]],MATCH($A133&amp;$E133&amp;$I133,INDEX(PMtbl[Category]&amp;PMtbl[Each]&amp;PMtbl[Packaging],0,),0),3)),SETUP!$D$19:$D$121,0),5),"")</f>
        <v/>
      </c>
      <c r="BK133" s="439" t="str" cm="1">
        <f t="array" ref="BK133">IFERROR(IF((INDEX(SETUP!$C$19:$G$121,MATCH((INDEX(PMtbl[[WKst]:[Unit of measure*]],MATCH($A133&amp;$E133&amp;$I133,INDEX(PMtbl[Category]&amp;PMtbl[Each]&amp;PMtbl[Packaging],0,),0),3)),SETUP!$D$19:$D$121,0),4))="Upfront",0,INDEX(SETUP!$C$19:$G$121,MATCH((INDEX(PMtbl[[WKst]:[Unit of measure*]],MATCH($A133&amp;$E133&amp;$I133,INDEX(PMtbl[Category]&amp;PMtbl[Each]&amp;PMtbl[Packaging],0,),0),3)),SETUP!$D$19:$D$121,0),5)),"")</f>
        <v/>
      </c>
      <c r="BL133" s="197" t="str" cm="1">
        <f t="array" ref="BL133">IF(E133&lt;&gt;"",IFERROR(INDEX(PMtbl[[WKst]:[Unit of measure*]],MATCH($A$115&amp;$A133&amp;$E133&amp;$I133,INDEX(PMtbl[Sec]&amp;PMtbl[Category]&amp;PMtbl[Each]&amp;PMtbl[Packaging],0,),0),11),""),"")</f>
        <v/>
      </c>
      <c r="BO133" s="12">
        <f>IF(N133="",0,IF(SETUP!$E$7="USD",((IF(O133="USD",P133,(P133/'Master Data-C19RM'!$C$2)))),((IF(O133="EUR",P133,(P133*'Master Data-C19RM'!$C$2))))))</f>
        <v>0</v>
      </c>
      <c r="BP133" s="12">
        <f>IF(N133="",0,IF(SETUP!$E$7="USD",((IF(O133="USD",W133,(W133/'Master Data-C19RM'!$D$2)))),((IF(O133="EUR",W133,(W133*'Master Data-C19RM'!$D$2))))))</f>
        <v>0</v>
      </c>
      <c r="BQ133">
        <f>IF(N133="",0,IF(SETUP!$E$7="USD",((IF(O133="USD",AD133,(AD133/'Master Data-C19RM'!$E$2)))),((IF(O133="EUR",AD133,(AD133*'Master Data-C19RM'!$E$2))))))</f>
        <v>0</v>
      </c>
      <c r="BR133">
        <f>IF(N133="",0,IF(SETUP!$E$7="USD",((IF(O133="USD",AK133,(AK133/'Master Data-C19RM'!$F$2)))),((IF(O133="EUR",AK133,(AK133*'Master Data-C19RM'!$F$2))))))</f>
        <v>0</v>
      </c>
      <c r="BU133" s="12">
        <f t="shared" si="7"/>
        <v>0</v>
      </c>
      <c r="BV133" s="142">
        <f t="shared" si="8"/>
        <v>0</v>
      </c>
    </row>
    <row r="134" spans="1:74" hidden="1" x14ac:dyDescent="0.35">
      <c r="A134" s="1165"/>
      <c r="B134" s="1165"/>
      <c r="C134" s="1165"/>
      <c r="D134" s="1165"/>
      <c r="E134" s="1166"/>
      <c r="F134" s="1166"/>
      <c r="G134" s="1166"/>
      <c r="H134" s="1166"/>
      <c r="I134" s="1166"/>
      <c r="J134" s="1166"/>
      <c r="K134" s="1166"/>
      <c r="L134" s="490" t="str" cm="1">
        <f t="array" ref="L134">IF(A134&lt;&gt;"",IFERROR(INDEX(PMtbl[[WKst]:[Unit of measure*]],MATCH($A$115&amp;$A134&amp;$E134&amp;$I134,INDEX(PMtbl[Sec]&amp;PMtbl[Category]&amp;PMtbl[Each]&amp;PMtbl[Packaging],0,),0),14),""),"")</f>
        <v/>
      </c>
      <c r="M134" s="479" t="str">
        <f>IF(L134="","",INDEX(SETUP!$E$20:$E$122,(MATCH(INDEX(PMsheet!$D:$E,MATCH(A134,PMsheet!E:E,0),1),SETUP!$D$20:$D$122,0))))</f>
        <v/>
      </c>
      <c r="N134" s="496">
        <f>IF($O134="USD",_xlfn.IFNA(VLOOKUP(A134&amp;E134&amp;I134,PMsheet!J:K,2,0),0),(_xlfn.IFNA(VLOOKUP(A134&amp;E134&amp;I134,PMsheet!J:K,2,0),0)*'Master Data-C19RM'!$C$2))</f>
        <v>0</v>
      </c>
      <c r="O134" s="492" t="str">
        <f>IF(L134="", "",SETUP!$E$7)</f>
        <v/>
      </c>
      <c r="P134" s="456">
        <f>IF($O134="USD",_xlfn.IFNA(VLOOKUP($A134&amp;$E134&amp;$I134,PMsheet!$J:$K,2,0),0),(_xlfn.IFNA(VLOOKUP($A134&amp;$E134&amp;$I134,PMsheet!$J:$K,2,0),0)*'Master Data'!$C$2))</f>
        <v>0</v>
      </c>
      <c r="Q134" s="441"/>
      <c r="R134" s="441"/>
      <c r="S134" s="441"/>
      <c r="T134" s="441"/>
      <c r="U134" s="481">
        <f>SUM('C19RM 2021-Pharma'!$Q134:$T134)</f>
        <v>0</v>
      </c>
      <c r="V134" s="483">
        <f>IF(SETUP!$E$7="USD",(U134*(IF(O134="USD",P134,(P134/'Master Data'!$C$2)))),(U134*(IF(O134="EUR",P134,(P134*'Master Data'!$C$2)))))</f>
        <v>0</v>
      </c>
      <c r="W134" s="444">
        <f>IF($O134="USD",_xlfn.IFNA(VLOOKUP($A134&amp;$E134&amp;$I134,PMsheet!$J:$K,2,0),0),(_xlfn.IFNA(VLOOKUP($A134&amp;$E134&amp;$I134,PMsheet!$J:$K,2,0),0)*'Master Data'!$D$2))</f>
        <v>0</v>
      </c>
      <c r="X134" s="441"/>
      <c r="Y134" s="441"/>
      <c r="Z134" s="441"/>
      <c r="AA134" s="441"/>
      <c r="AB134" s="481">
        <f>SUM('C19RM 2021-Pharma'!$X134:$AA134)</f>
        <v>0</v>
      </c>
      <c r="AC134" s="483">
        <f>IF(SETUP!$E$7="USD",(AB134*(IF(O134="USD",W134,(W134/'Master Data'!$D$2)))),(AB134*(IF(O134="EUR",W134,(W134*'Master Data'!$D$2)))))</f>
        <v>0</v>
      </c>
      <c r="AD134" s="444">
        <f>IF($O134="USD",_xlfn.IFNA(VLOOKUP($A134&amp;$E134&amp;$I134,PMsheet!$J:$K,2,0),0),(_xlfn.IFNA(VLOOKUP($A134&amp;$E134&amp;$I134,PMsheet!$J:$K,2,0),0)*'Master Data'!$E$2))</f>
        <v>0</v>
      </c>
      <c r="AE134" s="441"/>
      <c r="AF134" s="441"/>
      <c r="AG134" s="441"/>
      <c r="AH134" s="441"/>
      <c r="AI134" s="481">
        <f>SUM('C19RM 2021-Pharma'!$AE134:$AH134)</f>
        <v>0</v>
      </c>
      <c r="AJ134" s="483">
        <f>IF(SETUP!$E$7="USD",(AI134*(IF(O134="USD",AD134,(AD134/'Master Data'!$E$2)))),(AI134*(IF(O134="EUR",AD134,(AD134*'Master Data'!$E$2)))))</f>
        <v>0</v>
      </c>
      <c r="AK134" s="444">
        <f>IF($O134="USD",_xlfn.IFNA(VLOOKUP($A134&amp;$E134&amp;$I134,PMsheet!$J:$K,2,0),0),(_xlfn.IFNA(VLOOKUP($A134&amp;$E134&amp;$I134,PMsheet!$J:$K,2,0),0)*'Master Data'!$F$2))</f>
        <v>0</v>
      </c>
      <c r="AL134" s="441"/>
      <c r="AM134" s="441"/>
      <c r="AN134" s="441"/>
      <c r="AO134" s="441"/>
      <c r="AP134" s="512">
        <f>SUM('C19RM 2021-Pharma'!$AL134:$AO134)</f>
        <v>0</v>
      </c>
      <c r="AQ134" s="513">
        <f>IF(SETUP!$E$7="USD",(AP134*(IF(O134="USD",AK134,(AK134/'Master Data'!$F$2)))),(AP134*(IF(O134="EUR",AK134,(AK134*'Master Data'!$F$2)))))</f>
        <v>0</v>
      </c>
      <c r="AR134" s="520"/>
      <c r="AS134" s="512"/>
      <c r="AT134" s="512"/>
      <c r="AU134" s="512"/>
      <c r="AV134" s="512"/>
      <c r="AW134" s="512"/>
      <c r="AX134" s="513"/>
      <c r="AY134" s="512"/>
      <c r="AZ134" s="512"/>
      <c r="BA134" s="512"/>
      <c r="BB134" s="512"/>
      <c r="BC134" s="512"/>
      <c r="BD134" s="512"/>
      <c r="BE134" s="512"/>
      <c r="BF134" s="520">
        <f>'C19RM 2021-Pharma'!$U134+'C19RM 2021-Pharma'!$AB134+'C19RM 2021-Pharma'!$AP134++'C19RM 2021-Pharma'!$AI134</f>
        <v>0</v>
      </c>
      <c r="BG134" s="513">
        <f>'C19RM 2021-Pharma'!$V134+'C19RM 2021-Pharma'!$AC134+'C19RM 2021-Pharma'!$AQ134+'C19RM 2021-Pharma'!$AJ134</f>
        <v>0</v>
      </c>
      <c r="BH134" s="500" t="str" cm="1">
        <f t="array" ref="BH134">IF(A134&lt;&gt;"",IFERROR(INDEX(PMtbl[[WKst]:[Unit of measure*]],MATCH($A$115&amp;$A134&amp;$E134&amp;$I134,INDEX(PMtbl[Sec]&amp;PMtbl[Category]&amp;PMtbl[Each]&amp;PMtbl[Packaging],0,),0),12),""),"")</f>
        <v/>
      </c>
      <c r="BI134" s="819"/>
      <c r="BJ134" s="502" t="str" cm="1">
        <f t="array" ref="BJ134">IFERROR(INDEX(SETUP!$C$19:$G$121,MATCH((INDEX(PMtbl[[WKst]:[Unit of measure*]],MATCH($A134&amp;$E134&amp;$I134,INDEX(PMtbl[Category]&amp;PMtbl[Each]&amp;PMtbl[Packaging],0,),0),3)),SETUP!$D$19:$D$121,0),5),"")</f>
        <v/>
      </c>
      <c r="BK134" s="438" t="str" cm="1">
        <f t="array" ref="BK134">IFERROR(IF((INDEX(SETUP!$C$19:$G$121,MATCH((INDEX(PMtbl[[WKst]:[Unit of measure*]],MATCH($A134&amp;$E134&amp;$I134,INDEX(PMtbl[Category]&amp;PMtbl[Each]&amp;PMtbl[Packaging],0,),0),3)),SETUP!$D$19:$D$121,0),4))="Upfront",0,INDEX(SETUP!$C$19:$G$121,MATCH((INDEX(PMtbl[[WKst]:[Unit of measure*]],MATCH($A134&amp;$E134&amp;$I134,INDEX(PMtbl[Category]&amp;PMtbl[Each]&amp;PMtbl[Packaging],0,),0),3)),SETUP!$D$19:$D$121,0),5)),"")</f>
        <v/>
      </c>
      <c r="BL134" s="196" t="str" cm="1">
        <f t="array" ref="BL134">IF(E134&lt;&gt;"",IFERROR(INDEX(PMtbl[[WKst]:[Unit of measure*]],MATCH($A$115&amp;$A134&amp;$E134&amp;$I134,INDEX(PMtbl[Sec]&amp;PMtbl[Category]&amp;PMtbl[Each]&amp;PMtbl[Packaging],0,),0),11),""),"")</f>
        <v/>
      </c>
      <c r="BO134" s="12">
        <f>IF(N134="",0,IF(SETUP!$E$7="USD",((IF(O134="USD",P134,(P134/'Master Data-C19RM'!$C$2)))),((IF(O134="EUR",P134,(P134*'Master Data-C19RM'!$C$2))))))</f>
        <v>0</v>
      </c>
      <c r="BP134" s="12">
        <f>IF(N134="",0,IF(SETUP!$E$7="USD",((IF(O134="USD",W134,(W134/'Master Data-C19RM'!$D$2)))),((IF(O134="EUR",W134,(W134*'Master Data-C19RM'!$D$2))))))</f>
        <v>0</v>
      </c>
      <c r="BQ134">
        <f>IF(N134="",0,IF(SETUP!$E$7="USD",((IF(O134="USD",AD134,(AD134/'Master Data-C19RM'!$E$2)))),((IF(O134="EUR",AD134,(AD134*'Master Data-C19RM'!$E$2))))))</f>
        <v>0</v>
      </c>
      <c r="BR134">
        <f>IF(N134="",0,IF(SETUP!$E$7="USD",((IF(O134="USD",AK134,(AK134/'Master Data-C19RM'!$F$2)))),((IF(O134="EUR",AK134,(AK134*'Master Data-C19RM'!$F$2))))))</f>
        <v>0</v>
      </c>
      <c r="BU134" s="12">
        <f t="shared" si="7"/>
        <v>0</v>
      </c>
      <c r="BV134" s="142">
        <f t="shared" si="8"/>
        <v>0</v>
      </c>
    </row>
    <row r="135" spans="1:74" hidden="1" x14ac:dyDescent="0.35">
      <c r="A135" s="1192"/>
      <c r="B135" s="1192"/>
      <c r="C135" s="1192"/>
      <c r="D135" s="1192"/>
      <c r="E135" s="1173"/>
      <c r="F135" s="1173"/>
      <c r="G135" s="1173"/>
      <c r="H135" s="1173"/>
      <c r="I135" s="1193"/>
      <c r="J135" s="1193"/>
      <c r="K135" s="1193"/>
      <c r="L135" s="493" t="str" cm="1">
        <f t="array" ref="L135">IF(A135&lt;&gt;"",IFERROR(INDEX(PMtbl[[WKst]:[Unit of measure*]],MATCH($A$115&amp;$A135&amp;$E135&amp;$I135,INDEX(PMtbl[Sec]&amp;PMtbl[Category]&amp;PMtbl[Each]&amp;PMtbl[Packaging],0,),0),14),""),"")</f>
        <v/>
      </c>
      <c r="M135" s="480" t="str">
        <f>IF(L135="","",INDEX(SETUP!$E$20:$E$122,(MATCH(INDEX(PMsheet!$D:$E,MATCH(A135,PMsheet!E:E,0),1),SETUP!$D$20:$D$122,0))))</f>
        <v/>
      </c>
      <c r="N135" s="494">
        <f>IF($O135="USD",_xlfn.IFNA(VLOOKUP(A135&amp;E135&amp;I135,PMsheet!J:K,2,0),0),(_xlfn.IFNA(VLOOKUP(A135&amp;E135&amp;I135,PMsheet!J:K,2,0),0)*'Master Data-C19RM'!$C$2))</f>
        <v>0</v>
      </c>
      <c r="O135" s="495" t="str">
        <f>IF(L135="", "",SETUP!$E$7)</f>
        <v/>
      </c>
      <c r="P135" s="457">
        <f>IF($O135="USD",_xlfn.IFNA(VLOOKUP($A135&amp;$E135&amp;$I135,PMsheet!$J:$K,2,0),0),(_xlfn.IFNA(VLOOKUP($A135&amp;$E135&amp;$I135,PMsheet!$J:$K,2,0),0)*'Master Data'!$C$2))</f>
        <v>0</v>
      </c>
      <c r="Q135" s="440"/>
      <c r="R135" s="440"/>
      <c r="S135" s="440"/>
      <c r="T135" s="440"/>
      <c r="U135" s="482">
        <f>SUM('C19RM 2021-Pharma'!$Q135:$T135)</f>
        <v>0</v>
      </c>
      <c r="V135" s="484">
        <f>IF(SETUP!$E$7="USD",(U135*(IF(O135="USD",P135,(P135/'Master Data'!$C$2)))),(U135*(IF(O135="EUR",P135,(P135*'Master Data'!$C$2)))))</f>
        <v>0</v>
      </c>
      <c r="W135" s="445">
        <f>IF($O135="USD",_xlfn.IFNA(VLOOKUP($A135&amp;$E135&amp;$I135,PMsheet!$J:$K,2,0),0),(_xlfn.IFNA(VLOOKUP($A135&amp;$E135&amp;$I135,PMsheet!$J:$K,2,0),0)*'Master Data'!$D$2))</f>
        <v>0</v>
      </c>
      <c r="X135" s="440"/>
      <c r="Y135" s="440"/>
      <c r="Z135" s="440"/>
      <c r="AA135" s="440"/>
      <c r="AB135" s="482">
        <f>SUM('C19RM 2021-Pharma'!$X135:$AA135)</f>
        <v>0</v>
      </c>
      <c r="AC135" s="484">
        <f>IF(SETUP!$E$7="USD",(AB135*(IF(O135="USD",W135,(W135/'Master Data'!$D$2)))),(AB135*(IF(O135="EUR",W135,(W135*'Master Data'!$D$2)))))</f>
        <v>0</v>
      </c>
      <c r="AD135" s="445">
        <f>IF($O135="USD",_xlfn.IFNA(VLOOKUP($A135&amp;$E135&amp;$I135,PMsheet!$J:$K,2,0),0),(_xlfn.IFNA(VLOOKUP($A135&amp;$E135&amp;$I135,PMsheet!$J:$K,2,0),0)*'Master Data'!$E$2))</f>
        <v>0</v>
      </c>
      <c r="AE135" s="440"/>
      <c r="AF135" s="440"/>
      <c r="AG135" s="440"/>
      <c r="AH135" s="440"/>
      <c r="AI135" s="482">
        <f>SUM('C19RM 2021-Pharma'!$AE135:$AH135)</f>
        <v>0</v>
      </c>
      <c r="AJ135" s="484">
        <f>IF(SETUP!$E$7="USD",(AI135*(IF(O135="USD",AD135,(AD135/'Master Data'!$E$2)))),(AI135*(IF(O135="EUR",AD135,(AD135*'Master Data'!$E$2)))))</f>
        <v>0</v>
      </c>
      <c r="AK135" s="445">
        <f>IF($O135="USD",_xlfn.IFNA(VLOOKUP($A135&amp;$E135&amp;$I135,PMsheet!$J:$K,2,0),0),(_xlfn.IFNA(VLOOKUP($A135&amp;$E135&amp;$I135,PMsheet!$J:$K,2,0),0)*'Master Data'!$F$2))</f>
        <v>0</v>
      </c>
      <c r="AL135" s="440"/>
      <c r="AM135" s="440"/>
      <c r="AN135" s="440"/>
      <c r="AO135" s="440"/>
      <c r="AP135" s="514">
        <f>SUM('C19RM 2021-Pharma'!$AL135:$AO135)</f>
        <v>0</v>
      </c>
      <c r="AQ135" s="515">
        <f>IF(SETUP!$E$7="USD",(AP135*(IF(O135="USD",AK135,(AK135/'Master Data'!$F$2)))),(AP135*(IF(O135="EUR",AK135,(AK135*'Master Data'!$F$2)))))</f>
        <v>0</v>
      </c>
      <c r="AR135" s="521"/>
      <c r="AS135" s="514"/>
      <c r="AT135" s="514"/>
      <c r="AU135" s="514"/>
      <c r="AV135" s="514"/>
      <c r="AW135" s="514"/>
      <c r="AX135" s="515"/>
      <c r="AY135" s="514"/>
      <c r="AZ135" s="514"/>
      <c r="BA135" s="514"/>
      <c r="BB135" s="514"/>
      <c r="BC135" s="514"/>
      <c r="BD135" s="514"/>
      <c r="BE135" s="514"/>
      <c r="BF135" s="521">
        <f>'C19RM 2021-Pharma'!$U135+'C19RM 2021-Pharma'!$AB135+'C19RM 2021-Pharma'!$AP135++'C19RM 2021-Pharma'!$AI135</f>
        <v>0</v>
      </c>
      <c r="BG135" s="515">
        <f>'C19RM 2021-Pharma'!$V135+'C19RM 2021-Pharma'!$AC135+'C19RM 2021-Pharma'!$AQ135+'C19RM 2021-Pharma'!$AJ135</f>
        <v>0</v>
      </c>
      <c r="BH135" s="522" t="str" cm="1">
        <f t="array" ref="BH135">IF(A135&lt;&gt;"",IFERROR(INDEX(PMtbl[[WKst]:[Unit of measure*]],MATCH($A$115&amp;$A135&amp;$E135&amp;$I135,INDEX(PMtbl[Sec]&amp;PMtbl[Category]&amp;PMtbl[Each]&amp;PMtbl[Packaging],0,),0),12),""),"")</f>
        <v/>
      </c>
      <c r="BI135" s="818"/>
      <c r="BJ135" s="503" t="str" cm="1">
        <f t="array" ref="BJ135">IFERROR(INDEX(SETUP!$C$19:$G$121,MATCH((INDEX(PMtbl[[WKst]:[Unit of measure*]],MATCH($A135&amp;$E135&amp;$I135,INDEX(PMtbl[Category]&amp;PMtbl[Each]&amp;PMtbl[Packaging],0,),0),3)),SETUP!$D$19:$D$121,0),5),"")</f>
        <v/>
      </c>
      <c r="BK135" s="439" t="str" cm="1">
        <f t="array" ref="BK135">IFERROR(IF((INDEX(SETUP!$C$19:$G$121,MATCH((INDEX(PMtbl[[WKst]:[Unit of measure*]],MATCH($A135&amp;$E135&amp;$I135,INDEX(PMtbl[Category]&amp;PMtbl[Each]&amp;PMtbl[Packaging],0,),0),3)),SETUP!$D$19:$D$121,0),4))="Upfront",0,INDEX(SETUP!$C$19:$G$121,MATCH((INDEX(PMtbl[[WKst]:[Unit of measure*]],MATCH($A135&amp;$E135&amp;$I135,INDEX(PMtbl[Category]&amp;PMtbl[Each]&amp;PMtbl[Packaging],0,),0),3)),SETUP!$D$19:$D$121,0),5)),"")</f>
        <v/>
      </c>
      <c r="BL135" s="197" t="str" cm="1">
        <f t="array" ref="BL135">IF(E135&lt;&gt;"",IFERROR(INDEX(PMtbl[[WKst]:[Unit of measure*]],MATCH($A$115&amp;$A135&amp;$E135&amp;$I135,INDEX(PMtbl[Sec]&amp;PMtbl[Category]&amp;PMtbl[Each]&amp;PMtbl[Packaging],0,),0),11),""),"")</f>
        <v/>
      </c>
      <c r="BO135" s="12">
        <f>IF(N135="",0,IF(SETUP!$E$7="USD",((IF(O135="USD",P135,(P135/'Master Data-C19RM'!$C$2)))),((IF(O135="EUR",P135,(P135*'Master Data-C19RM'!$C$2))))))</f>
        <v>0</v>
      </c>
      <c r="BP135" s="12">
        <f>IF(N135="",0,IF(SETUP!$E$7="USD",((IF(O135="USD",W135,(W135/'Master Data-C19RM'!$D$2)))),((IF(O135="EUR",W135,(W135*'Master Data-C19RM'!$D$2))))))</f>
        <v>0</v>
      </c>
      <c r="BQ135">
        <f>IF(N135="",0,IF(SETUP!$E$7="USD",((IF(O135="USD",AD135,(AD135/'Master Data-C19RM'!$E$2)))),((IF(O135="EUR",AD135,(AD135*'Master Data-C19RM'!$E$2))))))</f>
        <v>0</v>
      </c>
      <c r="BR135">
        <f>IF(N135="",0,IF(SETUP!$E$7="USD",((IF(O135="USD",AK135,(AK135/'Master Data-C19RM'!$F$2)))),((IF(O135="EUR",AK135,(AK135*'Master Data-C19RM'!$F$2))))))</f>
        <v>0</v>
      </c>
      <c r="BU135" s="12">
        <f t="shared" si="7"/>
        <v>0</v>
      </c>
      <c r="BV135" s="142">
        <f t="shared" si="8"/>
        <v>0</v>
      </c>
    </row>
    <row r="136" spans="1:74" hidden="1" x14ac:dyDescent="0.35">
      <c r="A136" s="1165"/>
      <c r="B136" s="1165"/>
      <c r="C136" s="1165"/>
      <c r="D136" s="1165"/>
      <c r="E136" s="1166"/>
      <c r="F136" s="1166"/>
      <c r="G136" s="1166"/>
      <c r="H136" s="1166"/>
      <c r="I136" s="1166"/>
      <c r="J136" s="1166"/>
      <c r="K136" s="1166"/>
      <c r="L136" s="490" t="str" cm="1">
        <f t="array" ref="L136">IF(A136&lt;&gt;"",IFERROR(INDEX(PMtbl[[WKst]:[Unit of measure*]],MATCH($A$115&amp;$A136&amp;$E136&amp;$I136,INDEX(PMtbl[Sec]&amp;PMtbl[Category]&amp;PMtbl[Each]&amp;PMtbl[Packaging],0,),0),14),""),"")</f>
        <v/>
      </c>
      <c r="M136" s="479" t="str">
        <f>IF(L136="","",INDEX(SETUP!$E$20:$E$122,(MATCH(INDEX(PMsheet!$D:$E,MATCH(A136,PMsheet!E:E,0),1),SETUP!$D$20:$D$122,0))))</f>
        <v/>
      </c>
      <c r="N136" s="496">
        <f>IF($O136="USD",_xlfn.IFNA(VLOOKUP(A136&amp;E136&amp;I136,PMsheet!J:K,2,0),0),(_xlfn.IFNA(VLOOKUP(A136&amp;E136&amp;I136,PMsheet!J:K,2,0),0)*'Master Data-C19RM'!$C$2))</f>
        <v>0</v>
      </c>
      <c r="O136" s="492" t="str">
        <f>IF(L136="", "",SETUP!$E$7)</f>
        <v/>
      </c>
      <c r="P136" s="456">
        <f>IF($O136="USD",_xlfn.IFNA(VLOOKUP($A136&amp;$E136&amp;$I136,PMsheet!$J:$K,2,0),0),(_xlfn.IFNA(VLOOKUP($A136&amp;$E136&amp;$I136,PMsheet!$J:$K,2,0),0)*'Master Data'!$C$2))</f>
        <v>0</v>
      </c>
      <c r="Q136" s="441"/>
      <c r="R136" s="441"/>
      <c r="S136" s="441"/>
      <c r="T136" s="441"/>
      <c r="U136" s="481">
        <f>SUM('C19RM 2021-Pharma'!$Q136:$T136)</f>
        <v>0</v>
      </c>
      <c r="V136" s="483">
        <f>IF(SETUP!$E$7="USD",(U136*(IF(O136="USD",P136,(P136/'Master Data'!$C$2)))),(U136*(IF(O136="EUR",P136,(P136*'Master Data'!$C$2)))))</f>
        <v>0</v>
      </c>
      <c r="W136" s="444">
        <f>IF($O136="USD",_xlfn.IFNA(VLOOKUP($A136&amp;$E136&amp;$I136,PMsheet!$J:$K,2,0),0),(_xlfn.IFNA(VLOOKUP($A136&amp;$E136&amp;$I136,PMsheet!$J:$K,2,0),0)*'Master Data'!$D$2))</f>
        <v>0</v>
      </c>
      <c r="X136" s="441"/>
      <c r="Y136" s="441"/>
      <c r="Z136" s="441"/>
      <c r="AA136" s="441"/>
      <c r="AB136" s="481">
        <f>SUM('C19RM 2021-Pharma'!$X136:$AA136)</f>
        <v>0</v>
      </c>
      <c r="AC136" s="483">
        <f>IF(SETUP!$E$7="USD",(AB136*(IF(O136="USD",W136,(W136/'Master Data'!$D$2)))),(AB136*(IF(O136="EUR",W136,(W136*'Master Data'!$D$2)))))</f>
        <v>0</v>
      </c>
      <c r="AD136" s="444">
        <f>IF($O136="USD",_xlfn.IFNA(VLOOKUP($A136&amp;$E136&amp;$I136,PMsheet!$J:$K,2,0),0),(_xlfn.IFNA(VLOOKUP($A136&amp;$E136&amp;$I136,PMsheet!$J:$K,2,0),0)*'Master Data'!$E$2))</f>
        <v>0</v>
      </c>
      <c r="AE136" s="441"/>
      <c r="AF136" s="441"/>
      <c r="AG136" s="441"/>
      <c r="AH136" s="441"/>
      <c r="AI136" s="481">
        <f>SUM('C19RM 2021-Pharma'!$AE136:$AH136)</f>
        <v>0</v>
      </c>
      <c r="AJ136" s="483">
        <f>IF(SETUP!$E$7="USD",(AI136*(IF(O136="USD",AD136,(AD136/'Master Data'!$E$2)))),(AI136*(IF(O136="EUR",AD136,(AD136*'Master Data'!$E$2)))))</f>
        <v>0</v>
      </c>
      <c r="AK136" s="444">
        <f>IF($O136="USD",_xlfn.IFNA(VLOOKUP($A136&amp;$E136&amp;$I136,PMsheet!$J:$K,2,0),0),(_xlfn.IFNA(VLOOKUP($A136&amp;$E136&amp;$I136,PMsheet!$J:$K,2,0),0)*'Master Data'!$F$2))</f>
        <v>0</v>
      </c>
      <c r="AL136" s="441"/>
      <c r="AM136" s="441"/>
      <c r="AN136" s="441"/>
      <c r="AO136" s="441"/>
      <c r="AP136" s="512">
        <f>SUM('C19RM 2021-Pharma'!$AL136:$AO136)</f>
        <v>0</v>
      </c>
      <c r="AQ136" s="513">
        <f>IF(SETUP!$E$7="USD",(AP136*(IF(O136="USD",AK136,(AK136/'Master Data'!$F$2)))),(AP136*(IF(O136="EUR",AK136,(AK136*'Master Data'!$F$2)))))</f>
        <v>0</v>
      </c>
      <c r="AR136" s="520"/>
      <c r="AS136" s="512"/>
      <c r="AT136" s="512"/>
      <c r="AU136" s="512"/>
      <c r="AV136" s="512"/>
      <c r="AW136" s="512"/>
      <c r="AX136" s="513"/>
      <c r="AY136" s="512"/>
      <c r="AZ136" s="512"/>
      <c r="BA136" s="512"/>
      <c r="BB136" s="512"/>
      <c r="BC136" s="512"/>
      <c r="BD136" s="512"/>
      <c r="BE136" s="512"/>
      <c r="BF136" s="520">
        <f>'C19RM 2021-Pharma'!$U136+'C19RM 2021-Pharma'!$AB136+'C19RM 2021-Pharma'!$AP136++'C19RM 2021-Pharma'!$AI136</f>
        <v>0</v>
      </c>
      <c r="BG136" s="513">
        <f>'C19RM 2021-Pharma'!$V136+'C19RM 2021-Pharma'!$AC136+'C19RM 2021-Pharma'!$AQ136+'C19RM 2021-Pharma'!$AJ136</f>
        <v>0</v>
      </c>
      <c r="BH136" s="500" t="str" cm="1">
        <f t="array" ref="BH136">IF(A136&lt;&gt;"",IFERROR(INDEX(PMtbl[[WKst]:[Unit of measure*]],MATCH($A$115&amp;$A136&amp;$E136&amp;$I136,INDEX(PMtbl[Sec]&amp;PMtbl[Category]&amp;PMtbl[Each]&amp;PMtbl[Packaging],0,),0),12),""),"")</f>
        <v/>
      </c>
      <c r="BI136" s="819"/>
      <c r="BJ136" s="502" t="str" cm="1">
        <f t="array" ref="BJ136">IFERROR(INDEX(SETUP!$C$19:$G$121,MATCH((INDEX(PMtbl[[WKst]:[Unit of measure*]],MATCH($A136&amp;$E136&amp;$I136,INDEX(PMtbl[Category]&amp;PMtbl[Each]&amp;PMtbl[Packaging],0,),0),3)),SETUP!$D$19:$D$121,0),5),"")</f>
        <v/>
      </c>
      <c r="BK136" s="438" t="str" cm="1">
        <f t="array" ref="BK136">IFERROR(IF((INDEX(SETUP!$C$19:$G$121,MATCH((INDEX(PMtbl[[WKst]:[Unit of measure*]],MATCH($A136&amp;$E136&amp;$I136,INDEX(PMtbl[Category]&amp;PMtbl[Each]&amp;PMtbl[Packaging],0,),0),3)),SETUP!$D$19:$D$121,0),4))="Upfront",0,INDEX(SETUP!$C$19:$G$121,MATCH((INDEX(PMtbl[[WKst]:[Unit of measure*]],MATCH($A136&amp;$E136&amp;$I136,INDEX(PMtbl[Category]&amp;PMtbl[Each]&amp;PMtbl[Packaging],0,),0),3)),SETUP!$D$19:$D$121,0),5)),"")</f>
        <v/>
      </c>
      <c r="BL136" s="196" t="str" cm="1">
        <f t="array" ref="BL136">IF(E136&lt;&gt;"",IFERROR(INDEX(PMtbl[[WKst]:[Unit of measure*]],MATCH($A$115&amp;$A136&amp;$E136&amp;$I136,INDEX(PMtbl[Sec]&amp;PMtbl[Category]&amp;PMtbl[Each]&amp;PMtbl[Packaging],0,),0),11),""),"")</f>
        <v/>
      </c>
      <c r="BO136" s="12">
        <f>IF(N136="",0,IF(SETUP!$E$7="USD",((IF(O136="USD",P136,(P136/'Master Data-C19RM'!$C$2)))),((IF(O136="EUR",P136,(P136*'Master Data-C19RM'!$C$2))))))</f>
        <v>0</v>
      </c>
      <c r="BP136" s="12">
        <f>IF(N136="",0,IF(SETUP!$E$7="USD",((IF(O136="USD",W136,(W136/'Master Data-C19RM'!$D$2)))),((IF(O136="EUR",W136,(W136*'Master Data-C19RM'!$D$2))))))</f>
        <v>0</v>
      </c>
      <c r="BQ136">
        <f>IF(N136="",0,IF(SETUP!$E$7="USD",((IF(O136="USD",AD136,(AD136/'Master Data-C19RM'!$E$2)))),((IF(O136="EUR",AD136,(AD136*'Master Data-C19RM'!$E$2))))))</f>
        <v>0</v>
      </c>
      <c r="BR136">
        <f>IF(N136="",0,IF(SETUP!$E$7="USD",((IF(O136="USD",AK136,(AK136/'Master Data-C19RM'!$F$2)))),((IF(O136="EUR",AK136,(AK136*'Master Data-C19RM'!$F$2))))))</f>
        <v>0</v>
      </c>
      <c r="BU136" s="12">
        <f t="shared" si="7"/>
        <v>0</v>
      </c>
      <c r="BV136" s="142">
        <f t="shared" si="8"/>
        <v>0</v>
      </c>
    </row>
    <row r="137" spans="1:74" hidden="1" x14ac:dyDescent="0.35">
      <c r="A137" s="1192"/>
      <c r="B137" s="1192"/>
      <c r="C137" s="1192"/>
      <c r="D137" s="1192"/>
      <c r="E137" s="1173"/>
      <c r="F137" s="1173"/>
      <c r="G137" s="1173"/>
      <c r="H137" s="1173"/>
      <c r="I137" s="1193"/>
      <c r="J137" s="1193"/>
      <c r="K137" s="1193"/>
      <c r="L137" s="493" t="str" cm="1">
        <f t="array" ref="L137">IF(A137&lt;&gt;"",IFERROR(INDEX(PMtbl[[WKst]:[Unit of measure*]],MATCH($A$115&amp;$A137&amp;$E137&amp;$I137,INDEX(PMtbl[Sec]&amp;PMtbl[Category]&amp;PMtbl[Each]&amp;PMtbl[Packaging],0,),0),14),""),"")</f>
        <v/>
      </c>
      <c r="M137" s="480" t="str">
        <f>IF(L137="","",INDEX(SETUP!$E$20:$E$122,(MATCH(INDEX(PMsheet!$D:$E,MATCH(A137,PMsheet!E:E,0),1),SETUP!$D$20:$D$122,0))))</f>
        <v/>
      </c>
      <c r="N137" s="494">
        <f>IF($O137="USD",_xlfn.IFNA(VLOOKUP(A137&amp;E137&amp;I137,PMsheet!J:K,2,0),0),(_xlfn.IFNA(VLOOKUP(A137&amp;E137&amp;I137,PMsheet!J:K,2,0),0)*'Master Data-C19RM'!$C$2))</f>
        <v>0</v>
      </c>
      <c r="O137" s="495" t="str">
        <f>IF(L137="", "",SETUP!$E$7)</f>
        <v/>
      </c>
      <c r="P137" s="457">
        <f>IF($O137="USD",_xlfn.IFNA(VLOOKUP($A137&amp;$E137&amp;$I137,PMsheet!$J:$K,2,0),0),(_xlfn.IFNA(VLOOKUP($A137&amp;$E137&amp;$I137,PMsheet!$J:$K,2,0),0)*'Master Data'!$C$2))</f>
        <v>0</v>
      </c>
      <c r="Q137" s="440"/>
      <c r="R137" s="440"/>
      <c r="S137" s="440"/>
      <c r="T137" s="440"/>
      <c r="U137" s="482">
        <f>SUM('C19RM 2021-Pharma'!$Q137:$T137)</f>
        <v>0</v>
      </c>
      <c r="V137" s="484">
        <f>IF(SETUP!$E$7="USD",(U137*(IF(O137="USD",P137,(P137/'Master Data'!$C$2)))),(U137*(IF(O137="EUR",P137,(P137*'Master Data'!$C$2)))))</f>
        <v>0</v>
      </c>
      <c r="W137" s="445">
        <f>IF($O137="USD",_xlfn.IFNA(VLOOKUP($A137&amp;$E137&amp;$I137,PMsheet!$J:$K,2,0),0),(_xlfn.IFNA(VLOOKUP($A137&amp;$E137&amp;$I137,PMsheet!$J:$K,2,0),0)*'Master Data'!$D$2))</f>
        <v>0</v>
      </c>
      <c r="X137" s="440"/>
      <c r="Y137" s="440"/>
      <c r="Z137" s="440"/>
      <c r="AA137" s="440"/>
      <c r="AB137" s="482">
        <f>SUM('C19RM 2021-Pharma'!$X137:$AA137)</f>
        <v>0</v>
      </c>
      <c r="AC137" s="484">
        <f>IF(SETUP!$E$7="USD",(AB137*(IF(O137="USD",W137,(W137/'Master Data'!$D$2)))),(AB137*(IF(O137="EUR",W137,(W137*'Master Data'!$D$2)))))</f>
        <v>0</v>
      </c>
      <c r="AD137" s="445">
        <f>IF($O137="USD",_xlfn.IFNA(VLOOKUP($A137&amp;$E137&amp;$I137,PMsheet!$J:$K,2,0),0),(_xlfn.IFNA(VLOOKUP($A137&amp;$E137&amp;$I137,PMsheet!$J:$K,2,0),0)*'Master Data'!$E$2))</f>
        <v>0</v>
      </c>
      <c r="AE137" s="440"/>
      <c r="AF137" s="440"/>
      <c r="AG137" s="440"/>
      <c r="AH137" s="440"/>
      <c r="AI137" s="482">
        <f>SUM('C19RM 2021-Pharma'!$AE137:$AH137)</f>
        <v>0</v>
      </c>
      <c r="AJ137" s="484">
        <f>IF(SETUP!$E$7="USD",(AI137*(IF(O137="USD",AD137,(AD137/'Master Data'!$E$2)))),(AI137*(IF(O137="EUR",AD137,(AD137*'Master Data'!$E$2)))))</f>
        <v>0</v>
      </c>
      <c r="AK137" s="445">
        <f>IF($O137="USD",_xlfn.IFNA(VLOOKUP($A137&amp;$E137&amp;$I137,PMsheet!$J:$K,2,0),0),(_xlfn.IFNA(VLOOKUP($A137&amp;$E137&amp;$I137,PMsheet!$J:$K,2,0),0)*'Master Data'!$F$2))</f>
        <v>0</v>
      </c>
      <c r="AL137" s="440"/>
      <c r="AM137" s="440"/>
      <c r="AN137" s="440"/>
      <c r="AO137" s="440"/>
      <c r="AP137" s="514">
        <f>SUM('C19RM 2021-Pharma'!$AL137:$AO137)</f>
        <v>0</v>
      </c>
      <c r="AQ137" s="515">
        <f>IF(SETUP!$E$7="USD",(AP137*(IF(O137="USD",AK137,(AK137/'Master Data'!$F$2)))),(AP137*(IF(O137="EUR",AK137,(AK137*'Master Data'!$F$2)))))</f>
        <v>0</v>
      </c>
      <c r="AR137" s="521"/>
      <c r="AS137" s="514"/>
      <c r="AT137" s="514"/>
      <c r="AU137" s="514"/>
      <c r="AV137" s="514"/>
      <c r="AW137" s="514"/>
      <c r="AX137" s="515"/>
      <c r="AY137" s="514"/>
      <c r="AZ137" s="514"/>
      <c r="BA137" s="514"/>
      <c r="BB137" s="514"/>
      <c r="BC137" s="514"/>
      <c r="BD137" s="514"/>
      <c r="BE137" s="514"/>
      <c r="BF137" s="521">
        <f>'C19RM 2021-Pharma'!$U137+'C19RM 2021-Pharma'!$AB137+'C19RM 2021-Pharma'!$AP137++'C19RM 2021-Pharma'!$AI137</f>
        <v>0</v>
      </c>
      <c r="BG137" s="515">
        <f>'C19RM 2021-Pharma'!$V137+'C19RM 2021-Pharma'!$AC137+'C19RM 2021-Pharma'!$AQ137+'C19RM 2021-Pharma'!$AJ137</f>
        <v>0</v>
      </c>
      <c r="BH137" s="522" t="str" cm="1">
        <f t="array" ref="BH137">IF(A137&lt;&gt;"",IFERROR(INDEX(PMtbl[[WKst]:[Unit of measure*]],MATCH($A$115&amp;$A137&amp;$E137&amp;$I137,INDEX(PMtbl[Sec]&amp;PMtbl[Category]&amp;PMtbl[Each]&amp;PMtbl[Packaging],0,),0),12),""),"")</f>
        <v/>
      </c>
      <c r="BI137" s="818"/>
      <c r="BJ137" s="503" t="str" cm="1">
        <f t="array" ref="BJ137">IFERROR(INDEX(SETUP!$C$19:$G$121,MATCH((INDEX(PMtbl[[WKst]:[Unit of measure*]],MATCH($A137&amp;$E137&amp;$I137,INDEX(PMtbl[Category]&amp;PMtbl[Each]&amp;PMtbl[Packaging],0,),0),3)),SETUP!$D$19:$D$121,0),5),"")</f>
        <v/>
      </c>
      <c r="BK137" s="439" t="str" cm="1">
        <f t="array" ref="BK137">IFERROR(IF((INDEX(SETUP!$C$19:$G$121,MATCH((INDEX(PMtbl[[WKst]:[Unit of measure*]],MATCH($A137&amp;$E137&amp;$I137,INDEX(PMtbl[Category]&amp;PMtbl[Each]&amp;PMtbl[Packaging],0,),0),3)),SETUP!$D$19:$D$121,0),4))="Upfront",0,INDEX(SETUP!$C$19:$G$121,MATCH((INDEX(PMtbl[[WKst]:[Unit of measure*]],MATCH($A137&amp;$E137&amp;$I137,INDEX(PMtbl[Category]&amp;PMtbl[Each]&amp;PMtbl[Packaging],0,),0),3)),SETUP!$D$19:$D$121,0),5)),"")</f>
        <v/>
      </c>
      <c r="BL137" s="197" t="str" cm="1">
        <f t="array" ref="BL137">IF(E137&lt;&gt;"",IFERROR(INDEX(PMtbl[[WKst]:[Unit of measure*]],MATCH($A$115&amp;$A137&amp;$E137&amp;$I137,INDEX(PMtbl[Sec]&amp;PMtbl[Category]&amp;PMtbl[Each]&amp;PMtbl[Packaging],0,),0),11),""),"")</f>
        <v/>
      </c>
      <c r="BO137" s="12">
        <f>IF(N137="",0,IF(SETUP!$E$7="USD",((IF(O137="USD",P137,(P137/'Master Data-C19RM'!$C$2)))),((IF(O137="EUR",P137,(P137*'Master Data-C19RM'!$C$2))))))</f>
        <v>0</v>
      </c>
      <c r="BP137" s="12">
        <f>IF(N137="",0,IF(SETUP!$E$7="USD",((IF(O137="USD",W137,(W137/'Master Data-C19RM'!$D$2)))),((IF(O137="EUR",W137,(W137*'Master Data-C19RM'!$D$2))))))</f>
        <v>0</v>
      </c>
      <c r="BQ137">
        <f>IF(N137="",0,IF(SETUP!$E$7="USD",((IF(O137="USD",AD137,(AD137/'Master Data-C19RM'!$E$2)))),((IF(O137="EUR",AD137,(AD137*'Master Data-C19RM'!$E$2))))))</f>
        <v>0</v>
      </c>
      <c r="BR137">
        <f>IF(N137="",0,IF(SETUP!$E$7="USD",((IF(O137="USD",AK137,(AK137/'Master Data-C19RM'!$F$2)))),((IF(O137="EUR",AK137,(AK137*'Master Data-C19RM'!$F$2))))))</f>
        <v>0</v>
      </c>
      <c r="BU137" s="12">
        <f t="shared" si="7"/>
        <v>0</v>
      </c>
      <c r="BV137" s="142">
        <f t="shared" si="8"/>
        <v>0</v>
      </c>
    </row>
    <row r="138" spans="1:74" hidden="1" x14ac:dyDescent="0.35">
      <c r="A138" s="1165"/>
      <c r="B138" s="1165"/>
      <c r="C138" s="1165"/>
      <c r="D138" s="1165"/>
      <c r="E138" s="1166"/>
      <c r="F138" s="1166"/>
      <c r="G138" s="1166"/>
      <c r="H138" s="1166"/>
      <c r="I138" s="1166"/>
      <c r="J138" s="1166"/>
      <c r="K138" s="1166"/>
      <c r="L138" s="490" t="str" cm="1">
        <f t="array" ref="L138">IF(A138&lt;&gt;"",IFERROR(INDEX(PMtbl[[WKst]:[Unit of measure*]],MATCH($A$115&amp;$A138&amp;$E138&amp;$I138,INDEX(PMtbl[Sec]&amp;PMtbl[Category]&amp;PMtbl[Each]&amp;PMtbl[Packaging],0,),0),14),""),"")</f>
        <v/>
      </c>
      <c r="M138" s="479" t="str">
        <f>IF(L138="","",INDEX(SETUP!$E$20:$E$122,(MATCH(INDEX(PMsheet!$D:$E,MATCH(A138,PMsheet!E:E,0),1),SETUP!$D$20:$D$122,0))))</f>
        <v/>
      </c>
      <c r="N138" s="496">
        <f>IF($O138="USD",_xlfn.IFNA(VLOOKUP(A138&amp;E138&amp;I138,PMsheet!J:K,2,0),0),(_xlfn.IFNA(VLOOKUP(A138&amp;E138&amp;I138,PMsheet!J:K,2,0),0)*'Master Data-C19RM'!$C$2))</f>
        <v>0</v>
      </c>
      <c r="O138" s="492" t="str">
        <f>IF(L138="", "",SETUP!$E$7)</f>
        <v/>
      </c>
      <c r="P138" s="456">
        <f>IF($O138="USD",_xlfn.IFNA(VLOOKUP($A138&amp;$E138&amp;$I138,PMsheet!$J:$K,2,0),0),(_xlfn.IFNA(VLOOKUP($A138&amp;$E138&amp;$I138,PMsheet!$J:$K,2,0),0)*'Master Data'!$C$2))</f>
        <v>0</v>
      </c>
      <c r="Q138" s="441"/>
      <c r="R138" s="441"/>
      <c r="S138" s="441"/>
      <c r="T138" s="441"/>
      <c r="U138" s="481">
        <f>SUM('C19RM 2021-Pharma'!$Q138:$T138)</f>
        <v>0</v>
      </c>
      <c r="V138" s="483">
        <f>IF(SETUP!$E$7="USD",(U138*(IF(O138="USD",P138,(P138/'Master Data'!$C$2)))),(U138*(IF(O138="EUR",P138,(P138*'Master Data'!$C$2)))))</f>
        <v>0</v>
      </c>
      <c r="W138" s="444">
        <f>IF($O138="USD",_xlfn.IFNA(VLOOKUP($A138&amp;$E138&amp;$I138,PMsheet!$J:$K,2,0),0),(_xlfn.IFNA(VLOOKUP($A138&amp;$E138&amp;$I138,PMsheet!$J:$K,2,0),0)*'Master Data'!$D$2))</f>
        <v>0</v>
      </c>
      <c r="X138" s="441"/>
      <c r="Y138" s="441"/>
      <c r="Z138" s="441"/>
      <c r="AA138" s="441"/>
      <c r="AB138" s="481">
        <f>SUM('C19RM 2021-Pharma'!$X138:$AA138)</f>
        <v>0</v>
      </c>
      <c r="AC138" s="483">
        <f>IF(SETUP!$E$7="USD",(AB138*(IF(O138="USD",W138,(W138/'Master Data'!$D$2)))),(AB138*(IF(O138="EUR",W138,(W138*'Master Data'!$D$2)))))</f>
        <v>0</v>
      </c>
      <c r="AD138" s="444">
        <f>IF($O138="USD",_xlfn.IFNA(VLOOKUP($A138&amp;$E138&amp;$I138,PMsheet!$J:$K,2,0),0),(_xlfn.IFNA(VLOOKUP($A138&amp;$E138&amp;$I138,PMsheet!$J:$K,2,0),0)*'Master Data'!$E$2))</f>
        <v>0</v>
      </c>
      <c r="AE138" s="441"/>
      <c r="AF138" s="441"/>
      <c r="AG138" s="441"/>
      <c r="AH138" s="441"/>
      <c r="AI138" s="481">
        <f>SUM('C19RM 2021-Pharma'!$AE138:$AH138)</f>
        <v>0</v>
      </c>
      <c r="AJ138" s="483">
        <f>IF(SETUP!$E$7="USD",(AI138*(IF(O138="USD",AD138,(AD138/'Master Data'!$E$2)))),(AI138*(IF(O138="EUR",AD138,(AD138*'Master Data'!$E$2)))))</f>
        <v>0</v>
      </c>
      <c r="AK138" s="444">
        <f>IF($O138="USD",_xlfn.IFNA(VLOOKUP($A138&amp;$E138&amp;$I138,PMsheet!$J:$K,2,0),0),(_xlfn.IFNA(VLOOKUP($A138&amp;$E138&amp;$I138,PMsheet!$J:$K,2,0),0)*'Master Data'!$F$2))</f>
        <v>0</v>
      </c>
      <c r="AL138" s="441"/>
      <c r="AM138" s="441"/>
      <c r="AN138" s="441"/>
      <c r="AO138" s="441"/>
      <c r="AP138" s="512">
        <f>SUM('C19RM 2021-Pharma'!$AL138:$AO138)</f>
        <v>0</v>
      </c>
      <c r="AQ138" s="513">
        <f>IF(SETUP!$E$7="USD",(AP138*(IF(O138="USD",AK138,(AK138/'Master Data'!$F$2)))),(AP138*(IF(O138="EUR",AK138,(AK138*'Master Data'!$F$2)))))</f>
        <v>0</v>
      </c>
      <c r="AR138" s="520"/>
      <c r="AS138" s="512"/>
      <c r="AT138" s="512"/>
      <c r="AU138" s="512"/>
      <c r="AV138" s="512"/>
      <c r="AW138" s="512"/>
      <c r="AX138" s="513"/>
      <c r="AY138" s="512"/>
      <c r="AZ138" s="512"/>
      <c r="BA138" s="512"/>
      <c r="BB138" s="512"/>
      <c r="BC138" s="512"/>
      <c r="BD138" s="512"/>
      <c r="BE138" s="512"/>
      <c r="BF138" s="520">
        <f>'C19RM 2021-Pharma'!$U138+'C19RM 2021-Pharma'!$AB138+'C19RM 2021-Pharma'!$AP138++'C19RM 2021-Pharma'!$AI138</f>
        <v>0</v>
      </c>
      <c r="BG138" s="513">
        <f>'C19RM 2021-Pharma'!$V138+'C19RM 2021-Pharma'!$AC138+'C19RM 2021-Pharma'!$AQ138+'C19RM 2021-Pharma'!$AJ138</f>
        <v>0</v>
      </c>
      <c r="BH138" s="500" t="str" cm="1">
        <f t="array" ref="BH138">IF(A138&lt;&gt;"",IFERROR(INDEX(PMtbl[[WKst]:[Unit of measure*]],MATCH($A$115&amp;$A138&amp;$E138&amp;$I138,INDEX(PMtbl[Sec]&amp;PMtbl[Category]&amp;PMtbl[Each]&amp;PMtbl[Packaging],0,),0),12),""),"")</f>
        <v/>
      </c>
      <c r="BI138" s="819"/>
      <c r="BJ138" s="502" t="str" cm="1">
        <f t="array" ref="BJ138">IFERROR(INDEX(SETUP!$C$19:$G$121,MATCH((INDEX(PMtbl[[WKst]:[Unit of measure*]],MATCH($A138&amp;$E138&amp;$I138,INDEX(PMtbl[Category]&amp;PMtbl[Each]&amp;PMtbl[Packaging],0,),0),3)),SETUP!$D$19:$D$121,0),5),"")</f>
        <v/>
      </c>
      <c r="BK138" s="438" t="str" cm="1">
        <f t="array" ref="BK138">IFERROR(IF((INDEX(SETUP!$C$19:$G$121,MATCH((INDEX(PMtbl[[WKst]:[Unit of measure*]],MATCH($A138&amp;$E138&amp;$I138,INDEX(PMtbl[Category]&amp;PMtbl[Each]&amp;PMtbl[Packaging],0,),0),3)),SETUP!$D$19:$D$121,0),4))="Upfront",0,INDEX(SETUP!$C$19:$G$121,MATCH((INDEX(PMtbl[[WKst]:[Unit of measure*]],MATCH($A138&amp;$E138&amp;$I138,INDEX(PMtbl[Category]&amp;PMtbl[Each]&amp;PMtbl[Packaging],0,),0),3)),SETUP!$D$19:$D$121,0),5)),"")</f>
        <v/>
      </c>
      <c r="BL138" s="196" t="str" cm="1">
        <f t="array" ref="BL138">IF(E138&lt;&gt;"",IFERROR(INDEX(PMtbl[[WKst]:[Unit of measure*]],MATCH($A$115&amp;$A138&amp;$E138&amp;$I138,INDEX(PMtbl[Sec]&amp;PMtbl[Category]&amp;PMtbl[Each]&amp;PMtbl[Packaging],0,),0),11),""),"")</f>
        <v/>
      </c>
      <c r="BO138" s="12">
        <f>IF(N138="",0,IF(SETUP!$E$7="USD",((IF(O138="USD",P138,(P138/'Master Data-C19RM'!$C$2)))),((IF(O138="EUR",P138,(P138*'Master Data-C19RM'!$C$2))))))</f>
        <v>0</v>
      </c>
      <c r="BP138" s="12">
        <f>IF(N138="",0,IF(SETUP!$E$7="USD",((IF(O138="USD",W138,(W138/'Master Data-C19RM'!$D$2)))),((IF(O138="EUR",W138,(W138*'Master Data-C19RM'!$D$2))))))</f>
        <v>0</v>
      </c>
      <c r="BQ138">
        <f>IF(N138="",0,IF(SETUP!$E$7="USD",((IF(O138="USD",AD138,(AD138/'Master Data-C19RM'!$E$2)))),((IF(O138="EUR",AD138,(AD138*'Master Data-C19RM'!$E$2))))))</f>
        <v>0</v>
      </c>
      <c r="BR138">
        <f>IF(N138="",0,IF(SETUP!$E$7="USD",((IF(O138="USD",AK138,(AK138/'Master Data-C19RM'!$F$2)))),((IF(O138="EUR",AK138,(AK138*'Master Data-C19RM'!$F$2))))))</f>
        <v>0</v>
      </c>
      <c r="BU138" s="12">
        <f t="shared" si="7"/>
        <v>0</v>
      </c>
      <c r="BV138" s="142">
        <f t="shared" si="8"/>
        <v>0</v>
      </c>
    </row>
    <row r="139" spans="1:74" hidden="1" x14ac:dyDescent="0.35">
      <c r="A139" s="1192"/>
      <c r="B139" s="1192"/>
      <c r="C139" s="1192"/>
      <c r="D139" s="1192"/>
      <c r="E139" s="1173"/>
      <c r="F139" s="1173"/>
      <c r="G139" s="1173"/>
      <c r="H139" s="1173"/>
      <c r="I139" s="1193"/>
      <c r="J139" s="1193"/>
      <c r="K139" s="1193"/>
      <c r="L139" s="493" t="str" cm="1">
        <f t="array" ref="L139">IF(A139&lt;&gt;"",IFERROR(INDEX(PMtbl[[WKst]:[Unit of measure*]],MATCH($A$115&amp;$A139&amp;$E139&amp;$I139,INDEX(PMtbl[Sec]&amp;PMtbl[Category]&amp;PMtbl[Each]&amp;PMtbl[Packaging],0,),0),14),""),"")</f>
        <v/>
      </c>
      <c r="M139" s="480" t="str">
        <f>IF(L139="","",INDEX(SETUP!$E$20:$E$122,(MATCH(INDEX(PMsheet!$D:$E,MATCH(A139,PMsheet!E:E,0),1),SETUP!$D$20:$D$122,0))))</f>
        <v/>
      </c>
      <c r="N139" s="494">
        <f>IF($O139="USD",_xlfn.IFNA(VLOOKUP(A139&amp;E139&amp;I139,PMsheet!J:K,2,0),0),(_xlfn.IFNA(VLOOKUP(A139&amp;E139&amp;I139,PMsheet!J:K,2,0),0)*'Master Data-C19RM'!$C$2))</f>
        <v>0</v>
      </c>
      <c r="O139" s="495" t="str">
        <f>IF(L139="", "",SETUP!$E$7)</f>
        <v/>
      </c>
      <c r="P139" s="457">
        <f>IF($O139="USD",_xlfn.IFNA(VLOOKUP($A139&amp;$E139&amp;$I139,PMsheet!$J:$K,2,0),0),(_xlfn.IFNA(VLOOKUP($A139&amp;$E139&amp;$I139,PMsheet!$J:$K,2,0),0)*'Master Data'!$C$2))</f>
        <v>0</v>
      </c>
      <c r="Q139" s="440"/>
      <c r="R139" s="440"/>
      <c r="S139" s="440"/>
      <c r="T139" s="440"/>
      <c r="U139" s="482">
        <f>SUM('C19RM 2021-Pharma'!$Q139:$T139)</f>
        <v>0</v>
      </c>
      <c r="V139" s="484">
        <f>IF(SETUP!$E$7="USD",(U139*(IF(O139="USD",P139,(P139/'Master Data'!$C$2)))),(U139*(IF(O139="EUR",P139,(P139*'Master Data'!$C$2)))))</f>
        <v>0</v>
      </c>
      <c r="W139" s="445">
        <f>IF($O139="USD",_xlfn.IFNA(VLOOKUP($A139&amp;$E139&amp;$I139,PMsheet!$J:$K,2,0),0),(_xlfn.IFNA(VLOOKUP($A139&amp;$E139&amp;$I139,PMsheet!$J:$K,2,0),0)*'Master Data'!$D$2))</f>
        <v>0</v>
      </c>
      <c r="X139" s="440"/>
      <c r="Y139" s="440"/>
      <c r="Z139" s="440"/>
      <c r="AA139" s="440"/>
      <c r="AB139" s="482">
        <f>SUM('C19RM 2021-Pharma'!$X139:$AA139)</f>
        <v>0</v>
      </c>
      <c r="AC139" s="484">
        <f>IF(SETUP!$E$7="USD",(AB139*(IF(O139="USD",W139,(W139/'Master Data'!$D$2)))),(AB139*(IF(O139="EUR",W139,(W139*'Master Data'!$D$2)))))</f>
        <v>0</v>
      </c>
      <c r="AD139" s="445">
        <f>IF($O139="USD",_xlfn.IFNA(VLOOKUP($A139&amp;$E139&amp;$I139,PMsheet!$J:$K,2,0),0),(_xlfn.IFNA(VLOOKUP($A139&amp;$E139&amp;$I139,PMsheet!$J:$K,2,0),0)*'Master Data'!$E$2))</f>
        <v>0</v>
      </c>
      <c r="AE139" s="440"/>
      <c r="AF139" s="440"/>
      <c r="AG139" s="440"/>
      <c r="AH139" s="440"/>
      <c r="AI139" s="482">
        <f>SUM('C19RM 2021-Pharma'!$AE139:$AH139)</f>
        <v>0</v>
      </c>
      <c r="AJ139" s="484">
        <f>IF(SETUP!$E$7="USD",(AI139*(IF(O139="USD",AD139,(AD139/'Master Data'!$E$2)))),(AI139*(IF(O139="EUR",AD139,(AD139*'Master Data'!$E$2)))))</f>
        <v>0</v>
      </c>
      <c r="AK139" s="445">
        <f>IF($O139="USD",_xlfn.IFNA(VLOOKUP($A139&amp;$E139&amp;$I139,PMsheet!$J:$K,2,0),0),(_xlfn.IFNA(VLOOKUP($A139&amp;$E139&amp;$I139,PMsheet!$J:$K,2,0),0)*'Master Data'!$F$2))</f>
        <v>0</v>
      </c>
      <c r="AL139" s="440"/>
      <c r="AM139" s="440"/>
      <c r="AN139" s="440"/>
      <c r="AO139" s="440"/>
      <c r="AP139" s="514">
        <f>SUM('C19RM 2021-Pharma'!$AL139:$AO139)</f>
        <v>0</v>
      </c>
      <c r="AQ139" s="515">
        <f>IF(SETUP!$E$7="USD",(AP139*(IF(O139="USD",AK139,(AK139/'Master Data'!$F$2)))),(AP139*(IF(O139="EUR",AK139,(AK139*'Master Data'!$F$2)))))</f>
        <v>0</v>
      </c>
      <c r="AR139" s="521"/>
      <c r="AS139" s="514"/>
      <c r="AT139" s="514"/>
      <c r="AU139" s="514"/>
      <c r="AV139" s="514"/>
      <c r="AW139" s="514"/>
      <c r="AX139" s="515"/>
      <c r="AY139" s="514"/>
      <c r="AZ139" s="514"/>
      <c r="BA139" s="514"/>
      <c r="BB139" s="514"/>
      <c r="BC139" s="514"/>
      <c r="BD139" s="514"/>
      <c r="BE139" s="514"/>
      <c r="BF139" s="521">
        <f>'C19RM 2021-Pharma'!$U139+'C19RM 2021-Pharma'!$AB139+'C19RM 2021-Pharma'!$AP139++'C19RM 2021-Pharma'!$AI139</f>
        <v>0</v>
      </c>
      <c r="BG139" s="515">
        <f>'C19RM 2021-Pharma'!$V139+'C19RM 2021-Pharma'!$AC139+'C19RM 2021-Pharma'!$AQ139+'C19RM 2021-Pharma'!$AJ139</f>
        <v>0</v>
      </c>
      <c r="BH139" s="522" t="str" cm="1">
        <f t="array" ref="BH139">IF(A139&lt;&gt;"",IFERROR(INDEX(PMtbl[[WKst]:[Unit of measure*]],MATCH($A$115&amp;$A139&amp;$E139&amp;$I139,INDEX(PMtbl[Sec]&amp;PMtbl[Category]&amp;PMtbl[Each]&amp;PMtbl[Packaging],0,),0),12),""),"")</f>
        <v/>
      </c>
      <c r="BI139" s="818"/>
      <c r="BJ139" s="503" t="str" cm="1">
        <f t="array" ref="BJ139">IFERROR(INDEX(SETUP!$C$19:$G$121,MATCH((INDEX(PMtbl[[WKst]:[Unit of measure*]],MATCH($A139&amp;$E139&amp;$I139,INDEX(PMtbl[Category]&amp;PMtbl[Each]&amp;PMtbl[Packaging],0,),0),3)),SETUP!$D$19:$D$121,0),5),"")</f>
        <v/>
      </c>
      <c r="BK139" s="439" t="str" cm="1">
        <f t="array" ref="BK139">IFERROR(IF((INDEX(SETUP!$C$19:$G$121,MATCH((INDEX(PMtbl[[WKst]:[Unit of measure*]],MATCH($A139&amp;$E139&amp;$I139,INDEX(PMtbl[Category]&amp;PMtbl[Each]&amp;PMtbl[Packaging],0,),0),3)),SETUP!$D$19:$D$121,0),4))="Upfront",0,INDEX(SETUP!$C$19:$G$121,MATCH((INDEX(PMtbl[[WKst]:[Unit of measure*]],MATCH($A139&amp;$E139&amp;$I139,INDEX(PMtbl[Category]&amp;PMtbl[Each]&amp;PMtbl[Packaging],0,),0),3)),SETUP!$D$19:$D$121,0),5)),"")</f>
        <v/>
      </c>
      <c r="BL139" s="197" t="str" cm="1">
        <f t="array" ref="BL139">IF(E139&lt;&gt;"",IFERROR(INDEX(PMtbl[[WKst]:[Unit of measure*]],MATCH($A$115&amp;$A139&amp;$E139&amp;$I139,INDEX(PMtbl[Sec]&amp;PMtbl[Category]&amp;PMtbl[Each]&amp;PMtbl[Packaging],0,),0),11),""),"")</f>
        <v/>
      </c>
      <c r="BO139" s="12">
        <f>IF(N139="",0,IF(SETUP!$E$7="USD",((IF(O139="USD",P139,(P139/'Master Data-C19RM'!$C$2)))),((IF(O139="EUR",P139,(P139*'Master Data-C19RM'!$C$2))))))</f>
        <v>0</v>
      </c>
      <c r="BP139" s="12">
        <f>IF(N139="",0,IF(SETUP!$E$7="USD",((IF(O139="USD",W139,(W139/'Master Data-C19RM'!$D$2)))),((IF(O139="EUR",W139,(W139*'Master Data-C19RM'!$D$2))))))</f>
        <v>0</v>
      </c>
      <c r="BQ139">
        <f>IF(N139="",0,IF(SETUP!$E$7="USD",((IF(O139="USD",AD139,(AD139/'Master Data-C19RM'!$E$2)))),((IF(O139="EUR",AD139,(AD139*'Master Data-C19RM'!$E$2))))))</f>
        <v>0</v>
      </c>
      <c r="BR139">
        <f>IF(N139="",0,IF(SETUP!$E$7="USD",((IF(O139="USD",AK139,(AK139/'Master Data-C19RM'!$F$2)))),((IF(O139="EUR",AK139,(AK139*'Master Data-C19RM'!$F$2))))))</f>
        <v>0</v>
      </c>
      <c r="BU139" s="12">
        <f t="shared" si="7"/>
        <v>0</v>
      </c>
      <c r="BV139" s="142">
        <f t="shared" si="8"/>
        <v>0</v>
      </c>
    </row>
    <row r="140" spans="1:74" hidden="1" x14ac:dyDescent="0.35">
      <c r="A140" s="1165"/>
      <c r="B140" s="1165"/>
      <c r="C140" s="1165"/>
      <c r="D140" s="1165"/>
      <c r="E140" s="1166"/>
      <c r="F140" s="1166"/>
      <c r="G140" s="1166"/>
      <c r="H140" s="1166"/>
      <c r="I140" s="1166"/>
      <c r="J140" s="1166"/>
      <c r="K140" s="1166"/>
      <c r="L140" s="490" t="str" cm="1">
        <f t="array" ref="L140">IF(A140&lt;&gt;"",IFERROR(INDEX(PMtbl[[WKst]:[Unit of measure*]],MATCH($A$115&amp;$A140&amp;$E140&amp;$I140,INDEX(PMtbl[Sec]&amp;PMtbl[Category]&amp;PMtbl[Each]&amp;PMtbl[Packaging],0,),0),14),""),"")</f>
        <v/>
      </c>
      <c r="M140" s="479" t="str">
        <f>IF(L140="","",INDEX(SETUP!$E$20:$E$122,(MATCH(INDEX(PMsheet!$D:$E,MATCH(A140,PMsheet!E:E,0),1),SETUP!$D$20:$D$122,0))))</f>
        <v/>
      </c>
      <c r="N140" s="496">
        <f>IF($O140="USD",_xlfn.IFNA(VLOOKUP(A140&amp;E140&amp;I140,PMsheet!J:K,2,0),0),(_xlfn.IFNA(VLOOKUP(A140&amp;E140&amp;I140,PMsheet!J:K,2,0),0)*'Master Data-C19RM'!$C$2))</f>
        <v>0</v>
      </c>
      <c r="O140" s="492" t="str">
        <f>IF(L140="", "",SETUP!$E$7)</f>
        <v/>
      </c>
      <c r="P140" s="456">
        <f>IF($O140="USD",_xlfn.IFNA(VLOOKUP($A140&amp;$E140&amp;$I140,PMsheet!$J:$K,2,0),0),(_xlfn.IFNA(VLOOKUP($A140&amp;$E140&amp;$I140,PMsheet!$J:$K,2,0),0)*'Master Data'!$C$2))</f>
        <v>0</v>
      </c>
      <c r="Q140" s="441"/>
      <c r="R140" s="441"/>
      <c r="S140" s="441"/>
      <c r="T140" s="441"/>
      <c r="U140" s="481">
        <f>SUM('C19RM 2021-Pharma'!$Q140:$T140)</f>
        <v>0</v>
      </c>
      <c r="V140" s="483">
        <f>IF(SETUP!$E$7="USD",(U140*(IF(O140="USD",P140,(P140/'Master Data'!$C$2)))),(U140*(IF(O140="EUR",P140,(P140*'Master Data'!$C$2)))))</f>
        <v>0</v>
      </c>
      <c r="W140" s="444">
        <f>IF($O140="USD",_xlfn.IFNA(VLOOKUP($A140&amp;$E140&amp;$I140,PMsheet!$J:$K,2,0),0),(_xlfn.IFNA(VLOOKUP($A140&amp;$E140&amp;$I140,PMsheet!$J:$K,2,0),0)*'Master Data'!$D$2))</f>
        <v>0</v>
      </c>
      <c r="X140" s="441"/>
      <c r="Y140" s="441"/>
      <c r="Z140" s="441"/>
      <c r="AA140" s="441"/>
      <c r="AB140" s="481">
        <f>SUM('C19RM 2021-Pharma'!$X140:$AA140)</f>
        <v>0</v>
      </c>
      <c r="AC140" s="483">
        <f>IF(SETUP!$E$7="USD",(AB140*(IF(O140="USD",W140,(W140/'Master Data'!$D$2)))),(AB140*(IF(O140="EUR",W140,(W140*'Master Data'!$D$2)))))</f>
        <v>0</v>
      </c>
      <c r="AD140" s="444">
        <f>IF($O140="USD",_xlfn.IFNA(VLOOKUP($A140&amp;$E140&amp;$I140,PMsheet!$J:$K,2,0),0),(_xlfn.IFNA(VLOOKUP($A140&amp;$E140&amp;$I140,PMsheet!$J:$K,2,0),0)*'Master Data'!$E$2))</f>
        <v>0</v>
      </c>
      <c r="AE140" s="441"/>
      <c r="AF140" s="441"/>
      <c r="AG140" s="441"/>
      <c r="AH140" s="441"/>
      <c r="AI140" s="481">
        <f>SUM('C19RM 2021-Pharma'!$AE140:$AH140)</f>
        <v>0</v>
      </c>
      <c r="AJ140" s="483">
        <f>IF(SETUP!$E$7="USD",(AI140*(IF(O140="USD",AD140,(AD140/'Master Data'!$E$2)))),(AI140*(IF(O140="EUR",AD140,(AD140*'Master Data'!$E$2)))))</f>
        <v>0</v>
      </c>
      <c r="AK140" s="444">
        <f>IF($O140="USD",_xlfn.IFNA(VLOOKUP($A140&amp;$E140&amp;$I140,PMsheet!$J:$K,2,0),0),(_xlfn.IFNA(VLOOKUP($A140&amp;$E140&amp;$I140,PMsheet!$J:$K,2,0),0)*'Master Data'!$F$2))</f>
        <v>0</v>
      </c>
      <c r="AL140" s="441"/>
      <c r="AM140" s="441"/>
      <c r="AN140" s="441"/>
      <c r="AO140" s="441"/>
      <c r="AP140" s="512">
        <f>SUM('C19RM 2021-Pharma'!$AL140:$AO140)</f>
        <v>0</v>
      </c>
      <c r="AQ140" s="513">
        <f>IF(SETUP!$E$7="USD",(AP140*(IF(O140="USD",AK140,(AK140/'Master Data'!$F$2)))),(AP140*(IF(O140="EUR",AK140,(AK140*'Master Data'!$F$2)))))</f>
        <v>0</v>
      </c>
      <c r="AR140" s="520"/>
      <c r="AS140" s="512"/>
      <c r="AT140" s="512"/>
      <c r="AU140" s="512"/>
      <c r="AV140" s="512"/>
      <c r="AW140" s="512"/>
      <c r="AX140" s="513"/>
      <c r="AY140" s="512"/>
      <c r="AZ140" s="512"/>
      <c r="BA140" s="512"/>
      <c r="BB140" s="512"/>
      <c r="BC140" s="512"/>
      <c r="BD140" s="512"/>
      <c r="BE140" s="512"/>
      <c r="BF140" s="520">
        <f>'C19RM 2021-Pharma'!$U140+'C19RM 2021-Pharma'!$AB140+'C19RM 2021-Pharma'!$AP140++'C19RM 2021-Pharma'!$AI140</f>
        <v>0</v>
      </c>
      <c r="BG140" s="513">
        <f>'C19RM 2021-Pharma'!$V140+'C19RM 2021-Pharma'!$AC140+'C19RM 2021-Pharma'!$AQ140+'C19RM 2021-Pharma'!$AJ140</f>
        <v>0</v>
      </c>
      <c r="BH140" s="500" t="str" cm="1">
        <f t="array" ref="BH140">IF(A140&lt;&gt;"",IFERROR(INDEX(PMtbl[[WKst]:[Unit of measure*]],MATCH($A$115&amp;$A140&amp;$E140&amp;$I140,INDEX(PMtbl[Sec]&amp;PMtbl[Category]&amp;PMtbl[Each]&amp;PMtbl[Packaging],0,),0),12),""),"")</f>
        <v/>
      </c>
      <c r="BI140" s="819"/>
      <c r="BJ140" s="502" t="str" cm="1">
        <f t="array" ref="BJ140">IFERROR(INDEX(SETUP!$C$19:$G$121,MATCH((INDEX(PMtbl[[WKst]:[Unit of measure*]],MATCH($A140&amp;$E140&amp;$I140,INDEX(PMtbl[Category]&amp;PMtbl[Each]&amp;PMtbl[Packaging],0,),0),3)),SETUP!$D$19:$D$121,0),5),"")</f>
        <v/>
      </c>
      <c r="BK140" s="438" t="str" cm="1">
        <f t="array" ref="BK140">IFERROR(IF((INDEX(SETUP!$C$19:$G$121,MATCH((INDEX(PMtbl[[WKst]:[Unit of measure*]],MATCH($A140&amp;$E140&amp;$I140,INDEX(PMtbl[Category]&amp;PMtbl[Each]&amp;PMtbl[Packaging],0,),0),3)),SETUP!$D$19:$D$121,0),4))="Upfront",0,INDEX(SETUP!$C$19:$G$121,MATCH((INDEX(PMtbl[[WKst]:[Unit of measure*]],MATCH($A140&amp;$E140&amp;$I140,INDEX(PMtbl[Category]&amp;PMtbl[Each]&amp;PMtbl[Packaging],0,),0),3)),SETUP!$D$19:$D$121,0),5)),"")</f>
        <v/>
      </c>
      <c r="BL140" s="196" t="str" cm="1">
        <f t="array" ref="BL140">IF(E140&lt;&gt;"",IFERROR(INDEX(PMtbl[[WKst]:[Unit of measure*]],MATCH($A$115&amp;$A140&amp;$E140&amp;$I140,INDEX(PMtbl[Sec]&amp;PMtbl[Category]&amp;PMtbl[Each]&amp;PMtbl[Packaging],0,),0),11),""),"")</f>
        <v/>
      </c>
      <c r="BO140" s="12">
        <f>IF(N140="",0,IF(SETUP!$E$7="USD",((IF(O140="USD",P140,(P140/'Master Data-C19RM'!$C$2)))),((IF(O140="EUR",P140,(P140*'Master Data-C19RM'!$C$2))))))</f>
        <v>0</v>
      </c>
      <c r="BP140" s="12">
        <f>IF(N140="",0,IF(SETUP!$E$7="USD",((IF(O140="USD",W140,(W140/'Master Data-C19RM'!$D$2)))),((IF(O140="EUR",W140,(W140*'Master Data-C19RM'!$D$2))))))</f>
        <v>0</v>
      </c>
      <c r="BQ140">
        <f>IF(N140="",0,IF(SETUP!$E$7="USD",((IF(O140="USD",AD140,(AD140/'Master Data-C19RM'!$E$2)))),((IF(O140="EUR",AD140,(AD140*'Master Data-C19RM'!$E$2))))))</f>
        <v>0</v>
      </c>
      <c r="BR140">
        <f>IF(N140="",0,IF(SETUP!$E$7="USD",((IF(O140="USD",AK140,(AK140/'Master Data-C19RM'!$F$2)))),((IF(O140="EUR",AK140,(AK140*'Master Data-C19RM'!$F$2))))))</f>
        <v>0</v>
      </c>
      <c r="BU140" s="12">
        <f t="shared" si="7"/>
        <v>0</v>
      </c>
      <c r="BV140" s="142">
        <f t="shared" si="8"/>
        <v>0</v>
      </c>
    </row>
    <row r="141" spans="1:74" hidden="1" x14ac:dyDescent="0.35">
      <c r="A141" s="1192"/>
      <c r="B141" s="1192"/>
      <c r="C141" s="1192"/>
      <c r="D141" s="1192"/>
      <c r="E141" s="1173"/>
      <c r="F141" s="1173"/>
      <c r="G141" s="1173"/>
      <c r="H141" s="1173"/>
      <c r="I141" s="1193"/>
      <c r="J141" s="1193"/>
      <c r="K141" s="1193"/>
      <c r="L141" s="493" t="str" cm="1">
        <f t="array" ref="L141">IF(A141&lt;&gt;"",IFERROR(INDEX(PMtbl[[WKst]:[Unit of measure*]],MATCH($A$115&amp;$A141&amp;$E141&amp;$I141,INDEX(PMtbl[Sec]&amp;PMtbl[Category]&amp;PMtbl[Each]&amp;PMtbl[Packaging],0,),0),14),""),"")</f>
        <v/>
      </c>
      <c r="M141" s="480" t="str">
        <f>IF(L141="","",INDEX(SETUP!$E$20:$E$122,(MATCH(INDEX(PMsheet!$D:$E,MATCH(A141,PMsheet!E:E,0),1),SETUP!$D$20:$D$122,0))))</f>
        <v/>
      </c>
      <c r="N141" s="494">
        <f>IF($O141="USD",_xlfn.IFNA(VLOOKUP(A141&amp;E141&amp;I141,PMsheet!J:K,2,0),0),(_xlfn.IFNA(VLOOKUP(A141&amp;E141&amp;I141,PMsheet!J:K,2,0),0)*'Master Data-C19RM'!$C$2))</f>
        <v>0</v>
      </c>
      <c r="O141" s="495" t="str">
        <f>IF(L141="", "",SETUP!$E$7)</f>
        <v/>
      </c>
      <c r="P141" s="457">
        <f>IF($O141="USD",_xlfn.IFNA(VLOOKUP($A141&amp;$E141&amp;$I141,PMsheet!$J:$K,2,0),0),(_xlfn.IFNA(VLOOKUP($A141&amp;$E141&amp;$I141,PMsheet!$J:$K,2,0),0)*'Master Data'!$C$2))</f>
        <v>0</v>
      </c>
      <c r="Q141" s="440"/>
      <c r="R141" s="440"/>
      <c r="S141" s="440"/>
      <c r="T141" s="440"/>
      <c r="U141" s="482">
        <f>SUM('C19RM 2021-Pharma'!$Q141:$T141)</f>
        <v>0</v>
      </c>
      <c r="V141" s="484">
        <f>IF(SETUP!$E$7="USD",(U141*(IF(O141="USD",P141,(P141/'Master Data'!$C$2)))),(U141*(IF(O141="EUR",P141,(P141*'Master Data'!$C$2)))))</f>
        <v>0</v>
      </c>
      <c r="W141" s="445">
        <f>IF($O141="USD",_xlfn.IFNA(VLOOKUP($A141&amp;$E141&amp;$I141,PMsheet!$J:$K,2,0),0),(_xlfn.IFNA(VLOOKUP($A141&amp;$E141&amp;$I141,PMsheet!$J:$K,2,0),0)*'Master Data'!$D$2))</f>
        <v>0</v>
      </c>
      <c r="X141" s="440"/>
      <c r="Y141" s="440"/>
      <c r="Z141" s="440"/>
      <c r="AA141" s="440"/>
      <c r="AB141" s="482">
        <f>SUM('C19RM 2021-Pharma'!$X141:$AA141)</f>
        <v>0</v>
      </c>
      <c r="AC141" s="484">
        <f>IF(SETUP!$E$7="USD",(AB141*(IF(O141="USD",W141,(W141/'Master Data'!$D$2)))),(AB141*(IF(O141="EUR",W141,(W141*'Master Data'!$D$2)))))</f>
        <v>0</v>
      </c>
      <c r="AD141" s="445">
        <f>IF($O141="USD",_xlfn.IFNA(VLOOKUP($A141&amp;$E141&amp;$I141,PMsheet!$J:$K,2,0),0),(_xlfn.IFNA(VLOOKUP($A141&amp;$E141&amp;$I141,PMsheet!$J:$K,2,0),0)*'Master Data'!$E$2))</f>
        <v>0</v>
      </c>
      <c r="AE141" s="440"/>
      <c r="AF141" s="440"/>
      <c r="AG141" s="440"/>
      <c r="AH141" s="440"/>
      <c r="AI141" s="482">
        <f>SUM('C19RM 2021-Pharma'!$AE141:$AH141)</f>
        <v>0</v>
      </c>
      <c r="AJ141" s="484">
        <f>IF(SETUP!$E$7="USD",(AI141*(IF(O141="USD",AD141,(AD141/'Master Data'!$E$2)))),(AI141*(IF(O141="EUR",AD141,(AD141*'Master Data'!$E$2)))))</f>
        <v>0</v>
      </c>
      <c r="AK141" s="445">
        <f>IF($O141="USD",_xlfn.IFNA(VLOOKUP($A141&amp;$E141&amp;$I141,PMsheet!$J:$K,2,0),0),(_xlfn.IFNA(VLOOKUP($A141&amp;$E141&amp;$I141,PMsheet!$J:$K,2,0),0)*'Master Data'!$F$2))</f>
        <v>0</v>
      </c>
      <c r="AL141" s="440"/>
      <c r="AM141" s="440"/>
      <c r="AN141" s="440"/>
      <c r="AO141" s="440"/>
      <c r="AP141" s="514">
        <f>SUM('C19RM 2021-Pharma'!$AL141:$AO141)</f>
        <v>0</v>
      </c>
      <c r="AQ141" s="515">
        <f>IF(SETUP!$E$7="USD",(AP141*(IF(O141="USD",AK141,(AK141/'Master Data'!$F$2)))),(AP141*(IF(O141="EUR",AK141,(AK141*'Master Data'!$F$2)))))</f>
        <v>0</v>
      </c>
      <c r="AR141" s="521"/>
      <c r="AS141" s="514"/>
      <c r="AT141" s="514"/>
      <c r="AU141" s="514"/>
      <c r="AV141" s="514"/>
      <c r="AW141" s="514"/>
      <c r="AX141" s="515"/>
      <c r="AY141" s="514"/>
      <c r="AZ141" s="514"/>
      <c r="BA141" s="514"/>
      <c r="BB141" s="514"/>
      <c r="BC141" s="514"/>
      <c r="BD141" s="514"/>
      <c r="BE141" s="514"/>
      <c r="BF141" s="521">
        <f>'C19RM 2021-Pharma'!$U141+'C19RM 2021-Pharma'!$AB141+'C19RM 2021-Pharma'!$AP141++'C19RM 2021-Pharma'!$AI141</f>
        <v>0</v>
      </c>
      <c r="BG141" s="515">
        <f>'C19RM 2021-Pharma'!$V141+'C19RM 2021-Pharma'!$AC141+'C19RM 2021-Pharma'!$AQ141+'C19RM 2021-Pharma'!$AJ141</f>
        <v>0</v>
      </c>
      <c r="BH141" s="522" t="str" cm="1">
        <f t="array" ref="BH141">IF(A141&lt;&gt;"",IFERROR(INDEX(PMtbl[[WKst]:[Unit of measure*]],MATCH($A$115&amp;$A141&amp;$E141&amp;$I141,INDEX(PMtbl[Sec]&amp;PMtbl[Category]&amp;PMtbl[Each]&amp;PMtbl[Packaging],0,),0),12),""),"")</f>
        <v/>
      </c>
      <c r="BI141" s="818"/>
      <c r="BJ141" s="503" t="str" cm="1">
        <f t="array" ref="BJ141">IFERROR(INDEX(SETUP!$C$19:$G$121,MATCH((INDEX(PMtbl[[WKst]:[Unit of measure*]],MATCH($A141&amp;$E141&amp;$I141,INDEX(PMtbl[Category]&amp;PMtbl[Each]&amp;PMtbl[Packaging],0,),0),3)),SETUP!$D$19:$D$121,0),5),"")</f>
        <v/>
      </c>
      <c r="BK141" s="439" t="str" cm="1">
        <f t="array" ref="BK141">IFERROR(IF((INDEX(SETUP!$C$19:$G$121,MATCH((INDEX(PMtbl[[WKst]:[Unit of measure*]],MATCH($A141&amp;$E141&amp;$I141,INDEX(PMtbl[Category]&amp;PMtbl[Each]&amp;PMtbl[Packaging],0,),0),3)),SETUP!$D$19:$D$121,0),4))="Upfront",0,INDEX(SETUP!$C$19:$G$121,MATCH((INDEX(PMtbl[[WKst]:[Unit of measure*]],MATCH($A141&amp;$E141&amp;$I141,INDEX(PMtbl[Category]&amp;PMtbl[Each]&amp;PMtbl[Packaging],0,),0),3)),SETUP!$D$19:$D$121,0),5)),"")</f>
        <v/>
      </c>
      <c r="BL141" s="197" t="str" cm="1">
        <f t="array" ref="BL141">IF(E141&lt;&gt;"",IFERROR(INDEX(PMtbl[[WKst]:[Unit of measure*]],MATCH($A$115&amp;$A141&amp;$E141&amp;$I141,INDEX(PMtbl[Sec]&amp;PMtbl[Category]&amp;PMtbl[Each]&amp;PMtbl[Packaging],0,),0),11),""),"")</f>
        <v/>
      </c>
      <c r="BO141" s="12">
        <f>IF(N141="",0,IF(SETUP!$E$7="USD",((IF(O141="USD",P141,(P141/'Master Data-C19RM'!$C$2)))),((IF(O141="EUR",P141,(P141*'Master Data-C19RM'!$C$2))))))</f>
        <v>0</v>
      </c>
      <c r="BP141" s="12">
        <f>IF(N141="",0,IF(SETUP!$E$7="USD",((IF(O141="USD",W141,(W141/'Master Data-C19RM'!$D$2)))),((IF(O141="EUR",W141,(W141*'Master Data-C19RM'!$D$2))))))</f>
        <v>0</v>
      </c>
      <c r="BQ141">
        <f>IF(N141="",0,IF(SETUP!$E$7="USD",((IF(O141="USD",AD141,(AD141/'Master Data-C19RM'!$E$2)))),((IF(O141="EUR",AD141,(AD141*'Master Data-C19RM'!$E$2))))))</f>
        <v>0</v>
      </c>
      <c r="BR141">
        <f>IF(N141="",0,IF(SETUP!$E$7="USD",((IF(O141="USD",AK141,(AK141/'Master Data-C19RM'!$F$2)))),((IF(O141="EUR",AK141,(AK141*'Master Data-C19RM'!$F$2))))))</f>
        <v>0</v>
      </c>
      <c r="BU141" s="12">
        <f t="shared" si="7"/>
        <v>0</v>
      </c>
      <c r="BV141" s="142">
        <f t="shared" si="8"/>
        <v>0</v>
      </c>
    </row>
    <row r="142" spans="1:74" hidden="1" x14ac:dyDescent="0.35">
      <c r="A142" s="1165"/>
      <c r="B142" s="1165"/>
      <c r="C142" s="1165"/>
      <c r="D142" s="1165"/>
      <c r="E142" s="1166"/>
      <c r="F142" s="1166"/>
      <c r="G142" s="1166"/>
      <c r="H142" s="1166"/>
      <c r="I142" s="1166"/>
      <c r="J142" s="1166"/>
      <c r="K142" s="1166"/>
      <c r="L142" s="490" t="str" cm="1">
        <f t="array" ref="L142">IF(A142&lt;&gt;"",IFERROR(INDEX(PMtbl[[WKst]:[Unit of measure*]],MATCH($A$115&amp;$A142&amp;$E142&amp;$I142,INDEX(PMtbl[Sec]&amp;PMtbl[Category]&amp;PMtbl[Each]&amp;PMtbl[Packaging],0,),0),14),""),"")</f>
        <v/>
      </c>
      <c r="M142" s="479" t="str">
        <f>IF(L142="","",INDEX(SETUP!$E$20:$E$122,(MATCH(INDEX(PMsheet!$D:$E,MATCH(A142,PMsheet!E:E,0),1),SETUP!$D$20:$D$122,0))))</f>
        <v/>
      </c>
      <c r="N142" s="496">
        <f>IF($O142="USD",_xlfn.IFNA(VLOOKUP(A142&amp;E142&amp;I142,PMsheet!J:K,2,0),0),(_xlfn.IFNA(VLOOKUP(A142&amp;E142&amp;I142,PMsheet!J:K,2,0),0)*'Master Data-C19RM'!$C$2))</f>
        <v>0</v>
      </c>
      <c r="O142" s="492" t="str">
        <f>IF(L142="", "",SETUP!$E$7)</f>
        <v/>
      </c>
      <c r="P142" s="456">
        <f>IF($O142="USD",_xlfn.IFNA(VLOOKUP($A142&amp;$E142&amp;$I142,PMsheet!$J:$K,2,0),0),(_xlfn.IFNA(VLOOKUP($A142&amp;$E142&amp;$I142,PMsheet!$J:$K,2,0),0)*'Master Data'!$C$2))</f>
        <v>0</v>
      </c>
      <c r="Q142" s="441"/>
      <c r="R142" s="441"/>
      <c r="S142" s="441"/>
      <c r="T142" s="441"/>
      <c r="U142" s="481">
        <f>SUM('C19RM 2021-Pharma'!$Q142:$T142)</f>
        <v>0</v>
      </c>
      <c r="V142" s="483">
        <f>IF(SETUP!$E$7="USD",(U142*(IF(O142="USD",P142,(P142/'Master Data'!$C$2)))),(U142*(IF(O142="EUR",P142,(P142*'Master Data'!$C$2)))))</f>
        <v>0</v>
      </c>
      <c r="W142" s="444">
        <f>IF($O142="USD",_xlfn.IFNA(VLOOKUP($A142&amp;$E142&amp;$I142,PMsheet!$J:$K,2,0),0),(_xlfn.IFNA(VLOOKUP($A142&amp;$E142&amp;$I142,PMsheet!$J:$K,2,0),0)*'Master Data'!$D$2))</f>
        <v>0</v>
      </c>
      <c r="X142" s="441"/>
      <c r="Y142" s="441"/>
      <c r="Z142" s="441"/>
      <c r="AA142" s="441"/>
      <c r="AB142" s="481">
        <f>SUM('C19RM 2021-Pharma'!$X142:$AA142)</f>
        <v>0</v>
      </c>
      <c r="AC142" s="483">
        <f>IF(SETUP!$E$7="USD",(AB142*(IF(O142="USD",W142,(W142/'Master Data'!$D$2)))),(AB142*(IF(O142="EUR",W142,(W142*'Master Data'!$D$2)))))</f>
        <v>0</v>
      </c>
      <c r="AD142" s="444">
        <f>IF($O142="USD",_xlfn.IFNA(VLOOKUP($A142&amp;$E142&amp;$I142,PMsheet!$J:$K,2,0),0),(_xlfn.IFNA(VLOOKUP($A142&amp;$E142&amp;$I142,PMsheet!$J:$K,2,0),0)*'Master Data'!$E$2))</f>
        <v>0</v>
      </c>
      <c r="AE142" s="441"/>
      <c r="AF142" s="441"/>
      <c r="AG142" s="441"/>
      <c r="AH142" s="441"/>
      <c r="AI142" s="481">
        <f>SUM('C19RM 2021-Pharma'!$AE142:$AH142)</f>
        <v>0</v>
      </c>
      <c r="AJ142" s="483">
        <f>IF(SETUP!$E$7="USD",(AI142*(IF(O142="USD",AD142,(AD142/'Master Data'!$E$2)))),(AI142*(IF(O142="EUR",AD142,(AD142*'Master Data'!$E$2)))))</f>
        <v>0</v>
      </c>
      <c r="AK142" s="444">
        <f>IF($O142="USD",_xlfn.IFNA(VLOOKUP($A142&amp;$E142&amp;$I142,PMsheet!$J:$K,2,0),0),(_xlfn.IFNA(VLOOKUP($A142&amp;$E142&amp;$I142,PMsheet!$J:$K,2,0),0)*'Master Data'!$F$2))</f>
        <v>0</v>
      </c>
      <c r="AL142" s="441"/>
      <c r="AM142" s="441"/>
      <c r="AN142" s="441"/>
      <c r="AO142" s="441"/>
      <c r="AP142" s="512">
        <f>SUM('C19RM 2021-Pharma'!$AL142:$AO142)</f>
        <v>0</v>
      </c>
      <c r="AQ142" s="513">
        <f>IF(SETUP!$E$7="USD",(AP142*(IF(O142="USD",AK142,(AK142/'Master Data'!$F$2)))),(AP142*(IF(O142="EUR",AK142,(AK142*'Master Data'!$F$2)))))</f>
        <v>0</v>
      </c>
      <c r="AR142" s="520"/>
      <c r="AS142" s="512"/>
      <c r="AT142" s="512"/>
      <c r="AU142" s="512"/>
      <c r="AV142" s="512"/>
      <c r="AW142" s="512"/>
      <c r="AX142" s="513"/>
      <c r="AY142" s="512"/>
      <c r="AZ142" s="512"/>
      <c r="BA142" s="512"/>
      <c r="BB142" s="512"/>
      <c r="BC142" s="512"/>
      <c r="BD142" s="512"/>
      <c r="BE142" s="512"/>
      <c r="BF142" s="520">
        <f>'C19RM 2021-Pharma'!$U142+'C19RM 2021-Pharma'!$AB142+'C19RM 2021-Pharma'!$AP142++'C19RM 2021-Pharma'!$AI142</f>
        <v>0</v>
      </c>
      <c r="BG142" s="513">
        <f>'C19RM 2021-Pharma'!$V142+'C19RM 2021-Pharma'!$AC142+'C19RM 2021-Pharma'!$AQ142+'C19RM 2021-Pharma'!$AJ142</f>
        <v>0</v>
      </c>
      <c r="BH142" s="500" t="str" cm="1">
        <f t="array" ref="BH142">IF(A142&lt;&gt;"",IFERROR(INDEX(PMtbl[[WKst]:[Unit of measure*]],MATCH($A$115&amp;$A142&amp;$E142&amp;$I142,INDEX(PMtbl[Sec]&amp;PMtbl[Category]&amp;PMtbl[Each]&amp;PMtbl[Packaging],0,),0),12),""),"")</f>
        <v/>
      </c>
      <c r="BI142" s="819"/>
      <c r="BJ142" s="502" t="str" cm="1">
        <f t="array" ref="BJ142">IFERROR(INDEX(SETUP!$C$19:$G$121,MATCH((INDEX(PMtbl[[WKst]:[Unit of measure*]],MATCH($A142&amp;$E142&amp;$I142,INDEX(PMtbl[Category]&amp;PMtbl[Each]&amp;PMtbl[Packaging],0,),0),3)),SETUP!$D$19:$D$121,0),5),"")</f>
        <v/>
      </c>
      <c r="BK142" s="438" t="str" cm="1">
        <f t="array" ref="BK142">IFERROR(IF((INDEX(SETUP!$C$19:$G$121,MATCH((INDEX(PMtbl[[WKst]:[Unit of measure*]],MATCH($A142&amp;$E142&amp;$I142,INDEX(PMtbl[Category]&amp;PMtbl[Each]&amp;PMtbl[Packaging],0,),0),3)),SETUP!$D$19:$D$121,0),4))="Upfront",0,INDEX(SETUP!$C$19:$G$121,MATCH((INDEX(PMtbl[[WKst]:[Unit of measure*]],MATCH($A142&amp;$E142&amp;$I142,INDEX(PMtbl[Category]&amp;PMtbl[Each]&amp;PMtbl[Packaging],0,),0),3)),SETUP!$D$19:$D$121,0),5)),"")</f>
        <v/>
      </c>
      <c r="BL142" s="196" t="str" cm="1">
        <f t="array" ref="BL142">IF(E142&lt;&gt;"",IFERROR(INDEX(PMtbl[[WKst]:[Unit of measure*]],MATCH($A$115&amp;$A142&amp;$E142&amp;$I142,INDEX(PMtbl[Sec]&amp;PMtbl[Category]&amp;PMtbl[Each]&amp;PMtbl[Packaging],0,),0),11),""),"")</f>
        <v/>
      </c>
      <c r="BO142" s="12">
        <f>IF(N142="",0,IF(SETUP!$E$7="USD",((IF(O142="USD",P142,(P142/'Master Data-C19RM'!$C$2)))),((IF(O142="EUR",P142,(P142*'Master Data-C19RM'!$C$2))))))</f>
        <v>0</v>
      </c>
      <c r="BP142" s="12">
        <f>IF(N142="",0,IF(SETUP!$E$7="USD",((IF(O142="USD",W142,(W142/'Master Data-C19RM'!$D$2)))),((IF(O142="EUR",W142,(W142*'Master Data-C19RM'!$D$2))))))</f>
        <v>0</v>
      </c>
      <c r="BQ142">
        <f>IF(N142="",0,IF(SETUP!$E$7="USD",((IF(O142="USD",AD142,(AD142/'Master Data-C19RM'!$E$2)))),((IF(O142="EUR",AD142,(AD142*'Master Data-C19RM'!$E$2))))))</f>
        <v>0</v>
      </c>
      <c r="BR142">
        <f>IF(N142="",0,IF(SETUP!$E$7="USD",((IF(O142="USD",AK142,(AK142/'Master Data-C19RM'!$F$2)))),((IF(O142="EUR",AK142,(AK142*'Master Data-C19RM'!$F$2))))))</f>
        <v>0</v>
      </c>
      <c r="BU142" s="12">
        <f t="shared" si="7"/>
        <v>0</v>
      </c>
      <c r="BV142" s="142">
        <f t="shared" si="8"/>
        <v>0</v>
      </c>
    </row>
    <row r="143" spans="1:74" hidden="1" x14ac:dyDescent="0.35">
      <c r="A143" s="1192"/>
      <c r="B143" s="1192"/>
      <c r="C143" s="1192"/>
      <c r="D143" s="1192"/>
      <c r="E143" s="1173"/>
      <c r="F143" s="1173"/>
      <c r="G143" s="1173"/>
      <c r="H143" s="1173"/>
      <c r="I143" s="1193"/>
      <c r="J143" s="1193"/>
      <c r="K143" s="1193"/>
      <c r="L143" s="493" t="str" cm="1">
        <f t="array" ref="L143">IF(A143&lt;&gt;"",IFERROR(INDEX(PMtbl[[WKst]:[Unit of measure*]],MATCH($A$115&amp;$A143&amp;$E143&amp;$I143,INDEX(PMtbl[Sec]&amp;PMtbl[Category]&amp;PMtbl[Each]&amp;PMtbl[Packaging],0,),0),14),""),"")</f>
        <v/>
      </c>
      <c r="M143" s="480" t="str">
        <f>IF(L143="","",INDEX(SETUP!$E$20:$E$122,(MATCH(INDEX(PMsheet!$D:$E,MATCH(A143,PMsheet!E:E,0),1),SETUP!$D$20:$D$122,0))))</f>
        <v/>
      </c>
      <c r="N143" s="494">
        <f>IF($O143="USD",_xlfn.IFNA(VLOOKUP(A143&amp;E143&amp;I143,PMsheet!J:K,2,0),0),(_xlfn.IFNA(VLOOKUP(A143&amp;E143&amp;I143,PMsheet!J:K,2,0),0)*'Master Data-C19RM'!$C$2))</f>
        <v>0</v>
      </c>
      <c r="O143" s="495" t="str">
        <f>IF(L143="", "",SETUP!$E$7)</f>
        <v/>
      </c>
      <c r="P143" s="457">
        <f>IF($O143="USD",_xlfn.IFNA(VLOOKUP($A143&amp;$E143&amp;$I143,PMsheet!$J:$K,2,0),0),(_xlfn.IFNA(VLOOKUP($A143&amp;$E143&amp;$I143,PMsheet!$J:$K,2,0),0)*'Master Data'!$C$2))</f>
        <v>0</v>
      </c>
      <c r="Q143" s="440"/>
      <c r="R143" s="440"/>
      <c r="S143" s="440"/>
      <c r="T143" s="440"/>
      <c r="U143" s="482">
        <f>SUM('C19RM 2021-Pharma'!$Q143:$T143)</f>
        <v>0</v>
      </c>
      <c r="V143" s="484">
        <f>IF(SETUP!$E$7="USD",(U143*(IF(O143="USD",P143,(P143/'Master Data'!$C$2)))),(U143*(IF(O143="EUR",P143,(P143*'Master Data'!$C$2)))))</f>
        <v>0</v>
      </c>
      <c r="W143" s="445">
        <f>IF($O143="USD",_xlfn.IFNA(VLOOKUP($A143&amp;$E143&amp;$I143,PMsheet!$J:$K,2,0),0),(_xlfn.IFNA(VLOOKUP($A143&amp;$E143&amp;$I143,PMsheet!$J:$K,2,0),0)*'Master Data'!$D$2))</f>
        <v>0</v>
      </c>
      <c r="X143" s="440"/>
      <c r="Y143" s="440"/>
      <c r="Z143" s="440"/>
      <c r="AA143" s="440"/>
      <c r="AB143" s="482">
        <f>SUM('C19RM 2021-Pharma'!$X143:$AA143)</f>
        <v>0</v>
      </c>
      <c r="AC143" s="484">
        <f>IF(SETUP!$E$7="USD",(AB143*(IF(O143="USD",W143,(W143/'Master Data'!$D$2)))),(AB143*(IF(O143="EUR",W143,(W143*'Master Data'!$D$2)))))</f>
        <v>0</v>
      </c>
      <c r="AD143" s="445">
        <f>IF($O143="USD",_xlfn.IFNA(VLOOKUP($A143&amp;$E143&amp;$I143,PMsheet!$J:$K,2,0),0),(_xlfn.IFNA(VLOOKUP($A143&amp;$E143&amp;$I143,PMsheet!$J:$K,2,0),0)*'Master Data'!$E$2))</f>
        <v>0</v>
      </c>
      <c r="AE143" s="440"/>
      <c r="AF143" s="440"/>
      <c r="AG143" s="440"/>
      <c r="AH143" s="440"/>
      <c r="AI143" s="482">
        <f>SUM('C19RM 2021-Pharma'!$AE143:$AH143)</f>
        <v>0</v>
      </c>
      <c r="AJ143" s="484">
        <f>IF(SETUP!$E$7="USD",(AI143*(IF(O143="USD",AD143,(AD143/'Master Data'!$E$2)))),(AI143*(IF(O143="EUR",AD143,(AD143*'Master Data'!$E$2)))))</f>
        <v>0</v>
      </c>
      <c r="AK143" s="445">
        <f>IF($O143="USD",_xlfn.IFNA(VLOOKUP($A143&amp;$E143&amp;$I143,PMsheet!$J:$K,2,0),0),(_xlfn.IFNA(VLOOKUP($A143&amp;$E143&amp;$I143,PMsheet!$J:$K,2,0),0)*'Master Data'!$F$2))</f>
        <v>0</v>
      </c>
      <c r="AL143" s="440"/>
      <c r="AM143" s="440"/>
      <c r="AN143" s="440"/>
      <c r="AO143" s="440"/>
      <c r="AP143" s="514">
        <f>SUM('C19RM 2021-Pharma'!$AL143:$AO143)</f>
        <v>0</v>
      </c>
      <c r="AQ143" s="515">
        <f>IF(SETUP!$E$7="USD",(AP143*(IF(O143="USD",AK143,(AK143/'Master Data'!$F$2)))),(AP143*(IF(O143="EUR",AK143,(AK143*'Master Data'!$F$2)))))</f>
        <v>0</v>
      </c>
      <c r="AR143" s="521"/>
      <c r="AS143" s="514"/>
      <c r="AT143" s="514"/>
      <c r="AU143" s="514"/>
      <c r="AV143" s="514"/>
      <c r="AW143" s="514"/>
      <c r="AX143" s="515"/>
      <c r="AY143" s="514"/>
      <c r="AZ143" s="514"/>
      <c r="BA143" s="514"/>
      <c r="BB143" s="514"/>
      <c r="BC143" s="514"/>
      <c r="BD143" s="514"/>
      <c r="BE143" s="514"/>
      <c r="BF143" s="521">
        <f>'C19RM 2021-Pharma'!$U143+'C19RM 2021-Pharma'!$AB143+'C19RM 2021-Pharma'!$AP143++'C19RM 2021-Pharma'!$AI143</f>
        <v>0</v>
      </c>
      <c r="BG143" s="515">
        <f>'C19RM 2021-Pharma'!$V143+'C19RM 2021-Pharma'!$AC143+'C19RM 2021-Pharma'!$AQ143+'C19RM 2021-Pharma'!$AJ143</f>
        <v>0</v>
      </c>
      <c r="BH143" s="522" t="str" cm="1">
        <f t="array" ref="BH143">IF(A143&lt;&gt;"",IFERROR(INDEX(PMtbl[[WKst]:[Unit of measure*]],MATCH($A$115&amp;$A143&amp;$E143&amp;$I143,INDEX(PMtbl[Sec]&amp;PMtbl[Category]&amp;PMtbl[Each]&amp;PMtbl[Packaging],0,),0),12),""),"")</f>
        <v/>
      </c>
      <c r="BI143" s="818"/>
      <c r="BJ143" s="503" t="str" cm="1">
        <f t="array" ref="BJ143">IFERROR(INDEX(SETUP!$C$19:$G$121,MATCH((INDEX(PMtbl[[WKst]:[Unit of measure*]],MATCH($A143&amp;$E143&amp;$I143,INDEX(PMtbl[Category]&amp;PMtbl[Each]&amp;PMtbl[Packaging],0,),0),3)),SETUP!$D$19:$D$121,0),5),"")</f>
        <v/>
      </c>
      <c r="BK143" s="439" t="str" cm="1">
        <f t="array" ref="BK143">IFERROR(IF((INDEX(SETUP!$C$19:$G$121,MATCH((INDEX(PMtbl[[WKst]:[Unit of measure*]],MATCH($A143&amp;$E143&amp;$I143,INDEX(PMtbl[Category]&amp;PMtbl[Each]&amp;PMtbl[Packaging],0,),0),3)),SETUP!$D$19:$D$121,0),4))="Upfront",0,INDEX(SETUP!$C$19:$G$121,MATCH((INDEX(PMtbl[[WKst]:[Unit of measure*]],MATCH($A143&amp;$E143&amp;$I143,INDEX(PMtbl[Category]&amp;PMtbl[Each]&amp;PMtbl[Packaging],0,),0),3)),SETUP!$D$19:$D$121,0),5)),"")</f>
        <v/>
      </c>
      <c r="BL143" s="197" t="str" cm="1">
        <f t="array" ref="BL143">IF(E143&lt;&gt;"",IFERROR(INDEX(PMtbl[[WKst]:[Unit of measure*]],MATCH($A$115&amp;$A143&amp;$E143&amp;$I143,INDEX(PMtbl[Sec]&amp;PMtbl[Category]&amp;PMtbl[Each]&amp;PMtbl[Packaging],0,),0),11),""),"")</f>
        <v/>
      </c>
      <c r="BO143" s="12">
        <f>IF(N143="",0,IF(SETUP!$E$7="USD",((IF(O143="USD",P143,(P143/'Master Data-C19RM'!$C$2)))),((IF(O143="EUR",P143,(P143*'Master Data-C19RM'!$C$2))))))</f>
        <v>0</v>
      </c>
      <c r="BP143" s="12">
        <f>IF(N143="",0,IF(SETUP!$E$7="USD",((IF(O143="USD",W143,(W143/'Master Data-C19RM'!$D$2)))),((IF(O143="EUR",W143,(W143*'Master Data-C19RM'!$D$2))))))</f>
        <v>0</v>
      </c>
      <c r="BQ143">
        <f>IF(N143="",0,IF(SETUP!$E$7="USD",((IF(O143="USD",AD143,(AD143/'Master Data-C19RM'!$E$2)))),((IF(O143="EUR",AD143,(AD143*'Master Data-C19RM'!$E$2))))))</f>
        <v>0</v>
      </c>
      <c r="BR143">
        <f>IF(N143="",0,IF(SETUP!$E$7="USD",((IF(O143="USD",AK143,(AK143/'Master Data-C19RM'!$F$2)))),((IF(O143="EUR",AK143,(AK143*'Master Data-C19RM'!$F$2))))))</f>
        <v>0</v>
      </c>
      <c r="BU143" s="12">
        <f t="shared" si="7"/>
        <v>0</v>
      </c>
      <c r="BV143" s="142">
        <f t="shared" si="8"/>
        <v>0</v>
      </c>
    </row>
    <row r="144" spans="1:74" hidden="1" x14ac:dyDescent="0.35">
      <c r="A144" s="1165"/>
      <c r="B144" s="1165"/>
      <c r="C144" s="1165"/>
      <c r="D144" s="1165"/>
      <c r="E144" s="1166"/>
      <c r="F144" s="1166"/>
      <c r="G144" s="1166"/>
      <c r="H144" s="1166"/>
      <c r="I144" s="1166"/>
      <c r="J144" s="1166"/>
      <c r="K144" s="1166"/>
      <c r="L144" s="490" t="str" cm="1">
        <f t="array" ref="L144">IF(A144&lt;&gt;"",IFERROR(INDEX(PMtbl[[WKst]:[Unit of measure*]],MATCH($A$115&amp;$A144&amp;$E144&amp;$I144,INDEX(PMtbl[Sec]&amp;PMtbl[Category]&amp;PMtbl[Each]&amp;PMtbl[Packaging],0,),0),14),""),"")</f>
        <v/>
      </c>
      <c r="M144" s="479" t="str">
        <f>IF(L144="","",INDEX(SETUP!$E$20:$E$122,(MATCH(INDEX(PMsheet!$D:$E,MATCH(A144,PMsheet!E:E,0),1),SETUP!$D$20:$D$122,0))))</f>
        <v/>
      </c>
      <c r="N144" s="496">
        <f>IF($O144="USD",_xlfn.IFNA(VLOOKUP(A144&amp;E144&amp;I144,PMsheet!J:K,2,0),0),(_xlfn.IFNA(VLOOKUP(A144&amp;E144&amp;I144,PMsheet!J:K,2,0),0)*'Master Data-C19RM'!$C$2))</f>
        <v>0</v>
      </c>
      <c r="O144" s="492" t="str">
        <f>IF(L144="", "",SETUP!$E$7)</f>
        <v/>
      </c>
      <c r="P144" s="456">
        <f>IF($O144="USD",_xlfn.IFNA(VLOOKUP($A144&amp;$E144&amp;$I144,PMsheet!$J:$K,2,0),0),(_xlfn.IFNA(VLOOKUP($A144&amp;$E144&amp;$I144,PMsheet!$J:$K,2,0),0)*'Master Data'!$C$2))</f>
        <v>0</v>
      </c>
      <c r="Q144" s="441"/>
      <c r="R144" s="441"/>
      <c r="S144" s="441"/>
      <c r="T144" s="441"/>
      <c r="U144" s="481">
        <f>SUM('C19RM 2021-Pharma'!$Q144:$T144)</f>
        <v>0</v>
      </c>
      <c r="V144" s="483">
        <f>IF(SETUP!$E$7="USD",(U144*(IF(O144="USD",P144,(P144/'Master Data'!$C$2)))),(U144*(IF(O144="EUR",P144,(P144*'Master Data'!$C$2)))))</f>
        <v>0</v>
      </c>
      <c r="W144" s="444">
        <f>IF($O144="USD",_xlfn.IFNA(VLOOKUP($A144&amp;$E144&amp;$I144,PMsheet!$J:$K,2,0),0),(_xlfn.IFNA(VLOOKUP($A144&amp;$E144&amp;$I144,PMsheet!$J:$K,2,0),0)*'Master Data'!$D$2))</f>
        <v>0</v>
      </c>
      <c r="X144" s="441"/>
      <c r="Y144" s="441"/>
      <c r="Z144" s="441"/>
      <c r="AA144" s="441"/>
      <c r="AB144" s="481">
        <f>SUM('C19RM 2021-Pharma'!$X144:$AA144)</f>
        <v>0</v>
      </c>
      <c r="AC144" s="483">
        <f>IF(SETUP!$E$7="USD",(AB144*(IF(O144="USD",W144,(W144/'Master Data'!$D$2)))),(AB144*(IF(O144="EUR",W144,(W144*'Master Data'!$D$2)))))</f>
        <v>0</v>
      </c>
      <c r="AD144" s="444">
        <f>IF($O144="USD",_xlfn.IFNA(VLOOKUP($A144&amp;$E144&amp;$I144,PMsheet!$J:$K,2,0),0),(_xlfn.IFNA(VLOOKUP($A144&amp;$E144&amp;$I144,PMsheet!$J:$K,2,0),0)*'Master Data'!$E$2))</f>
        <v>0</v>
      </c>
      <c r="AE144" s="441"/>
      <c r="AF144" s="441"/>
      <c r="AG144" s="441"/>
      <c r="AH144" s="441"/>
      <c r="AI144" s="481">
        <f>SUM('C19RM 2021-Pharma'!$AE144:$AH144)</f>
        <v>0</v>
      </c>
      <c r="AJ144" s="483">
        <f>IF(SETUP!$E$7="USD",(AI144*(IF(O144="USD",AD144,(AD144/'Master Data'!$E$2)))),(AI144*(IF(O144="EUR",AD144,(AD144*'Master Data'!$E$2)))))</f>
        <v>0</v>
      </c>
      <c r="AK144" s="444">
        <f>IF($O144="USD",_xlfn.IFNA(VLOOKUP($A144&amp;$E144&amp;$I144,PMsheet!$J:$K,2,0),0),(_xlfn.IFNA(VLOOKUP($A144&amp;$E144&amp;$I144,PMsheet!$J:$K,2,0),0)*'Master Data'!$F$2))</f>
        <v>0</v>
      </c>
      <c r="AL144" s="441"/>
      <c r="AM144" s="441"/>
      <c r="AN144" s="441"/>
      <c r="AO144" s="441"/>
      <c r="AP144" s="512">
        <f>SUM('C19RM 2021-Pharma'!$AL144:$AO144)</f>
        <v>0</v>
      </c>
      <c r="AQ144" s="513">
        <f>IF(SETUP!$E$7="USD",(AP144*(IF(O144="USD",AK144,(AK144/'Master Data'!$F$2)))),(AP144*(IF(O144="EUR",AK144,(AK144*'Master Data'!$F$2)))))</f>
        <v>0</v>
      </c>
      <c r="AR144" s="520"/>
      <c r="AS144" s="512"/>
      <c r="AT144" s="512"/>
      <c r="AU144" s="512"/>
      <c r="AV144" s="512"/>
      <c r="AW144" s="512"/>
      <c r="AX144" s="513"/>
      <c r="AY144" s="512"/>
      <c r="AZ144" s="512"/>
      <c r="BA144" s="512"/>
      <c r="BB144" s="512"/>
      <c r="BC144" s="512"/>
      <c r="BD144" s="512"/>
      <c r="BE144" s="512"/>
      <c r="BF144" s="520">
        <f>'C19RM 2021-Pharma'!$U144+'C19RM 2021-Pharma'!$AB144+'C19RM 2021-Pharma'!$AP144++'C19RM 2021-Pharma'!$AI144</f>
        <v>0</v>
      </c>
      <c r="BG144" s="513">
        <f>'C19RM 2021-Pharma'!$V144+'C19RM 2021-Pharma'!$AC144+'C19RM 2021-Pharma'!$AQ144+'C19RM 2021-Pharma'!$AJ144</f>
        <v>0</v>
      </c>
      <c r="BH144" s="500" t="str" cm="1">
        <f t="array" ref="BH144">IF(A144&lt;&gt;"",IFERROR(INDEX(PMtbl[[WKst]:[Unit of measure*]],MATCH($A$115&amp;$A144&amp;$E144&amp;$I144,INDEX(PMtbl[Sec]&amp;PMtbl[Category]&amp;PMtbl[Each]&amp;PMtbl[Packaging],0,),0),12),""),"")</f>
        <v/>
      </c>
      <c r="BI144" s="819"/>
      <c r="BJ144" s="502" t="str" cm="1">
        <f t="array" ref="BJ144">IFERROR(INDEX(SETUP!$C$19:$G$121,MATCH((INDEX(PMtbl[[WKst]:[Unit of measure*]],MATCH($A144&amp;$E144&amp;$I144,INDEX(PMtbl[Category]&amp;PMtbl[Each]&amp;PMtbl[Packaging],0,),0),3)),SETUP!$D$19:$D$121,0),5),"")</f>
        <v/>
      </c>
      <c r="BK144" s="438" t="str" cm="1">
        <f t="array" ref="BK144">IFERROR(IF((INDEX(SETUP!$C$19:$G$121,MATCH((INDEX(PMtbl[[WKst]:[Unit of measure*]],MATCH($A144&amp;$E144&amp;$I144,INDEX(PMtbl[Category]&amp;PMtbl[Each]&amp;PMtbl[Packaging],0,),0),3)),SETUP!$D$19:$D$121,0),4))="Upfront",0,INDEX(SETUP!$C$19:$G$121,MATCH((INDEX(PMtbl[[WKst]:[Unit of measure*]],MATCH($A144&amp;$E144&amp;$I144,INDEX(PMtbl[Category]&amp;PMtbl[Each]&amp;PMtbl[Packaging],0,),0),3)),SETUP!$D$19:$D$121,0),5)),"")</f>
        <v/>
      </c>
      <c r="BL144" s="196" t="str" cm="1">
        <f t="array" ref="BL144">IF(E144&lt;&gt;"",IFERROR(INDEX(PMtbl[[WKst]:[Unit of measure*]],MATCH($A$115&amp;$A144&amp;$E144&amp;$I144,INDEX(PMtbl[Sec]&amp;PMtbl[Category]&amp;PMtbl[Each]&amp;PMtbl[Packaging],0,),0),11),""),"")</f>
        <v/>
      </c>
      <c r="BO144" s="12">
        <f>IF(N144="",0,IF(SETUP!$E$7="USD",((IF(O144="USD",P144,(P144/'Master Data-C19RM'!$C$2)))),((IF(O144="EUR",P144,(P144*'Master Data-C19RM'!$C$2))))))</f>
        <v>0</v>
      </c>
      <c r="BP144" s="12">
        <f>IF(N144="",0,IF(SETUP!$E$7="USD",((IF(O144="USD",W144,(W144/'Master Data-C19RM'!$D$2)))),((IF(O144="EUR",W144,(W144*'Master Data-C19RM'!$D$2))))))</f>
        <v>0</v>
      </c>
      <c r="BQ144">
        <f>IF(N144="",0,IF(SETUP!$E$7="USD",((IF(O144="USD",AD144,(AD144/'Master Data-C19RM'!$E$2)))),((IF(O144="EUR",AD144,(AD144*'Master Data-C19RM'!$E$2))))))</f>
        <v>0</v>
      </c>
      <c r="BR144">
        <f>IF(N144="",0,IF(SETUP!$E$7="USD",((IF(O144="USD",AK144,(AK144/'Master Data-C19RM'!$F$2)))),((IF(O144="EUR",AK144,(AK144*'Master Data-C19RM'!$F$2))))))</f>
        <v>0</v>
      </c>
      <c r="BU144" s="12">
        <f t="shared" si="7"/>
        <v>0</v>
      </c>
      <c r="BV144" s="142">
        <f t="shared" si="8"/>
        <v>0</v>
      </c>
    </row>
    <row r="145" spans="1:74" hidden="1" x14ac:dyDescent="0.35">
      <c r="A145" s="1192"/>
      <c r="B145" s="1192"/>
      <c r="C145" s="1192"/>
      <c r="D145" s="1192"/>
      <c r="E145" s="1173"/>
      <c r="F145" s="1173"/>
      <c r="G145" s="1173"/>
      <c r="H145" s="1173"/>
      <c r="I145" s="1193"/>
      <c r="J145" s="1193"/>
      <c r="K145" s="1193"/>
      <c r="L145" s="493" t="str" cm="1">
        <f t="array" ref="L145">IF(A145&lt;&gt;"",IFERROR(INDEX(PMtbl[[WKst]:[Unit of measure*]],MATCH($A$115&amp;$A145&amp;$E145&amp;$I145,INDEX(PMtbl[Sec]&amp;PMtbl[Category]&amp;PMtbl[Each]&amp;PMtbl[Packaging],0,),0),14),""),"")</f>
        <v/>
      </c>
      <c r="M145" s="480" t="str">
        <f>IF(L145="","",INDEX(SETUP!$E$20:$E$122,(MATCH(INDEX(PMsheet!$D:$E,MATCH(A145,PMsheet!E:E,0),1),SETUP!$D$20:$D$122,0))))</f>
        <v/>
      </c>
      <c r="N145" s="494">
        <f>IF($O145="USD",_xlfn.IFNA(VLOOKUP(A145&amp;E145&amp;I145,PMsheet!J:K,2,0),0),(_xlfn.IFNA(VLOOKUP(A145&amp;E145&amp;I145,PMsheet!J:K,2,0),0)*'Master Data-C19RM'!$C$2))</f>
        <v>0</v>
      </c>
      <c r="O145" s="495" t="str">
        <f>IF(L145="", "",SETUP!$E$7)</f>
        <v/>
      </c>
      <c r="P145" s="457">
        <f>IF($O145="USD",_xlfn.IFNA(VLOOKUP($A145&amp;$E145&amp;$I145,PMsheet!$J:$K,2,0),0),(_xlfn.IFNA(VLOOKUP($A145&amp;$E145&amp;$I145,PMsheet!$J:$K,2,0),0)*'Master Data'!$C$2))</f>
        <v>0</v>
      </c>
      <c r="Q145" s="440"/>
      <c r="R145" s="440"/>
      <c r="S145" s="440"/>
      <c r="T145" s="440"/>
      <c r="U145" s="482">
        <f>SUM('C19RM 2021-Pharma'!$Q145:$T145)</f>
        <v>0</v>
      </c>
      <c r="V145" s="484">
        <f>IF(SETUP!$E$7="USD",(U145*(IF(O145="USD",P145,(P145/'Master Data'!$C$2)))),(U145*(IF(O145="EUR",P145,(P145*'Master Data'!$C$2)))))</f>
        <v>0</v>
      </c>
      <c r="W145" s="445">
        <f>IF($O145="USD",_xlfn.IFNA(VLOOKUP($A145&amp;$E145&amp;$I145,PMsheet!$J:$K,2,0),0),(_xlfn.IFNA(VLOOKUP($A145&amp;$E145&amp;$I145,PMsheet!$J:$K,2,0),0)*'Master Data'!$D$2))</f>
        <v>0</v>
      </c>
      <c r="X145" s="440"/>
      <c r="Y145" s="440"/>
      <c r="Z145" s="440"/>
      <c r="AA145" s="440"/>
      <c r="AB145" s="482">
        <f>SUM('C19RM 2021-Pharma'!$X145:$AA145)</f>
        <v>0</v>
      </c>
      <c r="AC145" s="484">
        <f>IF(SETUP!$E$7="USD",(AB145*(IF(O145="USD",W145,(W145/'Master Data'!$D$2)))),(AB145*(IF(O145="EUR",W145,(W145*'Master Data'!$D$2)))))</f>
        <v>0</v>
      </c>
      <c r="AD145" s="445">
        <f>IF($O145="USD",_xlfn.IFNA(VLOOKUP($A145&amp;$E145&amp;$I145,PMsheet!$J:$K,2,0),0),(_xlfn.IFNA(VLOOKUP($A145&amp;$E145&amp;$I145,PMsheet!$J:$K,2,0),0)*'Master Data'!$E$2))</f>
        <v>0</v>
      </c>
      <c r="AE145" s="440"/>
      <c r="AF145" s="440"/>
      <c r="AG145" s="440"/>
      <c r="AH145" s="440"/>
      <c r="AI145" s="482">
        <f>SUM('C19RM 2021-Pharma'!$AE145:$AH145)</f>
        <v>0</v>
      </c>
      <c r="AJ145" s="484">
        <f>IF(SETUP!$E$7="USD",(AI145*(IF(O145="USD",AD145,(AD145/'Master Data'!$E$2)))),(AI145*(IF(O145="EUR",AD145,(AD145*'Master Data'!$E$2)))))</f>
        <v>0</v>
      </c>
      <c r="AK145" s="445">
        <f>IF($O145="USD",_xlfn.IFNA(VLOOKUP($A145&amp;$E145&amp;$I145,PMsheet!$J:$K,2,0),0),(_xlfn.IFNA(VLOOKUP($A145&amp;$E145&amp;$I145,PMsheet!$J:$K,2,0),0)*'Master Data'!$F$2))</f>
        <v>0</v>
      </c>
      <c r="AL145" s="440"/>
      <c r="AM145" s="440"/>
      <c r="AN145" s="440"/>
      <c r="AO145" s="440"/>
      <c r="AP145" s="514">
        <f>SUM('C19RM 2021-Pharma'!$AL145:$AO145)</f>
        <v>0</v>
      </c>
      <c r="AQ145" s="515">
        <f>IF(SETUP!$E$7="USD",(AP145*(IF(O145="USD",AK145,(AK145/'Master Data'!$F$2)))),(AP145*(IF(O145="EUR",AK145,(AK145*'Master Data'!$F$2)))))</f>
        <v>0</v>
      </c>
      <c r="AR145" s="521"/>
      <c r="AS145" s="514"/>
      <c r="AT145" s="514"/>
      <c r="AU145" s="514"/>
      <c r="AV145" s="514"/>
      <c r="AW145" s="514"/>
      <c r="AX145" s="515"/>
      <c r="AY145" s="514"/>
      <c r="AZ145" s="514"/>
      <c r="BA145" s="514"/>
      <c r="BB145" s="514"/>
      <c r="BC145" s="514"/>
      <c r="BD145" s="514"/>
      <c r="BE145" s="514"/>
      <c r="BF145" s="521">
        <f>'C19RM 2021-Pharma'!$U145+'C19RM 2021-Pharma'!$AB145+'C19RM 2021-Pharma'!$AP145++'C19RM 2021-Pharma'!$AI145</f>
        <v>0</v>
      </c>
      <c r="BG145" s="515">
        <f>'C19RM 2021-Pharma'!$V145+'C19RM 2021-Pharma'!$AC145+'C19RM 2021-Pharma'!$AQ145+'C19RM 2021-Pharma'!$AJ145</f>
        <v>0</v>
      </c>
      <c r="BH145" s="522" t="str" cm="1">
        <f t="array" ref="BH145">IF(A145&lt;&gt;"",IFERROR(INDEX(PMtbl[[WKst]:[Unit of measure*]],MATCH($A$115&amp;$A145&amp;$E145&amp;$I145,INDEX(PMtbl[Sec]&amp;PMtbl[Category]&amp;PMtbl[Each]&amp;PMtbl[Packaging],0,),0),12),""),"")</f>
        <v/>
      </c>
      <c r="BI145" s="818"/>
      <c r="BJ145" s="503" t="str" cm="1">
        <f t="array" ref="BJ145">IFERROR(INDEX(SETUP!$C$19:$G$121,MATCH((INDEX(PMtbl[[WKst]:[Unit of measure*]],MATCH($A145&amp;$E145&amp;$I145,INDEX(PMtbl[Category]&amp;PMtbl[Each]&amp;PMtbl[Packaging],0,),0),3)),SETUP!$D$19:$D$121,0),5),"")</f>
        <v/>
      </c>
      <c r="BK145" s="439" t="str" cm="1">
        <f t="array" ref="BK145">IFERROR(IF((INDEX(SETUP!$C$19:$G$121,MATCH((INDEX(PMtbl[[WKst]:[Unit of measure*]],MATCH($A145&amp;$E145&amp;$I145,INDEX(PMtbl[Category]&amp;PMtbl[Each]&amp;PMtbl[Packaging],0,),0),3)),SETUP!$D$19:$D$121,0),4))="Upfront",0,INDEX(SETUP!$C$19:$G$121,MATCH((INDEX(PMtbl[[WKst]:[Unit of measure*]],MATCH($A145&amp;$E145&amp;$I145,INDEX(PMtbl[Category]&amp;PMtbl[Each]&amp;PMtbl[Packaging],0,),0),3)),SETUP!$D$19:$D$121,0),5)),"")</f>
        <v/>
      </c>
      <c r="BL145" s="197" t="str" cm="1">
        <f t="array" ref="BL145">IF(E145&lt;&gt;"",IFERROR(INDEX(PMtbl[[WKst]:[Unit of measure*]],MATCH($A$115&amp;$A145&amp;$E145&amp;$I145,INDEX(PMtbl[Sec]&amp;PMtbl[Category]&amp;PMtbl[Each]&amp;PMtbl[Packaging],0,),0),11),""),"")</f>
        <v/>
      </c>
      <c r="BO145" s="12">
        <f>IF(N145="",0,IF(SETUP!$E$7="USD",((IF(O145="USD",P145,(P145/'Master Data-C19RM'!$C$2)))),((IF(O145="EUR",P145,(P145*'Master Data-C19RM'!$C$2))))))</f>
        <v>0</v>
      </c>
      <c r="BP145" s="12">
        <f>IF(N145="",0,IF(SETUP!$E$7="USD",((IF(O145="USD",W145,(W145/'Master Data-C19RM'!$D$2)))),((IF(O145="EUR",W145,(W145*'Master Data-C19RM'!$D$2))))))</f>
        <v>0</v>
      </c>
      <c r="BQ145">
        <f>IF(N145="",0,IF(SETUP!$E$7="USD",((IF(O145="USD",AD145,(AD145/'Master Data-C19RM'!$E$2)))),((IF(O145="EUR",AD145,(AD145*'Master Data-C19RM'!$E$2))))))</f>
        <v>0</v>
      </c>
      <c r="BR145">
        <f>IF(N145="",0,IF(SETUP!$E$7="USD",((IF(O145="USD",AK145,(AK145/'Master Data-C19RM'!$F$2)))),((IF(O145="EUR",AK145,(AK145*'Master Data-C19RM'!$F$2))))))</f>
        <v>0</v>
      </c>
      <c r="BU145" s="12">
        <f t="shared" si="7"/>
        <v>0</v>
      </c>
      <c r="BV145" s="142">
        <f t="shared" si="8"/>
        <v>0</v>
      </c>
    </row>
    <row r="146" spans="1:74" hidden="1" x14ac:dyDescent="0.35">
      <c r="A146" s="1165"/>
      <c r="B146" s="1165"/>
      <c r="C146" s="1165"/>
      <c r="D146" s="1165"/>
      <c r="E146" s="1166"/>
      <c r="F146" s="1166"/>
      <c r="G146" s="1166"/>
      <c r="H146" s="1166"/>
      <c r="I146" s="1166"/>
      <c r="J146" s="1166"/>
      <c r="K146" s="1166"/>
      <c r="L146" s="490" t="str" cm="1">
        <f t="array" ref="L146">IF(A146&lt;&gt;"",IFERROR(INDEX(PMtbl[[WKst]:[Unit of measure*]],MATCH($A$115&amp;$A146&amp;$E146&amp;$I146,INDEX(PMtbl[Sec]&amp;PMtbl[Category]&amp;PMtbl[Each]&amp;PMtbl[Packaging],0,),0),14),""),"")</f>
        <v/>
      </c>
      <c r="M146" s="479" t="str">
        <f>IF(L146="","",INDEX(SETUP!$E$20:$E$122,(MATCH(INDEX(PMsheet!$D:$E,MATCH(A146,PMsheet!E:E,0),1),SETUP!$D$20:$D$122,0))))</f>
        <v/>
      </c>
      <c r="N146" s="496">
        <f>IF($O146="USD",_xlfn.IFNA(VLOOKUP(A146&amp;E146&amp;I146,PMsheet!J:K,2,0),0),(_xlfn.IFNA(VLOOKUP(A146&amp;E146&amp;I146,PMsheet!J:K,2,0),0)*'Master Data-C19RM'!$C$2))</f>
        <v>0</v>
      </c>
      <c r="O146" s="492" t="str">
        <f>IF(L146="", "",SETUP!$E$7)</f>
        <v/>
      </c>
      <c r="P146" s="456">
        <f>IF($O146="USD",_xlfn.IFNA(VLOOKUP($A146&amp;$E146&amp;$I146,PMsheet!$J:$K,2,0),0),(_xlfn.IFNA(VLOOKUP($A146&amp;$E146&amp;$I146,PMsheet!$J:$K,2,0),0)*'Master Data'!$C$2))</f>
        <v>0</v>
      </c>
      <c r="Q146" s="441"/>
      <c r="R146" s="441"/>
      <c r="S146" s="441"/>
      <c r="T146" s="441"/>
      <c r="U146" s="481">
        <f>SUM('C19RM 2021-Pharma'!$Q146:$T146)</f>
        <v>0</v>
      </c>
      <c r="V146" s="483">
        <f>IF(SETUP!$E$7="USD",(U146*(IF(O146="USD",P146,(P146/'Master Data'!$C$2)))),(U146*(IF(O146="EUR",P146,(P146*'Master Data'!$C$2)))))</f>
        <v>0</v>
      </c>
      <c r="W146" s="444">
        <f>IF($O146="USD",_xlfn.IFNA(VLOOKUP($A146&amp;$E146&amp;$I146,PMsheet!$J:$K,2,0),0),(_xlfn.IFNA(VLOOKUP($A146&amp;$E146&amp;$I146,PMsheet!$J:$K,2,0),0)*'Master Data'!$D$2))</f>
        <v>0</v>
      </c>
      <c r="X146" s="441"/>
      <c r="Y146" s="441"/>
      <c r="Z146" s="441"/>
      <c r="AA146" s="441"/>
      <c r="AB146" s="481">
        <f>SUM('C19RM 2021-Pharma'!$X146:$AA146)</f>
        <v>0</v>
      </c>
      <c r="AC146" s="483">
        <f>IF(SETUP!$E$7="USD",(AB146*(IF(O146="USD",W146,(W146/'Master Data'!$D$2)))),(AB146*(IF(O146="EUR",W146,(W146*'Master Data'!$D$2)))))</f>
        <v>0</v>
      </c>
      <c r="AD146" s="444">
        <f>IF($O146="USD",_xlfn.IFNA(VLOOKUP($A146&amp;$E146&amp;$I146,PMsheet!$J:$K,2,0),0),(_xlfn.IFNA(VLOOKUP($A146&amp;$E146&amp;$I146,PMsheet!$J:$K,2,0),0)*'Master Data'!$E$2))</f>
        <v>0</v>
      </c>
      <c r="AE146" s="441"/>
      <c r="AF146" s="441"/>
      <c r="AG146" s="441"/>
      <c r="AH146" s="441"/>
      <c r="AI146" s="481">
        <f>SUM('C19RM 2021-Pharma'!$AE146:$AH146)</f>
        <v>0</v>
      </c>
      <c r="AJ146" s="483">
        <f>IF(SETUP!$E$7="USD",(AI146*(IF(O146="USD",AD146,(AD146/'Master Data'!$E$2)))),(AI146*(IF(O146="EUR",AD146,(AD146*'Master Data'!$E$2)))))</f>
        <v>0</v>
      </c>
      <c r="AK146" s="444">
        <f>IF($O146="USD",_xlfn.IFNA(VLOOKUP($A146&amp;$E146&amp;$I146,PMsheet!$J:$K,2,0),0),(_xlfn.IFNA(VLOOKUP($A146&amp;$E146&amp;$I146,PMsheet!$J:$K,2,0),0)*'Master Data'!$F$2))</f>
        <v>0</v>
      </c>
      <c r="AL146" s="441"/>
      <c r="AM146" s="441"/>
      <c r="AN146" s="441"/>
      <c r="AO146" s="441"/>
      <c r="AP146" s="512">
        <f>SUM('C19RM 2021-Pharma'!$AL146:$AO146)</f>
        <v>0</v>
      </c>
      <c r="AQ146" s="513">
        <f>IF(SETUP!$E$7="USD",(AP146*(IF(O146="USD",AK146,(AK146/'Master Data'!$F$2)))),(AP146*(IF(O146="EUR",AK146,(AK146*'Master Data'!$F$2)))))</f>
        <v>0</v>
      </c>
      <c r="AR146" s="520"/>
      <c r="AS146" s="512"/>
      <c r="AT146" s="512"/>
      <c r="AU146" s="512"/>
      <c r="AV146" s="512"/>
      <c r="AW146" s="512"/>
      <c r="AX146" s="513"/>
      <c r="AY146" s="512"/>
      <c r="AZ146" s="512"/>
      <c r="BA146" s="512"/>
      <c r="BB146" s="512"/>
      <c r="BC146" s="512"/>
      <c r="BD146" s="512"/>
      <c r="BE146" s="512"/>
      <c r="BF146" s="520">
        <f>'C19RM 2021-Pharma'!$U146+'C19RM 2021-Pharma'!$AB146+'C19RM 2021-Pharma'!$AP146++'C19RM 2021-Pharma'!$AI146</f>
        <v>0</v>
      </c>
      <c r="BG146" s="513">
        <f>'C19RM 2021-Pharma'!$V146+'C19RM 2021-Pharma'!$AC146+'C19RM 2021-Pharma'!$AQ146+'C19RM 2021-Pharma'!$AJ146</f>
        <v>0</v>
      </c>
      <c r="BH146" s="500" t="str" cm="1">
        <f t="array" ref="BH146">IF(A146&lt;&gt;"",IFERROR(INDEX(PMtbl[[WKst]:[Unit of measure*]],MATCH($A$115&amp;$A146&amp;$E146&amp;$I146,INDEX(PMtbl[Sec]&amp;PMtbl[Category]&amp;PMtbl[Each]&amp;PMtbl[Packaging],0,),0),12),""),"")</f>
        <v/>
      </c>
      <c r="BI146" s="819"/>
      <c r="BJ146" s="502" t="str" cm="1">
        <f t="array" ref="BJ146">IFERROR(INDEX(SETUP!$C$19:$G$121,MATCH((INDEX(PMtbl[[WKst]:[Unit of measure*]],MATCH($A146&amp;$E146&amp;$I146,INDEX(PMtbl[Category]&amp;PMtbl[Each]&amp;PMtbl[Packaging],0,),0),3)),SETUP!$D$19:$D$121,0),5),"")</f>
        <v/>
      </c>
      <c r="BK146" s="438" t="str" cm="1">
        <f t="array" ref="BK146">IFERROR(IF((INDEX(SETUP!$C$19:$G$121,MATCH((INDEX(PMtbl[[WKst]:[Unit of measure*]],MATCH($A146&amp;$E146&amp;$I146,INDEX(PMtbl[Category]&amp;PMtbl[Each]&amp;PMtbl[Packaging],0,),0),3)),SETUP!$D$19:$D$121,0),4))="Upfront",0,INDEX(SETUP!$C$19:$G$121,MATCH((INDEX(PMtbl[[WKst]:[Unit of measure*]],MATCH($A146&amp;$E146&amp;$I146,INDEX(PMtbl[Category]&amp;PMtbl[Each]&amp;PMtbl[Packaging],0,),0),3)),SETUP!$D$19:$D$121,0),5)),"")</f>
        <v/>
      </c>
      <c r="BL146" s="196" t="str" cm="1">
        <f t="array" ref="BL146">IF(E146&lt;&gt;"",IFERROR(INDEX(PMtbl[[WKst]:[Unit of measure*]],MATCH($A$115&amp;$A146&amp;$E146&amp;$I146,INDEX(PMtbl[Sec]&amp;PMtbl[Category]&amp;PMtbl[Each]&amp;PMtbl[Packaging],0,),0),11),""),"")</f>
        <v/>
      </c>
      <c r="BO146" s="12">
        <f>IF(N146="",0,IF(SETUP!$E$7="USD",((IF(O146="USD",P146,(P146/'Master Data-C19RM'!$C$2)))),((IF(O146="EUR",P146,(P146*'Master Data-C19RM'!$C$2))))))</f>
        <v>0</v>
      </c>
      <c r="BP146" s="12">
        <f>IF(N146="",0,IF(SETUP!$E$7="USD",((IF(O146="USD",W146,(W146/'Master Data-C19RM'!$D$2)))),((IF(O146="EUR",W146,(W146*'Master Data-C19RM'!$D$2))))))</f>
        <v>0</v>
      </c>
      <c r="BQ146">
        <f>IF(N146="",0,IF(SETUP!$E$7="USD",((IF(O146="USD",AD146,(AD146/'Master Data-C19RM'!$E$2)))),((IF(O146="EUR",AD146,(AD146*'Master Data-C19RM'!$E$2))))))</f>
        <v>0</v>
      </c>
      <c r="BR146">
        <f>IF(N146="",0,IF(SETUP!$E$7="USD",((IF(O146="USD",AK146,(AK146/'Master Data-C19RM'!$F$2)))),((IF(O146="EUR",AK146,(AK146*'Master Data-C19RM'!$F$2))))))</f>
        <v>0</v>
      </c>
      <c r="BU146" s="12">
        <f t="shared" si="7"/>
        <v>0</v>
      </c>
      <c r="BV146" s="142">
        <f t="shared" si="8"/>
        <v>0</v>
      </c>
    </row>
    <row r="147" spans="1:74" hidden="1" x14ac:dyDescent="0.35">
      <c r="A147" s="1192"/>
      <c r="B147" s="1192"/>
      <c r="C147" s="1192"/>
      <c r="D147" s="1192"/>
      <c r="E147" s="1173"/>
      <c r="F147" s="1173"/>
      <c r="G147" s="1173"/>
      <c r="H147" s="1173"/>
      <c r="I147" s="1193"/>
      <c r="J147" s="1193"/>
      <c r="K147" s="1193"/>
      <c r="L147" s="493" t="str" cm="1">
        <f t="array" ref="L147">IF(A147&lt;&gt;"",IFERROR(INDEX(PMtbl[[WKst]:[Unit of measure*]],MATCH($A$115&amp;$A147&amp;$E147&amp;$I147,INDEX(PMtbl[Sec]&amp;PMtbl[Category]&amp;PMtbl[Each]&amp;PMtbl[Packaging],0,),0),14),""),"")</f>
        <v/>
      </c>
      <c r="M147" s="480" t="str">
        <f>IF(L147="","",INDEX(SETUP!$E$20:$E$122,(MATCH(INDEX(PMsheet!$D:$E,MATCH(A147,PMsheet!E:E,0),1),SETUP!$D$20:$D$122,0))))</f>
        <v/>
      </c>
      <c r="N147" s="494">
        <f>IF($O147="USD",_xlfn.IFNA(VLOOKUP(A147&amp;E147&amp;I147,PMsheet!J:K,2,0),0),(_xlfn.IFNA(VLOOKUP(A147&amp;E147&amp;I147,PMsheet!J:K,2,0),0)*'Master Data-C19RM'!$C$2))</f>
        <v>0</v>
      </c>
      <c r="O147" s="495" t="str">
        <f>IF(L147="", "",SETUP!$E$7)</f>
        <v/>
      </c>
      <c r="P147" s="457">
        <f>IF($O147="USD",_xlfn.IFNA(VLOOKUP($A147&amp;$E147&amp;$I147,PMsheet!$J:$K,2,0),0),(_xlfn.IFNA(VLOOKUP($A147&amp;$E147&amp;$I147,PMsheet!$J:$K,2,0),0)*'Master Data'!$C$2))</f>
        <v>0</v>
      </c>
      <c r="Q147" s="440"/>
      <c r="R147" s="440"/>
      <c r="S147" s="440"/>
      <c r="T147" s="440"/>
      <c r="U147" s="482">
        <f>SUM('C19RM 2021-Pharma'!$Q147:$T147)</f>
        <v>0</v>
      </c>
      <c r="V147" s="484">
        <f>IF(SETUP!$E$7="USD",(U147*(IF(O147="USD",P147,(P147/'Master Data'!$C$2)))),(U147*(IF(O147="EUR",P147,(P147*'Master Data'!$C$2)))))</f>
        <v>0</v>
      </c>
      <c r="W147" s="445">
        <f>IF($O147="USD",_xlfn.IFNA(VLOOKUP($A147&amp;$E147&amp;$I147,PMsheet!$J:$K,2,0),0),(_xlfn.IFNA(VLOOKUP($A147&amp;$E147&amp;$I147,PMsheet!$J:$K,2,0),0)*'Master Data'!$D$2))</f>
        <v>0</v>
      </c>
      <c r="X147" s="440"/>
      <c r="Y147" s="440"/>
      <c r="Z147" s="440"/>
      <c r="AA147" s="440"/>
      <c r="AB147" s="482">
        <f>SUM('C19RM 2021-Pharma'!$X147:$AA147)</f>
        <v>0</v>
      </c>
      <c r="AC147" s="484">
        <f>IF(SETUP!$E$7="USD",(AB147*(IF(O147="USD",W147,(W147/'Master Data'!$D$2)))),(AB147*(IF(O147="EUR",W147,(W147*'Master Data'!$D$2)))))</f>
        <v>0</v>
      </c>
      <c r="AD147" s="445">
        <f>IF($O147="USD",_xlfn.IFNA(VLOOKUP($A147&amp;$E147&amp;$I147,PMsheet!$J:$K,2,0),0),(_xlfn.IFNA(VLOOKUP($A147&amp;$E147&amp;$I147,PMsheet!$J:$K,2,0),0)*'Master Data'!$E$2))</f>
        <v>0</v>
      </c>
      <c r="AE147" s="440"/>
      <c r="AF147" s="440"/>
      <c r="AG147" s="440"/>
      <c r="AH147" s="440"/>
      <c r="AI147" s="482">
        <f>SUM('C19RM 2021-Pharma'!$AE147:$AH147)</f>
        <v>0</v>
      </c>
      <c r="AJ147" s="484">
        <f>IF(SETUP!$E$7="USD",(AI147*(IF(O147="USD",AD147,(AD147/'Master Data'!$E$2)))),(AI147*(IF(O147="EUR",AD147,(AD147*'Master Data'!$E$2)))))</f>
        <v>0</v>
      </c>
      <c r="AK147" s="445">
        <f>IF($O147="USD",_xlfn.IFNA(VLOOKUP($A147&amp;$E147&amp;$I147,PMsheet!$J:$K,2,0),0),(_xlfn.IFNA(VLOOKUP($A147&amp;$E147&amp;$I147,PMsheet!$J:$K,2,0),0)*'Master Data'!$F$2))</f>
        <v>0</v>
      </c>
      <c r="AL147" s="440"/>
      <c r="AM147" s="440"/>
      <c r="AN147" s="440"/>
      <c r="AO147" s="440"/>
      <c r="AP147" s="514">
        <f>SUM('C19RM 2021-Pharma'!$AL147:$AO147)</f>
        <v>0</v>
      </c>
      <c r="AQ147" s="515">
        <f>IF(SETUP!$E$7="USD",(AP147*(IF(O147="USD",AK147,(AK147/'Master Data'!$F$2)))),(AP147*(IF(O147="EUR",AK147,(AK147*'Master Data'!$F$2)))))</f>
        <v>0</v>
      </c>
      <c r="AR147" s="521"/>
      <c r="AS147" s="514"/>
      <c r="AT147" s="514"/>
      <c r="AU147" s="514"/>
      <c r="AV147" s="514"/>
      <c r="AW147" s="514"/>
      <c r="AX147" s="515"/>
      <c r="AY147" s="514"/>
      <c r="AZ147" s="514"/>
      <c r="BA147" s="514"/>
      <c r="BB147" s="514"/>
      <c r="BC147" s="514"/>
      <c r="BD147" s="514"/>
      <c r="BE147" s="514"/>
      <c r="BF147" s="521">
        <f>'C19RM 2021-Pharma'!$U147+'C19RM 2021-Pharma'!$AB147+'C19RM 2021-Pharma'!$AP147++'C19RM 2021-Pharma'!$AI147</f>
        <v>0</v>
      </c>
      <c r="BG147" s="515">
        <f>'C19RM 2021-Pharma'!$V147+'C19RM 2021-Pharma'!$AC147+'C19RM 2021-Pharma'!$AQ147+'C19RM 2021-Pharma'!$AJ147</f>
        <v>0</v>
      </c>
      <c r="BH147" s="522" t="str" cm="1">
        <f t="array" ref="BH147">IF(A147&lt;&gt;"",IFERROR(INDEX(PMtbl[[WKst]:[Unit of measure*]],MATCH($A$115&amp;$A147&amp;$E147&amp;$I147,INDEX(PMtbl[Sec]&amp;PMtbl[Category]&amp;PMtbl[Each]&amp;PMtbl[Packaging],0,),0),12),""),"")</f>
        <v/>
      </c>
      <c r="BI147" s="818"/>
      <c r="BJ147" s="503" t="str" cm="1">
        <f t="array" ref="BJ147">IFERROR(INDEX(SETUP!$C$19:$G$121,MATCH((INDEX(PMtbl[[WKst]:[Unit of measure*]],MATCH($A147&amp;$E147&amp;$I147,INDEX(PMtbl[Category]&amp;PMtbl[Each]&amp;PMtbl[Packaging],0,),0),3)),SETUP!$D$19:$D$121,0),5),"")</f>
        <v/>
      </c>
      <c r="BK147" s="439" t="str" cm="1">
        <f t="array" ref="BK147">IFERROR(IF((INDEX(SETUP!$C$19:$G$121,MATCH((INDEX(PMtbl[[WKst]:[Unit of measure*]],MATCH($A147&amp;$E147&amp;$I147,INDEX(PMtbl[Category]&amp;PMtbl[Each]&amp;PMtbl[Packaging],0,),0),3)),SETUP!$D$19:$D$121,0),4))="Upfront",0,INDEX(SETUP!$C$19:$G$121,MATCH((INDEX(PMtbl[[WKst]:[Unit of measure*]],MATCH($A147&amp;$E147&amp;$I147,INDEX(PMtbl[Category]&amp;PMtbl[Each]&amp;PMtbl[Packaging],0,),0),3)),SETUP!$D$19:$D$121,0),5)),"")</f>
        <v/>
      </c>
      <c r="BL147" s="197" t="str" cm="1">
        <f t="array" ref="BL147">IF(E147&lt;&gt;"",IFERROR(INDEX(PMtbl[[WKst]:[Unit of measure*]],MATCH($A$115&amp;$A147&amp;$E147&amp;$I147,INDEX(PMtbl[Sec]&amp;PMtbl[Category]&amp;PMtbl[Each]&amp;PMtbl[Packaging],0,),0),11),""),"")</f>
        <v/>
      </c>
      <c r="BO147" s="12">
        <f>IF(N147="",0,IF(SETUP!$E$7="USD",((IF(O147="USD",P147,(P147/'Master Data-C19RM'!$C$2)))),((IF(O147="EUR",P147,(P147*'Master Data-C19RM'!$C$2))))))</f>
        <v>0</v>
      </c>
      <c r="BP147" s="12">
        <f>IF(N147="",0,IF(SETUP!$E$7="USD",((IF(O147="USD",W147,(W147/'Master Data-C19RM'!$D$2)))),((IF(O147="EUR",W147,(W147*'Master Data-C19RM'!$D$2))))))</f>
        <v>0</v>
      </c>
      <c r="BQ147">
        <f>IF(N147="",0,IF(SETUP!$E$7="USD",((IF(O147="USD",AD147,(AD147/'Master Data-C19RM'!$E$2)))),((IF(O147="EUR",AD147,(AD147*'Master Data-C19RM'!$E$2))))))</f>
        <v>0</v>
      </c>
      <c r="BR147">
        <f>IF(N147="",0,IF(SETUP!$E$7="USD",((IF(O147="USD",AK147,(AK147/'Master Data-C19RM'!$F$2)))),((IF(O147="EUR",AK147,(AK147*'Master Data-C19RM'!$F$2))))))</f>
        <v>0</v>
      </c>
      <c r="BU147" s="12">
        <f t="shared" si="7"/>
        <v>0</v>
      </c>
      <c r="BV147" s="142">
        <f t="shared" si="8"/>
        <v>0</v>
      </c>
    </row>
    <row r="148" spans="1:74" hidden="1" x14ac:dyDescent="0.35">
      <c r="A148" s="1165"/>
      <c r="B148" s="1165"/>
      <c r="C148" s="1165"/>
      <c r="D148" s="1165"/>
      <c r="E148" s="1166"/>
      <c r="F148" s="1166"/>
      <c r="G148" s="1166"/>
      <c r="H148" s="1166"/>
      <c r="I148" s="1166"/>
      <c r="J148" s="1166"/>
      <c r="K148" s="1166"/>
      <c r="L148" s="490" t="str" cm="1">
        <f t="array" ref="L148">IF(A148&lt;&gt;"",IFERROR(INDEX(PMtbl[[WKst]:[Unit of measure*]],MATCH($A$115&amp;$A148&amp;$E148&amp;$I148,INDEX(PMtbl[Sec]&amp;PMtbl[Category]&amp;PMtbl[Each]&amp;PMtbl[Packaging],0,),0),14),""),"")</f>
        <v/>
      </c>
      <c r="M148" s="479" t="str">
        <f>IF(L148="","",INDEX(SETUP!$E$20:$E$122,(MATCH(INDEX(PMsheet!$D:$E,MATCH(A148,PMsheet!E:E,0),1),SETUP!$D$20:$D$122,0))))</f>
        <v/>
      </c>
      <c r="N148" s="496">
        <f>IF($O148="USD",_xlfn.IFNA(VLOOKUP(A148&amp;E148&amp;I148,PMsheet!J:K,2,0),0),(_xlfn.IFNA(VLOOKUP(A148&amp;E148&amp;I148,PMsheet!J:K,2,0),0)*'Master Data-C19RM'!$C$2))</f>
        <v>0</v>
      </c>
      <c r="O148" s="492" t="str">
        <f>IF(L148="", "",SETUP!$E$7)</f>
        <v/>
      </c>
      <c r="P148" s="456">
        <f>IF($O148="USD",_xlfn.IFNA(VLOOKUP($A148&amp;$E148&amp;$I148,PMsheet!$J:$K,2,0),0),(_xlfn.IFNA(VLOOKUP($A148&amp;$E148&amp;$I148,PMsheet!$J:$K,2,0),0)*'Master Data'!$C$2))</f>
        <v>0</v>
      </c>
      <c r="Q148" s="441"/>
      <c r="R148" s="441"/>
      <c r="S148" s="441"/>
      <c r="T148" s="441"/>
      <c r="U148" s="481">
        <f>SUM('C19RM 2021-Pharma'!$Q148:$T148)</f>
        <v>0</v>
      </c>
      <c r="V148" s="483">
        <f>IF(SETUP!$E$7="USD",(U148*(IF(O148="USD",P148,(P148/'Master Data'!$C$2)))),(U148*(IF(O148="EUR",P148,(P148*'Master Data'!$C$2)))))</f>
        <v>0</v>
      </c>
      <c r="W148" s="444">
        <f>IF($O148="USD",_xlfn.IFNA(VLOOKUP($A148&amp;$E148&amp;$I148,PMsheet!$J:$K,2,0),0),(_xlfn.IFNA(VLOOKUP($A148&amp;$E148&amp;$I148,PMsheet!$J:$K,2,0),0)*'Master Data'!$D$2))</f>
        <v>0</v>
      </c>
      <c r="X148" s="441"/>
      <c r="Y148" s="441"/>
      <c r="Z148" s="441"/>
      <c r="AA148" s="441"/>
      <c r="AB148" s="481">
        <f>SUM('C19RM 2021-Pharma'!$X148:$AA148)</f>
        <v>0</v>
      </c>
      <c r="AC148" s="483">
        <f>IF(SETUP!$E$7="USD",(AB148*(IF(O148="USD",W148,(W148/'Master Data'!$D$2)))),(AB148*(IF(O148="EUR",W148,(W148*'Master Data'!$D$2)))))</f>
        <v>0</v>
      </c>
      <c r="AD148" s="444">
        <f>IF($O148="USD",_xlfn.IFNA(VLOOKUP($A148&amp;$E148&amp;$I148,PMsheet!$J:$K,2,0),0),(_xlfn.IFNA(VLOOKUP($A148&amp;$E148&amp;$I148,PMsheet!$J:$K,2,0),0)*'Master Data'!$E$2))</f>
        <v>0</v>
      </c>
      <c r="AE148" s="441"/>
      <c r="AF148" s="441"/>
      <c r="AG148" s="441"/>
      <c r="AH148" s="441"/>
      <c r="AI148" s="481">
        <f>SUM('C19RM 2021-Pharma'!$AE148:$AH148)</f>
        <v>0</v>
      </c>
      <c r="AJ148" s="483">
        <f>IF(SETUP!$E$7="USD",(AI148*(IF(O148="USD",AD148,(AD148/'Master Data'!$E$2)))),(AI148*(IF(O148="EUR",AD148,(AD148*'Master Data'!$E$2)))))</f>
        <v>0</v>
      </c>
      <c r="AK148" s="444">
        <f>IF($O148="USD",_xlfn.IFNA(VLOOKUP($A148&amp;$E148&amp;$I148,PMsheet!$J:$K,2,0),0),(_xlfn.IFNA(VLOOKUP($A148&amp;$E148&amp;$I148,PMsheet!$J:$K,2,0),0)*'Master Data'!$F$2))</f>
        <v>0</v>
      </c>
      <c r="AL148" s="441"/>
      <c r="AM148" s="441"/>
      <c r="AN148" s="441"/>
      <c r="AO148" s="441"/>
      <c r="AP148" s="512">
        <f>SUM('C19RM 2021-Pharma'!$AL148:$AO148)</f>
        <v>0</v>
      </c>
      <c r="AQ148" s="513">
        <f>IF(SETUP!$E$7="USD",(AP148*(IF(O148="USD",AK148,(AK148/'Master Data'!$F$2)))),(AP148*(IF(O148="EUR",AK148,(AK148*'Master Data'!$F$2)))))</f>
        <v>0</v>
      </c>
      <c r="AR148" s="520"/>
      <c r="AS148" s="512"/>
      <c r="AT148" s="512"/>
      <c r="AU148" s="512"/>
      <c r="AV148" s="512"/>
      <c r="AW148" s="512"/>
      <c r="AX148" s="513"/>
      <c r="AY148" s="512"/>
      <c r="AZ148" s="512"/>
      <c r="BA148" s="512"/>
      <c r="BB148" s="512"/>
      <c r="BC148" s="512"/>
      <c r="BD148" s="512"/>
      <c r="BE148" s="512"/>
      <c r="BF148" s="520">
        <f>'C19RM 2021-Pharma'!$U148+'C19RM 2021-Pharma'!$AB148+'C19RM 2021-Pharma'!$AP148++'C19RM 2021-Pharma'!$AI148</f>
        <v>0</v>
      </c>
      <c r="BG148" s="513">
        <f>'C19RM 2021-Pharma'!$V148+'C19RM 2021-Pharma'!$AC148+'C19RM 2021-Pharma'!$AQ148+'C19RM 2021-Pharma'!$AJ148</f>
        <v>0</v>
      </c>
      <c r="BH148" s="500" t="str" cm="1">
        <f t="array" ref="BH148">IF(A148&lt;&gt;"",IFERROR(INDEX(PMtbl[[WKst]:[Unit of measure*]],MATCH($A$115&amp;$A148&amp;$E148&amp;$I148,INDEX(PMtbl[Sec]&amp;PMtbl[Category]&amp;PMtbl[Each]&amp;PMtbl[Packaging],0,),0),12),""),"")</f>
        <v/>
      </c>
      <c r="BI148" s="819"/>
      <c r="BJ148" s="502" t="str" cm="1">
        <f t="array" ref="BJ148">IFERROR(INDEX(SETUP!$C$19:$G$121,MATCH((INDEX(PMtbl[[WKst]:[Unit of measure*]],MATCH($A148&amp;$E148&amp;$I148,INDEX(PMtbl[Category]&amp;PMtbl[Each]&amp;PMtbl[Packaging],0,),0),3)),SETUP!$D$19:$D$121,0),5),"")</f>
        <v/>
      </c>
      <c r="BK148" s="438" t="str" cm="1">
        <f t="array" ref="BK148">IFERROR(IF((INDEX(SETUP!$C$19:$G$121,MATCH((INDEX(PMtbl[[WKst]:[Unit of measure*]],MATCH($A148&amp;$E148&amp;$I148,INDEX(PMtbl[Category]&amp;PMtbl[Each]&amp;PMtbl[Packaging],0,),0),3)),SETUP!$D$19:$D$121,0),4))="Upfront",0,INDEX(SETUP!$C$19:$G$121,MATCH((INDEX(PMtbl[[WKst]:[Unit of measure*]],MATCH($A148&amp;$E148&amp;$I148,INDEX(PMtbl[Category]&amp;PMtbl[Each]&amp;PMtbl[Packaging],0,),0),3)),SETUP!$D$19:$D$121,0),5)),"")</f>
        <v/>
      </c>
      <c r="BL148" s="196" t="str" cm="1">
        <f t="array" ref="BL148">IF(E148&lt;&gt;"",IFERROR(INDEX(PMtbl[[WKst]:[Unit of measure*]],MATCH($A$115&amp;$A148&amp;$E148&amp;$I148,INDEX(PMtbl[Sec]&amp;PMtbl[Category]&amp;PMtbl[Each]&amp;PMtbl[Packaging],0,),0),11),""),"")</f>
        <v/>
      </c>
      <c r="BO148" s="12">
        <f>IF(N148="",0,IF(SETUP!$E$7="USD",((IF(O148="USD",P148,(P148/'Master Data-C19RM'!$C$2)))),((IF(O148="EUR",P148,(P148*'Master Data-C19RM'!$C$2))))))</f>
        <v>0</v>
      </c>
      <c r="BP148" s="12">
        <f>IF(N148="",0,IF(SETUP!$E$7="USD",((IF(O148="USD",W148,(W148/'Master Data-C19RM'!$D$2)))),((IF(O148="EUR",W148,(W148*'Master Data-C19RM'!$D$2))))))</f>
        <v>0</v>
      </c>
      <c r="BQ148">
        <f>IF(N148="",0,IF(SETUP!$E$7="USD",((IF(O148="USD",AD148,(AD148/'Master Data-C19RM'!$E$2)))),((IF(O148="EUR",AD148,(AD148*'Master Data-C19RM'!$E$2))))))</f>
        <v>0</v>
      </c>
      <c r="BR148">
        <f>IF(N148="",0,IF(SETUP!$E$7="USD",((IF(O148="USD",AK148,(AK148/'Master Data-C19RM'!$F$2)))),((IF(O148="EUR",AK148,(AK148*'Master Data-C19RM'!$F$2))))))</f>
        <v>0</v>
      </c>
      <c r="BU148" s="12">
        <f t="shared" si="7"/>
        <v>0</v>
      </c>
      <c r="BV148" s="142">
        <f t="shared" si="8"/>
        <v>0</v>
      </c>
    </row>
    <row r="149" spans="1:74" hidden="1" x14ac:dyDescent="0.35">
      <c r="A149" s="1192"/>
      <c r="B149" s="1192"/>
      <c r="C149" s="1192"/>
      <c r="D149" s="1192"/>
      <c r="E149" s="1173"/>
      <c r="F149" s="1173"/>
      <c r="G149" s="1173"/>
      <c r="H149" s="1173"/>
      <c r="I149" s="1193"/>
      <c r="J149" s="1193"/>
      <c r="K149" s="1193"/>
      <c r="L149" s="493" t="str" cm="1">
        <f t="array" ref="L149">IF(A149&lt;&gt;"",IFERROR(INDEX(PMtbl[[WKst]:[Unit of measure*]],MATCH($A$115&amp;$A149&amp;$E149&amp;$I149,INDEX(PMtbl[Sec]&amp;PMtbl[Category]&amp;PMtbl[Each]&amp;PMtbl[Packaging],0,),0),14),""),"")</f>
        <v/>
      </c>
      <c r="M149" s="480" t="str">
        <f>IF(L149="","",INDEX(SETUP!$E$20:$E$122,(MATCH(INDEX(PMsheet!$D:$E,MATCH(A149,PMsheet!E:E,0),1),SETUP!$D$20:$D$122,0))))</f>
        <v/>
      </c>
      <c r="N149" s="494">
        <f>IF($O149="USD",_xlfn.IFNA(VLOOKUP(A149&amp;E149&amp;I149,PMsheet!J:K,2,0),0),(_xlfn.IFNA(VLOOKUP(A149&amp;E149&amp;I149,PMsheet!J:K,2,0),0)*'Master Data-C19RM'!$C$2))</f>
        <v>0</v>
      </c>
      <c r="O149" s="495" t="str">
        <f>IF(L149="", "",SETUP!$E$7)</f>
        <v/>
      </c>
      <c r="P149" s="457">
        <f>IF($O149="USD",_xlfn.IFNA(VLOOKUP($A149&amp;$E149&amp;$I149,PMsheet!$J:$K,2,0),0),(_xlfn.IFNA(VLOOKUP($A149&amp;$E149&amp;$I149,PMsheet!$J:$K,2,0),0)*'Master Data'!$C$2))</f>
        <v>0</v>
      </c>
      <c r="Q149" s="440"/>
      <c r="R149" s="440"/>
      <c r="S149" s="440"/>
      <c r="T149" s="440"/>
      <c r="U149" s="482">
        <f>SUM('C19RM 2021-Pharma'!$Q149:$T149)</f>
        <v>0</v>
      </c>
      <c r="V149" s="484">
        <f>IF(SETUP!$E$7="USD",(U149*(IF(O149="USD",P149,(P149/'Master Data'!$C$2)))),(U149*(IF(O149="EUR",P149,(P149*'Master Data'!$C$2)))))</f>
        <v>0</v>
      </c>
      <c r="W149" s="445">
        <f>IF($O149="USD",_xlfn.IFNA(VLOOKUP($A149&amp;$E149&amp;$I149,PMsheet!$J:$K,2,0),0),(_xlfn.IFNA(VLOOKUP($A149&amp;$E149&amp;$I149,PMsheet!$J:$K,2,0),0)*'Master Data'!$D$2))</f>
        <v>0</v>
      </c>
      <c r="X149" s="440"/>
      <c r="Y149" s="440"/>
      <c r="Z149" s="440"/>
      <c r="AA149" s="440"/>
      <c r="AB149" s="482">
        <f>SUM('C19RM 2021-Pharma'!$X149:$AA149)</f>
        <v>0</v>
      </c>
      <c r="AC149" s="484">
        <f>IF(SETUP!$E$7="USD",(AB149*(IF(O149="USD",W149,(W149/'Master Data'!$D$2)))),(AB149*(IF(O149="EUR",W149,(W149*'Master Data'!$D$2)))))</f>
        <v>0</v>
      </c>
      <c r="AD149" s="445">
        <f>IF($O149="USD",_xlfn.IFNA(VLOOKUP($A149&amp;$E149&amp;$I149,PMsheet!$J:$K,2,0),0),(_xlfn.IFNA(VLOOKUP($A149&amp;$E149&amp;$I149,PMsheet!$J:$K,2,0),0)*'Master Data'!$E$2))</f>
        <v>0</v>
      </c>
      <c r="AE149" s="440"/>
      <c r="AF149" s="440"/>
      <c r="AG149" s="440"/>
      <c r="AH149" s="440"/>
      <c r="AI149" s="482">
        <f>SUM('C19RM 2021-Pharma'!$AE149:$AH149)</f>
        <v>0</v>
      </c>
      <c r="AJ149" s="484">
        <f>IF(SETUP!$E$7="USD",(AI149*(IF(O149="USD",AD149,(AD149/'Master Data'!$E$2)))),(AI149*(IF(O149="EUR",AD149,(AD149*'Master Data'!$E$2)))))</f>
        <v>0</v>
      </c>
      <c r="AK149" s="445">
        <f>IF($O149="USD",_xlfn.IFNA(VLOOKUP($A149&amp;$E149&amp;$I149,PMsheet!$J:$K,2,0),0),(_xlfn.IFNA(VLOOKUP($A149&amp;$E149&amp;$I149,PMsheet!$J:$K,2,0),0)*'Master Data'!$F$2))</f>
        <v>0</v>
      </c>
      <c r="AL149" s="440"/>
      <c r="AM149" s="440"/>
      <c r="AN149" s="440"/>
      <c r="AO149" s="440"/>
      <c r="AP149" s="514">
        <f>SUM('C19RM 2021-Pharma'!$AL149:$AO149)</f>
        <v>0</v>
      </c>
      <c r="AQ149" s="515">
        <f>IF(SETUP!$E$7="USD",(AP149*(IF(O149="USD",AK149,(AK149/'Master Data'!$F$2)))),(AP149*(IF(O149="EUR",AK149,(AK149*'Master Data'!$F$2)))))</f>
        <v>0</v>
      </c>
      <c r="AR149" s="521"/>
      <c r="AS149" s="514"/>
      <c r="AT149" s="514"/>
      <c r="AU149" s="514"/>
      <c r="AV149" s="514"/>
      <c r="AW149" s="514"/>
      <c r="AX149" s="515"/>
      <c r="AY149" s="514"/>
      <c r="AZ149" s="514"/>
      <c r="BA149" s="514"/>
      <c r="BB149" s="514"/>
      <c r="BC149" s="514"/>
      <c r="BD149" s="514"/>
      <c r="BE149" s="514"/>
      <c r="BF149" s="521">
        <f>'C19RM 2021-Pharma'!$U149+'C19RM 2021-Pharma'!$AB149+'C19RM 2021-Pharma'!$AP149++'C19RM 2021-Pharma'!$AI149</f>
        <v>0</v>
      </c>
      <c r="BG149" s="515">
        <f>'C19RM 2021-Pharma'!$V149+'C19RM 2021-Pharma'!$AC149+'C19RM 2021-Pharma'!$AQ149+'C19RM 2021-Pharma'!$AJ149</f>
        <v>0</v>
      </c>
      <c r="BH149" s="522" t="str" cm="1">
        <f t="array" ref="BH149">IF(A149&lt;&gt;"",IFERROR(INDEX(PMtbl[[WKst]:[Unit of measure*]],MATCH($A$115&amp;$A149&amp;$E149&amp;$I149,INDEX(PMtbl[Sec]&amp;PMtbl[Category]&amp;PMtbl[Each]&amp;PMtbl[Packaging],0,),0),12),""),"")</f>
        <v/>
      </c>
      <c r="BI149" s="818"/>
      <c r="BJ149" s="503" t="str" cm="1">
        <f t="array" ref="BJ149">IFERROR(INDEX(SETUP!$C$19:$G$121,MATCH((INDEX(PMtbl[[WKst]:[Unit of measure*]],MATCH($A149&amp;$E149&amp;$I149,INDEX(PMtbl[Category]&amp;PMtbl[Each]&amp;PMtbl[Packaging],0,),0),3)),SETUP!$D$19:$D$121,0),5),"")</f>
        <v/>
      </c>
      <c r="BK149" s="439" t="str" cm="1">
        <f t="array" ref="BK149">IFERROR(IF((INDEX(SETUP!$C$19:$G$121,MATCH((INDEX(PMtbl[[WKst]:[Unit of measure*]],MATCH($A149&amp;$E149&amp;$I149,INDEX(PMtbl[Category]&amp;PMtbl[Each]&amp;PMtbl[Packaging],0,),0),3)),SETUP!$D$19:$D$121,0),4))="Upfront",0,INDEX(SETUP!$C$19:$G$121,MATCH((INDEX(PMtbl[[WKst]:[Unit of measure*]],MATCH($A149&amp;$E149&amp;$I149,INDEX(PMtbl[Category]&amp;PMtbl[Each]&amp;PMtbl[Packaging],0,),0),3)),SETUP!$D$19:$D$121,0),5)),"")</f>
        <v/>
      </c>
      <c r="BL149" s="197" t="str" cm="1">
        <f t="array" ref="BL149">IF(E149&lt;&gt;"",IFERROR(INDEX(PMtbl[[WKst]:[Unit of measure*]],MATCH($A$115&amp;$A149&amp;$E149&amp;$I149,INDEX(PMtbl[Sec]&amp;PMtbl[Category]&amp;PMtbl[Each]&amp;PMtbl[Packaging],0,),0),11),""),"")</f>
        <v/>
      </c>
      <c r="BO149" s="12">
        <f>IF(N149="",0,IF(SETUP!$E$7="USD",((IF(O149="USD",P149,(P149/'Master Data-C19RM'!$C$2)))),((IF(O149="EUR",P149,(P149*'Master Data-C19RM'!$C$2))))))</f>
        <v>0</v>
      </c>
      <c r="BP149" s="12">
        <f>IF(N149="",0,IF(SETUP!$E$7="USD",((IF(O149="USD",W149,(W149/'Master Data-C19RM'!$D$2)))),((IF(O149="EUR",W149,(W149*'Master Data-C19RM'!$D$2))))))</f>
        <v>0</v>
      </c>
      <c r="BQ149">
        <f>IF(N149="",0,IF(SETUP!$E$7="USD",((IF(O149="USD",AD149,(AD149/'Master Data-C19RM'!$E$2)))),((IF(O149="EUR",AD149,(AD149*'Master Data-C19RM'!$E$2))))))</f>
        <v>0</v>
      </c>
      <c r="BR149">
        <f>IF(N149="",0,IF(SETUP!$E$7="USD",((IF(O149="USD",AK149,(AK149/'Master Data-C19RM'!$F$2)))),((IF(O149="EUR",AK149,(AK149*'Master Data-C19RM'!$F$2))))))</f>
        <v>0</v>
      </c>
      <c r="BU149" s="12">
        <f t="shared" si="7"/>
        <v>0</v>
      </c>
      <c r="BV149" s="142">
        <f t="shared" si="8"/>
        <v>0</v>
      </c>
    </row>
    <row r="150" spans="1:74" hidden="1" x14ac:dyDescent="0.35">
      <c r="A150" s="1165"/>
      <c r="B150" s="1165"/>
      <c r="C150" s="1165"/>
      <c r="D150" s="1165"/>
      <c r="E150" s="1166"/>
      <c r="F150" s="1166"/>
      <c r="G150" s="1166"/>
      <c r="H150" s="1166"/>
      <c r="I150" s="1166"/>
      <c r="J150" s="1166"/>
      <c r="K150" s="1166"/>
      <c r="L150" s="490" t="str" cm="1">
        <f t="array" ref="L150">IF(A150&lt;&gt;"",IFERROR(INDEX(PMtbl[[WKst]:[Unit of measure*]],MATCH($A$115&amp;$A150&amp;$E150&amp;$I150,INDEX(PMtbl[Sec]&amp;PMtbl[Category]&amp;PMtbl[Each]&amp;PMtbl[Packaging],0,),0),14),""),"")</f>
        <v/>
      </c>
      <c r="M150" s="479" t="str">
        <f>IF(L150="","",INDEX(SETUP!$E$20:$E$122,(MATCH(INDEX(PMsheet!$D:$E,MATCH(A150,PMsheet!E:E,0),1),SETUP!$D$20:$D$122,0))))</f>
        <v/>
      </c>
      <c r="N150" s="496">
        <f>IF($O150="USD",_xlfn.IFNA(VLOOKUP(A150&amp;E150&amp;I150,PMsheet!J:K,2,0),0),(_xlfn.IFNA(VLOOKUP(A150&amp;E150&amp;I150,PMsheet!J:K,2,0),0)*'Master Data-C19RM'!$C$2))</f>
        <v>0</v>
      </c>
      <c r="O150" s="492" t="str">
        <f>IF(L150="", "",SETUP!$E$7)</f>
        <v/>
      </c>
      <c r="P150" s="456">
        <f>IF($O150="USD",_xlfn.IFNA(VLOOKUP($A150&amp;$E150&amp;$I150,PMsheet!$J:$K,2,0),0),(_xlfn.IFNA(VLOOKUP($A150&amp;$E150&amp;$I150,PMsheet!$J:$K,2,0),0)*'Master Data'!$C$2))</f>
        <v>0</v>
      </c>
      <c r="Q150" s="441"/>
      <c r="R150" s="441"/>
      <c r="S150" s="441"/>
      <c r="T150" s="441"/>
      <c r="U150" s="481">
        <f>SUM('C19RM 2021-Pharma'!$Q150:$T150)</f>
        <v>0</v>
      </c>
      <c r="V150" s="483">
        <f>IF(SETUP!$E$7="USD",(U150*(IF(O150="USD",P150,(P150/'Master Data'!$C$2)))),(U150*(IF(O150="EUR",P150,(P150*'Master Data'!$C$2)))))</f>
        <v>0</v>
      </c>
      <c r="W150" s="444">
        <f>IF($O150="USD",_xlfn.IFNA(VLOOKUP($A150&amp;$E150&amp;$I150,PMsheet!$J:$K,2,0),0),(_xlfn.IFNA(VLOOKUP($A150&amp;$E150&amp;$I150,PMsheet!$J:$K,2,0),0)*'Master Data'!$D$2))</f>
        <v>0</v>
      </c>
      <c r="X150" s="441"/>
      <c r="Y150" s="441"/>
      <c r="Z150" s="441"/>
      <c r="AA150" s="441"/>
      <c r="AB150" s="481">
        <f>SUM('C19RM 2021-Pharma'!$X150:$AA150)</f>
        <v>0</v>
      </c>
      <c r="AC150" s="483">
        <f>IF(SETUP!$E$7="USD",(AB150*(IF(O150="USD",W150,(W150/'Master Data'!$D$2)))),(AB150*(IF(O150="EUR",W150,(W150*'Master Data'!$D$2)))))</f>
        <v>0</v>
      </c>
      <c r="AD150" s="444">
        <f>IF($O150="USD",_xlfn.IFNA(VLOOKUP($A150&amp;$E150&amp;$I150,PMsheet!$J:$K,2,0),0),(_xlfn.IFNA(VLOOKUP($A150&amp;$E150&amp;$I150,PMsheet!$J:$K,2,0),0)*'Master Data'!$E$2))</f>
        <v>0</v>
      </c>
      <c r="AE150" s="441"/>
      <c r="AF150" s="441"/>
      <c r="AG150" s="441"/>
      <c r="AH150" s="441"/>
      <c r="AI150" s="481">
        <f>SUM('C19RM 2021-Pharma'!$AE150:$AH150)</f>
        <v>0</v>
      </c>
      <c r="AJ150" s="483">
        <f>IF(SETUP!$E$7="USD",(AI150*(IF(O150="USD",AD150,(AD150/'Master Data'!$E$2)))),(AI150*(IF(O150="EUR",AD150,(AD150*'Master Data'!$E$2)))))</f>
        <v>0</v>
      </c>
      <c r="AK150" s="444">
        <f>IF($O150="USD",_xlfn.IFNA(VLOOKUP($A150&amp;$E150&amp;$I150,PMsheet!$J:$K,2,0),0),(_xlfn.IFNA(VLOOKUP($A150&amp;$E150&amp;$I150,PMsheet!$J:$K,2,0),0)*'Master Data'!$F$2))</f>
        <v>0</v>
      </c>
      <c r="AL150" s="441"/>
      <c r="AM150" s="441"/>
      <c r="AN150" s="441"/>
      <c r="AO150" s="441"/>
      <c r="AP150" s="512">
        <f>SUM('C19RM 2021-Pharma'!$AL150:$AO150)</f>
        <v>0</v>
      </c>
      <c r="AQ150" s="513">
        <f>IF(SETUP!$E$7="USD",(AP150*(IF(O150="USD",AK150,(AK150/'Master Data'!$F$2)))),(AP150*(IF(O150="EUR",AK150,(AK150*'Master Data'!$F$2)))))</f>
        <v>0</v>
      </c>
      <c r="AR150" s="520"/>
      <c r="AS150" s="512"/>
      <c r="AT150" s="512"/>
      <c r="AU150" s="512"/>
      <c r="AV150" s="512"/>
      <c r="AW150" s="512"/>
      <c r="AX150" s="513"/>
      <c r="AY150" s="512"/>
      <c r="AZ150" s="512"/>
      <c r="BA150" s="512"/>
      <c r="BB150" s="512"/>
      <c r="BC150" s="512"/>
      <c r="BD150" s="512"/>
      <c r="BE150" s="512"/>
      <c r="BF150" s="520">
        <f>'C19RM 2021-Pharma'!$U150+'C19RM 2021-Pharma'!$AB150+'C19RM 2021-Pharma'!$AP150++'C19RM 2021-Pharma'!$AI150</f>
        <v>0</v>
      </c>
      <c r="BG150" s="513">
        <f>'C19RM 2021-Pharma'!$V150+'C19RM 2021-Pharma'!$AC150+'C19RM 2021-Pharma'!$AQ150+'C19RM 2021-Pharma'!$AJ150</f>
        <v>0</v>
      </c>
      <c r="BH150" s="500" t="str" cm="1">
        <f t="array" ref="BH150">IF(A150&lt;&gt;"",IFERROR(INDEX(PMtbl[[WKst]:[Unit of measure*]],MATCH($A$115&amp;$A150&amp;$E150&amp;$I150,INDEX(PMtbl[Sec]&amp;PMtbl[Category]&amp;PMtbl[Each]&amp;PMtbl[Packaging],0,),0),12),""),"")</f>
        <v/>
      </c>
      <c r="BI150" s="819"/>
      <c r="BJ150" s="502" t="str" cm="1">
        <f t="array" ref="BJ150">IFERROR(INDEX(SETUP!$C$19:$G$121,MATCH((INDEX(PMtbl[[WKst]:[Unit of measure*]],MATCH($A150&amp;$E150&amp;$I150,INDEX(PMtbl[Category]&amp;PMtbl[Each]&amp;PMtbl[Packaging],0,),0),3)),SETUP!$D$19:$D$121,0),5),"")</f>
        <v/>
      </c>
      <c r="BK150" s="438" t="str" cm="1">
        <f t="array" ref="BK150">IFERROR(IF((INDEX(SETUP!$C$19:$G$121,MATCH((INDEX(PMtbl[[WKst]:[Unit of measure*]],MATCH($A150&amp;$E150&amp;$I150,INDEX(PMtbl[Category]&amp;PMtbl[Each]&amp;PMtbl[Packaging],0,),0),3)),SETUP!$D$19:$D$121,0),4))="Upfront",0,INDEX(SETUP!$C$19:$G$121,MATCH((INDEX(PMtbl[[WKst]:[Unit of measure*]],MATCH($A150&amp;$E150&amp;$I150,INDEX(PMtbl[Category]&amp;PMtbl[Each]&amp;PMtbl[Packaging],0,),0),3)),SETUP!$D$19:$D$121,0),5)),"")</f>
        <v/>
      </c>
      <c r="BL150" s="196" t="str" cm="1">
        <f t="array" ref="BL150">IF(E150&lt;&gt;"",IFERROR(INDEX(PMtbl[[WKst]:[Unit of measure*]],MATCH($A$115&amp;$A150&amp;$E150&amp;$I150,INDEX(PMtbl[Sec]&amp;PMtbl[Category]&amp;PMtbl[Each]&amp;PMtbl[Packaging],0,),0),11),""),"")</f>
        <v/>
      </c>
      <c r="BO150" s="12">
        <f>IF(N150="",0,IF(SETUP!$E$7="USD",((IF(O150="USD",P150,(P150/'Master Data-C19RM'!$C$2)))),((IF(O150="EUR",P150,(P150*'Master Data-C19RM'!$C$2))))))</f>
        <v>0</v>
      </c>
      <c r="BP150" s="12">
        <f>IF(N150="",0,IF(SETUP!$E$7="USD",((IF(O150="USD",W150,(W150/'Master Data-C19RM'!$D$2)))),((IF(O150="EUR",W150,(W150*'Master Data-C19RM'!$D$2))))))</f>
        <v>0</v>
      </c>
      <c r="BQ150">
        <f>IF(N150="",0,IF(SETUP!$E$7="USD",((IF(O150="USD",AD150,(AD150/'Master Data-C19RM'!$E$2)))),((IF(O150="EUR",AD150,(AD150*'Master Data-C19RM'!$E$2))))))</f>
        <v>0</v>
      </c>
      <c r="BR150">
        <f>IF(N150="",0,IF(SETUP!$E$7="USD",((IF(O150="USD",AK150,(AK150/'Master Data-C19RM'!$F$2)))),((IF(O150="EUR",AK150,(AK150*'Master Data-C19RM'!$F$2))))))</f>
        <v>0</v>
      </c>
      <c r="BU150" s="12">
        <f t="shared" si="7"/>
        <v>0</v>
      </c>
      <c r="BV150" s="142">
        <f t="shared" si="8"/>
        <v>0</v>
      </c>
    </row>
    <row r="151" spans="1:74" hidden="1" x14ac:dyDescent="0.35">
      <c r="A151" s="1192"/>
      <c r="B151" s="1192"/>
      <c r="C151" s="1192"/>
      <c r="D151" s="1192"/>
      <c r="E151" s="1173"/>
      <c r="F151" s="1173"/>
      <c r="G151" s="1173"/>
      <c r="H151" s="1173"/>
      <c r="I151" s="1193"/>
      <c r="J151" s="1193"/>
      <c r="K151" s="1193"/>
      <c r="L151" s="493" t="str" cm="1">
        <f t="array" ref="L151">IF(A151&lt;&gt;"",IFERROR(INDEX(PMtbl[[WKst]:[Unit of measure*]],MATCH($A$115&amp;$A151&amp;$E151&amp;$I151,INDEX(PMtbl[Sec]&amp;PMtbl[Category]&amp;PMtbl[Each]&amp;PMtbl[Packaging],0,),0),14),""),"")</f>
        <v/>
      </c>
      <c r="M151" s="480" t="str">
        <f>IF(L151="","",INDEX(SETUP!$E$20:$E$122,(MATCH(INDEX(PMsheet!$D:$E,MATCH(A151,PMsheet!E:E,0),1),SETUP!$D$20:$D$122,0))))</f>
        <v/>
      </c>
      <c r="N151" s="494">
        <f>IF($O151="USD",_xlfn.IFNA(VLOOKUP(A151&amp;E151&amp;I151,PMsheet!J:K,2,0),0),(_xlfn.IFNA(VLOOKUP(A151&amp;E151&amp;I151,PMsheet!J:K,2,0),0)*'Master Data-C19RM'!$C$2))</f>
        <v>0</v>
      </c>
      <c r="O151" s="495" t="str">
        <f>IF(L151="", "",SETUP!$E$7)</f>
        <v/>
      </c>
      <c r="P151" s="457">
        <f>IF($O151="USD",_xlfn.IFNA(VLOOKUP($A151&amp;$E151&amp;$I151,PMsheet!$J:$K,2,0),0),(_xlfn.IFNA(VLOOKUP($A151&amp;$E151&amp;$I151,PMsheet!$J:$K,2,0),0)*'Master Data'!$C$2))</f>
        <v>0</v>
      </c>
      <c r="Q151" s="440"/>
      <c r="R151" s="440"/>
      <c r="S151" s="440"/>
      <c r="T151" s="440"/>
      <c r="U151" s="482">
        <f>SUM('C19RM 2021-Pharma'!$Q151:$T151)</f>
        <v>0</v>
      </c>
      <c r="V151" s="484">
        <f>IF(SETUP!$E$7="USD",(U151*(IF(O151="USD",P151,(P151/'Master Data'!$C$2)))),(U151*(IF(O151="EUR",P151,(P151*'Master Data'!$C$2)))))</f>
        <v>0</v>
      </c>
      <c r="W151" s="445">
        <f>IF($O151="USD",_xlfn.IFNA(VLOOKUP($A151&amp;$E151&amp;$I151,PMsheet!$J:$K,2,0),0),(_xlfn.IFNA(VLOOKUP($A151&amp;$E151&amp;$I151,PMsheet!$J:$K,2,0),0)*'Master Data'!$D$2))</f>
        <v>0</v>
      </c>
      <c r="X151" s="440"/>
      <c r="Y151" s="440"/>
      <c r="Z151" s="440"/>
      <c r="AA151" s="440"/>
      <c r="AB151" s="482">
        <f>SUM('C19RM 2021-Pharma'!$X151:$AA151)</f>
        <v>0</v>
      </c>
      <c r="AC151" s="484">
        <f>IF(SETUP!$E$7="USD",(AB151*(IF(O151="USD",W151,(W151/'Master Data'!$D$2)))),(AB151*(IF(O151="EUR",W151,(W151*'Master Data'!$D$2)))))</f>
        <v>0</v>
      </c>
      <c r="AD151" s="445">
        <f>IF($O151="USD",_xlfn.IFNA(VLOOKUP($A151&amp;$E151&amp;$I151,PMsheet!$J:$K,2,0),0),(_xlfn.IFNA(VLOOKUP($A151&amp;$E151&amp;$I151,PMsheet!$J:$K,2,0),0)*'Master Data'!$E$2))</f>
        <v>0</v>
      </c>
      <c r="AE151" s="440"/>
      <c r="AF151" s="440"/>
      <c r="AG151" s="440"/>
      <c r="AH151" s="440"/>
      <c r="AI151" s="482">
        <f>SUM('C19RM 2021-Pharma'!$AE151:$AH151)</f>
        <v>0</v>
      </c>
      <c r="AJ151" s="484">
        <f>IF(SETUP!$E$7="USD",(AI151*(IF(O151="USD",AD151,(AD151/'Master Data'!$E$2)))),(AI151*(IF(O151="EUR",AD151,(AD151*'Master Data'!$E$2)))))</f>
        <v>0</v>
      </c>
      <c r="AK151" s="445">
        <f>IF($O151="USD",_xlfn.IFNA(VLOOKUP($A151&amp;$E151&amp;$I151,PMsheet!$J:$K,2,0),0),(_xlfn.IFNA(VLOOKUP($A151&amp;$E151&amp;$I151,PMsheet!$J:$K,2,0),0)*'Master Data'!$F$2))</f>
        <v>0</v>
      </c>
      <c r="AL151" s="440"/>
      <c r="AM151" s="440"/>
      <c r="AN151" s="440"/>
      <c r="AO151" s="440"/>
      <c r="AP151" s="514">
        <f>SUM('C19RM 2021-Pharma'!$AL151:$AO151)</f>
        <v>0</v>
      </c>
      <c r="AQ151" s="515">
        <f>IF(SETUP!$E$7="USD",(AP151*(IF(O151="USD",AK151,(AK151/'Master Data'!$F$2)))),(AP151*(IF(O151="EUR",AK151,(AK151*'Master Data'!$F$2)))))</f>
        <v>0</v>
      </c>
      <c r="AR151" s="521"/>
      <c r="AS151" s="514"/>
      <c r="AT151" s="514"/>
      <c r="AU151" s="514"/>
      <c r="AV151" s="514"/>
      <c r="AW151" s="514"/>
      <c r="AX151" s="515"/>
      <c r="AY151" s="514"/>
      <c r="AZ151" s="514"/>
      <c r="BA151" s="514"/>
      <c r="BB151" s="514"/>
      <c r="BC151" s="514"/>
      <c r="BD151" s="514"/>
      <c r="BE151" s="514"/>
      <c r="BF151" s="521">
        <f>'C19RM 2021-Pharma'!$U151+'C19RM 2021-Pharma'!$AB151+'C19RM 2021-Pharma'!$AP151++'C19RM 2021-Pharma'!$AI151</f>
        <v>0</v>
      </c>
      <c r="BG151" s="515">
        <f>'C19RM 2021-Pharma'!$V151+'C19RM 2021-Pharma'!$AC151+'C19RM 2021-Pharma'!$AQ151+'C19RM 2021-Pharma'!$AJ151</f>
        <v>0</v>
      </c>
      <c r="BH151" s="522" t="str" cm="1">
        <f t="array" ref="BH151">IF(A151&lt;&gt;"",IFERROR(INDEX(PMtbl[[WKst]:[Unit of measure*]],MATCH($A$115&amp;$A151&amp;$E151&amp;$I151,INDEX(PMtbl[Sec]&amp;PMtbl[Category]&amp;PMtbl[Each]&amp;PMtbl[Packaging],0,),0),12),""),"")</f>
        <v/>
      </c>
      <c r="BI151" s="818"/>
      <c r="BJ151" s="503" t="str" cm="1">
        <f t="array" ref="BJ151">IFERROR(INDEX(SETUP!$C$19:$G$121,MATCH((INDEX(PMtbl[[WKst]:[Unit of measure*]],MATCH($A151&amp;$E151&amp;$I151,INDEX(PMtbl[Category]&amp;PMtbl[Each]&amp;PMtbl[Packaging],0,),0),3)),SETUP!$D$19:$D$121,0),5),"")</f>
        <v/>
      </c>
      <c r="BK151" s="439" t="str" cm="1">
        <f t="array" ref="BK151">IFERROR(IF((INDEX(SETUP!$C$19:$G$121,MATCH((INDEX(PMtbl[[WKst]:[Unit of measure*]],MATCH($A151&amp;$E151&amp;$I151,INDEX(PMtbl[Category]&amp;PMtbl[Each]&amp;PMtbl[Packaging],0,),0),3)),SETUP!$D$19:$D$121,0),4))="Upfront",0,INDEX(SETUP!$C$19:$G$121,MATCH((INDEX(PMtbl[[WKst]:[Unit of measure*]],MATCH($A151&amp;$E151&amp;$I151,INDEX(PMtbl[Category]&amp;PMtbl[Each]&amp;PMtbl[Packaging],0,),0),3)),SETUP!$D$19:$D$121,0),5)),"")</f>
        <v/>
      </c>
      <c r="BL151" s="197" t="str" cm="1">
        <f t="array" ref="BL151">IF(E151&lt;&gt;"",IFERROR(INDEX(PMtbl[[WKst]:[Unit of measure*]],MATCH($A$115&amp;$A151&amp;$E151&amp;$I151,INDEX(PMtbl[Sec]&amp;PMtbl[Category]&amp;PMtbl[Each]&amp;PMtbl[Packaging],0,),0),11),""),"")</f>
        <v/>
      </c>
      <c r="BO151" s="12">
        <f>IF(N151="",0,IF(SETUP!$E$7="USD",((IF(O151="USD",P151,(P151/'Master Data-C19RM'!$C$2)))),((IF(O151="EUR",P151,(P151*'Master Data-C19RM'!$C$2))))))</f>
        <v>0</v>
      </c>
      <c r="BP151" s="12">
        <f>IF(N151="",0,IF(SETUP!$E$7="USD",((IF(O151="USD",W151,(W151/'Master Data-C19RM'!$D$2)))),((IF(O151="EUR",W151,(W151*'Master Data-C19RM'!$D$2))))))</f>
        <v>0</v>
      </c>
      <c r="BQ151">
        <f>IF(N151="",0,IF(SETUP!$E$7="USD",((IF(O151="USD",AD151,(AD151/'Master Data-C19RM'!$E$2)))),((IF(O151="EUR",AD151,(AD151*'Master Data-C19RM'!$E$2))))))</f>
        <v>0</v>
      </c>
      <c r="BR151">
        <f>IF(N151="",0,IF(SETUP!$E$7="USD",((IF(O151="USD",AK151,(AK151/'Master Data-C19RM'!$F$2)))),((IF(O151="EUR",AK151,(AK151*'Master Data-C19RM'!$F$2))))))</f>
        <v>0</v>
      </c>
      <c r="BU151" s="12">
        <f t="shared" si="7"/>
        <v>0</v>
      </c>
      <c r="BV151" s="142">
        <f t="shared" si="8"/>
        <v>0</v>
      </c>
    </row>
    <row r="152" spans="1:74" hidden="1" x14ac:dyDescent="0.35">
      <c r="A152" s="1165"/>
      <c r="B152" s="1165"/>
      <c r="C152" s="1165"/>
      <c r="D152" s="1165"/>
      <c r="E152" s="1166"/>
      <c r="F152" s="1166"/>
      <c r="G152" s="1166"/>
      <c r="H152" s="1166"/>
      <c r="I152" s="1166"/>
      <c r="J152" s="1166"/>
      <c r="K152" s="1166"/>
      <c r="L152" s="490" t="str" cm="1">
        <f t="array" ref="L152">IF(A152&lt;&gt;"",IFERROR(INDEX(PMtbl[[WKst]:[Unit of measure*]],MATCH($A$115&amp;$A152&amp;$E152&amp;$I152,INDEX(PMtbl[Sec]&amp;PMtbl[Category]&amp;PMtbl[Each]&amp;PMtbl[Packaging],0,),0),14),""),"")</f>
        <v/>
      </c>
      <c r="M152" s="479" t="str">
        <f>IF(L152="","",INDEX(SETUP!$E$20:$E$122,(MATCH(INDEX(PMsheet!$D:$E,MATCH(A152,PMsheet!E:E,0),1),SETUP!$D$20:$D$122,0))))</f>
        <v/>
      </c>
      <c r="N152" s="496">
        <f>IF($O152="USD",_xlfn.IFNA(VLOOKUP(A152&amp;E152&amp;I152,PMsheet!J:K,2,0),0),(_xlfn.IFNA(VLOOKUP(A152&amp;E152&amp;I152,PMsheet!J:K,2,0),0)*'Master Data-C19RM'!$C$2))</f>
        <v>0</v>
      </c>
      <c r="O152" s="492" t="str">
        <f>IF(L152="", "",SETUP!$E$7)</f>
        <v/>
      </c>
      <c r="P152" s="456">
        <f>IF($O152="USD",_xlfn.IFNA(VLOOKUP($A152&amp;$E152&amp;$I152,PMsheet!$J:$K,2,0),0),(_xlfn.IFNA(VLOOKUP($A152&amp;$E152&amp;$I152,PMsheet!$J:$K,2,0),0)*'Master Data'!$C$2))</f>
        <v>0</v>
      </c>
      <c r="Q152" s="441"/>
      <c r="R152" s="441"/>
      <c r="S152" s="441"/>
      <c r="T152" s="441"/>
      <c r="U152" s="481">
        <f>SUM('C19RM 2021-Pharma'!$Q152:$T152)</f>
        <v>0</v>
      </c>
      <c r="V152" s="483">
        <f>IF(SETUP!$E$7="USD",(U152*(IF(O152="USD",P152,(P152/'Master Data'!$C$2)))),(U152*(IF(O152="EUR",P152,(P152*'Master Data'!$C$2)))))</f>
        <v>0</v>
      </c>
      <c r="W152" s="444">
        <f>IF($O152="USD",_xlfn.IFNA(VLOOKUP($A152&amp;$E152&amp;$I152,PMsheet!$J:$K,2,0),0),(_xlfn.IFNA(VLOOKUP($A152&amp;$E152&amp;$I152,PMsheet!$J:$K,2,0),0)*'Master Data'!$D$2))</f>
        <v>0</v>
      </c>
      <c r="X152" s="441"/>
      <c r="Y152" s="441"/>
      <c r="Z152" s="441"/>
      <c r="AA152" s="441"/>
      <c r="AB152" s="481">
        <f>SUM('C19RM 2021-Pharma'!$X152:$AA152)</f>
        <v>0</v>
      </c>
      <c r="AC152" s="483">
        <f>IF(SETUP!$E$7="USD",(AB152*(IF(O152="USD",W152,(W152/'Master Data'!$D$2)))),(AB152*(IF(O152="EUR",W152,(W152*'Master Data'!$D$2)))))</f>
        <v>0</v>
      </c>
      <c r="AD152" s="444">
        <f>IF($O152="USD",_xlfn.IFNA(VLOOKUP($A152&amp;$E152&amp;$I152,PMsheet!$J:$K,2,0),0),(_xlfn.IFNA(VLOOKUP($A152&amp;$E152&amp;$I152,PMsheet!$J:$K,2,0),0)*'Master Data'!$E$2))</f>
        <v>0</v>
      </c>
      <c r="AE152" s="441"/>
      <c r="AF152" s="441"/>
      <c r="AG152" s="441"/>
      <c r="AH152" s="441"/>
      <c r="AI152" s="481">
        <f>SUM('C19RM 2021-Pharma'!$AE152:$AH152)</f>
        <v>0</v>
      </c>
      <c r="AJ152" s="483">
        <f>IF(SETUP!$E$7="USD",(AI152*(IF(O152="USD",AD152,(AD152/'Master Data'!$E$2)))),(AI152*(IF(O152="EUR",AD152,(AD152*'Master Data'!$E$2)))))</f>
        <v>0</v>
      </c>
      <c r="AK152" s="444">
        <f>IF($O152="USD",_xlfn.IFNA(VLOOKUP($A152&amp;$E152&amp;$I152,PMsheet!$J:$K,2,0),0),(_xlfn.IFNA(VLOOKUP($A152&amp;$E152&amp;$I152,PMsheet!$J:$K,2,0),0)*'Master Data'!$F$2))</f>
        <v>0</v>
      </c>
      <c r="AL152" s="441"/>
      <c r="AM152" s="441"/>
      <c r="AN152" s="441"/>
      <c r="AO152" s="441"/>
      <c r="AP152" s="512">
        <f>SUM('C19RM 2021-Pharma'!$AL152:$AO152)</f>
        <v>0</v>
      </c>
      <c r="AQ152" s="513">
        <f>IF(SETUP!$E$7="USD",(AP152*(IF(O152="USD",AK152,(AK152/'Master Data'!$F$2)))),(AP152*(IF(O152="EUR",AK152,(AK152*'Master Data'!$F$2)))))</f>
        <v>0</v>
      </c>
      <c r="AR152" s="520"/>
      <c r="AS152" s="512"/>
      <c r="AT152" s="512"/>
      <c r="AU152" s="512"/>
      <c r="AV152" s="512"/>
      <c r="AW152" s="512"/>
      <c r="AX152" s="513"/>
      <c r="AY152" s="512"/>
      <c r="AZ152" s="512"/>
      <c r="BA152" s="512"/>
      <c r="BB152" s="512"/>
      <c r="BC152" s="512"/>
      <c r="BD152" s="512"/>
      <c r="BE152" s="512"/>
      <c r="BF152" s="520">
        <f>'C19RM 2021-Pharma'!$U152+'C19RM 2021-Pharma'!$AB152+'C19RM 2021-Pharma'!$AP152++'C19RM 2021-Pharma'!$AI152</f>
        <v>0</v>
      </c>
      <c r="BG152" s="513">
        <f>'C19RM 2021-Pharma'!$V152+'C19RM 2021-Pharma'!$AC152+'C19RM 2021-Pharma'!$AQ152+'C19RM 2021-Pharma'!$AJ152</f>
        <v>0</v>
      </c>
      <c r="BH152" s="500" t="str" cm="1">
        <f t="array" ref="BH152">IF(A152&lt;&gt;"",IFERROR(INDEX(PMtbl[[WKst]:[Unit of measure*]],MATCH($A$115&amp;$A152&amp;$E152&amp;$I152,INDEX(PMtbl[Sec]&amp;PMtbl[Category]&amp;PMtbl[Each]&amp;PMtbl[Packaging],0,),0),12),""),"")</f>
        <v/>
      </c>
      <c r="BI152" s="819"/>
      <c r="BJ152" s="502" t="str" cm="1">
        <f t="array" ref="BJ152">IFERROR(INDEX(SETUP!$C$19:$G$121,MATCH((INDEX(PMtbl[[WKst]:[Unit of measure*]],MATCH($A152&amp;$E152&amp;$I152,INDEX(PMtbl[Category]&amp;PMtbl[Each]&amp;PMtbl[Packaging],0,),0),3)),SETUP!$D$19:$D$121,0),5),"")</f>
        <v/>
      </c>
      <c r="BK152" s="438" t="str" cm="1">
        <f t="array" ref="BK152">IFERROR(IF((INDEX(SETUP!$C$19:$G$121,MATCH((INDEX(PMtbl[[WKst]:[Unit of measure*]],MATCH($A152&amp;$E152&amp;$I152,INDEX(PMtbl[Category]&amp;PMtbl[Each]&amp;PMtbl[Packaging],0,),0),3)),SETUP!$D$19:$D$121,0),4))="Upfront",0,INDEX(SETUP!$C$19:$G$121,MATCH((INDEX(PMtbl[[WKst]:[Unit of measure*]],MATCH($A152&amp;$E152&amp;$I152,INDEX(PMtbl[Category]&amp;PMtbl[Each]&amp;PMtbl[Packaging],0,),0),3)),SETUP!$D$19:$D$121,0),5)),"")</f>
        <v/>
      </c>
      <c r="BL152" s="196" t="str" cm="1">
        <f t="array" ref="BL152">IF(E152&lt;&gt;"",IFERROR(INDEX(PMtbl[[WKst]:[Unit of measure*]],MATCH($A$115&amp;$A152&amp;$E152&amp;$I152,INDEX(PMtbl[Sec]&amp;PMtbl[Category]&amp;PMtbl[Each]&amp;PMtbl[Packaging],0,),0),11),""),"")</f>
        <v/>
      </c>
      <c r="BO152" s="12">
        <f>IF(N152="",0,IF(SETUP!$E$7="USD",((IF(O152="USD",P152,(P152/'Master Data-C19RM'!$C$2)))),((IF(O152="EUR",P152,(P152*'Master Data-C19RM'!$C$2))))))</f>
        <v>0</v>
      </c>
      <c r="BP152" s="12">
        <f>IF(N152="",0,IF(SETUP!$E$7="USD",((IF(O152="USD",W152,(W152/'Master Data-C19RM'!$D$2)))),((IF(O152="EUR",W152,(W152*'Master Data-C19RM'!$D$2))))))</f>
        <v>0</v>
      </c>
      <c r="BQ152">
        <f>IF(N152="",0,IF(SETUP!$E$7="USD",((IF(O152="USD",AD152,(AD152/'Master Data-C19RM'!$E$2)))),((IF(O152="EUR",AD152,(AD152*'Master Data-C19RM'!$E$2))))))</f>
        <v>0</v>
      </c>
      <c r="BR152">
        <f>IF(N152="",0,IF(SETUP!$E$7="USD",((IF(O152="USD",AK152,(AK152/'Master Data-C19RM'!$F$2)))),((IF(O152="EUR",AK152,(AK152*'Master Data-C19RM'!$F$2))))))</f>
        <v>0</v>
      </c>
      <c r="BU152" s="12">
        <f t="shared" si="7"/>
        <v>0</v>
      </c>
      <c r="BV152" s="142">
        <f t="shared" si="8"/>
        <v>0</v>
      </c>
    </row>
    <row r="153" spans="1:74" hidden="1" x14ac:dyDescent="0.35">
      <c r="A153" s="1192"/>
      <c r="B153" s="1192"/>
      <c r="C153" s="1192"/>
      <c r="D153" s="1192"/>
      <c r="E153" s="1173"/>
      <c r="F153" s="1173"/>
      <c r="G153" s="1173"/>
      <c r="H153" s="1173"/>
      <c r="I153" s="1193"/>
      <c r="J153" s="1193"/>
      <c r="K153" s="1193"/>
      <c r="L153" s="493" t="str" cm="1">
        <f t="array" ref="L153">IF(A153&lt;&gt;"",IFERROR(INDEX(PMtbl[[WKst]:[Unit of measure*]],MATCH($A$115&amp;$A153&amp;$E153&amp;$I153,INDEX(PMtbl[Sec]&amp;PMtbl[Category]&amp;PMtbl[Each]&amp;PMtbl[Packaging],0,),0),14),""),"")</f>
        <v/>
      </c>
      <c r="M153" s="480" t="str">
        <f>IF(L153="","",INDEX(SETUP!$E$20:$E$122,(MATCH(INDEX(PMsheet!$D:$E,MATCH(A153,PMsheet!E:E,0),1),SETUP!$D$20:$D$122,0))))</f>
        <v/>
      </c>
      <c r="N153" s="494">
        <f>IF($O153="USD",_xlfn.IFNA(VLOOKUP(A153&amp;E153&amp;I153,PMsheet!J:K,2,0),0),(_xlfn.IFNA(VLOOKUP(A153&amp;E153&amp;I153,PMsheet!J:K,2,0),0)*'Master Data-C19RM'!$C$2))</f>
        <v>0</v>
      </c>
      <c r="O153" s="495" t="str">
        <f>IF(L153="", "",SETUP!$E$7)</f>
        <v/>
      </c>
      <c r="P153" s="457">
        <f>IF($O153="USD",_xlfn.IFNA(VLOOKUP($A153&amp;$E153&amp;$I153,PMsheet!$J:$K,2,0),0),(_xlfn.IFNA(VLOOKUP($A153&amp;$E153&amp;$I153,PMsheet!$J:$K,2,0),0)*'Master Data'!$C$2))</f>
        <v>0</v>
      </c>
      <c r="Q153" s="440"/>
      <c r="R153" s="440"/>
      <c r="S153" s="440"/>
      <c r="T153" s="440"/>
      <c r="U153" s="482">
        <f>SUM('C19RM 2021-Pharma'!$Q153:$T153)</f>
        <v>0</v>
      </c>
      <c r="V153" s="484">
        <f>IF(SETUP!$E$7="USD",(U153*(IF(O153="USD",P153,(P153/'Master Data'!$C$2)))),(U153*(IF(O153="EUR",P153,(P153*'Master Data'!$C$2)))))</f>
        <v>0</v>
      </c>
      <c r="W153" s="445">
        <f>IF($O153="USD",_xlfn.IFNA(VLOOKUP($A153&amp;$E153&amp;$I153,PMsheet!$J:$K,2,0),0),(_xlfn.IFNA(VLOOKUP($A153&amp;$E153&amp;$I153,PMsheet!$J:$K,2,0),0)*'Master Data'!$D$2))</f>
        <v>0</v>
      </c>
      <c r="X153" s="440"/>
      <c r="Y153" s="440"/>
      <c r="Z153" s="440"/>
      <c r="AA153" s="440"/>
      <c r="AB153" s="482">
        <f>SUM('C19RM 2021-Pharma'!$X153:$AA153)</f>
        <v>0</v>
      </c>
      <c r="AC153" s="484">
        <f>IF(SETUP!$E$7="USD",(AB153*(IF(O153="USD",W153,(W153/'Master Data'!$D$2)))),(AB153*(IF(O153="EUR",W153,(W153*'Master Data'!$D$2)))))</f>
        <v>0</v>
      </c>
      <c r="AD153" s="445">
        <f>IF($O153="USD",_xlfn.IFNA(VLOOKUP($A153&amp;$E153&amp;$I153,PMsheet!$J:$K,2,0),0),(_xlfn.IFNA(VLOOKUP($A153&amp;$E153&amp;$I153,PMsheet!$J:$K,2,0),0)*'Master Data'!$E$2))</f>
        <v>0</v>
      </c>
      <c r="AE153" s="440"/>
      <c r="AF153" s="440"/>
      <c r="AG153" s="440"/>
      <c r="AH153" s="440"/>
      <c r="AI153" s="482">
        <f>SUM('C19RM 2021-Pharma'!$AE153:$AH153)</f>
        <v>0</v>
      </c>
      <c r="AJ153" s="484">
        <f>IF(SETUP!$E$7="USD",(AI153*(IF(O153="USD",AD153,(AD153/'Master Data'!$E$2)))),(AI153*(IF(O153="EUR",AD153,(AD153*'Master Data'!$E$2)))))</f>
        <v>0</v>
      </c>
      <c r="AK153" s="445">
        <f>IF($O153="USD",_xlfn.IFNA(VLOOKUP($A153&amp;$E153&amp;$I153,PMsheet!$J:$K,2,0),0),(_xlfn.IFNA(VLOOKUP($A153&amp;$E153&amp;$I153,PMsheet!$J:$K,2,0),0)*'Master Data'!$F$2))</f>
        <v>0</v>
      </c>
      <c r="AL153" s="440"/>
      <c r="AM153" s="440"/>
      <c r="AN153" s="440"/>
      <c r="AO153" s="440"/>
      <c r="AP153" s="514">
        <f>SUM('C19RM 2021-Pharma'!$AL153:$AO153)</f>
        <v>0</v>
      </c>
      <c r="AQ153" s="515">
        <f>IF(SETUP!$E$7="USD",(AP153*(IF(O153="USD",AK153,(AK153/'Master Data'!$F$2)))),(AP153*(IF(O153="EUR",AK153,(AK153*'Master Data'!$F$2)))))</f>
        <v>0</v>
      </c>
      <c r="AR153" s="521"/>
      <c r="AS153" s="514"/>
      <c r="AT153" s="514"/>
      <c r="AU153" s="514"/>
      <c r="AV153" s="514"/>
      <c r="AW153" s="514"/>
      <c r="AX153" s="515"/>
      <c r="AY153" s="514"/>
      <c r="AZ153" s="514"/>
      <c r="BA153" s="514"/>
      <c r="BB153" s="514"/>
      <c r="BC153" s="514"/>
      <c r="BD153" s="514"/>
      <c r="BE153" s="514"/>
      <c r="BF153" s="521">
        <f>'C19RM 2021-Pharma'!$U153+'C19RM 2021-Pharma'!$AB153+'C19RM 2021-Pharma'!$AP153++'C19RM 2021-Pharma'!$AI153</f>
        <v>0</v>
      </c>
      <c r="BG153" s="515">
        <f>'C19RM 2021-Pharma'!$V153+'C19RM 2021-Pharma'!$AC153+'C19RM 2021-Pharma'!$AQ153+'C19RM 2021-Pharma'!$AJ153</f>
        <v>0</v>
      </c>
      <c r="BH153" s="522" t="str" cm="1">
        <f t="array" ref="BH153">IF(A153&lt;&gt;"",IFERROR(INDEX(PMtbl[[WKst]:[Unit of measure*]],MATCH($A$115&amp;$A153&amp;$E153&amp;$I153,INDEX(PMtbl[Sec]&amp;PMtbl[Category]&amp;PMtbl[Each]&amp;PMtbl[Packaging],0,),0),12),""),"")</f>
        <v/>
      </c>
      <c r="BI153" s="818"/>
      <c r="BJ153" s="503" t="str" cm="1">
        <f t="array" ref="BJ153">IFERROR(INDEX(SETUP!$C$19:$G$121,MATCH((INDEX(PMtbl[[WKst]:[Unit of measure*]],MATCH($A153&amp;$E153&amp;$I153,INDEX(PMtbl[Category]&amp;PMtbl[Each]&amp;PMtbl[Packaging],0,),0),3)),SETUP!$D$19:$D$121,0),5),"")</f>
        <v/>
      </c>
      <c r="BK153" s="439" t="str" cm="1">
        <f t="array" ref="BK153">IFERROR(IF((INDEX(SETUP!$C$19:$G$121,MATCH((INDEX(PMtbl[[WKst]:[Unit of measure*]],MATCH($A153&amp;$E153&amp;$I153,INDEX(PMtbl[Category]&amp;PMtbl[Each]&amp;PMtbl[Packaging],0,),0),3)),SETUP!$D$19:$D$121,0),4))="Upfront",0,INDEX(SETUP!$C$19:$G$121,MATCH((INDEX(PMtbl[[WKst]:[Unit of measure*]],MATCH($A153&amp;$E153&amp;$I153,INDEX(PMtbl[Category]&amp;PMtbl[Each]&amp;PMtbl[Packaging],0,),0),3)),SETUP!$D$19:$D$121,0),5)),"")</f>
        <v/>
      </c>
      <c r="BL153" s="197" t="str" cm="1">
        <f t="array" ref="BL153">IF(E153&lt;&gt;"",IFERROR(INDEX(PMtbl[[WKst]:[Unit of measure*]],MATCH($A$115&amp;$A153&amp;$E153&amp;$I153,INDEX(PMtbl[Sec]&amp;PMtbl[Category]&amp;PMtbl[Each]&amp;PMtbl[Packaging],0,),0),11),""),"")</f>
        <v/>
      </c>
      <c r="BO153" s="12">
        <f>IF(N153="",0,IF(SETUP!$E$7="USD",((IF(O153="USD",P153,(P153/'Master Data-C19RM'!$C$2)))),((IF(O153="EUR",P153,(P153*'Master Data-C19RM'!$C$2))))))</f>
        <v>0</v>
      </c>
      <c r="BP153" s="12">
        <f>IF(N153="",0,IF(SETUP!$E$7="USD",((IF(O153="USD",W153,(W153/'Master Data-C19RM'!$D$2)))),((IF(O153="EUR",W153,(W153*'Master Data-C19RM'!$D$2))))))</f>
        <v>0</v>
      </c>
      <c r="BQ153">
        <f>IF(N153="",0,IF(SETUP!$E$7="USD",((IF(O153="USD",AD153,(AD153/'Master Data-C19RM'!$E$2)))),((IF(O153="EUR",AD153,(AD153*'Master Data-C19RM'!$E$2))))))</f>
        <v>0</v>
      </c>
      <c r="BR153">
        <f>IF(N153="",0,IF(SETUP!$E$7="USD",((IF(O153="USD",AK153,(AK153/'Master Data-C19RM'!$F$2)))),((IF(O153="EUR",AK153,(AK153*'Master Data-C19RM'!$F$2))))))</f>
        <v>0</v>
      </c>
      <c r="BU153" s="12">
        <f t="shared" si="7"/>
        <v>0</v>
      </c>
      <c r="BV153" s="142">
        <f t="shared" si="8"/>
        <v>0</v>
      </c>
    </row>
    <row r="154" spans="1:74" hidden="1" x14ac:dyDescent="0.35">
      <c r="A154" s="1165"/>
      <c r="B154" s="1165"/>
      <c r="C154" s="1165"/>
      <c r="D154" s="1165"/>
      <c r="E154" s="1166"/>
      <c r="F154" s="1166"/>
      <c r="G154" s="1166"/>
      <c r="H154" s="1166"/>
      <c r="I154" s="1166"/>
      <c r="J154" s="1166"/>
      <c r="K154" s="1166"/>
      <c r="L154" s="490" t="str" cm="1">
        <f t="array" ref="L154">IF(A154&lt;&gt;"",IFERROR(INDEX(PMtbl[[WKst]:[Unit of measure*]],MATCH($A$115&amp;$A154&amp;$E154&amp;$I154,INDEX(PMtbl[Sec]&amp;PMtbl[Category]&amp;PMtbl[Each]&amp;PMtbl[Packaging],0,),0),14),""),"")</f>
        <v/>
      </c>
      <c r="M154" s="479" t="str">
        <f>IF(L154="","",INDEX(SETUP!$E$20:$E$122,(MATCH(INDEX(PMsheet!$D:$E,MATCH(A154,PMsheet!E:E,0),1),SETUP!$D$20:$D$122,0))))</f>
        <v/>
      </c>
      <c r="N154" s="496">
        <f>IF($O154="USD",_xlfn.IFNA(VLOOKUP(A154&amp;E154&amp;I154,PMsheet!J:K,2,0),0),(_xlfn.IFNA(VLOOKUP(A154&amp;E154&amp;I154,PMsheet!J:K,2,0),0)*'Master Data-C19RM'!$C$2))</f>
        <v>0</v>
      </c>
      <c r="O154" s="492" t="str">
        <f>IF(L154="", "",SETUP!$E$7)</f>
        <v/>
      </c>
      <c r="P154" s="456">
        <f>IF($O154="USD",_xlfn.IFNA(VLOOKUP($A154&amp;$E154&amp;$I154,PMsheet!$J:$K,2,0),0),(_xlfn.IFNA(VLOOKUP($A154&amp;$E154&amp;$I154,PMsheet!$J:$K,2,0),0)*'Master Data'!$C$2))</f>
        <v>0</v>
      </c>
      <c r="Q154" s="441"/>
      <c r="R154" s="441"/>
      <c r="S154" s="441"/>
      <c r="T154" s="441"/>
      <c r="U154" s="481">
        <f>SUM('C19RM 2021-Pharma'!$Q154:$T154)</f>
        <v>0</v>
      </c>
      <c r="V154" s="483">
        <f>IF(SETUP!$E$7="USD",(U154*(IF(O154="USD",P154,(P154/'Master Data'!$C$2)))),(U154*(IF(O154="EUR",P154,(P154*'Master Data'!$C$2)))))</f>
        <v>0</v>
      </c>
      <c r="W154" s="444">
        <f>IF($O154="USD",_xlfn.IFNA(VLOOKUP($A154&amp;$E154&amp;$I154,PMsheet!$J:$K,2,0),0),(_xlfn.IFNA(VLOOKUP($A154&amp;$E154&amp;$I154,PMsheet!$J:$K,2,0),0)*'Master Data'!$D$2))</f>
        <v>0</v>
      </c>
      <c r="X154" s="441"/>
      <c r="Y154" s="441"/>
      <c r="Z154" s="441"/>
      <c r="AA154" s="441"/>
      <c r="AB154" s="481">
        <f>SUM('C19RM 2021-Pharma'!$X154:$AA154)</f>
        <v>0</v>
      </c>
      <c r="AC154" s="483">
        <f>IF(SETUP!$E$7="USD",(AB154*(IF(O154="USD",W154,(W154/'Master Data'!$D$2)))),(AB154*(IF(O154="EUR",W154,(W154*'Master Data'!$D$2)))))</f>
        <v>0</v>
      </c>
      <c r="AD154" s="444">
        <f>IF($O154="USD",_xlfn.IFNA(VLOOKUP($A154&amp;$E154&amp;$I154,PMsheet!$J:$K,2,0),0),(_xlfn.IFNA(VLOOKUP($A154&amp;$E154&amp;$I154,PMsheet!$J:$K,2,0),0)*'Master Data'!$E$2))</f>
        <v>0</v>
      </c>
      <c r="AE154" s="441"/>
      <c r="AF154" s="441"/>
      <c r="AG154" s="441"/>
      <c r="AH154" s="441"/>
      <c r="AI154" s="481">
        <f>SUM('C19RM 2021-Pharma'!$AE154:$AH154)</f>
        <v>0</v>
      </c>
      <c r="AJ154" s="483">
        <f>IF(SETUP!$E$7="USD",(AI154*(IF(O154="USD",AD154,(AD154/'Master Data'!$E$2)))),(AI154*(IF(O154="EUR",AD154,(AD154*'Master Data'!$E$2)))))</f>
        <v>0</v>
      </c>
      <c r="AK154" s="444">
        <f>IF($O154="USD",_xlfn.IFNA(VLOOKUP($A154&amp;$E154&amp;$I154,PMsheet!$J:$K,2,0),0),(_xlfn.IFNA(VLOOKUP($A154&amp;$E154&amp;$I154,PMsheet!$J:$K,2,0),0)*'Master Data'!$F$2))</f>
        <v>0</v>
      </c>
      <c r="AL154" s="441"/>
      <c r="AM154" s="441"/>
      <c r="AN154" s="441"/>
      <c r="AO154" s="441"/>
      <c r="AP154" s="512">
        <f>SUM('C19RM 2021-Pharma'!$AL154:$AO154)</f>
        <v>0</v>
      </c>
      <c r="AQ154" s="513">
        <f>IF(SETUP!$E$7="USD",(AP154*(IF(O154="USD",AK154,(AK154/'Master Data'!$F$2)))),(AP154*(IF(O154="EUR",AK154,(AK154*'Master Data'!$F$2)))))</f>
        <v>0</v>
      </c>
      <c r="AR154" s="520"/>
      <c r="AS154" s="512"/>
      <c r="AT154" s="512"/>
      <c r="AU154" s="512"/>
      <c r="AV154" s="512"/>
      <c r="AW154" s="512"/>
      <c r="AX154" s="513"/>
      <c r="AY154" s="512"/>
      <c r="AZ154" s="512"/>
      <c r="BA154" s="512"/>
      <c r="BB154" s="512"/>
      <c r="BC154" s="512"/>
      <c r="BD154" s="512"/>
      <c r="BE154" s="512"/>
      <c r="BF154" s="520">
        <f>'C19RM 2021-Pharma'!$U154+'C19RM 2021-Pharma'!$AB154+'C19RM 2021-Pharma'!$AP154++'C19RM 2021-Pharma'!$AI154</f>
        <v>0</v>
      </c>
      <c r="BG154" s="513">
        <f>'C19RM 2021-Pharma'!$V154+'C19RM 2021-Pharma'!$AC154+'C19RM 2021-Pharma'!$AQ154+'C19RM 2021-Pharma'!$AJ154</f>
        <v>0</v>
      </c>
      <c r="BH154" s="500" t="str" cm="1">
        <f t="array" ref="BH154">IF(A154&lt;&gt;"",IFERROR(INDEX(PMtbl[[WKst]:[Unit of measure*]],MATCH($A$115&amp;$A154&amp;$E154&amp;$I154,INDEX(PMtbl[Sec]&amp;PMtbl[Category]&amp;PMtbl[Each]&amp;PMtbl[Packaging],0,),0),12),""),"")</f>
        <v/>
      </c>
      <c r="BI154" s="819"/>
      <c r="BJ154" s="502" t="str" cm="1">
        <f t="array" ref="BJ154">IFERROR(INDEX(SETUP!$C$19:$G$121,MATCH((INDEX(PMtbl[[WKst]:[Unit of measure*]],MATCH($A154&amp;$E154&amp;$I154,INDEX(PMtbl[Category]&amp;PMtbl[Each]&amp;PMtbl[Packaging],0,),0),3)),SETUP!$D$19:$D$121,0),5),"")</f>
        <v/>
      </c>
      <c r="BK154" s="438" t="str" cm="1">
        <f t="array" ref="BK154">IFERROR(IF((INDEX(SETUP!$C$19:$G$121,MATCH((INDEX(PMtbl[[WKst]:[Unit of measure*]],MATCH($A154&amp;$E154&amp;$I154,INDEX(PMtbl[Category]&amp;PMtbl[Each]&amp;PMtbl[Packaging],0,),0),3)),SETUP!$D$19:$D$121,0),4))="Upfront",0,INDEX(SETUP!$C$19:$G$121,MATCH((INDEX(PMtbl[[WKst]:[Unit of measure*]],MATCH($A154&amp;$E154&amp;$I154,INDEX(PMtbl[Category]&amp;PMtbl[Each]&amp;PMtbl[Packaging],0,),0),3)),SETUP!$D$19:$D$121,0),5)),"")</f>
        <v/>
      </c>
      <c r="BL154" s="196" t="str" cm="1">
        <f t="array" ref="BL154">IF(E154&lt;&gt;"",IFERROR(INDEX(PMtbl[[WKst]:[Unit of measure*]],MATCH($A$115&amp;$A154&amp;$E154&amp;$I154,INDEX(PMtbl[Sec]&amp;PMtbl[Category]&amp;PMtbl[Each]&amp;PMtbl[Packaging],0,),0),11),""),"")</f>
        <v/>
      </c>
      <c r="BO154" s="12">
        <f>IF(N154="",0,IF(SETUP!$E$7="USD",((IF(O154="USD",P154,(P154/'Master Data-C19RM'!$C$2)))),((IF(O154="EUR",P154,(P154*'Master Data-C19RM'!$C$2))))))</f>
        <v>0</v>
      </c>
      <c r="BP154" s="12">
        <f>IF(N154="",0,IF(SETUP!$E$7="USD",((IF(O154="USD",W154,(W154/'Master Data-C19RM'!$D$2)))),((IF(O154="EUR",W154,(W154*'Master Data-C19RM'!$D$2))))))</f>
        <v>0</v>
      </c>
      <c r="BQ154">
        <f>IF(N154="",0,IF(SETUP!$E$7="USD",((IF(O154="USD",AD154,(AD154/'Master Data-C19RM'!$E$2)))),((IF(O154="EUR",AD154,(AD154*'Master Data-C19RM'!$E$2))))))</f>
        <v>0</v>
      </c>
      <c r="BR154">
        <f>IF(N154="",0,IF(SETUP!$E$7="USD",((IF(O154="USD",AK154,(AK154/'Master Data-C19RM'!$F$2)))),((IF(O154="EUR",AK154,(AK154*'Master Data-C19RM'!$F$2))))))</f>
        <v>0</v>
      </c>
      <c r="BU154" s="12">
        <f t="shared" si="7"/>
        <v>0</v>
      </c>
      <c r="BV154" s="142">
        <f t="shared" si="8"/>
        <v>0</v>
      </c>
    </row>
    <row r="155" spans="1:74" hidden="1" x14ac:dyDescent="0.35">
      <c r="A155" s="1192"/>
      <c r="B155" s="1192"/>
      <c r="C155" s="1192"/>
      <c r="D155" s="1192"/>
      <c r="E155" s="1173"/>
      <c r="F155" s="1173"/>
      <c r="G155" s="1173"/>
      <c r="H155" s="1173"/>
      <c r="I155" s="1193"/>
      <c r="J155" s="1193"/>
      <c r="K155" s="1193"/>
      <c r="L155" s="493" t="str" cm="1">
        <f t="array" ref="L155">IF(A155&lt;&gt;"",IFERROR(INDEX(PMtbl[[WKst]:[Unit of measure*]],MATCH($A$115&amp;$A155&amp;$E155&amp;$I155,INDEX(PMtbl[Sec]&amp;PMtbl[Category]&amp;PMtbl[Each]&amp;PMtbl[Packaging],0,),0),14),""),"")</f>
        <v/>
      </c>
      <c r="M155" s="480" t="str">
        <f>IF(L155="","",INDEX(SETUP!$E$20:$E$122,(MATCH(INDEX(PMsheet!$D:$E,MATCH(A155,PMsheet!E:E,0),1),SETUP!$D$20:$D$122,0))))</f>
        <v/>
      </c>
      <c r="N155" s="494">
        <f>IF($O155="USD",_xlfn.IFNA(VLOOKUP(A155&amp;E155&amp;I155,PMsheet!J:K,2,0),0),(_xlfn.IFNA(VLOOKUP(A155&amp;E155&amp;I155,PMsheet!J:K,2,0),0)*'Master Data-C19RM'!$C$2))</f>
        <v>0</v>
      </c>
      <c r="O155" s="495" t="str">
        <f>IF(L155="", "",SETUP!$E$7)</f>
        <v/>
      </c>
      <c r="P155" s="457">
        <f>IF($O155="USD",_xlfn.IFNA(VLOOKUP($A155&amp;$E155&amp;$I155,PMsheet!$J:$K,2,0),0),(_xlfn.IFNA(VLOOKUP($A155&amp;$E155&amp;$I155,PMsheet!$J:$K,2,0),0)*'Master Data'!$C$2))</f>
        <v>0</v>
      </c>
      <c r="Q155" s="440"/>
      <c r="R155" s="440"/>
      <c r="S155" s="440"/>
      <c r="T155" s="440"/>
      <c r="U155" s="482">
        <f>SUM('C19RM 2021-Pharma'!$Q155:$T155)</f>
        <v>0</v>
      </c>
      <c r="V155" s="484">
        <f>IF(SETUP!$E$7="USD",(U155*(IF(O155="USD",P155,(P155/'Master Data'!$C$2)))),(U155*(IF(O155="EUR",P155,(P155*'Master Data'!$C$2)))))</f>
        <v>0</v>
      </c>
      <c r="W155" s="445">
        <f>IF($O155="USD",_xlfn.IFNA(VLOOKUP($A155&amp;$E155&amp;$I155,PMsheet!$J:$K,2,0),0),(_xlfn.IFNA(VLOOKUP($A155&amp;$E155&amp;$I155,PMsheet!$J:$K,2,0),0)*'Master Data'!$D$2))</f>
        <v>0</v>
      </c>
      <c r="X155" s="440"/>
      <c r="Y155" s="440"/>
      <c r="Z155" s="440"/>
      <c r="AA155" s="440"/>
      <c r="AB155" s="482">
        <f>SUM('C19RM 2021-Pharma'!$X155:$AA155)</f>
        <v>0</v>
      </c>
      <c r="AC155" s="484">
        <f>IF(SETUP!$E$7="USD",(AB155*(IF(O155="USD",W155,(W155/'Master Data'!$D$2)))),(AB155*(IF(O155="EUR",W155,(W155*'Master Data'!$D$2)))))</f>
        <v>0</v>
      </c>
      <c r="AD155" s="445">
        <f>IF($O155="USD",_xlfn.IFNA(VLOOKUP($A155&amp;$E155&amp;$I155,PMsheet!$J:$K,2,0),0),(_xlfn.IFNA(VLOOKUP($A155&amp;$E155&amp;$I155,PMsheet!$J:$K,2,0),0)*'Master Data'!$E$2))</f>
        <v>0</v>
      </c>
      <c r="AE155" s="440"/>
      <c r="AF155" s="440"/>
      <c r="AG155" s="440"/>
      <c r="AH155" s="440"/>
      <c r="AI155" s="482">
        <f>SUM('C19RM 2021-Pharma'!$AE155:$AH155)</f>
        <v>0</v>
      </c>
      <c r="AJ155" s="484">
        <f>IF(SETUP!$E$7="USD",(AI155*(IF(O155="USD",AD155,(AD155/'Master Data'!$E$2)))),(AI155*(IF(O155="EUR",AD155,(AD155*'Master Data'!$E$2)))))</f>
        <v>0</v>
      </c>
      <c r="AK155" s="445">
        <f>IF($O155="USD",_xlfn.IFNA(VLOOKUP($A155&amp;$E155&amp;$I155,PMsheet!$J:$K,2,0),0),(_xlfn.IFNA(VLOOKUP($A155&amp;$E155&amp;$I155,PMsheet!$J:$K,2,0),0)*'Master Data'!$F$2))</f>
        <v>0</v>
      </c>
      <c r="AL155" s="440"/>
      <c r="AM155" s="440"/>
      <c r="AN155" s="440"/>
      <c r="AO155" s="440"/>
      <c r="AP155" s="514">
        <f>SUM('C19RM 2021-Pharma'!$AL155:$AO155)</f>
        <v>0</v>
      </c>
      <c r="AQ155" s="515">
        <f>IF(SETUP!$E$7="USD",(AP155*(IF(O155="USD",AK155,(AK155/'Master Data'!$F$2)))),(AP155*(IF(O155="EUR",AK155,(AK155*'Master Data'!$F$2)))))</f>
        <v>0</v>
      </c>
      <c r="AR155" s="521"/>
      <c r="AS155" s="514"/>
      <c r="AT155" s="514"/>
      <c r="AU155" s="514"/>
      <c r="AV155" s="514"/>
      <c r="AW155" s="514"/>
      <c r="AX155" s="515"/>
      <c r="AY155" s="514"/>
      <c r="AZ155" s="514"/>
      <c r="BA155" s="514"/>
      <c r="BB155" s="514"/>
      <c r="BC155" s="514"/>
      <c r="BD155" s="514"/>
      <c r="BE155" s="514"/>
      <c r="BF155" s="521">
        <f>'C19RM 2021-Pharma'!$U155+'C19RM 2021-Pharma'!$AB155+'C19RM 2021-Pharma'!$AP155++'C19RM 2021-Pharma'!$AI155</f>
        <v>0</v>
      </c>
      <c r="BG155" s="515">
        <f>'C19RM 2021-Pharma'!$V155+'C19RM 2021-Pharma'!$AC155+'C19RM 2021-Pharma'!$AQ155+'C19RM 2021-Pharma'!$AJ155</f>
        <v>0</v>
      </c>
      <c r="BH155" s="522" t="str" cm="1">
        <f t="array" ref="BH155">IF(A155&lt;&gt;"",IFERROR(INDEX(PMtbl[[WKst]:[Unit of measure*]],MATCH($A$115&amp;$A155&amp;$E155&amp;$I155,INDEX(PMtbl[Sec]&amp;PMtbl[Category]&amp;PMtbl[Each]&amp;PMtbl[Packaging],0,),0),12),""),"")</f>
        <v/>
      </c>
      <c r="BI155" s="818"/>
      <c r="BJ155" s="503" t="str" cm="1">
        <f t="array" ref="BJ155">IFERROR(INDEX(SETUP!$C$19:$G$121,MATCH((INDEX(PMtbl[[WKst]:[Unit of measure*]],MATCH($A155&amp;$E155&amp;$I155,INDEX(PMtbl[Category]&amp;PMtbl[Each]&amp;PMtbl[Packaging],0,),0),3)),SETUP!$D$19:$D$121,0),5),"")</f>
        <v/>
      </c>
      <c r="BK155" s="439" t="str" cm="1">
        <f t="array" ref="BK155">IFERROR(IF((INDEX(SETUP!$C$19:$G$121,MATCH((INDEX(PMtbl[[WKst]:[Unit of measure*]],MATCH($A155&amp;$E155&amp;$I155,INDEX(PMtbl[Category]&amp;PMtbl[Each]&amp;PMtbl[Packaging],0,),0),3)),SETUP!$D$19:$D$121,0),4))="Upfront",0,INDEX(SETUP!$C$19:$G$121,MATCH((INDEX(PMtbl[[WKst]:[Unit of measure*]],MATCH($A155&amp;$E155&amp;$I155,INDEX(PMtbl[Category]&amp;PMtbl[Each]&amp;PMtbl[Packaging],0,),0),3)),SETUP!$D$19:$D$121,0),5)),"")</f>
        <v/>
      </c>
      <c r="BL155" s="197" t="str" cm="1">
        <f t="array" ref="BL155">IF(E155&lt;&gt;"",IFERROR(INDEX(PMtbl[[WKst]:[Unit of measure*]],MATCH($A$115&amp;$A155&amp;$E155&amp;$I155,INDEX(PMtbl[Sec]&amp;PMtbl[Category]&amp;PMtbl[Each]&amp;PMtbl[Packaging],0,),0),11),""),"")</f>
        <v/>
      </c>
      <c r="BO155" s="12">
        <f>IF(N155="",0,IF(SETUP!$E$7="USD",((IF(O155="USD",P155,(P155/'Master Data-C19RM'!$C$2)))),((IF(O155="EUR",P155,(P155*'Master Data-C19RM'!$C$2))))))</f>
        <v>0</v>
      </c>
      <c r="BP155" s="12">
        <f>IF(N155="",0,IF(SETUP!$E$7="USD",((IF(O155="USD",W155,(W155/'Master Data-C19RM'!$D$2)))),((IF(O155="EUR",W155,(W155*'Master Data-C19RM'!$D$2))))))</f>
        <v>0</v>
      </c>
      <c r="BQ155">
        <f>IF(N155="",0,IF(SETUP!$E$7="USD",((IF(O155="USD",AD155,(AD155/'Master Data-C19RM'!$E$2)))),((IF(O155="EUR",AD155,(AD155*'Master Data-C19RM'!$E$2))))))</f>
        <v>0</v>
      </c>
      <c r="BR155">
        <f>IF(N155="",0,IF(SETUP!$E$7="USD",((IF(O155="USD",AK155,(AK155/'Master Data-C19RM'!$F$2)))),((IF(O155="EUR",AK155,(AK155*'Master Data-C19RM'!$F$2))))))</f>
        <v>0</v>
      </c>
      <c r="BU155" s="12">
        <f t="shared" si="7"/>
        <v>0</v>
      </c>
      <c r="BV155" s="142">
        <f t="shared" si="8"/>
        <v>0</v>
      </c>
    </row>
    <row r="156" spans="1:74" hidden="1" x14ac:dyDescent="0.35">
      <c r="A156" s="1165"/>
      <c r="B156" s="1165"/>
      <c r="C156" s="1165"/>
      <c r="D156" s="1165"/>
      <c r="E156" s="1166"/>
      <c r="F156" s="1166"/>
      <c r="G156" s="1166"/>
      <c r="H156" s="1166"/>
      <c r="I156" s="1166"/>
      <c r="J156" s="1166"/>
      <c r="K156" s="1166"/>
      <c r="L156" s="490" t="str" cm="1">
        <f t="array" ref="L156">IF(A156&lt;&gt;"",IFERROR(INDEX(PMtbl[[WKst]:[Unit of measure*]],MATCH($A$115&amp;$A156&amp;$E156&amp;$I156,INDEX(PMtbl[Sec]&amp;PMtbl[Category]&amp;PMtbl[Each]&amp;PMtbl[Packaging],0,),0),14),""),"")</f>
        <v/>
      </c>
      <c r="M156" s="479" t="str">
        <f>IF(L156="","",INDEX(SETUP!$E$20:$E$122,(MATCH(INDEX(PMsheet!$D:$E,MATCH(A156,PMsheet!E:E,0),1),SETUP!$D$20:$D$122,0))))</f>
        <v/>
      </c>
      <c r="N156" s="496">
        <f>IF($O156="USD",_xlfn.IFNA(VLOOKUP(A156&amp;E156&amp;I156,PMsheet!J:K,2,0),0),(_xlfn.IFNA(VLOOKUP(A156&amp;E156&amp;I156,PMsheet!J:K,2,0),0)*'Master Data-C19RM'!$C$2))</f>
        <v>0</v>
      </c>
      <c r="O156" s="492" t="str">
        <f>IF(L156="", "",SETUP!$E$7)</f>
        <v/>
      </c>
      <c r="P156" s="456">
        <f>IF($O156="USD",_xlfn.IFNA(VLOOKUP($A156&amp;$E156&amp;$I156,PMsheet!$J:$K,2,0),0),(_xlfn.IFNA(VLOOKUP($A156&amp;$E156&amp;$I156,PMsheet!$J:$K,2,0),0)*'Master Data'!$C$2))</f>
        <v>0</v>
      </c>
      <c r="Q156" s="441"/>
      <c r="R156" s="441"/>
      <c r="S156" s="441"/>
      <c r="T156" s="441"/>
      <c r="U156" s="481">
        <f>SUM('C19RM 2021-Pharma'!$Q156:$T156)</f>
        <v>0</v>
      </c>
      <c r="V156" s="483">
        <f>IF(SETUP!$E$7="USD",(U156*(IF(O156="USD",P156,(P156/'Master Data'!$C$2)))),(U156*(IF(O156="EUR",P156,(P156*'Master Data'!$C$2)))))</f>
        <v>0</v>
      </c>
      <c r="W156" s="444">
        <f>IF($O156="USD",_xlfn.IFNA(VLOOKUP($A156&amp;$E156&amp;$I156,PMsheet!$J:$K,2,0),0),(_xlfn.IFNA(VLOOKUP($A156&amp;$E156&amp;$I156,PMsheet!$J:$K,2,0),0)*'Master Data'!$D$2))</f>
        <v>0</v>
      </c>
      <c r="X156" s="441"/>
      <c r="Y156" s="441"/>
      <c r="Z156" s="441"/>
      <c r="AA156" s="441"/>
      <c r="AB156" s="481">
        <f>SUM('C19RM 2021-Pharma'!$X156:$AA156)</f>
        <v>0</v>
      </c>
      <c r="AC156" s="483">
        <f>IF(SETUP!$E$7="USD",(AB156*(IF(O156="USD",W156,(W156/'Master Data'!$D$2)))),(AB156*(IF(O156="EUR",W156,(W156*'Master Data'!$D$2)))))</f>
        <v>0</v>
      </c>
      <c r="AD156" s="444">
        <f>IF($O156="USD",_xlfn.IFNA(VLOOKUP($A156&amp;$E156&amp;$I156,PMsheet!$J:$K,2,0),0),(_xlfn.IFNA(VLOOKUP($A156&amp;$E156&amp;$I156,PMsheet!$J:$K,2,0),0)*'Master Data'!$E$2))</f>
        <v>0</v>
      </c>
      <c r="AE156" s="441"/>
      <c r="AF156" s="441"/>
      <c r="AG156" s="441"/>
      <c r="AH156" s="441"/>
      <c r="AI156" s="481">
        <f>SUM('C19RM 2021-Pharma'!$AE156:$AH156)</f>
        <v>0</v>
      </c>
      <c r="AJ156" s="483">
        <f>IF(SETUP!$E$7="USD",(AI156*(IF(O156="USD",AD156,(AD156/'Master Data'!$E$2)))),(AI156*(IF(O156="EUR",AD156,(AD156*'Master Data'!$E$2)))))</f>
        <v>0</v>
      </c>
      <c r="AK156" s="444">
        <f>IF($O156="USD",_xlfn.IFNA(VLOOKUP($A156&amp;$E156&amp;$I156,PMsheet!$J:$K,2,0),0),(_xlfn.IFNA(VLOOKUP($A156&amp;$E156&amp;$I156,PMsheet!$J:$K,2,0),0)*'Master Data'!$F$2))</f>
        <v>0</v>
      </c>
      <c r="AL156" s="441"/>
      <c r="AM156" s="441"/>
      <c r="AN156" s="441"/>
      <c r="AO156" s="441"/>
      <c r="AP156" s="512">
        <f>SUM('C19RM 2021-Pharma'!$AL156:$AO156)</f>
        <v>0</v>
      </c>
      <c r="AQ156" s="513">
        <f>IF(SETUP!$E$7="USD",(AP156*(IF(O156="USD",AK156,(AK156/'Master Data'!$F$2)))),(AP156*(IF(O156="EUR",AK156,(AK156*'Master Data'!$F$2)))))</f>
        <v>0</v>
      </c>
      <c r="AR156" s="520"/>
      <c r="AS156" s="512"/>
      <c r="AT156" s="512"/>
      <c r="AU156" s="512"/>
      <c r="AV156" s="512"/>
      <c r="AW156" s="512"/>
      <c r="AX156" s="513"/>
      <c r="AY156" s="512"/>
      <c r="AZ156" s="512"/>
      <c r="BA156" s="512"/>
      <c r="BB156" s="512"/>
      <c r="BC156" s="512"/>
      <c r="BD156" s="512"/>
      <c r="BE156" s="512"/>
      <c r="BF156" s="520">
        <f>'C19RM 2021-Pharma'!$U156+'C19RM 2021-Pharma'!$AB156+'C19RM 2021-Pharma'!$AP156++'C19RM 2021-Pharma'!$AI156</f>
        <v>0</v>
      </c>
      <c r="BG156" s="513">
        <f>'C19RM 2021-Pharma'!$V156+'C19RM 2021-Pharma'!$AC156+'C19RM 2021-Pharma'!$AQ156+'C19RM 2021-Pharma'!$AJ156</f>
        <v>0</v>
      </c>
      <c r="BH156" s="500" t="str" cm="1">
        <f t="array" ref="BH156">IF(A156&lt;&gt;"",IFERROR(INDEX(PMtbl[[WKst]:[Unit of measure*]],MATCH($A$115&amp;$A156&amp;$E156&amp;$I156,INDEX(PMtbl[Sec]&amp;PMtbl[Category]&amp;PMtbl[Each]&amp;PMtbl[Packaging],0,),0),12),""),"")</f>
        <v/>
      </c>
      <c r="BI156" s="819"/>
      <c r="BJ156" s="502" t="str" cm="1">
        <f t="array" ref="BJ156">IFERROR(INDEX(SETUP!$C$19:$G$121,MATCH((INDEX(PMtbl[[WKst]:[Unit of measure*]],MATCH($A156&amp;$E156&amp;$I156,INDEX(PMtbl[Category]&amp;PMtbl[Each]&amp;PMtbl[Packaging],0,),0),3)),SETUP!$D$19:$D$121,0),5),"")</f>
        <v/>
      </c>
      <c r="BK156" s="438" t="str" cm="1">
        <f t="array" ref="BK156">IFERROR(IF((INDEX(SETUP!$C$19:$G$121,MATCH((INDEX(PMtbl[[WKst]:[Unit of measure*]],MATCH($A156&amp;$E156&amp;$I156,INDEX(PMtbl[Category]&amp;PMtbl[Each]&amp;PMtbl[Packaging],0,),0),3)),SETUP!$D$19:$D$121,0),4))="Upfront",0,INDEX(SETUP!$C$19:$G$121,MATCH((INDEX(PMtbl[[WKst]:[Unit of measure*]],MATCH($A156&amp;$E156&amp;$I156,INDEX(PMtbl[Category]&amp;PMtbl[Each]&amp;PMtbl[Packaging],0,),0),3)),SETUP!$D$19:$D$121,0),5)),"")</f>
        <v/>
      </c>
      <c r="BL156" s="196" t="str" cm="1">
        <f t="array" ref="BL156">IF(E156&lt;&gt;"",IFERROR(INDEX(PMtbl[[WKst]:[Unit of measure*]],MATCH($A$115&amp;$A156&amp;$E156&amp;$I156,INDEX(PMtbl[Sec]&amp;PMtbl[Category]&amp;PMtbl[Each]&amp;PMtbl[Packaging],0,),0),11),""),"")</f>
        <v/>
      </c>
      <c r="BO156" s="12">
        <f>IF(N156="",0,IF(SETUP!$E$7="USD",((IF(O156="USD",P156,(P156/'Master Data-C19RM'!$C$2)))),((IF(O156="EUR",P156,(P156*'Master Data-C19RM'!$C$2))))))</f>
        <v>0</v>
      </c>
      <c r="BP156" s="12">
        <f>IF(N156="",0,IF(SETUP!$E$7="USD",((IF(O156="USD",W156,(W156/'Master Data-C19RM'!$D$2)))),((IF(O156="EUR",W156,(W156*'Master Data-C19RM'!$D$2))))))</f>
        <v>0</v>
      </c>
      <c r="BQ156">
        <f>IF(N156="",0,IF(SETUP!$E$7="USD",((IF(O156="USD",AD156,(AD156/'Master Data-C19RM'!$E$2)))),((IF(O156="EUR",AD156,(AD156*'Master Data-C19RM'!$E$2))))))</f>
        <v>0</v>
      </c>
      <c r="BR156">
        <f>IF(N156="",0,IF(SETUP!$E$7="USD",((IF(O156="USD",AK156,(AK156/'Master Data-C19RM'!$F$2)))),((IF(O156="EUR",AK156,(AK156*'Master Data-C19RM'!$F$2))))))</f>
        <v>0</v>
      </c>
      <c r="BU156" s="12">
        <f t="shared" si="7"/>
        <v>0</v>
      </c>
      <c r="BV156" s="142">
        <f t="shared" si="8"/>
        <v>0</v>
      </c>
    </row>
    <row r="157" spans="1:74" hidden="1" x14ac:dyDescent="0.35">
      <c r="A157" s="1192"/>
      <c r="B157" s="1192"/>
      <c r="C157" s="1192"/>
      <c r="D157" s="1192"/>
      <c r="E157" s="1173"/>
      <c r="F157" s="1173"/>
      <c r="G157" s="1173"/>
      <c r="H157" s="1173"/>
      <c r="I157" s="1193"/>
      <c r="J157" s="1193"/>
      <c r="K157" s="1193"/>
      <c r="L157" s="493" t="str" cm="1">
        <f t="array" ref="L157">IF(A157&lt;&gt;"",IFERROR(INDEX(PMtbl[[WKst]:[Unit of measure*]],MATCH($A$115&amp;$A157&amp;$E157&amp;$I157,INDEX(PMtbl[Sec]&amp;PMtbl[Category]&amp;PMtbl[Each]&amp;PMtbl[Packaging],0,),0),14),""),"")</f>
        <v/>
      </c>
      <c r="M157" s="480" t="str">
        <f>IF(L157="","",INDEX(SETUP!$E$20:$E$122,(MATCH(INDEX(PMsheet!$D:$E,MATCH(A157,PMsheet!E:E,0),1),SETUP!$D$20:$D$122,0))))</f>
        <v/>
      </c>
      <c r="N157" s="494">
        <f>IF($O157="USD",_xlfn.IFNA(VLOOKUP(A157&amp;E157&amp;I157,PMsheet!J:K,2,0),0),(_xlfn.IFNA(VLOOKUP(A157&amp;E157&amp;I157,PMsheet!J:K,2,0),0)*'Master Data-C19RM'!$C$2))</f>
        <v>0</v>
      </c>
      <c r="O157" s="495" t="str">
        <f>IF(L157="", "",SETUP!$E$7)</f>
        <v/>
      </c>
      <c r="P157" s="457">
        <f>IF($O157="USD",_xlfn.IFNA(VLOOKUP($A157&amp;$E157&amp;$I157,PMsheet!$J:$K,2,0),0),(_xlfn.IFNA(VLOOKUP($A157&amp;$E157&amp;$I157,PMsheet!$J:$K,2,0),0)*'Master Data'!$C$2))</f>
        <v>0</v>
      </c>
      <c r="Q157" s="440"/>
      <c r="R157" s="440"/>
      <c r="S157" s="440"/>
      <c r="T157" s="440"/>
      <c r="U157" s="482">
        <f>SUM('C19RM 2021-Pharma'!$Q157:$T157)</f>
        <v>0</v>
      </c>
      <c r="V157" s="484">
        <f>IF(SETUP!$E$7="USD",(U157*(IF(O157="USD",P157,(P157/'Master Data'!$C$2)))),(U157*(IF(O157="EUR",P157,(P157*'Master Data'!$C$2)))))</f>
        <v>0</v>
      </c>
      <c r="W157" s="445">
        <f>IF($O157="USD",_xlfn.IFNA(VLOOKUP($A157&amp;$E157&amp;$I157,PMsheet!$J:$K,2,0),0),(_xlfn.IFNA(VLOOKUP($A157&amp;$E157&amp;$I157,PMsheet!$J:$K,2,0),0)*'Master Data'!$D$2))</f>
        <v>0</v>
      </c>
      <c r="X157" s="440"/>
      <c r="Y157" s="440"/>
      <c r="Z157" s="440"/>
      <c r="AA157" s="440"/>
      <c r="AB157" s="482">
        <f>SUM('C19RM 2021-Pharma'!$X157:$AA157)</f>
        <v>0</v>
      </c>
      <c r="AC157" s="484">
        <f>IF(SETUP!$E$7="USD",(AB157*(IF(O157="USD",W157,(W157/'Master Data'!$D$2)))),(AB157*(IF(O157="EUR",W157,(W157*'Master Data'!$D$2)))))</f>
        <v>0</v>
      </c>
      <c r="AD157" s="445">
        <f>IF($O157="USD",_xlfn.IFNA(VLOOKUP($A157&amp;$E157&amp;$I157,PMsheet!$J:$K,2,0),0),(_xlfn.IFNA(VLOOKUP($A157&amp;$E157&amp;$I157,PMsheet!$J:$K,2,0),0)*'Master Data'!$E$2))</f>
        <v>0</v>
      </c>
      <c r="AE157" s="440"/>
      <c r="AF157" s="440"/>
      <c r="AG157" s="440"/>
      <c r="AH157" s="440"/>
      <c r="AI157" s="482">
        <f>SUM('C19RM 2021-Pharma'!$AE157:$AH157)</f>
        <v>0</v>
      </c>
      <c r="AJ157" s="484">
        <f>IF(SETUP!$E$7="USD",(AI157*(IF(O157="USD",AD157,(AD157/'Master Data'!$E$2)))),(AI157*(IF(O157="EUR",AD157,(AD157*'Master Data'!$E$2)))))</f>
        <v>0</v>
      </c>
      <c r="AK157" s="445">
        <f>IF($O157="USD",_xlfn.IFNA(VLOOKUP($A157&amp;$E157&amp;$I157,PMsheet!$J:$K,2,0),0),(_xlfn.IFNA(VLOOKUP($A157&amp;$E157&amp;$I157,PMsheet!$J:$K,2,0),0)*'Master Data'!$F$2))</f>
        <v>0</v>
      </c>
      <c r="AL157" s="440"/>
      <c r="AM157" s="440"/>
      <c r="AN157" s="440"/>
      <c r="AO157" s="440"/>
      <c r="AP157" s="514">
        <f>SUM('C19RM 2021-Pharma'!$AL157:$AO157)</f>
        <v>0</v>
      </c>
      <c r="AQ157" s="515">
        <f>IF(SETUP!$E$7="USD",(AP157*(IF(O157="USD",AK157,(AK157/'Master Data'!$F$2)))),(AP157*(IF(O157="EUR",AK157,(AK157*'Master Data'!$F$2)))))</f>
        <v>0</v>
      </c>
      <c r="AR157" s="521"/>
      <c r="AS157" s="514"/>
      <c r="AT157" s="514"/>
      <c r="AU157" s="514"/>
      <c r="AV157" s="514"/>
      <c r="AW157" s="514"/>
      <c r="AX157" s="515"/>
      <c r="AY157" s="514"/>
      <c r="AZ157" s="514"/>
      <c r="BA157" s="514"/>
      <c r="BB157" s="514"/>
      <c r="BC157" s="514"/>
      <c r="BD157" s="514"/>
      <c r="BE157" s="514"/>
      <c r="BF157" s="521">
        <f>'C19RM 2021-Pharma'!$U157+'C19RM 2021-Pharma'!$AB157+'C19RM 2021-Pharma'!$AP157++'C19RM 2021-Pharma'!$AI157</f>
        <v>0</v>
      </c>
      <c r="BG157" s="515">
        <f>'C19RM 2021-Pharma'!$V157+'C19RM 2021-Pharma'!$AC157+'C19RM 2021-Pharma'!$AQ157+'C19RM 2021-Pharma'!$AJ157</f>
        <v>0</v>
      </c>
      <c r="BH157" s="522" t="str" cm="1">
        <f t="array" ref="BH157">IF(A157&lt;&gt;"",IFERROR(INDEX(PMtbl[[WKst]:[Unit of measure*]],MATCH($A$115&amp;$A157&amp;$E157&amp;$I157,INDEX(PMtbl[Sec]&amp;PMtbl[Category]&amp;PMtbl[Each]&amp;PMtbl[Packaging],0,),0),12),""),"")</f>
        <v/>
      </c>
      <c r="BI157" s="818"/>
      <c r="BJ157" s="503" t="str" cm="1">
        <f t="array" ref="BJ157">IFERROR(INDEX(SETUP!$C$19:$G$121,MATCH((INDEX(PMtbl[[WKst]:[Unit of measure*]],MATCH($A157&amp;$E157&amp;$I157,INDEX(PMtbl[Category]&amp;PMtbl[Each]&amp;PMtbl[Packaging],0,),0),3)),SETUP!$D$19:$D$121,0),5),"")</f>
        <v/>
      </c>
      <c r="BK157" s="439" t="str" cm="1">
        <f t="array" ref="BK157">IFERROR(IF((INDEX(SETUP!$C$19:$G$121,MATCH((INDEX(PMtbl[[WKst]:[Unit of measure*]],MATCH($A157&amp;$E157&amp;$I157,INDEX(PMtbl[Category]&amp;PMtbl[Each]&amp;PMtbl[Packaging],0,),0),3)),SETUP!$D$19:$D$121,0),4))="Upfront",0,INDEX(SETUP!$C$19:$G$121,MATCH((INDEX(PMtbl[[WKst]:[Unit of measure*]],MATCH($A157&amp;$E157&amp;$I157,INDEX(PMtbl[Category]&amp;PMtbl[Each]&amp;PMtbl[Packaging],0,),0),3)),SETUP!$D$19:$D$121,0),5)),"")</f>
        <v/>
      </c>
      <c r="BL157" s="197" t="str" cm="1">
        <f t="array" ref="BL157">IF(E157&lt;&gt;"",IFERROR(INDEX(PMtbl[[WKst]:[Unit of measure*]],MATCH($A$115&amp;$A157&amp;$E157&amp;$I157,INDEX(PMtbl[Sec]&amp;PMtbl[Category]&amp;PMtbl[Each]&amp;PMtbl[Packaging],0,),0),11),""),"")</f>
        <v/>
      </c>
      <c r="BO157" s="12">
        <f>IF(N157="",0,IF(SETUP!$E$7="USD",((IF(O157="USD",P157,(P157/'Master Data-C19RM'!$C$2)))),((IF(O157="EUR",P157,(P157*'Master Data-C19RM'!$C$2))))))</f>
        <v>0</v>
      </c>
      <c r="BP157" s="12">
        <f>IF(N157="",0,IF(SETUP!$E$7="USD",((IF(O157="USD",W157,(W157/'Master Data-C19RM'!$D$2)))),((IF(O157="EUR",W157,(W157*'Master Data-C19RM'!$D$2))))))</f>
        <v>0</v>
      </c>
      <c r="BQ157">
        <f>IF(N157="",0,IF(SETUP!$E$7="USD",((IF(O157="USD",AD157,(AD157/'Master Data-C19RM'!$E$2)))),((IF(O157="EUR",AD157,(AD157*'Master Data-C19RM'!$E$2))))))</f>
        <v>0</v>
      </c>
      <c r="BR157">
        <f>IF(N157="",0,IF(SETUP!$E$7="USD",((IF(O157="USD",AK157,(AK157/'Master Data-C19RM'!$F$2)))),((IF(O157="EUR",AK157,(AK157*'Master Data-C19RM'!$F$2))))))</f>
        <v>0</v>
      </c>
      <c r="BU157" s="12">
        <f t="shared" si="7"/>
        <v>0</v>
      </c>
      <c r="BV157" s="142">
        <f t="shared" si="8"/>
        <v>0</v>
      </c>
    </row>
    <row r="158" spans="1:74" hidden="1" x14ac:dyDescent="0.35">
      <c r="A158" s="1165"/>
      <c r="B158" s="1165"/>
      <c r="C158" s="1165"/>
      <c r="D158" s="1165"/>
      <c r="E158" s="1166"/>
      <c r="F158" s="1166"/>
      <c r="G158" s="1166"/>
      <c r="H158" s="1166"/>
      <c r="I158" s="1166"/>
      <c r="J158" s="1166"/>
      <c r="K158" s="1166"/>
      <c r="L158" s="490" t="str" cm="1">
        <f t="array" ref="L158">IF(A158&lt;&gt;"",IFERROR(INDEX(PMtbl[[WKst]:[Unit of measure*]],MATCH($A$115&amp;$A158&amp;$E158&amp;$I158,INDEX(PMtbl[Sec]&amp;PMtbl[Category]&amp;PMtbl[Each]&amp;PMtbl[Packaging],0,),0),14),""),"")</f>
        <v/>
      </c>
      <c r="M158" s="479" t="str">
        <f>IF(L158="","",INDEX(SETUP!$E$20:$E$122,(MATCH(INDEX(PMsheet!$D:$E,MATCH(A158,PMsheet!E:E,0),1),SETUP!$D$20:$D$122,0))))</f>
        <v/>
      </c>
      <c r="N158" s="496">
        <f>IF($O158="USD",_xlfn.IFNA(VLOOKUP(A158&amp;E158&amp;I158,PMsheet!J:K,2,0),0),(_xlfn.IFNA(VLOOKUP(A158&amp;E158&amp;I158,PMsheet!J:K,2,0),0)*'Master Data-C19RM'!$C$2))</f>
        <v>0</v>
      </c>
      <c r="O158" s="492" t="str">
        <f>IF(L158="", "",SETUP!$E$7)</f>
        <v/>
      </c>
      <c r="P158" s="456">
        <f>IF($O158="USD",_xlfn.IFNA(VLOOKUP($A158&amp;$E158&amp;$I158,PMsheet!$J:$K,2,0),0),(_xlfn.IFNA(VLOOKUP($A158&amp;$E158&amp;$I158,PMsheet!$J:$K,2,0),0)*'Master Data'!$C$2))</f>
        <v>0</v>
      </c>
      <c r="Q158" s="441"/>
      <c r="R158" s="441"/>
      <c r="S158" s="441"/>
      <c r="T158" s="441"/>
      <c r="U158" s="481">
        <f>SUM('C19RM 2021-Pharma'!$Q158:$T158)</f>
        <v>0</v>
      </c>
      <c r="V158" s="483">
        <f>IF(SETUP!$E$7="USD",(U158*(IF(O158="USD",P158,(P158/'Master Data'!$C$2)))),(U158*(IF(O158="EUR",P158,(P158*'Master Data'!$C$2)))))</f>
        <v>0</v>
      </c>
      <c r="W158" s="444">
        <f>IF($O158="USD",_xlfn.IFNA(VLOOKUP($A158&amp;$E158&amp;$I158,PMsheet!$J:$K,2,0),0),(_xlfn.IFNA(VLOOKUP($A158&amp;$E158&amp;$I158,PMsheet!$J:$K,2,0),0)*'Master Data'!$D$2))</f>
        <v>0</v>
      </c>
      <c r="X158" s="441"/>
      <c r="Y158" s="441"/>
      <c r="Z158" s="441"/>
      <c r="AA158" s="441"/>
      <c r="AB158" s="481">
        <f>SUM('C19RM 2021-Pharma'!$X158:$AA158)</f>
        <v>0</v>
      </c>
      <c r="AC158" s="483">
        <f>IF(SETUP!$E$7="USD",(AB158*(IF(O158="USD",W158,(W158/'Master Data'!$D$2)))),(AB158*(IF(O158="EUR",W158,(W158*'Master Data'!$D$2)))))</f>
        <v>0</v>
      </c>
      <c r="AD158" s="444">
        <f>IF($O158="USD",_xlfn.IFNA(VLOOKUP($A158&amp;$E158&amp;$I158,PMsheet!$J:$K,2,0),0),(_xlfn.IFNA(VLOOKUP($A158&amp;$E158&amp;$I158,PMsheet!$J:$K,2,0),0)*'Master Data'!$E$2))</f>
        <v>0</v>
      </c>
      <c r="AE158" s="441"/>
      <c r="AF158" s="441"/>
      <c r="AG158" s="441"/>
      <c r="AH158" s="441"/>
      <c r="AI158" s="481">
        <f>SUM('C19RM 2021-Pharma'!$AE158:$AH158)</f>
        <v>0</v>
      </c>
      <c r="AJ158" s="483">
        <f>IF(SETUP!$E$7="USD",(AI158*(IF(O158="USD",AD158,(AD158/'Master Data'!$E$2)))),(AI158*(IF(O158="EUR",AD158,(AD158*'Master Data'!$E$2)))))</f>
        <v>0</v>
      </c>
      <c r="AK158" s="444">
        <f>IF($O158="USD",_xlfn.IFNA(VLOOKUP($A158&amp;$E158&amp;$I158,PMsheet!$J:$K,2,0),0),(_xlfn.IFNA(VLOOKUP($A158&amp;$E158&amp;$I158,PMsheet!$J:$K,2,0),0)*'Master Data'!$F$2))</f>
        <v>0</v>
      </c>
      <c r="AL158" s="441"/>
      <c r="AM158" s="441"/>
      <c r="AN158" s="441"/>
      <c r="AO158" s="441"/>
      <c r="AP158" s="512">
        <f>SUM('C19RM 2021-Pharma'!$AL158:$AO158)</f>
        <v>0</v>
      </c>
      <c r="AQ158" s="513">
        <f>IF(SETUP!$E$7="USD",(AP158*(IF(O158="USD",AK158,(AK158/'Master Data'!$F$2)))),(AP158*(IF(O158="EUR",AK158,(AK158*'Master Data'!$F$2)))))</f>
        <v>0</v>
      </c>
      <c r="AR158" s="520"/>
      <c r="AS158" s="512"/>
      <c r="AT158" s="512"/>
      <c r="AU158" s="512"/>
      <c r="AV158" s="512"/>
      <c r="AW158" s="512"/>
      <c r="AX158" s="513"/>
      <c r="AY158" s="512"/>
      <c r="AZ158" s="512"/>
      <c r="BA158" s="512"/>
      <c r="BB158" s="512"/>
      <c r="BC158" s="512"/>
      <c r="BD158" s="512"/>
      <c r="BE158" s="512"/>
      <c r="BF158" s="520">
        <f>'C19RM 2021-Pharma'!$U158+'C19RM 2021-Pharma'!$AB158+'C19RM 2021-Pharma'!$AP158++'C19RM 2021-Pharma'!$AI158</f>
        <v>0</v>
      </c>
      <c r="BG158" s="513">
        <f>'C19RM 2021-Pharma'!$V158+'C19RM 2021-Pharma'!$AC158+'C19RM 2021-Pharma'!$AQ158+'C19RM 2021-Pharma'!$AJ158</f>
        <v>0</v>
      </c>
      <c r="BH158" s="500" t="str" cm="1">
        <f t="array" ref="BH158">IF(A158&lt;&gt;"",IFERROR(INDEX(PMtbl[[WKst]:[Unit of measure*]],MATCH($A$115&amp;$A158&amp;$E158&amp;$I158,INDEX(PMtbl[Sec]&amp;PMtbl[Category]&amp;PMtbl[Each]&amp;PMtbl[Packaging],0,),0),12),""),"")</f>
        <v/>
      </c>
      <c r="BI158" s="819"/>
      <c r="BJ158" s="502" t="str" cm="1">
        <f t="array" ref="BJ158">IFERROR(INDEX(SETUP!$C$19:$G$121,MATCH((INDEX(PMtbl[[WKst]:[Unit of measure*]],MATCH($A158&amp;$E158&amp;$I158,INDEX(PMtbl[Category]&amp;PMtbl[Each]&amp;PMtbl[Packaging],0,),0),3)),SETUP!$D$19:$D$121,0),5),"")</f>
        <v/>
      </c>
      <c r="BK158" s="438" t="str" cm="1">
        <f t="array" ref="BK158">IFERROR(IF((INDEX(SETUP!$C$19:$G$121,MATCH((INDEX(PMtbl[[WKst]:[Unit of measure*]],MATCH($A158&amp;$E158&amp;$I158,INDEX(PMtbl[Category]&amp;PMtbl[Each]&amp;PMtbl[Packaging],0,),0),3)),SETUP!$D$19:$D$121,0),4))="Upfront",0,INDEX(SETUP!$C$19:$G$121,MATCH((INDEX(PMtbl[[WKst]:[Unit of measure*]],MATCH($A158&amp;$E158&amp;$I158,INDEX(PMtbl[Category]&amp;PMtbl[Each]&amp;PMtbl[Packaging],0,),0),3)),SETUP!$D$19:$D$121,0),5)),"")</f>
        <v/>
      </c>
      <c r="BL158" s="196" t="str" cm="1">
        <f t="array" ref="BL158">IF(E158&lt;&gt;"",IFERROR(INDEX(PMtbl[[WKst]:[Unit of measure*]],MATCH($A$115&amp;$A158&amp;$E158&amp;$I158,INDEX(PMtbl[Sec]&amp;PMtbl[Category]&amp;PMtbl[Each]&amp;PMtbl[Packaging],0,),0),11),""),"")</f>
        <v/>
      </c>
      <c r="BO158" s="12">
        <f>IF(N158="",0,IF(SETUP!$E$7="USD",((IF(O158="USD",P158,(P158/'Master Data-C19RM'!$C$2)))),((IF(O158="EUR",P158,(P158*'Master Data-C19RM'!$C$2))))))</f>
        <v>0</v>
      </c>
      <c r="BP158" s="12">
        <f>IF(N158="",0,IF(SETUP!$E$7="USD",((IF(O158="USD",W158,(W158/'Master Data-C19RM'!$D$2)))),((IF(O158="EUR",W158,(W158*'Master Data-C19RM'!$D$2))))))</f>
        <v>0</v>
      </c>
      <c r="BQ158">
        <f>IF(N158="",0,IF(SETUP!$E$7="USD",((IF(O158="USD",AD158,(AD158/'Master Data-C19RM'!$E$2)))),((IF(O158="EUR",AD158,(AD158*'Master Data-C19RM'!$E$2))))))</f>
        <v>0</v>
      </c>
      <c r="BR158">
        <f>IF(N158="",0,IF(SETUP!$E$7="USD",((IF(O158="USD",AK158,(AK158/'Master Data-C19RM'!$F$2)))),((IF(O158="EUR",AK158,(AK158*'Master Data-C19RM'!$F$2))))))</f>
        <v>0</v>
      </c>
      <c r="BU158" s="12">
        <f t="shared" si="7"/>
        <v>0</v>
      </c>
      <c r="BV158" s="142">
        <f t="shared" si="8"/>
        <v>0</v>
      </c>
    </row>
    <row r="159" spans="1:74" hidden="1" x14ac:dyDescent="0.35">
      <c r="A159" s="1192"/>
      <c r="B159" s="1192"/>
      <c r="C159" s="1192"/>
      <c r="D159" s="1192"/>
      <c r="E159" s="1173"/>
      <c r="F159" s="1173"/>
      <c r="G159" s="1173"/>
      <c r="H159" s="1173"/>
      <c r="I159" s="1193"/>
      <c r="J159" s="1193"/>
      <c r="K159" s="1193"/>
      <c r="L159" s="493" t="str" cm="1">
        <f t="array" ref="L159">IF(A159&lt;&gt;"",IFERROR(INDEX(PMtbl[[WKst]:[Unit of measure*]],MATCH($A$115&amp;$A159&amp;$E159&amp;$I159,INDEX(PMtbl[Sec]&amp;PMtbl[Category]&amp;PMtbl[Each]&amp;PMtbl[Packaging],0,),0),14),""),"")</f>
        <v/>
      </c>
      <c r="M159" s="480" t="str">
        <f>IF(L159="","",INDEX(SETUP!$E$20:$E$122,(MATCH(INDEX(PMsheet!$D:$E,MATCH(A159,PMsheet!E:E,0),1),SETUP!$D$20:$D$122,0))))</f>
        <v/>
      </c>
      <c r="N159" s="494">
        <f>IF($O159="USD",_xlfn.IFNA(VLOOKUP(A159&amp;E159&amp;I159,PMsheet!J:K,2,0),0),(_xlfn.IFNA(VLOOKUP(A159&amp;E159&amp;I159,PMsheet!J:K,2,0),0)*'Master Data-C19RM'!$C$2))</f>
        <v>0</v>
      </c>
      <c r="O159" s="495" t="str">
        <f>IF(L159="", "",SETUP!$E$7)</f>
        <v/>
      </c>
      <c r="P159" s="457">
        <f>IF($O159="USD",_xlfn.IFNA(VLOOKUP($A159&amp;$E159&amp;$I159,PMsheet!$J:$K,2,0),0),(_xlfn.IFNA(VLOOKUP($A159&amp;$E159&amp;$I159,PMsheet!$J:$K,2,0),0)*'Master Data'!$C$2))</f>
        <v>0</v>
      </c>
      <c r="Q159" s="440"/>
      <c r="R159" s="440"/>
      <c r="S159" s="440"/>
      <c r="T159" s="440"/>
      <c r="U159" s="482">
        <f>SUM('C19RM 2021-Pharma'!$Q159:$T159)</f>
        <v>0</v>
      </c>
      <c r="V159" s="484">
        <f>IF(SETUP!$E$7="USD",(U159*(IF(O159="USD",P159,(P159/'Master Data'!$C$2)))),(U159*(IF(O159="EUR",P159,(P159*'Master Data'!$C$2)))))</f>
        <v>0</v>
      </c>
      <c r="W159" s="445">
        <f>IF($O159="USD",_xlfn.IFNA(VLOOKUP($A159&amp;$E159&amp;$I159,PMsheet!$J:$K,2,0),0),(_xlfn.IFNA(VLOOKUP($A159&amp;$E159&amp;$I159,PMsheet!$J:$K,2,0),0)*'Master Data'!$D$2))</f>
        <v>0</v>
      </c>
      <c r="X159" s="440"/>
      <c r="Y159" s="440"/>
      <c r="Z159" s="440"/>
      <c r="AA159" s="440"/>
      <c r="AB159" s="482">
        <f>SUM('C19RM 2021-Pharma'!$X159:$AA159)</f>
        <v>0</v>
      </c>
      <c r="AC159" s="484">
        <f>IF(SETUP!$E$7="USD",(AB159*(IF(O159="USD",W159,(W159/'Master Data'!$D$2)))),(AB159*(IF(O159="EUR",W159,(W159*'Master Data'!$D$2)))))</f>
        <v>0</v>
      </c>
      <c r="AD159" s="445">
        <f>IF($O159="USD",_xlfn.IFNA(VLOOKUP($A159&amp;$E159&amp;$I159,PMsheet!$J:$K,2,0),0),(_xlfn.IFNA(VLOOKUP($A159&amp;$E159&amp;$I159,PMsheet!$J:$K,2,0),0)*'Master Data'!$E$2))</f>
        <v>0</v>
      </c>
      <c r="AE159" s="440"/>
      <c r="AF159" s="440"/>
      <c r="AG159" s="440"/>
      <c r="AH159" s="440"/>
      <c r="AI159" s="482">
        <f>SUM('C19RM 2021-Pharma'!$AE159:$AH159)</f>
        <v>0</v>
      </c>
      <c r="AJ159" s="484">
        <f>IF(SETUP!$E$7="USD",(AI159*(IF(O159="USD",AD159,(AD159/'Master Data'!$E$2)))),(AI159*(IF(O159="EUR",AD159,(AD159*'Master Data'!$E$2)))))</f>
        <v>0</v>
      </c>
      <c r="AK159" s="445">
        <f>IF($O159="USD",_xlfn.IFNA(VLOOKUP($A159&amp;$E159&amp;$I159,PMsheet!$J:$K,2,0),0),(_xlfn.IFNA(VLOOKUP($A159&amp;$E159&amp;$I159,PMsheet!$J:$K,2,0),0)*'Master Data'!$F$2))</f>
        <v>0</v>
      </c>
      <c r="AL159" s="440"/>
      <c r="AM159" s="440"/>
      <c r="AN159" s="440"/>
      <c r="AO159" s="440"/>
      <c r="AP159" s="514">
        <f>SUM('C19RM 2021-Pharma'!$AL159:$AO159)</f>
        <v>0</v>
      </c>
      <c r="AQ159" s="515">
        <f>IF(SETUP!$E$7="USD",(AP159*(IF(O159="USD",AK159,(AK159/'Master Data'!$F$2)))),(AP159*(IF(O159="EUR",AK159,(AK159*'Master Data'!$F$2)))))</f>
        <v>0</v>
      </c>
      <c r="AR159" s="521"/>
      <c r="AS159" s="514"/>
      <c r="AT159" s="514"/>
      <c r="AU159" s="514"/>
      <c r="AV159" s="514"/>
      <c r="AW159" s="514"/>
      <c r="AX159" s="515"/>
      <c r="AY159" s="514"/>
      <c r="AZ159" s="514"/>
      <c r="BA159" s="514"/>
      <c r="BB159" s="514"/>
      <c r="BC159" s="514"/>
      <c r="BD159" s="514"/>
      <c r="BE159" s="514"/>
      <c r="BF159" s="521">
        <f>'C19RM 2021-Pharma'!$U159+'C19RM 2021-Pharma'!$AB159+'C19RM 2021-Pharma'!$AP159++'C19RM 2021-Pharma'!$AI159</f>
        <v>0</v>
      </c>
      <c r="BG159" s="515">
        <f>'C19RM 2021-Pharma'!$V159+'C19RM 2021-Pharma'!$AC159+'C19RM 2021-Pharma'!$AQ159+'C19RM 2021-Pharma'!$AJ159</f>
        <v>0</v>
      </c>
      <c r="BH159" s="522" t="str" cm="1">
        <f t="array" ref="BH159">IF(A159&lt;&gt;"",IFERROR(INDEX(PMtbl[[WKst]:[Unit of measure*]],MATCH($A$115&amp;$A159&amp;$E159&amp;$I159,INDEX(PMtbl[Sec]&amp;PMtbl[Category]&amp;PMtbl[Each]&amp;PMtbl[Packaging],0,),0),12),""),"")</f>
        <v/>
      </c>
      <c r="BI159" s="818"/>
      <c r="BJ159" s="503" t="str" cm="1">
        <f t="array" ref="BJ159">IFERROR(INDEX(SETUP!$C$19:$G$121,MATCH((INDEX(PMtbl[[WKst]:[Unit of measure*]],MATCH($A159&amp;$E159&amp;$I159,INDEX(PMtbl[Category]&amp;PMtbl[Each]&amp;PMtbl[Packaging],0,),0),3)),SETUP!$D$19:$D$121,0),5),"")</f>
        <v/>
      </c>
      <c r="BK159" s="439" t="str" cm="1">
        <f t="array" ref="BK159">IFERROR(IF((INDEX(SETUP!$C$19:$G$121,MATCH((INDEX(PMtbl[[WKst]:[Unit of measure*]],MATCH($A159&amp;$E159&amp;$I159,INDEX(PMtbl[Category]&amp;PMtbl[Each]&amp;PMtbl[Packaging],0,),0),3)),SETUP!$D$19:$D$121,0),4))="Upfront",0,INDEX(SETUP!$C$19:$G$121,MATCH((INDEX(PMtbl[[WKst]:[Unit of measure*]],MATCH($A159&amp;$E159&amp;$I159,INDEX(PMtbl[Category]&amp;PMtbl[Each]&amp;PMtbl[Packaging],0,),0),3)),SETUP!$D$19:$D$121,0),5)),"")</f>
        <v/>
      </c>
      <c r="BL159" s="197" t="str" cm="1">
        <f t="array" ref="BL159">IF(E159&lt;&gt;"",IFERROR(INDEX(PMtbl[[WKst]:[Unit of measure*]],MATCH($A$115&amp;$A159&amp;$E159&amp;$I159,INDEX(PMtbl[Sec]&amp;PMtbl[Category]&amp;PMtbl[Each]&amp;PMtbl[Packaging],0,),0),11),""),"")</f>
        <v/>
      </c>
      <c r="BO159" s="12">
        <f>IF(N159="",0,IF(SETUP!$E$7="USD",((IF(O159="USD",P159,(P159/'Master Data-C19RM'!$C$2)))),((IF(O159="EUR",P159,(P159*'Master Data-C19RM'!$C$2))))))</f>
        <v>0</v>
      </c>
      <c r="BP159" s="12">
        <f>IF(N159="",0,IF(SETUP!$E$7="USD",((IF(O159="USD",W159,(W159/'Master Data-C19RM'!$D$2)))),((IF(O159="EUR",W159,(W159*'Master Data-C19RM'!$D$2))))))</f>
        <v>0</v>
      </c>
      <c r="BQ159">
        <f>IF(N159="",0,IF(SETUP!$E$7="USD",((IF(O159="USD",AD159,(AD159/'Master Data-C19RM'!$E$2)))),((IF(O159="EUR",AD159,(AD159*'Master Data-C19RM'!$E$2))))))</f>
        <v>0</v>
      </c>
      <c r="BR159">
        <f>IF(N159="",0,IF(SETUP!$E$7="USD",((IF(O159="USD",AK159,(AK159/'Master Data-C19RM'!$F$2)))),((IF(O159="EUR",AK159,(AK159*'Master Data-C19RM'!$F$2))))))</f>
        <v>0</v>
      </c>
      <c r="BU159" s="12">
        <f t="shared" si="7"/>
        <v>0</v>
      </c>
      <c r="BV159" s="142">
        <f t="shared" si="8"/>
        <v>0</v>
      </c>
    </row>
    <row r="160" spans="1:74" hidden="1" x14ac:dyDescent="0.35">
      <c r="A160" s="1165"/>
      <c r="B160" s="1165"/>
      <c r="C160" s="1165"/>
      <c r="D160" s="1165"/>
      <c r="E160" s="1166"/>
      <c r="F160" s="1166"/>
      <c r="G160" s="1166"/>
      <c r="H160" s="1166"/>
      <c r="I160" s="1166"/>
      <c r="J160" s="1166"/>
      <c r="K160" s="1166"/>
      <c r="L160" s="490" t="str" cm="1">
        <f t="array" ref="L160">IF(A160&lt;&gt;"",IFERROR(INDEX(PMtbl[[WKst]:[Unit of measure*]],MATCH($A$115&amp;$A160&amp;$E160&amp;$I160,INDEX(PMtbl[Sec]&amp;PMtbl[Category]&amp;PMtbl[Each]&amp;PMtbl[Packaging],0,),0),14),""),"")</f>
        <v/>
      </c>
      <c r="M160" s="479" t="str">
        <f>IF(L160="","",INDEX(SETUP!$E$20:$E$122,(MATCH(INDEX(PMsheet!$D:$E,MATCH(A160,PMsheet!E:E,0),1),SETUP!$D$20:$D$122,0))))</f>
        <v/>
      </c>
      <c r="N160" s="496">
        <f>IF($O160="USD",_xlfn.IFNA(VLOOKUP(A160&amp;E160&amp;I160,PMsheet!J:K,2,0),0),(_xlfn.IFNA(VLOOKUP(A160&amp;E160&amp;I160,PMsheet!J:K,2,0),0)*'Master Data-C19RM'!$C$2))</f>
        <v>0</v>
      </c>
      <c r="O160" s="492" t="str">
        <f>IF(L160="", "",SETUP!$E$7)</f>
        <v/>
      </c>
      <c r="P160" s="456">
        <f>IF($O160="USD",_xlfn.IFNA(VLOOKUP($A160&amp;$E160&amp;$I160,PMsheet!$J:$K,2,0),0),(_xlfn.IFNA(VLOOKUP($A160&amp;$E160&amp;$I160,PMsheet!$J:$K,2,0),0)*'Master Data'!$C$2))</f>
        <v>0</v>
      </c>
      <c r="Q160" s="441"/>
      <c r="R160" s="441"/>
      <c r="S160" s="441"/>
      <c r="T160" s="441"/>
      <c r="U160" s="481">
        <f>SUM('C19RM 2021-Pharma'!$Q160:$T160)</f>
        <v>0</v>
      </c>
      <c r="V160" s="483">
        <f>IF(SETUP!$E$7="USD",(U160*(IF(O160="USD",P160,(P160/'Master Data'!$C$2)))),(U160*(IF(O160="EUR",P160,(P160*'Master Data'!$C$2)))))</f>
        <v>0</v>
      </c>
      <c r="W160" s="444">
        <f>IF($O160="USD",_xlfn.IFNA(VLOOKUP($A160&amp;$E160&amp;$I160,PMsheet!$J:$K,2,0),0),(_xlfn.IFNA(VLOOKUP($A160&amp;$E160&amp;$I160,PMsheet!$J:$K,2,0),0)*'Master Data'!$D$2))</f>
        <v>0</v>
      </c>
      <c r="X160" s="441"/>
      <c r="Y160" s="441"/>
      <c r="Z160" s="441"/>
      <c r="AA160" s="441"/>
      <c r="AB160" s="481">
        <f>SUM('C19RM 2021-Pharma'!$X160:$AA160)</f>
        <v>0</v>
      </c>
      <c r="AC160" s="483">
        <f>IF(SETUP!$E$7="USD",(AB160*(IF(O160="USD",W160,(W160/'Master Data'!$D$2)))),(AB160*(IF(O160="EUR",W160,(W160*'Master Data'!$D$2)))))</f>
        <v>0</v>
      </c>
      <c r="AD160" s="444">
        <f>IF($O160="USD",_xlfn.IFNA(VLOOKUP($A160&amp;$E160&amp;$I160,PMsheet!$J:$K,2,0),0),(_xlfn.IFNA(VLOOKUP($A160&amp;$E160&amp;$I160,PMsheet!$J:$K,2,0),0)*'Master Data'!$E$2))</f>
        <v>0</v>
      </c>
      <c r="AE160" s="441"/>
      <c r="AF160" s="441"/>
      <c r="AG160" s="441"/>
      <c r="AH160" s="441"/>
      <c r="AI160" s="481">
        <f>SUM('C19RM 2021-Pharma'!$AE160:$AH160)</f>
        <v>0</v>
      </c>
      <c r="AJ160" s="483">
        <f>IF(SETUP!$E$7="USD",(AI160*(IF(O160="USD",AD160,(AD160/'Master Data'!$E$2)))),(AI160*(IF(O160="EUR",AD160,(AD160*'Master Data'!$E$2)))))</f>
        <v>0</v>
      </c>
      <c r="AK160" s="444">
        <f>IF($O160="USD",_xlfn.IFNA(VLOOKUP($A160&amp;$E160&amp;$I160,PMsheet!$J:$K,2,0),0),(_xlfn.IFNA(VLOOKUP($A160&amp;$E160&amp;$I160,PMsheet!$J:$K,2,0),0)*'Master Data'!$F$2))</f>
        <v>0</v>
      </c>
      <c r="AL160" s="441"/>
      <c r="AM160" s="441"/>
      <c r="AN160" s="441"/>
      <c r="AO160" s="441"/>
      <c r="AP160" s="512">
        <f>SUM('C19RM 2021-Pharma'!$AL160:$AO160)</f>
        <v>0</v>
      </c>
      <c r="AQ160" s="513">
        <f>IF(SETUP!$E$7="USD",(AP160*(IF(O160="USD",AK160,(AK160/'Master Data'!$F$2)))),(AP160*(IF(O160="EUR",AK160,(AK160*'Master Data'!$F$2)))))</f>
        <v>0</v>
      </c>
      <c r="AR160" s="520"/>
      <c r="AS160" s="512"/>
      <c r="AT160" s="512"/>
      <c r="AU160" s="512"/>
      <c r="AV160" s="512"/>
      <c r="AW160" s="512"/>
      <c r="AX160" s="513"/>
      <c r="AY160" s="512"/>
      <c r="AZ160" s="512"/>
      <c r="BA160" s="512"/>
      <c r="BB160" s="512"/>
      <c r="BC160" s="512"/>
      <c r="BD160" s="512"/>
      <c r="BE160" s="512"/>
      <c r="BF160" s="520">
        <f>'C19RM 2021-Pharma'!$U160+'C19RM 2021-Pharma'!$AB160+'C19RM 2021-Pharma'!$AP160++'C19RM 2021-Pharma'!$AI160</f>
        <v>0</v>
      </c>
      <c r="BG160" s="513">
        <f>'C19RM 2021-Pharma'!$V160+'C19RM 2021-Pharma'!$AC160+'C19RM 2021-Pharma'!$AQ160+'C19RM 2021-Pharma'!$AJ160</f>
        <v>0</v>
      </c>
      <c r="BH160" s="500" t="str" cm="1">
        <f t="array" ref="BH160">IF(A160&lt;&gt;"",IFERROR(INDEX(PMtbl[[WKst]:[Unit of measure*]],MATCH($A$115&amp;$A160&amp;$E160&amp;$I160,INDEX(PMtbl[Sec]&amp;PMtbl[Category]&amp;PMtbl[Each]&amp;PMtbl[Packaging],0,),0),12),""),"")</f>
        <v/>
      </c>
      <c r="BI160" s="819"/>
      <c r="BJ160" s="502" t="str" cm="1">
        <f t="array" ref="BJ160">IFERROR(INDEX(SETUP!$C$19:$G$121,MATCH((INDEX(PMtbl[[WKst]:[Unit of measure*]],MATCH($A160&amp;$E160&amp;$I160,INDEX(PMtbl[Category]&amp;PMtbl[Each]&amp;PMtbl[Packaging],0,),0),3)),SETUP!$D$19:$D$121,0),5),"")</f>
        <v/>
      </c>
      <c r="BK160" s="438" t="str" cm="1">
        <f t="array" ref="BK160">IFERROR(IF((INDEX(SETUP!$C$19:$G$121,MATCH((INDEX(PMtbl[[WKst]:[Unit of measure*]],MATCH($A160&amp;$E160&amp;$I160,INDEX(PMtbl[Category]&amp;PMtbl[Each]&amp;PMtbl[Packaging],0,),0),3)),SETUP!$D$19:$D$121,0),4))="Upfront",0,INDEX(SETUP!$C$19:$G$121,MATCH((INDEX(PMtbl[[WKst]:[Unit of measure*]],MATCH($A160&amp;$E160&amp;$I160,INDEX(PMtbl[Category]&amp;PMtbl[Each]&amp;PMtbl[Packaging],0,),0),3)),SETUP!$D$19:$D$121,0),5)),"")</f>
        <v/>
      </c>
      <c r="BL160" s="196" t="str" cm="1">
        <f t="array" ref="BL160">IF(E160&lt;&gt;"",IFERROR(INDEX(PMtbl[[WKst]:[Unit of measure*]],MATCH($A$115&amp;$A160&amp;$E160&amp;$I160,INDEX(PMtbl[Sec]&amp;PMtbl[Category]&amp;PMtbl[Each]&amp;PMtbl[Packaging],0,),0),11),""),"")</f>
        <v/>
      </c>
      <c r="BO160" s="12">
        <f>IF(N160="",0,IF(SETUP!$E$7="USD",((IF(O160="USD",P160,(P160/'Master Data-C19RM'!$C$2)))),((IF(O160="EUR",P160,(P160*'Master Data-C19RM'!$C$2))))))</f>
        <v>0</v>
      </c>
      <c r="BP160" s="12">
        <f>IF(N160="",0,IF(SETUP!$E$7="USD",((IF(O160="USD",W160,(W160/'Master Data-C19RM'!$D$2)))),((IF(O160="EUR",W160,(W160*'Master Data-C19RM'!$D$2))))))</f>
        <v>0</v>
      </c>
      <c r="BQ160">
        <f>IF(N160="",0,IF(SETUP!$E$7="USD",((IF(O160="USD",AD160,(AD160/'Master Data-C19RM'!$E$2)))),((IF(O160="EUR",AD160,(AD160*'Master Data-C19RM'!$E$2))))))</f>
        <v>0</v>
      </c>
      <c r="BR160">
        <f>IF(N160="",0,IF(SETUP!$E$7="USD",((IF(O160="USD",AK160,(AK160/'Master Data-C19RM'!$F$2)))),((IF(O160="EUR",AK160,(AK160*'Master Data-C19RM'!$F$2))))))</f>
        <v>0</v>
      </c>
      <c r="BU160" s="12">
        <f t="shared" si="7"/>
        <v>0</v>
      </c>
      <c r="BV160" s="142">
        <f t="shared" si="8"/>
        <v>0</v>
      </c>
    </row>
    <row r="161" spans="1:74" hidden="1" x14ac:dyDescent="0.35">
      <c r="A161" s="1172"/>
      <c r="B161" s="1172"/>
      <c r="C161" s="1172"/>
      <c r="D161" s="1172"/>
      <c r="E161" s="1173"/>
      <c r="F161" s="1173"/>
      <c r="G161" s="1173"/>
      <c r="H161" s="1173"/>
      <c r="I161" s="1193"/>
      <c r="J161" s="1193"/>
      <c r="K161" s="1193"/>
      <c r="L161" s="493" t="str" cm="1">
        <f t="array" ref="L161">IF(A161&lt;&gt;"",IFERROR(INDEX(PMtbl[[WKst]:[Unit of measure*]],MATCH($A$115&amp;$A161&amp;$E161&amp;$I161,INDEX(PMtbl[Sec]&amp;PMtbl[Category]&amp;PMtbl[Each]&amp;PMtbl[Packaging],0,),0),14),""),"")</f>
        <v/>
      </c>
      <c r="M161" s="480" t="str">
        <f>IF(L161="","",INDEX(SETUP!$E$20:$E$122,(MATCH(INDEX(PMsheet!$D:$E,MATCH(A161,PMsheet!E:E,0),1),SETUP!$D$20:$D$122,0))))</f>
        <v/>
      </c>
      <c r="N161" s="494">
        <f>IF($O161="USD",_xlfn.IFNA(VLOOKUP(A161&amp;E161&amp;I161,PMsheet!J:K,2,0),0),(_xlfn.IFNA(VLOOKUP(A161&amp;E161&amp;I161,PMsheet!J:K,2,0),0)*'Master Data-C19RM'!$C$2))</f>
        <v>0</v>
      </c>
      <c r="O161" s="495" t="str">
        <f>IF(L161="", "",SETUP!$E$7)</f>
        <v/>
      </c>
      <c r="P161" s="457">
        <f>IF($O161="USD",_xlfn.IFNA(VLOOKUP($A161&amp;$E161&amp;$I161,PMsheet!$J:$K,2,0),0),(_xlfn.IFNA(VLOOKUP($A161&amp;$E161&amp;$I161,PMsheet!$J:$K,2,0),0)*'Master Data'!$C$2))</f>
        <v>0</v>
      </c>
      <c r="Q161" s="440"/>
      <c r="R161" s="440"/>
      <c r="S161" s="440"/>
      <c r="T161" s="440"/>
      <c r="U161" s="482">
        <f>SUM('C19RM 2021-Pharma'!$Q161:$T161)</f>
        <v>0</v>
      </c>
      <c r="V161" s="484">
        <f>IF(SETUP!$E$7="USD",(U161*(IF(O161="USD",P161,(P161/'Master Data'!$C$2)))),(U161*(IF(O161="EUR",P161,(P161*'Master Data'!$C$2)))))</f>
        <v>0</v>
      </c>
      <c r="W161" s="445">
        <f>IF($O161="USD",_xlfn.IFNA(VLOOKUP($A161&amp;$E161&amp;$I161,PMsheet!$J:$K,2,0),0),(_xlfn.IFNA(VLOOKUP($A161&amp;$E161&amp;$I161,PMsheet!$J:$K,2,0),0)*'Master Data'!$D$2))</f>
        <v>0</v>
      </c>
      <c r="X161" s="440"/>
      <c r="Y161" s="440"/>
      <c r="Z161" s="440"/>
      <c r="AA161" s="440"/>
      <c r="AB161" s="482">
        <f>SUM('C19RM 2021-Pharma'!$X161:$AA161)</f>
        <v>0</v>
      </c>
      <c r="AC161" s="484">
        <f>IF(SETUP!$E$7="USD",(AB161*(IF(O161="USD",W161,(W161/'Master Data'!$D$2)))),(AB161*(IF(O161="EUR",W161,(W161*'Master Data'!$D$2)))))</f>
        <v>0</v>
      </c>
      <c r="AD161" s="445">
        <f>IF($O161="USD",_xlfn.IFNA(VLOOKUP($A161&amp;$E161&amp;$I161,PMsheet!$J:$K,2,0),0),(_xlfn.IFNA(VLOOKUP($A161&amp;$E161&amp;$I161,PMsheet!$J:$K,2,0),0)*'Master Data'!$E$2))</f>
        <v>0</v>
      </c>
      <c r="AE161" s="440"/>
      <c r="AF161" s="440"/>
      <c r="AG161" s="440"/>
      <c r="AH161" s="440"/>
      <c r="AI161" s="482">
        <f>SUM('C19RM 2021-Pharma'!$AE161:$AH161)</f>
        <v>0</v>
      </c>
      <c r="AJ161" s="484">
        <f>IF(SETUP!$E$7="USD",(AI161*(IF(O161="USD",AD161,(AD161/'Master Data'!$E$2)))),(AI161*(IF(O161="EUR",AD161,(AD161*'Master Data'!$E$2)))))</f>
        <v>0</v>
      </c>
      <c r="AK161" s="445">
        <f>IF($O161="USD",_xlfn.IFNA(VLOOKUP($A161&amp;$E161&amp;$I161,PMsheet!$J:$K,2,0),0),(_xlfn.IFNA(VLOOKUP($A161&amp;$E161&amp;$I161,PMsheet!$J:$K,2,0),0)*'Master Data'!$F$2))</f>
        <v>0</v>
      </c>
      <c r="AL161" s="440"/>
      <c r="AM161" s="440"/>
      <c r="AN161" s="440"/>
      <c r="AO161" s="440"/>
      <c r="AP161" s="514">
        <f>SUM('C19RM 2021-Pharma'!$AL161:$AO161)</f>
        <v>0</v>
      </c>
      <c r="AQ161" s="515">
        <f>IF(SETUP!$E$7="USD",(AP161*(IF(O161="USD",AK161,(AK161/'Master Data'!$F$2)))),(AP161*(IF(O161="EUR",AK161,(AK161*'Master Data'!$F$2)))))</f>
        <v>0</v>
      </c>
      <c r="AR161" s="521"/>
      <c r="AS161" s="514"/>
      <c r="AT161" s="514"/>
      <c r="AU161" s="514"/>
      <c r="AV161" s="514"/>
      <c r="AW161" s="514"/>
      <c r="AX161" s="515"/>
      <c r="AY161" s="514"/>
      <c r="AZ161" s="514"/>
      <c r="BA161" s="514"/>
      <c r="BB161" s="514"/>
      <c r="BC161" s="514"/>
      <c r="BD161" s="514"/>
      <c r="BE161" s="514"/>
      <c r="BF161" s="521">
        <f>'C19RM 2021-Pharma'!$U161+'C19RM 2021-Pharma'!$AB161+'C19RM 2021-Pharma'!$AP161++'C19RM 2021-Pharma'!$AI161</f>
        <v>0</v>
      </c>
      <c r="BG161" s="515">
        <f>'C19RM 2021-Pharma'!$V161+'C19RM 2021-Pharma'!$AC161+'C19RM 2021-Pharma'!$AQ161+'C19RM 2021-Pharma'!$AJ161</f>
        <v>0</v>
      </c>
      <c r="BH161" s="522" t="str" cm="1">
        <f t="array" ref="BH161">IF(A161&lt;&gt;"",IFERROR(INDEX(PMtbl[[WKst]:[Unit of measure*]],MATCH($A$115&amp;$A161&amp;$E161&amp;$I161,INDEX(PMtbl[Sec]&amp;PMtbl[Category]&amp;PMtbl[Each]&amp;PMtbl[Packaging],0,),0),12),""),"")</f>
        <v/>
      </c>
      <c r="BI161" s="818"/>
      <c r="BJ161" s="503" t="str" cm="1">
        <f t="array" ref="BJ161">IFERROR(INDEX(SETUP!$C$19:$G$121,MATCH((INDEX(PMtbl[[WKst]:[Unit of measure*]],MATCH($A161&amp;$E161&amp;$I161,INDEX(PMtbl[Category]&amp;PMtbl[Each]&amp;PMtbl[Packaging],0,),0),3)),SETUP!$D$19:$D$121,0),5),"")</f>
        <v/>
      </c>
      <c r="BK161" s="439" t="str" cm="1">
        <f t="array" ref="BK161">IFERROR(IF((INDEX(SETUP!$C$19:$G$121,MATCH((INDEX(PMtbl[[WKst]:[Unit of measure*]],MATCH($A161&amp;$E161&amp;$I161,INDEX(PMtbl[Category]&amp;PMtbl[Each]&amp;PMtbl[Packaging],0,),0),3)),SETUP!$D$19:$D$121,0),4))="Upfront",0,INDEX(SETUP!$C$19:$G$121,MATCH((INDEX(PMtbl[[WKst]:[Unit of measure*]],MATCH($A161&amp;$E161&amp;$I161,INDEX(PMtbl[Category]&amp;PMtbl[Each]&amp;PMtbl[Packaging],0,),0),3)),SETUP!$D$19:$D$121,0),5)),"")</f>
        <v/>
      </c>
      <c r="BL161" s="197" t="str" cm="1">
        <f t="array" ref="BL161">IF(E161&lt;&gt;"",IFERROR(INDEX(PMtbl[[WKst]:[Unit of measure*]],MATCH($A$115&amp;$A161&amp;$E161&amp;$I161,INDEX(PMtbl[Sec]&amp;PMtbl[Category]&amp;PMtbl[Each]&amp;PMtbl[Packaging],0,),0),11),""),"")</f>
        <v/>
      </c>
      <c r="BO161" s="12">
        <f>IF(N161="",0,IF(SETUP!$E$7="USD",((IF(O161="USD",P161,(P161/'Master Data-C19RM'!$C$2)))),((IF(O161="EUR",P161,(P161*'Master Data-C19RM'!$C$2))))))</f>
        <v>0</v>
      </c>
      <c r="BP161" s="12">
        <f>IF(N161="",0,IF(SETUP!$E$7="USD",((IF(O161="USD",W161,(W161/'Master Data-C19RM'!$D$2)))),((IF(O161="EUR",W161,(W161*'Master Data-C19RM'!$D$2))))))</f>
        <v>0</v>
      </c>
      <c r="BQ161">
        <f>IF(N161="",0,IF(SETUP!$E$7="USD",((IF(O161="USD",AD161,(AD161/'Master Data-C19RM'!$E$2)))),((IF(O161="EUR",AD161,(AD161*'Master Data-C19RM'!$E$2))))))</f>
        <v>0</v>
      </c>
      <c r="BR161">
        <f>IF(N161="",0,IF(SETUP!$E$7="USD",((IF(O161="USD",AK161,(AK161/'Master Data-C19RM'!$F$2)))),((IF(O161="EUR",AK161,(AK161*'Master Data-C19RM'!$F$2))))))</f>
        <v>0</v>
      </c>
      <c r="BU161" s="12">
        <f t="shared" si="7"/>
        <v>0</v>
      </c>
      <c r="BV161" s="142">
        <f t="shared" si="8"/>
        <v>0</v>
      </c>
    </row>
    <row r="162" spans="1:74" hidden="1" x14ac:dyDescent="0.35">
      <c r="A162" s="1165"/>
      <c r="B162" s="1165"/>
      <c r="C162" s="1165"/>
      <c r="D162" s="1165"/>
      <c r="E162" s="1166"/>
      <c r="F162" s="1166"/>
      <c r="G162" s="1166"/>
      <c r="H162" s="1166"/>
      <c r="I162" s="1166"/>
      <c r="J162" s="1166"/>
      <c r="K162" s="1166"/>
      <c r="L162" s="490" t="str" cm="1">
        <f t="array" ref="L162">IF(A162&lt;&gt;"",IFERROR(INDEX(PMtbl[[WKst]:[Unit of measure*]],MATCH($A$115&amp;$A162&amp;$E162&amp;$I162,INDEX(PMtbl[Sec]&amp;PMtbl[Category]&amp;PMtbl[Each]&amp;PMtbl[Packaging],0,),0),14),""),"")</f>
        <v/>
      </c>
      <c r="M162" s="479" t="str">
        <f>IF(L162="","",INDEX(SETUP!$E$20:$E$122,(MATCH(INDEX(PMsheet!$D:$E,MATCH(A162,PMsheet!E:E,0),1),SETUP!$D$20:$D$122,0))))</f>
        <v/>
      </c>
      <c r="N162" s="496">
        <f>IF($O162="USD",_xlfn.IFNA(VLOOKUP(A162&amp;E162&amp;I162,PMsheet!J:K,2,0),0),(_xlfn.IFNA(VLOOKUP(A162&amp;E162&amp;I162,PMsheet!J:K,2,0),0)*'Master Data-C19RM'!$C$2))</f>
        <v>0</v>
      </c>
      <c r="O162" s="492" t="str">
        <f>IF(L162="", "",SETUP!$E$7)</f>
        <v/>
      </c>
      <c r="P162" s="456">
        <f>IF($O162="USD",_xlfn.IFNA(VLOOKUP($A162&amp;$E162&amp;$I162,PMsheet!$J:$K,2,0),0),(_xlfn.IFNA(VLOOKUP($A162&amp;$E162&amp;$I162,PMsheet!$J:$K,2,0),0)*'Master Data'!$C$2))</f>
        <v>0</v>
      </c>
      <c r="Q162" s="441"/>
      <c r="R162" s="441"/>
      <c r="S162" s="441"/>
      <c r="T162" s="441"/>
      <c r="U162" s="481">
        <f>SUM('C19RM 2021-Pharma'!$Q162:$T162)</f>
        <v>0</v>
      </c>
      <c r="V162" s="483">
        <f>IF(SETUP!$E$7="USD",(U162*(IF(O162="USD",P162,(P162/'Master Data'!$C$2)))),(U162*(IF(O162="EUR",P162,(P162*'Master Data'!$C$2)))))</f>
        <v>0</v>
      </c>
      <c r="W162" s="444">
        <f>IF($O162="USD",_xlfn.IFNA(VLOOKUP($A162&amp;$E162&amp;$I162,PMsheet!$J:$K,2,0),0),(_xlfn.IFNA(VLOOKUP($A162&amp;$E162&amp;$I162,PMsheet!$J:$K,2,0),0)*'Master Data'!$D$2))</f>
        <v>0</v>
      </c>
      <c r="X162" s="441"/>
      <c r="Y162" s="441"/>
      <c r="Z162" s="441"/>
      <c r="AA162" s="441"/>
      <c r="AB162" s="481">
        <f>SUM('C19RM 2021-Pharma'!$X162:$AA162)</f>
        <v>0</v>
      </c>
      <c r="AC162" s="483">
        <f>IF(SETUP!$E$7="USD",(AB162*(IF(O162="USD",W162,(W162/'Master Data'!$D$2)))),(AB162*(IF(O162="EUR",W162,(W162*'Master Data'!$D$2)))))</f>
        <v>0</v>
      </c>
      <c r="AD162" s="444">
        <f>IF($O162="USD",_xlfn.IFNA(VLOOKUP($A162&amp;$E162&amp;$I162,PMsheet!$J:$K,2,0),0),(_xlfn.IFNA(VLOOKUP($A162&amp;$E162&amp;$I162,PMsheet!$J:$K,2,0),0)*'Master Data'!$E$2))</f>
        <v>0</v>
      </c>
      <c r="AE162" s="441"/>
      <c r="AF162" s="441"/>
      <c r="AG162" s="441"/>
      <c r="AH162" s="441"/>
      <c r="AI162" s="481">
        <f>SUM('C19RM 2021-Pharma'!$AE162:$AH162)</f>
        <v>0</v>
      </c>
      <c r="AJ162" s="483">
        <f>IF(SETUP!$E$7="USD",(AI162*(IF(O162="USD",AD162,(AD162/'Master Data'!$E$2)))),(AI162*(IF(O162="EUR",AD162,(AD162*'Master Data'!$E$2)))))</f>
        <v>0</v>
      </c>
      <c r="AK162" s="444">
        <f>IF($O162="USD",_xlfn.IFNA(VLOOKUP($A162&amp;$E162&amp;$I162,PMsheet!$J:$K,2,0),0),(_xlfn.IFNA(VLOOKUP($A162&amp;$E162&amp;$I162,PMsheet!$J:$K,2,0),0)*'Master Data'!$F$2))</f>
        <v>0</v>
      </c>
      <c r="AL162" s="441"/>
      <c r="AM162" s="441"/>
      <c r="AN162" s="441"/>
      <c r="AO162" s="441"/>
      <c r="AP162" s="512">
        <f>SUM('C19RM 2021-Pharma'!$AL162:$AO162)</f>
        <v>0</v>
      </c>
      <c r="AQ162" s="513">
        <f>IF(SETUP!$E$7="USD",(AP162*(IF(O162="USD",AK162,(AK162/'Master Data'!$F$2)))),(AP162*(IF(O162="EUR",AK162,(AK162*'Master Data'!$F$2)))))</f>
        <v>0</v>
      </c>
      <c r="AR162" s="520"/>
      <c r="AS162" s="512"/>
      <c r="AT162" s="512"/>
      <c r="AU162" s="512"/>
      <c r="AV162" s="512"/>
      <c r="AW162" s="512"/>
      <c r="AX162" s="513"/>
      <c r="AY162" s="512"/>
      <c r="AZ162" s="512"/>
      <c r="BA162" s="512"/>
      <c r="BB162" s="512"/>
      <c r="BC162" s="512"/>
      <c r="BD162" s="512"/>
      <c r="BE162" s="512"/>
      <c r="BF162" s="520">
        <f>'C19RM 2021-Pharma'!$U162+'C19RM 2021-Pharma'!$AB162+'C19RM 2021-Pharma'!$AP162++'C19RM 2021-Pharma'!$AI162</f>
        <v>0</v>
      </c>
      <c r="BG162" s="513">
        <f>'C19RM 2021-Pharma'!$V162+'C19RM 2021-Pharma'!$AC162+'C19RM 2021-Pharma'!$AQ162+'C19RM 2021-Pharma'!$AJ162</f>
        <v>0</v>
      </c>
      <c r="BH162" s="500" t="str" cm="1">
        <f t="array" ref="BH162">IF(A162&lt;&gt;"",IFERROR(INDEX(PMtbl[[WKst]:[Unit of measure*]],MATCH($A$115&amp;$A162&amp;$E162&amp;$I162,INDEX(PMtbl[Sec]&amp;PMtbl[Category]&amp;PMtbl[Each]&amp;PMtbl[Packaging],0,),0),12),""),"")</f>
        <v/>
      </c>
      <c r="BI162" s="819"/>
      <c r="BJ162" s="502" t="str" cm="1">
        <f t="array" ref="BJ162">IFERROR(INDEX(SETUP!$C$19:$G$121,MATCH((INDEX(PMtbl[[WKst]:[Unit of measure*]],MATCH($A162&amp;$E162&amp;$I162,INDEX(PMtbl[Category]&amp;PMtbl[Each]&amp;PMtbl[Packaging],0,),0),3)),SETUP!$D$19:$D$121,0),5),"")</f>
        <v/>
      </c>
      <c r="BK162" s="438" t="str" cm="1">
        <f t="array" ref="BK162">IFERROR(IF((INDEX(SETUP!$C$19:$G$121,MATCH((INDEX(PMtbl[[WKst]:[Unit of measure*]],MATCH($A162&amp;$E162&amp;$I162,INDEX(PMtbl[Category]&amp;PMtbl[Each]&amp;PMtbl[Packaging],0,),0),3)),SETUP!$D$19:$D$121,0),4))="Upfront",0,INDEX(SETUP!$C$19:$G$121,MATCH((INDEX(PMtbl[[WKst]:[Unit of measure*]],MATCH($A162&amp;$E162&amp;$I162,INDEX(PMtbl[Category]&amp;PMtbl[Each]&amp;PMtbl[Packaging],0,),0),3)),SETUP!$D$19:$D$121,0),5)),"")</f>
        <v/>
      </c>
      <c r="BL162" s="196" t="str" cm="1">
        <f t="array" ref="BL162">IF(E162&lt;&gt;"",IFERROR(INDEX(PMtbl[[WKst]:[Unit of measure*]],MATCH($A$115&amp;$A162&amp;$E162&amp;$I162,INDEX(PMtbl[Sec]&amp;PMtbl[Category]&amp;PMtbl[Each]&amp;PMtbl[Packaging],0,),0),11),""),"")</f>
        <v/>
      </c>
      <c r="BO162" s="12">
        <f>IF(N162="",0,IF(SETUP!$E$7="USD",((IF(O162="USD",P162,(P162/'Master Data-C19RM'!$C$2)))),((IF(O162="EUR",P162,(P162*'Master Data-C19RM'!$C$2))))))</f>
        <v>0</v>
      </c>
      <c r="BP162" s="12">
        <f>IF(N162="",0,IF(SETUP!$E$7="USD",((IF(O162="USD",W162,(W162/'Master Data-C19RM'!$D$2)))),((IF(O162="EUR",W162,(W162*'Master Data-C19RM'!$D$2))))))</f>
        <v>0</v>
      </c>
      <c r="BQ162">
        <f>IF(N162="",0,IF(SETUP!$E$7="USD",((IF(O162="USD",AD162,(AD162/'Master Data-C19RM'!$E$2)))),((IF(O162="EUR",AD162,(AD162*'Master Data-C19RM'!$E$2))))))</f>
        <v>0</v>
      </c>
      <c r="BR162">
        <f>IF(N162="",0,IF(SETUP!$E$7="USD",((IF(O162="USD",AK162,(AK162/'Master Data-C19RM'!$F$2)))),((IF(O162="EUR",AK162,(AK162*'Master Data-C19RM'!$F$2))))))</f>
        <v>0</v>
      </c>
      <c r="BU162" s="12">
        <f t="shared" si="7"/>
        <v>0</v>
      </c>
      <c r="BV162" s="142">
        <f t="shared" si="8"/>
        <v>0</v>
      </c>
    </row>
    <row r="163" spans="1:74" hidden="1" x14ac:dyDescent="0.35">
      <c r="A163" s="1172"/>
      <c r="B163" s="1172"/>
      <c r="C163" s="1172"/>
      <c r="D163" s="1172"/>
      <c r="E163" s="1173"/>
      <c r="F163" s="1173"/>
      <c r="G163" s="1173"/>
      <c r="H163" s="1173"/>
      <c r="I163" s="1193"/>
      <c r="J163" s="1193"/>
      <c r="K163" s="1193"/>
      <c r="L163" s="493" t="str" cm="1">
        <f t="array" ref="L163">IF(A163&lt;&gt;"",IFERROR(INDEX(PMtbl[[WKst]:[Unit of measure*]],MATCH($A$115&amp;$A163&amp;$E163&amp;$I163,INDEX(PMtbl[Sec]&amp;PMtbl[Category]&amp;PMtbl[Each]&amp;PMtbl[Packaging],0,),0),14),""),"")</f>
        <v/>
      </c>
      <c r="M163" s="480" t="str">
        <f>IF(L163="","",INDEX(SETUP!$E$20:$E$122,(MATCH(INDEX(PMsheet!$D:$E,MATCH(A163,PMsheet!E:E,0),1),SETUP!$D$20:$D$122,0))))</f>
        <v/>
      </c>
      <c r="N163" s="494">
        <f>IF($O163="USD",_xlfn.IFNA(VLOOKUP(A163&amp;E163&amp;I163,PMsheet!J:K,2,0),0),(_xlfn.IFNA(VLOOKUP(A163&amp;E163&amp;I163,PMsheet!J:K,2,0),0)*'Master Data-C19RM'!$C$2))</f>
        <v>0</v>
      </c>
      <c r="O163" s="495" t="str">
        <f>IF(L163="", "",SETUP!$E$7)</f>
        <v/>
      </c>
      <c r="P163" s="457">
        <f>IF($O163="USD",_xlfn.IFNA(VLOOKUP($A163&amp;$E163&amp;$I163,PMsheet!$J:$K,2,0),0),(_xlfn.IFNA(VLOOKUP($A163&amp;$E163&amp;$I163,PMsheet!$J:$K,2,0),0)*'Master Data'!$C$2))</f>
        <v>0</v>
      </c>
      <c r="Q163" s="440"/>
      <c r="R163" s="440"/>
      <c r="S163" s="440"/>
      <c r="T163" s="440"/>
      <c r="U163" s="482">
        <f>SUM('C19RM 2021-Pharma'!$Q163:$T163)</f>
        <v>0</v>
      </c>
      <c r="V163" s="484">
        <f>IF(SETUP!$E$7="USD",(U163*(IF(O163="USD",P163,(P163/'Master Data'!$C$2)))),(U163*(IF(O163="EUR",P163,(P163*'Master Data'!$C$2)))))</f>
        <v>0</v>
      </c>
      <c r="W163" s="445">
        <f>IF($O163="USD",_xlfn.IFNA(VLOOKUP($A163&amp;$E163&amp;$I163,PMsheet!$J:$K,2,0),0),(_xlfn.IFNA(VLOOKUP($A163&amp;$E163&amp;$I163,PMsheet!$J:$K,2,0),0)*'Master Data'!$D$2))</f>
        <v>0</v>
      </c>
      <c r="X163" s="440"/>
      <c r="Y163" s="440"/>
      <c r="Z163" s="440"/>
      <c r="AA163" s="440"/>
      <c r="AB163" s="482">
        <f>SUM('C19RM 2021-Pharma'!$X163:$AA163)</f>
        <v>0</v>
      </c>
      <c r="AC163" s="484">
        <f>IF(SETUP!$E$7="USD",(AB163*(IF(O163="USD",W163,(W163/'Master Data'!$D$2)))),(AB163*(IF(O163="EUR",W163,(W163*'Master Data'!$D$2)))))</f>
        <v>0</v>
      </c>
      <c r="AD163" s="445">
        <f>IF($O163="USD",_xlfn.IFNA(VLOOKUP($A163&amp;$E163&amp;$I163,PMsheet!$J:$K,2,0),0),(_xlfn.IFNA(VLOOKUP($A163&amp;$E163&amp;$I163,PMsheet!$J:$K,2,0),0)*'Master Data'!$E$2))</f>
        <v>0</v>
      </c>
      <c r="AE163" s="440"/>
      <c r="AF163" s="440"/>
      <c r="AG163" s="440"/>
      <c r="AH163" s="440"/>
      <c r="AI163" s="482">
        <f>SUM('C19RM 2021-Pharma'!$AE163:$AH163)</f>
        <v>0</v>
      </c>
      <c r="AJ163" s="484">
        <f>IF(SETUP!$E$7="USD",(AI163*(IF(O163="USD",AD163,(AD163/'Master Data'!$E$2)))),(AI163*(IF(O163="EUR",AD163,(AD163*'Master Data'!$E$2)))))</f>
        <v>0</v>
      </c>
      <c r="AK163" s="445">
        <f>IF($O163="USD",_xlfn.IFNA(VLOOKUP($A163&amp;$E163&amp;$I163,PMsheet!$J:$K,2,0),0),(_xlfn.IFNA(VLOOKUP($A163&amp;$E163&amp;$I163,PMsheet!$J:$K,2,0),0)*'Master Data'!$F$2))</f>
        <v>0</v>
      </c>
      <c r="AL163" s="440"/>
      <c r="AM163" s="440"/>
      <c r="AN163" s="440"/>
      <c r="AO163" s="440"/>
      <c r="AP163" s="514">
        <f>SUM('C19RM 2021-Pharma'!$AL163:$AO163)</f>
        <v>0</v>
      </c>
      <c r="AQ163" s="515">
        <f>IF(SETUP!$E$7="USD",(AP163*(IF(O163="USD",AK163,(AK163/'Master Data'!$F$2)))),(AP163*(IF(O163="EUR",AK163,(AK163*'Master Data'!$F$2)))))</f>
        <v>0</v>
      </c>
      <c r="AR163" s="521"/>
      <c r="AS163" s="514"/>
      <c r="AT163" s="514"/>
      <c r="AU163" s="514"/>
      <c r="AV163" s="514"/>
      <c r="AW163" s="514"/>
      <c r="AX163" s="515"/>
      <c r="AY163" s="514"/>
      <c r="AZ163" s="514"/>
      <c r="BA163" s="514"/>
      <c r="BB163" s="514"/>
      <c r="BC163" s="514"/>
      <c r="BD163" s="514"/>
      <c r="BE163" s="514"/>
      <c r="BF163" s="521">
        <f>'C19RM 2021-Pharma'!$U163+'C19RM 2021-Pharma'!$AB163+'C19RM 2021-Pharma'!$AP163++'C19RM 2021-Pharma'!$AI163</f>
        <v>0</v>
      </c>
      <c r="BG163" s="515">
        <f>'C19RM 2021-Pharma'!$V163+'C19RM 2021-Pharma'!$AC163+'C19RM 2021-Pharma'!$AQ163+'C19RM 2021-Pharma'!$AJ163</f>
        <v>0</v>
      </c>
      <c r="BH163" s="522" t="str" cm="1">
        <f t="array" ref="BH163">IF(A163&lt;&gt;"",IFERROR(INDEX(PMtbl[[WKst]:[Unit of measure*]],MATCH($A$115&amp;$A163&amp;$E163&amp;$I163,INDEX(PMtbl[Sec]&amp;PMtbl[Category]&amp;PMtbl[Each]&amp;PMtbl[Packaging],0,),0),12),""),"")</f>
        <v/>
      </c>
      <c r="BI163" s="818"/>
      <c r="BJ163" s="503" t="str" cm="1">
        <f t="array" ref="BJ163">IFERROR(INDEX(SETUP!$C$19:$G$121,MATCH((INDEX(PMtbl[[WKst]:[Unit of measure*]],MATCH($A163&amp;$E163&amp;$I163,INDEX(PMtbl[Category]&amp;PMtbl[Each]&amp;PMtbl[Packaging],0,),0),3)),SETUP!$D$19:$D$121,0),5),"")</f>
        <v/>
      </c>
      <c r="BK163" s="439" t="str" cm="1">
        <f t="array" ref="BK163">IFERROR(IF((INDEX(SETUP!$C$19:$G$121,MATCH((INDEX(PMtbl[[WKst]:[Unit of measure*]],MATCH($A163&amp;$E163&amp;$I163,INDEX(PMtbl[Category]&amp;PMtbl[Each]&amp;PMtbl[Packaging],0,),0),3)),SETUP!$D$19:$D$121,0),4))="Upfront",0,INDEX(SETUP!$C$19:$G$121,MATCH((INDEX(PMtbl[[WKst]:[Unit of measure*]],MATCH($A163&amp;$E163&amp;$I163,INDEX(PMtbl[Category]&amp;PMtbl[Each]&amp;PMtbl[Packaging],0,),0),3)),SETUP!$D$19:$D$121,0),5)),"")</f>
        <v/>
      </c>
      <c r="BL163" s="197" t="str" cm="1">
        <f t="array" ref="BL163">IF(E163&lt;&gt;"",IFERROR(INDEX(PMtbl[[WKst]:[Unit of measure*]],MATCH($A$115&amp;$A163&amp;$E163&amp;$I163,INDEX(PMtbl[Sec]&amp;PMtbl[Category]&amp;PMtbl[Each]&amp;PMtbl[Packaging],0,),0),11),""),"")</f>
        <v/>
      </c>
      <c r="BO163" s="12">
        <f>IF(N163="",0,IF(SETUP!$E$7="USD",((IF(O163="USD",P163,(P163/'Master Data-C19RM'!$C$2)))),((IF(O163="EUR",P163,(P163*'Master Data-C19RM'!$C$2))))))</f>
        <v>0</v>
      </c>
      <c r="BP163" s="12">
        <f>IF(N163="",0,IF(SETUP!$E$7="USD",((IF(O163="USD",W163,(W163/'Master Data-C19RM'!$D$2)))),((IF(O163="EUR",W163,(W163*'Master Data-C19RM'!$D$2))))))</f>
        <v>0</v>
      </c>
      <c r="BQ163">
        <f>IF(N163="",0,IF(SETUP!$E$7="USD",((IF(O163="USD",AD163,(AD163/'Master Data-C19RM'!$E$2)))),((IF(O163="EUR",AD163,(AD163*'Master Data-C19RM'!$E$2))))))</f>
        <v>0</v>
      </c>
      <c r="BR163">
        <f>IF(N163="",0,IF(SETUP!$E$7="USD",((IF(O163="USD",AK163,(AK163/'Master Data-C19RM'!$F$2)))),((IF(O163="EUR",AK163,(AK163*'Master Data-C19RM'!$F$2))))))</f>
        <v>0</v>
      </c>
      <c r="BU163" s="12">
        <f t="shared" si="7"/>
        <v>0</v>
      </c>
      <c r="BV163" s="142">
        <f t="shared" si="8"/>
        <v>0</v>
      </c>
    </row>
    <row r="164" spans="1:74" hidden="1" x14ac:dyDescent="0.35">
      <c r="A164" s="1165"/>
      <c r="B164" s="1165"/>
      <c r="C164" s="1165"/>
      <c r="D164" s="1165"/>
      <c r="E164" s="1166"/>
      <c r="F164" s="1166"/>
      <c r="G164" s="1166"/>
      <c r="H164" s="1166"/>
      <c r="I164" s="1166"/>
      <c r="J164" s="1166"/>
      <c r="K164" s="1166"/>
      <c r="L164" s="490" t="str" cm="1">
        <f t="array" ref="L164">IF(A164&lt;&gt;"",IFERROR(INDEX(PMtbl[[WKst]:[Unit of measure*]],MATCH($A$115&amp;$A164&amp;$E164&amp;$I164,INDEX(PMtbl[Sec]&amp;PMtbl[Category]&amp;PMtbl[Each]&amp;PMtbl[Packaging],0,),0),14),""),"")</f>
        <v/>
      </c>
      <c r="M164" s="479" t="str">
        <f>IF(L164="","",INDEX(SETUP!$E$20:$E$122,(MATCH(INDEX(PMsheet!$D:$E,MATCH(A164,PMsheet!E:E,0),1),SETUP!$D$20:$D$122,0))))</f>
        <v/>
      </c>
      <c r="N164" s="496">
        <f>IF($O164="USD",_xlfn.IFNA(VLOOKUP(A164&amp;E164&amp;I164,PMsheet!J:K,2,0),0),(_xlfn.IFNA(VLOOKUP(A164&amp;E164&amp;I164,PMsheet!J:K,2,0),0)*'Master Data-C19RM'!$C$2))</f>
        <v>0</v>
      </c>
      <c r="O164" s="492" t="str">
        <f>IF(L164="", "",SETUP!$E$7)</f>
        <v/>
      </c>
      <c r="P164" s="456">
        <f>IF($O164="USD",_xlfn.IFNA(VLOOKUP($A164&amp;$E164&amp;$I164,PMsheet!$J:$K,2,0),0),(_xlfn.IFNA(VLOOKUP($A164&amp;$E164&amp;$I164,PMsheet!$J:$K,2,0),0)*'Master Data'!$C$2))</f>
        <v>0</v>
      </c>
      <c r="Q164" s="441"/>
      <c r="R164" s="441"/>
      <c r="S164" s="441"/>
      <c r="T164" s="441"/>
      <c r="U164" s="481">
        <f>SUM('C19RM 2021-Pharma'!$Q164:$T164)</f>
        <v>0</v>
      </c>
      <c r="V164" s="483">
        <f>IF(SETUP!$E$7="USD",(U164*(IF(O164="USD",P164,(P164/'Master Data'!$C$2)))),(U164*(IF(O164="EUR",P164,(P164*'Master Data'!$C$2)))))</f>
        <v>0</v>
      </c>
      <c r="W164" s="444">
        <f>IF($O164="USD",_xlfn.IFNA(VLOOKUP($A164&amp;$E164&amp;$I164,PMsheet!$J:$K,2,0),0),(_xlfn.IFNA(VLOOKUP($A164&amp;$E164&amp;$I164,PMsheet!$J:$K,2,0),0)*'Master Data'!$D$2))</f>
        <v>0</v>
      </c>
      <c r="X164" s="441"/>
      <c r="Y164" s="441"/>
      <c r="Z164" s="441"/>
      <c r="AA164" s="441"/>
      <c r="AB164" s="481">
        <f>SUM('C19RM 2021-Pharma'!$X164:$AA164)</f>
        <v>0</v>
      </c>
      <c r="AC164" s="483">
        <f>IF(SETUP!$E$7="USD",(AB164*(IF(O164="USD",W164,(W164/'Master Data'!$D$2)))),(AB164*(IF(O164="EUR",W164,(W164*'Master Data'!$D$2)))))</f>
        <v>0</v>
      </c>
      <c r="AD164" s="444">
        <f>IF($O164="USD",_xlfn.IFNA(VLOOKUP($A164&amp;$E164&amp;$I164,PMsheet!$J:$K,2,0),0),(_xlfn.IFNA(VLOOKUP($A164&amp;$E164&amp;$I164,PMsheet!$J:$K,2,0),0)*'Master Data'!$E$2))</f>
        <v>0</v>
      </c>
      <c r="AE164" s="441"/>
      <c r="AF164" s="441"/>
      <c r="AG164" s="441"/>
      <c r="AH164" s="441"/>
      <c r="AI164" s="481">
        <f>SUM('C19RM 2021-Pharma'!$AE164:$AH164)</f>
        <v>0</v>
      </c>
      <c r="AJ164" s="483">
        <f>IF(SETUP!$E$7="USD",(AI164*(IF(O164="USD",AD164,(AD164/'Master Data'!$E$2)))),(AI164*(IF(O164="EUR",AD164,(AD164*'Master Data'!$E$2)))))</f>
        <v>0</v>
      </c>
      <c r="AK164" s="444">
        <f>IF($O164="USD",_xlfn.IFNA(VLOOKUP($A164&amp;$E164&amp;$I164,PMsheet!$J:$K,2,0),0),(_xlfn.IFNA(VLOOKUP($A164&amp;$E164&amp;$I164,PMsheet!$J:$K,2,0),0)*'Master Data'!$F$2))</f>
        <v>0</v>
      </c>
      <c r="AL164" s="441"/>
      <c r="AM164" s="441"/>
      <c r="AN164" s="441"/>
      <c r="AO164" s="441"/>
      <c r="AP164" s="512">
        <f>SUM('C19RM 2021-Pharma'!$AL164:$AO164)</f>
        <v>0</v>
      </c>
      <c r="AQ164" s="513">
        <f>IF(SETUP!$E$7="USD",(AP164*(IF(O164="USD",AK164,(AK164/'Master Data'!$F$2)))),(AP164*(IF(O164="EUR",AK164,(AK164*'Master Data'!$F$2)))))</f>
        <v>0</v>
      </c>
      <c r="AR164" s="520"/>
      <c r="AS164" s="512"/>
      <c r="AT164" s="512"/>
      <c r="AU164" s="512"/>
      <c r="AV164" s="512"/>
      <c r="AW164" s="512"/>
      <c r="AX164" s="513"/>
      <c r="AY164" s="512"/>
      <c r="AZ164" s="512"/>
      <c r="BA164" s="512"/>
      <c r="BB164" s="512"/>
      <c r="BC164" s="512"/>
      <c r="BD164" s="512"/>
      <c r="BE164" s="512"/>
      <c r="BF164" s="520">
        <f>'C19RM 2021-Pharma'!$U164+'C19RM 2021-Pharma'!$AB164+'C19RM 2021-Pharma'!$AP164++'C19RM 2021-Pharma'!$AI164</f>
        <v>0</v>
      </c>
      <c r="BG164" s="513">
        <f>'C19RM 2021-Pharma'!$V164+'C19RM 2021-Pharma'!$AC164+'C19RM 2021-Pharma'!$AQ164+'C19RM 2021-Pharma'!$AJ164</f>
        <v>0</v>
      </c>
      <c r="BH164" s="500" t="str" cm="1">
        <f t="array" ref="BH164">IF(A164&lt;&gt;"",IFERROR(INDEX(PMtbl[[WKst]:[Unit of measure*]],MATCH($A$115&amp;$A164&amp;$E164&amp;$I164,INDEX(PMtbl[Sec]&amp;PMtbl[Category]&amp;PMtbl[Each]&amp;PMtbl[Packaging],0,),0),12),""),"")</f>
        <v/>
      </c>
      <c r="BI164" s="819"/>
      <c r="BJ164" s="502" t="str" cm="1">
        <f t="array" ref="BJ164">IFERROR(INDEX(SETUP!$C$19:$G$121,MATCH((INDEX(PMtbl[[WKst]:[Unit of measure*]],MATCH($A164&amp;$E164&amp;$I164,INDEX(PMtbl[Category]&amp;PMtbl[Each]&amp;PMtbl[Packaging],0,),0),3)),SETUP!$D$19:$D$121,0),5),"")</f>
        <v/>
      </c>
      <c r="BK164" s="438" t="str" cm="1">
        <f t="array" ref="BK164">IFERROR(IF((INDEX(SETUP!$C$19:$G$121,MATCH((INDEX(PMtbl[[WKst]:[Unit of measure*]],MATCH($A164&amp;$E164&amp;$I164,INDEX(PMtbl[Category]&amp;PMtbl[Each]&amp;PMtbl[Packaging],0,),0),3)),SETUP!$D$19:$D$121,0),4))="Upfront",0,INDEX(SETUP!$C$19:$G$121,MATCH((INDEX(PMtbl[[WKst]:[Unit of measure*]],MATCH($A164&amp;$E164&amp;$I164,INDEX(PMtbl[Category]&amp;PMtbl[Each]&amp;PMtbl[Packaging],0,),0),3)),SETUP!$D$19:$D$121,0),5)),"")</f>
        <v/>
      </c>
      <c r="BL164" s="196" t="str" cm="1">
        <f t="array" ref="BL164">IF(E164&lt;&gt;"",IFERROR(INDEX(PMtbl[[WKst]:[Unit of measure*]],MATCH($A$115&amp;$A164&amp;$E164&amp;$I164,INDEX(PMtbl[Sec]&amp;PMtbl[Category]&amp;PMtbl[Each]&amp;PMtbl[Packaging],0,),0),11),""),"")</f>
        <v/>
      </c>
      <c r="BO164" s="12">
        <f>IF(N164="",0,IF(SETUP!$E$7="USD",((IF(O164="USD",P164,(P164/'Master Data-C19RM'!$C$2)))),((IF(O164="EUR",P164,(P164*'Master Data-C19RM'!$C$2))))))</f>
        <v>0</v>
      </c>
      <c r="BP164" s="12">
        <f>IF(N164="",0,IF(SETUP!$E$7="USD",((IF(O164="USD",W164,(W164/'Master Data-C19RM'!$D$2)))),((IF(O164="EUR",W164,(W164*'Master Data-C19RM'!$D$2))))))</f>
        <v>0</v>
      </c>
      <c r="BQ164">
        <f>IF(N164="",0,IF(SETUP!$E$7="USD",((IF(O164="USD",AD164,(AD164/'Master Data-C19RM'!$E$2)))),((IF(O164="EUR",AD164,(AD164*'Master Data-C19RM'!$E$2))))))</f>
        <v>0</v>
      </c>
      <c r="BR164">
        <f>IF(N164="",0,IF(SETUP!$E$7="USD",((IF(O164="USD",AK164,(AK164/'Master Data-C19RM'!$F$2)))),((IF(O164="EUR",AK164,(AK164*'Master Data-C19RM'!$F$2))))))</f>
        <v>0</v>
      </c>
      <c r="BU164" s="12">
        <f t="shared" si="7"/>
        <v>0</v>
      </c>
      <c r="BV164" s="142">
        <f t="shared" si="8"/>
        <v>0</v>
      </c>
    </row>
    <row r="165" spans="1:74" hidden="1" x14ac:dyDescent="0.35">
      <c r="A165" s="1172"/>
      <c r="B165" s="1172"/>
      <c r="C165" s="1172"/>
      <c r="D165" s="1172"/>
      <c r="E165" s="1173"/>
      <c r="F165" s="1173"/>
      <c r="G165" s="1173"/>
      <c r="H165" s="1173"/>
      <c r="I165" s="1193"/>
      <c r="J165" s="1193"/>
      <c r="K165" s="1193"/>
      <c r="L165" s="493" t="str" cm="1">
        <f t="array" ref="L165">IF(A165&lt;&gt;"",IFERROR(INDEX(PMtbl[[WKst]:[Unit of measure*]],MATCH($A$115&amp;$A165&amp;$E165&amp;$I165,INDEX(PMtbl[Sec]&amp;PMtbl[Category]&amp;PMtbl[Each]&amp;PMtbl[Packaging],0,),0),14),""),"")</f>
        <v/>
      </c>
      <c r="M165" s="480" t="str">
        <f>IF(L165="","",INDEX(SETUP!$E$20:$E$122,(MATCH(INDEX(PMsheet!$D:$E,MATCH(A165,PMsheet!E:E,0),1),SETUP!$D$20:$D$122,0))))</f>
        <v/>
      </c>
      <c r="N165" s="494">
        <f>IF($O165="USD",_xlfn.IFNA(VLOOKUP(A165&amp;E165&amp;I165,PMsheet!J:K,2,0),0),(_xlfn.IFNA(VLOOKUP(A165&amp;E165&amp;I165,PMsheet!J:K,2,0),0)*'Master Data-C19RM'!$C$2))</f>
        <v>0</v>
      </c>
      <c r="O165" s="495" t="str">
        <f>IF(L165="", "",SETUP!$E$7)</f>
        <v/>
      </c>
      <c r="P165" s="457">
        <f>IF($O165="USD",_xlfn.IFNA(VLOOKUP($A165&amp;$E165&amp;$I165,PMsheet!$J:$K,2,0),0),(_xlfn.IFNA(VLOOKUP($A165&amp;$E165&amp;$I165,PMsheet!$J:$K,2,0),0)*'Master Data'!$C$2))</f>
        <v>0</v>
      </c>
      <c r="Q165" s="440"/>
      <c r="R165" s="440"/>
      <c r="S165" s="440"/>
      <c r="T165" s="440"/>
      <c r="U165" s="482">
        <f>SUM('C19RM 2021-Pharma'!$Q165:$T165)</f>
        <v>0</v>
      </c>
      <c r="V165" s="484">
        <f>IF(SETUP!$E$7="USD",(U165*(IF(O165="USD",P165,(P165/'Master Data'!$C$2)))),(U165*(IF(O165="EUR",P165,(P165*'Master Data'!$C$2)))))</f>
        <v>0</v>
      </c>
      <c r="W165" s="445">
        <f>IF($O165="USD",_xlfn.IFNA(VLOOKUP($A165&amp;$E165&amp;$I165,PMsheet!$J:$K,2,0),0),(_xlfn.IFNA(VLOOKUP($A165&amp;$E165&amp;$I165,PMsheet!$J:$K,2,0),0)*'Master Data'!$D$2))</f>
        <v>0</v>
      </c>
      <c r="X165" s="440"/>
      <c r="Y165" s="440"/>
      <c r="Z165" s="440"/>
      <c r="AA165" s="440"/>
      <c r="AB165" s="482">
        <f>SUM('C19RM 2021-Pharma'!$X165:$AA165)</f>
        <v>0</v>
      </c>
      <c r="AC165" s="484">
        <f>IF(SETUP!$E$7="USD",(AB165*(IF(O165="USD",W165,(W165/'Master Data'!$D$2)))),(AB165*(IF(O165="EUR",W165,(W165*'Master Data'!$D$2)))))</f>
        <v>0</v>
      </c>
      <c r="AD165" s="445">
        <f>IF($O165="USD",_xlfn.IFNA(VLOOKUP($A165&amp;$E165&amp;$I165,PMsheet!$J:$K,2,0),0),(_xlfn.IFNA(VLOOKUP($A165&amp;$E165&amp;$I165,PMsheet!$J:$K,2,0),0)*'Master Data'!$E$2))</f>
        <v>0</v>
      </c>
      <c r="AE165" s="440"/>
      <c r="AF165" s="440"/>
      <c r="AG165" s="440"/>
      <c r="AH165" s="440"/>
      <c r="AI165" s="482">
        <f>SUM('C19RM 2021-Pharma'!$AE165:$AH165)</f>
        <v>0</v>
      </c>
      <c r="AJ165" s="484">
        <f>IF(SETUP!$E$7="USD",(AI165*(IF(O165="USD",AD165,(AD165/'Master Data'!$E$2)))),(AI165*(IF(O165="EUR",AD165,(AD165*'Master Data'!$E$2)))))</f>
        <v>0</v>
      </c>
      <c r="AK165" s="445">
        <f>IF($O165="USD",_xlfn.IFNA(VLOOKUP($A165&amp;$E165&amp;$I165,PMsheet!$J:$K,2,0),0),(_xlfn.IFNA(VLOOKUP($A165&amp;$E165&amp;$I165,PMsheet!$J:$K,2,0),0)*'Master Data'!$F$2))</f>
        <v>0</v>
      </c>
      <c r="AL165" s="440"/>
      <c r="AM165" s="440"/>
      <c r="AN165" s="440"/>
      <c r="AO165" s="440"/>
      <c r="AP165" s="514">
        <f>SUM('C19RM 2021-Pharma'!$AL165:$AO165)</f>
        <v>0</v>
      </c>
      <c r="AQ165" s="515">
        <f>IF(SETUP!$E$7="USD",(AP165*(IF(O165="USD",AK165,(AK165/'Master Data'!$F$2)))),(AP165*(IF(O165="EUR",AK165,(AK165*'Master Data'!$F$2)))))</f>
        <v>0</v>
      </c>
      <c r="AR165" s="521"/>
      <c r="AS165" s="514"/>
      <c r="AT165" s="514"/>
      <c r="AU165" s="514"/>
      <c r="AV165" s="514"/>
      <c r="AW165" s="514"/>
      <c r="AX165" s="515"/>
      <c r="AY165" s="514"/>
      <c r="AZ165" s="514"/>
      <c r="BA165" s="514"/>
      <c r="BB165" s="514"/>
      <c r="BC165" s="514"/>
      <c r="BD165" s="514"/>
      <c r="BE165" s="514"/>
      <c r="BF165" s="521">
        <f>'C19RM 2021-Pharma'!$U165+'C19RM 2021-Pharma'!$AB165+'C19RM 2021-Pharma'!$AP165++'C19RM 2021-Pharma'!$AI165</f>
        <v>0</v>
      </c>
      <c r="BG165" s="515">
        <f>'C19RM 2021-Pharma'!$V165+'C19RM 2021-Pharma'!$AC165+'C19RM 2021-Pharma'!$AQ165+'C19RM 2021-Pharma'!$AJ165</f>
        <v>0</v>
      </c>
      <c r="BH165" s="522" t="str" cm="1">
        <f t="array" ref="BH165">IF(A165&lt;&gt;"",IFERROR(INDEX(PMtbl[[WKst]:[Unit of measure*]],MATCH($A$115&amp;$A165&amp;$E165&amp;$I165,INDEX(PMtbl[Sec]&amp;PMtbl[Category]&amp;PMtbl[Each]&amp;PMtbl[Packaging],0,),0),12),""),"")</f>
        <v/>
      </c>
      <c r="BI165" s="818"/>
      <c r="BJ165" s="503" t="str" cm="1">
        <f t="array" ref="BJ165">IFERROR(INDEX(SETUP!$C$19:$G$121,MATCH((INDEX(PMtbl[[WKst]:[Unit of measure*]],MATCH($A165&amp;$E165&amp;$I165,INDEX(PMtbl[Category]&amp;PMtbl[Each]&amp;PMtbl[Packaging],0,),0),3)),SETUP!$D$19:$D$121,0),5),"")</f>
        <v/>
      </c>
      <c r="BK165" s="439" t="str" cm="1">
        <f t="array" ref="BK165">IFERROR(IF((INDEX(SETUP!$C$19:$G$121,MATCH((INDEX(PMtbl[[WKst]:[Unit of measure*]],MATCH($A165&amp;$E165&amp;$I165,INDEX(PMtbl[Category]&amp;PMtbl[Each]&amp;PMtbl[Packaging],0,),0),3)),SETUP!$D$19:$D$121,0),4))="Upfront",0,INDEX(SETUP!$C$19:$G$121,MATCH((INDEX(PMtbl[[WKst]:[Unit of measure*]],MATCH($A165&amp;$E165&amp;$I165,INDEX(PMtbl[Category]&amp;PMtbl[Each]&amp;PMtbl[Packaging],0,),0),3)),SETUP!$D$19:$D$121,0),5)),"")</f>
        <v/>
      </c>
      <c r="BL165" s="197" t="str" cm="1">
        <f t="array" ref="BL165">IF(E165&lt;&gt;"",IFERROR(INDEX(PMtbl[[WKst]:[Unit of measure*]],MATCH($A$115&amp;$A165&amp;$E165&amp;$I165,INDEX(PMtbl[Sec]&amp;PMtbl[Category]&amp;PMtbl[Each]&amp;PMtbl[Packaging],0,),0),11),""),"")</f>
        <v/>
      </c>
      <c r="BO165" s="12">
        <f>IF(N165="",0,IF(SETUP!$E$7="USD",((IF(O165="USD",P165,(P165/'Master Data-C19RM'!$C$2)))),((IF(O165="EUR",P165,(P165*'Master Data-C19RM'!$C$2))))))</f>
        <v>0</v>
      </c>
      <c r="BP165" s="12">
        <f>IF(N165="",0,IF(SETUP!$E$7="USD",((IF(O165="USD",W165,(W165/'Master Data-C19RM'!$D$2)))),((IF(O165="EUR",W165,(W165*'Master Data-C19RM'!$D$2))))))</f>
        <v>0</v>
      </c>
      <c r="BQ165">
        <f>IF(N165="",0,IF(SETUP!$E$7="USD",((IF(O165="USD",AD165,(AD165/'Master Data-C19RM'!$E$2)))),((IF(O165="EUR",AD165,(AD165*'Master Data-C19RM'!$E$2))))))</f>
        <v>0</v>
      </c>
      <c r="BR165">
        <f>IF(N165="",0,IF(SETUP!$E$7="USD",((IF(O165="USD",AK165,(AK165/'Master Data-C19RM'!$F$2)))),((IF(O165="EUR",AK165,(AK165*'Master Data-C19RM'!$F$2))))))</f>
        <v>0</v>
      </c>
      <c r="BU165" s="12">
        <f t="shared" si="7"/>
        <v>0</v>
      </c>
      <c r="BV165" s="142">
        <f t="shared" si="8"/>
        <v>0</v>
      </c>
    </row>
    <row r="166" spans="1:74" hidden="1" x14ac:dyDescent="0.35">
      <c r="A166" s="1165"/>
      <c r="B166" s="1165"/>
      <c r="C166" s="1165"/>
      <c r="D166" s="1165"/>
      <c r="E166" s="1166"/>
      <c r="F166" s="1166"/>
      <c r="G166" s="1166"/>
      <c r="H166" s="1166"/>
      <c r="I166" s="1166"/>
      <c r="J166" s="1166"/>
      <c r="K166" s="1166"/>
      <c r="L166" s="490" t="str" cm="1">
        <f t="array" ref="L166">IF(A166&lt;&gt;"",IFERROR(INDEX(PMtbl[[WKst]:[Unit of measure*]],MATCH($A$115&amp;$A166&amp;$E166&amp;$I166,INDEX(PMtbl[Sec]&amp;PMtbl[Category]&amp;PMtbl[Each]&amp;PMtbl[Packaging],0,),0),14),""),"")</f>
        <v/>
      </c>
      <c r="M166" s="479" t="str">
        <f>IF(L166="","",INDEX(SETUP!$E$20:$E$122,(MATCH(INDEX(PMsheet!$D:$E,MATCH(A166,PMsheet!E:E,0),1),SETUP!$D$20:$D$122,0))))</f>
        <v/>
      </c>
      <c r="N166" s="496">
        <f>IF($O166="USD",_xlfn.IFNA(VLOOKUP(A166&amp;E166&amp;I166,PMsheet!J:K,2,0),0),(_xlfn.IFNA(VLOOKUP(A166&amp;E166&amp;I166,PMsheet!J:K,2,0),0)*'Master Data-C19RM'!$C$2))</f>
        <v>0</v>
      </c>
      <c r="O166" s="492" t="str">
        <f>IF(L166="", "",SETUP!$E$7)</f>
        <v/>
      </c>
      <c r="P166" s="456">
        <f>IF($O166="USD",_xlfn.IFNA(VLOOKUP($A166&amp;$E166&amp;$I166,PMsheet!$J:$K,2,0),0),(_xlfn.IFNA(VLOOKUP($A166&amp;$E166&amp;$I166,PMsheet!$J:$K,2,0),0)*'Master Data'!$C$2))</f>
        <v>0</v>
      </c>
      <c r="Q166" s="441"/>
      <c r="R166" s="441"/>
      <c r="S166" s="441"/>
      <c r="T166" s="441"/>
      <c r="U166" s="481">
        <f>SUM('C19RM 2021-Pharma'!$Q166:$T166)</f>
        <v>0</v>
      </c>
      <c r="V166" s="483">
        <f>IF(SETUP!$E$7="USD",(U166*(IF(O166="USD",P166,(P166/'Master Data'!$C$2)))),(U166*(IF(O166="EUR",P166,(P166*'Master Data'!$C$2)))))</f>
        <v>0</v>
      </c>
      <c r="W166" s="444">
        <f>IF($O166="USD",_xlfn.IFNA(VLOOKUP($A166&amp;$E166&amp;$I166,PMsheet!$J:$K,2,0),0),(_xlfn.IFNA(VLOOKUP($A166&amp;$E166&amp;$I166,PMsheet!$J:$K,2,0),0)*'Master Data'!$D$2))</f>
        <v>0</v>
      </c>
      <c r="X166" s="441"/>
      <c r="Y166" s="441"/>
      <c r="Z166" s="441"/>
      <c r="AA166" s="441"/>
      <c r="AB166" s="481">
        <f>SUM('C19RM 2021-Pharma'!$X166:$AA166)</f>
        <v>0</v>
      </c>
      <c r="AC166" s="483">
        <f>IF(SETUP!$E$7="USD",(AB166*(IF(O166="USD",W166,(W166/'Master Data'!$D$2)))),(AB166*(IF(O166="EUR",W166,(W166*'Master Data'!$D$2)))))</f>
        <v>0</v>
      </c>
      <c r="AD166" s="444">
        <f>IF($O166="USD",_xlfn.IFNA(VLOOKUP($A166&amp;$E166&amp;$I166,PMsheet!$J:$K,2,0),0),(_xlfn.IFNA(VLOOKUP($A166&amp;$E166&amp;$I166,PMsheet!$J:$K,2,0),0)*'Master Data'!$E$2))</f>
        <v>0</v>
      </c>
      <c r="AE166" s="441"/>
      <c r="AF166" s="441"/>
      <c r="AG166" s="441"/>
      <c r="AH166" s="441"/>
      <c r="AI166" s="481">
        <f>SUM('C19RM 2021-Pharma'!$AE166:$AH166)</f>
        <v>0</v>
      </c>
      <c r="AJ166" s="483">
        <f>IF(SETUP!$E$7="USD",(AI166*(IF(O166="USD",AD166,(AD166/'Master Data'!$E$2)))),(AI166*(IF(O166="EUR",AD166,(AD166*'Master Data'!$E$2)))))</f>
        <v>0</v>
      </c>
      <c r="AK166" s="444">
        <f>IF($O166="USD",_xlfn.IFNA(VLOOKUP($A166&amp;$E166&amp;$I166,PMsheet!$J:$K,2,0),0),(_xlfn.IFNA(VLOOKUP($A166&amp;$E166&amp;$I166,PMsheet!$J:$K,2,0),0)*'Master Data'!$F$2))</f>
        <v>0</v>
      </c>
      <c r="AL166" s="441"/>
      <c r="AM166" s="441"/>
      <c r="AN166" s="441"/>
      <c r="AO166" s="441"/>
      <c r="AP166" s="512">
        <f>SUM('C19RM 2021-Pharma'!$AL166:$AO166)</f>
        <v>0</v>
      </c>
      <c r="AQ166" s="513">
        <f>IF(SETUP!$E$7="USD",(AP166*(IF(O166="USD",AK166,(AK166/'Master Data'!$F$2)))),(AP166*(IF(O166="EUR",AK166,(AK166*'Master Data'!$F$2)))))</f>
        <v>0</v>
      </c>
      <c r="AR166" s="520"/>
      <c r="AS166" s="512"/>
      <c r="AT166" s="512"/>
      <c r="AU166" s="512"/>
      <c r="AV166" s="512"/>
      <c r="AW166" s="512"/>
      <c r="AX166" s="513"/>
      <c r="AY166" s="512"/>
      <c r="AZ166" s="512"/>
      <c r="BA166" s="512"/>
      <c r="BB166" s="512"/>
      <c r="BC166" s="512"/>
      <c r="BD166" s="512"/>
      <c r="BE166" s="512"/>
      <c r="BF166" s="520">
        <f>'C19RM 2021-Pharma'!$U166+'C19RM 2021-Pharma'!$AB166+'C19RM 2021-Pharma'!$AP166++'C19RM 2021-Pharma'!$AI166</f>
        <v>0</v>
      </c>
      <c r="BG166" s="513">
        <f>'C19RM 2021-Pharma'!$V166+'C19RM 2021-Pharma'!$AC166+'C19RM 2021-Pharma'!$AQ166+'C19RM 2021-Pharma'!$AJ166</f>
        <v>0</v>
      </c>
      <c r="BH166" s="500" t="str" cm="1">
        <f t="array" ref="BH166">IF(A166&lt;&gt;"",IFERROR(INDEX(PMtbl[[WKst]:[Unit of measure*]],MATCH($A$115&amp;$A166&amp;$E166&amp;$I166,INDEX(PMtbl[Sec]&amp;PMtbl[Category]&amp;PMtbl[Each]&amp;PMtbl[Packaging],0,),0),12),""),"")</f>
        <v/>
      </c>
      <c r="BI166" s="819"/>
      <c r="BJ166" s="502" t="str" cm="1">
        <f t="array" ref="BJ166">IFERROR(INDEX(SETUP!$C$19:$G$121,MATCH((INDEX(PMtbl[[WKst]:[Unit of measure*]],MATCH($A166&amp;$E166&amp;$I166,INDEX(PMtbl[Category]&amp;PMtbl[Each]&amp;PMtbl[Packaging],0,),0),3)),SETUP!$D$19:$D$121,0),5),"")</f>
        <v/>
      </c>
      <c r="BK166" s="438" t="str" cm="1">
        <f t="array" ref="BK166">IFERROR(IF((INDEX(SETUP!$C$19:$G$121,MATCH((INDEX(PMtbl[[WKst]:[Unit of measure*]],MATCH($A166&amp;$E166&amp;$I166,INDEX(PMtbl[Category]&amp;PMtbl[Each]&amp;PMtbl[Packaging],0,),0),3)),SETUP!$D$19:$D$121,0),4))="Upfront",0,INDEX(SETUP!$C$19:$G$121,MATCH((INDEX(PMtbl[[WKst]:[Unit of measure*]],MATCH($A166&amp;$E166&amp;$I166,INDEX(PMtbl[Category]&amp;PMtbl[Each]&amp;PMtbl[Packaging],0,),0),3)),SETUP!$D$19:$D$121,0),5)),"")</f>
        <v/>
      </c>
      <c r="BL166" s="196" t="str" cm="1">
        <f t="array" ref="BL166">IF(E166&lt;&gt;"",IFERROR(INDEX(PMtbl[[WKst]:[Unit of measure*]],MATCH($A$115&amp;$A166&amp;$E166&amp;$I166,INDEX(PMtbl[Sec]&amp;PMtbl[Category]&amp;PMtbl[Each]&amp;PMtbl[Packaging],0,),0),11),""),"")</f>
        <v/>
      </c>
      <c r="BO166" s="12">
        <f>IF(N166="",0,IF(SETUP!$E$7="USD",((IF(O166="USD",P166,(P166/'Master Data-C19RM'!$C$2)))),((IF(O166="EUR",P166,(P166*'Master Data-C19RM'!$C$2))))))</f>
        <v>0</v>
      </c>
      <c r="BP166" s="12">
        <f>IF(N166="",0,IF(SETUP!$E$7="USD",((IF(O166="USD",W166,(W166/'Master Data-C19RM'!$D$2)))),((IF(O166="EUR",W166,(W166*'Master Data-C19RM'!$D$2))))))</f>
        <v>0</v>
      </c>
      <c r="BQ166">
        <f>IF(N166="",0,IF(SETUP!$E$7="USD",((IF(O166="USD",AD166,(AD166/'Master Data-C19RM'!$E$2)))),((IF(O166="EUR",AD166,(AD166*'Master Data-C19RM'!$E$2))))))</f>
        <v>0</v>
      </c>
      <c r="BR166">
        <f>IF(N166="",0,IF(SETUP!$E$7="USD",((IF(O166="USD",AK166,(AK166/'Master Data-C19RM'!$F$2)))),((IF(O166="EUR",AK166,(AK166*'Master Data-C19RM'!$F$2))))))</f>
        <v>0</v>
      </c>
      <c r="BU166" s="12">
        <f t="shared" si="7"/>
        <v>0</v>
      </c>
      <c r="BV166" s="142">
        <f t="shared" si="8"/>
        <v>0</v>
      </c>
    </row>
    <row r="167" spans="1:74" hidden="1" x14ac:dyDescent="0.35">
      <c r="A167" s="1172"/>
      <c r="B167" s="1172"/>
      <c r="C167" s="1172"/>
      <c r="D167" s="1172"/>
      <c r="E167" s="1173"/>
      <c r="F167" s="1173"/>
      <c r="G167" s="1173"/>
      <c r="H167" s="1173"/>
      <c r="I167" s="1193"/>
      <c r="J167" s="1193"/>
      <c r="K167" s="1193"/>
      <c r="L167" s="493" t="str" cm="1">
        <f t="array" ref="L167">IF(A167&lt;&gt;"",IFERROR(INDEX(PMtbl[[WKst]:[Unit of measure*]],MATCH($A$115&amp;$A167&amp;$E167&amp;$I167,INDEX(PMtbl[Sec]&amp;PMtbl[Category]&amp;PMtbl[Each]&amp;PMtbl[Packaging],0,),0),14),""),"")</f>
        <v/>
      </c>
      <c r="M167" s="480" t="str">
        <f>IF(L167="","",INDEX(SETUP!$E$20:$E$122,(MATCH(INDEX(PMsheet!$D:$E,MATCH(A167,PMsheet!E:E,0),1),SETUP!$D$20:$D$122,0))))</f>
        <v/>
      </c>
      <c r="N167" s="494">
        <f>IF($O167="USD",_xlfn.IFNA(VLOOKUP(A167&amp;E167&amp;I167,PMsheet!J:K,2,0),0),(_xlfn.IFNA(VLOOKUP(A167&amp;E167&amp;I167,PMsheet!J:K,2,0),0)*'Master Data-C19RM'!$C$2))</f>
        <v>0</v>
      </c>
      <c r="O167" s="495" t="str">
        <f>IF(L167="", "",SETUP!$E$7)</f>
        <v/>
      </c>
      <c r="P167" s="457">
        <f>IF($O167="USD",_xlfn.IFNA(VLOOKUP($A167&amp;$E167&amp;$I167,PMsheet!$J:$K,2,0),0),(_xlfn.IFNA(VLOOKUP($A167&amp;$E167&amp;$I167,PMsheet!$J:$K,2,0),0)*'Master Data'!$C$2))</f>
        <v>0</v>
      </c>
      <c r="Q167" s="440"/>
      <c r="R167" s="440"/>
      <c r="S167" s="440"/>
      <c r="T167" s="440"/>
      <c r="U167" s="482">
        <f>SUM('C19RM 2021-Pharma'!$Q167:$T167)</f>
        <v>0</v>
      </c>
      <c r="V167" s="484">
        <f>IF(SETUP!$E$7="USD",(U167*(IF(O167="USD",P167,(P167/'Master Data'!$C$2)))),(U167*(IF(O167="EUR",P167,(P167*'Master Data'!$C$2)))))</f>
        <v>0</v>
      </c>
      <c r="W167" s="445">
        <f>IF($O167="USD",_xlfn.IFNA(VLOOKUP($A167&amp;$E167&amp;$I167,PMsheet!$J:$K,2,0),0),(_xlfn.IFNA(VLOOKUP($A167&amp;$E167&amp;$I167,PMsheet!$J:$K,2,0),0)*'Master Data'!$D$2))</f>
        <v>0</v>
      </c>
      <c r="X167" s="440"/>
      <c r="Y167" s="440"/>
      <c r="Z167" s="440"/>
      <c r="AA167" s="440"/>
      <c r="AB167" s="482">
        <f>SUM('C19RM 2021-Pharma'!$X167:$AA167)</f>
        <v>0</v>
      </c>
      <c r="AC167" s="484">
        <f>IF(SETUP!$E$7="USD",(AB167*(IF(O167="USD",W167,(W167/'Master Data'!$D$2)))),(AB167*(IF(O167="EUR",W167,(W167*'Master Data'!$D$2)))))</f>
        <v>0</v>
      </c>
      <c r="AD167" s="445">
        <f>IF($O167="USD",_xlfn.IFNA(VLOOKUP($A167&amp;$E167&amp;$I167,PMsheet!$J:$K,2,0),0),(_xlfn.IFNA(VLOOKUP($A167&amp;$E167&amp;$I167,PMsheet!$J:$K,2,0),0)*'Master Data'!$E$2))</f>
        <v>0</v>
      </c>
      <c r="AE167" s="440"/>
      <c r="AF167" s="440"/>
      <c r="AG167" s="440"/>
      <c r="AH167" s="440"/>
      <c r="AI167" s="482">
        <f>SUM('C19RM 2021-Pharma'!$AE167:$AH167)</f>
        <v>0</v>
      </c>
      <c r="AJ167" s="484">
        <f>IF(SETUP!$E$7="USD",(AI167*(IF(O167="USD",AD167,(AD167/'Master Data'!$E$2)))),(AI167*(IF(O167="EUR",AD167,(AD167*'Master Data'!$E$2)))))</f>
        <v>0</v>
      </c>
      <c r="AK167" s="445">
        <f>IF($O167="USD",_xlfn.IFNA(VLOOKUP($A167&amp;$E167&amp;$I167,PMsheet!$J:$K,2,0),0),(_xlfn.IFNA(VLOOKUP($A167&amp;$E167&amp;$I167,PMsheet!$J:$K,2,0),0)*'Master Data'!$F$2))</f>
        <v>0</v>
      </c>
      <c r="AL167" s="440"/>
      <c r="AM167" s="440"/>
      <c r="AN167" s="440"/>
      <c r="AO167" s="440"/>
      <c r="AP167" s="514">
        <f>SUM('C19RM 2021-Pharma'!$AL167:$AO167)</f>
        <v>0</v>
      </c>
      <c r="AQ167" s="515">
        <f>IF(SETUP!$E$7="USD",(AP167*(IF(O167="USD",AK167,(AK167/'Master Data'!$F$2)))),(AP167*(IF(O167="EUR",AK167,(AK167*'Master Data'!$F$2)))))</f>
        <v>0</v>
      </c>
      <c r="AR167" s="521"/>
      <c r="AS167" s="514"/>
      <c r="AT167" s="514"/>
      <c r="AU167" s="514"/>
      <c r="AV167" s="514"/>
      <c r="AW167" s="514"/>
      <c r="AX167" s="515"/>
      <c r="AY167" s="514"/>
      <c r="AZ167" s="514"/>
      <c r="BA167" s="514"/>
      <c r="BB167" s="514"/>
      <c r="BC167" s="514"/>
      <c r="BD167" s="514"/>
      <c r="BE167" s="514"/>
      <c r="BF167" s="521">
        <f>'C19RM 2021-Pharma'!$U167+'C19RM 2021-Pharma'!$AB167+'C19RM 2021-Pharma'!$AP167++'C19RM 2021-Pharma'!$AI167</f>
        <v>0</v>
      </c>
      <c r="BG167" s="515">
        <f>'C19RM 2021-Pharma'!$V167+'C19RM 2021-Pharma'!$AC167+'C19RM 2021-Pharma'!$AQ167+'C19RM 2021-Pharma'!$AJ167</f>
        <v>0</v>
      </c>
      <c r="BH167" s="522" t="str" cm="1">
        <f t="array" ref="BH167">IF(A167&lt;&gt;"",IFERROR(INDEX(PMtbl[[WKst]:[Unit of measure*]],MATCH($A$115&amp;$A167&amp;$E167&amp;$I167,INDEX(PMtbl[Sec]&amp;PMtbl[Category]&amp;PMtbl[Each]&amp;PMtbl[Packaging],0,),0),12),""),"")</f>
        <v/>
      </c>
      <c r="BI167" s="818"/>
      <c r="BJ167" s="503" t="str" cm="1">
        <f t="array" ref="BJ167">IFERROR(INDEX(SETUP!$C$19:$G$121,MATCH((INDEX(PMtbl[[WKst]:[Unit of measure*]],MATCH($A167&amp;$E167&amp;$I167,INDEX(PMtbl[Category]&amp;PMtbl[Each]&amp;PMtbl[Packaging],0,),0),3)),SETUP!$D$19:$D$121,0),5),"")</f>
        <v/>
      </c>
      <c r="BK167" s="439" t="str" cm="1">
        <f t="array" ref="BK167">IFERROR(IF((INDEX(SETUP!$C$19:$G$121,MATCH((INDEX(PMtbl[[WKst]:[Unit of measure*]],MATCH($A167&amp;$E167&amp;$I167,INDEX(PMtbl[Category]&amp;PMtbl[Each]&amp;PMtbl[Packaging],0,),0),3)),SETUP!$D$19:$D$121,0),4))="Upfront",0,INDEX(SETUP!$C$19:$G$121,MATCH((INDEX(PMtbl[[WKst]:[Unit of measure*]],MATCH($A167&amp;$E167&amp;$I167,INDEX(PMtbl[Category]&amp;PMtbl[Each]&amp;PMtbl[Packaging],0,),0),3)),SETUP!$D$19:$D$121,0),5)),"")</f>
        <v/>
      </c>
      <c r="BL167" s="197" t="str" cm="1">
        <f t="array" ref="BL167">IF(E167&lt;&gt;"",IFERROR(INDEX(PMtbl[[WKst]:[Unit of measure*]],MATCH($A$115&amp;$A167&amp;$E167&amp;$I167,INDEX(PMtbl[Sec]&amp;PMtbl[Category]&amp;PMtbl[Each]&amp;PMtbl[Packaging],0,),0),11),""),"")</f>
        <v/>
      </c>
      <c r="BO167" s="12">
        <f>IF(N167="",0,IF(SETUP!$E$7="USD",((IF(O167="USD",P167,(P167/'Master Data-C19RM'!$C$2)))),((IF(O167="EUR",P167,(P167*'Master Data-C19RM'!$C$2))))))</f>
        <v>0</v>
      </c>
      <c r="BP167" s="12">
        <f>IF(N167="",0,IF(SETUP!$E$7="USD",((IF(O167="USD",W167,(W167/'Master Data-C19RM'!$D$2)))),((IF(O167="EUR",W167,(W167*'Master Data-C19RM'!$D$2))))))</f>
        <v>0</v>
      </c>
      <c r="BQ167">
        <f>IF(N167="",0,IF(SETUP!$E$7="USD",((IF(O167="USD",AD167,(AD167/'Master Data-C19RM'!$E$2)))),((IF(O167="EUR",AD167,(AD167*'Master Data-C19RM'!$E$2))))))</f>
        <v>0</v>
      </c>
      <c r="BR167">
        <f>IF(N167="",0,IF(SETUP!$E$7="USD",((IF(O167="USD",AK167,(AK167/'Master Data-C19RM'!$F$2)))),((IF(O167="EUR",AK167,(AK167*'Master Data-C19RM'!$F$2))))))</f>
        <v>0</v>
      </c>
      <c r="BU167" s="12">
        <f t="shared" si="7"/>
        <v>0</v>
      </c>
      <c r="BV167" s="142">
        <f t="shared" si="8"/>
        <v>0</v>
      </c>
    </row>
    <row r="168" spans="1:74" hidden="1" x14ac:dyDescent="0.35">
      <c r="A168" s="1165"/>
      <c r="B168" s="1165"/>
      <c r="C168" s="1165"/>
      <c r="D168" s="1165"/>
      <c r="E168" s="1166"/>
      <c r="F168" s="1166"/>
      <c r="G168" s="1166"/>
      <c r="H168" s="1166"/>
      <c r="I168" s="1166"/>
      <c r="J168" s="1166"/>
      <c r="K168" s="1166"/>
      <c r="L168" s="490" t="str" cm="1">
        <f t="array" ref="L168">IF(A168&lt;&gt;"",IFERROR(INDEX(PMtbl[[WKst]:[Unit of measure*]],MATCH($A$115&amp;$A168&amp;$E168&amp;$I168,INDEX(PMtbl[Sec]&amp;PMtbl[Category]&amp;PMtbl[Each]&amp;PMtbl[Packaging],0,),0),14),""),"")</f>
        <v/>
      </c>
      <c r="M168" s="479" t="str">
        <f>IF(L168="","",INDEX(SETUP!$E$20:$E$122,(MATCH(INDEX(PMsheet!$D:$E,MATCH(A168,PMsheet!E:E,0),1),SETUP!$D$20:$D$122,0))))</f>
        <v/>
      </c>
      <c r="N168" s="496">
        <f>IF($O168="USD",_xlfn.IFNA(VLOOKUP(A168&amp;E168&amp;I168,PMsheet!J:K,2,0),0),(_xlfn.IFNA(VLOOKUP(A168&amp;E168&amp;I168,PMsheet!J:K,2,0),0)*'Master Data-C19RM'!$C$2))</f>
        <v>0</v>
      </c>
      <c r="O168" s="492" t="str">
        <f>IF(L168="", "",SETUP!$E$7)</f>
        <v/>
      </c>
      <c r="P168" s="456">
        <f>IF($O168="USD",_xlfn.IFNA(VLOOKUP($A168&amp;$E168&amp;$I168,PMsheet!$J:$K,2,0),0),(_xlfn.IFNA(VLOOKUP($A168&amp;$E168&amp;$I168,PMsheet!$J:$K,2,0),0)*'Master Data'!$C$2))</f>
        <v>0</v>
      </c>
      <c r="Q168" s="441"/>
      <c r="R168" s="441"/>
      <c r="S168" s="441"/>
      <c r="T168" s="441"/>
      <c r="U168" s="481">
        <f>SUM('C19RM 2021-Pharma'!$Q168:$T168)</f>
        <v>0</v>
      </c>
      <c r="V168" s="483">
        <f>IF(SETUP!$E$7="USD",(U168*(IF(O168="USD",P168,(P168/'Master Data'!$C$2)))),(U168*(IF(O168="EUR",P168,(P168*'Master Data'!$C$2)))))</f>
        <v>0</v>
      </c>
      <c r="W168" s="444">
        <f>IF($O168="USD",_xlfn.IFNA(VLOOKUP($A168&amp;$E168&amp;$I168,PMsheet!$J:$K,2,0),0),(_xlfn.IFNA(VLOOKUP($A168&amp;$E168&amp;$I168,PMsheet!$J:$K,2,0),0)*'Master Data'!$D$2))</f>
        <v>0</v>
      </c>
      <c r="X168" s="441"/>
      <c r="Y168" s="441"/>
      <c r="Z168" s="441"/>
      <c r="AA168" s="441"/>
      <c r="AB168" s="481">
        <f>SUM('C19RM 2021-Pharma'!$X168:$AA168)</f>
        <v>0</v>
      </c>
      <c r="AC168" s="483">
        <f>IF(SETUP!$E$7="USD",(AB168*(IF(O168="USD",W168,(W168/'Master Data'!$D$2)))),(AB168*(IF(O168="EUR",W168,(W168*'Master Data'!$D$2)))))</f>
        <v>0</v>
      </c>
      <c r="AD168" s="444">
        <f>IF($O168="USD",_xlfn.IFNA(VLOOKUP($A168&amp;$E168&amp;$I168,PMsheet!$J:$K,2,0),0),(_xlfn.IFNA(VLOOKUP($A168&amp;$E168&amp;$I168,PMsheet!$J:$K,2,0),0)*'Master Data'!$E$2))</f>
        <v>0</v>
      </c>
      <c r="AE168" s="441"/>
      <c r="AF168" s="441"/>
      <c r="AG168" s="441"/>
      <c r="AH168" s="441"/>
      <c r="AI168" s="481">
        <f>SUM('C19RM 2021-Pharma'!$AE168:$AH168)</f>
        <v>0</v>
      </c>
      <c r="AJ168" s="483">
        <f>IF(SETUP!$E$7="USD",(AI168*(IF(O168="USD",AD168,(AD168/'Master Data'!$E$2)))),(AI168*(IF(O168="EUR",AD168,(AD168*'Master Data'!$E$2)))))</f>
        <v>0</v>
      </c>
      <c r="AK168" s="444">
        <f>IF($O168="USD",_xlfn.IFNA(VLOOKUP($A168&amp;$E168&amp;$I168,PMsheet!$J:$K,2,0),0),(_xlfn.IFNA(VLOOKUP($A168&amp;$E168&amp;$I168,PMsheet!$J:$K,2,0),0)*'Master Data'!$F$2))</f>
        <v>0</v>
      </c>
      <c r="AL168" s="441"/>
      <c r="AM168" s="441"/>
      <c r="AN168" s="441"/>
      <c r="AO168" s="441"/>
      <c r="AP168" s="512">
        <f>SUM('C19RM 2021-Pharma'!$AL168:$AO168)</f>
        <v>0</v>
      </c>
      <c r="AQ168" s="513">
        <f>IF(SETUP!$E$7="USD",(AP168*(IF(O168="USD",AK168,(AK168/'Master Data'!$F$2)))),(AP168*(IF(O168="EUR",AK168,(AK168*'Master Data'!$F$2)))))</f>
        <v>0</v>
      </c>
      <c r="AR168" s="520"/>
      <c r="AS168" s="512"/>
      <c r="AT168" s="512"/>
      <c r="AU168" s="512"/>
      <c r="AV168" s="512"/>
      <c r="AW168" s="512"/>
      <c r="AX168" s="513"/>
      <c r="AY168" s="512"/>
      <c r="AZ168" s="512"/>
      <c r="BA168" s="512"/>
      <c r="BB168" s="512"/>
      <c r="BC168" s="512"/>
      <c r="BD168" s="512"/>
      <c r="BE168" s="512"/>
      <c r="BF168" s="520">
        <f>'C19RM 2021-Pharma'!$U168+'C19RM 2021-Pharma'!$AB168+'C19RM 2021-Pharma'!$AP168++'C19RM 2021-Pharma'!$AI168</f>
        <v>0</v>
      </c>
      <c r="BG168" s="513">
        <f>'C19RM 2021-Pharma'!$V168+'C19RM 2021-Pharma'!$AC168+'C19RM 2021-Pharma'!$AQ168+'C19RM 2021-Pharma'!$AJ168</f>
        <v>0</v>
      </c>
      <c r="BH168" s="500" t="str" cm="1">
        <f t="array" ref="BH168">IF(A168&lt;&gt;"",IFERROR(INDEX(PMtbl[[WKst]:[Unit of measure*]],MATCH($A$115&amp;$A168&amp;$E168&amp;$I168,INDEX(PMtbl[Sec]&amp;PMtbl[Category]&amp;PMtbl[Each]&amp;PMtbl[Packaging],0,),0),12),""),"")</f>
        <v/>
      </c>
      <c r="BI168" s="819"/>
      <c r="BJ168" s="502" t="str" cm="1">
        <f t="array" ref="BJ168">IFERROR(INDEX(SETUP!$C$19:$G$121,MATCH((INDEX(PMtbl[[WKst]:[Unit of measure*]],MATCH($A168&amp;$E168&amp;$I168,INDEX(PMtbl[Category]&amp;PMtbl[Each]&amp;PMtbl[Packaging],0,),0),3)),SETUP!$D$19:$D$121,0),5),"")</f>
        <v/>
      </c>
      <c r="BK168" s="438" t="str" cm="1">
        <f t="array" ref="BK168">IFERROR(IF((INDEX(SETUP!$C$19:$G$121,MATCH((INDEX(PMtbl[[WKst]:[Unit of measure*]],MATCH($A168&amp;$E168&amp;$I168,INDEX(PMtbl[Category]&amp;PMtbl[Each]&amp;PMtbl[Packaging],0,),0),3)),SETUP!$D$19:$D$121,0),4))="Upfront",0,INDEX(SETUP!$C$19:$G$121,MATCH((INDEX(PMtbl[[WKst]:[Unit of measure*]],MATCH($A168&amp;$E168&amp;$I168,INDEX(PMtbl[Category]&amp;PMtbl[Each]&amp;PMtbl[Packaging],0,),0),3)),SETUP!$D$19:$D$121,0),5)),"")</f>
        <v/>
      </c>
      <c r="BL168" s="196" t="str" cm="1">
        <f t="array" ref="BL168">IF(E168&lt;&gt;"",IFERROR(INDEX(PMtbl[[WKst]:[Unit of measure*]],MATCH($A$115&amp;$A168&amp;$E168&amp;$I168,INDEX(PMtbl[Sec]&amp;PMtbl[Category]&amp;PMtbl[Each]&amp;PMtbl[Packaging],0,),0),11),""),"")</f>
        <v/>
      </c>
      <c r="BO168" s="12">
        <f>IF(N168="",0,IF(SETUP!$E$7="USD",((IF(O168="USD",P168,(P168/'Master Data-C19RM'!$C$2)))),((IF(O168="EUR",P168,(P168*'Master Data-C19RM'!$C$2))))))</f>
        <v>0</v>
      </c>
      <c r="BP168" s="12">
        <f>IF(N168="",0,IF(SETUP!$E$7="USD",((IF(O168="USD",W168,(W168/'Master Data-C19RM'!$D$2)))),((IF(O168="EUR",W168,(W168*'Master Data-C19RM'!$D$2))))))</f>
        <v>0</v>
      </c>
      <c r="BQ168">
        <f>IF(N168="",0,IF(SETUP!$E$7="USD",((IF(O168="USD",AD168,(AD168/'Master Data-C19RM'!$E$2)))),((IF(O168="EUR",AD168,(AD168*'Master Data-C19RM'!$E$2))))))</f>
        <v>0</v>
      </c>
      <c r="BR168">
        <f>IF(N168="",0,IF(SETUP!$E$7="USD",((IF(O168="USD",AK168,(AK168/'Master Data-C19RM'!$F$2)))),((IF(O168="EUR",AK168,(AK168*'Master Data-C19RM'!$F$2))))))</f>
        <v>0</v>
      </c>
      <c r="BU168" s="12">
        <f t="shared" si="7"/>
        <v>0</v>
      </c>
      <c r="BV168" s="142">
        <f t="shared" si="8"/>
        <v>0</v>
      </c>
    </row>
    <row r="169" spans="1:74" hidden="1" x14ac:dyDescent="0.35">
      <c r="A169" s="1172"/>
      <c r="B169" s="1172"/>
      <c r="C169" s="1172"/>
      <c r="D169" s="1172"/>
      <c r="E169" s="1173"/>
      <c r="F169" s="1173"/>
      <c r="G169" s="1173"/>
      <c r="H169" s="1173"/>
      <c r="I169" s="1193"/>
      <c r="J169" s="1193"/>
      <c r="K169" s="1193"/>
      <c r="L169" s="493" t="str" cm="1">
        <f t="array" ref="L169">IF(A169&lt;&gt;"",IFERROR(INDEX(PMtbl[[WKst]:[Unit of measure*]],MATCH($A$115&amp;$A169&amp;$E169&amp;$I169,INDEX(PMtbl[Sec]&amp;PMtbl[Category]&amp;PMtbl[Each]&amp;PMtbl[Packaging],0,),0),14),""),"")</f>
        <v/>
      </c>
      <c r="M169" s="480" t="str">
        <f>IF(L169="","",INDEX(SETUP!$E$20:$E$122,(MATCH(INDEX(PMsheet!$D:$E,MATCH(A169,PMsheet!E:E,0),1),SETUP!$D$20:$D$122,0))))</f>
        <v/>
      </c>
      <c r="N169" s="494">
        <f>IF($O169="USD",_xlfn.IFNA(VLOOKUP(A169&amp;E169&amp;I169,PMsheet!J:K,2,0),0),(_xlfn.IFNA(VLOOKUP(A169&amp;E169&amp;I169,PMsheet!J:K,2,0),0)*'Master Data-C19RM'!$C$2))</f>
        <v>0</v>
      </c>
      <c r="O169" s="495" t="str">
        <f>IF(L169="", "",SETUP!$E$7)</f>
        <v/>
      </c>
      <c r="P169" s="457">
        <f>IF($O169="USD",_xlfn.IFNA(VLOOKUP($A169&amp;$E169&amp;$I169,PMsheet!$J:$K,2,0),0),(_xlfn.IFNA(VLOOKUP($A169&amp;$E169&amp;$I169,PMsheet!$J:$K,2,0),0)*'Master Data'!$C$2))</f>
        <v>0</v>
      </c>
      <c r="Q169" s="440"/>
      <c r="R169" s="440"/>
      <c r="S169" s="440"/>
      <c r="T169" s="440"/>
      <c r="U169" s="482">
        <f>SUM('C19RM 2021-Pharma'!$Q169:$T169)</f>
        <v>0</v>
      </c>
      <c r="V169" s="484">
        <f>IF(SETUP!$E$7="USD",(U169*(IF(O169="USD",P169,(P169/'Master Data'!$C$2)))),(U169*(IF(O169="EUR",P169,(P169*'Master Data'!$C$2)))))</f>
        <v>0</v>
      </c>
      <c r="W169" s="445">
        <f>IF($O169="USD",_xlfn.IFNA(VLOOKUP($A169&amp;$E169&amp;$I169,PMsheet!$J:$K,2,0),0),(_xlfn.IFNA(VLOOKUP($A169&amp;$E169&amp;$I169,PMsheet!$J:$K,2,0),0)*'Master Data'!$D$2))</f>
        <v>0</v>
      </c>
      <c r="X169" s="440"/>
      <c r="Y169" s="440"/>
      <c r="Z169" s="440"/>
      <c r="AA169" s="440"/>
      <c r="AB169" s="482">
        <f>SUM('C19RM 2021-Pharma'!$X169:$AA169)</f>
        <v>0</v>
      </c>
      <c r="AC169" s="484">
        <f>IF(SETUP!$E$7="USD",(AB169*(IF(O169="USD",W169,(W169/'Master Data'!$D$2)))),(AB169*(IF(O169="EUR",W169,(W169*'Master Data'!$D$2)))))</f>
        <v>0</v>
      </c>
      <c r="AD169" s="445">
        <f>IF($O169="USD",_xlfn.IFNA(VLOOKUP($A169&amp;$E169&amp;$I169,PMsheet!$J:$K,2,0),0),(_xlfn.IFNA(VLOOKUP($A169&amp;$E169&amp;$I169,PMsheet!$J:$K,2,0),0)*'Master Data'!$E$2))</f>
        <v>0</v>
      </c>
      <c r="AE169" s="440"/>
      <c r="AF169" s="440"/>
      <c r="AG169" s="440"/>
      <c r="AH169" s="440"/>
      <c r="AI169" s="482">
        <f>SUM('C19RM 2021-Pharma'!$AE169:$AH169)</f>
        <v>0</v>
      </c>
      <c r="AJ169" s="484">
        <f>IF(SETUP!$E$7="USD",(AI169*(IF(O169="USD",AD169,(AD169/'Master Data'!$E$2)))),(AI169*(IF(O169="EUR",AD169,(AD169*'Master Data'!$E$2)))))</f>
        <v>0</v>
      </c>
      <c r="AK169" s="445">
        <f>IF($O169="USD",_xlfn.IFNA(VLOOKUP($A169&amp;$E169&amp;$I169,PMsheet!$J:$K,2,0),0),(_xlfn.IFNA(VLOOKUP($A169&amp;$E169&amp;$I169,PMsheet!$J:$K,2,0),0)*'Master Data'!$F$2))</f>
        <v>0</v>
      </c>
      <c r="AL169" s="440"/>
      <c r="AM169" s="440"/>
      <c r="AN169" s="440"/>
      <c r="AO169" s="440"/>
      <c r="AP169" s="514">
        <f>SUM('C19RM 2021-Pharma'!$AL169:$AO169)</f>
        <v>0</v>
      </c>
      <c r="AQ169" s="515">
        <f>IF(SETUP!$E$7="USD",(AP169*(IF(O169="USD",AK169,(AK169/'Master Data'!$F$2)))),(AP169*(IF(O169="EUR",AK169,(AK169*'Master Data'!$F$2)))))</f>
        <v>0</v>
      </c>
      <c r="AR169" s="521"/>
      <c r="AS169" s="514"/>
      <c r="AT169" s="514"/>
      <c r="AU169" s="514"/>
      <c r="AV169" s="514"/>
      <c r="AW169" s="514"/>
      <c r="AX169" s="515"/>
      <c r="AY169" s="514"/>
      <c r="AZ169" s="514"/>
      <c r="BA169" s="514"/>
      <c r="BB169" s="514"/>
      <c r="BC169" s="514"/>
      <c r="BD169" s="514"/>
      <c r="BE169" s="514"/>
      <c r="BF169" s="521">
        <f>'C19RM 2021-Pharma'!$U169+'C19RM 2021-Pharma'!$AB169+'C19RM 2021-Pharma'!$AP169++'C19RM 2021-Pharma'!$AI169</f>
        <v>0</v>
      </c>
      <c r="BG169" s="515">
        <f>'C19RM 2021-Pharma'!$V169+'C19RM 2021-Pharma'!$AC169+'C19RM 2021-Pharma'!$AQ169+'C19RM 2021-Pharma'!$AJ169</f>
        <v>0</v>
      </c>
      <c r="BH169" s="522" t="str" cm="1">
        <f t="array" ref="BH169">IF(A169&lt;&gt;"",IFERROR(INDEX(PMtbl[[WKst]:[Unit of measure*]],MATCH($A$115&amp;$A169&amp;$E169&amp;$I169,INDEX(PMtbl[Sec]&amp;PMtbl[Category]&amp;PMtbl[Each]&amp;PMtbl[Packaging],0,),0),12),""),"")</f>
        <v/>
      </c>
      <c r="BI169" s="818"/>
      <c r="BJ169" s="503" t="str" cm="1">
        <f t="array" ref="BJ169">IFERROR(INDEX(SETUP!$C$19:$G$121,MATCH((INDEX(PMtbl[[WKst]:[Unit of measure*]],MATCH($A169&amp;$E169&amp;$I169,INDEX(PMtbl[Category]&amp;PMtbl[Each]&amp;PMtbl[Packaging],0,),0),3)),SETUP!$D$19:$D$121,0),5),"")</f>
        <v/>
      </c>
      <c r="BK169" s="439" t="str" cm="1">
        <f t="array" ref="BK169">IFERROR(IF((INDEX(SETUP!$C$19:$G$121,MATCH((INDEX(PMtbl[[WKst]:[Unit of measure*]],MATCH($A169&amp;$E169&amp;$I169,INDEX(PMtbl[Category]&amp;PMtbl[Each]&amp;PMtbl[Packaging],0,),0),3)),SETUP!$D$19:$D$121,0),4))="Upfront",0,INDEX(SETUP!$C$19:$G$121,MATCH((INDEX(PMtbl[[WKst]:[Unit of measure*]],MATCH($A169&amp;$E169&amp;$I169,INDEX(PMtbl[Category]&amp;PMtbl[Each]&amp;PMtbl[Packaging],0,),0),3)),SETUP!$D$19:$D$121,0),5)),"")</f>
        <v/>
      </c>
      <c r="BL169" s="197" t="str" cm="1">
        <f t="array" ref="BL169">IF(E169&lt;&gt;"",IFERROR(INDEX(PMtbl[[WKst]:[Unit of measure*]],MATCH($A$115&amp;$A169&amp;$E169&amp;$I169,INDEX(PMtbl[Sec]&amp;PMtbl[Category]&amp;PMtbl[Each]&amp;PMtbl[Packaging],0,),0),11),""),"")</f>
        <v/>
      </c>
      <c r="BO169" s="12">
        <f>IF(N169="",0,IF(SETUP!$E$7="USD",((IF(O169="USD",P169,(P169/'Master Data-C19RM'!$C$2)))),((IF(O169="EUR",P169,(P169*'Master Data-C19RM'!$C$2))))))</f>
        <v>0</v>
      </c>
      <c r="BP169" s="12">
        <f>IF(N169="",0,IF(SETUP!$E$7="USD",((IF(O169="USD",W169,(W169/'Master Data-C19RM'!$D$2)))),((IF(O169="EUR",W169,(W169*'Master Data-C19RM'!$D$2))))))</f>
        <v>0</v>
      </c>
      <c r="BQ169">
        <f>IF(N169="",0,IF(SETUP!$E$7="USD",((IF(O169="USD",AD169,(AD169/'Master Data-C19RM'!$E$2)))),((IF(O169="EUR",AD169,(AD169*'Master Data-C19RM'!$E$2))))))</f>
        <v>0</v>
      </c>
      <c r="BR169">
        <f>IF(N169="",0,IF(SETUP!$E$7="USD",((IF(O169="USD",AK169,(AK169/'Master Data-C19RM'!$F$2)))),((IF(O169="EUR",AK169,(AK169*'Master Data-C19RM'!$F$2))))))</f>
        <v>0</v>
      </c>
      <c r="BU169" s="12">
        <f t="shared" si="7"/>
        <v>0</v>
      </c>
      <c r="BV169" s="142">
        <f t="shared" si="8"/>
        <v>0</v>
      </c>
    </row>
    <row r="170" spans="1:74" ht="15" hidden="1" thickBot="1" x14ac:dyDescent="0.4">
      <c r="A170" s="1180"/>
      <c r="B170" s="1180"/>
      <c r="C170" s="1180"/>
      <c r="D170" s="1180"/>
      <c r="E170" s="1181"/>
      <c r="F170" s="1181"/>
      <c r="G170" s="1181"/>
      <c r="H170" s="1181"/>
      <c r="I170" s="1181"/>
      <c r="J170" s="1181"/>
      <c r="K170" s="1181"/>
      <c r="L170" s="506" t="str" cm="1">
        <f t="array" ref="L170">IF(A170&lt;&gt;"",IFERROR(INDEX(PMtbl[[WKst]:[Unit of measure*]],MATCH($A$115&amp;$A170&amp;$E170&amp;$I170,INDEX(PMtbl[Sec]&amp;PMtbl[Category]&amp;PMtbl[Each]&amp;PMtbl[Packaging],0,),0),14),""),"")</f>
        <v/>
      </c>
      <c r="M170" s="507" t="str">
        <f>IF(L170="","",INDEX(SETUP!$E$20:$E$122,(MATCH(INDEX(PMsheet!$D:$E,MATCH(A170,PMsheet!E:E,0),1),SETUP!$D$20:$D$122,0))))</f>
        <v/>
      </c>
      <c r="N170" s="508">
        <f>IF($O170="USD",_xlfn.IFNA(VLOOKUP(A170&amp;E170&amp;I170,PMsheet!J:K,2,0),0),(_xlfn.IFNA(VLOOKUP(A170&amp;E170&amp;I170,PMsheet!J:K,2,0),0)*'Master Data-C19RM'!$C$2))</f>
        <v>0</v>
      </c>
      <c r="O170" s="509" t="str">
        <f>IF(L170="", "",SETUP!$E$7)</f>
        <v/>
      </c>
      <c r="P170" s="458">
        <f>IF($O170="USD",_xlfn.IFNA(VLOOKUP($A170&amp;$E170&amp;$I170,PMsheet!$J:$K,2,0),0),(_xlfn.IFNA(VLOOKUP($A170&amp;$E170&amp;$I170,PMsheet!$J:$K,2,0),0)*'Master Data'!$C$2))</f>
        <v>0</v>
      </c>
      <c r="Q170" s="459"/>
      <c r="R170" s="459"/>
      <c r="S170" s="459"/>
      <c r="T170" s="459"/>
      <c r="U170" s="510">
        <f>SUM('C19RM 2021-Pharma'!$Q170:$T170)</f>
        <v>0</v>
      </c>
      <c r="V170" s="511">
        <f>IF(SETUP!$E$7="USD",(U170*(IF(O170="USD",P170,(P170/'Master Data'!$C$2)))),(U170*(IF(O170="EUR",P170,(P170*'Master Data'!$C$2)))))</f>
        <v>0</v>
      </c>
      <c r="W170" s="460">
        <f>IF($O170="USD",_xlfn.IFNA(VLOOKUP($A170&amp;$E170&amp;$I170,PMsheet!$J:$K,2,0),0),(_xlfn.IFNA(VLOOKUP($A170&amp;$E170&amp;$I170,PMsheet!$J:$K,2,0),0)*'Master Data'!$D$2))</f>
        <v>0</v>
      </c>
      <c r="X170" s="459"/>
      <c r="Y170" s="459"/>
      <c r="Z170" s="459"/>
      <c r="AA170" s="459"/>
      <c r="AB170" s="510">
        <f>SUM('C19RM 2021-Pharma'!$X170:$AA170)</f>
        <v>0</v>
      </c>
      <c r="AC170" s="511">
        <f>IF(SETUP!$E$7="USD",(AB170*(IF(O170="USD",W170,(W170/'Master Data'!$D$2)))),(AB170*(IF(O170="EUR",W170,(W170*'Master Data'!$D$2)))))</f>
        <v>0</v>
      </c>
      <c r="AD170" s="460">
        <f>IF($O170="USD",_xlfn.IFNA(VLOOKUP($A170&amp;$E170&amp;$I170,PMsheet!$J:$K,2,0),0),(_xlfn.IFNA(VLOOKUP($A170&amp;$E170&amp;$I170,PMsheet!$J:$K,2,0),0)*'Master Data'!$E$2))</f>
        <v>0</v>
      </c>
      <c r="AE170" s="459"/>
      <c r="AF170" s="459"/>
      <c r="AG170" s="459"/>
      <c r="AH170" s="459"/>
      <c r="AI170" s="510">
        <f>SUM('C19RM 2021-Pharma'!$AE170:$AH170)</f>
        <v>0</v>
      </c>
      <c r="AJ170" s="511">
        <f>IF(SETUP!$E$7="USD",(AI170*(IF(O170="USD",AD170,(AD170/'Master Data'!$E$2)))),(AI170*(IF(O170="EUR",AD170,(AD170*'Master Data'!$E$2)))))</f>
        <v>0</v>
      </c>
      <c r="AK170" s="460">
        <f>IF($O170="USD",_xlfn.IFNA(VLOOKUP($A170&amp;$E170&amp;$I170,PMsheet!$J:$K,2,0),0),(_xlfn.IFNA(VLOOKUP($A170&amp;$E170&amp;$I170,PMsheet!$J:$K,2,0),0)*'Master Data'!$F$2))</f>
        <v>0</v>
      </c>
      <c r="AL170" s="459"/>
      <c r="AM170" s="459"/>
      <c r="AN170" s="459"/>
      <c r="AO170" s="459"/>
      <c r="AP170" s="516">
        <f>SUM('C19RM 2021-Pharma'!$AL170:$AO170)</f>
        <v>0</v>
      </c>
      <c r="AQ170" s="517">
        <f>IF(SETUP!$E$7="USD",(AP170*(IF(O170="USD",AK170,(AK170/'Master Data'!$F$2)))),(AP170*(IF(O170="EUR",AK170,(AK170*'Master Data'!$F$2)))))</f>
        <v>0</v>
      </c>
      <c r="AR170" s="523"/>
      <c r="AS170" s="516"/>
      <c r="AT170" s="516"/>
      <c r="AU170" s="516"/>
      <c r="AV170" s="516"/>
      <c r="AW170" s="516"/>
      <c r="AX170" s="517"/>
      <c r="AY170" s="516"/>
      <c r="AZ170" s="516"/>
      <c r="BA170" s="516"/>
      <c r="BB170" s="516"/>
      <c r="BC170" s="516"/>
      <c r="BD170" s="516"/>
      <c r="BE170" s="516"/>
      <c r="BF170" s="523">
        <f>'C19RM 2021-Pharma'!$U170+'C19RM 2021-Pharma'!$AB170+'C19RM 2021-Pharma'!$AP170++'C19RM 2021-Pharma'!$AI170</f>
        <v>0</v>
      </c>
      <c r="BG170" s="517">
        <f>'C19RM 2021-Pharma'!$V170+'C19RM 2021-Pharma'!$AC170+'C19RM 2021-Pharma'!$AQ170+'C19RM 2021-Pharma'!$AJ170</f>
        <v>0</v>
      </c>
      <c r="BH170" s="524" t="str" cm="1">
        <f t="array" ref="BH170">IF(A170&lt;&gt;"",IFERROR(INDEX(PMtbl[[WKst]:[Unit of measure*]],MATCH($A$115&amp;$A170&amp;$E170&amp;$I170,INDEX(PMtbl[Sec]&amp;PMtbl[Category]&amp;PMtbl[Each]&amp;PMtbl[Packaging],0,),0),12),""),"")</f>
        <v/>
      </c>
      <c r="BI170" s="821"/>
      <c r="BJ170" s="527" t="str" cm="1">
        <f t="array" ref="BJ170">IFERROR(INDEX(SETUP!$C$19:$G$121,MATCH((INDEX(PMtbl[[WKst]:[Unit of measure*]],MATCH($A170&amp;$E170&amp;$I170,INDEX(PMtbl[Category]&amp;PMtbl[Each]&amp;PMtbl[Packaging],0,),0),3)),SETUP!$D$19:$D$121,0),5),"")</f>
        <v/>
      </c>
      <c r="BK170" s="454" t="str" cm="1">
        <f t="array" ref="BK170">IFERROR(IF((INDEX(SETUP!$C$19:$G$121,MATCH((INDEX(PMtbl[[WKst]:[Unit of measure*]],MATCH($A170&amp;$E170&amp;$I170,INDEX(PMtbl[Category]&amp;PMtbl[Each]&amp;PMtbl[Packaging],0,),0),3)),SETUP!$D$19:$D$121,0),4))="Upfront",0,INDEX(SETUP!$C$19:$G$121,MATCH((INDEX(PMtbl[[WKst]:[Unit of measure*]],MATCH($A170&amp;$E170&amp;$I170,INDEX(PMtbl[Category]&amp;PMtbl[Each]&amp;PMtbl[Packaging],0,),0),3)),SETUP!$D$19:$D$121,0),5)),"")</f>
        <v/>
      </c>
      <c r="BL170" s="198" t="str" cm="1">
        <f t="array" ref="BL170">IF(E170&lt;&gt;"",IFERROR(INDEX(PMtbl[[WKst]:[Unit of measure*]],MATCH($A$115&amp;$A170&amp;$E170&amp;$I170,INDEX(PMtbl[Sec]&amp;PMtbl[Category]&amp;PMtbl[Each]&amp;PMtbl[Packaging],0,),0),11),""),"")</f>
        <v/>
      </c>
      <c r="BO170" s="12">
        <f>IF(N170="",0,IF(SETUP!$E$7="USD",((IF(O170="USD",P170,(P170/'Master Data-C19RM'!$C$2)))),((IF(O170="EUR",P170,(P170*'Master Data-C19RM'!$C$2))))))</f>
        <v>0</v>
      </c>
      <c r="BP170" s="12">
        <f>IF(N170="",0,IF(SETUP!$E$7="USD",((IF(O170="USD",W170,(W170/'Master Data-C19RM'!$D$2)))),((IF(O170="EUR",W170,(W170*'Master Data-C19RM'!$D$2))))))</f>
        <v>0</v>
      </c>
      <c r="BQ170">
        <f>IF(N170="",0,IF(SETUP!$E$7="USD",((IF(O170="USD",AD170,(AD170/'Master Data-C19RM'!$E$2)))),((IF(O170="EUR",AD170,(AD170*'Master Data-C19RM'!$E$2))))))</f>
        <v>0</v>
      </c>
      <c r="BR170">
        <f>IF(N170="",0,IF(SETUP!$E$7="USD",((IF(O170="USD",AK170,(AK170/'Master Data-C19RM'!$F$2)))),((IF(O170="EUR",AK170,(AK170*'Master Data-C19RM'!$F$2))))))</f>
        <v>0</v>
      </c>
      <c r="BU170" s="12">
        <f t="shared" si="7"/>
        <v>0</v>
      </c>
      <c r="BV170" s="142">
        <f t="shared" si="8"/>
        <v>0</v>
      </c>
    </row>
    <row r="171" spans="1:74" hidden="1" x14ac:dyDescent="0.35">
      <c r="AI171" s="12"/>
      <c r="AP171" s="12"/>
    </row>
    <row r="172" spans="1:74" hidden="1" x14ac:dyDescent="0.35"/>
    <row r="285" ht="14.5" customHeight="1" x14ac:dyDescent="0.35"/>
    <row r="286" ht="14.5" customHeight="1" x14ac:dyDescent="0.35"/>
  </sheetData>
  <sheetProtection algorithmName="SHA-512" hashValue="Z8zkBd+pdJA9q3yKz5Ti1xJIPyzrx0+G2AaHoMDYXVF4FVdOip17fWpOSQ75OzQVxwNzISxpVJXPNLHp0dVIzw==" saltValue="b1VZj2wjzRGaUW3rzCpSTw==" spinCount="100000" sheet="1" autoFilter="0"/>
  <dataConsolidate/>
  <mergeCells count="515">
    <mergeCell ref="A61:D61"/>
    <mergeCell ref="E61:H61"/>
    <mergeCell ref="I61:K61"/>
    <mergeCell ref="A57:D57"/>
    <mergeCell ref="E57:H57"/>
    <mergeCell ref="I57:K57"/>
    <mergeCell ref="A58:D58"/>
    <mergeCell ref="E58:H58"/>
    <mergeCell ref="I58:K58"/>
    <mergeCell ref="A59:D59"/>
    <mergeCell ref="E59:H59"/>
    <mergeCell ref="I59:K59"/>
    <mergeCell ref="A55:D55"/>
    <mergeCell ref="E55:H55"/>
    <mergeCell ref="I55:K55"/>
    <mergeCell ref="A56:D56"/>
    <mergeCell ref="E56:H56"/>
    <mergeCell ref="I56:K56"/>
    <mergeCell ref="A60:D60"/>
    <mergeCell ref="E60:H60"/>
    <mergeCell ref="I60:K60"/>
    <mergeCell ref="A52:D52"/>
    <mergeCell ref="E52:H52"/>
    <mergeCell ref="I52:K52"/>
    <mergeCell ref="A53:D53"/>
    <mergeCell ref="E53:H53"/>
    <mergeCell ref="I53:K53"/>
    <mergeCell ref="A54:D54"/>
    <mergeCell ref="E54:H54"/>
    <mergeCell ref="I54:K54"/>
    <mergeCell ref="A49:D49"/>
    <mergeCell ref="E49:H49"/>
    <mergeCell ref="I49:K49"/>
    <mergeCell ref="A50:D50"/>
    <mergeCell ref="E50:H50"/>
    <mergeCell ref="I50:K50"/>
    <mergeCell ref="A51:D51"/>
    <mergeCell ref="E51:H51"/>
    <mergeCell ref="I51:K51"/>
    <mergeCell ref="A45:D45"/>
    <mergeCell ref="E45:H45"/>
    <mergeCell ref="I45:K45"/>
    <mergeCell ref="A46:D46"/>
    <mergeCell ref="E46:H46"/>
    <mergeCell ref="I46:K46"/>
    <mergeCell ref="A48:D48"/>
    <mergeCell ref="E48:H48"/>
    <mergeCell ref="I48:K48"/>
    <mergeCell ref="A38:D38"/>
    <mergeCell ref="E38:H38"/>
    <mergeCell ref="I38:K38"/>
    <mergeCell ref="A39:D39"/>
    <mergeCell ref="E39:H39"/>
    <mergeCell ref="I39:K39"/>
    <mergeCell ref="A47:D47"/>
    <mergeCell ref="E47:H47"/>
    <mergeCell ref="I47:K47"/>
    <mergeCell ref="A40:D40"/>
    <mergeCell ref="E40:H40"/>
    <mergeCell ref="I40:K40"/>
    <mergeCell ref="A41:D41"/>
    <mergeCell ref="E41:H41"/>
    <mergeCell ref="I41:K41"/>
    <mergeCell ref="A42:D42"/>
    <mergeCell ref="E42:H42"/>
    <mergeCell ref="I42:K42"/>
    <mergeCell ref="A43:D43"/>
    <mergeCell ref="E43:H43"/>
    <mergeCell ref="I43:K43"/>
    <mergeCell ref="A44:D44"/>
    <mergeCell ref="E44:H44"/>
    <mergeCell ref="I44:K44"/>
    <mergeCell ref="A35:D35"/>
    <mergeCell ref="E35:H35"/>
    <mergeCell ref="I35:K35"/>
    <mergeCell ref="A36:D36"/>
    <mergeCell ref="E36:H36"/>
    <mergeCell ref="I36:K36"/>
    <mergeCell ref="A37:D37"/>
    <mergeCell ref="E37:H37"/>
    <mergeCell ref="I37:K37"/>
    <mergeCell ref="A32:D32"/>
    <mergeCell ref="E32:H32"/>
    <mergeCell ref="I32:K32"/>
    <mergeCell ref="A33:D33"/>
    <mergeCell ref="E33:H33"/>
    <mergeCell ref="I33:K33"/>
    <mergeCell ref="A34:D34"/>
    <mergeCell ref="E34:H34"/>
    <mergeCell ref="I34:K34"/>
    <mergeCell ref="I28:K28"/>
    <mergeCell ref="A29:D29"/>
    <mergeCell ref="E29:H29"/>
    <mergeCell ref="I29:K29"/>
    <mergeCell ref="A30:D30"/>
    <mergeCell ref="E30:H30"/>
    <mergeCell ref="I30:K30"/>
    <mergeCell ref="A31:D31"/>
    <mergeCell ref="E31:H31"/>
    <mergeCell ref="I31:K31"/>
    <mergeCell ref="A170:D170"/>
    <mergeCell ref="E170:H170"/>
    <mergeCell ref="I170:K170"/>
    <mergeCell ref="AR12:AX12"/>
    <mergeCell ref="AY12:BE12"/>
    <mergeCell ref="E22:H22"/>
    <mergeCell ref="I22:K22"/>
    <mergeCell ref="A23:D23"/>
    <mergeCell ref="E23:H23"/>
    <mergeCell ref="I23:K23"/>
    <mergeCell ref="A24:D24"/>
    <mergeCell ref="E24:H24"/>
    <mergeCell ref="I24:K24"/>
    <mergeCell ref="A25:D25"/>
    <mergeCell ref="E25:H25"/>
    <mergeCell ref="I25:K25"/>
    <mergeCell ref="A26:D26"/>
    <mergeCell ref="E26:H26"/>
    <mergeCell ref="I26:K26"/>
    <mergeCell ref="A27:D27"/>
    <mergeCell ref="E27:H27"/>
    <mergeCell ref="I27:K27"/>
    <mergeCell ref="A28:D28"/>
    <mergeCell ref="E28:H28"/>
    <mergeCell ref="A168:D168"/>
    <mergeCell ref="E168:H168"/>
    <mergeCell ref="I168:K168"/>
    <mergeCell ref="A169:D169"/>
    <mergeCell ref="E169:H169"/>
    <mergeCell ref="I169:K169"/>
    <mergeCell ref="A166:D166"/>
    <mergeCell ref="E166:H166"/>
    <mergeCell ref="I166:K166"/>
    <mergeCell ref="A167:D167"/>
    <mergeCell ref="E167:H167"/>
    <mergeCell ref="I167:K167"/>
    <mergeCell ref="A164:D164"/>
    <mergeCell ref="E164:H164"/>
    <mergeCell ref="I164:K164"/>
    <mergeCell ref="A165:D165"/>
    <mergeCell ref="E165:H165"/>
    <mergeCell ref="I165:K165"/>
    <mergeCell ref="A162:D162"/>
    <mergeCell ref="E162:H162"/>
    <mergeCell ref="I162:K162"/>
    <mergeCell ref="A163:D163"/>
    <mergeCell ref="E163:H163"/>
    <mergeCell ref="I163:K163"/>
    <mergeCell ref="A160:D160"/>
    <mergeCell ref="E160:H160"/>
    <mergeCell ref="I160:K160"/>
    <mergeCell ref="A161:D161"/>
    <mergeCell ref="E161:H161"/>
    <mergeCell ref="I161:K161"/>
    <mergeCell ref="A158:D158"/>
    <mergeCell ref="E158:H158"/>
    <mergeCell ref="I158:K158"/>
    <mergeCell ref="A159:D159"/>
    <mergeCell ref="E159:H159"/>
    <mergeCell ref="I159:K159"/>
    <mergeCell ref="A156:D156"/>
    <mergeCell ref="E156:H156"/>
    <mergeCell ref="I156:K156"/>
    <mergeCell ref="A157:D157"/>
    <mergeCell ref="E157:H157"/>
    <mergeCell ref="I157:K157"/>
    <mergeCell ref="A154:D154"/>
    <mergeCell ref="E154:H154"/>
    <mergeCell ref="I154:K154"/>
    <mergeCell ref="A155:D155"/>
    <mergeCell ref="E155:H155"/>
    <mergeCell ref="I155:K155"/>
    <mergeCell ref="A152:D152"/>
    <mergeCell ref="E152:H152"/>
    <mergeCell ref="I152:K152"/>
    <mergeCell ref="A153:D153"/>
    <mergeCell ref="E153:H153"/>
    <mergeCell ref="I153:K153"/>
    <mergeCell ref="A150:D150"/>
    <mergeCell ref="E150:H150"/>
    <mergeCell ref="I150:K150"/>
    <mergeCell ref="A151:D151"/>
    <mergeCell ref="E151:H151"/>
    <mergeCell ref="I151:K151"/>
    <mergeCell ref="A148:D148"/>
    <mergeCell ref="E148:H148"/>
    <mergeCell ref="I148:K148"/>
    <mergeCell ref="A149:D149"/>
    <mergeCell ref="E149:H149"/>
    <mergeCell ref="I149:K149"/>
    <mergeCell ref="A146:D146"/>
    <mergeCell ref="E146:H146"/>
    <mergeCell ref="I146:K146"/>
    <mergeCell ref="A147:D147"/>
    <mergeCell ref="E147:H147"/>
    <mergeCell ref="I147:K147"/>
    <mergeCell ref="A144:D144"/>
    <mergeCell ref="E144:H144"/>
    <mergeCell ref="I144:K144"/>
    <mergeCell ref="A145:D145"/>
    <mergeCell ref="E145:H145"/>
    <mergeCell ref="I145:K145"/>
    <mergeCell ref="A142:D142"/>
    <mergeCell ref="E142:H142"/>
    <mergeCell ref="I142:K142"/>
    <mergeCell ref="A143:D143"/>
    <mergeCell ref="E143:H143"/>
    <mergeCell ref="I143:K143"/>
    <mergeCell ref="A140:D140"/>
    <mergeCell ref="E140:H140"/>
    <mergeCell ref="I140:K140"/>
    <mergeCell ref="A141:D141"/>
    <mergeCell ref="E141:H141"/>
    <mergeCell ref="I141:K141"/>
    <mergeCell ref="A138:D138"/>
    <mergeCell ref="E138:H138"/>
    <mergeCell ref="I138:K138"/>
    <mergeCell ref="A139:D139"/>
    <mergeCell ref="E139:H139"/>
    <mergeCell ref="I139:K139"/>
    <mergeCell ref="A136:D136"/>
    <mergeCell ref="E136:H136"/>
    <mergeCell ref="I136:K136"/>
    <mergeCell ref="A137:D137"/>
    <mergeCell ref="E137:H137"/>
    <mergeCell ref="I137:K137"/>
    <mergeCell ref="A134:D134"/>
    <mergeCell ref="E134:H134"/>
    <mergeCell ref="I134:K134"/>
    <mergeCell ref="A135:D135"/>
    <mergeCell ref="E135:H135"/>
    <mergeCell ref="I135:K135"/>
    <mergeCell ref="A132:D132"/>
    <mergeCell ref="E132:H132"/>
    <mergeCell ref="I132:K132"/>
    <mergeCell ref="A133:D133"/>
    <mergeCell ref="E133:H133"/>
    <mergeCell ref="I133:K133"/>
    <mergeCell ref="A130:D130"/>
    <mergeCell ref="E130:H130"/>
    <mergeCell ref="I130:K130"/>
    <mergeCell ref="A131:D131"/>
    <mergeCell ref="E131:H131"/>
    <mergeCell ref="I131:K131"/>
    <mergeCell ref="A128:D128"/>
    <mergeCell ref="E128:H128"/>
    <mergeCell ref="I128:K128"/>
    <mergeCell ref="A129:D129"/>
    <mergeCell ref="E129:H129"/>
    <mergeCell ref="I129:K129"/>
    <mergeCell ref="A126:D126"/>
    <mergeCell ref="E126:H126"/>
    <mergeCell ref="I126:K126"/>
    <mergeCell ref="A127:D127"/>
    <mergeCell ref="E127:H127"/>
    <mergeCell ref="I127:K127"/>
    <mergeCell ref="A124:D124"/>
    <mergeCell ref="E124:H124"/>
    <mergeCell ref="I124:K124"/>
    <mergeCell ref="A125:D125"/>
    <mergeCell ref="E125:H125"/>
    <mergeCell ref="I125:K125"/>
    <mergeCell ref="A122:D122"/>
    <mergeCell ref="E122:H122"/>
    <mergeCell ref="I122:K122"/>
    <mergeCell ref="A123:D123"/>
    <mergeCell ref="E123:H123"/>
    <mergeCell ref="I123:K123"/>
    <mergeCell ref="BI119:BI120"/>
    <mergeCell ref="BJ119:BJ120"/>
    <mergeCell ref="BK119:BK120"/>
    <mergeCell ref="A121:D121"/>
    <mergeCell ref="E121:H121"/>
    <mergeCell ref="I121:K121"/>
    <mergeCell ref="P119:V119"/>
    <mergeCell ref="W119:AC119"/>
    <mergeCell ref="AD119:AJ119"/>
    <mergeCell ref="AK119:AQ119"/>
    <mergeCell ref="BF119:BG119"/>
    <mergeCell ref="BH119:BH120"/>
    <mergeCell ref="AR119:AX119"/>
    <mergeCell ref="AY119:BE119"/>
    <mergeCell ref="O115:O116"/>
    <mergeCell ref="E116:G116"/>
    <mergeCell ref="A117:O117"/>
    <mergeCell ref="A119:D120"/>
    <mergeCell ref="E119:H120"/>
    <mergeCell ref="I119:K120"/>
    <mergeCell ref="L119:L120"/>
    <mergeCell ref="M119:M120"/>
    <mergeCell ref="N119:N120"/>
    <mergeCell ref="O119:O120"/>
    <mergeCell ref="A115:A116"/>
    <mergeCell ref="B115:D116"/>
    <mergeCell ref="E115:G115"/>
    <mergeCell ref="H115:H116"/>
    <mergeCell ref="I115:I116"/>
    <mergeCell ref="J115:J116"/>
    <mergeCell ref="A112:D112"/>
    <mergeCell ref="E112:H112"/>
    <mergeCell ref="I112:K112"/>
    <mergeCell ref="A113:D113"/>
    <mergeCell ref="E113:H113"/>
    <mergeCell ref="I113:K113"/>
    <mergeCell ref="A110:D110"/>
    <mergeCell ref="E110:H110"/>
    <mergeCell ref="I110:K110"/>
    <mergeCell ref="A111:D111"/>
    <mergeCell ref="E111:H111"/>
    <mergeCell ref="I111:K111"/>
    <mergeCell ref="A108:D108"/>
    <mergeCell ref="E108:H108"/>
    <mergeCell ref="I108:K108"/>
    <mergeCell ref="A109:D109"/>
    <mergeCell ref="E109:H109"/>
    <mergeCell ref="I109:K109"/>
    <mergeCell ref="A106:D106"/>
    <mergeCell ref="E106:H106"/>
    <mergeCell ref="I106:K106"/>
    <mergeCell ref="A107:D107"/>
    <mergeCell ref="E107:H107"/>
    <mergeCell ref="I107:K107"/>
    <mergeCell ref="A104:D104"/>
    <mergeCell ref="E104:H104"/>
    <mergeCell ref="I104:K104"/>
    <mergeCell ref="A105:D105"/>
    <mergeCell ref="E105:H105"/>
    <mergeCell ref="I105:K105"/>
    <mergeCell ref="A102:D102"/>
    <mergeCell ref="E102:H102"/>
    <mergeCell ref="I102:K102"/>
    <mergeCell ref="A103:D103"/>
    <mergeCell ref="E103:H103"/>
    <mergeCell ref="I103:K103"/>
    <mergeCell ref="A100:D100"/>
    <mergeCell ref="E100:H100"/>
    <mergeCell ref="I100:K100"/>
    <mergeCell ref="A101:D101"/>
    <mergeCell ref="E101:H101"/>
    <mergeCell ref="I101:K101"/>
    <mergeCell ref="A98:D98"/>
    <mergeCell ref="E98:H98"/>
    <mergeCell ref="I98:K98"/>
    <mergeCell ref="A99:D99"/>
    <mergeCell ref="E99:H99"/>
    <mergeCell ref="I99:K99"/>
    <mergeCell ref="A96:D96"/>
    <mergeCell ref="E96:H96"/>
    <mergeCell ref="I96:K96"/>
    <mergeCell ref="A97:D97"/>
    <mergeCell ref="E97:H97"/>
    <mergeCell ref="I97:K97"/>
    <mergeCell ref="A94:D94"/>
    <mergeCell ref="E94:H94"/>
    <mergeCell ref="I94:K94"/>
    <mergeCell ref="A95:D95"/>
    <mergeCell ref="E95:H95"/>
    <mergeCell ref="I95:K95"/>
    <mergeCell ref="A92:D92"/>
    <mergeCell ref="E92:H92"/>
    <mergeCell ref="I92:K92"/>
    <mergeCell ref="A93:D93"/>
    <mergeCell ref="E93:H93"/>
    <mergeCell ref="I93:K93"/>
    <mergeCell ref="A90:D90"/>
    <mergeCell ref="E90:H90"/>
    <mergeCell ref="I90:K90"/>
    <mergeCell ref="A91:D91"/>
    <mergeCell ref="E91:H91"/>
    <mergeCell ref="I91:K91"/>
    <mergeCell ref="A88:D88"/>
    <mergeCell ref="E88:H88"/>
    <mergeCell ref="I88:K88"/>
    <mergeCell ref="A89:D89"/>
    <mergeCell ref="E89:H89"/>
    <mergeCell ref="I89:K89"/>
    <mergeCell ref="A86:D86"/>
    <mergeCell ref="E86:H86"/>
    <mergeCell ref="I86:K86"/>
    <mergeCell ref="A87:D87"/>
    <mergeCell ref="E87:H87"/>
    <mergeCell ref="I87:K87"/>
    <mergeCell ref="A84:D84"/>
    <mergeCell ref="E84:H84"/>
    <mergeCell ref="I84:K84"/>
    <mergeCell ref="A85:D85"/>
    <mergeCell ref="E85:H85"/>
    <mergeCell ref="I85:K85"/>
    <mergeCell ref="A82:D82"/>
    <mergeCell ref="E82:H82"/>
    <mergeCell ref="I82:K82"/>
    <mergeCell ref="A83:D83"/>
    <mergeCell ref="E83:H83"/>
    <mergeCell ref="I83:K83"/>
    <mergeCell ref="A80:D80"/>
    <mergeCell ref="E80:H80"/>
    <mergeCell ref="I80:K80"/>
    <mergeCell ref="A81:D81"/>
    <mergeCell ref="E81:H81"/>
    <mergeCell ref="I81:K81"/>
    <mergeCell ref="A78:D78"/>
    <mergeCell ref="E78:H78"/>
    <mergeCell ref="I78:K78"/>
    <mergeCell ref="A79:D79"/>
    <mergeCell ref="E79:H79"/>
    <mergeCell ref="I79:K79"/>
    <mergeCell ref="A76:D76"/>
    <mergeCell ref="E76:H76"/>
    <mergeCell ref="I76:K76"/>
    <mergeCell ref="A77:D77"/>
    <mergeCell ref="E77:H77"/>
    <mergeCell ref="I77:K77"/>
    <mergeCell ref="A74:D74"/>
    <mergeCell ref="E74:H74"/>
    <mergeCell ref="I74:K74"/>
    <mergeCell ref="A75:D75"/>
    <mergeCell ref="E75:H75"/>
    <mergeCell ref="I75:K75"/>
    <mergeCell ref="A72:D72"/>
    <mergeCell ref="E72:H72"/>
    <mergeCell ref="I72:K72"/>
    <mergeCell ref="A73:D73"/>
    <mergeCell ref="E73:H73"/>
    <mergeCell ref="I73:K73"/>
    <mergeCell ref="A70:D70"/>
    <mergeCell ref="E70:H70"/>
    <mergeCell ref="I70:K70"/>
    <mergeCell ref="A71:D71"/>
    <mergeCell ref="E71:H71"/>
    <mergeCell ref="I71:K71"/>
    <mergeCell ref="A68:D68"/>
    <mergeCell ref="E68:H68"/>
    <mergeCell ref="I68:K68"/>
    <mergeCell ref="A69:D69"/>
    <mergeCell ref="E69:H69"/>
    <mergeCell ref="I69:K69"/>
    <mergeCell ref="A66:D66"/>
    <mergeCell ref="E66:H66"/>
    <mergeCell ref="I66:K66"/>
    <mergeCell ref="A67:D67"/>
    <mergeCell ref="E67:H67"/>
    <mergeCell ref="I67:K67"/>
    <mergeCell ref="A64:D64"/>
    <mergeCell ref="E64:H64"/>
    <mergeCell ref="I64:K64"/>
    <mergeCell ref="A65:D65"/>
    <mergeCell ref="E65:H65"/>
    <mergeCell ref="I65:K65"/>
    <mergeCell ref="BI12:BI13"/>
    <mergeCell ref="BJ12:BJ13"/>
    <mergeCell ref="BK12:BK13"/>
    <mergeCell ref="A62:D62"/>
    <mergeCell ref="E62:H62"/>
    <mergeCell ref="I62:K62"/>
    <mergeCell ref="A14:D14"/>
    <mergeCell ref="E14:H14"/>
    <mergeCell ref="I14:K14"/>
    <mergeCell ref="A15:D15"/>
    <mergeCell ref="E15:H15"/>
    <mergeCell ref="I15:K15"/>
    <mergeCell ref="A16:D16"/>
    <mergeCell ref="E16:H16"/>
    <mergeCell ref="I16:K16"/>
    <mergeCell ref="A17:D17"/>
    <mergeCell ref="E17:H17"/>
    <mergeCell ref="A22:D22"/>
    <mergeCell ref="BU12:BU13"/>
    <mergeCell ref="BO13:BR13"/>
    <mergeCell ref="A63:D63"/>
    <mergeCell ref="E63:H63"/>
    <mergeCell ref="I63:K63"/>
    <mergeCell ref="P12:V12"/>
    <mergeCell ref="W12:AC12"/>
    <mergeCell ref="AD12:AJ12"/>
    <mergeCell ref="AK12:AQ12"/>
    <mergeCell ref="BF12:BG12"/>
    <mergeCell ref="BH12:BH13"/>
    <mergeCell ref="I17:K17"/>
    <mergeCell ref="A18:D18"/>
    <mergeCell ref="E18:H18"/>
    <mergeCell ref="I18:K18"/>
    <mergeCell ref="A19:D19"/>
    <mergeCell ref="E19:H19"/>
    <mergeCell ref="I19:K19"/>
    <mergeCell ref="A20:D20"/>
    <mergeCell ref="E20:H20"/>
    <mergeCell ref="I20:K20"/>
    <mergeCell ref="A21:D21"/>
    <mergeCell ref="E21:H21"/>
    <mergeCell ref="I21:K21"/>
    <mergeCell ref="A8:A9"/>
    <mergeCell ref="B8:C9"/>
    <mergeCell ref="I8:I9"/>
    <mergeCell ref="J8:J9"/>
    <mergeCell ref="O8:O9"/>
    <mergeCell ref="A10:O10"/>
    <mergeCell ref="A12:D13"/>
    <mergeCell ref="E12:H13"/>
    <mergeCell ref="I12:K13"/>
    <mergeCell ref="L12:L13"/>
    <mergeCell ref="M12:M13"/>
    <mergeCell ref="N12:N13"/>
    <mergeCell ref="O12:O13"/>
    <mergeCell ref="B1:K1"/>
    <mergeCell ref="M1:S1"/>
    <mergeCell ref="B3:B4"/>
    <mergeCell ref="C3:E4"/>
    <mergeCell ref="G3:G4"/>
    <mergeCell ref="H3:K4"/>
    <mergeCell ref="E8:H8"/>
    <mergeCell ref="E9:H9"/>
    <mergeCell ref="B5:B6"/>
    <mergeCell ref="C5:E6"/>
    <mergeCell ref="G5:G6"/>
    <mergeCell ref="H5:K6"/>
  </mergeCells>
  <phoneticPr fontId="46" type="noConversion"/>
  <conditionalFormatting sqref="E121:E170 G121:H170">
    <cfRule type="expression" dxfId="4492" priority="1498">
      <formula>AND(ISTEXT(I121),ISBLANK(E121))</formula>
    </cfRule>
  </conditionalFormatting>
  <conditionalFormatting sqref="A121:K170">
    <cfRule type="expression" dxfId="4491" priority="1501">
      <formula>AND($I121&lt;&gt;"",$L121="")</formula>
    </cfRule>
  </conditionalFormatting>
  <conditionalFormatting sqref="F121:F170">
    <cfRule type="expression" dxfId="4490" priority="1502">
      <formula>AND(ISTEXT(#REF!),ISBLANK(F121))</formula>
    </cfRule>
  </conditionalFormatting>
  <conditionalFormatting sqref="X121:X170">
    <cfRule type="expression" dxfId="4489" priority="1490">
      <formula>$X$11="-"</formula>
    </cfRule>
  </conditionalFormatting>
  <conditionalFormatting sqref="Q121:Q170">
    <cfRule type="expression" dxfId="4488" priority="1489">
      <formula>$Q$11="-"</formula>
    </cfRule>
  </conditionalFormatting>
  <conditionalFormatting sqref="Y121:Y170">
    <cfRule type="expression" dxfId="4487" priority="1488">
      <formula>$Y$11="-"</formula>
    </cfRule>
  </conditionalFormatting>
  <conditionalFormatting sqref="Z121:Z170">
    <cfRule type="expression" dxfId="4486" priority="1487">
      <formula>$Z$11="-"</formula>
    </cfRule>
  </conditionalFormatting>
  <conditionalFormatting sqref="AA121:AA170">
    <cfRule type="expression" dxfId="4485" priority="1486">
      <formula>$AA$11="-"</formula>
    </cfRule>
  </conditionalFormatting>
  <conditionalFormatting sqref="AL121:AL170">
    <cfRule type="expression" dxfId="4484" priority="1485">
      <formula>$AL$11="-"</formula>
    </cfRule>
  </conditionalFormatting>
  <conditionalFormatting sqref="AM121:AM170">
    <cfRule type="expression" dxfId="4483" priority="1484">
      <formula>$AM$11="-"</formula>
    </cfRule>
  </conditionalFormatting>
  <conditionalFormatting sqref="AN121:AN170">
    <cfRule type="expression" dxfId="4482" priority="1483">
      <formula>$AN$11="-"</formula>
    </cfRule>
  </conditionalFormatting>
  <conditionalFormatting sqref="AO121:AO170">
    <cfRule type="expression" dxfId="4481" priority="1482">
      <formula>$AO$11="-"</formula>
    </cfRule>
  </conditionalFormatting>
  <conditionalFormatting sqref="AE121:AE170">
    <cfRule type="expression" dxfId="4480" priority="1481">
      <formula>$AE$11="-"</formula>
    </cfRule>
  </conditionalFormatting>
  <conditionalFormatting sqref="AF121:AF170">
    <cfRule type="expression" dxfId="4479" priority="1480">
      <formula>$AF$11="-"</formula>
    </cfRule>
  </conditionalFormatting>
  <conditionalFormatting sqref="AG121:AG170">
    <cfRule type="expression" dxfId="4478" priority="1479">
      <formula>$AG$11="-"</formula>
    </cfRule>
  </conditionalFormatting>
  <conditionalFormatting sqref="AH121:AH170">
    <cfRule type="expression" dxfId="4477" priority="1478">
      <formula>$AH$11="-"</formula>
    </cfRule>
  </conditionalFormatting>
  <conditionalFormatting sqref="R121:R170">
    <cfRule type="expression" dxfId="4476" priority="1477">
      <formula>$R$11="-"</formula>
    </cfRule>
  </conditionalFormatting>
  <conditionalFormatting sqref="S121:S170">
    <cfRule type="expression" dxfId="4475" priority="1476">
      <formula>$S$11="-"</formula>
    </cfRule>
  </conditionalFormatting>
  <conditionalFormatting sqref="T121:T170">
    <cfRule type="expression" dxfId="4474" priority="1475">
      <formula>$T$11="-"</formula>
    </cfRule>
  </conditionalFormatting>
  <conditionalFormatting sqref="P121:P126">
    <cfRule type="expression" dxfId="4473" priority="1497">
      <formula>IF(N121&lt;&gt;0,IF(O121="USD",OR(($P121&lt;($N121-($N121*0.3))),($P121&gt;($N121+($N121*0.3)))),OR(($P121&lt;(($N121)-($N121*0.3))),($P121&gt;($N121)+($N121*0.3)))))</formula>
    </cfRule>
  </conditionalFormatting>
  <conditionalFormatting sqref="M1:S1">
    <cfRule type="notContainsBlanks" dxfId="4472" priority="1474">
      <formula>LEN(TRIM(M1))&gt;0</formula>
    </cfRule>
  </conditionalFormatting>
  <conditionalFormatting sqref="I121:K121 I127:K127 I123:K123 I125:K125 I129:K129 I131:K131 I133:K133 I135:K135 I137:K137 I139:K139 I141:K141 I143:K143 I145:K145 I147:K147 I149:K149 I151:K151 I153:K153 I155:K155 I157:K157 I159:K159 I161:K161 I163:K163 I169:K169 I165:K165 I167:K167">
    <cfRule type="expression" dxfId="4471" priority="5833">
      <formula>NOT(ISERROR(BP121))</formula>
    </cfRule>
    <cfRule type="expression" dxfId="4470" priority="5834" stopIfTrue="1">
      <formula>ISTEXT(E121)</formula>
    </cfRule>
  </conditionalFormatting>
  <conditionalFormatting sqref="I122:K122 I126:K126 I124:K124 I128:K128 I130:K130 I132:K132 I134:K134 I136:K136 I138:K138 I140:K140 I142:K142 I144:K144 I146:K146 I148:K148 I150:K150 I152:K152 I154:K154 I156:K156 I158:K158 I160:K160 I162:K162 I168:K168 I170:K170 I164:K164 I166:K166">
    <cfRule type="expression" dxfId="4469" priority="6035">
      <formula>NOT(ISERROR(BP122))</formula>
    </cfRule>
    <cfRule type="expression" dxfId="4468" priority="6036">
      <formula>ISTEXT(E122)</formula>
    </cfRule>
  </conditionalFormatting>
  <conditionalFormatting sqref="E14:E15 G14:H15">
    <cfRule type="expression" dxfId="4467" priority="1466">
      <formula>AND(ISTEXT(I14),ISBLANK(E14))</formula>
    </cfRule>
  </conditionalFormatting>
  <conditionalFormatting sqref="A14:K15">
    <cfRule type="expression" dxfId="4466" priority="1468">
      <formula>AND($I14&lt;&gt;"",$L14="")</formula>
    </cfRule>
  </conditionalFormatting>
  <conditionalFormatting sqref="F14:F15">
    <cfRule type="expression" dxfId="4465" priority="1469">
      <formula>AND(ISTEXT(#REF!),ISBLANK(F14))</formula>
    </cfRule>
  </conditionalFormatting>
  <conditionalFormatting sqref="X14:X15">
    <cfRule type="expression" dxfId="4464" priority="1461">
      <formula>$X$11="-"</formula>
    </cfRule>
  </conditionalFormatting>
  <conditionalFormatting sqref="Q14:Q15">
    <cfRule type="expression" dxfId="4463" priority="1460">
      <formula>$Q$11="-"</formula>
    </cfRule>
  </conditionalFormatting>
  <conditionalFormatting sqref="Y14:Y15">
    <cfRule type="expression" dxfId="4462" priority="1459">
      <formula>$Y$11="-"</formula>
    </cfRule>
  </conditionalFormatting>
  <conditionalFormatting sqref="Z14:Z15">
    <cfRule type="expression" dxfId="4461" priority="1458">
      <formula>$Z$11="-"</formula>
    </cfRule>
  </conditionalFormatting>
  <conditionalFormatting sqref="AA14:AA15">
    <cfRule type="expression" dxfId="4460" priority="1457">
      <formula>$AA$11="-"</formula>
    </cfRule>
  </conditionalFormatting>
  <conditionalFormatting sqref="AL14:AL15">
    <cfRule type="expression" dxfId="4459" priority="1456">
      <formula>$AL$11="-"</formula>
    </cfRule>
  </conditionalFormatting>
  <conditionalFormatting sqref="AM14:AM15">
    <cfRule type="expression" dxfId="4458" priority="1455">
      <formula>$AM$11="-"</formula>
    </cfRule>
  </conditionalFormatting>
  <conditionalFormatting sqref="AN14:AN15">
    <cfRule type="expression" dxfId="4457" priority="1454">
      <formula>$AN$11="-"</formula>
    </cfRule>
  </conditionalFormatting>
  <conditionalFormatting sqref="AO14:AO113">
    <cfRule type="expression" dxfId="4456" priority="1453">
      <formula>$AO$11="-"</formula>
    </cfRule>
  </conditionalFormatting>
  <conditionalFormatting sqref="AE14:AE15">
    <cfRule type="expression" dxfId="4455" priority="1452">
      <formula>$AE$11="-"</formula>
    </cfRule>
  </conditionalFormatting>
  <conditionalFormatting sqref="AF14:AF15">
    <cfRule type="expression" dxfId="4454" priority="1451">
      <formula>$AF$11="-"</formula>
    </cfRule>
  </conditionalFormatting>
  <conditionalFormatting sqref="AG14:AG15">
    <cfRule type="expression" dxfId="4453" priority="1450">
      <formula>$AG$11="-"</formula>
    </cfRule>
  </conditionalFormatting>
  <conditionalFormatting sqref="AH14:AH15">
    <cfRule type="expression" dxfId="4452" priority="1449">
      <formula>$AH$11="-"</formula>
    </cfRule>
  </conditionalFormatting>
  <conditionalFormatting sqref="R14:R15">
    <cfRule type="expression" dxfId="4451" priority="1448">
      <formula>$R$11="-"</formula>
    </cfRule>
  </conditionalFormatting>
  <conditionalFormatting sqref="S14:S15">
    <cfRule type="expression" dxfId="4450" priority="1447">
      <formula>$S$11="-"</formula>
    </cfRule>
  </conditionalFormatting>
  <conditionalFormatting sqref="T14:T15">
    <cfRule type="expression" dxfId="4449" priority="1446">
      <formula>$T$11="-"</formula>
    </cfRule>
  </conditionalFormatting>
  <conditionalFormatting sqref="I14:K14">
    <cfRule type="expression" dxfId="4448" priority="1470">
      <formula>NOT(ISERROR(BP14))</formula>
    </cfRule>
    <cfRule type="expression" dxfId="4447" priority="1471" stopIfTrue="1">
      <formula>ISTEXT(E14)</formula>
    </cfRule>
  </conditionalFormatting>
  <conditionalFormatting sqref="I15:K15">
    <cfRule type="expression" dxfId="4446" priority="1472">
      <formula>NOT(ISERROR(BP15))</formula>
    </cfRule>
    <cfRule type="expression" dxfId="4445" priority="1473">
      <formula>ISTEXT(E15)</formula>
    </cfRule>
  </conditionalFormatting>
  <conditionalFormatting sqref="E17 E19 G17:H17 G19:H19">
    <cfRule type="expression" dxfId="4444" priority="1438">
      <formula>AND(ISTEXT(I17),ISBLANK(E17))</formula>
    </cfRule>
  </conditionalFormatting>
  <conditionalFormatting sqref="A16:K19">
    <cfRule type="expression" dxfId="4443" priority="1440">
      <formula>AND($I16&lt;&gt;"",$L16="")</formula>
    </cfRule>
  </conditionalFormatting>
  <conditionalFormatting sqref="F17 F19">
    <cfRule type="expression" dxfId="4442" priority="1441">
      <formula>AND(ISTEXT(#REF!),ISBLANK(F17))</formula>
    </cfRule>
  </conditionalFormatting>
  <conditionalFormatting sqref="X16:X19">
    <cfRule type="expression" dxfId="4441" priority="1433">
      <formula>$X$11="-"</formula>
    </cfRule>
  </conditionalFormatting>
  <conditionalFormatting sqref="Q16:Q19">
    <cfRule type="expression" dxfId="4440" priority="1432">
      <formula>$Q$11="-"</formula>
    </cfRule>
  </conditionalFormatting>
  <conditionalFormatting sqref="Y16:Y19">
    <cfRule type="expression" dxfId="4439" priority="1431">
      <formula>$Y$11="-"</formula>
    </cfRule>
  </conditionalFormatting>
  <conditionalFormatting sqref="Z16:Z19">
    <cfRule type="expression" dxfId="4438" priority="1430">
      <formula>$Z$11="-"</formula>
    </cfRule>
  </conditionalFormatting>
  <conditionalFormatting sqref="AA16:AA19">
    <cfRule type="expression" dxfId="4437" priority="1429">
      <formula>$AA$11="-"</formula>
    </cfRule>
  </conditionalFormatting>
  <conditionalFormatting sqref="AL16:AL19">
    <cfRule type="expression" dxfId="4436" priority="1428">
      <formula>$AL$11="-"</formula>
    </cfRule>
  </conditionalFormatting>
  <conditionalFormatting sqref="AM16:AM19">
    <cfRule type="expression" dxfId="4435" priority="1427">
      <formula>$AM$11="-"</formula>
    </cfRule>
  </conditionalFormatting>
  <conditionalFormatting sqref="AN16:AN19">
    <cfRule type="expression" dxfId="4434" priority="1426">
      <formula>$AN$11="-"</formula>
    </cfRule>
  </conditionalFormatting>
  <conditionalFormatting sqref="AO16:AO19">
    <cfRule type="expression" dxfId="4433" priority="1425">
      <formula>$AO$11="-"</formula>
    </cfRule>
  </conditionalFormatting>
  <conditionalFormatting sqref="AE16:AE19">
    <cfRule type="expression" dxfId="4432" priority="1424">
      <formula>$AE$11="-"</formula>
    </cfRule>
  </conditionalFormatting>
  <conditionalFormatting sqref="AF16:AF19">
    <cfRule type="expression" dxfId="4431" priority="1423">
      <formula>$AF$11="-"</formula>
    </cfRule>
  </conditionalFormatting>
  <conditionalFormatting sqref="AG16:AG19">
    <cfRule type="expression" dxfId="4430" priority="1422">
      <formula>$AG$11="-"</formula>
    </cfRule>
  </conditionalFormatting>
  <conditionalFormatting sqref="AH16:AH19">
    <cfRule type="expression" dxfId="4429" priority="1421">
      <formula>$AH$11="-"</formula>
    </cfRule>
  </conditionalFormatting>
  <conditionalFormatting sqref="R16:R19">
    <cfRule type="expression" dxfId="4428" priority="1420">
      <formula>$R$11="-"</formula>
    </cfRule>
  </conditionalFormatting>
  <conditionalFormatting sqref="S16:S19">
    <cfRule type="expression" dxfId="4427" priority="1419">
      <formula>$S$11="-"</formula>
    </cfRule>
  </conditionalFormatting>
  <conditionalFormatting sqref="T16:T19">
    <cfRule type="expression" dxfId="4426" priority="1418">
      <formula>$T$11="-"</formula>
    </cfRule>
  </conditionalFormatting>
  <conditionalFormatting sqref="I16:K16 I18:K18">
    <cfRule type="expression" dxfId="4425" priority="1442">
      <formula>NOT(ISERROR(BP16))</formula>
    </cfRule>
    <cfRule type="expression" dxfId="4424" priority="1443" stopIfTrue="1">
      <formula>ISTEXT(E16)</formula>
    </cfRule>
  </conditionalFormatting>
  <conditionalFormatting sqref="I17:K17 I19:K19">
    <cfRule type="expression" dxfId="4423" priority="1444">
      <formula>NOT(ISERROR(BP17))</formula>
    </cfRule>
    <cfRule type="expression" dxfId="4422" priority="1445">
      <formula>ISTEXT(E17)</formula>
    </cfRule>
  </conditionalFormatting>
  <conditionalFormatting sqref="E21 E23 G21:H21 G23:H23">
    <cfRule type="expression" dxfId="4421" priority="1410">
      <formula>AND(ISTEXT(I21),ISBLANK(E21))</formula>
    </cfRule>
  </conditionalFormatting>
  <conditionalFormatting sqref="A20:K23">
    <cfRule type="expression" dxfId="4420" priority="1412">
      <formula>AND($I20&lt;&gt;"",$L20="")</formula>
    </cfRule>
  </conditionalFormatting>
  <conditionalFormatting sqref="F21 F23">
    <cfRule type="expression" dxfId="4419" priority="1413">
      <formula>AND(ISTEXT(#REF!),ISBLANK(F21))</formula>
    </cfRule>
  </conditionalFormatting>
  <conditionalFormatting sqref="X20:X23">
    <cfRule type="expression" dxfId="4418" priority="1405">
      <formula>$X$11="-"</formula>
    </cfRule>
  </conditionalFormatting>
  <conditionalFormatting sqref="Q20:Q23">
    <cfRule type="expression" dxfId="4417" priority="1404">
      <formula>$Q$11="-"</formula>
    </cfRule>
  </conditionalFormatting>
  <conditionalFormatting sqref="Y20:Y23">
    <cfRule type="expression" dxfId="4416" priority="1403">
      <formula>$Y$11="-"</formula>
    </cfRule>
  </conditionalFormatting>
  <conditionalFormatting sqref="Z20:Z23">
    <cfRule type="expression" dxfId="4415" priority="1402">
      <formula>$Z$11="-"</formula>
    </cfRule>
  </conditionalFormatting>
  <conditionalFormatting sqref="AA20:AA23">
    <cfRule type="expression" dxfId="4414" priority="1401">
      <formula>$AA$11="-"</formula>
    </cfRule>
  </conditionalFormatting>
  <conditionalFormatting sqref="AL20:AL23">
    <cfRule type="expression" dxfId="4413" priority="1400">
      <formula>$AL$11="-"</formula>
    </cfRule>
  </conditionalFormatting>
  <conditionalFormatting sqref="AM20:AM23">
    <cfRule type="expression" dxfId="4412" priority="1399">
      <formula>$AM$11="-"</formula>
    </cfRule>
  </conditionalFormatting>
  <conditionalFormatting sqref="AN20:AN23">
    <cfRule type="expression" dxfId="4411" priority="1398">
      <formula>$AN$11="-"</formula>
    </cfRule>
  </conditionalFormatting>
  <conditionalFormatting sqref="AO20:AO23">
    <cfRule type="expression" dxfId="4410" priority="1397">
      <formula>$AO$11="-"</formula>
    </cfRule>
  </conditionalFormatting>
  <conditionalFormatting sqref="AE20:AE23">
    <cfRule type="expression" dxfId="4409" priority="1396">
      <formula>$AE$11="-"</formula>
    </cfRule>
  </conditionalFormatting>
  <conditionalFormatting sqref="AF20:AF23">
    <cfRule type="expression" dxfId="4408" priority="1395">
      <formula>$AF$11="-"</formula>
    </cfRule>
  </conditionalFormatting>
  <conditionalFormatting sqref="AG20:AG23">
    <cfRule type="expression" dxfId="4407" priority="1394">
      <formula>$AG$11="-"</formula>
    </cfRule>
  </conditionalFormatting>
  <conditionalFormatting sqref="AH20:AH23">
    <cfRule type="expression" dxfId="4406" priority="1393">
      <formula>$AH$11="-"</formula>
    </cfRule>
  </conditionalFormatting>
  <conditionalFormatting sqref="R20:R23">
    <cfRule type="expression" dxfId="4405" priority="1392">
      <formula>$R$11="-"</formula>
    </cfRule>
  </conditionalFormatting>
  <conditionalFormatting sqref="S20:S23">
    <cfRule type="expression" dxfId="4404" priority="1391">
      <formula>$S$11="-"</formula>
    </cfRule>
  </conditionalFormatting>
  <conditionalFormatting sqref="T20:T23">
    <cfRule type="expression" dxfId="4403" priority="1390">
      <formula>$T$11="-"</formula>
    </cfRule>
  </conditionalFormatting>
  <conditionalFormatting sqref="I20:K20 I22:K22">
    <cfRule type="expression" dxfId="4402" priority="1414">
      <formula>NOT(ISERROR(BP20))</formula>
    </cfRule>
    <cfRule type="expression" dxfId="4401" priority="1415" stopIfTrue="1">
      <formula>ISTEXT(E20)</formula>
    </cfRule>
  </conditionalFormatting>
  <conditionalFormatting sqref="I21:K21 I23:K23">
    <cfRule type="expression" dxfId="4400" priority="1416">
      <formula>NOT(ISERROR(BP21))</formula>
    </cfRule>
    <cfRule type="expression" dxfId="4399" priority="1417">
      <formula>ISTEXT(E21)</formula>
    </cfRule>
  </conditionalFormatting>
  <conditionalFormatting sqref="E25 E27 G25:H25 G27:H27">
    <cfRule type="expression" dxfId="4398" priority="1382">
      <formula>AND(ISTEXT(I25),ISBLANK(E25))</formula>
    </cfRule>
  </conditionalFormatting>
  <conditionalFormatting sqref="A24:K27">
    <cfRule type="expression" dxfId="4397" priority="1384">
      <formula>AND($I24&lt;&gt;"",$L24="")</formula>
    </cfRule>
  </conditionalFormatting>
  <conditionalFormatting sqref="F25 F27">
    <cfRule type="expression" dxfId="4396" priority="1385">
      <formula>AND(ISTEXT(#REF!),ISBLANK(F25))</formula>
    </cfRule>
  </conditionalFormatting>
  <conditionalFormatting sqref="X24:X27">
    <cfRule type="expression" dxfId="4395" priority="1377">
      <formula>$X$11="-"</formula>
    </cfRule>
  </conditionalFormatting>
  <conditionalFormatting sqref="Q24:Q27">
    <cfRule type="expression" dxfId="4394" priority="1376">
      <formula>$Q$11="-"</formula>
    </cfRule>
  </conditionalFormatting>
  <conditionalFormatting sqref="Y24:Y27">
    <cfRule type="expression" dxfId="4393" priority="1375">
      <formula>$Y$11="-"</formula>
    </cfRule>
  </conditionalFormatting>
  <conditionalFormatting sqref="Z24:Z27">
    <cfRule type="expression" dxfId="4392" priority="1374">
      <formula>$Z$11="-"</formula>
    </cfRule>
  </conditionalFormatting>
  <conditionalFormatting sqref="AA24:AA27">
    <cfRule type="expression" dxfId="4391" priority="1373">
      <formula>$AA$11="-"</formula>
    </cfRule>
  </conditionalFormatting>
  <conditionalFormatting sqref="AL24:AL27">
    <cfRule type="expression" dxfId="4390" priority="1372">
      <formula>$AL$11="-"</formula>
    </cfRule>
  </conditionalFormatting>
  <conditionalFormatting sqref="AM24:AM27">
    <cfRule type="expression" dxfId="4389" priority="1371">
      <formula>$AM$11="-"</formula>
    </cfRule>
  </conditionalFormatting>
  <conditionalFormatting sqref="AN24:AN27">
    <cfRule type="expression" dxfId="4388" priority="1370">
      <formula>$AN$11="-"</formula>
    </cfRule>
  </conditionalFormatting>
  <conditionalFormatting sqref="AO24:AO27">
    <cfRule type="expression" dxfId="4387" priority="1369">
      <formula>$AO$11="-"</formula>
    </cfRule>
  </conditionalFormatting>
  <conditionalFormatting sqref="AE24:AE27">
    <cfRule type="expression" dxfId="4386" priority="1368">
      <formula>$AE$11="-"</formula>
    </cfRule>
  </conditionalFormatting>
  <conditionalFormatting sqref="AF24:AF27">
    <cfRule type="expression" dxfId="4385" priority="1367">
      <formula>$AF$11="-"</formula>
    </cfRule>
  </conditionalFormatting>
  <conditionalFormatting sqref="AG24:AG27">
    <cfRule type="expression" dxfId="4384" priority="1366">
      <formula>$AG$11="-"</formula>
    </cfRule>
  </conditionalFormatting>
  <conditionalFormatting sqref="AH24:AH27">
    <cfRule type="expression" dxfId="4383" priority="1365">
      <formula>$AH$11="-"</formula>
    </cfRule>
  </conditionalFormatting>
  <conditionalFormatting sqref="R24:R27">
    <cfRule type="expression" dxfId="4382" priority="1364">
      <formula>$R$11="-"</formula>
    </cfRule>
  </conditionalFormatting>
  <conditionalFormatting sqref="S24:S27">
    <cfRule type="expression" dxfId="4381" priority="1363">
      <formula>$S$11="-"</formula>
    </cfRule>
  </conditionalFormatting>
  <conditionalFormatting sqref="T24:T27">
    <cfRule type="expression" dxfId="4380" priority="1362">
      <formula>$T$11="-"</formula>
    </cfRule>
  </conditionalFormatting>
  <conditionalFormatting sqref="I24:K24 I26:K26">
    <cfRule type="expression" dxfId="4379" priority="1386">
      <formula>NOT(ISERROR(BP24))</formula>
    </cfRule>
    <cfRule type="expression" dxfId="4378" priority="1387" stopIfTrue="1">
      <formula>ISTEXT(E24)</formula>
    </cfRule>
  </conditionalFormatting>
  <conditionalFormatting sqref="I25:K25 I27:K27">
    <cfRule type="expression" dxfId="4377" priority="1388">
      <formula>NOT(ISERROR(BP25))</formula>
    </cfRule>
    <cfRule type="expression" dxfId="4376" priority="1389">
      <formula>ISTEXT(E25)</formula>
    </cfRule>
  </conditionalFormatting>
  <conditionalFormatting sqref="E29 E31 G29:H29 G31:H31">
    <cfRule type="expression" dxfId="4375" priority="1354">
      <formula>AND(ISTEXT(I29),ISBLANK(E29))</formula>
    </cfRule>
  </conditionalFormatting>
  <conditionalFormatting sqref="A28:K31">
    <cfRule type="expression" dxfId="4374" priority="1356">
      <formula>AND($I28&lt;&gt;"",$L28="")</formula>
    </cfRule>
  </conditionalFormatting>
  <conditionalFormatting sqref="F29 F31">
    <cfRule type="expression" dxfId="4373" priority="1357">
      <formula>AND(ISTEXT(#REF!),ISBLANK(F29))</formula>
    </cfRule>
  </conditionalFormatting>
  <conditionalFormatting sqref="X28:X31">
    <cfRule type="expression" dxfId="4372" priority="1349">
      <formula>$X$11="-"</formula>
    </cfRule>
  </conditionalFormatting>
  <conditionalFormatting sqref="Q28:Q31">
    <cfRule type="expression" dxfId="4371" priority="1348">
      <formula>$Q$11="-"</formula>
    </cfRule>
  </conditionalFormatting>
  <conditionalFormatting sqref="Y28:Y31">
    <cfRule type="expression" dxfId="4370" priority="1347">
      <formula>$Y$11="-"</formula>
    </cfRule>
  </conditionalFormatting>
  <conditionalFormatting sqref="Z28:Z31">
    <cfRule type="expression" dxfId="4369" priority="1346">
      <formula>$Z$11="-"</formula>
    </cfRule>
  </conditionalFormatting>
  <conditionalFormatting sqref="AA28:AA31">
    <cfRule type="expression" dxfId="4368" priority="1345">
      <formula>$AA$11="-"</formula>
    </cfRule>
  </conditionalFormatting>
  <conditionalFormatting sqref="AL28:AL31">
    <cfRule type="expression" dxfId="4367" priority="1344">
      <formula>$AL$11="-"</formula>
    </cfRule>
  </conditionalFormatting>
  <conditionalFormatting sqref="AM28:AM31">
    <cfRule type="expression" dxfId="4366" priority="1343">
      <formula>$AM$11="-"</formula>
    </cfRule>
  </conditionalFormatting>
  <conditionalFormatting sqref="AN28:AN31">
    <cfRule type="expression" dxfId="4365" priority="1342">
      <formula>$AN$11="-"</formula>
    </cfRule>
  </conditionalFormatting>
  <conditionalFormatting sqref="AO28:AO31">
    <cfRule type="expression" dxfId="4364" priority="1341">
      <formula>$AO$11="-"</formula>
    </cfRule>
  </conditionalFormatting>
  <conditionalFormatting sqref="AE28:AE31">
    <cfRule type="expression" dxfId="4363" priority="1340">
      <formula>$AE$11="-"</formula>
    </cfRule>
  </conditionalFormatting>
  <conditionalFormatting sqref="AF28:AF31">
    <cfRule type="expression" dxfId="4362" priority="1339">
      <formula>$AF$11="-"</formula>
    </cfRule>
  </conditionalFormatting>
  <conditionalFormatting sqref="AG28:AG31">
    <cfRule type="expression" dxfId="4361" priority="1338">
      <formula>$AG$11="-"</formula>
    </cfRule>
  </conditionalFormatting>
  <conditionalFormatting sqref="AH28:AH31">
    <cfRule type="expression" dxfId="4360" priority="1337">
      <formula>$AH$11="-"</formula>
    </cfRule>
  </conditionalFormatting>
  <conditionalFormatting sqref="R28:R31">
    <cfRule type="expression" dxfId="4359" priority="1336">
      <formula>$R$11="-"</formula>
    </cfRule>
  </conditionalFormatting>
  <conditionalFormatting sqref="S28:S31">
    <cfRule type="expression" dxfId="4358" priority="1335">
      <formula>$S$11="-"</formula>
    </cfRule>
  </conditionalFormatting>
  <conditionalFormatting sqref="T28:T31">
    <cfRule type="expression" dxfId="4357" priority="1334">
      <formula>$T$11="-"</formula>
    </cfRule>
  </conditionalFormatting>
  <conditionalFormatting sqref="I28:K28 I30:K30">
    <cfRule type="expression" dxfId="4356" priority="1358">
      <formula>NOT(ISERROR(BP28))</formula>
    </cfRule>
    <cfRule type="expression" dxfId="4355" priority="1359" stopIfTrue="1">
      <formula>ISTEXT(E28)</formula>
    </cfRule>
  </conditionalFormatting>
  <conditionalFormatting sqref="I29:K29 I31:K31">
    <cfRule type="expression" dxfId="4354" priority="1360">
      <formula>NOT(ISERROR(BP29))</formula>
    </cfRule>
    <cfRule type="expression" dxfId="4353" priority="1361">
      <formula>ISTEXT(E29)</formula>
    </cfRule>
  </conditionalFormatting>
  <conditionalFormatting sqref="E33 E35 G33:H33 G35:H35">
    <cfRule type="expression" dxfId="4352" priority="1326">
      <formula>AND(ISTEXT(I33),ISBLANK(E33))</formula>
    </cfRule>
  </conditionalFormatting>
  <conditionalFormatting sqref="A32:K35">
    <cfRule type="expression" dxfId="4351" priority="1328">
      <formula>AND($I32&lt;&gt;"",$L32="")</formula>
    </cfRule>
  </conditionalFormatting>
  <conditionalFormatting sqref="F33 F35">
    <cfRule type="expression" dxfId="4350" priority="1329">
      <formula>AND(ISTEXT(#REF!),ISBLANK(F33))</formula>
    </cfRule>
  </conditionalFormatting>
  <conditionalFormatting sqref="X32:X35">
    <cfRule type="expression" dxfId="4349" priority="1321">
      <formula>$X$11="-"</formula>
    </cfRule>
  </conditionalFormatting>
  <conditionalFormatting sqref="Q32:Q35">
    <cfRule type="expression" dxfId="4348" priority="1320">
      <formula>$Q$11="-"</formula>
    </cfRule>
  </conditionalFormatting>
  <conditionalFormatting sqref="Y32:Y35">
    <cfRule type="expression" dxfId="4347" priority="1319">
      <formula>$Y$11="-"</formula>
    </cfRule>
  </conditionalFormatting>
  <conditionalFormatting sqref="Z32:Z35">
    <cfRule type="expression" dxfId="4346" priority="1318">
      <formula>$Z$11="-"</formula>
    </cfRule>
  </conditionalFormatting>
  <conditionalFormatting sqref="AA32:AA35">
    <cfRule type="expression" dxfId="4345" priority="1317">
      <formula>$AA$11="-"</formula>
    </cfRule>
  </conditionalFormatting>
  <conditionalFormatting sqref="AL32:AL35">
    <cfRule type="expression" dxfId="4344" priority="1316">
      <formula>$AL$11="-"</formula>
    </cfRule>
  </conditionalFormatting>
  <conditionalFormatting sqref="AM32:AM35">
    <cfRule type="expression" dxfId="4343" priority="1315">
      <formula>$AM$11="-"</formula>
    </cfRule>
  </conditionalFormatting>
  <conditionalFormatting sqref="AN32:AN35">
    <cfRule type="expression" dxfId="4342" priority="1314">
      <formula>$AN$11="-"</formula>
    </cfRule>
  </conditionalFormatting>
  <conditionalFormatting sqref="AO32:AO35">
    <cfRule type="expression" dxfId="4341" priority="1313">
      <formula>$AO$11="-"</formula>
    </cfRule>
  </conditionalFormatting>
  <conditionalFormatting sqref="AE32:AE35">
    <cfRule type="expression" dxfId="4340" priority="1312">
      <formula>$AE$11="-"</formula>
    </cfRule>
  </conditionalFormatting>
  <conditionalFormatting sqref="AF32:AF35">
    <cfRule type="expression" dxfId="4339" priority="1311">
      <formula>$AF$11="-"</formula>
    </cfRule>
  </conditionalFormatting>
  <conditionalFormatting sqref="AG32:AG35">
    <cfRule type="expression" dxfId="4338" priority="1310">
      <formula>$AG$11="-"</formula>
    </cfRule>
  </conditionalFormatting>
  <conditionalFormatting sqref="AH32:AH35">
    <cfRule type="expression" dxfId="4337" priority="1309">
      <formula>$AH$11="-"</formula>
    </cfRule>
  </conditionalFormatting>
  <conditionalFormatting sqref="R32:R35">
    <cfRule type="expression" dxfId="4336" priority="1308">
      <formula>$R$11="-"</formula>
    </cfRule>
  </conditionalFormatting>
  <conditionalFormatting sqref="S32:S35">
    <cfRule type="expression" dxfId="4335" priority="1307">
      <formula>$S$11="-"</formula>
    </cfRule>
  </conditionalFormatting>
  <conditionalFormatting sqref="T32:T35">
    <cfRule type="expression" dxfId="4334" priority="1306">
      <formula>$T$11="-"</formula>
    </cfRule>
  </conditionalFormatting>
  <conditionalFormatting sqref="I32:K32 I34:K34">
    <cfRule type="expression" dxfId="4333" priority="1330">
      <formula>NOT(ISERROR(BP32))</formula>
    </cfRule>
    <cfRule type="expression" dxfId="4332" priority="1331" stopIfTrue="1">
      <formula>ISTEXT(E32)</formula>
    </cfRule>
  </conditionalFormatting>
  <conditionalFormatting sqref="I33:K33 I35:K35">
    <cfRule type="expression" dxfId="4331" priority="1332">
      <formula>NOT(ISERROR(BP33))</formula>
    </cfRule>
    <cfRule type="expression" dxfId="4330" priority="1333">
      <formula>ISTEXT(E33)</formula>
    </cfRule>
  </conditionalFormatting>
  <conditionalFormatting sqref="E37 E39 G37:H37 G39:H39">
    <cfRule type="expression" dxfId="4329" priority="1298">
      <formula>AND(ISTEXT(I37),ISBLANK(E37))</formula>
    </cfRule>
  </conditionalFormatting>
  <conditionalFormatting sqref="A36:K39">
    <cfRule type="expression" dxfId="4328" priority="1300">
      <formula>AND($I36&lt;&gt;"",$L36="")</formula>
    </cfRule>
  </conditionalFormatting>
  <conditionalFormatting sqref="F37 F39">
    <cfRule type="expression" dxfId="4327" priority="1301">
      <formula>AND(ISTEXT(#REF!),ISBLANK(F37))</formula>
    </cfRule>
  </conditionalFormatting>
  <conditionalFormatting sqref="X36:X39">
    <cfRule type="expression" dxfId="4326" priority="1293">
      <formula>$X$11="-"</formula>
    </cfRule>
  </conditionalFormatting>
  <conditionalFormatting sqref="Q36:Q39">
    <cfRule type="expression" dxfId="4325" priority="1292">
      <formula>$Q$11="-"</formula>
    </cfRule>
  </conditionalFormatting>
  <conditionalFormatting sqref="Y36:Y39">
    <cfRule type="expression" dxfId="4324" priority="1291">
      <formula>$Y$11="-"</formula>
    </cfRule>
  </conditionalFormatting>
  <conditionalFormatting sqref="Z36:Z39">
    <cfRule type="expression" dxfId="4323" priority="1290">
      <formula>$Z$11="-"</formula>
    </cfRule>
  </conditionalFormatting>
  <conditionalFormatting sqref="AA36:AA39">
    <cfRule type="expression" dxfId="4322" priority="1289">
      <formula>$AA$11="-"</formula>
    </cfRule>
  </conditionalFormatting>
  <conditionalFormatting sqref="AL36:AL39">
    <cfRule type="expression" dxfId="4321" priority="1288">
      <formula>$AL$11="-"</formula>
    </cfRule>
  </conditionalFormatting>
  <conditionalFormatting sqref="AM36:AM39">
    <cfRule type="expression" dxfId="4320" priority="1287">
      <formula>$AM$11="-"</formula>
    </cfRule>
  </conditionalFormatting>
  <conditionalFormatting sqref="AN36:AN39">
    <cfRule type="expression" dxfId="4319" priority="1286">
      <formula>$AN$11="-"</formula>
    </cfRule>
  </conditionalFormatting>
  <conditionalFormatting sqref="AO36:AO39">
    <cfRule type="expression" dxfId="4318" priority="1285">
      <formula>$AO$11="-"</formula>
    </cfRule>
  </conditionalFormatting>
  <conditionalFormatting sqref="AE36:AE39">
    <cfRule type="expression" dxfId="4317" priority="1284">
      <formula>$AE$11="-"</formula>
    </cfRule>
  </conditionalFormatting>
  <conditionalFormatting sqref="AF36:AF39">
    <cfRule type="expression" dxfId="4316" priority="1283">
      <formula>$AF$11="-"</formula>
    </cfRule>
  </conditionalFormatting>
  <conditionalFormatting sqref="AG36:AG39">
    <cfRule type="expression" dxfId="4315" priority="1282">
      <formula>$AG$11="-"</formula>
    </cfRule>
  </conditionalFormatting>
  <conditionalFormatting sqref="AH36:AH39">
    <cfRule type="expression" dxfId="4314" priority="1281">
      <formula>$AH$11="-"</formula>
    </cfRule>
  </conditionalFormatting>
  <conditionalFormatting sqref="R36:R39">
    <cfRule type="expression" dxfId="4313" priority="1280">
      <formula>$R$11="-"</formula>
    </cfRule>
  </conditionalFormatting>
  <conditionalFormatting sqref="S36:S39">
    <cfRule type="expression" dxfId="4312" priority="1279">
      <formula>$S$11="-"</formula>
    </cfRule>
  </conditionalFormatting>
  <conditionalFormatting sqref="T36:T39">
    <cfRule type="expression" dxfId="4311" priority="1278">
      <formula>$T$11="-"</formula>
    </cfRule>
  </conditionalFormatting>
  <conditionalFormatting sqref="I36:K36 I38:K38">
    <cfRule type="expression" dxfId="4310" priority="1302">
      <formula>NOT(ISERROR(BP36))</formula>
    </cfRule>
    <cfRule type="expression" dxfId="4309" priority="1303" stopIfTrue="1">
      <formula>ISTEXT(E36)</formula>
    </cfRule>
  </conditionalFormatting>
  <conditionalFormatting sqref="I37:K37 I39:K39">
    <cfRule type="expression" dxfId="4308" priority="1304">
      <formula>NOT(ISERROR(BP37))</formula>
    </cfRule>
    <cfRule type="expression" dxfId="4307" priority="1305">
      <formula>ISTEXT(E37)</formula>
    </cfRule>
  </conditionalFormatting>
  <conditionalFormatting sqref="E45 E47 G45:H45 G47:H47">
    <cfRule type="expression" dxfId="4306" priority="1242">
      <formula>AND(ISTEXT(I45),ISBLANK(E45))</formula>
    </cfRule>
  </conditionalFormatting>
  <conditionalFormatting sqref="A44:K47">
    <cfRule type="expression" dxfId="4305" priority="1244">
      <formula>AND($I44&lt;&gt;"",$L44="")</formula>
    </cfRule>
  </conditionalFormatting>
  <conditionalFormatting sqref="F45 F47">
    <cfRule type="expression" dxfId="4304" priority="1245">
      <formula>AND(ISTEXT(#REF!),ISBLANK(F45))</formula>
    </cfRule>
  </conditionalFormatting>
  <conditionalFormatting sqref="X44:X47">
    <cfRule type="expression" dxfId="4303" priority="1237">
      <formula>$X$11="-"</formula>
    </cfRule>
  </conditionalFormatting>
  <conditionalFormatting sqref="Q44:Q47">
    <cfRule type="expression" dxfId="4302" priority="1236">
      <formula>$Q$11="-"</formula>
    </cfRule>
  </conditionalFormatting>
  <conditionalFormatting sqref="Y44:Y47">
    <cfRule type="expression" dxfId="4301" priority="1235">
      <formula>$Y$11="-"</formula>
    </cfRule>
  </conditionalFormatting>
  <conditionalFormatting sqref="Z44:Z47">
    <cfRule type="expression" dxfId="4300" priority="1234">
      <formula>$Z$11="-"</formula>
    </cfRule>
  </conditionalFormatting>
  <conditionalFormatting sqref="AA44:AA47">
    <cfRule type="expression" dxfId="4299" priority="1233">
      <formula>$AA$11="-"</formula>
    </cfRule>
  </conditionalFormatting>
  <conditionalFormatting sqref="AL44:AL47">
    <cfRule type="expression" dxfId="4298" priority="1232">
      <formula>$AL$11="-"</formula>
    </cfRule>
  </conditionalFormatting>
  <conditionalFormatting sqref="AM44:AM47">
    <cfRule type="expression" dxfId="4297" priority="1231">
      <formula>$AM$11="-"</formula>
    </cfRule>
  </conditionalFormatting>
  <conditionalFormatting sqref="AN44:AN47">
    <cfRule type="expression" dxfId="4296" priority="1230">
      <formula>$AN$11="-"</formula>
    </cfRule>
  </conditionalFormatting>
  <conditionalFormatting sqref="AO44:AO47">
    <cfRule type="expression" dxfId="4295" priority="1229">
      <formula>$AO$11="-"</formula>
    </cfRule>
  </conditionalFormatting>
  <conditionalFormatting sqref="AE44:AE47">
    <cfRule type="expression" dxfId="4294" priority="1228">
      <formula>$AE$11="-"</formula>
    </cfRule>
  </conditionalFormatting>
  <conditionalFormatting sqref="AF44:AF47">
    <cfRule type="expression" dxfId="4293" priority="1227">
      <formula>$AF$11="-"</formula>
    </cfRule>
  </conditionalFormatting>
  <conditionalFormatting sqref="AG44:AG47">
    <cfRule type="expression" dxfId="4292" priority="1226">
      <formula>$AG$11="-"</formula>
    </cfRule>
  </conditionalFormatting>
  <conditionalFormatting sqref="AH44:AH47">
    <cfRule type="expression" dxfId="4291" priority="1225">
      <formula>$AH$11="-"</formula>
    </cfRule>
  </conditionalFormatting>
  <conditionalFormatting sqref="R44:R47">
    <cfRule type="expression" dxfId="4290" priority="1224">
      <formula>$R$11="-"</formula>
    </cfRule>
  </conditionalFormatting>
  <conditionalFormatting sqref="S44:S47">
    <cfRule type="expression" dxfId="4289" priority="1223">
      <formula>$S$11="-"</formula>
    </cfRule>
  </conditionalFormatting>
  <conditionalFormatting sqref="T44:T47">
    <cfRule type="expression" dxfId="4288" priority="1222">
      <formula>$T$11="-"</formula>
    </cfRule>
  </conditionalFormatting>
  <conditionalFormatting sqref="I44:K44 I46:K46">
    <cfRule type="expression" dxfId="4287" priority="1246">
      <formula>NOT(ISERROR(BP44))</formula>
    </cfRule>
    <cfRule type="expression" dxfId="4286" priority="1247" stopIfTrue="1">
      <formula>ISTEXT(E44)</formula>
    </cfRule>
  </conditionalFormatting>
  <conditionalFormatting sqref="I45:K45 I47:K47">
    <cfRule type="expression" dxfId="4285" priority="1248">
      <formula>NOT(ISERROR(BP45))</formula>
    </cfRule>
    <cfRule type="expression" dxfId="4284" priority="1249">
      <formula>ISTEXT(E45)</formula>
    </cfRule>
  </conditionalFormatting>
  <conditionalFormatting sqref="E41 E43 G41:H41 G43:H43">
    <cfRule type="expression" dxfId="4283" priority="1214">
      <formula>AND(ISTEXT(I41),ISBLANK(E41))</formula>
    </cfRule>
  </conditionalFormatting>
  <conditionalFormatting sqref="A40:K43">
    <cfRule type="expression" dxfId="4282" priority="1216">
      <formula>AND($I40&lt;&gt;"",$L40="")</formula>
    </cfRule>
  </conditionalFormatting>
  <conditionalFormatting sqref="F41 F43">
    <cfRule type="expression" dxfId="4281" priority="1217">
      <formula>AND(ISTEXT(#REF!),ISBLANK(F41))</formula>
    </cfRule>
  </conditionalFormatting>
  <conditionalFormatting sqref="X40:X43">
    <cfRule type="expression" dxfId="4280" priority="1209">
      <formula>$X$11="-"</formula>
    </cfRule>
  </conditionalFormatting>
  <conditionalFormatting sqref="Q40:Q43">
    <cfRule type="expression" dxfId="4279" priority="1208">
      <formula>$Q$11="-"</formula>
    </cfRule>
  </conditionalFormatting>
  <conditionalFormatting sqref="Y40:Y43">
    <cfRule type="expression" dxfId="4278" priority="1207">
      <formula>$Y$11="-"</formula>
    </cfRule>
  </conditionalFormatting>
  <conditionalFormatting sqref="Z40:Z43">
    <cfRule type="expression" dxfId="4277" priority="1206">
      <formula>$Z$11="-"</formula>
    </cfRule>
  </conditionalFormatting>
  <conditionalFormatting sqref="AA40:AA43">
    <cfRule type="expression" dxfId="4276" priority="1205">
      <formula>$AA$11="-"</formula>
    </cfRule>
  </conditionalFormatting>
  <conditionalFormatting sqref="AL40:AL43">
    <cfRule type="expression" dxfId="4275" priority="1204">
      <formula>$AL$11="-"</formula>
    </cfRule>
  </conditionalFormatting>
  <conditionalFormatting sqref="AM40:AM43">
    <cfRule type="expression" dxfId="4274" priority="1203">
      <formula>$AM$11="-"</formula>
    </cfRule>
  </conditionalFormatting>
  <conditionalFormatting sqref="AN40:AN43">
    <cfRule type="expression" dxfId="4273" priority="1202">
      <formula>$AN$11="-"</formula>
    </cfRule>
  </conditionalFormatting>
  <conditionalFormatting sqref="AO40:AO43">
    <cfRule type="expression" dxfId="4272" priority="1201">
      <formula>$AO$11="-"</formula>
    </cfRule>
  </conditionalFormatting>
  <conditionalFormatting sqref="AE40:AE43">
    <cfRule type="expression" dxfId="4271" priority="1200">
      <formula>$AE$11="-"</formula>
    </cfRule>
  </conditionalFormatting>
  <conditionalFormatting sqref="AF40:AF43">
    <cfRule type="expression" dxfId="4270" priority="1199">
      <formula>$AF$11="-"</formula>
    </cfRule>
  </conditionalFormatting>
  <conditionalFormatting sqref="AG40:AG43">
    <cfRule type="expression" dxfId="4269" priority="1198">
      <formula>$AG$11="-"</formula>
    </cfRule>
  </conditionalFormatting>
  <conditionalFormatting sqref="AH40:AH43">
    <cfRule type="expression" dxfId="4268" priority="1197">
      <formula>$AH$11="-"</formula>
    </cfRule>
  </conditionalFormatting>
  <conditionalFormatting sqref="R40:R43">
    <cfRule type="expression" dxfId="4267" priority="1196">
      <formula>$R$11="-"</formula>
    </cfRule>
  </conditionalFormatting>
  <conditionalFormatting sqref="S40:S43">
    <cfRule type="expression" dxfId="4266" priority="1195">
      <formula>$S$11="-"</formula>
    </cfRule>
  </conditionalFormatting>
  <conditionalFormatting sqref="T40:T43">
    <cfRule type="expression" dxfId="4265" priority="1194">
      <formula>$T$11="-"</formula>
    </cfRule>
  </conditionalFormatting>
  <conditionalFormatting sqref="I40:K40 I42:K42">
    <cfRule type="expression" dxfId="4264" priority="1218">
      <formula>NOT(ISERROR(BP40))</formula>
    </cfRule>
    <cfRule type="expression" dxfId="4263" priority="1219" stopIfTrue="1">
      <formula>ISTEXT(E40)</formula>
    </cfRule>
  </conditionalFormatting>
  <conditionalFormatting sqref="I41:K41 I43:K43">
    <cfRule type="expression" dxfId="4262" priority="1220">
      <formula>NOT(ISERROR(BP41))</formula>
    </cfRule>
    <cfRule type="expression" dxfId="4261" priority="1221">
      <formula>ISTEXT(E41)</formula>
    </cfRule>
  </conditionalFormatting>
  <conditionalFormatting sqref="E49 E51 G49:H49 G51:H51">
    <cfRule type="expression" dxfId="4260" priority="1186">
      <formula>AND(ISTEXT(I49),ISBLANK(E49))</formula>
    </cfRule>
  </conditionalFormatting>
  <conditionalFormatting sqref="A48:K51">
    <cfRule type="expression" dxfId="4259" priority="1188">
      <formula>AND($I48&lt;&gt;"",$L48="")</formula>
    </cfRule>
  </conditionalFormatting>
  <conditionalFormatting sqref="F49 F51">
    <cfRule type="expression" dxfId="4258" priority="1189">
      <formula>AND(ISTEXT(#REF!),ISBLANK(F49))</formula>
    </cfRule>
  </conditionalFormatting>
  <conditionalFormatting sqref="X48:X51">
    <cfRule type="expression" dxfId="4257" priority="1181">
      <formula>$X$11="-"</formula>
    </cfRule>
  </conditionalFormatting>
  <conditionalFormatting sqref="Q48:Q51">
    <cfRule type="expression" dxfId="4256" priority="1180">
      <formula>$Q$11="-"</formula>
    </cfRule>
  </conditionalFormatting>
  <conditionalFormatting sqref="Y48:Y51">
    <cfRule type="expression" dxfId="4255" priority="1179">
      <formula>$Y$11="-"</formula>
    </cfRule>
  </conditionalFormatting>
  <conditionalFormatting sqref="Z48:Z51">
    <cfRule type="expression" dxfId="4254" priority="1178">
      <formula>$Z$11="-"</formula>
    </cfRule>
  </conditionalFormatting>
  <conditionalFormatting sqref="AA48:AA51">
    <cfRule type="expression" dxfId="4253" priority="1177">
      <formula>$AA$11="-"</formula>
    </cfRule>
  </conditionalFormatting>
  <conditionalFormatting sqref="AL48:AL51">
    <cfRule type="expression" dxfId="4252" priority="1176">
      <formula>$AL$11="-"</formula>
    </cfRule>
  </conditionalFormatting>
  <conditionalFormatting sqref="AM48:AM51">
    <cfRule type="expression" dxfId="4251" priority="1175">
      <formula>$AM$11="-"</formula>
    </cfRule>
  </conditionalFormatting>
  <conditionalFormatting sqref="AN48:AN51">
    <cfRule type="expression" dxfId="4250" priority="1174">
      <formula>$AN$11="-"</formula>
    </cfRule>
  </conditionalFormatting>
  <conditionalFormatting sqref="AO48:AO51">
    <cfRule type="expression" dxfId="4249" priority="1173">
      <formula>$AO$11="-"</formula>
    </cfRule>
  </conditionalFormatting>
  <conditionalFormatting sqref="AE48:AE51">
    <cfRule type="expression" dxfId="4248" priority="1172">
      <formula>$AE$11="-"</formula>
    </cfRule>
  </conditionalFormatting>
  <conditionalFormatting sqref="AF48:AF51">
    <cfRule type="expression" dxfId="4247" priority="1171">
      <formula>$AF$11="-"</formula>
    </cfRule>
  </conditionalFormatting>
  <conditionalFormatting sqref="AG48:AG51">
    <cfRule type="expression" dxfId="4246" priority="1170">
      <formula>$AG$11="-"</formula>
    </cfRule>
  </conditionalFormatting>
  <conditionalFormatting sqref="AH48:AH51">
    <cfRule type="expression" dxfId="4245" priority="1169">
      <formula>$AH$11="-"</formula>
    </cfRule>
  </conditionalFormatting>
  <conditionalFormatting sqref="R48:R51">
    <cfRule type="expression" dxfId="4244" priority="1168">
      <formula>$R$11="-"</formula>
    </cfRule>
  </conditionalFormatting>
  <conditionalFormatting sqref="S48:S51">
    <cfRule type="expression" dxfId="4243" priority="1167">
      <formula>$S$11="-"</formula>
    </cfRule>
  </conditionalFormatting>
  <conditionalFormatting sqref="T48:T51">
    <cfRule type="expression" dxfId="4242" priority="1166">
      <formula>$T$11="-"</formula>
    </cfRule>
  </conditionalFormatting>
  <conditionalFormatting sqref="I48:K48 I50:K50">
    <cfRule type="expression" dxfId="4241" priority="1190">
      <formula>NOT(ISERROR(BP48))</formula>
    </cfRule>
    <cfRule type="expression" dxfId="4240" priority="1191" stopIfTrue="1">
      <formula>ISTEXT(E48)</formula>
    </cfRule>
  </conditionalFormatting>
  <conditionalFormatting sqref="I49:K49 I51:K51">
    <cfRule type="expression" dxfId="4239" priority="1192">
      <formula>NOT(ISERROR(BP49))</formula>
    </cfRule>
    <cfRule type="expression" dxfId="4238" priority="1193">
      <formula>ISTEXT(E49)</formula>
    </cfRule>
  </conditionalFormatting>
  <conditionalFormatting sqref="E53 E55 G53:H53 G55:H55">
    <cfRule type="expression" dxfId="4237" priority="1158">
      <formula>AND(ISTEXT(I53),ISBLANK(E53))</formula>
    </cfRule>
  </conditionalFormatting>
  <conditionalFormatting sqref="A52:K55">
    <cfRule type="expression" dxfId="4236" priority="1160">
      <formula>AND($I52&lt;&gt;"",$L52="")</formula>
    </cfRule>
  </conditionalFormatting>
  <conditionalFormatting sqref="F53 F55">
    <cfRule type="expression" dxfId="4235" priority="1161">
      <formula>AND(ISTEXT(#REF!),ISBLANK(F53))</formula>
    </cfRule>
  </conditionalFormatting>
  <conditionalFormatting sqref="X52:X55">
    <cfRule type="expression" dxfId="4234" priority="1153">
      <formula>$X$11="-"</formula>
    </cfRule>
  </conditionalFormatting>
  <conditionalFormatting sqref="Q52:Q55">
    <cfRule type="expression" dxfId="4233" priority="1152">
      <formula>$Q$11="-"</formula>
    </cfRule>
  </conditionalFormatting>
  <conditionalFormatting sqref="Y52:Y55">
    <cfRule type="expression" dxfId="4232" priority="1151">
      <formula>$Y$11="-"</formula>
    </cfRule>
  </conditionalFormatting>
  <conditionalFormatting sqref="Z52:Z55">
    <cfRule type="expression" dxfId="4231" priority="1150">
      <formula>$Z$11="-"</formula>
    </cfRule>
  </conditionalFormatting>
  <conditionalFormatting sqref="AA52:AA55">
    <cfRule type="expression" dxfId="4230" priority="1149">
      <formula>$AA$11="-"</formula>
    </cfRule>
  </conditionalFormatting>
  <conditionalFormatting sqref="AL52:AL55">
    <cfRule type="expression" dxfId="4229" priority="1148">
      <formula>$AL$11="-"</formula>
    </cfRule>
  </conditionalFormatting>
  <conditionalFormatting sqref="AM52:AM55">
    <cfRule type="expression" dxfId="4228" priority="1147">
      <formula>$AM$11="-"</formula>
    </cfRule>
  </conditionalFormatting>
  <conditionalFormatting sqref="AN52:AN55">
    <cfRule type="expression" dxfId="4227" priority="1146">
      <formula>$AN$11="-"</formula>
    </cfRule>
  </conditionalFormatting>
  <conditionalFormatting sqref="AO52:AO55">
    <cfRule type="expression" dxfId="4226" priority="1145">
      <formula>$AO$11="-"</formula>
    </cfRule>
  </conditionalFormatting>
  <conditionalFormatting sqref="AE52:AE55">
    <cfRule type="expression" dxfId="4225" priority="1144">
      <formula>$AE$11="-"</formula>
    </cfRule>
  </conditionalFormatting>
  <conditionalFormatting sqref="AF52:AF55">
    <cfRule type="expression" dxfId="4224" priority="1143">
      <formula>$AF$11="-"</formula>
    </cfRule>
  </conditionalFormatting>
  <conditionalFormatting sqref="AG52:AG55">
    <cfRule type="expression" dxfId="4223" priority="1142">
      <formula>$AG$11="-"</formula>
    </cfRule>
  </conditionalFormatting>
  <conditionalFormatting sqref="AH52:AH55">
    <cfRule type="expression" dxfId="4222" priority="1141">
      <formula>$AH$11="-"</formula>
    </cfRule>
  </conditionalFormatting>
  <conditionalFormatting sqref="R52:R55">
    <cfRule type="expression" dxfId="4221" priority="1140">
      <formula>$R$11="-"</formula>
    </cfRule>
  </conditionalFormatting>
  <conditionalFormatting sqref="S52:S55">
    <cfRule type="expression" dxfId="4220" priority="1139">
      <formula>$S$11="-"</formula>
    </cfRule>
  </conditionalFormatting>
  <conditionalFormatting sqref="T52:T55">
    <cfRule type="expression" dxfId="4219" priority="1138">
      <formula>$T$11="-"</formula>
    </cfRule>
  </conditionalFormatting>
  <conditionalFormatting sqref="I52:K52 I54:K54">
    <cfRule type="expression" dxfId="4218" priority="1162">
      <formula>NOT(ISERROR(BP52))</formula>
    </cfRule>
    <cfRule type="expression" dxfId="4217" priority="1163" stopIfTrue="1">
      <formula>ISTEXT(E52)</formula>
    </cfRule>
  </conditionalFormatting>
  <conditionalFormatting sqref="I53:K53 I55:K55">
    <cfRule type="expression" dxfId="4216" priority="1164">
      <formula>NOT(ISERROR(BP53))</formula>
    </cfRule>
    <cfRule type="expression" dxfId="4215" priority="1165">
      <formula>ISTEXT(E53)</formula>
    </cfRule>
  </conditionalFormatting>
  <conditionalFormatting sqref="E57 E59 G57:H57 G59:H59">
    <cfRule type="expression" dxfId="4214" priority="1130">
      <formula>AND(ISTEXT(I57),ISBLANK(E57))</formula>
    </cfRule>
  </conditionalFormatting>
  <conditionalFormatting sqref="A56:K59">
    <cfRule type="expression" dxfId="4213" priority="1132">
      <formula>AND($I56&lt;&gt;"",$L56="")</formula>
    </cfRule>
  </conditionalFormatting>
  <conditionalFormatting sqref="F57 F59">
    <cfRule type="expression" dxfId="4212" priority="1133">
      <formula>AND(ISTEXT(#REF!),ISBLANK(F57))</formula>
    </cfRule>
  </conditionalFormatting>
  <conditionalFormatting sqref="X56:X59">
    <cfRule type="expression" dxfId="4211" priority="1125">
      <formula>$X$11="-"</formula>
    </cfRule>
  </conditionalFormatting>
  <conditionalFormatting sqref="Q56:Q59">
    <cfRule type="expression" dxfId="4210" priority="1124">
      <formula>$Q$11="-"</formula>
    </cfRule>
  </conditionalFormatting>
  <conditionalFormatting sqref="Y56:Y59">
    <cfRule type="expression" dxfId="4209" priority="1123">
      <formula>$Y$11="-"</formula>
    </cfRule>
  </conditionalFormatting>
  <conditionalFormatting sqref="Z56:Z59">
    <cfRule type="expression" dxfId="4208" priority="1122">
      <formula>$Z$11="-"</formula>
    </cfRule>
  </conditionalFormatting>
  <conditionalFormatting sqref="AA56:AA59">
    <cfRule type="expression" dxfId="4207" priority="1121">
      <formula>$AA$11="-"</formula>
    </cfRule>
  </conditionalFormatting>
  <conditionalFormatting sqref="AL56:AL59">
    <cfRule type="expression" dxfId="4206" priority="1120">
      <formula>$AL$11="-"</formula>
    </cfRule>
  </conditionalFormatting>
  <conditionalFormatting sqref="AM56:AM59">
    <cfRule type="expression" dxfId="4205" priority="1119">
      <formula>$AM$11="-"</formula>
    </cfRule>
  </conditionalFormatting>
  <conditionalFormatting sqref="AN56:AN59">
    <cfRule type="expression" dxfId="4204" priority="1118">
      <formula>$AN$11="-"</formula>
    </cfRule>
  </conditionalFormatting>
  <conditionalFormatting sqref="AO56:AO59">
    <cfRule type="expression" dxfId="4203" priority="1117">
      <formula>$AO$11="-"</formula>
    </cfRule>
  </conditionalFormatting>
  <conditionalFormatting sqref="AE56:AE59">
    <cfRule type="expression" dxfId="4202" priority="1116">
      <formula>$AE$11="-"</formula>
    </cfRule>
  </conditionalFormatting>
  <conditionalFormatting sqref="AF56:AF59">
    <cfRule type="expression" dxfId="4201" priority="1115">
      <formula>$AF$11="-"</formula>
    </cfRule>
  </conditionalFormatting>
  <conditionalFormatting sqref="AG56:AG59">
    <cfRule type="expression" dxfId="4200" priority="1114">
      <formula>$AG$11="-"</formula>
    </cfRule>
  </conditionalFormatting>
  <conditionalFormatting sqref="AH56:AH59">
    <cfRule type="expression" dxfId="4199" priority="1113">
      <formula>$AH$11="-"</formula>
    </cfRule>
  </conditionalFormatting>
  <conditionalFormatting sqref="R56:R59">
    <cfRule type="expression" dxfId="4198" priority="1112">
      <formula>$R$11="-"</formula>
    </cfRule>
  </conditionalFormatting>
  <conditionalFormatting sqref="S56:S59">
    <cfRule type="expression" dxfId="4197" priority="1111">
      <formula>$S$11="-"</formula>
    </cfRule>
  </conditionalFormatting>
  <conditionalFormatting sqref="T56:T59">
    <cfRule type="expression" dxfId="4196" priority="1110">
      <formula>$T$11="-"</formula>
    </cfRule>
  </conditionalFormatting>
  <conditionalFormatting sqref="I56:K56 I58:K58">
    <cfRule type="expression" dxfId="4195" priority="1134">
      <formula>NOT(ISERROR(BP56))</formula>
    </cfRule>
    <cfRule type="expression" dxfId="4194" priority="1135" stopIfTrue="1">
      <formula>ISTEXT(E56)</formula>
    </cfRule>
  </conditionalFormatting>
  <conditionalFormatting sqref="I57:K57 I59:K59">
    <cfRule type="expression" dxfId="4193" priority="1136">
      <formula>NOT(ISERROR(BP57))</formula>
    </cfRule>
    <cfRule type="expression" dxfId="4192" priority="1137">
      <formula>ISTEXT(E57)</formula>
    </cfRule>
  </conditionalFormatting>
  <conditionalFormatting sqref="E61 G61:H61">
    <cfRule type="expression" dxfId="4191" priority="1102">
      <formula>AND(ISTEXT(I61),ISBLANK(E61))</formula>
    </cfRule>
  </conditionalFormatting>
  <conditionalFormatting sqref="A61:K61">
    <cfRule type="expression" dxfId="4190" priority="1104">
      <formula>AND($I61&lt;&gt;"",$L61="")</formula>
    </cfRule>
  </conditionalFormatting>
  <conditionalFormatting sqref="F61">
    <cfRule type="expression" dxfId="4189" priority="1105">
      <formula>AND(ISTEXT(#REF!),ISBLANK(F61))</formula>
    </cfRule>
  </conditionalFormatting>
  <conditionalFormatting sqref="X61">
    <cfRule type="expression" dxfId="4188" priority="1097">
      <formula>$X$11="-"</formula>
    </cfRule>
  </conditionalFormatting>
  <conditionalFormatting sqref="Q61">
    <cfRule type="expression" dxfId="4187" priority="1096">
      <formula>$Q$11="-"</formula>
    </cfRule>
  </conditionalFormatting>
  <conditionalFormatting sqref="Y61">
    <cfRule type="expression" dxfId="4186" priority="1095">
      <formula>$Y$11="-"</formula>
    </cfRule>
  </conditionalFormatting>
  <conditionalFormatting sqref="Z61">
    <cfRule type="expression" dxfId="4185" priority="1094">
      <formula>$Z$11="-"</formula>
    </cfRule>
  </conditionalFormatting>
  <conditionalFormatting sqref="AA61">
    <cfRule type="expression" dxfId="4184" priority="1093">
      <formula>$AA$11="-"</formula>
    </cfRule>
  </conditionalFormatting>
  <conditionalFormatting sqref="AL61">
    <cfRule type="expression" dxfId="4183" priority="1092">
      <formula>$AL$11="-"</formula>
    </cfRule>
  </conditionalFormatting>
  <conditionalFormatting sqref="AM61">
    <cfRule type="expression" dxfId="4182" priority="1091">
      <formula>$AM$11="-"</formula>
    </cfRule>
  </conditionalFormatting>
  <conditionalFormatting sqref="AN61">
    <cfRule type="expression" dxfId="4181" priority="1090">
      <formula>$AN$11="-"</formula>
    </cfRule>
  </conditionalFormatting>
  <conditionalFormatting sqref="AO61">
    <cfRule type="expression" dxfId="4180" priority="1089">
      <formula>$AO$11="-"</formula>
    </cfRule>
  </conditionalFormatting>
  <conditionalFormatting sqref="AE61">
    <cfRule type="expression" dxfId="4179" priority="1088">
      <formula>$AE$11="-"</formula>
    </cfRule>
  </conditionalFormatting>
  <conditionalFormatting sqref="AF61">
    <cfRule type="expression" dxfId="4178" priority="1087">
      <formula>$AF$11="-"</formula>
    </cfRule>
  </conditionalFormatting>
  <conditionalFormatting sqref="AG61">
    <cfRule type="expression" dxfId="4177" priority="1086">
      <formula>$AG$11="-"</formula>
    </cfRule>
  </conditionalFormatting>
  <conditionalFormatting sqref="AH61">
    <cfRule type="expression" dxfId="4176" priority="1085">
      <formula>$AH$11="-"</formula>
    </cfRule>
  </conditionalFormatting>
  <conditionalFormatting sqref="R61">
    <cfRule type="expression" dxfId="4175" priority="1084">
      <formula>$R$11="-"</formula>
    </cfRule>
  </conditionalFormatting>
  <conditionalFormatting sqref="S61">
    <cfRule type="expression" dxfId="4174" priority="1083">
      <formula>$S$11="-"</formula>
    </cfRule>
  </conditionalFormatting>
  <conditionalFormatting sqref="T61">
    <cfRule type="expression" dxfId="4173" priority="1082">
      <formula>$T$11="-"</formula>
    </cfRule>
  </conditionalFormatting>
  <conditionalFormatting sqref="I61:K61">
    <cfRule type="expression" dxfId="4172" priority="1108">
      <formula>NOT(ISERROR(BP61))</formula>
    </cfRule>
    <cfRule type="expression" dxfId="4171" priority="1109">
      <formula>ISTEXT(E61)</formula>
    </cfRule>
  </conditionalFormatting>
  <conditionalFormatting sqref="A60:K60">
    <cfRule type="expression" dxfId="4170" priority="1079">
      <formula>AND($I60&lt;&gt;"",$L60="")</formula>
    </cfRule>
  </conditionalFormatting>
  <conditionalFormatting sqref="X60">
    <cfRule type="expression" dxfId="4169" priority="1073">
      <formula>$X$11="-"</formula>
    </cfRule>
  </conditionalFormatting>
  <conditionalFormatting sqref="Q60">
    <cfRule type="expression" dxfId="4168" priority="1072">
      <formula>$Q$11="-"</formula>
    </cfRule>
  </conditionalFormatting>
  <conditionalFormatting sqref="Y60">
    <cfRule type="expression" dxfId="4167" priority="1071">
      <formula>$Y$11="-"</formula>
    </cfRule>
  </conditionalFormatting>
  <conditionalFormatting sqref="Z60">
    <cfRule type="expression" dxfId="4166" priority="1070">
      <formula>$Z$11="-"</formula>
    </cfRule>
  </conditionalFormatting>
  <conditionalFormatting sqref="AA60">
    <cfRule type="expression" dxfId="4165" priority="1069">
      <formula>$AA$11="-"</formula>
    </cfRule>
  </conditionalFormatting>
  <conditionalFormatting sqref="AL60">
    <cfRule type="expression" dxfId="4164" priority="1068">
      <formula>$AL$11="-"</formula>
    </cfRule>
  </conditionalFormatting>
  <conditionalFormatting sqref="AM60">
    <cfRule type="expression" dxfId="4163" priority="1067">
      <formula>$AM$11="-"</formula>
    </cfRule>
  </conditionalFormatting>
  <conditionalFormatting sqref="AN60">
    <cfRule type="expression" dxfId="4162" priority="1066">
      <formula>$AN$11="-"</formula>
    </cfRule>
  </conditionalFormatting>
  <conditionalFormatting sqref="AO60">
    <cfRule type="expression" dxfId="4161" priority="1065">
      <formula>$AO$11="-"</formula>
    </cfRule>
  </conditionalFormatting>
  <conditionalFormatting sqref="AE60">
    <cfRule type="expression" dxfId="4160" priority="1064">
      <formula>$AE$11="-"</formula>
    </cfRule>
  </conditionalFormatting>
  <conditionalFormatting sqref="AF60">
    <cfRule type="expression" dxfId="4159" priority="1063">
      <formula>$AF$11="-"</formula>
    </cfRule>
  </conditionalFormatting>
  <conditionalFormatting sqref="AG60">
    <cfRule type="expression" dxfId="4158" priority="1062">
      <formula>$AG$11="-"</formula>
    </cfRule>
  </conditionalFormatting>
  <conditionalFormatting sqref="AH60">
    <cfRule type="expression" dxfId="4157" priority="1061">
      <formula>$AH$11="-"</formula>
    </cfRule>
  </conditionalFormatting>
  <conditionalFormatting sqref="R60">
    <cfRule type="expression" dxfId="4156" priority="1060">
      <formula>$R$11="-"</formula>
    </cfRule>
  </conditionalFormatting>
  <conditionalFormatting sqref="S60">
    <cfRule type="expression" dxfId="4155" priority="1059">
      <formula>$S$11="-"</formula>
    </cfRule>
  </conditionalFormatting>
  <conditionalFormatting sqref="T60">
    <cfRule type="expression" dxfId="4154" priority="1058">
      <formula>$T$11="-"</formula>
    </cfRule>
  </conditionalFormatting>
  <conditionalFormatting sqref="I60:K60">
    <cfRule type="expression" dxfId="4153" priority="1080">
      <formula>NOT(ISERROR(BP60))</formula>
    </cfRule>
    <cfRule type="expression" dxfId="4152" priority="1081" stopIfTrue="1">
      <formula>ISTEXT(E60)</formula>
    </cfRule>
  </conditionalFormatting>
  <conditionalFormatting sqref="A62:K62">
    <cfRule type="expression" dxfId="4151" priority="1055">
      <formula>AND($I62&lt;&gt;"",$L62="")</formula>
    </cfRule>
  </conditionalFormatting>
  <conditionalFormatting sqref="X62">
    <cfRule type="expression" dxfId="4150" priority="1049">
      <formula>$X$11="-"</formula>
    </cfRule>
  </conditionalFormatting>
  <conditionalFormatting sqref="Q62">
    <cfRule type="expression" dxfId="4149" priority="1048">
      <formula>$Q$11="-"</formula>
    </cfRule>
  </conditionalFormatting>
  <conditionalFormatting sqref="Y62">
    <cfRule type="expression" dxfId="4148" priority="1047">
      <formula>$Y$11="-"</formula>
    </cfRule>
  </conditionalFormatting>
  <conditionalFormatting sqref="Z62">
    <cfRule type="expression" dxfId="4147" priority="1046">
      <formula>$Z$11="-"</formula>
    </cfRule>
  </conditionalFormatting>
  <conditionalFormatting sqref="AA62">
    <cfRule type="expression" dxfId="4146" priority="1045">
      <formula>$AA$11="-"</formula>
    </cfRule>
  </conditionalFormatting>
  <conditionalFormatting sqref="AL62">
    <cfRule type="expression" dxfId="4145" priority="1044">
      <formula>$AL$11="-"</formula>
    </cfRule>
  </conditionalFormatting>
  <conditionalFormatting sqref="AM62">
    <cfRule type="expression" dxfId="4144" priority="1043">
      <formula>$AM$11="-"</formula>
    </cfRule>
  </conditionalFormatting>
  <conditionalFormatting sqref="AN62">
    <cfRule type="expression" dxfId="4143" priority="1042">
      <formula>$AN$11="-"</formula>
    </cfRule>
  </conditionalFormatting>
  <conditionalFormatting sqref="AO62">
    <cfRule type="expression" dxfId="4142" priority="1041">
      <formula>$AO$11="-"</formula>
    </cfRule>
  </conditionalFormatting>
  <conditionalFormatting sqref="AE62">
    <cfRule type="expression" dxfId="4141" priority="1040">
      <formula>$AE$11="-"</formula>
    </cfRule>
  </conditionalFormatting>
  <conditionalFormatting sqref="AF62">
    <cfRule type="expression" dxfId="4140" priority="1039">
      <formula>$AF$11="-"</formula>
    </cfRule>
  </conditionalFormatting>
  <conditionalFormatting sqref="AG62">
    <cfRule type="expression" dxfId="4139" priority="1038">
      <formula>$AG$11="-"</formula>
    </cfRule>
  </conditionalFormatting>
  <conditionalFormatting sqref="AH62">
    <cfRule type="expression" dxfId="4138" priority="1037">
      <formula>$AH$11="-"</formula>
    </cfRule>
  </conditionalFormatting>
  <conditionalFormatting sqref="R62">
    <cfRule type="expression" dxfId="4137" priority="1036">
      <formula>$R$11="-"</formula>
    </cfRule>
  </conditionalFormatting>
  <conditionalFormatting sqref="S62">
    <cfRule type="expression" dxfId="4136" priority="1035">
      <formula>$S$11="-"</formula>
    </cfRule>
  </conditionalFormatting>
  <conditionalFormatting sqref="T62">
    <cfRule type="expression" dxfId="4135" priority="1034">
      <formula>$T$11="-"</formula>
    </cfRule>
  </conditionalFormatting>
  <conditionalFormatting sqref="I62:K62">
    <cfRule type="expression" dxfId="4134" priority="1056">
      <formula>NOT(ISERROR(BP62))</formula>
    </cfRule>
    <cfRule type="expression" dxfId="4133" priority="1057" stopIfTrue="1">
      <formula>ISTEXT(E62)</formula>
    </cfRule>
  </conditionalFormatting>
  <conditionalFormatting sqref="E63 G63:H63">
    <cfRule type="expression" dxfId="4132" priority="1004">
      <formula>AND(ISTEXT(I63),ISBLANK(E63))</formula>
    </cfRule>
  </conditionalFormatting>
  <conditionalFormatting sqref="A63:K63">
    <cfRule type="expression" dxfId="4131" priority="1006">
      <formula>AND($I63&lt;&gt;"",$L63="")</formula>
    </cfRule>
  </conditionalFormatting>
  <conditionalFormatting sqref="F63">
    <cfRule type="expression" dxfId="4130" priority="1007">
      <formula>AND(ISTEXT(#REF!),ISBLANK(F63))</formula>
    </cfRule>
  </conditionalFormatting>
  <conditionalFormatting sqref="X63">
    <cfRule type="expression" dxfId="4129" priority="999">
      <formula>$X$11="-"</formula>
    </cfRule>
  </conditionalFormatting>
  <conditionalFormatting sqref="Q63">
    <cfRule type="expression" dxfId="4128" priority="998">
      <formula>$Q$11="-"</formula>
    </cfRule>
  </conditionalFormatting>
  <conditionalFormatting sqref="Y63">
    <cfRule type="expression" dxfId="4127" priority="997">
      <formula>$Y$11="-"</formula>
    </cfRule>
  </conditionalFormatting>
  <conditionalFormatting sqref="Z63">
    <cfRule type="expression" dxfId="4126" priority="996">
      <formula>$Z$11="-"</formula>
    </cfRule>
  </conditionalFormatting>
  <conditionalFormatting sqref="AA63">
    <cfRule type="expression" dxfId="4125" priority="995">
      <formula>$AA$11="-"</formula>
    </cfRule>
  </conditionalFormatting>
  <conditionalFormatting sqref="AL63">
    <cfRule type="expression" dxfId="4124" priority="994">
      <formula>$AL$11="-"</formula>
    </cfRule>
  </conditionalFormatting>
  <conditionalFormatting sqref="AM63">
    <cfRule type="expression" dxfId="4123" priority="993">
      <formula>$AM$11="-"</formula>
    </cfRule>
  </conditionalFormatting>
  <conditionalFormatting sqref="AN63">
    <cfRule type="expression" dxfId="4122" priority="992">
      <formula>$AN$11="-"</formula>
    </cfRule>
  </conditionalFormatting>
  <conditionalFormatting sqref="AO63">
    <cfRule type="expression" dxfId="4121" priority="991">
      <formula>$AO$11="-"</formula>
    </cfRule>
  </conditionalFormatting>
  <conditionalFormatting sqref="AE63">
    <cfRule type="expression" dxfId="4120" priority="990">
      <formula>$AE$11="-"</formula>
    </cfRule>
  </conditionalFormatting>
  <conditionalFormatting sqref="AF63">
    <cfRule type="expression" dxfId="4119" priority="989">
      <formula>$AF$11="-"</formula>
    </cfRule>
  </conditionalFormatting>
  <conditionalFormatting sqref="AG63">
    <cfRule type="expression" dxfId="4118" priority="988">
      <formula>$AG$11="-"</formula>
    </cfRule>
  </conditionalFormatting>
  <conditionalFormatting sqref="AH63">
    <cfRule type="expression" dxfId="4117" priority="987">
      <formula>$AH$11="-"</formula>
    </cfRule>
  </conditionalFormatting>
  <conditionalFormatting sqref="R63">
    <cfRule type="expression" dxfId="4116" priority="986">
      <formula>$R$11="-"</formula>
    </cfRule>
  </conditionalFormatting>
  <conditionalFormatting sqref="S63">
    <cfRule type="expression" dxfId="4115" priority="985">
      <formula>$S$11="-"</formula>
    </cfRule>
  </conditionalFormatting>
  <conditionalFormatting sqref="T63">
    <cfRule type="expression" dxfId="4114" priority="984">
      <formula>$T$11="-"</formula>
    </cfRule>
  </conditionalFormatting>
  <conditionalFormatting sqref="I63:K63">
    <cfRule type="expression" dxfId="4113" priority="1008">
      <formula>NOT(ISERROR(BP63))</formula>
    </cfRule>
    <cfRule type="expression" dxfId="4112" priority="1009">
      <formula>ISTEXT(E63)</formula>
    </cfRule>
  </conditionalFormatting>
  <conditionalFormatting sqref="E65 G65:H65">
    <cfRule type="expression" dxfId="4111" priority="978">
      <formula>AND(ISTEXT(I65),ISBLANK(E65))</formula>
    </cfRule>
  </conditionalFormatting>
  <conditionalFormatting sqref="A65:K65">
    <cfRule type="expression" dxfId="4110" priority="980">
      <formula>AND($I65&lt;&gt;"",$L65="")</formula>
    </cfRule>
  </conditionalFormatting>
  <conditionalFormatting sqref="F65">
    <cfRule type="expression" dxfId="4109" priority="981">
      <formula>AND(ISTEXT(#REF!),ISBLANK(F65))</formula>
    </cfRule>
  </conditionalFormatting>
  <conditionalFormatting sqref="X65">
    <cfRule type="expression" dxfId="4108" priority="973">
      <formula>$X$11="-"</formula>
    </cfRule>
  </conditionalFormatting>
  <conditionalFormatting sqref="Q65">
    <cfRule type="expression" dxfId="4107" priority="972">
      <formula>$Q$11="-"</formula>
    </cfRule>
  </conditionalFormatting>
  <conditionalFormatting sqref="Y65">
    <cfRule type="expression" dxfId="4106" priority="971">
      <formula>$Y$11="-"</formula>
    </cfRule>
  </conditionalFormatting>
  <conditionalFormatting sqref="Z65">
    <cfRule type="expression" dxfId="4105" priority="970">
      <formula>$Z$11="-"</formula>
    </cfRule>
  </conditionalFormatting>
  <conditionalFormatting sqref="AA65">
    <cfRule type="expression" dxfId="4104" priority="969">
      <formula>$AA$11="-"</formula>
    </cfRule>
  </conditionalFormatting>
  <conditionalFormatting sqref="AL65">
    <cfRule type="expression" dxfId="4103" priority="968">
      <formula>$AL$11="-"</formula>
    </cfRule>
  </conditionalFormatting>
  <conditionalFormatting sqref="AM65">
    <cfRule type="expression" dxfId="4102" priority="967">
      <formula>$AM$11="-"</formula>
    </cfRule>
  </conditionalFormatting>
  <conditionalFormatting sqref="AN65">
    <cfRule type="expression" dxfId="4101" priority="966">
      <formula>$AN$11="-"</formula>
    </cfRule>
  </conditionalFormatting>
  <conditionalFormatting sqref="AO65">
    <cfRule type="expression" dxfId="4100" priority="965">
      <formula>$AO$11="-"</formula>
    </cfRule>
  </conditionalFormatting>
  <conditionalFormatting sqref="AE65">
    <cfRule type="expression" dxfId="4099" priority="964">
      <formula>$AE$11="-"</formula>
    </cfRule>
  </conditionalFormatting>
  <conditionalFormatting sqref="AF65">
    <cfRule type="expression" dxfId="4098" priority="963">
      <formula>$AF$11="-"</formula>
    </cfRule>
  </conditionalFormatting>
  <conditionalFormatting sqref="AG65">
    <cfRule type="expression" dxfId="4097" priority="962">
      <formula>$AG$11="-"</formula>
    </cfRule>
  </conditionalFormatting>
  <conditionalFormatting sqref="AH65">
    <cfRule type="expression" dxfId="4096" priority="961">
      <formula>$AH$11="-"</formula>
    </cfRule>
  </conditionalFormatting>
  <conditionalFormatting sqref="R65">
    <cfRule type="expression" dxfId="4095" priority="960">
      <formula>$R$11="-"</formula>
    </cfRule>
  </conditionalFormatting>
  <conditionalFormatting sqref="S65">
    <cfRule type="expression" dxfId="4094" priority="959">
      <formula>$S$11="-"</formula>
    </cfRule>
  </conditionalFormatting>
  <conditionalFormatting sqref="T65">
    <cfRule type="expression" dxfId="4093" priority="958">
      <formula>$T$11="-"</formula>
    </cfRule>
  </conditionalFormatting>
  <conditionalFormatting sqref="I65:K65">
    <cfRule type="expression" dxfId="4092" priority="982">
      <formula>NOT(ISERROR(BP65))</formula>
    </cfRule>
    <cfRule type="expression" dxfId="4091" priority="983">
      <formula>ISTEXT(E65)</formula>
    </cfRule>
  </conditionalFormatting>
  <conditionalFormatting sqref="A64:K64">
    <cfRule type="expression" dxfId="4090" priority="955">
      <formula>AND($I64&lt;&gt;"",$L64="")</formula>
    </cfRule>
  </conditionalFormatting>
  <conditionalFormatting sqref="X64">
    <cfRule type="expression" dxfId="4089" priority="949">
      <formula>$X$11="-"</formula>
    </cfRule>
  </conditionalFormatting>
  <conditionalFormatting sqref="Q64">
    <cfRule type="expression" dxfId="4088" priority="948">
      <formula>$Q$11="-"</formula>
    </cfRule>
  </conditionalFormatting>
  <conditionalFormatting sqref="Y64">
    <cfRule type="expression" dxfId="4087" priority="947">
      <formula>$Y$11="-"</formula>
    </cfRule>
  </conditionalFormatting>
  <conditionalFormatting sqref="Z64">
    <cfRule type="expression" dxfId="4086" priority="946">
      <formula>$Z$11="-"</formula>
    </cfRule>
  </conditionalFormatting>
  <conditionalFormatting sqref="AA64">
    <cfRule type="expression" dxfId="4085" priority="945">
      <formula>$AA$11="-"</formula>
    </cfRule>
  </conditionalFormatting>
  <conditionalFormatting sqref="AL64">
    <cfRule type="expression" dxfId="4084" priority="944">
      <formula>$AL$11="-"</formula>
    </cfRule>
  </conditionalFormatting>
  <conditionalFormatting sqref="AM64">
    <cfRule type="expression" dxfId="4083" priority="943">
      <formula>$AM$11="-"</formula>
    </cfRule>
  </conditionalFormatting>
  <conditionalFormatting sqref="AN64">
    <cfRule type="expression" dxfId="4082" priority="942">
      <formula>$AN$11="-"</formula>
    </cfRule>
  </conditionalFormatting>
  <conditionalFormatting sqref="AO64">
    <cfRule type="expression" dxfId="4081" priority="941">
      <formula>$AO$11="-"</formula>
    </cfRule>
  </conditionalFormatting>
  <conditionalFormatting sqref="AE64">
    <cfRule type="expression" dxfId="4080" priority="940">
      <formula>$AE$11="-"</formula>
    </cfRule>
  </conditionalFormatting>
  <conditionalFormatting sqref="AF64">
    <cfRule type="expression" dxfId="4079" priority="939">
      <formula>$AF$11="-"</formula>
    </cfRule>
  </conditionalFormatting>
  <conditionalFormatting sqref="AG64">
    <cfRule type="expression" dxfId="4078" priority="938">
      <formula>$AG$11="-"</formula>
    </cfRule>
  </conditionalFormatting>
  <conditionalFormatting sqref="AH64">
    <cfRule type="expression" dxfId="4077" priority="937">
      <formula>$AH$11="-"</formula>
    </cfRule>
  </conditionalFormatting>
  <conditionalFormatting sqref="R64">
    <cfRule type="expression" dxfId="4076" priority="936">
      <formula>$R$11="-"</formula>
    </cfRule>
  </conditionalFormatting>
  <conditionalFormatting sqref="S64">
    <cfRule type="expression" dxfId="4075" priority="935">
      <formula>$S$11="-"</formula>
    </cfRule>
  </conditionalFormatting>
  <conditionalFormatting sqref="T64">
    <cfRule type="expression" dxfId="4074" priority="934">
      <formula>$T$11="-"</formula>
    </cfRule>
  </conditionalFormatting>
  <conditionalFormatting sqref="I64:K64">
    <cfRule type="expression" dxfId="4073" priority="956">
      <formula>NOT(ISERROR(BP64))</formula>
    </cfRule>
    <cfRule type="expression" dxfId="4072" priority="957" stopIfTrue="1">
      <formula>ISTEXT(E64)</formula>
    </cfRule>
  </conditionalFormatting>
  <conditionalFormatting sqref="A66:K66">
    <cfRule type="expression" dxfId="4071" priority="931">
      <formula>AND($I66&lt;&gt;"",$L66="")</formula>
    </cfRule>
  </conditionalFormatting>
  <conditionalFormatting sqref="X66">
    <cfRule type="expression" dxfId="4070" priority="925">
      <formula>$X$11="-"</formula>
    </cfRule>
  </conditionalFormatting>
  <conditionalFormatting sqref="Q66">
    <cfRule type="expression" dxfId="4069" priority="924">
      <formula>$Q$11="-"</formula>
    </cfRule>
  </conditionalFormatting>
  <conditionalFormatting sqref="Y66">
    <cfRule type="expression" dxfId="4068" priority="923">
      <formula>$Y$11="-"</formula>
    </cfRule>
  </conditionalFormatting>
  <conditionalFormatting sqref="Z66">
    <cfRule type="expression" dxfId="4067" priority="922">
      <formula>$Z$11="-"</formula>
    </cfRule>
  </conditionalFormatting>
  <conditionalFormatting sqref="AA66">
    <cfRule type="expression" dxfId="4066" priority="921">
      <formula>$AA$11="-"</formula>
    </cfRule>
  </conditionalFormatting>
  <conditionalFormatting sqref="AL66">
    <cfRule type="expression" dxfId="4065" priority="920">
      <formula>$AL$11="-"</formula>
    </cfRule>
  </conditionalFormatting>
  <conditionalFormatting sqref="AM66">
    <cfRule type="expression" dxfId="4064" priority="919">
      <formula>$AM$11="-"</formula>
    </cfRule>
  </conditionalFormatting>
  <conditionalFormatting sqref="AN66">
    <cfRule type="expression" dxfId="4063" priority="918">
      <formula>$AN$11="-"</formula>
    </cfRule>
  </conditionalFormatting>
  <conditionalFormatting sqref="AO66">
    <cfRule type="expression" dxfId="4062" priority="917">
      <formula>$AO$11="-"</formula>
    </cfRule>
  </conditionalFormatting>
  <conditionalFormatting sqref="AE66">
    <cfRule type="expression" dxfId="4061" priority="916">
      <formula>$AE$11="-"</formula>
    </cfRule>
  </conditionalFormatting>
  <conditionalFormatting sqref="AF66">
    <cfRule type="expression" dxfId="4060" priority="915">
      <formula>$AF$11="-"</formula>
    </cfRule>
  </conditionalFormatting>
  <conditionalFormatting sqref="AG66">
    <cfRule type="expression" dxfId="4059" priority="914">
      <formula>$AG$11="-"</formula>
    </cfRule>
  </conditionalFormatting>
  <conditionalFormatting sqref="AH66">
    <cfRule type="expression" dxfId="4058" priority="913">
      <formula>$AH$11="-"</formula>
    </cfRule>
  </conditionalFormatting>
  <conditionalFormatting sqref="R66">
    <cfRule type="expression" dxfId="4057" priority="912">
      <formula>$R$11="-"</formula>
    </cfRule>
  </conditionalFormatting>
  <conditionalFormatting sqref="S66">
    <cfRule type="expression" dxfId="4056" priority="911">
      <formula>$S$11="-"</formula>
    </cfRule>
  </conditionalFormatting>
  <conditionalFormatting sqref="T66">
    <cfRule type="expression" dxfId="4055" priority="910">
      <formula>$T$11="-"</formula>
    </cfRule>
  </conditionalFormatting>
  <conditionalFormatting sqref="I66:K66">
    <cfRule type="expression" dxfId="4054" priority="932">
      <formula>NOT(ISERROR(BP66))</formula>
    </cfRule>
    <cfRule type="expression" dxfId="4053" priority="933" stopIfTrue="1">
      <formula>ISTEXT(E66)</formula>
    </cfRule>
  </conditionalFormatting>
  <conditionalFormatting sqref="E67 G67:H67">
    <cfRule type="expression" dxfId="4052" priority="904">
      <formula>AND(ISTEXT(I67),ISBLANK(E67))</formula>
    </cfRule>
  </conditionalFormatting>
  <conditionalFormatting sqref="A67:K67">
    <cfRule type="expression" dxfId="4051" priority="906">
      <formula>AND($I67&lt;&gt;"",$L67="")</formula>
    </cfRule>
  </conditionalFormatting>
  <conditionalFormatting sqref="F67">
    <cfRule type="expression" dxfId="4050" priority="907">
      <formula>AND(ISTEXT(#REF!),ISBLANK(F67))</formula>
    </cfRule>
  </conditionalFormatting>
  <conditionalFormatting sqref="X67">
    <cfRule type="expression" dxfId="4049" priority="899">
      <formula>$X$11="-"</formula>
    </cfRule>
  </conditionalFormatting>
  <conditionalFormatting sqref="Q67">
    <cfRule type="expression" dxfId="4048" priority="898">
      <formula>$Q$11="-"</formula>
    </cfRule>
  </conditionalFormatting>
  <conditionalFormatting sqref="Y67">
    <cfRule type="expression" dxfId="4047" priority="897">
      <formula>$Y$11="-"</formula>
    </cfRule>
  </conditionalFormatting>
  <conditionalFormatting sqref="Z67">
    <cfRule type="expression" dxfId="4046" priority="896">
      <formula>$Z$11="-"</formula>
    </cfRule>
  </conditionalFormatting>
  <conditionalFormatting sqref="AA67">
    <cfRule type="expression" dxfId="4045" priority="895">
      <formula>$AA$11="-"</formula>
    </cfRule>
  </conditionalFormatting>
  <conditionalFormatting sqref="AL67">
    <cfRule type="expression" dxfId="4044" priority="894">
      <formula>$AL$11="-"</formula>
    </cfRule>
  </conditionalFormatting>
  <conditionalFormatting sqref="AM67">
    <cfRule type="expression" dxfId="4043" priority="893">
      <formula>$AM$11="-"</formula>
    </cfRule>
  </conditionalFormatting>
  <conditionalFormatting sqref="AN67">
    <cfRule type="expression" dxfId="4042" priority="892">
      <formula>$AN$11="-"</formula>
    </cfRule>
  </conditionalFormatting>
  <conditionalFormatting sqref="AO67">
    <cfRule type="expression" dxfId="4041" priority="891">
      <formula>$AO$11="-"</formula>
    </cfRule>
  </conditionalFormatting>
  <conditionalFormatting sqref="AE67">
    <cfRule type="expression" dxfId="4040" priority="890">
      <formula>$AE$11="-"</formula>
    </cfRule>
  </conditionalFormatting>
  <conditionalFormatting sqref="AF67">
    <cfRule type="expression" dxfId="4039" priority="889">
      <formula>$AF$11="-"</formula>
    </cfRule>
  </conditionalFormatting>
  <conditionalFormatting sqref="AG67">
    <cfRule type="expression" dxfId="4038" priority="888">
      <formula>$AG$11="-"</formula>
    </cfRule>
  </conditionalFormatting>
  <conditionalFormatting sqref="AH67">
    <cfRule type="expression" dxfId="4037" priority="887">
      <formula>$AH$11="-"</formula>
    </cfRule>
  </conditionalFormatting>
  <conditionalFormatting sqref="R67">
    <cfRule type="expression" dxfId="4036" priority="886">
      <formula>$R$11="-"</formula>
    </cfRule>
  </conditionalFormatting>
  <conditionalFormatting sqref="S67">
    <cfRule type="expression" dxfId="4035" priority="885">
      <formula>$S$11="-"</formula>
    </cfRule>
  </conditionalFormatting>
  <conditionalFormatting sqref="T67">
    <cfRule type="expression" dxfId="4034" priority="884">
      <formula>$T$11="-"</formula>
    </cfRule>
  </conditionalFormatting>
  <conditionalFormatting sqref="I67:K67">
    <cfRule type="expression" dxfId="4033" priority="908">
      <formula>NOT(ISERROR(BP67))</formula>
    </cfRule>
    <cfRule type="expression" dxfId="4032" priority="909">
      <formula>ISTEXT(E67)</formula>
    </cfRule>
  </conditionalFormatting>
  <conditionalFormatting sqref="A68:K68">
    <cfRule type="expression" dxfId="4031" priority="881">
      <formula>AND($I68&lt;&gt;"",$L68="")</formula>
    </cfRule>
  </conditionalFormatting>
  <conditionalFormatting sqref="X68">
    <cfRule type="expression" dxfId="4030" priority="875">
      <formula>$X$11="-"</formula>
    </cfRule>
  </conditionalFormatting>
  <conditionalFormatting sqref="Q68">
    <cfRule type="expression" dxfId="4029" priority="874">
      <formula>$Q$11="-"</formula>
    </cfRule>
  </conditionalFormatting>
  <conditionalFormatting sqref="Y68">
    <cfRule type="expression" dxfId="4028" priority="873">
      <formula>$Y$11="-"</formula>
    </cfRule>
  </conditionalFormatting>
  <conditionalFormatting sqref="Z68">
    <cfRule type="expression" dxfId="4027" priority="872">
      <formula>$Z$11="-"</formula>
    </cfRule>
  </conditionalFormatting>
  <conditionalFormatting sqref="AA68">
    <cfRule type="expression" dxfId="4026" priority="871">
      <formula>$AA$11="-"</formula>
    </cfRule>
  </conditionalFormatting>
  <conditionalFormatting sqref="AL68">
    <cfRule type="expression" dxfId="4025" priority="870">
      <formula>$AL$11="-"</formula>
    </cfRule>
  </conditionalFormatting>
  <conditionalFormatting sqref="AM68">
    <cfRule type="expression" dxfId="4024" priority="869">
      <formula>$AM$11="-"</formula>
    </cfRule>
  </conditionalFormatting>
  <conditionalFormatting sqref="AN68">
    <cfRule type="expression" dxfId="4023" priority="868">
      <formula>$AN$11="-"</formula>
    </cfRule>
  </conditionalFormatting>
  <conditionalFormatting sqref="AO68">
    <cfRule type="expression" dxfId="4022" priority="867">
      <formula>$AO$11="-"</formula>
    </cfRule>
  </conditionalFormatting>
  <conditionalFormatting sqref="AE68">
    <cfRule type="expression" dxfId="4021" priority="866">
      <formula>$AE$11="-"</formula>
    </cfRule>
  </conditionalFormatting>
  <conditionalFormatting sqref="AF68">
    <cfRule type="expression" dxfId="4020" priority="865">
      <formula>$AF$11="-"</formula>
    </cfRule>
  </conditionalFormatting>
  <conditionalFormatting sqref="AG68">
    <cfRule type="expression" dxfId="4019" priority="864">
      <formula>$AG$11="-"</formula>
    </cfRule>
  </conditionalFormatting>
  <conditionalFormatting sqref="AH68">
    <cfRule type="expression" dxfId="4018" priority="863">
      <formula>$AH$11="-"</formula>
    </cfRule>
  </conditionalFormatting>
  <conditionalFormatting sqref="R68">
    <cfRule type="expression" dxfId="4017" priority="862">
      <formula>$R$11="-"</formula>
    </cfRule>
  </conditionalFormatting>
  <conditionalFormatting sqref="S68">
    <cfRule type="expression" dxfId="4016" priority="861">
      <formula>$S$11="-"</formula>
    </cfRule>
  </conditionalFormatting>
  <conditionalFormatting sqref="T68">
    <cfRule type="expression" dxfId="4015" priority="860">
      <formula>$T$11="-"</formula>
    </cfRule>
  </conditionalFormatting>
  <conditionalFormatting sqref="I68:K68">
    <cfRule type="expression" dxfId="4014" priority="882">
      <formula>NOT(ISERROR(BP68))</formula>
    </cfRule>
    <cfRule type="expression" dxfId="4013" priority="883" stopIfTrue="1">
      <formula>ISTEXT(E68)</formula>
    </cfRule>
  </conditionalFormatting>
  <conditionalFormatting sqref="E69 G69:H69">
    <cfRule type="expression" dxfId="4012" priority="828">
      <formula>AND(ISTEXT(I69),ISBLANK(E69))</formula>
    </cfRule>
  </conditionalFormatting>
  <conditionalFormatting sqref="A69:K69">
    <cfRule type="expression" dxfId="4011" priority="830">
      <formula>AND($I69&lt;&gt;"",$L69="")</formula>
    </cfRule>
  </conditionalFormatting>
  <conditionalFormatting sqref="F69">
    <cfRule type="expression" dxfId="4010" priority="831">
      <formula>AND(ISTEXT(#REF!),ISBLANK(F69))</formula>
    </cfRule>
  </conditionalFormatting>
  <conditionalFormatting sqref="X69">
    <cfRule type="expression" dxfId="4009" priority="823">
      <formula>$X$11="-"</formula>
    </cfRule>
  </conditionalFormatting>
  <conditionalFormatting sqref="Q69">
    <cfRule type="expression" dxfId="4008" priority="822">
      <formula>$Q$11="-"</formula>
    </cfRule>
  </conditionalFormatting>
  <conditionalFormatting sqref="Y69">
    <cfRule type="expression" dxfId="4007" priority="821">
      <formula>$Y$11="-"</formula>
    </cfRule>
  </conditionalFormatting>
  <conditionalFormatting sqref="Z69">
    <cfRule type="expression" dxfId="4006" priority="820">
      <formula>$Z$11="-"</formula>
    </cfRule>
  </conditionalFormatting>
  <conditionalFormatting sqref="AA69">
    <cfRule type="expression" dxfId="4005" priority="819">
      <formula>$AA$11="-"</formula>
    </cfRule>
  </conditionalFormatting>
  <conditionalFormatting sqref="AL69">
    <cfRule type="expression" dxfId="4004" priority="818">
      <formula>$AL$11="-"</formula>
    </cfRule>
  </conditionalFormatting>
  <conditionalFormatting sqref="AM69">
    <cfRule type="expression" dxfId="4003" priority="817">
      <formula>$AM$11="-"</formula>
    </cfRule>
  </conditionalFormatting>
  <conditionalFormatting sqref="AN69">
    <cfRule type="expression" dxfId="4002" priority="816">
      <formula>$AN$11="-"</formula>
    </cfRule>
  </conditionalFormatting>
  <conditionalFormatting sqref="AO69">
    <cfRule type="expression" dxfId="4001" priority="815">
      <formula>$AO$11="-"</formula>
    </cfRule>
  </conditionalFormatting>
  <conditionalFormatting sqref="AE69">
    <cfRule type="expression" dxfId="4000" priority="814">
      <formula>$AE$11="-"</formula>
    </cfRule>
  </conditionalFormatting>
  <conditionalFormatting sqref="AF69">
    <cfRule type="expression" dxfId="3999" priority="813">
      <formula>$AF$11="-"</formula>
    </cfRule>
  </conditionalFormatting>
  <conditionalFormatting sqref="AG69">
    <cfRule type="expression" dxfId="3998" priority="812">
      <formula>$AG$11="-"</formula>
    </cfRule>
  </conditionalFormatting>
  <conditionalFormatting sqref="AH69">
    <cfRule type="expression" dxfId="3997" priority="811">
      <formula>$AH$11="-"</formula>
    </cfRule>
  </conditionalFormatting>
  <conditionalFormatting sqref="R69">
    <cfRule type="expression" dxfId="3996" priority="810">
      <formula>$R$11="-"</formula>
    </cfRule>
  </conditionalFormatting>
  <conditionalFormatting sqref="S69">
    <cfRule type="expression" dxfId="3995" priority="809">
      <formula>$S$11="-"</formula>
    </cfRule>
  </conditionalFormatting>
  <conditionalFormatting sqref="T69">
    <cfRule type="expression" dxfId="3994" priority="808">
      <formula>$T$11="-"</formula>
    </cfRule>
  </conditionalFormatting>
  <conditionalFormatting sqref="I69:K69">
    <cfRule type="expression" dxfId="3993" priority="832">
      <formula>NOT(ISERROR(BP69))</formula>
    </cfRule>
    <cfRule type="expression" dxfId="3992" priority="833">
      <formula>ISTEXT(E69)</formula>
    </cfRule>
  </conditionalFormatting>
  <conditionalFormatting sqref="E71 G71:H71">
    <cfRule type="expression" dxfId="3991" priority="802">
      <formula>AND(ISTEXT(I71),ISBLANK(E71))</formula>
    </cfRule>
  </conditionalFormatting>
  <conditionalFormatting sqref="A71:K71">
    <cfRule type="expression" dxfId="3990" priority="804">
      <formula>AND($I71&lt;&gt;"",$L71="")</formula>
    </cfRule>
  </conditionalFormatting>
  <conditionalFormatting sqref="F71">
    <cfRule type="expression" dxfId="3989" priority="805">
      <formula>AND(ISTEXT(#REF!),ISBLANK(F71))</formula>
    </cfRule>
  </conditionalFormatting>
  <conditionalFormatting sqref="X71">
    <cfRule type="expression" dxfId="3988" priority="797">
      <formula>$X$11="-"</formula>
    </cfRule>
  </conditionalFormatting>
  <conditionalFormatting sqref="Q71">
    <cfRule type="expression" dxfId="3987" priority="796">
      <formula>$Q$11="-"</formula>
    </cfRule>
  </conditionalFormatting>
  <conditionalFormatting sqref="Y71">
    <cfRule type="expression" dxfId="3986" priority="795">
      <formula>$Y$11="-"</formula>
    </cfRule>
  </conditionalFormatting>
  <conditionalFormatting sqref="Z71">
    <cfRule type="expression" dxfId="3985" priority="794">
      <formula>$Z$11="-"</formula>
    </cfRule>
  </conditionalFormatting>
  <conditionalFormatting sqref="AA71">
    <cfRule type="expression" dxfId="3984" priority="793">
      <formula>$AA$11="-"</formula>
    </cfRule>
  </conditionalFormatting>
  <conditionalFormatting sqref="AL71">
    <cfRule type="expression" dxfId="3983" priority="792">
      <formula>$AL$11="-"</formula>
    </cfRule>
  </conditionalFormatting>
  <conditionalFormatting sqref="AM71">
    <cfRule type="expression" dxfId="3982" priority="791">
      <formula>$AM$11="-"</formula>
    </cfRule>
  </conditionalFormatting>
  <conditionalFormatting sqref="AN71">
    <cfRule type="expression" dxfId="3981" priority="790">
      <formula>$AN$11="-"</formula>
    </cfRule>
  </conditionalFormatting>
  <conditionalFormatting sqref="AO71">
    <cfRule type="expression" dxfId="3980" priority="789">
      <formula>$AO$11="-"</formula>
    </cfRule>
  </conditionalFormatting>
  <conditionalFormatting sqref="AE71">
    <cfRule type="expression" dxfId="3979" priority="788">
      <formula>$AE$11="-"</formula>
    </cfRule>
  </conditionalFormatting>
  <conditionalFormatting sqref="AF71">
    <cfRule type="expression" dxfId="3978" priority="787">
      <formula>$AF$11="-"</formula>
    </cfRule>
  </conditionalFormatting>
  <conditionalFormatting sqref="AG71">
    <cfRule type="expression" dxfId="3977" priority="786">
      <formula>$AG$11="-"</formula>
    </cfRule>
  </conditionalFormatting>
  <conditionalFormatting sqref="AH71">
    <cfRule type="expression" dxfId="3976" priority="785">
      <formula>$AH$11="-"</formula>
    </cfRule>
  </conditionalFormatting>
  <conditionalFormatting sqref="R71">
    <cfRule type="expression" dxfId="3975" priority="784">
      <formula>$R$11="-"</formula>
    </cfRule>
  </conditionalFormatting>
  <conditionalFormatting sqref="S71">
    <cfRule type="expression" dxfId="3974" priority="783">
      <formula>$S$11="-"</formula>
    </cfRule>
  </conditionalFormatting>
  <conditionalFormatting sqref="T71">
    <cfRule type="expression" dxfId="3973" priority="782">
      <formula>$T$11="-"</formula>
    </cfRule>
  </conditionalFormatting>
  <conditionalFormatting sqref="I71:K71">
    <cfRule type="expression" dxfId="3972" priority="806">
      <formula>NOT(ISERROR(BP71))</formula>
    </cfRule>
    <cfRule type="expression" dxfId="3971" priority="807">
      <formula>ISTEXT(E71)</formula>
    </cfRule>
  </conditionalFormatting>
  <conditionalFormatting sqref="A70:K70">
    <cfRule type="expression" dxfId="3970" priority="779">
      <formula>AND($I70&lt;&gt;"",$L70="")</formula>
    </cfRule>
  </conditionalFormatting>
  <conditionalFormatting sqref="X70">
    <cfRule type="expression" dxfId="3969" priority="773">
      <formula>$X$11="-"</formula>
    </cfRule>
  </conditionalFormatting>
  <conditionalFormatting sqref="Q70">
    <cfRule type="expression" dxfId="3968" priority="772">
      <formula>$Q$11="-"</formula>
    </cfRule>
  </conditionalFormatting>
  <conditionalFormatting sqref="Y70">
    <cfRule type="expression" dxfId="3967" priority="771">
      <formula>$Y$11="-"</formula>
    </cfRule>
  </conditionalFormatting>
  <conditionalFormatting sqref="Z70">
    <cfRule type="expression" dxfId="3966" priority="770">
      <formula>$Z$11="-"</formula>
    </cfRule>
  </conditionalFormatting>
  <conditionalFormatting sqref="AA70">
    <cfRule type="expression" dxfId="3965" priority="769">
      <formula>$AA$11="-"</formula>
    </cfRule>
  </conditionalFormatting>
  <conditionalFormatting sqref="AL70">
    <cfRule type="expression" dxfId="3964" priority="768">
      <formula>$AL$11="-"</formula>
    </cfRule>
  </conditionalFormatting>
  <conditionalFormatting sqref="AM70">
    <cfRule type="expression" dxfId="3963" priority="767">
      <formula>$AM$11="-"</formula>
    </cfRule>
  </conditionalFormatting>
  <conditionalFormatting sqref="AN70">
    <cfRule type="expression" dxfId="3962" priority="766">
      <formula>$AN$11="-"</formula>
    </cfRule>
  </conditionalFormatting>
  <conditionalFormatting sqref="AO70">
    <cfRule type="expression" dxfId="3961" priority="765">
      <formula>$AO$11="-"</formula>
    </cfRule>
  </conditionalFormatting>
  <conditionalFormatting sqref="AE70">
    <cfRule type="expression" dxfId="3960" priority="764">
      <formula>$AE$11="-"</formula>
    </cfRule>
  </conditionalFormatting>
  <conditionalFormatting sqref="AF70">
    <cfRule type="expression" dxfId="3959" priority="763">
      <formula>$AF$11="-"</formula>
    </cfRule>
  </conditionalFormatting>
  <conditionalFormatting sqref="AG70">
    <cfRule type="expression" dxfId="3958" priority="762">
      <formula>$AG$11="-"</formula>
    </cfRule>
  </conditionalFormatting>
  <conditionalFormatting sqref="AH70">
    <cfRule type="expression" dxfId="3957" priority="761">
      <formula>$AH$11="-"</formula>
    </cfRule>
  </conditionalFormatting>
  <conditionalFormatting sqref="R70">
    <cfRule type="expression" dxfId="3956" priority="760">
      <formula>$R$11="-"</formula>
    </cfRule>
  </conditionalFormatting>
  <conditionalFormatting sqref="S70">
    <cfRule type="expression" dxfId="3955" priority="759">
      <formula>$S$11="-"</formula>
    </cfRule>
  </conditionalFormatting>
  <conditionalFormatting sqref="T70">
    <cfRule type="expression" dxfId="3954" priority="758">
      <formula>$T$11="-"</formula>
    </cfRule>
  </conditionalFormatting>
  <conditionalFormatting sqref="I70:K70">
    <cfRule type="expression" dxfId="3953" priority="780">
      <formula>NOT(ISERROR(BP70))</formula>
    </cfRule>
    <cfRule type="expression" dxfId="3952" priority="781" stopIfTrue="1">
      <formula>ISTEXT(E70)</formula>
    </cfRule>
  </conditionalFormatting>
  <conditionalFormatting sqref="A72:K72">
    <cfRule type="expression" dxfId="3951" priority="755">
      <formula>AND($I72&lt;&gt;"",$L72="")</formula>
    </cfRule>
  </conditionalFormatting>
  <conditionalFormatting sqref="X72">
    <cfRule type="expression" dxfId="3950" priority="749">
      <formula>$X$11="-"</formula>
    </cfRule>
  </conditionalFormatting>
  <conditionalFormatting sqref="Q72">
    <cfRule type="expression" dxfId="3949" priority="748">
      <formula>$Q$11="-"</formula>
    </cfRule>
  </conditionalFormatting>
  <conditionalFormatting sqref="Y72">
    <cfRule type="expression" dxfId="3948" priority="747">
      <formula>$Y$11="-"</formula>
    </cfRule>
  </conditionalFormatting>
  <conditionalFormatting sqref="Z72">
    <cfRule type="expression" dxfId="3947" priority="746">
      <formula>$Z$11="-"</formula>
    </cfRule>
  </conditionalFormatting>
  <conditionalFormatting sqref="AA72">
    <cfRule type="expression" dxfId="3946" priority="745">
      <formula>$AA$11="-"</formula>
    </cfRule>
  </conditionalFormatting>
  <conditionalFormatting sqref="AL72">
    <cfRule type="expression" dxfId="3945" priority="744">
      <formula>$AL$11="-"</formula>
    </cfRule>
  </conditionalFormatting>
  <conditionalFormatting sqref="AM72">
    <cfRule type="expression" dxfId="3944" priority="743">
      <formula>$AM$11="-"</formula>
    </cfRule>
  </conditionalFormatting>
  <conditionalFormatting sqref="AN72">
    <cfRule type="expression" dxfId="3943" priority="742">
      <formula>$AN$11="-"</formula>
    </cfRule>
  </conditionalFormatting>
  <conditionalFormatting sqref="AO72">
    <cfRule type="expression" dxfId="3942" priority="741">
      <formula>$AO$11="-"</formula>
    </cfRule>
  </conditionalFormatting>
  <conditionalFormatting sqref="AE72">
    <cfRule type="expression" dxfId="3941" priority="740">
      <formula>$AE$11="-"</formula>
    </cfRule>
  </conditionalFormatting>
  <conditionalFormatting sqref="AF72">
    <cfRule type="expression" dxfId="3940" priority="739">
      <formula>$AF$11="-"</formula>
    </cfRule>
  </conditionalFormatting>
  <conditionalFormatting sqref="AG72">
    <cfRule type="expression" dxfId="3939" priority="738">
      <formula>$AG$11="-"</formula>
    </cfRule>
  </conditionalFormatting>
  <conditionalFormatting sqref="AH72">
    <cfRule type="expression" dxfId="3938" priority="737">
      <formula>$AH$11="-"</formula>
    </cfRule>
  </conditionalFormatting>
  <conditionalFormatting sqref="R72">
    <cfRule type="expression" dxfId="3937" priority="736">
      <formula>$R$11="-"</formula>
    </cfRule>
  </conditionalFormatting>
  <conditionalFormatting sqref="S72">
    <cfRule type="expression" dxfId="3936" priority="735">
      <formula>$S$11="-"</formula>
    </cfRule>
  </conditionalFormatting>
  <conditionalFormatting sqref="T72">
    <cfRule type="expression" dxfId="3935" priority="734">
      <formula>$T$11="-"</formula>
    </cfRule>
  </conditionalFormatting>
  <conditionalFormatting sqref="I72:K72">
    <cfRule type="expression" dxfId="3934" priority="756">
      <formula>NOT(ISERROR(BP72))</formula>
    </cfRule>
    <cfRule type="expression" dxfId="3933" priority="757" stopIfTrue="1">
      <formula>ISTEXT(E72)</formula>
    </cfRule>
  </conditionalFormatting>
  <conditionalFormatting sqref="E73 G73:H73">
    <cfRule type="expression" dxfId="3932" priority="728">
      <formula>AND(ISTEXT(I73),ISBLANK(E73))</formula>
    </cfRule>
  </conditionalFormatting>
  <conditionalFormatting sqref="A73:K73">
    <cfRule type="expression" dxfId="3931" priority="730">
      <formula>AND($I73&lt;&gt;"",$L73="")</formula>
    </cfRule>
  </conditionalFormatting>
  <conditionalFormatting sqref="F73">
    <cfRule type="expression" dxfId="3930" priority="731">
      <formula>AND(ISTEXT(#REF!),ISBLANK(F73))</formula>
    </cfRule>
  </conditionalFormatting>
  <conditionalFormatting sqref="X73">
    <cfRule type="expression" dxfId="3929" priority="723">
      <formula>$X$11="-"</formula>
    </cfRule>
  </conditionalFormatting>
  <conditionalFormatting sqref="Q73">
    <cfRule type="expression" dxfId="3928" priority="722">
      <formula>$Q$11="-"</formula>
    </cfRule>
  </conditionalFormatting>
  <conditionalFormatting sqref="Y73">
    <cfRule type="expression" dxfId="3927" priority="721">
      <formula>$Y$11="-"</formula>
    </cfRule>
  </conditionalFormatting>
  <conditionalFormatting sqref="Z73">
    <cfRule type="expression" dxfId="3926" priority="720">
      <formula>$Z$11="-"</formula>
    </cfRule>
  </conditionalFormatting>
  <conditionalFormatting sqref="AA73">
    <cfRule type="expression" dxfId="3925" priority="719">
      <formula>$AA$11="-"</formula>
    </cfRule>
  </conditionalFormatting>
  <conditionalFormatting sqref="AL73">
    <cfRule type="expression" dxfId="3924" priority="718">
      <formula>$AL$11="-"</formula>
    </cfRule>
  </conditionalFormatting>
  <conditionalFormatting sqref="AM73">
    <cfRule type="expression" dxfId="3923" priority="717">
      <formula>$AM$11="-"</formula>
    </cfRule>
  </conditionalFormatting>
  <conditionalFormatting sqref="AN73">
    <cfRule type="expression" dxfId="3922" priority="716">
      <formula>$AN$11="-"</formula>
    </cfRule>
  </conditionalFormatting>
  <conditionalFormatting sqref="AO73">
    <cfRule type="expression" dxfId="3921" priority="715">
      <formula>$AO$11="-"</formula>
    </cfRule>
  </conditionalFormatting>
  <conditionalFormatting sqref="AE73">
    <cfRule type="expression" dxfId="3920" priority="714">
      <formula>$AE$11="-"</formula>
    </cfRule>
  </conditionalFormatting>
  <conditionalFormatting sqref="AF73">
    <cfRule type="expression" dxfId="3919" priority="713">
      <formula>$AF$11="-"</formula>
    </cfRule>
  </conditionalFormatting>
  <conditionalFormatting sqref="AG73">
    <cfRule type="expression" dxfId="3918" priority="712">
      <formula>$AG$11="-"</formula>
    </cfRule>
  </conditionalFormatting>
  <conditionalFormatting sqref="AH73">
    <cfRule type="expression" dxfId="3917" priority="711">
      <formula>$AH$11="-"</formula>
    </cfRule>
  </conditionalFormatting>
  <conditionalFormatting sqref="R73">
    <cfRule type="expression" dxfId="3916" priority="710">
      <formula>$R$11="-"</formula>
    </cfRule>
  </conditionalFormatting>
  <conditionalFormatting sqref="S73">
    <cfRule type="expression" dxfId="3915" priority="709">
      <formula>$S$11="-"</formula>
    </cfRule>
  </conditionalFormatting>
  <conditionalFormatting sqref="T73">
    <cfRule type="expression" dxfId="3914" priority="708">
      <formula>$T$11="-"</formula>
    </cfRule>
  </conditionalFormatting>
  <conditionalFormatting sqref="I73:K73">
    <cfRule type="expression" dxfId="3913" priority="732">
      <formula>NOT(ISERROR(BP73))</formula>
    </cfRule>
    <cfRule type="expression" dxfId="3912" priority="733">
      <formula>ISTEXT(E73)</formula>
    </cfRule>
  </conditionalFormatting>
  <conditionalFormatting sqref="A74:K74">
    <cfRule type="expression" dxfId="3911" priority="705">
      <formula>AND($I74&lt;&gt;"",$L74="")</formula>
    </cfRule>
  </conditionalFormatting>
  <conditionalFormatting sqref="X74">
    <cfRule type="expression" dxfId="3910" priority="699">
      <formula>$X$11="-"</formula>
    </cfRule>
  </conditionalFormatting>
  <conditionalFormatting sqref="Q74">
    <cfRule type="expression" dxfId="3909" priority="698">
      <formula>$Q$11="-"</formula>
    </cfRule>
  </conditionalFormatting>
  <conditionalFormatting sqref="Y74">
    <cfRule type="expression" dxfId="3908" priority="697">
      <formula>$Y$11="-"</formula>
    </cfRule>
  </conditionalFormatting>
  <conditionalFormatting sqref="Z74">
    <cfRule type="expression" dxfId="3907" priority="696">
      <formula>$Z$11="-"</formula>
    </cfRule>
  </conditionalFormatting>
  <conditionalFormatting sqref="AA74">
    <cfRule type="expression" dxfId="3906" priority="695">
      <formula>$AA$11="-"</formula>
    </cfRule>
  </conditionalFormatting>
  <conditionalFormatting sqref="AL74">
    <cfRule type="expression" dxfId="3905" priority="694">
      <formula>$AL$11="-"</formula>
    </cfRule>
  </conditionalFormatting>
  <conditionalFormatting sqref="AM74">
    <cfRule type="expression" dxfId="3904" priority="693">
      <formula>$AM$11="-"</formula>
    </cfRule>
  </conditionalFormatting>
  <conditionalFormatting sqref="AN74">
    <cfRule type="expression" dxfId="3903" priority="692">
      <formula>$AN$11="-"</formula>
    </cfRule>
  </conditionalFormatting>
  <conditionalFormatting sqref="AO74">
    <cfRule type="expression" dxfId="3902" priority="691">
      <formula>$AO$11="-"</formula>
    </cfRule>
  </conditionalFormatting>
  <conditionalFormatting sqref="AE74">
    <cfRule type="expression" dxfId="3901" priority="690">
      <formula>$AE$11="-"</formula>
    </cfRule>
  </conditionalFormatting>
  <conditionalFormatting sqref="AF74">
    <cfRule type="expression" dxfId="3900" priority="689">
      <formula>$AF$11="-"</formula>
    </cfRule>
  </conditionalFormatting>
  <conditionalFormatting sqref="AG74">
    <cfRule type="expression" dxfId="3899" priority="688">
      <formula>$AG$11="-"</formula>
    </cfRule>
  </conditionalFormatting>
  <conditionalFormatting sqref="AH74">
    <cfRule type="expression" dxfId="3898" priority="687">
      <formula>$AH$11="-"</formula>
    </cfRule>
  </conditionalFormatting>
  <conditionalFormatting sqref="R74">
    <cfRule type="expression" dxfId="3897" priority="686">
      <formula>$R$11="-"</formula>
    </cfRule>
  </conditionalFormatting>
  <conditionalFormatting sqref="S74">
    <cfRule type="expression" dxfId="3896" priority="685">
      <formula>$S$11="-"</formula>
    </cfRule>
  </conditionalFormatting>
  <conditionalFormatting sqref="T74">
    <cfRule type="expression" dxfId="3895" priority="684">
      <formula>$T$11="-"</formula>
    </cfRule>
  </conditionalFormatting>
  <conditionalFormatting sqref="I74:K74">
    <cfRule type="expression" dxfId="3894" priority="706">
      <formula>NOT(ISERROR(BP74))</formula>
    </cfRule>
    <cfRule type="expression" dxfId="3893" priority="707" stopIfTrue="1">
      <formula>ISTEXT(E74)</formula>
    </cfRule>
  </conditionalFormatting>
  <conditionalFormatting sqref="E75 G75:H75">
    <cfRule type="expression" dxfId="3892" priority="678">
      <formula>AND(ISTEXT(I75),ISBLANK(E75))</formula>
    </cfRule>
  </conditionalFormatting>
  <conditionalFormatting sqref="A75:K75">
    <cfRule type="expression" dxfId="3891" priority="680">
      <formula>AND($I75&lt;&gt;"",$L75="")</formula>
    </cfRule>
  </conditionalFormatting>
  <conditionalFormatting sqref="F75">
    <cfRule type="expression" dxfId="3890" priority="681">
      <formula>AND(ISTEXT(#REF!),ISBLANK(F75))</formula>
    </cfRule>
  </conditionalFormatting>
  <conditionalFormatting sqref="X75">
    <cfRule type="expression" dxfId="3889" priority="673">
      <formula>$X$11="-"</formula>
    </cfRule>
  </conditionalFormatting>
  <conditionalFormatting sqref="Q75">
    <cfRule type="expression" dxfId="3888" priority="672">
      <formula>$Q$11="-"</formula>
    </cfRule>
  </conditionalFormatting>
  <conditionalFormatting sqref="Y75">
    <cfRule type="expression" dxfId="3887" priority="671">
      <formula>$Y$11="-"</formula>
    </cfRule>
  </conditionalFormatting>
  <conditionalFormatting sqref="Z75">
    <cfRule type="expression" dxfId="3886" priority="670">
      <formula>$Z$11="-"</formula>
    </cfRule>
  </conditionalFormatting>
  <conditionalFormatting sqref="AA75">
    <cfRule type="expression" dxfId="3885" priority="669">
      <formula>$AA$11="-"</formula>
    </cfRule>
  </conditionalFormatting>
  <conditionalFormatting sqref="AL75">
    <cfRule type="expression" dxfId="3884" priority="668">
      <formula>$AL$11="-"</formula>
    </cfRule>
  </conditionalFormatting>
  <conditionalFormatting sqref="AM75">
    <cfRule type="expression" dxfId="3883" priority="667">
      <formula>$AM$11="-"</formula>
    </cfRule>
  </conditionalFormatting>
  <conditionalFormatting sqref="AN75">
    <cfRule type="expression" dxfId="3882" priority="666">
      <formula>$AN$11="-"</formula>
    </cfRule>
  </conditionalFormatting>
  <conditionalFormatting sqref="AO75">
    <cfRule type="expression" dxfId="3881" priority="665">
      <formula>$AO$11="-"</formula>
    </cfRule>
  </conditionalFormatting>
  <conditionalFormatting sqref="AE75">
    <cfRule type="expression" dxfId="3880" priority="664">
      <formula>$AE$11="-"</formula>
    </cfRule>
  </conditionalFormatting>
  <conditionalFormatting sqref="AF75">
    <cfRule type="expression" dxfId="3879" priority="663">
      <formula>$AF$11="-"</formula>
    </cfRule>
  </conditionalFormatting>
  <conditionalFormatting sqref="AG75">
    <cfRule type="expression" dxfId="3878" priority="662">
      <formula>$AG$11="-"</formula>
    </cfRule>
  </conditionalFormatting>
  <conditionalFormatting sqref="AH75">
    <cfRule type="expression" dxfId="3877" priority="661">
      <formula>$AH$11="-"</formula>
    </cfRule>
  </conditionalFormatting>
  <conditionalFormatting sqref="R75">
    <cfRule type="expression" dxfId="3876" priority="660">
      <formula>$R$11="-"</formula>
    </cfRule>
  </conditionalFormatting>
  <conditionalFormatting sqref="S75">
    <cfRule type="expression" dxfId="3875" priority="659">
      <formula>$S$11="-"</formula>
    </cfRule>
  </conditionalFormatting>
  <conditionalFormatting sqref="T75">
    <cfRule type="expression" dxfId="3874" priority="658">
      <formula>$T$11="-"</formula>
    </cfRule>
  </conditionalFormatting>
  <conditionalFormatting sqref="I75:K75">
    <cfRule type="expression" dxfId="3873" priority="682">
      <formula>NOT(ISERROR(BP75))</formula>
    </cfRule>
    <cfRule type="expression" dxfId="3872" priority="683">
      <formula>ISTEXT(E75)</formula>
    </cfRule>
  </conditionalFormatting>
  <conditionalFormatting sqref="E77 G77:H77">
    <cfRule type="expression" dxfId="3871" priority="652">
      <formula>AND(ISTEXT(I77),ISBLANK(E77))</formula>
    </cfRule>
  </conditionalFormatting>
  <conditionalFormatting sqref="A77:K77">
    <cfRule type="expression" dxfId="3870" priority="654">
      <formula>AND($I77&lt;&gt;"",$L77="")</formula>
    </cfRule>
  </conditionalFormatting>
  <conditionalFormatting sqref="F77">
    <cfRule type="expression" dxfId="3869" priority="655">
      <formula>AND(ISTEXT(#REF!),ISBLANK(F77))</formula>
    </cfRule>
  </conditionalFormatting>
  <conditionalFormatting sqref="X77">
    <cfRule type="expression" dxfId="3868" priority="647">
      <formula>$X$11="-"</formula>
    </cfRule>
  </conditionalFormatting>
  <conditionalFormatting sqref="Q77">
    <cfRule type="expression" dxfId="3867" priority="646">
      <formula>$Q$11="-"</formula>
    </cfRule>
  </conditionalFormatting>
  <conditionalFormatting sqref="Y77">
    <cfRule type="expression" dxfId="3866" priority="645">
      <formula>$Y$11="-"</formula>
    </cfRule>
  </conditionalFormatting>
  <conditionalFormatting sqref="Z77">
    <cfRule type="expression" dxfId="3865" priority="644">
      <formula>$Z$11="-"</formula>
    </cfRule>
  </conditionalFormatting>
  <conditionalFormatting sqref="AA77">
    <cfRule type="expression" dxfId="3864" priority="643">
      <formula>$AA$11="-"</formula>
    </cfRule>
  </conditionalFormatting>
  <conditionalFormatting sqref="AL77">
    <cfRule type="expression" dxfId="3863" priority="642">
      <formula>$AL$11="-"</formula>
    </cfRule>
  </conditionalFormatting>
  <conditionalFormatting sqref="AM77">
    <cfRule type="expression" dxfId="3862" priority="641">
      <formula>$AM$11="-"</formula>
    </cfRule>
  </conditionalFormatting>
  <conditionalFormatting sqref="AN77">
    <cfRule type="expression" dxfId="3861" priority="640">
      <formula>$AN$11="-"</formula>
    </cfRule>
  </conditionalFormatting>
  <conditionalFormatting sqref="AO77">
    <cfRule type="expression" dxfId="3860" priority="639">
      <formula>$AO$11="-"</formula>
    </cfRule>
  </conditionalFormatting>
  <conditionalFormatting sqref="AE77">
    <cfRule type="expression" dxfId="3859" priority="638">
      <formula>$AE$11="-"</formula>
    </cfRule>
  </conditionalFormatting>
  <conditionalFormatting sqref="AF77">
    <cfRule type="expression" dxfId="3858" priority="637">
      <formula>$AF$11="-"</formula>
    </cfRule>
  </conditionalFormatting>
  <conditionalFormatting sqref="AG77">
    <cfRule type="expression" dxfId="3857" priority="636">
      <formula>$AG$11="-"</formula>
    </cfRule>
  </conditionalFormatting>
  <conditionalFormatting sqref="AH77">
    <cfRule type="expression" dxfId="3856" priority="635">
      <formula>$AH$11="-"</formula>
    </cfRule>
  </conditionalFormatting>
  <conditionalFormatting sqref="R77">
    <cfRule type="expression" dxfId="3855" priority="634">
      <formula>$R$11="-"</formula>
    </cfRule>
  </conditionalFormatting>
  <conditionalFormatting sqref="S77">
    <cfRule type="expression" dxfId="3854" priority="633">
      <formula>$S$11="-"</formula>
    </cfRule>
  </conditionalFormatting>
  <conditionalFormatting sqref="T77">
    <cfRule type="expression" dxfId="3853" priority="632">
      <formula>$T$11="-"</formula>
    </cfRule>
  </conditionalFormatting>
  <conditionalFormatting sqref="I77:K77">
    <cfRule type="expression" dxfId="3852" priority="656">
      <formula>NOT(ISERROR(BP77))</formula>
    </cfRule>
    <cfRule type="expression" dxfId="3851" priority="657">
      <formula>ISTEXT(E77)</formula>
    </cfRule>
  </conditionalFormatting>
  <conditionalFormatting sqref="A76:K76">
    <cfRule type="expression" dxfId="3850" priority="629">
      <formula>AND($I76&lt;&gt;"",$L76="")</formula>
    </cfRule>
  </conditionalFormatting>
  <conditionalFormatting sqref="X76">
    <cfRule type="expression" dxfId="3849" priority="623">
      <formula>$X$11="-"</formula>
    </cfRule>
  </conditionalFormatting>
  <conditionalFormatting sqref="Q76">
    <cfRule type="expression" dxfId="3848" priority="622">
      <formula>$Q$11="-"</formula>
    </cfRule>
  </conditionalFormatting>
  <conditionalFormatting sqref="Y76">
    <cfRule type="expression" dxfId="3847" priority="621">
      <formula>$Y$11="-"</formula>
    </cfRule>
  </conditionalFormatting>
  <conditionalFormatting sqref="Z76">
    <cfRule type="expression" dxfId="3846" priority="620">
      <formula>$Z$11="-"</formula>
    </cfRule>
  </conditionalFormatting>
  <conditionalFormatting sqref="AA76">
    <cfRule type="expression" dxfId="3845" priority="619">
      <formula>$AA$11="-"</formula>
    </cfRule>
  </conditionalFormatting>
  <conditionalFormatting sqref="AL76">
    <cfRule type="expression" dxfId="3844" priority="618">
      <formula>$AL$11="-"</formula>
    </cfRule>
  </conditionalFormatting>
  <conditionalFormatting sqref="AM76">
    <cfRule type="expression" dxfId="3843" priority="617">
      <formula>$AM$11="-"</formula>
    </cfRule>
  </conditionalFormatting>
  <conditionalFormatting sqref="AN76">
    <cfRule type="expression" dxfId="3842" priority="616">
      <formula>$AN$11="-"</formula>
    </cfRule>
  </conditionalFormatting>
  <conditionalFormatting sqref="AO76">
    <cfRule type="expression" dxfId="3841" priority="615">
      <formula>$AO$11="-"</formula>
    </cfRule>
  </conditionalFormatting>
  <conditionalFormatting sqref="AE76">
    <cfRule type="expression" dxfId="3840" priority="614">
      <formula>$AE$11="-"</formula>
    </cfRule>
  </conditionalFormatting>
  <conditionalFormatting sqref="AF76">
    <cfRule type="expression" dxfId="3839" priority="613">
      <formula>$AF$11="-"</formula>
    </cfRule>
  </conditionalFormatting>
  <conditionalFormatting sqref="AG76">
    <cfRule type="expression" dxfId="3838" priority="612">
      <formula>$AG$11="-"</formula>
    </cfRule>
  </conditionalFormatting>
  <conditionalFormatting sqref="AH76">
    <cfRule type="expression" dxfId="3837" priority="611">
      <formula>$AH$11="-"</formula>
    </cfRule>
  </conditionalFormatting>
  <conditionalFormatting sqref="R76">
    <cfRule type="expression" dxfId="3836" priority="610">
      <formula>$R$11="-"</formula>
    </cfRule>
  </conditionalFormatting>
  <conditionalFormatting sqref="S76">
    <cfRule type="expression" dxfId="3835" priority="609">
      <formula>$S$11="-"</formula>
    </cfRule>
  </conditionalFormatting>
  <conditionalFormatting sqref="T76">
    <cfRule type="expression" dxfId="3834" priority="608">
      <formula>$T$11="-"</formula>
    </cfRule>
  </conditionalFormatting>
  <conditionalFormatting sqref="I76:K76">
    <cfRule type="expression" dxfId="3833" priority="630">
      <formula>NOT(ISERROR(BP76))</formula>
    </cfRule>
    <cfRule type="expression" dxfId="3832" priority="631" stopIfTrue="1">
      <formula>ISTEXT(E76)</formula>
    </cfRule>
  </conditionalFormatting>
  <conditionalFormatting sqref="A78:K78">
    <cfRule type="expression" dxfId="3831" priority="605">
      <formula>AND($I78&lt;&gt;"",$L78="")</formula>
    </cfRule>
  </conditionalFormatting>
  <conditionalFormatting sqref="X78">
    <cfRule type="expression" dxfId="3830" priority="599">
      <formula>$X$11="-"</formula>
    </cfRule>
  </conditionalFormatting>
  <conditionalFormatting sqref="Q78">
    <cfRule type="expression" dxfId="3829" priority="598">
      <formula>$Q$11="-"</formula>
    </cfRule>
  </conditionalFormatting>
  <conditionalFormatting sqref="Y78">
    <cfRule type="expression" dxfId="3828" priority="597">
      <formula>$Y$11="-"</formula>
    </cfRule>
  </conditionalFormatting>
  <conditionalFormatting sqref="Z78">
    <cfRule type="expression" dxfId="3827" priority="596">
      <formula>$Z$11="-"</formula>
    </cfRule>
  </conditionalFormatting>
  <conditionalFormatting sqref="AA78">
    <cfRule type="expression" dxfId="3826" priority="595">
      <formula>$AA$11="-"</formula>
    </cfRule>
  </conditionalFormatting>
  <conditionalFormatting sqref="AL78">
    <cfRule type="expression" dxfId="3825" priority="594">
      <formula>$AL$11="-"</formula>
    </cfRule>
  </conditionalFormatting>
  <conditionalFormatting sqref="AM78">
    <cfRule type="expression" dxfId="3824" priority="593">
      <formula>$AM$11="-"</formula>
    </cfRule>
  </conditionalFormatting>
  <conditionalFormatting sqref="AN78">
    <cfRule type="expression" dxfId="3823" priority="592">
      <formula>$AN$11="-"</formula>
    </cfRule>
  </conditionalFormatting>
  <conditionalFormatting sqref="AO78">
    <cfRule type="expression" dxfId="3822" priority="591">
      <formula>$AO$11="-"</formula>
    </cfRule>
  </conditionalFormatting>
  <conditionalFormatting sqref="AE78">
    <cfRule type="expression" dxfId="3821" priority="590">
      <formula>$AE$11="-"</formula>
    </cfRule>
  </conditionalFormatting>
  <conditionalFormatting sqref="AF78">
    <cfRule type="expression" dxfId="3820" priority="589">
      <formula>$AF$11="-"</formula>
    </cfRule>
  </conditionalFormatting>
  <conditionalFormatting sqref="AG78">
    <cfRule type="expression" dxfId="3819" priority="588">
      <formula>$AG$11="-"</formula>
    </cfRule>
  </conditionalFormatting>
  <conditionalFormatting sqref="AH78">
    <cfRule type="expression" dxfId="3818" priority="587">
      <formula>$AH$11="-"</formula>
    </cfRule>
  </conditionalFormatting>
  <conditionalFormatting sqref="R78">
    <cfRule type="expression" dxfId="3817" priority="586">
      <formula>$R$11="-"</formula>
    </cfRule>
  </conditionalFormatting>
  <conditionalFormatting sqref="S78">
    <cfRule type="expression" dxfId="3816" priority="585">
      <formula>$S$11="-"</formula>
    </cfRule>
  </conditionalFormatting>
  <conditionalFormatting sqref="T78">
    <cfRule type="expression" dxfId="3815" priority="584">
      <formula>$T$11="-"</formula>
    </cfRule>
  </conditionalFormatting>
  <conditionalFormatting sqref="I78:K78">
    <cfRule type="expression" dxfId="3814" priority="606">
      <formula>NOT(ISERROR(BP78))</formula>
    </cfRule>
    <cfRule type="expression" dxfId="3813" priority="607" stopIfTrue="1">
      <formula>ISTEXT(E78)</formula>
    </cfRule>
  </conditionalFormatting>
  <conditionalFormatting sqref="E79 G79:H79">
    <cfRule type="expression" dxfId="3812" priority="578">
      <formula>AND(ISTEXT(I79),ISBLANK(E79))</formula>
    </cfRule>
  </conditionalFormatting>
  <conditionalFormatting sqref="A79:K79">
    <cfRule type="expression" dxfId="3811" priority="580">
      <formula>AND($I79&lt;&gt;"",$L79="")</formula>
    </cfRule>
  </conditionalFormatting>
  <conditionalFormatting sqref="F79">
    <cfRule type="expression" dxfId="3810" priority="581">
      <formula>AND(ISTEXT(#REF!),ISBLANK(F79))</formula>
    </cfRule>
  </conditionalFormatting>
  <conditionalFormatting sqref="X79">
    <cfRule type="expression" dxfId="3809" priority="573">
      <formula>$X$11="-"</formula>
    </cfRule>
  </conditionalFormatting>
  <conditionalFormatting sqref="Q79">
    <cfRule type="expression" dxfId="3808" priority="572">
      <formula>$Q$11="-"</formula>
    </cfRule>
  </conditionalFormatting>
  <conditionalFormatting sqref="Y79">
    <cfRule type="expression" dxfId="3807" priority="571">
      <formula>$Y$11="-"</formula>
    </cfRule>
  </conditionalFormatting>
  <conditionalFormatting sqref="Z79">
    <cfRule type="expression" dxfId="3806" priority="570">
      <formula>$Z$11="-"</formula>
    </cfRule>
  </conditionalFormatting>
  <conditionalFormatting sqref="AA79">
    <cfRule type="expression" dxfId="3805" priority="569">
      <formula>$AA$11="-"</formula>
    </cfRule>
  </conditionalFormatting>
  <conditionalFormatting sqref="AL79">
    <cfRule type="expression" dxfId="3804" priority="568">
      <formula>$AL$11="-"</formula>
    </cfRule>
  </conditionalFormatting>
  <conditionalFormatting sqref="AM79">
    <cfRule type="expression" dxfId="3803" priority="567">
      <formula>$AM$11="-"</formula>
    </cfRule>
  </conditionalFormatting>
  <conditionalFormatting sqref="AN79">
    <cfRule type="expression" dxfId="3802" priority="566">
      <formula>$AN$11="-"</formula>
    </cfRule>
  </conditionalFormatting>
  <conditionalFormatting sqref="AO79">
    <cfRule type="expression" dxfId="3801" priority="565">
      <formula>$AO$11="-"</formula>
    </cfRule>
  </conditionalFormatting>
  <conditionalFormatting sqref="AE79">
    <cfRule type="expression" dxfId="3800" priority="564">
      <formula>$AE$11="-"</formula>
    </cfRule>
  </conditionalFormatting>
  <conditionalFormatting sqref="AF79">
    <cfRule type="expression" dxfId="3799" priority="563">
      <formula>$AF$11="-"</formula>
    </cfRule>
  </conditionalFormatting>
  <conditionalFormatting sqref="AG79">
    <cfRule type="expression" dxfId="3798" priority="562">
      <formula>$AG$11="-"</formula>
    </cfRule>
  </conditionalFormatting>
  <conditionalFormatting sqref="AH79">
    <cfRule type="expression" dxfId="3797" priority="561">
      <formula>$AH$11="-"</formula>
    </cfRule>
  </conditionalFormatting>
  <conditionalFormatting sqref="R79">
    <cfRule type="expression" dxfId="3796" priority="560">
      <formula>$R$11="-"</formula>
    </cfRule>
  </conditionalFormatting>
  <conditionalFormatting sqref="S79">
    <cfRule type="expression" dxfId="3795" priority="559">
      <formula>$S$11="-"</formula>
    </cfRule>
  </conditionalFormatting>
  <conditionalFormatting sqref="T79">
    <cfRule type="expression" dxfId="3794" priority="558">
      <formula>$T$11="-"</formula>
    </cfRule>
  </conditionalFormatting>
  <conditionalFormatting sqref="I79:K79">
    <cfRule type="expression" dxfId="3793" priority="582">
      <formula>NOT(ISERROR(BP79))</formula>
    </cfRule>
    <cfRule type="expression" dxfId="3792" priority="583">
      <formula>ISTEXT(E79)</formula>
    </cfRule>
  </conditionalFormatting>
  <conditionalFormatting sqref="E81 G81:H81">
    <cfRule type="expression" dxfId="3791" priority="552">
      <formula>AND(ISTEXT(I81),ISBLANK(E81))</formula>
    </cfRule>
  </conditionalFormatting>
  <conditionalFormatting sqref="A81:K81">
    <cfRule type="expression" dxfId="3790" priority="554">
      <formula>AND($I81&lt;&gt;"",$L81="")</formula>
    </cfRule>
  </conditionalFormatting>
  <conditionalFormatting sqref="F81">
    <cfRule type="expression" dxfId="3789" priority="555">
      <formula>AND(ISTEXT(#REF!),ISBLANK(F81))</formula>
    </cfRule>
  </conditionalFormatting>
  <conditionalFormatting sqref="X81">
    <cfRule type="expression" dxfId="3788" priority="547">
      <formula>$X$11="-"</formula>
    </cfRule>
  </conditionalFormatting>
  <conditionalFormatting sqref="Q81">
    <cfRule type="expression" dxfId="3787" priority="546">
      <formula>$Q$11="-"</formula>
    </cfRule>
  </conditionalFormatting>
  <conditionalFormatting sqref="Y81">
    <cfRule type="expression" dxfId="3786" priority="545">
      <formula>$Y$11="-"</formula>
    </cfRule>
  </conditionalFormatting>
  <conditionalFormatting sqref="Z81">
    <cfRule type="expression" dxfId="3785" priority="544">
      <formula>$Z$11="-"</formula>
    </cfRule>
  </conditionalFormatting>
  <conditionalFormatting sqref="AA81">
    <cfRule type="expression" dxfId="3784" priority="543">
      <formula>$AA$11="-"</formula>
    </cfRule>
  </conditionalFormatting>
  <conditionalFormatting sqref="AL81">
    <cfRule type="expression" dxfId="3783" priority="542">
      <formula>$AL$11="-"</formula>
    </cfRule>
  </conditionalFormatting>
  <conditionalFormatting sqref="AM81">
    <cfRule type="expression" dxfId="3782" priority="541">
      <formula>$AM$11="-"</formula>
    </cfRule>
  </conditionalFormatting>
  <conditionalFormatting sqref="AN81">
    <cfRule type="expression" dxfId="3781" priority="540">
      <formula>$AN$11="-"</formula>
    </cfRule>
  </conditionalFormatting>
  <conditionalFormatting sqref="AO81">
    <cfRule type="expression" dxfId="3780" priority="539">
      <formula>$AO$11="-"</formula>
    </cfRule>
  </conditionalFormatting>
  <conditionalFormatting sqref="AE81">
    <cfRule type="expression" dxfId="3779" priority="538">
      <formula>$AE$11="-"</formula>
    </cfRule>
  </conditionalFormatting>
  <conditionalFormatting sqref="AF81">
    <cfRule type="expression" dxfId="3778" priority="537">
      <formula>$AF$11="-"</formula>
    </cfRule>
  </conditionalFormatting>
  <conditionalFormatting sqref="AG81">
    <cfRule type="expression" dxfId="3777" priority="536">
      <formula>$AG$11="-"</formula>
    </cfRule>
  </conditionalFormatting>
  <conditionalFormatting sqref="AH81">
    <cfRule type="expression" dxfId="3776" priority="535">
      <formula>$AH$11="-"</formula>
    </cfRule>
  </conditionalFormatting>
  <conditionalFormatting sqref="R81">
    <cfRule type="expression" dxfId="3775" priority="534">
      <formula>$R$11="-"</formula>
    </cfRule>
  </conditionalFormatting>
  <conditionalFormatting sqref="S81">
    <cfRule type="expression" dxfId="3774" priority="533">
      <formula>$S$11="-"</formula>
    </cfRule>
  </conditionalFormatting>
  <conditionalFormatting sqref="T81">
    <cfRule type="expression" dxfId="3773" priority="532">
      <formula>$T$11="-"</formula>
    </cfRule>
  </conditionalFormatting>
  <conditionalFormatting sqref="I81:K81">
    <cfRule type="expression" dxfId="3772" priority="556">
      <formula>NOT(ISERROR(BP81))</formula>
    </cfRule>
    <cfRule type="expression" dxfId="3771" priority="557">
      <formula>ISTEXT(E81)</formula>
    </cfRule>
  </conditionalFormatting>
  <conditionalFormatting sqref="A80:K80">
    <cfRule type="expression" dxfId="3770" priority="529">
      <formula>AND($I80&lt;&gt;"",$L80="")</formula>
    </cfRule>
  </conditionalFormatting>
  <conditionalFormatting sqref="X80">
    <cfRule type="expression" dxfId="3769" priority="523">
      <formula>$X$11="-"</formula>
    </cfRule>
  </conditionalFormatting>
  <conditionalFormatting sqref="Q80">
    <cfRule type="expression" dxfId="3768" priority="522">
      <formula>$Q$11="-"</formula>
    </cfRule>
  </conditionalFormatting>
  <conditionalFormatting sqref="Y80">
    <cfRule type="expression" dxfId="3767" priority="521">
      <formula>$Y$11="-"</formula>
    </cfRule>
  </conditionalFormatting>
  <conditionalFormatting sqref="Z80">
    <cfRule type="expression" dxfId="3766" priority="520">
      <formula>$Z$11="-"</formula>
    </cfRule>
  </conditionalFormatting>
  <conditionalFormatting sqref="AA80">
    <cfRule type="expression" dxfId="3765" priority="519">
      <formula>$AA$11="-"</formula>
    </cfRule>
  </conditionalFormatting>
  <conditionalFormatting sqref="AL80">
    <cfRule type="expression" dxfId="3764" priority="518">
      <formula>$AL$11="-"</formula>
    </cfRule>
  </conditionalFormatting>
  <conditionalFormatting sqref="AM80">
    <cfRule type="expression" dxfId="3763" priority="517">
      <formula>$AM$11="-"</formula>
    </cfRule>
  </conditionalFormatting>
  <conditionalFormatting sqref="AN80">
    <cfRule type="expression" dxfId="3762" priority="516">
      <formula>$AN$11="-"</formula>
    </cfRule>
  </conditionalFormatting>
  <conditionalFormatting sqref="AO80">
    <cfRule type="expression" dxfId="3761" priority="515">
      <formula>$AO$11="-"</formula>
    </cfRule>
  </conditionalFormatting>
  <conditionalFormatting sqref="AE80">
    <cfRule type="expression" dxfId="3760" priority="514">
      <formula>$AE$11="-"</formula>
    </cfRule>
  </conditionalFormatting>
  <conditionalFormatting sqref="AF80">
    <cfRule type="expression" dxfId="3759" priority="513">
      <formula>$AF$11="-"</formula>
    </cfRule>
  </conditionalFormatting>
  <conditionalFormatting sqref="AG80">
    <cfRule type="expression" dxfId="3758" priority="512">
      <formula>$AG$11="-"</formula>
    </cfRule>
  </conditionalFormatting>
  <conditionalFormatting sqref="AH80">
    <cfRule type="expression" dxfId="3757" priority="511">
      <formula>$AH$11="-"</formula>
    </cfRule>
  </conditionalFormatting>
  <conditionalFormatting sqref="R80">
    <cfRule type="expression" dxfId="3756" priority="510">
      <formula>$R$11="-"</formula>
    </cfRule>
  </conditionalFormatting>
  <conditionalFormatting sqref="S80">
    <cfRule type="expression" dxfId="3755" priority="509">
      <formula>$S$11="-"</formula>
    </cfRule>
  </conditionalFormatting>
  <conditionalFormatting sqref="T80">
    <cfRule type="expression" dxfId="3754" priority="508">
      <formula>$T$11="-"</formula>
    </cfRule>
  </conditionalFormatting>
  <conditionalFormatting sqref="I80:K80">
    <cfRule type="expression" dxfId="3753" priority="530">
      <formula>NOT(ISERROR(BP80))</formula>
    </cfRule>
    <cfRule type="expression" dxfId="3752" priority="531" stopIfTrue="1">
      <formula>ISTEXT(E80)</formula>
    </cfRule>
  </conditionalFormatting>
  <conditionalFormatting sqref="A82:K82">
    <cfRule type="expression" dxfId="3751" priority="505">
      <formula>AND($I82&lt;&gt;"",$L82="")</formula>
    </cfRule>
  </conditionalFormatting>
  <conditionalFormatting sqref="X82">
    <cfRule type="expression" dxfId="3750" priority="499">
      <formula>$X$11="-"</formula>
    </cfRule>
  </conditionalFormatting>
  <conditionalFormatting sqref="Q82">
    <cfRule type="expression" dxfId="3749" priority="498">
      <formula>$Q$11="-"</formula>
    </cfRule>
  </conditionalFormatting>
  <conditionalFormatting sqref="Y82">
    <cfRule type="expression" dxfId="3748" priority="497">
      <formula>$Y$11="-"</formula>
    </cfRule>
  </conditionalFormatting>
  <conditionalFormatting sqref="Z82">
    <cfRule type="expression" dxfId="3747" priority="496">
      <formula>$Z$11="-"</formula>
    </cfRule>
  </conditionalFormatting>
  <conditionalFormatting sqref="AA82">
    <cfRule type="expression" dxfId="3746" priority="495">
      <formula>$AA$11="-"</formula>
    </cfRule>
  </conditionalFormatting>
  <conditionalFormatting sqref="AL82">
    <cfRule type="expression" dxfId="3745" priority="494">
      <formula>$AL$11="-"</formula>
    </cfRule>
  </conditionalFormatting>
  <conditionalFormatting sqref="AM82">
    <cfRule type="expression" dxfId="3744" priority="493">
      <formula>$AM$11="-"</formula>
    </cfRule>
  </conditionalFormatting>
  <conditionalFormatting sqref="AN82">
    <cfRule type="expression" dxfId="3743" priority="492">
      <formula>$AN$11="-"</formula>
    </cfRule>
  </conditionalFormatting>
  <conditionalFormatting sqref="AO82">
    <cfRule type="expression" dxfId="3742" priority="491">
      <formula>$AO$11="-"</formula>
    </cfRule>
  </conditionalFormatting>
  <conditionalFormatting sqref="AE82">
    <cfRule type="expression" dxfId="3741" priority="490">
      <formula>$AE$11="-"</formula>
    </cfRule>
  </conditionalFormatting>
  <conditionalFormatting sqref="AF82">
    <cfRule type="expression" dxfId="3740" priority="489">
      <formula>$AF$11="-"</formula>
    </cfRule>
  </conditionalFormatting>
  <conditionalFormatting sqref="AG82">
    <cfRule type="expression" dxfId="3739" priority="488">
      <formula>$AG$11="-"</formula>
    </cfRule>
  </conditionalFormatting>
  <conditionalFormatting sqref="AH82">
    <cfRule type="expression" dxfId="3738" priority="487">
      <formula>$AH$11="-"</formula>
    </cfRule>
  </conditionalFormatting>
  <conditionalFormatting sqref="R82">
    <cfRule type="expression" dxfId="3737" priority="486">
      <formula>$R$11="-"</formula>
    </cfRule>
  </conditionalFormatting>
  <conditionalFormatting sqref="S82">
    <cfRule type="expression" dxfId="3736" priority="485">
      <formula>$S$11="-"</formula>
    </cfRule>
  </conditionalFormatting>
  <conditionalFormatting sqref="T82">
    <cfRule type="expression" dxfId="3735" priority="484">
      <formula>$T$11="-"</formula>
    </cfRule>
  </conditionalFormatting>
  <conditionalFormatting sqref="I82:K82">
    <cfRule type="expression" dxfId="3734" priority="506">
      <formula>NOT(ISERROR(BP82))</formula>
    </cfRule>
    <cfRule type="expression" dxfId="3733" priority="507" stopIfTrue="1">
      <formula>ISTEXT(E82)</formula>
    </cfRule>
  </conditionalFormatting>
  <conditionalFormatting sqref="E83 G83:H83">
    <cfRule type="expression" dxfId="3732" priority="478">
      <formula>AND(ISTEXT(I83),ISBLANK(E83))</formula>
    </cfRule>
  </conditionalFormatting>
  <conditionalFormatting sqref="A83:K83">
    <cfRule type="expression" dxfId="3731" priority="480">
      <formula>AND($I83&lt;&gt;"",$L83="")</formula>
    </cfRule>
  </conditionalFormatting>
  <conditionalFormatting sqref="F83">
    <cfRule type="expression" dxfId="3730" priority="481">
      <formula>AND(ISTEXT(#REF!),ISBLANK(F83))</formula>
    </cfRule>
  </conditionalFormatting>
  <conditionalFormatting sqref="X83">
    <cfRule type="expression" dxfId="3729" priority="473">
      <formula>$X$11="-"</formula>
    </cfRule>
  </conditionalFormatting>
  <conditionalFormatting sqref="Q83">
    <cfRule type="expression" dxfId="3728" priority="472">
      <formula>$Q$11="-"</formula>
    </cfRule>
  </conditionalFormatting>
  <conditionalFormatting sqref="Y83">
    <cfRule type="expression" dxfId="3727" priority="471">
      <formula>$Y$11="-"</formula>
    </cfRule>
  </conditionalFormatting>
  <conditionalFormatting sqref="Z83">
    <cfRule type="expression" dxfId="3726" priority="470">
      <formula>$Z$11="-"</formula>
    </cfRule>
  </conditionalFormatting>
  <conditionalFormatting sqref="AA83">
    <cfRule type="expression" dxfId="3725" priority="469">
      <formula>$AA$11="-"</formula>
    </cfRule>
  </conditionalFormatting>
  <conditionalFormatting sqref="AL83">
    <cfRule type="expression" dxfId="3724" priority="468">
      <formula>$AL$11="-"</formula>
    </cfRule>
  </conditionalFormatting>
  <conditionalFormatting sqref="AM83">
    <cfRule type="expression" dxfId="3723" priority="467">
      <formula>$AM$11="-"</formula>
    </cfRule>
  </conditionalFormatting>
  <conditionalFormatting sqref="AN83">
    <cfRule type="expression" dxfId="3722" priority="466">
      <formula>$AN$11="-"</formula>
    </cfRule>
  </conditionalFormatting>
  <conditionalFormatting sqref="AO83">
    <cfRule type="expression" dxfId="3721" priority="465">
      <formula>$AO$11="-"</formula>
    </cfRule>
  </conditionalFormatting>
  <conditionalFormatting sqref="AE83">
    <cfRule type="expression" dxfId="3720" priority="464">
      <formula>$AE$11="-"</formula>
    </cfRule>
  </conditionalFormatting>
  <conditionalFormatting sqref="AF83">
    <cfRule type="expression" dxfId="3719" priority="463">
      <formula>$AF$11="-"</formula>
    </cfRule>
  </conditionalFormatting>
  <conditionalFormatting sqref="AG83">
    <cfRule type="expression" dxfId="3718" priority="462">
      <formula>$AG$11="-"</formula>
    </cfRule>
  </conditionalFormatting>
  <conditionalFormatting sqref="AH83">
    <cfRule type="expression" dxfId="3717" priority="461">
      <formula>$AH$11="-"</formula>
    </cfRule>
  </conditionalFormatting>
  <conditionalFormatting sqref="R83">
    <cfRule type="expression" dxfId="3716" priority="460">
      <formula>$R$11="-"</formula>
    </cfRule>
  </conditionalFormatting>
  <conditionalFormatting sqref="S83">
    <cfRule type="expression" dxfId="3715" priority="459">
      <formula>$S$11="-"</formula>
    </cfRule>
  </conditionalFormatting>
  <conditionalFormatting sqref="T83">
    <cfRule type="expression" dxfId="3714" priority="458">
      <formula>$T$11="-"</formula>
    </cfRule>
  </conditionalFormatting>
  <conditionalFormatting sqref="I83:K83">
    <cfRule type="expression" dxfId="3713" priority="482">
      <formula>NOT(ISERROR(BP83))</formula>
    </cfRule>
    <cfRule type="expression" dxfId="3712" priority="483">
      <formula>ISTEXT(E83)</formula>
    </cfRule>
  </conditionalFormatting>
  <conditionalFormatting sqref="E85 G85:H85">
    <cfRule type="expression" dxfId="3711" priority="452">
      <formula>AND(ISTEXT(I85),ISBLANK(E85))</formula>
    </cfRule>
  </conditionalFormatting>
  <conditionalFormatting sqref="A85:K85">
    <cfRule type="expression" dxfId="3710" priority="454">
      <formula>AND($I85&lt;&gt;"",$L85="")</formula>
    </cfRule>
  </conditionalFormatting>
  <conditionalFormatting sqref="F85">
    <cfRule type="expression" dxfId="3709" priority="455">
      <formula>AND(ISTEXT(#REF!),ISBLANK(F85))</formula>
    </cfRule>
  </conditionalFormatting>
  <conditionalFormatting sqref="X85">
    <cfRule type="expression" dxfId="3708" priority="447">
      <formula>$X$11="-"</formula>
    </cfRule>
  </conditionalFormatting>
  <conditionalFormatting sqref="Q85">
    <cfRule type="expression" dxfId="3707" priority="446">
      <formula>$Q$11="-"</formula>
    </cfRule>
  </conditionalFormatting>
  <conditionalFormatting sqref="Y85">
    <cfRule type="expression" dxfId="3706" priority="445">
      <formula>$Y$11="-"</formula>
    </cfRule>
  </conditionalFormatting>
  <conditionalFormatting sqref="Z85">
    <cfRule type="expression" dxfId="3705" priority="444">
      <formula>$Z$11="-"</formula>
    </cfRule>
  </conditionalFormatting>
  <conditionalFormatting sqref="AA85">
    <cfRule type="expression" dxfId="3704" priority="443">
      <formula>$AA$11="-"</formula>
    </cfRule>
  </conditionalFormatting>
  <conditionalFormatting sqref="AL85">
    <cfRule type="expression" dxfId="3703" priority="442">
      <formula>$AL$11="-"</formula>
    </cfRule>
  </conditionalFormatting>
  <conditionalFormatting sqref="AM85">
    <cfRule type="expression" dxfId="3702" priority="441">
      <formula>$AM$11="-"</formula>
    </cfRule>
  </conditionalFormatting>
  <conditionalFormatting sqref="AN85">
    <cfRule type="expression" dxfId="3701" priority="440">
      <formula>$AN$11="-"</formula>
    </cfRule>
  </conditionalFormatting>
  <conditionalFormatting sqref="AO85">
    <cfRule type="expression" dxfId="3700" priority="439">
      <formula>$AO$11="-"</formula>
    </cfRule>
  </conditionalFormatting>
  <conditionalFormatting sqref="AE85">
    <cfRule type="expression" dxfId="3699" priority="438">
      <formula>$AE$11="-"</formula>
    </cfRule>
  </conditionalFormatting>
  <conditionalFormatting sqref="AF85">
    <cfRule type="expression" dxfId="3698" priority="437">
      <formula>$AF$11="-"</formula>
    </cfRule>
  </conditionalFormatting>
  <conditionalFormatting sqref="AG85">
    <cfRule type="expression" dxfId="3697" priority="436">
      <formula>$AG$11="-"</formula>
    </cfRule>
  </conditionalFormatting>
  <conditionalFormatting sqref="AH85">
    <cfRule type="expression" dxfId="3696" priority="435">
      <formula>$AH$11="-"</formula>
    </cfRule>
  </conditionalFormatting>
  <conditionalFormatting sqref="R85">
    <cfRule type="expression" dxfId="3695" priority="434">
      <formula>$R$11="-"</formula>
    </cfRule>
  </conditionalFormatting>
  <conditionalFormatting sqref="S85">
    <cfRule type="expression" dxfId="3694" priority="433">
      <formula>$S$11="-"</formula>
    </cfRule>
  </conditionalFormatting>
  <conditionalFormatting sqref="T85">
    <cfRule type="expression" dxfId="3693" priority="432">
      <formula>$T$11="-"</formula>
    </cfRule>
  </conditionalFormatting>
  <conditionalFormatting sqref="I85:K85">
    <cfRule type="expression" dxfId="3692" priority="456">
      <formula>NOT(ISERROR(BP85))</formula>
    </cfRule>
    <cfRule type="expression" dxfId="3691" priority="457">
      <formula>ISTEXT(E85)</formula>
    </cfRule>
  </conditionalFormatting>
  <conditionalFormatting sqref="A84:K84">
    <cfRule type="expression" dxfId="3690" priority="429">
      <formula>AND($I84&lt;&gt;"",$L84="")</formula>
    </cfRule>
  </conditionalFormatting>
  <conditionalFormatting sqref="X84">
    <cfRule type="expression" dxfId="3689" priority="423">
      <formula>$X$11="-"</formula>
    </cfRule>
  </conditionalFormatting>
  <conditionalFormatting sqref="Q84">
    <cfRule type="expression" dxfId="3688" priority="422">
      <formula>$Q$11="-"</formula>
    </cfRule>
  </conditionalFormatting>
  <conditionalFormatting sqref="Y84">
    <cfRule type="expression" dxfId="3687" priority="421">
      <formula>$Y$11="-"</formula>
    </cfRule>
  </conditionalFormatting>
  <conditionalFormatting sqref="Z84">
    <cfRule type="expression" dxfId="3686" priority="420">
      <formula>$Z$11="-"</formula>
    </cfRule>
  </conditionalFormatting>
  <conditionalFormatting sqref="AA84">
    <cfRule type="expression" dxfId="3685" priority="419">
      <formula>$AA$11="-"</formula>
    </cfRule>
  </conditionalFormatting>
  <conditionalFormatting sqref="AL84">
    <cfRule type="expression" dxfId="3684" priority="418">
      <formula>$AL$11="-"</formula>
    </cfRule>
  </conditionalFormatting>
  <conditionalFormatting sqref="AM84">
    <cfRule type="expression" dxfId="3683" priority="417">
      <formula>$AM$11="-"</formula>
    </cfRule>
  </conditionalFormatting>
  <conditionalFormatting sqref="AN84">
    <cfRule type="expression" dxfId="3682" priority="416">
      <formula>$AN$11="-"</formula>
    </cfRule>
  </conditionalFormatting>
  <conditionalFormatting sqref="AO84">
    <cfRule type="expression" dxfId="3681" priority="415">
      <formula>$AO$11="-"</formula>
    </cfRule>
  </conditionalFormatting>
  <conditionalFormatting sqref="AE84">
    <cfRule type="expression" dxfId="3680" priority="414">
      <formula>$AE$11="-"</formula>
    </cfRule>
  </conditionalFormatting>
  <conditionalFormatting sqref="AF84">
    <cfRule type="expression" dxfId="3679" priority="413">
      <formula>$AF$11="-"</formula>
    </cfRule>
  </conditionalFormatting>
  <conditionalFormatting sqref="AG84">
    <cfRule type="expression" dxfId="3678" priority="412">
      <formula>$AG$11="-"</formula>
    </cfRule>
  </conditionalFormatting>
  <conditionalFormatting sqref="AH84">
    <cfRule type="expression" dxfId="3677" priority="411">
      <formula>$AH$11="-"</formula>
    </cfRule>
  </conditionalFormatting>
  <conditionalFormatting sqref="R84">
    <cfRule type="expression" dxfId="3676" priority="410">
      <formula>$R$11="-"</formula>
    </cfRule>
  </conditionalFormatting>
  <conditionalFormatting sqref="S84">
    <cfRule type="expression" dxfId="3675" priority="409">
      <formula>$S$11="-"</formula>
    </cfRule>
  </conditionalFormatting>
  <conditionalFormatting sqref="T84">
    <cfRule type="expression" dxfId="3674" priority="408">
      <formula>$T$11="-"</formula>
    </cfRule>
  </conditionalFormatting>
  <conditionalFormatting sqref="I84:K84">
    <cfRule type="expression" dxfId="3673" priority="430">
      <formula>NOT(ISERROR(BP84))</formula>
    </cfRule>
    <cfRule type="expression" dxfId="3672" priority="431" stopIfTrue="1">
      <formula>ISTEXT(E84)</formula>
    </cfRule>
  </conditionalFormatting>
  <conditionalFormatting sqref="A86:K86 A90:K90">
    <cfRule type="expression" dxfId="3671" priority="405">
      <formula>AND($I86&lt;&gt;"",$L86="")</formula>
    </cfRule>
  </conditionalFormatting>
  <conditionalFormatting sqref="X86 X90">
    <cfRule type="expression" dxfId="3670" priority="399">
      <formula>$X$11="-"</formula>
    </cfRule>
  </conditionalFormatting>
  <conditionalFormatting sqref="Q86 Q90">
    <cfRule type="expression" dxfId="3669" priority="398">
      <formula>$Q$11="-"</formula>
    </cfRule>
  </conditionalFormatting>
  <conditionalFormatting sqref="Y86 Y90">
    <cfRule type="expression" dxfId="3668" priority="397">
      <formula>$Y$11="-"</formula>
    </cfRule>
  </conditionalFormatting>
  <conditionalFormatting sqref="Z86 Z90">
    <cfRule type="expression" dxfId="3667" priority="396">
      <formula>$Z$11="-"</formula>
    </cfRule>
  </conditionalFormatting>
  <conditionalFormatting sqref="AA86 AA90">
    <cfRule type="expression" dxfId="3666" priority="395">
      <formula>$AA$11="-"</formula>
    </cfRule>
  </conditionalFormatting>
  <conditionalFormatting sqref="AL86 AL90">
    <cfRule type="expression" dxfId="3665" priority="394">
      <formula>$AL$11="-"</formula>
    </cfRule>
  </conditionalFormatting>
  <conditionalFormatting sqref="AM86 AM90">
    <cfRule type="expression" dxfId="3664" priority="393">
      <formula>$AM$11="-"</formula>
    </cfRule>
  </conditionalFormatting>
  <conditionalFormatting sqref="AN86 AN90">
    <cfRule type="expression" dxfId="3663" priority="392">
      <formula>$AN$11="-"</formula>
    </cfRule>
  </conditionalFormatting>
  <conditionalFormatting sqref="AO86 AO90">
    <cfRule type="expression" dxfId="3662" priority="391">
      <formula>$AO$11="-"</formula>
    </cfRule>
  </conditionalFormatting>
  <conditionalFormatting sqref="AE86 AE90">
    <cfRule type="expression" dxfId="3661" priority="390">
      <formula>$AE$11="-"</formula>
    </cfRule>
  </conditionalFormatting>
  <conditionalFormatting sqref="AF86 AF90">
    <cfRule type="expression" dxfId="3660" priority="389">
      <formula>$AF$11="-"</formula>
    </cfRule>
  </conditionalFormatting>
  <conditionalFormatting sqref="AG86 AG90">
    <cfRule type="expression" dxfId="3659" priority="388">
      <formula>$AG$11="-"</formula>
    </cfRule>
  </conditionalFormatting>
  <conditionalFormatting sqref="AH86 AH90">
    <cfRule type="expression" dxfId="3658" priority="387">
      <formula>$AH$11="-"</formula>
    </cfRule>
  </conditionalFormatting>
  <conditionalFormatting sqref="R86 R90">
    <cfRule type="expression" dxfId="3657" priority="386">
      <formula>$R$11="-"</formula>
    </cfRule>
  </conditionalFormatting>
  <conditionalFormatting sqref="S86 S90">
    <cfRule type="expression" dxfId="3656" priority="385">
      <formula>$S$11="-"</formula>
    </cfRule>
  </conditionalFormatting>
  <conditionalFormatting sqref="T86 T90">
    <cfRule type="expression" dxfId="3655" priority="384">
      <formula>$T$11="-"</formula>
    </cfRule>
  </conditionalFormatting>
  <conditionalFormatting sqref="I86:K86 I90:K90">
    <cfRule type="expression" dxfId="3654" priority="406">
      <formula>NOT(ISERROR(BP86))</formula>
    </cfRule>
    <cfRule type="expression" dxfId="3653" priority="407" stopIfTrue="1">
      <formula>ISTEXT(E86)</formula>
    </cfRule>
  </conditionalFormatting>
  <conditionalFormatting sqref="E87 E91 G87:H87 G91:H91">
    <cfRule type="expression" dxfId="3652" priority="378">
      <formula>AND(ISTEXT(I87),ISBLANK(E87))</formula>
    </cfRule>
  </conditionalFormatting>
  <conditionalFormatting sqref="A87:K87 A91:K91">
    <cfRule type="expression" dxfId="3651" priority="380">
      <formula>AND($I87&lt;&gt;"",$L87="")</formula>
    </cfRule>
  </conditionalFormatting>
  <conditionalFormatting sqref="F87 F91">
    <cfRule type="expression" dxfId="3650" priority="381">
      <formula>AND(ISTEXT(#REF!),ISBLANK(F87))</formula>
    </cfRule>
  </conditionalFormatting>
  <conditionalFormatting sqref="X87 X91">
    <cfRule type="expression" dxfId="3649" priority="373">
      <formula>$X$11="-"</formula>
    </cfRule>
  </conditionalFormatting>
  <conditionalFormatting sqref="Q87 Q91">
    <cfRule type="expression" dxfId="3648" priority="372">
      <formula>$Q$11="-"</formula>
    </cfRule>
  </conditionalFormatting>
  <conditionalFormatting sqref="Y87 Y91">
    <cfRule type="expression" dxfId="3647" priority="371">
      <formula>$Y$11="-"</formula>
    </cfRule>
  </conditionalFormatting>
  <conditionalFormatting sqref="Z87 Z91">
    <cfRule type="expression" dxfId="3646" priority="370">
      <formula>$Z$11="-"</formula>
    </cfRule>
  </conditionalFormatting>
  <conditionalFormatting sqref="AA87 AA91">
    <cfRule type="expression" dxfId="3645" priority="369">
      <formula>$AA$11="-"</formula>
    </cfRule>
  </conditionalFormatting>
  <conditionalFormatting sqref="AL87 AL91">
    <cfRule type="expression" dxfId="3644" priority="368">
      <formula>$AL$11="-"</formula>
    </cfRule>
  </conditionalFormatting>
  <conditionalFormatting sqref="AM87 AM91">
    <cfRule type="expression" dxfId="3643" priority="367">
      <formula>$AM$11="-"</formula>
    </cfRule>
  </conditionalFormatting>
  <conditionalFormatting sqref="AN87 AN91">
    <cfRule type="expression" dxfId="3642" priority="366">
      <formula>$AN$11="-"</formula>
    </cfRule>
  </conditionalFormatting>
  <conditionalFormatting sqref="AO87 AO91">
    <cfRule type="expression" dxfId="3641" priority="365">
      <formula>$AO$11="-"</formula>
    </cfRule>
  </conditionalFormatting>
  <conditionalFormatting sqref="AE87 AE91">
    <cfRule type="expression" dxfId="3640" priority="364">
      <formula>$AE$11="-"</formula>
    </cfRule>
  </conditionalFormatting>
  <conditionalFormatting sqref="AF87 AF91">
    <cfRule type="expression" dxfId="3639" priority="363">
      <formula>$AF$11="-"</formula>
    </cfRule>
  </conditionalFormatting>
  <conditionalFormatting sqref="AG87 AG91">
    <cfRule type="expression" dxfId="3638" priority="362">
      <formula>$AG$11="-"</formula>
    </cfRule>
  </conditionalFormatting>
  <conditionalFormatting sqref="AH87 AH91">
    <cfRule type="expression" dxfId="3637" priority="361">
      <formula>$AH$11="-"</formula>
    </cfRule>
  </conditionalFormatting>
  <conditionalFormatting sqref="R87 R91">
    <cfRule type="expression" dxfId="3636" priority="360">
      <formula>$R$11="-"</formula>
    </cfRule>
  </conditionalFormatting>
  <conditionalFormatting sqref="S87 S91">
    <cfRule type="expression" dxfId="3635" priority="359">
      <formula>$S$11="-"</formula>
    </cfRule>
  </conditionalFormatting>
  <conditionalFormatting sqref="T87 T91">
    <cfRule type="expression" dxfId="3634" priority="358">
      <formula>$T$11="-"</formula>
    </cfRule>
  </conditionalFormatting>
  <conditionalFormatting sqref="I87:K87 I91:K91">
    <cfRule type="expression" dxfId="3633" priority="382">
      <formula>NOT(ISERROR(BP87))</formula>
    </cfRule>
    <cfRule type="expression" dxfId="3632" priority="383">
      <formula>ISTEXT(E87)</formula>
    </cfRule>
  </conditionalFormatting>
  <conditionalFormatting sqref="E89 E93 G89:H89 G93:H93">
    <cfRule type="expression" dxfId="3631" priority="352">
      <formula>AND(ISTEXT(I89),ISBLANK(E89))</formula>
    </cfRule>
  </conditionalFormatting>
  <conditionalFormatting sqref="A89:K89 A93:K93">
    <cfRule type="expression" dxfId="3630" priority="354">
      <formula>AND($I89&lt;&gt;"",$L89="")</formula>
    </cfRule>
  </conditionalFormatting>
  <conditionalFormatting sqref="F89 F93">
    <cfRule type="expression" dxfId="3629" priority="355">
      <formula>AND(ISTEXT(#REF!),ISBLANK(F89))</formula>
    </cfRule>
  </conditionalFormatting>
  <conditionalFormatting sqref="X89 X93">
    <cfRule type="expression" dxfId="3628" priority="347">
      <formula>$X$11="-"</formula>
    </cfRule>
  </conditionalFormatting>
  <conditionalFormatting sqref="Q89 Q93">
    <cfRule type="expression" dxfId="3627" priority="346">
      <formula>$Q$11="-"</formula>
    </cfRule>
  </conditionalFormatting>
  <conditionalFormatting sqref="Y89 Y93">
    <cfRule type="expression" dxfId="3626" priority="345">
      <formula>$Y$11="-"</formula>
    </cfRule>
  </conditionalFormatting>
  <conditionalFormatting sqref="Z89 Z93">
    <cfRule type="expression" dxfId="3625" priority="344">
      <formula>$Z$11="-"</formula>
    </cfRule>
  </conditionalFormatting>
  <conditionalFormatting sqref="AA89 AA93">
    <cfRule type="expression" dxfId="3624" priority="343">
      <formula>$AA$11="-"</formula>
    </cfRule>
  </conditionalFormatting>
  <conditionalFormatting sqref="AL89 AL93">
    <cfRule type="expression" dxfId="3623" priority="342">
      <formula>$AL$11="-"</formula>
    </cfRule>
  </conditionalFormatting>
  <conditionalFormatting sqref="AM89 AM93">
    <cfRule type="expression" dxfId="3622" priority="341">
      <formula>$AM$11="-"</formula>
    </cfRule>
  </conditionalFormatting>
  <conditionalFormatting sqref="AN89 AN93">
    <cfRule type="expression" dxfId="3621" priority="340">
      <formula>$AN$11="-"</formula>
    </cfRule>
  </conditionalFormatting>
  <conditionalFormatting sqref="AO89 AO93">
    <cfRule type="expression" dxfId="3620" priority="339">
      <formula>$AO$11="-"</formula>
    </cfRule>
  </conditionalFormatting>
  <conditionalFormatting sqref="AE89 AE93">
    <cfRule type="expression" dxfId="3619" priority="338">
      <formula>$AE$11="-"</formula>
    </cfRule>
  </conditionalFormatting>
  <conditionalFormatting sqref="AF89 AF93">
    <cfRule type="expression" dxfId="3618" priority="337">
      <formula>$AF$11="-"</formula>
    </cfRule>
  </conditionalFormatting>
  <conditionalFormatting sqref="AG89 AG93">
    <cfRule type="expression" dxfId="3617" priority="336">
      <formula>$AG$11="-"</formula>
    </cfRule>
  </conditionalFormatting>
  <conditionalFormatting sqref="AH89 AH93">
    <cfRule type="expression" dxfId="3616" priority="335">
      <formula>$AH$11="-"</formula>
    </cfRule>
  </conditionalFormatting>
  <conditionalFormatting sqref="R89 R93">
    <cfRule type="expression" dxfId="3615" priority="334">
      <formula>$R$11="-"</formula>
    </cfRule>
  </conditionalFormatting>
  <conditionalFormatting sqref="S89 S93">
    <cfRule type="expression" dxfId="3614" priority="333">
      <formula>$S$11="-"</formula>
    </cfRule>
  </conditionalFormatting>
  <conditionalFormatting sqref="T89 T93">
    <cfRule type="expression" dxfId="3613" priority="332">
      <formula>$T$11="-"</formula>
    </cfRule>
  </conditionalFormatting>
  <conditionalFormatting sqref="I89:K89 I93:K93">
    <cfRule type="expression" dxfId="3612" priority="356">
      <formula>NOT(ISERROR(BP89))</formula>
    </cfRule>
    <cfRule type="expression" dxfId="3611" priority="357">
      <formula>ISTEXT(E89)</formula>
    </cfRule>
  </conditionalFormatting>
  <conditionalFormatting sqref="A88:K88 A92:K92">
    <cfRule type="expression" dxfId="3610" priority="329">
      <formula>AND($I88&lt;&gt;"",$L88="")</formula>
    </cfRule>
  </conditionalFormatting>
  <conditionalFormatting sqref="X88 X92">
    <cfRule type="expression" dxfId="3609" priority="323">
      <formula>$X$11="-"</formula>
    </cfRule>
  </conditionalFormatting>
  <conditionalFormatting sqref="Q88 Q92">
    <cfRule type="expression" dxfId="3608" priority="322">
      <formula>$Q$11="-"</formula>
    </cfRule>
  </conditionalFormatting>
  <conditionalFormatting sqref="Y88 Y92">
    <cfRule type="expression" dxfId="3607" priority="321">
      <formula>$Y$11="-"</formula>
    </cfRule>
  </conditionalFormatting>
  <conditionalFormatting sqref="Z88 Z92">
    <cfRule type="expression" dxfId="3606" priority="320">
      <formula>$Z$11="-"</formula>
    </cfRule>
  </conditionalFormatting>
  <conditionalFormatting sqref="AA88 AA92">
    <cfRule type="expression" dxfId="3605" priority="319">
      <formula>$AA$11="-"</formula>
    </cfRule>
  </conditionalFormatting>
  <conditionalFormatting sqref="AL88 AL92">
    <cfRule type="expression" dxfId="3604" priority="318">
      <formula>$AL$11="-"</formula>
    </cfRule>
  </conditionalFormatting>
  <conditionalFormatting sqref="AM88 AM92">
    <cfRule type="expression" dxfId="3603" priority="317">
      <formula>$AM$11="-"</formula>
    </cfRule>
  </conditionalFormatting>
  <conditionalFormatting sqref="AN88 AN92">
    <cfRule type="expression" dxfId="3602" priority="316">
      <formula>$AN$11="-"</formula>
    </cfRule>
  </conditionalFormatting>
  <conditionalFormatting sqref="AO88 AO92">
    <cfRule type="expression" dxfId="3601" priority="315">
      <formula>$AO$11="-"</formula>
    </cfRule>
  </conditionalFormatting>
  <conditionalFormatting sqref="AE88 AE92">
    <cfRule type="expression" dxfId="3600" priority="314">
      <formula>$AE$11="-"</formula>
    </cfRule>
  </conditionalFormatting>
  <conditionalFormatting sqref="AF88 AF92">
    <cfRule type="expression" dxfId="3599" priority="313">
      <formula>$AF$11="-"</formula>
    </cfRule>
  </conditionalFormatting>
  <conditionalFormatting sqref="AG88 AG92">
    <cfRule type="expression" dxfId="3598" priority="312">
      <formula>$AG$11="-"</formula>
    </cfRule>
  </conditionalFormatting>
  <conditionalFormatting sqref="AH88 AH92">
    <cfRule type="expression" dxfId="3597" priority="311">
      <formula>$AH$11="-"</formula>
    </cfRule>
  </conditionalFormatting>
  <conditionalFormatting sqref="R88 R92">
    <cfRule type="expression" dxfId="3596" priority="310">
      <formula>$R$11="-"</formula>
    </cfRule>
  </conditionalFormatting>
  <conditionalFormatting sqref="S88 S92">
    <cfRule type="expression" dxfId="3595" priority="309">
      <formula>$S$11="-"</formula>
    </cfRule>
  </conditionalFormatting>
  <conditionalFormatting sqref="T88 T92">
    <cfRule type="expression" dxfId="3594" priority="308">
      <formula>$T$11="-"</formula>
    </cfRule>
  </conditionalFormatting>
  <conditionalFormatting sqref="I88:K88 I92:K92">
    <cfRule type="expression" dxfId="3593" priority="330">
      <formula>NOT(ISERROR(BP88))</formula>
    </cfRule>
    <cfRule type="expression" dxfId="3592" priority="331" stopIfTrue="1">
      <formula>ISTEXT(E88)</formula>
    </cfRule>
  </conditionalFormatting>
  <conditionalFormatting sqref="A94:K94 A98:K98">
    <cfRule type="expression" dxfId="3591" priority="305">
      <formula>AND($I94&lt;&gt;"",$L94="")</formula>
    </cfRule>
  </conditionalFormatting>
  <conditionalFormatting sqref="X94 X98">
    <cfRule type="expression" dxfId="3590" priority="299">
      <formula>$X$11="-"</formula>
    </cfRule>
  </conditionalFormatting>
  <conditionalFormatting sqref="Q94 Q98">
    <cfRule type="expression" dxfId="3589" priority="298">
      <formula>$Q$11="-"</formula>
    </cfRule>
  </conditionalFormatting>
  <conditionalFormatting sqref="Y94 Y98">
    <cfRule type="expression" dxfId="3588" priority="297">
      <formula>$Y$11="-"</formula>
    </cfRule>
  </conditionalFormatting>
  <conditionalFormatting sqref="Z94 Z98">
    <cfRule type="expression" dxfId="3587" priority="296">
      <formula>$Z$11="-"</formula>
    </cfRule>
  </conditionalFormatting>
  <conditionalFormatting sqref="AA94 AA98">
    <cfRule type="expression" dxfId="3586" priority="295">
      <formula>$AA$11="-"</formula>
    </cfRule>
  </conditionalFormatting>
  <conditionalFormatting sqref="AL94 AL98">
    <cfRule type="expression" dxfId="3585" priority="294">
      <formula>$AL$11="-"</formula>
    </cfRule>
  </conditionalFormatting>
  <conditionalFormatting sqref="AM94 AM98">
    <cfRule type="expression" dxfId="3584" priority="293">
      <formula>$AM$11="-"</formula>
    </cfRule>
  </conditionalFormatting>
  <conditionalFormatting sqref="AN94 AN98">
    <cfRule type="expression" dxfId="3583" priority="292">
      <formula>$AN$11="-"</formula>
    </cfRule>
  </conditionalFormatting>
  <conditionalFormatting sqref="AO94 AO98">
    <cfRule type="expression" dxfId="3582" priority="291">
      <formula>$AO$11="-"</formula>
    </cfRule>
  </conditionalFormatting>
  <conditionalFormatting sqref="AE94 AE98">
    <cfRule type="expression" dxfId="3581" priority="290">
      <formula>$AE$11="-"</formula>
    </cfRule>
  </conditionalFormatting>
  <conditionalFormatting sqref="AF94 AF98">
    <cfRule type="expression" dxfId="3580" priority="289">
      <formula>$AF$11="-"</formula>
    </cfRule>
  </conditionalFormatting>
  <conditionalFormatting sqref="AG94 AG98">
    <cfRule type="expression" dxfId="3579" priority="288">
      <formula>$AG$11="-"</formula>
    </cfRule>
  </conditionalFormatting>
  <conditionalFormatting sqref="AH94 AH98">
    <cfRule type="expression" dxfId="3578" priority="287">
      <formula>$AH$11="-"</formula>
    </cfRule>
  </conditionalFormatting>
  <conditionalFormatting sqref="R94 R98">
    <cfRule type="expression" dxfId="3577" priority="286">
      <formula>$R$11="-"</formula>
    </cfRule>
  </conditionalFormatting>
  <conditionalFormatting sqref="S94 S98">
    <cfRule type="expression" dxfId="3576" priority="285">
      <formula>$S$11="-"</formula>
    </cfRule>
  </conditionalFormatting>
  <conditionalFormatting sqref="T94 T98">
    <cfRule type="expression" dxfId="3575" priority="284">
      <formula>$T$11="-"</formula>
    </cfRule>
  </conditionalFormatting>
  <conditionalFormatting sqref="I94:K94 I98:K98">
    <cfRule type="expression" dxfId="3574" priority="306">
      <formula>NOT(ISERROR(BP94))</formula>
    </cfRule>
    <cfRule type="expression" dxfId="3573" priority="307" stopIfTrue="1">
      <formula>ISTEXT(E94)</formula>
    </cfRule>
  </conditionalFormatting>
  <conditionalFormatting sqref="E95 E99 G95:H95 G99:H99">
    <cfRule type="expression" dxfId="3572" priority="278">
      <formula>AND(ISTEXT(I95),ISBLANK(E95))</formula>
    </cfRule>
  </conditionalFormatting>
  <conditionalFormatting sqref="A95:K95 A99:K99">
    <cfRule type="expression" dxfId="3571" priority="280">
      <formula>AND($I95&lt;&gt;"",$L95="")</formula>
    </cfRule>
  </conditionalFormatting>
  <conditionalFormatting sqref="F95 F99">
    <cfRule type="expression" dxfId="3570" priority="281">
      <formula>AND(ISTEXT(#REF!),ISBLANK(F95))</formula>
    </cfRule>
  </conditionalFormatting>
  <conditionalFormatting sqref="X95 X99">
    <cfRule type="expression" dxfId="3569" priority="273">
      <formula>$X$11="-"</formula>
    </cfRule>
  </conditionalFormatting>
  <conditionalFormatting sqref="Q95 Q99">
    <cfRule type="expression" dxfId="3568" priority="272">
      <formula>$Q$11="-"</formula>
    </cfRule>
  </conditionalFormatting>
  <conditionalFormatting sqref="Y95 Y99">
    <cfRule type="expression" dxfId="3567" priority="271">
      <formula>$Y$11="-"</formula>
    </cfRule>
  </conditionalFormatting>
  <conditionalFormatting sqref="Z95 Z99">
    <cfRule type="expression" dxfId="3566" priority="270">
      <formula>$Z$11="-"</formula>
    </cfRule>
  </conditionalFormatting>
  <conditionalFormatting sqref="AA95 AA99">
    <cfRule type="expression" dxfId="3565" priority="269">
      <formula>$AA$11="-"</formula>
    </cfRule>
  </conditionalFormatting>
  <conditionalFormatting sqref="AL95 AL99">
    <cfRule type="expression" dxfId="3564" priority="268">
      <formula>$AL$11="-"</formula>
    </cfRule>
  </conditionalFormatting>
  <conditionalFormatting sqref="AM95 AM99">
    <cfRule type="expression" dxfId="3563" priority="267">
      <formula>$AM$11="-"</formula>
    </cfRule>
  </conditionalFormatting>
  <conditionalFormatting sqref="AN95 AN99">
    <cfRule type="expression" dxfId="3562" priority="266">
      <formula>$AN$11="-"</formula>
    </cfRule>
  </conditionalFormatting>
  <conditionalFormatting sqref="AO95 AO99">
    <cfRule type="expression" dxfId="3561" priority="265">
      <formula>$AO$11="-"</formula>
    </cfRule>
  </conditionalFormatting>
  <conditionalFormatting sqref="AE95 AE99">
    <cfRule type="expression" dxfId="3560" priority="264">
      <formula>$AE$11="-"</formula>
    </cfRule>
  </conditionalFormatting>
  <conditionalFormatting sqref="AF95 AF99">
    <cfRule type="expression" dxfId="3559" priority="263">
      <formula>$AF$11="-"</formula>
    </cfRule>
  </conditionalFormatting>
  <conditionalFormatting sqref="AG95 AG99">
    <cfRule type="expression" dxfId="3558" priority="262">
      <formula>$AG$11="-"</formula>
    </cfRule>
  </conditionalFormatting>
  <conditionalFormatting sqref="AH95 AH99">
    <cfRule type="expression" dxfId="3557" priority="261">
      <formula>$AH$11="-"</formula>
    </cfRule>
  </conditionalFormatting>
  <conditionalFormatting sqref="R95 R99">
    <cfRule type="expression" dxfId="3556" priority="260">
      <formula>$R$11="-"</formula>
    </cfRule>
  </conditionalFormatting>
  <conditionalFormatting sqref="S95 S99">
    <cfRule type="expression" dxfId="3555" priority="259">
      <formula>$S$11="-"</formula>
    </cfRule>
  </conditionalFormatting>
  <conditionalFormatting sqref="T95 T99">
    <cfRule type="expression" dxfId="3554" priority="258">
      <formula>$T$11="-"</formula>
    </cfRule>
  </conditionalFormatting>
  <conditionalFormatting sqref="I95:K95 I99:K99">
    <cfRule type="expression" dxfId="3553" priority="282">
      <formula>NOT(ISERROR(BP95))</formula>
    </cfRule>
    <cfRule type="expression" dxfId="3552" priority="283">
      <formula>ISTEXT(E95)</formula>
    </cfRule>
  </conditionalFormatting>
  <conditionalFormatting sqref="E97 E101 G97:H97 G101:H101">
    <cfRule type="expression" dxfId="3551" priority="252">
      <formula>AND(ISTEXT(I97),ISBLANK(E97))</formula>
    </cfRule>
  </conditionalFormatting>
  <conditionalFormatting sqref="A97:K97 A101:K101">
    <cfRule type="expression" dxfId="3550" priority="254">
      <formula>AND($I97&lt;&gt;"",$L97="")</formula>
    </cfRule>
  </conditionalFormatting>
  <conditionalFormatting sqref="F97 F101">
    <cfRule type="expression" dxfId="3549" priority="255">
      <formula>AND(ISTEXT(#REF!),ISBLANK(F97))</formula>
    </cfRule>
  </conditionalFormatting>
  <conditionalFormatting sqref="X97 X101">
    <cfRule type="expression" dxfId="3548" priority="247">
      <formula>$X$11="-"</formula>
    </cfRule>
  </conditionalFormatting>
  <conditionalFormatting sqref="Q97 Q101">
    <cfRule type="expression" dxfId="3547" priority="246">
      <formula>$Q$11="-"</formula>
    </cfRule>
  </conditionalFormatting>
  <conditionalFormatting sqref="Y97 Y101">
    <cfRule type="expression" dxfId="3546" priority="245">
      <formula>$Y$11="-"</formula>
    </cfRule>
  </conditionalFormatting>
  <conditionalFormatting sqref="Z97 Z101">
    <cfRule type="expression" dxfId="3545" priority="244">
      <formula>$Z$11="-"</formula>
    </cfRule>
  </conditionalFormatting>
  <conditionalFormatting sqref="AA97 AA101">
    <cfRule type="expression" dxfId="3544" priority="243">
      <formula>$AA$11="-"</formula>
    </cfRule>
  </conditionalFormatting>
  <conditionalFormatting sqref="AL97 AL101">
    <cfRule type="expression" dxfId="3543" priority="242">
      <formula>$AL$11="-"</formula>
    </cfRule>
  </conditionalFormatting>
  <conditionalFormatting sqref="AM97 AM101">
    <cfRule type="expression" dxfId="3542" priority="241">
      <formula>$AM$11="-"</formula>
    </cfRule>
  </conditionalFormatting>
  <conditionalFormatting sqref="AN97 AN101">
    <cfRule type="expression" dxfId="3541" priority="240">
      <formula>$AN$11="-"</formula>
    </cfRule>
  </conditionalFormatting>
  <conditionalFormatting sqref="AO97 AO101">
    <cfRule type="expression" dxfId="3540" priority="239">
      <formula>$AO$11="-"</formula>
    </cfRule>
  </conditionalFormatting>
  <conditionalFormatting sqref="AE97 AE101">
    <cfRule type="expression" dxfId="3539" priority="238">
      <formula>$AE$11="-"</formula>
    </cfRule>
  </conditionalFormatting>
  <conditionalFormatting sqref="AF97 AF101">
    <cfRule type="expression" dxfId="3538" priority="237">
      <formula>$AF$11="-"</formula>
    </cfRule>
  </conditionalFormatting>
  <conditionalFormatting sqref="AG97 AG101">
    <cfRule type="expression" dxfId="3537" priority="236">
      <formula>$AG$11="-"</formula>
    </cfRule>
  </conditionalFormatting>
  <conditionalFormatting sqref="AH97 AH101">
    <cfRule type="expression" dxfId="3536" priority="235">
      <formula>$AH$11="-"</formula>
    </cfRule>
  </conditionalFormatting>
  <conditionalFormatting sqref="R97 R101">
    <cfRule type="expression" dxfId="3535" priority="234">
      <formula>$R$11="-"</formula>
    </cfRule>
  </conditionalFormatting>
  <conditionalFormatting sqref="S97 S101">
    <cfRule type="expression" dxfId="3534" priority="233">
      <formula>$S$11="-"</formula>
    </cfRule>
  </conditionalFormatting>
  <conditionalFormatting sqref="T97 T101">
    <cfRule type="expression" dxfId="3533" priority="232">
      <formula>$T$11="-"</formula>
    </cfRule>
  </conditionalFormatting>
  <conditionalFormatting sqref="I97:K97 I101:K101">
    <cfRule type="expression" dxfId="3532" priority="256">
      <formula>NOT(ISERROR(BP97))</formula>
    </cfRule>
    <cfRule type="expression" dxfId="3531" priority="257">
      <formula>ISTEXT(E97)</formula>
    </cfRule>
  </conditionalFormatting>
  <conditionalFormatting sqref="A96:K96 A100:K100">
    <cfRule type="expression" dxfId="3530" priority="229">
      <formula>AND($I96&lt;&gt;"",$L96="")</formula>
    </cfRule>
  </conditionalFormatting>
  <conditionalFormatting sqref="X96 X100">
    <cfRule type="expression" dxfId="3529" priority="223">
      <formula>$X$11="-"</formula>
    </cfRule>
  </conditionalFormatting>
  <conditionalFormatting sqref="Q96 Q100">
    <cfRule type="expression" dxfId="3528" priority="222">
      <formula>$Q$11="-"</formula>
    </cfRule>
  </conditionalFormatting>
  <conditionalFormatting sqref="Y96 Y100">
    <cfRule type="expression" dxfId="3527" priority="221">
      <formula>$Y$11="-"</formula>
    </cfRule>
  </conditionalFormatting>
  <conditionalFormatting sqref="Z96 Z100">
    <cfRule type="expression" dxfId="3526" priority="220">
      <formula>$Z$11="-"</formula>
    </cfRule>
  </conditionalFormatting>
  <conditionalFormatting sqref="AA96 AA100">
    <cfRule type="expression" dxfId="3525" priority="219">
      <formula>$AA$11="-"</formula>
    </cfRule>
  </conditionalFormatting>
  <conditionalFormatting sqref="AL96 AL100">
    <cfRule type="expression" dxfId="3524" priority="218">
      <formula>$AL$11="-"</formula>
    </cfRule>
  </conditionalFormatting>
  <conditionalFormatting sqref="AM96 AM100">
    <cfRule type="expression" dxfId="3523" priority="217">
      <formula>$AM$11="-"</formula>
    </cfRule>
  </conditionalFormatting>
  <conditionalFormatting sqref="AN96 AN100">
    <cfRule type="expression" dxfId="3522" priority="216">
      <formula>$AN$11="-"</formula>
    </cfRule>
  </conditionalFormatting>
  <conditionalFormatting sqref="AO96 AO100">
    <cfRule type="expression" dxfId="3521" priority="215">
      <formula>$AO$11="-"</formula>
    </cfRule>
  </conditionalFormatting>
  <conditionalFormatting sqref="AE96 AE100">
    <cfRule type="expression" dxfId="3520" priority="214">
      <formula>$AE$11="-"</formula>
    </cfRule>
  </conditionalFormatting>
  <conditionalFormatting sqref="AF96 AF100">
    <cfRule type="expression" dxfId="3519" priority="213">
      <formula>$AF$11="-"</formula>
    </cfRule>
  </conditionalFormatting>
  <conditionalFormatting sqref="AG96 AG100">
    <cfRule type="expression" dxfId="3518" priority="212">
      <formula>$AG$11="-"</formula>
    </cfRule>
  </conditionalFormatting>
  <conditionalFormatting sqref="AH96 AH100">
    <cfRule type="expression" dxfId="3517" priority="211">
      <formula>$AH$11="-"</formula>
    </cfRule>
  </conditionalFormatting>
  <conditionalFormatting sqref="R96 R100">
    <cfRule type="expression" dxfId="3516" priority="210">
      <formula>$R$11="-"</formula>
    </cfRule>
  </conditionalFormatting>
  <conditionalFormatting sqref="S96 S100">
    <cfRule type="expression" dxfId="3515" priority="209">
      <formula>$S$11="-"</formula>
    </cfRule>
  </conditionalFormatting>
  <conditionalFormatting sqref="T96 T100">
    <cfRule type="expression" dxfId="3514" priority="208">
      <formula>$T$11="-"</formula>
    </cfRule>
  </conditionalFormatting>
  <conditionalFormatting sqref="I96:K96 I100:K100">
    <cfRule type="expression" dxfId="3513" priority="230">
      <formula>NOT(ISERROR(BP96))</formula>
    </cfRule>
    <cfRule type="expression" dxfId="3512" priority="231" stopIfTrue="1">
      <formula>ISTEXT(E96)</formula>
    </cfRule>
  </conditionalFormatting>
  <conditionalFormatting sqref="A102:K102 A106:K106">
    <cfRule type="expression" dxfId="3511" priority="205">
      <formula>AND($I102&lt;&gt;"",$L102="")</formula>
    </cfRule>
  </conditionalFormatting>
  <conditionalFormatting sqref="X102 X106">
    <cfRule type="expression" dxfId="3510" priority="199">
      <formula>$X$11="-"</formula>
    </cfRule>
  </conditionalFormatting>
  <conditionalFormatting sqref="Q102 Q106">
    <cfRule type="expression" dxfId="3509" priority="198">
      <formula>$Q$11="-"</formula>
    </cfRule>
  </conditionalFormatting>
  <conditionalFormatting sqref="Y102 Y106">
    <cfRule type="expression" dxfId="3508" priority="197">
      <formula>$Y$11="-"</formula>
    </cfRule>
  </conditionalFormatting>
  <conditionalFormatting sqref="Z102 Z106">
    <cfRule type="expression" dxfId="3507" priority="196">
      <formula>$Z$11="-"</formula>
    </cfRule>
  </conditionalFormatting>
  <conditionalFormatting sqref="AA102 AA106">
    <cfRule type="expression" dxfId="3506" priority="195">
      <formula>$AA$11="-"</formula>
    </cfRule>
  </conditionalFormatting>
  <conditionalFormatting sqref="AL102 AL106">
    <cfRule type="expression" dxfId="3505" priority="194">
      <formula>$AL$11="-"</formula>
    </cfRule>
  </conditionalFormatting>
  <conditionalFormatting sqref="AM102 AM106">
    <cfRule type="expression" dxfId="3504" priority="193">
      <formula>$AM$11="-"</formula>
    </cfRule>
  </conditionalFormatting>
  <conditionalFormatting sqref="AN102 AN106">
    <cfRule type="expression" dxfId="3503" priority="192">
      <formula>$AN$11="-"</formula>
    </cfRule>
  </conditionalFormatting>
  <conditionalFormatting sqref="AO102 AO106">
    <cfRule type="expression" dxfId="3502" priority="191">
      <formula>$AO$11="-"</formula>
    </cfRule>
  </conditionalFormatting>
  <conditionalFormatting sqref="AE102 AE106">
    <cfRule type="expression" dxfId="3501" priority="190">
      <formula>$AE$11="-"</formula>
    </cfRule>
  </conditionalFormatting>
  <conditionalFormatting sqref="AF102 AF106">
    <cfRule type="expression" dxfId="3500" priority="189">
      <formula>$AF$11="-"</formula>
    </cfRule>
  </conditionalFormatting>
  <conditionalFormatting sqref="AG102 AG106">
    <cfRule type="expression" dxfId="3499" priority="188">
      <formula>$AG$11="-"</formula>
    </cfRule>
  </conditionalFormatting>
  <conditionalFormatting sqref="AH102 AH106">
    <cfRule type="expression" dxfId="3498" priority="187">
      <formula>$AH$11="-"</formula>
    </cfRule>
  </conditionalFormatting>
  <conditionalFormatting sqref="R102 R106">
    <cfRule type="expression" dxfId="3497" priority="186">
      <formula>$R$11="-"</formula>
    </cfRule>
  </conditionalFormatting>
  <conditionalFormatting sqref="S102 S106">
    <cfRule type="expression" dxfId="3496" priority="185">
      <formula>$S$11="-"</formula>
    </cfRule>
  </conditionalFormatting>
  <conditionalFormatting sqref="T102 T106">
    <cfRule type="expression" dxfId="3495" priority="184">
      <formula>$T$11="-"</formula>
    </cfRule>
  </conditionalFormatting>
  <conditionalFormatting sqref="I102:K102 I106:K106">
    <cfRule type="expression" dxfId="3494" priority="206">
      <formula>NOT(ISERROR(BP102))</formula>
    </cfRule>
    <cfRule type="expression" dxfId="3493" priority="207" stopIfTrue="1">
      <formula>ISTEXT(E102)</formula>
    </cfRule>
  </conditionalFormatting>
  <conditionalFormatting sqref="E103 E107 G103:H103 G107:H107">
    <cfRule type="expression" dxfId="3492" priority="178">
      <formula>AND(ISTEXT(I103),ISBLANK(E103))</formula>
    </cfRule>
  </conditionalFormatting>
  <conditionalFormatting sqref="A103:K103 A107:K107">
    <cfRule type="expression" dxfId="3491" priority="180">
      <formula>AND($I103&lt;&gt;"",$L103="")</formula>
    </cfRule>
  </conditionalFormatting>
  <conditionalFormatting sqref="F103 F107">
    <cfRule type="expression" dxfId="3490" priority="181">
      <formula>AND(ISTEXT(#REF!),ISBLANK(F103))</formula>
    </cfRule>
  </conditionalFormatting>
  <conditionalFormatting sqref="X103 X107">
    <cfRule type="expression" dxfId="3489" priority="173">
      <formula>$X$11="-"</formula>
    </cfRule>
  </conditionalFormatting>
  <conditionalFormatting sqref="Q103 Q107">
    <cfRule type="expression" dxfId="3488" priority="172">
      <formula>$Q$11="-"</formula>
    </cfRule>
  </conditionalFormatting>
  <conditionalFormatting sqref="Y103 Y107">
    <cfRule type="expression" dxfId="3487" priority="171">
      <formula>$Y$11="-"</formula>
    </cfRule>
  </conditionalFormatting>
  <conditionalFormatting sqref="Z103 Z107">
    <cfRule type="expression" dxfId="3486" priority="170">
      <formula>$Z$11="-"</formula>
    </cfRule>
  </conditionalFormatting>
  <conditionalFormatting sqref="AA103 AA107">
    <cfRule type="expression" dxfId="3485" priority="169">
      <formula>$AA$11="-"</formula>
    </cfRule>
  </conditionalFormatting>
  <conditionalFormatting sqref="AL103 AL107">
    <cfRule type="expression" dxfId="3484" priority="168">
      <formula>$AL$11="-"</formula>
    </cfRule>
  </conditionalFormatting>
  <conditionalFormatting sqref="AM103 AM107">
    <cfRule type="expression" dxfId="3483" priority="167">
      <formula>$AM$11="-"</formula>
    </cfRule>
  </conditionalFormatting>
  <conditionalFormatting sqref="AN103 AN107">
    <cfRule type="expression" dxfId="3482" priority="166">
      <formula>$AN$11="-"</formula>
    </cfRule>
  </conditionalFormatting>
  <conditionalFormatting sqref="AO103 AO107">
    <cfRule type="expression" dxfId="3481" priority="165">
      <formula>$AO$11="-"</formula>
    </cfRule>
  </conditionalFormatting>
  <conditionalFormatting sqref="AE103 AE107">
    <cfRule type="expression" dxfId="3480" priority="164">
      <formula>$AE$11="-"</formula>
    </cfRule>
  </conditionalFormatting>
  <conditionalFormatting sqref="AF103 AF107">
    <cfRule type="expression" dxfId="3479" priority="163">
      <formula>$AF$11="-"</formula>
    </cfRule>
  </conditionalFormatting>
  <conditionalFormatting sqref="AG103 AG107">
    <cfRule type="expression" dxfId="3478" priority="162">
      <formula>$AG$11="-"</formula>
    </cfRule>
  </conditionalFormatting>
  <conditionalFormatting sqref="AH103 AH107">
    <cfRule type="expression" dxfId="3477" priority="161">
      <formula>$AH$11="-"</formula>
    </cfRule>
  </conditionalFormatting>
  <conditionalFormatting sqref="R103 R107">
    <cfRule type="expression" dxfId="3476" priority="160">
      <formula>$R$11="-"</formula>
    </cfRule>
  </conditionalFormatting>
  <conditionalFormatting sqref="S103 S107">
    <cfRule type="expression" dxfId="3475" priority="159">
      <formula>$S$11="-"</formula>
    </cfRule>
  </conditionalFormatting>
  <conditionalFormatting sqref="T103 T107">
    <cfRule type="expression" dxfId="3474" priority="158">
      <formula>$T$11="-"</formula>
    </cfRule>
  </conditionalFormatting>
  <conditionalFormatting sqref="I103:K103 I107:K107">
    <cfRule type="expression" dxfId="3473" priority="182">
      <formula>NOT(ISERROR(BP103))</formula>
    </cfRule>
    <cfRule type="expression" dxfId="3472" priority="183">
      <formula>ISTEXT(E103)</formula>
    </cfRule>
  </conditionalFormatting>
  <conditionalFormatting sqref="E105 E109 G105:H105 G109:H109">
    <cfRule type="expression" dxfId="3471" priority="152">
      <formula>AND(ISTEXT(I105),ISBLANK(E105))</formula>
    </cfRule>
  </conditionalFormatting>
  <conditionalFormatting sqref="A105:K105 A109:K109">
    <cfRule type="expression" dxfId="3470" priority="154">
      <formula>AND($I105&lt;&gt;"",$L105="")</formula>
    </cfRule>
  </conditionalFormatting>
  <conditionalFormatting sqref="F105 F109">
    <cfRule type="expression" dxfId="3469" priority="155">
      <formula>AND(ISTEXT(#REF!),ISBLANK(F105))</formula>
    </cfRule>
  </conditionalFormatting>
  <conditionalFormatting sqref="X105 X109">
    <cfRule type="expression" dxfId="3468" priority="147">
      <formula>$X$11="-"</formula>
    </cfRule>
  </conditionalFormatting>
  <conditionalFormatting sqref="Q105 Q109">
    <cfRule type="expression" dxfId="3467" priority="146">
      <formula>$Q$11="-"</formula>
    </cfRule>
  </conditionalFormatting>
  <conditionalFormatting sqref="Y105 Y109">
    <cfRule type="expression" dxfId="3466" priority="145">
      <formula>$Y$11="-"</formula>
    </cfRule>
  </conditionalFormatting>
  <conditionalFormatting sqref="Z105 Z109">
    <cfRule type="expression" dxfId="3465" priority="144">
      <formula>$Z$11="-"</formula>
    </cfRule>
  </conditionalFormatting>
  <conditionalFormatting sqref="AA105 AA109">
    <cfRule type="expression" dxfId="3464" priority="143">
      <formula>$AA$11="-"</formula>
    </cfRule>
  </conditionalFormatting>
  <conditionalFormatting sqref="AL105 AL109">
    <cfRule type="expression" dxfId="3463" priority="142">
      <formula>$AL$11="-"</formula>
    </cfRule>
  </conditionalFormatting>
  <conditionalFormatting sqref="AM105 AM109">
    <cfRule type="expression" dxfId="3462" priority="141">
      <formula>$AM$11="-"</formula>
    </cfRule>
  </conditionalFormatting>
  <conditionalFormatting sqref="AN105 AN109">
    <cfRule type="expression" dxfId="3461" priority="140">
      <formula>$AN$11="-"</formula>
    </cfRule>
  </conditionalFormatting>
  <conditionalFormatting sqref="AO105 AO109">
    <cfRule type="expression" dxfId="3460" priority="139">
      <formula>$AO$11="-"</formula>
    </cfRule>
  </conditionalFormatting>
  <conditionalFormatting sqref="AE105 AE109">
    <cfRule type="expression" dxfId="3459" priority="138">
      <formula>$AE$11="-"</formula>
    </cfRule>
  </conditionalFormatting>
  <conditionalFormatting sqref="AF105 AF109">
    <cfRule type="expression" dxfId="3458" priority="137">
      <formula>$AF$11="-"</formula>
    </cfRule>
  </conditionalFormatting>
  <conditionalFormatting sqref="AG105 AG109">
    <cfRule type="expression" dxfId="3457" priority="136">
      <formula>$AG$11="-"</formula>
    </cfRule>
  </conditionalFormatting>
  <conditionalFormatting sqref="AH105 AH109">
    <cfRule type="expression" dxfId="3456" priority="135">
      <formula>$AH$11="-"</formula>
    </cfRule>
  </conditionalFormatting>
  <conditionalFormatting sqref="R105 R109">
    <cfRule type="expression" dxfId="3455" priority="134">
      <formula>$R$11="-"</formula>
    </cfRule>
  </conditionalFormatting>
  <conditionalFormatting sqref="S105 S109">
    <cfRule type="expression" dxfId="3454" priority="133">
      <formula>$S$11="-"</formula>
    </cfRule>
  </conditionalFormatting>
  <conditionalFormatting sqref="T105 T109">
    <cfRule type="expression" dxfId="3453" priority="132">
      <formula>$T$11="-"</formula>
    </cfRule>
  </conditionalFormatting>
  <conditionalFormatting sqref="I105:K105 I109:K109">
    <cfRule type="expression" dxfId="3452" priority="156">
      <formula>NOT(ISERROR(BP105))</formula>
    </cfRule>
    <cfRule type="expression" dxfId="3451" priority="157">
      <formula>ISTEXT(E105)</formula>
    </cfRule>
  </conditionalFormatting>
  <conditionalFormatting sqref="A104:K104 A108:K108">
    <cfRule type="expression" dxfId="3450" priority="129">
      <formula>AND($I104&lt;&gt;"",$L104="")</formula>
    </cfRule>
  </conditionalFormatting>
  <conditionalFormatting sqref="X104 X108">
    <cfRule type="expression" dxfId="3449" priority="123">
      <formula>$X$11="-"</formula>
    </cfRule>
  </conditionalFormatting>
  <conditionalFormatting sqref="Q104 Q108">
    <cfRule type="expression" dxfId="3448" priority="122">
      <formula>$Q$11="-"</formula>
    </cfRule>
  </conditionalFormatting>
  <conditionalFormatting sqref="Y104 Y108">
    <cfRule type="expression" dxfId="3447" priority="121">
      <formula>$Y$11="-"</formula>
    </cfRule>
  </conditionalFormatting>
  <conditionalFormatting sqref="Z104 Z108">
    <cfRule type="expression" dxfId="3446" priority="120">
      <formula>$Z$11="-"</formula>
    </cfRule>
  </conditionalFormatting>
  <conditionalFormatting sqref="AA104 AA108">
    <cfRule type="expression" dxfId="3445" priority="119">
      <formula>$AA$11="-"</formula>
    </cfRule>
  </conditionalFormatting>
  <conditionalFormatting sqref="AL104 AL108">
    <cfRule type="expression" dxfId="3444" priority="118">
      <formula>$AL$11="-"</formula>
    </cfRule>
  </conditionalFormatting>
  <conditionalFormatting sqref="AM104 AM108">
    <cfRule type="expression" dxfId="3443" priority="117">
      <formula>$AM$11="-"</formula>
    </cfRule>
  </conditionalFormatting>
  <conditionalFormatting sqref="AN104 AN108">
    <cfRule type="expression" dxfId="3442" priority="116">
      <formula>$AN$11="-"</formula>
    </cfRule>
  </conditionalFormatting>
  <conditionalFormatting sqref="AO104 AO108">
    <cfRule type="expression" dxfId="3441" priority="115">
      <formula>$AO$11="-"</formula>
    </cfRule>
  </conditionalFormatting>
  <conditionalFormatting sqref="AE104 AE108">
    <cfRule type="expression" dxfId="3440" priority="114">
      <formula>$AE$11="-"</formula>
    </cfRule>
  </conditionalFormatting>
  <conditionalFormatting sqref="AF104 AF108">
    <cfRule type="expression" dxfId="3439" priority="113">
      <formula>$AF$11="-"</formula>
    </cfRule>
  </conditionalFormatting>
  <conditionalFormatting sqref="AG104 AG108">
    <cfRule type="expression" dxfId="3438" priority="112">
      <formula>$AG$11="-"</formula>
    </cfRule>
  </conditionalFormatting>
  <conditionalFormatting sqref="AH104 AH108">
    <cfRule type="expression" dxfId="3437" priority="111">
      <formula>$AH$11="-"</formula>
    </cfRule>
  </conditionalFormatting>
  <conditionalFormatting sqref="R104 R108">
    <cfRule type="expression" dxfId="3436" priority="110">
      <formula>$R$11="-"</formula>
    </cfRule>
  </conditionalFormatting>
  <conditionalFormatting sqref="S104 S108">
    <cfRule type="expression" dxfId="3435" priority="109">
      <formula>$S$11="-"</formula>
    </cfRule>
  </conditionalFormatting>
  <conditionalFormatting sqref="T104 T108">
    <cfRule type="expression" dxfId="3434" priority="108">
      <formula>$T$11="-"</formula>
    </cfRule>
  </conditionalFormatting>
  <conditionalFormatting sqref="I104:K104 I108:K108">
    <cfRule type="expression" dxfId="3433" priority="130">
      <formula>NOT(ISERROR(BP104))</formula>
    </cfRule>
    <cfRule type="expression" dxfId="3432" priority="131" stopIfTrue="1">
      <formula>ISTEXT(E104)</formula>
    </cfRule>
  </conditionalFormatting>
  <conditionalFormatting sqref="A110:K110">
    <cfRule type="expression" dxfId="3431" priority="105">
      <formula>AND($I110&lt;&gt;"",$L110="")</formula>
    </cfRule>
  </conditionalFormatting>
  <conditionalFormatting sqref="X110">
    <cfRule type="expression" dxfId="3430" priority="99">
      <formula>$X$11="-"</formula>
    </cfRule>
  </conditionalFormatting>
  <conditionalFormatting sqref="Q110">
    <cfRule type="expression" dxfId="3429" priority="98">
      <formula>$Q$11="-"</formula>
    </cfRule>
  </conditionalFormatting>
  <conditionalFormatting sqref="Y110">
    <cfRule type="expression" dxfId="3428" priority="97">
      <formula>$Y$11="-"</formula>
    </cfRule>
  </conditionalFormatting>
  <conditionalFormatting sqref="Z110">
    <cfRule type="expression" dxfId="3427" priority="96">
      <formula>$Z$11="-"</formula>
    </cfRule>
  </conditionalFormatting>
  <conditionalFormatting sqref="AA110">
    <cfRule type="expression" dxfId="3426" priority="95">
      <formula>$AA$11="-"</formula>
    </cfRule>
  </conditionalFormatting>
  <conditionalFormatting sqref="AL110">
    <cfRule type="expression" dxfId="3425" priority="94">
      <formula>$AL$11="-"</formula>
    </cfRule>
  </conditionalFormatting>
  <conditionalFormatting sqref="AM110">
    <cfRule type="expression" dxfId="3424" priority="93">
      <formula>$AM$11="-"</formula>
    </cfRule>
  </conditionalFormatting>
  <conditionalFormatting sqref="AN110">
    <cfRule type="expression" dxfId="3423" priority="92">
      <formula>$AN$11="-"</formula>
    </cfRule>
  </conditionalFormatting>
  <conditionalFormatting sqref="AO110">
    <cfRule type="expression" dxfId="3422" priority="91">
      <formula>$AO$11="-"</formula>
    </cfRule>
  </conditionalFormatting>
  <conditionalFormatting sqref="AE110">
    <cfRule type="expression" dxfId="3421" priority="90">
      <formula>$AE$11="-"</formula>
    </cfRule>
  </conditionalFormatting>
  <conditionalFormatting sqref="AF110">
    <cfRule type="expression" dxfId="3420" priority="89">
      <formula>$AF$11="-"</formula>
    </cfRule>
  </conditionalFormatting>
  <conditionalFormatting sqref="AG110">
    <cfRule type="expression" dxfId="3419" priority="88">
      <formula>$AG$11="-"</formula>
    </cfRule>
  </conditionalFormatting>
  <conditionalFormatting sqref="AH110">
    <cfRule type="expression" dxfId="3418" priority="87">
      <formula>$AH$11="-"</formula>
    </cfRule>
  </conditionalFormatting>
  <conditionalFormatting sqref="R110">
    <cfRule type="expression" dxfId="3417" priority="86">
      <formula>$R$11="-"</formula>
    </cfRule>
  </conditionalFormatting>
  <conditionalFormatting sqref="S110">
    <cfRule type="expression" dxfId="3416" priority="85">
      <formula>$S$11="-"</formula>
    </cfRule>
  </conditionalFormatting>
  <conditionalFormatting sqref="T110">
    <cfRule type="expression" dxfId="3415" priority="84">
      <formula>$T$11="-"</formula>
    </cfRule>
  </conditionalFormatting>
  <conditionalFormatting sqref="I110:K110">
    <cfRule type="expression" dxfId="3414" priority="106">
      <formula>NOT(ISERROR(BP110))</formula>
    </cfRule>
    <cfRule type="expression" dxfId="3413" priority="107" stopIfTrue="1">
      <formula>ISTEXT(E110)</formula>
    </cfRule>
  </conditionalFormatting>
  <conditionalFormatting sqref="E111 G111:H111">
    <cfRule type="expression" dxfId="3412" priority="78">
      <formula>AND(ISTEXT(I111),ISBLANK(E111))</formula>
    </cfRule>
  </conditionalFormatting>
  <conditionalFormatting sqref="A111:K111">
    <cfRule type="expression" dxfId="3411" priority="80">
      <formula>AND($I111&lt;&gt;"",$L111="")</formula>
    </cfRule>
  </conditionalFormatting>
  <conditionalFormatting sqref="F111">
    <cfRule type="expression" dxfId="3410" priority="81">
      <formula>AND(ISTEXT(#REF!),ISBLANK(F111))</formula>
    </cfRule>
  </conditionalFormatting>
  <conditionalFormatting sqref="X111">
    <cfRule type="expression" dxfId="3409" priority="73">
      <formula>$X$11="-"</formula>
    </cfRule>
  </conditionalFormatting>
  <conditionalFormatting sqref="Q111">
    <cfRule type="expression" dxfId="3408" priority="72">
      <formula>$Q$11="-"</formula>
    </cfRule>
  </conditionalFormatting>
  <conditionalFormatting sqref="Y111">
    <cfRule type="expression" dxfId="3407" priority="71">
      <formula>$Y$11="-"</formula>
    </cfRule>
  </conditionalFormatting>
  <conditionalFormatting sqref="Z111">
    <cfRule type="expression" dxfId="3406" priority="70">
      <formula>$Z$11="-"</formula>
    </cfRule>
  </conditionalFormatting>
  <conditionalFormatting sqref="AA111">
    <cfRule type="expression" dxfId="3405" priority="69">
      <formula>$AA$11="-"</formula>
    </cfRule>
  </conditionalFormatting>
  <conditionalFormatting sqref="AL111">
    <cfRule type="expression" dxfId="3404" priority="68">
      <formula>$AL$11="-"</formula>
    </cfRule>
  </conditionalFormatting>
  <conditionalFormatting sqref="AM111">
    <cfRule type="expression" dxfId="3403" priority="67">
      <formula>$AM$11="-"</formula>
    </cfRule>
  </conditionalFormatting>
  <conditionalFormatting sqref="AN111">
    <cfRule type="expression" dxfId="3402" priority="66">
      <formula>$AN$11="-"</formula>
    </cfRule>
  </conditionalFormatting>
  <conditionalFormatting sqref="AO111">
    <cfRule type="expression" dxfId="3401" priority="65">
      <formula>$AO$11="-"</formula>
    </cfRule>
  </conditionalFormatting>
  <conditionalFormatting sqref="AE111">
    <cfRule type="expression" dxfId="3400" priority="64">
      <formula>$AE$11="-"</formula>
    </cfRule>
  </conditionalFormatting>
  <conditionalFormatting sqref="AF111">
    <cfRule type="expression" dxfId="3399" priority="63">
      <formula>$AF$11="-"</formula>
    </cfRule>
  </conditionalFormatting>
  <conditionalFormatting sqref="AG111">
    <cfRule type="expression" dxfId="3398" priority="62">
      <formula>$AG$11="-"</formula>
    </cfRule>
  </conditionalFormatting>
  <conditionalFormatting sqref="AH111">
    <cfRule type="expression" dxfId="3397" priority="61">
      <formula>$AH$11="-"</formula>
    </cfRule>
  </conditionalFormatting>
  <conditionalFormatting sqref="R111">
    <cfRule type="expression" dxfId="3396" priority="60">
      <formula>$R$11="-"</formula>
    </cfRule>
  </conditionalFormatting>
  <conditionalFormatting sqref="S111">
    <cfRule type="expression" dxfId="3395" priority="59">
      <formula>$S$11="-"</formula>
    </cfRule>
  </conditionalFormatting>
  <conditionalFormatting sqref="T111">
    <cfRule type="expression" dxfId="3394" priority="58">
      <formula>$T$11="-"</formula>
    </cfRule>
  </conditionalFormatting>
  <conditionalFormatting sqref="I111:K111">
    <cfRule type="expression" dxfId="3393" priority="82">
      <formula>NOT(ISERROR(BP111))</formula>
    </cfRule>
    <cfRule type="expression" dxfId="3392" priority="83">
      <formula>ISTEXT(E111)</formula>
    </cfRule>
  </conditionalFormatting>
  <conditionalFormatting sqref="E113 G113:H113">
    <cfRule type="expression" dxfId="3391" priority="52">
      <formula>AND(ISTEXT(I113),ISBLANK(E113))</formula>
    </cfRule>
  </conditionalFormatting>
  <conditionalFormatting sqref="A113:K113">
    <cfRule type="expression" dxfId="3390" priority="54">
      <formula>AND($I113&lt;&gt;"",$L113="")</formula>
    </cfRule>
  </conditionalFormatting>
  <conditionalFormatting sqref="F113">
    <cfRule type="expression" dxfId="3389" priority="55">
      <formula>AND(ISTEXT(#REF!),ISBLANK(F113))</formula>
    </cfRule>
  </conditionalFormatting>
  <conditionalFormatting sqref="X113">
    <cfRule type="expression" dxfId="3388" priority="47">
      <formula>$X$11="-"</formula>
    </cfRule>
  </conditionalFormatting>
  <conditionalFormatting sqref="Q113">
    <cfRule type="expression" dxfId="3387" priority="46">
      <formula>$Q$11="-"</formula>
    </cfRule>
  </conditionalFormatting>
  <conditionalFormatting sqref="Y113">
    <cfRule type="expression" dxfId="3386" priority="45">
      <formula>$Y$11="-"</formula>
    </cfRule>
  </conditionalFormatting>
  <conditionalFormatting sqref="Z113">
    <cfRule type="expression" dxfId="3385" priority="44">
      <formula>$Z$11="-"</formula>
    </cfRule>
  </conditionalFormatting>
  <conditionalFormatting sqref="AA113">
    <cfRule type="expression" dxfId="3384" priority="43">
      <formula>$AA$11="-"</formula>
    </cfRule>
  </conditionalFormatting>
  <conditionalFormatting sqref="AL113">
    <cfRule type="expression" dxfId="3383" priority="42">
      <formula>$AL$11="-"</formula>
    </cfRule>
  </conditionalFormatting>
  <conditionalFormatting sqref="AM113">
    <cfRule type="expression" dxfId="3382" priority="41">
      <formula>$AM$11="-"</formula>
    </cfRule>
  </conditionalFormatting>
  <conditionalFormatting sqref="AN113">
    <cfRule type="expression" dxfId="3381" priority="40">
      <formula>$AN$11="-"</formula>
    </cfRule>
  </conditionalFormatting>
  <conditionalFormatting sqref="AO113">
    <cfRule type="expression" dxfId="3380" priority="39">
      <formula>$AO$11="-"</formula>
    </cfRule>
  </conditionalFormatting>
  <conditionalFormatting sqref="AE113">
    <cfRule type="expression" dxfId="3379" priority="38">
      <formula>$AE$11="-"</formula>
    </cfRule>
  </conditionalFormatting>
  <conditionalFormatting sqref="AF113">
    <cfRule type="expression" dxfId="3378" priority="37">
      <formula>$AF$11="-"</formula>
    </cfRule>
  </conditionalFormatting>
  <conditionalFormatting sqref="AG113">
    <cfRule type="expression" dxfId="3377" priority="36">
      <formula>$AG$11="-"</formula>
    </cfRule>
  </conditionalFormatting>
  <conditionalFormatting sqref="AH113">
    <cfRule type="expression" dxfId="3376" priority="35">
      <formula>$AH$11="-"</formula>
    </cfRule>
  </conditionalFormatting>
  <conditionalFormatting sqref="R113">
    <cfRule type="expression" dxfId="3375" priority="34">
      <formula>$R$11="-"</formula>
    </cfRule>
  </conditionalFormatting>
  <conditionalFormatting sqref="S113">
    <cfRule type="expression" dxfId="3374" priority="33">
      <formula>$S$11="-"</formula>
    </cfRule>
  </conditionalFormatting>
  <conditionalFormatting sqref="T113">
    <cfRule type="expression" dxfId="3373" priority="32">
      <formula>$T$11="-"</formula>
    </cfRule>
  </conditionalFormatting>
  <conditionalFormatting sqref="I113:K113">
    <cfRule type="expression" dxfId="3372" priority="56">
      <formula>NOT(ISERROR(BP113))</formula>
    </cfRule>
    <cfRule type="expression" dxfId="3371" priority="57">
      <formula>ISTEXT(E113)</formula>
    </cfRule>
  </conditionalFormatting>
  <conditionalFormatting sqref="A112:K112">
    <cfRule type="expression" dxfId="3370" priority="29">
      <formula>AND($I112&lt;&gt;"",$L112="")</formula>
    </cfRule>
  </conditionalFormatting>
  <conditionalFormatting sqref="X112">
    <cfRule type="expression" dxfId="3369" priority="23">
      <formula>$X$11="-"</formula>
    </cfRule>
  </conditionalFormatting>
  <conditionalFormatting sqref="Q112">
    <cfRule type="expression" dxfId="3368" priority="22">
      <formula>$Q$11="-"</formula>
    </cfRule>
  </conditionalFormatting>
  <conditionalFormatting sqref="Y112">
    <cfRule type="expression" dxfId="3367" priority="21">
      <formula>$Y$11="-"</formula>
    </cfRule>
  </conditionalFormatting>
  <conditionalFormatting sqref="Z112">
    <cfRule type="expression" dxfId="3366" priority="20">
      <formula>$Z$11="-"</formula>
    </cfRule>
  </conditionalFormatting>
  <conditionalFormatting sqref="AA112">
    <cfRule type="expression" dxfId="3365" priority="19">
      <formula>$AA$11="-"</formula>
    </cfRule>
  </conditionalFormatting>
  <conditionalFormatting sqref="AL112">
    <cfRule type="expression" dxfId="3364" priority="18">
      <formula>$AL$11="-"</formula>
    </cfRule>
  </conditionalFormatting>
  <conditionalFormatting sqref="AM112">
    <cfRule type="expression" dxfId="3363" priority="17">
      <formula>$AM$11="-"</formula>
    </cfRule>
  </conditionalFormatting>
  <conditionalFormatting sqref="AN112">
    <cfRule type="expression" dxfId="3362" priority="16">
      <formula>$AN$11="-"</formula>
    </cfRule>
  </conditionalFormatting>
  <conditionalFormatting sqref="AO112">
    <cfRule type="expression" dxfId="3361" priority="15">
      <formula>$AO$11="-"</formula>
    </cfRule>
  </conditionalFormatting>
  <conditionalFormatting sqref="AE112">
    <cfRule type="expression" dxfId="3360" priority="14">
      <formula>$AE$11="-"</formula>
    </cfRule>
  </conditionalFormatting>
  <conditionalFormatting sqref="AF112">
    <cfRule type="expression" dxfId="3359" priority="13">
      <formula>$AF$11="-"</formula>
    </cfRule>
  </conditionalFormatting>
  <conditionalFormatting sqref="AG112">
    <cfRule type="expression" dxfId="3358" priority="12">
      <formula>$AG$11="-"</formula>
    </cfRule>
  </conditionalFormatting>
  <conditionalFormatting sqref="AH112">
    <cfRule type="expression" dxfId="3357" priority="11">
      <formula>$AH$11="-"</formula>
    </cfRule>
  </conditionalFormatting>
  <conditionalFormatting sqref="R112">
    <cfRule type="expression" dxfId="3356" priority="10">
      <formula>$R$11="-"</formula>
    </cfRule>
  </conditionalFormatting>
  <conditionalFormatting sqref="S112">
    <cfRule type="expression" dxfId="3355" priority="9">
      <formula>$S$11="-"</formula>
    </cfRule>
  </conditionalFormatting>
  <conditionalFormatting sqref="T112">
    <cfRule type="expression" dxfId="3354" priority="8">
      <formula>$T$11="-"</formula>
    </cfRule>
  </conditionalFormatting>
  <conditionalFormatting sqref="I112:K112">
    <cfRule type="expression" dxfId="3353" priority="30">
      <formula>NOT(ISERROR(BP112))</formula>
    </cfRule>
    <cfRule type="expression" dxfId="3352" priority="31" stopIfTrue="1">
      <formula>ISTEXT(E112)</formula>
    </cfRule>
  </conditionalFormatting>
  <conditionalFormatting sqref="AS14:AS113">
    <cfRule type="expression" dxfId="3351" priority="7">
      <formula>$AS$11="-"</formula>
    </cfRule>
  </conditionalFormatting>
  <conditionalFormatting sqref="AT14:AT113">
    <cfRule type="expression" dxfId="3350" priority="6">
      <formula>$AT$11="-"</formula>
    </cfRule>
  </conditionalFormatting>
  <conditionalFormatting sqref="AU14:AU113">
    <cfRule type="expression" dxfId="3349" priority="5">
      <formula>$AU$11="-"</formula>
    </cfRule>
  </conditionalFormatting>
  <conditionalFormatting sqref="AV14:AV113">
    <cfRule type="expression" dxfId="3348" priority="4">
      <formula>$AV$11="-"</formula>
    </cfRule>
  </conditionalFormatting>
  <dataValidations count="45">
    <dataValidation type="custom" operator="greaterThanOrEqual" allowBlank="1" showInputMessage="1" showErrorMessage="1" error="Do not input value in Fractions" sqref="AA121:AA170" xr:uid="{25F1FF3D-1150-4659-8A5B-275B46BC781D}">
      <formula1>AND((AA121&gt;0),($AA$11&lt;&gt;"-"),(INT(AA121)=AA121))</formula1>
    </dataValidation>
    <dataValidation type="custom" operator="greaterThanOrEqual" allowBlank="1" showInputMessage="1" showErrorMessage="1" error="Do not input value in Fractions" sqref="Y121:Y170" xr:uid="{32086DCB-F2E7-4747-A08C-82FDB4D4CF0B}">
      <formula1>AND((Y121&gt;0),($Y$11&lt;&gt;"-"),(INT(Y121)=Y121))</formula1>
    </dataValidation>
    <dataValidation type="custom" operator="greaterThanOrEqual" allowBlank="1" showInputMessage="1" showErrorMessage="1" error="Exceeds 3 years_x000a_OR_x000a_Do not input value in Fractions" sqref="AO121:AO170" xr:uid="{262237FA-BB75-4B2A-AA11-116F3C199367}">
      <formula1>AND((AO121&gt;0),($AO$11&lt;&gt;"-"),(INT(AO121)=AO121))</formula1>
    </dataValidation>
    <dataValidation type="custom" operator="greaterThanOrEqual" allowBlank="1" showInputMessage="1" showErrorMessage="1" error="Exceeds 3 years_x000a_OR_x000a_Do not input value in Fractions" sqref="AN121:AN170" xr:uid="{818B78E3-C0FE-4699-8972-52F6D707BCB2}">
      <formula1>AND((AN121&gt;0),($AN$11&lt;&gt;"-"),(INT(AN121)=AN121))</formula1>
    </dataValidation>
    <dataValidation type="custom" operator="greaterThanOrEqual" allowBlank="1" showInputMessage="1" showErrorMessage="1" error="Exceeds 3 years_x000a_OR_x000a_Do not input value in Fractions" sqref="AM121:AM170" xr:uid="{45D9B8CA-2B0E-41CA-A5E3-DBED7A3A8BF3}">
      <formula1>AND((AM121&gt;0),($AM$11&lt;&gt;"-"),(INT(AM121)=AM121))</formula1>
    </dataValidation>
    <dataValidation type="custom" operator="greaterThanOrEqual" allowBlank="1" showInputMessage="1" showErrorMessage="1" error="Exceeds 3 years_x000a_OR_x000a_Do not input value in Fractions" sqref="AL121:AL170" xr:uid="{8995448C-C775-4EFF-93D1-EA3374707394}">
      <formula1>AND((AL121&gt;0),($AL$11&lt;&gt;"-"),(INT(AL121)=AL121))</formula1>
    </dataValidation>
    <dataValidation type="custom" operator="greaterThanOrEqual" allowBlank="1" showInputMessage="1" showErrorMessage="1" error="Exceeds 3 years_x000a_OR_x000a_Do not input value in Fractions" sqref="AG121:AG170" xr:uid="{364A82F9-F959-490B-A8C1-FEB41752D801}">
      <formula1>AND((AG121&gt;0),($AG$11&lt;&gt;"-"),(INT(AG121)=AG121))</formula1>
    </dataValidation>
    <dataValidation type="custom" operator="greaterThanOrEqual" allowBlank="1" showInputMessage="1" showErrorMessage="1" error="Exceeds 3 years_x000a_OR_x000a_Do not input value in Fractions" sqref="AF121:AF170" xr:uid="{455E9AA3-3E57-431C-9161-BE968BFA7F5D}">
      <formula1>AND((AF121&gt;0),($AF$11&lt;&gt;"-"),(INT(AF121)=AF121))</formula1>
    </dataValidation>
    <dataValidation type="custom" operator="greaterThanOrEqual" allowBlank="1" showInputMessage="1" showErrorMessage="1" error="Exceeds 3 years_x000a_OR_x000a_Do not input value in Fractions" sqref="AE121:AE170" xr:uid="{A79DEDF8-3818-4D64-BAC8-65EA43FAFD59}">
      <formula1>AND((AE121&gt;0),($AE$11&lt;&gt;"-"),(INT(AE121)=AE121))</formula1>
    </dataValidation>
    <dataValidation type="custom" operator="greaterThanOrEqual" allowBlank="1" showInputMessage="1" showErrorMessage="1" error="Do not input value in Fractions" sqref="X121:X170" xr:uid="{1D793753-0001-4800-A194-1C7FE8BF4D23}">
      <formula1>AND((X121&gt;0),($X$11&lt;&gt;"-"),(INT(X121)=X121))</formula1>
    </dataValidation>
    <dataValidation type="custom" operator="greaterThanOrEqual" allowBlank="1" showInputMessage="1" showErrorMessage="1" error="Exceeds 3 years_x000a_OR_x000a_Do not input value in Fractions" sqref="T121:T170" xr:uid="{D05DEA74-91D2-4336-A783-A2AB74EC824B}">
      <formula1>AND((T121&gt;0),($T$11&lt;&gt;"-"),(INT(T121)=T121))</formula1>
    </dataValidation>
    <dataValidation type="custom" operator="greaterThanOrEqual" allowBlank="1" showInputMessage="1" showErrorMessage="1" error="Exceeds 3 years_x000a_OR_x000a_Do not input value in Fractions" sqref="S121:S170" xr:uid="{21EF9B6F-8F24-496A-8752-551AF6BB6041}">
      <formula1>AND((S121&gt;0),($S$11&lt;&gt;"-"),(INT(S121)=S121))</formula1>
    </dataValidation>
    <dataValidation type="custom" operator="greaterThanOrEqual" allowBlank="1" showInputMessage="1" showErrorMessage="1" error="Exceeds 3 years_x000a_OR_x000a_Do not input value in Fractions" sqref="R121:R170" xr:uid="{44BA4A79-BE2E-4ABC-A9FF-79E9E1DF14BE}">
      <formula1>AND((R121&gt;0),($R$11&lt;&gt;"-"),(INT(R121)=R121))</formula1>
    </dataValidation>
    <dataValidation type="custom" operator="greaterThanOrEqual" allowBlank="1" showInputMessage="1" showErrorMessage="1" error="Exceeds 3 years_x000a_OR_x000a_Do not input value in Fractions" sqref="Q121:Q170" xr:uid="{7991623A-4629-44C4-85D4-82401BBC4188}">
      <formula1>AND((Q121&gt;0),($Q$11&lt;&gt;"-"),(INT(Q121)=Q121))</formula1>
    </dataValidation>
    <dataValidation type="custom" operator="greaterThanOrEqual" allowBlank="1" showInputMessage="1" showErrorMessage="1" error="Exceeds 3 years_x000a_OR_x000a_Do not input value in Fractions" sqref="AH121:AH170" xr:uid="{10936439-0A4D-428A-86A4-77B628589156}">
      <formula1>AND((AH121&gt;0),($AH$11&lt;&gt;"-"),(INT(AH121)=AH121))</formula1>
    </dataValidation>
    <dataValidation type="list" allowBlank="1" showInputMessage="1" showErrorMessage="1" sqref="I14:K113" xr:uid="{75BF8FAC-9494-4338-851A-188DFDEF57AE}">
      <formula1>HV1S1T1C3</formula1>
    </dataValidation>
    <dataValidation type="list" allowBlank="1" showInputMessage="1" showErrorMessage="1" sqref="I121:K170" xr:uid="{9C9EBD89-A0F9-4932-B602-1186BDF5BDE0}">
      <formula1>HV1S2T1C3</formula1>
    </dataValidation>
    <dataValidation type="decimal" allowBlank="1" showInputMessage="1" showErrorMessage="1" sqref="P63:P113 U63:W113 P121:P170 AP121:BE170 AB63:AD113 AI63:AK113 U121:W170 AB121:AD170 AI121:AK170 AP63:AR113 AW63:BE113" xr:uid="{53F7C5BE-61C1-43CC-87BA-49755BFFF7E6}">
      <formula1>0</formula1>
      <formula2>1E+29</formula2>
    </dataValidation>
    <dataValidation type="list" allowBlank="1" showInputMessage="1" showErrorMessage="1" sqref="A14:D113" xr:uid="{D25CD5DC-1CD4-4384-9210-3C039838EA93}">
      <formula1>HV1S1T1C1</formula1>
    </dataValidation>
    <dataValidation type="list" allowBlank="1" showInputMessage="1" showErrorMessage="1" sqref="E14:H113" xr:uid="{4A75F322-8B82-403F-8200-B4390F67EB1E}">
      <formula1>HV1S1T1C2</formula1>
    </dataValidation>
    <dataValidation type="list" allowBlank="1" showInputMessage="1" showErrorMessage="1" sqref="A121:D170" xr:uid="{5B8F265B-12B8-4C5B-8B99-3515D660CE42}">
      <formula1>HV1S2T1C1</formula1>
    </dataValidation>
    <dataValidation type="list" allowBlank="1" showInputMessage="1" showErrorMessage="1" sqref="E121:H170" xr:uid="{DBB00636-2DA9-4513-BF08-711513664854}">
      <formula1>HV1S2T1C2</formula1>
    </dataValidation>
    <dataValidation type="custom" operator="greaterThanOrEqual" allowBlank="1" showInputMessage="1" showErrorMessage="1" error="Do not input value in Fractions" sqref="Z121:Z170" xr:uid="{47BE7A8A-C1AC-47A6-973C-C63880B046BD}">
      <formula1>AND((Z121&gt;0),($Z$11&lt;&gt;"-"),(INT(Z121)=Z121))</formula1>
    </dataValidation>
    <dataValidation type="list" allowBlank="1" showInputMessage="1" showErrorMessage="1" sqref="M121:M170 M14:M113" xr:uid="{D6EEEB5F-FFBD-4378-9E15-F9B7C8DBFCA8}">
      <formula1>PROCUREMENTENTITY</formula1>
    </dataValidation>
    <dataValidation allowBlank="1" showInputMessage="1" showErrorMessage="1" error="Not Editable" sqref="N63:N113 N121:N170" xr:uid="{77AE41FA-7A84-4542-AC21-7F0E6A252FFB}"/>
    <dataValidation type="custom" operator="greaterThanOrEqual" allowBlank="1" showInputMessage="1" showErrorMessage="1" error="Order Quantity can be blank or greater than 0" sqref="Q14:Q113" xr:uid="{7CB109C3-0D49-4F5F-8F75-3FA58C0AB31E}">
      <formula1>AND((Q14&gt;0),($Q$11&lt;&gt;"-"),(INT(Q14)=Q14))</formula1>
    </dataValidation>
    <dataValidation type="custom" operator="greaterThanOrEqual" allowBlank="1" showInputMessage="1" showErrorMessage="1" error="Order Quantity can be blank or greater than 0" sqref="R14:R113" xr:uid="{CC600983-7D84-47EE-9524-D67E26E844A3}">
      <formula1>AND((R14&gt;0),($R$11&lt;&gt;"-"),(INT(R14)=R14))</formula1>
    </dataValidation>
    <dataValidation type="custom" operator="greaterThanOrEqual" allowBlank="1" showInputMessage="1" showErrorMessage="1" error="Order Quantity can be blank or greater than 0" sqref="S14:S113" xr:uid="{FF305E4E-1DB5-48DA-AACC-D186C510D2F7}">
      <formula1>AND((S14&gt;0),($S$11&lt;&gt;"-"),(INT(S14)=S14))</formula1>
    </dataValidation>
    <dataValidation type="custom" operator="greaterThanOrEqual" allowBlank="1" showInputMessage="1" showErrorMessage="1" error="Order Quantity can be blank or greater than 0" sqref="T14:T113" xr:uid="{CFD08622-D340-4EF9-A6AB-734E20F3CCE7}">
      <formula1>AND((T14&gt;0),($T$11&lt;&gt;"-"),(INT(T14)=T14))</formula1>
    </dataValidation>
    <dataValidation type="custom" operator="greaterThanOrEqual" allowBlank="1" showInputMessage="1" showErrorMessage="1" error="Order Quantity can be blank or greater than 0" sqref="X14:X113" xr:uid="{35C0A536-1246-4A12-8645-4E3F13C6AEEE}">
      <formula1>AND((X14&gt;0),($X$11&lt;&gt;"-"),(INT(X14)=X14))</formula1>
    </dataValidation>
    <dataValidation type="custom" operator="greaterThanOrEqual" allowBlank="1" showInputMessage="1" showErrorMessage="1" error="Order Quantity can be blank or greater than 0" sqref="Y14:Y113" xr:uid="{B2C20AEC-DAB7-4FC0-B5CF-33A3840C59E4}">
      <formula1>AND((Y14&gt;0),($Y$11&lt;&gt;"-"),(INT(Y14)=Y14))</formula1>
    </dataValidation>
    <dataValidation type="custom" operator="greaterThanOrEqual" allowBlank="1" showInputMessage="1" showErrorMessage="1" error="Order Quantity can be blank or greater than 0" sqref="Z14:Z113" xr:uid="{EC193EC5-4FC3-40F2-AA72-4569C1D3EC7C}">
      <formula1>AND((Z14&gt;0),($Z$11&lt;&gt;"-"),(INT(Z14)=Z14))</formula1>
    </dataValidation>
    <dataValidation type="custom" operator="greaterThanOrEqual" allowBlank="1" showInputMessage="1" showErrorMessage="1" error="Order Quantity can be blank or greater than 0" sqref="AA14:AA113" xr:uid="{4C9D71A8-6199-42E6-AD3E-C953AB72A2C4}">
      <formula1>AND((AA14&gt;0),($AA$11&lt;&gt;"-"),(INT(AA14)=AA14))</formula1>
    </dataValidation>
    <dataValidation type="custom" operator="greaterThanOrEqual" allowBlank="1" showInputMessage="1" showErrorMessage="1" error="Order Quantity can be blank or greater than 0" sqref="AE14:AE113" xr:uid="{69862E25-1983-487A-9EBC-871735282A65}">
      <formula1>AND((AE14&gt;0),($AE$11&lt;&gt;"-"),(INT(AE14)=AE14))</formula1>
    </dataValidation>
    <dataValidation type="custom" operator="greaterThanOrEqual" allowBlank="1" showInputMessage="1" showErrorMessage="1" error="Order Quantity can be blank or greater than 0" sqref="AF14:AF113" xr:uid="{78E3D834-75B8-455C-9DF3-2FF37A4994D1}">
      <formula1>AND((AF14&gt;0),($AF$11&lt;&gt;"-"),(INT(AF14)=AF14))</formula1>
    </dataValidation>
    <dataValidation type="custom" operator="greaterThanOrEqual" allowBlank="1" showInputMessage="1" showErrorMessage="1" error="Order Quantity can be blank or greater than 0" sqref="AG14:AG113" xr:uid="{45C5F755-BC5E-4BD8-A582-E81C6FDBD4FF}">
      <formula1>AND((AG14&gt;0),($AG$11&lt;&gt;"-"),(INT(AG14)=AG14))</formula1>
    </dataValidation>
    <dataValidation type="custom" operator="greaterThanOrEqual" allowBlank="1" showInputMessage="1" showErrorMessage="1" error="Order Quantity can be blank or greater than 0" sqref="AH14:AH113" xr:uid="{340F208C-E663-4DB9-B0EF-C8ECA8BC3A71}">
      <formula1>AND((AH14&gt;0),($AH$11&lt;&gt;"-"),(INT(AH14)=AH14))</formula1>
    </dataValidation>
    <dataValidation type="custom" operator="greaterThanOrEqual" allowBlank="1" showInputMessage="1" showErrorMessage="1" error="Order Quantity can be blank or greater than 0" sqref="AL14:AL113" xr:uid="{FED7CE2B-4A23-492C-993C-E4136B357FC3}">
      <formula1>AND((AL14&gt;0),($AL$11&lt;&gt;"-"),(INT(AL14)=AL14))</formula1>
    </dataValidation>
    <dataValidation type="custom" operator="greaterThanOrEqual" allowBlank="1" showInputMessage="1" showErrorMessage="1" error="Order Quantity can be blank or greater than 0" sqref="AM14:AM113" xr:uid="{40230041-0559-4F2C-AB93-5A0E3E868E32}">
      <formula1>AND((AM14&gt;0),($AM$11&lt;&gt;"-"),(INT(AM14)=AM14))</formula1>
    </dataValidation>
    <dataValidation type="custom" operator="greaterThanOrEqual" allowBlank="1" showInputMessage="1" showErrorMessage="1" error="Order Quantity can be blank or greater than 0" sqref="AN14:AN113" xr:uid="{1110867B-930E-444E-BA85-6E473FB13791}">
      <formula1>AND((AN14&gt;0),($AN$11&lt;&gt;"-"),(INT(AN14)=AN14))</formula1>
    </dataValidation>
    <dataValidation type="custom" operator="greaterThanOrEqual" allowBlank="1" showInputMessage="1" showErrorMessage="1" error="Order Quantity can be blank or greater than 0" sqref="AO14:AO113" xr:uid="{0113558B-CDF4-4576-979C-EB84538B6D68}">
      <formula1>AND((AO14&gt;0),($AO$11&lt;&gt;"-"),(INT(AO14)=AO14))</formula1>
    </dataValidation>
    <dataValidation type="custom" operator="greaterThanOrEqual" allowBlank="1" showInputMessage="1" showErrorMessage="1" error="Order Quantity can be blank or greater than 0" sqref="AS14:AS113" xr:uid="{E89E644B-50EA-47DC-910A-7F516CB0491D}">
      <formula1>AND((AS14&gt;0),($AS$11&lt;&gt;"-"),(INT(AS14)=AS14))</formula1>
    </dataValidation>
    <dataValidation type="custom" operator="greaterThanOrEqual" allowBlank="1" showInputMessage="1" showErrorMessage="1" error="Order Quantity can be blank or greater than 0" sqref="AT14:AT113" xr:uid="{A5BE3645-C532-4FFB-928D-49CC167C2FF8}">
      <formula1>AND((AT14&gt;0),($AT$11&lt;&gt;"-"),(INT(AT14)=AT14))</formula1>
    </dataValidation>
    <dataValidation type="custom" operator="greaterThanOrEqual" allowBlank="1" showInputMessage="1" showErrorMessage="1" error="Order Quantity can be blank or greater than 0" sqref="AU14:AU113" xr:uid="{03CA1CF7-59A8-4A8D-99AA-F086CEA432A2}">
      <formula1>AND((AU14&gt;0),($AU$11&lt;&gt;"-"),(INT(AU14)=AU14))</formula1>
    </dataValidation>
    <dataValidation type="custom" operator="greaterThanOrEqual" allowBlank="1" showInputMessage="1" showErrorMessage="1" error="Order Quantity can be blank or greater than 0" sqref="AV14:AV113 AZ14" xr:uid="{417871F7-8421-4F94-8AD6-0B659CE6E740}">
      <formula1>AND((AV14&gt;0),($AV$11&lt;&gt;"-"),(INT(AV14)=AV14))</formula1>
    </dataValidation>
  </dataValidations>
  <pageMargins left="0.70866141732283472" right="0.70866141732283472" top="0.74803149606299213" bottom="0.74803149606299213" header="0.31496062992125984" footer="0.31496062992125984"/>
  <pageSetup paperSize="9" orientation="landscape" r:id="rId1"/>
  <headerFooter>
    <oddHeader>&amp;LThe Global Fund&amp;CHealth Product Management Template- HIV Pharma&amp;RAllocation Period 2023-2028</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1499" id="{5D16C709-3B38-44DC-9F8B-963EDC05D28A}">
            <xm:f>AND(M14&lt;&gt;"",(M14&lt;&gt;(INDEX(SETUP!$D$19:$E$122,MATCH(INDEX(PMsheet!$D:$E,MATCH(A14,PMsheet!E:E,0),1),SETUP!$D$19:$D$122,0),MATCH($M$12,SETUP!$D$19:$E$19,0)))))</xm:f>
            <x14:dxf>
              <font>
                <color theme="0"/>
              </font>
              <fill>
                <patternFill>
                  <bgColor theme="4" tint="-0.24994659260841701"/>
                </patternFill>
              </fill>
            </x14:dxf>
          </x14:cfRule>
          <xm:sqref>M121:M170 M14:M113</xm:sqref>
        </x14:conditionalFormatting>
        <x14:conditionalFormatting xmlns:xm="http://schemas.microsoft.com/office/excel/2006/main">
          <x14:cfRule type="expression" priority="1495" id="{B2DE3FDF-3D26-4F4A-98F4-7C89E5ED7F21}">
            <xm:f>IF(N121&lt;&gt;0,IF($O121="USD",OR(($W121&lt;$N121-($N121*0.3)),($W121&gt;$N121+($N121*0.3))),OR(($W121&lt;(($N121/'Master Data'!$C$2)*'Master Data'!$D$2)-((($N121/'Master Data'!$C$2)*'Master Data'!$D$2)*0.3)),($W121&gt;(($N121/'Master Data'!$C$2)*'Master Data'!$D$2)+((($N121/'Master Data'!$C$2)*'Master Data'!$D$2)*0.3)))))</xm:f>
            <x14:dxf>
              <font>
                <b/>
                <i val="0"/>
                <strike val="0"/>
                <color rgb="FFFF0000"/>
              </font>
            </x14:dxf>
          </x14:cfRule>
          <xm:sqref>W121:W170</xm:sqref>
        </x14:conditionalFormatting>
        <x14:conditionalFormatting xmlns:xm="http://schemas.microsoft.com/office/excel/2006/main">
          <x14:cfRule type="expression" priority="1494" id="{672B79DB-D644-42C7-B25C-443D4A7B8141}">
            <xm:f>IF(N121&lt;&gt;0,IF($O121="USD",OR(($AD121&lt;$N121-($N121*0.3)),($AD121&gt;$N121+($N121*0.3))),OR(($AD121&lt;(($N121/'Master Data'!$C$2)*'Master Data'!$E$2)-((($N121/'Master Data'!$C$2)*'Master Data'!$E$2)*0.3)),($AD121&gt;(($N121/'Master Data'!$C$2)*'Master Data'!$E$2)+((($N121/'Master Data'!$C$2)*'Master Data'!$E$2)*0.3)))))</xm:f>
            <x14:dxf>
              <font>
                <b/>
                <i val="0"/>
                <strike val="0"/>
                <color rgb="FFFF0000"/>
              </font>
            </x14:dxf>
          </x14:cfRule>
          <xm:sqref>AD121:AD170</xm:sqref>
        </x14:conditionalFormatting>
        <x14:conditionalFormatting xmlns:xm="http://schemas.microsoft.com/office/excel/2006/main">
          <x14:cfRule type="expression" priority="1492" id="{433E9421-ACE6-4B00-AB45-004B8C43FDF8}">
            <xm:f>IF(O127="USD",OR(($P127&lt;($N127-($N127*0.3))),($P127&gt;($N127+($N127*0.3)))),OR(($P127&lt;(($N127*'Master Data'!$C$2)-($N127*'Master Data'!$C$2*0.3))),($P127&gt;($N127*'Master Data'!$C$2)+($N127*'Master Data'!$C$2*0.3))))</xm:f>
            <x14:dxf>
              <font>
                <b/>
                <i val="0"/>
                <color rgb="FFFF0000"/>
              </font>
              <border>
                <vertical/>
                <horizontal/>
              </border>
            </x14:dxf>
          </x14:cfRule>
          <xm:sqref>P127:P170</xm:sqref>
        </x14:conditionalFormatting>
        <x14:conditionalFormatting xmlns:xm="http://schemas.microsoft.com/office/excel/2006/main">
          <x14:cfRule type="expression" priority="1491" id="{7EE64802-0DBE-4DC6-996F-C6E391FA0714}">
            <xm:f>IF($O121="USD",OR(($AK121&lt;$N121-($N121*0.3)),($AK121&gt;$N121+($N121*0.3))),OR(($AK121&lt;($N121*'Master Data'!$F$2)-(($N121*'Master Data'!$F$2)*0.3)),($AK121&gt;($N121*'Master Data'!$F$2)+(($N121*'Master Data'!$F$2)*0.3))))</xm:f>
            <x14:dxf>
              <font>
                <b/>
                <i val="0"/>
                <strike val="0"/>
                <color rgb="FFFF0000"/>
              </font>
            </x14:dxf>
          </x14:cfRule>
          <xm:sqref>AK121:AK170</xm:sqref>
        </x14:conditionalFormatting>
        <x14:conditionalFormatting xmlns:xm="http://schemas.microsoft.com/office/excel/2006/main">
          <x14:cfRule type="expression" priority="1493" id="{EE2488E4-6D55-4C40-B4B7-CD4F55D170F1}">
            <xm:f>IF(N121&lt;&gt;0,IF($O121="USD",OR(($AK121&lt;$N121-($N121*0.3)),($AK121&gt;$N121+($N121*0.3))),OR(($AK121&lt;(($N121/'Master Data'!$C$2)*'Master Data'!$F$2)-((($N121/'Master Data'!$C$2)*'Master Data'!$F$2)*0.3)),($AK121&gt;(($N121/'Master Data'!$C$2)*'Master Data'!$F$2)+((($N121/'Master Data'!$C$2)*'Master Data'!$F$2)*0.3)))))</xm:f>
            <x14:dxf>
              <font>
                <b/>
                <i val="0"/>
                <strike val="0"/>
                <color rgb="FFFF0000"/>
              </font>
            </x14:dxf>
          </x14:cfRule>
          <xm:sqref>AK121:AK170</xm:sqref>
        </x14:conditionalFormatting>
        <x14:conditionalFormatting xmlns:xm="http://schemas.microsoft.com/office/excel/2006/main">
          <x14:cfRule type="expression" priority="1" id="{9654F75E-5795-4BF0-AC2C-9E12E2CD4ED5}">
            <xm:f>SETUP!$K$20='Master Data-C19RM'!$J$10</xm:f>
            <x14:dxf>
              <fill>
                <patternFill>
                  <bgColor rgb="FF2705D1"/>
                </patternFill>
              </fill>
            </x14:dxf>
          </x14:cfRule>
          <x14:cfRule type="expression" priority="2" id="{6676B5C8-D300-4CD1-9010-3391A527E118}">
            <xm:f>SETUP!$K$20='Master Data-C19RM'!$J$9</xm:f>
            <x14:dxf>
              <fill>
                <patternFill>
                  <bgColor rgb="FFF75535"/>
                </patternFill>
              </fill>
            </x14:dxf>
          </x14:cfRule>
          <xm:sqref>B1:K1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From Dropdown" prompt="List Only" xr:uid="{7A293819-8071-457B-A41D-2AA92F9E8AA8}">
          <x14:formula1>
            <xm:f>Grant!$Q$3:$Q$4</xm:f>
          </x14:formula1>
          <xm:sqref>O121:O170 O14:O113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749A1-5471-4321-ACA3-56A4EF7AAA73}">
  <sheetPr>
    <tabColor rgb="FF77061F"/>
    <pageSetUpPr autoPageBreaks="0"/>
  </sheetPr>
  <dimension ref="A1:CP701"/>
  <sheetViews>
    <sheetView showGridLines="0" zoomScale="60" zoomScaleNormal="60" workbookViewId="0">
      <pane ySplit="1" topLeftCell="A2" activePane="bottomLeft" state="frozen"/>
      <selection activeCell="E17" sqref="E17:H17"/>
      <selection pane="bottomLeft" activeCell="A4" sqref="A4"/>
    </sheetView>
  </sheetViews>
  <sheetFormatPr defaultColWidth="8.81640625" defaultRowHeight="14.5" customHeight="1" zeroHeight="1" x14ac:dyDescent="0.35"/>
  <cols>
    <col min="1" max="1" width="17.08984375" style="12" customWidth="1"/>
    <col min="2" max="2" width="15.453125" style="12" customWidth="1"/>
    <col min="3" max="3" width="12.90625" style="12" customWidth="1"/>
    <col min="4" max="6" width="15.453125" style="12" customWidth="1"/>
    <col min="7" max="7" width="20" style="12" customWidth="1"/>
    <col min="8" max="9" width="15.453125" style="12" customWidth="1"/>
    <col min="10" max="10" width="14.453125" style="12" customWidth="1"/>
    <col min="11" max="11" width="33.81640625" style="12" customWidth="1"/>
    <col min="12" max="12" width="14.453125" style="12" customWidth="1"/>
    <col min="13" max="13" width="21" style="12" customWidth="1"/>
    <col min="14" max="14" width="18.54296875" style="12" customWidth="1"/>
    <col min="15" max="15" width="17" style="12" customWidth="1"/>
    <col min="16" max="16" width="14.1796875" style="12" customWidth="1"/>
    <col min="17" max="17" width="14.36328125" style="12" customWidth="1"/>
    <col min="18" max="18" width="13.81640625" style="12" customWidth="1"/>
    <col min="19" max="19" width="14.81640625" style="12" customWidth="1"/>
    <col min="20" max="20" width="14.453125" style="12" customWidth="1"/>
    <col min="21" max="21" width="15.453125" style="12" customWidth="1"/>
    <col min="22" max="22" width="20.1796875" style="12" customWidth="1"/>
    <col min="23" max="24" width="14.81640625" style="12" customWidth="1"/>
    <col min="25" max="25" width="14.36328125" style="12" customWidth="1"/>
    <col min="26" max="26" width="14.453125" style="12" customWidth="1"/>
    <col min="27" max="27" width="13.81640625" style="12" customWidth="1"/>
    <col min="28" max="28" width="14.81640625" style="12" customWidth="1"/>
    <col min="29" max="29" width="20.81640625" style="12" customWidth="1"/>
    <col min="30" max="30" width="11.453125" style="12" customWidth="1"/>
    <col min="31" max="31" width="14.453125" style="12" customWidth="1"/>
    <col min="32" max="32" width="13.54296875" style="12" customWidth="1"/>
    <col min="33" max="33" width="14.36328125" style="12" customWidth="1"/>
    <col min="34" max="34" width="14.453125" style="12" customWidth="1"/>
    <col min="35" max="35" width="14.1796875" style="49" customWidth="1"/>
    <col min="36" max="36" width="20.453125" style="12" customWidth="1"/>
    <col min="37" max="37" width="11.453125" style="12" customWidth="1"/>
    <col min="38" max="38" width="13.1796875" style="12" customWidth="1"/>
    <col min="39" max="39" width="14.1796875" style="12" customWidth="1"/>
    <col min="40" max="40" width="13.1796875" style="12" customWidth="1"/>
    <col min="41" max="41" width="14.08984375" style="12" customWidth="1"/>
    <col min="42" max="42" width="13.1796875" style="49" customWidth="1"/>
    <col min="43" max="43" width="21.1796875" style="12" customWidth="1"/>
    <col min="44" max="44" width="13.6328125" style="12" customWidth="1"/>
    <col min="45" max="46" width="14.54296875" style="12" customWidth="1"/>
    <col min="47" max="47" width="14.08984375" style="12" customWidth="1"/>
    <col min="48" max="48" width="15" style="12" customWidth="1"/>
    <col min="49" max="49" width="16.81640625" style="12" customWidth="1"/>
    <col min="50" max="50" width="19.453125" style="12" customWidth="1"/>
    <col min="51" max="57" width="16.81640625" style="12" customWidth="1"/>
    <col min="58" max="58" width="24.453125" style="12" customWidth="1"/>
    <col min="59" max="59" width="25.453125" style="12" customWidth="1"/>
    <col min="60" max="60" width="52.1796875" style="12" customWidth="1"/>
    <col min="61" max="61" width="74.54296875" style="12" customWidth="1"/>
    <col min="62" max="62" width="10.81640625" style="12" customWidth="1"/>
    <col min="63" max="63" width="8.81640625" style="53" hidden="1" customWidth="1"/>
    <col min="64" max="64" width="8.81640625" style="12" hidden="1" customWidth="1"/>
    <col min="65" max="66" width="8.81640625" style="12"/>
    <col min="67" max="67" width="8.81640625" style="12" hidden="1" customWidth="1"/>
    <col min="68" max="72" width="8.81640625" hidden="1" customWidth="1"/>
    <col min="73" max="73" width="7.90625" style="12" hidden="1" customWidth="1"/>
    <col min="74" max="74" width="8.81640625" hidden="1" customWidth="1"/>
    <col min="75" max="75" width="10" hidden="1" customWidth="1"/>
    <col min="76" max="87" width="10" customWidth="1"/>
    <col min="88" max="94" width="8.81640625" customWidth="1"/>
    <col min="95" max="96" width="8.81640625" style="12" customWidth="1"/>
    <col min="97" max="16384" width="8.81640625" style="12"/>
  </cols>
  <sheetData>
    <row r="1" spans="1:94" ht="53.5" customHeight="1" thickBot="1" x14ac:dyDescent="0.4">
      <c r="A1" s="485"/>
      <c r="B1" s="1084" t="str">
        <f>VLOOKUP("Health Product Management Template - C19RM 2021-Other Health Products",Language!$D$286:$G$286,$L$1,FALSE)</f>
        <v>Health Product Management Template - C19RM 2021-Other Health Products</v>
      </c>
      <c r="C1" s="1085"/>
      <c r="D1" s="1085"/>
      <c r="E1" s="1085"/>
      <c r="F1" s="1085"/>
      <c r="G1" s="1085"/>
      <c r="H1" s="1085"/>
      <c r="I1" s="1085"/>
      <c r="J1" s="1085"/>
      <c r="K1" s="1086"/>
      <c r="L1" s="154">
        <f>SETUP!$A$2</f>
        <v>2</v>
      </c>
      <c r="M1" s="1091" t="str">
        <f t="shared" ref="M1" si="0">IF(BU1&gt;0,"Data missmatch in Item Category, INN and Specification","")</f>
        <v/>
      </c>
      <c r="N1" s="1091"/>
      <c r="O1" s="1091"/>
      <c r="P1" s="1091"/>
      <c r="Q1" s="1091"/>
      <c r="R1" s="1091"/>
      <c r="S1" s="1092"/>
      <c r="T1" s="11"/>
      <c r="U1" s="11"/>
      <c r="V1" s="11"/>
      <c r="W1" s="11"/>
      <c r="X1" s="11"/>
      <c r="Y1" s="11"/>
      <c r="Z1" s="11"/>
      <c r="AA1" s="11"/>
      <c r="AB1" s="11"/>
      <c r="AC1" s="11"/>
      <c r="AD1" s="11"/>
      <c r="AE1" s="31"/>
      <c r="AF1" s="17"/>
      <c r="AI1" s="12"/>
      <c r="AK1" s="11"/>
      <c r="AL1" s="31"/>
      <c r="AM1" s="17"/>
      <c r="AP1" s="12"/>
      <c r="BU1" s="12">
        <f>SUM(BU2:BU650)</f>
        <v>0</v>
      </c>
    </row>
    <row r="2" spans="1:94" ht="24" customHeight="1" thickBot="1" x14ac:dyDescent="0.4">
      <c r="A2" s="34"/>
      <c r="B2" s="34"/>
      <c r="C2" s="34"/>
      <c r="D2" s="34"/>
      <c r="E2" s="34"/>
      <c r="F2" s="34"/>
      <c r="G2" s="34"/>
      <c r="H2" s="34"/>
      <c r="I2" s="34"/>
      <c r="J2" s="34"/>
      <c r="K2" s="34"/>
      <c r="L2" s="38"/>
      <c r="M2" s="24"/>
      <c r="N2" s="24"/>
      <c r="O2" s="401"/>
      <c r="P2"/>
      <c r="Q2"/>
      <c r="R2"/>
      <c r="S2" s="10"/>
      <c r="T2" s="11"/>
      <c r="U2" s="11"/>
      <c r="V2" s="11"/>
      <c r="W2" s="11"/>
      <c r="X2" s="11"/>
      <c r="Y2" s="11"/>
      <c r="Z2" s="11"/>
      <c r="AA2" s="11"/>
      <c r="AB2" s="11"/>
      <c r="AC2" s="11"/>
      <c r="AD2" s="11"/>
      <c r="AE2" s="31"/>
      <c r="AF2" s="17"/>
      <c r="AI2" s="12"/>
      <c r="AK2" s="11"/>
      <c r="AL2" s="31"/>
      <c r="AM2" s="17"/>
      <c r="AP2" s="12"/>
    </row>
    <row r="3" spans="1:94" ht="15" customHeight="1" thickBot="1" x14ac:dyDescent="0.4">
      <c r="A3" s="486"/>
      <c r="B3" s="1126" t="str">
        <f>VLOOKUP("COUNTRY:",Language!$D$1067:$G$1151,$L$1,FALSE)</f>
        <v>COUNTRY:</v>
      </c>
      <c r="C3" s="1128">
        <f>SETUP!$E$3</f>
        <v>0</v>
      </c>
      <c r="D3" s="1128"/>
      <c r="E3" s="1129"/>
      <c r="F3" s="475"/>
      <c r="G3" s="1132" t="str">
        <f>VLOOKUP("GRANT NUMBER:",Language!$D$1067:$G$1151,$L$1,FALSE)</f>
        <v>GRANT NUMBER:</v>
      </c>
      <c r="H3" s="1128">
        <f>GRAN_NO</f>
        <v>0</v>
      </c>
      <c r="I3" s="1128"/>
      <c r="J3" s="1128"/>
      <c r="K3" s="1129"/>
      <c r="L3" s="38"/>
      <c r="M3" s="147"/>
      <c r="N3" s="147"/>
      <c r="O3" s="13"/>
      <c r="P3" s="14"/>
      <c r="Q3" s="14"/>
      <c r="R3" s="14"/>
      <c r="S3" s="14"/>
      <c r="T3" s="11"/>
      <c r="U3" s="11"/>
      <c r="V3" s="11"/>
      <c r="W3" s="11"/>
      <c r="X3" s="11"/>
      <c r="Y3" s="11"/>
      <c r="Z3" s="11"/>
      <c r="AA3" s="11"/>
      <c r="AB3" s="11"/>
      <c r="AC3" s="11"/>
      <c r="AD3" s="11"/>
      <c r="AE3" s="11"/>
      <c r="AF3" s="11"/>
      <c r="AG3" s="39"/>
      <c r="AH3" s="39"/>
      <c r="AI3" s="40"/>
      <c r="AJ3" s="20"/>
      <c r="AK3" s="11"/>
      <c r="AL3" s="11"/>
      <c r="AM3" s="11"/>
      <c r="AN3" s="39"/>
      <c r="AO3" s="39"/>
      <c r="AP3" s="40"/>
      <c r="AQ3" s="20"/>
    </row>
    <row r="4" spans="1:94" ht="15.75" customHeight="1" thickBot="1" x14ac:dyDescent="0.4">
      <c r="A4" s="486"/>
      <c r="B4" s="1127"/>
      <c r="C4" s="1130"/>
      <c r="D4" s="1130"/>
      <c r="E4" s="1131"/>
      <c r="F4" s="475"/>
      <c r="G4" s="1133"/>
      <c r="H4" s="1130"/>
      <c r="I4" s="1130"/>
      <c r="J4" s="1130"/>
      <c r="K4" s="1131"/>
      <c r="L4" s="10"/>
      <c r="M4" s="10"/>
      <c r="N4" s="10"/>
      <c r="O4" s="10"/>
      <c r="P4" s="11"/>
      <c r="Q4" s="11"/>
      <c r="R4" s="11"/>
      <c r="S4" s="11"/>
      <c r="T4" s="11"/>
      <c r="U4" s="11"/>
      <c r="V4" s="11"/>
      <c r="W4" s="11"/>
      <c r="X4" s="11"/>
      <c r="Y4" s="11"/>
      <c r="Z4" s="11"/>
      <c r="AA4" s="11"/>
      <c r="AB4" s="11"/>
      <c r="AC4" s="11"/>
      <c r="AD4" s="11"/>
      <c r="AE4" s="11"/>
      <c r="AF4" s="11"/>
      <c r="AG4" s="39"/>
      <c r="AH4" s="39"/>
      <c r="AI4" s="40"/>
      <c r="AJ4" s="20"/>
      <c r="AK4" s="11"/>
      <c r="AL4" s="11"/>
      <c r="AM4" s="11"/>
      <c r="AN4" s="39"/>
      <c r="AO4" s="39"/>
      <c r="AP4" s="40"/>
      <c r="AQ4" s="20"/>
    </row>
    <row r="5" spans="1:94" ht="15" thickBot="1" x14ac:dyDescent="0.4">
      <c r="A5" s="486"/>
      <c r="B5" s="1127" t="str">
        <f>VLOOKUP("COMPONENT:",Language!$D$1067:$G$1151,$L$1,FALSE)</f>
        <v>COMPONENT:</v>
      </c>
      <c r="C5" s="1130" t="str">
        <f>SETUP!$E$9</f>
        <v>C19RM</v>
      </c>
      <c r="D5" s="1130"/>
      <c r="E5" s="1131"/>
      <c r="F5" s="475"/>
      <c r="G5" s="1127" t="str">
        <f>VLOOKUP("PR: ",Language!$D$1067:$G$1151,$L$1,FALSE)</f>
        <v xml:space="preserve">PR: </v>
      </c>
      <c r="H5" s="1130" t="str">
        <f ca="1">SETUP!J5</f>
        <v>NA</v>
      </c>
      <c r="I5" s="1130"/>
      <c r="J5" s="1130"/>
      <c r="K5" s="1131"/>
      <c r="L5" s="10"/>
      <c r="M5" s="10"/>
      <c r="N5" s="10"/>
      <c r="O5" s="10"/>
      <c r="P5" s="11"/>
      <c r="Q5" s="11"/>
      <c r="R5" s="11"/>
      <c r="S5" s="11"/>
      <c r="T5" s="11"/>
      <c r="U5" s="11"/>
      <c r="V5" s="11"/>
      <c r="W5" s="11"/>
      <c r="X5" s="11"/>
      <c r="Y5" s="11"/>
      <c r="Z5" s="11"/>
      <c r="AA5" s="11"/>
      <c r="AB5" s="11"/>
      <c r="AC5" s="11"/>
      <c r="AD5" s="11"/>
      <c r="AE5" s="11"/>
      <c r="AF5" s="11"/>
      <c r="AG5" s="39"/>
      <c r="AH5" s="39"/>
      <c r="AI5" s="40"/>
      <c r="AJ5" s="20"/>
      <c r="AK5" s="11"/>
      <c r="AL5" s="11"/>
      <c r="AM5" s="11"/>
      <c r="AN5" s="39"/>
      <c r="AO5" s="39"/>
      <c r="AP5" s="40"/>
      <c r="AQ5" s="20"/>
    </row>
    <row r="6" spans="1:94" ht="15" thickBot="1" x14ac:dyDescent="0.4">
      <c r="A6" s="486"/>
      <c r="B6" s="1137"/>
      <c r="C6" s="1138"/>
      <c r="D6" s="1138"/>
      <c r="E6" s="1139"/>
      <c r="F6" s="475"/>
      <c r="G6" s="1137"/>
      <c r="H6" s="1138"/>
      <c r="I6" s="1138"/>
      <c r="J6" s="1138"/>
      <c r="K6" s="1139"/>
      <c r="L6" s="10"/>
      <c r="M6" s="10"/>
      <c r="N6" s="10"/>
      <c r="O6" s="10"/>
      <c r="P6" s="11"/>
      <c r="Q6" s="11"/>
      <c r="R6" s="11"/>
      <c r="S6" s="11"/>
      <c r="T6" s="11"/>
      <c r="U6" s="11"/>
      <c r="V6" s="11"/>
      <c r="W6" s="11"/>
      <c r="X6" s="11"/>
      <c r="Y6" s="11"/>
      <c r="Z6" s="11"/>
      <c r="AA6" s="11"/>
      <c r="AB6" s="11"/>
      <c r="AC6" s="11"/>
      <c r="AD6" s="11"/>
      <c r="AE6" s="11"/>
      <c r="AF6" s="11"/>
      <c r="AG6" s="39"/>
      <c r="AH6" s="39"/>
      <c r="AI6" s="40"/>
      <c r="AJ6" s="20"/>
      <c r="AK6" s="11"/>
      <c r="AL6" s="11"/>
      <c r="AM6" s="11"/>
      <c r="AN6" s="39"/>
      <c r="AO6" s="39"/>
      <c r="AP6" s="40"/>
      <c r="AQ6" s="20"/>
    </row>
    <row r="7" spans="1:94" ht="15" thickBot="1" x14ac:dyDescent="0.4">
      <c r="A7" s="91" t="str">
        <f ca="1">MID(CELL("filename",A1),FIND("]",CELL("filename",A1))+1,255)</f>
        <v>C19RM 2021-Lab &amp; Other HPS</v>
      </c>
      <c r="B7" s="15"/>
      <c r="C7" s="91"/>
      <c r="D7" s="15"/>
      <c r="E7" s="15"/>
      <c r="F7" s="15"/>
      <c r="G7" s="15"/>
      <c r="H7" s="15"/>
      <c r="I7" s="15"/>
      <c r="J7" s="91" t="s">
        <v>132</v>
      </c>
      <c r="K7" s="16"/>
      <c r="L7" s="18"/>
      <c r="M7" s="10"/>
      <c r="N7" s="10"/>
      <c r="O7" s="32"/>
      <c r="P7" s="18"/>
      <c r="Q7" s="18"/>
      <c r="R7" s="18"/>
      <c r="S7" s="18"/>
      <c r="T7" s="18"/>
      <c r="U7" s="11"/>
      <c r="V7" s="11"/>
      <c r="W7" s="11"/>
      <c r="X7" s="11"/>
      <c r="Y7" s="11"/>
      <c r="Z7" s="11"/>
      <c r="AA7" s="11"/>
      <c r="AB7" s="11"/>
      <c r="AC7" s="11"/>
      <c r="AD7" s="11"/>
      <c r="AE7" s="11"/>
      <c r="AF7" s="11"/>
      <c r="AG7" s="39"/>
      <c r="AH7" s="39"/>
      <c r="AI7" s="40"/>
      <c r="AJ7" s="20"/>
      <c r="AK7" s="11"/>
      <c r="AL7" s="11"/>
      <c r="AM7" s="11"/>
      <c r="AN7" s="39"/>
      <c r="AO7" s="39"/>
      <c r="AP7" s="40"/>
      <c r="AQ7" s="20"/>
    </row>
    <row r="8" spans="1:94" ht="28.5" customHeight="1" thickBot="1" x14ac:dyDescent="0.4">
      <c r="A8" s="1140">
        <v>1</v>
      </c>
      <c r="B8" s="1142" t="s">
        <v>3026</v>
      </c>
      <c r="C8" s="1142"/>
      <c r="D8" s="1212" t="s">
        <v>3028</v>
      </c>
      <c r="E8" s="1212"/>
      <c r="F8" s="1212"/>
      <c r="G8" s="1213"/>
      <c r="H8"/>
      <c r="I8"/>
      <c r="J8"/>
      <c r="K8"/>
      <c r="L8"/>
      <c r="O8" s="1145" t="str">
        <f>CONCATENATE(J7," ",SETUP!E7)</f>
        <v xml:space="preserve">Total Amount in </v>
      </c>
      <c r="P8" s="532" t="s">
        <v>125</v>
      </c>
      <c r="Q8" s="532" t="s">
        <v>126</v>
      </c>
      <c r="R8" s="532" t="s">
        <v>127</v>
      </c>
      <c r="S8" s="532" t="s">
        <v>128</v>
      </c>
      <c r="T8" s="532" t="s">
        <v>661</v>
      </c>
      <c r="U8" s="533" t="s">
        <v>129</v>
      </c>
      <c r="V8" s="11"/>
      <c r="W8" s="11"/>
      <c r="Y8" s="11"/>
      <c r="Z8" s="11"/>
      <c r="AA8" s="11"/>
      <c r="AB8" s="11"/>
      <c r="AC8" s="11"/>
      <c r="AD8" s="11"/>
      <c r="AE8" s="11"/>
      <c r="AF8" s="11"/>
      <c r="AG8" s="39"/>
      <c r="AH8" s="39"/>
      <c r="AI8" s="40"/>
      <c r="AJ8" s="20"/>
      <c r="AK8" s="11"/>
      <c r="AL8" s="11"/>
      <c r="AM8" s="11"/>
      <c r="AN8" s="39"/>
      <c r="AO8" s="39"/>
      <c r="AP8" s="40"/>
      <c r="AQ8" s="20"/>
      <c r="AV8" s="893"/>
    </row>
    <row r="9" spans="1:94" ht="28.5" customHeight="1" thickBot="1" x14ac:dyDescent="0.4">
      <c r="A9" s="1141"/>
      <c r="B9" s="1143"/>
      <c r="C9" s="1143"/>
      <c r="D9" s="1214" t="s">
        <v>3027</v>
      </c>
      <c r="E9" s="1214"/>
      <c r="F9" s="1214"/>
      <c r="G9" s="1215"/>
      <c r="H9"/>
      <c r="I9"/>
      <c r="J9"/>
      <c r="K9"/>
      <c r="L9"/>
      <c r="O9" s="1146"/>
      <c r="P9" s="534">
        <f>SUM(V14:V113)</f>
        <v>0</v>
      </c>
      <c r="Q9" s="534">
        <f>SUM(AC14:AC113)</f>
        <v>0</v>
      </c>
      <c r="R9" s="534">
        <f>SUM(AJ14:AJ113)</f>
        <v>0</v>
      </c>
      <c r="S9" s="534">
        <f>SUM(AQ14:AQ113)</f>
        <v>0</v>
      </c>
      <c r="T9" s="534">
        <f>SUM(AX14:AX113)</f>
        <v>0</v>
      </c>
      <c r="U9" s="535">
        <f>SUM(P9:T9)</f>
        <v>0</v>
      </c>
      <c r="V9" s="18"/>
      <c r="W9" s="18"/>
      <c r="X9" s="18"/>
      <c r="Y9" s="18"/>
      <c r="Z9" s="18"/>
      <c r="AA9" s="18"/>
      <c r="AB9" s="18"/>
      <c r="AC9" s="18"/>
      <c r="AD9" s="18"/>
      <c r="AE9" s="18"/>
      <c r="AF9" s="18"/>
      <c r="AG9" s="41"/>
      <c r="AH9" s="41"/>
      <c r="AI9" s="42"/>
      <c r="AJ9" s="20"/>
      <c r="AK9" s="18"/>
      <c r="AL9" s="18"/>
      <c r="AM9" s="18"/>
      <c r="AN9" s="41"/>
      <c r="AO9" s="41"/>
      <c r="AP9" s="42"/>
      <c r="AQ9" s="20"/>
    </row>
    <row r="10" spans="1:94" ht="223.5" customHeight="1" thickBot="1" x14ac:dyDescent="0.4">
      <c r="A10"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0" s="1148"/>
      <c r="C10" s="1148"/>
      <c r="D10" s="1148"/>
      <c r="E10" s="1148"/>
      <c r="F10" s="1148"/>
      <c r="G10" s="1148"/>
      <c r="H10" s="1148"/>
      <c r="I10" s="1148"/>
      <c r="J10" s="1148"/>
      <c r="K10" s="1148"/>
      <c r="L10" s="1148"/>
      <c r="M10" s="1148"/>
      <c r="N10" s="1148"/>
      <c r="O10" s="1149"/>
      <c r="P10" s="15"/>
      <c r="Q10" s="33"/>
      <c r="R10" s="33"/>
      <c r="S10" s="33"/>
      <c r="T10" s="33"/>
      <c r="U10" s="25"/>
      <c r="V10" s="25"/>
      <c r="W10" s="25"/>
      <c r="X10" s="25"/>
      <c r="Y10" s="25"/>
      <c r="Z10" s="25"/>
      <c r="AA10" s="25"/>
      <c r="AB10" s="25"/>
      <c r="AC10" s="25"/>
      <c r="AD10" s="25"/>
      <c r="AE10" s="25"/>
      <c r="AF10" s="25"/>
      <c r="AG10" s="26"/>
      <c r="AH10" s="26"/>
      <c r="AI10" s="150"/>
      <c r="AJ10" s="26"/>
      <c r="AK10" s="959"/>
      <c r="AL10" s="25"/>
      <c r="AM10" s="25"/>
      <c r="AN10" s="26"/>
      <c r="AO10" s="26"/>
      <c r="AP10" s="150"/>
      <c r="AQ10" s="26"/>
    </row>
    <row r="11" spans="1:94" s="448" customFormat="1" thickBot="1" x14ac:dyDescent="0.35">
      <c r="A11" s="464"/>
      <c r="B11" s="471"/>
      <c r="C11" s="465"/>
      <c r="D11" s="473"/>
      <c r="E11" s="473"/>
      <c r="F11" s="466"/>
      <c r="G11" s="466"/>
      <c r="H11" s="466"/>
      <c r="I11" s="466"/>
      <c r="J11" s="466"/>
      <c r="K11" s="466"/>
      <c r="L11" s="467"/>
      <c r="M11" s="467"/>
      <c r="N11" s="467"/>
      <c r="O11" s="468"/>
      <c r="P11" s="434" t="s">
        <v>130</v>
      </c>
      <c r="Q11" s="435" t="str">
        <f>IF(IMP_ST_DATE="","-",'Master Data-C19RM'!$N$2)</f>
        <v>Jan21 - Mar21</v>
      </c>
      <c r="R11" s="435" t="str">
        <f>IF(IMP_ST_DATE="","-",'Master Data-C19RM'!$N$3)</f>
        <v>Apr21 - Jun21</v>
      </c>
      <c r="S11" s="435" t="str">
        <f>IF(IMP_ST_DATE="","-",'Master Data-C19RM'!$N$4)</f>
        <v>Jul21 - Sep21</v>
      </c>
      <c r="T11" s="436" t="str">
        <f>IF(IMP_ST_DATE="","-",'Master Data-C19RM'!$N$5)</f>
        <v>Oct21 - Dec21</v>
      </c>
      <c r="U11" s="446"/>
      <c r="V11" s="447"/>
      <c r="W11" s="434" t="s">
        <v>130</v>
      </c>
      <c r="X11" s="435" t="str">
        <f>IF(IMP_ST_DATE="","-",'Master Data-C19RM'!$N$6)</f>
        <v>Jan22 - Mar22</v>
      </c>
      <c r="Y11" s="435" t="str">
        <f>IF(IMP_ST_DATE="","-",'Master Data-C19RM'!$N$7)</f>
        <v>Apr22 - Jun22</v>
      </c>
      <c r="Z11" s="435" t="str">
        <f>IF(IMP_ST_DATE="","-",'Master Data-C19RM'!$N$8)</f>
        <v>Jul22 - Sep22</v>
      </c>
      <c r="AA11" s="436" t="str">
        <f>IF(IMP_ST_DATE="","-",'Master Data-C19RM'!$N$9)</f>
        <v>Oct22 - Dec22</v>
      </c>
      <c r="AB11" s="446"/>
      <c r="AC11" s="447"/>
      <c r="AD11" s="434" t="s">
        <v>130</v>
      </c>
      <c r="AE11" s="435" t="str">
        <f>IF(IMP_ST_DATE="","-",'Master Data-C19RM'!$N$10)</f>
        <v>Jan23 - Mar23</v>
      </c>
      <c r="AF11" s="435" t="str">
        <f>IF(IMP_ST_DATE="","-",'Master Data-C19RM'!$N$11)</f>
        <v>Apr23 - Jun23</v>
      </c>
      <c r="AG11" s="435" t="str">
        <f>IF(IMP_ST_DATE="","-",'Master Data-C19RM'!$N$12)</f>
        <v>Jul23 - Sep23</v>
      </c>
      <c r="AH11" s="436" t="str">
        <f>IF(IMP_ST_DATE="","-",'Master Data-C19RM'!$N$13)</f>
        <v>Oct23 - Dec23</v>
      </c>
      <c r="AI11" s="446"/>
      <c r="AJ11" s="447"/>
      <c r="AK11" s="434" t="s">
        <v>130</v>
      </c>
      <c r="AL11" s="435" t="str">
        <f>IF(IMP_ST_DATE="","-",'Master Data-C19RM'!$N$14)</f>
        <v>Jan24 - Mar24</v>
      </c>
      <c r="AM11" s="435" t="str">
        <f>IF(IMP_ST_DATE="","-",'Master Data-C19RM'!$N$15)</f>
        <v>Apr24 - Jun24</v>
      </c>
      <c r="AN11" s="435" t="str">
        <f>IF(IMP_ST_DATE="","-",'Master Data-C19RM'!$N$16)</f>
        <v>Jul24 - Sep24</v>
      </c>
      <c r="AO11" s="436" t="str">
        <f>IF(IMP_ST_DATE="","-",'Master Data-C19RM'!$N$17)</f>
        <v>Oct24 - Dec24</v>
      </c>
      <c r="AP11" s="446"/>
      <c r="AQ11" s="447"/>
      <c r="AR11" s="433" t="s">
        <v>130</v>
      </c>
      <c r="AS11" s="823" t="str">
        <f>IF(IMP_ST_DATE="","-",'Master Data-C19RM'!$N18)</f>
        <v>Jan25 - Mar25</v>
      </c>
      <c r="AT11" s="823" t="str">
        <f>IF(IMP_ST_DATE="","-",'Master Data-C19RM'!$N$19)</f>
        <v>Apr25 - Jun25</v>
      </c>
      <c r="AU11" s="823" t="str">
        <f>IF(IMP_ST_DATE="","-",'Master Data-C19RM'!$N$20)</f>
        <v>Jul25 - Sep25</v>
      </c>
      <c r="AV11" s="817" t="str">
        <f>IF(IMP_ST_DATE="","-",'Master Data-C19RM'!$N$21)</f>
        <v>Oct25 - Dec25</v>
      </c>
      <c r="AW11" s="447"/>
      <c r="AX11" s="447"/>
      <c r="AY11" s="433" t="s">
        <v>130</v>
      </c>
      <c r="AZ11" s="816" t="str">
        <f>IF(IMP_ST_DATE="","-",'Master Data-C19RM'!$N22)</f>
        <v>-</v>
      </c>
      <c r="BA11" s="816" t="str">
        <f>IF(IMP_ST_DATE="","-",'Master Data-C19RM'!$N23)</f>
        <v>-</v>
      </c>
      <c r="BB11" s="816" t="str">
        <f>IF(IMP_ST_DATE="","-",'Master Data-C19RM'!$N24)</f>
        <v>-</v>
      </c>
      <c r="BC11" s="817" t="str">
        <f>IF(IMP_ST_DATE="","-",'Master Data-C19RM'!$N25)</f>
        <v>-</v>
      </c>
      <c r="BD11" s="447"/>
      <c r="BE11" s="447"/>
      <c r="BF11" s="455"/>
      <c r="BG11" s="455"/>
      <c r="BK11" s="469"/>
      <c r="BP11" s="470"/>
      <c r="BQ11" s="470"/>
      <c r="BR11" s="470"/>
      <c r="BS11" s="470"/>
      <c r="BT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row>
    <row r="12" spans="1:94" s="538" customFormat="1" ht="15.5" customHeight="1" thickBot="1" x14ac:dyDescent="0.35">
      <c r="A12" s="1174" t="str">
        <f>VLOOKUP("Item Category",Language!$D$308:$G$592,$L$1,FALSE)</f>
        <v>Item Category</v>
      </c>
      <c r="B12" s="1174"/>
      <c r="C12" s="1174"/>
      <c r="D12" s="1174"/>
      <c r="E12" s="1174" t="str">
        <f>VLOOKUP("Product Details",Language!$D$308:$G$592,$L$1,FALSE)</f>
        <v>Product Details</v>
      </c>
      <c r="F12" s="1174"/>
      <c r="G12" s="1174"/>
      <c r="H12" s="1174"/>
      <c r="I12" s="1170" t="str">
        <f>VLOOKUP("Additional Details",Language!$D$308:$G$592,$L$1,FALSE)</f>
        <v>Additional Details</v>
      </c>
      <c r="J12" s="1170"/>
      <c r="K12" s="1170"/>
      <c r="L12" s="1156" t="str">
        <f>VLOOKUP("Unit of measure",Language!$D$72:$G$268,$L$1,FALSE)</f>
        <v>Unit of measure</v>
      </c>
      <c r="M12" s="1157" t="str">
        <f>VLOOKUP("Procurement Channel",Language!$D$72:$G$268,SETUP!$A$2,FALSE)</f>
        <v>Procurement Channel</v>
      </c>
      <c r="N12" s="1157" t="str">
        <f>VLOOKUP("Reference Price (In Payment Currency)",Language!$D$72:$G$268,SETUP!$A$2,FALSE)</f>
        <v>Reference Price (In Payment Currency)</v>
      </c>
      <c r="O12" s="1158" t="str">
        <f>VLOOKUP("Payment Currency",Language!$D$72:$G$268,$L$1,FALSE)</f>
        <v>Payment Currency</v>
      </c>
      <c r="P12" s="1167" t="str">
        <f>IF(ISBLANK(IMP_ST_DATE),SETUP!$A$3,'Master Data-C19RM'!$W$2)</f>
        <v>2021</v>
      </c>
      <c r="Q12" s="1168"/>
      <c r="R12" s="1168"/>
      <c r="S12" s="1168"/>
      <c r="T12" s="1168"/>
      <c r="U12" s="1168"/>
      <c r="V12" s="1169"/>
      <c r="W12" s="1167" t="str">
        <f>IF(ISBLANK(IMP_ST_DATE),SETUP!$A$3,'Master Data-C19RM'!$W$6)</f>
        <v>2022</v>
      </c>
      <c r="X12" s="1168"/>
      <c r="Y12" s="1168"/>
      <c r="Z12" s="1168"/>
      <c r="AA12" s="1168"/>
      <c r="AB12" s="1168"/>
      <c r="AC12" s="1169"/>
      <c r="AD12" s="1167" t="str">
        <f>IF(ISBLANK(IMP_ST_DATE),SETUP!$A$3,'Master Data-C19RM'!$W$10)</f>
        <v>2023</v>
      </c>
      <c r="AE12" s="1168"/>
      <c r="AF12" s="1168"/>
      <c r="AG12" s="1168"/>
      <c r="AH12" s="1168"/>
      <c r="AI12" s="1168"/>
      <c r="AJ12" s="1169"/>
      <c r="AK12" s="1167" t="str">
        <f>IF(ISBLANK(IMP_ST_DATE),SETUP!$A$3,'Master Data-C19RM'!$W$14)</f>
        <v>2024</v>
      </c>
      <c r="AL12" s="1168"/>
      <c r="AM12" s="1168"/>
      <c r="AN12" s="1168"/>
      <c r="AO12" s="1168"/>
      <c r="AP12" s="1168"/>
      <c r="AQ12" s="1169"/>
      <c r="AR12" s="1167" t="str">
        <f>IF(ISBLANK(IMP_ST_DATE),SETUP!$A$3,'Master Data-C19RM'!$W$18)</f>
        <v>2025</v>
      </c>
      <c r="AS12" s="1168"/>
      <c r="AT12" s="1168"/>
      <c r="AU12" s="1168"/>
      <c r="AV12" s="1168"/>
      <c r="AW12" s="1168"/>
      <c r="AX12" s="1169"/>
      <c r="AY12" s="1167" t="str">
        <f>IF(ISBLANK(IMP_ST_DATE),SETUP!$A$3,'Master Data-C19RM'!$W$22)</f>
        <v/>
      </c>
      <c r="AZ12" s="1168"/>
      <c r="BA12" s="1168"/>
      <c r="BB12" s="1168"/>
      <c r="BC12" s="1168"/>
      <c r="BD12" s="1168"/>
      <c r="BE12" s="1169"/>
      <c r="BF12" s="1190" t="str">
        <f>VLOOKUP("Total grant period",Language!$D$1067:$G$1151,$L$1,FALSE)</f>
        <v>Total grant period</v>
      </c>
      <c r="BG12" s="1211"/>
      <c r="BH12" s="1170" t="str">
        <f>VLOOKUP("Cost Input",Language!$D$308:$G$592,$L$1,FALSE)</f>
        <v>Cost Input</v>
      </c>
      <c r="BI12" s="1184" t="str">
        <f>VLOOKUP("Comments",Language!$D$308:$G$592,$L$1,FALSE)</f>
        <v>Comments</v>
      </c>
      <c r="BJ12" s="1186" t="str">
        <f>VLOOKUP("Delivery Lead Time",Language!$D$308:$G$592,$L$1,FALSE)</f>
        <v>Delivery Lead Time</v>
      </c>
      <c r="BK12" s="1203" t="e">
        <f>VLOOKUP("Cash Flow",Language!$D$308:$G$592,$L$1,FALSE)</f>
        <v>#N/A</v>
      </c>
      <c r="BL12" s="1204" t="str">
        <f>BH12</f>
        <v>Cost Input</v>
      </c>
      <c r="BO12" s="470" t="str">
        <f>P12</f>
        <v>2021</v>
      </c>
      <c r="BP12" s="470" t="str">
        <f>W12</f>
        <v>2022</v>
      </c>
      <c r="BQ12" s="470" t="str">
        <f>AD12</f>
        <v>2023</v>
      </c>
      <c r="BR12" s="470" t="str">
        <f>AK12</f>
        <v>2024</v>
      </c>
      <c r="BS12" s="470" t="str">
        <f>AR12</f>
        <v>2025</v>
      </c>
      <c r="BT12" s="470" t="str">
        <f>AY12</f>
        <v/>
      </c>
      <c r="BU12" s="1208" t="s">
        <v>2172</v>
      </c>
      <c r="BV12" s="470"/>
      <c r="BW12" s="470"/>
      <c r="BX12" s="470"/>
      <c r="BY12" s="470"/>
      <c r="BZ12" s="470"/>
      <c r="CA12" s="470"/>
      <c r="CB12" s="470"/>
      <c r="CC12" s="470"/>
      <c r="CD12" s="470"/>
      <c r="CE12" s="470"/>
      <c r="CF12" s="470"/>
      <c r="CG12" s="470"/>
      <c r="CH12" s="470"/>
      <c r="CI12" s="470"/>
      <c r="CJ12" s="470"/>
      <c r="CK12" s="470"/>
      <c r="CL12" s="470"/>
      <c r="CM12" s="470"/>
      <c r="CN12" s="470"/>
      <c r="CO12" s="470"/>
      <c r="CP12" s="470"/>
    </row>
    <row r="13" spans="1:94" s="539" customFormat="1" ht="43" customHeight="1" thickBot="1" x14ac:dyDescent="0.35">
      <c r="A13" s="1175"/>
      <c r="B13" s="1175"/>
      <c r="C13" s="1175"/>
      <c r="D13" s="1175"/>
      <c r="E13" s="1175"/>
      <c r="F13" s="1175"/>
      <c r="G13" s="1175"/>
      <c r="H13" s="1175"/>
      <c r="I13" s="1171"/>
      <c r="J13" s="1171"/>
      <c r="K13" s="1171"/>
      <c r="L13" s="1159"/>
      <c r="M13" s="1160"/>
      <c r="N13" s="1160"/>
      <c r="O13" s="1161"/>
      <c r="P13" s="449" t="str">
        <f>VLOOKUP("Y1 Unit cost",Language!$D$72:$G$268,$L$1,FALSE)</f>
        <v>Y1 Unit cost</v>
      </c>
      <c r="Q13" s="450" t="str">
        <f>VLOOKUP("Y1 Q1 quantity",Language!$D$72:$G$268,$L$1,FALSE)</f>
        <v>Y1 Q1 quantity</v>
      </c>
      <c r="R13" s="450" t="str">
        <f>VLOOKUP("Y1 Q2 quantity",Language!$D$72:$G$268,$L$1,FALSE)</f>
        <v>Y1 Q2 quantity</v>
      </c>
      <c r="S13" s="450" t="str">
        <f>VLOOKUP("Y1 Q3 quantity",Language!$D$72:$G$268,$L$1,FALSE)</f>
        <v>Y1 Q3 quantity</v>
      </c>
      <c r="T13" s="450" t="str">
        <f>VLOOKUP("Y1 Q4 quantity",Language!$D$72:$G$268,$L$1,FALSE)</f>
        <v>Y1 Q4 quantity</v>
      </c>
      <c r="U13" s="450" t="str">
        <f>VLOOKUP("Y1 Total quantity",Language!$D$72:$G$268,$L$1,FALSE)</f>
        <v>Y1 Total quantity</v>
      </c>
      <c r="V13" s="451" t="str">
        <f>VLOOKUP("Y1 Total cost (In Grant Currency -",Language!$D$72:$G$268,$L$1,FALSE)&amp;SETUP!E7&amp;")"</f>
        <v>Y1 Total cost (In Grant Currency -)</v>
      </c>
      <c r="W13" s="450" t="str">
        <f>VLOOKUP("Y2 Unit cost",Language!$D$72:$G$268,$L$1,FALSE)</f>
        <v>Y2 Unit cost</v>
      </c>
      <c r="X13" s="450" t="str">
        <f>VLOOKUP("Y2 Q1 quantity",Language!$D$72:$G$268,$L$1,FALSE)</f>
        <v>Y2 Q1 quantity</v>
      </c>
      <c r="Y13" s="450" t="str">
        <f>VLOOKUP("Y2 Q2 quantity",Language!$D$72:$G$268,$L$1,FALSE)</f>
        <v>Y2 Q2 quantity</v>
      </c>
      <c r="Z13" s="450" t="str">
        <f>VLOOKUP("Y2 Q3 quantity",Language!$D$72:$G$268,$L$1,FALSE)</f>
        <v>Y2 Q3 quantity</v>
      </c>
      <c r="AA13" s="450" t="str">
        <f>VLOOKUP("Y2 Q4 quantity",Language!$D$72:$G$268,$L$1,FALSE)</f>
        <v>Y2 Q4 quantity</v>
      </c>
      <c r="AB13" s="450" t="str">
        <f>VLOOKUP("Y2 Total quantity",Language!$D$72:$G$268,$L$1,FALSE)</f>
        <v>Y2 Total quantity</v>
      </c>
      <c r="AC13" s="451" t="str">
        <f>VLOOKUP("Y2 Total cost (In Grant Currency -",Language!$D$72:$G$268,$L$1,FALSE)&amp;SETUP!$E$7&amp;")"</f>
        <v>Y2 Total cost (In Grant Currency -)</v>
      </c>
      <c r="AD13" s="449" t="str">
        <f>VLOOKUP("Y3 Unit cost",Language!$D$72:$G$268,$L$1,FALSE)</f>
        <v>Y3 Unit cost</v>
      </c>
      <c r="AE13" s="450" t="str">
        <f>VLOOKUP("Y3 Q1 quantity",Language!$D$72:$G$268,$L$1,FALSE)</f>
        <v>Y3 Q1 quantity</v>
      </c>
      <c r="AF13" s="450" t="str">
        <f>VLOOKUP("Y3 Q2 quantity",Language!$D$72:$G$268,$L$1,FALSE)</f>
        <v>Y3 Q2 quantity</v>
      </c>
      <c r="AG13" s="450" t="str">
        <f>VLOOKUP("Y3 Q3 quantity",Language!$D$72:$G$268,$L$1,FALSE)</f>
        <v>Y3 Q3 quantity</v>
      </c>
      <c r="AH13" s="450" t="str">
        <f>VLOOKUP("Y3 Q4 quantity",Language!$D$72:$G$268,$L$1,FALSE)</f>
        <v>Y3 Q4 quantity</v>
      </c>
      <c r="AI13" s="450" t="str">
        <f>VLOOKUP("Y3 Total quantity",Language!$D$72:$G$268,$L$1,FALSE)</f>
        <v>Y3 Total quantity</v>
      </c>
      <c r="AJ13" s="451" t="str">
        <f>VLOOKUP("Y3 Total cost (In Grant Currency -",Language!$D$72:$G$268,$L$1,FALSE)&amp;SETUP!$E$7&amp;")"</f>
        <v>Y3 Total cost (In Grant Currency -)</v>
      </c>
      <c r="AK13" s="449" t="str">
        <f>VLOOKUP("Y4 Unit cost",Language!$D$72:$G$268,$L$1,FALSE)</f>
        <v>Y4 Unit cost</v>
      </c>
      <c r="AL13" s="450" t="str">
        <f>VLOOKUP("Y4 Q1 quantity",Language!$D$72:$G$268,$L$1,FALSE)</f>
        <v>Y4 Q1 quantity</v>
      </c>
      <c r="AM13" s="450" t="str">
        <f>VLOOKUP("Y4 Q2 quantity",Language!$D$72:$G$268,$L$1,FALSE)</f>
        <v>Y4 Q2 quantity</v>
      </c>
      <c r="AN13" s="450" t="str">
        <f>VLOOKUP("Y4 Q3 quantity",Language!$D$72:$G$268,$L$1,FALSE)</f>
        <v>Y4 Q3 quantity</v>
      </c>
      <c r="AO13" s="450" t="str">
        <f>VLOOKUP("Y4 Q4 quantity",Language!$D$72:$G$268,$L$1,FALSE)</f>
        <v>Y4 Q4 quantity</v>
      </c>
      <c r="AP13" s="450" t="str">
        <f>VLOOKUP("Y4 Total quantity",Language!$D$72:$G$268,$L$1,FALSE)</f>
        <v>Y4 Total quantity</v>
      </c>
      <c r="AQ13" s="451" t="str">
        <f>VLOOKUP("Y4 Total cost (In Grant Currency -",Language!$D$72:$G$268,$L$1,FALSE)&amp;SETUP!$E$7&amp;")"</f>
        <v>Y4 Total cost (In Grant Currency -)</v>
      </c>
      <c r="AR13" s="449" t="str">
        <f>VLOOKUP("Y5 Unit cost",Language!$D$72:$G$268,$L$1,FALSE)</f>
        <v>Y5 Unit cost</v>
      </c>
      <c r="AS13" s="450" t="str">
        <f>VLOOKUP("Y5 Q1 quantity",Language!$D$72:$G$268,$L$1,FALSE)</f>
        <v>Y5 Q1 quantity</v>
      </c>
      <c r="AT13" s="450" t="str">
        <f>VLOOKUP("Y5 Q2 quantity",Language!$D$72:$G$268,$L$1,FALSE)</f>
        <v>Y5 Q2 quantity</v>
      </c>
      <c r="AU13" s="450" t="str">
        <f>VLOOKUP("Y5 Q3 quantity",Language!$D$72:$G$268,$L$1,FALSE)</f>
        <v>Y5 Q3 quantity</v>
      </c>
      <c r="AV13" s="450" t="str">
        <f>VLOOKUP("Y5 Q4 quantity",Language!$D$72:$G$268,$L$1,FALSE)</f>
        <v>Y5 Q4 quantity</v>
      </c>
      <c r="AW13" s="450" t="str">
        <f>VLOOKUP("Y5 Total quantity",Language!$D$72:$G$268,$L$1,FALSE)</f>
        <v>Y5 Total quantity</v>
      </c>
      <c r="AX13" s="451" t="str">
        <f>VLOOKUP("Y5 Total cost (In Grant Currency -",Language!$D$72:$G$268,$L$1,FALSE)&amp;SETUP!$E$7&amp;")"</f>
        <v>Y5 Total cost (In Grant Currency -)</v>
      </c>
      <c r="AY13" s="450" t="str">
        <f>VLOOKUP("Y6 Unit cost",Language!$D$72:$G$268,$L$1,FALSE)</f>
        <v>Y6 Unit cost</v>
      </c>
      <c r="AZ13" s="450" t="str">
        <f>VLOOKUP("Y6 Q1 quantity",Language!$D$72:$G$268,$L$1,FALSE)</f>
        <v>Y6 Q1 quantity</v>
      </c>
      <c r="BA13" s="450" t="str">
        <f>VLOOKUP("Y6 Q2 quantity",Language!$D$72:$G$268,$L$1,FALSE)</f>
        <v>Y6 Q2 quantity</v>
      </c>
      <c r="BB13" s="450" t="str">
        <f>VLOOKUP("Y6 Q3 quantity",Language!$D$72:$G$268,$L$1,FALSE)</f>
        <v>Y6 Q3 quantity</v>
      </c>
      <c r="BC13" s="450" t="str">
        <f>VLOOKUP("Y6 Q4 quantity",Language!$D$72:$G$268,$L$1,FALSE)</f>
        <v>Y6 Q4 quantity</v>
      </c>
      <c r="BD13" s="450" t="str">
        <f>VLOOKUP("Y6 Total quantity",Language!$D$72:$G$268,$L$1,FALSE)</f>
        <v>Y6 Total quantity</v>
      </c>
      <c r="BE13" s="451" t="str">
        <f>VLOOKUP("Y6 Total cost (In Grant Currency -",Language!$D$72:$G$268,$L$1,FALSE)&amp;SETUP!$E$7&amp;")"</f>
        <v>Y6 Total cost (In Grant Currency -)</v>
      </c>
      <c r="BF13" s="450" t="str">
        <f>VLOOKUP("Total quantity",Language!$D$72:$G$268,$L$1,FALSE)</f>
        <v>Total quantity</v>
      </c>
      <c r="BG13" s="450" t="str">
        <f>VLOOKUP("Total cost (In Grant Currency -",Language!$D$72:$G$268,$L$1,FALSE)&amp;SETUP!$E$7&amp;")"</f>
        <v>Total cost (In Grant Currency -)</v>
      </c>
      <c r="BH13" s="1171"/>
      <c r="BI13" s="1185"/>
      <c r="BJ13" s="1187"/>
      <c r="BK13" s="1203"/>
      <c r="BL13" s="1204" t="str">
        <f>BH12</f>
        <v>Cost Input</v>
      </c>
      <c r="BO13" s="1210" t="s">
        <v>1984</v>
      </c>
      <c r="BP13" s="1210"/>
      <c r="BQ13" s="1210"/>
      <c r="BR13" s="1210"/>
      <c r="BS13" s="832"/>
      <c r="BT13" s="832"/>
      <c r="BU13" s="1209"/>
      <c r="BV13" s="470"/>
      <c r="BW13" s="470"/>
      <c r="BX13" s="470"/>
      <c r="BY13" s="470"/>
      <c r="BZ13" s="470"/>
      <c r="CA13" s="470"/>
      <c r="CB13" s="470"/>
      <c r="CC13" s="470"/>
      <c r="CD13" s="470"/>
      <c r="CE13" s="470"/>
      <c r="CF13" s="470"/>
      <c r="CG13" s="470"/>
      <c r="CH13" s="470"/>
      <c r="CI13" s="470"/>
      <c r="CJ13" s="470"/>
      <c r="CK13" s="470"/>
      <c r="CL13" s="470"/>
      <c r="CM13" s="470"/>
      <c r="CN13" s="470"/>
      <c r="CO13" s="470"/>
      <c r="CP13" s="470"/>
    </row>
    <row r="14" spans="1:94" x14ac:dyDescent="0.35">
      <c r="A14" s="1178"/>
      <c r="B14" s="1178"/>
      <c r="C14" s="1178"/>
      <c r="D14" s="1178"/>
      <c r="E14" s="1179"/>
      <c r="F14" s="1179"/>
      <c r="G14" s="1179"/>
      <c r="H14" s="1179"/>
      <c r="I14" s="1179"/>
      <c r="J14" s="1179"/>
      <c r="K14" s="1179"/>
      <c r="L14" s="487" t="str" cm="1">
        <f t="array" ref="L14">IF(A14&lt;&gt;"",IFERROR(INDEX(PMtbl[[WKst]:[Unit of measure*]],MATCH($A$8&amp;$A14&amp;$E14&amp;$I14,INDEX(PMtbl[Sec]&amp;PMtbl[Category]&amp;PMtbl[Each]&amp;PMtbl[Packaging],0,),0),14),""),"")</f>
        <v/>
      </c>
      <c r="M14" s="478" t="str">
        <f>IF(L14="","",INDEX(SETUP!$E$20:$E$122,(MATCH(INDEX(PMsheet!$D:$E,MATCH(A14,PMsheet!E:E,0),1),SETUP!$D$20:$D$122,0))))</f>
        <v/>
      </c>
      <c r="N14" s="488">
        <f>IF($O14="USD",_xlfn.IFNA(VLOOKUP(A14&amp;E14&amp;I14,PMsheet!J:K,2,0),0),(_xlfn.IFNA(VLOOKUP(A14&amp;E14&amp;I14,PMsheet!J:K,2,0),0)*'Master Data-C19RM'!$C$2))</f>
        <v>0</v>
      </c>
      <c r="O14" s="489" t="str">
        <f>IF(L14="", "",SETUP!$E$7)</f>
        <v/>
      </c>
      <c r="P14" s="442">
        <f>IF($O14="USD",_xlfn.IFNA(VLOOKUP($A14&amp;$E14&amp;$I14,PMsheet!$J:$K,2,0),0),(_xlfn.IFNA(VLOOKUP($A14&amp;$E14&amp;$I14,PMsheet!$J:$K,2,0),0)*'Master Data-C19RM'!$C$2))</f>
        <v>0</v>
      </c>
      <c r="Q14" s="443"/>
      <c r="R14" s="443"/>
      <c r="S14" s="443"/>
      <c r="T14" s="443"/>
      <c r="U14" s="497">
        <f>SUM($Q14:$T14)</f>
        <v>0</v>
      </c>
      <c r="V14" s="498">
        <f>IF(SETUP!$E$7="USD",(U14*(IF(O14="USD",P14,(P14/'Master Data-C19RM'!$C$2)))),(U14*(IF(O14="EUR",P14,(P14*'Master Data-C19RM'!$C$2)))))</f>
        <v>0</v>
      </c>
      <c r="W14" s="445">
        <f>IF($O14="USD",_xlfn.IFNA(VLOOKUP($A14&amp;$E14&amp;$I14,PMsheet!$J:$K,2,0),0),(_xlfn.IFNA(VLOOKUP($A14&amp;$E14&amp;$I14,PMsheet!$J:$K,2,0),0)*'Master Data-C19RM'!$D$2))</f>
        <v>0</v>
      </c>
      <c r="X14" s="443"/>
      <c r="Y14" s="443"/>
      <c r="Z14" s="443"/>
      <c r="AA14" s="443"/>
      <c r="AB14" s="497">
        <f>SUM($X14:$AA14)</f>
        <v>0</v>
      </c>
      <c r="AC14" s="498">
        <f>IF(SETUP!$E$7="USD",(AB14*(IF(O14="USD",W14,(W14/'Master Data-C19RM'!$D$2)))),(AB14*(IF(O14="EUR",W14,(W14*'Master Data-C19RM'!$D$2)))))</f>
        <v>0</v>
      </c>
      <c r="AD14" s="445">
        <f>IF($O14="USD",_xlfn.IFNA(VLOOKUP($A14&amp;$E14&amp;$I14,PMsheet!$J:$K,2,0),0),(_xlfn.IFNA(VLOOKUP($A14&amp;$E14&amp;$I14,PMsheet!$J:$K,2,0),0)*'Master Data-C19RM'!$E$2))</f>
        <v>0</v>
      </c>
      <c r="AE14" s="443"/>
      <c r="AF14" s="443"/>
      <c r="AG14" s="443"/>
      <c r="AH14" s="443"/>
      <c r="AI14" s="529">
        <f>SUM($AE14:$AH14)</f>
        <v>0</v>
      </c>
      <c r="AJ14" s="530">
        <f>IF(SETUP!$E$7="USD",(AI14*(IF(O14="USD",AD14,(AD14/'Master Data-C19RM'!$E$2)))),(AI14*(IF(O14="EUR",AD14,(AD14*'Master Data-C19RM'!$E$2)))))</f>
        <v>0</v>
      </c>
      <c r="AK14" s="445">
        <f>IF($O14="USD",_xlfn.IFNA(VLOOKUP($A14&amp;$E14&amp;$I14,PMsheet!$J:$K,2,0),0),(_xlfn.IFNA(VLOOKUP($A14&amp;$E14&amp;$I14,PMsheet!$J:$K,2,0),0)*'Master Data-C19RM'!$F$2))</f>
        <v>0</v>
      </c>
      <c r="AL14" s="443"/>
      <c r="AM14" s="443"/>
      <c r="AN14" s="443"/>
      <c r="AO14" s="443"/>
      <c r="AP14" s="497">
        <f>SUM($AL14:$AO14)</f>
        <v>0</v>
      </c>
      <c r="AQ14" s="498">
        <f>IF(SETUP!$E$7="USD",(AP14*(IF(O14="USD",AK14,(AK14/'Master Data-C19RM'!$F$2)))),(AP14*(IF(O14="EUR",AK14,(AK14*'Master Data-C19RM'!$F$2)))))</f>
        <v>0</v>
      </c>
      <c r="AR14" s="442">
        <f>IF($O14="USD",_xlfn.IFNA(VLOOKUP($A14&amp;$E14&amp;$I14,PMsheet!$J:$K,2,0),0),(_xlfn.IFNA(VLOOKUP($A14&amp;$E14&amp;$I14,PMsheet!$J:$K,2,0),0)*'Master Data-C19RM'!$G$2))</f>
        <v>0</v>
      </c>
      <c r="AS14" s="443"/>
      <c r="AT14" s="443"/>
      <c r="AU14" s="443"/>
      <c r="AV14" s="443"/>
      <c r="AW14" s="497">
        <f>SUM($AS14:$AV14)</f>
        <v>0</v>
      </c>
      <c r="AX14" s="498">
        <f>IF(SETUP!$E$7="USD",(AW14*(IF(O14="USD",AR14,(AR14/'Master Data-C19RM'!$G$2)))),(AW14*(IF(O14="EUR",AR14,(AR14*'Master Data-C19RM'!$G$2)))))</f>
        <v>0</v>
      </c>
      <c r="AY14" s="843"/>
      <c r="AZ14" s="843"/>
      <c r="BA14" s="843"/>
      <c r="BB14" s="843"/>
      <c r="BC14" s="843"/>
      <c r="BD14" s="843"/>
      <c r="BE14" s="844"/>
      <c r="BF14" s="482">
        <f>'C19RM 2021-Lab &amp; Other HPS'!$U14+'C19RM 2021-Lab &amp; Other HPS'!$AB14+AI14+'C19RM 2021-Lab &amp; Other HPS'!$AP14+'C19RM 2021-Lab &amp; Other HPS'!$AW14+BD14</f>
        <v>0</v>
      </c>
      <c r="BG14" s="482">
        <f>'C19RM 2021-Lab &amp; Other HPS'!$V14+'C19RM 2021-Lab &amp; Other HPS'!$AC14+'C19RM 2021-Lab &amp; Other HPS'!$AQ14+'C19RM 2021-Lab &amp; Other HPS'!$AJ14+AX14+BE14</f>
        <v>0</v>
      </c>
      <c r="BH14" s="499" t="str" cm="1">
        <f t="array" ref="BH14">IF(A14&lt;&gt;"",IFERROR(INDEX(PMtbl[[WKst]:[Unit of measure*]],MATCH($A$8&amp;$A14&amp;$E14&amp;$I14,INDEX(PMtbl[Sec]&amp;PMtbl[Category]&amp;PMtbl[Each]&amp;PMtbl[Packaging],0,),0),11),""),"")</f>
        <v/>
      </c>
      <c r="BI14" s="818"/>
      <c r="BJ14" s="501" t="str">
        <f>IFERROR(INDEX(SETUP!$C$19:$G$121,MATCH((INDEX(PMtbl[[WKst]:[Unit of measure*]],MATCH($A14&amp;$E14&amp;$I14,INDEX(PMtbl[Category]&amp;PMtbl[Each]&amp;PMtbl[Packaging],0,),0),3)),SETUP!$D$19:$D$121,0),5),"")</f>
        <v/>
      </c>
      <c r="BK14" s="437" t="str">
        <f>IFERROR(IF((INDEX(SETUP!$C$19:$G$121,MATCH((INDEX(PMtbl[[WKst]:[Unit of measure*]],MATCH($A14&amp;$E14&amp;$I14,INDEX(PMtbl[Category]&amp;PMtbl[Each]&amp;PMtbl[Packaging],0,),0),3)),SETUP!$D$19:$D$121,0),4))="Upfront",0,INDEX(SETUP!$C$19:$G$121,MATCH((INDEX(PMtbl[[WKst]:[Unit of measure*]],MATCH($A14&amp;$E14&amp;$I14,INDEX(PMtbl[Category]&amp;PMtbl[Each]&amp;PMtbl[Packaging],0,),0),3)),SETUP!$D$19:$D$121,0),5)),"")</f>
        <v/>
      </c>
      <c r="BL14" s="159" t="str" cm="1">
        <f t="array" ref="BL14">IF(A14&lt;&gt;"",IFERROR(INDEX(PMtbl[[WKst]:[Unit of measure*]],MATCH($A$8&amp;$A14&amp;$E14&amp;$I14,INDEX(PMtbl[Sec]&amp;PMtbl[Category]&amp;PMtbl[Each]&amp;PMtbl[Packaging],0,),0),11),""),"")</f>
        <v/>
      </c>
      <c r="BO14" s="12">
        <f>IF(N14="",0,IF(SETUP!$E$7="USD",((IF(O14="USD",P14,(P14/'Master Data-C19RM'!$C$2)))),((IF(O14="EUR",P14,(P14*'Master Data-C19RM'!$C$2))))))</f>
        <v>0</v>
      </c>
      <c r="BP14" s="12">
        <f>IF(N14="",0,IF(SETUP!$E$7="USD",((IF(O14="USD",W14,(W14/'Master Data-C19RM'!$D$2)))),((IF(O14="EUR",W14,(W14*'Master Data-C19RM'!$D$2))))))</f>
        <v>0</v>
      </c>
      <c r="BQ14">
        <f>IF(N14="",0,IF(SETUP!$E$7="USD",((IF(O14="USD",AD14,(AD14/'Master Data-C19RM'!$E$2)))),((IF(O14="EUR",AD14,(AD14*'Master Data-C19RM'!$E$2))))))</f>
        <v>0</v>
      </c>
      <c r="BR14">
        <f>IF(N14="",0,IF(SETUP!$E$7="USD",((IF(O14="USD",AK14,(AK14/'Master Data-C19RM'!$F$2)))),((IF(O14="EUR",AK14,(AK14*'Master Data-C19RM'!$F$2))))))</f>
        <v>0</v>
      </c>
      <c r="BS14">
        <f>IF(N14="",0,IF(SETUP!$E$7="USD",((IF(O14="USD",AR14,(AR14/'Master Data-C19RM'!$G$2)))),((IF(O14="EUR",AR14,(AR14*'Master Data-C19RM'!$G$2))))))</f>
        <v>0</v>
      </c>
      <c r="BT14">
        <f>IF(N14="",0,IF(SETUP!$E$7="USD",((IF(O14="USD",AY14,(AY14/'Master Data-C19RM'!$H$2)))),((IF(O14="EUR",AY14,(AY14*'Master Data-C19RM'!$H$2))))))</f>
        <v>0</v>
      </c>
      <c r="BU14" s="12">
        <f>IF(AND(L14="",(COUNTBLANK(A14:K14)=8)),1,0)</f>
        <v>0</v>
      </c>
      <c r="BV14" s="142">
        <f>BF14</f>
        <v>0</v>
      </c>
    </row>
    <row r="15" spans="1:94" ht="14.9" customHeight="1" x14ac:dyDescent="0.35">
      <c r="A15" s="1165"/>
      <c r="B15" s="1165"/>
      <c r="C15" s="1165"/>
      <c r="D15" s="1165"/>
      <c r="E15" s="1166"/>
      <c r="F15" s="1166"/>
      <c r="G15" s="1166"/>
      <c r="H15" s="1166"/>
      <c r="I15" s="1166"/>
      <c r="J15" s="1166"/>
      <c r="K15" s="1166"/>
      <c r="L15" s="490" t="str" cm="1">
        <f t="array" ref="L15">IF(A15&lt;&gt;"",IFERROR(INDEX(PMtbl[[WKst]:[Unit of measure*]],MATCH($A$8&amp;$A15&amp;$E15&amp;$I15,INDEX(PMtbl[Sec]&amp;PMtbl[Category]&amp;PMtbl[Each]&amp;PMtbl[Packaging],0,),0),14),""),"")</f>
        <v/>
      </c>
      <c r="M15" s="540" t="str">
        <f>IF(L15="","",INDEX(SETUP!$E$20:$E$122,(MATCH(INDEX(PMsheet!$D:$E,MATCH(A15,PMsheet!E:E,0),1),SETUP!$D$20:$D$122,0))))</f>
        <v/>
      </c>
      <c r="N15" s="496">
        <f>IF($O15="USD",_xlfn.IFNA(VLOOKUP(A15&amp;E15&amp;I15,PMsheet!J:K,2,0),0),(_xlfn.IFNA(VLOOKUP(A15&amp;E15&amp;I15,PMsheet!J:K,2,0),0)*'Master Data-C19RM'!$C$2))</f>
        <v>0</v>
      </c>
      <c r="O15" s="492" t="str">
        <f>IF(L15="", "",SETUP!$E$7)</f>
        <v/>
      </c>
      <c r="P15" s="444">
        <f>IF($O15="USD",_xlfn.IFNA(VLOOKUP($A15&amp;$E15&amp;$I15,PMsheet!$J:$K,2,0),0),(_xlfn.IFNA(VLOOKUP($A15&amp;$E15&amp;$I15,PMsheet!$J:$K,2,0),0)*'Master Data-C19RM'!$C$2))</f>
        <v>0</v>
      </c>
      <c r="Q15" s="441"/>
      <c r="R15" s="441"/>
      <c r="S15" s="441"/>
      <c r="T15" s="441"/>
      <c r="U15" s="481">
        <f>SUM($Q15:$T15)</f>
        <v>0</v>
      </c>
      <c r="V15" s="483">
        <f>IF(SETUP!$E$7="USD",(U15*(IF(O15="USD",P15,(P15/'Master Data-C19RM'!$C$2)))),(U15*(IF(O15="EUR",P15,(P15*'Master Data-C19RM'!$C$2)))))</f>
        <v>0</v>
      </c>
      <c r="W15" s="444">
        <f>IF($O15="USD",_xlfn.IFNA(VLOOKUP($A15&amp;$E15&amp;$I15,PMsheet!$J:$K,2,0),0),(_xlfn.IFNA(VLOOKUP($A15&amp;$E15&amp;$I15,PMsheet!$J:$K,2,0),0)*'Master Data-C19RM'!$D$2))</f>
        <v>0</v>
      </c>
      <c r="X15" s="441"/>
      <c r="Y15" s="441"/>
      <c r="Z15" s="441"/>
      <c r="AA15" s="441"/>
      <c r="AB15" s="481">
        <f t="shared" ref="AB15:AB113" si="1">SUM($X15:$AA15)</f>
        <v>0</v>
      </c>
      <c r="AC15" s="483">
        <f>IF(SETUP!$E$7="USD",(AB15*(IF(O15="USD",W15,(W15/'Master Data-C19RM'!$D$2)))),(AB15*(IF(O15="EUR",W15,(W15*'Master Data-C19RM'!$D$2)))))</f>
        <v>0</v>
      </c>
      <c r="AD15" s="444">
        <f>IF($O15="USD",_xlfn.IFNA(VLOOKUP($A15&amp;$E15&amp;$I15,PMsheet!$J:$K,2,0),0),(_xlfn.IFNA(VLOOKUP($A15&amp;$E15&amp;$I15,PMsheet!$J:$K,2,0),0)*'Master Data-C19RM'!$E$2))</f>
        <v>0</v>
      </c>
      <c r="AE15" s="441"/>
      <c r="AF15" s="441"/>
      <c r="AG15" s="441"/>
      <c r="AH15" s="441"/>
      <c r="AI15" s="512">
        <f t="shared" ref="AI15:AI26" si="2">SUM($AE15:$AH15)</f>
        <v>0</v>
      </c>
      <c r="AJ15" s="513">
        <f>IF(SETUP!$E$7="USD",(AI15*(IF(O15="USD",AD15,(AD15/'Master Data-C19RM'!$E$2)))),(AI15*(IF(O15="EUR",AD15,(AD15*'Master Data-C19RM'!$E$2)))))</f>
        <v>0</v>
      </c>
      <c r="AK15" s="444">
        <f>IF($O15="USD",_xlfn.IFNA(VLOOKUP($A15&amp;$E15&amp;$I15,PMsheet!$J:$K,2,0),0),(_xlfn.IFNA(VLOOKUP($A15&amp;$E15&amp;$I15,PMsheet!$J:$K,2,0),0)*'Master Data-C19RM'!$F$2))</f>
        <v>0</v>
      </c>
      <c r="AL15" s="441"/>
      <c r="AM15" s="441"/>
      <c r="AN15" s="441"/>
      <c r="AO15" s="441"/>
      <c r="AP15" s="481">
        <f t="shared" ref="AP15:AP113" si="3">SUM($AL15:$AO15)</f>
        <v>0</v>
      </c>
      <c r="AQ15" s="483">
        <f>IF(SETUP!$E$7="USD",(AP15*(IF(O15="USD",AK15,(AK15/'Master Data-C19RM'!$F$2)))),(AP15*(IF(O15="EUR",AK15,(AK15*'Master Data-C19RM'!$F$2)))))</f>
        <v>0</v>
      </c>
      <c r="AR15" s="444">
        <f>IF($O15="USD",_xlfn.IFNA(VLOOKUP($A15&amp;$E15&amp;$I15,PMsheet!$J:$K,2,0),0),(_xlfn.IFNA(VLOOKUP($A15&amp;$E15&amp;$I15,PMsheet!$J:$K,2,0),0)*'Master Data-C19RM'!$G$2))</f>
        <v>0</v>
      </c>
      <c r="AS15" s="441"/>
      <c r="AT15" s="441"/>
      <c r="AU15" s="441"/>
      <c r="AV15" s="441"/>
      <c r="AW15" s="481">
        <f t="shared" ref="AW15:AW78" si="4">SUM($AS15:$AV15)</f>
        <v>0</v>
      </c>
      <c r="AX15" s="483">
        <f>IF(SETUP!$E$7="USD",(AW15*(IF(O15="USD",AR15,(AR15/'Master Data-C19RM'!$G$2)))),(AW15*(IF(O15="EUR",AR15,(AR15*'Master Data-C19RM'!$G$2)))))</f>
        <v>0</v>
      </c>
      <c r="AY15" s="851"/>
      <c r="AZ15" s="851"/>
      <c r="BA15" s="851"/>
      <c r="BB15" s="851"/>
      <c r="BC15" s="851"/>
      <c r="BD15" s="851"/>
      <c r="BE15" s="852"/>
      <c r="BF15" s="481">
        <f>'C19RM 2021-Lab &amp; Other HPS'!$U15+'C19RM 2021-Lab &amp; Other HPS'!$AB15+AI15+'C19RM 2021-Lab &amp; Other HPS'!$AP15+'C19RM 2021-Lab &amp; Other HPS'!$AW15+BD15</f>
        <v>0</v>
      </c>
      <c r="BG15" s="481">
        <f>'C19RM 2021-Lab &amp; Other HPS'!$V15+'C19RM 2021-Lab &amp; Other HPS'!$AC15+'C19RM 2021-Lab &amp; Other HPS'!$AQ15+'C19RM 2021-Lab &amp; Other HPS'!$AJ15+AX15+BE15</f>
        <v>0</v>
      </c>
      <c r="BH15" s="500" t="str" cm="1">
        <f t="array" ref="BH15">IF(A15&lt;&gt;"",IFERROR(INDEX(PMtbl[[WKst]:[Unit of measure*]],MATCH($A$8&amp;$A15&amp;$E15&amp;$I15,INDEX(PMtbl[Sec]&amp;PMtbl[Category]&amp;PMtbl[Each]&amp;PMtbl[Packaging],0,),0),11),""),"")</f>
        <v/>
      </c>
      <c r="BI15" s="819"/>
      <c r="BJ15" s="502" t="str">
        <f>IFERROR(INDEX(SETUP!$C$19:$G$121,MATCH((INDEX(PMtbl[[WKst]:[Unit of measure*]],MATCH($A15&amp;$E15&amp;$I15,INDEX(PMtbl[Category]&amp;PMtbl[Each]&amp;PMtbl[Packaging],0,),0),3)),SETUP!$D$19:$D$121,0),5),"")</f>
        <v/>
      </c>
      <c r="BK15" s="438" t="str">
        <f>IFERROR(IF((INDEX(SETUP!$C$19:$G$121,MATCH((INDEX(PMtbl[[WKst]:[Unit of measure*]],MATCH($A15&amp;$E15&amp;$I15,INDEX(PMtbl[Category]&amp;PMtbl[Each]&amp;PMtbl[Packaging],0,),0),3)),SETUP!$D$19:$D$121,0),4))="Upfront",0,INDEX(SETUP!$C$19:$G$121,MATCH((INDEX(PMtbl[[WKst]:[Unit of measure*]],MATCH($A15&amp;$E15&amp;$I15,INDEX(PMtbl[Category]&amp;PMtbl[Each]&amp;PMtbl[Packaging],0,),0),3)),SETUP!$D$19:$D$121,0),5)),"")</f>
        <v/>
      </c>
      <c r="BL15" s="157" t="str" cm="1">
        <f t="array" ref="BL15">IF(A15&lt;&gt;"",IFERROR(INDEX(PMtbl[[WKst]:[Unit of measure*]],MATCH($A$8&amp;$A15&amp;$E15&amp;$I15,INDEX(PMtbl[Sec]&amp;PMtbl[Category]&amp;PMtbl[Each]&amp;PMtbl[Packaging],0,),0),11),""),"")</f>
        <v/>
      </c>
      <c r="BO15" s="12">
        <f>IF(N15="",0,IF(SETUP!$E$7="USD",((IF(O15="USD",P15,(P15/'Master Data-C19RM'!$C$2)))),((IF(O15="EUR",P15,(P15*'Master Data-C19RM'!$C$2))))))</f>
        <v>0</v>
      </c>
      <c r="BP15" s="12">
        <f>IF(N15="",0,IF(SETUP!$E$7="USD",((IF(O15="USD",W15,(W15/'Master Data-C19RM'!$D$2)))),((IF(O15="EUR",W15,(W15*'Master Data-C19RM'!$D$2))))))</f>
        <v>0</v>
      </c>
      <c r="BQ15">
        <f>IF(N15="",0,IF(SETUP!$E$7="USD",((IF(O15="USD",AD15,(AD15/'Master Data-C19RM'!$E$2)))),((IF(O15="EUR",AD15,(AD15*'Master Data-C19RM'!$E$2))))))</f>
        <v>0</v>
      </c>
      <c r="BR15">
        <f>IF(N15="",0,IF(SETUP!$E$7="USD",((IF(O15="USD",AK15,(AK15/'Master Data-C19RM'!$F$2)))),((IF(O15="EUR",AK15,(AK15*'Master Data-C19RM'!$F$2))))))</f>
        <v>0</v>
      </c>
      <c r="BS15">
        <f>IF(N15="",0,IF(SETUP!$E$7="USD",((IF(O15="USD",AR15,(AR15/'Master Data-C19RM'!$G$2)))),((IF(O15="EUR",AR15,(AR15*'Master Data-C19RM'!$G$2))))))</f>
        <v>0</v>
      </c>
      <c r="BT15">
        <f>IF(N15="",0,IF(SETUP!$E$7="USD",((IF(O15="USD",AY15,(AY15/'Master Data-C19RM'!$H$2)))),((IF(O15="EUR",AY15,(AY15*'Master Data-C19RM'!$H$2))))))</f>
        <v>0</v>
      </c>
      <c r="BU15" s="12">
        <f t="shared" ref="BU15:BU113" si="5">IF(AND(L15="",(COUNTBLANK(A15:K15)=8)),1,0)</f>
        <v>0</v>
      </c>
      <c r="BV15" s="142">
        <f t="shared" ref="BV15:BV113" si="6">BF15</f>
        <v>0</v>
      </c>
    </row>
    <row r="16" spans="1:94" ht="14.9" customHeight="1" x14ac:dyDescent="0.35">
      <c r="A16" s="1192"/>
      <c r="B16" s="1192"/>
      <c r="C16" s="1192"/>
      <c r="D16" s="1192"/>
      <c r="E16" s="1173"/>
      <c r="F16" s="1173"/>
      <c r="G16" s="1173"/>
      <c r="H16" s="1173"/>
      <c r="I16" s="1173"/>
      <c r="J16" s="1173"/>
      <c r="K16" s="1173"/>
      <c r="L16" s="493" t="str" cm="1">
        <f t="array" ref="L16">IF(A16&lt;&gt;"",IFERROR(INDEX(PMtbl[[WKst]:[Unit of measure*]],MATCH($A$8&amp;$A16&amp;$E16&amp;$I16,INDEX(PMtbl[Sec]&amp;PMtbl[Category]&amp;PMtbl[Each]&amp;PMtbl[Packaging],0,),0),14),""),"")</f>
        <v/>
      </c>
      <c r="M16" s="480" t="str">
        <f>IF(L16="","",INDEX(SETUP!$E$20:$E$122,(MATCH(INDEX(PMsheet!$D:$E,MATCH(A16,PMsheet!E:E,0),1),SETUP!$D$20:$D$122,0))))</f>
        <v/>
      </c>
      <c r="N16" s="494">
        <f>IF($O16="USD",_xlfn.IFNA(VLOOKUP(A16&amp;E16&amp;I16,PMsheet!J:K,2,0),0),(_xlfn.IFNA(VLOOKUP(A16&amp;E16&amp;I16,PMsheet!J:K,2,0),0)*'Master Data-C19RM'!$C$2))</f>
        <v>0</v>
      </c>
      <c r="O16" s="495" t="str">
        <f>IF(L16="", "",SETUP!$E$7)</f>
        <v/>
      </c>
      <c r="P16" s="445">
        <f>IF($O16="USD",_xlfn.IFNA(VLOOKUP($A16&amp;$E16&amp;$I16,PMsheet!$J:$K,2,0),0),(_xlfn.IFNA(VLOOKUP($A16&amp;$E16&amp;$I16,PMsheet!$J:$K,2,0),0)*'Master Data-C19RM'!$C$2))</f>
        <v>0</v>
      </c>
      <c r="Q16" s="440"/>
      <c r="R16" s="440"/>
      <c r="S16" s="440"/>
      <c r="T16" s="440"/>
      <c r="U16" s="482">
        <f t="shared" ref="U16:U113" si="7">SUM($Q16:$T16)</f>
        <v>0</v>
      </c>
      <c r="V16" s="484">
        <f>IF(SETUP!$E$7="USD",(U16*(IF(O16="USD",P16,(P16/'Master Data-C19RM'!$C$2)))),(U16*(IF(O16="EUR",P16,(P16*'Master Data-C19RM'!$C$2)))))</f>
        <v>0</v>
      </c>
      <c r="W16" s="445">
        <f>IF($O16="USD",_xlfn.IFNA(VLOOKUP($A16&amp;$E16&amp;$I16,PMsheet!$J:$K,2,0),0),(_xlfn.IFNA(VLOOKUP($A16&amp;$E16&amp;$I16,PMsheet!$J:$K,2,0),0)*'Master Data-C19RM'!$D$2))</f>
        <v>0</v>
      </c>
      <c r="X16" s="440"/>
      <c r="Y16" s="440"/>
      <c r="Z16" s="440"/>
      <c r="AA16" s="440"/>
      <c r="AB16" s="482">
        <f t="shared" si="1"/>
        <v>0</v>
      </c>
      <c r="AC16" s="484">
        <f>IF(SETUP!$E$7="USD",(AB16*(IF(O16="USD",W16,(W16/'Master Data-C19RM'!$D$2)))),(AB16*(IF(O16="EUR",W16,(W16*'Master Data-C19RM'!$D$2)))))</f>
        <v>0</v>
      </c>
      <c r="AD16" s="445">
        <f>IF($O16="USD",_xlfn.IFNA(VLOOKUP($A16&amp;$E16&amp;$I16,PMsheet!$J:$K,2,0),0),(_xlfn.IFNA(VLOOKUP($A16&amp;$E16&amp;$I16,PMsheet!$J:$K,2,0),0)*'Master Data-C19RM'!$E$2))</f>
        <v>0</v>
      </c>
      <c r="AE16" s="440"/>
      <c r="AF16" s="440"/>
      <c r="AG16" s="440"/>
      <c r="AH16" s="440"/>
      <c r="AI16" s="514">
        <f t="shared" si="2"/>
        <v>0</v>
      </c>
      <c r="AJ16" s="515">
        <f>IF(SETUP!$E$7="USD",(AI16*(IF(O16="USD",AD16,(AD16/'Master Data-C19RM'!$E$2)))),(AI16*(IF(O16="EUR",AD16,(AD16*'Master Data-C19RM'!$E$2)))))</f>
        <v>0</v>
      </c>
      <c r="AK16" s="445">
        <f>IF($O16="USD",_xlfn.IFNA(VLOOKUP($A16&amp;$E16&amp;$I16,PMsheet!$J:$K,2,0),0),(_xlfn.IFNA(VLOOKUP($A16&amp;$E16&amp;$I16,PMsheet!$J:$K,2,0),0)*'Master Data-C19RM'!$F$2))</f>
        <v>0</v>
      </c>
      <c r="AL16" s="440"/>
      <c r="AM16" s="440"/>
      <c r="AN16" s="440"/>
      <c r="AO16" s="440"/>
      <c r="AP16" s="482">
        <f t="shared" si="3"/>
        <v>0</v>
      </c>
      <c r="AQ16" s="484">
        <f>IF(SETUP!$E$7="USD",(AP16*(IF(O16="USD",AK16,(AK16/'Master Data-C19RM'!$F$2)))),(AP16*(IF(O16="EUR",AK16,(AK16*'Master Data-C19RM'!$F$2)))))</f>
        <v>0</v>
      </c>
      <c r="AR16" s="445">
        <f>IF($O16="USD",_xlfn.IFNA(VLOOKUP($A16&amp;$E16&amp;$I16,PMsheet!$J:$K,2,0),0),(_xlfn.IFNA(VLOOKUP($A16&amp;$E16&amp;$I16,PMsheet!$J:$K,2,0),0)*'Master Data-C19RM'!$G$2))</f>
        <v>0</v>
      </c>
      <c r="AS16" s="440"/>
      <c r="AT16" s="440"/>
      <c r="AU16" s="440"/>
      <c r="AV16" s="440"/>
      <c r="AW16" s="482">
        <f t="shared" si="4"/>
        <v>0</v>
      </c>
      <c r="AX16" s="484">
        <f>IF(SETUP!$E$7="USD",(AW16*(IF(O16="USD",AR16,(AR16/'Master Data-C19RM'!$G$2)))),(AW16*(IF(O16="EUR",AR16,(AR16*'Master Data-C19RM'!$G$2)))))</f>
        <v>0</v>
      </c>
      <c r="AY16" s="843"/>
      <c r="AZ16" s="843"/>
      <c r="BA16" s="843"/>
      <c r="BB16" s="843"/>
      <c r="BC16" s="843"/>
      <c r="BD16" s="843"/>
      <c r="BE16" s="844"/>
      <c r="BF16" s="482">
        <f>'C19RM 2021-Lab &amp; Other HPS'!$U16+'C19RM 2021-Lab &amp; Other HPS'!$AB16+AI16+'C19RM 2021-Lab &amp; Other HPS'!$AP16+'C19RM 2021-Lab &amp; Other HPS'!$AW16+BD16</f>
        <v>0</v>
      </c>
      <c r="BG16" s="482">
        <f>'C19RM 2021-Lab &amp; Other HPS'!$V16+'C19RM 2021-Lab &amp; Other HPS'!$AC16+'C19RM 2021-Lab &amp; Other HPS'!$AQ16+'C19RM 2021-Lab &amp; Other HPS'!$AJ16+AX16+BE16</f>
        <v>0</v>
      </c>
      <c r="BH16" s="499" t="str" cm="1">
        <f t="array" ref="BH16">IF(A16&lt;&gt;"",IFERROR(INDEX(PMtbl[[WKst]:[Unit of measure*]],MATCH($A$8&amp;$A16&amp;$E16&amp;$I16,INDEX(PMtbl[Sec]&amp;PMtbl[Category]&amp;PMtbl[Each]&amp;PMtbl[Packaging],0,),0),11),""),"")</f>
        <v/>
      </c>
      <c r="BI16" s="818"/>
      <c r="BJ16" s="503" t="str">
        <f>IFERROR(INDEX(SETUP!$C$19:$G$121,MATCH((INDEX(PMtbl[[WKst]:[Unit of measure*]],MATCH($A16&amp;$E16&amp;$I16,INDEX(PMtbl[Category]&amp;PMtbl[Each]&amp;PMtbl[Packaging],0,),0),3)),SETUP!$D$19:$D$121,0),5),"")</f>
        <v/>
      </c>
      <c r="BK16" s="439" t="str">
        <f>IFERROR(IF((INDEX(SETUP!$C$19:$G$121,MATCH((INDEX(PMtbl[[WKst]:[Unit of measure*]],MATCH($A16&amp;$E16&amp;$I16,INDEX(PMtbl[Category]&amp;PMtbl[Each]&amp;PMtbl[Packaging],0,),0),3)),SETUP!$D$19:$D$121,0),4))="Upfront",0,INDEX(SETUP!$C$19:$G$121,MATCH((INDEX(PMtbl[[WKst]:[Unit of measure*]],MATCH($A16&amp;$E16&amp;$I16,INDEX(PMtbl[Category]&amp;PMtbl[Each]&amp;PMtbl[Packaging],0,),0),3)),SETUP!$D$19:$D$121,0),5)),"")</f>
        <v/>
      </c>
      <c r="BL16" s="158" t="str" cm="1">
        <f t="array" ref="BL16">IF(A16&lt;&gt;"",IFERROR(INDEX(PMtbl[[WKst]:[Unit of measure*]],MATCH($A$8&amp;$A16&amp;$E16&amp;$I16,INDEX(PMtbl[Sec]&amp;PMtbl[Category]&amp;PMtbl[Each]&amp;PMtbl[Packaging],0,),0),11),""),"")</f>
        <v/>
      </c>
      <c r="BO16" s="12">
        <f>IF(N16="",0,IF(SETUP!$E$7="USD",((IF(O16="USD",P16,(P16/'Master Data-C19RM'!$C$2)))),((IF(O16="EUR",P16,(P16*'Master Data-C19RM'!$C$2))))))</f>
        <v>0</v>
      </c>
      <c r="BP16" s="12">
        <f>IF(N16="",0,IF(SETUP!$E$7="USD",((IF(O16="USD",W16,(W16/'Master Data-C19RM'!$D$2)))),((IF(O16="EUR",W16,(W16*'Master Data-C19RM'!$D$2))))))</f>
        <v>0</v>
      </c>
      <c r="BQ16">
        <f>IF(N16="",0,IF(SETUP!$E$7="USD",((IF(O16="USD",AD16,(AD16/'Master Data-C19RM'!$E$2)))),((IF(O16="EUR",AD16,(AD16*'Master Data-C19RM'!$E$2))))))</f>
        <v>0</v>
      </c>
      <c r="BR16">
        <f>IF(N16="",0,IF(SETUP!$E$7="USD",((IF(O16="USD",AK16,(AK16/'Master Data-C19RM'!$F$2)))),((IF(O16="EUR",AK16,(AK16*'Master Data-C19RM'!$F$2))))))</f>
        <v>0</v>
      </c>
      <c r="BS16">
        <f>IF(N16="",0,IF(SETUP!$E$7="USD",((IF(O16="USD",AR16,(AR16/'Master Data-C19RM'!$G$2)))),((IF(O16="EUR",AR16,(AR16*'Master Data-C19RM'!$G$2))))))</f>
        <v>0</v>
      </c>
      <c r="BT16">
        <f>IF(N16="",0,IF(SETUP!$E$7="USD",((IF(O16="USD",AY16,(AY16/'Master Data-C19RM'!$H$2)))),((IF(O16="EUR",AY16,(AY16*'Master Data-C19RM'!$H$2))))))</f>
        <v>0</v>
      </c>
      <c r="BU16" s="12">
        <f t="shared" si="5"/>
        <v>0</v>
      </c>
      <c r="BV16" s="142">
        <f t="shared" si="6"/>
        <v>0</v>
      </c>
    </row>
    <row r="17" spans="1:74" ht="14.9" customHeight="1" x14ac:dyDescent="0.35">
      <c r="A17" s="1165"/>
      <c r="B17" s="1165"/>
      <c r="C17" s="1165"/>
      <c r="D17" s="1165"/>
      <c r="E17" s="1166"/>
      <c r="F17" s="1166"/>
      <c r="G17" s="1166"/>
      <c r="H17" s="1166"/>
      <c r="I17" s="1166"/>
      <c r="J17" s="1166"/>
      <c r="K17" s="1166"/>
      <c r="L17" s="490" t="str" cm="1">
        <f t="array" ref="L17">IF(A17&lt;&gt;"",IFERROR(INDEX(PMtbl[[WKst]:[Unit of measure*]],MATCH($A$8&amp;$A17&amp;$E17&amp;$I17,INDEX(PMtbl[Sec]&amp;PMtbl[Category]&amp;PMtbl[Each]&amp;PMtbl[Packaging],0,),0),14),""),"")</f>
        <v/>
      </c>
      <c r="M17" s="540" t="str">
        <f>IF(L17="","",INDEX(SETUP!$E$20:$E$122,(MATCH(INDEX(PMsheet!$D:$E,MATCH(A17,PMsheet!E:E,0),1),SETUP!$D$20:$D$122,0))))</f>
        <v/>
      </c>
      <c r="N17" s="496">
        <f>IF($O17="USD",_xlfn.IFNA(VLOOKUP(A17&amp;E17&amp;I17,PMsheet!J:K,2,0),0),(_xlfn.IFNA(VLOOKUP(A17&amp;E17&amp;I17,PMsheet!J:K,2,0),0)*'Master Data-C19RM'!$C$2))</f>
        <v>0</v>
      </c>
      <c r="O17" s="492" t="str">
        <f>IF(L17="", "",SETUP!$E$7)</f>
        <v/>
      </c>
      <c r="P17" s="444">
        <f>IF($O17="USD",_xlfn.IFNA(VLOOKUP($A17&amp;$E17&amp;$I17,PMsheet!$J:$K,2,0),0),(_xlfn.IFNA(VLOOKUP($A17&amp;$E17&amp;$I17,PMsheet!$J:$K,2,0),0)*'Master Data-C19RM'!$C$2))</f>
        <v>0</v>
      </c>
      <c r="Q17" s="441"/>
      <c r="R17" s="441"/>
      <c r="S17" s="441"/>
      <c r="T17" s="441"/>
      <c r="U17" s="481">
        <f t="shared" si="7"/>
        <v>0</v>
      </c>
      <c r="V17" s="483">
        <f>IF(SETUP!$E$7="USD",(U17*(IF(O17="USD",P17,(P17/'Master Data-C19RM'!$C$2)))),(U17*(IF(O17="EUR",P17,(P17*'Master Data-C19RM'!$C$2)))))</f>
        <v>0</v>
      </c>
      <c r="W17" s="444">
        <f>IF($O17="USD",_xlfn.IFNA(VLOOKUP($A17&amp;$E17&amp;$I17,PMsheet!$J:$K,2,0),0),(_xlfn.IFNA(VLOOKUP($A17&amp;$E17&amp;$I17,PMsheet!$J:$K,2,0),0)*'Master Data-C19RM'!$D$2))</f>
        <v>0</v>
      </c>
      <c r="X17" s="441"/>
      <c r="Y17" s="441"/>
      <c r="Z17" s="441"/>
      <c r="AA17" s="441"/>
      <c r="AB17" s="481">
        <f t="shared" si="1"/>
        <v>0</v>
      </c>
      <c r="AC17" s="483">
        <f>IF(SETUP!$E$7="USD",(AB17*(IF(O17="USD",W17,(W17/'Master Data-C19RM'!$D$2)))),(AB17*(IF(O17="EUR",W17,(W17*'Master Data-C19RM'!$D$2)))))</f>
        <v>0</v>
      </c>
      <c r="AD17" s="444">
        <f>IF($O17="USD",_xlfn.IFNA(VLOOKUP($A17&amp;$E17&amp;$I17,PMsheet!$J:$K,2,0),0),(_xlfn.IFNA(VLOOKUP($A17&amp;$E17&amp;$I17,PMsheet!$J:$K,2,0),0)*'Master Data-C19RM'!$E$2))</f>
        <v>0</v>
      </c>
      <c r="AE17" s="441"/>
      <c r="AF17" s="441"/>
      <c r="AG17" s="441"/>
      <c r="AH17" s="441"/>
      <c r="AI17" s="512">
        <f t="shared" si="2"/>
        <v>0</v>
      </c>
      <c r="AJ17" s="513">
        <f>IF(SETUP!$E$7="USD",(AI17*(IF(O17="USD",AD17,(AD17/'Master Data-C19RM'!$E$2)))),(AI17*(IF(O17="EUR",AD17,(AD17*'Master Data-C19RM'!$E$2)))))</f>
        <v>0</v>
      </c>
      <c r="AK17" s="444">
        <f>IF($O17="USD",_xlfn.IFNA(VLOOKUP($A17&amp;$E17&amp;$I17,PMsheet!$J:$K,2,0),0),(_xlfn.IFNA(VLOOKUP($A17&amp;$E17&amp;$I17,PMsheet!$J:$K,2,0),0)*'Master Data-C19RM'!$F$2))</f>
        <v>0</v>
      </c>
      <c r="AL17" s="441"/>
      <c r="AM17" s="441"/>
      <c r="AN17" s="441"/>
      <c r="AO17" s="441"/>
      <c r="AP17" s="481">
        <f t="shared" si="3"/>
        <v>0</v>
      </c>
      <c r="AQ17" s="483">
        <f>IF(SETUP!$E$7="USD",(AP17*(IF(O17="USD",AK17,(AK17/'Master Data-C19RM'!$F$2)))),(AP17*(IF(O17="EUR",AK17,(AK17*'Master Data-C19RM'!$F$2)))))</f>
        <v>0</v>
      </c>
      <c r="AR17" s="444">
        <f>IF($O17="USD",_xlfn.IFNA(VLOOKUP($A17&amp;$E17&amp;$I17,PMsheet!$J:$K,2,0),0),(_xlfn.IFNA(VLOOKUP($A17&amp;$E17&amp;$I17,PMsheet!$J:$K,2,0),0)*'Master Data-C19RM'!$G$2))</f>
        <v>0</v>
      </c>
      <c r="AS17" s="441"/>
      <c r="AT17" s="441"/>
      <c r="AU17" s="441"/>
      <c r="AV17" s="441"/>
      <c r="AW17" s="481">
        <f t="shared" si="4"/>
        <v>0</v>
      </c>
      <c r="AX17" s="483">
        <f>IF(SETUP!$E$7="USD",(AW17*(IF(O17="USD",AR17,(AR17/'Master Data-C19RM'!$G$2)))),(AW17*(IF(O17="EUR",AR17,(AR17*'Master Data-C19RM'!$G$2)))))</f>
        <v>0</v>
      </c>
      <c r="AY17" s="851"/>
      <c r="AZ17" s="851"/>
      <c r="BA17" s="851"/>
      <c r="BB17" s="851"/>
      <c r="BC17" s="851"/>
      <c r="BD17" s="851"/>
      <c r="BE17" s="852"/>
      <c r="BF17" s="481">
        <f>'C19RM 2021-Lab &amp; Other HPS'!$U17+'C19RM 2021-Lab &amp; Other HPS'!$AB17+AI17+'C19RM 2021-Lab &amp; Other HPS'!$AP17+'C19RM 2021-Lab &amp; Other HPS'!$AW17+BD17</f>
        <v>0</v>
      </c>
      <c r="BG17" s="481">
        <f>'C19RM 2021-Lab &amp; Other HPS'!$V17+'C19RM 2021-Lab &amp; Other HPS'!$AC17+'C19RM 2021-Lab &amp; Other HPS'!$AQ17+'C19RM 2021-Lab &amp; Other HPS'!$AJ17+AX17+BE17</f>
        <v>0</v>
      </c>
      <c r="BH17" s="500" t="str" cm="1">
        <f t="array" ref="BH17">IF(A17&lt;&gt;"",IFERROR(INDEX(PMtbl[[WKst]:[Unit of measure*]],MATCH($A$8&amp;$A17&amp;$E17&amp;$I17,INDEX(PMtbl[Sec]&amp;PMtbl[Category]&amp;PMtbl[Each]&amp;PMtbl[Packaging],0,),0),11),""),"")</f>
        <v/>
      </c>
      <c r="BI17" s="819"/>
      <c r="BJ17" s="502" t="str">
        <f>IFERROR(INDEX(SETUP!$C$19:$G$121,MATCH((INDEX(PMtbl[[WKst]:[Unit of measure*]],MATCH($A17&amp;$E17&amp;$I17,INDEX(PMtbl[Category]&amp;PMtbl[Each]&amp;PMtbl[Packaging],0,),0),3)),SETUP!$D$19:$D$121,0),5),"")</f>
        <v/>
      </c>
      <c r="BK17" s="438" t="str">
        <f>IFERROR(IF((INDEX(SETUP!$C$19:$G$121,MATCH((INDEX(PMtbl[[WKst]:[Unit of measure*]],MATCH($A17&amp;$E17&amp;$I17,INDEX(PMtbl[Category]&amp;PMtbl[Each]&amp;PMtbl[Packaging],0,),0),3)),SETUP!$D$19:$D$121,0),4))="Upfront",0,INDEX(SETUP!$C$19:$G$121,MATCH((INDEX(PMtbl[[WKst]:[Unit of measure*]],MATCH($A17&amp;$E17&amp;$I17,INDEX(PMtbl[Category]&amp;PMtbl[Each]&amp;PMtbl[Packaging],0,),0),3)),SETUP!$D$19:$D$121,0),5)),"")</f>
        <v/>
      </c>
      <c r="BL17" s="157" t="str" cm="1">
        <f t="array" ref="BL17">IF(A17&lt;&gt;"",IFERROR(INDEX(PMtbl[[WKst]:[Unit of measure*]],MATCH($A$8&amp;$A17&amp;$E17&amp;$I17,INDEX(PMtbl[Sec]&amp;PMtbl[Category]&amp;PMtbl[Each]&amp;PMtbl[Packaging],0,),0),11),""),"")</f>
        <v/>
      </c>
      <c r="BO17" s="12">
        <f>IF(N17="",0,IF(SETUP!$E$7="USD",((IF(O17="USD",P17,(P17/'Master Data-C19RM'!$C$2)))),((IF(O17="EUR",P17,(P17*'Master Data-C19RM'!$C$2))))))</f>
        <v>0</v>
      </c>
      <c r="BP17" s="12">
        <f>IF(N17="",0,IF(SETUP!$E$7="USD",((IF(O17="USD",W17,(W17/'Master Data-C19RM'!$D$2)))),((IF(O17="EUR",W17,(W17*'Master Data-C19RM'!$D$2))))))</f>
        <v>0</v>
      </c>
      <c r="BQ17">
        <f>IF(N17="",0,IF(SETUP!$E$7="USD",((IF(O17="USD",AD17,(AD17/'Master Data-C19RM'!$E$2)))),((IF(O17="EUR",AD17,(AD17*'Master Data-C19RM'!$E$2))))))</f>
        <v>0</v>
      </c>
      <c r="BR17">
        <f>IF(N17="",0,IF(SETUP!$E$7="USD",((IF(O17="USD",AK17,(AK17/'Master Data-C19RM'!$F$2)))),((IF(O17="EUR",AK17,(AK17*'Master Data-C19RM'!$F$2))))))</f>
        <v>0</v>
      </c>
      <c r="BS17">
        <f>IF(N17="",0,IF(SETUP!$E$7="USD",((IF(O17="USD",AR17,(AR17/'Master Data-C19RM'!$G$2)))),((IF(O17="EUR",AR17,(AR17*'Master Data-C19RM'!$G$2))))))</f>
        <v>0</v>
      </c>
      <c r="BT17">
        <f>IF(N17="",0,IF(SETUP!$E$7="USD",((IF(O17="USD",AY17,(AY17/'Master Data-C19RM'!$H$2)))),((IF(O17="EUR",AY17,(AY17*'Master Data-C19RM'!$H$2))))))</f>
        <v>0</v>
      </c>
      <c r="BU17" s="12">
        <f t="shared" si="5"/>
        <v>0</v>
      </c>
      <c r="BV17" s="142">
        <f t="shared" si="6"/>
        <v>0</v>
      </c>
    </row>
    <row r="18" spans="1:74" x14ac:dyDescent="0.35">
      <c r="A18" s="1192"/>
      <c r="B18" s="1192"/>
      <c r="C18" s="1192"/>
      <c r="D18" s="1192"/>
      <c r="E18" s="1173"/>
      <c r="F18" s="1173"/>
      <c r="G18" s="1173"/>
      <c r="H18" s="1173"/>
      <c r="I18" s="1173"/>
      <c r="J18" s="1173"/>
      <c r="K18" s="1173"/>
      <c r="L18" s="493" t="str" cm="1">
        <f t="array" ref="L18">IF(A18&lt;&gt;"",IFERROR(INDEX(PMtbl[[WKst]:[Unit of measure*]],MATCH($A$8&amp;$A18&amp;$E18&amp;$I18,INDEX(PMtbl[Sec]&amp;PMtbl[Category]&amp;PMtbl[Each]&amp;PMtbl[Packaging],0,),0),14),""),"")</f>
        <v/>
      </c>
      <c r="M18" s="480" t="str">
        <f>IF(L18="","",INDEX(SETUP!$E$20:$E$122,(MATCH(INDEX(PMsheet!$D:$E,MATCH(A18,PMsheet!E:E,0),1),SETUP!$D$20:$D$122,0))))</f>
        <v/>
      </c>
      <c r="N18" s="494">
        <f>IF($O18="USD",_xlfn.IFNA(VLOOKUP(A18&amp;E18&amp;I18,PMsheet!J:K,2,0),0),(_xlfn.IFNA(VLOOKUP(A18&amp;E18&amp;I18,PMsheet!J:K,2,0),0)*'Master Data-C19RM'!$C$2))</f>
        <v>0</v>
      </c>
      <c r="O18" s="495" t="str">
        <f>IF(L18="", "",SETUP!$E$7)</f>
        <v/>
      </c>
      <c r="P18" s="445">
        <f>IF($O18="USD",_xlfn.IFNA(VLOOKUP($A18&amp;$E18&amp;$I18,PMsheet!$J:$K,2,0),0),(_xlfn.IFNA(VLOOKUP($A18&amp;$E18&amp;$I18,PMsheet!$J:$K,2,0),0)*'Master Data-C19RM'!$C$2))</f>
        <v>0</v>
      </c>
      <c r="Q18" s="440"/>
      <c r="R18" s="440"/>
      <c r="S18" s="440"/>
      <c r="T18" s="440"/>
      <c r="U18" s="482">
        <f t="shared" si="7"/>
        <v>0</v>
      </c>
      <c r="V18" s="484">
        <f>IF(SETUP!$E$7="USD",(U18*(IF(O18="USD",P18,(P18/'Master Data-C19RM'!$C$2)))),(U18*(IF(O18="EUR",P18,(P18*'Master Data-C19RM'!$C$2)))))</f>
        <v>0</v>
      </c>
      <c r="W18" s="445">
        <f>IF($O18="USD",_xlfn.IFNA(VLOOKUP($A18&amp;$E18&amp;$I18,PMsheet!$J:$K,2,0),0),(_xlfn.IFNA(VLOOKUP($A18&amp;$E18&amp;$I18,PMsheet!$J:$K,2,0),0)*'Master Data-C19RM'!$D$2))</f>
        <v>0</v>
      </c>
      <c r="X18" s="440"/>
      <c r="Y18" s="440"/>
      <c r="Z18" s="440"/>
      <c r="AA18" s="440"/>
      <c r="AB18" s="482">
        <f t="shared" si="1"/>
        <v>0</v>
      </c>
      <c r="AC18" s="484">
        <f>IF(SETUP!$E$7="USD",(AB18*(IF(O18="USD",W18,(W18/'Master Data-C19RM'!$D$2)))),(AB18*(IF(O18="EUR",W18,(W18*'Master Data-C19RM'!$D$2)))))</f>
        <v>0</v>
      </c>
      <c r="AD18" s="445">
        <f>IF($O18="USD",_xlfn.IFNA(VLOOKUP($A18&amp;$E18&amp;$I18,PMsheet!$J:$K,2,0),0),(_xlfn.IFNA(VLOOKUP($A18&amp;$E18&amp;$I18,PMsheet!$J:$K,2,0),0)*'Master Data-C19RM'!$E$2))</f>
        <v>0</v>
      </c>
      <c r="AE18" s="440"/>
      <c r="AF18" s="440"/>
      <c r="AG18" s="440"/>
      <c r="AH18" s="440"/>
      <c r="AI18" s="514">
        <f t="shared" si="2"/>
        <v>0</v>
      </c>
      <c r="AJ18" s="515">
        <f>IF(SETUP!$E$7="USD",(AI18*(IF(O18="USD",AD18,(AD18/'Master Data-C19RM'!$E$2)))),(AI18*(IF(O18="EUR",AD18,(AD18*'Master Data-C19RM'!$E$2)))))</f>
        <v>0</v>
      </c>
      <c r="AK18" s="445">
        <f>IF($O18="USD",_xlfn.IFNA(VLOOKUP($A18&amp;$E18&amp;$I18,PMsheet!$J:$K,2,0),0),(_xlfn.IFNA(VLOOKUP($A18&amp;$E18&amp;$I18,PMsheet!$J:$K,2,0),0)*'Master Data-C19RM'!$F$2))</f>
        <v>0</v>
      </c>
      <c r="AL18" s="440"/>
      <c r="AM18" s="440"/>
      <c r="AN18" s="440"/>
      <c r="AO18" s="440"/>
      <c r="AP18" s="482">
        <f t="shared" si="3"/>
        <v>0</v>
      </c>
      <c r="AQ18" s="484">
        <f>IF(SETUP!$E$7="USD",(AP18*(IF(O18="USD",AK18,(AK18/'Master Data-C19RM'!$F$2)))),(AP18*(IF(O18="EUR",AK18,(AK18*'Master Data-C19RM'!$F$2)))))</f>
        <v>0</v>
      </c>
      <c r="AR18" s="445">
        <f>IF($O18="USD",_xlfn.IFNA(VLOOKUP($A18&amp;$E18&amp;$I18,PMsheet!$J:$K,2,0),0),(_xlfn.IFNA(VLOOKUP($A18&amp;$E18&amp;$I18,PMsheet!$J:$K,2,0),0)*'Master Data-C19RM'!$G$2))</f>
        <v>0</v>
      </c>
      <c r="AS18" s="440"/>
      <c r="AT18" s="440"/>
      <c r="AU18" s="440"/>
      <c r="AV18" s="440"/>
      <c r="AW18" s="482">
        <f t="shared" si="4"/>
        <v>0</v>
      </c>
      <c r="AX18" s="484">
        <f>IF(SETUP!$E$7="USD",(AW18*(IF(O18="USD",AR18,(AR18/'Master Data-C19RM'!$G$2)))),(AW18*(IF(O18="EUR",AR18,(AR18*'Master Data-C19RM'!$G$2)))))</f>
        <v>0</v>
      </c>
      <c r="AY18" s="843"/>
      <c r="AZ18" s="843"/>
      <c r="BA18" s="843"/>
      <c r="BB18" s="843"/>
      <c r="BC18" s="843"/>
      <c r="BD18" s="843"/>
      <c r="BE18" s="844"/>
      <c r="BF18" s="482">
        <f>'C19RM 2021-Lab &amp; Other HPS'!$U18+'C19RM 2021-Lab &amp; Other HPS'!$AB18+AI18+'C19RM 2021-Lab &amp; Other HPS'!$AP18+'C19RM 2021-Lab &amp; Other HPS'!$AW18+BD18</f>
        <v>0</v>
      </c>
      <c r="BG18" s="482">
        <f>'C19RM 2021-Lab &amp; Other HPS'!$V18+'C19RM 2021-Lab &amp; Other HPS'!$AC18+'C19RM 2021-Lab &amp; Other HPS'!$AQ18+'C19RM 2021-Lab &amp; Other HPS'!$AJ18+AX18+BE18</f>
        <v>0</v>
      </c>
      <c r="BH18" s="499" t="str" cm="1">
        <f t="array" ref="BH18">IF(A18&lt;&gt;"",IFERROR(INDEX(PMtbl[[WKst]:[Unit of measure*]],MATCH($A$8&amp;$A18&amp;$E18&amp;$I18,INDEX(PMtbl[Sec]&amp;PMtbl[Category]&amp;PMtbl[Each]&amp;PMtbl[Packaging],0,),0),11),""),"")</f>
        <v/>
      </c>
      <c r="BI18" s="818"/>
      <c r="BJ18" s="503" t="str">
        <f>IFERROR(INDEX(SETUP!$C$19:$G$121,MATCH((INDEX(PMtbl[[WKst]:[Unit of measure*]],MATCH($A18&amp;$E18&amp;$I18,INDEX(PMtbl[Category]&amp;PMtbl[Each]&amp;PMtbl[Packaging],0,),0),3)),SETUP!$D$19:$D$121,0),5),"")</f>
        <v/>
      </c>
      <c r="BK18" s="439" t="str">
        <f>IFERROR(IF((INDEX(SETUP!$C$19:$G$121,MATCH((INDEX(PMtbl[[WKst]:[Unit of measure*]],MATCH($A18&amp;$E18&amp;$I18,INDEX(PMtbl[Category]&amp;PMtbl[Each]&amp;PMtbl[Packaging],0,),0),3)),SETUP!$D$19:$D$121,0),4))="Upfront",0,INDEX(SETUP!$C$19:$G$121,MATCH((INDEX(PMtbl[[WKst]:[Unit of measure*]],MATCH($A18&amp;$E18&amp;$I18,INDEX(PMtbl[Category]&amp;PMtbl[Each]&amp;PMtbl[Packaging],0,),0),3)),SETUP!$D$19:$D$121,0),5)),"")</f>
        <v/>
      </c>
      <c r="BL18" s="158" t="str" cm="1">
        <f t="array" ref="BL18">IF(A18&lt;&gt;"",IFERROR(INDEX(PMtbl[[WKst]:[Unit of measure*]],MATCH($A$8&amp;$A18&amp;$E18&amp;$I18,INDEX(PMtbl[Sec]&amp;PMtbl[Category]&amp;PMtbl[Each]&amp;PMtbl[Packaging],0,),0),11),""),"")</f>
        <v/>
      </c>
      <c r="BO18" s="12">
        <f>IF(N18="",0,IF(SETUP!$E$7="USD",((IF(O18="USD",P18,(P18/'Master Data-C19RM'!$C$2)))),((IF(O18="EUR",P18,(P18*'Master Data-C19RM'!$C$2))))))</f>
        <v>0</v>
      </c>
      <c r="BP18" s="12">
        <f>IF(N18="",0,IF(SETUP!$E$7="USD",((IF(O18="USD",W18,(W18/'Master Data-C19RM'!$D$2)))),((IF(O18="EUR",W18,(W18*'Master Data-C19RM'!$D$2))))))</f>
        <v>0</v>
      </c>
      <c r="BQ18">
        <f>IF(N18="",0,IF(SETUP!$E$7="USD",((IF(O18="USD",AD18,(AD18/'Master Data-C19RM'!$E$2)))),((IF(O18="EUR",AD18,(AD18*'Master Data-C19RM'!$E$2))))))</f>
        <v>0</v>
      </c>
      <c r="BR18">
        <f>IF(N18="",0,IF(SETUP!$E$7="USD",((IF(O18="USD",AK18,(AK18/'Master Data-C19RM'!$F$2)))),((IF(O18="EUR",AK18,(AK18*'Master Data-C19RM'!$F$2))))))</f>
        <v>0</v>
      </c>
      <c r="BS18">
        <f>IF(N18="",0,IF(SETUP!$E$7="USD",((IF(O18="USD",AR18,(AR18/'Master Data-C19RM'!$G$2)))),((IF(O18="EUR",AR18,(AR18*'Master Data-C19RM'!$G$2))))))</f>
        <v>0</v>
      </c>
      <c r="BT18">
        <f>IF(N18="",0,IF(SETUP!$E$7="USD",((IF(O18="USD",AY18,(AY18/'Master Data-C19RM'!$H$2)))),((IF(O18="EUR",AY18,(AY18*'Master Data-C19RM'!$H$2))))))</f>
        <v>0</v>
      </c>
      <c r="BU18" s="12">
        <f t="shared" si="5"/>
        <v>0</v>
      </c>
      <c r="BV18" s="142">
        <f t="shared" si="6"/>
        <v>0</v>
      </c>
    </row>
    <row r="19" spans="1:74" x14ac:dyDescent="0.35">
      <c r="A19" s="1165"/>
      <c r="B19" s="1165"/>
      <c r="C19" s="1165"/>
      <c r="D19" s="1165"/>
      <c r="E19" s="1166"/>
      <c r="F19" s="1166"/>
      <c r="G19" s="1166"/>
      <c r="H19" s="1166"/>
      <c r="I19" s="1166"/>
      <c r="J19" s="1166"/>
      <c r="K19" s="1166"/>
      <c r="L19" s="490" t="str" cm="1">
        <f t="array" ref="L19">IF(A19&lt;&gt;"",IFERROR(INDEX(PMtbl[[WKst]:[Unit of measure*]],MATCH($A$8&amp;$A19&amp;$E19&amp;$I19,INDEX(PMtbl[Sec]&amp;PMtbl[Category]&amp;PMtbl[Each]&amp;PMtbl[Packaging],0,),0),14),""),"")</f>
        <v/>
      </c>
      <c r="M19" s="540" t="str">
        <f>IF(L19="","",INDEX(SETUP!$E$20:$E$122,(MATCH(INDEX(PMsheet!$D:$E,MATCH(A19,PMsheet!E:E,0),1),SETUP!$D$20:$D$122,0))))</f>
        <v/>
      </c>
      <c r="N19" s="496">
        <f>IF($O19="USD",_xlfn.IFNA(VLOOKUP(A19&amp;E19&amp;I19,PMsheet!J:K,2,0),0),(_xlfn.IFNA(VLOOKUP(A19&amp;E19&amp;I19,PMsheet!J:K,2,0),0)*'Master Data-C19RM'!$C$2))</f>
        <v>0</v>
      </c>
      <c r="O19" s="492" t="str">
        <f>IF(L19="", "",SETUP!$E$7)</f>
        <v/>
      </c>
      <c r="P19" s="444">
        <f>IF($O19="USD",_xlfn.IFNA(VLOOKUP($A19&amp;$E19&amp;$I19,PMsheet!$J:$K,2,0),0),(_xlfn.IFNA(VLOOKUP($A19&amp;$E19&amp;$I19,PMsheet!$J:$K,2,0),0)*'Master Data-C19RM'!$C$2))</f>
        <v>0</v>
      </c>
      <c r="Q19" s="441"/>
      <c r="R19" s="441"/>
      <c r="S19" s="441"/>
      <c r="T19" s="441"/>
      <c r="U19" s="481">
        <f t="shared" si="7"/>
        <v>0</v>
      </c>
      <c r="V19" s="483">
        <f>IF(SETUP!$E$7="USD",(U19*(IF(O19="USD",P19,(P19/'Master Data-C19RM'!$C$2)))),(U19*(IF(O19="EUR",P19,(P19*'Master Data-C19RM'!$C$2)))))</f>
        <v>0</v>
      </c>
      <c r="W19" s="444">
        <f>IF($O19="USD",_xlfn.IFNA(VLOOKUP($A19&amp;$E19&amp;$I19,PMsheet!$J:$K,2,0),0),(_xlfn.IFNA(VLOOKUP($A19&amp;$E19&amp;$I19,PMsheet!$J:$K,2,0),0)*'Master Data-C19RM'!$D$2))</f>
        <v>0</v>
      </c>
      <c r="X19" s="441"/>
      <c r="Y19" s="441"/>
      <c r="Z19" s="441"/>
      <c r="AA19" s="441"/>
      <c r="AB19" s="481">
        <f t="shared" si="1"/>
        <v>0</v>
      </c>
      <c r="AC19" s="483">
        <f>IF(SETUP!$E$7="USD",(AB19*(IF(O19="USD",W19,(W19/'Master Data-C19RM'!$D$2)))),(AB19*(IF(O19="EUR",W19,(W19*'Master Data-C19RM'!$D$2)))))</f>
        <v>0</v>
      </c>
      <c r="AD19" s="444">
        <f>IF($O19="USD",_xlfn.IFNA(VLOOKUP($A19&amp;$E19&amp;$I19,PMsheet!$J:$K,2,0),0),(_xlfn.IFNA(VLOOKUP($A19&amp;$E19&amp;$I19,PMsheet!$J:$K,2,0),0)*'Master Data-C19RM'!$E$2))</f>
        <v>0</v>
      </c>
      <c r="AE19" s="441"/>
      <c r="AF19" s="441"/>
      <c r="AG19" s="441"/>
      <c r="AH19" s="441"/>
      <c r="AI19" s="512">
        <f t="shared" si="2"/>
        <v>0</v>
      </c>
      <c r="AJ19" s="513">
        <f>IF(SETUP!$E$7="USD",(AI19*(IF(O19="USD",AD19,(AD19/'Master Data-C19RM'!$E$2)))),(AI19*(IF(O19="EUR",AD19,(AD19*'Master Data-C19RM'!$E$2)))))</f>
        <v>0</v>
      </c>
      <c r="AK19" s="444">
        <f>IF($O19="USD",_xlfn.IFNA(VLOOKUP($A19&amp;$E19&amp;$I19,PMsheet!$J:$K,2,0),0),(_xlfn.IFNA(VLOOKUP($A19&amp;$E19&amp;$I19,PMsheet!$J:$K,2,0),0)*'Master Data-C19RM'!$F$2))</f>
        <v>0</v>
      </c>
      <c r="AL19" s="441"/>
      <c r="AM19" s="441"/>
      <c r="AN19" s="441"/>
      <c r="AO19" s="441"/>
      <c r="AP19" s="481">
        <f t="shared" si="3"/>
        <v>0</v>
      </c>
      <c r="AQ19" s="483">
        <f>IF(SETUP!$E$7="USD",(AP19*(IF(O19="USD",AK19,(AK19/'Master Data-C19RM'!$F$2)))),(AP19*(IF(O19="EUR",AK19,(AK19*'Master Data-C19RM'!$F$2)))))</f>
        <v>0</v>
      </c>
      <c r="AR19" s="444">
        <f>IF($O19="USD",_xlfn.IFNA(VLOOKUP($A19&amp;$E19&amp;$I19,PMsheet!$J:$K,2,0),0),(_xlfn.IFNA(VLOOKUP($A19&amp;$E19&amp;$I19,PMsheet!$J:$K,2,0),0)*'Master Data-C19RM'!$G$2))</f>
        <v>0</v>
      </c>
      <c r="AS19" s="441"/>
      <c r="AT19" s="441"/>
      <c r="AU19" s="441"/>
      <c r="AV19" s="441"/>
      <c r="AW19" s="481">
        <f t="shared" si="4"/>
        <v>0</v>
      </c>
      <c r="AX19" s="483">
        <f>IF(SETUP!$E$7="USD",(AW19*(IF(O19="USD",AR19,(AR19/'Master Data-C19RM'!$G$2)))),(AW19*(IF(O19="EUR",AR19,(AR19*'Master Data-C19RM'!$G$2)))))</f>
        <v>0</v>
      </c>
      <c r="AY19" s="851"/>
      <c r="AZ19" s="851"/>
      <c r="BA19" s="851"/>
      <c r="BB19" s="851"/>
      <c r="BC19" s="851"/>
      <c r="BD19" s="851"/>
      <c r="BE19" s="852"/>
      <c r="BF19" s="481">
        <f>'C19RM 2021-Lab &amp; Other HPS'!$U19+'C19RM 2021-Lab &amp; Other HPS'!$AB19+AI19+'C19RM 2021-Lab &amp; Other HPS'!$AP19+'C19RM 2021-Lab &amp; Other HPS'!$AW19+BD19</f>
        <v>0</v>
      </c>
      <c r="BG19" s="481">
        <f>'C19RM 2021-Lab &amp; Other HPS'!$V19+'C19RM 2021-Lab &amp; Other HPS'!$AC19+'C19RM 2021-Lab &amp; Other HPS'!$AQ19+'C19RM 2021-Lab &amp; Other HPS'!$AJ19+AX19+BE19</f>
        <v>0</v>
      </c>
      <c r="BH19" s="500" t="str" cm="1">
        <f t="array" ref="BH19">IF(A19&lt;&gt;"",IFERROR(INDEX(PMtbl[[WKst]:[Unit of measure*]],MATCH($A$8&amp;$A19&amp;$E19&amp;$I19,INDEX(PMtbl[Sec]&amp;PMtbl[Category]&amp;PMtbl[Each]&amp;PMtbl[Packaging],0,),0),11),""),"")</f>
        <v/>
      </c>
      <c r="BI19" s="819"/>
      <c r="BJ19" s="502" t="str">
        <f>IFERROR(INDEX(SETUP!$C$19:$G$121,MATCH((INDEX(PMtbl[[WKst]:[Unit of measure*]],MATCH($A19&amp;$E19&amp;$I19,INDEX(PMtbl[Category]&amp;PMtbl[Each]&amp;PMtbl[Packaging],0,),0),3)),SETUP!$D$19:$D$121,0),5),"")</f>
        <v/>
      </c>
      <c r="BK19" s="438" t="str">
        <f>IFERROR(IF((INDEX(SETUP!$C$19:$G$121,MATCH((INDEX(PMtbl[[WKst]:[Unit of measure*]],MATCH($A19&amp;$E19&amp;$I19,INDEX(PMtbl[Category]&amp;PMtbl[Each]&amp;PMtbl[Packaging],0,),0),3)),SETUP!$D$19:$D$121,0),4))="Upfront",0,INDEX(SETUP!$C$19:$G$121,MATCH((INDEX(PMtbl[[WKst]:[Unit of measure*]],MATCH($A19&amp;$E19&amp;$I19,INDEX(PMtbl[Category]&amp;PMtbl[Each]&amp;PMtbl[Packaging],0,),0),3)),SETUP!$D$19:$D$121,0),5)),"")</f>
        <v/>
      </c>
      <c r="BL19" s="157" t="str" cm="1">
        <f t="array" ref="BL19">IF(A19&lt;&gt;"",IFERROR(INDEX(PMtbl[[WKst]:[Unit of measure*]],MATCH($A$8&amp;$A19&amp;$E19&amp;$I19,INDEX(PMtbl[Sec]&amp;PMtbl[Category]&amp;PMtbl[Each]&amp;PMtbl[Packaging],0,),0),11),""),"")</f>
        <v/>
      </c>
      <c r="BO19" s="12">
        <f>IF(N19="",0,IF(SETUP!$E$7="USD",((IF(O19="USD",P19,(P19/'Master Data-C19RM'!$C$2)))),((IF(O19="EUR",P19,(P19*'Master Data-C19RM'!$C$2))))))</f>
        <v>0</v>
      </c>
      <c r="BP19" s="12">
        <f>IF(N19="",0,IF(SETUP!$E$7="USD",((IF(O19="USD",W19,(W19/'Master Data-C19RM'!$D$2)))),((IF(O19="EUR",W19,(W19*'Master Data-C19RM'!$D$2))))))</f>
        <v>0</v>
      </c>
      <c r="BQ19">
        <f>IF(N19="",0,IF(SETUP!$E$7="USD",((IF(O19="USD",AD19,(AD19/'Master Data-C19RM'!$E$2)))),((IF(O19="EUR",AD19,(AD19*'Master Data-C19RM'!$E$2))))))</f>
        <v>0</v>
      </c>
      <c r="BR19">
        <f>IF(N19="",0,IF(SETUP!$E$7="USD",((IF(O19="USD",AK19,(AK19/'Master Data-C19RM'!$F$2)))),((IF(O19="EUR",AK19,(AK19*'Master Data-C19RM'!$F$2))))))</f>
        <v>0</v>
      </c>
      <c r="BS19">
        <f>IF(N19="",0,IF(SETUP!$E$7="USD",((IF(O19="USD",AR19,(AR19/'Master Data-C19RM'!$G$2)))),((IF(O19="EUR",AR19,(AR19*'Master Data-C19RM'!$G$2))))))</f>
        <v>0</v>
      </c>
      <c r="BT19">
        <f>IF(N19="",0,IF(SETUP!$E$7="USD",((IF(O19="USD",AY19,(AY19/'Master Data-C19RM'!$H$2)))),((IF(O19="EUR",AY19,(AY19*'Master Data-C19RM'!$H$2))))))</f>
        <v>0</v>
      </c>
      <c r="BU19" s="12">
        <f t="shared" si="5"/>
        <v>0</v>
      </c>
      <c r="BV19" s="142">
        <f t="shared" si="6"/>
        <v>0</v>
      </c>
    </row>
    <row r="20" spans="1:74" x14ac:dyDescent="0.35">
      <c r="A20" s="1192"/>
      <c r="B20" s="1192"/>
      <c r="C20" s="1192"/>
      <c r="D20" s="1192"/>
      <c r="E20" s="1173"/>
      <c r="F20" s="1173"/>
      <c r="G20" s="1173"/>
      <c r="H20" s="1173"/>
      <c r="I20" s="1173"/>
      <c r="J20" s="1173"/>
      <c r="K20" s="1173"/>
      <c r="L20" s="493" t="str" cm="1">
        <f t="array" ref="L20">IF(A20&lt;&gt;"",IFERROR(INDEX(PMtbl[[WKst]:[Unit of measure*]],MATCH($A$8&amp;$A20&amp;$E20&amp;$I20,INDEX(PMtbl[Sec]&amp;PMtbl[Category]&amp;PMtbl[Each]&amp;PMtbl[Packaging],0,),0),14),""),"")</f>
        <v/>
      </c>
      <c r="M20" s="480" t="str">
        <f>IF(L20="","",INDEX(SETUP!$E$20:$E$122,(MATCH(INDEX(PMsheet!$D:$E,MATCH(A20,PMsheet!E:E,0),1),SETUP!$D$20:$D$122,0))))</f>
        <v/>
      </c>
      <c r="N20" s="494">
        <f>IF($O20="USD",_xlfn.IFNA(VLOOKUP(A20&amp;E20&amp;I20,PMsheet!J:K,2,0),0),(_xlfn.IFNA(VLOOKUP(A20&amp;E20&amp;I20,PMsheet!J:K,2,0),0)*'Master Data-C19RM'!$C$2))</f>
        <v>0</v>
      </c>
      <c r="O20" s="495" t="str">
        <f>IF(L20="", "",SETUP!$E$7)</f>
        <v/>
      </c>
      <c r="P20" s="445">
        <f>IF($O20="USD",_xlfn.IFNA(VLOOKUP($A20&amp;$E20&amp;$I20,PMsheet!$J:$K,2,0),0),(_xlfn.IFNA(VLOOKUP($A20&amp;$E20&amp;$I20,PMsheet!$J:$K,2,0),0)*'Master Data-C19RM'!$C$2))</f>
        <v>0</v>
      </c>
      <c r="Q20" s="440"/>
      <c r="R20" s="440"/>
      <c r="S20" s="440"/>
      <c r="T20" s="440"/>
      <c r="U20" s="482">
        <f t="shared" si="7"/>
        <v>0</v>
      </c>
      <c r="V20" s="484">
        <f>IF(SETUP!$E$7="USD",(U20*(IF(O20="USD",P20,(P20/'Master Data-C19RM'!$C$2)))),(U20*(IF(O20="EUR",P20,(P20*'Master Data-C19RM'!$C$2)))))</f>
        <v>0</v>
      </c>
      <c r="W20" s="445">
        <f>IF($O20="USD",_xlfn.IFNA(VLOOKUP($A20&amp;$E20&amp;$I20,PMsheet!$J:$K,2,0),0),(_xlfn.IFNA(VLOOKUP($A20&amp;$E20&amp;$I20,PMsheet!$J:$K,2,0),0)*'Master Data-C19RM'!$D$2))</f>
        <v>0</v>
      </c>
      <c r="X20" s="440"/>
      <c r="Y20" s="440"/>
      <c r="Z20" s="440"/>
      <c r="AA20" s="440"/>
      <c r="AB20" s="482">
        <f t="shared" si="1"/>
        <v>0</v>
      </c>
      <c r="AC20" s="484">
        <f>IF(SETUP!$E$7="USD",(AB20*(IF(O20="USD",W20,(W20/'Master Data-C19RM'!$D$2)))),(AB20*(IF(O20="EUR",W20,(W20*'Master Data-C19RM'!$D$2)))))</f>
        <v>0</v>
      </c>
      <c r="AD20" s="445">
        <f>IF($O20="USD",_xlfn.IFNA(VLOOKUP($A20&amp;$E20&amp;$I20,PMsheet!$J:$K,2,0),0),(_xlfn.IFNA(VLOOKUP($A20&amp;$E20&amp;$I20,PMsheet!$J:$K,2,0),0)*'Master Data-C19RM'!$E$2))</f>
        <v>0</v>
      </c>
      <c r="AE20" s="440"/>
      <c r="AF20" s="440"/>
      <c r="AG20" s="440"/>
      <c r="AH20" s="440"/>
      <c r="AI20" s="514">
        <f t="shared" si="2"/>
        <v>0</v>
      </c>
      <c r="AJ20" s="515">
        <f>IF(SETUP!$E$7="USD",(AI20*(IF(O20="USD",AD20,(AD20/'Master Data-C19RM'!$E$2)))),(AI20*(IF(O20="EUR",AD20,(AD20*'Master Data-C19RM'!$E$2)))))</f>
        <v>0</v>
      </c>
      <c r="AK20" s="445">
        <f>IF($O20="USD",_xlfn.IFNA(VLOOKUP($A20&amp;$E20&amp;$I20,PMsheet!$J:$K,2,0),0),(_xlfn.IFNA(VLOOKUP($A20&amp;$E20&amp;$I20,PMsheet!$J:$K,2,0),0)*'Master Data-C19RM'!$F$2))</f>
        <v>0</v>
      </c>
      <c r="AL20" s="440"/>
      <c r="AM20" s="440"/>
      <c r="AN20" s="440"/>
      <c r="AO20" s="440"/>
      <c r="AP20" s="482">
        <f t="shared" si="3"/>
        <v>0</v>
      </c>
      <c r="AQ20" s="484">
        <f>IF(SETUP!$E$7="USD",(AP20*(IF(O20="USD",AK20,(AK20/'Master Data-C19RM'!$F$2)))),(AP20*(IF(O20="EUR",AK20,(AK20*'Master Data-C19RM'!$F$2)))))</f>
        <v>0</v>
      </c>
      <c r="AR20" s="445">
        <f>IF($O20="USD",_xlfn.IFNA(VLOOKUP($A20&amp;$E20&amp;$I20,PMsheet!$J:$K,2,0),0),(_xlfn.IFNA(VLOOKUP($A20&amp;$E20&amp;$I20,PMsheet!$J:$K,2,0),0)*'Master Data-C19RM'!$G$2))</f>
        <v>0</v>
      </c>
      <c r="AS20" s="440"/>
      <c r="AT20" s="440"/>
      <c r="AU20" s="440"/>
      <c r="AV20" s="440"/>
      <c r="AW20" s="482">
        <f t="shared" si="4"/>
        <v>0</v>
      </c>
      <c r="AX20" s="484">
        <f>IF(SETUP!$E$7="USD",(AW20*(IF(O20="USD",AR20,(AR20/'Master Data-C19RM'!$G$2)))),(AW20*(IF(O20="EUR",AR20,(AR20*'Master Data-C19RM'!$G$2)))))</f>
        <v>0</v>
      </c>
      <c r="AY20" s="843"/>
      <c r="AZ20" s="843"/>
      <c r="BA20" s="843"/>
      <c r="BB20" s="843"/>
      <c r="BC20" s="843"/>
      <c r="BD20" s="843"/>
      <c r="BE20" s="844"/>
      <c r="BF20" s="482">
        <f>'C19RM 2021-Lab &amp; Other HPS'!$U20+'C19RM 2021-Lab &amp; Other HPS'!$AB20+AI20+'C19RM 2021-Lab &amp; Other HPS'!$AP20+'C19RM 2021-Lab &amp; Other HPS'!$AW20+BD20</f>
        <v>0</v>
      </c>
      <c r="BG20" s="482">
        <f>'C19RM 2021-Lab &amp; Other HPS'!$V20+'C19RM 2021-Lab &amp; Other HPS'!$AC20+'C19RM 2021-Lab &amp; Other HPS'!$AQ20+'C19RM 2021-Lab &amp; Other HPS'!$AJ20+AX20+BE20</f>
        <v>0</v>
      </c>
      <c r="BH20" s="499" t="str" cm="1">
        <f t="array" ref="BH20">IF(A20&lt;&gt;"",IFERROR(INDEX(PMtbl[[WKst]:[Unit of measure*]],MATCH($A$8&amp;$A20&amp;$E20&amp;$I20,INDEX(PMtbl[Sec]&amp;PMtbl[Category]&amp;PMtbl[Each]&amp;PMtbl[Packaging],0,),0),11),""),"")</f>
        <v/>
      </c>
      <c r="BI20" s="818"/>
      <c r="BJ20" s="503" t="str">
        <f>IFERROR(INDEX(SETUP!$C$19:$G$121,MATCH((INDEX(PMtbl[[WKst]:[Unit of measure*]],MATCH($A20&amp;$E20&amp;$I20,INDEX(PMtbl[Category]&amp;PMtbl[Each]&amp;PMtbl[Packaging],0,),0),3)),SETUP!$D$19:$D$121,0),5),"")</f>
        <v/>
      </c>
      <c r="BK20" s="439" t="str">
        <f>IFERROR(IF((INDEX(SETUP!$C$19:$G$121,MATCH((INDEX(PMtbl[[WKst]:[Unit of measure*]],MATCH($A20&amp;$E20&amp;$I20,INDEX(PMtbl[Category]&amp;PMtbl[Each]&amp;PMtbl[Packaging],0,),0),3)),SETUP!$D$19:$D$121,0),4))="Upfront",0,INDEX(SETUP!$C$19:$G$121,MATCH((INDEX(PMtbl[[WKst]:[Unit of measure*]],MATCH($A20&amp;$E20&amp;$I20,INDEX(PMtbl[Category]&amp;PMtbl[Each]&amp;PMtbl[Packaging],0,),0),3)),SETUP!$D$19:$D$121,0),5)),"")</f>
        <v/>
      </c>
      <c r="BL20" s="158" t="str" cm="1">
        <f t="array" ref="BL20">IF(A20&lt;&gt;"",IFERROR(INDEX(PMtbl[[WKst]:[Unit of measure*]],MATCH($A$8&amp;$A20&amp;$E20&amp;$I20,INDEX(PMtbl[Sec]&amp;PMtbl[Category]&amp;PMtbl[Each]&amp;PMtbl[Packaging],0,),0),11),""),"")</f>
        <v/>
      </c>
      <c r="BO20" s="12">
        <f>IF(N20="",0,IF(SETUP!$E$7="USD",((IF(O20="USD",P20,(P20/'Master Data-C19RM'!$C$2)))),((IF(O20="EUR",P20,(P20*'Master Data-C19RM'!$C$2))))))</f>
        <v>0</v>
      </c>
      <c r="BP20" s="12">
        <f>IF(N20="",0,IF(SETUP!$E$7="USD",((IF(O20="USD",W20,(W20/'Master Data-C19RM'!$D$2)))),((IF(O20="EUR",W20,(W20*'Master Data-C19RM'!$D$2))))))</f>
        <v>0</v>
      </c>
      <c r="BQ20">
        <f>IF(N20="",0,IF(SETUP!$E$7="USD",((IF(O20="USD",AD20,(AD20/'Master Data-C19RM'!$E$2)))),((IF(O20="EUR",AD20,(AD20*'Master Data-C19RM'!$E$2))))))</f>
        <v>0</v>
      </c>
      <c r="BR20">
        <f>IF(N20="",0,IF(SETUP!$E$7="USD",((IF(O20="USD",AK20,(AK20/'Master Data-C19RM'!$F$2)))),((IF(O20="EUR",AK20,(AK20*'Master Data-C19RM'!$F$2))))))</f>
        <v>0</v>
      </c>
      <c r="BS20">
        <f>IF(N20="",0,IF(SETUP!$E$7="USD",((IF(O20="USD",AR20,(AR20/'Master Data-C19RM'!$G$2)))),((IF(O20="EUR",AR20,(AR20*'Master Data-C19RM'!$G$2))))))</f>
        <v>0</v>
      </c>
      <c r="BT20">
        <f>IF(N20="",0,IF(SETUP!$E$7="USD",((IF(O20="USD",AY20,(AY20/'Master Data-C19RM'!$H$2)))),((IF(O20="EUR",AY20,(AY20*'Master Data-C19RM'!$H$2))))))</f>
        <v>0</v>
      </c>
      <c r="BU20" s="12">
        <f t="shared" si="5"/>
        <v>0</v>
      </c>
      <c r="BV20" s="142">
        <f t="shared" si="6"/>
        <v>0</v>
      </c>
    </row>
    <row r="21" spans="1:74" x14ac:dyDescent="0.35">
      <c r="A21" s="1165"/>
      <c r="B21" s="1165"/>
      <c r="C21" s="1165"/>
      <c r="D21" s="1165"/>
      <c r="E21" s="1166"/>
      <c r="F21" s="1166"/>
      <c r="G21" s="1166"/>
      <c r="H21" s="1166"/>
      <c r="I21" s="1166"/>
      <c r="J21" s="1166"/>
      <c r="K21" s="1166"/>
      <c r="L21" s="490" t="str" cm="1">
        <f t="array" ref="L21">IF(A21&lt;&gt;"",IFERROR(INDEX(PMtbl[[WKst]:[Unit of measure*]],MATCH($A$8&amp;$A21&amp;$E21&amp;$I21,INDEX(PMtbl[Sec]&amp;PMtbl[Category]&amp;PMtbl[Each]&amp;PMtbl[Packaging],0,),0),14),""),"")</f>
        <v/>
      </c>
      <c r="M21" s="540" t="str">
        <f>IF(L21="","",INDEX(SETUP!$E$20:$E$122,(MATCH(INDEX(PMsheet!$D:$E,MATCH(A21,PMsheet!E:E,0),1),SETUP!$D$20:$D$122,0))))</f>
        <v/>
      </c>
      <c r="N21" s="496">
        <f>IF($O21="USD",_xlfn.IFNA(VLOOKUP(A21&amp;E21&amp;I21,PMsheet!J:K,2,0),0),(_xlfn.IFNA(VLOOKUP(A21&amp;E21&amp;I21,PMsheet!J:K,2,0),0)*'Master Data-C19RM'!$C$2))</f>
        <v>0</v>
      </c>
      <c r="O21" s="492" t="str">
        <f>IF(L21="", "",SETUP!$E$7)</f>
        <v/>
      </c>
      <c r="P21" s="444">
        <f>IF($O21="USD",_xlfn.IFNA(VLOOKUP($A21&amp;$E21&amp;$I21,PMsheet!$J:$K,2,0),0),(_xlfn.IFNA(VLOOKUP($A21&amp;$E21&amp;$I21,PMsheet!$J:$K,2,0),0)*'Master Data-C19RM'!$C$2))</f>
        <v>0</v>
      </c>
      <c r="Q21" s="441"/>
      <c r="R21" s="441"/>
      <c r="S21" s="441"/>
      <c r="T21" s="441"/>
      <c r="U21" s="481">
        <f t="shared" si="7"/>
        <v>0</v>
      </c>
      <c r="V21" s="483">
        <f>IF(SETUP!$E$7="USD",(U21*(IF(O21="USD",P21,(P21/'Master Data-C19RM'!$C$2)))),(U21*(IF(O21="EUR",P21,(P21*'Master Data-C19RM'!$C$2)))))</f>
        <v>0</v>
      </c>
      <c r="W21" s="444">
        <f>IF($O21="USD",_xlfn.IFNA(VLOOKUP($A21&amp;$E21&amp;$I21,PMsheet!$J:$K,2,0),0),(_xlfn.IFNA(VLOOKUP($A21&amp;$E21&amp;$I21,PMsheet!$J:$K,2,0),0)*'Master Data-C19RM'!$D$2))</f>
        <v>0</v>
      </c>
      <c r="X21" s="441"/>
      <c r="Y21" s="441"/>
      <c r="Z21" s="441"/>
      <c r="AA21" s="441"/>
      <c r="AB21" s="481">
        <f t="shared" si="1"/>
        <v>0</v>
      </c>
      <c r="AC21" s="483">
        <f>IF(SETUP!$E$7="USD",(AB21*(IF(O21="USD",W21,(W21/'Master Data-C19RM'!$D$2)))),(AB21*(IF(O21="EUR",W21,(W21*'Master Data-C19RM'!$D$2)))))</f>
        <v>0</v>
      </c>
      <c r="AD21" s="444">
        <f>IF($O21="USD",_xlfn.IFNA(VLOOKUP($A21&amp;$E21&amp;$I21,PMsheet!$J:$K,2,0),0),(_xlfn.IFNA(VLOOKUP($A21&amp;$E21&amp;$I21,PMsheet!$J:$K,2,0),0)*'Master Data-C19RM'!$E$2))</f>
        <v>0</v>
      </c>
      <c r="AE21" s="441"/>
      <c r="AF21" s="441"/>
      <c r="AG21" s="441"/>
      <c r="AH21" s="441"/>
      <c r="AI21" s="512">
        <f t="shared" si="2"/>
        <v>0</v>
      </c>
      <c r="AJ21" s="513">
        <f>IF(SETUP!$E$7="USD",(AI21*(IF(O21="USD",AD21,(AD21/'Master Data-C19RM'!$E$2)))),(AI21*(IF(O21="EUR",AD21,(AD21*'Master Data-C19RM'!$E$2)))))</f>
        <v>0</v>
      </c>
      <c r="AK21" s="444">
        <f>IF($O21="USD",_xlfn.IFNA(VLOOKUP($A21&amp;$E21&amp;$I21,PMsheet!$J:$K,2,0),0),(_xlfn.IFNA(VLOOKUP($A21&amp;$E21&amp;$I21,PMsheet!$J:$K,2,0),0)*'Master Data-C19RM'!$F$2))</f>
        <v>0</v>
      </c>
      <c r="AL21" s="441"/>
      <c r="AM21" s="441"/>
      <c r="AN21" s="441"/>
      <c r="AO21" s="441"/>
      <c r="AP21" s="481">
        <f t="shared" si="3"/>
        <v>0</v>
      </c>
      <c r="AQ21" s="483">
        <f>IF(SETUP!$E$7="USD",(AP21*(IF(O21="USD",AK21,(AK21/'Master Data-C19RM'!$F$2)))),(AP21*(IF(O21="EUR",AK21,(AK21*'Master Data-C19RM'!$F$2)))))</f>
        <v>0</v>
      </c>
      <c r="AR21" s="444">
        <f>IF($O21="USD",_xlfn.IFNA(VLOOKUP($A21&amp;$E21&amp;$I21,PMsheet!$J:$K,2,0),0),(_xlfn.IFNA(VLOOKUP($A21&amp;$E21&amp;$I21,PMsheet!$J:$K,2,0),0)*'Master Data-C19RM'!$G$2))</f>
        <v>0</v>
      </c>
      <c r="AS21" s="441"/>
      <c r="AT21" s="441"/>
      <c r="AU21" s="441"/>
      <c r="AV21" s="441"/>
      <c r="AW21" s="481">
        <f t="shared" si="4"/>
        <v>0</v>
      </c>
      <c r="AX21" s="483">
        <f>IF(SETUP!$E$7="USD",(AW21*(IF(O21="USD",AR21,(AR21/'Master Data-C19RM'!$G$2)))),(AW21*(IF(O21="EUR",AR21,(AR21*'Master Data-C19RM'!$G$2)))))</f>
        <v>0</v>
      </c>
      <c r="AY21" s="851"/>
      <c r="AZ21" s="851"/>
      <c r="BA21" s="851"/>
      <c r="BB21" s="851"/>
      <c r="BC21" s="851"/>
      <c r="BD21" s="851"/>
      <c r="BE21" s="852"/>
      <c r="BF21" s="481">
        <f>'C19RM 2021-Lab &amp; Other HPS'!$U21+'C19RM 2021-Lab &amp; Other HPS'!$AB21+AI21+'C19RM 2021-Lab &amp; Other HPS'!$AP21+'C19RM 2021-Lab &amp; Other HPS'!$AW21+BD21</f>
        <v>0</v>
      </c>
      <c r="BG21" s="481">
        <f>'C19RM 2021-Lab &amp; Other HPS'!$V21+'C19RM 2021-Lab &amp; Other HPS'!$AC21+'C19RM 2021-Lab &amp; Other HPS'!$AQ21+'C19RM 2021-Lab &amp; Other HPS'!$AJ21+AX21+BE21</f>
        <v>0</v>
      </c>
      <c r="BH21" s="500" t="str" cm="1">
        <f t="array" ref="BH21">IF(A21&lt;&gt;"",IFERROR(INDEX(PMtbl[[WKst]:[Unit of measure*]],MATCH($A$8&amp;$A21&amp;$E21&amp;$I21,INDEX(PMtbl[Sec]&amp;PMtbl[Category]&amp;PMtbl[Each]&amp;PMtbl[Packaging],0,),0),11),""),"")</f>
        <v/>
      </c>
      <c r="BI21" s="819"/>
      <c r="BJ21" s="502" t="str">
        <f>IFERROR(INDEX(SETUP!$C$19:$G$121,MATCH((INDEX(PMtbl[[WKst]:[Unit of measure*]],MATCH($A21&amp;$E21&amp;$I21,INDEX(PMtbl[Category]&amp;PMtbl[Each]&amp;PMtbl[Packaging],0,),0),3)),SETUP!$D$19:$D$121,0),5),"")</f>
        <v/>
      </c>
      <c r="BK21" s="438" t="str">
        <f>IFERROR(IF((INDEX(SETUP!$C$19:$G$121,MATCH((INDEX(PMtbl[[WKst]:[Unit of measure*]],MATCH($A21&amp;$E21&amp;$I21,INDEX(PMtbl[Category]&amp;PMtbl[Each]&amp;PMtbl[Packaging],0,),0),3)),SETUP!$D$19:$D$121,0),4))="Upfront",0,INDEX(SETUP!$C$19:$G$121,MATCH((INDEX(PMtbl[[WKst]:[Unit of measure*]],MATCH($A21&amp;$E21&amp;$I21,INDEX(PMtbl[Category]&amp;PMtbl[Each]&amp;PMtbl[Packaging],0,),0),3)),SETUP!$D$19:$D$121,0),5)),"")</f>
        <v/>
      </c>
      <c r="BL21" s="157" t="str" cm="1">
        <f t="array" ref="BL21">IF(A21&lt;&gt;"",IFERROR(INDEX(PMtbl[[WKst]:[Unit of measure*]],MATCH($A$8&amp;$A21&amp;$E21&amp;$I21,INDEX(PMtbl[Sec]&amp;PMtbl[Category]&amp;PMtbl[Each]&amp;PMtbl[Packaging],0,),0),11),""),"")</f>
        <v/>
      </c>
      <c r="BO21" s="12">
        <f>IF(N21="",0,IF(SETUP!$E$7="USD",((IF(O21="USD",P21,(P21/'Master Data-C19RM'!$C$2)))),((IF(O21="EUR",P21,(P21*'Master Data-C19RM'!$C$2))))))</f>
        <v>0</v>
      </c>
      <c r="BP21" s="12">
        <f>IF(N21="",0,IF(SETUP!$E$7="USD",((IF(O21="USD",W21,(W21/'Master Data-C19RM'!$D$2)))),((IF(O21="EUR",W21,(W21*'Master Data-C19RM'!$D$2))))))</f>
        <v>0</v>
      </c>
      <c r="BQ21">
        <f>IF(N21="",0,IF(SETUP!$E$7="USD",((IF(O21="USD",AD21,(AD21/'Master Data-C19RM'!$E$2)))),((IF(O21="EUR",AD21,(AD21*'Master Data-C19RM'!$E$2))))))</f>
        <v>0</v>
      </c>
      <c r="BR21">
        <f>IF(N21="",0,IF(SETUP!$E$7="USD",((IF(O21="USD",AK21,(AK21/'Master Data-C19RM'!$F$2)))),((IF(O21="EUR",AK21,(AK21*'Master Data-C19RM'!$F$2))))))</f>
        <v>0</v>
      </c>
      <c r="BS21">
        <f>IF(N21="",0,IF(SETUP!$E$7="USD",((IF(O21="USD",AR21,(AR21/'Master Data-C19RM'!$G$2)))),((IF(O21="EUR",AR21,(AR21*'Master Data-C19RM'!$G$2))))))</f>
        <v>0</v>
      </c>
      <c r="BT21">
        <f>IF(N21="",0,IF(SETUP!$E$7="USD",((IF(O21="USD",AY21,(AY21/'Master Data-C19RM'!$H$2)))),((IF(O21="EUR",AY21,(AY21*'Master Data-C19RM'!$H$2))))))</f>
        <v>0</v>
      </c>
      <c r="BU21" s="12">
        <f t="shared" si="5"/>
        <v>0</v>
      </c>
      <c r="BV21" s="142">
        <f t="shared" si="6"/>
        <v>0</v>
      </c>
    </row>
    <row r="22" spans="1:74" x14ac:dyDescent="0.35">
      <c r="A22" s="1192"/>
      <c r="B22" s="1192"/>
      <c r="C22" s="1192"/>
      <c r="D22" s="1192"/>
      <c r="E22" s="1173"/>
      <c r="F22" s="1173"/>
      <c r="G22" s="1173"/>
      <c r="H22" s="1173"/>
      <c r="I22" s="1173"/>
      <c r="J22" s="1173"/>
      <c r="K22" s="1173"/>
      <c r="L22" s="493" t="str" cm="1">
        <f t="array" ref="L22">IF(A22&lt;&gt;"",IFERROR(INDEX(PMtbl[[WKst]:[Unit of measure*]],MATCH($A$8&amp;$A22&amp;$E22&amp;$I22,INDEX(PMtbl[Sec]&amp;PMtbl[Category]&amp;PMtbl[Each]&amp;PMtbl[Packaging],0,),0),14),""),"")</f>
        <v/>
      </c>
      <c r="M22" s="480" t="str">
        <f>IF(L22="","",INDEX(SETUP!$E$20:$E$122,(MATCH(INDEX(PMsheet!$D:$E,MATCH(A22,PMsheet!E:E,0),1),SETUP!$D$20:$D$122,0))))</f>
        <v/>
      </c>
      <c r="N22" s="494">
        <f>IF($O22="USD",_xlfn.IFNA(VLOOKUP(A22&amp;E22&amp;I22,PMsheet!J:K,2,0),0),(_xlfn.IFNA(VLOOKUP(A22&amp;E22&amp;I22,PMsheet!J:K,2,0),0)*'Master Data-C19RM'!$C$2))</f>
        <v>0</v>
      </c>
      <c r="O22" s="495" t="str">
        <f>IF(L22="", "",SETUP!$E$7)</f>
        <v/>
      </c>
      <c r="P22" s="445">
        <f>IF($O22="USD",_xlfn.IFNA(VLOOKUP($A22&amp;$E22&amp;$I22,PMsheet!$J:$K,2,0),0),(_xlfn.IFNA(VLOOKUP($A22&amp;$E22&amp;$I22,PMsheet!$J:$K,2,0),0)*'Master Data-C19RM'!$C$2))</f>
        <v>0</v>
      </c>
      <c r="Q22" s="440"/>
      <c r="R22" s="440"/>
      <c r="S22" s="440"/>
      <c r="T22" s="440"/>
      <c r="U22" s="482">
        <f t="shared" si="7"/>
        <v>0</v>
      </c>
      <c r="V22" s="484">
        <f>IF(SETUP!$E$7="USD",(U22*(IF(O22="USD",P22,(P22/'Master Data-C19RM'!$C$2)))),(U22*(IF(O22="EUR",P22,(P22*'Master Data-C19RM'!$C$2)))))</f>
        <v>0</v>
      </c>
      <c r="W22" s="445">
        <f>IF($O22="USD",_xlfn.IFNA(VLOOKUP($A22&amp;$E22&amp;$I22,PMsheet!$J:$K,2,0),0),(_xlfn.IFNA(VLOOKUP($A22&amp;$E22&amp;$I22,PMsheet!$J:$K,2,0),0)*'Master Data-C19RM'!$D$2))</f>
        <v>0</v>
      </c>
      <c r="X22" s="440"/>
      <c r="Y22" s="440"/>
      <c r="Z22" s="440"/>
      <c r="AA22" s="440"/>
      <c r="AB22" s="482">
        <f t="shared" si="1"/>
        <v>0</v>
      </c>
      <c r="AC22" s="484">
        <f>IF(SETUP!$E$7="USD",(AB22*(IF(O22="USD",W22,(W22/'Master Data-C19RM'!$D$2)))),(AB22*(IF(O22="EUR",W22,(W22*'Master Data-C19RM'!$D$2)))))</f>
        <v>0</v>
      </c>
      <c r="AD22" s="445">
        <f>IF($O22="USD",_xlfn.IFNA(VLOOKUP($A22&amp;$E22&amp;$I22,PMsheet!$J:$K,2,0),0),(_xlfn.IFNA(VLOOKUP($A22&amp;$E22&amp;$I22,PMsheet!$J:$K,2,0),0)*'Master Data-C19RM'!$E$2))</f>
        <v>0</v>
      </c>
      <c r="AE22" s="440"/>
      <c r="AF22" s="440"/>
      <c r="AG22" s="440"/>
      <c r="AH22" s="440"/>
      <c r="AI22" s="514">
        <f t="shared" si="2"/>
        <v>0</v>
      </c>
      <c r="AJ22" s="515">
        <f>IF(SETUP!$E$7="USD",(AI22*(IF(O22="USD",AD22,(AD22/'Master Data-C19RM'!$E$2)))),(AI22*(IF(O22="EUR",AD22,(AD22*'Master Data-C19RM'!$E$2)))))</f>
        <v>0</v>
      </c>
      <c r="AK22" s="445">
        <f>IF($O22="USD",_xlfn.IFNA(VLOOKUP($A22&amp;$E22&amp;$I22,PMsheet!$J:$K,2,0),0),(_xlfn.IFNA(VLOOKUP($A22&amp;$E22&amp;$I22,PMsheet!$J:$K,2,0),0)*'Master Data-C19RM'!$F$2))</f>
        <v>0</v>
      </c>
      <c r="AL22" s="440"/>
      <c r="AM22" s="440"/>
      <c r="AN22" s="440"/>
      <c r="AO22" s="440"/>
      <c r="AP22" s="482">
        <f t="shared" si="3"/>
        <v>0</v>
      </c>
      <c r="AQ22" s="484">
        <f>IF(SETUP!$E$7="USD",(AP22*(IF(O22="USD",AK22,(AK22/'Master Data-C19RM'!$F$2)))),(AP22*(IF(O22="EUR",AK22,(AK22*'Master Data-C19RM'!$F$2)))))</f>
        <v>0</v>
      </c>
      <c r="AR22" s="445">
        <f>IF($O22="USD",_xlfn.IFNA(VLOOKUP($A22&amp;$E22&amp;$I22,PMsheet!$J:$K,2,0),0),(_xlfn.IFNA(VLOOKUP($A22&amp;$E22&amp;$I22,PMsheet!$J:$K,2,0),0)*'Master Data-C19RM'!$G$2))</f>
        <v>0</v>
      </c>
      <c r="AS22" s="440"/>
      <c r="AT22" s="440"/>
      <c r="AU22" s="440"/>
      <c r="AV22" s="440"/>
      <c r="AW22" s="482">
        <f t="shared" si="4"/>
        <v>0</v>
      </c>
      <c r="AX22" s="484">
        <f>IF(SETUP!$E$7="USD",(AW22*(IF(O22="USD",AR22,(AR22/'Master Data-C19RM'!$G$2)))),(AW22*(IF(O22="EUR",AR22,(AR22*'Master Data-C19RM'!$G$2)))))</f>
        <v>0</v>
      </c>
      <c r="AY22" s="843"/>
      <c r="AZ22" s="843"/>
      <c r="BA22" s="843"/>
      <c r="BB22" s="843"/>
      <c r="BC22" s="843"/>
      <c r="BD22" s="843"/>
      <c r="BE22" s="844"/>
      <c r="BF22" s="482">
        <f>'C19RM 2021-Lab &amp; Other HPS'!$U22+'C19RM 2021-Lab &amp; Other HPS'!$AB22+AI22+'C19RM 2021-Lab &amp; Other HPS'!$AP22+'C19RM 2021-Lab &amp; Other HPS'!$AW22+BD22</f>
        <v>0</v>
      </c>
      <c r="BG22" s="482">
        <f>'C19RM 2021-Lab &amp; Other HPS'!$V22+'C19RM 2021-Lab &amp; Other HPS'!$AC22+'C19RM 2021-Lab &amp; Other HPS'!$AQ22+'C19RM 2021-Lab &amp; Other HPS'!$AJ22+AX22+BE22</f>
        <v>0</v>
      </c>
      <c r="BH22" s="499" t="str" cm="1">
        <f t="array" ref="BH22">IF(A22&lt;&gt;"",IFERROR(INDEX(PMtbl[[WKst]:[Unit of measure*]],MATCH($A$8&amp;$A22&amp;$E22&amp;$I22,INDEX(PMtbl[Sec]&amp;PMtbl[Category]&amp;PMtbl[Each]&amp;PMtbl[Packaging],0,),0),11),""),"")</f>
        <v/>
      </c>
      <c r="BI22" s="818"/>
      <c r="BJ22" s="503" t="str">
        <f>IFERROR(INDEX(SETUP!$C$19:$G$121,MATCH((INDEX(PMtbl[[WKst]:[Unit of measure*]],MATCH($A22&amp;$E22&amp;$I22,INDEX(PMtbl[Category]&amp;PMtbl[Each]&amp;PMtbl[Packaging],0,),0),3)),SETUP!$D$19:$D$121,0),5),"")</f>
        <v/>
      </c>
      <c r="BK22" s="439" t="str">
        <f>IFERROR(IF((INDEX(SETUP!$C$19:$G$121,MATCH((INDEX(PMtbl[[WKst]:[Unit of measure*]],MATCH($A22&amp;$E22&amp;$I22,INDEX(PMtbl[Category]&amp;PMtbl[Each]&amp;PMtbl[Packaging],0,),0),3)),SETUP!$D$19:$D$121,0),4))="Upfront",0,INDEX(SETUP!$C$19:$G$121,MATCH((INDEX(PMtbl[[WKst]:[Unit of measure*]],MATCH($A22&amp;$E22&amp;$I22,INDEX(PMtbl[Category]&amp;PMtbl[Each]&amp;PMtbl[Packaging],0,),0),3)),SETUP!$D$19:$D$121,0),5)),"")</f>
        <v/>
      </c>
      <c r="BL22" s="158" t="str" cm="1">
        <f t="array" ref="BL22">IF(A22&lt;&gt;"",IFERROR(INDEX(PMtbl[[WKst]:[Unit of measure*]],MATCH($A$8&amp;$A22&amp;$E22&amp;$I22,INDEX(PMtbl[Sec]&amp;PMtbl[Category]&amp;PMtbl[Each]&amp;PMtbl[Packaging],0,),0),11),""),"")</f>
        <v/>
      </c>
      <c r="BO22" s="12">
        <f>IF(N22="",0,IF(SETUP!$E$7="USD",((IF(O22="USD",P22,(P22/'Master Data-C19RM'!$C$2)))),((IF(O22="EUR",P22,(P22*'Master Data-C19RM'!$C$2))))))</f>
        <v>0</v>
      </c>
      <c r="BP22" s="12">
        <f>IF(N22="",0,IF(SETUP!$E$7="USD",((IF(O22="USD",W22,(W22/'Master Data-C19RM'!$D$2)))),((IF(O22="EUR",W22,(W22*'Master Data-C19RM'!$D$2))))))</f>
        <v>0</v>
      </c>
      <c r="BQ22">
        <f>IF(N22="",0,IF(SETUP!$E$7="USD",((IF(O22="USD",AD22,(AD22/'Master Data-C19RM'!$E$2)))),((IF(O22="EUR",AD22,(AD22*'Master Data-C19RM'!$E$2))))))</f>
        <v>0</v>
      </c>
      <c r="BR22">
        <f>IF(N22="",0,IF(SETUP!$E$7="USD",((IF(O22="USD",AK22,(AK22/'Master Data-C19RM'!$F$2)))),((IF(O22="EUR",AK22,(AK22*'Master Data-C19RM'!$F$2))))))</f>
        <v>0</v>
      </c>
      <c r="BS22">
        <f>IF(N22="",0,IF(SETUP!$E$7="USD",((IF(O22="USD",AR22,(AR22/'Master Data-C19RM'!$G$2)))),((IF(O22="EUR",AR22,(AR22*'Master Data-C19RM'!$G$2))))))</f>
        <v>0</v>
      </c>
      <c r="BT22">
        <f>IF(N22="",0,IF(SETUP!$E$7="USD",((IF(O22="USD",AY22,(AY22/'Master Data-C19RM'!$H$2)))),((IF(O22="EUR",AY22,(AY22*'Master Data-C19RM'!$H$2))))))</f>
        <v>0</v>
      </c>
      <c r="BU22" s="12">
        <f t="shared" si="5"/>
        <v>0</v>
      </c>
      <c r="BV22" s="142">
        <f t="shared" si="6"/>
        <v>0</v>
      </c>
    </row>
    <row r="23" spans="1:74" x14ac:dyDescent="0.35">
      <c r="A23" s="1165"/>
      <c r="B23" s="1165"/>
      <c r="C23" s="1165"/>
      <c r="D23" s="1165"/>
      <c r="E23" s="1166"/>
      <c r="F23" s="1166"/>
      <c r="G23" s="1166"/>
      <c r="H23" s="1166"/>
      <c r="I23" s="1166"/>
      <c r="J23" s="1166"/>
      <c r="K23" s="1166"/>
      <c r="L23" s="490" t="str" cm="1">
        <f t="array" ref="L23">IF(A23&lt;&gt;"",IFERROR(INDEX(PMtbl[[WKst]:[Unit of measure*]],MATCH($A$8&amp;$A23&amp;$E23&amp;$I23,INDEX(PMtbl[Sec]&amp;PMtbl[Category]&amp;PMtbl[Each]&amp;PMtbl[Packaging],0,),0),14),""),"")</f>
        <v/>
      </c>
      <c r="M23" s="540" t="str">
        <f>IF(L23="","",INDEX(SETUP!$E$20:$E$122,(MATCH(INDEX(PMsheet!$D:$E,MATCH(A23,PMsheet!E:E,0),1),SETUP!$D$20:$D$122,0))))</f>
        <v/>
      </c>
      <c r="N23" s="496">
        <f>IF($O23="USD",_xlfn.IFNA(VLOOKUP(A23&amp;E23&amp;I23,PMsheet!J:K,2,0),0),(_xlfn.IFNA(VLOOKUP(A23&amp;E23&amp;I23,PMsheet!J:K,2,0),0)*'Master Data-C19RM'!$C$2))</f>
        <v>0</v>
      </c>
      <c r="O23" s="492" t="str">
        <f>IF(L23="", "",SETUP!$E$7)</f>
        <v/>
      </c>
      <c r="P23" s="444">
        <f>IF($O23="USD",_xlfn.IFNA(VLOOKUP($A23&amp;$E23&amp;$I23,PMsheet!$J:$K,2,0),0),(_xlfn.IFNA(VLOOKUP($A23&amp;$E23&amp;$I23,PMsheet!$J:$K,2,0),0)*'Master Data-C19RM'!$C$2))</f>
        <v>0</v>
      </c>
      <c r="Q23" s="441"/>
      <c r="R23" s="441"/>
      <c r="S23" s="441"/>
      <c r="T23" s="441"/>
      <c r="U23" s="481">
        <f t="shared" si="7"/>
        <v>0</v>
      </c>
      <c r="V23" s="483">
        <f>IF(SETUP!$E$7="USD",(U23*(IF(O23="USD",P23,(P23/'Master Data-C19RM'!$C$2)))),(U23*(IF(O23="EUR",P23,(P23*'Master Data-C19RM'!$C$2)))))</f>
        <v>0</v>
      </c>
      <c r="W23" s="444">
        <f>IF($O23="USD",_xlfn.IFNA(VLOOKUP($A23&amp;$E23&amp;$I23,PMsheet!$J:$K,2,0),0),(_xlfn.IFNA(VLOOKUP($A23&amp;$E23&amp;$I23,PMsheet!$J:$K,2,0),0)*'Master Data-C19RM'!$D$2))</f>
        <v>0</v>
      </c>
      <c r="X23" s="441"/>
      <c r="Y23" s="441"/>
      <c r="Z23" s="441"/>
      <c r="AA23" s="441"/>
      <c r="AB23" s="481">
        <f t="shared" si="1"/>
        <v>0</v>
      </c>
      <c r="AC23" s="483">
        <f>IF(SETUP!$E$7="USD",(AB23*(IF(O23="USD",W23,(W23/'Master Data-C19RM'!$D$2)))),(AB23*(IF(O23="EUR",W23,(W23*'Master Data-C19RM'!$D$2)))))</f>
        <v>0</v>
      </c>
      <c r="AD23" s="444">
        <f>IF($O23="USD",_xlfn.IFNA(VLOOKUP($A23&amp;$E23&amp;$I23,PMsheet!$J:$K,2,0),0),(_xlfn.IFNA(VLOOKUP($A23&amp;$E23&amp;$I23,PMsheet!$J:$K,2,0),0)*'Master Data-C19RM'!$E$2))</f>
        <v>0</v>
      </c>
      <c r="AE23" s="441"/>
      <c r="AF23" s="441"/>
      <c r="AG23" s="441"/>
      <c r="AH23" s="441"/>
      <c r="AI23" s="512">
        <f t="shared" si="2"/>
        <v>0</v>
      </c>
      <c r="AJ23" s="513">
        <f>IF(SETUP!$E$7="USD",(AI23*(IF(O23="USD",AD23,(AD23/'Master Data-C19RM'!$E$2)))),(AI23*(IF(O23="EUR",AD23,(AD23*'Master Data-C19RM'!$E$2)))))</f>
        <v>0</v>
      </c>
      <c r="AK23" s="444">
        <f>IF($O23="USD",_xlfn.IFNA(VLOOKUP($A23&amp;$E23&amp;$I23,PMsheet!$J:$K,2,0),0),(_xlfn.IFNA(VLOOKUP($A23&amp;$E23&amp;$I23,PMsheet!$J:$K,2,0),0)*'Master Data-C19RM'!$F$2))</f>
        <v>0</v>
      </c>
      <c r="AL23" s="441"/>
      <c r="AM23" s="441"/>
      <c r="AN23" s="441"/>
      <c r="AO23" s="441"/>
      <c r="AP23" s="481">
        <f t="shared" si="3"/>
        <v>0</v>
      </c>
      <c r="AQ23" s="483">
        <f>IF(SETUP!$E$7="USD",(AP23*(IF(O23="USD",AK23,(AK23/'Master Data-C19RM'!$F$2)))),(AP23*(IF(O23="EUR",AK23,(AK23*'Master Data-C19RM'!$F$2)))))</f>
        <v>0</v>
      </c>
      <c r="AR23" s="444">
        <f>IF($O23="USD",_xlfn.IFNA(VLOOKUP($A23&amp;$E23&amp;$I23,PMsheet!$J:$K,2,0),0),(_xlfn.IFNA(VLOOKUP($A23&amp;$E23&amp;$I23,PMsheet!$J:$K,2,0),0)*'Master Data-C19RM'!$G$2))</f>
        <v>0</v>
      </c>
      <c r="AS23" s="441"/>
      <c r="AT23" s="441"/>
      <c r="AU23" s="441"/>
      <c r="AV23" s="441"/>
      <c r="AW23" s="481">
        <f t="shared" si="4"/>
        <v>0</v>
      </c>
      <c r="AX23" s="483">
        <f>IF(SETUP!$E$7="USD",(AW23*(IF(O23="USD",AR23,(AR23/'Master Data-C19RM'!$G$2)))),(AW23*(IF(O23="EUR",AR23,(AR23*'Master Data-C19RM'!$G$2)))))</f>
        <v>0</v>
      </c>
      <c r="AY23" s="851"/>
      <c r="AZ23" s="851"/>
      <c r="BA23" s="851"/>
      <c r="BB23" s="851"/>
      <c r="BC23" s="851"/>
      <c r="BD23" s="851"/>
      <c r="BE23" s="852"/>
      <c r="BF23" s="481">
        <f>'C19RM 2021-Lab &amp; Other HPS'!$U23+'C19RM 2021-Lab &amp; Other HPS'!$AB23+AI23+'C19RM 2021-Lab &amp; Other HPS'!$AP23+'C19RM 2021-Lab &amp; Other HPS'!$AW23+BD23</f>
        <v>0</v>
      </c>
      <c r="BG23" s="481">
        <f>'C19RM 2021-Lab &amp; Other HPS'!$V23+'C19RM 2021-Lab &amp; Other HPS'!$AC23+'C19RM 2021-Lab &amp; Other HPS'!$AQ23+'C19RM 2021-Lab &amp; Other HPS'!$AJ23+AX23+BE23</f>
        <v>0</v>
      </c>
      <c r="BH23" s="500" t="str" cm="1">
        <f t="array" ref="BH23">IF(A23&lt;&gt;"",IFERROR(INDEX(PMtbl[[WKst]:[Unit of measure*]],MATCH($A$8&amp;$A23&amp;$E23&amp;$I23,INDEX(PMtbl[Sec]&amp;PMtbl[Category]&amp;PMtbl[Each]&amp;PMtbl[Packaging],0,),0),11),""),"")</f>
        <v/>
      </c>
      <c r="BI23" s="819"/>
      <c r="BJ23" s="502" t="str">
        <f>IFERROR(INDEX(SETUP!$C$19:$G$121,MATCH((INDEX(PMtbl[[WKst]:[Unit of measure*]],MATCH($A23&amp;$E23&amp;$I23,INDEX(PMtbl[Category]&amp;PMtbl[Each]&amp;PMtbl[Packaging],0,),0),3)),SETUP!$D$19:$D$121,0),5),"")</f>
        <v/>
      </c>
      <c r="BK23" s="438" t="str">
        <f>IFERROR(IF((INDEX(SETUP!$C$19:$G$121,MATCH((INDEX(PMtbl[[WKst]:[Unit of measure*]],MATCH($A23&amp;$E23&amp;$I23,INDEX(PMtbl[Category]&amp;PMtbl[Each]&amp;PMtbl[Packaging],0,),0),3)),SETUP!$D$19:$D$121,0),4))="Upfront",0,INDEX(SETUP!$C$19:$G$121,MATCH((INDEX(PMtbl[[WKst]:[Unit of measure*]],MATCH($A23&amp;$E23&amp;$I23,INDEX(PMtbl[Category]&amp;PMtbl[Each]&amp;PMtbl[Packaging],0,),0),3)),SETUP!$D$19:$D$121,0),5)),"")</f>
        <v/>
      </c>
      <c r="BL23" s="157" t="str" cm="1">
        <f t="array" ref="BL23">IF(A23&lt;&gt;"",IFERROR(INDEX(PMtbl[[WKst]:[Unit of measure*]],MATCH($A$8&amp;$A23&amp;$E23&amp;$I23,INDEX(PMtbl[Sec]&amp;PMtbl[Category]&amp;PMtbl[Each]&amp;PMtbl[Packaging],0,),0),11),""),"")</f>
        <v/>
      </c>
      <c r="BO23" s="12">
        <f>IF(N23="",0,IF(SETUP!$E$7="USD",((IF(O23="USD",P23,(P23/'Master Data-C19RM'!$C$2)))),((IF(O23="EUR",P23,(P23*'Master Data-C19RM'!$C$2))))))</f>
        <v>0</v>
      </c>
      <c r="BP23" s="12">
        <f>IF(N23="",0,IF(SETUP!$E$7="USD",((IF(O23="USD",W23,(W23/'Master Data-C19RM'!$D$2)))),((IF(O23="EUR",W23,(W23*'Master Data-C19RM'!$D$2))))))</f>
        <v>0</v>
      </c>
      <c r="BQ23">
        <f>IF(N23="",0,IF(SETUP!$E$7="USD",((IF(O23="USD",AD23,(AD23/'Master Data-C19RM'!$E$2)))),((IF(O23="EUR",AD23,(AD23*'Master Data-C19RM'!$E$2))))))</f>
        <v>0</v>
      </c>
      <c r="BR23">
        <f>IF(N23="",0,IF(SETUP!$E$7="USD",((IF(O23="USD",AK23,(AK23/'Master Data-C19RM'!$F$2)))),((IF(O23="EUR",AK23,(AK23*'Master Data-C19RM'!$F$2))))))</f>
        <v>0</v>
      </c>
      <c r="BS23">
        <f>IF(N23="",0,IF(SETUP!$E$7="USD",((IF(O23="USD",AR23,(AR23/'Master Data-C19RM'!$G$2)))),((IF(O23="EUR",AR23,(AR23*'Master Data-C19RM'!$G$2))))))</f>
        <v>0</v>
      </c>
      <c r="BT23">
        <f>IF(N23="",0,IF(SETUP!$E$7="USD",((IF(O23="USD",AY23,(AY23/'Master Data-C19RM'!$H$2)))),((IF(O23="EUR",AY23,(AY23*'Master Data-C19RM'!$H$2))))))</f>
        <v>0</v>
      </c>
      <c r="BU23" s="12">
        <f t="shared" si="5"/>
        <v>0</v>
      </c>
      <c r="BV23" s="142">
        <f t="shared" si="6"/>
        <v>0</v>
      </c>
    </row>
    <row r="24" spans="1:74" x14ac:dyDescent="0.35">
      <c r="A24" s="1192"/>
      <c r="B24" s="1192"/>
      <c r="C24" s="1192"/>
      <c r="D24" s="1192"/>
      <c r="E24" s="1173"/>
      <c r="F24" s="1173"/>
      <c r="G24" s="1173"/>
      <c r="H24" s="1173"/>
      <c r="I24" s="1173"/>
      <c r="J24" s="1173"/>
      <c r="K24" s="1173"/>
      <c r="L24" s="493" t="str" cm="1">
        <f t="array" ref="L24">IF(A24&lt;&gt;"",IFERROR(INDEX(PMtbl[[WKst]:[Unit of measure*]],MATCH($A$8&amp;$A24&amp;$E24&amp;$I24,INDEX(PMtbl[Sec]&amp;PMtbl[Category]&amp;PMtbl[Each]&amp;PMtbl[Packaging],0,),0),14),""),"")</f>
        <v/>
      </c>
      <c r="M24" s="480" t="str">
        <f>IF(L24="","",INDEX(SETUP!$E$20:$E$122,(MATCH(INDEX(PMsheet!$D:$E,MATCH(A24,PMsheet!E:E,0),1),SETUP!$D$20:$D$122,0))))</f>
        <v/>
      </c>
      <c r="N24" s="494">
        <f>IF($O24="USD",_xlfn.IFNA(VLOOKUP(A24&amp;E24&amp;I24,PMsheet!J:K,2,0),0),(_xlfn.IFNA(VLOOKUP(A24&amp;E24&amp;I24,PMsheet!J:K,2,0),0)*'Master Data-C19RM'!$C$2))</f>
        <v>0</v>
      </c>
      <c r="O24" s="495" t="str">
        <f>IF(L24="", "",SETUP!$E$7)</f>
        <v/>
      </c>
      <c r="P24" s="445">
        <f>IF($O24="USD",_xlfn.IFNA(VLOOKUP($A24&amp;$E24&amp;$I24,PMsheet!$J:$K,2,0),0),(_xlfn.IFNA(VLOOKUP($A24&amp;$E24&amp;$I24,PMsheet!$J:$K,2,0),0)*'Master Data-C19RM'!$C$2))</f>
        <v>0</v>
      </c>
      <c r="Q24" s="440"/>
      <c r="R24" s="440"/>
      <c r="S24" s="440"/>
      <c r="T24" s="440"/>
      <c r="U24" s="482">
        <f t="shared" si="7"/>
        <v>0</v>
      </c>
      <c r="V24" s="484">
        <f>IF(SETUP!$E$7="USD",(U24*(IF(O24="USD",P24,(P24/'Master Data-C19RM'!$C$2)))),(U24*(IF(O24="EUR",P24,(P24*'Master Data-C19RM'!$C$2)))))</f>
        <v>0</v>
      </c>
      <c r="W24" s="445">
        <f>IF($O24="USD",_xlfn.IFNA(VLOOKUP($A24&amp;$E24&amp;$I24,PMsheet!$J:$K,2,0),0),(_xlfn.IFNA(VLOOKUP($A24&amp;$E24&amp;$I24,PMsheet!$J:$K,2,0),0)*'Master Data-C19RM'!$D$2))</f>
        <v>0</v>
      </c>
      <c r="X24" s="440"/>
      <c r="Y24" s="440"/>
      <c r="Z24" s="440"/>
      <c r="AA24" s="440"/>
      <c r="AB24" s="482">
        <f t="shared" si="1"/>
        <v>0</v>
      </c>
      <c r="AC24" s="484">
        <f>IF(SETUP!$E$7="USD",(AB24*(IF(O24="USD",W24,(W24/'Master Data-C19RM'!$D$2)))),(AB24*(IF(O24="EUR",W24,(W24*'Master Data-C19RM'!$D$2)))))</f>
        <v>0</v>
      </c>
      <c r="AD24" s="445">
        <f>IF($O24="USD",_xlfn.IFNA(VLOOKUP($A24&amp;$E24&amp;$I24,PMsheet!$J:$K,2,0),0),(_xlfn.IFNA(VLOOKUP($A24&amp;$E24&amp;$I24,PMsheet!$J:$K,2,0),0)*'Master Data-C19RM'!$E$2))</f>
        <v>0</v>
      </c>
      <c r="AE24" s="440"/>
      <c r="AF24" s="440"/>
      <c r="AG24" s="440"/>
      <c r="AH24" s="440"/>
      <c r="AI24" s="514">
        <f t="shared" si="2"/>
        <v>0</v>
      </c>
      <c r="AJ24" s="515">
        <f>IF(SETUP!$E$7="USD",(AI24*(IF(O24="USD",AD24,(AD24/'Master Data-C19RM'!$E$2)))),(AI24*(IF(O24="EUR",AD24,(AD24*'Master Data-C19RM'!$E$2)))))</f>
        <v>0</v>
      </c>
      <c r="AK24" s="445">
        <f>IF($O24="USD",_xlfn.IFNA(VLOOKUP($A24&amp;$E24&amp;$I24,PMsheet!$J:$K,2,0),0),(_xlfn.IFNA(VLOOKUP($A24&amp;$E24&amp;$I24,PMsheet!$J:$K,2,0),0)*'Master Data-C19RM'!$F$2))</f>
        <v>0</v>
      </c>
      <c r="AL24" s="440"/>
      <c r="AM24" s="440"/>
      <c r="AN24" s="440"/>
      <c r="AO24" s="440"/>
      <c r="AP24" s="482">
        <f t="shared" si="3"/>
        <v>0</v>
      </c>
      <c r="AQ24" s="484">
        <f>IF(SETUP!$E$7="USD",(AP24*(IF(O24="USD",AK24,(AK24/'Master Data-C19RM'!$F$2)))),(AP24*(IF(O24="EUR",AK24,(AK24*'Master Data-C19RM'!$F$2)))))</f>
        <v>0</v>
      </c>
      <c r="AR24" s="445">
        <f>IF($O24="USD",_xlfn.IFNA(VLOOKUP($A24&amp;$E24&amp;$I24,PMsheet!$J:$K,2,0),0),(_xlfn.IFNA(VLOOKUP($A24&amp;$E24&amp;$I24,PMsheet!$J:$K,2,0),0)*'Master Data-C19RM'!$G$2))</f>
        <v>0</v>
      </c>
      <c r="AS24" s="440"/>
      <c r="AT24" s="440"/>
      <c r="AU24" s="440"/>
      <c r="AV24" s="440"/>
      <c r="AW24" s="482">
        <f t="shared" si="4"/>
        <v>0</v>
      </c>
      <c r="AX24" s="484">
        <f>IF(SETUP!$E$7="USD",(AW24*(IF(O24="USD",AR24,(AR24/'Master Data-C19RM'!$G$2)))),(AW24*(IF(O24="EUR",AR24,(AR24*'Master Data-C19RM'!$G$2)))))</f>
        <v>0</v>
      </c>
      <c r="AY24" s="843"/>
      <c r="AZ24" s="843"/>
      <c r="BA24" s="843"/>
      <c r="BB24" s="843"/>
      <c r="BC24" s="843"/>
      <c r="BD24" s="843"/>
      <c r="BE24" s="844"/>
      <c r="BF24" s="482">
        <f>'C19RM 2021-Lab &amp; Other HPS'!$U24+'C19RM 2021-Lab &amp; Other HPS'!$AB24+AI24+'C19RM 2021-Lab &amp; Other HPS'!$AP24+'C19RM 2021-Lab &amp; Other HPS'!$AW24+BD24</f>
        <v>0</v>
      </c>
      <c r="BG24" s="482">
        <f>'C19RM 2021-Lab &amp; Other HPS'!$V24+'C19RM 2021-Lab &amp; Other HPS'!$AC24+'C19RM 2021-Lab &amp; Other HPS'!$AQ24+'C19RM 2021-Lab &amp; Other HPS'!$AJ24+AX24+BE24</f>
        <v>0</v>
      </c>
      <c r="BH24" s="499" t="str" cm="1">
        <f t="array" ref="BH24">IF(A24&lt;&gt;"",IFERROR(INDEX(PMtbl[[WKst]:[Unit of measure*]],MATCH($A$8&amp;$A24&amp;$E24&amp;$I24,INDEX(PMtbl[Sec]&amp;PMtbl[Category]&amp;PMtbl[Each]&amp;PMtbl[Packaging],0,),0),11),""),"")</f>
        <v/>
      </c>
      <c r="BI24" s="818"/>
      <c r="BJ24" s="503" t="str">
        <f>IFERROR(INDEX(SETUP!$C$19:$G$121,MATCH((INDEX(PMtbl[[WKst]:[Unit of measure*]],MATCH($A24&amp;$E24&amp;$I24,INDEX(PMtbl[Category]&amp;PMtbl[Each]&amp;PMtbl[Packaging],0,),0),3)),SETUP!$D$19:$D$121,0),5),"")</f>
        <v/>
      </c>
      <c r="BK24" s="439" t="str">
        <f>IFERROR(IF((INDEX(SETUP!$C$19:$G$121,MATCH((INDEX(PMtbl[[WKst]:[Unit of measure*]],MATCH($A24&amp;$E24&amp;$I24,INDEX(PMtbl[Category]&amp;PMtbl[Each]&amp;PMtbl[Packaging],0,),0),3)),SETUP!$D$19:$D$121,0),4))="Upfront",0,INDEX(SETUP!$C$19:$G$121,MATCH((INDEX(PMtbl[[WKst]:[Unit of measure*]],MATCH($A24&amp;$E24&amp;$I24,INDEX(PMtbl[Category]&amp;PMtbl[Each]&amp;PMtbl[Packaging],0,),0),3)),SETUP!$D$19:$D$121,0),5)),"")</f>
        <v/>
      </c>
      <c r="BL24" s="158" t="str" cm="1">
        <f t="array" ref="BL24">IF(A24&lt;&gt;"",IFERROR(INDEX(PMtbl[[WKst]:[Unit of measure*]],MATCH($A$8&amp;$A24&amp;$E24&amp;$I24,INDEX(PMtbl[Sec]&amp;PMtbl[Category]&amp;PMtbl[Each]&amp;PMtbl[Packaging],0,),0),11),""),"")</f>
        <v/>
      </c>
      <c r="BO24" s="12">
        <f>IF(N24="",0,IF(SETUP!$E$7="USD",((IF(O24="USD",P24,(P24/'Master Data-C19RM'!$C$2)))),((IF(O24="EUR",P24,(P24*'Master Data-C19RM'!$C$2))))))</f>
        <v>0</v>
      </c>
      <c r="BP24" s="12">
        <f>IF(N24="",0,IF(SETUP!$E$7="USD",((IF(O24="USD",W24,(W24/'Master Data-C19RM'!$D$2)))),((IF(O24="EUR",W24,(W24*'Master Data-C19RM'!$D$2))))))</f>
        <v>0</v>
      </c>
      <c r="BQ24">
        <f>IF(N24="",0,IF(SETUP!$E$7="USD",((IF(O24="USD",AD24,(AD24/'Master Data-C19RM'!$E$2)))),((IF(O24="EUR",AD24,(AD24*'Master Data-C19RM'!$E$2))))))</f>
        <v>0</v>
      </c>
      <c r="BR24">
        <f>IF(N24="",0,IF(SETUP!$E$7="USD",((IF(O24="USD",AK24,(AK24/'Master Data-C19RM'!$F$2)))),((IF(O24="EUR",AK24,(AK24*'Master Data-C19RM'!$F$2))))))</f>
        <v>0</v>
      </c>
      <c r="BS24">
        <f>IF(N24="",0,IF(SETUP!$E$7="USD",((IF(O24="USD",AR24,(AR24/'Master Data-C19RM'!$G$2)))),((IF(O24="EUR",AR24,(AR24*'Master Data-C19RM'!$G$2))))))</f>
        <v>0</v>
      </c>
      <c r="BT24">
        <f>IF(N24="",0,IF(SETUP!$E$7="USD",((IF(O24="USD",AY24,(AY24/'Master Data-C19RM'!$H$2)))),((IF(O24="EUR",AY24,(AY24*'Master Data-C19RM'!$H$2))))))</f>
        <v>0</v>
      </c>
      <c r="BU24" s="12">
        <f t="shared" si="5"/>
        <v>0</v>
      </c>
      <c r="BV24" s="142">
        <f t="shared" si="6"/>
        <v>0</v>
      </c>
    </row>
    <row r="25" spans="1:74" x14ac:dyDescent="0.35">
      <c r="A25" s="1165"/>
      <c r="B25" s="1165"/>
      <c r="C25" s="1165"/>
      <c r="D25" s="1165"/>
      <c r="E25" s="1166"/>
      <c r="F25" s="1166"/>
      <c r="G25" s="1166"/>
      <c r="H25" s="1166"/>
      <c r="I25" s="1166"/>
      <c r="J25" s="1166"/>
      <c r="K25" s="1166"/>
      <c r="L25" s="490" t="str" cm="1">
        <f t="array" ref="L25">IF(A25&lt;&gt;"",IFERROR(INDEX(PMtbl[[WKst]:[Unit of measure*]],MATCH($A$8&amp;$A25&amp;$E25&amp;$I25,INDEX(PMtbl[Sec]&amp;PMtbl[Category]&amp;PMtbl[Each]&amp;PMtbl[Packaging],0,),0),14),""),"")</f>
        <v/>
      </c>
      <c r="M25" s="540" t="str">
        <f>IF(L25="","",INDEX(SETUP!$E$20:$E$122,(MATCH(INDEX(PMsheet!$D:$E,MATCH(A25,PMsheet!E:E,0),1),SETUP!$D$20:$D$122,0))))</f>
        <v/>
      </c>
      <c r="N25" s="496">
        <f>IF($O25="USD",_xlfn.IFNA(VLOOKUP(A25&amp;E25&amp;I25,PMsheet!J:K,2,0),0),(_xlfn.IFNA(VLOOKUP(A25&amp;E25&amp;I25,PMsheet!J:K,2,0),0)*'Master Data-C19RM'!$C$2))</f>
        <v>0</v>
      </c>
      <c r="O25" s="492" t="str">
        <f>IF(L25="", "",SETUP!$E$7)</f>
        <v/>
      </c>
      <c r="P25" s="444">
        <f>IF($O25="USD",_xlfn.IFNA(VLOOKUP($A25&amp;$E25&amp;$I25,PMsheet!$J:$K,2,0),0),(_xlfn.IFNA(VLOOKUP($A25&amp;$E25&amp;$I25,PMsheet!$J:$K,2,0),0)*'Master Data-C19RM'!$C$2))</f>
        <v>0</v>
      </c>
      <c r="Q25" s="441"/>
      <c r="R25" s="441"/>
      <c r="S25" s="441"/>
      <c r="T25" s="441"/>
      <c r="U25" s="481">
        <f t="shared" si="7"/>
        <v>0</v>
      </c>
      <c r="V25" s="483">
        <f>IF(SETUP!$E$7="USD",(U25*(IF(O25="USD",P25,(P25/'Master Data-C19RM'!$C$2)))),(U25*(IF(O25="EUR",P25,(P25*'Master Data-C19RM'!$C$2)))))</f>
        <v>0</v>
      </c>
      <c r="W25" s="444">
        <f>IF($O25="USD",_xlfn.IFNA(VLOOKUP($A25&amp;$E25&amp;$I25,PMsheet!$J:$K,2,0),0),(_xlfn.IFNA(VLOOKUP($A25&amp;$E25&amp;$I25,PMsheet!$J:$K,2,0),0)*'Master Data-C19RM'!$D$2))</f>
        <v>0</v>
      </c>
      <c r="X25" s="441"/>
      <c r="Y25" s="441"/>
      <c r="Z25" s="441"/>
      <c r="AA25" s="441"/>
      <c r="AB25" s="481">
        <f t="shared" si="1"/>
        <v>0</v>
      </c>
      <c r="AC25" s="483">
        <f>IF(SETUP!$E$7="USD",(AB25*(IF(O25="USD",W25,(W25/'Master Data-C19RM'!$D$2)))),(AB25*(IF(O25="EUR",W25,(W25*'Master Data-C19RM'!$D$2)))))</f>
        <v>0</v>
      </c>
      <c r="AD25" s="444">
        <f>IF($O25="USD",_xlfn.IFNA(VLOOKUP($A25&amp;$E25&amp;$I25,PMsheet!$J:$K,2,0),0),(_xlfn.IFNA(VLOOKUP($A25&amp;$E25&amp;$I25,PMsheet!$J:$K,2,0),0)*'Master Data-C19RM'!$E$2))</f>
        <v>0</v>
      </c>
      <c r="AE25" s="441"/>
      <c r="AF25" s="441"/>
      <c r="AG25" s="441"/>
      <c r="AH25" s="441"/>
      <c r="AI25" s="512">
        <f t="shared" si="2"/>
        <v>0</v>
      </c>
      <c r="AJ25" s="513">
        <f>IF(SETUP!$E$7="USD",(AI25*(IF(O25="USD",AD25,(AD25/'Master Data-C19RM'!$E$2)))),(AI25*(IF(O25="EUR",AD25,(AD25*'Master Data-C19RM'!$E$2)))))</f>
        <v>0</v>
      </c>
      <c r="AK25" s="444">
        <f>IF($O25="USD",_xlfn.IFNA(VLOOKUP($A25&amp;$E25&amp;$I25,PMsheet!$J:$K,2,0),0),(_xlfn.IFNA(VLOOKUP($A25&amp;$E25&amp;$I25,PMsheet!$J:$K,2,0),0)*'Master Data-C19RM'!$F$2))</f>
        <v>0</v>
      </c>
      <c r="AL25" s="441"/>
      <c r="AM25" s="441"/>
      <c r="AN25" s="441"/>
      <c r="AO25" s="441"/>
      <c r="AP25" s="481">
        <f t="shared" si="3"/>
        <v>0</v>
      </c>
      <c r="AQ25" s="483">
        <f>IF(SETUP!$E$7="USD",(AP25*(IF(O25="USD",AK25,(AK25/'Master Data-C19RM'!$F$2)))),(AP25*(IF(O25="EUR",AK25,(AK25*'Master Data-C19RM'!$F$2)))))</f>
        <v>0</v>
      </c>
      <c r="AR25" s="444">
        <f>IF($O25="USD",_xlfn.IFNA(VLOOKUP($A25&amp;$E25&amp;$I25,PMsheet!$J:$K,2,0),0),(_xlfn.IFNA(VLOOKUP($A25&amp;$E25&amp;$I25,PMsheet!$J:$K,2,0),0)*'Master Data-C19RM'!$G$2))</f>
        <v>0</v>
      </c>
      <c r="AS25" s="441"/>
      <c r="AT25" s="441"/>
      <c r="AU25" s="441"/>
      <c r="AV25" s="441"/>
      <c r="AW25" s="481">
        <f t="shared" si="4"/>
        <v>0</v>
      </c>
      <c r="AX25" s="483">
        <f>IF(SETUP!$E$7="USD",(AW25*(IF(O25="USD",AR25,(AR25/'Master Data-C19RM'!$G$2)))),(AW25*(IF(O25="EUR",AR25,(AR25*'Master Data-C19RM'!$G$2)))))</f>
        <v>0</v>
      </c>
      <c r="AY25" s="851"/>
      <c r="AZ25" s="851"/>
      <c r="BA25" s="851"/>
      <c r="BB25" s="851"/>
      <c r="BC25" s="851"/>
      <c r="BD25" s="851"/>
      <c r="BE25" s="852"/>
      <c r="BF25" s="481">
        <f>'C19RM 2021-Lab &amp; Other HPS'!$U25+'C19RM 2021-Lab &amp; Other HPS'!$AB25+AI25+'C19RM 2021-Lab &amp; Other HPS'!$AP25+'C19RM 2021-Lab &amp; Other HPS'!$AW25+BD25</f>
        <v>0</v>
      </c>
      <c r="BG25" s="481">
        <f>'C19RM 2021-Lab &amp; Other HPS'!$V25+'C19RM 2021-Lab &amp; Other HPS'!$AC25+'C19RM 2021-Lab &amp; Other HPS'!$AQ25+'C19RM 2021-Lab &amp; Other HPS'!$AJ25+AX25+BE25</f>
        <v>0</v>
      </c>
      <c r="BH25" s="500" t="str" cm="1">
        <f t="array" ref="BH25">IF(A25&lt;&gt;"",IFERROR(INDEX(PMtbl[[WKst]:[Unit of measure*]],MATCH($A$8&amp;$A25&amp;$E25&amp;$I25,INDEX(PMtbl[Sec]&amp;PMtbl[Category]&amp;PMtbl[Each]&amp;PMtbl[Packaging],0,),0),11),""),"")</f>
        <v/>
      </c>
      <c r="BI25" s="819"/>
      <c r="BJ25" s="502" t="str">
        <f>IFERROR(INDEX(SETUP!$C$19:$G$121,MATCH((INDEX(PMtbl[[WKst]:[Unit of measure*]],MATCH($A25&amp;$E25&amp;$I25,INDEX(PMtbl[Category]&amp;PMtbl[Each]&amp;PMtbl[Packaging],0,),0),3)),SETUP!$D$19:$D$121,0),5),"")</f>
        <v/>
      </c>
      <c r="BK25" s="438" t="str">
        <f>IFERROR(IF((INDEX(SETUP!$C$19:$G$121,MATCH((INDEX(PMtbl[[WKst]:[Unit of measure*]],MATCH($A25&amp;$E25&amp;$I25,INDEX(PMtbl[Category]&amp;PMtbl[Each]&amp;PMtbl[Packaging],0,),0),3)),SETUP!$D$19:$D$121,0),4))="Upfront",0,INDEX(SETUP!$C$19:$G$121,MATCH((INDEX(PMtbl[[WKst]:[Unit of measure*]],MATCH($A25&amp;$E25&amp;$I25,INDEX(PMtbl[Category]&amp;PMtbl[Each]&amp;PMtbl[Packaging],0,),0),3)),SETUP!$D$19:$D$121,0),5)),"")</f>
        <v/>
      </c>
      <c r="BL25" s="157" t="str" cm="1">
        <f t="array" ref="BL25">IF(A25&lt;&gt;"",IFERROR(INDEX(PMtbl[[WKst]:[Unit of measure*]],MATCH($A$8&amp;$A25&amp;$E25&amp;$I25,INDEX(PMtbl[Sec]&amp;PMtbl[Category]&amp;PMtbl[Each]&amp;PMtbl[Packaging],0,),0),11),""),"")</f>
        <v/>
      </c>
      <c r="BO25" s="12">
        <f>IF(N25="",0,IF(SETUP!$E$7="USD",((IF(O25="USD",P25,(P25/'Master Data-C19RM'!$C$2)))),((IF(O25="EUR",P25,(P25*'Master Data-C19RM'!$C$2))))))</f>
        <v>0</v>
      </c>
      <c r="BP25" s="12">
        <f>IF(N25="",0,IF(SETUP!$E$7="USD",((IF(O25="USD",W25,(W25/'Master Data-C19RM'!$D$2)))),((IF(O25="EUR",W25,(W25*'Master Data-C19RM'!$D$2))))))</f>
        <v>0</v>
      </c>
      <c r="BQ25">
        <f>IF(N25="",0,IF(SETUP!$E$7="USD",((IF(O25="USD",AD25,(AD25/'Master Data-C19RM'!$E$2)))),((IF(O25="EUR",AD25,(AD25*'Master Data-C19RM'!$E$2))))))</f>
        <v>0</v>
      </c>
      <c r="BR25">
        <f>IF(N25="",0,IF(SETUP!$E$7="USD",((IF(O25="USD",AK25,(AK25/'Master Data-C19RM'!$F$2)))),((IF(O25="EUR",AK25,(AK25*'Master Data-C19RM'!$F$2))))))</f>
        <v>0</v>
      </c>
      <c r="BS25">
        <f>IF(N25="",0,IF(SETUP!$E$7="USD",((IF(O25="USD",AR25,(AR25/'Master Data-C19RM'!$G$2)))),((IF(O25="EUR",AR25,(AR25*'Master Data-C19RM'!$G$2))))))</f>
        <v>0</v>
      </c>
      <c r="BT25">
        <f>IF(N25="",0,IF(SETUP!$E$7="USD",((IF(O25="USD",AY25,(AY25/'Master Data-C19RM'!$H$2)))),((IF(O25="EUR",AY25,(AY25*'Master Data-C19RM'!$H$2))))))</f>
        <v>0</v>
      </c>
      <c r="BU25" s="12">
        <f t="shared" si="5"/>
        <v>0</v>
      </c>
      <c r="BV25" s="142">
        <f t="shared" si="6"/>
        <v>0</v>
      </c>
    </row>
    <row r="26" spans="1:74" x14ac:dyDescent="0.35">
      <c r="A26" s="1192"/>
      <c r="B26" s="1192"/>
      <c r="C26" s="1192"/>
      <c r="D26" s="1192"/>
      <c r="E26" s="1173"/>
      <c r="F26" s="1173"/>
      <c r="G26" s="1173"/>
      <c r="H26" s="1173"/>
      <c r="I26" s="1173"/>
      <c r="J26" s="1173"/>
      <c r="K26" s="1173"/>
      <c r="L26" s="493" t="str" cm="1">
        <f t="array" ref="L26">IF(A26&lt;&gt;"",IFERROR(INDEX(PMtbl[[WKst]:[Unit of measure*]],MATCH($A$8&amp;$A26&amp;$E26&amp;$I26,INDEX(PMtbl[Sec]&amp;PMtbl[Category]&amp;PMtbl[Each]&amp;PMtbl[Packaging],0,),0),14),""),"")</f>
        <v/>
      </c>
      <c r="M26" s="480" t="str">
        <f>IF(L26="","",INDEX(SETUP!$E$20:$E$122,(MATCH(INDEX(PMsheet!$D:$E,MATCH(A26,PMsheet!E:E,0),1),SETUP!$D$20:$D$122,0))))</f>
        <v/>
      </c>
      <c r="N26" s="494">
        <f>IF($O26="USD",_xlfn.IFNA(VLOOKUP(A26&amp;E26&amp;I26,PMsheet!J:K,2,0),0),(_xlfn.IFNA(VLOOKUP(A26&amp;E26&amp;I26,PMsheet!J:K,2,0),0)*'Master Data-C19RM'!$C$2))</f>
        <v>0</v>
      </c>
      <c r="O26" s="495" t="str">
        <f>IF(L26="", "",SETUP!$E$7)</f>
        <v/>
      </c>
      <c r="P26" s="445">
        <f>IF($O26="USD",_xlfn.IFNA(VLOOKUP($A26&amp;$E26&amp;$I26,PMsheet!$J:$K,2,0),0),(_xlfn.IFNA(VLOOKUP($A26&amp;$E26&amp;$I26,PMsheet!$J:$K,2,0),0)*'Master Data-C19RM'!$C$2))</f>
        <v>0</v>
      </c>
      <c r="Q26" s="440"/>
      <c r="R26" s="440"/>
      <c r="S26" s="440"/>
      <c r="T26" s="440"/>
      <c r="U26" s="482">
        <f t="shared" si="7"/>
        <v>0</v>
      </c>
      <c r="V26" s="484">
        <f>IF(SETUP!$E$7="USD",(U26*(IF(O26="USD",P26,(P26/'Master Data-C19RM'!$C$2)))),(U26*(IF(O26="EUR",P26,(P26*'Master Data-C19RM'!$C$2)))))</f>
        <v>0</v>
      </c>
      <c r="W26" s="445">
        <f>IF($O26="USD",_xlfn.IFNA(VLOOKUP($A26&amp;$E26&amp;$I26,PMsheet!$J:$K,2,0),0),(_xlfn.IFNA(VLOOKUP($A26&amp;$E26&amp;$I26,PMsheet!$J:$K,2,0),0)*'Master Data-C19RM'!$D$2))</f>
        <v>0</v>
      </c>
      <c r="X26" s="440"/>
      <c r="Y26" s="440"/>
      <c r="Z26" s="440"/>
      <c r="AA26" s="440"/>
      <c r="AB26" s="482">
        <f t="shared" si="1"/>
        <v>0</v>
      </c>
      <c r="AC26" s="484">
        <f>IF(SETUP!$E$7="USD",(AB26*(IF(O26="USD",W26,(W26/'Master Data-C19RM'!$D$2)))),(AB26*(IF(O26="EUR",W26,(W26*'Master Data-C19RM'!$D$2)))))</f>
        <v>0</v>
      </c>
      <c r="AD26" s="445">
        <f>IF($O26="USD",_xlfn.IFNA(VLOOKUP($A26&amp;$E26&amp;$I26,PMsheet!$J:$K,2,0),0),(_xlfn.IFNA(VLOOKUP($A26&amp;$E26&amp;$I26,PMsheet!$J:$K,2,0),0)*'Master Data-C19RM'!$E$2))</f>
        <v>0</v>
      </c>
      <c r="AE26" s="440"/>
      <c r="AF26" s="440"/>
      <c r="AG26" s="440"/>
      <c r="AH26" s="440"/>
      <c r="AI26" s="514">
        <f t="shared" si="2"/>
        <v>0</v>
      </c>
      <c r="AJ26" s="515">
        <f>IF(SETUP!$E$7="USD",(AI26*(IF(O26="USD",AD26,(AD26/'Master Data-C19RM'!$E$2)))),(AI26*(IF(O26="EUR",AD26,(AD26*'Master Data-C19RM'!$E$2)))))</f>
        <v>0</v>
      </c>
      <c r="AK26" s="445">
        <f>IF($O26="USD",_xlfn.IFNA(VLOOKUP($A26&amp;$E26&amp;$I26,PMsheet!$J:$K,2,0),0),(_xlfn.IFNA(VLOOKUP($A26&amp;$E26&amp;$I26,PMsheet!$J:$K,2,0),0)*'Master Data-C19RM'!$F$2))</f>
        <v>0</v>
      </c>
      <c r="AL26" s="440"/>
      <c r="AM26" s="440"/>
      <c r="AN26" s="440"/>
      <c r="AO26" s="440"/>
      <c r="AP26" s="482">
        <f t="shared" si="3"/>
        <v>0</v>
      </c>
      <c r="AQ26" s="484">
        <f>IF(SETUP!$E$7="USD",(AP26*(IF(O26="USD",AK26,(AK26/'Master Data-C19RM'!$F$2)))),(AP26*(IF(O26="EUR",AK26,(AK26*'Master Data-C19RM'!$F$2)))))</f>
        <v>0</v>
      </c>
      <c r="AR26" s="445">
        <f>IF($O26="USD",_xlfn.IFNA(VLOOKUP($A26&amp;$E26&amp;$I26,PMsheet!$J:$K,2,0),0),(_xlfn.IFNA(VLOOKUP($A26&amp;$E26&amp;$I26,PMsheet!$J:$K,2,0),0)*'Master Data-C19RM'!$G$2))</f>
        <v>0</v>
      </c>
      <c r="AS26" s="440"/>
      <c r="AT26" s="440"/>
      <c r="AU26" s="440"/>
      <c r="AV26" s="440"/>
      <c r="AW26" s="482">
        <f t="shared" si="4"/>
        <v>0</v>
      </c>
      <c r="AX26" s="484">
        <f>IF(SETUP!$E$7="USD",(AW26*(IF(O26="USD",AR26,(AR26/'Master Data-C19RM'!$G$2)))),(AW26*(IF(O26="EUR",AR26,(AR26*'Master Data-C19RM'!$G$2)))))</f>
        <v>0</v>
      </c>
      <c r="AY26" s="843"/>
      <c r="AZ26" s="843"/>
      <c r="BA26" s="843"/>
      <c r="BB26" s="843"/>
      <c r="BC26" s="843"/>
      <c r="BD26" s="843"/>
      <c r="BE26" s="844"/>
      <c r="BF26" s="482">
        <f>'C19RM 2021-Lab &amp; Other HPS'!$U26+'C19RM 2021-Lab &amp; Other HPS'!$AB26+AI26+'C19RM 2021-Lab &amp; Other HPS'!$AP26+'C19RM 2021-Lab &amp; Other HPS'!$AW26+BD26</f>
        <v>0</v>
      </c>
      <c r="BG26" s="482">
        <f>'C19RM 2021-Lab &amp; Other HPS'!$V26+'C19RM 2021-Lab &amp; Other HPS'!$AC26+'C19RM 2021-Lab &amp; Other HPS'!$AQ26+'C19RM 2021-Lab &amp; Other HPS'!$AJ26+AX26+BE26</f>
        <v>0</v>
      </c>
      <c r="BH26" s="499" t="str" cm="1">
        <f t="array" ref="BH26">IF(A26&lt;&gt;"",IFERROR(INDEX(PMtbl[[WKst]:[Unit of measure*]],MATCH($A$8&amp;$A26&amp;$E26&amp;$I26,INDEX(PMtbl[Sec]&amp;PMtbl[Category]&amp;PMtbl[Each]&amp;PMtbl[Packaging],0,),0),11),""),"")</f>
        <v/>
      </c>
      <c r="BI26" s="818"/>
      <c r="BJ26" s="503" t="str">
        <f>IFERROR(INDEX(SETUP!$C$19:$G$121,MATCH((INDEX(PMtbl[[WKst]:[Unit of measure*]],MATCH($A26&amp;$E26&amp;$I26,INDEX(PMtbl[Category]&amp;PMtbl[Each]&amp;PMtbl[Packaging],0,),0),3)),SETUP!$D$19:$D$121,0),5),"")</f>
        <v/>
      </c>
      <c r="BK26" s="439" t="str">
        <f>IFERROR(IF((INDEX(SETUP!$C$19:$G$121,MATCH((INDEX(PMtbl[[WKst]:[Unit of measure*]],MATCH($A26&amp;$E26&amp;$I26,INDEX(PMtbl[Category]&amp;PMtbl[Each]&amp;PMtbl[Packaging],0,),0),3)),SETUP!$D$19:$D$121,0),4))="Upfront",0,INDEX(SETUP!$C$19:$G$121,MATCH((INDEX(PMtbl[[WKst]:[Unit of measure*]],MATCH($A26&amp;$E26&amp;$I26,INDEX(PMtbl[Category]&amp;PMtbl[Each]&amp;PMtbl[Packaging],0,),0),3)),SETUP!$D$19:$D$121,0),5)),"")</f>
        <v/>
      </c>
      <c r="BL26" s="158" t="str" cm="1">
        <f t="array" ref="BL26">IF(A26&lt;&gt;"",IFERROR(INDEX(PMtbl[[WKst]:[Unit of measure*]],MATCH($A$8&amp;$A26&amp;$E26&amp;$I26,INDEX(PMtbl[Sec]&amp;PMtbl[Category]&amp;PMtbl[Each]&amp;PMtbl[Packaging],0,),0),11),""),"")</f>
        <v/>
      </c>
      <c r="BO26" s="12">
        <f>IF(N26="",0,IF(SETUP!$E$7="USD",((IF(O26="USD",P26,(P26/'Master Data-C19RM'!$C$2)))),((IF(O26="EUR",P26,(P26*'Master Data-C19RM'!$C$2))))))</f>
        <v>0</v>
      </c>
      <c r="BP26" s="12">
        <f>IF(N26="",0,IF(SETUP!$E$7="USD",((IF(O26="USD",W26,(W26/'Master Data-C19RM'!$D$2)))),((IF(O26="EUR",W26,(W26*'Master Data-C19RM'!$D$2))))))</f>
        <v>0</v>
      </c>
      <c r="BQ26">
        <f>IF(N26="",0,IF(SETUP!$E$7="USD",((IF(O26="USD",AD26,(AD26/'Master Data-C19RM'!$E$2)))),((IF(O26="EUR",AD26,(AD26*'Master Data-C19RM'!$E$2))))))</f>
        <v>0</v>
      </c>
      <c r="BR26">
        <f>IF(N26="",0,IF(SETUP!$E$7="USD",((IF(O26="USD",AK26,(AK26/'Master Data-C19RM'!$F$2)))),((IF(O26="EUR",AK26,(AK26*'Master Data-C19RM'!$F$2))))))</f>
        <v>0</v>
      </c>
      <c r="BS26">
        <f>IF(N26="",0,IF(SETUP!$E$7="USD",((IF(O26="USD",AR26,(AR26/'Master Data-C19RM'!$G$2)))),((IF(O26="EUR",AR26,(AR26*'Master Data-C19RM'!$G$2))))))</f>
        <v>0</v>
      </c>
      <c r="BT26">
        <f>IF(N26="",0,IF(SETUP!$E$7="USD",((IF(O26="USD",AY26,(AY26/'Master Data-C19RM'!$H$2)))),((IF(O26="EUR",AY26,(AY26*'Master Data-C19RM'!$H$2))))))</f>
        <v>0</v>
      </c>
      <c r="BU26" s="12">
        <f t="shared" si="5"/>
        <v>0</v>
      </c>
      <c r="BV26" s="142">
        <f t="shared" si="6"/>
        <v>0</v>
      </c>
    </row>
    <row r="27" spans="1:74" x14ac:dyDescent="0.35">
      <c r="A27" s="1165"/>
      <c r="B27" s="1165"/>
      <c r="C27" s="1165"/>
      <c r="D27" s="1165"/>
      <c r="E27" s="1166"/>
      <c r="F27" s="1166"/>
      <c r="G27" s="1166"/>
      <c r="H27" s="1166"/>
      <c r="I27" s="1166"/>
      <c r="J27" s="1166"/>
      <c r="K27" s="1166"/>
      <c r="L27" s="490" t="str" cm="1">
        <f t="array" ref="L27">IF(A27&lt;&gt;"",IFERROR(INDEX(PMtbl[[WKst]:[Unit of measure*]],MATCH($A$8&amp;$A27&amp;$E27&amp;$I27,INDEX(PMtbl[Sec]&amp;PMtbl[Category]&amp;PMtbl[Each]&amp;PMtbl[Packaging],0,),0),14),""),"")</f>
        <v/>
      </c>
      <c r="M27" s="540" t="str">
        <f>IF(L27="","",INDEX(SETUP!$E$20:$E$122,(MATCH(INDEX(PMsheet!$D:$E,MATCH(A27,PMsheet!E:E,0),1),SETUP!$D$20:$D$122,0))))</f>
        <v/>
      </c>
      <c r="N27" s="496">
        <f>IF($O27="USD",_xlfn.IFNA(VLOOKUP(A27&amp;E27&amp;I27,PMsheet!J:K,2,0),0),(_xlfn.IFNA(VLOOKUP(A27&amp;E27&amp;I27,PMsheet!J:K,2,0),0)*'Master Data-C19RM'!$C$2))</f>
        <v>0</v>
      </c>
      <c r="O27" s="492" t="str">
        <f>IF(L27="", "",SETUP!$E$7)</f>
        <v/>
      </c>
      <c r="P27" s="444">
        <f>IF($O27="USD",_xlfn.IFNA(VLOOKUP($A27&amp;$E27&amp;$I27,PMsheet!$J:$K,2,0),0),(_xlfn.IFNA(VLOOKUP($A27&amp;$E27&amp;$I27,PMsheet!$J:$K,2,0),0)*'Master Data-C19RM'!$C$2))</f>
        <v>0</v>
      </c>
      <c r="Q27" s="441"/>
      <c r="R27" s="441"/>
      <c r="S27" s="441"/>
      <c r="T27" s="441"/>
      <c r="U27" s="481">
        <f t="shared" si="7"/>
        <v>0</v>
      </c>
      <c r="V27" s="483">
        <f>IF(SETUP!$E$7="USD",(U27*(IF(O27="USD",P27,(P27/'Master Data-C19RM'!$C$2)))),(U27*(IF(O27="EUR",P27,(P27*'Master Data-C19RM'!$C$2)))))</f>
        <v>0</v>
      </c>
      <c r="W27" s="444">
        <f>IF($O27="USD",_xlfn.IFNA(VLOOKUP($A27&amp;$E27&amp;$I27,PMsheet!$J:$K,2,0),0),(_xlfn.IFNA(VLOOKUP($A27&amp;$E27&amp;$I27,PMsheet!$J:$K,2,0),0)*'Master Data-C19RM'!$D$2))</f>
        <v>0</v>
      </c>
      <c r="X27" s="441"/>
      <c r="Y27" s="441"/>
      <c r="Z27" s="441"/>
      <c r="AA27" s="441"/>
      <c r="AB27" s="481">
        <f t="shared" si="1"/>
        <v>0</v>
      </c>
      <c r="AC27" s="483">
        <f>IF(SETUP!$E$7="USD",(AB27*(IF(O27="USD",W27,(W27/'Master Data-C19RM'!$D$2)))),(AB27*(IF(O27="EUR",W27,(W27*'Master Data-C19RM'!$D$2)))))</f>
        <v>0</v>
      </c>
      <c r="AD27" s="444">
        <f>IF($O27="USD",_xlfn.IFNA(VLOOKUP($A27&amp;$E27&amp;$I27,PMsheet!$J:$K,2,0),0),(_xlfn.IFNA(VLOOKUP($A27&amp;$E27&amp;$I27,PMsheet!$J:$K,2,0),0)*'Master Data-C19RM'!$E$2))</f>
        <v>0</v>
      </c>
      <c r="AE27" s="441"/>
      <c r="AF27" s="441"/>
      <c r="AG27" s="441"/>
      <c r="AH27" s="441"/>
      <c r="AI27" s="512">
        <f>SUM($AE27:$AH27)</f>
        <v>0</v>
      </c>
      <c r="AJ27" s="513">
        <f>IF(SETUP!$E$7="USD",(AI27*(IF(O27="USD",AD27,(AD27/'Master Data-C19RM'!$E$2)))),(AI27*(IF(O27="EUR",AD27,(AD27*'Master Data-C19RM'!$E$2)))))</f>
        <v>0</v>
      </c>
      <c r="AK27" s="444">
        <f>IF($O27="USD",_xlfn.IFNA(VLOOKUP($A27&amp;$E27&amp;$I27,PMsheet!$J:$K,2,0),0),(_xlfn.IFNA(VLOOKUP($A27&amp;$E27&amp;$I27,PMsheet!$J:$K,2,0),0)*'Master Data-C19RM'!$F$2))</f>
        <v>0</v>
      </c>
      <c r="AL27" s="441"/>
      <c r="AM27" s="441"/>
      <c r="AN27" s="441"/>
      <c r="AO27" s="441"/>
      <c r="AP27" s="481">
        <f t="shared" si="3"/>
        <v>0</v>
      </c>
      <c r="AQ27" s="483">
        <f>IF(SETUP!$E$7="USD",(AP27*(IF(O27="USD",AK27,(AK27/'Master Data-C19RM'!$F$2)))),(AP27*(IF(O27="EUR",AK27,(AK27*'Master Data-C19RM'!$F$2)))))</f>
        <v>0</v>
      </c>
      <c r="AR27" s="444">
        <f>IF($O27="USD",_xlfn.IFNA(VLOOKUP($A27&amp;$E27&amp;$I27,PMsheet!$J:$K,2,0),0),(_xlfn.IFNA(VLOOKUP($A27&amp;$E27&amp;$I27,PMsheet!$J:$K,2,0),0)*'Master Data-C19RM'!$G$2))</f>
        <v>0</v>
      </c>
      <c r="AS27" s="441"/>
      <c r="AT27" s="441"/>
      <c r="AU27" s="441"/>
      <c r="AV27" s="441"/>
      <c r="AW27" s="481">
        <f t="shared" si="4"/>
        <v>0</v>
      </c>
      <c r="AX27" s="483">
        <f>IF(SETUP!$E$7="USD",(AW27*(IF(O27="USD",AR27,(AR27/'Master Data-C19RM'!$G$2)))),(AW27*(IF(O27="EUR",AR27,(AR27*'Master Data-C19RM'!$G$2)))))</f>
        <v>0</v>
      </c>
      <c r="AY27" s="851"/>
      <c r="AZ27" s="851"/>
      <c r="BA27" s="851"/>
      <c r="BB27" s="851"/>
      <c r="BC27" s="851"/>
      <c r="BD27" s="851"/>
      <c r="BE27" s="852"/>
      <c r="BF27" s="481">
        <f>'C19RM 2021-Lab &amp; Other HPS'!$U27+'C19RM 2021-Lab &amp; Other HPS'!$AB27+AI27+'C19RM 2021-Lab &amp; Other HPS'!$AP27+'C19RM 2021-Lab &amp; Other HPS'!$AW27+BD27</f>
        <v>0</v>
      </c>
      <c r="BG27" s="481">
        <f>'C19RM 2021-Lab &amp; Other HPS'!$V27+'C19RM 2021-Lab &amp; Other HPS'!$AC27+'C19RM 2021-Lab &amp; Other HPS'!$AQ27+'C19RM 2021-Lab &amp; Other HPS'!$AJ27+AX27+BE27</f>
        <v>0</v>
      </c>
      <c r="BH27" s="500" t="str" cm="1">
        <f t="array" ref="BH27">IF(A27&lt;&gt;"",IFERROR(INDEX(PMtbl[[WKst]:[Unit of measure*]],MATCH($A$8&amp;$A27&amp;$E27&amp;$I27,INDEX(PMtbl[Sec]&amp;PMtbl[Category]&amp;PMtbl[Each]&amp;PMtbl[Packaging],0,),0),11),""),"")</f>
        <v/>
      </c>
      <c r="BI27" s="819"/>
      <c r="BJ27" s="502" t="str">
        <f>IFERROR(INDEX(SETUP!$C$19:$G$121,MATCH((INDEX(PMtbl[[WKst]:[Unit of measure*]],MATCH($A27&amp;$E27&amp;$I27,INDEX(PMtbl[Category]&amp;PMtbl[Each]&amp;PMtbl[Packaging],0,),0),3)),SETUP!$D$19:$D$121,0),5),"")</f>
        <v/>
      </c>
      <c r="BK27" s="438" t="str">
        <f>IFERROR(IF((INDEX(SETUP!$C$19:$G$121,MATCH((INDEX(PMtbl[[WKst]:[Unit of measure*]],MATCH($A27&amp;$E27&amp;$I27,INDEX(PMtbl[Category]&amp;PMtbl[Each]&amp;PMtbl[Packaging],0,),0),3)),SETUP!$D$19:$D$121,0),4))="Upfront",0,INDEX(SETUP!$C$19:$G$121,MATCH((INDEX(PMtbl[[WKst]:[Unit of measure*]],MATCH($A27&amp;$E27&amp;$I27,INDEX(PMtbl[Category]&amp;PMtbl[Each]&amp;PMtbl[Packaging],0,),0),3)),SETUP!$D$19:$D$121,0),5)),"")</f>
        <v/>
      </c>
      <c r="BL27" s="157" t="str" cm="1">
        <f t="array" ref="BL27">IF(A27&lt;&gt;"",IFERROR(INDEX(PMtbl[[WKst]:[Unit of measure*]],MATCH($A$8&amp;$A27&amp;$E27&amp;$I27,INDEX(PMtbl[Sec]&amp;PMtbl[Category]&amp;PMtbl[Each]&amp;PMtbl[Packaging],0,),0),11),""),"")</f>
        <v/>
      </c>
      <c r="BO27" s="12">
        <f>IF(N27="",0,IF(SETUP!$E$7="USD",((IF(O27="USD",P27,(P27/'Master Data-C19RM'!$C$2)))),((IF(O27="EUR",P27,(P27*'Master Data-C19RM'!$C$2))))))</f>
        <v>0</v>
      </c>
      <c r="BP27" s="12">
        <f>IF(N27="",0,IF(SETUP!$E$7="USD",((IF(O27="USD",W27,(W27/'Master Data-C19RM'!$D$2)))),((IF(O27="EUR",W27,(W27*'Master Data-C19RM'!$D$2))))))</f>
        <v>0</v>
      </c>
      <c r="BQ27">
        <f>IF(N27="",0,IF(SETUP!$E$7="USD",((IF(O27="USD",AD27,(AD27/'Master Data-C19RM'!$E$2)))),((IF(O27="EUR",AD27,(AD27*'Master Data-C19RM'!$E$2))))))</f>
        <v>0</v>
      </c>
      <c r="BR27">
        <f>IF(N27="",0,IF(SETUP!$E$7="USD",((IF(O27="USD",AK27,(AK27/'Master Data-C19RM'!$F$2)))),((IF(O27="EUR",AK27,(AK27*'Master Data-C19RM'!$F$2))))))</f>
        <v>0</v>
      </c>
      <c r="BS27">
        <f>IF(N27="",0,IF(SETUP!$E$7="USD",((IF(O27="USD",AR27,(AR27/'Master Data-C19RM'!$G$2)))),((IF(O27="EUR",AR27,(AR27*'Master Data-C19RM'!$G$2))))))</f>
        <v>0</v>
      </c>
      <c r="BT27">
        <f>IF(N27="",0,IF(SETUP!$E$7="USD",((IF(O27="USD",AY27,(AY27/'Master Data-C19RM'!$H$2)))),((IF(O27="EUR",AY27,(AY27*'Master Data-C19RM'!$H$2))))))</f>
        <v>0</v>
      </c>
      <c r="BU27" s="12">
        <f t="shared" si="5"/>
        <v>0</v>
      </c>
      <c r="BV27" s="142">
        <f t="shared" si="6"/>
        <v>0</v>
      </c>
    </row>
    <row r="28" spans="1:74" ht="14.5" customHeight="1" x14ac:dyDescent="0.35">
      <c r="A28" s="1192"/>
      <c r="B28" s="1192"/>
      <c r="C28" s="1192"/>
      <c r="D28" s="1192"/>
      <c r="E28" s="1173"/>
      <c r="F28" s="1173"/>
      <c r="G28" s="1173"/>
      <c r="H28" s="1173"/>
      <c r="I28" s="1173"/>
      <c r="J28" s="1173"/>
      <c r="K28" s="1173"/>
      <c r="L28" s="493" t="str" cm="1">
        <f t="array" ref="L28">IF(A28&lt;&gt;"",IFERROR(INDEX(PMtbl[[WKst]:[Unit of measure*]],MATCH($A$8&amp;$A28&amp;$E28&amp;$I28,INDEX(PMtbl[Sec]&amp;PMtbl[Category]&amp;PMtbl[Each]&amp;PMtbl[Packaging],0,),0),14),""),"")</f>
        <v/>
      </c>
      <c r="M28" s="480" t="str">
        <f>IF(L28="","",INDEX(SETUP!$E$20:$E$122,(MATCH(INDEX(PMsheet!$D:$E,MATCH(A28,PMsheet!E:E,0),1),SETUP!$D$20:$D$122,0))))</f>
        <v/>
      </c>
      <c r="N28" s="494">
        <f>IF($O28="USD",_xlfn.IFNA(VLOOKUP(A28&amp;E28&amp;I28,PMsheet!J:K,2,0),0),(_xlfn.IFNA(VLOOKUP(A28&amp;E28&amp;I28,PMsheet!J:K,2,0),0)*'Master Data-C19RM'!$C$2))</f>
        <v>0</v>
      </c>
      <c r="O28" s="495" t="str">
        <f>IF(L28="", "",SETUP!$E$7)</f>
        <v/>
      </c>
      <c r="P28" s="445">
        <f>IF($O28="USD",_xlfn.IFNA(VLOOKUP($A28&amp;$E28&amp;$I28,PMsheet!$J:$K,2,0),0),(_xlfn.IFNA(VLOOKUP($A28&amp;$E28&amp;$I28,PMsheet!$J:$K,2,0),0)*'Master Data-C19RM'!$C$2))</f>
        <v>0</v>
      </c>
      <c r="Q28" s="440"/>
      <c r="R28" s="440"/>
      <c r="S28" s="440"/>
      <c r="T28" s="440"/>
      <c r="U28" s="482">
        <f t="shared" si="7"/>
        <v>0</v>
      </c>
      <c r="V28" s="484">
        <f>IF(SETUP!$E$7="USD",(U28*(IF(O28="USD",P28,(P28/'Master Data-C19RM'!$C$2)))),(U28*(IF(O28="EUR",P28,(P28*'Master Data-C19RM'!$C$2)))))</f>
        <v>0</v>
      </c>
      <c r="W28" s="445">
        <f>IF($O28="USD",_xlfn.IFNA(VLOOKUP($A28&amp;$E28&amp;$I28,PMsheet!$J:$K,2,0),0),(_xlfn.IFNA(VLOOKUP($A28&amp;$E28&amp;$I28,PMsheet!$J:$K,2,0),0)*'Master Data-C19RM'!$D$2))</f>
        <v>0</v>
      </c>
      <c r="X28" s="440"/>
      <c r="Y28" s="440"/>
      <c r="Z28" s="440"/>
      <c r="AA28" s="440"/>
      <c r="AB28" s="482">
        <f t="shared" si="1"/>
        <v>0</v>
      </c>
      <c r="AC28" s="484">
        <f>IF(SETUP!$E$7="USD",(AB28*(IF(O28="USD",W28,(W28/'Master Data-C19RM'!$D$2)))),(AB28*(IF(O28="EUR",W28,(W28*'Master Data-C19RM'!$D$2)))))</f>
        <v>0</v>
      </c>
      <c r="AD28" s="445">
        <f>IF($O28="USD",_xlfn.IFNA(VLOOKUP($A28&amp;$E28&amp;$I28,PMsheet!$J:$K,2,0),0),(_xlfn.IFNA(VLOOKUP($A28&amp;$E28&amp;$I28,PMsheet!$J:$K,2,0),0)*'Master Data-C19RM'!$E$2))</f>
        <v>0</v>
      </c>
      <c r="AE28" s="440"/>
      <c r="AF28" s="440"/>
      <c r="AG28" s="440"/>
      <c r="AH28" s="440"/>
      <c r="AI28" s="514">
        <f t="shared" ref="AI28:AI113" si="8">SUM($AE28:$AH28)</f>
        <v>0</v>
      </c>
      <c r="AJ28" s="515">
        <f>IF(SETUP!$E$7="USD",(AI28*(IF(O28="USD",AD28,(AD28/'Master Data-C19RM'!$E$2)))),(AI28*(IF(O28="EUR",AD28,(AD28*'Master Data-C19RM'!$E$2)))))</f>
        <v>0</v>
      </c>
      <c r="AK28" s="445">
        <f>IF($O28="USD",_xlfn.IFNA(VLOOKUP($A28&amp;$E28&amp;$I28,PMsheet!$J:$K,2,0),0),(_xlfn.IFNA(VLOOKUP($A28&amp;$E28&amp;$I28,PMsheet!$J:$K,2,0),0)*'Master Data-C19RM'!$F$2))</f>
        <v>0</v>
      </c>
      <c r="AL28" s="440"/>
      <c r="AM28" s="440"/>
      <c r="AN28" s="440"/>
      <c r="AO28" s="440"/>
      <c r="AP28" s="482">
        <f t="shared" si="3"/>
        <v>0</v>
      </c>
      <c r="AQ28" s="484">
        <f>IF(SETUP!$E$7="USD",(AP28*(IF(O28="USD",AK28,(AK28/'Master Data-C19RM'!$F$2)))),(AP28*(IF(O28="EUR",AK28,(AK28*'Master Data-C19RM'!$F$2)))))</f>
        <v>0</v>
      </c>
      <c r="AR28" s="445">
        <f>IF($O28="USD",_xlfn.IFNA(VLOOKUP($A28&amp;$E28&amp;$I28,PMsheet!$J:$K,2,0),0),(_xlfn.IFNA(VLOOKUP($A28&amp;$E28&amp;$I28,PMsheet!$J:$K,2,0),0)*'Master Data-C19RM'!$G$2))</f>
        <v>0</v>
      </c>
      <c r="AS28" s="440"/>
      <c r="AT28" s="440"/>
      <c r="AU28" s="440"/>
      <c r="AV28" s="440"/>
      <c r="AW28" s="482">
        <f t="shared" si="4"/>
        <v>0</v>
      </c>
      <c r="AX28" s="484">
        <f>IF(SETUP!$E$7="USD",(AW28*(IF(O28="USD",AR28,(AR28/'Master Data-C19RM'!$G$2)))),(AW28*(IF(O28="EUR",AR28,(AR28*'Master Data-C19RM'!$G$2)))))</f>
        <v>0</v>
      </c>
      <c r="AY28" s="843"/>
      <c r="AZ28" s="843"/>
      <c r="BA28" s="843"/>
      <c r="BB28" s="843"/>
      <c r="BC28" s="843"/>
      <c r="BD28" s="843"/>
      <c r="BE28" s="844"/>
      <c r="BF28" s="482">
        <f>'C19RM 2021-Lab &amp; Other HPS'!$U28+'C19RM 2021-Lab &amp; Other HPS'!$AB28+AI28+'C19RM 2021-Lab &amp; Other HPS'!$AP28+'C19RM 2021-Lab &amp; Other HPS'!$AW28+BD28</f>
        <v>0</v>
      </c>
      <c r="BG28" s="482">
        <f>'C19RM 2021-Lab &amp; Other HPS'!$V28+'C19RM 2021-Lab &amp; Other HPS'!$AC28+'C19RM 2021-Lab &amp; Other HPS'!$AQ28+'C19RM 2021-Lab &amp; Other HPS'!$AJ28+AX28+BE28</f>
        <v>0</v>
      </c>
      <c r="BH28" s="499" t="str" cm="1">
        <f t="array" ref="BH28">IF(A28&lt;&gt;"",IFERROR(INDEX(PMtbl[[WKst]:[Unit of measure*]],MATCH($A$8&amp;$A28&amp;$E28&amp;$I28,INDEX(PMtbl[Sec]&amp;PMtbl[Category]&amp;PMtbl[Each]&amp;PMtbl[Packaging],0,),0),11),""),"")</f>
        <v/>
      </c>
      <c r="BI28" s="818"/>
      <c r="BJ28" s="503" t="str">
        <f>IFERROR(INDEX(SETUP!$C$19:$G$121,MATCH((INDEX(PMtbl[[WKst]:[Unit of measure*]],MATCH($A28&amp;$E28&amp;$I28,INDEX(PMtbl[Category]&amp;PMtbl[Each]&amp;PMtbl[Packaging],0,),0),3)),SETUP!$D$19:$D$121,0),5),"")</f>
        <v/>
      </c>
      <c r="BK28" s="439" t="str">
        <f>IFERROR(IF((INDEX(SETUP!$C$19:$G$121,MATCH((INDEX(PMtbl[[WKst]:[Unit of measure*]],MATCH($A28&amp;$E28&amp;$I28,INDEX(PMtbl[Category]&amp;PMtbl[Each]&amp;PMtbl[Packaging],0,),0),3)),SETUP!$D$19:$D$121,0),4))="Upfront",0,INDEX(SETUP!$C$19:$G$121,MATCH((INDEX(PMtbl[[WKst]:[Unit of measure*]],MATCH($A28&amp;$E28&amp;$I28,INDEX(PMtbl[Category]&amp;PMtbl[Each]&amp;PMtbl[Packaging],0,),0),3)),SETUP!$D$19:$D$121,0),5)),"")</f>
        <v/>
      </c>
      <c r="BL28" s="158" t="str" cm="1">
        <f t="array" ref="BL28">IF(A28&lt;&gt;"",IFERROR(INDEX(PMtbl[[WKst]:[Unit of measure*]],MATCH($A$8&amp;$A28&amp;$E28&amp;$I28,INDEX(PMtbl[Sec]&amp;PMtbl[Category]&amp;PMtbl[Each]&amp;PMtbl[Packaging],0,),0),11),""),"")</f>
        <v/>
      </c>
      <c r="BO28" s="12">
        <f>IF(N28="",0,IF(SETUP!$E$7="USD",((IF(O28="USD",P28,(P28/'Master Data-C19RM'!$C$2)))),((IF(O28="EUR",P28,(P28*'Master Data-C19RM'!$C$2))))))</f>
        <v>0</v>
      </c>
      <c r="BP28" s="12">
        <f>IF(N28="",0,IF(SETUP!$E$7="USD",((IF(O28="USD",W28,(W28/'Master Data-C19RM'!$D$2)))),((IF(O28="EUR",W28,(W28*'Master Data-C19RM'!$D$2))))))</f>
        <v>0</v>
      </c>
      <c r="BQ28">
        <f>IF(N28="",0,IF(SETUP!$E$7="USD",((IF(O28="USD",AD28,(AD28/'Master Data-C19RM'!$E$2)))),((IF(O28="EUR",AD28,(AD28*'Master Data-C19RM'!$E$2))))))</f>
        <v>0</v>
      </c>
      <c r="BR28">
        <f>IF(N28="",0,IF(SETUP!$E$7="USD",((IF(O28="USD",AK28,(AK28/'Master Data-C19RM'!$F$2)))),((IF(O28="EUR",AK28,(AK28*'Master Data-C19RM'!$F$2))))))</f>
        <v>0</v>
      </c>
      <c r="BS28">
        <f>IF(N28="",0,IF(SETUP!$E$7="USD",((IF(O28="USD",AR28,(AR28/'Master Data-C19RM'!$G$2)))),((IF(O28="EUR",AR28,(AR28*'Master Data-C19RM'!$G$2))))))</f>
        <v>0</v>
      </c>
      <c r="BT28">
        <f>IF(N28="",0,IF(SETUP!$E$7="USD",((IF(O28="USD",AY28,(AY28/'Master Data-C19RM'!$H$2)))),((IF(O28="EUR",AY28,(AY28*'Master Data-C19RM'!$H$2))))))</f>
        <v>0</v>
      </c>
      <c r="BU28" s="12">
        <f t="shared" si="5"/>
        <v>0</v>
      </c>
      <c r="BV28" s="142">
        <f t="shared" si="6"/>
        <v>0</v>
      </c>
    </row>
    <row r="29" spans="1:74" ht="14.5" customHeight="1" x14ac:dyDescent="0.35">
      <c r="A29" s="1165"/>
      <c r="B29" s="1165"/>
      <c r="C29" s="1165"/>
      <c r="D29" s="1165"/>
      <c r="E29" s="1166"/>
      <c r="F29" s="1166"/>
      <c r="G29" s="1166"/>
      <c r="H29" s="1166"/>
      <c r="I29" s="1166"/>
      <c r="J29" s="1166"/>
      <c r="K29" s="1166"/>
      <c r="L29" s="490" t="str" cm="1">
        <f t="array" ref="L29">IF(A29&lt;&gt;"",IFERROR(INDEX(PMtbl[[WKst]:[Unit of measure*]],MATCH($A$8&amp;$A29&amp;$E29&amp;$I29,INDEX(PMtbl[Sec]&amp;PMtbl[Category]&amp;PMtbl[Each]&amp;PMtbl[Packaging],0,),0),14),""),"")</f>
        <v/>
      </c>
      <c r="M29" s="479" t="str">
        <f>IF(L29="","",INDEX(SETUP!$E$20:$E$122,(MATCH(INDEX(PMsheet!$D:$E,MATCH(A29,PMsheet!E:E,0),1),SETUP!$D$20:$D$122,0))))</f>
        <v/>
      </c>
      <c r="N29" s="496">
        <f>IF($O29="USD",_xlfn.IFNA(VLOOKUP(A29&amp;E29&amp;I29,PMsheet!J:K,2,0),0),(_xlfn.IFNA(VLOOKUP(A29&amp;E29&amp;I29,PMsheet!J:K,2,0),0)*'Master Data-C19RM'!$C$2))</f>
        <v>0</v>
      </c>
      <c r="O29" s="492" t="str">
        <f>IF(L29="", "",SETUP!$E$7)</f>
        <v/>
      </c>
      <c r="P29" s="444">
        <f>IF($O29="USD",_xlfn.IFNA(VLOOKUP($A29&amp;$E29&amp;$I29,PMsheet!$J:$K,2,0),0),(_xlfn.IFNA(VLOOKUP($A29&amp;$E29&amp;$I29,PMsheet!$J:$K,2,0),0)*'Master Data-C19RM'!$C$2))</f>
        <v>0</v>
      </c>
      <c r="Q29" s="441"/>
      <c r="R29" s="441"/>
      <c r="S29" s="441"/>
      <c r="T29" s="441"/>
      <c r="U29" s="481">
        <f t="shared" si="7"/>
        <v>0</v>
      </c>
      <c r="V29" s="483">
        <f>IF(SETUP!$E$7="USD",(U29*(IF(O29="USD",P29,(P29/'Master Data-C19RM'!$C$2)))),(U29*(IF(O29="EUR",P29,(P29*'Master Data-C19RM'!$C$2)))))</f>
        <v>0</v>
      </c>
      <c r="W29" s="444">
        <f>IF($O29="USD",_xlfn.IFNA(VLOOKUP($A29&amp;$E29&amp;$I29,PMsheet!$J:$K,2,0),0),(_xlfn.IFNA(VLOOKUP($A29&amp;$E29&amp;$I29,PMsheet!$J:$K,2,0),0)*'Master Data-C19RM'!$D$2))</f>
        <v>0</v>
      </c>
      <c r="X29" s="441"/>
      <c r="Y29" s="441"/>
      <c r="Z29" s="441"/>
      <c r="AA29" s="441"/>
      <c r="AB29" s="481">
        <f t="shared" si="1"/>
        <v>0</v>
      </c>
      <c r="AC29" s="483">
        <f>IF(SETUP!$E$7="USD",(AB29*(IF(O29="USD",W29,(W29/'Master Data-C19RM'!$D$2)))),(AB29*(IF(O29="EUR",W29,(W29*'Master Data-C19RM'!$D$2)))))</f>
        <v>0</v>
      </c>
      <c r="AD29" s="444">
        <f>IF($O29="USD",_xlfn.IFNA(VLOOKUP($A29&amp;$E29&amp;$I29,PMsheet!$J:$K,2,0),0),(_xlfn.IFNA(VLOOKUP($A29&amp;$E29&amp;$I29,PMsheet!$J:$K,2,0),0)*'Master Data-C19RM'!$E$2))</f>
        <v>0</v>
      </c>
      <c r="AE29" s="441"/>
      <c r="AF29" s="441"/>
      <c r="AG29" s="441"/>
      <c r="AH29" s="441"/>
      <c r="AI29" s="512">
        <f t="shared" si="8"/>
        <v>0</v>
      </c>
      <c r="AJ29" s="513">
        <f>IF(SETUP!$E$7="USD",(AI29*(IF(O29="USD",AD29,(AD29/'Master Data-C19RM'!$E$2)))),(AI29*(IF(O29="EUR",AD29,(AD29*'Master Data-C19RM'!$E$2)))))</f>
        <v>0</v>
      </c>
      <c r="AK29" s="444">
        <f>IF($O29="USD",_xlfn.IFNA(VLOOKUP($A29&amp;$E29&amp;$I29,PMsheet!$J:$K,2,0),0),(_xlfn.IFNA(VLOOKUP($A29&amp;$E29&amp;$I29,PMsheet!$J:$K,2,0),0)*'Master Data-C19RM'!$F$2))</f>
        <v>0</v>
      </c>
      <c r="AL29" s="441"/>
      <c r="AM29" s="441"/>
      <c r="AN29" s="441"/>
      <c r="AO29" s="441"/>
      <c r="AP29" s="481">
        <f t="shared" si="3"/>
        <v>0</v>
      </c>
      <c r="AQ29" s="483">
        <f>IF(SETUP!$E$7="USD",(AP29*(IF(O29="USD",AK29,(AK29/'Master Data-C19RM'!$F$2)))),(AP29*(IF(O29="EUR",AK29,(AK29*'Master Data-C19RM'!$F$2)))))</f>
        <v>0</v>
      </c>
      <c r="AR29" s="444">
        <f>IF($O29="USD",_xlfn.IFNA(VLOOKUP($A29&amp;$E29&amp;$I29,PMsheet!$J:$K,2,0),0),(_xlfn.IFNA(VLOOKUP($A29&amp;$E29&amp;$I29,PMsheet!$J:$K,2,0),0)*'Master Data-C19RM'!$G$2))</f>
        <v>0</v>
      </c>
      <c r="AS29" s="441"/>
      <c r="AT29" s="441"/>
      <c r="AU29" s="441"/>
      <c r="AV29" s="441"/>
      <c r="AW29" s="481">
        <f t="shared" si="4"/>
        <v>0</v>
      </c>
      <c r="AX29" s="483">
        <f>IF(SETUP!$E$7="USD",(AW29*(IF(O29="USD",AR29,(AR29/'Master Data-C19RM'!$G$2)))),(AW29*(IF(O29="EUR",AR29,(AR29*'Master Data-C19RM'!$G$2)))))</f>
        <v>0</v>
      </c>
      <c r="AY29" s="851"/>
      <c r="AZ29" s="851"/>
      <c r="BA29" s="851"/>
      <c r="BB29" s="851"/>
      <c r="BC29" s="851"/>
      <c r="BD29" s="851"/>
      <c r="BE29" s="852"/>
      <c r="BF29" s="481">
        <f>'C19RM 2021-Lab &amp; Other HPS'!$U29+'C19RM 2021-Lab &amp; Other HPS'!$AB29+AI29+'C19RM 2021-Lab &amp; Other HPS'!$AP29+'C19RM 2021-Lab &amp; Other HPS'!$AW29+BD29</f>
        <v>0</v>
      </c>
      <c r="BG29" s="481">
        <f>'C19RM 2021-Lab &amp; Other HPS'!$V29+'C19RM 2021-Lab &amp; Other HPS'!$AC29+'C19RM 2021-Lab &amp; Other HPS'!$AQ29+'C19RM 2021-Lab &amp; Other HPS'!$AJ29+AX29+BE29</f>
        <v>0</v>
      </c>
      <c r="BH29" s="500" t="str" cm="1">
        <f t="array" ref="BH29">IF(A29&lt;&gt;"",IFERROR(INDEX(PMtbl[[WKst]:[Unit of measure*]],MATCH($A$8&amp;$A29&amp;$E29&amp;$I29,INDEX(PMtbl[Sec]&amp;PMtbl[Category]&amp;PMtbl[Each]&amp;PMtbl[Packaging],0,),0),11),""),"")</f>
        <v/>
      </c>
      <c r="BI29" s="819"/>
      <c r="BJ29" s="502" t="str">
        <f>IFERROR(INDEX(SETUP!$C$19:$G$121,MATCH((INDEX(PMtbl[[WKst]:[Unit of measure*]],MATCH($A29&amp;$E29&amp;$I29,INDEX(PMtbl[Category]&amp;PMtbl[Each]&amp;PMtbl[Packaging],0,),0),3)),SETUP!$D$19:$D$121,0),5),"")</f>
        <v/>
      </c>
      <c r="BK29" s="438" t="str">
        <f>IFERROR(IF((INDEX(SETUP!$C$19:$G$121,MATCH((INDEX(PMtbl[[WKst]:[Unit of measure*]],MATCH($A29&amp;$E29&amp;$I29,INDEX(PMtbl[Category]&amp;PMtbl[Each]&amp;PMtbl[Packaging],0,),0),3)),SETUP!$D$19:$D$121,0),4))="Upfront",0,INDEX(SETUP!$C$19:$G$121,MATCH((INDEX(PMtbl[[WKst]:[Unit of measure*]],MATCH($A29&amp;$E29&amp;$I29,INDEX(PMtbl[Category]&amp;PMtbl[Each]&amp;PMtbl[Packaging],0,),0),3)),SETUP!$D$19:$D$121,0),5)),"")</f>
        <v/>
      </c>
      <c r="BL29" s="157" t="str" cm="1">
        <f t="array" ref="BL29">IF(A29&lt;&gt;"",IFERROR(INDEX(PMtbl[[WKst]:[Unit of measure*]],MATCH($A$8&amp;$A29&amp;$E29&amp;$I29,INDEX(PMtbl[Sec]&amp;PMtbl[Category]&amp;PMtbl[Each]&amp;PMtbl[Packaging],0,),0),11),""),"")</f>
        <v/>
      </c>
      <c r="BO29" s="12">
        <f>IF(N29="",0,IF(SETUP!$E$7="USD",((IF(O29="USD",P29,(P29/'Master Data-C19RM'!$C$2)))),((IF(O29="EUR",P29,(P29*'Master Data-C19RM'!$C$2))))))</f>
        <v>0</v>
      </c>
      <c r="BP29" s="12">
        <f>IF(N29="",0,IF(SETUP!$E$7="USD",((IF(O29="USD",W29,(W29/'Master Data-C19RM'!$D$2)))),((IF(O29="EUR",W29,(W29*'Master Data-C19RM'!$D$2))))))</f>
        <v>0</v>
      </c>
      <c r="BQ29">
        <f>IF(N29="",0,IF(SETUP!$E$7="USD",((IF(O29="USD",AD29,(AD29/'Master Data-C19RM'!$E$2)))),((IF(O29="EUR",AD29,(AD29*'Master Data-C19RM'!$E$2))))))</f>
        <v>0</v>
      </c>
      <c r="BR29">
        <f>IF(N29="",0,IF(SETUP!$E$7="USD",((IF(O29="USD",AK29,(AK29/'Master Data-C19RM'!$F$2)))),((IF(O29="EUR",AK29,(AK29*'Master Data-C19RM'!$F$2))))))</f>
        <v>0</v>
      </c>
      <c r="BS29">
        <f>IF(N29="",0,IF(SETUP!$E$7="USD",((IF(O29="USD",AR29,(AR29/'Master Data-C19RM'!$G$2)))),((IF(O29="EUR",AR29,(AR29*'Master Data-C19RM'!$G$2))))))</f>
        <v>0</v>
      </c>
      <c r="BT29">
        <f>IF(N29="",0,IF(SETUP!$E$7="USD",((IF(O29="USD",AY29,(AY29/'Master Data-C19RM'!$H$2)))),((IF(O29="EUR",AY29,(AY29*'Master Data-C19RM'!$H$2))))))</f>
        <v>0</v>
      </c>
      <c r="BU29" s="12">
        <f t="shared" si="5"/>
        <v>0</v>
      </c>
      <c r="BV29" s="142">
        <f t="shared" si="6"/>
        <v>0</v>
      </c>
    </row>
    <row r="30" spans="1:74" ht="14.5" customHeight="1" x14ac:dyDescent="0.35">
      <c r="A30" s="1192"/>
      <c r="B30" s="1192"/>
      <c r="C30" s="1192"/>
      <c r="D30" s="1192"/>
      <c r="E30" s="1173"/>
      <c r="F30" s="1173"/>
      <c r="G30" s="1173"/>
      <c r="H30" s="1173"/>
      <c r="I30" s="1173"/>
      <c r="J30" s="1173"/>
      <c r="K30" s="1173"/>
      <c r="L30" s="493" t="str" cm="1">
        <f t="array" ref="L30">IF(A30&lt;&gt;"",IFERROR(INDEX(PMtbl[[WKst]:[Unit of measure*]],MATCH($A$8&amp;$A30&amp;$E30&amp;$I30,INDEX(PMtbl[Sec]&amp;PMtbl[Category]&amp;PMtbl[Each]&amp;PMtbl[Packaging],0,),0),14),""),"")</f>
        <v/>
      </c>
      <c r="M30" s="480" t="str">
        <f>IF(L30="","",INDEX(SETUP!$E$20:$E$122,(MATCH(INDEX(PMsheet!$D:$E,MATCH(A30,PMsheet!E:E,0),1),SETUP!$D$20:$D$122,0))))</f>
        <v/>
      </c>
      <c r="N30" s="494">
        <f>IF($O30="USD",_xlfn.IFNA(VLOOKUP(A30&amp;E30&amp;I30,PMsheet!J:K,2,0),0),(_xlfn.IFNA(VLOOKUP(A30&amp;E30&amp;I30,PMsheet!J:K,2,0),0)*'Master Data-C19RM'!$C$2))</f>
        <v>0</v>
      </c>
      <c r="O30" s="495" t="str">
        <f>IF(L30="", "",SETUP!$E$7)</f>
        <v/>
      </c>
      <c r="P30" s="445">
        <f>IF($O30="USD",_xlfn.IFNA(VLOOKUP($A30&amp;$E30&amp;$I30,PMsheet!$J:$K,2,0),0),(_xlfn.IFNA(VLOOKUP($A30&amp;$E30&amp;$I30,PMsheet!$J:$K,2,0),0)*'Master Data-C19RM'!$C$2))</f>
        <v>0</v>
      </c>
      <c r="Q30" s="440"/>
      <c r="R30" s="440"/>
      <c r="S30" s="440"/>
      <c r="T30" s="440"/>
      <c r="U30" s="482">
        <f t="shared" si="7"/>
        <v>0</v>
      </c>
      <c r="V30" s="484">
        <f>IF(SETUP!$E$7="USD",(U30*(IF(O30="USD",P30,(P30/'Master Data-C19RM'!$C$2)))),(U30*(IF(O30="EUR",P30,(P30*'Master Data-C19RM'!$C$2)))))</f>
        <v>0</v>
      </c>
      <c r="W30" s="445">
        <f>IF($O30="USD",_xlfn.IFNA(VLOOKUP($A30&amp;$E30&amp;$I30,PMsheet!$J:$K,2,0),0),(_xlfn.IFNA(VLOOKUP($A30&amp;$E30&amp;$I30,PMsheet!$J:$K,2,0),0)*'Master Data-C19RM'!$D$2))</f>
        <v>0</v>
      </c>
      <c r="X30" s="440"/>
      <c r="Y30" s="440"/>
      <c r="Z30" s="440"/>
      <c r="AA30" s="440"/>
      <c r="AB30" s="482">
        <f t="shared" si="1"/>
        <v>0</v>
      </c>
      <c r="AC30" s="484">
        <f>IF(SETUP!$E$7="USD",(AB30*(IF(O30="USD",W30,(W30/'Master Data-C19RM'!$D$2)))),(AB30*(IF(O30="EUR",W30,(W30*'Master Data-C19RM'!$D$2)))))</f>
        <v>0</v>
      </c>
      <c r="AD30" s="445">
        <f>IF($O30="USD",_xlfn.IFNA(VLOOKUP($A30&amp;$E30&amp;$I30,PMsheet!$J:$K,2,0),0),(_xlfn.IFNA(VLOOKUP($A30&amp;$E30&amp;$I30,PMsheet!$J:$K,2,0),0)*'Master Data-C19RM'!$E$2))</f>
        <v>0</v>
      </c>
      <c r="AE30" s="440"/>
      <c r="AF30" s="440"/>
      <c r="AG30" s="440"/>
      <c r="AH30" s="440"/>
      <c r="AI30" s="514">
        <f t="shared" si="8"/>
        <v>0</v>
      </c>
      <c r="AJ30" s="515">
        <f>IF(SETUP!$E$7="USD",(AI30*(IF(O30="USD",AD30,(AD30/'Master Data-C19RM'!$E$2)))),(AI30*(IF(O30="EUR",AD30,(AD30*'Master Data-C19RM'!$E$2)))))</f>
        <v>0</v>
      </c>
      <c r="AK30" s="445">
        <f>IF($O30="USD",_xlfn.IFNA(VLOOKUP($A30&amp;$E30&amp;$I30,PMsheet!$J:$K,2,0),0),(_xlfn.IFNA(VLOOKUP($A30&amp;$E30&amp;$I30,PMsheet!$J:$K,2,0),0)*'Master Data-C19RM'!$F$2))</f>
        <v>0</v>
      </c>
      <c r="AL30" s="440"/>
      <c r="AM30" s="440"/>
      <c r="AN30" s="440"/>
      <c r="AO30" s="440"/>
      <c r="AP30" s="482">
        <f t="shared" si="3"/>
        <v>0</v>
      </c>
      <c r="AQ30" s="484">
        <f>IF(SETUP!$E$7="USD",(AP30*(IF(O30="USD",AK30,(AK30/'Master Data-C19RM'!$F$2)))),(AP30*(IF(O30="EUR",AK30,(AK30*'Master Data-C19RM'!$F$2)))))</f>
        <v>0</v>
      </c>
      <c r="AR30" s="445">
        <f>IF($O30="USD",_xlfn.IFNA(VLOOKUP($A30&amp;$E30&amp;$I30,PMsheet!$J:$K,2,0),0),(_xlfn.IFNA(VLOOKUP($A30&amp;$E30&amp;$I30,PMsheet!$J:$K,2,0),0)*'Master Data-C19RM'!$G$2))</f>
        <v>0</v>
      </c>
      <c r="AS30" s="440"/>
      <c r="AT30" s="440"/>
      <c r="AU30" s="440"/>
      <c r="AV30" s="440"/>
      <c r="AW30" s="482">
        <f t="shared" si="4"/>
        <v>0</v>
      </c>
      <c r="AX30" s="484">
        <f>IF(SETUP!$E$7="USD",(AW30*(IF(O30="USD",AR30,(AR30/'Master Data-C19RM'!$G$2)))),(AW30*(IF(O30="EUR",AR30,(AR30*'Master Data-C19RM'!$G$2)))))</f>
        <v>0</v>
      </c>
      <c r="AY30" s="843"/>
      <c r="AZ30" s="843"/>
      <c r="BA30" s="843"/>
      <c r="BB30" s="843"/>
      <c r="BC30" s="843"/>
      <c r="BD30" s="843"/>
      <c r="BE30" s="844"/>
      <c r="BF30" s="482">
        <f>'C19RM 2021-Lab &amp; Other HPS'!$U30+'C19RM 2021-Lab &amp; Other HPS'!$AB30+AI30+'C19RM 2021-Lab &amp; Other HPS'!$AP30+'C19RM 2021-Lab &amp; Other HPS'!$AW30+BD30</f>
        <v>0</v>
      </c>
      <c r="BG30" s="482">
        <f>'C19RM 2021-Lab &amp; Other HPS'!$V30+'C19RM 2021-Lab &amp; Other HPS'!$AC30+'C19RM 2021-Lab &amp; Other HPS'!$AQ30+'C19RM 2021-Lab &amp; Other HPS'!$AJ30+AX30+BE30</f>
        <v>0</v>
      </c>
      <c r="BH30" s="499" t="str" cm="1">
        <f t="array" ref="BH30">IF(A30&lt;&gt;"",IFERROR(INDEX(PMtbl[[WKst]:[Unit of measure*]],MATCH($A$8&amp;$A30&amp;$E30&amp;$I30,INDEX(PMtbl[Sec]&amp;PMtbl[Category]&amp;PMtbl[Each]&amp;PMtbl[Packaging],0,),0),11),""),"")</f>
        <v/>
      </c>
      <c r="BI30" s="818"/>
      <c r="BJ30" s="503" t="str">
        <f>IFERROR(INDEX(SETUP!$C$19:$G$121,MATCH((INDEX(PMtbl[[WKst]:[Unit of measure*]],MATCH($A30&amp;$E30&amp;$I30,INDEX(PMtbl[Category]&amp;PMtbl[Each]&amp;PMtbl[Packaging],0,),0),3)),SETUP!$D$19:$D$121,0),5),"")</f>
        <v/>
      </c>
      <c r="BK30" s="439" t="str">
        <f>IFERROR(IF((INDEX(SETUP!$C$19:$G$121,MATCH((INDEX(PMtbl[[WKst]:[Unit of measure*]],MATCH($A30&amp;$E30&amp;$I30,INDEX(PMtbl[Category]&amp;PMtbl[Each]&amp;PMtbl[Packaging],0,),0),3)),SETUP!$D$19:$D$121,0),4))="Upfront",0,INDEX(SETUP!$C$19:$G$121,MATCH((INDEX(PMtbl[[WKst]:[Unit of measure*]],MATCH($A30&amp;$E30&amp;$I30,INDEX(PMtbl[Category]&amp;PMtbl[Each]&amp;PMtbl[Packaging],0,),0),3)),SETUP!$D$19:$D$121,0),5)),"")</f>
        <v/>
      </c>
      <c r="BL30" s="158" t="str" cm="1">
        <f t="array" ref="BL30">IF(A30&lt;&gt;"",IFERROR(INDEX(PMtbl[[WKst]:[Unit of measure*]],MATCH($A$8&amp;$A30&amp;$E30&amp;$I30,INDEX(PMtbl[Sec]&amp;PMtbl[Category]&amp;PMtbl[Each]&amp;PMtbl[Packaging],0,),0),11),""),"")</f>
        <v/>
      </c>
      <c r="BO30" s="12">
        <f>IF(N30="",0,IF(SETUP!$E$7="USD",((IF(O30="USD",P30,(P30/'Master Data-C19RM'!$C$2)))),((IF(O30="EUR",P30,(P30*'Master Data-C19RM'!$C$2))))))</f>
        <v>0</v>
      </c>
      <c r="BP30" s="12">
        <f>IF(N30="",0,IF(SETUP!$E$7="USD",((IF(O30="USD",W30,(W30/'Master Data-C19RM'!$D$2)))),((IF(O30="EUR",W30,(W30*'Master Data-C19RM'!$D$2))))))</f>
        <v>0</v>
      </c>
      <c r="BQ30">
        <f>IF(N30="",0,IF(SETUP!$E$7="USD",((IF(O30="USD",AD30,(AD30/'Master Data-C19RM'!$E$2)))),((IF(O30="EUR",AD30,(AD30*'Master Data-C19RM'!$E$2))))))</f>
        <v>0</v>
      </c>
      <c r="BR30">
        <f>IF(N30="",0,IF(SETUP!$E$7="USD",((IF(O30="USD",AK30,(AK30/'Master Data-C19RM'!$F$2)))),((IF(O30="EUR",AK30,(AK30*'Master Data-C19RM'!$F$2))))))</f>
        <v>0</v>
      </c>
      <c r="BS30">
        <f>IF(N30="",0,IF(SETUP!$E$7="USD",((IF(O30="USD",AR30,(AR30/'Master Data-C19RM'!$G$2)))),((IF(O30="EUR",AR30,(AR30*'Master Data-C19RM'!$G$2))))))</f>
        <v>0</v>
      </c>
      <c r="BT30">
        <f>IF(N30="",0,IF(SETUP!$E$7="USD",((IF(O30="USD",AY30,(AY30/'Master Data-C19RM'!$H$2)))),((IF(O30="EUR",AY30,(AY30*'Master Data-C19RM'!$H$2))))))</f>
        <v>0</v>
      </c>
      <c r="BU30" s="12">
        <f t="shared" si="5"/>
        <v>0</v>
      </c>
      <c r="BV30" s="142">
        <f t="shared" si="6"/>
        <v>0</v>
      </c>
    </row>
    <row r="31" spans="1:74" ht="14.5" customHeight="1" x14ac:dyDescent="0.35">
      <c r="A31" s="1165"/>
      <c r="B31" s="1165"/>
      <c r="C31" s="1165"/>
      <c r="D31" s="1165"/>
      <c r="E31" s="1166"/>
      <c r="F31" s="1166"/>
      <c r="G31" s="1166"/>
      <c r="H31" s="1166"/>
      <c r="I31" s="1166"/>
      <c r="J31" s="1166"/>
      <c r="K31" s="1166"/>
      <c r="L31" s="490" t="str" cm="1">
        <f t="array" ref="L31">IF(A31&lt;&gt;"",IFERROR(INDEX(PMtbl[[WKst]:[Unit of measure*]],MATCH($A$8&amp;$A31&amp;$E31&amp;$I31,INDEX(PMtbl[Sec]&amp;PMtbl[Category]&amp;PMtbl[Each]&amp;PMtbl[Packaging],0,),0),14),""),"")</f>
        <v/>
      </c>
      <c r="M31" s="479" t="str">
        <f>IF(L31="","",INDEX(SETUP!$E$20:$E$122,(MATCH(INDEX(PMsheet!$D:$E,MATCH(A31,PMsheet!E:E,0),1),SETUP!$D$20:$D$122,0))))</f>
        <v/>
      </c>
      <c r="N31" s="496">
        <f>IF($O31="USD",_xlfn.IFNA(VLOOKUP(A31&amp;E31&amp;I31,PMsheet!J:K,2,0),0),(_xlfn.IFNA(VLOOKUP(A31&amp;E31&amp;I31,PMsheet!J:K,2,0),0)*'Master Data-C19RM'!$C$2))</f>
        <v>0</v>
      </c>
      <c r="O31" s="492" t="str">
        <f>IF(L31="", "",SETUP!$E$7)</f>
        <v/>
      </c>
      <c r="P31" s="444">
        <f>IF($O31="USD",_xlfn.IFNA(VLOOKUP($A31&amp;$E31&amp;$I31,PMsheet!$J:$K,2,0),0),(_xlfn.IFNA(VLOOKUP($A31&amp;$E31&amp;$I31,PMsheet!$J:$K,2,0),0)*'Master Data-C19RM'!$C$2))</f>
        <v>0</v>
      </c>
      <c r="Q31" s="441"/>
      <c r="R31" s="441"/>
      <c r="S31" s="441"/>
      <c r="T31" s="441"/>
      <c r="U31" s="481">
        <f t="shared" si="7"/>
        <v>0</v>
      </c>
      <c r="V31" s="483">
        <f>IF(SETUP!$E$7="USD",(U31*(IF(O31="USD",P31,(P31/'Master Data-C19RM'!$C$2)))),(U31*(IF(O31="EUR",P31,(P31*'Master Data-C19RM'!$C$2)))))</f>
        <v>0</v>
      </c>
      <c r="W31" s="444">
        <f>IF($O31="USD",_xlfn.IFNA(VLOOKUP($A31&amp;$E31&amp;$I31,PMsheet!$J:$K,2,0),0),(_xlfn.IFNA(VLOOKUP($A31&amp;$E31&amp;$I31,PMsheet!$J:$K,2,0),0)*'Master Data-C19RM'!$D$2))</f>
        <v>0</v>
      </c>
      <c r="X31" s="441"/>
      <c r="Y31" s="441"/>
      <c r="Z31" s="441"/>
      <c r="AA31" s="441"/>
      <c r="AB31" s="481">
        <f t="shared" si="1"/>
        <v>0</v>
      </c>
      <c r="AC31" s="483">
        <f>IF(SETUP!$E$7="USD",(AB31*(IF(O31="USD",W31,(W31/'Master Data-C19RM'!$D$2)))),(AB31*(IF(O31="EUR",W31,(W31*'Master Data-C19RM'!$D$2)))))</f>
        <v>0</v>
      </c>
      <c r="AD31" s="444">
        <f>IF($O31="USD",_xlfn.IFNA(VLOOKUP($A31&amp;$E31&amp;$I31,PMsheet!$J:$K,2,0),0),(_xlfn.IFNA(VLOOKUP($A31&amp;$E31&amp;$I31,PMsheet!$J:$K,2,0),0)*'Master Data-C19RM'!$E$2))</f>
        <v>0</v>
      </c>
      <c r="AE31" s="441"/>
      <c r="AF31" s="441"/>
      <c r="AG31" s="441"/>
      <c r="AH31" s="441"/>
      <c r="AI31" s="512">
        <f t="shared" si="8"/>
        <v>0</v>
      </c>
      <c r="AJ31" s="513">
        <f>IF(SETUP!$E$7="USD",(AI31*(IF(O31="USD",AD31,(AD31/'Master Data-C19RM'!$E$2)))),(AI31*(IF(O31="EUR",AD31,(AD31*'Master Data-C19RM'!$E$2)))))</f>
        <v>0</v>
      </c>
      <c r="AK31" s="444">
        <f>IF($O31="USD",_xlfn.IFNA(VLOOKUP($A31&amp;$E31&amp;$I31,PMsheet!$J:$K,2,0),0),(_xlfn.IFNA(VLOOKUP($A31&amp;$E31&amp;$I31,PMsheet!$J:$K,2,0),0)*'Master Data-C19RM'!$F$2))</f>
        <v>0</v>
      </c>
      <c r="AL31" s="441"/>
      <c r="AM31" s="441"/>
      <c r="AN31" s="441"/>
      <c r="AO31" s="441"/>
      <c r="AP31" s="481">
        <f t="shared" si="3"/>
        <v>0</v>
      </c>
      <c r="AQ31" s="483">
        <f>IF(SETUP!$E$7="USD",(AP31*(IF(O31="USD",AK31,(AK31/'Master Data-C19RM'!$F$2)))),(AP31*(IF(O31="EUR",AK31,(AK31*'Master Data-C19RM'!$F$2)))))</f>
        <v>0</v>
      </c>
      <c r="AR31" s="444">
        <f>IF($O31="USD",_xlfn.IFNA(VLOOKUP($A31&amp;$E31&amp;$I31,PMsheet!$J:$K,2,0),0),(_xlfn.IFNA(VLOOKUP($A31&amp;$E31&amp;$I31,PMsheet!$J:$K,2,0),0)*'Master Data-C19RM'!$G$2))</f>
        <v>0</v>
      </c>
      <c r="AS31" s="441"/>
      <c r="AT31" s="441"/>
      <c r="AU31" s="441"/>
      <c r="AV31" s="441"/>
      <c r="AW31" s="481">
        <f t="shared" si="4"/>
        <v>0</v>
      </c>
      <c r="AX31" s="483">
        <f>IF(SETUP!$E$7="USD",(AW31*(IF(O31="USD",AR31,(AR31/'Master Data-C19RM'!$G$2)))),(AW31*(IF(O31="EUR",AR31,(AR31*'Master Data-C19RM'!$G$2)))))</f>
        <v>0</v>
      </c>
      <c r="AY31" s="851"/>
      <c r="AZ31" s="851"/>
      <c r="BA31" s="851"/>
      <c r="BB31" s="851"/>
      <c r="BC31" s="851"/>
      <c r="BD31" s="851"/>
      <c r="BE31" s="852"/>
      <c r="BF31" s="481">
        <f>'C19RM 2021-Lab &amp; Other HPS'!$U31+'C19RM 2021-Lab &amp; Other HPS'!$AB31+AI31+'C19RM 2021-Lab &amp; Other HPS'!$AP31+'C19RM 2021-Lab &amp; Other HPS'!$AW31+BD31</f>
        <v>0</v>
      </c>
      <c r="BG31" s="481">
        <f>'C19RM 2021-Lab &amp; Other HPS'!$V31+'C19RM 2021-Lab &amp; Other HPS'!$AC31+'C19RM 2021-Lab &amp; Other HPS'!$AQ31+'C19RM 2021-Lab &amp; Other HPS'!$AJ31+AX31+BE31</f>
        <v>0</v>
      </c>
      <c r="BH31" s="500" t="str" cm="1">
        <f t="array" ref="BH31">IF(A31&lt;&gt;"",IFERROR(INDEX(PMtbl[[WKst]:[Unit of measure*]],MATCH($A$8&amp;$A31&amp;$E31&amp;$I31,INDEX(PMtbl[Sec]&amp;PMtbl[Category]&amp;PMtbl[Each]&amp;PMtbl[Packaging],0,),0),11),""),"")</f>
        <v/>
      </c>
      <c r="BI31" s="819"/>
      <c r="BJ31" s="502" t="str">
        <f>IFERROR(INDEX(SETUP!$C$19:$G$121,MATCH((INDEX(PMtbl[[WKst]:[Unit of measure*]],MATCH($A31&amp;$E31&amp;$I31,INDEX(PMtbl[Category]&amp;PMtbl[Each]&amp;PMtbl[Packaging],0,),0),3)),SETUP!$D$19:$D$121,0),5),"")</f>
        <v/>
      </c>
      <c r="BK31" s="438" t="str">
        <f>IFERROR(IF((INDEX(SETUP!$C$19:$G$121,MATCH((INDEX(PMtbl[[WKst]:[Unit of measure*]],MATCH($A31&amp;$E31&amp;$I31,INDEX(PMtbl[Category]&amp;PMtbl[Each]&amp;PMtbl[Packaging],0,),0),3)),SETUP!$D$19:$D$121,0),4))="Upfront",0,INDEX(SETUP!$C$19:$G$121,MATCH((INDEX(PMtbl[[WKst]:[Unit of measure*]],MATCH($A31&amp;$E31&amp;$I31,INDEX(PMtbl[Category]&amp;PMtbl[Each]&amp;PMtbl[Packaging],0,),0),3)),SETUP!$D$19:$D$121,0),5)),"")</f>
        <v/>
      </c>
      <c r="BL31" s="157" t="str" cm="1">
        <f t="array" ref="BL31">IF(A31&lt;&gt;"",IFERROR(INDEX(PMtbl[[WKst]:[Unit of measure*]],MATCH($A$8&amp;$A31&amp;$E31&amp;$I31,INDEX(PMtbl[Sec]&amp;PMtbl[Category]&amp;PMtbl[Each]&amp;PMtbl[Packaging],0,),0),11),""),"")</f>
        <v/>
      </c>
      <c r="BO31" s="12">
        <f>IF(N31="",0,IF(SETUP!$E$7="USD",((IF(O31="USD",P31,(P31/'Master Data-C19RM'!$C$2)))),((IF(O31="EUR",P31,(P31*'Master Data-C19RM'!$C$2))))))</f>
        <v>0</v>
      </c>
      <c r="BP31" s="12">
        <f>IF(N31="",0,IF(SETUP!$E$7="USD",((IF(O31="USD",W31,(W31/'Master Data-C19RM'!$D$2)))),((IF(O31="EUR",W31,(W31*'Master Data-C19RM'!$D$2))))))</f>
        <v>0</v>
      </c>
      <c r="BQ31">
        <f>IF(N31="",0,IF(SETUP!$E$7="USD",((IF(O31="USD",AD31,(AD31/'Master Data-C19RM'!$E$2)))),((IF(O31="EUR",AD31,(AD31*'Master Data-C19RM'!$E$2))))))</f>
        <v>0</v>
      </c>
      <c r="BR31">
        <f>IF(N31="",0,IF(SETUP!$E$7="USD",((IF(O31="USD",AK31,(AK31/'Master Data-C19RM'!$F$2)))),((IF(O31="EUR",AK31,(AK31*'Master Data-C19RM'!$F$2))))))</f>
        <v>0</v>
      </c>
      <c r="BS31">
        <f>IF(N31="",0,IF(SETUP!$E$7="USD",((IF(O31="USD",AR31,(AR31/'Master Data-C19RM'!$G$2)))),((IF(O31="EUR",AR31,(AR31*'Master Data-C19RM'!$G$2))))))</f>
        <v>0</v>
      </c>
      <c r="BT31">
        <f>IF(N31="",0,IF(SETUP!$E$7="USD",((IF(O31="USD",AY31,(AY31/'Master Data-C19RM'!$H$2)))),((IF(O31="EUR",AY31,(AY31*'Master Data-C19RM'!$H$2))))))</f>
        <v>0</v>
      </c>
      <c r="BU31" s="12">
        <f t="shared" si="5"/>
        <v>0</v>
      </c>
      <c r="BV31" s="142">
        <f t="shared" si="6"/>
        <v>0</v>
      </c>
    </row>
    <row r="32" spans="1:74" ht="14.5" customHeight="1" x14ac:dyDescent="0.35">
      <c r="A32" s="1192"/>
      <c r="B32" s="1192"/>
      <c r="C32" s="1192"/>
      <c r="D32" s="1192"/>
      <c r="E32" s="1173"/>
      <c r="F32" s="1173"/>
      <c r="G32" s="1173"/>
      <c r="H32" s="1173"/>
      <c r="I32" s="1173"/>
      <c r="J32" s="1173"/>
      <c r="K32" s="1173"/>
      <c r="L32" s="493" t="str" cm="1">
        <f t="array" ref="L32">IF(A32&lt;&gt;"",IFERROR(INDEX(PMtbl[[WKst]:[Unit of measure*]],MATCH($A$8&amp;$A32&amp;$E32&amp;$I32,INDEX(PMtbl[Sec]&amp;PMtbl[Category]&amp;PMtbl[Each]&amp;PMtbl[Packaging],0,),0),14),""),"")</f>
        <v/>
      </c>
      <c r="M32" s="480" t="str">
        <f>IF(L32="","",INDEX(SETUP!$E$20:$E$122,(MATCH(INDEX(PMsheet!$D:$E,MATCH(A32,PMsheet!E:E,0),1),SETUP!$D$20:$D$122,0))))</f>
        <v/>
      </c>
      <c r="N32" s="494">
        <f>IF($O32="USD",_xlfn.IFNA(VLOOKUP(A32&amp;E32&amp;I32,PMsheet!J:K,2,0),0),(_xlfn.IFNA(VLOOKUP(A32&amp;E32&amp;I32,PMsheet!J:K,2,0),0)*'Master Data-C19RM'!$C$2))</f>
        <v>0</v>
      </c>
      <c r="O32" s="495" t="str">
        <f>IF(L32="", "",SETUP!$E$7)</f>
        <v/>
      </c>
      <c r="P32" s="445">
        <f>IF($O32="USD",_xlfn.IFNA(VLOOKUP($A32&amp;$E32&amp;$I32,PMsheet!$J:$K,2,0),0),(_xlfn.IFNA(VLOOKUP($A32&amp;$E32&amp;$I32,PMsheet!$J:$K,2,0),0)*'Master Data-C19RM'!$C$2))</f>
        <v>0</v>
      </c>
      <c r="Q32" s="440"/>
      <c r="R32" s="440"/>
      <c r="S32" s="440"/>
      <c r="T32" s="440"/>
      <c r="U32" s="482">
        <f t="shared" si="7"/>
        <v>0</v>
      </c>
      <c r="V32" s="484">
        <f>IF(SETUP!$E$7="USD",(U32*(IF(O32="USD",P32,(P32/'Master Data-C19RM'!$C$2)))),(U32*(IF(O32="EUR",P32,(P32*'Master Data-C19RM'!$C$2)))))</f>
        <v>0</v>
      </c>
      <c r="W32" s="445">
        <f>IF($O32="USD",_xlfn.IFNA(VLOOKUP($A32&amp;$E32&amp;$I32,PMsheet!$J:$K,2,0),0),(_xlfn.IFNA(VLOOKUP($A32&amp;$E32&amp;$I32,PMsheet!$J:$K,2,0),0)*'Master Data-C19RM'!$D$2))</f>
        <v>0</v>
      </c>
      <c r="X32" s="440"/>
      <c r="Y32" s="440"/>
      <c r="Z32" s="440"/>
      <c r="AA32" s="440"/>
      <c r="AB32" s="482">
        <f t="shared" si="1"/>
        <v>0</v>
      </c>
      <c r="AC32" s="484">
        <f>IF(SETUP!$E$7="USD",(AB32*(IF(O32="USD",W32,(W32/'Master Data-C19RM'!$D$2)))),(AB32*(IF(O32="EUR",W32,(W32*'Master Data-C19RM'!$D$2)))))</f>
        <v>0</v>
      </c>
      <c r="AD32" s="445">
        <f>IF($O32="USD",_xlfn.IFNA(VLOOKUP($A32&amp;$E32&amp;$I32,PMsheet!$J:$K,2,0),0),(_xlfn.IFNA(VLOOKUP($A32&amp;$E32&amp;$I32,PMsheet!$J:$K,2,0),0)*'Master Data-C19RM'!$E$2))</f>
        <v>0</v>
      </c>
      <c r="AE32" s="440"/>
      <c r="AF32" s="440"/>
      <c r="AG32" s="440"/>
      <c r="AH32" s="440"/>
      <c r="AI32" s="514">
        <f t="shared" si="8"/>
        <v>0</v>
      </c>
      <c r="AJ32" s="515">
        <f>IF(SETUP!$E$7="USD",(AI32*(IF(O32="USD",AD32,(AD32/'Master Data-C19RM'!$E$2)))),(AI32*(IF(O32="EUR",AD32,(AD32*'Master Data-C19RM'!$E$2)))))</f>
        <v>0</v>
      </c>
      <c r="AK32" s="445">
        <f>IF($O32="USD",_xlfn.IFNA(VLOOKUP($A32&amp;$E32&amp;$I32,PMsheet!$J:$K,2,0),0),(_xlfn.IFNA(VLOOKUP($A32&amp;$E32&amp;$I32,PMsheet!$J:$K,2,0),0)*'Master Data-C19RM'!$F$2))</f>
        <v>0</v>
      </c>
      <c r="AL32" s="440"/>
      <c r="AM32" s="440"/>
      <c r="AN32" s="440"/>
      <c r="AO32" s="440"/>
      <c r="AP32" s="482">
        <f t="shared" si="3"/>
        <v>0</v>
      </c>
      <c r="AQ32" s="484">
        <f>IF(SETUP!$E$7="USD",(AP32*(IF(O32="USD",AK32,(AK32/'Master Data-C19RM'!$F$2)))),(AP32*(IF(O32="EUR",AK32,(AK32*'Master Data-C19RM'!$F$2)))))</f>
        <v>0</v>
      </c>
      <c r="AR32" s="445">
        <f>IF($O32="USD",_xlfn.IFNA(VLOOKUP($A32&amp;$E32&amp;$I32,PMsheet!$J:$K,2,0),0),(_xlfn.IFNA(VLOOKUP($A32&amp;$E32&amp;$I32,PMsheet!$J:$K,2,0),0)*'Master Data-C19RM'!$G$2))</f>
        <v>0</v>
      </c>
      <c r="AS32" s="440"/>
      <c r="AT32" s="440"/>
      <c r="AU32" s="440"/>
      <c r="AV32" s="440"/>
      <c r="AW32" s="482">
        <f t="shared" si="4"/>
        <v>0</v>
      </c>
      <c r="AX32" s="484">
        <f>IF(SETUP!$E$7="USD",(AW32*(IF(O32="USD",AR32,(AR32/'Master Data-C19RM'!$G$2)))),(AW32*(IF(O32="EUR",AR32,(AR32*'Master Data-C19RM'!$G$2)))))</f>
        <v>0</v>
      </c>
      <c r="AY32" s="843"/>
      <c r="AZ32" s="843"/>
      <c r="BA32" s="843"/>
      <c r="BB32" s="843"/>
      <c r="BC32" s="843"/>
      <c r="BD32" s="843"/>
      <c r="BE32" s="844"/>
      <c r="BF32" s="482">
        <f>'C19RM 2021-Lab &amp; Other HPS'!$U32+'C19RM 2021-Lab &amp; Other HPS'!$AB32+AI32+'C19RM 2021-Lab &amp; Other HPS'!$AP32+'C19RM 2021-Lab &amp; Other HPS'!$AW32+BD32</f>
        <v>0</v>
      </c>
      <c r="BG32" s="482">
        <f>'C19RM 2021-Lab &amp; Other HPS'!$V32+'C19RM 2021-Lab &amp; Other HPS'!$AC32+'C19RM 2021-Lab &amp; Other HPS'!$AQ32+'C19RM 2021-Lab &amp; Other HPS'!$AJ32+AX32+BE32</f>
        <v>0</v>
      </c>
      <c r="BH32" s="499" t="str" cm="1">
        <f t="array" ref="BH32">IF(A32&lt;&gt;"",IFERROR(INDEX(PMtbl[[WKst]:[Unit of measure*]],MATCH($A$8&amp;$A32&amp;$E32&amp;$I32,INDEX(PMtbl[Sec]&amp;PMtbl[Category]&amp;PMtbl[Each]&amp;PMtbl[Packaging],0,),0),11),""),"")</f>
        <v/>
      </c>
      <c r="BI32" s="818"/>
      <c r="BJ32" s="503" t="str">
        <f>IFERROR(INDEX(SETUP!$C$19:$G$121,MATCH((INDEX(PMtbl[[WKst]:[Unit of measure*]],MATCH($A32&amp;$E32&amp;$I32,INDEX(PMtbl[Category]&amp;PMtbl[Each]&amp;PMtbl[Packaging],0,),0),3)),SETUP!$D$19:$D$121,0),5),"")</f>
        <v/>
      </c>
      <c r="BK32" s="439" t="str">
        <f>IFERROR(IF((INDEX(SETUP!$C$19:$G$121,MATCH((INDEX(PMtbl[[WKst]:[Unit of measure*]],MATCH($A32&amp;$E32&amp;$I32,INDEX(PMtbl[Category]&amp;PMtbl[Each]&amp;PMtbl[Packaging],0,),0),3)),SETUP!$D$19:$D$121,0),4))="Upfront",0,INDEX(SETUP!$C$19:$G$121,MATCH((INDEX(PMtbl[[WKst]:[Unit of measure*]],MATCH($A32&amp;$E32&amp;$I32,INDEX(PMtbl[Category]&amp;PMtbl[Each]&amp;PMtbl[Packaging],0,),0),3)),SETUP!$D$19:$D$121,0),5)),"")</f>
        <v/>
      </c>
      <c r="BL32" s="158" t="str" cm="1">
        <f t="array" ref="BL32">IF(A32&lt;&gt;"",IFERROR(INDEX(PMtbl[[WKst]:[Unit of measure*]],MATCH($A$8&amp;$A32&amp;$E32&amp;$I32,INDEX(PMtbl[Sec]&amp;PMtbl[Category]&amp;PMtbl[Each]&amp;PMtbl[Packaging],0,),0),11),""),"")</f>
        <v/>
      </c>
      <c r="BO32" s="12">
        <f>IF(N32="",0,IF(SETUP!$E$7="USD",((IF(O32="USD",P32,(P32/'Master Data-C19RM'!$C$2)))),((IF(O32="EUR",P32,(P32*'Master Data-C19RM'!$C$2))))))</f>
        <v>0</v>
      </c>
      <c r="BP32" s="12">
        <f>IF(N32="",0,IF(SETUP!$E$7="USD",((IF(O32="USD",W32,(W32/'Master Data-C19RM'!$D$2)))),((IF(O32="EUR",W32,(W32*'Master Data-C19RM'!$D$2))))))</f>
        <v>0</v>
      </c>
      <c r="BQ32">
        <f>IF(N32="",0,IF(SETUP!$E$7="USD",((IF(O32="USD",AD32,(AD32/'Master Data-C19RM'!$E$2)))),((IF(O32="EUR",AD32,(AD32*'Master Data-C19RM'!$E$2))))))</f>
        <v>0</v>
      </c>
      <c r="BR32">
        <f>IF(N32="",0,IF(SETUP!$E$7="USD",((IF(O32="USD",AK32,(AK32/'Master Data-C19RM'!$F$2)))),((IF(O32="EUR",AK32,(AK32*'Master Data-C19RM'!$F$2))))))</f>
        <v>0</v>
      </c>
      <c r="BS32">
        <f>IF(N32="",0,IF(SETUP!$E$7="USD",((IF(O32="USD",AR32,(AR32/'Master Data-C19RM'!$G$2)))),((IF(O32="EUR",AR32,(AR32*'Master Data-C19RM'!$G$2))))))</f>
        <v>0</v>
      </c>
      <c r="BT32">
        <f>IF(N32="",0,IF(SETUP!$E$7="USD",((IF(O32="USD",AY32,(AY32/'Master Data-C19RM'!$H$2)))),((IF(O32="EUR",AY32,(AY32*'Master Data-C19RM'!$H$2))))))</f>
        <v>0</v>
      </c>
      <c r="BU32" s="12">
        <f t="shared" si="5"/>
        <v>0</v>
      </c>
      <c r="BV32" s="142">
        <f t="shared" si="6"/>
        <v>0</v>
      </c>
    </row>
    <row r="33" spans="1:74" ht="14.5" customHeight="1" x14ac:dyDescent="0.35">
      <c r="A33" s="1200"/>
      <c r="B33" s="1201"/>
      <c r="C33" s="1201"/>
      <c r="D33" s="1202"/>
      <c r="E33" s="1216"/>
      <c r="F33" s="1217"/>
      <c r="G33" s="1217"/>
      <c r="H33" s="1218"/>
      <c r="I33" s="1216"/>
      <c r="J33" s="1217"/>
      <c r="K33" s="1218"/>
      <c r="L33" s="490" t="str" cm="1">
        <f t="array" ref="L33">IF(A33&lt;&gt;"",IFERROR(INDEX(PMtbl[[WKst]:[Unit of measure*]],MATCH($A$8&amp;$A33&amp;$E33&amp;$I33,INDEX(PMtbl[Sec]&amp;PMtbl[Category]&amp;PMtbl[Each]&amp;PMtbl[Packaging],0,),0),14),""),"")</f>
        <v/>
      </c>
      <c r="M33" s="479" t="str">
        <f>IF(L33="","",INDEX(SETUP!$E$20:$E$122,(MATCH(INDEX(PMsheet!$D:$E,MATCH(A33,PMsheet!E:E,0),1),SETUP!$D$20:$D$122,0))))</f>
        <v/>
      </c>
      <c r="N33" s="496">
        <f>IF($O33="USD",_xlfn.IFNA(VLOOKUP(A33&amp;E33&amp;I33,PMsheet!J:K,2,0),0),(_xlfn.IFNA(VLOOKUP(A33&amp;E33&amp;I33,PMsheet!J:K,2,0),0)*'Master Data-C19RM'!$C$2))</f>
        <v>0</v>
      </c>
      <c r="O33" s="492" t="str">
        <f>IF(L33="", "",SETUP!$E$7)</f>
        <v/>
      </c>
      <c r="P33" s="444">
        <f>IF($O33="USD",_xlfn.IFNA(VLOOKUP($A33&amp;$E33&amp;$I33,PMsheet!$J:$K,2,0),0),(_xlfn.IFNA(VLOOKUP($A33&amp;$E33&amp;$I33,PMsheet!$J:$K,2,0),0)*'Master Data-C19RM'!$C$2))</f>
        <v>0</v>
      </c>
      <c r="Q33" s="441"/>
      <c r="R33" s="441"/>
      <c r="S33" s="441"/>
      <c r="T33" s="441"/>
      <c r="U33" s="481">
        <f t="shared" si="7"/>
        <v>0</v>
      </c>
      <c r="V33" s="483">
        <f>IF(SETUP!$E$7="USD",(U33*(IF(O33="USD",P33,(P33/'Master Data-C19RM'!$C$2)))),(U33*(IF(O33="EUR",P33,(P33*'Master Data-C19RM'!$C$2)))))</f>
        <v>0</v>
      </c>
      <c r="W33" s="444">
        <f>IF($O33="USD",_xlfn.IFNA(VLOOKUP($A33&amp;$E33&amp;$I33,PMsheet!$J:$K,2,0),0),(_xlfn.IFNA(VLOOKUP($A33&amp;$E33&amp;$I33,PMsheet!$J:$K,2,0),0)*'Master Data-C19RM'!$D$2))</f>
        <v>0</v>
      </c>
      <c r="X33" s="441"/>
      <c r="Y33" s="441"/>
      <c r="Z33" s="441"/>
      <c r="AA33" s="441"/>
      <c r="AB33" s="481">
        <f t="shared" si="1"/>
        <v>0</v>
      </c>
      <c r="AC33" s="483">
        <f>IF(SETUP!$E$7="USD",(AB33*(IF(O33="USD",W33,(W33/'Master Data-C19RM'!$D$2)))),(AB33*(IF(O33="EUR",W33,(W33*'Master Data-C19RM'!$D$2)))))</f>
        <v>0</v>
      </c>
      <c r="AD33" s="444">
        <f>IF($O33="USD",_xlfn.IFNA(VLOOKUP($A33&amp;$E33&amp;$I33,PMsheet!$J:$K,2,0),0),(_xlfn.IFNA(VLOOKUP($A33&amp;$E33&amp;$I33,PMsheet!$J:$K,2,0),0)*'Master Data-C19RM'!$E$2))</f>
        <v>0</v>
      </c>
      <c r="AE33" s="441"/>
      <c r="AF33" s="441"/>
      <c r="AG33" s="441"/>
      <c r="AH33" s="441"/>
      <c r="AI33" s="512">
        <f t="shared" si="8"/>
        <v>0</v>
      </c>
      <c r="AJ33" s="513">
        <f>IF(SETUP!$E$7="USD",(AI33*(IF(O33="USD",AD33,(AD33/'Master Data-C19RM'!$E$2)))),(AI33*(IF(O33="EUR",AD33,(AD33*'Master Data-C19RM'!$E$2)))))</f>
        <v>0</v>
      </c>
      <c r="AK33" s="444">
        <f>IF($O33="USD",_xlfn.IFNA(VLOOKUP($A33&amp;$E33&amp;$I33,PMsheet!$J:$K,2,0),0),(_xlfn.IFNA(VLOOKUP($A33&amp;$E33&amp;$I33,PMsheet!$J:$K,2,0),0)*'Master Data-C19RM'!$F$2))</f>
        <v>0</v>
      </c>
      <c r="AL33" s="441"/>
      <c r="AM33" s="441"/>
      <c r="AN33" s="441"/>
      <c r="AO33" s="441"/>
      <c r="AP33" s="481">
        <f t="shared" si="3"/>
        <v>0</v>
      </c>
      <c r="AQ33" s="483">
        <f>IF(SETUP!$E$7="USD",(AP33*(IF(O33="USD",AK33,(AK33/'Master Data-C19RM'!$F$2)))),(AP33*(IF(O33="EUR",AK33,(AK33*'Master Data-C19RM'!$F$2)))))</f>
        <v>0</v>
      </c>
      <c r="AR33" s="444">
        <f>IF($O33="USD",_xlfn.IFNA(VLOOKUP($A33&amp;$E33&amp;$I33,PMsheet!$J:$K,2,0),0),(_xlfn.IFNA(VLOOKUP($A33&amp;$E33&amp;$I33,PMsheet!$J:$K,2,0),0)*'Master Data-C19RM'!$G$2))</f>
        <v>0</v>
      </c>
      <c r="AS33" s="441"/>
      <c r="AT33" s="441"/>
      <c r="AU33" s="441"/>
      <c r="AV33" s="441"/>
      <c r="AW33" s="481">
        <f t="shared" si="4"/>
        <v>0</v>
      </c>
      <c r="AX33" s="483">
        <f>IF(SETUP!$E$7="USD",(AW33*(IF(O33="USD",AR33,(AR33/'Master Data-C19RM'!$G$2)))),(AW33*(IF(O33="EUR",AR33,(AR33*'Master Data-C19RM'!$G$2)))))</f>
        <v>0</v>
      </c>
      <c r="AY33" s="851"/>
      <c r="AZ33" s="851"/>
      <c r="BA33" s="851"/>
      <c r="BB33" s="851"/>
      <c r="BC33" s="851"/>
      <c r="BD33" s="851"/>
      <c r="BE33" s="852"/>
      <c r="BF33" s="481">
        <f>'C19RM 2021-Lab &amp; Other HPS'!$U33+'C19RM 2021-Lab &amp; Other HPS'!$AB33+AI33+'C19RM 2021-Lab &amp; Other HPS'!$AP33+'C19RM 2021-Lab &amp; Other HPS'!$AW33+BD33</f>
        <v>0</v>
      </c>
      <c r="BG33" s="481">
        <f>'C19RM 2021-Lab &amp; Other HPS'!$V33+'C19RM 2021-Lab &amp; Other HPS'!$AC33+'C19RM 2021-Lab &amp; Other HPS'!$AQ33+'C19RM 2021-Lab &amp; Other HPS'!$AJ33+AX33+BE33</f>
        <v>0</v>
      </c>
      <c r="BH33" s="500" t="str" cm="1">
        <f t="array" ref="BH33">IF(A33&lt;&gt;"",IFERROR(INDEX(PMtbl[[WKst]:[Unit of measure*]],MATCH($A$8&amp;$A33&amp;$E33&amp;$I33,INDEX(PMtbl[Sec]&amp;PMtbl[Category]&amp;PMtbl[Each]&amp;PMtbl[Packaging],0,),0),11),""),"")</f>
        <v/>
      </c>
      <c r="BI33" s="819"/>
      <c r="BJ33" s="502" t="str">
        <f>IFERROR(INDEX(SETUP!$C$19:$G$121,MATCH((INDEX(PMtbl[[WKst]:[Unit of measure*]],MATCH($A33&amp;$E33&amp;$I33,INDEX(PMtbl[Category]&amp;PMtbl[Each]&amp;PMtbl[Packaging],0,),0),3)),SETUP!$D$19:$D$121,0),5),"")</f>
        <v/>
      </c>
      <c r="BK33" s="438" t="str">
        <f>IFERROR(IF((INDEX(SETUP!$C$19:$G$121,MATCH((INDEX(PMtbl[[WKst]:[Unit of measure*]],MATCH($A33&amp;$E33&amp;$I33,INDEX(PMtbl[Category]&amp;PMtbl[Each]&amp;PMtbl[Packaging],0,),0),3)),SETUP!$D$19:$D$121,0),4))="Upfront",0,INDEX(SETUP!$C$19:$G$121,MATCH((INDEX(PMtbl[[WKst]:[Unit of measure*]],MATCH($A33&amp;$E33&amp;$I33,INDEX(PMtbl[Category]&amp;PMtbl[Each]&amp;PMtbl[Packaging],0,),0),3)),SETUP!$D$19:$D$121,0),5)),"")</f>
        <v/>
      </c>
      <c r="BL33" s="157" t="str" cm="1">
        <f t="array" ref="BL33">IF(A33&lt;&gt;"",IFERROR(INDEX(PMtbl[[WKst]:[Unit of measure*]],MATCH($A$8&amp;$A33&amp;$E33&amp;$I33,INDEX(PMtbl[Sec]&amp;PMtbl[Category]&amp;PMtbl[Each]&amp;PMtbl[Packaging],0,),0),11),""),"")</f>
        <v/>
      </c>
      <c r="BO33" s="12">
        <f>IF(N33="",0,IF(SETUP!$E$7="USD",((IF(O33="USD",P33,(P33/'Master Data-C19RM'!$C$2)))),((IF(O33="EUR",P33,(P33*'Master Data-C19RM'!$C$2))))))</f>
        <v>0</v>
      </c>
      <c r="BP33" s="12">
        <f>IF(N33="",0,IF(SETUP!$E$7="USD",((IF(O33="USD",W33,(W33/'Master Data-C19RM'!$D$2)))),((IF(O33="EUR",W33,(W33*'Master Data-C19RM'!$D$2))))))</f>
        <v>0</v>
      </c>
      <c r="BQ33">
        <f>IF(N33="",0,IF(SETUP!$E$7="USD",((IF(O33="USD",AD33,(AD33/'Master Data-C19RM'!$E$2)))),((IF(O33="EUR",AD33,(AD33*'Master Data-C19RM'!$E$2))))))</f>
        <v>0</v>
      </c>
      <c r="BR33">
        <f>IF(N33="",0,IF(SETUP!$E$7="USD",((IF(O33="USD",AK33,(AK33/'Master Data-C19RM'!$F$2)))),((IF(O33="EUR",AK33,(AK33*'Master Data-C19RM'!$F$2))))))</f>
        <v>0</v>
      </c>
      <c r="BS33">
        <f>IF(N33="",0,IF(SETUP!$E$7="USD",((IF(O33="USD",AR33,(AR33/'Master Data-C19RM'!$G$2)))),((IF(O33="EUR",AR33,(AR33*'Master Data-C19RM'!$G$2))))))</f>
        <v>0</v>
      </c>
      <c r="BT33">
        <f>IF(N33="",0,IF(SETUP!$E$7="USD",((IF(O33="USD",AY33,(AY33/'Master Data-C19RM'!$H$2)))),((IF(O33="EUR",AY33,(AY33*'Master Data-C19RM'!$H$2))))))</f>
        <v>0</v>
      </c>
      <c r="BU33" s="12">
        <f t="shared" si="5"/>
        <v>0</v>
      </c>
      <c r="BV33" s="142">
        <f t="shared" si="6"/>
        <v>0</v>
      </c>
    </row>
    <row r="34" spans="1:74" ht="14.5" customHeight="1" x14ac:dyDescent="0.35">
      <c r="A34" s="1192"/>
      <c r="B34" s="1192"/>
      <c r="C34" s="1192"/>
      <c r="D34" s="1192"/>
      <c r="E34" s="1173"/>
      <c r="F34" s="1173"/>
      <c r="G34" s="1173"/>
      <c r="H34" s="1173"/>
      <c r="I34" s="1173"/>
      <c r="J34" s="1173"/>
      <c r="K34" s="1173"/>
      <c r="L34" s="493" t="str" cm="1">
        <f t="array" ref="L34">IF(A34&lt;&gt;"",IFERROR(INDEX(PMtbl[[WKst]:[Unit of measure*]],MATCH($A$8&amp;$A34&amp;$E34&amp;$I34,INDEX(PMtbl[Sec]&amp;PMtbl[Category]&amp;PMtbl[Each]&amp;PMtbl[Packaging],0,),0),14),""),"")</f>
        <v/>
      </c>
      <c r="M34" s="480" t="str">
        <f>IF(L34="","",INDEX(SETUP!$E$20:$E$122,(MATCH(INDEX(PMsheet!$D:$E,MATCH(A34,PMsheet!E:E,0),1),SETUP!$D$20:$D$122,0))))</f>
        <v/>
      </c>
      <c r="N34" s="494">
        <f>IF($O34="USD",_xlfn.IFNA(VLOOKUP(A34&amp;E34&amp;I34,PMsheet!J:K,2,0),0),(_xlfn.IFNA(VLOOKUP(A34&amp;E34&amp;I34,PMsheet!J:K,2,0),0)*'Master Data-C19RM'!$C$2))</f>
        <v>0</v>
      </c>
      <c r="O34" s="495" t="str">
        <f>IF(L34="", "",SETUP!$E$7)</f>
        <v/>
      </c>
      <c r="P34" s="445">
        <f>IF($O34="USD",_xlfn.IFNA(VLOOKUP($A34&amp;$E34&amp;$I34,PMsheet!$J:$K,2,0),0),(_xlfn.IFNA(VLOOKUP($A34&amp;$E34&amp;$I34,PMsheet!$J:$K,2,0),0)*'Master Data-C19RM'!$C$2))</f>
        <v>0</v>
      </c>
      <c r="Q34" s="440"/>
      <c r="R34" s="440"/>
      <c r="S34" s="440"/>
      <c r="T34" s="440"/>
      <c r="U34" s="482">
        <f t="shared" si="7"/>
        <v>0</v>
      </c>
      <c r="V34" s="484">
        <f>IF(SETUP!$E$7="USD",(U34*(IF(O34="USD",P34,(P34/'Master Data-C19RM'!$C$2)))),(U34*(IF(O34="EUR",P34,(P34*'Master Data-C19RM'!$C$2)))))</f>
        <v>0</v>
      </c>
      <c r="W34" s="445">
        <f>IF($O34="USD",_xlfn.IFNA(VLOOKUP($A34&amp;$E34&amp;$I34,PMsheet!$J:$K,2,0),0),(_xlfn.IFNA(VLOOKUP($A34&amp;$E34&amp;$I34,PMsheet!$J:$K,2,0),0)*'Master Data-C19RM'!$D$2))</f>
        <v>0</v>
      </c>
      <c r="X34" s="440"/>
      <c r="Y34" s="440"/>
      <c r="Z34" s="440"/>
      <c r="AA34" s="440"/>
      <c r="AB34" s="482">
        <f t="shared" si="1"/>
        <v>0</v>
      </c>
      <c r="AC34" s="484">
        <f>IF(SETUP!$E$7="USD",(AB34*(IF(O34="USD",W34,(W34/'Master Data-C19RM'!$D$2)))),(AB34*(IF(O34="EUR",W34,(W34*'Master Data-C19RM'!$D$2)))))</f>
        <v>0</v>
      </c>
      <c r="AD34" s="445">
        <f>IF($O34="USD",_xlfn.IFNA(VLOOKUP($A34&amp;$E34&amp;$I34,PMsheet!$J:$K,2,0),0),(_xlfn.IFNA(VLOOKUP($A34&amp;$E34&amp;$I34,PMsheet!$J:$K,2,0),0)*'Master Data-C19RM'!$E$2))</f>
        <v>0</v>
      </c>
      <c r="AE34" s="440"/>
      <c r="AF34" s="440"/>
      <c r="AG34" s="440"/>
      <c r="AH34" s="440"/>
      <c r="AI34" s="514">
        <f t="shared" si="8"/>
        <v>0</v>
      </c>
      <c r="AJ34" s="515">
        <f>IF(SETUP!$E$7="USD",(AI34*(IF(O34="USD",AD34,(AD34/'Master Data-C19RM'!$E$2)))),(AI34*(IF(O34="EUR",AD34,(AD34*'Master Data-C19RM'!$E$2)))))</f>
        <v>0</v>
      </c>
      <c r="AK34" s="445">
        <f>IF($O34="USD",_xlfn.IFNA(VLOOKUP($A34&amp;$E34&amp;$I34,PMsheet!$J:$K,2,0),0),(_xlfn.IFNA(VLOOKUP($A34&amp;$E34&amp;$I34,PMsheet!$J:$K,2,0),0)*'Master Data-C19RM'!$F$2))</f>
        <v>0</v>
      </c>
      <c r="AL34" s="440"/>
      <c r="AM34" s="440"/>
      <c r="AN34" s="440"/>
      <c r="AO34" s="440"/>
      <c r="AP34" s="482">
        <f t="shared" si="3"/>
        <v>0</v>
      </c>
      <c r="AQ34" s="484">
        <f>IF(SETUP!$E$7="USD",(AP34*(IF(O34="USD",AK34,(AK34/'Master Data-C19RM'!$F$2)))),(AP34*(IF(O34="EUR",AK34,(AK34*'Master Data-C19RM'!$F$2)))))</f>
        <v>0</v>
      </c>
      <c r="AR34" s="445">
        <f>IF($O34="USD",_xlfn.IFNA(VLOOKUP($A34&amp;$E34&amp;$I34,PMsheet!$J:$K,2,0),0),(_xlfn.IFNA(VLOOKUP($A34&amp;$E34&amp;$I34,PMsheet!$J:$K,2,0),0)*'Master Data-C19RM'!$G$2))</f>
        <v>0</v>
      </c>
      <c r="AS34" s="440"/>
      <c r="AT34" s="440"/>
      <c r="AU34" s="440"/>
      <c r="AV34" s="440"/>
      <c r="AW34" s="482">
        <f t="shared" si="4"/>
        <v>0</v>
      </c>
      <c r="AX34" s="484">
        <f>IF(SETUP!$E$7="USD",(AW34*(IF(O34="USD",AR34,(AR34/'Master Data-C19RM'!$G$2)))),(AW34*(IF(O34="EUR",AR34,(AR34*'Master Data-C19RM'!$G$2)))))</f>
        <v>0</v>
      </c>
      <c r="AY34" s="843"/>
      <c r="AZ34" s="843"/>
      <c r="BA34" s="843"/>
      <c r="BB34" s="843"/>
      <c r="BC34" s="843"/>
      <c r="BD34" s="843"/>
      <c r="BE34" s="844"/>
      <c r="BF34" s="482">
        <f>'C19RM 2021-Lab &amp; Other HPS'!$U34+'C19RM 2021-Lab &amp; Other HPS'!$AB34+AI34+'C19RM 2021-Lab &amp; Other HPS'!$AP34+'C19RM 2021-Lab &amp; Other HPS'!$AW34+BD34</f>
        <v>0</v>
      </c>
      <c r="BG34" s="482">
        <f>'C19RM 2021-Lab &amp; Other HPS'!$V34+'C19RM 2021-Lab &amp; Other HPS'!$AC34+'C19RM 2021-Lab &amp; Other HPS'!$AQ34+'C19RM 2021-Lab &amp; Other HPS'!$AJ34+AX34+BE34</f>
        <v>0</v>
      </c>
      <c r="BH34" s="499" t="str" cm="1">
        <f t="array" ref="BH34">IF(A34&lt;&gt;"",IFERROR(INDEX(PMtbl[[WKst]:[Unit of measure*]],MATCH($A$8&amp;$A34&amp;$E34&amp;$I34,INDEX(PMtbl[Sec]&amp;PMtbl[Category]&amp;PMtbl[Each]&amp;PMtbl[Packaging],0,),0),11),""),"")</f>
        <v/>
      </c>
      <c r="BI34" s="818"/>
      <c r="BJ34" s="503" t="str">
        <f>IFERROR(INDEX(SETUP!$C$19:$G$121,MATCH((INDEX(PMtbl[[WKst]:[Unit of measure*]],MATCH($A34&amp;$E34&amp;$I34,INDEX(PMtbl[Category]&amp;PMtbl[Each]&amp;PMtbl[Packaging],0,),0),3)),SETUP!$D$19:$D$121,0),5),"")</f>
        <v/>
      </c>
      <c r="BK34" s="439"/>
      <c r="BL34" s="158"/>
      <c r="BO34" s="12">
        <f>IF(N34="",0,IF(SETUP!$E$7="USD",((IF(O34="USD",P34,(P34/'Master Data-C19RM'!$C$2)))),((IF(O34="EUR",P34,(P34*'Master Data-C19RM'!$C$2))))))</f>
        <v>0</v>
      </c>
      <c r="BP34" s="12">
        <f>IF(N34="",0,IF(SETUP!$E$7="USD",((IF(O34="USD",W34,(W34/'Master Data-C19RM'!$D$2)))),((IF(O34="EUR",W34,(W34*'Master Data-C19RM'!$D$2))))))</f>
        <v>0</v>
      </c>
      <c r="BQ34">
        <f>IF(N34="",0,IF(SETUP!$E$7="USD",((IF(O34="USD",AD34,(AD34/'Master Data-C19RM'!$E$2)))),((IF(O34="EUR",AD34,(AD34*'Master Data-C19RM'!$E$2))))))</f>
        <v>0</v>
      </c>
      <c r="BR34">
        <f>IF(N34="",0,IF(SETUP!$E$7="USD",((IF(O34="USD",AK34,(AK34/'Master Data-C19RM'!$F$2)))),((IF(O34="EUR",AK34,(AK34*'Master Data-C19RM'!$F$2))))))</f>
        <v>0</v>
      </c>
      <c r="BS34">
        <f>IF(N34="",0,IF(SETUP!$E$7="USD",((IF(O34="USD",AR34,(AR34/'Master Data-C19RM'!$G$2)))),((IF(O34="EUR",AR34,(AR34*'Master Data-C19RM'!$G$2))))))</f>
        <v>0</v>
      </c>
      <c r="BT34">
        <f>IF(N34="",0,IF(SETUP!$E$7="USD",((IF(O34="USD",AY34,(AY34/'Master Data-C19RM'!$H$2)))),((IF(O34="EUR",AY34,(AY34*'Master Data-C19RM'!$H$2))))))</f>
        <v>0</v>
      </c>
      <c r="BU34" s="12">
        <f t="shared" si="5"/>
        <v>0</v>
      </c>
      <c r="BV34" s="142">
        <f t="shared" si="6"/>
        <v>0</v>
      </c>
    </row>
    <row r="35" spans="1:74" ht="14.5" customHeight="1" x14ac:dyDescent="0.35">
      <c r="A35" s="1165"/>
      <c r="B35" s="1165"/>
      <c r="C35" s="1165"/>
      <c r="D35" s="1165"/>
      <c r="E35" s="1166"/>
      <c r="F35" s="1166"/>
      <c r="G35" s="1166"/>
      <c r="H35" s="1166"/>
      <c r="I35" s="1166"/>
      <c r="J35" s="1166"/>
      <c r="K35" s="1166"/>
      <c r="L35" s="490" t="str" cm="1">
        <f t="array" ref="L35">IF(A35&lt;&gt;"",IFERROR(INDEX(PMtbl[[WKst]:[Unit of measure*]],MATCH($A$8&amp;$A35&amp;$E35&amp;$I35,INDEX(PMtbl[Sec]&amp;PMtbl[Category]&amp;PMtbl[Each]&amp;PMtbl[Packaging],0,),0),14),""),"")</f>
        <v/>
      </c>
      <c r="M35" s="479" t="str">
        <f>IF(L35="","",INDEX(SETUP!$E$20:$E$122,(MATCH(INDEX(PMsheet!$D:$E,MATCH(A35,PMsheet!E:E,0),1),SETUP!$D$20:$D$122,0))))</f>
        <v/>
      </c>
      <c r="N35" s="496">
        <f>IF($O35="USD",_xlfn.IFNA(VLOOKUP(A35&amp;E35&amp;I35,PMsheet!J:K,2,0),0),(_xlfn.IFNA(VLOOKUP(A35&amp;E35&amp;I35,PMsheet!J:K,2,0),0)*'Master Data-C19RM'!$C$2))</f>
        <v>0</v>
      </c>
      <c r="O35" s="492" t="str">
        <f>IF(L35="", "",SETUP!$E$7)</f>
        <v/>
      </c>
      <c r="P35" s="444">
        <f>IF($O35="USD",_xlfn.IFNA(VLOOKUP($A35&amp;$E35&amp;$I35,PMsheet!$J:$K,2,0),0),(_xlfn.IFNA(VLOOKUP($A35&amp;$E35&amp;$I35,PMsheet!$J:$K,2,0),0)*'Master Data-C19RM'!$C$2))</f>
        <v>0</v>
      </c>
      <c r="Q35" s="441"/>
      <c r="R35" s="441"/>
      <c r="S35" s="441"/>
      <c r="T35" s="441"/>
      <c r="U35" s="481">
        <f t="shared" si="7"/>
        <v>0</v>
      </c>
      <c r="V35" s="483">
        <f>IF(SETUP!$E$7="USD",(U35*(IF(O35="USD",P35,(P35/'Master Data-C19RM'!$C$2)))),(U35*(IF(O35="EUR",P35,(P35*'Master Data-C19RM'!$C$2)))))</f>
        <v>0</v>
      </c>
      <c r="W35" s="444">
        <f>IF($O35="USD",_xlfn.IFNA(VLOOKUP($A35&amp;$E35&amp;$I35,PMsheet!$J:$K,2,0),0),(_xlfn.IFNA(VLOOKUP($A35&amp;$E35&amp;$I35,PMsheet!$J:$K,2,0),0)*'Master Data-C19RM'!$D$2))</f>
        <v>0</v>
      </c>
      <c r="X35" s="441"/>
      <c r="Y35" s="441"/>
      <c r="Z35" s="441"/>
      <c r="AA35" s="441"/>
      <c r="AB35" s="481">
        <f t="shared" si="1"/>
        <v>0</v>
      </c>
      <c r="AC35" s="483">
        <f>IF(SETUP!$E$7="USD",(AB35*(IF(O35="USD",W35,(W35/'Master Data-C19RM'!$D$2)))),(AB35*(IF(O35="EUR",W35,(W35*'Master Data-C19RM'!$D$2)))))</f>
        <v>0</v>
      </c>
      <c r="AD35" s="444">
        <f>IF($O35="USD",_xlfn.IFNA(VLOOKUP($A35&amp;$E35&amp;$I35,PMsheet!$J:$K,2,0),0),(_xlfn.IFNA(VLOOKUP($A35&amp;$E35&amp;$I35,PMsheet!$J:$K,2,0),0)*'Master Data-C19RM'!$E$2))</f>
        <v>0</v>
      </c>
      <c r="AE35" s="441"/>
      <c r="AF35" s="441"/>
      <c r="AG35" s="441"/>
      <c r="AH35" s="441"/>
      <c r="AI35" s="512">
        <f t="shared" si="8"/>
        <v>0</v>
      </c>
      <c r="AJ35" s="513">
        <f>IF(SETUP!$E$7="USD",(AI35*(IF(O35="USD",AD35,(AD35/'Master Data-C19RM'!$E$2)))),(AI35*(IF(O35="EUR",AD35,(AD35*'Master Data-C19RM'!$E$2)))))</f>
        <v>0</v>
      </c>
      <c r="AK35" s="444">
        <f>IF($O35="USD",_xlfn.IFNA(VLOOKUP($A35&amp;$E35&amp;$I35,PMsheet!$J:$K,2,0),0),(_xlfn.IFNA(VLOOKUP($A35&amp;$E35&amp;$I35,PMsheet!$J:$K,2,0),0)*'Master Data-C19RM'!$F$2))</f>
        <v>0</v>
      </c>
      <c r="AL35" s="441"/>
      <c r="AM35" s="441"/>
      <c r="AN35" s="441"/>
      <c r="AO35" s="441"/>
      <c r="AP35" s="481">
        <f t="shared" si="3"/>
        <v>0</v>
      </c>
      <c r="AQ35" s="483">
        <f>IF(SETUP!$E$7="USD",(AP35*(IF(O35="USD",AK35,(AK35/'Master Data-C19RM'!$F$2)))),(AP35*(IF(O35="EUR",AK35,(AK35*'Master Data-C19RM'!$F$2)))))</f>
        <v>0</v>
      </c>
      <c r="AR35" s="444">
        <f>IF($O35="USD",_xlfn.IFNA(VLOOKUP($A35&amp;$E35&amp;$I35,PMsheet!$J:$K,2,0),0),(_xlfn.IFNA(VLOOKUP($A35&amp;$E35&amp;$I35,PMsheet!$J:$K,2,0),0)*'Master Data-C19RM'!$G$2))</f>
        <v>0</v>
      </c>
      <c r="AS35" s="441"/>
      <c r="AT35" s="441"/>
      <c r="AU35" s="441"/>
      <c r="AV35" s="441"/>
      <c r="AW35" s="481">
        <f t="shared" si="4"/>
        <v>0</v>
      </c>
      <c r="AX35" s="483">
        <f>IF(SETUP!$E$7="USD",(AW35*(IF(O35="USD",AR35,(AR35/'Master Data-C19RM'!$G$2)))),(AW35*(IF(O35="EUR",AR35,(AR35*'Master Data-C19RM'!$G$2)))))</f>
        <v>0</v>
      </c>
      <c r="AY35" s="851"/>
      <c r="AZ35" s="851"/>
      <c r="BA35" s="851"/>
      <c r="BB35" s="851"/>
      <c r="BC35" s="851"/>
      <c r="BD35" s="851"/>
      <c r="BE35" s="852"/>
      <c r="BF35" s="481">
        <f>'C19RM 2021-Lab &amp; Other HPS'!$U35+'C19RM 2021-Lab &amp; Other HPS'!$AB35+AI35+'C19RM 2021-Lab &amp; Other HPS'!$AP35+'C19RM 2021-Lab &amp; Other HPS'!$AW35+BD35</f>
        <v>0</v>
      </c>
      <c r="BG35" s="481">
        <f>'C19RM 2021-Lab &amp; Other HPS'!$V35+'C19RM 2021-Lab &amp; Other HPS'!$AC35+'C19RM 2021-Lab &amp; Other HPS'!$AQ35+'C19RM 2021-Lab &amp; Other HPS'!$AJ35+AX35+BE35</f>
        <v>0</v>
      </c>
      <c r="BH35" s="500" t="str" cm="1">
        <f t="array" ref="BH35">IF(A35&lt;&gt;"",IFERROR(INDEX(PMtbl[[WKst]:[Unit of measure*]],MATCH($A$8&amp;$A35&amp;$E35&amp;$I35,INDEX(PMtbl[Sec]&amp;PMtbl[Category]&amp;PMtbl[Each]&amp;PMtbl[Packaging],0,),0),11),""),"")</f>
        <v/>
      </c>
      <c r="BI35" s="819"/>
      <c r="BJ35" s="502" t="str">
        <f>IFERROR(INDEX(SETUP!$C$19:$G$121,MATCH((INDEX(PMtbl[[WKst]:[Unit of measure*]],MATCH($A35&amp;$E35&amp;$I35,INDEX(PMtbl[Category]&amp;PMtbl[Each]&amp;PMtbl[Packaging],0,),0),3)),SETUP!$D$19:$D$121,0),5),"")</f>
        <v/>
      </c>
      <c r="BK35" s="438"/>
      <c r="BL35" s="157"/>
      <c r="BO35" s="12">
        <f>IF(N35="",0,IF(SETUP!$E$7="USD",((IF(O35="USD",P35,(P35/'Master Data-C19RM'!$C$2)))),((IF(O35="EUR",P35,(P35*'Master Data-C19RM'!$C$2))))))</f>
        <v>0</v>
      </c>
      <c r="BP35" s="12">
        <f>IF(N35="",0,IF(SETUP!$E$7="USD",((IF(O35="USD",W35,(W35/'Master Data-C19RM'!$D$2)))),((IF(O35="EUR",W35,(W35*'Master Data-C19RM'!$D$2))))))</f>
        <v>0</v>
      </c>
      <c r="BQ35">
        <f>IF(N35="",0,IF(SETUP!$E$7="USD",((IF(O35="USD",AD35,(AD35/'Master Data-C19RM'!$E$2)))),((IF(O35="EUR",AD35,(AD35*'Master Data-C19RM'!$E$2))))))</f>
        <v>0</v>
      </c>
      <c r="BR35">
        <f>IF(N35="",0,IF(SETUP!$E$7="USD",((IF(O35="USD",AK35,(AK35/'Master Data-C19RM'!$F$2)))),((IF(O35="EUR",AK35,(AK35*'Master Data-C19RM'!$F$2))))))</f>
        <v>0</v>
      </c>
      <c r="BS35">
        <f>IF(N35="",0,IF(SETUP!$E$7="USD",((IF(O35="USD",AR35,(AR35/'Master Data-C19RM'!$G$2)))),((IF(O35="EUR",AR35,(AR35*'Master Data-C19RM'!$G$2))))))</f>
        <v>0</v>
      </c>
      <c r="BT35">
        <f>IF(N35="",0,IF(SETUP!$E$7="USD",((IF(O35="USD",AY35,(AY35/'Master Data-C19RM'!$H$2)))),((IF(O35="EUR",AY35,(AY35*'Master Data-C19RM'!$H$2))))))</f>
        <v>0</v>
      </c>
      <c r="BU35" s="12">
        <f t="shared" si="5"/>
        <v>0</v>
      </c>
      <c r="BV35" s="142">
        <f t="shared" si="6"/>
        <v>0</v>
      </c>
    </row>
    <row r="36" spans="1:74" ht="14.5" customHeight="1" x14ac:dyDescent="0.35">
      <c r="A36" s="1192"/>
      <c r="B36" s="1192"/>
      <c r="C36" s="1192"/>
      <c r="D36" s="1192"/>
      <c r="E36" s="1173"/>
      <c r="F36" s="1173"/>
      <c r="G36" s="1173"/>
      <c r="H36" s="1173"/>
      <c r="I36" s="1173"/>
      <c r="J36" s="1173"/>
      <c r="K36" s="1173"/>
      <c r="L36" s="493" t="str" cm="1">
        <f t="array" ref="L36">IF(A36&lt;&gt;"",IFERROR(INDEX(PMtbl[[WKst]:[Unit of measure*]],MATCH($A$8&amp;$A36&amp;$E36&amp;$I36,INDEX(PMtbl[Sec]&amp;PMtbl[Category]&amp;PMtbl[Each]&amp;PMtbl[Packaging],0,),0),14),""),"")</f>
        <v/>
      </c>
      <c r="M36" s="480" t="str">
        <f>IF(L36="","",INDEX(SETUP!$E$20:$E$122,(MATCH(INDEX(PMsheet!$D:$E,MATCH(A36,PMsheet!E:E,0),1),SETUP!$D$20:$D$122,0))))</f>
        <v/>
      </c>
      <c r="N36" s="494">
        <f>IF($O36="USD",_xlfn.IFNA(VLOOKUP(A36&amp;E36&amp;I36,PMsheet!J:K,2,0),0),(_xlfn.IFNA(VLOOKUP(A36&amp;E36&amp;I36,PMsheet!J:K,2,0),0)*'Master Data-C19RM'!$C$2))</f>
        <v>0</v>
      </c>
      <c r="O36" s="495" t="str">
        <f>IF(L36="", "",SETUP!$E$7)</f>
        <v/>
      </c>
      <c r="P36" s="445">
        <f>IF($O36="USD",_xlfn.IFNA(VLOOKUP($A36&amp;$E36&amp;$I36,PMsheet!$J:$K,2,0),0),(_xlfn.IFNA(VLOOKUP($A36&amp;$E36&amp;$I36,PMsheet!$J:$K,2,0),0)*'Master Data-C19RM'!$C$2))</f>
        <v>0</v>
      </c>
      <c r="Q36" s="440"/>
      <c r="R36" s="440"/>
      <c r="S36" s="440"/>
      <c r="T36" s="440"/>
      <c r="U36" s="482">
        <f t="shared" si="7"/>
        <v>0</v>
      </c>
      <c r="V36" s="484">
        <f>IF(SETUP!$E$7="USD",(U36*(IF(O36="USD",P36,(P36/'Master Data-C19RM'!$C$2)))),(U36*(IF(O36="EUR",P36,(P36*'Master Data-C19RM'!$C$2)))))</f>
        <v>0</v>
      </c>
      <c r="W36" s="445">
        <f>IF($O36="USD",_xlfn.IFNA(VLOOKUP($A36&amp;$E36&amp;$I36,PMsheet!$J:$K,2,0),0),(_xlfn.IFNA(VLOOKUP($A36&amp;$E36&amp;$I36,PMsheet!$J:$K,2,0),0)*'Master Data-C19RM'!$D$2))</f>
        <v>0</v>
      </c>
      <c r="X36" s="440"/>
      <c r="Y36" s="440"/>
      <c r="Z36" s="440"/>
      <c r="AA36" s="440"/>
      <c r="AB36" s="482">
        <f t="shared" si="1"/>
        <v>0</v>
      </c>
      <c r="AC36" s="484">
        <f>IF(SETUP!$E$7="USD",(AB36*(IF(O36="USD",W36,(W36/'Master Data-C19RM'!$D$2)))),(AB36*(IF(O36="EUR",W36,(W36*'Master Data-C19RM'!$D$2)))))</f>
        <v>0</v>
      </c>
      <c r="AD36" s="445">
        <f>IF($O36="USD",_xlfn.IFNA(VLOOKUP($A36&amp;$E36&amp;$I36,PMsheet!$J:$K,2,0),0),(_xlfn.IFNA(VLOOKUP($A36&amp;$E36&amp;$I36,PMsheet!$J:$K,2,0),0)*'Master Data-C19RM'!$E$2))</f>
        <v>0</v>
      </c>
      <c r="AE36" s="440"/>
      <c r="AF36" s="440"/>
      <c r="AG36" s="440"/>
      <c r="AH36" s="440"/>
      <c r="AI36" s="514">
        <f t="shared" si="8"/>
        <v>0</v>
      </c>
      <c r="AJ36" s="515">
        <f>IF(SETUP!$E$7="USD",(AI36*(IF(O36="USD",AD36,(AD36/'Master Data-C19RM'!$E$2)))),(AI36*(IF(O36="EUR",AD36,(AD36*'Master Data-C19RM'!$E$2)))))</f>
        <v>0</v>
      </c>
      <c r="AK36" s="445">
        <f>IF($O36="USD",_xlfn.IFNA(VLOOKUP($A36&amp;$E36&amp;$I36,PMsheet!$J:$K,2,0),0),(_xlfn.IFNA(VLOOKUP($A36&amp;$E36&amp;$I36,PMsheet!$J:$K,2,0),0)*'Master Data-C19RM'!$F$2))</f>
        <v>0</v>
      </c>
      <c r="AL36" s="440"/>
      <c r="AM36" s="440"/>
      <c r="AN36" s="440"/>
      <c r="AO36" s="440"/>
      <c r="AP36" s="482">
        <f t="shared" si="3"/>
        <v>0</v>
      </c>
      <c r="AQ36" s="484">
        <f>IF(SETUP!$E$7="USD",(AP36*(IF(O36="USD",AK36,(AK36/'Master Data-C19RM'!$F$2)))),(AP36*(IF(O36="EUR",AK36,(AK36*'Master Data-C19RM'!$F$2)))))</f>
        <v>0</v>
      </c>
      <c r="AR36" s="445">
        <f>IF($O36="USD",_xlfn.IFNA(VLOOKUP($A36&amp;$E36&amp;$I36,PMsheet!$J:$K,2,0),0),(_xlfn.IFNA(VLOOKUP($A36&amp;$E36&amp;$I36,PMsheet!$J:$K,2,0),0)*'Master Data-C19RM'!$G$2))</f>
        <v>0</v>
      </c>
      <c r="AS36" s="440"/>
      <c r="AT36" s="440"/>
      <c r="AU36" s="440"/>
      <c r="AV36" s="440"/>
      <c r="AW36" s="482">
        <f t="shared" si="4"/>
        <v>0</v>
      </c>
      <c r="AX36" s="484">
        <f>IF(SETUP!$E$7="USD",(AW36*(IF(O36="USD",AR36,(AR36/'Master Data-C19RM'!$G$2)))),(AW36*(IF(O36="EUR",AR36,(AR36*'Master Data-C19RM'!$G$2)))))</f>
        <v>0</v>
      </c>
      <c r="AY36" s="843"/>
      <c r="AZ36" s="843"/>
      <c r="BA36" s="843"/>
      <c r="BB36" s="843"/>
      <c r="BC36" s="843"/>
      <c r="BD36" s="843"/>
      <c r="BE36" s="844"/>
      <c r="BF36" s="482">
        <f>'C19RM 2021-Lab &amp; Other HPS'!$U36+'C19RM 2021-Lab &amp; Other HPS'!$AB36+AI36+'C19RM 2021-Lab &amp; Other HPS'!$AP36+'C19RM 2021-Lab &amp; Other HPS'!$AW36+BD36</f>
        <v>0</v>
      </c>
      <c r="BG36" s="482">
        <f>'C19RM 2021-Lab &amp; Other HPS'!$V36+'C19RM 2021-Lab &amp; Other HPS'!$AC36+'C19RM 2021-Lab &amp; Other HPS'!$AQ36+'C19RM 2021-Lab &amp; Other HPS'!$AJ36+AX36+BE36</f>
        <v>0</v>
      </c>
      <c r="BH36" s="499" t="str" cm="1">
        <f t="array" ref="BH36">IF(A36&lt;&gt;"",IFERROR(INDEX(PMtbl[[WKst]:[Unit of measure*]],MATCH($A$8&amp;$A36&amp;$E36&amp;$I36,INDEX(PMtbl[Sec]&amp;PMtbl[Category]&amp;PMtbl[Each]&amp;PMtbl[Packaging],0,),0),11),""),"")</f>
        <v/>
      </c>
      <c r="BI36" s="818"/>
      <c r="BJ36" s="503" t="str">
        <f>IFERROR(INDEX(SETUP!$C$19:$G$121,MATCH((INDEX(PMtbl[[WKst]:[Unit of measure*]],MATCH($A36&amp;$E36&amp;$I36,INDEX(PMtbl[Category]&amp;PMtbl[Each]&amp;PMtbl[Packaging],0,),0),3)),SETUP!$D$19:$D$121,0),5),"")</f>
        <v/>
      </c>
      <c r="BK36" s="439"/>
      <c r="BL36" s="158"/>
      <c r="BO36" s="12">
        <f>IF(N36="",0,IF(SETUP!$E$7="USD",((IF(O36="USD",P36,(P36/'Master Data-C19RM'!$C$2)))),((IF(O36="EUR",P36,(P36*'Master Data-C19RM'!$C$2))))))</f>
        <v>0</v>
      </c>
      <c r="BP36" s="12">
        <f>IF(N36="",0,IF(SETUP!$E$7="USD",((IF(O36="USD",W36,(W36/'Master Data-C19RM'!$D$2)))),((IF(O36="EUR",W36,(W36*'Master Data-C19RM'!$D$2))))))</f>
        <v>0</v>
      </c>
      <c r="BQ36">
        <f>IF(N36="",0,IF(SETUP!$E$7="USD",((IF(O36="USD",AD36,(AD36/'Master Data-C19RM'!$E$2)))),((IF(O36="EUR",AD36,(AD36*'Master Data-C19RM'!$E$2))))))</f>
        <v>0</v>
      </c>
      <c r="BR36">
        <f>IF(N36="",0,IF(SETUP!$E$7="USD",((IF(O36="USD",AK36,(AK36/'Master Data-C19RM'!$F$2)))),((IF(O36="EUR",AK36,(AK36*'Master Data-C19RM'!$F$2))))))</f>
        <v>0</v>
      </c>
      <c r="BS36">
        <f>IF(N36="",0,IF(SETUP!$E$7="USD",((IF(O36="USD",AR36,(AR36/'Master Data-C19RM'!$G$2)))),((IF(O36="EUR",AR36,(AR36*'Master Data-C19RM'!$G$2))))))</f>
        <v>0</v>
      </c>
      <c r="BT36">
        <f>IF(N36="",0,IF(SETUP!$E$7="USD",((IF(O36="USD",AY36,(AY36/'Master Data-C19RM'!$H$2)))),((IF(O36="EUR",AY36,(AY36*'Master Data-C19RM'!$H$2))))))</f>
        <v>0</v>
      </c>
      <c r="BU36" s="12">
        <f t="shared" si="5"/>
        <v>0</v>
      </c>
      <c r="BV36" s="142">
        <f t="shared" si="6"/>
        <v>0</v>
      </c>
    </row>
    <row r="37" spans="1:74" ht="14.5" customHeight="1" x14ac:dyDescent="0.35">
      <c r="A37" s="1200"/>
      <c r="B37" s="1201"/>
      <c r="C37" s="1201"/>
      <c r="D37" s="1202"/>
      <c r="E37" s="1216"/>
      <c r="F37" s="1217"/>
      <c r="G37" s="1217"/>
      <c r="H37" s="1218"/>
      <c r="I37" s="1216"/>
      <c r="J37" s="1217"/>
      <c r="K37" s="1218"/>
      <c r="L37" s="490" t="str" cm="1">
        <f t="array" ref="L37">IF(A37&lt;&gt;"",IFERROR(INDEX(PMtbl[[WKst]:[Unit of measure*]],MATCH($A$8&amp;$A37&amp;$E37&amp;$I37,INDEX(PMtbl[Sec]&amp;PMtbl[Category]&amp;PMtbl[Each]&amp;PMtbl[Packaging],0,),0),14),""),"")</f>
        <v/>
      </c>
      <c r="M37" s="479" t="str">
        <f>IF(L37="","",INDEX(SETUP!$E$20:$E$122,(MATCH(INDEX(PMsheet!$D:$E,MATCH(A37,PMsheet!E:E,0),1),SETUP!$D$20:$D$122,0))))</f>
        <v/>
      </c>
      <c r="N37" s="496">
        <f>IF($O37="USD",_xlfn.IFNA(VLOOKUP(A37&amp;E37&amp;I37,PMsheet!J:K,2,0),0),(_xlfn.IFNA(VLOOKUP(A37&amp;E37&amp;I37,PMsheet!J:K,2,0),0)*'Master Data-C19RM'!$C$2))</f>
        <v>0</v>
      </c>
      <c r="O37" s="492" t="str">
        <f>IF(L37="", "",SETUP!$E$7)</f>
        <v/>
      </c>
      <c r="P37" s="444">
        <f>IF($O37="USD",_xlfn.IFNA(VLOOKUP($A37&amp;$E37&amp;$I37,PMsheet!$J:$K,2,0),0),(_xlfn.IFNA(VLOOKUP($A37&amp;$E37&amp;$I37,PMsheet!$J:$K,2,0),0)*'Master Data-C19RM'!$C$2))</f>
        <v>0</v>
      </c>
      <c r="Q37" s="441"/>
      <c r="R37" s="441"/>
      <c r="S37" s="441"/>
      <c r="T37" s="441"/>
      <c r="U37" s="481">
        <f t="shared" si="7"/>
        <v>0</v>
      </c>
      <c r="V37" s="483">
        <f>IF(SETUP!$E$7="USD",(U37*(IF(O37="USD",P37,(P37/'Master Data-C19RM'!$C$2)))),(U37*(IF(O37="EUR",P37,(P37*'Master Data-C19RM'!$C$2)))))</f>
        <v>0</v>
      </c>
      <c r="W37" s="444">
        <f>IF($O37="USD",_xlfn.IFNA(VLOOKUP($A37&amp;$E37&amp;$I37,PMsheet!$J:$K,2,0),0),(_xlfn.IFNA(VLOOKUP($A37&amp;$E37&amp;$I37,PMsheet!$J:$K,2,0),0)*'Master Data-C19RM'!$D$2))</f>
        <v>0</v>
      </c>
      <c r="X37" s="441"/>
      <c r="Y37" s="441"/>
      <c r="Z37" s="441"/>
      <c r="AA37" s="441"/>
      <c r="AB37" s="481">
        <f t="shared" si="1"/>
        <v>0</v>
      </c>
      <c r="AC37" s="483">
        <f>IF(SETUP!$E$7="USD",(AB37*(IF(O37="USD",W37,(W37/'Master Data-C19RM'!$D$2)))),(AB37*(IF(O37="EUR",W37,(W37*'Master Data-C19RM'!$D$2)))))</f>
        <v>0</v>
      </c>
      <c r="AD37" s="444">
        <f>IF($O37="USD",_xlfn.IFNA(VLOOKUP($A37&amp;$E37&amp;$I37,PMsheet!$J:$K,2,0),0),(_xlfn.IFNA(VLOOKUP($A37&amp;$E37&amp;$I37,PMsheet!$J:$K,2,0),0)*'Master Data-C19RM'!$E$2))</f>
        <v>0</v>
      </c>
      <c r="AE37" s="441"/>
      <c r="AF37" s="441"/>
      <c r="AG37" s="441"/>
      <c r="AH37" s="441"/>
      <c r="AI37" s="512">
        <f t="shared" si="8"/>
        <v>0</v>
      </c>
      <c r="AJ37" s="513">
        <f>IF(SETUP!$E$7="USD",(AI37*(IF(O37="USD",AD37,(AD37/'Master Data-C19RM'!$E$2)))),(AI37*(IF(O37="EUR",AD37,(AD37*'Master Data-C19RM'!$E$2)))))</f>
        <v>0</v>
      </c>
      <c r="AK37" s="444">
        <f>IF($O37="USD",_xlfn.IFNA(VLOOKUP($A37&amp;$E37&amp;$I37,PMsheet!$J:$K,2,0),0),(_xlfn.IFNA(VLOOKUP($A37&amp;$E37&amp;$I37,PMsheet!$J:$K,2,0),0)*'Master Data-C19RM'!$F$2))</f>
        <v>0</v>
      </c>
      <c r="AL37" s="441"/>
      <c r="AM37" s="441"/>
      <c r="AN37" s="441"/>
      <c r="AO37" s="441"/>
      <c r="AP37" s="481">
        <f t="shared" si="3"/>
        <v>0</v>
      </c>
      <c r="AQ37" s="483">
        <f>IF(SETUP!$E$7="USD",(AP37*(IF(O37="USD",AK37,(AK37/'Master Data-C19RM'!$F$2)))),(AP37*(IF(O37="EUR",AK37,(AK37*'Master Data-C19RM'!$F$2)))))</f>
        <v>0</v>
      </c>
      <c r="AR37" s="444">
        <f>IF($O37="USD",_xlfn.IFNA(VLOOKUP($A37&amp;$E37&amp;$I37,PMsheet!$J:$K,2,0),0),(_xlfn.IFNA(VLOOKUP($A37&amp;$E37&amp;$I37,PMsheet!$J:$K,2,0),0)*'Master Data-C19RM'!$G$2))</f>
        <v>0</v>
      </c>
      <c r="AS37" s="441"/>
      <c r="AT37" s="441"/>
      <c r="AU37" s="441"/>
      <c r="AV37" s="441"/>
      <c r="AW37" s="481">
        <f t="shared" si="4"/>
        <v>0</v>
      </c>
      <c r="AX37" s="483">
        <f>IF(SETUP!$E$7="USD",(AW37*(IF(O37="USD",AR37,(AR37/'Master Data-C19RM'!$G$2)))),(AW37*(IF(O37="EUR",AR37,(AR37*'Master Data-C19RM'!$G$2)))))</f>
        <v>0</v>
      </c>
      <c r="AY37" s="851"/>
      <c r="AZ37" s="851"/>
      <c r="BA37" s="851"/>
      <c r="BB37" s="851"/>
      <c r="BC37" s="851"/>
      <c r="BD37" s="851"/>
      <c r="BE37" s="852"/>
      <c r="BF37" s="481">
        <f>'C19RM 2021-Lab &amp; Other HPS'!$U37+'C19RM 2021-Lab &amp; Other HPS'!$AB37+AI37+'C19RM 2021-Lab &amp; Other HPS'!$AP37+'C19RM 2021-Lab &amp; Other HPS'!$AW37+BD37</f>
        <v>0</v>
      </c>
      <c r="BG37" s="481">
        <f>'C19RM 2021-Lab &amp; Other HPS'!$V37+'C19RM 2021-Lab &amp; Other HPS'!$AC37+'C19RM 2021-Lab &amp; Other HPS'!$AQ37+'C19RM 2021-Lab &amp; Other HPS'!$AJ37+AX37+BE37</f>
        <v>0</v>
      </c>
      <c r="BH37" s="500" t="str" cm="1">
        <f t="array" ref="BH37">IF(A37&lt;&gt;"",IFERROR(INDEX(PMtbl[[WKst]:[Unit of measure*]],MATCH($A$8&amp;$A37&amp;$E37&amp;$I37,INDEX(PMtbl[Sec]&amp;PMtbl[Category]&amp;PMtbl[Each]&amp;PMtbl[Packaging],0,),0),11),""),"")</f>
        <v/>
      </c>
      <c r="BI37" s="819"/>
      <c r="BJ37" s="502" t="str">
        <f>IFERROR(INDEX(SETUP!$C$19:$G$121,MATCH((INDEX(PMtbl[[WKst]:[Unit of measure*]],MATCH($A37&amp;$E37&amp;$I37,INDEX(PMtbl[Category]&amp;PMtbl[Each]&amp;PMtbl[Packaging],0,),0),3)),SETUP!$D$19:$D$121,0),5),"")</f>
        <v/>
      </c>
      <c r="BK37" s="438"/>
      <c r="BL37" s="157"/>
      <c r="BO37" s="12">
        <f>IF(N37="",0,IF(SETUP!$E$7="USD",((IF(O37="USD",P37,(P37/'Master Data-C19RM'!$C$2)))),((IF(O37="EUR",P37,(P37*'Master Data-C19RM'!$C$2))))))</f>
        <v>0</v>
      </c>
      <c r="BP37" s="12">
        <f>IF(N37="",0,IF(SETUP!$E$7="USD",((IF(O37="USD",W37,(W37/'Master Data-C19RM'!$D$2)))),((IF(O37="EUR",W37,(W37*'Master Data-C19RM'!$D$2))))))</f>
        <v>0</v>
      </c>
      <c r="BQ37">
        <f>IF(N37="",0,IF(SETUP!$E$7="USD",((IF(O37="USD",AD37,(AD37/'Master Data-C19RM'!$E$2)))),((IF(O37="EUR",AD37,(AD37*'Master Data-C19RM'!$E$2))))))</f>
        <v>0</v>
      </c>
      <c r="BR37">
        <f>IF(N37="",0,IF(SETUP!$E$7="USD",((IF(O37="USD",AK37,(AK37/'Master Data-C19RM'!$F$2)))),((IF(O37="EUR",AK37,(AK37*'Master Data-C19RM'!$F$2))))))</f>
        <v>0</v>
      </c>
      <c r="BS37">
        <f>IF(N37="",0,IF(SETUP!$E$7="USD",((IF(O37="USD",AR37,(AR37/'Master Data-C19RM'!$G$2)))),((IF(O37="EUR",AR37,(AR37*'Master Data-C19RM'!$G$2))))))</f>
        <v>0</v>
      </c>
      <c r="BT37">
        <f>IF(N37="",0,IF(SETUP!$E$7="USD",((IF(O37="USD",AY37,(AY37/'Master Data-C19RM'!$H$2)))),((IF(O37="EUR",AY37,(AY37*'Master Data-C19RM'!$H$2))))))</f>
        <v>0</v>
      </c>
      <c r="BU37" s="12">
        <f t="shared" si="5"/>
        <v>0</v>
      </c>
      <c r="BV37" s="142">
        <f t="shared" si="6"/>
        <v>0</v>
      </c>
    </row>
    <row r="38" spans="1:74" ht="14.5" customHeight="1" x14ac:dyDescent="0.35">
      <c r="A38" s="1192"/>
      <c r="B38" s="1192"/>
      <c r="C38" s="1192"/>
      <c r="D38" s="1192"/>
      <c r="E38" s="1173"/>
      <c r="F38" s="1173"/>
      <c r="G38" s="1173"/>
      <c r="H38" s="1173"/>
      <c r="I38" s="1173"/>
      <c r="J38" s="1173"/>
      <c r="K38" s="1173"/>
      <c r="L38" s="493" t="str" cm="1">
        <f t="array" ref="L38">IF(A38&lt;&gt;"",IFERROR(INDEX(PMtbl[[WKst]:[Unit of measure*]],MATCH($A$8&amp;$A38&amp;$E38&amp;$I38,INDEX(PMtbl[Sec]&amp;PMtbl[Category]&amp;PMtbl[Each]&amp;PMtbl[Packaging],0,),0),14),""),"")</f>
        <v/>
      </c>
      <c r="M38" s="480" t="str">
        <f>IF(L38="","",INDEX(SETUP!$E$20:$E$122,(MATCH(INDEX(PMsheet!$D:$E,MATCH(A38,PMsheet!E:E,0),1),SETUP!$D$20:$D$122,0))))</f>
        <v/>
      </c>
      <c r="N38" s="494">
        <f>IF($O38="USD",_xlfn.IFNA(VLOOKUP(A38&amp;E38&amp;I38,PMsheet!J:K,2,0),0),(_xlfn.IFNA(VLOOKUP(A38&amp;E38&amp;I38,PMsheet!J:K,2,0),0)*'Master Data-C19RM'!$C$2))</f>
        <v>0</v>
      </c>
      <c r="O38" s="495" t="str">
        <f>IF(L38="", "",SETUP!$E$7)</f>
        <v/>
      </c>
      <c r="P38" s="445">
        <f>IF($O38="USD",_xlfn.IFNA(VLOOKUP($A38&amp;$E38&amp;$I38,PMsheet!$J:$K,2,0),0),(_xlfn.IFNA(VLOOKUP($A38&amp;$E38&amp;$I38,PMsheet!$J:$K,2,0),0)*'Master Data-C19RM'!$C$2))</f>
        <v>0</v>
      </c>
      <c r="Q38" s="440"/>
      <c r="R38" s="440"/>
      <c r="S38" s="440"/>
      <c r="T38" s="440"/>
      <c r="U38" s="482">
        <f t="shared" si="7"/>
        <v>0</v>
      </c>
      <c r="V38" s="484">
        <f>IF(SETUP!$E$7="USD",(U38*(IF(O38="USD",P38,(P38/'Master Data-C19RM'!$C$2)))),(U38*(IF(O38="EUR",P38,(P38*'Master Data-C19RM'!$C$2)))))</f>
        <v>0</v>
      </c>
      <c r="W38" s="445">
        <f>IF($O38="USD",_xlfn.IFNA(VLOOKUP($A38&amp;$E38&amp;$I38,PMsheet!$J:$K,2,0),0),(_xlfn.IFNA(VLOOKUP($A38&amp;$E38&amp;$I38,PMsheet!$J:$K,2,0),0)*'Master Data-C19RM'!$D$2))</f>
        <v>0</v>
      </c>
      <c r="X38" s="440"/>
      <c r="Y38" s="440"/>
      <c r="Z38" s="440"/>
      <c r="AA38" s="440"/>
      <c r="AB38" s="482">
        <f t="shared" si="1"/>
        <v>0</v>
      </c>
      <c r="AC38" s="484">
        <f>IF(SETUP!$E$7="USD",(AB38*(IF(O38="USD",W38,(W38/'Master Data-C19RM'!$D$2)))),(AB38*(IF(O38="EUR",W38,(W38*'Master Data-C19RM'!$D$2)))))</f>
        <v>0</v>
      </c>
      <c r="AD38" s="445">
        <f>IF($O38="USD",_xlfn.IFNA(VLOOKUP($A38&amp;$E38&amp;$I38,PMsheet!$J:$K,2,0),0),(_xlfn.IFNA(VLOOKUP($A38&amp;$E38&amp;$I38,PMsheet!$J:$K,2,0),0)*'Master Data-C19RM'!$E$2))</f>
        <v>0</v>
      </c>
      <c r="AE38" s="440"/>
      <c r="AF38" s="440"/>
      <c r="AG38" s="440"/>
      <c r="AH38" s="440"/>
      <c r="AI38" s="514">
        <f t="shared" si="8"/>
        <v>0</v>
      </c>
      <c r="AJ38" s="515">
        <f>IF(SETUP!$E$7="USD",(AI38*(IF(O38="USD",AD38,(AD38/'Master Data-C19RM'!$E$2)))),(AI38*(IF(O38="EUR",AD38,(AD38*'Master Data-C19RM'!$E$2)))))</f>
        <v>0</v>
      </c>
      <c r="AK38" s="445">
        <f>IF($O38="USD",_xlfn.IFNA(VLOOKUP($A38&amp;$E38&amp;$I38,PMsheet!$J:$K,2,0),0),(_xlfn.IFNA(VLOOKUP($A38&amp;$E38&amp;$I38,PMsheet!$J:$K,2,0),0)*'Master Data-C19RM'!$F$2))</f>
        <v>0</v>
      </c>
      <c r="AL38" s="440"/>
      <c r="AM38" s="440"/>
      <c r="AN38" s="440"/>
      <c r="AO38" s="440"/>
      <c r="AP38" s="482">
        <f t="shared" si="3"/>
        <v>0</v>
      </c>
      <c r="AQ38" s="484">
        <f>IF(SETUP!$E$7="USD",(AP38*(IF(O38="USD",AK38,(AK38/'Master Data-C19RM'!$F$2)))),(AP38*(IF(O38="EUR",AK38,(AK38*'Master Data-C19RM'!$F$2)))))</f>
        <v>0</v>
      </c>
      <c r="AR38" s="445">
        <f>IF($O38="USD",_xlfn.IFNA(VLOOKUP($A38&amp;$E38&amp;$I38,PMsheet!$J:$K,2,0),0),(_xlfn.IFNA(VLOOKUP($A38&amp;$E38&amp;$I38,PMsheet!$J:$K,2,0),0)*'Master Data-C19RM'!$G$2))</f>
        <v>0</v>
      </c>
      <c r="AS38" s="440"/>
      <c r="AT38" s="440"/>
      <c r="AU38" s="440"/>
      <c r="AV38" s="440"/>
      <c r="AW38" s="482">
        <f t="shared" si="4"/>
        <v>0</v>
      </c>
      <c r="AX38" s="484">
        <f>IF(SETUP!$E$7="USD",(AW38*(IF(O38="USD",AR38,(AR38/'Master Data-C19RM'!$G$2)))),(AW38*(IF(O38="EUR",AR38,(AR38*'Master Data-C19RM'!$G$2)))))</f>
        <v>0</v>
      </c>
      <c r="AY38" s="843"/>
      <c r="AZ38" s="843"/>
      <c r="BA38" s="843"/>
      <c r="BB38" s="843"/>
      <c r="BC38" s="843"/>
      <c r="BD38" s="843"/>
      <c r="BE38" s="844"/>
      <c r="BF38" s="482">
        <f>'C19RM 2021-Lab &amp; Other HPS'!$U38+'C19RM 2021-Lab &amp; Other HPS'!$AB38+AI38+'C19RM 2021-Lab &amp; Other HPS'!$AP38+'C19RM 2021-Lab &amp; Other HPS'!$AW38+BD38</f>
        <v>0</v>
      </c>
      <c r="BG38" s="482">
        <f>'C19RM 2021-Lab &amp; Other HPS'!$V38+'C19RM 2021-Lab &amp; Other HPS'!$AC38+'C19RM 2021-Lab &amp; Other HPS'!$AQ38+'C19RM 2021-Lab &amp; Other HPS'!$AJ38+AX38+BE38</f>
        <v>0</v>
      </c>
      <c r="BH38" s="499" t="str" cm="1">
        <f t="array" ref="BH38">IF(A38&lt;&gt;"",IFERROR(INDEX(PMtbl[[WKst]:[Unit of measure*]],MATCH($A$8&amp;$A38&amp;$E38&amp;$I38,INDEX(PMtbl[Sec]&amp;PMtbl[Category]&amp;PMtbl[Each]&amp;PMtbl[Packaging],0,),0),11),""),"")</f>
        <v/>
      </c>
      <c r="BI38" s="818"/>
      <c r="BJ38" s="503" t="str">
        <f>IFERROR(INDEX(SETUP!$C$19:$G$121,MATCH((INDEX(PMtbl[[WKst]:[Unit of measure*]],MATCH($A38&amp;$E38&amp;$I38,INDEX(PMtbl[Category]&amp;PMtbl[Each]&amp;PMtbl[Packaging],0,),0),3)),SETUP!$D$19:$D$121,0),5),"")</f>
        <v/>
      </c>
      <c r="BK38" s="439"/>
      <c r="BL38" s="158"/>
      <c r="BO38" s="12">
        <f>IF(N38="",0,IF(SETUP!$E$7="USD",((IF(O38="USD",P38,(P38/'Master Data-C19RM'!$C$2)))),((IF(O38="EUR",P38,(P38*'Master Data-C19RM'!$C$2))))))</f>
        <v>0</v>
      </c>
      <c r="BP38" s="12">
        <f>IF(N38="",0,IF(SETUP!$E$7="USD",((IF(O38="USD",W38,(W38/'Master Data-C19RM'!$D$2)))),((IF(O38="EUR",W38,(W38*'Master Data-C19RM'!$D$2))))))</f>
        <v>0</v>
      </c>
      <c r="BQ38">
        <f>IF(N38="",0,IF(SETUP!$E$7="USD",((IF(O38="USD",AD38,(AD38/'Master Data-C19RM'!$E$2)))),((IF(O38="EUR",AD38,(AD38*'Master Data-C19RM'!$E$2))))))</f>
        <v>0</v>
      </c>
      <c r="BR38">
        <f>IF(N38="",0,IF(SETUP!$E$7="USD",((IF(O38="USD",AK38,(AK38/'Master Data-C19RM'!$F$2)))),((IF(O38="EUR",AK38,(AK38*'Master Data-C19RM'!$F$2))))))</f>
        <v>0</v>
      </c>
      <c r="BS38">
        <f>IF(N38="",0,IF(SETUP!$E$7="USD",((IF(O38="USD",AR38,(AR38/'Master Data-C19RM'!$G$2)))),((IF(O38="EUR",AR38,(AR38*'Master Data-C19RM'!$G$2))))))</f>
        <v>0</v>
      </c>
      <c r="BT38">
        <f>IF(N38="",0,IF(SETUP!$E$7="USD",((IF(O38="USD",AY38,(AY38/'Master Data-C19RM'!$H$2)))),((IF(O38="EUR",AY38,(AY38*'Master Data-C19RM'!$H$2))))))</f>
        <v>0</v>
      </c>
      <c r="BU38" s="12">
        <f t="shared" si="5"/>
        <v>0</v>
      </c>
      <c r="BV38" s="142">
        <f t="shared" si="6"/>
        <v>0</v>
      </c>
    </row>
    <row r="39" spans="1:74" ht="14.5" customHeight="1" x14ac:dyDescent="0.35">
      <c r="A39" s="1200"/>
      <c r="B39" s="1201"/>
      <c r="C39" s="1201"/>
      <c r="D39" s="1202"/>
      <c r="E39" s="1216"/>
      <c r="F39" s="1217"/>
      <c r="G39" s="1217"/>
      <c r="H39" s="1218"/>
      <c r="I39" s="1216"/>
      <c r="J39" s="1217"/>
      <c r="K39" s="1218"/>
      <c r="L39" s="490" t="str" cm="1">
        <f t="array" ref="L39">IF(A39&lt;&gt;"",IFERROR(INDEX(PMtbl[[WKst]:[Unit of measure*]],MATCH($A$8&amp;$A39&amp;$E39&amp;$I39,INDEX(PMtbl[Sec]&amp;PMtbl[Category]&amp;PMtbl[Each]&amp;PMtbl[Packaging],0,),0),14),""),"")</f>
        <v/>
      </c>
      <c r="M39" s="479" t="str">
        <f>IF(L39="","",INDEX(SETUP!$E$20:$E$122,(MATCH(INDEX(PMsheet!$D:$E,MATCH(A39,PMsheet!E:E,0),1),SETUP!$D$20:$D$122,0))))</f>
        <v/>
      </c>
      <c r="N39" s="496">
        <f>IF($O39="USD",_xlfn.IFNA(VLOOKUP(A39&amp;E39&amp;I39,PMsheet!J:K,2,0),0),(_xlfn.IFNA(VLOOKUP(A39&amp;E39&amp;I39,PMsheet!J:K,2,0),0)*'Master Data-C19RM'!$C$2))</f>
        <v>0</v>
      </c>
      <c r="O39" s="492" t="str">
        <f>IF(L39="", "",SETUP!$E$7)</f>
        <v/>
      </c>
      <c r="P39" s="444">
        <f>IF($O39="USD",_xlfn.IFNA(VLOOKUP($A39&amp;$E39&amp;$I39,PMsheet!$J:$K,2,0),0),(_xlfn.IFNA(VLOOKUP($A39&amp;$E39&amp;$I39,PMsheet!$J:$K,2,0),0)*'Master Data-C19RM'!$C$2))</f>
        <v>0</v>
      </c>
      <c r="Q39" s="441"/>
      <c r="R39" s="441"/>
      <c r="S39" s="441"/>
      <c r="T39" s="441"/>
      <c r="U39" s="481">
        <f t="shared" si="7"/>
        <v>0</v>
      </c>
      <c r="V39" s="483">
        <f>IF(SETUP!$E$7="USD",(U39*(IF(O39="USD",P39,(P39/'Master Data-C19RM'!$C$2)))),(U39*(IF(O39="EUR",P39,(P39*'Master Data-C19RM'!$C$2)))))</f>
        <v>0</v>
      </c>
      <c r="W39" s="444">
        <f>IF($O39="USD",_xlfn.IFNA(VLOOKUP($A39&amp;$E39&amp;$I39,PMsheet!$J:$K,2,0),0),(_xlfn.IFNA(VLOOKUP($A39&amp;$E39&amp;$I39,PMsheet!$J:$K,2,0),0)*'Master Data-C19RM'!$D$2))</f>
        <v>0</v>
      </c>
      <c r="X39" s="441"/>
      <c r="Y39" s="441"/>
      <c r="Z39" s="441"/>
      <c r="AA39" s="441"/>
      <c r="AB39" s="481">
        <f t="shared" si="1"/>
        <v>0</v>
      </c>
      <c r="AC39" s="483">
        <f>IF(SETUP!$E$7="USD",(AB39*(IF(O39="USD",W39,(W39/'Master Data-C19RM'!$D$2)))),(AB39*(IF(O39="EUR",W39,(W39*'Master Data-C19RM'!$D$2)))))</f>
        <v>0</v>
      </c>
      <c r="AD39" s="444">
        <f>IF($O39="USD",_xlfn.IFNA(VLOOKUP($A39&amp;$E39&amp;$I39,PMsheet!$J:$K,2,0),0),(_xlfn.IFNA(VLOOKUP($A39&amp;$E39&amp;$I39,PMsheet!$J:$K,2,0),0)*'Master Data-C19RM'!$E$2))</f>
        <v>0</v>
      </c>
      <c r="AE39" s="441"/>
      <c r="AF39" s="441"/>
      <c r="AG39" s="441"/>
      <c r="AH39" s="441"/>
      <c r="AI39" s="512">
        <f t="shared" si="8"/>
        <v>0</v>
      </c>
      <c r="AJ39" s="513">
        <f>IF(SETUP!$E$7="USD",(AI39*(IF(O39="USD",AD39,(AD39/'Master Data-C19RM'!$E$2)))),(AI39*(IF(O39="EUR",AD39,(AD39*'Master Data-C19RM'!$E$2)))))</f>
        <v>0</v>
      </c>
      <c r="AK39" s="444">
        <f>IF($O39="USD",_xlfn.IFNA(VLOOKUP($A39&amp;$E39&amp;$I39,PMsheet!$J:$K,2,0),0),(_xlfn.IFNA(VLOOKUP($A39&amp;$E39&amp;$I39,PMsheet!$J:$K,2,0),0)*'Master Data-C19RM'!$F$2))</f>
        <v>0</v>
      </c>
      <c r="AL39" s="441"/>
      <c r="AM39" s="441"/>
      <c r="AN39" s="441"/>
      <c r="AO39" s="441"/>
      <c r="AP39" s="481">
        <f t="shared" si="3"/>
        <v>0</v>
      </c>
      <c r="AQ39" s="483">
        <f>IF(SETUP!$E$7="USD",(AP39*(IF(O39="USD",AK39,(AK39/'Master Data-C19RM'!$F$2)))),(AP39*(IF(O39="EUR",AK39,(AK39*'Master Data-C19RM'!$F$2)))))</f>
        <v>0</v>
      </c>
      <c r="AR39" s="444">
        <f>IF($O39="USD",_xlfn.IFNA(VLOOKUP($A39&amp;$E39&amp;$I39,PMsheet!$J:$K,2,0),0),(_xlfn.IFNA(VLOOKUP($A39&amp;$E39&amp;$I39,PMsheet!$J:$K,2,0),0)*'Master Data-C19RM'!$G$2))</f>
        <v>0</v>
      </c>
      <c r="AS39" s="441"/>
      <c r="AT39" s="441"/>
      <c r="AU39" s="441"/>
      <c r="AV39" s="441"/>
      <c r="AW39" s="481">
        <f t="shared" si="4"/>
        <v>0</v>
      </c>
      <c r="AX39" s="483">
        <f>IF(SETUP!$E$7="USD",(AW39*(IF(O39="USD",AR39,(AR39/'Master Data-C19RM'!$G$2)))),(AW39*(IF(O39="EUR",AR39,(AR39*'Master Data-C19RM'!$G$2)))))</f>
        <v>0</v>
      </c>
      <c r="AY39" s="851"/>
      <c r="AZ39" s="851"/>
      <c r="BA39" s="851"/>
      <c r="BB39" s="851"/>
      <c r="BC39" s="851"/>
      <c r="BD39" s="851"/>
      <c r="BE39" s="852"/>
      <c r="BF39" s="481">
        <f>'C19RM 2021-Lab &amp; Other HPS'!$U39+'C19RM 2021-Lab &amp; Other HPS'!$AB39+AI39+'C19RM 2021-Lab &amp; Other HPS'!$AP39+'C19RM 2021-Lab &amp; Other HPS'!$AW39+BD39</f>
        <v>0</v>
      </c>
      <c r="BG39" s="481">
        <f>'C19RM 2021-Lab &amp; Other HPS'!$V39+'C19RM 2021-Lab &amp; Other HPS'!$AC39+'C19RM 2021-Lab &amp; Other HPS'!$AQ39+'C19RM 2021-Lab &amp; Other HPS'!$AJ39+AX39+BE39</f>
        <v>0</v>
      </c>
      <c r="BH39" s="500" t="str" cm="1">
        <f t="array" ref="BH39">IF(A39&lt;&gt;"",IFERROR(INDEX(PMtbl[[WKst]:[Unit of measure*]],MATCH($A$8&amp;$A39&amp;$E39&amp;$I39,INDEX(PMtbl[Sec]&amp;PMtbl[Category]&amp;PMtbl[Each]&amp;PMtbl[Packaging],0,),0),11),""),"")</f>
        <v/>
      </c>
      <c r="BI39" s="819"/>
      <c r="BJ39" s="502" t="str">
        <f>IFERROR(INDEX(SETUP!$C$19:$G$121,MATCH((INDEX(PMtbl[[WKst]:[Unit of measure*]],MATCH($A39&amp;$E39&amp;$I39,INDEX(PMtbl[Category]&amp;PMtbl[Each]&amp;PMtbl[Packaging],0,),0),3)),SETUP!$D$19:$D$121,0),5),"")</f>
        <v/>
      </c>
      <c r="BK39" s="438"/>
      <c r="BL39" s="157"/>
      <c r="BO39" s="12">
        <f>IF(N39="",0,IF(SETUP!$E$7="USD",((IF(O39="USD",P39,(P39/'Master Data-C19RM'!$C$2)))),((IF(O39="EUR",P39,(P39*'Master Data-C19RM'!$C$2))))))</f>
        <v>0</v>
      </c>
      <c r="BP39" s="12">
        <f>IF(N39="",0,IF(SETUP!$E$7="USD",((IF(O39="USD",W39,(W39/'Master Data-C19RM'!$D$2)))),((IF(O39="EUR",W39,(W39*'Master Data-C19RM'!$D$2))))))</f>
        <v>0</v>
      </c>
      <c r="BQ39">
        <f>IF(N39="",0,IF(SETUP!$E$7="USD",((IF(O39="USD",AD39,(AD39/'Master Data-C19RM'!$E$2)))),((IF(O39="EUR",AD39,(AD39*'Master Data-C19RM'!$E$2))))))</f>
        <v>0</v>
      </c>
      <c r="BR39">
        <f>IF(N39="",0,IF(SETUP!$E$7="USD",((IF(O39="USD",AK39,(AK39/'Master Data-C19RM'!$F$2)))),((IF(O39="EUR",AK39,(AK39*'Master Data-C19RM'!$F$2))))))</f>
        <v>0</v>
      </c>
      <c r="BS39">
        <f>IF(N39="",0,IF(SETUP!$E$7="USD",((IF(O39="USD",AR39,(AR39/'Master Data-C19RM'!$G$2)))),((IF(O39="EUR",AR39,(AR39*'Master Data-C19RM'!$G$2))))))</f>
        <v>0</v>
      </c>
      <c r="BT39">
        <f>IF(N39="",0,IF(SETUP!$E$7="USD",((IF(O39="USD",AY39,(AY39/'Master Data-C19RM'!$H$2)))),((IF(O39="EUR",AY39,(AY39*'Master Data-C19RM'!$H$2))))))</f>
        <v>0</v>
      </c>
      <c r="BU39" s="12">
        <f t="shared" si="5"/>
        <v>0</v>
      </c>
      <c r="BV39" s="142">
        <f t="shared" si="6"/>
        <v>0</v>
      </c>
    </row>
    <row r="40" spans="1:74" ht="14.5" customHeight="1" x14ac:dyDescent="0.35">
      <c r="A40" s="1192"/>
      <c r="B40" s="1192"/>
      <c r="C40" s="1192"/>
      <c r="D40" s="1192"/>
      <c r="E40" s="1173"/>
      <c r="F40" s="1173"/>
      <c r="G40" s="1173"/>
      <c r="H40" s="1173"/>
      <c r="I40" s="1173"/>
      <c r="J40" s="1173"/>
      <c r="K40" s="1173"/>
      <c r="L40" s="493" t="str" cm="1">
        <f t="array" ref="L40">IF(A40&lt;&gt;"",IFERROR(INDEX(PMtbl[[WKst]:[Unit of measure*]],MATCH($A$8&amp;$A40&amp;$E40&amp;$I40,INDEX(PMtbl[Sec]&amp;PMtbl[Category]&amp;PMtbl[Each]&amp;PMtbl[Packaging],0,),0),14),""),"")</f>
        <v/>
      </c>
      <c r="M40" s="480" t="str">
        <f>IF(L40="","",INDEX(SETUP!$E$20:$E$122,(MATCH(INDEX(PMsheet!$D:$E,MATCH(A40,PMsheet!E:E,0),1),SETUP!$D$20:$D$122,0))))</f>
        <v/>
      </c>
      <c r="N40" s="494">
        <f>IF($O40="USD",_xlfn.IFNA(VLOOKUP(A40&amp;E40&amp;I40,PMsheet!J:K,2,0),0),(_xlfn.IFNA(VLOOKUP(A40&amp;E40&amp;I40,PMsheet!J:K,2,0),0)*'Master Data-C19RM'!$C$2))</f>
        <v>0</v>
      </c>
      <c r="O40" s="495" t="str">
        <f>IF(L40="", "",SETUP!$E$7)</f>
        <v/>
      </c>
      <c r="P40" s="445">
        <f>IF($O40="USD",_xlfn.IFNA(VLOOKUP($A40&amp;$E40&amp;$I40,PMsheet!$J:$K,2,0),0),(_xlfn.IFNA(VLOOKUP($A40&amp;$E40&amp;$I40,PMsheet!$J:$K,2,0),0)*'Master Data-C19RM'!$C$2))</f>
        <v>0</v>
      </c>
      <c r="Q40" s="440"/>
      <c r="R40" s="440"/>
      <c r="S40" s="440"/>
      <c r="T40" s="440"/>
      <c r="U40" s="482">
        <f t="shared" si="7"/>
        <v>0</v>
      </c>
      <c r="V40" s="484">
        <f>IF(SETUP!$E$7="USD",(U40*(IF(O40="USD",P40,(P40/'Master Data-C19RM'!$C$2)))),(U40*(IF(O40="EUR",P40,(P40*'Master Data-C19RM'!$C$2)))))</f>
        <v>0</v>
      </c>
      <c r="W40" s="445">
        <f>IF($O40="USD",_xlfn.IFNA(VLOOKUP($A40&amp;$E40&amp;$I40,PMsheet!$J:$K,2,0),0),(_xlfn.IFNA(VLOOKUP($A40&amp;$E40&amp;$I40,PMsheet!$J:$K,2,0),0)*'Master Data-C19RM'!$D$2))</f>
        <v>0</v>
      </c>
      <c r="X40" s="440"/>
      <c r="Y40" s="440"/>
      <c r="Z40" s="440"/>
      <c r="AA40" s="440"/>
      <c r="AB40" s="482">
        <f t="shared" si="1"/>
        <v>0</v>
      </c>
      <c r="AC40" s="484">
        <f>IF(SETUP!$E$7="USD",(AB40*(IF(O40="USD",W40,(W40/'Master Data-C19RM'!$D$2)))),(AB40*(IF(O40="EUR",W40,(W40*'Master Data-C19RM'!$D$2)))))</f>
        <v>0</v>
      </c>
      <c r="AD40" s="445">
        <f>IF($O40="USD",_xlfn.IFNA(VLOOKUP($A40&amp;$E40&amp;$I40,PMsheet!$J:$K,2,0),0),(_xlfn.IFNA(VLOOKUP($A40&amp;$E40&amp;$I40,PMsheet!$J:$K,2,0),0)*'Master Data-C19RM'!$E$2))</f>
        <v>0</v>
      </c>
      <c r="AE40" s="440"/>
      <c r="AF40" s="440"/>
      <c r="AG40" s="440"/>
      <c r="AH40" s="440"/>
      <c r="AI40" s="514">
        <f t="shared" si="8"/>
        <v>0</v>
      </c>
      <c r="AJ40" s="515">
        <f>IF(SETUP!$E$7="USD",(AI40*(IF(O40="USD",AD40,(AD40/'Master Data-C19RM'!$E$2)))),(AI40*(IF(O40="EUR",AD40,(AD40*'Master Data-C19RM'!$E$2)))))</f>
        <v>0</v>
      </c>
      <c r="AK40" s="445">
        <f>IF($O40="USD",_xlfn.IFNA(VLOOKUP($A40&amp;$E40&amp;$I40,PMsheet!$J:$K,2,0),0),(_xlfn.IFNA(VLOOKUP($A40&amp;$E40&amp;$I40,PMsheet!$J:$K,2,0),0)*'Master Data-C19RM'!$F$2))</f>
        <v>0</v>
      </c>
      <c r="AL40" s="440"/>
      <c r="AM40" s="440"/>
      <c r="AN40" s="440"/>
      <c r="AO40" s="440"/>
      <c r="AP40" s="482">
        <f t="shared" si="3"/>
        <v>0</v>
      </c>
      <c r="AQ40" s="484">
        <f>IF(SETUP!$E$7="USD",(AP40*(IF(O40="USD",AK40,(AK40/'Master Data-C19RM'!$F$2)))),(AP40*(IF(O40="EUR",AK40,(AK40*'Master Data-C19RM'!$F$2)))))</f>
        <v>0</v>
      </c>
      <c r="AR40" s="445">
        <f>IF($O40="USD",_xlfn.IFNA(VLOOKUP($A40&amp;$E40&amp;$I40,PMsheet!$J:$K,2,0),0),(_xlfn.IFNA(VLOOKUP($A40&amp;$E40&amp;$I40,PMsheet!$J:$K,2,0),0)*'Master Data-C19RM'!$G$2))</f>
        <v>0</v>
      </c>
      <c r="AS40" s="440"/>
      <c r="AT40" s="440"/>
      <c r="AU40" s="440"/>
      <c r="AV40" s="440"/>
      <c r="AW40" s="482">
        <f t="shared" si="4"/>
        <v>0</v>
      </c>
      <c r="AX40" s="484">
        <f>IF(SETUP!$E$7="USD",(AW40*(IF(O40="USD",AR40,(AR40/'Master Data-C19RM'!$G$2)))),(AW40*(IF(O40="EUR",AR40,(AR40*'Master Data-C19RM'!$G$2)))))</f>
        <v>0</v>
      </c>
      <c r="AY40" s="843"/>
      <c r="AZ40" s="843"/>
      <c r="BA40" s="843"/>
      <c r="BB40" s="843"/>
      <c r="BC40" s="843"/>
      <c r="BD40" s="843"/>
      <c r="BE40" s="844"/>
      <c r="BF40" s="482">
        <f>'C19RM 2021-Lab &amp; Other HPS'!$U40+'C19RM 2021-Lab &amp; Other HPS'!$AB40+AI40+'C19RM 2021-Lab &amp; Other HPS'!$AP40+'C19RM 2021-Lab &amp; Other HPS'!$AW40+BD40</f>
        <v>0</v>
      </c>
      <c r="BG40" s="482">
        <f>'C19RM 2021-Lab &amp; Other HPS'!$V40+'C19RM 2021-Lab &amp; Other HPS'!$AC40+'C19RM 2021-Lab &amp; Other HPS'!$AQ40+'C19RM 2021-Lab &amp; Other HPS'!$AJ40+AX40+BE40</f>
        <v>0</v>
      </c>
      <c r="BH40" s="499" t="str" cm="1">
        <f t="array" ref="BH40">IF(A40&lt;&gt;"",IFERROR(INDEX(PMtbl[[WKst]:[Unit of measure*]],MATCH($A$8&amp;$A40&amp;$E40&amp;$I40,INDEX(PMtbl[Sec]&amp;PMtbl[Category]&amp;PMtbl[Each]&amp;PMtbl[Packaging],0,),0),11),""),"")</f>
        <v/>
      </c>
      <c r="BI40" s="818"/>
      <c r="BJ40" s="503" t="str">
        <f>IFERROR(INDEX(SETUP!$C$19:$G$121,MATCH((INDEX(PMtbl[[WKst]:[Unit of measure*]],MATCH($A40&amp;$E40&amp;$I40,INDEX(PMtbl[Category]&amp;PMtbl[Each]&amp;PMtbl[Packaging],0,),0),3)),SETUP!$D$19:$D$121,0),5),"")</f>
        <v/>
      </c>
      <c r="BK40" s="439"/>
      <c r="BL40" s="158"/>
      <c r="BO40" s="12">
        <f>IF(N40="",0,IF(SETUP!$E$7="USD",((IF(O40="USD",P40,(P40/'Master Data-C19RM'!$C$2)))),((IF(O40="EUR",P40,(P40*'Master Data-C19RM'!$C$2))))))</f>
        <v>0</v>
      </c>
      <c r="BP40" s="12">
        <f>IF(N40="",0,IF(SETUP!$E$7="USD",((IF(O40="USD",W40,(W40/'Master Data-C19RM'!$D$2)))),((IF(O40="EUR",W40,(W40*'Master Data-C19RM'!$D$2))))))</f>
        <v>0</v>
      </c>
      <c r="BQ40">
        <f>IF(N40="",0,IF(SETUP!$E$7="USD",((IF(O40="USD",AD40,(AD40/'Master Data-C19RM'!$E$2)))),((IF(O40="EUR",AD40,(AD40*'Master Data-C19RM'!$E$2))))))</f>
        <v>0</v>
      </c>
      <c r="BR40">
        <f>IF(N40="",0,IF(SETUP!$E$7="USD",((IF(O40="USD",AK40,(AK40/'Master Data-C19RM'!$F$2)))),((IF(O40="EUR",AK40,(AK40*'Master Data-C19RM'!$F$2))))))</f>
        <v>0</v>
      </c>
      <c r="BS40">
        <f>IF(N40="",0,IF(SETUP!$E$7="USD",((IF(O40="USD",AR40,(AR40/'Master Data-C19RM'!$G$2)))),((IF(O40="EUR",AR40,(AR40*'Master Data-C19RM'!$G$2))))))</f>
        <v>0</v>
      </c>
      <c r="BT40">
        <f>IF(N40="",0,IF(SETUP!$E$7="USD",((IF(O40="USD",AY40,(AY40/'Master Data-C19RM'!$H$2)))),((IF(O40="EUR",AY40,(AY40*'Master Data-C19RM'!$H$2))))))</f>
        <v>0</v>
      </c>
      <c r="BU40" s="12">
        <f t="shared" si="5"/>
        <v>0</v>
      </c>
      <c r="BV40" s="142">
        <f t="shared" si="6"/>
        <v>0</v>
      </c>
    </row>
    <row r="41" spans="1:74" ht="14.5" customHeight="1" x14ac:dyDescent="0.35">
      <c r="A41" s="1200"/>
      <c r="B41" s="1201"/>
      <c r="C41" s="1201"/>
      <c r="D41" s="1202"/>
      <c r="E41" s="1216"/>
      <c r="F41" s="1217"/>
      <c r="G41" s="1217"/>
      <c r="H41" s="1218"/>
      <c r="I41" s="1216"/>
      <c r="J41" s="1217"/>
      <c r="K41" s="1218"/>
      <c r="L41" s="490" t="str" cm="1">
        <f t="array" ref="L41">IF(A41&lt;&gt;"",IFERROR(INDEX(PMtbl[[WKst]:[Unit of measure*]],MATCH($A$8&amp;$A41&amp;$E41&amp;$I41,INDEX(PMtbl[Sec]&amp;PMtbl[Category]&amp;PMtbl[Each]&amp;PMtbl[Packaging],0,),0),14),""),"")</f>
        <v/>
      </c>
      <c r="M41" s="479" t="str">
        <f>IF(L41="","",INDEX(SETUP!$E$20:$E$122,(MATCH(INDEX(PMsheet!$D:$E,MATCH(A41,PMsheet!E:E,0),1),SETUP!$D$20:$D$122,0))))</f>
        <v/>
      </c>
      <c r="N41" s="496">
        <f>IF($O41="USD",_xlfn.IFNA(VLOOKUP(A41&amp;E41&amp;I41,PMsheet!J:K,2,0),0),(_xlfn.IFNA(VLOOKUP(A41&amp;E41&amp;I41,PMsheet!J:K,2,0),0)*'Master Data-C19RM'!$C$2))</f>
        <v>0</v>
      </c>
      <c r="O41" s="492" t="str">
        <f>IF(L41="", "",SETUP!$E$7)</f>
        <v/>
      </c>
      <c r="P41" s="444">
        <f>IF($O41="USD",_xlfn.IFNA(VLOOKUP($A41&amp;$E41&amp;$I41,PMsheet!$J:$K,2,0),0),(_xlfn.IFNA(VLOOKUP($A41&amp;$E41&amp;$I41,PMsheet!$J:$K,2,0),0)*'Master Data-C19RM'!$C$2))</f>
        <v>0</v>
      </c>
      <c r="Q41" s="441"/>
      <c r="R41" s="441"/>
      <c r="S41" s="441"/>
      <c r="T41" s="441"/>
      <c r="U41" s="481">
        <f t="shared" si="7"/>
        <v>0</v>
      </c>
      <c r="V41" s="483">
        <f>IF(SETUP!$E$7="USD",(U41*(IF(O41="USD",P41,(P41/'Master Data-C19RM'!$C$2)))),(U41*(IF(O41="EUR",P41,(P41*'Master Data-C19RM'!$C$2)))))</f>
        <v>0</v>
      </c>
      <c r="W41" s="444">
        <f>IF($O41="USD",_xlfn.IFNA(VLOOKUP($A41&amp;$E41&amp;$I41,PMsheet!$J:$K,2,0),0),(_xlfn.IFNA(VLOOKUP($A41&amp;$E41&amp;$I41,PMsheet!$J:$K,2,0),0)*'Master Data-C19RM'!$D$2))</f>
        <v>0</v>
      </c>
      <c r="X41" s="441"/>
      <c r="Y41" s="441"/>
      <c r="Z41" s="441"/>
      <c r="AA41" s="441"/>
      <c r="AB41" s="481">
        <f t="shared" si="1"/>
        <v>0</v>
      </c>
      <c r="AC41" s="483">
        <f>IF(SETUP!$E$7="USD",(AB41*(IF(O41="USD",W41,(W41/'Master Data-C19RM'!$D$2)))),(AB41*(IF(O41="EUR",W41,(W41*'Master Data-C19RM'!$D$2)))))</f>
        <v>0</v>
      </c>
      <c r="AD41" s="444">
        <f>IF($O41="USD",_xlfn.IFNA(VLOOKUP($A41&amp;$E41&amp;$I41,PMsheet!$J:$K,2,0),0),(_xlfn.IFNA(VLOOKUP($A41&amp;$E41&amp;$I41,PMsheet!$J:$K,2,0),0)*'Master Data-C19RM'!$E$2))</f>
        <v>0</v>
      </c>
      <c r="AE41" s="441"/>
      <c r="AF41" s="441"/>
      <c r="AG41" s="441"/>
      <c r="AH41" s="441"/>
      <c r="AI41" s="512">
        <f t="shared" si="8"/>
        <v>0</v>
      </c>
      <c r="AJ41" s="513">
        <f>IF(SETUP!$E$7="USD",(AI41*(IF(O41="USD",AD41,(AD41/'Master Data-C19RM'!$E$2)))),(AI41*(IF(O41="EUR",AD41,(AD41*'Master Data-C19RM'!$E$2)))))</f>
        <v>0</v>
      </c>
      <c r="AK41" s="444">
        <f>IF($O41="USD",_xlfn.IFNA(VLOOKUP($A41&amp;$E41&amp;$I41,PMsheet!$J:$K,2,0),0),(_xlfn.IFNA(VLOOKUP($A41&amp;$E41&amp;$I41,PMsheet!$J:$K,2,0),0)*'Master Data-C19RM'!$F$2))</f>
        <v>0</v>
      </c>
      <c r="AL41" s="441"/>
      <c r="AM41" s="441"/>
      <c r="AN41" s="441"/>
      <c r="AO41" s="441"/>
      <c r="AP41" s="481">
        <f t="shared" si="3"/>
        <v>0</v>
      </c>
      <c r="AQ41" s="483">
        <f>IF(SETUP!$E$7="USD",(AP41*(IF(O41="USD",AK41,(AK41/'Master Data-C19RM'!$F$2)))),(AP41*(IF(O41="EUR",AK41,(AK41*'Master Data-C19RM'!$F$2)))))</f>
        <v>0</v>
      </c>
      <c r="AR41" s="444">
        <f>IF($O41="USD",_xlfn.IFNA(VLOOKUP($A41&amp;$E41&amp;$I41,PMsheet!$J:$K,2,0),0),(_xlfn.IFNA(VLOOKUP($A41&amp;$E41&amp;$I41,PMsheet!$J:$K,2,0),0)*'Master Data-C19RM'!$G$2))</f>
        <v>0</v>
      </c>
      <c r="AS41" s="441"/>
      <c r="AT41" s="441"/>
      <c r="AU41" s="441"/>
      <c r="AV41" s="441"/>
      <c r="AW41" s="481">
        <f t="shared" si="4"/>
        <v>0</v>
      </c>
      <c r="AX41" s="483">
        <f>IF(SETUP!$E$7="USD",(AW41*(IF(O41="USD",AR41,(AR41/'Master Data-C19RM'!$G$2)))),(AW41*(IF(O41="EUR",AR41,(AR41*'Master Data-C19RM'!$G$2)))))</f>
        <v>0</v>
      </c>
      <c r="AY41" s="851"/>
      <c r="AZ41" s="851"/>
      <c r="BA41" s="851"/>
      <c r="BB41" s="851"/>
      <c r="BC41" s="851"/>
      <c r="BD41" s="851"/>
      <c r="BE41" s="852"/>
      <c r="BF41" s="481">
        <f>'C19RM 2021-Lab &amp; Other HPS'!$U41+'C19RM 2021-Lab &amp; Other HPS'!$AB41+AI41+'C19RM 2021-Lab &amp; Other HPS'!$AP41+'C19RM 2021-Lab &amp; Other HPS'!$AW41+BD41</f>
        <v>0</v>
      </c>
      <c r="BG41" s="481">
        <f>'C19RM 2021-Lab &amp; Other HPS'!$V41+'C19RM 2021-Lab &amp; Other HPS'!$AC41+'C19RM 2021-Lab &amp; Other HPS'!$AQ41+'C19RM 2021-Lab &amp; Other HPS'!$AJ41+AX41+BE41</f>
        <v>0</v>
      </c>
      <c r="BH41" s="500" t="str" cm="1">
        <f t="array" ref="BH41">IF(A41&lt;&gt;"",IFERROR(INDEX(PMtbl[[WKst]:[Unit of measure*]],MATCH($A$8&amp;$A41&amp;$E41&amp;$I41,INDEX(PMtbl[Sec]&amp;PMtbl[Category]&amp;PMtbl[Each]&amp;PMtbl[Packaging],0,),0),11),""),"")</f>
        <v/>
      </c>
      <c r="BI41" s="819"/>
      <c r="BJ41" s="502" t="str">
        <f>IFERROR(INDEX(SETUP!$C$19:$G$121,MATCH((INDEX(PMtbl[[WKst]:[Unit of measure*]],MATCH($A41&amp;$E41&amp;$I41,INDEX(PMtbl[Category]&amp;PMtbl[Each]&amp;PMtbl[Packaging],0,),0),3)),SETUP!$D$19:$D$121,0),5),"")</f>
        <v/>
      </c>
      <c r="BK41" s="438"/>
      <c r="BL41" s="157"/>
      <c r="BO41" s="12">
        <f>IF(N41="",0,IF(SETUP!$E$7="USD",((IF(O41="USD",P41,(P41/'Master Data-C19RM'!$C$2)))),((IF(O41="EUR",P41,(P41*'Master Data-C19RM'!$C$2))))))</f>
        <v>0</v>
      </c>
      <c r="BP41" s="12">
        <f>IF(N41="",0,IF(SETUP!$E$7="USD",((IF(O41="USD",W41,(W41/'Master Data-C19RM'!$D$2)))),((IF(O41="EUR",W41,(W41*'Master Data-C19RM'!$D$2))))))</f>
        <v>0</v>
      </c>
      <c r="BQ41">
        <f>IF(N41="",0,IF(SETUP!$E$7="USD",((IF(O41="USD",AD41,(AD41/'Master Data-C19RM'!$E$2)))),((IF(O41="EUR",AD41,(AD41*'Master Data-C19RM'!$E$2))))))</f>
        <v>0</v>
      </c>
      <c r="BR41">
        <f>IF(N41="",0,IF(SETUP!$E$7="USD",((IF(O41="USD",AK41,(AK41/'Master Data-C19RM'!$F$2)))),((IF(O41="EUR",AK41,(AK41*'Master Data-C19RM'!$F$2))))))</f>
        <v>0</v>
      </c>
      <c r="BS41">
        <f>IF(N41="",0,IF(SETUP!$E$7="USD",((IF(O41="USD",AR41,(AR41/'Master Data-C19RM'!$G$2)))),((IF(O41="EUR",AR41,(AR41*'Master Data-C19RM'!$G$2))))))</f>
        <v>0</v>
      </c>
      <c r="BT41">
        <f>IF(N41="",0,IF(SETUP!$E$7="USD",((IF(O41="USD",AY41,(AY41/'Master Data-C19RM'!$H$2)))),((IF(O41="EUR",AY41,(AY41*'Master Data-C19RM'!$H$2))))))</f>
        <v>0</v>
      </c>
      <c r="BU41" s="12">
        <f t="shared" si="5"/>
        <v>0</v>
      </c>
      <c r="BV41" s="142">
        <f t="shared" si="6"/>
        <v>0</v>
      </c>
    </row>
    <row r="42" spans="1:74" ht="14.5" customHeight="1" x14ac:dyDescent="0.35">
      <c r="A42" s="1192"/>
      <c r="B42" s="1192"/>
      <c r="C42" s="1192"/>
      <c r="D42" s="1192"/>
      <c r="E42" s="1173"/>
      <c r="F42" s="1173"/>
      <c r="G42" s="1173"/>
      <c r="H42" s="1173"/>
      <c r="I42" s="1173"/>
      <c r="J42" s="1173"/>
      <c r="K42" s="1173"/>
      <c r="L42" s="493" t="str" cm="1">
        <f t="array" ref="L42">IF(A42&lt;&gt;"",IFERROR(INDEX(PMtbl[[WKst]:[Unit of measure*]],MATCH($A$8&amp;$A42&amp;$E42&amp;$I42,INDEX(PMtbl[Sec]&amp;PMtbl[Category]&amp;PMtbl[Each]&amp;PMtbl[Packaging],0,),0),14),""),"")</f>
        <v/>
      </c>
      <c r="M42" s="480" t="str">
        <f>IF(L42="","",INDEX(SETUP!$E$20:$E$122,(MATCH(INDEX(PMsheet!$D:$E,MATCH(A42,PMsheet!E:E,0),1),SETUP!$D$20:$D$122,0))))</f>
        <v/>
      </c>
      <c r="N42" s="494">
        <f>IF($O42="USD",_xlfn.IFNA(VLOOKUP(A42&amp;E42&amp;I42,PMsheet!J:K,2,0),0),(_xlfn.IFNA(VLOOKUP(A42&amp;E42&amp;I42,PMsheet!J:K,2,0),0)*'Master Data-C19RM'!$C$2))</f>
        <v>0</v>
      </c>
      <c r="O42" s="495" t="str">
        <f>IF(L42="", "",SETUP!$E$7)</f>
        <v/>
      </c>
      <c r="P42" s="445">
        <f>IF($O42="USD",_xlfn.IFNA(VLOOKUP($A42&amp;$E42&amp;$I42,PMsheet!$J:$K,2,0),0),(_xlfn.IFNA(VLOOKUP($A42&amp;$E42&amp;$I42,PMsheet!$J:$K,2,0),0)*'Master Data-C19RM'!$C$2))</f>
        <v>0</v>
      </c>
      <c r="Q42" s="440"/>
      <c r="R42" s="440"/>
      <c r="S42" s="440"/>
      <c r="T42" s="440"/>
      <c r="U42" s="482">
        <f t="shared" si="7"/>
        <v>0</v>
      </c>
      <c r="V42" s="484">
        <f>IF(SETUP!$E$7="USD",(U42*(IF(O42="USD",P42,(P42/'Master Data-C19RM'!$C$2)))),(U42*(IF(O42="EUR",P42,(P42*'Master Data-C19RM'!$C$2)))))</f>
        <v>0</v>
      </c>
      <c r="W42" s="445">
        <f>IF($O42="USD",_xlfn.IFNA(VLOOKUP($A42&amp;$E42&amp;$I42,PMsheet!$J:$K,2,0),0),(_xlfn.IFNA(VLOOKUP($A42&amp;$E42&amp;$I42,PMsheet!$J:$K,2,0),0)*'Master Data-C19RM'!$D$2))</f>
        <v>0</v>
      </c>
      <c r="X42" s="440"/>
      <c r="Y42" s="440"/>
      <c r="Z42" s="440"/>
      <c r="AA42" s="440"/>
      <c r="AB42" s="482">
        <f t="shared" si="1"/>
        <v>0</v>
      </c>
      <c r="AC42" s="484">
        <f>IF(SETUP!$E$7="USD",(AB42*(IF(O42="USD",W42,(W42/'Master Data-C19RM'!$D$2)))),(AB42*(IF(O42="EUR",W42,(W42*'Master Data-C19RM'!$D$2)))))</f>
        <v>0</v>
      </c>
      <c r="AD42" s="445">
        <f>IF($O42="USD",_xlfn.IFNA(VLOOKUP($A42&amp;$E42&amp;$I42,PMsheet!$J:$K,2,0),0),(_xlfn.IFNA(VLOOKUP($A42&amp;$E42&amp;$I42,PMsheet!$J:$K,2,0),0)*'Master Data-C19RM'!$E$2))</f>
        <v>0</v>
      </c>
      <c r="AE42" s="440"/>
      <c r="AF42" s="440"/>
      <c r="AG42" s="440"/>
      <c r="AH42" s="440"/>
      <c r="AI42" s="514">
        <f t="shared" si="8"/>
        <v>0</v>
      </c>
      <c r="AJ42" s="515">
        <f>IF(SETUP!$E$7="USD",(AI42*(IF(O42="USD",AD42,(AD42/'Master Data-C19RM'!$E$2)))),(AI42*(IF(O42="EUR",AD42,(AD42*'Master Data-C19RM'!$E$2)))))</f>
        <v>0</v>
      </c>
      <c r="AK42" s="445">
        <f>IF($O42="USD",_xlfn.IFNA(VLOOKUP($A42&amp;$E42&amp;$I42,PMsheet!$J:$K,2,0),0),(_xlfn.IFNA(VLOOKUP($A42&amp;$E42&amp;$I42,PMsheet!$J:$K,2,0),0)*'Master Data-C19RM'!$F$2))</f>
        <v>0</v>
      </c>
      <c r="AL42" s="440"/>
      <c r="AM42" s="440"/>
      <c r="AN42" s="440"/>
      <c r="AO42" s="440"/>
      <c r="AP42" s="482">
        <f t="shared" si="3"/>
        <v>0</v>
      </c>
      <c r="AQ42" s="484">
        <f>IF(SETUP!$E$7="USD",(AP42*(IF(O42="USD",AK42,(AK42/'Master Data-C19RM'!$F$2)))),(AP42*(IF(O42="EUR",AK42,(AK42*'Master Data-C19RM'!$F$2)))))</f>
        <v>0</v>
      </c>
      <c r="AR42" s="445">
        <f>IF($O42="USD",_xlfn.IFNA(VLOOKUP($A42&amp;$E42&amp;$I42,PMsheet!$J:$K,2,0),0),(_xlfn.IFNA(VLOOKUP($A42&amp;$E42&amp;$I42,PMsheet!$J:$K,2,0),0)*'Master Data-C19RM'!$G$2))</f>
        <v>0</v>
      </c>
      <c r="AS42" s="440"/>
      <c r="AT42" s="440"/>
      <c r="AU42" s="440"/>
      <c r="AV42" s="440"/>
      <c r="AW42" s="482">
        <f t="shared" si="4"/>
        <v>0</v>
      </c>
      <c r="AX42" s="484">
        <f>IF(SETUP!$E$7="USD",(AW42*(IF(O42="USD",AR42,(AR42/'Master Data-C19RM'!$G$2)))),(AW42*(IF(O42="EUR",AR42,(AR42*'Master Data-C19RM'!$G$2)))))</f>
        <v>0</v>
      </c>
      <c r="AY42" s="843"/>
      <c r="AZ42" s="843"/>
      <c r="BA42" s="843"/>
      <c r="BB42" s="843"/>
      <c r="BC42" s="843"/>
      <c r="BD42" s="843"/>
      <c r="BE42" s="844"/>
      <c r="BF42" s="482">
        <f>'C19RM 2021-Lab &amp; Other HPS'!$U42+'C19RM 2021-Lab &amp; Other HPS'!$AB42+AI42+'C19RM 2021-Lab &amp; Other HPS'!$AP42+'C19RM 2021-Lab &amp; Other HPS'!$AW42+BD42</f>
        <v>0</v>
      </c>
      <c r="BG42" s="482">
        <f>'C19RM 2021-Lab &amp; Other HPS'!$V42+'C19RM 2021-Lab &amp; Other HPS'!$AC42+'C19RM 2021-Lab &amp; Other HPS'!$AQ42+'C19RM 2021-Lab &amp; Other HPS'!$AJ42+AX42+BE42</f>
        <v>0</v>
      </c>
      <c r="BH42" s="499" t="str" cm="1">
        <f t="array" ref="BH42">IF(A42&lt;&gt;"",IFERROR(INDEX(PMtbl[[WKst]:[Unit of measure*]],MATCH($A$8&amp;$A42&amp;$E42&amp;$I42,INDEX(PMtbl[Sec]&amp;PMtbl[Category]&amp;PMtbl[Each]&amp;PMtbl[Packaging],0,),0),11),""),"")</f>
        <v/>
      </c>
      <c r="BI42" s="818"/>
      <c r="BJ42" s="503" t="str">
        <f>IFERROR(INDEX(SETUP!$C$19:$G$121,MATCH((INDEX(PMtbl[[WKst]:[Unit of measure*]],MATCH($A42&amp;$E42&amp;$I42,INDEX(PMtbl[Category]&amp;PMtbl[Each]&amp;PMtbl[Packaging],0,),0),3)),SETUP!$D$19:$D$121,0),5),"")</f>
        <v/>
      </c>
      <c r="BK42" s="439"/>
      <c r="BL42" s="158"/>
      <c r="BO42" s="12">
        <f>IF(N42="",0,IF(SETUP!$E$7="USD",((IF(O42="USD",P42,(P42/'Master Data-C19RM'!$C$2)))),((IF(O42="EUR",P42,(P42*'Master Data-C19RM'!$C$2))))))</f>
        <v>0</v>
      </c>
      <c r="BP42" s="12">
        <f>IF(N42="",0,IF(SETUP!$E$7="USD",((IF(O42="USD",W42,(W42/'Master Data-C19RM'!$D$2)))),((IF(O42="EUR",W42,(W42*'Master Data-C19RM'!$D$2))))))</f>
        <v>0</v>
      </c>
      <c r="BQ42">
        <f>IF(N42="",0,IF(SETUP!$E$7="USD",((IF(O42="USD",AD42,(AD42/'Master Data-C19RM'!$E$2)))),((IF(O42="EUR",AD42,(AD42*'Master Data-C19RM'!$E$2))))))</f>
        <v>0</v>
      </c>
      <c r="BR42">
        <f>IF(N42="",0,IF(SETUP!$E$7="USD",((IF(O42="USD",AK42,(AK42/'Master Data-C19RM'!$F$2)))),((IF(O42="EUR",AK42,(AK42*'Master Data-C19RM'!$F$2))))))</f>
        <v>0</v>
      </c>
      <c r="BS42">
        <f>IF(N42="",0,IF(SETUP!$E$7="USD",((IF(O42="USD",AR42,(AR42/'Master Data-C19RM'!$G$2)))),((IF(O42="EUR",AR42,(AR42*'Master Data-C19RM'!$G$2))))))</f>
        <v>0</v>
      </c>
      <c r="BT42">
        <f>IF(N42="",0,IF(SETUP!$E$7="USD",((IF(O42="USD",AY42,(AY42/'Master Data-C19RM'!$H$2)))),((IF(O42="EUR",AY42,(AY42*'Master Data-C19RM'!$H$2))))))</f>
        <v>0</v>
      </c>
      <c r="BU42" s="12">
        <f t="shared" si="5"/>
        <v>0</v>
      </c>
      <c r="BV42" s="142">
        <f t="shared" si="6"/>
        <v>0</v>
      </c>
    </row>
    <row r="43" spans="1:74" ht="14.5" customHeight="1" x14ac:dyDescent="0.35">
      <c r="A43" s="1200"/>
      <c r="B43" s="1201"/>
      <c r="C43" s="1201"/>
      <c r="D43" s="1202"/>
      <c r="E43" s="1216"/>
      <c r="F43" s="1217"/>
      <c r="G43" s="1217"/>
      <c r="H43" s="1218"/>
      <c r="I43" s="1216"/>
      <c r="J43" s="1217"/>
      <c r="K43" s="1218"/>
      <c r="L43" s="490" t="str" cm="1">
        <f t="array" ref="L43">IF(A43&lt;&gt;"",IFERROR(INDEX(PMtbl[[WKst]:[Unit of measure*]],MATCH($A$8&amp;$A43&amp;$E43&amp;$I43,INDEX(PMtbl[Sec]&amp;PMtbl[Category]&amp;PMtbl[Each]&amp;PMtbl[Packaging],0,),0),14),""),"")</f>
        <v/>
      </c>
      <c r="M43" s="479" t="str">
        <f>IF(L43="","",INDEX(SETUP!$E$20:$E$122,(MATCH(INDEX(PMsheet!$D:$E,MATCH(A43,PMsheet!E:E,0),1),SETUP!$D$20:$D$122,0))))</f>
        <v/>
      </c>
      <c r="N43" s="496">
        <f>IF($O43="USD",_xlfn.IFNA(VLOOKUP(A43&amp;E43&amp;I43,PMsheet!J:K,2,0),0),(_xlfn.IFNA(VLOOKUP(A43&amp;E43&amp;I43,PMsheet!J:K,2,0),0)*'Master Data-C19RM'!$C$2))</f>
        <v>0</v>
      </c>
      <c r="O43" s="492" t="str">
        <f>IF(L43="", "",SETUP!$E$7)</f>
        <v/>
      </c>
      <c r="P43" s="444">
        <f>IF($O43="USD",_xlfn.IFNA(VLOOKUP($A43&amp;$E43&amp;$I43,PMsheet!$J:$K,2,0),0),(_xlfn.IFNA(VLOOKUP($A43&amp;$E43&amp;$I43,PMsheet!$J:$K,2,0),0)*'Master Data-C19RM'!$C$2))</f>
        <v>0</v>
      </c>
      <c r="Q43" s="441"/>
      <c r="R43" s="441"/>
      <c r="S43" s="441"/>
      <c r="T43" s="441"/>
      <c r="U43" s="481">
        <f t="shared" si="7"/>
        <v>0</v>
      </c>
      <c r="V43" s="483">
        <f>IF(SETUP!$E$7="USD",(U43*(IF(O43="USD",P43,(P43/'Master Data-C19RM'!$C$2)))),(U43*(IF(O43="EUR",P43,(P43*'Master Data-C19RM'!$C$2)))))</f>
        <v>0</v>
      </c>
      <c r="W43" s="444">
        <f>IF($O43="USD",_xlfn.IFNA(VLOOKUP($A43&amp;$E43&amp;$I43,PMsheet!$J:$K,2,0),0),(_xlfn.IFNA(VLOOKUP($A43&amp;$E43&amp;$I43,PMsheet!$J:$K,2,0),0)*'Master Data-C19RM'!$D$2))</f>
        <v>0</v>
      </c>
      <c r="X43" s="441"/>
      <c r="Y43" s="441"/>
      <c r="Z43" s="441"/>
      <c r="AA43" s="441"/>
      <c r="AB43" s="481">
        <f t="shared" si="1"/>
        <v>0</v>
      </c>
      <c r="AC43" s="483">
        <f>IF(SETUP!$E$7="USD",(AB43*(IF(O43="USD",W43,(W43/'Master Data-C19RM'!$D$2)))),(AB43*(IF(O43="EUR",W43,(W43*'Master Data-C19RM'!$D$2)))))</f>
        <v>0</v>
      </c>
      <c r="AD43" s="444">
        <f>IF($O43="USD",_xlfn.IFNA(VLOOKUP($A43&amp;$E43&amp;$I43,PMsheet!$J:$K,2,0),0),(_xlfn.IFNA(VLOOKUP($A43&amp;$E43&amp;$I43,PMsheet!$J:$K,2,0),0)*'Master Data-C19RM'!$E$2))</f>
        <v>0</v>
      </c>
      <c r="AE43" s="441"/>
      <c r="AF43" s="441"/>
      <c r="AG43" s="441"/>
      <c r="AH43" s="441"/>
      <c r="AI43" s="512">
        <f t="shared" si="8"/>
        <v>0</v>
      </c>
      <c r="AJ43" s="513">
        <f>IF(SETUP!$E$7="USD",(AI43*(IF(O43="USD",AD43,(AD43/'Master Data-C19RM'!$E$2)))),(AI43*(IF(O43="EUR",AD43,(AD43*'Master Data-C19RM'!$E$2)))))</f>
        <v>0</v>
      </c>
      <c r="AK43" s="444">
        <f>IF($O43="USD",_xlfn.IFNA(VLOOKUP($A43&amp;$E43&amp;$I43,PMsheet!$J:$K,2,0),0),(_xlfn.IFNA(VLOOKUP($A43&amp;$E43&amp;$I43,PMsheet!$J:$K,2,0),0)*'Master Data-C19RM'!$F$2))</f>
        <v>0</v>
      </c>
      <c r="AL43" s="441"/>
      <c r="AM43" s="441"/>
      <c r="AN43" s="441"/>
      <c r="AO43" s="441"/>
      <c r="AP43" s="481">
        <f t="shared" si="3"/>
        <v>0</v>
      </c>
      <c r="AQ43" s="483">
        <f>IF(SETUP!$E$7="USD",(AP43*(IF(O43="USD",AK43,(AK43/'Master Data-C19RM'!$F$2)))),(AP43*(IF(O43="EUR",AK43,(AK43*'Master Data-C19RM'!$F$2)))))</f>
        <v>0</v>
      </c>
      <c r="AR43" s="444">
        <f>IF($O43="USD",_xlfn.IFNA(VLOOKUP($A43&amp;$E43&amp;$I43,PMsheet!$J:$K,2,0),0),(_xlfn.IFNA(VLOOKUP($A43&amp;$E43&amp;$I43,PMsheet!$J:$K,2,0),0)*'Master Data-C19RM'!$G$2))</f>
        <v>0</v>
      </c>
      <c r="AS43" s="441"/>
      <c r="AT43" s="441"/>
      <c r="AU43" s="441"/>
      <c r="AV43" s="441"/>
      <c r="AW43" s="481">
        <f t="shared" si="4"/>
        <v>0</v>
      </c>
      <c r="AX43" s="483">
        <f>IF(SETUP!$E$7="USD",(AW43*(IF(O43="USD",AR43,(AR43/'Master Data-C19RM'!$G$2)))),(AW43*(IF(O43="EUR",AR43,(AR43*'Master Data-C19RM'!$G$2)))))</f>
        <v>0</v>
      </c>
      <c r="AY43" s="851"/>
      <c r="AZ43" s="851"/>
      <c r="BA43" s="851"/>
      <c r="BB43" s="851"/>
      <c r="BC43" s="851"/>
      <c r="BD43" s="851"/>
      <c r="BE43" s="852"/>
      <c r="BF43" s="481">
        <f>'C19RM 2021-Lab &amp; Other HPS'!$U43+'C19RM 2021-Lab &amp; Other HPS'!$AB43+AI43+'C19RM 2021-Lab &amp; Other HPS'!$AP43+'C19RM 2021-Lab &amp; Other HPS'!$AW43+BD43</f>
        <v>0</v>
      </c>
      <c r="BG43" s="481">
        <f>'C19RM 2021-Lab &amp; Other HPS'!$V43+'C19RM 2021-Lab &amp; Other HPS'!$AC43+'C19RM 2021-Lab &amp; Other HPS'!$AQ43+'C19RM 2021-Lab &amp; Other HPS'!$AJ43+AX43+BE43</f>
        <v>0</v>
      </c>
      <c r="BH43" s="500" t="str" cm="1">
        <f t="array" ref="BH43">IF(A43&lt;&gt;"",IFERROR(INDEX(PMtbl[[WKst]:[Unit of measure*]],MATCH($A$8&amp;$A43&amp;$E43&amp;$I43,INDEX(PMtbl[Sec]&amp;PMtbl[Category]&amp;PMtbl[Each]&amp;PMtbl[Packaging],0,),0),11),""),"")</f>
        <v/>
      </c>
      <c r="BI43" s="819"/>
      <c r="BJ43" s="502" t="str">
        <f>IFERROR(INDEX(SETUP!$C$19:$G$121,MATCH((INDEX(PMtbl[[WKst]:[Unit of measure*]],MATCH($A43&amp;$E43&amp;$I43,INDEX(PMtbl[Category]&amp;PMtbl[Each]&amp;PMtbl[Packaging],0,),0),3)),SETUP!$D$19:$D$121,0),5),"")</f>
        <v/>
      </c>
      <c r="BK43" s="438"/>
      <c r="BL43" s="157"/>
      <c r="BO43" s="12">
        <f>IF(N43="",0,IF(SETUP!$E$7="USD",((IF(O43="USD",P43,(P43/'Master Data-C19RM'!$C$2)))),((IF(O43="EUR",P43,(P43*'Master Data-C19RM'!$C$2))))))</f>
        <v>0</v>
      </c>
      <c r="BP43" s="12">
        <f>IF(N43="",0,IF(SETUP!$E$7="USD",((IF(O43="USD",W43,(W43/'Master Data-C19RM'!$D$2)))),((IF(O43="EUR",W43,(W43*'Master Data-C19RM'!$D$2))))))</f>
        <v>0</v>
      </c>
      <c r="BQ43">
        <f>IF(N43="",0,IF(SETUP!$E$7="USD",((IF(O43="USD",AD43,(AD43/'Master Data-C19RM'!$E$2)))),((IF(O43="EUR",AD43,(AD43*'Master Data-C19RM'!$E$2))))))</f>
        <v>0</v>
      </c>
      <c r="BR43">
        <f>IF(N43="",0,IF(SETUP!$E$7="USD",((IF(O43="USD",AK43,(AK43/'Master Data-C19RM'!$F$2)))),((IF(O43="EUR",AK43,(AK43*'Master Data-C19RM'!$F$2))))))</f>
        <v>0</v>
      </c>
      <c r="BS43">
        <f>IF(N43="",0,IF(SETUP!$E$7="USD",((IF(O43="USD",AR43,(AR43/'Master Data-C19RM'!$G$2)))),((IF(O43="EUR",AR43,(AR43*'Master Data-C19RM'!$G$2))))))</f>
        <v>0</v>
      </c>
      <c r="BT43">
        <f>IF(N43="",0,IF(SETUP!$E$7="USD",((IF(O43="USD",AY43,(AY43/'Master Data-C19RM'!$H$2)))),((IF(O43="EUR",AY43,(AY43*'Master Data-C19RM'!$H$2))))))</f>
        <v>0</v>
      </c>
      <c r="BU43" s="12">
        <f t="shared" si="5"/>
        <v>0</v>
      </c>
      <c r="BV43" s="142">
        <f t="shared" si="6"/>
        <v>0</v>
      </c>
    </row>
    <row r="44" spans="1:74" ht="14.5" customHeight="1" x14ac:dyDescent="0.35">
      <c r="A44" s="1192"/>
      <c r="B44" s="1192"/>
      <c r="C44" s="1192"/>
      <c r="D44" s="1192"/>
      <c r="E44" s="1173"/>
      <c r="F44" s="1173"/>
      <c r="G44" s="1173"/>
      <c r="H44" s="1173"/>
      <c r="I44" s="1173"/>
      <c r="J44" s="1173"/>
      <c r="K44" s="1173"/>
      <c r="L44" s="493" t="str" cm="1">
        <f t="array" ref="L44">IF(A44&lt;&gt;"",IFERROR(INDEX(PMtbl[[WKst]:[Unit of measure*]],MATCH($A$8&amp;$A44&amp;$E44&amp;$I44,INDEX(PMtbl[Sec]&amp;PMtbl[Category]&amp;PMtbl[Each]&amp;PMtbl[Packaging],0,),0),14),""),"")</f>
        <v/>
      </c>
      <c r="M44" s="480" t="str">
        <f>IF(L44="","",INDEX(SETUP!$E$20:$E$122,(MATCH(INDEX(PMsheet!$D:$E,MATCH(A44,PMsheet!E:E,0),1),SETUP!$D$20:$D$122,0))))</f>
        <v/>
      </c>
      <c r="N44" s="494">
        <f>IF($O44="USD",_xlfn.IFNA(VLOOKUP(A44&amp;E44&amp;I44,PMsheet!J:K,2,0),0),(_xlfn.IFNA(VLOOKUP(A44&amp;E44&amp;I44,PMsheet!J:K,2,0),0)*'Master Data-C19RM'!$C$2))</f>
        <v>0</v>
      </c>
      <c r="O44" s="495" t="str">
        <f>IF(L44="", "",SETUP!$E$7)</f>
        <v/>
      </c>
      <c r="P44" s="445">
        <f>IF($O44="USD",_xlfn.IFNA(VLOOKUP($A44&amp;$E44&amp;$I44,PMsheet!$J:$K,2,0),0),(_xlfn.IFNA(VLOOKUP($A44&amp;$E44&amp;$I44,PMsheet!$J:$K,2,0),0)*'Master Data-C19RM'!$C$2))</f>
        <v>0</v>
      </c>
      <c r="Q44" s="440"/>
      <c r="R44" s="440"/>
      <c r="S44" s="440"/>
      <c r="T44" s="440"/>
      <c r="U44" s="482">
        <f t="shared" si="7"/>
        <v>0</v>
      </c>
      <c r="V44" s="484">
        <f>IF(SETUP!$E$7="USD",(U44*(IF(O44="USD",P44,(P44/'Master Data-C19RM'!$C$2)))),(U44*(IF(O44="EUR",P44,(P44*'Master Data-C19RM'!$C$2)))))</f>
        <v>0</v>
      </c>
      <c r="W44" s="445">
        <f>IF($O44="USD",_xlfn.IFNA(VLOOKUP($A44&amp;$E44&amp;$I44,PMsheet!$J:$K,2,0),0),(_xlfn.IFNA(VLOOKUP($A44&amp;$E44&amp;$I44,PMsheet!$J:$K,2,0),0)*'Master Data-C19RM'!$D$2))</f>
        <v>0</v>
      </c>
      <c r="X44" s="440"/>
      <c r="Y44" s="440"/>
      <c r="Z44" s="440"/>
      <c r="AA44" s="440"/>
      <c r="AB44" s="482">
        <f t="shared" si="1"/>
        <v>0</v>
      </c>
      <c r="AC44" s="484">
        <f>IF(SETUP!$E$7="USD",(AB44*(IF(O44="USD",W44,(W44/'Master Data-C19RM'!$D$2)))),(AB44*(IF(O44="EUR",W44,(W44*'Master Data-C19RM'!$D$2)))))</f>
        <v>0</v>
      </c>
      <c r="AD44" s="445">
        <f>IF($O44="USD",_xlfn.IFNA(VLOOKUP($A44&amp;$E44&amp;$I44,PMsheet!$J:$K,2,0),0),(_xlfn.IFNA(VLOOKUP($A44&amp;$E44&amp;$I44,PMsheet!$J:$K,2,0),0)*'Master Data-C19RM'!$E$2))</f>
        <v>0</v>
      </c>
      <c r="AE44" s="440"/>
      <c r="AF44" s="440"/>
      <c r="AG44" s="440"/>
      <c r="AH44" s="440"/>
      <c r="AI44" s="514">
        <f t="shared" si="8"/>
        <v>0</v>
      </c>
      <c r="AJ44" s="515">
        <f>IF(SETUP!$E$7="USD",(AI44*(IF(O44="USD",AD44,(AD44/'Master Data-C19RM'!$E$2)))),(AI44*(IF(O44="EUR",AD44,(AD44*'Master Data-C19RM'!$E$2)))))</f>
        <v>0</v>
      </c>
      <c r="AK44" s="445">
        <f>IF($O44="USD",_xlfn.IFNA(VLOOKUP($A44&amp;$E44&amp;$I44,PMsheet!$J:$K,2,0),0),(_xlfn.IFNA(VLOOKUP($A44&amp;$E44&amp;$I44,PMsheet!$J:$K,2,0),0)*'Master Data-C19RM'!$F$2))</f>
        <v>0</v>
      </c>
      <c r="AL44" s="440"/>
      <c r="AM44" s="440"/>
      <c r="AN44" s="440"/>
      <c r="AO44" s="440"/>
      <c r="AP44" s="482">
        <f t="shared" si="3"/>
        <v>0</v>
      </c>
      <c r="AQ44" s="484">
        <f>IF(SETUP!$E$7="USD",(AP44*(IF(O44="USD",AK44,(AK44/'Master Data-C19RM'!$F$2)))),(AP44*(IF(O44="EUR",AK44,(AK44*'Master Data-C19RM'!$F$2)))))</f>
        <v>0</v>
      </c>
      <c r="AR44" s="445">
        <f>IF($O44="USD",_xlfn.IFNA(VLOOKUP($A44&amp;$E44&amp;$I44,PMsheet!$J:$K,2,0),0),(_xlfn.IFNA(VLOOKUP($A44&amp;$E44&amp;$I44,PMsheet!$J:$K,2,0),0)*'Master Data-C19RM'!$G$2))</f>
        <v>0</v>
      </c>
      <c r="AS44" s="440"/>
      <c r="AT44" s="440"/>
      <c r="AU44" s="440"/>
      <c r="AV44" s="440"/>
      <c r="AW44" s="482">
        <f t="shared" si="4"/>
        <v>0</v>
      </c>
      <c r="AX44" s="484">
        <f>IF(SETUP!$E$7="USD",(AW44*(IF(O44="USD",AR44,(AR44/'Master Data-C19RM'!$G$2)))),(AW44*(IF(O44="EUR",AR44,(AR44*'Master Data-C19RM'!$G$2)))))</f>
        <v>0</v>
      </c>
      <c r="AY44" s="843"/>
      <c r="AZ44" s="843"/>
      <c r="BA44" s="843"/>
      <c r="BB44" s="843"/>
      <c r="BC44" s="843"/>
      <c r="BD44" s="843"/>
      <c r="BE44" s="844"/>
      <c r="BF44" s="482">
        <f>'C19RM 2021-Lab &amp; Other HPS'!$U44+'C19RM 2021-Lab &amp; Other HPS'!$AB44+AI44+'C19RM 2021-Lab &amp; Other HPS'!$AP44+'C19RM 2021-Lab &amp; Other HPS'!$AW44+BD44</f>
        <v>0</v>
      </c>
      <c r="BG44" s="482">
        <f>'C19RM 2021-Lab &amp; Other HPS'!$V44+'C19RM 2021-Lab &amp; Other HPS'!$AC44+'C19RM 2021-Lab &amp; Other HPS'!$AQ44+'C19RM 2021-Lab &amp; Other HPS'!$AJ44+AX44+BE44</f>
        <v>0</v>
      </c>
      <c r="BH44" s="499" t="str" cm="1">
        <f t="array" ref="BH44">IF(A44&lt;&gt;"",IFERROR(INDEX(PMtbl[[WKst]:[Unit of measure*]],MATCH($A$8&amp;$A44&amp;$E44&amp;$I44,INDEX(PMtbl[Sec]&amp;PMtbl[Category]&amp;PMtbl[Each]&amp;PMtbl[Packaging],0,),0),11),""),"")</f>
        <v/>
      </c>
      <c r="BI44" s="818"/>
      <c r="BJ44" s="503" t="str">
        <f>IFERROR(INDEX(SETUP!$C$19:$G$121,MATCH((INDEX(PMtbl[[WKst]:[Unit of measure*]],MATCH($A44&amp;$E44&amp;$I44,INDEX(PMtbl[Category]&amp;PMtbl[Each]&amp;PMtbl[Packaging],0,),0),3)),SETUP!$D$19:$D$121,0),5),"")</f>
        <v/>
      </c>
      <c r="BK44" s="439"/>
      <c r="BL44" s="158"/>
      <c r="BO44" s="12">
        <f>IF(N44="",0,IF(SETUP!$E$7="USD",((IF(O44="USD",P44,(P44/'Master Data-C19RM'!$C$2)))),((IF(O44="EUR",P44,(P44*'Master Data-C19RM'!$C$2))))))</f>
        <v>0</v>
      </c>
      <c r="BP44" s="12">
        <f>IF(N44="",0,IF(SETUP!$E$7="USD",((IF(O44="USD",W44,(W44/'Master Data-C19RM'!$D$2)))),((IF(O44="EUR",W44,(W44*'Master Data-C19RM'!$D$2))))))</f>
        <v>0</v>
      </c>
      <c r="BQ44">
        <f>IF(N44="",0,IF(SETUP!$E$7="USD",((IF(O44="USD",AD44,(AD44/'Master Data-C19RM'!$E$2)))),((IF(O44="EUR",AD44,(AD44*'Master Data-C19RM'!$E$2))))))</f>
        <v>0</v>
      </c>
      <c r="BR44">
        <f>IF(N44="",0,IF(SETUP!$E$7="USD",((IF(O44="USD",AK44,(AK44/'Master Data-C19RM'!$F$2)))),((IF(O44="EUR",AK44,(AK44*'Master Data-C19RM'!$F$2))))))</f>
        <v>0</v>
      </c>
      <c r="BS44">
        <f>IF(N44="",0,IF(SETUP!$E$7="USD",((IF(O44="USD",AR44,(AR44/'Master Data-C19RM'!$G$2)))),((IF(O44="EUR",AR44,(AR44*'Master Data-C19RM'!$G$2))))))</f>
        <v>0</v>
      </c>
      <c r="BT44">
        <f>IF(N44="",0,IF(SETUP!$E$7="USD",((IF(O44="USD",AY44,(AY44/'Master Data-C19RM'!$H$2)))),((IF(O44="EUR",AY44,(AY44*'Master Data-C19RM'!$H$2))))))</f>
        <v>0</v>
      </c>
      <c r="BU44" s="12">
        <f t="shared" si="5"/>
        <v>0</v>
      </c>
      <c r="BV44" s="142">
        <f t="shared" si="6"/>
        <v>0</v>
      </c>
    </row>
    <row r="45" spans="1:74" ht="14.5" customHeight="1" x14ac:dyDescent="0.35">
      <c r="A45" s="1200"/>
      <c r="B45" s="1201"/>
      <c r="C45" s="1201"/>
      <c r="D45" s="1202"/>
      <c r="E45" s="1216"/>
      <c r="F45" s="1217"/>
      <c r="G45" s="1217"/>
      <c r="H45" s="1218"/>
      <c r="I45" s="1216"/>
      <c r="J45" s="1217"/>
      <c r="K45" s="1218"/>
      <c r="L45" s="490" t="str" cm="1">
        <f t="array" ref="L45">IF(A45&lt;&gt;"",IFERROR(INDEX(PMtbl[[WKst]:[Unit of measure*]],MATCH($A$8&amp;$A45&amp;$E45&amp;$I45,INDEX(PMtbl[Sec]&amp;PMtbl[Category]&amp;PMtbl[Each]&amp;PMtbl[Packaging],0,),0),14),""),"")</f>
        <v/>
      </c>
      <c r="M45" s="479" t="str">
        <f>IF(L45="","",INDEX(SETUP!$E$20:$E$122,(MATCH(INDEX(PMsheet!$D:$E,MATCH(A45,PMsheet!E:E,0),1),SETUP!$D$20:$D$122,0))))</f>
        <v/>
      </c>
      <c r="N45" s="496">
        <f>IF($O45="USD",_xlfn.IFNA(VLOOKUP(A45&amp;E45&amp;I45,PMsheet!J:K,2,0),0),(_xlfn.IFNA(VLOOKUP(A45&amp;E45&amp;I45,PMsheet!J:K,2,0),0)*'Master Data-C19RM'!$C$2))</f>
        <v>0</v>
      </c>
      <c r="O45" s="492" t="str">
        <f>IF(L45="", "",SETUP!$E$7)</f>
        <v/>
      </c>
      <c r="P45" s="444">
        <f>IF($O45="USD",_xlfn.IFNA(VLOOKUP($A45&amp;$E45&amp;$I45,PMsheet!$J:$K,2,0),0),(_xlfn.IFNA(VLOOKUP($A45&amp;$E45&amp;$I45,PMsheet!$J:$K,2,0),0)*'Master Data-C19RM'!$C$2))</f>
        <v>0</v>
      </c>
      <c r="Q45" s="441"/>
      <c r="R45" s="441"/>
      <c r="S45" s="441"/>
      <c r="T45" s="441"/>
      <c r="U45" s="481">
        <f t="shared" si="7"/>
        <v>0</v>
      </c>
      <c r="V45" s="483">
        <f>IF(SETUP!$E$7="USD",(U45*(IF(O45="USD",P45,(P45/'Master Data-C19RM'!$C$2)))),(U45*(IF(O45="EUR",P45,(P45*'Master Data-C19RM'!$C$2)))))</f>
        <v>0</v>
      </c>
      <c r="W45" s="444">
        <f>IF($O45="USD",_xlfn.IFNA(VLOOKUP($A45&amp;$E45&amp;$I45,PMsheet!$J:$K,2,0),0),(_xlfn.IFNA(VLOOKUP($A45&amp;$E45&amp;$I45,PMsheet!$J:$K,2,0),0)*'Master Data-C19RM'!$D$2))</f>
        <v>0</v>
      </c>
      <c r="X45" s="441"/>
      <c r="Y45" s="441"/>
      <c r="Z45" s="441"/>
      <c r="AA45" s="441"/>
      <c r="AB45" s="481">
        <f t="shared" si="1"/>
        <v>0</v>
      </c>
      <c r="AC45" s="483">
        <f>IF(SETUP!$E$7="USD",(AB45*(IF(O45="USD",W45,(W45/'Master Data-C19RM'!$D$2)))),(AB45*(IF(O45="EUR",W45,(W45*'Master Data-C19RM'!$D$2)))))</f>
        <v>0</v>
      </c>
      <c r="AD45" s="444">
        <f>IF($O45="USD",_xlfn.IFNA(VLOOKUP($A45&amp;$E45&amp;$I45,PMsheet!$J:$K,2,0),0),(_xlfn.IFNA(VLOOKUP($A45&amp;$E45&amp;$I45,PMsheet!$J:$K,2,0),0)*'Master Data-C19RM'!$E$2))</f>
        <v>0</v>
      </c>
      <c r="AE45" s="441"/>
      <c r="AF45" s="441"/>
      <c r="AG45" s="441"/>
      <c r="AH45" s="441"/>
      <c r="AI45" s="512">
        <f t="shared" si="8"/>
        <v>0</v>
      </c>
      <c r="AJ45" s="513">
        <f>IF(SETUP!$E$7="USD",(AI45*(IF(O45="USD",AD45,(AD45/'Master Data-C19RM'!$E$2)))),(AI45*(IF(O45="EUR",AD45,(AD45*'Master Data-C19RM'!$E$2)))))</f>
        <v>0</v>
      </c>
      <c r="AK45" s="444">
        <f>IF($O45="USD",_xlfn.IFNA(VLOOKUP($A45&amp;$E45&amp;$I45,PMsheet!$J:$K,2,0),0),(_xlfn.IFNA(VLOOKUP($A45&amp;$E45&amp;$I45,PMsheet!$J:$K,2,0),0)*'Master Data-C19RM'!$F$2))</f>
        <v>0</v>
      </c>
      <c r="AL45" s="441"/>
      <c r="AM45" s="441"/>
      <c r="AN45" s="441"/>
      <c r="AO45" s="441"/>
      <c r="AP45" s="481">
        <f t="shared" si="3"/>
        <v>0</v>
      </c>
      <c r="AQ45" s="483">
        <f>IF(SETUP!$E$7="USD",(AP45*(IF(O45="USD",AK45,(AK45/'Master Data-C19RM'!$F$2)))),(AP45*(IF(O45="EUR",AK45,(AK45*'Master Data-C19RM'!$F$2)))))</f>
        <v>0</v>
      </c>
      <c r="AR45" s="444">
        <f>IF($O45="USD",_xlfn.IFNA(VLOOKUP($A45&amp;$E45&amp;$I45,PMsheet!$J:$K,2,0),0),(_xlfn.IFNA(VLOOKUP($A45&amp;$E45&amp;$I45,PMsheet!$J:$K,2,0),0)*'Master Data-C19RM'!$G$2))</f>
        <v>0</v>
      </c>
      <c r="AS45" s="441"/>
      <c r="AT45" s="441"/>
      <c r="AU45" s="441"/>
      <c r="AV45" s="441"/>
      <c r="AW45" s="481">
        <f t="shared" si="4"/>
        <v>0</v>
      </c>
      <c r="AX45" s="483">
        <f>IF(SETUP!$E$7="USD",(AW45*(IF(O45="USD",AR45,(AR45/'Master Data-C19RM'!$G$2)))),(AW45*(IF(O45="EUR",AR45,(AR45*'Master Data-C19RM'!$G$2)))))</f>
        <v>0</v>
      </c>
      <c r="AY45" s="851"/>
      <c r="AZ45" s="851"/>
      <c r="BA45" s="851"/>
      <c r="BB45" s="851"/>
      <c r="BC45" s="851"/>
      <c r="BD45" s="851"/>
      <c r="BE45" s="852"/>
      <c r="BF45" s="481">
        <f>'C19RM 2021-Lab &amp; Other HPS'!$U45+'C19RM 2021-Lab &amp; Other HPS'!$AB45+AI45+'C19RM 2021-Lab &amp; Other HPS'!$AP45+'C19RM 2021-Lab &amp; Other HPS'!$AW45+BD45</f>
        <v>0</v>
      </c>
      <c r="BG45" s="481">
        <f>'C19RM 2021-Lab &amp; Other HPS'!$V45+'C19RM 2021-Lab &amp; Other HPS'!$AC45+'C19RM 2021-Lab &amp; Other HPS'!$AQ45+'C19RM 2021-Lab &amp; Other HPS'!$AJ45+AX45+BE45</f>
        <v>0</v>
      </c>
      <c r="BH45" s="500" t="str" cm="1">
        <f t="array" ref="BH45">IF(A45&lt;&gt;"",IFERROR(INDEX(PMtbl[[WKst]:[Unit of measure*]],MATCH($A$8&amp;$A45&amp;$E45&amp;$I45,INDEX(PMtbl[Sec]&amp;PMtbl[Category]&amp;PMtbl[Each]&amp;PMtbl[Packaging],0,),0),11),""),"")</f>
        <v/>
      </c>
      <c r="BI45" s="819"/>
      <c r="BJ45" s="502" t="str">
        <f>IFERROR(INDEX(SETUP!$C$19:$G$121,MATCH((INDEX(PMtbl[[WKst]:[Unit of measure*]],MATCH($A45&amp;$E45&amp;$I45,INDEX(PMtbl[Category]&amp;PMtbl[Each]&amp;PMtbl[Packaging],0,),0),3)),SETUP!$D$19:$D$121,0),5),"")</f>
        <v/>
      </c>
      <c r="BK45" s="438"/>
      <c r="BL45" s="157"/>
      <c r="BO45" s="12">
        <f>IF(N45="",0,IF(SETUP!$E$7="USD",((IF(O45="USD",P45,(P45/'Master Data-C19RM'!$C$2)))),((IF(O45="EUR",P45,(P45*'Master Data-C19RM'!$C$2))))))</f>
        <v>0</v>
      </c>
      <c r="BP45" s="12">
        <f>IF(N45="",0,IF(SETUP!$E$7="USD",((IF(O45="USD",W45,(W45/'Master Data-C19RM'!$D$2)))),((IF(O45="EUR",W45,(W45*'Master Data-C19RM'!$D$2))))))</f>
        <v>0</v>
      </c>
      <c r="BQ45">
        <f>IF(N45="",0,IF(SETUP!$E$7="USD",((IF(O45="USD",AD45,(AD45/'Master Data-C19RM'!$E$2)))),((IF(O45="EUR",AD45,(AD45*'Master Data-C19RM'!$E$2))))))</f>
        <v>0</v>
      </c>
      <c r="BR45">
        <f>IF(N45="",0,IF(SETUP!$E$7="USD",((IF(O45="USD",AK45,(AK45/'Master Data-C19RM'!$F$2)))),((IF(O45="EUR",AK45,(AK45*'Master Data-C19RM'!$F$2))))))</f>
        <v>0</v>
      </c>
      <c r="BS45">
        <f>IF(N45="",0,IF(SETUP!$E$7="USD",((IF(O45="USD",AR45,(AR45/'Master Data-C19RM'!$G$2)))),((IF(O45="EUR",AR45,(AR45*'Master Data-C19RM'!$G$2))))))</f>
        <v>0</v>
      </c>
      <c r="BT45">
        <f>IF(N45="",0,IF(SETUP!$E$7="USD",((IF(O45="USD",AY45,(AY45/'Master Data-C19RM'!$H$2)))),((IF(O45="EUR",AY45,(AY45*'Master Data-C19RM'!$H$2))))))</f>
        <v>0</v>
      </c>
      <c r="BU45" s="12">
        <f t="shared" si="5"/>
        <v>0</v>
      </c>
      <c r="BV45" s="142">
        <f t="shared" si="6"/>
        <v>0</v>
      </c>
    </row>
    <row r="46" spans="1:74" ht="14.5" customHeight="1" x14ac:dyDescent="0.35">
      <c r="A46" s="1192"/>
      <c r="B46" s="1192"/>
      <c r="C46" s="1192"/>
      <c r="D46" s="1192"/>
      <c r="E46" s="1173"/>
      <c r="F46" s="1173"/>
      <c r="G46" s="1173"/>
      <c r="H46" s="1173"/>
      <c r="I46" s="1173"/>
      <c r="J46" s="1173"/>
      <c r="K46" s="1173"/>
      <c r="L46" s="493" t="str" cm="1">
        <f t="array" ref="L46">IF(A46&lt;&gt;"",IFERROR(INDEX(PMtbl[[WKst]:[Unit of measure*]],MATCH($A$8&amp;$A46&amp;$E46&amp;$I46,INDEX(PMtbl[Sec]&amp;PMtbl[Category]&amp;PMtbl[Each]&amp;PMtbl[Packaging],0,),0),14),""),"")</f>
        <v/>
      </c>
      <c r="M46" s="480" t="str">
        <f>IF(L46="","",INDEX(SETUP!$E$20:$E$122,(MATCH(INDEX(PMsheet!$D:$E,MATCH(A46,PMsheet!E:E,0),1),SETUP!$D$20:$D$122,0))))</f>
        <v/>
      </c>
      <c r="N46" s="494">
        <f>IF($O46="USD",_xlfn.IFNA(VLOOKUP(A46&amp;E46&amp;I46,PMsheet!J:K,2,0),0),(_xlfn.IFNA(VLOOKUP(A46&amp;E46&amp;I46,PMsheet!J:K,2,0),0)*'Master Data-C19RM'!$C$2))</f>
        <v>0</v>
      </c>
      <c r="O46" s="495" t="str">
        <f>IF(L46="", "",SETUP!$E$7)</f>
        <v/>
      </c>
      <c r="P46" s="445">
        <f>IF($O46="USD",_xlfn.IFNA(VLOOKUP($A46&amp;$E46&amp;$I46,PMsheet!$J:$K,2,0),0),(_xlfn.IFNA(VLOOKUP($A46&amp;$E46&amp;$I46,PMsheet!$J:$K,2,0),0)*'Master Data-C19RM'!$C$2))</f>
        <v>0</v>
      </c>
      <c r="Q46" s="440"/>
      <c r="R46" s="440"/>
      <c r="S46" s="440"/>
      <c r="T46" s="440"/>
      <c r="U46" s="482">
        <f t="shared" si="7"/>
        <v>0</v>
      </c>
      <c r="V46" s="484">
        <f>IF(SETUP!$E$7="USD",(U46*(IF(O46="USD",P46,(P46/'Master Data-C19RM'!$C$2)))),(U46*(IF(O46="EUR",P46,(P46*'Master Data-C19RM'!$C$2)))))</f>
        <v>0</v>
      </c>
      <c r="W46" s="445">
        <f>IF($O46="USD",_xlfn.IFNA(VLOOKUP($A46&amp;$E46&amp;$I46,PMsheet!$J:$K,2,0),0),(_xlfn.IFNA(VLOOKUP($A46&amp;$E46&amp;$I46,PMsheet!$J:$K,2,0),0)*'Master Data-C19RM'!$D$2))</f>
        <v>0</v>
      </c>
      <c r="X46" s="440"/>
      <c r="Y46" s="440"/>
      <c r="Z46" s="440"/>
      <c r="AA46" s="440"/>
      <c r="AB46" s="482">
        <f t="shared" si="1"/>
        <v>0</v>
      </c>
      <c r="AC46" s="484">
        <f>IF(SETUP!$E$7="USD",(AB46*(IF(O46="USD",W46,(W46/'Master Data-C19RM'!$D$2)))),(AB46*(IF(O46="EUR",W46,(W46*'Master Data-C19RM'!$D$2)))))</f>
        <v>0</v>
      </c>
      <c r="AD46" s="445">
        <f>IF($O46="USD",_xlfn.IFNA(VLOOKUP($A46&amp;$E46&amp;$I46,PMsheet!$J:$K,2,0),0),(_xlfn.IFNA(VLOOKUP($A46&amp;$E46&amp;$I46,PMsheet!$J:$K,2,0),0)*'Master Data-C19RM'!$E$2))</f>
        <v>0</v>
      </c>
      <c r="AE46" s="440"/>
      <c r="AF46" s="440"/>
      <c r="AG46" s="440"/>
      <c r="AH46" s="440"/>
      <c r="AI46" s="514">
        <f t="shared" si="8"/>
        <v>0</v>
      </c>
      <c r="AJ46" s="515">
        <f>IF(SETUP!$E$7="USD",(AI46*(IF(O46="USD",AD46,(AD46/'Master Data-C19RM'!$E$2)))),(AI46*(IF(O46="EUR",AD46,(AD46*'Master Data-C19RM'!$E$2)))))</f>
        <v>0</v>
      </c>
      <c r="AK46" s="445">
        <f>IF($O46="USD",_xlfn.IFNA(VLOOKUP($A46&amp;$E46&amp;$I46,PMsheet!$J:$K,2,0),0),(_xlfn.IFNA(VLOOKUP($A46&amp;$E46&amp;$I46,PMsheet!$J:$K,2,0),0)*'Master Data-C19RM'!$F$2))</f>
        <v>0</v>
      </c>
      <c r="AL46" s="440"/>
      <c r="AM46" s="440"/>
      <c r="AN46" s="440"/>
      <c r="AO46" s="440"/>
      <c r="AP46" s="482">
        <f t="shared" si="3"/>
        <v>0</v>
      </c>
      <c r="AQ46" s="484">
        <f>IF(SETUP!$E$7="USD",(AP46*(IF(O46="USD",AK46,(AK46/'Master Data-C19RM'!$F$2)))),(AP46*(IF(O46="EUR",AK46,(AK46*'Master Data-C19RM'!$F$2)))))</f>
        <v>0</v>
      </c>
      <c r="AR46" s="445">
        <f>IF($O46="USD",_xlfn.IFNA(VLOOKUP($A46&amp;$E46&amp;$I46,PMsheet!$J:$K,2,0),0),(_xlfn.IFNA(VLOOKUP($A46&amp;$E46&amp;$I46,PMsheet!$J:$K,2,0),0)*'Master Data-C19RM'!$G$2))</f>
        <v>0</v>
      </c>
      <c r="AS46" s="440"/>
      <c r="AT46" s="440"/>
      <c r="AU46" s="440"/>
      <c r="AV46" s="440"/>
      <c r="AW46" s="482">
        <f t="shared" si="4"/>
        <v>0</v>
      </c>
      <c r="AX46" s="484">
        <f>IF(SETUP!$E$7="USD",(AW46*(IF(O46="USD",AR46,(AR46/'Master Data-C19RM'!$G$2)))),(AW46*(IF(O46="EUR",AR46,(AR46*'Master Data-C19RM'!$G$2)))))</f>
        <v>0</v>
      </c>
      <c r="AY46" s="843"/>
      <c r="AZ46" s="843"/>
      <c r="BA46" s="843"/>
      <c r="BB46" s="843"/>
      <c r="BC46" s="843"/>
      <c r="BD46" s="843"/>
      <c r="BE46" s="844"/>
      <c r="BF46" s="482">
        <f>'C19RM 2021-Lab &amp; Other HPS'!$U46+'C19RM 2021-Lab &amp; Other HPS'!$AB46+AI46+'C19RM 2021-Lab &amp; Other HPS'!$AP46+'C19RM 2021-Lab &amp; Other HPS'!$AW46+BD46</f>
        <v>0</v>
      </c>
      <c r="BG46" s="482">
        <f>'C19RM 2021-Lab &amp; Other HPS'!$V46+'C19RM 2021-Lab &amp; Other HPS'!$AC46+'C19RM 2021-Lab &amp; Other HPS'!$AQ46+'C19RM 2021-Lab &amp; Other HPS'!$AJ46+AX46+BE46</f>
        <v>0</v>
      </c>
      <c r="BH46" s="499" t="str" cm="1">
        <f t="array" ref="BH46">IF(A46&lt;&gt;"",IFERROR(INDEX(PMtbl[[WKst]:[Unit of measure*]],MATCH($A$8&amp;$A46&amp;$E46&amp;$I46,INDEX(PMtbl[Sec]&amp;PMtbl[Category]&amp;PMtbl[Each]&amp;PMtbl[Packaging],0,),0),11),""),"")</f>
        <v/>
      </c>
      <c r="BI46" s="818"/>
      <c r="BJ46" s="503" t="str">
        <f>IFERROR(INDEX(SETUP!$C$19:$G$121,MATCH((INDEX(PMtbl[[WKst]:[Unit of measure*]],MATCH($A46&amp;$E46&amp;$I46,INDEX(PMtbl[Category]&amp;PMtbl[Each]&amp;PMtbl[Packaging],0,),0),3)),SETUP!$D$19:$D$121,0),5),"")</f>
        <v/>
      </c>
      <c r="BK46" s="439"/>
      <c r="BL46" s="158"/>
      <c r="BO46" s="12">
        <f>IF(N46="",0,IF(SETUP!$E$7="USD",((IF(O46="USD",P46,(P46/'Master Data-C19RM'!$C$2)))),((IF(O46="EUR",P46,(P46*'Master Data-C19RM'!$C$2))))))</f>
        <v>0</v>
      </c>
      <c r="BP46" s="12">
        <f>IF(N46="",0,IF(SETUP!$E$7="USD",((IF(O46="USD",W46,(W46/'Master Data-C19RM'!$D$2)))),((IF(O46="EUR",W46,(W46*'Master Data-C19RM'!$D$2))))))</f>
        <v>0</v>
      </c>
      <c r="BQ46">
        <f>IF(N46="",0,IF(SETUP!$E$7="USD",((IF(O46="USD",AD46,(AD46/'Master Data-C19RM'!$E$2)))),((IF(O46="EUR",AD46,(AD46*'Master Data-C19RM'!$E$2))))))</f>
        <v>0</v>
      </c>
      <c r="BR46">
        <f>IF(N46="",0,IF(SETUP!$E$7="USD",((IF(O46="USD",AK46,(AK46/'Master Data-C19RM'!$F$2)))),((IF(O46="EUR",AK46,(AK46*'Master Data-C19RM'!$F$2))))))</f>
        <v>0</v>
      </c>
      <c r="BS46">
        <f>IF(N46="",0,IF(SETUP!$E$7="USD",((IF(O46="USD",AR46,(AR46/'Master Data-C19RM'!$G$2)))),((IF(O46="EUR",AR46,(AR46*'Master Data-C19RM'!$G$2))))))</f>
        <v>0</v>
      </c>
      <c r="BT46">
        <f>IF(N46="",0,IF(SETUP!$E$7="USD",((IF(O46="USD",AY46,(AY46/'Master Data-C19RM'!$H$2)))),((IF(O46="EUR",AY46,(AY46*'Master Data-C19RM'!$H$2))))))</f>
        <v>0</v>
      </c>
      <c r="BU46" s="12">
        <f t="shared" si="5"/>
        <v>0</v>
      </c>
      <c r="BV46" s="142">
        <f t="shared" si="6"/>
        <v>0</v>
      </c>
    </row>
    <row r="47" spans="1:74" ht="14.5" customHeight="1" x14ac:dyDescent="0.35">
      <c r="A47" s="1200"/>
      <c r="B47" s="1201"/>
      <c r="C47" s="1201"/>
      <c r="D47" s="1202"/>
      <c r="E47" s="1216"/>
      <c r="F47" s="1217"/>
      <c r="G47" s="1217"/>
      <c r="H47" s="1218"/>
      <c r="I47" s="1216"/>
      <c r="J47" s="1217"/>
      <c r="K47" s="1218"/>
      <c r="L47" s="490" t="str" cm="1">
        <f t="array" ref="L47">IF(A47&lt;&gt;"",IFERROR(INDEX(PMtbl[[WKst]:[Unit of measure*]],MATCH($A$8&amp;$A47&amp;$E47&amp;$I47,INDEX(PMtbl[Sec]&amp;PMtbl[Category]&amp;PMtbl[Each]&amp;PMtbl[Packaging],0,),0),14),""),"")</f>
        <v/>
      </c>
      <c r="M47" s="479" t="str">
        <f>IF(L47="","",INDEX(SETUP!$E$20:$E$122,(MATCH(INDEX(PMsheet!$D:$E,MATCH(A47,PMsheet!E:E,0),1),SETUP!$D$20:$D$122,0))))</f>
        <v/>
      </c>
      <c r="N47" s="496">
        <f>IF($O47="USD",_xlfn.IFNA(VLOOKUP(A47&amp;E47&amp;I47,PMsheet!J:K,2,0),0),(_xlfn.IFNA(VLOOKUP(A47&amp;E47&amp;I47,PMsheet!J:K,2,0),0)*'Master Data-C19RM'!$C$2))</f>
        <v>0</v>
      </c>
      <c r="O47" s="492" t="str">
        <f>IF(L47="", "",SETUP!$E$7)</f>
        <v/>
      </c>
      <c r="P47" s="444">
        <f>IF($O47="USD",_xlfn.IFNA(VLOOKUP($A47&amp;$E47&amp;$I47,PMsheet!$J:$K,2,0),0),(_xlfn.IFNA(VLOOKUP($A47&amp;$E47&amp;$I47,PMsheet!$J:$K,2,0),0)*'Master Data-C19RM'!$C$2))</f>
        <v>0</v>
      </c>
      <c r="Q47" s="441"/>
      <c r="R47" s="441"/>
      <c r="S47" s="441"/>
      <c r="T47" s="441"/>
      <c r="U47" s="481">
        <f t="shared" si="7"/>
        <v>0</v>
      </c>
      <c r="V47" s="483">
        <f>IF(SETUP!$E$7="USD",(U47*(IF(O47="USD",P47,(P47/'Master Data-C19RM'!$C$2)))),(U47*(IF(O47="EUR",P47,(P47*'Master Data-C19RM'!$C$2)))))</f>
        <v>0</v>
      </c>
      <c r="W47" s="444">
        <f>IF($O47="USD",_xlfn.IFNA(VLOOKUP($A47&amp;$E47&amp;$I47,PMsheet!$J:$K,2,0),0),(_xlfn.IFNA(VLOOKUP($A47&amp;$E47&amp;$I47,PMsheet!$J:$K,2,0),0)*'Master Data-C19RM'!$D$2))</f>
        <v>0</v>
      </c>
      <c r="X47" s="441"/>
      <c r="Y47" s="441"/>
      <c r="Z47" s="441"/>
      <c r="AA47" s="441"/>
      <c r="AB47" s="481">
        <f t="shared" si="1"/>
        <v>0</v>
      </c>
      <c r="AC47" s="483">
        <f>IF(SETUP!$E$7="USD",(AB47*(IF(O47="USD",W47,(W47/'Master Data-C19RM'!$D$2)))),(AB47*(IF(O47="EUR",W47,(W47*'Master Data-C19RM'!$D$2)))))</f>
        <v>0</v>
      </c>
      <c r="AD47" s="444">
        <f>IF($O47="USD",_xlfn.IFNA(VLOOKUP($A47&amp;$E47&amp;$I47,PMsheet!$J:$K,2,0),0),(_xlfn.IFNA(VLOOKUP($A47&amp;$E47&amp;$I47,PMsheet!$J:$K,2,0),0)*'Master Data-C19RM'!$E$2))</f>
        <v>0</v>
      </c>
      <c r="AE47" s="441"/>
      <c r="AF47" s="441"/>
      <c r="AG47" s="441"/>
      <c r="AH47" s="441"/>
      <c r="AI47" s="512">
        <f t="shared" si="8"/>
        <v>0</v>
      </c>
      <c r="AJ47" s="513">
        <f>IF(SETUP!$E$7="USD",(AI47*(IF(O47="USD",AD47,(AD47/'Master Data-C19RM'!$E$2)))),(AI47*(IF(O47="EUR",AD47,(AD47*'Master Data-C19RM'!$E$2)))))</f>
        <v>0</v>
      </c>
      <c r="AK47" s="444">
        <f>IF($O47="USD",_xlfn.IFNA(VLOOKUP($A47&amp;$E47&amp;$I47,PMsheet!$J:$K,2,0),0),(_xlfn.IFNA(VLOOKUP($A47&amp;$E47&amp;$I47,PMsheet!$J:$K,2,0),0)*'Master Data-C19RM'!$F$2))</f>
        <v>0</v>
      </c>
      <c r="AL47" s="441"/>
      <c r="AM47" s="441"/>
      <c r="AN47" s="441"/>
      <c r="AO47" s="441"/>
      <c r="AP47" s="481">
        <f t="shared" si="3"/>
        <v>0</v>
      </c>
      <c r="AQ47" s="483">
        <f>IF(SETUP!$E$7="USD",(AP47*(IF(O47="USD",AK47,(AK47/'Master Data-C19RM'!$F$2)))),(AP47*(IF(O47="EUR",AK47,(AK47*'Master Data-C19RM'!$F$2)))))</f>
        <v>0</v>
      </c>
      <c r="AR47" s="444">
        <f>IF($O47="USD",_xlfn.IFNA(VLOOKUP($A47&amp;$E47&amp;$I47,PMsheet!$J:$K,2,0),0),(_xlfn.IFNA(VLOOKUP($A47&amp;$E47&amp;$I47,PMsheet!$J:$K,2,0),0)*'Master Data-C19RM'!$G$2))</f>
        <v>0</v>
      </c>
      <c r="AS47" s="441"/>
      <c r="AT47" s="441"/>
      <c r="AU47" s="441"/>
      <c r="AV47" s="441"/>
      <c r="AW47" s="481">
        <f t="shared" si="4"/>
        <v>0</v>
      </c>
      <c r="AX47" s="483">
        <f>IF(SETUP!$E$7="USD",(AW47*(IF(O47="USD",AR47,(AR47/'Master Data-C19RM'!$G$2)))),(AW47*(IF(O47="EUR",AR47,(AR47*'Master Data-C19RM'!$G$2)))))</f>
        <v>0</v>
      </c>
      <c r="AY47" s="851"/>
      <c r="AZ47" s="851"/>
      <c r="BA47" s="851"/>
      <c r="BB47" s="851"/>
      <c r="BC47" s="851"/>
      <c r="BD47" s="851"/>
      <c r="BE47" s="852"/>
      <c r="BF47" s="481">
        <f>'C19RM 2021-Lab &amp; Other HPS'!$U47+'C19RM 2021-Lab &amp; Other HPS'!$AB47+AI47+'C19RM 2021-Lab &amp; Other HPS'!$AP47+'C19RM 2021-Lab &amp; Other HPS'!$AW47+BD47</f>
        <v>0</v>
      </c>
      <c r="BG47" s="481">
        <f>'C19RM 2021-Lab &amp; Other HPS'!$V47+'C19RM 2021-Lab &amp; Other HPS'!$AC47+'C19RM 2021-Lab &amp; Other HPS'!$AQ47+'C19RM 2021-Lab &amp; Other HPS'!$AJ47+AX47+BE47</f>
        <v>0</v>
      </c>
      <c r="BH47" s="500" t="str" cm="1">
        <f t="array" ref="BH47">IF(A47&lt;&gt;"",IFERROR(INDEX(PMtbl[[WKst]:[Unit of measure*]],MATCH($A$8&amp;$A47&amp;$E47&amp;$I47,INDEX(PMtbl[Sec]&amp;PMtbl[Category]&amp;PMtbl[Each]&amp;PMtbl[Packaging],0,),0),11),""),"")</f>
        <v/>
      </c>
      <c r="BI47" s="819"/>
      <c r="BJ47" s="502" t="str">
        <f>IFERROR(INDEX(SETUP!$C$19:$G$121,MATCH((INDEX(PMtbl[[WKst]:[Unit of measure*]],MATCH($A47&amp;$E47&amp;$I47,INDEX(PMtbl[Category]&amp;PMtbl[Each]&amp;PMtbl[Packaging],0,),0),3)),SETUP!$D$19:$D$121,0),5),"")</f>
        <v/>
      </c>
      <c r="BK47" s="438"/>
      <c r="BL47" s="157"/>
      <c r="BO47" s="12">
        <f>IF(N47="",0,IF(SETUP!$E$7="USD",((IF(O47="USD",P47,(P47/'Master Data-C19RM'!$C$2)))),((IF(O47="EUR",P47,(P47*'Master Data-C19RM'!$C$2))))))</f>
        <v>0</v>
      </c>
      <c r="BP47" s="12">
        <f>IF(N47="",0,IF(SETUP!$E$7="USD",((IF(O47="USD",W47,(W47/'Master Data-C19RM'!$D$2)))),((IF(O47="EUR",W47,(W47*'Master Data-C19RM'!$D$2))))))</f>
        <v>0</v>
      </c>
      <c r="BQ47">
        <f>IF(N47="",0,IF(SETUP!$E$7="USD",((IF(O47="USD",AD47,(AD47/'Master Data-C19RM'!$E$2)))),((IF(O47="EUR",AD47,(AD47*'Master Data-C19RM'!$E$2))))))</f>
        <v>0</v>
      </c>
      <c r="BR47">
        <f>IF(N47="",0,IF(SETUP!$E$7="USD",((IF(O47="USD",AK47,(AK47/'Master Data-C19RM'!$F$2)))),((IF(O47="EUR",AK47,(AK47*'Master Data-C19RM'!$F$2))))))</f>
        <v>0</v>
      </c>
      <c r="BS47">
        <f>IF(N47="",0,IF(SETUP!$E$7="USD",((IF(O47="USD",AR47,(AR47/'Master Data-C19RM'!$G$2)))),((IF(O47="EUR",AR47,(AR47*'Master Data-C19RM'!$G$2))))))</f>
        <v>0</v>
      </c>
      <c r="BT47">
        <f>IF(N47="",0,IF(SETUP!$E$7="USD",((IF(O47="USD",AY47,(AY47/'Master Data-C19RM'!$H$2)))),((IF(O47="EUR",AY47,(AY47*'Master Data-C19RM'!$H$2))))))</f>
        <v>0</v>
      </c>
      <c r="BU47" s="12">
        <f t="shared" si="5"/>
        <v>0</v>
      </c>
      <c r="BV47" s="142">
        <f t="shared" si="6"/>
        <v>0</v>
      </c>
    </row>
    <row r="48" spans="1:74" ht="14.5" customHeight="1" x14ac:dyDescent="0.35">
      <c r="A48" s="1192"/>
      <c r="B48" s="1192"/>
      <c r="C48" s="1192"/>
      <c r="D48" s="1192"/>
      <c r="E48" s="1173"/>
      <c r="F48" s="1173"/>
      <c r="G48" s="1173"/>
      <c r="H48" s="1173"/>
      <c r="I48" s="1173"/>
      <c r="J48" s="1173"/>
      <c r="K48" s="1173"/>
      <c r="L48" s="493" t="str" cm="1">
        <f t="array" ref="L48">IF(A48&lt;&gt;"",IFERROR(INDEX(PMtbl[[WKst]:[Unit of measure*]],MATCH($A$8&amp;$A48&amp;$E48&amp;$I48,INDEX(PMtbl[Sec]&amp;PMtbl[Category]&amp;PMtbl[Each]&amp;PMtbl[Packaging],0,),0),14),""),"")</f>
        <v/>
      </c>
      <c r="M48" s="480" t="str">
        <f>IF(L48="","",INDEX(SETUP!$E$20:$E$122,(MATCH(INDEX(PMsheet!$D:$E,MATCH(A48,PMsheet!E:E,0),1),SETUP!$D$20:$D$122,0))))</f>
        <v/>
      </c>
      <c r="N48" s="494">
        <f>IF($O48="USD",_xlfn.IFNA(VLOOKUP(A48&amp;E48&amp;I48,PMsheet!J:K,2,0),0),(_xlfn.IFNA(VLOOKUP(A48&amp;E48&amp;I48,PMsheet!J:K,2,0),0)*'Master Data-C19RM'!$C$2))</f>
        <v>0</v>
      </c>
      <c r="O48" s="495" t="str">
        <f>IF(L48="", "",SETUP!$E$7)</f>
        <v/>
      </c>
      <c r="P48" s="445">
        <f>IF($O48="USD",_xlfn.IFNA(VLOOKUP($A48&amp;$E48&amp;$I48,PMsheet!$J:$K,2,0),0),(_xlfn.IFNA(VLOOKUP($A48&amp;$E48&amp;$I48,PMsheet!$J:$K,2,0),0)*'Master Data-C19RM'!$C$2))</f>
        <v>0</v>
      </c>
      <c r="Q48" s="440"/>
      <c r="R48" s="440"/>
      <c r="S48" s="440"/>
      <c r="T48" s="440"/>
      <c r="U48" s="482">
        <f t="shared" si="7"/>
        <v>0</v>
      </c>
      <c r="V48" s="484">
        <f>IF(SETUP!$E$7="USD",(U48*(IF(O48="USD",P48,(P48/'Master Data-C19RM'!$C$2)))),(U48*(IF(O48="EUR",P48,(P48*'Master Data-C19RM'!$C$2)))))</f>
        <v>0</v>
      </c>
      <c r="W48" s="445">
        <f>IF($O48="USD",_xlfn.IFNA(VLOOKUP($A48&amp;$E48&amp;$I48,PMsheet!$J:$K,2,0),0),(_xlfn.IFNA(VLOOKUP($A48&amp;$E48&amp;$I48,PMsheet!$J:$K,2,0),0)*'Master Data-C19RM'!$D$2))</f>
        <v>0</v>
      </c>
      <c r="X48" s="440"/>
      <c r="Y48" s="440"/>
      <c r="Z48" s="440"/>
      <c r="AA48" s="440"/>
      <c r="AB48" s="482">
        <f t="shared" si="1"/>
        <v>0</v>
      </c>
      <c r="AC48" s="484">
        <f>IF(SETUP!$E$7="USD",(AB48*(IF(O48="USD",W48,(W48/'Master Data-C19RM'!$D$2)))),(AB48*(IF(O48="EUR",W48,(W48*'Master Data-C19RM'!$D$2)))))</f>
        <v>0</v>
      </c>
      <c r="AD48" s="445">
        <f>IF($O48="USD",_xlfn.IFNA(VLOOKUP($A48&amp;$E48&amp;$I48,PMsheet!$J:$K,2,0),0),(_xlfn.IFNA(VLOOKUP($A48&amp;$E48&amp;$I48,PMsheet!$J:$K,2,0),0)*'Master Data-C19RM'!$E$2))</f>
        <v>0</v>
      </c>
      <c r="AE48" s="440"/>
      <c r="AF48" s="440"/>
      <c r="AG48" s="440"/>
      <c r="AH48" s="440"/>
      <c r="AI48" s="514">
        <f t="shared" si="8"/>
        <v>0</v>
      </c>
      <c r="AJ48" s="515">
        <f>IF(SETUP!$E$7="USD",(AI48*(IF(O48="USD",AD48,(AD48/'Master Data-C19RM'!$E$2)))),(AI48*(IF(O48="EUR",AD48,(AD48*'Master Data-C19RM'!$E$2)))))</f>
        <v>0</v>
      </c>
      <c r="AK48" s="445">
        <f>IF($O48="USD",_xlfn.IFNA(VLOOKUP($A48&amp;$E48&amp;$I48,PMsheet!$J:$K,2,0),0),(_xlfn.IFNA(VLOOKUP($A48&amp;$E48&amp;$I48,PMsheet!$J:$K,2,0),0)*'Master Data-C19RM'!$F$2))</f>
        <v>0</v>
      </c>
      <c r="AL48" s="440"/>
      <c r="AM48" s="440"/>
      <c r="AN48" s="440"/>
      <c r="AO48" s="440"/>
      <c r="AP48" s="482">
        <f t="shared" si="3"/>
        <v>0</v>
      </c>
      <c r="AQ48" s="484">
        <f>IF(SETUP!$E$7="USD",(AP48*(IF(O48="USD",AK48,(AK48/'Master Data-C19RM'!$F$2)))),(AP48*(IF(O48="EUR",AK48,(AK48*'Master Data-C19RM'!$F$2)))))</f>
        <v>0</v>
      </c>
      <c r="AR48" s="445">
        <f>IF($O48="USD",_xlfn.IFNA(VLOOKUP($A48&amp;$E48&amp;$I48,PMsheet!$J:$K,2,0),0),(_xlfn.IFNA(VLOOKUP($A48&amp;$E48&amp;$I48,PMsheet!$J:$K,2,0),0)*'Master Data-C19RM'!$G$2))</f>
        <v>0</v>
      </c>
      <c r="AS48" s="440"/>
      <c r="AT48" s="440"/>
      <c r="AU48" s="440"/>
      <c r="AV48" s="440"/>
      <c r="AW48" s="482">
        <f t="shared" si="4"/>
        <v>0</v>
      </c>
      <c r="AX48" s="484">
        <f>IF(SETUP!$E$7="USD",(AW48*(IF(O48="USD",AR48,(AR48/'Master Data-C19RM'!$G$2)))),(AW48*(IF(O48="EUR",AR48,(AR48*'Master Data-C19RM'!$G$2)))))</f>
        <v>0</v>
      </c>
      <c r="AY48" s="843"/>
      <c r="AZ48" s="843"/>
      <c r="BA48" s="843"/>
      <c r="BB48" s="843"/>
      <c r="BC48" s="843"/>
      <c r="BD48" s="843"/>
      <c r="BE48" s="844"/>
      <c r="BF48" s="482">
        <f>'C19RM 2021-Lab &amp; Other HPS'!$U48+'C19RM 2021-Lab &amp; Other HPS'!$AB48+AI48+'C19RM 2021-Lab &amp; Other HPS'!$AP48+'C19RM 2021-Lab &amp; Other HPS'!$AW48+BD48</f>
        <v>0</v>
      </c>
      <c r="BG48" s="482">
        <f>'C19RM 2021-Lab &amp; Other HPS'!$V48+'C19RM 2021-Lab &amp; Other HPS'!$AC48+'C19RM 2021-Lab &amp; Other HPS'!$AQ48+'C19RM 2021-Lab &amp; Other HPS'!$AJ48+AX48+BE48</f>
        <v>0</v>
      </c>
      <c r="BH48" s="499" t="str" cm="1">
        <f t="array" ref="BH48">IF(A48&lt;&gt;"",IFERROR(INDEX(PMtbl[[WKst]:[Unit of measure*]],MATCH($A$8&amp;$A48&amp;$E48&amp;$I48,INDEX(PMtbl[Sec]&amp;PMtbl[Category]&amp;PMtbl[Each]&amp;PMtbl[Packaging],0,),0),11),""),"")</f>
        <v/>
      </c>
      <c r="BI48" s="818"/>
      <c r="BJ48" s="503" t="str">
        <f>IFERROR(INDEX(SETUP!$C$19:$G$121,MATCH((INDEX(PMtbl[[WKst]:[Unit of measure*]],MATCH($A48&amp;$E48&amp;$I48,INDEX(PMtbl[Category]&amp;PMtbl[Each]&amp;PMtbl[Packaging],0,),0),3)),SETUP!$D$19:$D$121,0),5),"")</f>
        <v/>
      </c>
      <c r="BK48" s="439"/>
      <c r="BL48" s="158"/>
      <c r="BO48" s="12">
        <f>IF(N48="",0,IF(SETUP!$E$7="USD",((IF(O48="USD",P48,(P48/'Master Data-C19RM'!$C$2)))),((IF(O48="EUR",P48,(P48*'Master Data-C19RM'!$C$2))))))</f>
        <v>0</v>
      </c>
      <c r="BP48" s="12">
        <f>IF(N48="",0,IF(SETUP!$E$7="USD",((IF(O48="USD",W48,(W48/'Master Data-C19RM'!$D$2)))),((IF(O48="EUR",W48,(W48*'Master Data-C19RM'!$D$2))))))</f>
        <v>0</v>
      </c>
      <c r="BQ48">
        <f>IF(N48="",0,IF(SETUP!$E$7="USD",((IF(O48="USD",AD48,(AD48/'Master Data-C19RM'!$E$2)))),((IF(O48="EUR",AD48,(AD48*'Master Data-C19RM'!$E$2))))))</f>
        <v>0</v>
      </c>
      <c r="BR48">
        <f>IF(N48="",0,IF(SETUP!$E$7="USD",((IF(O48="USD",AK48,(AK48/'Master Data-C19RM'!$F$2)))),((IF(O48="EUR",AK48,(AK48*'Master Data-C19RM'!$F$2))))))</f>
        <v>0</v>
      </c>
      <c r="BS48">
        <f>IF(N48="",0,IF(SETUP!$E$7="USD",((IF(O48="USD",AR48,(AR48/'Master Data-C19RM'!$G$2)))),((IF(O48="EUR",AR48,(AR48*'Master Data-C19RM'!$G$2))))))</f>
        <v>0</v>
      </c>
      <c r="BT48">
        <f>IF(N48="",0,IF(SETUP!$E$7="USD",((IF(O48="USD",AY48,(AY48/'Master Data-C19RM'!$H$2)))),((IF(O48="EUR",AY48,(AY48*'Master Data-C19RM'!$H$2))))))</f>
        <v>0</v>
      </c>
      <c r="BU48" s="12">
        <f t="shared" si="5"/>
        <v>0</v>
      </c>
      <c r="BV48" s="142">
        <f t="shared" si="6"/>
        <v>0</v>
      </c>
    </row>
    <row r="49" spans="1:74" ht="14.5" customHeight="1" x14ac:dyDescent="0.35">
      <c r="A49" s="1200"/>
      <c r="B49" s="1201"/>
      <c r="C49" s="1201"/>
      <c r="D49" s="1202"/>
      <c r="E49" s="1216"/>
      <c r="F49" s="1217"/>
      <c r="G49" s="1217"/>
      <c r="H49" s="1218"/>
      <c r="I49" s="1216"/>
      <c r="J49" s="1217"/>
      <c r="K49" s="1218"/>
      <c r="L49" s="490" t="str" cm="1">
        <f t="array" ref="L49">IF(A49&lt;&gt;"",IFERROR(INDEX(PMtbl[[WKst]:[Unit of measure*]],MATCH($A$8&amp;$A49&amp;$E49&amp;$I49,INDEX(PMtbl[Sec]&amp;PMtbl[Category]&amp;PMtbl[Each]&amp;PMtbl[Packaging],0,),0),14),""),"")</f>
        <v/>
      </c>
      <c r="M49" s="479" t="str">
        <f>IF(L49="","",INDEX(SETUP!$E$20:$E$122,(MATCH(INDEX(PMsheet!$D:$E,MATCH(A49,PMsheet!E:E,0),1),SETUP!$D$20:$D$122,0))))</f>
        <v/>
      </c>
      <c r="N49" s="496">
        <f>IF($O49="USD",_xlfn.IFNA(VLOOKUP(A49&amp;E49&amp;I49,PMsheet!J:K,2,0),0),(_xlfn.IFNA(VLOOKUP(A49&amp;E49&amp;I49,PMsheet!J:K,2,0),0)*'Master Data-C19RM'!$C$2))</f>
        <v>0</v>
      </c>
      <c r="O49" s="492" t="str">
        <f>IF(L49="", "",SETUP!$E$7)</f>
        <v/>
      </c>
      <c r="P49" s="444">
        <f>IF($O49="USD",_xlfn.IFNA(VLOOKUP($A49&amp;$E49&amp;$I49,PMsheet!$J:$K,2,0),0),(_xlfn.IFNA(VLOOKUP($A49&amp;$E49&amp;$I49,PMsheet!$J:$K,2,0),0)*'Master Data-C19RM'!$C$2))</f>
        <v>0</v>
      </c>
      <c r="Q49" s="441"/>
      <c r="R49" s="441"/>
      <c r="S49" s="441"/>
      <c r="T49" s="441"/>
      <c r="U49" s="481">
        <f t="shared" si="7"/>
        <v>0</v>
      </c>
      <c r="V49" s="483">
        <f>IF(SETUP!$E$7="USD",(U49*(IF(O49="USD",P49,(P49/'Master Data-C19RM'!$C$2)))),(U49*(IF(O49="EUR",P49,(P49*'Master Data-C19RM'!$C$2)))))</f>
        <v>0</v>
      </c>
      <c r="W49" s="444">
        <f>IF($O49="USD",_xlfn.IFNA(VLOOKUP($A49&amp;$E49&amp;$I49,PMsheet!$J:$K,2,0),0),(_xlfn.IFNA(VLOOKUP($A49&amp;$E49&amp;$I49,PMsheet!$J:$K,2,0),0)*'Master Data-C19RM'!$D$2))</f>
        <v>0</v>
      </c>
      <c r="X49" s="441"/>
      <c r="Y49" s="441"/>
      <c r="Z49" s="441"/>
      <c r="AA49" s="441"/>
      <c r="AB49" s="481">
        <f t="shared" si="1"/>
        <v>0</v>
      </c>
      <c r="AC49" s="483">
        <f>IF(SETUP!$E$7="USD",(AB49*(IF(O49="USD",W49,(W49/'Master Data-C19RM'!$D$2)))),(AB49*(IF(O49="EUR",W49,(W49*'Master Data-C19RM'!$D$2)))))</f>
        <v>0</v>
      </c>
      <c r="AD49" s="444">
        <f>IF($O49="USD",_xlfn.IFNA(VLOOKUP($A49&amp;$E49&amp;$I49,PMsheet!$J:$K,2,0),0),(_xlfn.IFNA(VLOOKUP($A49&amp;$E49&amp;$I49,PMsheet!$J:$K,2,0),0)*'Master Data-C19RM'!$E$2))</f>
        <v>0</v>
      </c>
      <c r="AE49" s="441"/>
      <c r="AF49" s="441"/>
      <c r="AG49" s="441"/>
      <c r="AH49" s="441"/>
      <c r="AI49" s="512">
        <f t="shared" si="8"/>
        <v>0</v>
      </c>
      <c r="AJ49" s="513">
        <f>IF(SETUP!$E$7="USD",(AI49*(IF(O49="USD",AD49,(AD49/'Master Data-C19RM'!$E$2)))),(AI49*(IF(O49="EUR",AD49,(AD49*'Master Data-C19RM'!$E$2)))))</f>
        <v>0</v>
      </c>
      <c r="AK49" s="444">
        <f>IF($O49="USD",_xlfn.IFNA(VLOOKUP($A49&amp;$E49&amp;$I49,PMsheet!$J:$K,2,0),0),(_xlfn.IFNA(VLOOKUP($A49&amp;$E49&amp;$I49,PMsheet!$J:$K,2,0),0)*'Master Data-C19RM'!$F$2))</f>
        <v>0</v>
      </c>
      <c r="AL49" s="441"/>
      <c r="AM49" s="441"/>
      <c r="AN49" s="441"/>
      <c r="AO49" s="441"/>
      <c r="AP49" s="481">
        <f t="shared" si="3"/>
        <v>0</v>
      </c>
      <c r="AQ49" s="483">
        <f>IF(SETUP!$E$7="USD",(AP49*(IF(O49="USD",AK49,(AK49/'Master Data-C19RM'!$F$2)))),(AP49*(IF(O49="EUR",AK49,(AK49*'Master Data-C19RM'!$F$2)))))</f>
        <v>0</v>
      </c>
      <c r="AR49" s="444">
        <f>IF($O49="USD",_xlfn.IFNA(VLOOKUP($A49&amp;$E49&amp;$I49,PMsheet!$J:$K,2,0),0),(_xlfn.IFNA(VLOOKUP($A49&amp;$E49&amp;$I49,PMsheet!$J:$K,2,0),0)*'Master Data-C19RM'!$G$2))</f>
        <v>0</v>
      </c>
      <c r="AS49" s="441"/>
      <c r="AT49" s="441"/>
      <c r="AU49" s="441"/>
      <c r="AV49" s="441"/>
      <c r="AW49" s="481">
        <f t="shared" si="4"/>
        <v>0</v>
      </c>
      <c r="AX49" s="483">
        <f>IF(SETUP!$E$7="USD",(AW49*(IF(O49="USD",AR49,(AR49/'Master Data-C19RM'!$G$2)))),(AW49*(IF(O49="EUR",AR49,(AR49*'Master Data-C19RM'!$G$2)))))</f>
        <v>0</v>
      </c>
      <c r="AY49" s="851"/>
      <c r="AZ49" s="851"/>
      <c r="BA49" s="851"/>
      <c r="BB49" s="851"/>
      <c r="BC49" s="851"/>
      <c r="BD49" s="851"/>
      <c r="BE49" s="852"/>
      <c r="BF49" s="481">
        <f>'C19RM 2021-Lab &amp; Other HPS'!$U49+'C19RM 2021-Lab &amp; Other HPS'!$AB49+AI49+'C19RM 2021-Lab &amp; Other HPS'!$AP49+'C19RM 2021-Lab &amp; Other HPS'!$AW49+BD49</f>
        <v>0</v>
      </c>
      <c r="BG49" s="481">
        <f>'C19RM 2021-Lab &amp; Other HPS'!$V49+'C19RM 2021-Lab &amp; Other HPS'!$AC49+'C19RM 2021-Lab &amp; Other HPS'!$AQ49+'C19RM 2021-Lab &amp; Other HPS'!$AJ49+AX49+BE49</f>
        <v>0</v>
      </c>
      <c r="BH49" s="500" t="str" cm="1">
        <f t="array" ref="BH49">IF(A49&lt;&gt;"",IFERROR(INDEX(PMtbl[[WKst]:[Unit of measure*]],MATCH($A$8&amp;$A49&amp;$E49&amp;$I49,INDEX(PMtbl[Sec]&amp;PMtbl[Category]&amp;PMtbl[Each]&amp;PMtbl[Packaging],0,),0),11),""),"")</f>
        <v/>
      </c>
      <c r="BI49" s="819"/>
      <c r="BJ49" s="502" t="str">
        <f>IFERROR(INDEX(SETUP!$C$19:$G$121,MATCH((INDEX(PMtbl[[WKst]:[Unit of measure*]],MATCH($A49&amp;$E49&amp;$I49,INDEX(PMtbl[Category]&amp;PMtbl[Each]&amp;PMtbl[Packaging],0,),0),3)),SETUP!$D$19:$D$121,0),5),"")</f>
        <v/>
      </c>
      <c r="BK49" s="438"/>
      <c r="BL49" s="157"/>
      <c r="BO49" s="12">
        <f>IF(N49="",0,IF(SETUP!$E$7="USD",((IF(O49="USD",P49,(P49/'Master Data-C19RM'!$C$2)))),((IF(O49="EUR",P49,(P49*'Master Data-C19RM'!$C$2))))))</f>
        <v>0</v>
      </c>
      <c r="BP49" s="12">
        <f>IF(N49="",0,IF(SETUP!$E$7="USD",((IF(O49="USD",W49,(W49/'Master Data-C19RM'!$D$2)))),((IF(O49="EUR",W49,(W49*'Master Data-C19RM'!$D$2))))))</f>
        <v>0</v>
      </c>
      <c r="BQ49">
        <f>IF(N49="",0,IF(SETUP!$E$7="USD",((IF(O49="USD",AD49,(AD49/'Master Data-C19RM'!$E$2)))),((IF(O49="EUR",AD49,(AD49*'Master Data-C19RM'!$E$2))))))</f>
        <v>0</v>
      </c>
      <c r="BR49">
        <f>IF(N49="",0,IF(SETUP!$E$7="USD",((IF(O49="USD",AK49,(AK49/'Master Data-C19RM'!$F$2)))),((IF(O49="EUR",AK49,(AK49*'Master Data-C19RM'!$F$2))))))</f>
        <v>0</v>
      </c>
      <c r="BS49">
        <f>IF(N49="",0,IF(SETUP!$E$7="USD",((IF(O49="USD",AR49,(AR49/'Master Data-C19RM'!$G$2)))),((IF(O49="EUR",AR49,(AR49*'Master Data-C19RM'!$G$2))))))</f>
        <v>0</v>
      </c>
      <c r="BT49">
        <f>IF(N49="",0,IF(SETUP!$E$7="USD",((IF(O49="USD",AY49,(AY49/'Master Data-C19RM'!$H$2)))),((IF(O49="EUR",AY49,(AY49*'Master Data-C19RM'!$H$2))))))</f>
        <v>0</v>
      </c>
      <c r="BU49" s="12">
        <f t="shared" si="5"/>
        <v>0</v>
      </c>
      <c r="BV49" s="142">
        <f t="shared" si="6"/>
        <v>0</v>
      </c>
    </row>
    <row r="50" spans="1:74" ht="14.5" customHeight="1" x14ac:dyDescent="0.35">
      <c r="A50" s="1192"/>
      <c r="B50" s="1192"/>
      <c r="C50" s="1192"/>
      <c r="D50" s="1192"/>
      <c r="E50" s="1173"/>
      <c r="F50" s="1173"/>
      <c r="G50" s="1173"/>
      <c r="H50" s="1173"/>
      <c r="I50" s="1173"/>
      <c r="J50" s="1173"/>
      <c r="K50" s="1173"/>
      <c r="L50" s="493" t="str" cm="1">
        <f t="array" ref="L50">IF(A50&lt;&gt;"",IFERROR(INDEX(PMtbl[[WKst]:[Unit of measure*]],MATCH($A$8&amp;$A50&amp;$E50&amp;$I50,INDEX(PMtbl[Sec]&amp;PMtbl[Category]&amp;PMtbl[Each]&amp;PMtbl[Packaging],0,),0),14),""),"")</f>
        <v/>
      </c>
      <c r="M50" s="480" t="str">
        <f>IF(L50="","",INDEX(SETUP!$E$20:$E$122,(MATCH(INDEX(PMsheet!$D:$E,MATCH(A50,PMsheet!E:E,0),1),SETUP!$D$20:$D$122,0))))</f>
        <v/>
      </c>
      <c r="N50" s="494">
        <f>IF($O50="USD",_xlfn.IFNA(VLOOKUP(A50&amp;E50&amp;I50,PMsheet!J:K,2,0),0),(_xlfn.IFNA(VLOOKUP(A50&amp;E50&amp;I50,PMsheet!J:K,2,0),0)*'Master Data-C19RM'!$C$2))</f>
        <v>0</v>
      </c>
      <c r="O50" s="495" t="str">
        <f>IF(L50="", "",SETUP!$E$7)</f>
        <v/>
      </c>
      <c r="P50" s="445">
        <f>IF($O50="USD",_xlfn.IFNA(VLOOKUP($A50&amp;$E50&amp;$I50,PMsheet!$J:$K,2,0),0),(_xlfn.IFNA(VLOOKUP($A50&amp;$E50&amp;$I50,PMsheet!$J:$K,2,0),0)*'Master Data-C19RM'!$C$2))</f>
        <v>0</v>
      </c>
      <c r="Q50" s="440"/>
      <c r="R50" s="440"/>
      <c r="S50" s="440"/>
      <c r="T50" s="440"/>
      <c r="U50" s="482">
        <f t="shared" si="7"/>
        <v>0</v>
      </c>
      <c r="V50" s="484">
        <f>IF(SETUP!$E$7="USD",(U50*(IF(O50="USD",P50,(P50/'Master Data-C19RM'!$C$2)))),(U50*(IF(O50="EUR",P50,(P50*'Master Data-C19RM'!$C$2)))))</f>
        <v>0</v>
      </c>
      <c r="W50" s="445">
        <f>IF($O50="USD",_xlfn.IFNA(VLOOKUP($A50&amp;$E50&amp;$I50,PMsheet!$J:$K,2,0),0),(_xlfn.IFNA(VLOOKUP($A50&amp;$E50&amp;$I50,PMsheet!$J:$K,2,0),0)*'Master Data-C19RM'!$D$2))</f>
        <v>0</v>
      </c>
      <c r="X50" s="440"/>
      <c r="Y50" s="440"/>
      <c r="Z50" s="440"/>
      <c r="AA50" s="440"/>
      <c r="AB50" s="482">
        <f t="shared" si="1"/>
        <v>0</v>
      </c>
      <c r="AC50" s="484">
        <f>IF(SETUP!$E$7="USD",(AB50*(IF(O50="USD",W50,(W50/'Master Data-C19RM'!$D$2)))),(AB50*(IF(O50="EUR",W50,(W50*'Master Data-C19RM'!$D$2)))))</f>
        <v>0</v>
      </c>
      <c r="AD50" s="445">
        <f>IF($O50="USD",_xlfn.IFNA(VLOOKUP($A50&amp;$E50&amp;$I50,PMsheet!$J:$K,2,0),0),(_xlfn.IFNA(VLOOKUP($A50&amp;$E50&amp;$I50,PMsheet!$J:$K,2,0),0)*'Master Data-C19RM'!$E$2))</f>
        <v>0</v>
      </c>
      <c r="AE50" s="440"/>
      <c r="AF50" s="440"/>
      <c r="AG50" s="440"/>
      <c r="AH50" s="440"/>
      <c r="AI50" s="514">
        <f t="shared" si="8"/>
        <v>0</v>
      </c>
      <c r="AJ50" s="515">
        <f>IF(SETUP!$E$7="USD",(AI50*(IF(O50="USD",AD50,(AD50/'Master Data-C19RM'!$E$2)))),(AI50*(IF(O50="EUR",AD50,(AD50*'Master Data-C19RM'!$E$2)))))</f>
        <v>0</v>
      </c>
      <c r="AK50" s="445">
        <f>IF($O50="USD",_xlfn.IFNA(VLOOKUP($A50&amp;$E50&amp;$I50,PMsheet!$J:$K,2,0),0),(_xlfn.IFNA(VLOOKUP($A50&amp;$E50&amp;$I50,PMsheet!$J:$K,2,0),0)*'Master Data-C19RM'!$F$2))</f>
        <v>0</v>
      </c>
      <c r="AL50" s="440"/>
      <c r="AM50" s="440"/>
      <c r="AN50" s="440"/>
      <c r="AO50" s="440"/>
      <c r="AP50" s="482">
        <f t="shared" si="3"/>
        <v>0</v>
      </c>
      <c r="AQ50" s="484">
        <f>IF(SETUP!$E$7="USD",(AP50*(IF(O50="USD",AK50,(AK50/'Master Data-C19RM'!$F$2)))),(AP50*(IF(O50="EUR",AK50,(AK50*'Master Data-C19RM'!$F$2)))))</f>
        <v>0</v>
      </c>
      <c r="AR50" s="445">
        <f>IF($O50="USD",_xlfn.IFNA(VLOOKUP($A50&amp;$E50&amp;$I50,PMsheet!$J:$K,2,0),0),(_xlfn.IFNA(VLOOKUP($A50&amp;$E50&amp;$I50,PMsheet!$J:$K,2,0),0)*'Master Data-C19RM'!$G$2))</f>
        <v>0</v>
      </c>
      <c r="AS50" s="440"/>
      <c r="AT50" s="440"/>
      <c r="AU50" s="440"/>
      <c r="AV50" s="440"/>
      <c r="AW50" s="482">
        <f t="shared" si="4"/>
        <v>0</v>
      </c>
      <c r="AX50" s="484">
        <f>IF(SETUP!$E$7="USD",(AW50*(IF(O50="USD",AR50,(AR50/'Master Data-C19RM'!$G$2)))),(AW50*(IF(O50="EUR",AR50,(AR50*'Master Data-C19RM'!$G$2)))))</f>
        <v>0</v>
      </c>
      <c r="AY50" s="843"/>
      <c r="AZ50" s="843"/>
      <c r="BA50" s="843"/>
      <c r="BB50" s="843"/>
      <c r="BC50" s="843"/>
      <c r="BD50" s="843"/>
      <c r="BE50" s="844"/>
      <c r="BF50" s="482">
        <f>'C19RM 2021-Lab &amp; Other HPS'!$U50+'C19RM 2021-Lab &amp; Other HPS'!$AB50+AI50+'C19RM 2021-Lab &amp; Other HPS'!$AP50+'C19RM 2021-Lab &amp; Other HPS'!$AW50+BD50</f>
        <v>0</v>
      </c>
      <c r="BG50" s="482">
        <f>'C19RM 2021-Lab &amp; Other HPS'!$V50+'C19RM 2021-Lab &amp; Other HPS'!$AC50+'C19RM 2021-Lab &amp; Other HPS'!$AQ50+'C19RM 2021-Lab &amp; Other HPS'!$AJ50+AX50+BE50</f>
        <v>0</v>
      </c>
      <c r="BH50" s="499" t="str" cm="1">
        <f t="array" ref="BH50">IF(A50&lt;&gt;"",IFERROR(INDEX(PMtbl[[WKst]:[Unit of measure*]],MATCH($A$8&amp;$A50&amp;$E50&amp;$I50,INDEX(PMtbl[Sec]&amp;PMtbl[Category]&amp;PMtbl[Each]&amp;PMtbl[Packaging],0,),0),11),""),"")</f>
        <v/>
      </c>
      <c r="BI50" s="818"/>
      <c r="BJ50" s="503" t="str">
        <f>IFERROR(INDEX(SETUP!$C$19:$G$121,MATCH((INDEX(PMtbl[[WKst]:[Unit of measure*]],MATCH($A50&amp;$E50&amp;$I50,INDEX(PMtbl[Category]&amp;PMtbl[Each]&amp;PMtbl[Packaging],0,),0),3)),SETUP!$D$19:$D$121,0),5),"")</f>
        <v/>
      </c>
      <c r="BK50" s="439"/>
      <c r="BL50" s="158"/>
      <c r="BO50" s="12">
        <f>IF(N50="",0,IF(SETUP!$E$7="USD",((IF(O50="USD",P50,(P50/'Master Data-C19RM'!$C$2)))),((IF(O50="EUR",P50,(P50*'Master Data-C19RM'!$C$2))))))</f>
        <v>0</v>
      </c>
      <c r="BP50" s="12">
        <f>IF(N50="",0,IF(SETUP!$E$7="USD",((IF(O50="USD",W50,(W50/'Master Data-C19RM'!$D$2)))),((IF(O50="EUR",W50,(W50*'Master Data-C19RM'!$D$2))))))</f>
        <v>0</v>
      </c>
      <c r="BQ50">
        <f>IF(N50="",0,IF(SETUP!$E$7="USD",((IF(O50="USD",AD50,(AD50/'Master Data-C19RM'!$E$2)))),((IF(O50="EUR",AD50,(AD50*'Master Data-C19RM'!$E$2))))))</f>
        <v>0</v>
      </c>
      <c r="BR50">
        <f>IF(N50="",0,IF(SETUP!$E$7="USD",((IF(O50="USD",AK50,(AK50/'Master Data-C19RM'!$F$2)))),((IF(O50="EUR",AK50,(AK50*'Master Data-C19RM'!$F$2))))))</f>
        <v>0</v>
      </c>
      <c r="BS50">
        <f>IF(N50="",0,IF(SETUP!$E$7="USD",((IF(O50="USD",AR50,(AR50/'Master Data-C19RM'!$G$2)))),((IF(O50="EUR",AR50,(AR50*'Master Data-C19RM'!$G$2))))))</f>
        <v>0</v>
      </c>
      <c r="BT50">
        <f>IF(N50="",0,IF(SETUP!$E$7="USD",((IF(O50="USD",AY50,(AY50/'Master Data-C19RM'!$H$2)))),((IF(O50="EUR",AY50,(AY50*'Master Data-C19RM'!$H$2))))))</f>
        <v>0</v>
      </c>
      <c r="BU50" s="12">
        <f t="shared" si="5"/>
        <v>0</v>
      </c>
      <c r="BV50" s="142">
        <f t="shared" si="6"/>
        <v>0</v>
      </c>
    </row>
    <row r="51" spans="1:74" ht="14.5" customHeight="1" x14ac:dyDescent="0.35">
      <c r="A51" s="1200"/>
      <c r="B51" s="1201"/>
      <c r="C51" s="1201"/>
      <c r="D51" s="1202"/>
      <c r="E51" s="1216"/>
      <c r="F51" s="1217"/>
      <c r="G51" s="1217"/>
      <c r="H51" s="1218"/>
      <c r="I51" s="1216"/>
      <c r="J51" s="1217"/>
      <c r="K51" s="1218"/>
      <c r="L51" s="490" t="str" cm="1">
        <f t="array" ref="L51">IF(A51&lt;&gt;"",IFERROR(INDEX(PMtbl[[WKst]:[Unit of measure*]],MATCH($A$8&amp;$A51&amp;$E51&amp;$I51,INDEX(PMtbl[Sec]&amp;PMtbl[Category]&amp;PMtbl[Each]&amp;PMtbl[Packaging],0,),0),14),""),"")</f>
        <v/>
      </c>
      <c r="M51" s="479" t="str">
        <f>IF(L51="","",INDEX(SETUP!$E$20:$E$122,(MATCH(INDEX(PMsheet!$D:$E,MATCH(A51,PMsheet!E:E,0),1),SETUP!$D$20:$D$122,0))))</f>
        <v/>
      </c>
      <c r="N51" s="496">
        <f>IF($O51="USD",_xlfn.IFNA(VLOOKUP(A51&amp;E51&amp;I51,PMsheet!J:K,2,0),0),(_xlfn.IFNA(VLOOKUP(A51&amp;E51&amp;I51,PMsheet!J:K,2,0),0)*'Master Data-C19RM'!$C$2))</f>
        <v>0</v>
      </c>
      <c r="O51" s="492" t="str">
        <f>IF(L51="", "",SETUP!$E$7)</f>
        <v/>
      </c>
      <c r="P51" s="444">
        <f>IF($O51="USD",_xlfn.IFNA(VLOOKUP($A51&amp;$E51&amp;$I51,PMsheet!$J:$K,2,0),0),(_xlfn.IFNA(VLOOKUP($A51&amp;$E51&amp;$I51,PMsheet!$J:$K,2,0),0)*'Master Data-C19RM'!$C$2))</f>
        <v>0</v>
      </c>
      <c r="Q51" s="441"/>
      <c r="R51" s="441"/>
      <c r="S51" s="441"/>
      <c r="T51" s="441"/>
      <c r="U51" s="481">
        <f t="shared" si="7"/>
        <v>0</v>
      </c>
      <c r="V51" s="483">
        <f>IF(SETUP!$E$7="USD",(U51*(IF(O51="USD",P51,(P51/'Master Data-C19RM'!$C$2)))),(U51*(IF(O51="EUR",P51,(P51*'Master Data-C19RM'!$C$2)))))</f>
        <v>0</v>
      </c>
      <c r="W51" s="444">
        <f>IF($O51="USD",_xlfn.IFNA(VLOOKUP($A51&amp;$E51&amp;$I51,PMsheet!$J:$K,2,0),0),(_xlfn.IFNA(VLOOKUP($A51&amp;$E51&amp;$I51,PMsheet!$J:$K,2,0),0)*'Master Data-C19RM'!$D$2))</f>
        <v>0</v>
      </c>
      <c r="X51" s="441"/>
      <c r="Y51" s="441"/>
      <c r="Z51" s="441"/>
      <c r="AA51" s="441"/>
      <c r="AB51" s="481">
        <f t="shared" si="1"/>
        <v>0</v>
      </c>
      <c r="AC51" s="483">
        <f>IF(SETUP!$E$7="USD",(AB51*(IF(O51="USD",W51,(W51/'Master Data-C19RM'!$D$2)))),(AB51*(IF(O51="EUR",W51,(W51*'Master Data-C19RM'!$D$2)))))</f>
        <v>0</v>
      </c>
      <c r="AD51" s="444">
        <f>IF($O51="USD",_xlfn.IFNA(VLOOKUP($A51&amp;$E51&amp;$I51,PMsheet!$J:$K,2,0),0),(_xlfn.IFNA(VLOOKUP($A51&amp;$E51&amp;$I51,PMsheet!$J:$K,2,0),0)*'Master Data-C19RM'!$E$2))</f>
        <v>0</v>
      </c>
      <c r="AE51" s="441"/>
      <c r="AF51" s="441"/>
      <c r="AG51" s="441"/>
      <c r="AH51" s="441"/>
      <c r="AI51" s="512">
        <f t="shared" si="8"/>
        <v>0</v>
      </c>
      <c r="AJ51" s="513">
        <f>IF(SETUP!$E$7="USD",(AI51*(IF(O51="USD",AD51,(AD51/'Master Data-C19RM'!$E$2)))),(AI51*(IF(O51="EUR",AD51,(AD51*'Master Data-C19RM'!$E$2)))))</f>
        <v>0</v>
      </c>
      <c r="AK51" s="444">
        <f>IF($O51="USD",_xlfn.IFNA(VLOOKUP($A51&amp;$E51&amp;$I51,PMsheet!$J:$K,2,0),0),(_xlfn.IFNA(VLOOKUP($A51&amp;$E51&amp;$I51,PMsheet!$J:$K,2,0),0)*'Master Data-C19RM'!$F$2))</f>
        <v>0</v>
      </c>
      <c r="AL51" s="441"/>
      <c r="AM51" s="441"/>
      <c r="AN51" s="441"/>
      <c r="AO51" s="441"/>
      <c r="AP51" s="481">
        <f t="shared" si="3"/>
        <v>0</v>
      </c>
      <c r="AQ51" s="483">
        <f>IF(SETUP!$E$7="USD",(AP51*(IF(O51="USD",AK51,(AK51/'Master Data-C19RM'!$F$2)))),(AP51*(IF(O51="EUR",AK51,(AK51*'Master Data-C19RM'!$F$2)))))</f>
        <v>0</v>
      </c>
      <c r="AR51" s="444">
        <f>IF($O51="USD",_xlfn.IFNA(VLOOKUP($A51&amp;$E51&amp;$I51,PMsheet!$J:$K,2,0),0),(_xlfn.IFNA(VLOOKUP($A51&amp;$E51&amp;$I51,PMsheet!$J:$K,2,0),0)*'Master Data-C19RM'!$G$2))</f>
        <v>0</v>
      </c>
      <c r="AS51" s="441"/>
      <c r="AT51" s="441"/>
      <c r="AU51" s="441"/>
      <c r="AV51" s="441"/>
      <c r="AW51" s="481">
        <f t="shared" si="4"/>
        <v>0</v>
      </c>
      <c r="AX51" s="483">
        <f>IF(SETUP!$E$7="USD",(AW51*(IF(O51="USD",AR51,(AR51/'Master Data-C19RM'!$G$2)))),(AW51*(IF(O51="EUR",AR51,(AR51*'Master Data-C19RM'!$G$2)))))</f>
        <v>0</v>
      </c>
      <c r="AY51" s="851"/>
      <c r="AZ51" s="851"/>
      <c r="BA51" s="851"/>
      <c r="BB51" s="851"/>
      <c r="BC51" s="851"/>
      <c r="BD51" s="851"/>
      <c r="BE51" s="852"/>
      <c r="BF51" s="481">
        <f>'C19RM 2021-Lab &amp; Other HPS'!$U51+'C19RM 2021-Lab &amp; Other HPS'!$AB51+AI51+'C19RM 2021-Lab &amp; Other HPS'!$AP51+'C19RM 2021-Lab &amp; Other HPS'!$AW51+BD51</f>
        <v>0</v>
      </c>
      <c r="BG51" s="481">
        <f>'C19RM 2021-Lab &amp; Other HPS'!$V51+'C19RM 2021-Lab &amp; Other HPS'!$AC51+'C19RM 2021-Lab &amp; Other HPS'!$AQ51+'C19RM 2021-Lab &amp; Other HPS'!$AJ51+AX51+BE51</f>
        <v>0</v>
      </c>
      <c r="BH51" s="500" t="str" cm="1">
        <f t="array" ref="BH51">IF(A51&lt;&gt;"",IFERROR(INDEX(PMtbl[[WKst]:[Unit of measure*]],MATCH($A$8&amp;$A51&amp;$E51&amp;$I51,INDEX(PMtbl[Sec]&amp;PMtbl[Category]&amp;PMtbl[Each]&amp;PMtbl[Packaging],0,),0),11),""),"")</f>
        <v/>
      </c>
      <c r="BI51" s="819"/>
      <c r="BJ51" s="502" t="str">
        <f>IFERROR(INDEX(SETUP!$C$19:$G$121,MATCH((INDEX(PMtbl[[WKst]:[Unit of measure*]],MATCH($A51&amp;$E51&amp;$I51,INDEX(PMtbl[Category]&amp;PMtbl[Each]&amp;PMtbl[Packaging],0,),0),3)),SETUP!$D$19:$D$121,0),5),"")</f>
        <v/>
      </c>
      <c r="BK51" s="438"/>
      <c r="BL51" s="157"/>
      <c r="BO51" s="12">
        <f>IF(N51="",0,IF(SETUP!$E$7="USD",((IF(O51="USD",P51,(P51/'Master Data-C19RM'!$C$2)))),((IF(O51="EUR",P51,(P51*'Master Data-C19RM'!$C$2))))))</f>
        <v>0</v>
      </c>
      <c r="BP51" s="12">
        <f>IF(N51="",0,IF(SETUP!$E$7="USD",((IF(O51="USD",W51,(W51/'Master Data-C19RM'!$D$2)))),((IF(O51="EUR",W51,(W51*'Master Data-C19RM'!$D$2))))))</f>
        <v>0</v>
      </c>
      <c r="BQ51">
        <f>IF(N51="",0,IF(SETUP!$E$7="USD",((IF(O51="USD",AD51,(AD51/'Master Data-C19RM'!$E$2)))),((IF(O51="EUR",AD51,(AD51*'Master Data-C19RM'!$E$2))))))</f>
        <v>0</v>
      </c>
      <c r="BR51">
        <f>IF(N51="",0,IF(SETUP!$E$7="USD",((IF(O51="USD",AK51,(AK51/'Master Data-C19RM'!$F$2)))),((IF(O51="EUR",AK51,(AK51*'Master Data-C19RM'!$F$2))))))</f>
        <v>0</v>
      </c>
      <c r="BS51">
        <f>IF(N51="",0,IF(SETUP!$E$7="USD",((IF(O51="USD",AR51,(AR51/'Master Data-C19RM'!$G$2)))),((IF(O51="EUR",AR51,(AR51*'Master Data-C19RM'!$G$2))))))</f>
        <v>0</v>
      </c>
      <c r="BT51">
        <f>IF(N51="",0,IF(SETUP!$E$7="USD",((IF(O51="USD",AY51,(AY51/'Master Data-C19RM'!$H$2)))),((IF(O51="EUR",AY51,(AY51*'Master Data-C19RM'!$H$2))))))</f>
        <v>0</v>
      </c>
      <c r="BU51" s="12">
        <f t="shared" si="5"/>
        <v>0</v>
      </c>
      <c r="BV51" s="142">
        <f t="shared" si="6"/>
        <v>0</v>
      </c>
    </row>
    <row r="52" spans="1:74" ht="14.5" customHeight="1" x14ac:dyDescent="0.35">
      <c r="A52" s="1192"/>
      <c r="B52" s="1192"/>
      <c r="C52" s="1192"/>
      <c r="D52" s="1192"/>
      <c r="E52" s="1173"/>
      <c r="F52" s="1173"/>
      <c r="G52" s="1173"/>
      <c r="H52" s="1173"/>
      <c r="I52" s="1173"/>
      <c r="J52" s="1173"/>
      <c r="K52" s="1173"/>
      <c r="L52" s="493" t="str" cm="1">
        <f t="array" ref="L52">IF(A52&lt;&gt;"",IFERROR(INDEX(PMtbl[[WKst]:[Unit of measure*]],MATCH($A$8&amp;$A52&amp;$E52&amp;$I52,INDEX(PMtbl[Sec]&amp;PMtbl[Category]&amp;PMtbl[Each]&amp;PMtbl[Packaging],0,),0),14),""),"")</f>
        <v/>
      </c>
      <c r="M52" s="480" t="str">
        <f>IF(L52="","",INDEX(SETUP!$E$20:$E$122,(MATCH(INDEX(PMsheet!$D:$E,MATCH(A52,PMsheet!E:E,0),1),SETUP!$D$20:$D$122,0))))</f>
        <v/>
      </c>
      <c r="N52" s="494">
        <f>IF($O52="USD",_xlfn.IFNA(VLOOKUP(A52&amp;E52&amp;I52,PMsheet!J:K,2,0),0),(_xlfn.IFNA(VLOOKUP(A52&amp;E52&amp;I52,PMsheet!J:K,2,0),0)*'Master Data-C19RM'!$C$2))</f>
        <v>0</v>
      </c>
      <c r="O52" s="495" t="str">
        <f>IF(L52="", "",SETUP!$E$7)</f>
        <v/>
      </c>
      <c r="P52" s="445">
        <f>IF($O52="USD",_xlfn.IFNA(VLOOKUP($A52&amp;$E52&amp;$I52,PMsheet!$J:$K,2,0),0),(_xlfn.IFNA(VLOOKUP($A52&amp;$E52&amp;$I52,PMsheet!$J:$K,2,0),0)*'Master Data-C19RM'!$C$2))</f>
        <v>0</v>
      </c>
      <c r="Q52" s="440"/>
      <c r="R52" s="440"/>
      <c r="S52" s="440"/>
      <c r="T52" s="440"/>
      <c r="U52" s="482">
        <f t="shared" si="7"/>
        <v>0</v>
      </c>
      <c r="V52" s="484">
        <f>IF(SETUP!$E$7="USD",(U52*(IF(O52="USD",P52,(P52/'Master Data-C19RM'!$C$2)))),(U52*(IF(O52="EUR",P52,(P52*'Master Data-C19RM'!$C$2)))))</f>
        <v>0</v>
      </c>
      <c r="W52" s="445">
        <f>IF($O52="USD",_xlfn.IFNA(VLOOKUP($A52&amp;$E52&amp;$I52,PMsheet!$J:$K,2,0),0),(_xlfn.IFNA(VLOOKUP($A52&amp;$E52&amp;$I52,PMsheet!$J:$K,2,0),0)*'Master Data-C19RM'!$D$2))</f>
        <v>0</v>
      </c>
      <c r="X52" s="440"/>
      <c r="Y52" s="440"/>
      <c r="Z52" s="440"/>
      <c r="AA52" s="440"/>
      <c r="AB52" s="482">
        <f t="shared" si="1"/>
        <v>0</v>
      </c>
      <c r="AC52" s="484">
        <f>IF(SETUP!$E$7="USD",(AB52*(IF(O52="USD",W52,(W52/'Master Data-C19RM'!$D$2)))),(AB52*(IF(O52="EUR",W52,(W52*'Master Data-C19RM'!$D$2)))))</f>
        <v>0</v>
      </c>
      <c r="AD52" s="445">
        <f>IF($O52="USD",_xlfn.IFNA(VLOOKUP($A52&amp;$E52&amp;$I52,PMsheet!$J:$K,2,0),0),(_xlfn.IFNA(VLOOKUP($A52&amp;$E52&amp;$I52,PMsheet!$J:$K,2,0),0)*'Master Data-C19RM'!$E$2))</f>
        <v>0</v>
      </c>
      <c r="AE52" s="440"/>
      <c r="AF52" s="440"/>
      <c r="AG52" s="440"/>
      <c r="AH52" s="440"/>
      <c r="AI52" s="514">
        <f t="shared" si="8"/>
        <v>0</v>
      </c>
      <c r="AJ52" s="515">
        <f>IF(SETUP!$E$7="USD",(AI52*(IF(O52="USD",AD52,(AD52/'Master Data-C19RM'!$E$2)))),(AI52*(IF(O52="EUR",AD52,(AD52*'Master Data-C19RM'!$E$2)))))</f>
        <v>0</v>
      </c>
      <c r="AK52" s="445">
        <f>IF($O52="USD",_xlfn.IFNA(VLOOKUP($A52&amp;$E52&amp;$I52,PMsheet!$J:$K,2,0),0),(_xlfn.IFNA(VLOOKUP($A52&amp;$E52&amp;$I52,PMsheet!$J:$K,2,0),0)*'Master Data-C19RM'!$F$2))</f>
        <v>0</v>
      </c>
      <c r="AL52" s="440"/>
      <c r="AM52" s="440"/>
      <c r="AN52" s="440"/>
      <c r="AO52" s="440"/>
      <c r="AP52" s="482">
        <f t="shared" si="3"/>
        <v>0</v>
      </c>
      <c r="AQ52" s="484">
        <f>IF(SETUP!$E$7="USD",(AP52*(IF(O52="USD",AK52,(AK52/'Master Data-C19RM'!$F$2)))),(AP52*(IF(O52="EUR",AK52,(AK52*'Master Data-C19RM'!$F$2)))))</f>
        <v>0</v>
      </c>
      <c r="AR52" s="445">
        <f>IF($O52="USD",_xlfn.IFNA(VLOOKUP($A52&amp;$E52&amp;$I52,PMsheet!$J:$K,2,0),0),(_xlfn.IFNA(VLOOKUP($A52&amp;$E52&amp;$I52,PMsheet!$J:$K,2,0),0)*'Master Data-C19RM'!$G$2))</f>
        <v>0</v>
      </c>
      <c r="AS52" s="440"/>
      <c r="AT52" s="440"/>
      <c r="AU52" s="440"/>
      <c r="AV52" s="440"/>
      <c r="AW52" s="482">
        <f t="shared" si="4"/>
        <v>0</v>
      </c>
      <c r="AX52" s="484">
        <f>IF(SETUP!$E$7="USD",(AW52*(IF(O52="USD",AR52,(AR52/'Master Data-C19RM'!$G$2)))),(AW52*(IF(O52="EUR",AR52,(AR52*'Master Data-C19RM'!$G$2)))))</f>
        <v>0</v>
      </c>
      <c r="AY52" s="843"/>
      <c r="AZ52" s="843"/>
      <c r="BA52" s="843"/>
      <c r="BB52" s="843"/>
      <c r="BC52" s="843"/>
      <c r="BD52" s="843"/>
      <c r="BE52" s="844"/>
      <c r="BF52" s="482">
        <f>'C19RM 2021-Lab &amp; Other HPS'!$U52+'C19RM 2021-Lab &amp; Other HPS'!$AB52+AI52+'C19RM 2021-Lab &amp; Other HPS'!$AP52+'C19RM 2021-Lab &amp; Other HPS'!$AW52+BD52</f>
        <v>0</v>
      </c>
      <c r="BG52" s="482">
        <f>'C19RM 2021-Lab &amp; Other HPS'!$V52+'C19RM 2021-Lab &amp; Other HPS'!$AC52+'C19RM 2021-Lab &amp; Other HPS'!$AQ52+'C19RM 2021-Lab &amp; Other HPS'!$AJ52+AX52+BE52</f>
        <v>0</v>
      </c>
      <c r="BH52" s="499" t="str" cm="1">
        <f t="array" ref="BH52">IF(A52&lt;&gt;"",IFERROR(INDEX(PMtbl[[WKst]:[Unit of measure*]],MATCH($A$8&amp;$A52&amp;$E52&amp;$I52,INDEX(PMtbl[Sec]&amp;PMtbl[Category]&amp;PMtbl[Each]&amp;PMtbl[Packaging],0,),0),11),""),"")</f>
        <v/>
      </c>
      <c r="BI52" s="818"/>
      <c r="BJ52" s="503" t="str">
        <f>IFERROR(INDEX(SETUP!$C$19:$G$121,MATCH((INDEX(PMtbl[[WKst]:[Unit of measure*]],MATCH($A52&amp;$E52&amp;$I52,INDEX(PMtbl[Category]&amp;PMtbl[Each]&amp;PMtbl[Packaging],0,),0),3)),SETUP!$D$19:$D$121,0),5),"")</f>
        <v/>
      </c>
      <c r="BK52" s="439"/>
      <c r="BL52" s="158"/>
      <c r="BO52" s="12">
        <f>IF(N52="",0,IF(SETUP!$E$7="USD",((IF(O52="USD",P52,(P52/'Master Data-C19RM'!$C$2)))),((IF(O52="EUR",P52,(P52*'Master Data-C19RM'!$C$2))))))</f>
        <v>0</v>
      </c>
      <c r="BP52" s="12">
        <f>IF(N52="",0,IF(SETUP!$E$7="USD",((IF(O52="USD",W52,(W52/'Master Data-C19RM'!$D$2)))),((IF(O52="EUR",W52,(W52*'Master Data-C19RM'!$D$2))))))</f>
        <v>0</v>
      </c>
      <c r="BQ52">
        <f>IF(N52="",0,IF(SETUP!$E$7="USD",((IF(O52="USD",AD52,(AD52/'Master Data-C19RM'!$E$2)))),((IF(O52="EUR",AD52,(AD52*'Master Data-C19RM'!$E$2))))))</f>
        <v>0</v>
      </c>
      <c r="BR52">
        <f>IF(N52="",0,IF(SETUP!$E$7="USD",((IF(O52="USD",AK52,(AK52/'Master Data-C19RM'!$F$2)))),((IF(O52="EUR",AK52,(AK52*'Master Data-C19RM'!$F$2))))))</f>
        <v>0</v>
      </c>
      <c r="BS52">
        <f>IF(N52="",0,IF(SETUP!$E$7="USD",((IF(O52="USD",AR52,(AR52/'Master Data-C19RM'!$G$2)))),((IF(O52="EUR",AR52,(AR52*'Master Data-C19RM'!$G$2))))))</f>
        <v>0</v>
      </c>
      <c r="BT52">
        <f>IF(N52="",0,IF(SETUP!$E$7="USD",((IF(O52="USD",AY52,(AY52/'Master Data-C19RM'!$H$2)))),((IF(O52="EUR",AY52,(AY52*'Master Data-C19RM'!$H$2))))))</f>
        <v>0</v>
      </c>
      <c r="BU52" s="12">
        <f t="shared" si="5"/>
        <v>0</v>
      </c>
      <c r="BV52" s="142">
        <f t="shared" si="6"/>
        <v>0</v>
      </c>
    </row>
    <row r="53" spans="1:74" ht="14.5" customHeight="1" x14ac:dyDescent="0.35">
      <c r="A53" s="1200"/>
      <c r="B53" s="1201"/>
      <c r="C53" s="1201"/>
      <c r="D53" s="1202"/>
      <c r="E53" s="1216"/>
      <c r="F53" s="1217"/>
      <c r="G53" s="1217"/>
      <c r="H53" s="1218"/>
      <c r="I53" s="1216"/>
      <c r="J53" s="1217"/>
      <c r="K53" s="1218"/>
      <c r="L53" s="490" t="str" cm="1">
        <f t="array" ref="L53">IF(A53&lt;&gt;"",IFERROR(INDEX(PMtbl[[WKst]:[Unit of measure*]],MATCH($A$8&amp;$A53&amp;$E53&amp;$I53,INDEX(PMtbl[Sec]&amp;PMtbl[Category]&amp;PMtbl[Each]&amp;PMtbl[Packaging],0,),0),14),""),"")</f>
        <v/>
      </c>
      <c r="M53" s="479" t="str">
        <f>IF(L53="","",INDEX(SETUP!$E$20:$E$122,(MATCH(INDEX(PMsheet!$D:$E,MATCH(A53,PMsheet!E:E,0),1),SETUP!$D$20:$D$122,0))))</f>
        <v/>
      </c>
      <c r="N53" s="496">
        <f>IF($O53="USD",_xlfn.IFNA(VLOOKUP(A53&amp;E53&amp;I53,PMsheet!J:K,2,0),0),(_xlfn.IFNA(VLOOKUP(A53&amp;E53&amp;I53,PMsheet!J:K,2,0),0)*'Master Data-C19RM'!$C$2))</f>
        <v>0</v>
      </c>
      <c r="O53" s="492" t="str">
        <f>IF(L53="", "",SETUP!$E$7)</f>
        <v/>
      </c>
      <c r="P53" s="444">
        <f>IF($O53="USD",_xlfn.IFNA(VLOOKUP($A53&amp;$E53&amp;$I53,PMsheet!$J:$K,2,0),0),(_xlfn.IFNA(VLOOKUP($A53&amp;$E53&amp;$I53,PMsheet!$J:$K,2,0),0)*'Master Data-C19RM'!$C$2))</f>
        <v>0</v>
      </c>
      <c r="Q53" s="441"/>
      <c r="R53" s="441"/>
      <c r="S53" s="441"/>
      <c r="T53" s="441"/>
      <c r="U53" s="481">
        <f t="shared" si="7"/>
        <v>0</v>
      </c>
      <c r="V53" s="483">
        <f>IF(SETUP!$E$7="USD",(U53*(IF(O53="USD",P53,(P53/'Master Data-C19RM'!$C$2)))),(U53*(IF(O53="EUR",P53,(P53*'Master Data-C19RM'!$C$2)))))</f>
        <v>0</v>
      </c>
      <c r="W53" s="444">
        <f>IF($O53="USD",_xlfn.IFNA(VLOOKUP($A53&amp;$E53&amp;$I53,PMsheet!$J:$K,2,0),0),(_xlfn.IFNA(VLOOKUP($A53&amp;$E53&amp;$I53,PMsheet!$J:$K,2,0),0)*'Master Data-C19RM'!$D$2))</f>
        <v>0</v>
      </c>
      <c r="X53" s="441"/>
      <c r="Y53" s="441"/>
      <c r="Z53" s="441"/>
      <c r="AA53" s="441"/>
      <c r="AB53" s="481">
        <f t="shared" si="1"/>
        <v>0</v>
      </c>
      <c r="AC53" s="483">
        <f>IF(SETUP!$E$7="USD",(AB53*(IF(O53="USD",W53,(W53/'Master Data-C19RM'!$D$2)))),(AB53*(IF(O53="EUR",W53,(W53*'Master Data-C19RM'!$D$2)))))</f>
        <v>0</v>
      </c>
      <c r="AD53" s="444">
        <f>IF($O53="USD",_xlfn.IFNA(VLOOKUP($A53&amp;$E53&amp;$I53,PMsheet!$J:$K,2,0),0),(_xlfn.IFNA(VLOOKUP($A53&amp;$E53&amp;$I53,PMsheet!$J:$K,2,0),0)*'Master Data-C19RM'!$E$2))</f>
        <v>0</v>
      </c>
      <c r="AE53" s="441"/>
      <c r="AF53" s="441"/>
      <c r="AG53" s="441"/>
      <c r="AH53" s="441"/>
      <c r="AI53" s="512">
        <f t="shared" si="8"/>
        <v>0</v>
      </c>
      <c r="AJ53" s="513">
        <f>IF(SETUP!$E$7="USD",(AI53*(IF(O53="USD",AD53,(AD53/'Master Data-C19RM'!$E$2)))),(AI53*(IF(O53="EUR",AD53,(AD53*'Master Data-C19RM'!$E$2)))))</f>
        <v>0</v>
      </c>
      <c r="AK53" s="444">
        <f>IF($O53="USD",_xlfn.IFNA(VLOOKUP($A53&amp;$E53&amp;$I53,PMsheet!$J:$K,2,0),0),(_xlfn.IFNA(VLOOKUP($A53&amp;$E53&amp;$I53,PMsheet!$J:$K,2,0),0)*'Master Data-C19RM'!$F$2))</f>
        <v>0</v>
      </c>
      <c r="AL53" s="441"/>
      <c r="AM53" s="441"/>
      <c r="AN53" s="441"/>
      <c r="AO53" s="441"/>
      <c r="AP53" s="481">
        <f t="shared" si="3"/>
        <v>0</v>
      </c>
      <c r="AQ53" s="483">
        <f>IF(SETUP!$E$7="USD",(AP53*(IF(O53="USD",AK53,(AK53/'Master Data-C19RM'!$F$2)))),(AP53*(IF(O53="EUR",AK53,(AK53*'Master Data-C19RM'!$F$2)))))</f>
        <v>0</v>
      </c>
      <c r="AR53" s="444">
        <f>IF($O53="USD",_xlfn.IFNA(VLOOKUP($A53&amp;$E53&amp;$I53,PMsheet!$J:$K,2,0),0),(_xlfn.IFNA(VLOOKUP($A53&amp;$E53&amp;$I53,PMsheet!$J:$K,2,0),0)*'Master Data-C19RM'!$G$2))</f>
        <v>0</v>
      </c>
      <c r="AS53" s="441"/>
      <c r="AT53" s="441"/>
      <c r="AU53" s="441"/>
      <c r="AV53" s="441"/>
      <c r="AW53" s="481">
        <f t="shared" si="4"/>
        <v>0</v>
      </c>
      <c r="AX53" s="483">
        <f>IF(SETUP!$E$7="USD",(AW53*(IF(O53="USD",AR53,(AR53/'Master Data-C19RM'!$G$2)))),(AW53*(IF(O53="EUR",AR53,(AR53*'Master Data-C19RM'!$G$2)))))</f>
        <v>0</v>
      </c>
      <c r="AY53" s="851"/>
      <c r="AZ53" s="851"/>
      <c r="BA53" s="851"/>
      <c r="BB53" s="851"/>
      <c r="BC53" s="851"/>
      <c r="BD53" s="851"/>
      <c r="BE53" s="852"/>
      <c r="BF53" s="481">
        <f>'C19RM 2021-Lab &amp; Other HPS'!$U53+'C19RM 2021-Lab &amp; Other HPS'!$AB53+AI53+'C19RM 2021-Lab &amp; Other HPS'!$AP53+'C19RM 2021-Lab &amp; Other HPS'!$AW53+BD53</f>
        <v>0</v>
      </c>
      <c r="BG53" s="481">
        <f>'C19RM 2021-Lab &amp; Other HPS'!$V53+'C19RM 2021-Lab &amp; Other HPS'!$AC53+'C19RM 2021-Lab &amp; Other HPS'!$AQ53+'C19RM 2021-Lab &amp; Other HPS'!$AJ53+AX53+BE53</f>
        <v>0</v>
      </c>
      <c r="BH53" s="500" t="str" cm="1">
        <f t="array" ref="BH53">IF(A53&lt;&gt;"",IFERROR(INDEX(PMtbl[[WKst]:[Unit of measure*]],MATCH($A$8&amp;$A53&amp;$E53&amp;$I53,INDEX(PMtbl[Sec]&amp;PMtbl[Category]&amp;PMtbl[Each]&amp;PMtbl[Packaging],0,),0),11),""),"")</f>
        <v/>
      </c>
      <c r="BI53" s="819"/>
      <c r="BJ53" s="502" t="str">
        <f>IFERROR(INDEX(SETUP!$C$19:$G$121,MATCH((INDEX(PMtbl[[WKst]:[Unit of measure*]],MATCH($A53&amp;$E53&amp;$I53,INDEX(PMtbl[Category]&amp;PMtbl[Each]&amp;PMtbl[Packaging],0,),0),3)),SETUP!$D$19:$D$121,0),5),"")</f>
        <v/>
      </c>
      <c r="BK53" s="438"/>
      <c r="BL53" s="157"/>
      <c r="BO53" s="12">
        <f>IF(N53="",0,IF(SETUP!$E$7="USD",((IF(O53="USD",P53,(P53/'Master Data-C19RM'!$C$2)))),((IF(O53="EUR",P53,(P53*'Master Data-C19RM'!$C$2))))))</f>
        <v>0</v>
      </c>
      <c r="BP53" s="12">
        <f>IF(N53="",0,IF(SETUP!$E$7="USD",((IF(O53="USD",W53,(W53/'Master Data-C19RM'!$D$2)))),((IF(O53="EUR",W53,(W53*'Master Data-C19RM'!$D$2))))))</f>
        <v>0</v>
      </c>
      <c r="BQ53">
        <f>IF(N53="",0,IF(SETUP!$E$7="USD",((IF(O53="USD",AD53,(AD53/'Master Data-C19RM'!$E$2)))),((IF(O53="EUR",AD53,(AD53*'Master Data-C19RM'!$E$2))))))</f>
        <v>0</v>
      </c>
      <c r="BR53">
        <f>IF(N53="",0,IF(SETUP!$E$7="USD",((IF(O53="USD",AK53,(AK53/'Master Data-C19RM'!$F$2)))),((IF(O53="EUR",AK53,(AK53*'Master Data-C19RM'!$F$2))))))</f>
        <v>0</v>
      </c>
      <c r="BS53">
        <f>IF(N53="",0,IF(SETUP!$E$7="USD",((IF(O53="USD",AR53,(AR53/'Master Data-C19RM'!$G$2)))),((IF(O53="EUR",AR53,(AR53*'Master Data-C19RM'!$G$2))))))</f>
        <v>0</v>
      </c>
      <c r="BT53">
        <f>IF(N53="",0,IF(SETUP!$E$7="USD",((IF(O53="USD",AY53,(AY53/'Master Data-C19RM'!$H$2)))),((IF(O53="EUR",AY53,(AY53*'Master Data-C19RM'!$H$2))))))</f>
        <v>0</v>
      </c>
      <c r="BU53" s="12">
        <f t="shared" si="5"/>
        <v>0</v>
      </c>
      <c r="BV53" s="142">
        <f t="shared" si="6"/>
        <v>0</v>
      </c>
    </row>
    <row r="54" spans="1:74" ht="14.5" customHeight="1" x14ac:dyDescent="0.35">
      <c r="A54" s="1192"/>
      <c r="B54" s="1192"/>
      <c r="C54" s="1192"/>
      <c r="D54" s="1192"/>
      <c r="E54" s="1173"/>
      <c r="F54" s="1173"/>
      <c r="G54" s="1173"/>
      <c r="H54" s="1173"/>
      <c r="I54" s="1173"/>
      <c r="J54" s="1173"/>
      <c r="K54" s="1173"/>
      <c r="L54" s="493" t="str" cm="1">
        <f t="array" ref="L54">IF(A54&lt;&gt;"",IFERROR(INDEX(PMtbl[[WKst]:[Unit of measure*]],MATCH($A$8&amp;$A54&amp;$E54&amp;$I54,INDEX(PMtbl[Sec]&amp;PMtbl[Category]&amp;PMtbl[Each]&amp;PMtbl[Packaging],0,),0),14),""),"")</f>
        <v/>
      </c>
      <c r="M54" s="480" t="str">
        <f>IF(L54="","",INDEX(SETUP!$E$20:$E$122,(MATCH(INDEX(PMsheet!$D:$E,MATCH(A54,PMsheet!E:E,0),1),SETUP!$D$20:$D$122,0))))</f>
        <v/>
      </c>
      <c r="N54" s="494">
        <f>IF($O54="USD",_xlfn.IFNA(VLOOKUP(A54&amp;E54&amp;I54,PMsheet!J:K,2,0),0),(_xlfn.IFNA(VLOOKUP(A54&amp;E54&amp;I54,PMsheet!J:K,2,0),0)*'Master Data-C19RM'!$C$2))</f>
        <v>0</v>
      </c>
      <c r="O54" s="495" t="str">
        <f>IF(L54="", "",SETUP!$E$7)</f>
        <v/>
      </c>
      <c r="P54" s="445">
        <f>IF($O54="USD",_xlfn.IFNA(VLOOKUP($A54&amp;$E54&amp;$I54,PMsheet!$J:$K,2,0),0),(_xlfn.IFNA(VLOOKUP($A54&amp;$E54&amp;$I54,PMsheet!$J:$K,2,0),0)*'Master Data-C19RM'!$C$2))</f>
        <v>0</v>
      </c>
      <c r="Q54" s="440"/>
      <c r="R54" s="440"/>
      <c r="S54" s="440"/>
      <c r="T54" s="440"/>
      <c r="U54" s="482">
        <f t="shared" si="7"/>
        <v>0</v>
      </c>
      <c r="V54" s="484">
        <f>IF(SETUP!$E$7="USD",(U54*(IF(O54="USD",P54,(P54/'Master Data-C19RM'!$C$2)))),(U54*(IF(O54="EUR",P54,(P54*'Master Data-C19RM'!$C$2)))))</f>
        <v>0</v>
      </c>
      <c r="W54" s="445">
        <f>IF($O54="USD",_xlfn.IFNA(VLOOKUP($A54&amp;$E54&amp;$I54,PMsheet!$J:$K,2,0),0),(_xlfn.IFNA(VLOOKUP($A54&amp;$E54&amp;$I54,PMsheet!$J:$K,2,0),0)*'Master Data-C19RM'!$D$2))</f>
        <v>0</v>
      </c>
      <c r="X54" s="440"/>
      <c r="Y54" s="440"/>
      <c r="Z54" s="440"/>
      <c r="AA54" s="440"/>
      <c r="AB54" s="482">
        <f t="shared" si="1"/>
        <v>0</v>
      </c>
      <c r="AC54" s="484">
        <f>IF(SETUP!$E$7="USD",(AB54*(IF(O54="USD",W54,(W54/'Master Data-C19RM'!$D$2)))),(AB54*(IF(O54="EUR",W54,(W54*'Master Data-C19RM'!$D$2)))))</f>
        <v>0</v>
      </c>
      <c r="AD54" s="445">
        <f>IF($O54="USD",_xlfn.IFNA(VLOOKUP($A54&amp;$E54&amp;$I54,PMsheet!$J:$K,2,0),0),(_xlfn.IFNA(VLOOKUP($A54&amp;$E54&amp;$I54,PMsheet!$J:$K,2,0),0)*'Master Data-C19RM'!$E$2))</f>
        <v>0</v>
      </c>
      <c r="AE54" s="440"/>
      <c r="AF54" s="440"/>
      <c r="AG54" s="440"/>
      <c r="AH54" s="440"/>
      <c r="AI54" s="514">
        <f t="shared" si="8"/>
        <v>0</v>
      </c>
      <c r="AJ54" s="515">
        <f>IF(SETUP!$E$7="USD",(AI54*(IF(O54="USD",AD54,(AD54/'Master Data-C19RM'!$E$2)))),(AI54*(IF(O54="EUR",AD54,(AD54*'Master Data-C19RM'!$E$2)))))</f>
        <v>0</v>
      </c>
      <c r="AK54" s="445">
        <f>IF($O54="USD",_xlfn.IFNA(VLOOKUP($A54&amp;$E54&amp;$I54,PMsheet!$J:$K,2,0),0),(_xlfn.IFNA(VLOOKUP($A54&amp;$E54&amp;$I54,PMsheet!$J:$K,2,0),0)*'Master Data-C19RM'!$F$2))</f>
        <v>0</v>
      </c>
      <c r="AL54" s="440"/>
      <c r="AM54" s="440"/>
      <c r="AN54" s="440"/>
      <c r="AO54" s="440"/>
      <c r="AP54" s="482">
        <f t="shared" si="3"/>
        <v>0</v>
      </c>
      <c r="AQ54" s="484">
        <f>IF(SETUP!$E$7="USD",(AP54*(IF(O54="USD",AK54,(AK54/'Master Data-C19RM'!$F$2)))),(AP54*(IF(O54="EUR",AK54,(AK54*'Master Data-C19RM'!$F$2)))))</f>
        <v>0</v>
      </c>
      <c r="AR54" s="445">
        <f>IF($O54="USD",_xlfn.IFNA(VLOOKUP($A54&amp;$E54&amp;$I54,PMsheet!$J:$K,2,0),0),(_xlfn.IFNA(VLOOKUP($A54&amp;$E54&amp;$I54,PMsheet!$J:$K,2,0),0)*'Master Data-C19RM'!$G$2))</f>
        <v>0</v>
      </c>
      <c r="AS54" s="440"/>
      <c r="AT54" s="440"/>
      <c r="AU54" s="440"/>
      <c r="AV54" s="440"/>
      <c r="AW54" s="482">
        <f t="shared" si="4"/>
        <v>0</v>
      </c>
      <c r="AX54" s="484">
        <f>IF(SETUP!$E$7="USD",(AW54*(IF(O54="USD",AR54,(AR54/'Master Data-C19RM'!$G$2)))),(AW54*(IF(O54="EUR",AR54,(AR54*'Master Data-C19RM'!$G$2)))))</f>
        <v>0</v>
      </c>
      <c r="AY54" s="843"/>
      <c r="AZ54" s="843"/>
      <c r="BA54" s="843"/>
      <c r="BB54" s="843"/>
      <c r="BC54" s="843"/>
      <c r="BD54" s="843"/>
      <c r="BE54" s="844"/>
      <c r="BF54" s="482">
        <f>'C19RM 2021-Lab &amp; Other HPS'!$U54+'C19RM 2021-Lab &amp; Other HPS'!$AB54+AI54+'C19RM 2021-Lab &amp; Other HPS'!$AP54+'C19RM 2021-Lab &amp; Other HPS'!$AW54+BD54</f>
        <v>0</v>
      </c>
      <c r="BG54" s="482">
        <f>'C19RM 2021-Lab &amp; Other HPS'!$V54+'C19RM 2021-Lab &amp; Other HPS'!$AC54+'C19RM 2021-Lab &amp; Other HPS'!$AQ54+'C19RM 2021-Lab &amp; Other HPS'!$AJ54+AX54+BE54</f>
        <v>0</v>
      </c>
      <c r="BH54" s="499" t="str" cm="1">
        <f t="array" ref="BH54">IF(A54&lt;&gt;"",IFERROR(INDEX(PMtbl[[WKst]:[Unit of measure*]],MATCH($A$8&amp;$A54&amp;$E54&amp;$I54,INDEX(PMtbl[Sec]&amp;PMtbl[Category]&amp;PMtbl[Each]&amp;PMtbl[Packaging],0,),0),11),""),"")</f>
        <v/>
      </c>
      <c r="BI54" s="818"/>
      <c r="BJ54" s="503" t="str">
        <f>IFERROR(INDEX(SETUP!$C$19:$G$121,MATCH((INDEX(PMtbl[[WKst]:[Unit of measure*]],MATCH($A54&amp;$E54&amp;$I54,INDEX(PMtbl[Category]&amp;PMtbl[Each]&amp;PMtbl[Packaging],0,),0),3)),SETUP!$D$19:$D$121,0),5),"")</f>
        <v/>
      </c>
      <c r="BK54" s="439"/>
      <c r="BL54" s="158"/>
      <c r="BO54" s="12">
        <f>IF(N54="",0,IF(SETUP!$E$7="USD",((IF(O54="USD",P54,(P54/'Master Data-C19RM'!$C$2)))),((IF(O54="EUR",P54,(P54*'Master Data-C19RM'!$C$2))))))</f>
        <v>0</v>
      </c>
      <c r="BP54" s="12">
        <f>IF(N54="",0,IF(SETUP!$E$7="USD",((IF(O54="USD",W54,(W54/'Master Data-C19RM'!$D$2)))),((IF(O54="EUR",W54,(W54*'Master Data-C19RM'!$D$2))))))</f>
        <v>0</v>
      </c>
      <c r="BQ54">
        <f>IF(N54="",0,IF(SETUP!$E$7="USD",((IF(O54="USD",AD54,(AD54/'Master Data-C19RM'!$E$2)))),((IF(O54="EUR",AD54,(AD54*'Master Data-C19RM'!$E$2))))))</f>
        <v>0</v>
      </c>
      <c r="BR54">
        <f>IF(N54="",0,IF(SETUP!$E$7="USD",((IF(O54="USD",AK54,(AK54/'Master Data-C19RM'!$F$2)))),((IF(O54="EUR",AK54,(AK54*'Master Data-C19RM'!$F$2))))))</f>
        <v>0</v>
      </c>
      <c r="BS54">
        <f>IF(N54="",0,IF(SETUP!$E$7="USD",((IF(O54="USD",AR54,(AR54/'Master Data-C19RM'!$G$2)))),((IF(O54="EUR",AR54,(AR54*'Master Data-C19RM'!$G$2))))))</f>
        <v>0</v>
      </c>
      <c r="BT54">
        <f>IF(N54="",0,IF(SETUP!$E$7="USD",((IF(O54="USD",AY54,(AY54/'Master Data-C19RM'!$H$2)))),((IF(O54="EUR",AY54,(AY54*'Master Data-C19RM'!$H$2))))))</f>
        <v>0</v>
      </c>
      <c r="BU54" s="12">
        <f t="shared" si="5"/>
        <v>0</v>
      </c>
      <c r="BV54" s="142">
        <f t="shared" si="6"/>
        <v>0</v>
      </c>
    </row>
    <row r="55" spans="1:74" ht="14.5" customHeight="1" x14ac:dyDescent="0.35">
      <c r="A55" s="1200"/>
      <c r="B55" s="1201"/>
      <c r="C55" s="1201"/>
      <c r="D55" s="1202"/>
      <c r="E55" s="1216"/>
      <c r="F55" s="1217"/>
      <c r="G55" s="1217"/>
      <c r="H55" s="1218"/>
      <c r="I55" s="1216"/>
      <c r="J55" s="1217"/>
      <c r="K55" s="1218"/>
      <c r="L55" s="490" t="str" cm="1">
        <f t="array" ref="L55">IF(A55&lt;&gt;"",IFERROR(INDEX(PMtbl[[WKst]:[Unit of measure*]],MATCH($A$8&amp;$A55&amp;$E55&amp;$I55,INDEX(PMtbl[Sec]&amp;PMtbl[Category]&amp;PMtbl[Each]&amp;PMtbl[Packaging],0,),0),14),""),"")</f>
        <v/>
      </c>
      <c r="M55" s="479" t="str">
        <f>IF(L55="","",INDEX(SETUP!$E$20:$E$122,(MATCH(INDEX(PMsheet!$D:$E,MATCH(A55,PMsheet!E:E,0),1),SETUP!$D$20:$D$122,0))))</f>
        <v/>
      </c>
      <c r="N55" s="496">
        <f>IF($O55="USD",_xlfn.IFNA(VLOOKUP(A55&amp;E55&amp;I55,PMsheet!J:K,2,0),0),(_xlfn.IFNA(VLOOKUP(A55&amp;E55&amp;I55,PMsheet!J:K,2,0),0)*'Master Data-C19RM'!$C$2))</f>
        <v>0</v>
      </c>
      <c r="O55" s="492" t="str">
        <f>IF(L55="", "",SETUP!$E$7)</f>
        <v/>
      </c>
      <c r="P55" s="444">
        <f>IF($O55="USD",_xlfn.IFNA(VLOOKUP($A55&amp;$E55&amp;$I55,PMsheet!$J:$K,2,0),0),(_xlfn.IFNA(VLOOKUP($A55&amp;$E55&amp;$I55,PMsheet!$J:$K,2,0),0)*'Master Data-C19RM'!$C$2))</f>
        <v>0</v>
      </c>
      <c r="Q55" s="441"/>
      <c r="R55" s="441"/>
      <c r="S55" s="441"/>
      <c r="T55" s="441"/>
      <c r="U55" s="481">
        <f t="shared" si="7"/>
        <v>0</v>
      </c>
      <c r="V55" s="483">
        <f>IF(SETUP!$E$7="USD",(U55*(IF(O55="USD",P55,(P55/'Master Data-C19RM'!$C$2)))),(U55*(IF(O55="EUR",P55,(P55*'Master Data-C19RM'!$C$2)))))</f>
        <v>0</v>
      </c>
      <c r="W55" s="444">
        <f>IF($O55="USD",_xlfn.IFNA(VLOOKUP($A55&amp;$E55&amp;$I55,PMsheet!$J:$K,2,0),0),(_xlfn.IFNA(VLOOKUP($A55&amp;$E55&amp;$I55,PMsheet!$J:$K,2,0),0)*'Master Data-C19RM'!$D$2))</f>
        <v>0</v>
      </c>
      <c r="X55" s="441"/>
      <c r="Y55" s="441"/>
      <c r="Z55" s="441"/>
      <c r="AA55" s="441"/>
      <c r="AB55" s="481">
        <f t="shared" si="1"/>
        <v>0</v>
      </c>
      <c r="AC55" s="483">
        <f>IF(SETUP!$E$7="USD",(AB55*(IF(O55="USD",W55,(W55/'Master Data-C19RM'!$D$2)))),(AB55*(IF(O55="EUR",W55,(W55*'Master Data-C19RM'!$D$2)))))</f>
        <v>0</v>
      </c>
      <c r="AD55" s="444">
        <f>IF($O55="USD",_xlfn.IFNA(VLOOKUP($A55&amp;$E55&amp;$I55,PMsheet!$J:$K,2,0),0),(_xlfn.IFNA(VLOOKUP($A55&amp;$E55&amp;$I55,PMsheet!$J:$K,2,0),0)*'Master Data-C19RM'!$E$2))</f>
        <v>0</v>
      </c>
      <c r="AE55" s="441"/>
      <c r="AF55" s="441"/>
      <c r="AG55" s="441"/>
      <c r="AH55" s="441"/>
      <c r="AI55" s="512">
        <f t="shared" si="8"/>
        <v>0</v>
      </c>
      <c r="AJ55" s="513">
        <f>IF(SETUP!$E$7="USD",(AI55*(IF(O55="USD",AD55,(AD55/'Master Data-C19RM'!$E$2)))),(AI55*(IF(O55="EUR",AD55,(AD55*'Master Data-C19RM'!$E$2)))))</f>
        <v>0</v>
      </c>
      <c r="AK55" s="444">
        <f>IF($O55="USD",_xlfn.IFNA(VLOOKUP($A55&amp;$E55&amp;$I55,PMsheet!$J:$K,2,0),0),(_xlfn.IFNA(VLOOKUP($A55&amp;$E55&amp;$I55,PMsheet!$J:$K,2,0),0)*'Master Data-C19RM'!$F$2))</f>
        <v>0</v>
      </c>
      <c r="AL55" s="441"/>
      <c r="AM55" s="441"/>
      <c r="AN55" s="441"/>
      <c r="AO55" s="441"/>
      <c r="AP55" s="481">
        <f t="shared" si="3"/>
        <v>0</v>
      </c>
      <c r="AQ55" s="483">
        <f>IF(SETUP!$E$7="USD",(AP55*(IF(O55="USD",AK55,(AK55/'Master Data-C19RM'!$F$2)))),(AP55*(IF(O55="EUR",AK55,(AK55*'Master Data-C19RM'!$F$2)))))</f>
        <v>0</v>
      </c>
      <c r="AR55" s="444">
        <f>IF($O55="USD",_xlfn.IFNA(VLOOKUP($A55&amp;$E55&amp;$I55,PMsheet!$J:$K,2,0),0),(_xlfn.IFNA(VLOOKUP($A55&amp;$E55&amp;$I55,PMsheet!$J:$K,2,0),0)*'Master Data-C19RM'!$G$2))</f>
        <v>0</v>
      </c>
      <c r="AS55" s="441"/>
      <c r="AT55" s="441"/>
      <c r="AU55" s="441"/>
      <c r="AV55" s="441"/>
      <c r="AW55" s="481">
        <f t="shared" si="4"/>
        <v>0</v>
      </c>
      <c r="AX55" s="483">
        <f>IF(SETUP!$E$7="USD",(AW55*(IF(O55="USD",AR55,(AR55/'Master Data-C19RM'!$G$2)))),(AW55*(IF(O55="EUR",AR55,(AR55*'Master Data-C19RM'!$G$2)))))</f>
        <v>0</v>
      </c>
      <c r="AY55" s="851"/>
      <c r="AZ55" s="851"/>
      <c r="BA55" s="851"/>
      <c r="BB55" s="851"/>
      <c r="BC55" s="851"/>
      <c r="BD55" s="851"/>
      <c r="BE55" s="852"/>
      <c r="BF55" s="481">
        <f>'C19RM 2021-Lab &amp; Other HPS'!$U55+'C19RM 2021-Lab &amp; Other HPS'!$AB55+AI55+'C19RM 2021-Lab &amp; Other HPS'!$AP55+'C19RM 2021-Lab &amp; Other HPS'!$AW55+BD55</f>
        <v>0</v>
      </c>
      <c r="BG55" s="481">
        <f>'C19RM 2021-Lab &amp; Other HPS'!$V55+'C19RM 2021-Lab &amp; Other HPS'!$AC55+'C19RM 2021-Lab &amp; Other HPS'!$AQ55+'C19RM 2021-Lab &amp; Other HPS'!$AJ55+AX55+BE55</f>
        <v>0</v>
      </c>
      <c r="BH55" s="500" t="str" cm="1">
        <f t="array" ref="BH55">IF(A55&lt;&gt;"",IFERROR(INDEX(PMtbl[[WKst]:[Unit of measure*]],MATCH($A$8&amp;$A55&amp;$E55&amp;$I55,INDEX(PMtbl[Sec]&amp;PMtbl[Category]&amp;PMtbl[Each]&amp;PMtbl[Packaging],0,),0),11),""),"")</f>
        <v/>
      </c>
      <c r="BI55" s="819"/>
      <c r="BJ55" s="502" t="str">
        <f>IFERROR(INDEX(SETUP!$C$19:$G$121,MATCH((INDEX(PMtbl[[WKst]:[Unit of measure*]],MATCH($A55&amp;$E55&amp;$I55,INDEX(PMtbl[Category]&amp;PMtbl[Each]&amp;PMtbl[Packaging],0,),0),3)),SETUP!$D$19:$D$121,0),5),"")</f>
        <v/>
      </c>
      <c r="BK55" s="438"/>
      <c r="BL55" s="157"/>
      <c r="BO55" s="12">
        <f>IF(N55="",0,IF(SETUP!$E$7="USD",((IF(O55="USD",P55,(P55/'Master Data-C19RM'!$C$2)))),((IF(O55="EUR",P55,(P55*'Master Data-C19RM'!$C$2))))))</f>
        <v>0</v>
      </c>
      <c r="BP55" s="12">
        <f>IF(N55="",0,IF(SETUP!$E$7="USD",((IF(O55="USD",W55,(W55/'Master Data-C19RM'!$D$2)))),((IF(O55="EUR",W55,(W55*'Master Data-C19RM'!$D$2))))))</f>
        <v>0</v>
      </c>
      <c r="BQ55">
        <f>IF(N55="",0,IF(SETUP!$E$7="USD",((IF(O55="USD",AD55,(AD55/'Master Data-C19RM'!$E$2)))),((IF(O55="EUR",AD55,(AD55*'Master Data-C19RM'!$E$2))))))</f>
        <v>0</v>
      </c>
      <c r="BR55">
        <f>IF(N55="",0,IF(SETUP!$E$7="USD",((IF(O55="USD",AK55,(AK55/'Master Data-C19RM'!$F$2)))),((IF(O55="EUR",AK55,(AK55*'Master Data-C19RM'!$F$2))))))</f>
        <v>0</v>
      </c>
      <c r="BS55">
        <f>IF(N55="",0,IF(SETUP!$E$7="USD",((IF(O55="USD",AR55,(AR55/'Master Data-C19RM'!$G$2)))),((IF(O55="EUR",AR55,(AR55*'Master Data-C19RM'!$G$2))))))</f>
        <v>0</v>
      </c>
      <c r="BT55">
        <f>IF(N55="",0,IF(SETUP!$E$7="USD",((IF(O55="USD",AY55,(AY55/'Master Data-C19RM'!$H$2)))),((IF(O55="EUR",AY55,(AY55*'Master Data-C19RM'!$H$2))))))</f>
        <v>0</v>
      </c>
      <c r="BU55" s="12">
        <f t="shared" si="5"/>
        <v>0</v>
      </c>
      <c r="BV55" s="142">
        <f t="shared" si="6"/>
        <v>0</v>
      </c>
    </row>
    <row r="56" spans="1:74" ht="14.5" customHeight="1" x14ac:dyDescent="0.35">
      <c r="A56" s="1192"/>
      <c r="B56" s="1192"/>
      <c r="C56" s="1192"/>
      <c r="D56" s="1192"/>
      <c r="E56" s="1173"/>
      <c r="F56" s="1173"/>
      <c r="G56" s="1173"/>
      <c r="H56" s="1173"/>
      <c r="I56" s="1173"/>
      <c r="J56" s="1173"/>
      <c r="K56" s="1173"/>
      <c r="L56" s="493" t="str" cm="1">
        <f t="array" ref="L56">IF(A56&lt;&gt;"",IFERROR(INDEX(PMtbl[[WKst]:[Unit of measure*]],MATCH($A$8&amp;$A56&amp;$E56&amp;$I56,INDEX(PMtbl[Sec]&amp;PMtbl[Category]&amp;PMtbl[Each]&amp;PMtbl[Packaging],0,),0),14),""),"")</f>
        <v/>
      </c>
      <c r="M56" s="480" t="str">
        <f>IF(L56="","",INDEX(SETUP!$E$20:$E$122,(MATCH(INDEX(PMsheet!$D:$E,MATCH(A56,PMsheet!E:E,0),1),SETUP!$D$20:$D$122,0))))</f>
        <v/>
      </c>
      <c r="N56" s="494">
        <f>IF($O56="USD",_xlfn.IFNA(VLOOKUP(A56&amp;E56&amp;I56,PMsheet!J:K,2,0),0),(_xlfn.IFNA(VLOOKUP(A56&amp;E56&amp;I56,PMsheet!J:K,2,0),0)*'Master Data-C19RM'!$C$2))</f>
        <v>0</v>
      </c>
      <c r="O56" s="495" t="str">
        <f>IF(L56="", "",SETUP!$E$7)</f>
        <v/>
      </c>
      <c r="P56" s="445">
        <f>IF($O56="USD",_xlfn.IFNA(VLOOKUP($A56&amp;$E56&amp;$I56,PMsheet!$J:$K,2,0),0),(_xlfn.IFNA(VLOOKUP($A56&amp;$E56&amp;$I56,PMsheet!$J:$K,2,0),0)*'Master Data-C19RM'!$C$2))</f>
        <v>0</v>
      </c>
      <c r="Q56" s="440"/>
      <c r="R56" s="440"/>
      <c r="S56" s="440"/>
      <c r="T56" s="440"/>
      <c r="U56" s="482">
        <f t="shared" si="7"/>
        <v>0</v>
      </c>
      <c r="V56" s="484">
        <f>IF(SETUP!$E$7="USD",(U56*(IF(O56="USD",P56,(P56/'Master Data-C19RM'!$C$2)))),(U56*(IF(O56="EUR",P56,(P56*'Master Data-C19RM'!$C$2)))))</f>
        <v>0</v>
      </c>
      <c r="W56" s="445">
        <f>IF($O56="USD",_xlfn.IFNA(VLOOKUP($A56&amp;$E56&amp;$I56,PMsheet!$J:$K,2,0),0),(_xlfn.IFNA(VLOOKUP($A56&amp;$E56&amp;$I56,PMsheet!$J:$K,2,0),0)*'Master Data-C19RM'!$D$2))</f>
        <v>0</v>
      </c>
      <c r="X56" s="440"/>
      <c r="Y56" s="440"/>
      <c r="Z56" s="440"/>
      <c r="AA56" s="440"/>
      <c r="AB56" s="482">
        <f t="shared" si="1"/>
        <v>0</v>
      </c>
      <c r="AC56" s="484">
        <f>IF(SETUP!$E$7="USD",(AB56*(IF(O56="USD",W56,(W56/'Master Data-C19RM'!$D$2)))),(AB56*(IF(O56="EUR",W56,(W56*'Master Data-C19RM'!$D$2)))))</f>
        <v>0</v>
      </c>
      <c r="AD56" s="445">
        <f>IF($O56="USD",_xlfn.IFNA(VLOOKUP($A56&amp;$E56&amp;$I56,PMsheet!$J:$K,2,0),0),(_xlfn.IFNA(VLOOKUP($A56&amp;$E56&amp;$I56,PMsheet!$J:$K,2,0),0)*'Master Data-C19RM'!$E$2))</f>
        <v>0</v>
      </c>
      <c r="AE56" s="440"/>
      <c r="AF56" s="440"/>
      <c r="AG56" s="440"/>
      <c r="AH56" s="440"/>
      <c r="AI56" s="514">
        <f t="shared" si="8"/>
        <v>0</v>
      </c>
      <c r="AJ56" s="515">
        <f>IF(SETUP!$E$7="USD",(AI56*(IF(O56="USD",AD56,(AD56/'Master Data-C19RM'!$E$2)))),(AI56*(IF(O56="EUR",AD56,(AD56*'Master Data-C19RM'!$E$2)))))</f>
        <v>0</v>
      </c>
      <c r="AK56" s="445">
        <f>IF($O56="USD",_xlfn.IFNA(VLOOKUP($A56&amp;$E56&amp;$I56,PMsheet!$J:$K,2,0),0),(_xlfn.IFNA(VLOOKUP($A56&amp;$E56&amp;$I56,PMsheet!$J:$K,2,0),0)*'Master Data-C19RM'!$F$2))</f>
        <v>0</v>
      </c>
      <c r="AL56" s="440"/>
      <c r="AM56" s="440"/>
      <c r="AN56" s="440"/>
      <c r="AO56" s="440"/>
      <c r="AP56" s="482">
        <f t="shared" si="3"/>
        <v>0</v>
      </c>
      <c r="AQ56" s="484">
        <f>IF(SETUP!$E$7="USD",(AP56*(IF(O56="USD",AK56,(AK56/'Master Data-C19RM'!$F$2)))),(AP56*(IF(O56="EUR",AK56,(AK56*'Master Data-C19RM'!$F$2)))))</f>
        <v>0</v>
      </c>
      <c r="AR56" s="445">
        <f>IF($O56="USD",_xlfn.IFNA(VLOOKUP($A56&amp;$E56&amp;$I56,PMsheet!$J:$K,2,0),0),(_xlfn.IFNA(VLOOKUP($A56&amp;$E56&amp;$I56,PMsheet!$J:$K,2,0),0)*'Master Data-C19RM'!$G$2))</f>
        <v>0</v>
      </c>
      <c r="AS56" s="440"/>
      <c r="AT56" s="440"/>
      <c r="AU56" s="440"/>
      <c r="AV56" s="440"/>
      <c r="AW56" s="482">
        <f t="shared" si="4"/>
        <v>0</v>
      </c>
      <c r="AX56" s="484">
        <f>IF(SETUP!$E$7="USD",(AW56*(IF(O56="USD",AR56,(AR56/'Master Data-C19RM'!$G$2)))),(AW56*(IF(O56="EUR",AR56,(AR56*'Master Data-C19RM'!$G$2)))))</f>
        <v>0</v>
      </c>
      <c r="AY56" s="843"/>
      <c r="AZ56" s="843"/>
      <c r="BA56" s="843"/>
      <c r="BB56" s="843"/>
      <c r="BC56" s="843"/>
      <c r="BD56" s="843"/>
      <c r="BE56" s="844"/>
      <c r="BF56" s="482">
        <f>'C19RM 2021-Lab &amp; Other HPS'!$U56+'C19RM 2021-Lab &amp; Other HPS'!$AB56+AI56+'C19RM 2021-Lab &amp; Other HPS'!$AP56+'C19RM 2021-Lab &amp; Other HPS'!$AW56+BD56</f>
        <v>0</v>
      </c>
      <c r="BG56" s="482">
        <f>'C19RM 2021-Lab &amp; Other HPS'!$V56+'C19RM 2021-Lab &amp; Other HPS'!$AC56+'C19RM 2021-Lab &amp; Other HPS'!$AQ56+'C19RM 2021-Lab &amp; Other HPS'!$AJ56+AX56+BE56</f>
        <v>0</v>
      </c>
      <c r="BH56" s="499" t="str" cm="1">
        <f t="array" ref="BH56">IF(A56&lt;&gt;"",IFERROR(INDEX(PMtbl[[WKst]:[Unit of measure*]],MATCH($A$8&amp;$A56&amp;$E56&amp;$I56,INDEX(PMtbl[Sec]&amp;PMtbl[Category]&amp;PMtbl[Each]&amp;PMtbl[Packaging],0,),0),11),""),"")</f>
        <v/>
      </c>
      <c r="BI56" s="818"/>
      <c r="BJ56" s="503" t="str">
        <f>IFERROR(INDEX(SETUP!$C$19:$G$121,MATCH((INDEX(PMtbl[[WKst]:[Unit of measure*]],MATCH($A56&amp;$E56&amp;$I56,INDEX(PMtbl[Category]&amp;PMtbl[Each]&amp;PMtbl[Packaging],0,),0),3)),SETUP!$D$19:$D$121,0),5),"")</f>
        <v/>
      </c>
      <c r="BK56" s="439"/>
      <c r="BL56" s="158"/>
      <c r="BO56" s="12">
        <f>IF(N56="",0,IF(SETUP!$E$7="USD",((IF(O56="USD",P56,(P56/'Master Data-C19RM'!$C$2)))),((IF(O56="EUR",P56,(P56*'Master Data-C19RM'!$C$2))))))</f>
        <v>0</v>
      </c>
      <c r="BP56" s="12">
        <f>IF(N56="",0,IF(SETUP!$E$7="USD",((IF(O56="USD",W56,(W56/'Master Data-C19RM'!$D$2)))),((IF(O56="EUR",W56,(W56*'Master Data-C19RM'!$D$2))))))</f>
        <v>0</v>
      </c>
      <c r="BQ56">
        <f>IF(N56="",0,IF(SETUP!$E$7="USD",((IF(O56="USD",AD56,(AD56/'Master Data-C19RM'!$E$2)))),((IF(O56="EUR",AD56,(AD56*'Master Data-C19RM'!$E$2))))))</f>
        <v>0</v>
      </c>
      <c r="BR56">
        <f>IF(N56="",0,IF(SETUP!$E$7="USD",((IF(O56="USD",AK56,(AK56/'Master Data-C19RM'!$F$2)))),((IF(O56="EUR",AK56,(AK56*'Master Data-C19RM'!$F$2))))))</f>
        <v>0</v>
      </c>
      <c r="BS56">
        <f>IF(N56="",0,IF(SETUP!$E$7="USD",((IF(O56="USD",AR56,(AR56/'Master Data-C19RM'!$G$2)))),((IF(O56="EUR",AR56,(AR56*'Master Data-C19RM'!$G$2))))))</f>
        <v>0</v>
      </c>
      <c r="BT56">
        <f>IF(N56="",0,IF(SETUP!$E$7="USD",((IF(O56="USD",AY56,(AY56/'Master Data-C19RM'!$H$2)))),((IF(O56="EUR",AY56,(AY56*'Master Data-C19RM'!$H$2))))))</f>
        <v>0</v>
      </c>
      <c r="BU56" s="12">
        <f t="shared" si="5"/>
        <v>0</v>
      </c>
      <c r="BV56" s="142">
        <f t="shared" si="6"/>
        <v>0</v>
      </c>
    </row>
    <row r="57" spans="1:74" ht="14.5" customHeight="1" x14ac:dyDescent="0.35">
      <c r="A57" s="1200"/>
      <c r="B57" s="1201"/>
      <c r="C57" s="1201"/>
      <c r="D57" s="1202"/>
      <c r="E57" s="1216"/>
      <c r="F57" s="1217"/>
      <c r="G57" s="1217"/>
      <c r="H57" s="1218"/>
      <c r="I57" s="1216"/>
      <c r="J57" s="1217"/>
      <c r="K57" s="1218"/>
      <c r="L57" s="490" t="str" cm="1">
        <f t="array" ref="L57">IF(A57&lt;&gt;"",IFERROR(INDEX(PMtbl[[WKst]:[Unit of measure*]],MATCH($A$8&amp;$A57&amp;$E57&amp;$I57,INDEX(PMtbl[Sec]&amp;PMtbl[Category]&amp;PMtbl[Each]&amp;PMtbl[Packaging],0,),0),14),""),"")</f>
        <v/>
      </c>
      <c r="M57" s="479" t="str">
        <f>IF(L57="","",INDEX(SETUP!$E$20:$E$122,(MATCH(INDEX(PMsheet!$D:$E,MATCH(A57,PMsheet!E:E,0),1),SETUP!$D$20:$D$122,0))))</f>
        <v/>
      </c>
      <c r="N57" s="496">
        <f>IF($O57="USD",_xlfn.IFNA(VLOOKUP(A57&amp;E57&amp;I57,PMsheet!J:K,2,0),0),(_xlfn.IFNA(VLOOKUP(A57&amp;E57&amp;I57,PMsheet!J:K,2,0),0)*'Master Data-C19RM'!$C$2))</f>
        <v>0</v>
      </c>
      <c r="O57" s="492" t="str">
        <f>IF(L57="", "",SETUP!$E$7)</f>
        <v/>
      </c>
      <c r="P57" s="444">
        <f>IF($O57="USD",_xlfn.IFNA(VLOOKUP($A57&amp;$E57&amp;$I57,PMsheet!$J:$K,2,0),0),(_xlfn.IFNA(VLOOKUP($A57&amp;$E57&amp;$I57,PMsheet!$J:$K,2,0),0)*'Master Data-C19RM'!$C$2))</f>
        <v>0</v>
      </c>
      <c r="Q57" s="441"/>
      <c r="R57" s="441"/>
      <c r="S57" s="441"/>
      <c r="T57" s="441"/>
      <c r="U57" s="481">
        <f t="shared" si="7"/>
        <v>0</v>
      </c>
      <c r="V57" s="483">
        <f>IF(SETUP!$E$7="USD",(U57*(IF(O57="USD",P57,(P57/'Master Data-C19RM'!$C$2)))),(U57*(IF(O57="EUR",P57,(P57*'Master Data-C19RM'!$C$2)))))</f>
        <v>0</v>
      </c>
      <c r="W57" s="444">
        <f>IF($O57="USD",_xlfn.IFNA(VLOOKUP($A57&amp;$E57&amp;$I57,PMsheet!$J:$K,2,0),0),(_xlfn.IFNA(VLOOKUP($A57&amp;$E57&amp;$I57,PMsheet!$J:$K,2,0),0)*'Master Data-C19RM'!$D$2))</f>
        <v>0</v>
      </c>
      <c r="X57" s="441"/>
      <c r="Y57" s="441"/>
      <c r="Z57" s="441"/>
      <c r="AA57" s="441"/>
      <c r="AB57" s="481">
        <f t="shared" si="1"/>
        <v>0</v>
      </c>
      <c r="AC57" s="483">
        <f>IF(SETUP!$E$7="USD",(AB57*(IF(O57="USD",W57,(W57/'Master Data-C19RM'!$D$2)))),(AB57*(IF(O57="EUR",W57,(W57*'Master Data-C19RM'!$D$2)))))</f>
        <v>0</v>
      </c>
      <c r="AD57" s="444">
        <f>IF($O57="USD",_xlfn.IFNA(VLOOKUP($A57&amp;$E57&amp;$I57,PMsheet!$J:$K,2,0),0),(_xlfn.IFNA(VLOOKUP($A57&amp;$E57&amp;$I57,PMsheet!$J:$K,2,0),0)*'Master Data-C19RM'!$E$2))</f>
        <v>0</v>
      </c>
      <c r="AE57" s="441"/>
      <c r="AF57" s="441"/>
      <c r="AG57" s="441"/>
      <c r="AH57" s="441"/>
      <c r="AI57" s="512">
        <f t="shared" si="8"/>
        <v>0</v>
      </c>
      <c r="AJ57" s="513">
        <f>IF(SETUP!$E$7="USD",(AI57*(IF(O57="USD",AD57,(AD57/'Master Data-C19RM'!$E$2)))),(AI57*(IF(O57="EUR",AD57,(AD57*'Master Data-C19RM'!$E$2)))))</f>
        <v>0</v>
      </c>
      <c r="AK57" s="444">
        <f>IF($O57="USD",_xlfn.IFNA(VLOOKUP($A57&amp;$E57&amp;$I57,PMsheet!$J:$K,2,0),0),(_xlfn.IFNA(VLOOKUP($A57&amp;$E57&amp;$I57,PMsheet!$J:$K,2,0),0)*'Master Data-C19RM'!$F$2))</f>
        <v>0</v>
      </c>
      <c r="AL57" s="441"/>
      <c r="AM57" s="441"/>
      <c r="AN57" s="441"/>
      <c r="AO57" s="441"/>
      <c r="AP57" s="481">
        <f t="shared" si="3"/>
        <v>0</v>
      </c>
      <c r="AQ57" s="483">
        <f>IF(SETUP!$E$7="USD",(AP57*(IF(O57="USD",AK57,(AK57/'Master Data-C19RM'!$F$2)))),(AP57*(IF(O57="EUR",AK57,(AK57*'Master Data-C19RM'!$F$2)))))</f>
        <v>0</v>
      </c>
      <c r="AR57" s="444">
        <f>IF($O57="USD",_xlfn.IFNA(VLOOKUP($A57&amp;$E57&amp;$I57,PMsheet!$J:$K,2,0),0),(_xlfn.IFNA(VLOOKUP($A57&amp;$E57&amp;$I57,PMsheet!$J:$K,2,0),0)*'Master Data-C19RM'!$G$2))</f>
        <v>0</v>
      </c>
      <c r="AS57" s="441"/>
      <c r="AT57" s="441"/>
      <c r="AU57" s="441"/>
      <c r="AV57" s="441"/>
      <c r="AW57" s="481">
        <f t="shared" si="4"/>
        <v>0</v>
      </c>
      <c r="AX57" s="483">
        <f>IF(SETUP!$E$7="USD",(AW57*(IF(O57="USD",AR57,(AR57/'Master Data-C19RM'!$G$2)))),(AW57*(IF(O57="EUR",AR57,(AR57*'Master Data-C19RM'!$G$2)))))</f>
        <v>0</v>
      </c>
      <c r="AY57" s="851"/>
      <c r="AZ57" s="851"/>
      <c r="BA57" s="851"/>
      <c r="BB57" s="851"/>
      <c r="BC57" s="851"/>
      <c r="BD57" s="851"/>
      <c r="BE57" s="852"/>
      <c r="BF57" s="481">
        <f>'C19RM 2021-Lab &amp; Other HPS'!$U57+'C19RM 2021-Lab &amp; Other HPS'!$AB57+AI57+'C19RM 2021-Lab &amp; Other HPS'!$AP57+'C19RM 2021-Lab &amp; Other HPS'!$AW57+BD57</f>
        <v>0</v>
      </c>
      <c r="BG57" s="481">
        <f>'C19RM 2021-Lab &amp; Other HPS'!$V57+'C19RM 2021-Lab &amp; Other HPS'!$AC57+'C19RM 2021-Lab &amp; Other HPS'!$AQ57+'C19RM 2021-Lab &amp; Other HPS'!$AJ57+AX57+BE57</f>
        <v>0</v>
      </c>
      <c r="BH57" s="500" t="str" cm="1">
        <f t="array" ref="BH57">IF(A57&lt;&gt;"",IFERROR(INDEX(PMtbl[[WKst]:[Unit of measure*]],MATCH($A$8&amp;$A57&amp;$E57&amp;$I57,INDEX(PMtbl[Sec]&amp;PMtbl[Category]&amp;PMtbl[Each]&amp;PMtbl[Packaging],0,),0),11),""),"")</f>
        <v/>
      </c>
      <c r="BI57" s="819"/>
      <c r="BJ57" s="502" t="str">
        <f>IFERROR(INDEX(SETUP!$C$19:$G$121,MATCH((INDEX(PMtbl[[WKst]:[Unit of measure*]],MATCH($A57&amp;$E57&amp;$I57,INDEX(PMtbl[Category]&amp;PMtbl[Each]&amp;PMtbl[Packaging],0,),0),3)),SETUP!$D$19:$D$121,0),5),"")</f>
        <v/>
      </c>
      <c r="BK57" s="438"/>
      <c r="BL57" s="157"/>
      <c r="BO57" s="12">
        <f>IF(N57="",0,IF(SETUP!$E$7="USD",((IF(O57="USD",P57,(P57/'Master Data-C19RM'!$C$2)))),((IF(O57="EUR",P57,(P57*'Master Data-C19RM'!$C$2))))))</f>
        <v>0</v>
      </c>
      <c r="BP57" s="12">
        <f>IF(N57="",0,IF(SETUP!$E$7="USD",((IF(O57="USD",W57,(W57/'Master Data-C19RM'!$D$2)))),((IF(O57="EUR",W57,(W57*'Master Data-C19RM'!$D$2))))))</f>
        <v>0</v>
      </c>
      <c r="BQ57">
        <f>IF(N57="",0,IF(SETUP!$E$7="USD",((IF(O57="USD",AD57,(AD57/'Master Data-C19RM'!$E$2)))),((IF(O57="EUR",AD57,(AD57*'Master Data-C19RM'!$E$2))))))</f>
        <v>0</v>
      </c>
      <c r="BR57">
        <f>IF(N57="",0,IF(SETUP!$E$7="USD",((IF(O57="USD",AK57,(AK57/'Master Data-C19RM'!$F$2)))),((IF(O57="EUR",AK57,(AK57*'Master Data-C19RM'!$F$2))))))</f>
        <v>0</v>
      </c>
      <c r="BS57">
        <f>IF(N57="",0,IF(SETUP!$E$7="USD",((IF(O57="USD",AR57,(AR57/'Master Data-C19RM'!$G$2)))),((IF(O57="EUR",AR57,(AR57*'Master Data-C19RM'!$G$2))))))</f>
        <v>0</v>
      </c>
      <c r="BT57">
        <f>IF(N57="",0,IF(SETUP!$E$7="USD",((IF(O57="USD",AY57,(AY57/'Master Data-C19RM'!$H$2)))),((IF(O57="EUR",AY57,(AY57*'Master Data-C19RM'!$H$2))))))</f>
        <v>0</v>
      </c>
      <c r="BU57" s="12">
        <f t="shared" si="5"/>
        <v>0</v>
      </c>
      <c r="BV57" s="142">
        <f t="shared" si="6"/>
        <v>0</v>
      </c>
    </row>
    <row r="58" spans="1:74" ht="14.5" customHeight="1" x14ac:dyDescent="0.35">
      <c r="A58" s="1192"/>
      <c r="B58" s="1192"/>
      <c r="C58" s="1192"/>
      <c r="D58" s="1192"/>
      <c r="E58" s="1173"/>
      <c r="F58" s="1173"/>
      <c r="G58" s="1173"/>
      <c r="H58" s="1173"/>
      <c r="I58" s="1173"/>
      <c r="J58" s="1173"/>
      <c r="K58" s="1173"/>
      <c r="L58" s="493" t="str" cm="1">
        <f t="array" ref="L58">IF(A58&lt;&gt;"",IFERROR(INDEX(PMtbl[[WKst]:[Unit of measure*]],MATCH($A$8&amp;$A58&amp;$E58&amp;$I58,INDEX(PMtbl[Sec]&amp;PMtbl[Category]&amp;PMtbl[Each]&amp;PMtbl[Packaging],0,),0),14),""),"")</f>
        <v/>
      </c>
      <c r="M58" s="480" t="str">
        <f>IF(L58="","",INDEX(SETUP!$E$20:$E$122,(MATCH(INDEX(PMsheet!$D:$E,MATCH(A58,PMsheet!E:E,0),1),SETUP!$D$20:$D$122,0))))</f>
        <v/>
      </c>
      <c r="N58" s="494">
        <f>IF($O58="USD",_xlfn.IFNA(VLOOKUP(A58&amp;E58&amp;I58,PMsheet!J:K,2,0),0),(_xlfn.IFNA(VLOOKUP(A58&amp;E58&amp;I58,PMsheet!J:K,2,0),0)*'Master Data-C19RM'!$C$2))</f>
        <v>0</v>
      </c>
      <c r="O58" s="495" t="str">
        <f>IF(L58="", "",SETUP!$E$7)</f>
        <v/>
      </c>
      <c r="P58" s="445">
        <f>IF($O58="USD",_xlfn.IFNA(VLOOKUP($A58&amp;$E58&amp;$I58,PMsheet!$J:$K,2,0),0),(_xlfn.IFNA(VLOOKUP($A58&amp;$E58&amp;$I58,PMsheet!$J:$K,2,0),0)*'Master Data-C19RM'!$C$2))</f>
        <v>0</v>
      </c>
      <c r="Q58" s="440"/>
      <c r="R58" s="440"/>
      <c r="S58" s="440"/>
      <c r="T58" s="440"/>
      <c r="U58" s="482">
        <f t="shared" si="7"/>
        <v>0</v>
      </c>
      <c r="V58" s="484">
        <f>IF(SETUP!$E$7="USD",(U58*(IF(O58="USD",P58,(P58/'Master Data-C19RM'!$C$2)))),(U58*(IF(O58="EUR",P58,(P58*'Master Data-C19RM'!$C$2)))))</f>
        <v>0</v>
      </c>
      <c r="W58" s="445">
        <f>IF($O58="USD",_xlfn.IFNA(VLOOKUP($A58&amp;$E58&amp;$I58,PMsheet!$J:$K,2,0),0),(_xlfn.IFNA(VLOOKUP($A58&amp;$E58&amp;$I58,PMsheet!$J:$K,2,0),0)*'Master Data-C19RM'!$D$2))</f>
        <v>0</v>
      </c>
      <c r="X58" s="440"/>
      <c r="Y58" s="440"/>
      <c r="Z58" s="440"/>
      <c r="AA58" s="440"/>
      <c r="AB58" s="482">
        <f t="shared" si="1"/>
        <v>0</v>
      </c>
      <c r="AC58" s="484">
        <f>IF(SETUP!$E$7="USD",(AB58*(IF(O58="USD",W58,(W58/'Master Data-C19RM'!$D$2)))),(AB58*(IF(O58="EUR",W58,(W58*'Master Data-C19RM'!$D$2)))))</f>
        <v>0</v>
      </c>
      <c r="AD58" s="445">
        <f>IF($O58="USD",_xlfn.IFNA(VLOOKUP($A58&amp;$E58&amp;$I58,PMsheet!$J:$K,2,0),0),(_xlfn.IFNA(VLOOKUP($A58&amp;$E58&amp;$I58,PMsheet!$J:$K,2,0),0)*'Master Data-C19RM'!$E$2))</f>
        <v>0</v>
      </c>
      <c r="AE58" s="440"/>
      <c r="AF58" s="440"/>
      <c r="AG58" s="440"/>
      <c r="AH58" s="440"/>
      <c r="AI58" s="514">
        <f t="shared" si="8"/>
        <v>0</v>
      </c>
      <c r="AJ58" s="515">
        <f>IF(SETUP!$E$7="USD",(AI58*(IF(O58="USD",AD58,(AD58/'Master Data-C19RM'!$E$2)))),(AI58*(IF(O58="EUR",AD58,(AD58*'Master Data-C19RM'!$E$2)))))</f>
        <v>0</v>
      </c>
      <c r="AK58" s="445">
        <f>IF($O58="USD",_xlfn.IFNA(VLOOKUP($A58&amp;$E58&amp;$I58,PMsheet!$J:$K,2,0),0),(_xlfn.IFNA(VLOOKUP($A58&amp;$E58&amp;$I58,PMsheet!$J:$K,2,0),0)*'Master Data-C19RM'!$F$2))</f>
        <v>0</v>
      </c>
      <c r="AL58" s="440"/>
      <c r="AM58" s="440"/>
      <c r="AN58" s="440"/>
      <c r="AO58" s="440"/>
      <c r="AP58" s="482">
        <f t="shared" si="3"/>
        <v>0</v>
      </c>
      <c r="AQ58" s="484">
        <f>IF(SETUP!$E$7="USD",(AP58*(IF(O58="USD",AK58,(AK58/'Master Data-C19RM'!$F$2)))),(AP58*(IF(O58="EUR",AK58,(AK58*'Master Data-C19RM'!$F$2)))))</f>
        <v>0</v>
      </c>
      <c r="AR58" s="445">
        <f>IF($O58="USD",_xlfn.IFNA(VLOOKUP($A58&amp;$E58&amp;$I58,PMsheet!$J:$K,2,0),0),(_xlfn.IFNA(VLOOKUP($A58&amp;$E58&amp;$I58,PMsheet!$J:$K,2,0),0)*'Master Data-C19RM'!$G$2))</f>
        <v>0</v>
      </c>
      <c r="AS58" s="440"/>
      <c r="AT58" s="440"/>
      <c r="AU58" s="440"/>
      <c r="AV58" s="440"/>
      <c r="AW58" s="482">
        <f t="shared" si="4"/>
        <v>0</v>
      </c>
      <c r="AX58" s="484">
        <f>IF(SETUP!$E$7="USD",(AW58*(IF(O58="USD",AR58,(AR58/'Master Data-C19RM'!$G$2)))),(AW58*(IF(O58="EUR",AR58,(AR58*'Master Data-C19RM'!$G$2)))))</f>
        <v>0</v>
      </c>
      <c r="AY58" s="843"/>
      <c r="AZ58" s="843"/>
      <c r="BA58" s="843"/>
      <c r="BB58" s="843"/>
      <c r="BC58" s="843"/>
      <c r="BD58" s="843"/>
      <c r="BE58" s="844"/>
      <c r="BF58" s="482">
        <f>'C19RM 2021-Lab &amp; Other HPS'!$U58+'C19RM 2021-Lab &amp; Other HPS'!$AB58+AI58+'C19RM 2021-Lab &amp; Other HPS'!$AP58+'C19RM 2021-Lab &amp; Other HPS'!$AW58+BD58</f>
        <v>0</v>
      </c>
      <c r="BG58" s="482">
        <f>'C19RM 2021-Lab &amp; Other HPS'!$V58+'C19RM 2021-Lab &amp; Other HPS'!$AC58+'C19RM 2021-Lab &amp; Other HPS'!$AQ58+'C19RM 2021-Lab &amp; Other HPS'!$AJ58+AX58+BE58</f>
        <v>0</v>
      </c>
      <c r="BH58" s="499" t="str" cm="1">
        <f t="array" ref="BH58">IF(A58&lt;&gt;"",IFERROR(INDEX(PMtbl[[WKst]:[Unit of measure*]],MATCH($A$8&amp;$A58&amp;$E58&amp;$I58,INDEX(PMtbl[Sec]&amp;PMtbl[Category]&amp;PMtbl[Each]&amp;PMtbl[Packaging],0,),0),11),""),"")</f>
        <v/>
      </c>
      <c r="BI58" s="818"/>
      <c r="BJ58" s="503" t="str">
        <f>IFERROR(INDEX(SETUP!$C$19:$G$121,MATCH((INDEX(PMtbl[[WKst]:[Unit of measure*]],MATCH($A58&amp;$E58&amp;$I58,INDEX(PMtbl[Category]&amp;PMtbl[Each]&amp;PMtbl[Packaging],0,),0),3)),SETUP!$D$19:$D$121,0),5),"")</f>
        <v/>
      </c>
      <c r="BK58" s="439"/>
      <c r="BL58" s="158"/>
      <c r="BO58" s="12">
        <f>IF(N58="",0,IF(SETUP!$E$7="USD",((IF(O58="USD",P58,(P58/'Master Data-C19RM'!$C$2)))),((IF(O58="EUR",P58,(P58*'Master Data-C19RM'!$C$2))))))</f>
        <v>0</v>
      </c>
      <c r="BP58" s="12">
        <f>IF(N58="",0,IF(SETUP!$E$7="USD",((IF(O58="USD",W58,(W58/'Master Data-C19RM'!$D$2)))),((IF(O58="EUR",W58,(W58*'Master Data-C19RM'!$D$2))))))</f>
        <v>0</v>
      </c>
      <c r="BQ58">
        <f>IF(N58="",0,IF(SETUP!$E$7="USD",((IF(O58="USD",AD58,(AD58/'Master Data-C19RM'!$E$2)))),((IF(O58="EUR",AD58,(AD58*'Master Data-C19RM'!$E$2))))))</f>
        <v>0</v>
      </c>
      <c r="BR58">
        <f>IF(N58="",0,IF(SETUP!$E$7="USD",((IF(O58="USD",AK58,(AK58/'Master Data-C19RM'!$F$2)))),((IF(O58="EUR",AK58,(AK58*'Master Data-C19RM'!$F$2))))))</f>
        <v>0</v>
      </c>
      <c r="BS58">
        <f>IF(N58="",0,IF(SETUP!$E$7="USD",((IF(O58="USD",AR58,(AR58/'Master Data-C19RM'!$G$2)))),((IF(O58="EUR",AR58,(AR58*'Master Data-C19RM'!$G$2))))))</f>
        <v>0</v>
      </c>
      <c r="BT58">
        <f>IF(N58="",0,IF(SETUP!$E$7="USD",((IF(O58="USD",AY58,(AY58/'Master Data-C19RM'!$H$2)))),((IF(O58="EUR",AY58,(AY58*'Master Data-C19RM'!$H$2))))))</f>
        <v>0</v>
      </c>
      <c r="BU58" s="12">
        <f t="shared" si="5"/>
        <v>0</v>
      </c>
      <c r="BV58" s="142">
        <f t="shared" si="6"/>
        <v>0</v>
      </c>
    </row>
    <row r="59" spans="1:74" ht="14.5" customHeight="1" x14ac:dyDescent="0.35">
      <c r="A59" s="1200"/>
      <c r="B59" s="1201"/>
      <c r="C59" s="1201"/>
      <c r="D59" s="1202"/>
      <c r="E59" s="1216"/>
      <c r="F59" s="1217"/>
      <c r="G59" s="1217"/>
      <c r="H59" s="1218"/>
      <c r="I59" s="1216"/>
      <c r="J59" s="1217"/>
      <c r="K59" s="1218"/>
      <c r="L59" s="490" t="str" cm="1">
        <f t="array" ref="L59">IF(A59&lt;&gt;"",IFERROR(INDEX(PMtbl[[WKst]:[Unit of measure*]],MATCH($A$8&amp;$A59&amp;$E59&amp;$I59,INDEX(PMtbl[Sec]&amp;PMtbl[Category]&amp;PMtbl[Each]&amp;PMtbl[Packaging],0,),0),14),""),"")</f>
        <v/>
      </c>
      <c r="M59" s="479" t="str">
        <f>IF(L59="","",INDEX(SETUP!$E$20:$E$122,(MATCH(INDEX(PMsheet!$D:$E,MATCH(A59,PMsheet!E:E,0),1),SETUP!$D$20:$D$122,0))))</f>
        <v/>
      </c>
      <c r="N59" s="496">
        <f>IF($O59="USD",_xlfn.IFNA(VLOOKUP(A59&amp;E59&amp;I59,PMsheet!J:K,2,0),0),(_xlfn.IFNA(VLOOKUP(A59&amp;E59&amp;I59,PMsheet!J:K,2,0),0)*'Master Data-C19RM'!$C$2))</f>
        <v>0</v>
      </c>
      <c r="O59" s="492" t="str">
        <f>IF(L59="", "",SETUP!$E$7)</f>
        <v/>
      </c>
      <c r="P59" s="444">
        <f>IF($O59="USD",_xlfn.IFNA(VLOOKUP($A59&amp;$E59&amp;$I59,PMsheet!$J:$K,2,0),0),(_xlfn.IFNA(VLOOKUP($A59&amp;$E59&amp;$I59,PMsheet!$J:$K,2,0),0)*'Master Data-C19RM'!$C$2))</f>
        <v>0</v>
      </c>
      <c r="Q59" s="441"/>
      <c r="R59" s="441"/>
      <c r="S59" s="441"/>
      <c r="T59" s="441"/>
      <c r="U59" s="481">
        <f t="shared" si="7"/>
        <v>0</v>
      </c>
      <c r="V59" s="483">
        <f>IF(SETUP!$E$7="USD",(U59*(IF(O59="USD",P59,(P59/'Master Data-C19RM'!$C$2)))),(U59*(IF(O59="EUR",P59,(P59*'Master Data-C19RM'!$C$2)))))</f>
        <v>0</v>
      </c>
      <c r="W59" s="444">
        <f>IF($O59="USD",_xlfn.IFNA(VLOOKUP($A59&amp;$E59&amp;$I59,PMsheet!$J:$K,2,0),0),(_xlfn.IFNA(VLOOKUP($A59&amp;$E59&amp;$I59,PMsheet!$J:$K,2,0),0)*'Master Data-C19RM'!$D$2))</f>
        <v>0</v>
      </c>
      <c r="X59" s="441"/>
      <c r="Y59" s="441"/>
      <c r="Z59" s="441"/>
      <c r="AA59" s="441"/>
      <c r="AB59" s="481">
        <f t="shared" si="1"/>
        <v>0</v>
      </c>
      <c r="AC59" s="483">
        <f>IF(SETUP!$E$7="USD",(AB59*(IF(O59="USD",W59,(W59/'Master Data-C19RM'!$D$2)))),(AB59*(IF(O59="EUR",W59,(W59*'Master Data-C19RM'!$D$2)))))</f>
        <v>0</v>
      </c>
      <c r="AD59" s="444">
        <f>IF($O59="USD",_xlfn.IFNA(VLOOKUP($A59&amp;$E59&amp;$I59,PMsheet!$J:$K,2,0),0),(_xlfn.IFNA(VLOOKUP($A59&amp;$E59&amp;$I59,PMsheet!$J:$K,2,0),0)*'Master Data-C19RM'!$E$2))</f>
        <v>0</v>
      </c>
      <c r="AE59" s="441"/>
      <c r="AF59" s="441"/>
      <c r="AG59" s="441"/>
      <c r="AH59" s="441"/>
      <c r="AI59" s="512">
        <f t="shared" si="8"/>
        <v>0</v>
      </c>
      <c r="AJ59" s="513">
        <f>IF(SETUP!$E$7="USD",(AI59*(IF(O59="USD",AD59,(AD59/'Master Data-C19RM'!$E$2)))),(AI59*(IF(O59="EUR",AD59,(AD59*'Master Data-C19RM'!$E$2)))))</f>
        <v>0</v>
      </c>
      <c r="AK59" s="444">
        <f>IF($O59="USD",_xlfn.IFNA(VLOOKUP($A59&amp;$E59&amp;$I59,PMsheet!$J:$K,2,0),0),(_xlfn.IFNA(VLOOKUP($A59&amp;$E59&amp;$I59,PMsheet!$J:$K,2,0),0)*'Master Data-C19RM'!$F$2))</f>
        <v>0</v>
      </c>
      <c r="AL59" s="441"/>
      <c r="AM59" s="441"/>
      <c r="AN59" s="441"/>
      <c r="AO59" s="441"/>
      <c r="AP59" s="481">
        <f t="shared" si="3"/>
        <v>0</v>
      </c>
      <c r="AQ59" s="483">
        <f>IF(SETUP!$E$7="USD",(AP59*(IF(O59="USD",AK59,(AK59/'Master Data-C19RM'!$F$2)))),(AP59*(IF(O59="EUR",AK59,(AK59*'Master Data-C19RM'!$F$2)))))</f>
        <v>0</v>
      </c>
      <c r="AR59" s="444">
        <f>IF($O59="USD",_xlfn.IFNA(VLOOKUP($A59&amp;$E59&amp;$I59,PMsheet!$J:$K,2,0),0),(_xlfn.IFNA(VLOOKUP($A59&amp;$E59&amp;$I59,PMsheet!$J:$K,2,0),0)*'Master Data-C19RM'!$G$2))</f>
        <v>0</v>
      </c>
      <c r="AS59" s="441"/>
      <c r="AT59" s="441"/>
      <c r="AU59" s="441"/>
      <c r="AV59" s="441"/>
      <c r="AW59" s="481">
        <f t="shared" si="4"/>
        <v>0</v>
      </c>
      <c r="AX59" s="483">
        <f>IF(SETUP!$E$7="USD",(AW59*(IF(O59="USD",AR59,(AR59/'Master Data-C19RM'!$G$2)))),(AW59*(IF(O59="EUR",AR59,(AR59*'Master Data-C19RM'!$G$2)))))</f>
        <v>0</v>
      </c>
      <c r="AY59" s="851"/>
      <c r="AZ59" s="851"/>
      <c r="BA59" s="851"/>
      <c r="BB59" s="851"/>
      <c r="BC59" s="851"/>
      <c r="BD59" s="851"/>
      <c r="BE59" s="852"/>
      <c r="BF59" s="481">
        <f>'C19RM 2021-Lab &amp; Other HPS'!$U59+'C19RM 2021-Lab &amp; Other HPS'!$AB59+AI59+'C19RM 2021-Lab &amp; Other HPS'!$AP59+'C19RM 2021-Lab &amp; Other HPS'!$AW59+BD59</f>
        <v>0</v>
      </c>
      <c r="BG59" s="481">
        <f>'C19RM 2021-Lab &amp; Other HPS'!$V59+'C19RM 2021-Lab &amp; Other HPS'!$AC59+'C19RM 2021-Lab &amp; Other HPS'!$AQ59+'C19RM 2021-Lab &amp; Other HPS'!$AJ59+AX59+BE59</f>
        <v>0</v>
      </c>
      <c r="BH59" s="500" t="str" cm="1">
        <f t="array" ref="BH59">IF(A59&lt;&gt;"",IFERROR(INDEX(PMtbl[[WKst]:[Unit of measure*]],MATCH($A$8&amp;$A59&amp;$E59&amp;$I59,INDEX(PMtbl[Sec]&amp;PMtbl[Category]&amp;PMtbl[Each]&amp;PMtbl[Packaging],0,),0),11),""),"")</f>
        <v/>
      </c>
      <c r="BI59" s="819"/>
      <c r="BJ59" s="502" t="str">
        <f>IFERROR(INDEX(SETUP!$C$19:$G$121,MATCH((INDEX(PMtbl[[WKst]:[Unit of measure*]],MATCH($A59&amp;$E59&amp;$I59,INDEX(PMtbl[Category]&amp;PMtbl[Each]&amp;PMtbl[Packaging],0,),0),3)),SETUP!$D$19:$D$121,0),5),"")</f>
        <v/>
      </c>
      <c r="BK59" s="438"/>
      <c r="BL59" s="157"/>
      <c r="BO59" s="12">
        <f>IF(N59="",0,IF(SETUP!$E$7="USD",((IF(O59="USD",P59,(P59/'Master Data-C19RM'!$C$2)))),((IF(O59="EUR",P59,(P59*'Master Data-C19RM'!$C$2))))))</f>
        <v>0</v>
      </c>
      <c r="BP59" s="12">
        <f>IF(N59="",0,IF(SETUP!$E$7="USD",((IF(O59="USD",W59,(W59/'Master Data-C19RM'!$D$2)))),((IF(O59="EUR",W59,(W59*'Master Data-C19RM'!$D$2))))))</f>
        <v>0</v>
      </c>
      <c r="BQ59">
        <f>IF(N59="",0,IF(SETUP!$E$7="USD",((IF(O59="USD",AD59,(AD59/'Master Data-C19RM'!$E$2)))),((IF(O59="EUR",AD59,(AD59*'Master Data-C19RM'!$E$2))))))</f>
        <v>0</v>
      </c>
      <c r="BR59">
        <f>IF(N59="",0,IF(SETUP!$E$7="USD",((IF(O59="USD",AK59,(AK59/'Master Data-C19RM'!$F$2)))),((IF(O59="EUR",AK59,(AK59*'Master Data-C19RM'!$F$2))))))</f>
        <v>0</v>
      </c>
      <c r="BS59">
        <f>IF(N59="",0,IF(SETUP!$E$7="USD",((IF(O59="USD",AR59,(AR59/'Master Data-C19RM'!$G$2)))),((IF(O59="EUR",AR59,(AR59*'Master Data-C19RM'!$G$2))))))</f>
        <v>0</v>
      </c>
      <c r="BT59">
        <f>IF(N59="",0,IF(SETUP!$E$7="USD",((IF(O59="USD",AY59,(AY59/'Master Data-C19RM'!$H$2)))),((IF(O59="EUR",AY59,(AY59*'Master Data-C19RM'!$H$2))))))</f>
        <v>0</v>
      </c>
      <c r="BU59" s="12">
        <f t="shared" si="5"/>
        <v>0</v>
      </c>
      <c r="BV59" s="142">
        <f t="shared" si="6"/>
        <v>0</v>
      </c>
    </row>
    <row r="60" spans="1:74" ht="14.5" customHeight="1" x14ac:dyDescent="0.35">
      <c r="A60" s="1192"/>
      <c r="B60" s="1192"/>
      <c r="C60" s="1192"/>
      <c r="D60" s="1192"/>
      <c r="E60" s="1173"/>
      <c r="F60" s="1173"/>
      <c r="G60" s="1173"/>
      <c r="H60" s="1173"/>
      <c r="I60" s="1173"/>
      <c r="J60" s="1173"/>
      <c r="K60" s="1173"/>
      <c r="L60" s="493" t="str" cm="1">
        <f t="array" ref="L60">IF(A60&lt;&gt;"",IFERROR(INDEX(PMtbl[[WKst]:[Unit of measure*]],MATCH($A$8&amp;$A60&amp;$E60&amp;$I60,INDEX(PMtbl[Sec]&amp;PMtbl[Category]&amp;PMtbl[Each]&amp;PMtbl[Packaging],0,),0),14),""),"")</f>
        <v/>
      </c>
      <c r="M60" s="480" t="str">
        <f>IF(L60="","",INDEX(SETUP!$E$20:$E$122,(MATCH(INDEX(PMsheet!$D:$E,MATCH(A60,PMsheet!E:E,0),1),SETUP!$D$20:$D$122,0))))</f>
        <v/>
      </c>
      <c r="N60" s="494">
        <f>IF($O60="USD",_xlfn.IFNA(VLOOKUP(A60&amp;E60&amp;I60,PMsheet!J:K,2,0),0),(_xlfn.IFNA(VLOOKUP(A60&amp;E60&amp;I60,PMsheet!J:K,2,0),0)*'Master Data-C19RM'!$C$2))</f>
        <v>0</v>
      </c>
      <c r="O60" s="495" t="str">
        <f>IF(L60="", "",SETUP!$E$7)</f>
        <v/>
      </c>
      <c r="P60" s="445">
        <f>IF($O60="USD",_xlfn.IFNA(VLOOKUP($A60&amp;$E60&amp;$I60,PMsheet!$J:$K,2,0),0),(_xlfn.IFNA(VLOOKUP($A60&amp;$E60&amp;$I60,PMsheet!$J:$K,2,0),0)*'Master Data-C19RM'!$C$2))</f>
        <v>0</v>
      </c>
      <c r="Q60" s="440"/>
      <c r="R60" s="440"/>
      <c r="S60" s="440"/>
      <c r="T60" s="440"/>
      <c r="U60" s="482">
        <f t="shared" si="7"/>
        <v>0</v>
      </c>
      <c r="V60" s="484">
        <f>IF(SETUP!$E$7="USD",(U60*(IF(O60="USD",P60,(P60/'Master Data-C19RM'!$C$2)))),(U60*(IF(O60="EUR",P60,(P60*'Master Data-C19RM'!$C$2)))))</f>
        <v>0</v>
      </c>
      <c r="W60" s="445">
        <f>IF($O60="USD",_xlfn.IFNA(VLOOKUP($A60&amp;$E60&amp;$I60,PMsheet!$J:$K,2,0),0),(_xlfn.IFNA(VLOOKUP($A60&amp;$E60&amp;$I60,PMsheet!$J:$K,2,0),0)*'Master Data-C19RM'!$D$2))</f>
        <v>0</v>
      </c>
      <c r="X60" s="440"/>
      <c r="Y60" s="440"/>
      <c r="Z60" s="440"/>
      <c r="AA60" s="440"/>
      <c r="AB60" s="482">
        <f t="shared" si="1"/>
        <v>0</v>
      </c>
      <c r="AC60" s="484">
        <f>IF(SETUP!$E$7="USD",(AB60*(IF(O60="USD",W60,(W60/'Master Data-C19RM'!$D$2)))),(AB60*(IF(O60="EUR",W60,(W60*'Master Data-C19RM'!$D$2)))))</f>
        <v>0</v>
      </c>
      <c r="AD60" s="445">
        <f>IF($O60="USD",_xlfn.IFNA(VLOOKUP($A60&amp;$E60&amp;$I60,PMsheet!$J:$K,2,0),0),(_xlfn.IFNA(VLOOKUP($A60&amp;$E60&amp;$I60,PMsheet!$J:$K,2,0),0)*'Master Data-C19RM'!$E$2))</f>
        <v>0</v>
      </c>
      <c r="AE60" s="440"/>
      <c r="AF60" s="440"/>
      <c r="AG60" s="440"/>
      <c r="AH60" s="440"/>
      <c r="AI60" s="514">
        <f t="shared" si="8"/>
        <v>0</v>
      </c>
      <c r="AJ60" s="515">
        <f>IF(SETUP!$E$7="USD",(AI60*(IF(O60="USD",AD60,(AD60/'Master Data-C19RM'!$E$2)))),(AI60*(IF(O60="EUR",AD60,(AD60*'Master Data-C19RM'!$E$2)))))</f>
        <v>0</v>
      </c>
      <c r="AK60" s="445">
        <f>IF($O60="USD",_xlfn.IFNA(VLOOKUP($A60&amp;$E60&amp;$I60,PMsheet!$J:$K,2,0),0),(_xlfn.IFNA(VLOOKUP($A60&amp;$E60&amp;$I60,PMsheet!$J:$K,2,0),0)*'Master Data-C19RM'!$F$2))</f>
        <v>0</v>
      </c>
      <c r="AL60" s="440"/>
      <c r="AM60" s="440"/>
      <c r="AN60" s="440"/>
      <c r="AO60" s="440"/>
      <c r="AP60" s="482">
        <f t="shared" si="3"/>
        <v>0</v>
      </c>
      <c r="AQ60" s="484">
        <f>IF(SETUP!$E$7="USD",(AP60*(IF(O60="USD",AK60,(AK60/'Master Data-C19RM'!$F$2)))),(AP60*(IF(O60="EUR",AK60,(AK60*'Master Data-C19RM'!$F$2)))))</f>
        <v>0</v>
      </c>
      <c r="AR60" s="445">
        <f>IF($O60="USD",_xlfn.IFNA(VLOOKUP($A60&amp;$E60&amp;$I60,PMsheet!$J:$K,2,0),0),(_xlfn.IFNA(VLOOKUP($A60&amp;$E60&amp;$I60,PMsheet!$J:$K,2,0),0)*'Master Data-C19RM'!$G$2))</f>
        <v>0</v>
      </c>
      <c r="AS60" s="440"/>
      <c r="AT60" s="440"/>
      <c r="AU60" s="440"/>
      <c r="AV60" s="440"/>
      <c r="AW60" s="482">
        <f t="shared" si="4"/>
        <v>0</v>
      </c>
      <c r="AX60" s="484">
        <f>IF(SETUP!$E$7="USD",(AW60*(IF(O60="USD",AR60,(AR60/'Master Data-C19RM'!$G$2)))),(AW60*(IF(O60="EUR",AR60,(AR60*'Master Data-C19RM'!$G$2)))))</f>
        <v>0</v>
      </c>
      <c r="AY60" s="843"/>
      <c r="AZ60" s="843"/>
      <c r="BA60" s="843"/>
      <c r="BB60" s="843"/>
      <c r="BC60" s="843"/>
      <c r="BD60" s="843"/>
      <c r="BE60" s="844"/>
      <c r="BF60" s="482">
        <f>'C19RM 2021-Lab &amp; Other HPS'!$U60+'C19RM 2021-Lab &amp; Other HPS'!$AB60+AI60+'C19RM 2021-Lab &amp; Other HPS'!$AP60+'C19RM 2021-Lab &amp; Other HPS'!$AW60+BD60</f>
        <v>0</v>
      </c>
      <c r="BG60" s="482">
        <f>'C19RM 2021-Lab &amp; Other HPS'!$V60+'C19RM 2021-Lab &amp; Other HPS'!$AC60+'C19RM 2021-Lab &amp; Other HPS'!$AQ60+'C19RM 2021-Lab &amp; Other HPS'!$AJ60+AX60+BE60</f>
        <v>0</v>
      </c>
      <c r="BH60" s="499" t="str" cm="1">
        <f t="array" ref="BH60">IF(A60&lt;&gt;"",IFERROR(INDEX(PMtbl[[WKst]:[Unit of measure*]],MATCH($A$8&amp;$A60&amp;$E60&amp;$I60,INDEX(PMtbl[Sec]&amp;PMtbl[Category]&amp;PMtbl[Each]&amp;PMtbl[Packaging],0,),0),11),""),"")</f>
        <v/>
      </c>
      <c r="BI60" s="818"/>
      <c r="BJ60" s="503" t="str">
        <f>IFERROR(INDEX(SETUP!$C$19:$G$121,MATCH((INDEX(PMtbl[[WKst]:[Unit of measure*]],MATCH($A60&amp;$E60&amp;$I60,INDEX(PMtbl[Category]&amp;PMtbl[Each]&amp;PMtbl[Packaging],0,),0),3)),SETUP!$D$19:$D$121,0),5),"")</f>
        <v/>
      </c>
      <c r="BK60" s="439"/>
      <c r="BL60" s="158"/>
      <c r="BO60" s="12">
        <f>IF(N60="",0,IF(SETUP!$E$7="USD",((IF(O60="USD",P60,(P60/'Master Data-C19RM'!$C$2)))),((IF(O60="EUR",P60,(P60*'Master Data-C19RM'!$C$2))))))</f>
        <v>0</v>
      </c>
      <c r="BP60" s="12">
        <f>IF(N60="",0,IF(SETUP!$E$7="USD",((IF(O60="USD",W60,(W60/'Master Data-C19RM'!$D$2)))),((IF(O60="EUR",W60,(W60*'Master Data-C19RM'!$D$2))))))</f>
        <v>0</v>
      </c>
      <c r="BQ60">
        <f>IF(N60="",0,IF(SETUP!$E$7="USD",((IF(O60="USD",AD60,(AD60/'Master Data-C19RM'!$E$2)))),((IF(O60="EUR",AD60,(AD60*'Master Data-C19RM'!$E$2))))))</f>
        <v>0</v>
      </c>
      <c r="BR60">
        <f>IF(N60="",0,IF(SETUP!$E$7="USD",((IF(O60="USD",AK60,(AK60/'Master Data-C19RM'!$F$2)))),((IF(O60="EUR",AK60,(AK60*'Master Data-C19RM'!$F$2))))))</f>
        <v>0</v>
      </c>
      <c r="BS60">
        <f>IF(N60="",0,IF(SETUP!$E$7="USD",((IF(O60="USD",AR60,(AR60/'Master Data-C19RM'!$G$2)))),((IF(O60="EUR",AR60,(AR60*'Master Data-C19RM'!$G$2))))))</f>
        <v>0</v>
      </c>
      <c r="BT60">
        <f>IF(N60="",0,IF(SETUP!$E$7="USD",((IF(O60="USD",AY60,(AY60/'Master Data-C19RM'!$H$2)))),((IF(O60="EUR",AY60,(AY60*'Master Data-C19RM'!$H$2))))))</f>
        <v>0</v>
      </c>
      <c r="BU60" s="12">
        <f t="shared" si="5"/>
        <v>0</v>
      </c>
      <c r="BV60" s="142">
        <f t="shared" si="6"/>
        <v>0</v>
      </c>
    </row>
    <row r="61" spans="1:74" ht="14.5" customHeight="1" x14ac:dyDescent="0.35">
      <c r="A61" s="1200"/>
      <c r="B61" s="1201"/>
      <c r="C61" s="1201"/>
      <c r="D61" s="1202"/>
      <c r="E61" s="1216"/>
      <c r="F61" s="1217"/>
      <c r="G61" s="1217"/>
      <c r="H61" s="1218"/>
      <c r="I61" s="1216"/>
      <c r="J61" s="1217"/>
      <c r="K61" s="1218"/>
      <c r="L61" s="490" t="str" cm="1">
        <f t="array" ref="L61">IF(A61&lt;&gt;"",IFERROR(INDEX(PMtbl[[WKst]:[Unit of measure*]],MATCH($A$8&amp;$A61&amp;$E61&amp;$I61,INDEX(PMtbl[Sec]&amp;PMtbl[Category]&amp;PMtbl[Each]&amp;PMtbl[Packaging],0,),0),14),""),"")</f>
        <v/>
      </c>
      <c r="M61" s="479" t="str">
        <f>IF(L61="","",INDEX(SETUP!$E$20:$E$122,(MATCH(INDEX(PMsheet!$D:$E,MATCH(A61,PMsheet!E:E,0),1),SETUP!$D$20:$D$122,0))))</f>
        <v/>
      </c>
      <c r="N61" s="496">
        <f>IF($O61="USD",_xlfn.IFNA(VLOOKUP(A61&amp;E61&amp;I61,PMsheet!J:K,2,0),0),(_xlfn.IFNA(VLOOKUP(A61&amp;E61&amp;I61,PMsheet!J:K,2,0),0)*'Master Data-C19RM'!$C$2))</f>
        <v>0</v>
      </c>
      <c r="O61" s="492" t="str">
        <f>IF(L61="", "",SETUP!$E$7)</f>
        <v/>
      </c>
      <c r="P61" s="444">
        <f>IF($O61="USD",_xlfn.IFNA(VLOOKUP($A61&amp;$E61&amp;$I61,PMsheet!$J:$K,2,0),0),(_xlfn.IFNA(VLOOKUP($A61&amp;$E61&amp;$I61,PMsheet!$J:$K,2,0),0)*'Master Data-C19RM'!$C$2))</f>
        <v>0</v>
      </c>
      <c r="Q61" s="441"/>
      <c r="R61" s="441"/>
      <c r="S61" s="441"/>
      <c r="T61" s="441"/>
      <c r="U61" s="481">
        <f t="shared" si="7"/>
        <v>0</v>
      </c>
      <c r="V61" s="483">
        <f>IF(SETUP!$E$7="USD",(U61*(IF(O61="USD",P61,(P61/'Master Data-C19RM'!$C$2)))),(U61*(IF(O61="EUR",P61,(P61*'Master Data-C19RM'!$C$2)))))</f>
        <v>0</v>
      </c>
      <c r="W61" s="444">
        <f>IF($O61="USD",_xlfn.IFNA(VLOOKUP($A61&amp;$E61&amp;$I61,PMsheet!$J:$K,2,0),0),(_xlfn.IFNA(VLOOKUP($A61&amp;$E61&amp;$I61,PMsheet!$J:$K,2,0),0)*'Master Data-C19RM'!$D$2))</f>
        <v>0</v>
      </c>
      <c r="X61" s="441"/>
      <c r="Y61" s="441"/>
      <c r="Z61" s="441"/>
      <c r="AA61" s="441"/>
      <c r="AB61" s="481">
        <f t="shared" si="1"/>
        <v>0</v>
      </c>
      <c r="AC61" s="483">
        <f>IF(SETUP!$E$7="USD",(AB61*(IF(O61="USD",W61,(W61/'Master Data-C19RM'!$D$2)))),(AB61*(IF(O61="EUR",W61,(W61*'Master Data-C19RM'!$D$2)))))</f>
        <v>0</v>
      </c>
      <c r="AD61" s="444">
        <f>IF($O61="USD",_xlfn.IFNA(VLOOKUP($A61&amp;$E61&amp;$I61,PMsheet!$J:$K,2,0),0),(_xlfn.IFNA(VLOOKUP($A61&amp;$E61&amp;$I61,PMsheet!$J:$K,2,0),0)*'Master Data-C19RM'!$E$2))</f>
        <v>0</v>
      </c>
      <c r="AE61" s="441"/>
      <c r="AF61" s="441"/>
      <c r="AG61" s="441"/>
      <c r="AH61" s="441"/>
      <c r="AI61" s="512">
        <f t="shared" si="8"/>
        <v>0</v>
      </c>
      <c r="AJ61" s="513">
        <f>IF(SETUP!$E$7="USD",(AI61*(IF(O61="USD",AD61,(AD61/'Master Data-C19RM'!$E$2)))),(AI61*(IF(O61="EUR",AD61,(AD61*'Master Data-C19RM'!$E$2)))))</f>
        <v>0</v>
      </c>
      <c r="AK61" s="444">
        <f>IF($O61="USD",_xlfn.IFNA(VLOOKUP($A61&amp;$E61&amp;$I61,PMsheet!$J:$K,2,0),0),(_xlfn.IFNA(VLOOKUP($A61&amp;$E61&amp;$I61,PMsheet!$J:$K,2,0),0)*'Master Data-C19RM'!$F$2))</f>
        <v>0</v>
      </c>
      <c r="AL61" s="441"/>
      <c r="AM61" s="441"/>
      <c r="AN61" s="441"/>
      <c r="AO61" s="441"/>
      <c r="AP61" s="481">
        <f t="shared" si="3"/>
        <v>0</v>
      </c>
      <c r="AQ61" s="483">
        <f>IF(SETUP!$E$7="USD",(AP61*(IF(O61="USD",AK61,(AK61/'Master Data-C19RM'!$F$2)))),(AP61*(IF(O61="EUR",AK61,(AK61*'Master Data-C19RM'!$F$2)))))</f>
        <v>0</v>
      </c>
      <c r="AR61" s="444">
        <f>IF($O61="USD",_xlfn.IFNA(VLOOKUP($A61&amp;$E61&amp;$I61,PMsheet!$J:$K,2,0),0),(_xlfn.IFNA(VLOOKUP($A61&amp;$E61&amp;$I61,PMsheet!$J:$K,2,0),0)*'Master Data-C19RM'!$G$2))</f>
        <v>0</v>
      </c>
      <c r="AS61" s="441"/>
      <c r="AT61" s="441"/>
      <c r="AU61" s="441"/>
      <c r="AV61" s="441"/>
      <c r="AW61" s="481">
        <f t="shared" si="4"/>
        <v>0</v>
      </c>
      <c r="AX61" s="483">
        <f>IF(SETUP!$E$7="USD",(AW61*(IF(O61="USD",AR61,(AR61/'Master Data-C19RM'!$G$2)))),(AW61*(IF(O61="EUR",AR61,(AR61*'Master Data-C19RM'!$G$2)))))</f>
        <v>0</v>
      </c>
      <c r="AY61" s="851"/>
      <c r="AZ61" s="851"/>
      <c r="BA61" s="851"/>
      <c r="BB61" s="851"/>
      <c r="BC61" s="851"/>
      <c r="BD61" s="851"/>
      <c r="BE61" s="852"/>
      <c r="BF61" s="481">
        <f>'C19RM 2021-Lab &amp; Other HPS'!$U61+'C19RM 2021-Lab &amp; Other HPS'!$AB61+AI61+'C19RM 2021-Lab &amp; Other HPS'!$AP61+'C19RM 2021-Lab &amp; Other HPS'!$AW61+BD61</f>
        <v>0</v>
      </c>
      <c r="BG61" s="481">
        <f>'C19RM 2021-Lab &amp; Other HPS'!$V61+'C19RM 2021-Lab &amp; Other HPS'!$AC61+'C19RM 2021-Lab &amp; Other HPS'!$AQ61+'C19RM 2021-Lab &amp; Other HPS'!$AJ61+AX61+BE61</f>
        <v>0</v>
      </c>
      <c r="BH61" s="500" t="str" cm="1">
        <f t="array" ref="BH61">IF(A61&lt;&gt;"",IFERROR(INDEX(PMtbl[[WKst]:[Unit of measure*]],MATCH($A$8&amp;$A61&amp;$E61&amp;$I61,INDEX(PMtbl[Sec]&amp;PMtbl[Category]&amp;PMtbl[Each]&amp;PMtbl[Packaging],0,),0),11),""),"")</f>
        <v/>
      </c>
      <c r="BI61" s="819"/>
      <c r="BJ61" s="502" t="str">
        <f>IFERROR(INDEX(SETUP!$C$19:$G$121,MATCH((INDEX(PMtbl[[WKst]:[Unit of measure*]],MATCH($A61&amp;$E61&amp;$I61,INDEX(PMtbl[Category]&amp;PMtbl[Each]&amp;PMtbl[Packaging],0,),0),3)),SETUP!$D$19:$D$121,0),5),"")</f>
        <v/>
      </c>
      <c r="BK61" s="438"/>
      <c r="BL61" s="157"/>
      <c r="BO61" s="12">
        <f>IF(N61="",0,IF(SETUP!$E$7="USD",((IF(O61="USD",P61,(P61/'Master Data-C19RM'!$C$2)))),((IF(O61="EUR",P61,(P61*'Master Data-C19RM'!$C$2))))))</f>
        <v>0</v>
      </c>
      <c r="BP61" s="12">
        <f>IF(N61="",0,IF(SETUP!$E$7="USD",((IF(O61="USD",W61,(W61/'Master Data-C19RM'!$D$2)))),((IF(O61="EUR",W61,(W61*'Master Data-C19RM'!$D$2))))))</f>
        <v>0</v>
      </c>
      <c r="BQ61">
        <f>IF(N61="",0,IF(SETUP!$E$7="USD",((IF(O61="USD",AD61,(AD61/'Master Data-C19RM'!$E$2)))),((IF(O61="EUR",AD61,(AD61*'Master Data-C19RM'!$E$2))))))</f>
        <v>0</v>
      </c>
      <c r="BR61">
        <f>IF(N61="",0,IF(SETUP!$E$7="USD",((IF(O61="USD",AK61,(AK61/'Master Data-C19RM'!$F$2)))),((IF(O61="EUR",AK61,(AK61*'Master Data-C19RM'!$F$2))))))</f>
        <v>0</v>
      </c>
      <c r="BS61">
        <f>IF(N61="",0,IF(SETUP!$E$7="USD",((IF(O61="USD",AR61,(AR61/'Master Data-C19RM'!$G$2)))),((IF(O61="EUR",AR61,(AR61*'Master Data-C19RM'!$G$2))))))</f>
        <v>0</v>
      </c>
      <c r="BT61">
        <f>IF(N61="",0,IF(SETUP!$E$7="USD",((IF(O61="USD",AY61,(AY61/'Master Data-C19RM'!$H$2)))),((IF(O61="EUR",AY61,(AY61*'Master Data-C19RM'!$H$2))))))</f>
        <v>0</v>
      </c>
      <c r="BU61" s="12">
        <f t="shared" si="5"/>
        <v>0</v>
      </c>
      <c r="BV61" s="142">
        <f t="shared" si="6"/>
        <v>0</v>
      </c>
    </row>
    <row r="62" spans="1:74" ht="14.5" customHeight="1" x14ac:dyDescent="0.35">
      <c r="A62" s="1192"/>
      <c r="B62" s="1192"/>
      <c r="C62" s="1192"/>
      <c r="D62" s="1192"/>
      <c r="E62" s="1173"/>
      <c r="F62" s="1173"/>
      <c r="G62" s="1173"/>
      <c r="H62" s="1173"/>
      <c r="I62" s="1173"/>
      <c r="J62" s="1173"/>
      <c r="K62" s="1173"/>
      <c r="L62" s="493" t="str" cm="1">
        <f t="array" ref="L62">IF(A62&lt;&gt;"",IFERROR(INDEX(PMtbl[[WKst]:[Unit of measure*]],MATCH($A$8&amp;$A62&amp;$E62&amp;$I62,INDEX(PMtbl[Sec]&amp;PMtbl[Category]&amp;PMtbl[Each]&amp;PMtbl[Packaging],0,),0),14),""),"")</f>
        <v/>
      </c>
      <c r="M62" s="480" t="str">
        <f>IF(L62="","",INDEX(SETUP!$E$20:$E$122,(MATCH(INDEX(PMsheet!$D:$E,MATCH(A62,PMsheet!E:E,0),1),SETUP!$D$20:$D$122,0))))</f>
        <v/>
      </c>
      <c r="N62" s="494">
        <f>IF($O62="USD",_xlfn.IFNA(VLOOKUP(A62&amp;E62&amp;I62,PMsheet!J:K,2,0),0),(_xlfn.IFNA(VLOOKUP(A62&amp;E62&amp;I62,PMsheet!J:K,2,0),0)*'Master Data-C19RM'!$C$2))</f>
        <v>0</v>
      </c>
      <c r="O62" s="495" t="str">
        <f>IF(L62="", "",SETUP!$E$7)</f>
        <v/>
      </c>
      <c r="P62" s="445">
        <f>IF($O62="USD",_xlfn.IFNA(VLOOKUP($A62&amp;$E62&amp;$I62,PMsheet!$J:$K,2,0),0),(_xlfn.IFNA(VLOOKUP($A62&amp;$E62&amp;$I62,PMsheet!$J:$K,2,0),0)*'Master Data-C19RM'!$C$2))</f>
        <v>0</v>
      </c>
      <c r="Q62" s="440"/>
      <c r="R62" s="440"/>
      <c r="S62" s="440"/>
      <c r="T62" s="440"/>
      <c r="U62" s="482">
        <f t="shared" si="7"/>
        <v>0</v>
      </c>
      <c r="V62" s="484">
        <f>IF(SETUP!$E$7="USD",(U62*(IF(O62="USD",P62,(P62/'Master Data-C19RM'!$C$2)))),(U62*(IF(O62="EUR",P62,(P62*'Master Data-C19RM'!$C$2)))))</f>
        <v>0</v>
      </c>
      <c r="W62" s="445">
        <f>IF($O62="USD",_xlfn.IFNA(VLOOKUP($A62&amp;$E62&amp;$I62,PMsheet!$J:$K,2,0),0),(_xlfn.IFNA(VLOOKUP($A62&amp;$E62&amp;$I62,PMsheet!$J:$K,2,0),0)*'Master Data-C19RM'!$D$2))</f>
        <v>0</v>
      </c>
      <c r="X62" s="440"/>
      <c r="Y62" s="440"/>
      <c r="Z62" s="440"/>
      <c r="AA62" s="440"/>
      <c r="AB62" s="482">
        <f t="shared" si="1"/>
        <v>0</v>
      </c>
      <c r="AC62" s="484">
        <f>IF(SETUP!$E$7="USD",(AB62*(IF(O62="USD",W62,(W62/'Master Data-C19RM'!$D$2)))),(AB62*(IF(O62="EUR",W62,(W62*'Master Data-C19RM'!$D$2)))))</f>
        <v>0</v>
      </c>
      <c r="AD62" s="445">
        <f>IF($O62="USD",_xlfn.IFNA(VLOOKUP($A62&amp;$E62&amp;$I62,PMsheet!$J:$K,2,0),0),(_xlfn.IFNA(VLOOKUP($A62&amp;$E62&amp;$I62,PMsheet!$J:$K,2,0),0)*'Master Data-C19RM'!$E$2))</f>
        <v>0</v>
      </c>
      <c r="AE62" s="440"/>
      <c r="AF62" s="440"/>
      <c r="AG62" s="440"/>
      <c r="AH62" s="440"/>
      <c r="AI62" s="514">
        <f t="shared" si="8"/>
        <v>0</v>
      </c>
      <c r="AJ62" s="515">
        <f>IF(SETUP!$E$7="USD",(AI62*(IF(O62="USD",AD62,(AD62/'Master Data-C19RM'!$E$2)))),(AI62*(IF(O62="EUR",AD62,(AD62*'Master Data-C19RM'!$E$2)))))</f>
        <v>0</v>
      </c>
      <c r="AK62" s="445">
        <f>IF($O62="USD",_xlfn.IFNA(VLOOKUP($A62&amp;$E62&amp;$I62,PMsheet!$J:$K,2,0),0),(_xlfn.IFNA(VLOOKUP($A62&amp;$E62&amp;$I62,PMsheet!$J:$K,2,0),0)*'Master Data-C19RM'!$F$2))</f>
        <v>0</v>
      </c>
      <c r="AL62" s="440"/>
      <c r="AM62" s="440"/>
      <c r="AN62" s="440"/>
      <c r="AO62" s="440"/>
      <c r="AP62" s="482">
        <f t="shared" si="3"/>
        <v>0</v>
      </c>
      <c r="AQ62" s="484">
        <f>IF(SETUP!$E$7="USD",(AP62*(IF(O62="USD",AK62,(AK62/'Master Data-C19RM'!$F$2)))),(AP62*(IF(O62="EUR",AK62,(AK62*'Master Data-C19RM'!$F$2)))))</f>
        <v>0</v>
      </c>
      <c r="AR62" s="445">
        <f>IF($O62="USD",_xlfn.IFNA(VLOOKUP($A62&amp;$E62&amp;$I62,PMsheet!$J:$K,2,0),0),(_xlfn.IFNA(VLOOKUP($A62&amp;$E62&amp;$I62,PMsheet!$J:$K,2,0),0)*'Master Data-C19RM'!$G$2))</f>
        <v>0</v>
      </c>
      <c r="AS62" s="440"/>
      <c r="AT62" s="440"/>
      <c r="AU62" s="440"/>
      <c r="AV62" s="440"/>
      <c r="AW62" s="482">
        <f t="shared" si="4"/>
        <v>0</v>
      </c>
      <c r="AX62" s="484">
        <f>IF(SETUP!$E$7="USD",(AW62*(IF(O62="USD",AR62,(AR62/'Master Data-C19RM'!$G$2)))),(AW62*(IF(O62="EUR",AR62,(AR62*'Master Data-C19RM'!$G$2)))))</f>
        <v>0</v>
      </c>
      <c r="AY62" s="843"/>
      <c r="AZ62" s="843"/>
      <c r="BA62" s="843"/>
      <c r="BB62" s="843"/>
      <c r="BC62" s="843"/>
      <c r="BD62" s="843"/>
      <c r="BE62" s="844"/>
      <c r="BF62" s="482">
        <f>'C19RM 2021-Lab &amp; Other HPS'!$U62+'C19RM 2021-Lab &amp; Other HPS'!$AB62+AI62+'C19RM 2021-Lab &amp; Other HPS'!$AP62+'C19RM 2021-Lab &amp; Other HPS'!$AW62+BD62</f>
        <v>0</v>
      </c>
      <c r="BG62" s="482">
        <f>'C19RM 2021-Lab &amp; Other HPS'!$V62+'C19RM 2021-Lab &amp; Other HPS'!$AC62+'C19RM 2021-Lab &amp; Other HPS'!$AQ62+'C19RM 2021-Lab &amp; Other HPS'!$AJ62+AX62+BE62</f>
        <v>0</v>
      </c>
      <c r="BH62" s="499" t="str" cm="1">
        <f t="array" ref="BH62">IF(A62&lt;&gt;"",IFERROR(INDEX(PMtbl[[WKst]:[Unit of measure*]],MATCH($A$8&amp;$A62&amp;$E62&amp;$I62,INDEX(PMtbl[Sec]&amp;PMtbl[Category]&amp;PMtbl[Each]&amp;PMtbl[Packaging],0,),0),11),""),"")</f>
        <v/>
      </c>
      <c r="BI62" s="818"/>
      <c r="BJ62" s="503" t="str">
        <f>IFERROR(INDEX(SETUP!$C$19:$G$121,MATCH((INDEX(PMtbl[[WKst]:[Unit of measure*]],MATCH($A62&amp;$E62&amp;$I62,INDEX(PMtbl[Category]&amp;PMtbl[Each]&amp;PMtbl[Packaging],0,),0),3)),SETUP!$D$19:$D$121,0),5),"")</f>
        <v/>
      </c>
      <c r="BK62" s="439"/>
      <c r="BL62" s="158"/>
      <c r="BO62" s="12">
        <f>IF(N62="",0,IF(SETUP!$E$7="USD",((IF(O62="USD",P62,(P62/'Master Data-C19RM'!$C$2)))),((IF(O62="EUR",P62,(P62*'Master Data-C19RM'!$C$2))))))</f>
        <v>0</v>
      </c>
      <c r="BP62" s="12">
        <f>IF(N62="",0,IF(SETUP!$E$7="USD",((IF(O62="USD",W62,(W62/'Master Data-C19RM'!$D$2)))),((IF(O62="EUR",W62,(W62*'Master Data-C19RM'!$D$2))))))</f>
        <v>0</v>
      </c>
      <c r="BQ62">
        <f>IF(N62="",0,IF(SETUP!$E$7="USD",((IF(O62="USD",AD62,(AD62/'Master Data-C19RM'!$E$2)))),((IF(O62="EUR",AD62,(AD62*'Master Data-C19RM'!$E$2))))))</f>
        <v>0</v>
      </c>
      <c r="BR62">
        <f>IF(N62="",0,IF(SETUP!$E$7="USD",((IF(O62="USD",AK62,(AK62/'Master Data-C19RM'!$F$2)))),((IF(O62="EUR",AK62,(AK62*'Master Data-C19RM'!$F$2))))))</f>
        <v>0</v>
      </c>
      <c r="BS62">
        <f>IF(N62="",0,IF(SETUP!$E$7="USD",((IF(O62="USD",AR62,(AR62/'Master Data-C19RM'!$G$2)))),((IF(O62="EUR",AR62,(AR62*'Master Data-C19RM'!$G$2))))))</f>
        <v>0</v>
      </c>
      <c r="BT62">
        <f>IF(N62="",0,IF(SETUP!$E$7="USD",((IF(O62="USD",AY62,(AY62/'Master Data-C19RM'!$H$2)))),((IF(O62="EUR",AY62,(AY62*'Master Data-C19RM'!$H$2))))))</f>
        <v>0</v>
      </c>
      <c r="BU62" s="12">
        <f t="shared" si="5"/>
        <v>0</v>
      </c>
      <c r="BV62" s="142">
        <f t="shared" si="6"/>
        <v>0</v>
      </c>
    </row>
    <row r="63" spans="1:74" ht="14.5" customHeight="1" x14ac:dyDescent="0.35">
      <c r="A63" s="1200"/>
      <c r="B63" s="1201"/>
      <c r="C63" s="1201"/>
      <c r="D63" s="1202"/>
      <c r="E63" s="1216"/>
      <c r="F63" s="1217"/>
      <c r="G63" s="1217"/>
      <c r="H63" s="1218"/>
      <c r="I63" s="1216"/>
      <c r="J63" s="1217"/>
      <c r="K63" s="1218"/>
      <c r="L63" s="490" t="str" cm="1">
        <f t="array" ref="L63">IF(A63&lt;&gt;"",IFERROR(INDEX(PMtbl[[WKst]:[Unit of measure*]],MATCH($A$8&amp;$A63&amp;$E63&amp;$I63,INDEX(PMtbl[Sec]&amp;PMtbl[Category]&amp;PMtbl[Each]&amp;PMtbl[Packaging],0,),0),14),""),"")</f>
        <v/>
      </c>
      <c r="M63" s="479" t="str">
        <f>IF(L63="","",INDEX(SETUP!$E$20:$E$122,(MATCH(INDEX(PMsheet!$D:$E,MATCH(A63,PMsheet!E:E,0),1),SETUP!$D$20:$D$122,0))))</f>
        <v/>
      </c>
      <c r="N63" s="496">
        <f>IF($O63="USD",_xlfn.IFNA(VLOOKUP(A63&amp;E63&amp;I63,PMsheet!J:K,2,0),0),(_xlfn.IFNA(VLOOKUP(A63&amp;E63&amp;I63,PMsheet!J:K,2,0),0)*'Master Data-C19RM'!$C$2))</f>
        <v>0</v>
      </c>
      <c r="O63" s="492" t="str">
        <f>IF(L63="", "",SETUP!$E$7)</f>
        <v/>
      </c>
      <c r="P63" s="444">
        <f>IF($O63="USD",_xlfn.IFNA(VLOOKUP($A63&amp;$E63&amp;$I63,PMsheet!$J:$K,2,0),0),(_xlfn.IFNA(VLOOKUP($A63&amp;$E63&amp;$I63,PMsheet!$J:$K,2,0),0)*'Master Data-C19RM'!$C$2))</f>
        <v>0</v>
      </c>
      <c r="Q63" s="441"/>
      <c r="R63" s="441"/>
      <c r="S63" s="441"/>
      <c r="T63" s="441"/>
      <c r="U63" s="481">
        <f t="shared" si="7"/>
        <v>0</v>
      </c>
      <c r="V63" s="483">
        <f>IF(SETUP!$E$7="USD",(U63*(IF(O63="USD",P63,(P63/'Master Data-C19RM'!$C$2)))),(U63*(IF(O63="EUR",P63,(P63*'Master Data-C19RM'!$C$2)))))</f>
        <v>0</v>
      </c>
      <c r="W63" s="444">
        <f>IF($O63="USD",_xlfn.IFNA(VLOOKUP($A63&amp;$E63&amp;$I63,PMsheet!$J:$K,2,0),0),(_xlfn.IFNA(VLOOKUP($A63&amp;$E63&amp;$I63,PMsheet!$J:$K,2,0),0)*'Master Data-C19RM'!$D$2))</f>
        <v>0</v>
      </c>
      <c r="X63" s="441"/>
      <c r="Y63" s="441"/>
      <c r="Z63" s="441"/>
      <c r="AA63" s="441"/>
      <c r="AB63" s="481">
        <f t="shared" si="1"/>
        <v>0</v>
      </c>
      <c r="AC63" s="483">
        <f>IF(SETUP!$E$7="USD",(AB63*(IF(O63="USD",W63,(W63/'Master Data-C19RM'!$D$2)))),(AB63*(IF(O63="EUR",W63,(W63*'Master Data-C19RM'!$D$2)))))</f>
        <v>0</v>
      </c>
      <c r="AD63" s="444">
        <f>IF($O63="USD",_xlfn.IFNA(VLOOKUP($A63&amp;$E63&amp;$I63,PMsheet!$J:$K,2,0),0),(_xlfn.IFNA(VLOOKUP($A63&amp;$E63&amp;$I63,PMsheet!$J:$K,2,0),0)*'Master Data-C19RM'!$E$2))</f>
        <v>0</v>
      </c>
      <c r="AE63" s="441"/>
      <c r="AF63" s="441"/>
      <c r="AG63" s="441"/>
      <c r="AH63" s="441"/>
      <c r="AI63" s="512">
        <f t="shared" si="8"/>
        <v>0</v>
      </c>
      <c r="AJ63" s="513">
        <f>IF(SETUP!$E$7="USD",(AI63*(IF(O63="USD",AD63,(AD63/'Master Data-C19RM'!$E$2)))),(AI63*(IF(O63="EUR",AD63,(AD63*'Master Data-C19RM'!$E$2)))))</f>
        <v>0</v>
      </c>
      <c r="AK63" s="444">
        <f>IF($O63="USD",_xlfn.IFNA(VLOOKUP($A63&amp;$E63&amp;$I63,PMsheet!$J:$K,2,0),0),(_xlfn.IFNA(VLOOKUP($A63&amp;$E63&amp;$I63,PMsheet!$J:$K,2,0),0)*'Master Data-C19RM'!$F$2))</f>
        <v>0</v>
      </c>
      <c r="AL63" s="441"/>
      <c r="AM63" s="441"/>
      <c r="AN63" s="441"/>
      <c r="AO63" s="441"/>
      <c r="AP63" s="481">
        <f t="shared" si="3"/>
        <v>0</v>
      </c>
      <c r="AQ63" s="483">
        <f>IF(SETUP!$E$7="USD",(AP63*(IF(O63="USD",AK63,(AK63/'Master Data-C19RM'!$F$2)))),(AP63*(IF(O63="EUR",AK63,(AK63*'Master Data-C19RM'!$F$2)))))</f>
        <v>0</v>
      </c>
      <c r="AR63" s="444">
        <f>IF($O63="USD",_xlfn.IFNA(VLOOKUP($A63&amp;$E63&amp;$I63,PMsheet!$J:$K,2,0),0),(_xlfn.IFNA(VLOOKUP($A63&amp;$E63&amp;$I63,PMsheet!$J:$K,2,0),0)*'Master Data-C19RM'!$G$2))</f>
        <v>0</v>
      </c>
      <c r="AS63" s="441"/>
      <c r="AT63" s="441"/>
      <c r="AU63" s="441"/>
      <c r="AV63" s="441"/>
      <c r="AW63" s="481">
        <f t="shared" si="4"/>
        <v>0</v>
      </c>
      <c r="AX63" s="483">
        <f>IF(SETUP!$E$7="USD",(AW63*(IF(O63="USD",AR63,(AR63/'Master Data-C19RM'!$G$2)))),(AW63*(IF(O63="EUR",AR63,(AR63*'Master Data-C19RM'!$G$2)))))</f>
        <v>0</v>
      </c>
      <c r="AY63" s="851"/>
      <c r="AZ63" s="851"/>
      <c r="BA63" s="851"/>
      <c r="BB63" s="851"/>
      <c r="BC63" s="851"/>
      <c r="BD63" s="851"/>
      <c r="BE63" s="852"/>
      <c r="BF63" s="481">
        <f>'C19RM 2021-Lab &amp; Other HPS'!$U63+'C19RM 2021-Lab &amp; Other HPS'!$AB63+AI63+'C19RM 2021-Lab &amp; Other HPS'!$AP63+'C19RM 2021-Lab &amp; Other HPS'!$AW63+BD63</f>
        <v>0</v>
      </c>
      <c r="BG63" s="481">
        <f>'C19RM 2021-Lab &amp; Other HPS'!$V63+'C19RM 2021-Lab &amp; Other HPS'!$AC63+'C19RM 2021-Lab &amp; Other HPS'!$AQ63+'C19RM 2021-Lab &amp; Other HPS'!$AJ63+AX63+BE63</f>
        <v>0</v>
      </c>
      <c r="BH63" s="500" t="str" cm="1">
        <f t="array" ref="BH63">IF(A63&lt;&gt;"",IFERROR(INDEX(PMtbl[[WKst]:[Unit of measure*]],MATCH($A$8&amp;$A63&amp;$E63&amp;$I63,INDEX(PMtbl[Sec]&amp;PMtbl[Category]&amp;PMtbl[Each]&amp;PMtbl[Packaging],0,),0),11),""),"")</f>
        <v/>
      </c>
      <c r="BI63" s="819"/>
      <c r="BJ63" s="502" t="str">
        <f>IFERROR(INDEX(SETUP!$C$19:$G$121,MATCH((INDEX(PMtbl[[WKst]:[Unit of measure*]],MATCH($A63&amp;$E63&amp;$I63,INDEX(PMtbl[Category]&amp;PMtbl[Each]&amp;PMtbl[Packaging],0,),0),3)),SETUP!$D$19:$D$121,0),5),"")</f>
        <v/>
      </c>
      <c r="BK63" s="438"/>
      <c r="BL63" s="157"/>
      <c r="BO63" s="12">
        <f>IF(N63="",0,IF(SETUP!$E$7="USD",((IF(O63="USD",P63,(P63/'Master Data-C19RM'!$C$2)))),((IF(O63="EUR",P63,(P63*'Master Data-C19RM'!$C$2))))))</f>
        <v>0</v>
      </c>
      <c r="BP63" s="12">
        <f>IF(N63="",0,IF(SETUP!$E$7="USD",((IF(O63="USD",W63,(W63/'Master Data-C19RM'!$D$2)))),((IF(O63="EUR",W63,(W63*'Master Data-C19RM'!$D$2))))))</f>
        <v>0</v>
      </c>
      <c r="BQ63">
        <f>IF(N63="",0,IF(SETUP!$E$7="USD",((IF(O63="USD",AD63,(AD63/'Master Data-C19RM'!$E$2)))),((IF(O63="EUR",AD63,(AD63*'Master Data-C19RM'!$E$2))))))</f>
        <v>0</v>
      </c>
      <c r="BR63">
        <f>IF(N63="",0,IF(SETUP!$E$7="USD",((IF(O63="USD",AK63,(AK63/'Master Data-C19RM'!$F$2)))),((IF(O63="EUR",AK63,(AK63*'Master Data-C19RM'!$F$2))))))</f>
        <v>0</v>
      </c>
      <c r="BS63">
        <f>IF(N63="",0,IF(SETUP!$E$7="USD",((IF(O63="USD",AR63,(AR63/'Master Data-C19RM'!$G$2)))),((IF(O63="EUR",AR63,(AR63*'Master Data-C19RM'!$G$2))))))</f>
        <v>0</v>
      </c>
      <c r="BT63">
        <f>IF(N63="",0,IF(SETUP!$E$7="USD",((IF(O63="USD",AY63,(AY63/'Master Data-C19RM'!$H$2)))),((IF(O63="EUR",AY63,(AY63*'Master Data-C19RM'!$H$2))))))</f>
        <v>0</v>
      </c>
      <c r="BU63" s="12">
        <f t="shared" si="5"/>
        <v>0</v>
      </c>
      <c r="BV63" s="142">
        <f t="shared" si="6"/>
        <v>0</v>
      </c>
    </row>
    <row r="64" spans="1:74" ht="14.5" customHeight="1" x14ac:dyDescent="0.35">
      <c r="A64" s="1192"/>
      <c r="B64" s="1192"/>
      <c r="C64" s="1192"/>
      <c r="D64" s="1192"/>
      <c r="E64" s="1173"/>
      <c r="F64" s="1173"/>
      <c r="G64" s="1173"/>
      <c r="H64" s="1173"/>
      <c r="I64" s="1173"/>
      <c r="J64" s="1173"/>
      <c r="K64" s="1173"/>
      <c r="L64" s="493" t="str" cm="1">
        <f t="array" ref="L64">IF(A64&lt;&gt;"",IFERROR(INDEX(PMtbl[[WKst]:[Unit of measure*]],MATCH($A$8&amp;$A64&amp;$E64&amp;$I64,INDEX(PMtbl[Sec]&amp;PMtbl[Category]&amp;PMtbl[Each]&amp;PMtbl[Packaging],0,),0),14),""),"")</f>
        <v/>
      </c>
      <c r="M64" s="480" t="str">
        <f>IF(L64="","",INDEX(SETUP!$E$20:$E$122,(MATCH(INDEX(PMsheet!$D:$E,MATCH(A64,PMsheet!E:E,0),1),SETUP!$D$20:$D$122,0))))</f>
        <v/>
      </c>
      <c r="N64" s="494">
        <f>IF($O64="USD",_xlfn.IFNA(VLOOKUP(A64&amp;E64&amp;I64,PMsheet!J:K,2,0),0),(_xlfn.IFNA(VLOOKUP(A64&amp;E64&amp;I64,PMsheet!J:K,2,0),0)*'Master Data-C19RM'!$C$2))</f>
        <v>0</v>
      </c>
      <c r="O64" s="495" t="str">
        <f>IF(L64="", "",SETUP!$E$7)</f>
        <v/>
      </c>
      <c r="P64" s="445">
        <f>IF($O64="USD",_xlfn.IFNA(VLOOKUP($A64&amp;$E64&amp;$I64,PMsheet!$J:$K,2,0),0),(_xlfn.IFNA(VLOOKUP($A64&amp;$E64&amp;$I64,PMsheet!$J:$K,2,0),0)*'Master Data-C19RM'!$C$2))</f>
        <v>0</v>
      </c>
      <c r="Q64" s="440"/>
      <c r="R64" s="440"/>
      <c r="S64" s="440"/>
      <c r="T64" s="440"/>
      <c r="U64" s="482">
        <f t="shared" si="7"/>
        <v>0</v>
      </c>
      <c r="V64" s="484">
        <f>IF(SETUP!$E$7="USD",(U64*(IF(O64="USD",P64,(P64/'Master Data-C19RM'!$C$2)))),(U64*(IF(O64="EUR",P64,(P64*'Master Data-C19RM'!$C$2)))))</f>
        <v>0</v>
      </c>
      <c r="W64" s="445">
        <f>IF($O64="USD",_xlfn.IFNA(VLOOKUP($A64&amp;$E64&amp;$I64,PMsheet!$J:$K,2,0),0),(_xlfn.IFNA(VLOOKUP($A64&amp;$E64&amp;$I64,PMsheet!$J:$K,2,0),0)*'Master Data-C19RM'!$D$2))</f>
        <v>0</v>
      </c>
      <c r="X64" s="440"/>
      <c r="Y64" s="440"/>
      <c r="Z64" s="440"/>
      <c r="AA64" s="440"/>
      <c r="AB64" s="482">
        <f t="shared" si="1"/>
        <v>0</v>
      </c>
      <c r="AC64" s="484">
        <f>IF(SETUP!$E$7="USD",(AB64*(IF(O64="USD",W64,(W64/'Master Data-C19RM'!$D$2)))),(AB64*(IF(O64="EUR",W64,(W64*'Master Data-C19RM'!$D$2)))))</f>
        <v>0</v>
      </c>
      <c r="AD64" s="445">
        <f>IF($O64="USD",_xlfn.IFNA(VLOOKUP($A64&amp;$E64&amp;$I64,PMsheet!$J:$K,2,0),0),(_xlfn.IFNA(VLOOKUP($A64&amp;$E64&amp;$I64,PMsheet!$J:$K,2,0),0)*'Master Data-C19RM'!$E$2))</f>
        <v>0</v>
      </c>
      <c r="AE64" s="440"/>
      <c r="AF64" s="440"/>
      <c r="AG64" s="440"/>
      <c r="AH64" s="440"/>
      <c r="AI64" s="514">
        <f t="shared" si="8"/>
        <v>0</v>
      </c>
      <c r="AJ64" s="515">
        <f>IF(SETUP!$E$7="USD",(AI64*(IF(O64="USD",AD64,(AD64/'Master Data-C19RM'!$E$2)))),(AI64*(IF(O64="EUR",AD64,(AD64*'Master Data-C19RM'!$E$2)))))</f>
        <v>0</v>
      </c>
      <c r="AK64" s="445">
        <f>IF($O64="USD",_xlfn.IFNA(VLOOKUP($A64&amp;$E64&amp;$I64,PMsheet!$J:$K,2,0),0),(_xlfn.IFNA(VLOOKUP($A64&amp;$E64&amp;$I64,PMsheet!$J:$K,2,0),0)*'Master Data-C19RM'!$F$2))</f>
        <v>0</v>
      </c>
      <c r="AL64" s="440"/>
      <c r="AM64" s="440"/>
      <c r="AN64" s="440"/>
      <c r="AO64" s="440"/>
      <c r="AP64" s="482">
        <f t="shared" si="3"/>
        <v>0</v>
      </c>
      <c r="AQ64" s="484">
        <f>IF(SETUP!$E$7="USD",(AP64*(IF(O64="USD",AK64,(AK64/'Master Data-C19RM'!$F$2)))),(AP64*(IF(O64="EUR",AK64,(AK64*'Master Data-C19RM'!$F$2)))))</f>
        <v>0</v>
      </c>
      <c r="AR64" s="445">
        <f>IF($O64="USD",_xlfn.IFNA(VLOOKUP($A64&amp;$E64&amp;$I64,PMsheet!$J:$K,2,0),0),(_xlfn.IFNA(VLOOKUP($A64&amp;$E64&amp;$I64,PMsheet!$J:$K,2,0),0)*'Master Data-C19RM'!$G$2))</f>
        <v>0</v>
      </c>
      <c r="AS64" s="440"/>
      <c r="AT64" s="440"/>
      <c r="AU64" s="440"/>
      <c r="AV64" s="440"/>
      <c r="AW64" s="482">
        <f t="shared" si="4"/>
        <v>0</v>
      </c>
      <c r="AX64" s="484">
        <f>IF(SETUP!$E$7="USD",(AW64*(IF(O64="USD",AR64,(AR64/'Master Data-C19RM'!$G$2)))),(AW64*(IF(O64="EUR",AR64,(AR64*'Master Data-C19RM'!$G$2)))))</f>
        <v>0</v>
      </c>
      <c r="AY64" s="843"/>
      <c r="AZ64" s="843"/>
      <c r="BA64" s="843"/>
      <c r="BB64" s="843"/>
      <c r="BC64" s="843"/>
      <c r="BD64" s="843"/>
      <c r="BE64" s="844"/>
      <c r="BF64" s="482">
        <f>'C19RM 2021-Lab &amp; Other HPS'!$U64+'C19RM 2021-Lab &amp; Other HPS'!$AB64+AI64+'C19RM 2021-Lab &amp; Other HPS'!$AP64+'C19RM 2021-Lab &amp; Other HPS'!$AW64+BD64</f>
        <v>0</v>
      </c>
      <c r="BG64" s="482">
        <f>'C19RM 2021-Lab &amp; Other HPS'!$V64+'C19RM 2021-Lab &amp; Other HPS'!$AC64+'C19RM 2021-Lab &amp; Other HPS'!$AQ64+'C19RM 2021-Lab &amp; Other HPS'!$AJ64+AX64+BE64</f>
        <v>0</v>
      </c>
      <c r="BH64" s="499" t="str" cm="1">
        <f t="array" ref="BH64">IF(A64&lt;&gt;"",IFERROR(INDEX(PMtbl[[WKst]:[Unit of measure*]],MATCH($A$8&amp;$A64&amp;$E64&amp;$I64,INDEX(PMtbl[Sec]&amp;PMtbl[Category]&amp;PMtbl[Each]&amp;PMtbl[Packaging],0,),0),11),""),"")</f>
        <v/>
      </c>
      <c r="BI64" s="818"/>
      <c r="BJ64" s="503" t="str">
        <f>IFERROR(INDEX(SETUP!$C$19:$G$121,MATCH((INDEX(PMtbl[[WKst]:[Unit of measure*]],MATCH($A64&amp;$E64&amp;$I64,INDEX(PMtbl[Category]&amp;PMtbl[Each]&amp;PMtbl[Packaging],0,),0),3)),SETUP!$D$19:$D$121,0),5),"")</f>
        <v/>
      </c>
      <c r="BK64" s="439"/>
      <c r="BL64" s="158"/>
      <c r="BO64" s="12">
        <f>IF(N64="",0,IF(SETUP!$E$7="USD",((IF(O64="USD",P64,(P64/'Master Data-C19RM'!$C$2)))),((IF(O64="EUR",P64,(P64*'Master Data-C19RM'!$C$2))))))</f>
        <v>0</v>
      </c>
      <c r="BP64" s="12">
        <f>IF(N64="",0,IF(SETUP!$E$7="USD",((IF(O64="USD",W64,(W64/'Master Data-C19RM'!$D$2)))),((IF(O64="EUR",W64,(W64*'Master Data-C19RM'!$D$2))))))</f>
        <v>0</v>
      </c>
      <c r="BQ64">
        <f>IF(N64="",0,IF(SETUP!$E$7="USD",((IF(O64="USD",AD64,(AD64/'Master Data-C19RM'!$E$2)))),((IF(O64="EUR",AD64,(AD64*'Master Data-C19RM'!$E$2))))))</f>
        <v>0</v>
      </c>
      <c r="BR64">
        <f>IF(N64="",0,IF(SETUP!$E$7="USD",((IF(O64="USD",AK64,(AK64/'Master Data-C19RM'!$F$2)))),((IF(O64="EUR",AK64,(AK64*'Master Data-C19RM'!$F$2))))))</f>
        <v>0</v>
      </c>
      <c r="BS64">
        <f>IF(N64="",0,IF(SETUP!$E$7="USD",((IF(O64="USD",AR64,(AR64/'Master Data-C19RM'!$G$2)))),((IF(O64="EUR",AR64,(AR64*'Master Data-C19RM'!$G$2))))))</f>
        <v>0</v>
      </c>
      <c r="BT64">
        <f>IF(N64="",0,IF(SETUP!$E$7="USD",((IF(O64="USD",AY64,(AY64/'Master Data-C19RM'!$H$2)))),((IF(O64="EUR",AY64,(AY64*'Master Data-C19RM'!$H$2))))))</f>
        <v>0</v>
      </c>
      <c r="BU64" s="12">
        <f t="shared" si="5"/>
        <v>0</v>
      </c>
      <c r="BV64" s="142">
        <f t="shared" si="6"/>
        <v>0</v>
      </c>
    </row>
    <row r="65" spans="1:74" ht="14.5" customHeight="1" x14ac:dyDescent="0.35">
      <c r="A65" s="1200"/>
      <c r="B65" s="1201"/>
      <c r="C65" s="1201"/>
      <c r="D65" s="1202"/>
      <c r="E65" s="1216"/>
      <c r="F65" s="1217"/>
      <c r="G65" s="1217"/>
      <c r="H65" s="1218"/>
      <c r="I65" s="1216"/>
      <c r="J65" s="1217"/>
      <c r="K65" s="1218"/>
      <c r="L65" s="490" t="str" cm="1">
        <f t="array" ref="L65">IF(A65&lt;&gt;"",IFERROR(INDEX(PMtbl[[WKst]:[Unit of measure*]],MATCH($A$8&amp;$A65&amp;$E65&amp;$I65,INDEX(PMtbl[Sec]&amp;PMtbl[Category]&amp;PMtbl[Each]&amp;PMtbl[Packaging],0,),0),14),""),"")</f>
        <v/>
      </c>
      <c r="M65" s="479" t="str">
        <f>IF(L65="","",INDEX(SETUP!$E$20:$E$122,(MATCH(INDEX(PMsheet!$D:$E,MATCH(A65,PMsheet!E:E,0),1),SETUP!$D$20:$D$122,0))))</f>
        <v/>
      </c>
      <c r="N65" s="496">
        <f>IF($O65="USD",_xlfn.IFNA(VLOOKUP(A65&amp;E65&amp;I65,PMsheet!J:K,2,0),0),(_xlfn.IFNA(VLOOKUP(A65&amp;E65&amp;I65,PMsheet!J:K,2,0),0)*'Master Data-C19RM'!$C$2))</f>
        <v>0</v>
      </c>
      <c r="O65" s="492" t="str">
        <f>IF(L65="", "",SETUP!$E$7)</f>
        <v/>
      </c>
      <c r="P65" s="444">
        <f>IF($O65="USD",_xlfn.IFNA(VLOOKUP($A65&amp;$E65&amp;$I65,PMsheet!$J:$K,2,0),0),(_xlfn.IFNA(VLOOKUP($A65&amp;$E65&amp;$I65,PMsheet!$J:$K,2,0),0)*'Master Data-C19RM'!$C$2))</f>
        <v>0</v>
      </c>
      <c r="Q65" s="441"/>
      <c r="R65" s="441"/>
      <c r="S65" s="441"/>
      <c r="T65" s="441"/>
      <c r="U65" s="481">
        <f t="shared" si="7"/>
        <v>0</v>
      </c>
      <c r="V65" s="483">
        <f>IF(SETUP!$E$7="USD",(U65*(IF(O65="USD",P65,(P65/'Master Data-C19RM'!$C$2)))),(U65*(IF(O65="EUR",P65,(P65*'Master Data-C19RM'!$C$2)))))</f>
        <v>0</v>
      </c>
      <c r="W65" s="444">
        <f>IF($O65="USD",_xlfn.IFNA(VLOOKUP($A65&amp;$E65&amp;$I65,PMsheet!$J:$K,2,0),0),(_xlfn.IFNA(VLOOKUP($A65&amp;$E65&amp;$I65,PMsheet!$J:$K,2,0),0)*'Master Data-C19RM'!$D$2))</f>
        <v>0</v>
      </c>
      <c r="X65" s="441"/>
      <c r="Y65" s="441"/>
      <c r="Z65" s="441"/>
      <c r="AA65" s="441"/>
      <c r="AB65" s="481">
        <f t="shared" si="1"/>
        <v>0</v>
      </c>
      <c r="AC65" s="483">
        <f>IF(SETUP!$E$7="USD",(AB65*(IF(O65="USD",W65,(W65/'Master Data-C19RM'!$D$2)))),(AB65*(IF(O65="EUR",W65,(W65*'Master Data-C19RM'!$D$2)))))</f>
        <v>0</v>
      </c>
      <c r="AD65" s="444">
        <f>IF($O65="USD",_xlfn.IFNA(VLOOKUP($A65&amp;$E65&amp;$I65,PMsheet!$J:$K,2,0),0),(_xlfn.IFNA(VLOOKUP($A65&amp;$E65&amp;$I65,PMsheet!$J:$K,2,0),0)*'Master Data-C19RM'!$E$2))</f>
        <v>0</v>
      </c>
      <c r="AE65" s="441"/>
      <c r="AF65" s="441"/>
      <c r="AG65" s="441"/>
      <c r="AH65" s="441"/>
      <c r="AI65" s="512">
        <f t="shared" si="8"/>
        <v>0</v>
      </c>
      <c r="AJ65" s="513">
        <f>IF(SETUP!$E$7="USD",(AI65*(IF(O65="USD",AD65,(AD65/'Master Data-C19RM'!$E$2)))),(AI65*(IF(O65="EUR",AD65,(AD65*'Master Data-C19RM'!$E$2)))))</f>
        <v>0</v>
      </c>
      <c r="AK65" s="444">
        <f>IF($O65="USD",_xlfn.IFNA(VLOOKUP($A65&amp;$E65&amp;$I65,PMsheet!$J:$K,2,0),0),(_xlfn.IFNA(VLOOKUP($A65&amp;$E65&amp;$I65,PMsheet!$J:$K,2,0),0)*'Master Data-C19RM'!$F$2))</f>
        <v>0</v>
      </c>
      <c r="AL65" s="441"/>
      <c r="AM65" s="441"/>
      <c r="AN65" s="441"/>
      <c r="AO65" s="441"/>
      <c r="AP65" s="481">
        <f t="shared" si="3"/>
        <v>0</v>
      </c>
      <c r="AQ65" s="483">
        <f>IF(SETUP!$E$7="USD",(AP65*(IF(O65="USD",AK65,(AK65/'Master Data-C19RM'!$F$2)))),(AP65*(IF(O65="EUR",AK65,(AK65*'Master Data-C19RM'!$F$2)))))</f>
        <v>0</v>
      </c>
      <c r="AR65" s="444">
        <f>IF($O65="USD",_xlfn.IFNA(VLOOKUP($A65&amp;$E65&amp;$I65,PMsheet!$J:$K,2,0),0),(_xlfn.IFNA(VLOOKUP($A65&amp;$E65&amp;$I65,PMsheet!$J:$K,2,0),0)*'Master Data-C19RM'!$G$2))</f>
        <v>0</v>
      </c>
      <c r="AS65" s="441"/>
      <c r="AT65" s="441"/>
      <c r="AU65" s="441"/>
      <c r="AV65" s="441"/>
      <c r="AW65" s="481">
        <f t="shared" si="4"/>
        <v>0</v>
      </c>
      <c r="AX65" s="483">
        <f>IF(SETUP!$E$7="USD",(AW65*(IF(O65="USD",AR65,(AR65/'Master Data-C19RM'!$G$2)))),(AW65*(IF(O65="EUR",AR65,(AR65*'Master Data-C19RM'!$G$2)))))</f>
        <v>0</v>
      </c>
      <c r="AY65" s="851"/>
      <c r="AZ65" s="851"/>
      <c r="BA65" s="851"/>
      <c r="BB65" s="851"/>
      <c r="BC65" s="851"/>
      <c r="BD65" s="851"/>
      <c r="BE65" s="852"/>
      <c r="BF65" s="481">
        <f>'C19RM 2021-Lab &amp; Other HPS'!$U65+'C19RM 2021-Lab &amp; Other HPS'!$AB65+AI65+'C19RM 2021-Lab &amp; Other HPS'!$AP65+'C19RM 2021-Lab &amp; Other HPS'!$AW65+BD65</f>
        <v>0</v>
      </c>
      <c r="BG65" s="481">
        <f>'C19RM 2021-Lab &amp; Other HPS'!$V65+'C19RM 2021-Lab &amp; Other HPS'!$AC65+'C19RM 2021-Lab &amp; Other HPS'!$AQ65+'C19RM 2021-Lab &amp; Other HPS'!$AJ65+AX65+BE65</f>
        <v>0</v>
      </c>
      <c r="BH65" s="500" t="str" cm="1">
        <f t="array" ref="BH65">IF(A65&lt;&gt;"",IFERROR(INDEX(PMtbl[[WKst]:[Unit of measure*]],MATCH($A$8&amp;$A65&amp;$E65&amp;$I65,INDEX(PMtbl[Sec]&amp;PMtbl[Category]&amp;PMtbl[Each]&amp;PMtbl[Packaging],0,),0),11),""),"")</f>
        <v/>
      </c>
      <c r="BI65" s="819"/>
      <c r="BJ65" s="502" t="str">
        <f>IFERROR(INDEX(SETUP!$C$19:$G$121,MATCH((INDEX(PMtbl[[WKst]:[Unit of measure*]],MATCH($A65&amp;$E65&amp;$I65,INDEX(PMtbl[Category]&amp;PMtbl[Each]&amp;PMtbl[Packaging],0,),0),3)),SETUP!$D$19:$D$121,0),5),"")</f>
        <v/>
      </c>
      <c r="BK65" s="438"/>
      <c r="BL65" s="157"/>
      <c r="BO65" s="12">
        <f>IF(N65="",0,IF(SETUP!$E$7="USD",((IF(O65="USD",P65,(P65/'Master Data-C19RM'!$C$2)))),((IF(O65="EUR",P65,(P65*'Master Data-C19RM'!$C$2))))))</f>
        <v>0</v>
      </c>
      <c r="BP65" s="12">
        <f>IF(N65="",0,IF(SETUP!$E$7="USD",((IF(O65="USD",W65,(W65/'Master Data-C19RM'!$D$2)))),((IF(O65="EUR",W65,(W65*'Master Data-C19RM'!$D$2))))))</f>
        <v>0</v>
      </c>
      <c r="BQ65">
        <f>IF(N65="",0,IF(SETUP!$E$7="USD",((IF(O65="USD",AD65,(AD65/'Master Data-C19RM'!$E$2)))),((IF(O65="EUR",AD65,(AD65*'Master Data-C19RM'!$E$2))))))</f>
        <v>0</v>
      </c>
      <c r="BR65">
        <f>IF(N65="",0,IF(SETUP!$E$7="USD",((IF(O65="USD",AK65,(AK65/'Master Data-C19RM'!$F$2)))),((IF(O65="EUR",AK65,(AK65*'Master Data-C19RM'!$F$2))))))</f>
        <v>0</v>
      </c>
      <c r="BS65">
        <f>IF(N65="",0,IF(SETUP!$E$7="USD",((IF(O65="USD",AR65,(AR65/'Master Data-C19RM'!$G$2)))),((IF(O65="EUR",AR65,(AR65*'Master Data-C19RM'!$G$2))))))</f>
        <v>0</v>
      </c>
      <c r="BT65">
        <f>IF(N65="",0,IF(SETUP!$E$7="USD",((IF(O65="USD",AY65,(AY65/'Master Data-C19RM'!$H$2)))),((IF(O65="EUR",AY65,(AY65*'Master Data-C19RM'!$H$2))))))</f>
        <v>0</v>
      </c>
      <c r="BU65" s="12">
        <f t="shared" si="5"/>
        <v>0</v>
      </c>
      <c r="BV65" s="142">
        <f t="shared" si="6"/>
        <v>0</v>
      </c>
    </row>
    <row r="66" spans="1:74" ht="14.5" customHeight="1" x14ac:dyDescent="0.35">
      <c r="A66" s="1192"/>
      <c r="B66" s="1192"/>
      <c r="C66" s="1192"/>
      <c r="D66" s="1192"/>
      <c r="E66" s="1173"/>
      <c r="F66" s="1173"/>
      <c r="G66" s="1173"/>
      <c r="H66" s="1173"/>
      <c r="I66" s="1173"/>
      <c r="J66" s="1173"/>
      <c r="K66" s="1173"/>
      <c r="L66" s="493" t="str" cm="1">
        <f t="array" ref="L66">IF(A66&lt;&gt;"",IFERROR(INDEX(PMtbl[[WKst]:[Unit of measure*]],MATCH($A$8&amp;$A66&amp;$E66&amp;$I66,INDEX(PMtbl[Sec]&amp;PMtbl[Category]&amp;PMtbl[Each]&amp;PMtbl[Packaging],0,),0),14),""),"")</f>
        <v/>
      </c>
      <c r="M66" s="480" t="str">
        <f>IF(L66="","",INDEX(SETUP!$E$20:$E$122,(MATCH(INDEX(PMsheet!$D:$E,MATCH(A66,PMsheet!E:E,0),1),SETUP!$D$20:$D$122,0))))</f>
        <v/>
      </c>
      <c r="N66" s="494">
        <f>IF($O66="USD",_xlfn.IFNA(VLOOKUP(A66&amp;E66&amp;I66,PMsheet!J:K,2,0),0),(_xlfn.IFNA(VLOOKUP(A66&amp;E66&amp;I66,PMsheet!J:K,2,0),0)*'Master Data-C19RM'!$C$2))</f>
        <v>0</v>
      </c>
      <c r="O66" s="495" t="str">
        <f>IF(L66="", "",SETUP!$E$7)</f>
        <v/>
      </c>
      <c r="P66" s="445">
        <f>IF($O66="USD",_xlfn.IFNA(VLOOKUP($A66&amp;$E66&amp;$I66,PMsheet!$J:$K,2,0),0),(_xlfn.IFNA(VLOOKUP($A66&amp;$E66&amp;$I66,PMsheet!$J:$K,2,0),0)*'Master Data-C19RM'!$C$2))</f>
        <v>0</v>
      </c>
      <c r="Q66" s="440"/>
      <c r="R66" s="440"/>
      <c r="S66" s="440"/>
      <c r="T66" s="440"/>
      <c r="U66" s="482">
        <f t="shared" si="7"/>
        <v>0</v>
      </c>
      <c r="V66" s="484">
        <f>IF(SETUP!$E$7="USD",(U66*(IF(O66="USD",P66,(P66/'Master Data-C19RM'!$C$2)))),(U66*(IF(O66="EUR",P66,(P66*'Master Data-C19RM'!$C$2)))))</f>
        <v>0</v>
      </c>
      <c r="W66" s="445">
        <f>IF($O66="USD",_xlfn.IFNA(VLOOKUP($A66&amp;$E66&amp;$I66,PMsheet!$J:$K,2,0),0),(_xlfn.IFNA(VLOOKUP($A66&amp;$E66&amp;$I66,PMsheet!$J:$K,2,0),0)*'Master Data-C19RM'!$D$2))</f>
        <v>0</v>
      </c>
      <c r="X66" s="440"/>
      <c r="Y66" s="440"/>
      <c r="Z66" s="440"/>
      <c r="AA66" s="440"/>
      <c r="AB66" s="482">
        <f t="shared" si="1"/>
        <v>0</v>
      </c>
      <c r="AC66" s="484">
        <f>IF(SETUP!$E$7="USD",(AB66*(IF(O66="USD",W66,(W66/'Master Data-C19RM'!$D$2)))),(AB66*(IF(O66="EUR",W66,(W66*'Master Data-C19RM'!$D$2)))))</f>
        <v>0</v>
      </c>
      <c r="AD66" s="445">
        <f>IF($O66="USD",_xlfn.IFNA(VLOOKUP($A66&amp;$E66&amp;$I66,PMsheet!$J:$K,2,0),0),(_xlfn.IFNA(VLOOKUP($A66&amp;$E66&amp;$I66,PMsheet!$J:$K,2,0),0)*'Master Data-C19RM'!$E$2))</f>
        <v>0</v>
      </c>
      <c r="AE66" s="440"/>
      <c r="AF66" s="440"/>
      <c r="AG66" s="440"/>
      <c r="AH66" s="440"/>
      <c r="AI66" s="514">
        <f t="shared" si="8"/>
        <v>0</v>
      </c>
      <c r="AJ66" s="515">
        <f>IF(SETUP!$E$7="USD",(AI66*(IF(O66="USD",AD66,(AD66/'Master Data-C19RM'!$E$2)))),(AI66*(IF(O66="EUR",AD66,(AD66*'Master Data-C19RM'!$E$2)))))</f>
        <v>0</v>
      </c>
      <c r="AK66" s="445">
        <f>IF($O66="USD",_xlfn.IFNA(VLOOKUP($A66&amp;$E66&amp;$I66,PMsheet!$J:$K,2,0),0),(_xlfn.IFNA(VLOOKUP($A66&amp;$E66&amp;$I66,PMsheet!$J:$K,2,0),0)*'Master Data-C19RM'!$F$2))</f>
        <v>0</v>
      </c>
      <c r="AL66" s="440"/>
      <c r="AM66" s="440"/>
      <c r="AN66" s="440"/>
      <c r="AO66" s="440"/>
      <c r="AP66" s="482">
        <f t="shared" si="3"/>
        <v>0</v>
      </c>
      <c r="AQ66" s="484">
        <f>IF(SETUP!$E$7="USD",(AP66*(IF(O66="USD",AK66,(AK66/'Master Data-C19RM'!$F$2)))),(AP66*(IF(O66="EUR",AK66,(AK66*'Master Data-C19RM'!$F$2)))))</f>
        <v>0</v>
      </c>
      <c r="AR66" s="445">
        <f>IF($O66="USD",_xlfn.IFNA(VLOOKUP($A66&amp;$E66&amp;$I66,PMsheet!$J:$K,2,0),0),(_xlfn.IFNA(VLOOKUP($A66&amp;$E66&amp;$I66,PMsheet!$J:$K,2,0),0)*'Master Data-C19RM'!$G$2))</f>
        <v>0</v>
      </c>
      <c r="AS66" s="440"/>
      <c r="AT66" s="440"/>
      <c r="AU66" s="440"/>
      <c r="AV66" s="440"/>
      <c r="AW66" s="482">
        <f t="shared" si="4"/>
        <v>0</v>
      </c>
      <c r="AX66" s="484">
        <f>IF(SETUP!$E$7="USD",(AW66*(IF(O66="USD",AR66,(AR66/'Master Data-C19RM'!$G$2)))),(AW66*(IF(O66="EUR",AR66,(AR66*'Master Data-C19RM'!$G$2)))))</f>
        <v>0</v>
      </c>
      <c r="AY66" s="843"/>
      <c r="AZ66" s="843"/>
      <c r="BA66" s="843"/>
      <c r="BB66" s="843"/>
      <c r="BC66" s="843"/>
      <c r="BD66" s="843"/>
      <c r="BE66" s="844"/>
      <c r="BF66" s="482">
        <f>'C19RM 2021-Lab &amp; Other HPS'!$U66+'C19RM 2021-Lab &amp; Other HPS'!$AB66+AI66+'C19RM 2021-Lab &amp; Other HPS'!$AP66+'C19RM 2021-Lab &amp; Other HPS'!$AW66+BD66</f>
        <v>0</v>
      </c>
      <c r="BG66" s="482">
        <f>'C19RM 2021-Lab &amp; Other HPS'!$V66+'C19RM 2021-Lab &amp; Other HPS'!$AC66+'C19RM 2021-Lab &amp; Other HPS'!$AQ66+'C19RM 2021-Lab &amp; Other HPS'!$AJ66+AX66+BE66</f>
        <v>0</v>
      </c>
      <c r="BH66" s="499" t="str" cm="1">
        <f t="array" ref="BH66">IF(A66&lt;&gt;"",IFERROR(INDEX(PMtbl[[WKst]:[Unit of measure*]],MATCH($A$8&amp;$A66&amp;$E66&amp;$I66,INDEX(PMtbl[Sec]&amp;PMtbl[Category]&amp;PMtbl[Each]&amp;PMtbl[Packaging],0,),0),11),""),"")</f>
        <v/>
      </c>
      <c r="BI66" s="818"/>
      <c r="BJ66" s="503" t="str">
        <f>IFERROR(INDEX(SETUP!$C$19:$G$121,MATCH((INDEX(PMtbl[[WKst]:[Unit of measure*]],MATCH($A66&amp;$E66&amp;$I66,INDEX(PMtbl[Category]&amp;PMtbl[Each]&amp;PMtbl[Packaging],0,),0),3)),SETUP!$D$19:$D$121,0),5),"")</f>
        <v/>
      </c>
      <c r="BK66" s="439"/>
      <c r="BL66" s="158"/>
      <c r="BO66" s="12">
        <f>IF(N66="",0,IF(SETUP!$E$7="USD",((IF(O66="USD",P66,(P66/'Master Data-C19RM'!$C$2)))),((IF(O66="EUR",P66,(P66*'Master Data-C19RM'!$C$2))))))</f>
        <v>0</v>
      </c>
      <c r="BP66" s="12">
        <f>IF(N66="",0,IF(SETUP!$E$7="USD",((IF(O66="USD",W66,(W66/'Master Data-C19RM'!$D$2)))),((IF(O66="EUR",W66,(W66*'Master Data-C19RM'!$D$2))))))</f>
        <v>0</v>
      </c>
      <c r="BQ66">
        <f>IF(N66="",0,IF(SETUP!$E$7="USD",((IF(O66="USD",AD66,(AD66/'Master Data-C19RM'!$E$2)))),((IF(O66="EUR",AD66,(AD66*'Master Data-C19RM'!$E$2))))))</f>
        <v>0</v>
      </c>
      <c r="BR66">
        <f>IF(N66="",0,IF(SETUP!$E$7="USD",((IF(O66="USD",AK66,(AK66/'Master Data-C19RM'!$F$2)))),((IF(O66="EUR",AK66,(AK66*'Master Data-C19RM'!$F$2))))))</f>
        <v>0</v>
      </c>
      <c r="BS66">
        <f>IF(N66="",0,IF(SETUP!$E$7="USD",((IF(O66="USD",AR66,(AR66/'Master Data-C19RM'!$G$2)))),((IF(O66="EUR",AR66,(AR66*'Master Data-C19RM'!$G$2))))))</f>
        <v>0</v>
      </c>
      <c r="BT66">
        <f>IF(N66="",0,IF(SETUP!$E$7="USD",((IF(O66="USD",AY66,(AY66/'Master Data-C19RM'!$H$2)))),((IF(O66="EUR",AY66,(AY66*'Master Data-C19RM'!$H$2))))))</f>
        <v>0</v>
      </c>
      <c r="BU66" s="12">
        <f t="shared" si="5"/>
        <v>0</v>
      </c>
      <c r="BV66" s="142">
        <f t="shared" si="6"/>
        <v>0</v>
      </c>
    </row>
    <row r="67" spans="1:74" ht="14.5" customHeight="1" x14ac:dyDescent="0.35">
      <c r="A67" s="1200"/>
      <c r="B67" s="1201"/>
      <c r="C67" s="1201"/>
      <c r="D67" s="1202"/>
      <c r="E67" s="1216"/>
      <c r="F67" s="1217"/>
      <c r="G67" s="1217"/>
      <c r="H67" s="1218"/>
      <c r="I67" s="1216"/>
      <c r="J67" s="1217"/>
      <c r="K67" s="1218"/>
      <c r="L67" s="490" t="str" cm="1">
        <f t="array" ref="L67">IF(A67&lt;&gt;"",IFERROR(INDEX(PMtbl[[WKst]:[Unit of measure*]],MATCH($A$8&amp;$A67&amp;$E67&amp;$I67,INDEX(PMtbl[Sec]&amp;PMtbl[Category]&amp;PMtbl[Each]&amp;PMtbl[Packaging],0,),0),14),""),"")</f>
        <v/>
      </c>
      <c r="M67" s="479" t="str">
        <f>IF(L67="","",INDEX(SETUP!$E$20:$E$122,(MATCH(INDEX(PMsheet!$D:$E,MATCH(A67,PMsheet!E:E,0),1),SETUP!$D$20:$D$122,0))))</f>
        <v/>
      </c>
      <c r="N67" s="496">
        <f>IF($O67="USD",_xlfn.IFNA(VLOOKUP(A67&amp;E67&amp;I67,PMsheet!J:K,2,0),0),(_xlfn.IFNA(VLOOKUP(A67&amp;E67&amp;I67,PMsheet!J:K,2,0),0)*'Master Data-C19RM'!$C$2))</f>
        <v>0</v>
      </c>
      <c r="O67" s="492" t="str">
        <f>IF(L67="", "",SETUP!$E$7)</f>
        <v/>
      </c>
      <c r="P67" s="444">
        <f>IF($O67="USD",_xlfn.IFNA(VLOOKUP($A67&amp;$E67&amp;$I67,PMsheet!$J:$K,2,0),0),(_xlfn.IFNA(VLOOKUP($A67&amp;$E67&amp;$I67,PMsheet!$J:$K,2,0),0)*'Master Data-C19RM'!$C$2))</f>
        <v>0</v>
      </c>
      <c r="Q67" s="441"/>
      <c r="R67" s="441"/>
      <c r="S67" s="441"/>
      <c r="T67" s="441"/>
      <c r="U67" s="481">
        <f t="shared" si="7"/>
        <v>0</v>
      </c>
      <c r="V67" s="483">
        <f>IF(SETUP!$E$7="USD",(U67*(IF(O67="USD",P67,(P67/'Master Data-C19RM'!$C$2)))),(U67*(IF(O67="EUR",P67,(P67*'Master Data-C19RM'!$C$2)))))</f>
        <v>0</v>
      </c>
      <c r="W67" s="444">
        <f>IF($O67="USD",_xlfn.IFNA(VLOOKUP($A67&amp;$E67&amp;$I67,PMsheet!$J:$K,2,0),0),(_xlfn.IFNA(VLOOKUP($A67&amp;$E67&amp;$I67,PMsheet!$J:$K,2,0),0)*'Master Data-C19RM'!$D$2))</f>
        <v>0</v>
      </c>
      <c r="X67" s="441"/>
      <c r="Y67" s="441"/>
      <c r="Z67" s="441"/>
      <c r="AA67" s="441"/>
      <c r="AB67" s="481">
        <f t="shared" si="1"/>
        <v>0</v>
      </c>
      <c r="AC67" s="483">
        <f>IF(SETUP!$E$7="USD",(AB67*(IF(O67="USD",W67,(W67/'Master Data-C19RM'!$D$2)))),(AB67*(IF(O67="EUR",W67,(W67*'Master Data-C19RM'!$D$2)))))</f>
        <v>0</v>
      </c>
      <c r="AD67" s="444">
        <f>IF($O67="USD",_xlfn.IFNA(VLOOKUP($A67&amp;$E67&amp;$I67,PMsheet!$J:$K,2,0),0),(_xlfn.IFNA(VLOOKUP($A67&amp;$E67&amp;$I67,PMsheet!$J:$K,2,0),0)*'Master Data-C19RM'!$E$2))</f>
        <v>0</v>
      </c>
      <c r="AE67" s="441"/>
      <c r="AF67" s="441"/>
      <c r="AG67" s="441"/>
      <c r="AH67" s="441"/>
      <c r="AI67" s="512">
        <f t="shared" si="8"/>
        <v>0</v>
      </c>
      <c r="AJ67" s="513">
        <f>IF(SETUP!$E$7="USD",(AI67*(IF(O67="USD",AD67,(AD67/'Master Data-C19RM'!$E$2)))),(AI67*(IF(O67="EUR",AD67,(AD67*'Master Data-C19RM'!$E$2)))))</f>
        <v>0</v>
      </c>
      <c r="AK67" s="444">
        <f>IF($O67="USD",_xlfn.IFNA(VLOOKUP($A67&amp;$E67&amp;$I67,PMsheet!$J:$K,2,0),0),(_xlfn.IFNA(VLOOKUP($A67&amp;$E67&amp;$I67,PMsheet!$J:$K,2,0),0)*'Master Data-C19RM'!$F$2))</f>
        <v>0</v>
      </c>
      <c r="AL67" s="441"/>
      <c r="AM67" s="441"/>
      <c r="AN67" s="441"/>
      <c r="AO67" s="441"/>
      <c r="AP67" s="481">
        <f t="shared" si="3"/>
        <v>0</v>
      </c>
      <c r="AQ67" s="483">
        <f>IF(SETUP!$E$7="USD",(AP67*(IF(O67="USD",AK67,(AK67/'Master Data-C19RM'!$F$2)))),(AP67*(IF(O67="EUR",AK67,(AK67*'Master Data-C19RM'!$F$2)))))</f>
        <v>0</v>
      </c>
      <c r="AR67" s="444">
        <f>IF($O67="USD",_xlfn.IFNA(VLOOKUP($A67&amp;$E67&amp;$I67,PMsheet!$J:$K,2,0),0),(_xlfn.IFNA(VLOOKUP($A67&amp;$E67&amp;$I67,PMsheet!$J:$K,2,0),0)*'Master Data-C19RM'!$G$2))</f>
        <v>0</v>
      </c>
      <c r="AS67" s="441"/>
      <c r="AT67" s="441"/>
      <c r="AU67" s="441"/>
      <c r="AV67" s="441"/>
      <c r="AW67" s="481">
        <f t="shared" si="4"/>
        <v>0</v>
      </c>
      <c r="AX67" s="483">
        <f>IF(SETUP!$E$7="USD",(AW67*(IF(O67="USD",AR67,(AR67/'Master Data-C19RM'!$G$2)))),(AW67*(IF(O67="EUR",AR67,(AR67*'Master Data-C19RM'!$G$2)))))</f>
        <v>0</v>
      </c>
      <c r="AY67" s="851"/>
      <c r="AZ67" s="851"/>
      <c r="BA67" s="851"/>
      <c r="BB67" s="851"/>
      <c r="BC67" s="851"/>
      <c r="BD67" s="851"/>
      <c r="BE67" s="852"/>
      <c r="BF67" s="481">
        <f>'C19RM 2021-Lab &amp; Other HPS'!$U67+'C19RM 2021-Lab &amp; Other HPS'!$AB67+AI67+'C19RM 2021-Lab &amp; Other HPS'!$AP67+'C19RM 2021-Lab &amp; Other HPS'!$AW67+BD67</f>
        <v>0</v>
      </c>
      <c r="BG67" s="481">
        <f>'C19RM 2021-Lab &amp; Other HPS'!$V67+'C19RM 2021-Lab &amp; Other HPS'!$AC67+'C19RM 2021-Lab &amp; Other HPS'!$AQ67+'C19RM 2021-Lab &amp; Other HPS'!$AJ67+AX67+BE67</f>
        <v>0</v>
      </c>
      <c r="BH67" s="500" t="str" cm="1">
        <f t="array" ref="BH67">IF(A67&lt;&gt;"",IFERROR(INDEX(PMtbl[[WKst]:[Unit of measure*]],MATCH($A$8&amp;$A67&amp;$E67&amp;$I67,INDEX(PMtbl[Sec]&amp;PMtbl[Category]&amp;PMtbl[Each]&amp;PMtbl[Packaging],0,),0),11),""),"")</f>
        <v/>
      </c>
      <c r="BI67" s="819"/>
      <c r="BJ67" s="502" t="str">
        <f>IFERROR(INDEX(SETUP!$C$19:$G$121,MATCH((INDEX(PMtbl[[WKst]:[Unit of measure*]],MATCH($A67&amp;$E67&amp;$I67,INDEX(PMtbl[Category]&amp;PMtbl[Each]&amp;PMtbl[Packaging],0,),0),3)),SETUP!$D$19:$D$121,0),5),"")</f>
        <v/>
      </c>
      <c r="BK67" s="438"/>
      <c r="BL67" s="157"/>
      <c r="BO67" s="12">
        <f>IF(N67="",0,IF(SETUP!$E$7="USD",((IF(O67="USD",P67,(P67/'Master Data-C19RM'!$C$2)))),((IF(O67="EUR",P67,(P67*'Master Data-C19RM'!$C$2))))))</f>
        <v>0</v>
      </c>
      <c r="BP67" s="12">
        <f>IF(N67="",0,IF(SETUP!$E$7="USD",((IF(O67="USD",W67,(W67/'Master Data-C19RM'!$D$2)))),((IF(O67="EUR",W67,(W67*'Master Data-C19RM'!$D$2))))))</f>
        <v>0</v>
      </c>
      <c r="BQ67">
        <f>IF(N67="",0,IF(SETUP!$E$7="USD",((IF(O67="USD",AD67,(AD67/'Master Data-C19RM'!$E$2)))),((IF(O67="EUR",AD67,(AD67*'Master Data-C19RM'!$E$2))))))</f>
        <v>0</v>
      </c>
      <c r="BR67">
        <f>IF(N67="",0,IF(SETUP!$E$7="USD",((IF(O67="USD",AK67,(AK67/'Master Data-C19RM'!$F$2)))),((IF(O67="EUR",AK67,(AK67*'Master Data-C19RM'!$F$2))))))</f>
        <v>0</v>
      </c>
      <c r="BS67">
        <f>IF(N67="",0,IF(SETUP!$E$7="USD",((IF(O67="USD",AR67,(AR67/'Master Data-C19RM'!$G$2)))),((IF(O67="EUR",AR67,(AR67*'Master Data-C19RM'!$G$2))))))</f>
        <v>0</v>
      </c>
      <c r="BT67">
        <f>IF(N67="",0,IF(SETUP!$E$7="USD",((IF(O67="USD",AY67,(AY67/'Master Data-C19RM'!$H$2)))),((IF(O67="EUR",AY67,(AY67*'Master Data-C19RM'!$H$2))))))</f>
        <v>0</v>
      </c>
      <c r="BU67" s="12">
        <f t="shared" si="5"/>
        <v>0</v>
      </c>
      <c r="BV67" s="142">
        <f t="shared" si="6"/>
        <v>0</v>
      </c>
    </row>
    <row r="68" spans="1:74" ht="14.5" customHeight="1" x14ac:dyDescent="0.35">
      <c r="A68" s="1192"/>
      <c r="B68" s="1192"/>
      <c r="C68" s="1192"/>
      <c r="D68" s="1192"/>
      <c r="E68" s="1173"/>
      <c r="F68" s="1173"/>
      <c r="G68" s="1173"/>
      <c r="H68" s="1173"/>
      <c r="I68" s="1173"/>
      <c r="J68" s="1173"/>
      <c r="K68" s="1173"/>
      <c r="L68" s="493" t="str" cm="1">
        <f t="array" ref="L68">IF(A68&lt;&gt;"",IFERROR(INDEX(PMtbl[[WKst]:[Unit of measure*]],MATCH($A$8&amp;$A68&amp;$E68&amp;$I68,INDEX(PMtbl[Sec]&amp;PMtbl[Category]&amp;PMtbl[Each]&amp;PMtbl[Packaging],0,),0),14),""),"")</f>
        <v/>
      </c>
      <c r="M68" s="480" t="str">
        <f>IF(L68="","",INDEX(SETUP!$E$20:$E$122,(MATCH(INDEX(PMsheet!$D:$E,MATCH(A68,PMsheet!E:E,0),1),SETUP!$D$20:$D$122,0))))</f>
        <v/>
      </c>
      <c r="N68" s="494">
        <f>IF($O68="USD",_xlfn.IFNA(VLOOKUP(A68&amp;E68&amp;I68,PMsheet!J:K,2,0),0),(_xlfn.IFNA(VLOOKUP(A68&amp;E68&amp;I68,PMsheet!J:K,2,0),0)*'Master Data-C19RM'!$C$2))</f>
        <v>0</v>
      </c>
      <c r="O68" s="495" t="str">
        <f>IF(L68="", "",SETUP!$E$7)</f>
        <v/>
      </c>
      <c r="P68" s="445">
        <f>IF($O68="USD",_xlfn.IFNA(VLOOKUP($A68&amp;$E68&amp;$I68,PMsheet!$J:$K,2,0),0),(_xlfn.IFNA(VLOOKUP($A68&amp;$E68&amp;$I68,PMsheet!$J:$K,2,0),0)*'Master Data-C19RM'!$C$2))</f>
        <v>0</v>
      </c>
      <c r="Q68" s="440"/>
      <c r="R68" s="440"/>
      <c r="S68" s="440"/>
      <c r="T68" s="440"/>
      <c r="U68" s="482">
        <f t="shared" si="7"/>
        <v>0</v>
      </c>
      <c r="V68" s="484">
        <f>IF(SETUP!$E$7="USD",(U68*(IF(O68="USD",P68,(P68/'Master Data-C19RM'!$C$2)))),(U68*(IF(O68="EUR",P68,(P68*'Master Data-C19RM'!$C$2)))))</f>
        <v>0</v>
      </c>
      <c r="W68" s="445">
        <f>IF($O68="USD",_xlfn.IFNA(VLOOKUP($A68&amp;$E68&amp;$I68,PMsheet!$J:$K,2,0),0),(_xlfn.IFNA(VLOOKUP($A68&amp;$E68&amp;$I68,PMsheet!$J:$K,2,0),0)*'Master Data-C19RM'!$D$2))</f>
        <v>0</v>
      </c>
      <c r="X68" s="440"/>
      <c r="Y68" s="440"/>
      <c r="Z68" s="440"/>
      <c r="AA68" s="440"/>
      <c r="AB68" s="482">
        <f t="shared" si="1"/>
        <v>0</v>
      </c>
      <c r="AC68" s="484">
        <f>IF(SETUP!$E$7="USD",(AB68*(IF(O68="USD",W68,(W68/'Master Data-C19RM'!$D$2)))),(AB68*(IF(O68="EUR",W68,(W68*'Master Data-C19RM'!$D$2)))))</f>
        <v>0</v>
      </c>
      <c r="AD68" s="445">
        <f>IF($O68="USD",_xlfn.IFNA(VLOOKUP($A68&amp;$E68&amp;$I68,PMsheet!$J:$K,2,0),0),(_xlfn.IFNA(VLOOKUP($A68&amp;$E68&amp;$I68,PMsheet!$J:$K,2,0),0)*'Master Data-C19RM'!$E$2))</f>
        <v>0</v>
      </c>
      <c r="AE68" s="440"/>
      <c r="AF68" s="440"/>
      <c r="AG68" s="440"/>
      <c r="AH68" s="440"/>
      <c r="AI68" s="514">
        <f t="shared" si="8"/>
        <v>0</v>
      </c>
      <c r="AJ68" s="515">
        <f>IF(SETUP!$E$7="USD",(AI68*(IF(O68="USD",AD68,(AD68/'Master Data-C19RM'!$E$2)))),(AI68*(IF(O68="EUR",AD68,(AD68*'Master Data-C19RM'!$E$2)))))</f>
        <v>0</v>
      </c>
      <c r="AK68" s="445">
        <f>IF($O68="USD",_xlfn.IFNA(VLOOKUP($A68&amp;$E68&amp;$I68,PMsheet!$J:$K,2,0),0),(_xlfn.IFNA(VLOOKUP($A68&amp;$E68&amp;$I68,PMsheet!$J:$K,2,0),0)*'Master Data-C19RM'!$F$2))</f>
        <v>0</v>
      </c>
      <c r="AL68" s="440"/>
      <c r="AM68" s="440"/>
      <c r="AN68" s="440"/>
      <c r="AO68" s="440"/>
      <c r="AP68" s="482">
        <f t="shared" si="3"/>
        <v>0</v>
      </c>
      <c r="AQ68" s="484">
        <f>IF(SETUP!$E$7="USD",(AP68*(IF(O68="USD",AK68,(AK68/'Master Data-C19RM'!$F$2)))),(AP68*(IF(O68="EUR",AK68,(AK68*'Master Data-C19RM'!$F$2)))))</f>
        <v>0</v>
      </c>
      <c r="AR68" s="445">
        <f>IF($O68="USD",_xlfn.IFNA(VLOOKUP($A68&amp;$E68&amp;$I68,PMsheet!$J:$K,2,0),0),(_xlfn.IFNA(VLOOKUP($A68&amp;$E68&amp;$I68,PMsheet!$J:$K,2,0),0)*'Master Data-C19RM'!$G$2))</f>
        <v>0</v>
      </c>
      <c r="AS68" s="440"/>
      <c r="AT68" s="440"/>
      <c r="AU68" s="440"/>
      <c r="AV68" s="440"/>
      <c r="AW68" s="482">
        <f t="shared" si="4"/>
        <v>0</v>
      </c>
      <c r="AX68" s="484">
        <f>IF(SETUP!$E$7="USD",(AW68*(IF(O68="USD",AR68,(AR68/'Master Data-C19RM'!$G$2)))),(AW68*(IF(O68="EUR",AR68,(AR68*'Master Data-C19RM'!$G$2)))))</f>
        <v>0</v>
      </c>
      <c r="AY68" s="843"/>
      <c r="AZ68" s="843"/>
      <c r="BA68" s="843"/>
      <c r="BB68" s="843"/>
      <c r="BC68" s="843"/>
      <c r="BD68" s="843"/>
      <c r="BE68" s="844"/>
      <c r="BF68" s="482">
        <f>'C19RM 2021-Lab &amp; Other HPS'!$U68+'C19RM 2021-Lab &amp; Other HPS'!$AB68+AI68+'C19RM 2021-Lab &amp; Other HPS'!$AP68+'C19RM 2021-Lab &amp; Other HPS'!$AW68+BD68</f>
        <v>0</v>
      </c>
      <c r="BG68" s="482">
        <f>'C19RM 2021-Lab &amp; Other HPS'!$V68+'C19RM 2021-Lab &amp; Other HPS'!$AC68+'C19RM 2021-Lab &amp; Other HPS'!$AQ68+'C19RM 2021-Lab &amp; Other HPS'!$AJ68+AX68+BE68</f>
        <v>0</v>
      </c>
      <c r="BH68" s="499" t="str" cm="1">
        <f t="array" ref="BH68">IF(A68&lt;&gt;"",IFERROR(INDEX(PMtbl[[WKst]:[Unit of measure*]],MATCH($A$8&amp;$A68&amp;$E68&amp;$I68,INDEX(PMtbl[Sec]&amp;PMtbl[Category]&amp;PMtbl[Each]&amp;PMtbl[Packaging],0,),0),11),""),"")</f>
        <v/>
      </c>
      <c r="BI68" s="818"/>
      <c r="BJ68" s="503" t="str">
        <f>IFERROR(INDEX(SETUP!$C$19:$G$121,MATCH((INDEX(PMtbl[[WKst]:[Unit of measure*]],MATCH($A68&amp;$E68&amp;$I68,INDEX(PMtbl[Category]&amp;PMtbl[Each]&amp;PMtbl[Packaging],0,),0),3)),SETUP!$D$19:$D$121,0),5),"")</f>
        <v/>
      </c>
      <c r="BK68" s="439"/>
      <c r="BL68" s="158"/>
      <c r="BO68" s="12">
        <f>IF(N68="",0,IF(SETUP!$E$7="USD",((IF(O68="USD",P68,(P68/'Master Data-C19RM'!$C$2)))),((IF(O68="EUR",P68,(P68*'Master Data-C19RM'!$C$2))))))</f>
        <v>0</v>
      </c>
      <c r="BP68" s="12">
        <f>IF(N68="",0,IF(SETUP!$E$7="USD",((IF(O68="USD",W68,(W68/'Master Data-C19RM'!$D$2)))),((IF(O68="EUR",W68,(W68*'Master Data-C19RM'!$D$2))))))</f>
        <v>0</v>
      </c>
      <c r="BQ68">
        <f>IF(N68="",0,IF(SETUP!$E$7="USD",((IF(O68="USD",AD68,(AD68/'Master Data-C19RM'!$E$2)))),((IF(O68="EUR",AD68,(AD68*'Master Data-C19RM'!$E$2))))))</f>
        <v>0</v>
      </c>
      <c r="BR68">
        <f>IF(N68="",0,IF(SETUP!$E$7="USD",((IF(O68="USD",AK68,(AK68/'Master Data-C19RM'!$F$2)))),((IF(O68="EUR",AK68,(AK68*'Master Data-C19RM'!$F$2))))))</f>
        <v>0</v>
      </c>
      <c r="BS68">
        <f>IF(N68="",0,IF(SETUP!$E$7="USD",((IF(O68="USD",AR68,(AR68/'Master Data-C19RM'!$G$2)))),((IF(O68="EUR",AR68,(AR68*'Master Data-C19RM'!$G$2))))))</f>
        <v>0</v>
      </c>
      <c r="BT68">
        <f>IF(N68="",0,IF(SETUP!$E$7="USD",((IF(O68="USD",AY68,(AY68/'Master Data-C19RM'!$H$2)))),((IF(O68="EUR",AY68,(AY68*'Master Data-C19RM'!$H$2))))))</f>
        <v>0</v>
      </c>
      <c r="BU68" s="12">
        <f t="shared" si="5"/>
        <v>0</v>
      </c>
      <c r="BV68" s="142">
        <f t="shared" si="6"/>
        <v>0</v>
      </c>
    </row>
    <row r="69" spans="1:74" ht="14.5" customHeight="1" x14ac:dyDescent="0.35">
      <c r="A69" s="1200"/>
      <c r="B69" s="1201"/>
      <c r="C69" s="1201"/>
      <c r="D69" s="1202"/>
      <c r="E69" s="1216"/>
      <c r="F69" s="1217"/>
      <c r="G69" s="1217"/>
      <c r="H69" s="1218"/>
      <c r="I69" s="1216"/>
      <c r="J69" s="1217"/>
      <c r="K69" s="1218"/>
      <c r="L69" s="490" t="str" cm="1">
        <f t="array" ref="L69">IF(A69&lt;&gt;"",IFERROR(INDEX(PMtbl[[WKst]:[Unit of measure*]],MATCH($A$8&amp;$A69&amp;$E69&amp;$I69,INDEX(PMtbl[Sec]&amp;PMtbl[Category]&amp;PMtbl[Each]&amp;PMtbl[Packaging],0,),0),14),""),"")</f>
        <v/>
      </c>
      <c r="M69" s="479" t="str">
        <f>IF(L69="","",INDEX(SETUP!$E$20:$E$122,(MATCH(INDEX(PMsheet!$D:$E,MATCH(A69,PMsheet!E:E,0),1),SETUP!$D$20:$D$122,0))))</f>
        <v/>
      </c>
      <c r="N69" s="496">
        <f>IF($O69="USD",_xlfn.IFNA(VLOOKUP(A69&amp;E69&amp;I69,PMsheet!J:K,2,0),0),(_xlfn.IFNA(VLOOKUP(A69&amp;E69&amp;I69,PMsheet!J:K,2,0),0)*'Master Data-C19RM'!$C$2))</f>
        <v>0</v>
      </c>
      <c r="O69" s="492" t="str">
        <f>IF(L69="", "",SETUP!$E$7)</f>
        <v/>
      </c>
      <c r="P69" s="444">
        <f>IF($O69="USD",_xlfn.IFNA(VLOOKUP($A69&amp;$E69&amp;$I69,PMsheet!$J:$K,2,0),0),(_xlfn.IFNA(VLOOKUP($A69&amp;$E69&amp;$I69,PMsheet!$J:$K,2,0),0)*'Master Data-C19RM'!$C$2))</f>
        <v>0</v>
      </c>
      <c r="Q69" s="441"/>
      <c r="R69" s="441"/>
      <c r="S69" s="441"/>
      <c r="T69" s="441"/>
      <c r="U69" s="481">
        <f t="shared" si="7"/>
        <v>0</v>
      </c>
      <c r="V69" s="483">
        <f>IF(SETUP!$E$7="USD",(U69*(IF(O69="USD",P69,(P69/'Master Data-C19RM'!$C$2)))),(U69*(IF(O69="EUR",P69,(P69*'Master Data-C19RM'!$C$2)))))</f>
        <v>0</v>
      </c>
      <c r="W69" s="444">
        <f>IF($O69="USD",_xlfn.IFNA(VLOOKUP($A69&amp;$E69&amp;$I69,PMsheet!$J:$K,2,0),0),(_xlfn.IFNA(VLOOKUP($A69&amp;$E69&amp;$I69,PMsheet!$J:$K,2,0),0)*'Master Data-C19RM'!$D$2))</f>
        <v>0</v>
      </c>
      <c r="X69" s="441"/>
      <c r="Y69" s="441"/>
      <c r="Z69" s="441"/>
      <c r="AA69" s="441"/>
      <c r="AB69" s="481">
        <f t="shared" si="1"/>
        <v>0</v>
      </c>
      <c r="AC69" s="483">
        <f>IF(SETUP!$E$7="USD",(AB69*(IF(O69="USD",W69,(W69/'Master Data-C19RM'!$D$2)))),(AB69*(IF(O69="EUR",W69,(W69*'Master Data-C19RM'!$D$2)))))</f>
        <v>0</v>
      </c>
      <c r="AD69" s="444">
        <f>IF($O69="USD",_xlfn.IFNA(VLOOKUP($A69&amp;$E69&amp;$I69,PMsheet!$J:$K,2,0),0),(_xlfn.IFNA(VLOOKUP($A69&amp;$E69&amp;$I69,PMsheet!$J:$K,2,0),0)*'Master Data-C19RM'!$E$2))</f>
        <v>0</v>
      </c>
      <c r="AE69" s="441"/>
      <c r="AF69" s="441"/>
      <c r="AG69" s="441"/>
      <c r="AH69" s="441"/>
      <c r="AI69" s="512">
        <f t="shared" si="8"/>
        <v>0</v>
      </c>
      <c r="AJ69" s="513">
        <f>IF(SETUP!$E$7="USD",(AI69*(IF(O69="USD",AD69,(AD69/'Master Data-C19RM'!$E$2)))),(AI69*(IF(O69="EUR",AD69,(AD69*'Master Data-C19RM'!$E$2)))))</f>
        <v>0</v>
      </c>
      <c r="AK69" s="444">
        <f>IF($O69="USD",_xlfn.IFNA(VLOOKUP($A69&amp;$E69&amp;$I69,PMsheet!$J:$K,2,0),0),(_xlfn.IFNA(VLOOKUP($A69&amp;$E69&amp;$I69,PMsheet!$J:$K,2,0),0)*'Master Data-C19RM'!$F$2))</f>
        <v>0</v>
      </c>
      <c r="AL69" s="441"/>
      <c r="AM69" s="441"/>
      <c r="AN69" s="441"/>
      <c r="AO69" s="441"/>
      <c r="AP69" s="481">
        <f t="shared" si="3"/>
        <v>0</v>
      </c>
      <c r="AQ69" s="483">
        <f>IF(SETUP!$E$7="USD",(AP69*(IF(O69="USD",AK69,(AK69/'Master Data-C19RM'!$F$2)))),(AP69*(IF(O69="EUR",AK69,(AK69*'Master Data-C19RM'!$F$2)))))</f>
        <v>0</v>
      </c>
      <c r="AR69" s="444">
        <f>IF($O69="USD",_xlfn.IFNA(VLOOKUP($A69&amp;$E69&amp;$I69,PMsheet!$J:$K,2,0),0),(_xlfn.IFNA(VLOOKUP($A69&amp;$E69&amp;$I69,PMsheet!$J:$K,2,0),0)*'Master Data-C19RM'!$G$2))</f>
        <v>0</v>
      </c>
      <c r="AS69" s="441"/>
      <c r="AT69" s="441"/>
      <c r="AU69" s="441"/>
      <c r="AV69" s="441"/>
      <c r="AW69" s="481">
        <f t="shared" si="4"/>
        <v>0</v>
      </c>
      <c r="AX69" s="483">
        <f>IF(SETUP!$E$7="USD",(AW69*(IF(O69="USD",AR69,(AR69/'Master Data-C19RM'!$G$2)))),(AW69*(IF(O69="EUR",AR69,(AR69*'Master Data-C19RM'!$G$2)))))</f>
        <v>0</v>
      </c>
      <c r="AY69" s="851"/>
      <c r="AZ69" s="851"/>
      <c r="BA69" s="851"/>
      <c r="BB69" s="851"/>
      <c r="BC69" s="851"/>
      <c r="BD69" s="851"/>
      <c r="BE69" s="852"/>
      <c r="BF69" s="481">
        <f>'C19RM 2021-Lab &amp; Other HPS'!$U69+'C19RM 2021-Lab &amp; Other HPS'!$AB69+AI69+'C19RM 2021-Lab &amp; Other HPS'!$AP69+'C19RM 2021-Lab &amp; Other HPS'!$AW69+BD69</f>
        <v>0</v>
      </c>
      <c r="BG69" s="481">
        <f>'C19RM 2021-Lab &amp; Other HPS'!$V69+'C19RM 2021-Lab &amp; Other HPS'!$AC69+'C19RM 2021-Lab &amp; Other HPS'!$AQ69+'C19RM 2021-Lab &amp; Other HPS'!$AJ69+AX69+BE69</f>
        <v>0</v>
      </c>
      <c r="BH69" s="500" t="str" cm="1">
        <f t="array" ref="BH69">IF(A69&lt;&gt;"",IFERROR(INDEX(PMtbl[[WKst]:[Unit of measure*]],MATCH($A$8&amp;$A69&amp;$E69&amp;$I69,INDEX(PMtbl[Sec]&amp;PMtbl[Category]&amp;PMtbl[Each]&amp;PMtbl[Packaging],0,),0),11),""),"")</f>
        <v/>
      </c>
      <c r="BI69" s="819"/>
      <c r="BJ69" s="502" t="str">
        <f>IFERROR(INDEX(SETUP!$C$19:$G$121,MATCH((INDEX(PMtbl[[WKst]:[Unit of measure*]],MATCH($A69&amp;$E69&amp;$I69,INDEX(PMtbl[Category]&amp;PMtbl[Each]&amp;PMtbl[Packaging],0,),0),3)),SETUP!$D$19:$D$121,0),5),"")</f>
        <v/>
      </c>
      <c r="BK69" s="438"/>
      <c r="BL69" s="157"/>
      <c r="BO69" s="12">
        <f>IF(N69="",0,IF(SETUP!$E$7="USD",((IF(O69="USD",P69,(P69/'Master Data-C19RM'!$C$2)))),((IF(O69="EUR",P69,(P69*'Master Data-C19RM'!$C$2))))))</f>
        <v>0</v>
      </c>
      <c r="BP69" s="12">
        <f>IF(N69="",0,IF(SETUP!$E$7="USD",((IF(O69="USD",W69,(W69/'Master Data-C19RM'!$D$2)))),((IF(O69="EUR",W69,(W69*'Master Data-C19RM'!$D$2))))))</f>
        <v>0</v>
      </c>
      <c r="BQ69">
        <f>IF(N69="",0,IF(SETUP!$E$7="USD",((IF(O69="USD",AD69,(AD69/'Master Data-C19RM'!$E$2)))),((IF(O69="EUR",AD69,(AD69*'Master Data-C19RM'!$E$2))))))</f>
        <v>0</v>
      </c>
      <c r="BR69">
        <f>IF(N69="",0,IF(SETUP!$E$7="USD",((IF(O69="USD",AK69,(AK69/'Master Data-C19RM'!$F$2)))),((IF(O69="EUR",AK69,(AK69*'Master Data-C19RM'!$F$2))))))</f>
        <v>0</v>
      </c>
      <c r="BS69">
        <f>IF(N69="",0,IF(SETUP!$E$7="USD",((IF(O69="USD",AR69,(AR69/'Master Data-C19RM'!$G$2)))),((IF(O69="EUR",AR69,(AR69*'Master Data-C19RM'!$G$2))))))</f>
        <v>0</v>
      </c>
      <c r="BT69">
        <f>IF(N69="",0,IF(SETUP!$E$7="USD",((IF(O69="USD",AY69,(AY69/'Master Data-C19RM'!$H$2)))),((IF(O69="EUR",AY69,(AY69*'Master Data-C19RM'!$H$2))))))</f>
        <v>0</v>
      </c>
      <c r="BU69" s="12">
        <f t="shared" si="5"/>
        <v>0</v>
      </c>
      <c r="BV69" s="142">
        <f t="shared" si="6"/>
        <v>0</v>
      </c>
    </row>
    <row r="70" spans="1:74" ht="14.5" customHeight="1" x14ac:dyDescent="0.35">
      <c r="A70" s="1192"/>
      <c r="B70" s="1192"/>
      <c r="C70" s="1192"/>
      <c r="D70" s="1192"/>
      <c r="E70" s="1173"/>
      <c r="F70" s="1173"/>
      <c r="G70" s="1173"/>
      <c r="H70" s="1173"/>
      <c r="I70" s="1173"/>
      <c r="J70" s="1173"/>
      <c r="K70" s="1173"/>
      <c r="L70" s="493" t="str" cm="1">
        <f t="array" ref="L70">IF(A70&lt;&gt;"",IFERROR(INDEX(PMtbl[[WKst]:[Unit of measure*]],MATCH($A$8&amp;$A70&amp;$E70&amp;$I70,INDEX(PMtbl[Sec]&amp;PMtbl[Category]&amp;PMtbl[Each]&amp;PMtbl[Packaging],0,),0),14),""),"")</f>
        <v/>
      </c>
      <c r="M70" s="480" t="str">
        <f>IF(L70="","",INDEX(SETUP!$E$20:$E$122,(MATCH(INDEX(PMsheet!$D:$E,MATCH(A70,PMsheet!E:E,0),1),SETUP!$D$20:$D$122,0))))</f>
        <v/>
      </c>
      <c r="N70" s="494">
        <f>IF($O70="USD",_xlfn.IFNA(VLOOKUP(A70&amp;E70&amp;I70,PMsheet!J:K,2,0),0),(_xlfn.IFNA(VLOOKUP(A70&amp;E70&amp;I70,PMsheet!J:K,2,0),0)*'Master Data-C19RM'!$C$2))</f>
        <v>0</v>
      </c>
      <c r="O70" s="495" t="str">
        <f>IF(L70="", "",SETUP!$E$7)</f>
        <v/>
      </c>
      <c r="P70" s="445">
        <f>IF($O70="USD",_xlfn.IFNA(VLOOKUP($A70&amp;$E70&amp;$I70,PMsheet!$J:$K,2,0),0),(_xlfn.IFNA(VLOOKUP($A70&amp;$E70&amp;$I70,PMsheet!$J:$K,2,0),0)*'Master Data-C19RM'!$C$2))</f>
        <v>0</v>
      </c>
      <c r="Q70" s="440"/>
      <c r="R70" s="440"/>
      <c r="S70" s="440"/>
      <c r="T70" s="440"/>
      <c r="U70" s="482">
        <f t="shared" si="7"/>
        <v>0</v>
      </c>
      <c r="V70" s="484">
        <f>IF(SETUP!$E$7="USD",(U70*(IF(O70="USD",P70,(P70/'Master Data-C19RM'!$C$2)))),(U70*(IF(O70="EUR",P70,(P70*'Master Data-C19RM'!$C$2)))))</f>
        <v>0</v>
      </c>
      <c r="W70" s="445">
        <f>IF($O70="USD",_xlfn.IFNA(VLOOKUP($A70&amp;$E70&amp;$I70,PMsheet!$J:$K,2,0),0),(_xlfn.IFNA(VLOOKUP($A70&amp;$E70&amp;$I70,PMsheet!$J:$K,2,0),0)*'Master Data-C19RM'!$D$2))</f>
        <v>0</v>
      </c>
      <c r="X70" s="440"/>
      <c r="Y70" s="440"/>
      <c r="Z70" s="440"/>
      <c r="AA70" s="440"/>
      <c r="AB70" s="482">
        <f t="shared" si="1"/>
        <v>0</v>
      </c>
      <c r="AC70" s="484">
        <f>IF(SETUP!$E$7="USD",(AB70*(IF(O70="USD",W70,(W70/'Master Data-C19RM'!$D$2)))),(AB70*(IF(O70="EUR",W70,(W70*'Master Data-C19RM'!$D$2)))))</f>
        <v>0</v>
      </c>
      <c r="AD70" s="445">
        <f>IF($O70="USD",_xlfn.IFNA(VLOOKUP($A70&amp;$E70&amp;$I70,PMsheet!$J:$K,2,0),0),(_xlfn.IFNA(VLOOKUP($A70&amp;$E70&amp;$I70,PMsheet!$J:$K,2,0),0)*'Master Data-C19RM'!$E$2))</f>
        <v>0</v>
      </c>
      <c r="AE70" s="440"/>
      <c r="AF70" s="440"/>
      <c r="AG70" s="440"/>
      <c r="AH70" s="440"/>
      <c r="AI70" s="514">
        <f t="shared" si="8"/>
        <v>0</v>
      </c>
      <c r="AJ70" s="515">
        <f>IF(SETUP!$E$7="USD",(AI70*(IF(O70="USD",AD70,(AD70/'Master Data-C19RM'!$E$2)))),(AI70*(IF(O70="EUR",AD70,(AD70*'Master Data-C19RM'!$E$2)))))</f>
        <v>0</v>
      </c>
      <c r="AK70" s="445">
        <f>IF($O70="USD",_xlfn.IFNA(VLOOKUP($A70&amp;$E70&amp;$I70,PMsheet!$J:$K,2,0),0),(_xlfn.IFNA(VLOOKUP($A70&amp;$E70&amp;$I70,PMsheet!$J:$K,2,0),0)*'Master Data-C19RM'!$F$2))</f>
        <v>0</v>
      </c>
      <c r="AL70" s="440"/>
      <c r="AM70" s="440"/>
      <c r="AN70" s="440"/>
      <c r="AO70" s="440"/>
      <c r="AP70" s="482">
        <f t="shared" si="3"/>
        <v>0</v>
      </c>
      <c r="AQ70" s="484">
        <f>IF(SETUP!$E$7="USD",(AP70*(IF(O70="USD",AK70,(AK70/'Master Data-C19RM'!$F$2)))),(AP70*(IF(O70="EUR",AK70,(AK70*'Master Data-C19RM'!$F$2)))))</f>
        <v>0</v>
      </c>
      <c r="AR70" s="445">
        <f>IF($O70="USD",_xlfn.IFNA(VLOOKUP($A70&amp;$E70&amp;$I70,PMsheet!$J:$K,2,0),0),(_xlfn.IFNA(VLOOKUP($A70&amp;$E70&amp;$I70,PMsheet!$J:$K,2,0),0)*'Master Data-C19RM'!$G$2))</f>
        <v>0</v>
      </c>
      <c r="AS70" s="440"/>
      <c r="AT70" s="440"/>
      <c r="AU70" s="440"/>
      <c r="AV70" s="440"/>
      <c r="AW70" s="482">
        <f t="shared" si="4"/>
        <v>0</v>
      </c>
      <c r="AX70" s="484">
        <f>IF(SETUP!$E$7="USD",(AW70*(IF(O70="USD",AR70,(AR70/'Master Data-C19RM'!$G$2)))),(AW70*(IF(O70="EUR",AR70,(AR70*'Master Data-C19RM'!$G$2)))))</f>
        <v>0</v>
      </c>
      <c r="AY70" s="843"/>
      <c r="AZ70" s="843"/>
      <c r="BA70" s="843"/>
      <c r="BB70" s="843"/>
      <c r="BC70" s="843"/>
      <c r="BD70" s="843"/>
      <c r="BE70" s="844"/>
      <c r="BF70" s="482">
        <f>'C19RM 2021-Lab &amp; Other HPS'!$U70+'C19RM 2021-Lab &amp; Other HPS'!$AB70+AI70+'C19RM 2021-Lab &amp; Other HPS'!$AP70+'C19RM 2021-Lab &amp; Other HPS'!$AW70+BD70</f>
        <v>0</v>
      </c>
      <c r="BG70" s="482">
        <f>'C19RM 2021-Lab &amp; Other HPS'!$V70+'C19RM 2021-Lab &amp; Other HPS'!$AC70+'C19RM 2021-Lab &amp; Other HPS'!$AQ70+'C19RM 2021-Lab &amp; Other HPS'!$AJ70+AX70+BE70</f>
        <v>0</v>
      </c>
      <c r="BH70" s="499" t="str" cm="1">
        <f t="array" ref="BH70">IF(A70&lt;&gt;"",IFERROR(INDEX(PMtbl[[WKst]:[Unit of measure*]],MATCH($A$8&amp;$A70&amp;$E70&amp;$I70,INDEX(PMtbl[Sec]&amp;PMtbl[Category]&amp;PMtbl[Each]&amp;PMtbl[Packaging],0,),0),11),""),"")</f>
        <v/>
      </c>
      <c r="BI70" s="818"/>
      <c r="BJ70" s="503" t="str">
        <f>IFERROR(INDEX(SETUP!$C$19:$G$121,MATCH((INDEX(PMtbl[[WKst]:[Unit of measure*]],MATCH($A70&amp;$E70&amp;$I70,INDEX(PMtbl[Category]&amp;PMtbl[Each]&amp;PMtbl[Packaging],0,),0),3)),SETUP!$D$19:$D$121,0),5),"")</f>
        <v/>
      </c>
      <c r="BK70" s="439"/>
      <c r="BL70" s="158"/>
      <c r="BO70" s="12">
        <f>IF(N70="",0,IF(SETUP!$E$7="USD",((IF(O70="USD",P70,(P70/'Master Data-C19RM'!$C$2)))),((IF(O70="EUR",P70,(P70*'Master Data-C19RM'!$C$2))))))</f>
        <v>0</v>
      </c>
      <c r="BP70" s="12">
        <f>IF(N70="",0,IF(SETUP!$E$7="USD",((IF(O70="USD",W70,(W70/'Master Data-C19RM'!$D$2)))),((IF(O70="EUR",W70,(W70*'Master Data-C19RM'!$D$2))))))</f>
        <v>0</v>
      </c>
      <c r="BQ70">
        <f>IF(N70="",0,IF(SETUP!$E$7="USD",((IF(O70="USD",AD70,(AD70/'Master Data-C19RM'!$E$2)))),((IF(O70="EUR",AD70,(AD70*'Master Data-C19RM'!$E$2))))))</f>
        <v>0</v>
      </c>
      <c r="BR70">
        <f>IF(N70="",0,IF(SETUP!$E$7="USD",((IF(O70="USD",AK70,(AK70/'Master Data-C19RM'!$F$2)))),((IF(O70="EUR",AK70,(AK70*'Master Data-C19RM'!$F$2))))))</f>
        <v>0</v>
      </c>
      <c r="BS70">
        <f>IF(N70="",0,IF(SETUP!$E$7="USD",((IF(O70="USD",AR70,(AR70/'Master Data-C19RM'!$G$2)))),((IF(O70="EUR",AR70,(AR70*'Master Data-C19RM'!$G$2))))))</f>
        <v>0</v>
      </c>
      <c r="BT70">
        <f>IF(N70="",0,IF(SETUP!$E$7="USD",((IF(O70="USD",AY70,(AY70/'Master Data-C19RM'!$H$2)))),((IF(O70="EUR",AY70,(AY70*'Master Data-C19RM'!$H$2))))))</f>
        <v>0</v>
      </c>
      <c r="BU70" s="12">
        <f t="shared" si="5"/>
        <v>0</v>
      </c>
      <c r="BV70" s="142">
        <f t="shared" si="6"/>
        <v>0</v>
      </c>
    </row>
    <row r="71" spans="1:74" ht="14.5" customHeight="1" x14ac:dyDescent="0.35">
      <c r="A71" s="1200"/>
      <c r="B71" s="1201"/>
      <c r="C71" s="1201"/>
      <c r="D71" s="1202"/>
      <c r="E71" s="1216"/>
      <c r="F71" s="1217"/>
      <c r="G71" s="1217"/>
      <c r="H71" s="1218"/>
      <c r="I71" s="1216"/>
      <c r="J71" s="1217"/>
      <c r="K71" s="1218"/>
      <c r="L71" s="490" t="str" cm="1">
        <f t="array" ref="L71">IF(A71&lt;&gt;"",IFERROR(INDEX(PMtbl[[WKst]:[Unit of measure*]],MATCH($A$8&amp;$A71&amp;$E71&amp;$I71,INDEX(PMtbl[Sec]&amp;PMtbl[Category]&amp;PMtbl[Each]&amp;PMtbl[Packaging],0,),0),14),""),"")</f>
        <v/>
      </c>
      <c r="M71" s="479" t="str">
        <f>IF(L71="","",INDEX(SETUP!$E$20:$E$122,(MATCH(INDEX(PMsheet!$D:$E,MATCH(A71,PMsheet!E:E,0),1),SETUP!$D$20:$D$122,0))))</f>
        <v/>
      </c>
      <c r="N71" s="496">
        <f>IF($O71="USD",_xlfn.IFNA(VLOOKUP(A71&amp;E71&amp;I71,PMsheet!J:K,2,0),0),(_xlfn.IFNA(VLOOKUP(A71&amp;E71&amp;I71,PMsheet!J:K,2,0),0)*'Master Data-C19RM'!$C$2))</f>
        <v>0</v>
      </c>
      <c r="O71" s="492" t="str">
        <f>IF(L71="", "",SETUP!$E$7)</f>
        <v/>
      </c>
      <c r="P71" s="444">
        <f>IF($O71="USD",_xlfn.IFNA(VLOOKUP($A71&amp;$E71&amp;$I71,PMsheet!$J:$K,2,0),0),(_xlfn.IFNA(VLOOKUP($A71&amp;$E71&amp;$I71,PMsheet!$J:$K,2,0),0)*'Master Data-C19RM'!$C$2))</f>
        <v>0</v>
      </c>
      <c r="Q71" s="441"/>
      <c r="R71" s="441"/>
      <c r="S71" s="441"/>
      <c r="T71" s="441"/>
      <c r="U71" s="481">
        <f t="shared" si="7"/>
        <v>0</v>
      </c>
      <c r="V71" s="483">
        <f>IF(SETUP!$E$7="USD",(U71*(IF(O71="USD",P71,(P71/'Master Data-C19RM'!$C$2)))),(U71*(IF(O71="EUR",P71,(P71*'Master Data-C19RM'!$C$2)))))</f>
        <v>0</v>
      </c>
      <c r="W71" s="444">
        <f>IF($O71="USD",_xlfn.IFNA(VLOOKUP($A71&amp;$E71&amp;$I71,PMsheet!$J:$K,2,0),0),(_xlfn.IFNA(VLOOKUP($A71&amp;$E71&amp;$I71,PMsheet!$J:$K,2,0),0)*'Master Data-C19RM'!$D$2))</f>
        <v>0</v>
      </c>
      <c r="X71" s="441"/>
      <c r="Y71" s="441"/>
      <c r="Z71" s="441"/>
      <c r="AA71" s="441"/>
      <c r="AB71" s="481">
        <f t="shared" si="1"/>
        <v>0</v>
      </c>
      <c r="AC71" s="483">
        <f>IF(SETUP!$E$7="USD",(AB71*(IF(O71="USD",W71,(W71/'Master Data-C19RM'!$D$2)))),(AB71*(IF(O71="EUR",W71,(W71*'Master Data-C19RM'!$D$2)))))</f>
        <v>0</v>
      </c>
      <c r="AD71" s="444">
        <f>IF($O71="USD",_xlfn.IFNA(VLOOKUP($A71&amp;$E71&amp;$I71,PMsheet!$J:$K,2,0),0),(_xlfn.IFNA(VLOOKUP($A71&amp;$E71&amp;$I71,PMsheet!$J:$K,2,0),0)*'Master Data-C19RM'!$E$2))</f>
        <v>0</v>
      </c>
      <c r="AE71" s="441"/>
      <c r="AF71" s="441"/>
      <c r="AG71" s="441"/>
      <c r="AH71" s="441"/>
      <c r="AI71" s="512">
        <f t="shared" si="8"/>
        <v>0</v>
      </c>
      <c r="AJ71" s="513">
        <f>IF(SETUP!$E$7="USD",(AI71*(IF(O71="USD",AD71,(AD71/'Master Data-C19RM'!$E$2)))),(AI71*(IF(O71="EUR",AD71,(AD71*'Master Data-C19RM'!$E$2)))))</f>
        <v>0</v>
      </c>
      <c r="AK71" s="444">
        <f>IF($O71="USD",_xlfn.IFNA(VLOOKUP($A71&amp;$E71&amp;$I71,PMsheet!$J:$K,2,0),0),(_xlfn.IFNA(VLOOKUP($A71&amp;$E71&amp;$I71,PMsheet!$J:$K,2,0),0)*'Master Data-C19RM'!$F$2))</f>
        <v>0</v>
      </c>
      <c r="AL71" s="441"/>
      <c r="AM71" s="441"/>
      <c r="AN71" s="441"/>
      <c r="AO71" s="441"/>
      <c r="AP71" s="481">
        <f t="shared" si="3"/>
        <v>0</v>
      </c>
      <c r="AQ71" s="483">
        <f>IF(SETUP!$E$7="USD",(AP71*(IF(O71="USD",AK71,(AK71/'Master Data-C19RM'!$F$2)))),(AP71*(IF(O71="EUR",AK71,(AK71*'Master Data-C19RM'!$F$2)))))</f>
        <v>0</v>
      </c>
      <c r="AR71" s="444">
        <f>IF($O71="USD",_xlfn.IFNA(VLOOKUP($A71&amp;$E71&amp;$I71,PMsheet!$J:$K,2,0),0),(_xlfn.IFNA(VLOOKUP($A71&amp;$E71&amp;$I71,PMsheet!$J:$K,2,0),0)*'Master Data-C19RM'!$G$2))</f>
        <v>0</v>
      </c>
      <c r="AS71" s="441"/>
      <c r="AT71" s="441"/>
      <c r="AU71" s="441"/>
      <c r="AV71" s="441"/>
      <c r="AW71" s="481">
        <f t="shared" si="4"/>
        <v>0</v>
      </c>
      <c r="AX71" s="483">
        <f>IF(SETUP!$E$7="USD",(AW71*(IF(O71="USD",AR71,(AR71/'Master Data-C19RM'!$G$2)))),(AW71*(IF(O71="EUR",AR71,(AR71*'Master Data-C19RM'!$G$2)))))</f>
        <v>0</v>
      </c>
      <c r="AY71" s="851"/>
      <c r="AZ71" s="851"/>
      <c r="BA71" s="851"/>
      <c r="BB71" s="851"/>
      <c r="BC71" s="851"/>
      <c r="BD71" s="851"/>
      <c r="BE71" s="852"/>
      <c r="BF71" s="481">
        <f>'C19RM 2021-Lab &amp; Other HPS'!$U71+'C19RM 2021-Lab &amp; Other HPS'!$AB71+AI71+'C19RM 2021-Lab &amp; Other HPS'!$AP71+'C19RM 2021-Lab &amp; Other HPS'!$AW71+BD71</f>
        <v>0</v>
      </c>
      <c r="BG71" s="481">
        <f>'C19RM 2021-Lab &amp; Other HPS'!$V71+'C19RM 2021-Lab &amp; Other HPS'!$AC71+'C19RM 2021-Lab &amp; Other HPS'!$AQ71+'C19RM 2021-Lab &amp; Other HPS'!$AJ71+AX71+BE71</f>
        <v>0</v>
      </c>
      <c r="BH71" s="500" t="str" cm="1">
        <f t="array" ref="BH71">IF(A71&lt;&gt;"",IFERROR(INDEX(PMtbl[[WKst]:[Unit of measure*]],MATCH($A$8&amp;$A71&amp;$E71&amp;$I71,INDEX(PMtbl[Sec]&amp;PMtbl[Category]&amp;PMtbl[Each]&amp;PMtbl[Packaging],0,),0),11),""),"")</f>
        <v/>
      </c>
      <c r="BI71" s="819"/>
      <c r="BJ71" s="502" t="str">
        <f>IFERROR(INDEX(SETUP!$C$19:$G$121,MATCH((INDEX(PMtbl[[WKst]:[Unit of measure*]],MATCH($A71&amp;$E71&amp;$I71,INDEX(PMtbl[Category]&amp;PMtbl[Each]&amp;PMtbl[Packaging],0,),0),3)),SETUP!$D$19:$D$121,0),5),"")</f>
        <v/>
      </c>
      <c r="BK71" s="438"/>
      <c r="BL71" s="157"/>
      <c r="BO71" s="12">
        <f>IF(N71="",0,IF(SETUP!$E$7="USD",((IF(O71="USD",P71,(P71/'Master Data-C19RM'!$C$2)))),((IF(O71="EUR",P71,(P71*'Master Data-C19RM'!$C$2))))))</f>
        <v>0</v>
      </c>
      <c r="BP71" s="12">
        <f>IF(N71="",0,IF(SETUP!$E$7="USD",((IF(O71="USD",W71,(W71/'Master Data-C19RM'!$D$2)))),((IF(O71="EUR",W71,(W71*'Master Data-C19RM'!$D$2))))))</f>
        <v>0</v>
      </c>
      <c r="BQ71">
        <f>IF(N71="",0,IF(SETUP!$E$7="USD",((IF(O71="USD",AD71,(AD71/'Master Data-C19RM'!$E$2)))),((IF(O71="EUR",AD71,(AD71*'Master Data-C19RM'!$E$2))))))</f>
        <v>0</v>
      </c>
      <c r="BR71">
        <f>IF(N71="",0,IF(SETUP!$E$7="USD",((IF(O71="USD",AK71,(AK71/'Master Data-C19RM'!$F$2)))),((IF(O71="EUR",AK71,(AK71*'Master Data-C19RM'!$F$2))))))</f>
        <v>0</v>
      </c>
      <c r="BS71">
        <f>IF(N71="",0,IF(SETUP!$E$7="USD",((IF(O71="USD",AR71,(AR71/'Master Data-C19RM'!$G$2)))),((IF(O71="EUR",AR71,(AR71*'Master Data-C19RM'!$G$2))))))</f>
        <v>0</v>
      </c>
      <c r="BT71">
        <f>IF(N71="",0,IF(SETUP!$E$7="USD",((IF(O71="USD",AY71,(AY71/'Master Data-C19RM'!$H$2)))),((IF(O71="EUR",AY71,(AY71*'Master Data-C19RM'!$H$2))))))</f>
        <v>0</v>
      </c>
      <c r="BU71" s="12">
        <f t="shared" si="5"/>
        <v>0</v>
      </c>
      <c r="BV71" s="142">
        <f t="shared" si="6"/>
        <v>0</v>
      </c>
    </row>
    <row r="72" spans="1:74" ht="14.5" customHeight="1" x14ac:dyDescent="0.35">
      <c r="A72" s="1192"/>
      <c r="B72" s="1192"/>
      <c r="C72" s="1192"/>
      <c r="D72" s="1192"/>
      <c r="E72" s="1173"/>
      <c r="F72" s="1173"/>
      <c r="G72" s="1173"/>
      <c r="H72" s="1173"/>
      <c r="I72" s="1173"/>
      <c r="J72" s="1173"/>
      <c r="K72" s="1173"/>
      <c r="L72" s="493" t="str" cm="1">
        <f t="array" ref="L72">IF(A72&lt;&gt;"",IFERROR(INDEX(PMtbl[[WKst]:[Unit of measure*]],MATCH($A$8&amp;$A72&amp;$E72&amp;$I72,INDEX(PMtbl[Sec]&amp;PMtbl[Category]&amp;PMtbl[Each]&amp;PMtbl[Packaging],0,),0),14),""),"")</f>
        <v/>
      </c>
      <c r="M72" s="480" t="str">
        <f>IF(L72="","",INDEX(SETUP!$E$20:$E$122,(MATCH(INDEX(PMsheet!$D:$E,MATCH(A72,PMsheet!E:E,0),1),SETUP!$D$20:$D$122,0))))</f>
        <v/>
      </c>
      <c r="N72" s="494">
        <f>IF($O72="USD",_xlfn.IFNA(VLOOKUP(A72&amp;E72&amp;I72,PMsheet!J:K,2,0),0),(_xlfn.IFNA(VLOOKUP(A72&amp;E72&amp;I72,PMsheet!J:K,2,0),0)*'Master Data-C19RM'!$C$2))</f>
        <v>0</v>
      </c>
      <c r="O72" s="495" t="str">
        <f>IF(L72="", "",SETUP!$E$7)</f>
        <v/>
      </c>
      <c r="P72" s="445">
        <f>IF($O72="USD",_xlfn.IFNA(VLOOKUP($A72&amp;$E72&amp;$I72,PMsheet!$J:$K,2,0),0),(_xlfn.IFNA(VLOOKUP($A72&amp;$E72&amp;$I72,PMsheet!$J:$K,2,0),0)*'Master Data-C19RM'!$C$2))</f>
        <v>0</v>
      </c>
      <c r="Q72" s="440"/>
      <c r="R72" s="440"/>
      <c r="S72" s="440"/>
      <c r="T72" s="440"/>
      <c r="U72" s="482">
        <f t="shared" si="7"/>
        <v>0</v>
      </c>
      <c r="V72" s="484">
        <f>IF(SETUP!$E$7="USD",(U72*(IF(O72="USD",P72,(P72/'Master Data-C19RM'!$C$2)))),(U72*(IF(O72="EUR",P72,(P72*'Master Data-C19RM'!$C$2)))))</f>
        <v>0</v>
      </c>
      <c r="W72" s="445">
        <f>IF($O72="USD",_xlfn.IFNA(VLOOKUP($A72&amp;$E72&amp;$I72,PMsheet!$J:$K,2,0),0),(_xlfn.IFNA(VLOOKUP($A72&amp;$E72&amp;$I72,PMsheet!$J:$K,2,0),0)*'Master Data-C19RM'!$D$2))</f>
        <v>0</v>
      </c>
      <c r="X72" s="440"/>
      <c r="Y72" s="440"/>
      <c r="Z72" s="440"/>
      <c r="AA72" s="440"/>
      <c r="AB72" s="482">
        <f t="shared" si="1"/>
        <v>0</v>
      </c>
      <c r="AC72" s="484">
        <f>IF(SETUP!$E$7="USD",(AB72*(IF(O72="USD",W72,(W72/'Master Data-C19RM'!$D$2)))),(AB72*(IF(O72="EUR",W72,(W72*'Master Data-C19RM'!$D$2)))))</f>
        <v>0</v>
      </c>
      <c r="AD72" s="445">
        <f>IF($O72="USD",_xlfn.IFNA(VLOOKUP($A72&amp;$E72&amp;$I72,PMsheet!$J:$K,2,0),0),(_xlfn.IFNA(VLOOKUP($A72&amp;$E72&amp;$I72,PMsheet!$J:$K,2,0),0)*'Master Data-C19RM'!$E$2))</f>
        <v>0</v>
      </c>
      <c r="AE72" s="440"/>
      <c r="AF72" s="440"/>
      <c r="AG72" s="440"/>
      <c r="AH72" s="440"/>
      <c r="AI72" s="514">
        <f t="shared" si="8"/>
        <v>0</v>
      </c>
      <c r="AJ72" s="515">
        <f>IF(SETUP!$E$7="USD",(AI72*(IF(O72="USD",AD72,(AD72/'Master Data-C19RM'!$E$2)))),(AI72*(IF(O72="EUR",AD72,(AD72*'Master Data-C19RM'!$E$2)))))</f>
        <v>0</v>
      </c>
      <c r="AK72" s="445">
        <f>IF($O72="USD",_xlfn.IFNA(VLOOKUP($A72&amp;$E72&amp;$I72,PMsheet!$J:$K,2,0),0),(_xlfn.IFNA(VLOOKUP($A72&amp;$E72&amp;$I72,PMsheet!$J:$K,2,0),0)*'Master Data-C19RM'!$F$2))</f>
        <v>0</v>
      </c>
      <c r="AL72" s="440"/>
      <c r="AM72" s="440"/>
      <c r="AN72" s="440"/>
      <c r="AO72" s="440"/>
      <c r="AP72" s="482">
        <f t="shared" si="3"/>
        <v>0</v>
      </c>
      <c r="AQ72" s="484">
        <f>IF(SETUP!$E$7="USD",(AP72*(IF(O72="USD",AK72,(AK72/'Master Data-C19RM'!$F$2)))),(AP72*(IF(O72="EUR",AK72,(AK72*'Master Data-C19RM'!$F$2)))))</f>
        <v>0</v>
      </c>
      <c r="AR72" s="445">
        <f>IF($O72="USD",_xlfn.IFNA(VLOOKUP($A72&amp;$E72&amp;$I72,PMsheet!$J:$K,2,0),0),(_xlfn.IFNA(VLOOKUP($A72&amp;$E72&amp;$I72,PMsheet!$J:$K,2,0),0)*'Master Data-C19RM'!$G$2))</f>
        <v>0</v>
      </c>
      <c r="AS72" s="440"/>
      <c r="AT72" s="440"/>
      <c r="AU72" s="440"/>
      <c r="AV72" s="440"/>
      <c r="AW72" s="482">
        <f t="shared" si="4"/>
        <v>0</v>
      </c>
      <c r="AX72" s="484">
        <f>IF(SETUP!$E$7="USD",(AW72*(IF(O72="USD",AR72,(AR72/'Master Data-C19RM'!$G$2)))),(AW72*(IF(O72="EUR",AR72,(AR72*'Master Data-C19RM'!$G$2)))))</f>
        <v>0</v>
      </c>
      <c r="AY72" s="843"/>
      <c r="AZ72" s="843"/>
      <c r="BA72" s="843"/>
      <c r="BB72" s="843"/>
      <c r="BC72" s="843"/>
      <c r="BD72" s="843"/>
      <c r="BE72" s="844"/>
      <c r="BF72" s="482">
        <f>'C19RM 2021-Lab &amp; Other HPS'!$U72+'C19RM 2021-Lab &amp; Other HPS'!$AB72+AI72+'C19RM 2021-Lab &amp; Other HPS'!$AP72+'C19RM 2021-Lab &amp; Other HPS'!$AW72+BD72</f>
        <v>0</v>
      </c>
      <c r="BG72" s="482">
        <f>'C19RM 2021-Lab &amp; Other HPS'!$V72+'C19RM 2021-Lab &amp; Other HPS'!$AC72+'C19RM 2021-Lab &amp; Other HPS'!$AQ72+'C19RM 2021-Lab &amp; Other HPS'!$AJ72+AX72+BE72</f>
        <v>0</v>
      </c>
      <c r="BH72" s="499" t="str" cm="1">
        <f t="array" ref="BH72">IF(A72&lt;&gt;"",IFERROR(INDEX(PMtbl[[WKst]:[Unit of measure*]],MATCH($A$8&amp;$A72&amp;$E72&amp;$I72,INDEX(PMtbl[Sec]&amp;PMtbl[Category]&amp;PMtbl[Each]&amp;PMtbl[Packaging],0,),0),11),""),"")</f>
        <v/>
      </c>
      <c r="BI72" s="818"/>
      <c r="BJ72" s="503" t="str">
        <f>IFERROR(INDEX(SETUP!$C$19:$G$121,MATCH((INDEX(PMtbl[[WKst]:[Unit of measure*]],MATCH($A72&amp;$E72&amp;$I72,INDEX(PMtbl[Category]&amp;PMtbl[Each]&amp;PMtbl[Packaging],0,),0),3)),SETUP!$D$19:$D$121,0),5),"")</f>
        <v/>
      </c>
      <c r="BK72" s="439"/>
      <c r="BL72" s="158"/>
      <c r="BO72" s="12">
        <f>IF(N72="",0,IF(SETUP!$E$7="USD",((IF(O72="USD",P72,(P72/'Master Data-C19RM'!$C$2)))),((IF(O72="EUR",P72,(P72*'Master Data-C19RM'!$C$2))))))</f>
        <v>0</v>
      </c>
      <c r="BP72" s="12">
        <f>IF(N72="",0,IF(SETUP!$E$7="USD",((IF(O72="USD",W72,(W72/'Master Data-C19RM'!$D$2)))),((IF(O72="EUR",W72,(W72*'Master Data-C19RM'!$D$2))))))</f>
        <v>0</v>
      </c>
      <c r="BQ72">
        <f>IF(N72="",0,IF(SETUP!$E$7="USD",((IF(O72="USD",AD72,(AD72/'Master Data-C19RM'!$E$2)))),((IF(O72="EUR",AD72,(AD72*'Master Data-C19RM'!$E$2))))))</f>
        <v>0</v>
      </c>
      <c r="BR72">
        <f>IF(N72="",0,IF(SETUP!$E$7="USD",((IF(O72="USD",AK72,(AK72/'Master Data-C19RM'!$F$2)))),((IF(O72="EUR",AK72,(AK72*'Master Data-C19RM'!$F$2))))))</f>
        <v>0</v>
      </c>
      <c r="BS72">
        <f>IF(N72="",0,IF(SETUP!$E$7="USD",((IF(O72="USD",AR72,(AR72/'Master Data-C19RM'!$G$2)))),((IF(O72="EUR",AR72,(AR72*'Master Data-C19RM'!$G$2))))))</f>
        <v>0</v>
      </c>
      <c r="BT72">
        <f>IF(N72="",0,IF(SETUP!$E$7="USD",((IF(O72="USD",AY72,(AY72/'Master Data-C19RM'!$H$2)))),((IF(O72="EUR",AY72,(AY72*'Master Data-C19RM'!$H$2))))))</f>
        <v>0</v>
      </c>
      <c r="BU72" s="12">
        <f t="shared" si="5"/>
        <v>0</v>
      </c>
      <c r="BV72" s="142">
        <f t="shared" si="6"/>
        <v>0</v>
      </c>
    </row>
    <row r="73" spans="1:74" ht="14.5" customHeight="1" x14ac:dyDescent="0.35">
      <c r="A73" s="1200"/>
      <c r="B73" s="1201"/>
      <c r="C73" s="1201"/>
      <c r="D73" s="1202"/>
      <c r="E73" s="1216"/>
      <c r="F73" s="1217"/>
      <c r="G73" s="1217"/>
      <c r="H73" s="1218"/>
      <c r="I73" s="1216"/>
      <c r="J73" s="1217"/>
      <c r="K73" s="1218"/>
      <c r="L73" s="490" t="str" cm="1">
        <f t="array" ref="L73">IF(A73&lt;&gt;"",IFERROR(INDEX(PMtbl[[WKst]:[Unit of measure*]],MATCH($A$8&amp;$A73&amp;$E73&amp;$I73,INDEX(PMtbl[Sec]&amp;PMtbl[Category]&amp;PMtbl[Each]&amp;PMtbl[Packaging],0,),0),14),""),"")</f>
        <v/>
      </c>
      <c r="M73" s="479" t="str">
        <f>IF(L73="","",INDEX(SETUP!$E$20:$E$122,(MATCH(INDEX(PMsheet!$D:$E,MATCH(A73,PMsheet!E:E,0),1),SETUP!$D$20:$D$122,0))))</f>
        <v/>
      </c>
      <c r="N73" s="496">
        <f>IF($O73="USD",_xlfn.IFNA(VLOOKUP(A73&amp;E73&amp;I73,PMsheet!J:K,2,0),0),(_xlfn.IFNA(VLOOKUP(A73&amp;E73&amp;I73,PMsheet!J:K,2,0),0)*'Master Data-C19RM'!$C$2))</f>
        <v>0</v>
      </c>
      <c r="O73" s="492" t="str">
        <f>IF(L73="", "",SETUP!$E$7)</f>
        <v/>
      </c>
      <c r="P73" s="444">
        <f>IF($O73="USD",_xlfn.IFNA(VLOOKUP($A73&amp;$E73&amp;$I73,PMsheet!$J:$K,2,0),0),(_xlfn.IFNA(VLOOKUP($A73&amp;$E73&amp;$I73,PMsheet!$J:$K,2,0),0)*'Master Data-C19RM'!$C$2))</f>
        <v>0</v>
      </c>
      <c r="Q73" s="441"/>
      <c r="R73" s="441"/>
      <c r="S73" s="441"/>
      <c r="T73" s="441"/>
      <c r="U73" s="481">
        <f t="shared" si="7"/>
        <v>0</v>
      </c>
      <c r="V73" s="483">
        <f>IF(SETUP!$E$7="USD",(U73*(IF(O73="USD",P73,(P73/'Master Data-C19RM'!$C$2)))),(U73*(IF(O73="EUR",P73,(P73*'Master Data-C19RM'!$C$2)))))</f>
        <v>0</v>
      </c>
      <c r="W73" s="444">
        <f>IF($O73="USD",_xlfn.IFNA(VLOOKUP($A73&amp;$E73&amp;$I73,PMsheet!$J:$K,2,0),0),(_xlfn.IFNA(VLOOKUP($A73&amp;$E73&amp;$I73,PMsheet!$J:$K,2,0),0)*'Master Data-C19RM'!$D$2))</f>
        <v>0</v>
      </c>
      <c r="X73" s="441"/>
      <c r="Y73" s="441"/>
      <c r="Z73" s="441"/>
      <c r="AA73" s="441"/>
      <c r="AB73" s="481">
        <f t="shared" si="1"/>
        <v>0</v>
      </c>
      <c r="AC73" s="483">
        <f>IF(SETUP!$E$7="USD",(AB73*(IF(O73="USD",W73,(W73/'Master Data-C19RM'!$D$2)))),(AB73*(IF(O73="EUR",W73,(W73*'Master Data-C19RM'!$D$2)))))</f>
        <v>0</v>
      </c>
      <c r="AD73" s="444">
        <f>IF($O73="USD",_xlfn.IFNA(VLOOKUP($A73&amp;$E73&amp;$I73,PMsheet!$J:$K,2,0),0),(_xlfn.IFNA(VLOOKUP($A73&amp;$E73&amp;$I73,PMsheet!$J:$K,2,0),0)*'Master Data-C19RM'!$E$2))</f>
        <v>0</v>
      </c>
      <c r="AE73" s="441"/>
      <c r="AF73" s="441"/>
      <c r="AG73" s="441"/>
      <c r="AH73" s="441"/>
      <c r="AI73" s="512">
        <f t="shared" si="8"/>
        <v>0</v>
      </c>
      <c r="AJ73" s="513">
        <f>IF(SETUP!$E$7="USD",(AI73*(IF(O73="USD",AD73,(AD73/'Master Data-C19RM'!$E$2)))),(AI73*(IF(O73="EUR",AD73,(AD73*'Master Data-C19RM'!$E$2)))))</f>
        <v>0</v>
      </c>
      <c r="AK73" s="444">
        <f>IF($O73="USD",_xlfn.IFNA(VLOOKUP($A73&amp;$E73&amp;$I73,PMsheet!$J:$K,2,0),0),(_xlfn.IFNA(VLOOKUP($A73&amp;$E73&amp;$I73,PMsheet!$J:$K,2,0),0)*'Master Data-C19RM'!$F$2))</f>
        <v>0</v>
      </c>
      <c r="AL73" s="441"/>
      <c r="AM73" s="441"/>
      <c r="AN73" s="441"/>
      <c r="AO73" s="441"/>
      <c r="AP73" s="481">
        <f t="shared" si="3"/>
        <v>0</v>
      </c>
      <c r="AQ73" s="483">
        <f>IF(SETUP!$E$7="USD",(AP73*(IF(O73="USD",AK73,(AK73/'Master Data-C19RM'!$F$2)))),(AP73*(IF(O73="EUR",AK73,(AK73*'Master Data-C19RM'!$F$2)))))</f>
        <v>0</v>
      </c>
      <c r="AR73" s="444">
        <f>IF($O73="USD",_xlfn.IFNA(VLOOKUP($A73&amp;$E73&amp;$I73,PMsheet!$J:$K,2,0),0),(_xlfn.IFNA(VLOOKUP($A73&amp;$E73&amp;$I73,PMsheet!$J:$K,2,0),0)*'Master Data-C19RM'!$G$2))</f>
        <v>0</v>
      </c>
      <c r="AS73" s="441"/>
      <c r="AT73" s="441"/>
      <c r="AU73" s="441"/>
      <c r="AV73" s="441"/>
      <c r="AW73" s="481">
        <f t="shared" si="4"/>
        <v>0</v>
      </c>
      <c r="AX73" s="483">
        <f>IF(SETUP!$E$7="USD",(AW73*(IF(O73="USD",AR73,(AR73/'Master Data-C19RM'!$G$2)))),(AW73*(IF(O73="EUR",AR73,(AR73*'Master Data-C19RM'!$G$2)))))</f>
        <v>0</v>
      </c>
      <c r="AY73" s="851"/>
      <c r="AZ73" s="851"/>
      <c r="BA73" s="851"/>
      <c r="BB73" s="851"/>
      <c r="BC73" s="851"/>
      <c r="BD73" s="851"/>
      <c r="BE73" s="852"/>
      <c r="BF73" s="481">
        <f>'C19RM 2021-Lab &amp; Other HPS'!$U73+'C19RM 2021-Lab &amp; Other HPS'!$AB73+AI73+'C19RM 2021-Lab &amp; Other HPS'!$AP73+'C19RM 2021-Lab &amp; Other HPS'!$AW73+BD73</f>
        <v>0</v>
      </c>
      <c r="BG73" s="481">
        <f>'C19RM 2021-Lab &amp; Other HPS'!$V73+'C19RM 2021-Lab &amp; Other HPS'!$AC73+'C19RM 2021-Lab &amp; Other HPS'!$AQ73+'C19RM 2021-Lab &amp; Other HPS'!$AJ73+AX73+BE73</f>
        <v>0</v>
      </c>
      <c r="BH73" s="500" t="str" cm="1">
        <f t="array" ref="BH73">IF(A73&lt;&gt;"",IFERROR(INDEX(PMtbl[[WKst]:[Unit of measure*]],MATCH($A$8&amp;$A73&amp;$E73&amp;$I73,INDEX(PMtbl[Sec]&amp;PMtbl[Category]&amp;PMtbl[Each]&amp;PMtbl[Packaging],0,),0),11),""),"")</f>
        <v/>
      </c>
      <c r="BI73" s="819"/>
      <c r="BJ73" s="502" t="str">
        <f>IFERROR(INDEX(SETUP!$C$19:$G$121,MATCH((INDEX(PMtbl[[WKst]:[Unit of measure*]],MATCH($A73&amp;$E73&amp;$I73,INDEX(PMtbl[Category]&amp;PMtbl[Each]&amp;PMtbl[Packaging],0,),0),3)),SETUP!$D$19:$D$121,0),5),"")</f>
        <v/>
      </c>
      <c r="BK73" s="438"/>
      <c r="BL73" s="157"/>
      <c r="BO73" s="12">
        <f>IF(N73="",0,IF(SETUP!$E$7="USD",((IF(O73="USD",P73,(P73/'Master Data-C19RM'!$C$2)))),((IF(O73="EUR",P73,(P73*'Master Data-C19RM'!$C$2))))))</f>
        <v>0</v>
      </c>
      <c r="BP73" s="12">
        <f>IF(N73="",0,IF(SETUP!$E$7="USD",((IF(O73="USD",W73,(W73/'Master Data-C19RM'!$D$2)))),((IF(O73="EUR",W73,(W73*'Master Data-C19RM'!$D$2))))))</f>
        <v>0</v>
      </c>
      <c r="BQ73">
        <f>IF(N73="",0,IF(SETUP!$E$7="USD",((IF(O73="USD",AD73,(AD73/'Master Data-C19RM'!$E$2)))),((IF(O73="EUR",AD73,(AD73*'Master Data-C19RM'!$E$2))))))</f>
        <v>0</v>
      </c>
      <c r="BR73">
        <f>IF(N73="",0,IF(SETUP!$E$7="USD",((IF(O73="USD",AK73,(AK73/'Master Data-C19RM'!$F$2)))),((IF(O73="EUR",AK73,(AK73*'Master Data-C19RM'!$F$2))))))</f>
        <v>0</v>
      </c>
      <c r="BS73">
        <f>IF(N73="",0,IF(SETUP!$E$7="USD",((IF(O73="USD",AR73,(AR73/'Master Data-C19RM'!$G$2)))),((IF(O73="EUR",AR73,(AR73*'Master Data-C19RM'!$G$2))))))</f>
        <v>0</v>
      </c>
      <c r="BT73">
        <f>IF(N73="",0,IF(SETUP!$E$7="USD",((IF(O73="USD",AY73,(AY73/'Master Data-C19RM'!$H$2)))),((IF(O73="EUR",AY73,(AY73*'Master Data-C19RM'!$H$2))))))</f>
        <v>0</v>
      </c>
      <c r="BU73" s="12">
        <f t="shared" si="5"/>
        <v>0</v>
      </c>
      <c r="BV73" s="142">
        <f t="shared" si="6"/>
        <v>0</v>
      </c>
    </row>
    <row r="74" spans="1:74" ht="14.5" customHeight="1" x14ac:dyDescent="0.35">
      <c r="A74" s="1192"/>
      <c r="B74" s="1192"/>
      <c r="C74" s="1192"/>
      <c r="D74" s="1192"/>
      <c r="E74" s="1173"/>
      <c r="F74" s="1173"/>
      <c r="G74" s="1173"/>
      <c r="H74" s="1173"/>
      <c r="I74" s="1173"/>
      <c r="J74" s="1173"/>
      <c r="K74" s="1173"/>
      <c r="L74" s="493" t="str" cm="1">
        <f t="array" ref="L74">IF(A74&lt;&gt;"",IFERROR(INDEX(PMtbl[[WKst]:[Unit of measure*]],MATCH($A$8&amp;$A74&amp;$E74&amp;$I74,INDEX(PMtbl[Sec]&amp;PMtbl[Category]&amp;PMtbl[Each]&amp;PMtbl[Packaging],0,),0),14),""),"")</f>
        <v/>
      </c>
      <c r="M74" s="480" t="str">
        <f>IF(L74="","",INDEX(SETUP!$E$20:$E$122,(MATCH(INDEX(PMsheet!$D:$E,MATCH(A74,PMsheet!E:E,0),1),SETUP!$D$20:$D$122,0))))</f>
        <v/>
      </c>
      <c r="N74" s="494">
        <f>IF($O74="USD",_xlfn.IFNA(VLOOKUP(A74&amp;E74&amp;I74,PMsheet!J:K,2,0),0),(_xlfn.IFNA(VLOOKUP(A74&amp;E74&amp;I74,PMsheet!J:K,2,0),0)*'Master Data-C19RM'!$C$2))</f>
        <v>0</v>
      </c>
      <c r="O74" s="495" t="str">
        <f>IF(L74="", "",SETUP!$E$7)</f>
        <v/>
      </c>
      <c r="P74" s="445">
        <f>IF($O74="USD",_xlfn.IFNA(VLOOKUP($A74&amp;$E74&amp;$I74,PMsheet!$J:$K,2,0),0),(_xlfn.IFNA(VLOOKUP($A74&amp;$E74&amp;$I74,PMsheet!$J:$K,2,0),0)*'Master Data-C19RM'!$C$2))</f>
        <v>0</v>
      </c>
      <c r="Q74" s="440"/>
      <c r="R74" s="440"/>
      <c r="S74" s="440"/>
      <c r="T74" s="440"/>
      <c r="U74" s="482">
        <f t="shared" si="7"/>
        <v>0</v>
      </c>
      <c r="V74" s="484">
        <f>IF(SETUP!$E$7="USD",(U74*(IF(O74="USD",P74,(P74/'Master Data-C19RM'!$C$2)))),(U74*(IF(O74="EUR",P74,(P74*'Master Data-C19RM'!$C$2)))))</f>
        <v>0</v>
      </c>
      <c r="W74" s="445">
        <f>IF($O74="USD",_xlfn.IFNA(VLOOKUP($A74&amp;$E74&amp;$I74,PMsheet!$J:$K,2,0),0),(_xlfn.IFNA(VLOOKUP($A74&amp;$E74&amp;$I74,PMsheet!$J:$K,2,0),0)*'Master Data-C19RM'!$D$2))</f>
        <v>0</v>
      </c>
      <c r="X74" s="440"/>
      <c r="Y74" s="440"/>
      <c r="Z74" s="440"/>
      <c r="AA74" s="440"/>
      <c r="AB74" s="482">
        <f t="shared" si="1"/>
        <v>0</v>
      </c>
      <c r="AC74" s="484">
        <f>IF(SETUP!$E$7="USD",(AB74*(IF(O74="USD",W74,(W74/'Master Data-C19RM'!$D$2)))),(AB74*(IF(O74="EUR",W74,(W74*'Master Data-C19RM'!$D$2)))))</f>
        <v>0</v>
      </c>
      <c r="AD74" s="445">
        <f>IF($O74="USD",_xlfn.IFNA(VLOOKUP($A74&amp;$E74&amp;$I74,PMsheet!$J:$K,2,0),0),(_xlfn.IFNA(VLOOKUP($A74&amp;$E74&amp;$I74,PMsheet!$J:$K,2,0),0)*'Master Data-C19RM'!$E$2))</f>
        <v>0</v>
      </c>
      <c r="AE74" s="440"/>
      <c r="AF74" s="440"/>
      <c r="AG74" s="440"/>
      <c r="AH74" s="440"/>
      <c r="AI74" s="514">
        <f t="shared" si="8"/>
        <v>0</v>
      </c>
      <c r="AJ74" s="515">
        <f>IF(SETUP!$E$7="USD",(AI74*(IF(O74="USD",AD74,(AD74/'Master Data-C19RM'!$E$2)))),(AI74*(IF(O74="EUR",AD74,(AD74*'Master Data-C19RM'!$E$2)))))</f>
        <v>0</v>
      </c>
      <c r="AK74" s="445">
        <f>IF($O74="USD",_xlfn.IFNA(VLOOKUP($A74&amp;$E74&amp;$I74,PMsheet!$J:$K,2,0),0),(_xlfn.IFNA(VLOOKUP($A74&amp;$E74&amp;$I74,PMsheet!$J:$K,2,0),0)*'Master Data-C19RM'!$F$2))</f>
        <v>0</v>
      </c>
      <c r="AL74" s="440"/>
      <c r="AM74" s="440"/>
      <c r="AN74" s="440"/>
      <c r="AO74" s="440"/>
      <c r="AP74" s="482">
        <f t="shared" si="3"/>
        <v>0</v>
      </c>
      <c r="AQ74" s="484">
        <f>IF(SETUP!$E$7="USD",(AP74*(IF(O74="USD",AK74,(AK74/'Master Data-C19RM'!$F$2)))),(AP74*(IF(O74="EUR",AK74,(AK74*'Master Data-C19RM'!$F$2)))))</f>
        <v>0</v>
      </c>
      <c r="AR74" s="445">
        <f>IF($O74="USD",_xlfn.IFNA(VLOOKUP($A74&amp;$E74&amp;$I74,PMsheet!$J:$K,2,0),0),(_xlfn.IFNA(VLOOKUP($A74&amp;$E74&amp;$I74,PMsheet!$J:$K,2,0),0)*'Master Data-C19RM'!$G$2))</f>
        <v>0</v>
      </c>
      <c r="AS74" s="440"/>
      <c r="AT74" s="440"/>
      <c r="AU74" s="440"/>
      <c r="AV74" s="440"/>
      <c r="AW74" s="482">
        <f t="shared" si="4"/>
        <v>0</v>
      </c>
      <c r="AX74" s="484">
        <f>IF(SETUP!$E$7="USD",(AW74*(IF(O74="USD",AR74,(AR74/'Master Data-C19RM'!$G$2)))),(AW74*(IF(O74="EUR",AR74,(AR74*'Master Data-C19RM'!$G$2)))))</f>
        <v>0</v>
      </c>
      <c r="AY74" s="843"/>
      <c r="AZ74" s="843"/>
      <c r="BA74" s="843"/>
      <c r="BB74" s="843"/>
      <c r="BC74" s="843"/>
      <c r="BD74" s="843"/>
      <c r="BE74" s="844"/>
      <c r="BF74" s="482">
        <f>'C19RM 2021-Lab &amp; Other HPS'!$U74+'C19RM 2021-Lab &amp; Other HPS'!$AB74+AI74+'C19RM 2021-Lab &amp; Other HPS'!$AP74+'C19RM 2021-Lab &amp; Other HPS'!$AW74+BD74</f>
        <v>0</v>
      </c>
      <c r="BG74" s="482">
        <f>'C19RM 2021-Lab &amp; Other HPS'!$V74+'C19RM 2021-Lab &amp; Other HPS'!$AC74+'C19RM 2021-Lab &amp; Other HPS'!$AQ74+'C19RM 2021-Lab &amp; Other HPS'!$AJ74+AX74+BE74</f>
        <v>0</v>
      </c>
      <c r="BH74" s="499" t="str" cm="1">
        <f t="array" ref="BH74">IF(A74&lt;&gt;"",IFERROR(INDEX(PMtbl[[WKst]:[Unit of measure*]],MATCH($A$8&amp;$A74&amp;$E74&amp;$I74,INDEX(PMtbl[Sec]&amp;PMtbl[Category]&amp;PMtbl[Each]&amp;PMtbl[Packaging],0,),0),11),""),"")</f>
        <v/>
      </c>
      <c r="BI74" s="818"/>
      <c r="BJ74" s="503" t="str">
        <f>IFERROR(INDEX(SETUP!$C$19:$G$121,MATCH((INDEX(PMtbl[[WKst]:[Unit of measure*]],MATCH($A74&amp;$E74&amp;$I74,INDEX(PMtbl[Category]&amp;PMtbl[Each]&amp;PMtbl[Packaging],0,),0),3)),SETUP!$D$19:$D$121,0),5),"")</f>
        <v/>
      </c>
      <c r="BK74" s="439"/>
      <c r="BL74" s="158"/>
      <c r="BO74" s="12">
        <f>IF(N74="",0,IF(SETUP!$E$7="USD",((IF(O74="USD",P74,(P74/'Master Data-C19RM'!$C$2)))),((IF(O74="EUR",P74,(P74*'Master Data-C19RM'!$C$2))))))</f>
        <v>0</v>
      </c>
      <c r="BP74" s="12">
        <f>IF(N74="",0,IF(SETUP!$E$7="USD",((IF(O74="USD",W74,(W74/'Master Data-C19RM'!$D$2)))),((IF(O74="EUR",W74,(W74*'Master Data-C19RM'!$D$2))))))</f>
        <v>0</v>
      </c>
      <c r="BQ74">
        <f>IF(N74="",0,IF(SETUP!$E$7="USD",((IF(O74="USD",AD74,(AD74/'Master Data-C19RM'!$E$2)))),((IF(O74="EUR",AD74,(AD74*'Master Data-C19RM'!$E$2))))))</f>
        <v>0</v>
      </c>
      <c r="BR74">
        <f>IF(N74="",0,IF(SETUP!$E$7="USD",((IF(O74="USD",AK74,(AK74/'Master Data-C19RM'!$F$2)))),((IF(O74="EUR",AK74,(AK74*'Master Data-C19RM'!$F$2))))))</f>
        <v>0</v>
      </c>
      <c r="BS74">
        <f>IF(N74="",0,IF(SETUP!$E$7="USD",((IF(O74="USD",AR74,(AR74/'Master Data-C19RM'!$G$2)))),((IF(O74="EUR",AR74,(AR74*'Master Data-C19RM'!$G$2))))))</f>
        <v>0</v>
      </c>
      <c r="BT74">
        <f>IF(N74="",0,IF(SETUP!$E$7="USD",((IF(O74="USD",AY74,(AY74/'Master Data-C19RM'!$H$2)))),((IF(O74="EUR",AY74,(AY74*'Master Data-C19RM'!$H$2))))))</f>
        <v>0</v>
      </c>
      <c r="BU74" s="12">
        <f t="shared" si="5"/>
        <v>0</v>
      </c>
      <c r="BV74" s="142">
        <f t="shared" si="6"/>
        <v>0</v>
      </c>
    </row>
    <row r="75" spans="1:74" ht="14.5" customHeight="1" x14ac:dyDescent="0.35">
      <c r="A75" s="1200"/>
      <c r="B75" s="1201"/>
      <c r="C75" s="1201"/>
      <c r="D75" s="1202"/>
      <c r="E75" s="1216"/>
      <c r="F75" s="1217"/>
      <c r="G75" s="1217"/>
      <c r="H75" s="1218"/>
      <c r="I75" s="1216"/>
      <c r="J75" s="1217"/>
      <c r="K75" s="1218"/>
      <c r="L75" s="490" t="str" cm="1">
        <f t="array" ref="L75">IF(A75&lt;&gt;"",IFERROR(INDEX(PMtbl[[WKst]:[Unit of measure*]],MATCH($A$8&amp;$A75&amp;$E75&amp;$I75,INDEX(PMtbl[Sec]&amp;PMtbl[Category]&amp;PMtbl[Each]&amp;PMtbl[Packaging],0,),0),14),""),"")</f>
        <v/>
      </c>
      <c r="M75" s="479" t="str">
        <f>IF(L75="","",INDEX(SETUP!$E$20:$E$122,(MATCH(INDEX(PMsheet!$D:$E,MATCH(A75,PMsheet!E:E,0),1),SETUP!$D$20:$D$122,0))))</f>
        <v/>
      </c>
      <c r="N75" s="496">
        <f>IF($O75="USD",_xlfn.IFNA(VLOOKUP(A75&amp;E75&amp;I75,PMsheet!J:K,2,0),0),(_xlfn.IFNA(VLOOKUP(A75&amp;E75&amp;I75,PMsheet!J:K,2,0),0)*'Master Data-C19RM'!$C$2))</f>
        <v>0</v>
      </c>
      <c r="O75" s="492" t="str">
        <f>IF(L75="", "",SETUP!$E$7)</f>
        <v/>
      </c>
      <c r="P75" s="444">
        <f>IF($O75="USD",_xlfn.IFNA(VLOOKUP($A75&amp;$E75&amp;$I75,PMsheet!$J:$K,2,0),0),(_xlfn.IFNA(VLOOKUP($A75&amp;$E75&amp;$I75,PMsheet!$J:$K,2,0),0)*'Master Data-C19RM'!$C$2))</f>
        <v>0</v>
      </c>
      <c r="Q75" s="441"/>
      <c r="R75" s="441"/>
      <c r="S75" s="441"/>
      <c r="T75" s="441"/>
      <c r="U75" s="481">
        <f t="shared" si="7"/>
        <v>0</v>
      </c>
      <c r="V75" s="483">
        <f>IF(SETUP!$E$7="USD",(U75*(IF(O75="USD",P75,(P75/'Master Data-C19RM'!$C$2)))),(U75*(IF(O75="EUR",P75,(P75*'Master Data-C19RM'!$C$2)))))</f>
        <v>0</v>
      </c>
      <c r="W75" s="444">
        <f>IF($O75="USD",_xlfn.IFNA(VLOOKUP($A75&amp;$E75&amp;$I75,PMsheet!$J:$K,2,0),0),(_xlfn.IFNA(VLOOKUP($A75&amp;$E75&amp;$I75,PMsheet!$J:$K,2,0),0)*'Master Data-C19RM'!$D$2))</f>
        <v>0</v>
      </c>
      <c r="X75" s="441"/>
      <c r="Y75" s="441"/>
      <c r="Z75" s="441"/>
      <c r="AA75" s="441"/>
      <c r="AB75" s="481">
        <f t="shared" si="1"/>
        <v>0</v>
      </c>
      <c r="AC75" s="483">
        <f>IF(SETUP!$E$7="USD",(AB75*(IF(O75="USD",W75,(W75/'Master Data-C19RM'!$D$2)))),(AB75*(IF(O75="EUR",W75,(W75*'Master Data-C19RM'!$D$2)))))</f>
        <v>0</v>
      </c>
      <c r="AD75" s="444">
        <f>IF($O75="USD",_xlfn.IFNA(VLOOKUP($A75&amp;$E75&amp;$I75,PMsheet!$J:$K,2,0),0),(_xlfn.IFNA(VLOOKUP($A75&amp;$E75&amp;$I75,PMsheet!$J:$K,2,0),0)*'Master Data-C19RM'!$E$2))</f>
        <v>0</v>
      </c>
      <c r="AE75" s="441"/>
      <c r="AF75" s="441"/>
      <c r="AG75" s="441"/>
      <c r="AH75" s="441"/>
      <c r="AI75" s="512">
        <f t="shared" si="8"/>
        <v>0</v>
      </c>
      <c r="AJ75" s="513">
        <f>IF(SETUP!$E$7="USD",(AI75*(IF(O75="USD",AD75,(AD75/'Master Data-C19RM'!$E$2)))),(AI75*(IF(O75="EUR",AD75,(AD75*'Master Data-C19RM'!$E$2)))))</f>
        <v>0</v>
      </c>
      <c r="AK75" s="444">
        <f>IF($O75="USD",_xlfn.IFNA(VLOOKUP($A75&amp;$E75&amp;$I75,PMsheet!$J:$K,2,0),0),(_xlfn.IFNA(VLOOKUP($A75&amp;$E75&amp;$I75,PMsheet!$J:$K,2,0),0)*'Master Data-C19RM'!$F$2))</f>
        <v>0</v>
      </c>
      <c r="AL75" s="441"/>
      <c r="AM75" s="441"/>
      <c r="AN75" s="441"/>
      <c r="AO75" s="441"/>
      <c r="AP75" s="481">
        <f t="shared" si="3"/>
        <v>0</v>
      </c>
      <c r="AQ75" s="483">
        <f>IF(SETUP!$E$7="USD",(AP75*(IF(O75="USD",AK75,(AK75/'Master Data-C19RM'!$F$2)))),(AP75*(IF(O75="EUR",AK75,(AK75*'Master Data-C19RM'!$F$2)))))</f>
        <v>0</v>
      </c>
      <c r="AR75" s="444">
        <f>IF($O75="USD",_xlfn.IFNA(VLOOKUP($A75&amp;$E75&amp;$I75,PMsheet!$J:$K,2,0),0),(_xlfn.IFNA(VLOOKUP($A75&amp;$E75&amp;$I75,PMsheet!$J:$K,2,0),0)*'Master Data-C19RM'!$G$2))</f>
        <v>0</v>
      </c>
      <c r="AS75" s="441"/>
      <c r="AT75" s="441"/>
      <c r="AU75" s="441"/>
      <c r="AV75" s="441"/>
      <c r="AW75" s="481">
        <f t="shared" si="4"/>
        <v>0</v>
      </c>
      <c r="AX75" s="483">
        <f>IF(SETUP!$E$7="USD",(AW75*(IF(O75="USD",AR75,(AR75/'Master Data-C19RM'!$G$2)))),(AW75*(IF(O75="EUR",AR75,(AR75*'Master Data-C19RM'!$G$2)))))</f>
        <v>0</v>
      </c>
      <c r="AY75" s="851"/>
      <c r="AZ75" s="851"/>
      <c r="BA75" s="851"/>
      <c r="BB75" s="851"/>
      <c r="BC75" s="851"/>
      <c r="BD75" s="851"/>
      <c r="BE75" s="852"/>
      <c r="BF75" s="481">
        <f>'C19RM 2021-Lab &amp; Other HPS'!$U75+'C19RM 2021-Lab &amp; Other HPS'!$AB75+AI75+'C19RM 2021-Lab &amp; Other HPS'!$AP75+'C19RM 2021-Lab &amp; Other HPS'!$AW75+BD75</f>
        <v>0</v>
      </c>
      <c r="BG75" s="481">
        <f>'C19RM 2021-Lab &amp; Other HPS'!$V75+'C19RM 2021-Lab &amp; Other HPS'!$AC75+'C19RM 2021-Lab &amp; Other HPS'!$AQ75+'C19RM 2021-Lab &amp; Other HPS'!$AJ75+AX75+BE75</f>
        <v>0</v>
      </c>
      <c r="BH75" s="500" t="str" cm="1">
        <f t="array" ref="BH75">IF(A75&lt;&gt;"",IFERROR(INDEX(PMtbl[[WKst]:[Unit of measure*]],MATCH($A$8&amp;$A75&amp;$E75&amp;$I75,INDEX(PMtbl[Sec]&amp;PMtbl[Category]&amp;PMtbl[Each]&amp;PMtbl[Packaging],0,),0),11),""),"")</f>
        <v/>
      </c>
      <c r="BI75" s="819"/>
      <c r="BJ75" s="502" t="str">
        <f>IFERROR(INDEX(SETUP!$C$19:$G$121,MATCH((INDEX(PMtbl[[WKst]:[Unit of measure*]],MATCH($A75&amp;$E75&amp;$I75,INDEX(PMtbl[Category]&amp;PMtbl[Each]&amp;PMtbl[Packaging],0,),0),3)),SETUP!$D$19:$D$121,0),5),"")</f>
        <v/>
      </c>
      <c r="BK75" s="438"/>
      <c r="BL75" s="157"/>
      <c r="BO75" s="12">
        <f>IF(N75="",0,IF(SETUP!$E$7="USD",((IF(O75="USD",P75,(P75/'Master Data-C19RM'!$C$2)))),((IF(O75="EUR",P75,(P75*'Master Data-C19RM'!$C$2))))))</f>
        <v>0</v>
      </c>
      <c r="BP75" s="12">
        <f>IF(N75="",0,IF(SETUP!$E$7="USD",((IF(O75="USD",W75,(W75/'Master Data-C19RM'!$D$2)))),((IF(O75="EUR",W75,(W75*'Master Data-C19RM'!$D$2))))))</f>
        <v>0</v>
      </c>
      <c r="BQ75">
        <f>IF(N75="",0,IF(SETUP!$E$7="USD",((IF(O75="USD",AD75,(AD75/'Master Data-C19RM'!$E$2)))),((IF(O75="EUR",AD75,(AD75*'Master Data-C19RM'!$E$2))))))</f>
        <v>0</v>
      </c>
      <c r="BR75">
        <f>IF(N75="",0,IF(SETUP!$E$7="USD",((IF(O75="USD",AK75,(AK75/'Master Data-C19RM'!$F$2)))),((IF(O75="EUR",AK75,(AK75*'Master Data-C19RM'!$F$2))))))</f>
        <v>0</v>
      </c>
      <c r="BS75">
        <f>IF(N75="",0,IF(SETUP!$E$7="USD",((IF(O75="USD",AR75,(AR75/'Master Data-C19RM'!$G$2)))),((IF(O75="EUR",AR75,(AR75*'Master Data-C19RM'!$G$2))))))</f>
        <v>0</v>
      </c>
      <c r="BT75">
        <f>IF(N75="",0,IF(SETUP!$E$7="USD",((IF(O75="USD",AY75,(AY75/'Master Data-C19RM'!$H$2)))),((IF(O75="EUR",AY75,(AY75*'Master Data-C19RM'!$H$2))))))</f>
        <v>0</v>
      </c>
      <c r="BU75" s="12">
        <f t="shared" si="5"/>
        <v>0</v>
      </c>
      <c r="BV75" s="142">
        <f t="shared" si="6"/>
        <v>0</v>
      </c>
    </row>
    <row r="76" spans="1:74" ht="14.5" customHeight="1" x14ac:dyDescent="0.35">
      <c r="A76" s="1192"/>
      <c r="B76" s="1192"/>
      <c r="C76" s="1192"/>
      <c r="D76" s="1192"/>
      <c r="E76" s="1173"/>
      <c r="F76" s="1173"/>
      <c r="G76" s="1173"/>
      <c r="H76" s="1173"/>
      <c r="I76" s="1173"/>
      <c r="J76" s="1173"/>
      <c r="K76" s="1173"/>
      <c r="L76" s="493" t="str" cm="1">
        <f t="array" ref="L76">IF(A76&lt;&gt;"",IFERROR(INDEX(PMtbl[[WKst]:[Unit of measure*]],MATCH($A$8&amp;$A76&amp;$E76&amp;$I76,INDEX(PMtbl[Sec]&amp;PMtbl[Category]&amp;PMtbl[Each]&amp;PMtbl[Packaging],0,),0),14),""),"")</f>
        <v/>
      </c>
      <c r="M76" s="480" t="str">
        <f>IF(L76="","",INDEX(SETUP!$E$20:$E$122,(MATCH(INDEX(PMsheet!$D:$E,MATCH(A76,PMsheet!E:E,0),1),SETUP!$D$20:$D$122,0))))</f>
        <v/>
      </c>
      <c r="N76" s="494">
        <f>IF($O76="USD",_xlfn.IFNA(VLOOKUP(A76&amp;E76&amp;I76,PMsheet!J:K,2,0),0),(_xlfn.IFNA(VLOOKUP(A76&amp;E76&amp;I76,PMsheet!J:K,2,0),0)*'Master Data-C19RM'!$C$2))</f>
        <v>0</v>
      </c>
      <c r="O76" s="495" t="str">
        <f>IF(L76="", "",SETUP!$E$7)</f>
        <v/>
      </c>
      <c r="P76" s="445">
        <f>IF($O76="USD",_xlfn.IFNA(VLOOKUP($A76&amp;$E76&amp;$I76,PMsheet!$J:$K,2,0),0),(_xlfn.IFNA(VLOOKUP($A76&amp;$E76&amp;$I76,PMsheet!$J:$K,2,0),0)*'Master Data-C19RM'!$C$2))</f>
        <v>0</v>
      </c>
      <c r="Q76" s="440"/>
      <c r="R76" s="440"/>
      <c r="S76" s="440"/>
      <c r="T76" s="440"/>
      <c r="U76" s="482">
        <f t="shared" si="7"/>
        <v>0</v>
      </c>
      <c r="V76" s="484">
        <f>IF(SETUP!$E$7="USD",(U76*(IF(O76="USD",P76,(P76/'Master Data-C19RM'!$C$2)))),(U76*(IF(O76="EUR",P76,(P76*'Master Data-C19RM'!$C$2)))))</f>
        <v>0</v>
      </c>
      <c r="W76" s="445">
        <f>IF($O76="USD",_xlfn.IFNA(VLOOKUP($A76&amp;$E76&amp;$I76,PMsheet!$J:$K,2,0),0),(_xlfn.IFNA(VLOOKUP($A76&amp;$E76&amp;$I76,PMsheet!$J:$K,2,0),0)*'Master Data-C19RM'!$D$2))</f>
        <v>0</v>
      </c>
      <c r="X76" s="440"/>
      <c r="Y76" s="440"/>
      <c r="Z76" s="440"/>
      <c r="AA76" s="440"/>
      <c r="AB76" s="482">
        <f t="shared" si="1"/>
        <v>0</v>
      </c>
      <c r="AC76" s="484">
        <f>IF(SETUP!$E$7="USD",(AB76*(IF(O76="USD",W76,(W76/'Master Data-C19RM'!$D$2)))),(AB76*(IF(O76="EUR",W76,(W76*'Master Data-C19RM'!$D$2)))))</f>
        <v>0</v>
      </c>
      <c r="AD76" s="445">
        <f>IF($O76="USD",_xlfn.IFNA(VLOOKUP($A76&amp;$E76&amp;$I76,PMsheet!$J:$K,2,0),0),(_xlfn.IFNA(VLOOKUP($A76&amp;$E76&amp;$I76,PMsheet!$J:$K,2,0),0)*'Master Data-C19RM'!$E$2))</f>
        <v>0</v>
      </c>
      <c r="AE76" s="440"/>
      <c r="AF76" s="440"/>
      <c r="AG76" s="440"/>
      <c r="AH76" s="440"/>
      <c r="AI76" s="514">
        <f t="shared" si="8"/>
        <v>0</v>
      </c>
      <c r="AJ76" s="515">
        <f>IF(SETUP!$E$7="USD",(AI76*(IF(O76="USD",AD76,(AD76/'Master Data-C19RM'!$E$2)))),(AI76*(IF(O76="EUR",AD76,(AD76*'Master Data-C19RM'!$E$2)))))</f>
        <v>0</v>
      </c>
      <c r="AK76" s="445">
        <f>IF($O76="USD",_xlfn.IFNA(VLOOKUP($A76&amp;$E76&amp;$I76,PMsheet!$J:$K,2,0),0),(_xlfn.IFNA(VLOOKUP($A76&amp;$E76&amp;$I76,PMsheet!$J:$K,2,0),0)*'Master Data-C19RM'!$F$2))</f>
        <v>0</v>
      </c>
      <c r="AL76" s="440"/>
      <c r="AM76" s="440"/>
      <c r="AN76" s="440"/>
      <c r="AO76" s="440"/>
      <c r="AP76" s="482">
        <f t="shared" si="3"/>
        <v>0</v>
      </c>
      <c r="AQ76" s="484">
        <f>IF(SETUP!$E$7="USD",(AP76*(IF(O76="USD",AK76,(AK76/'Master Data-C19RM'!$F$2)))),(AP76*(IF(O76="EUR",AK76,(AK76*'Master Data-C19RM'!$F$2)))))</f>
        <v>0</v>
      </c>
      <c r="AR76" s="445">
        <f>IF($O76="USD",_xlfn.IFNA(VLOOKUP($A76&amp;$E76&amp;$I76,PMsheet!$J:$K,2,0),0),(_xlfn.IFNA(VLOOKUP($A76&amp;$E76&amp;$I76,PMsheet!$J:$K,2,0),0)*'Master Data-C19RM'!$G$2))</f>
        <v>0</v>
      </c>
      <c r="AS76" s="440"/>
      <c r="AT76" s="440"/>
      <c r="AU76" s="440"/>
      <c r="AV76" s="440"/>
      <c r="AW76" s="482">
        <f t="shared" si="4"/>
        <v>0</v>
      </c>
      <c r="AX76" s="484">
        <f>IF(SETUP!$E$7="USD",(AW76*(IF(O76="USD",AR76,(AR76/'Master Data-C19RM'!$G$2)))),(AW76*(IF(O76="EUR",AR76,(AR76*'Master Data-C19RM'!$G$2)))))</f>
        <v>0</v>
      </c>
      <c r="AY76" s="843"/>
      <c r="AZ76" s="843"/>
      <c r="BA76" s="843"/>
      <c r="BB76" s="843"/>
      <c r="BC76" s="843"/>
      <c r="BD76" s="843"/>
      <c r="BE76" s="844"/>
      <c r="BF76" s="482">
        <f>'C19RM 2021-Lab &amp; Other HPS'!$U76+'C19RM 2021-Lab &amp; Other HPS'!$AB76+AI76+'C19RM 2021-Lab &amp; Other HPS'!$AP76+'C19RM 2021-Lab &amp; Other HPS'!$AW76+BD76</f>
        <v>0</v>
      </c>
      <c r="BG76" s="482">
        <f>'C19RM 2021-Lab &amp; Other HPS'!$V76+'C19RM 2021-Lab &amp; Other HPS'!$AC76+'C19RM 2021-Lab &amp; Other HPS'!$AQ76+'C19RM 2021-Lab &amp; Other HPS'!$AJ76+AX76+BE76</f>
        <v>0</v>
      </c>
      <c r="BH76" s="499" t="str" cm="1">
        <f t="array" ref="BH76">IF(A76&lt;&gt;"",IFERROR(INDEX(PMtbl[[WKst]:[Unit of measure*]],MATCH($A$8&amp;$A76&amp;$E76&amp;$I76,INDEX(PMtbl[Sec]&amp;PMtbl[Category]&amp;PMtbl[Each]&amp;PMtbl[Packaging],0,),0),11),""),"")</f>
        <v/>
      </c>
      <c r="BI76" s="818"/>
      <c r="BJ76" s="503" t="str">
        <f>IFERROR(INDEX(SETUP!$C$19:$G$121,MATCH((INDEX(PMtbl[[WKst]:[Unit of measure*]],MATCH($A76&amp;$E76&amp;$I76,INDEX(PMtbl[Category]&amp;PMtbl[Each]&amp;PMtbl[Packaging],0,),0),3)),SETUP!$D$19:$D$121,0),5),"")</f>
        <v/>
      </c>
      <c r="BK76" s="439"/>
      <c r="BL76" s="158"/>
      <c r="BO76" s="12">
        <f>IF(N76="",0,IF(SETUP!$E$7="USD",((IF(O76="USD",P76,(P76/'Master Data-C19RM'!$C$2)))),((IF(O76="EUR",P76,(P76*'Master Data-C19RM'!$C$2))))))</f>
        <v>0</v>
      </c>
      <c r="BP76" s="12">
        <f>IF(N76="",0,IF(SETUP!$E$7="USD",((IF(O76="USD",W76,(W76/'Master Data-C19RM'!$D$2)))),((IF(O76="EUR",W76,(W76*'Master Data-C19RM'!$D$2))))))</f>
        <v>0</v>
      </c>
      <c r="BQ76">
        <f>IF(N76="",0,IF(SETUP!$E$7="USD",((IF(O76="USD",AD76,(AD76/'Master Data-C19RM'!$E$2)))),((IF(O76="EUR",AD76,(AD76*'Master Data-C19RM'!$E$2))))))</f>
        <v>0</v>
      </c>
      <c r="BR76">
        <f>IF(N76="",0,IF(SETUP!$E$7="USD",((IF(O76="USD",AK76,(AK76/'Master Data-C19RM'!$F$2)))),((IF(O76="EUR",AK76,(AK76*'Master Data-C19RM'!$F$2))))))</f>
        <v>0</v>
      </c>
      <c r="BS76">
        <f>IF(N76="",0,IF(SETUP!$E$7="USD",((IF(O76="USD",AR76,(AR76/'Master Data-C19RM'!$G$2)))),((IF(O76="EUR",AR76,(AR76*'Master Data-C19RM'!$G$2))))))</f>
        <v>0</v>
      </c>
      <c r="BT76">
        <f>IF(N76="",0,IF(SETUP!$E$7="USD",((IF(O76="USD",AY76,(AY76/'Master Data-C19RM'!$H$2)))),((IF(O76="EUR",AY76,(AY76*'Master Data-C19RM'!$H$2))))))</f>
        <v>0</v>
      </c>
      <c r="BU76" s="12">
        <f t="shared" si="5"/>
        <v>0</v>
      </c>
      <c r="BV76" s="142">
        <f t="shared" si="6"/>
        <v>0</v>
      </c>
    </row>
    <row r="77" spans="1:74" ht="14.5" customHeight="1" x14ac:dyDescent="0.35">
      <c r="A77" s="1200"/>
      <c r="B77" s="1201"/>
      <c r="C77" s="1201"/>
      <c r="D77" s="1202"/>
      <c r="E77" s="1216"/>
      <c r="F77" s="1217"/>
      <c r="G77" s="1217"/>
      <c r="H77" s="1218"/>
      <c r="I77" s="1216"/>
      <c r="J77" s="1217"/>
      <c r="K77" s="1218"/>
      <c r="L77" s="490" t="str" cm="1">
        <f t="array" ref="L77">IF(A77&lt;&gt;"",IFERROR(INDEX(PMtbl[[WKst]:[Unit of measure*]],MATCH($A$8&amp;$A77&amp;$E77&amp;$I77,INDEX(PMtbl[Sec]&amp;PMtbl[Category]&amp;PMtbl[Each]&amp;PMtbl[Packaging],0,),0),14),""),"")</f>
        <v/>
      </c>
      <c r="M77" s="479" t="str">
        <f>IF(L77="","",INDEX(SETUP!$E$20:$E$122,(MATCH(INDEX(PMsheet!$D:$E,MATCH(A77,PMsheet!E:E,0),1),SETUP!$D$20:$D$122,0))))</f>
        <v/>
      </c>
      <c r="N77" s="496">
        <f>IF($O77="USD",_xlfn.IFNA(VLOOKUP(A77&amp;E77&amp;I77,PMsheet!J:K,2,0),0),(_xlfn.IFNA(VLOOKUP(A77&amp;E77&amp;I77,PMsheet!J:K,2,0),0)*'Master Data-C19RM'!$C$2))</f>
        <v>0</v>
      </c>
      <c r="O77" s="492" t="str">
        <f>IF(L77="", "",SETUP!$E$7)</f>
        <v/>
      </c>
      <c r="P77" s="444">
        <f>IF($O77="USD",_xlfn.IFNA(VLOOKUP($A77&amp;$E77&amp;$I77,PMsheet!$J:$K,2,0),0),(_xlfn.IFNA(VLOOKUP($A77&amp;$E77&amp;$I77,PMsheet!$J:$K,2,0),0)*'Master Data-C19RM'!$C$2))</f>
        <v>0</v>
      </c>
      <c r="Q77" s="441"/>
      <c r="R77" s="441"/>
      <c r="S77" s="441"/>
      <c r="T77" s="441"/>
      <c r="U77" s="481">
        <f t="shared" si="7"/>
        <v>0</v>
      </c>
      <c r="V77" s="483">
        <f>IF(SETUP!$E$7="USD",(U77*(IF(O77="USD",P77,(P77/'Master Data-C19RM'!$C$2)))),(U77*(IF(O77="EUR",P77,(P77*'Master Data-C19RM'!$C$2)))))</f>
        <v>0</v>
      </c>
      <c r="W77" s="444">
        <f>IF($O77="USD",_xlfn.IFNA(VLOOKUP($A77&amp;$E77&amp;$I77,PMsheet!$J:$K,2,0),0),(_xlfn.IFNA(VLOOKUP($A77&amp;$E77&amp;$I77,PMsheet!$J:$K,2,0),0)*'Master Data-C19RM'!$D$2))</f>
        <v>0</v>
      </c>
      <c r="X77" s="441"/>
      <c r="Y77" s="441"/>
      <c r="Z77" s="441"/>
      <c r="AA77" s="441"/>
      <c r="AB77" s="481">
        <f t="shared" si="1"/>
        <v>0</v>
      </c>
      <c r="AC77" s="483">
        <f>IF(SETUP!$E$7="USD",(AB77*(IF(O77="USD",W77,(W77/'Master Data-C19RM'!$D$2)))),(AB77*(IF(O77="EUR",W77,(W77*'Master Data-C19RM'!$D$2)))))</f>
        <v>0</v>
      </c>
      <c r="AD77" s="444">
        <f>IF($O77="USD",_xlfn.IFNA(VLOOKUP($A77&amp;$E77&amp;$I77,PMsheet!$J:$K,2,0),0),(_xlfn.IFNA(VLOOKUP($A77&amp;$E77&amp;$I77,PMsheet!$J:$K,2,0),0)*'Master Data-C19RM'!$E$2))</f>
        <v>0</v>
      </c>
      <c r="AE77" s="441"/>
      <c r="AF77" s="441"/>
      <c r="AG77" s="441"/>
      <c r="AH77" s="441"/>
      <c r="AI77" s="512">
        <f t="shared" si="8"/>
        <v>0</v>
      </c>
      <c r="AJ77" s="513">
        <f>IF(SETUP!$E$7="USD",(AI77*(IF(O77="USD",AD77,(AD77/'Master Data-C19RM'!$E$2)))),(AI77*(IF(O77="EUR",AD77,(AD77*'Master Data-C19RM'!$E$2)))))</f>
        <v>0</v>
      </c>
      <c r="AK77" s="444">
        <f>IF($O77="USD",_xlfn.IFNA(VLOOKUP($A77&amp;$E77&amp;$I77,PMsheet!$J:$K,2,0),0),(_xlfn.IFNA(VLOOKUP($A77&amp;$E77&amp;$I77,PMsheet!$J:$K,2,0),0)*'Master Data-C19RM'!$F$2))</f>
        <v>0</v>
      </c>
      <c r="AL77" s="441"/>
      <c r="AM77" s="441"/>
      <c r="AN77" s="441"/>
      <c r="AO77" s="441"/>
      <c r="AP77" s="481">
        <f t="shared" si="3"/>
        <v>0</v>
      </c>
      <c r="AQ77" s="483">
        <f>IF(SETUP!$E$7="USD",(AP77*(IF(O77="USD",AK77,(AK77/'Master Data-C19RM'!$F$2)))),(AP77*(IF(O77="EUR",AK77,(AK77*'Master Data-C19RM'!$F$2)))))</f>
        <v>0</v>
      </c>
      <c r="AR77" s="444">
        <f>IF($O77="USD",_xlfn.IFNA(VLOOKUP($A77&amp;$E77&amp;$I77,PMsheet!$J:$K,2,0),0),(_xlfn.IFNA(VLOOKUP($A77&amp;$E77&amp;$I77,PMsheet!$J:$K,2,0),0)*'Master Data-C19RM'!$G$2))</f>
        <v>0</v>
      </c>
      <c r="AS77" s="441"/>
      <c r="AT77" s="441"/>
      <c r="AU77" s="441"/>
      <c r="AV77" s="441"/>
      <c r="AW77" s="481">
        <f t="shared" si="4"/>
        <v>0</v>
      </c>
      <c r="AX77" s="483">
        <f>IF(SETUP!$E$7="USD",(AW77*(IF(O77="USD",AR77,(AR77/'Master Data-C19RM'!$G$2)))),(AW77*(IF(O77="EUR",AR77,(AR77*'Master Data-C19RM'!$G$2)))))</f>
        <v>0</v>
      </c>
      <c r="AY77" s="851"/>
      <c r="AZ77" s="851"/>
      <c r="BA77" s="851"/>
      <c r="BB77" s="851"/>
      <c r="BC77" s="851"/>
      <c r="BD77" s="851"/>
      <c r="BE77" s="852"/>
      <c r="BF77" s="481">
        <f>'C19RM 2021-Lab &amp; Other HPS'!$U77+'C19RM 2021-Lab &amp; Other HPS'!$AB77+AI77+'C19RM 2021-Lab &amp; Other HPS'!$AP77+'C19RM 2021-Lab &amp; Other HPS'!$AW77+BD77</f>
        <v>0</v>
      </c>
      <c r="BG77" s="481">
        <f>'C19RM 2021-Lab &amp; Other HPS'!$V77+'C19RM 2021-Lab &amp; Other HPS'!$AC77+'C19RM 2021-Lab &amp; Other HPS'!$AQ77+'C19RM 2021-Lab &amp; Other HPS'!$AJ77+AX77+BE77</f>
        <v>0</v>
      </c>
      <c r="BH77" s="500" t="str" cm="1">
        <f t="array" ref="BH77">IF(A77&lt;&gt;"",IFERROR(INDEX(PMtbl[[WKst]:[Unit of measure*]],MATCH($A$8&amp;$A77&amp;$E77&amp;$I77,INDEX(PMtbl[Sec]&amp;PMtbl[Category]&amp;PMtbl[Each]&amp;PMtbl[Packaging],0,),0),11),""),"")</f>
        <v/>
      </c>
      <c r="BI77" s="819"/>
      <c r="BJ77" s="502" t="str">
        <f>IFERROR(INDEX(SETUP!$C$19:$G$121,MATCH((INDEX(PMtbl[[WKst]:[Unit of measure*]],MATCH($A77&amp;$E77&amp;$I77,INDEX(PMtbl[Category]&amp;PMtbl[Each]&amp;PMtbl[Packaging],0,),0),3)),SETUP!$D$19:$D$121,0),5),"")</f>
        <v/>
      </c>
      <c r="BK77" s="438"/>
      <c r="BL77" s="157"/>
      <c r="BO77" s="12">
        <f>IF(N77="",0,IF(SETUP!$E$7="USD",((IF(O77="USD",P77,(P77/'Master Data-C19RM'!$C$2)))),((IF(O77="EUR",P77,(P77*'Master Data-C19RM'!$C$2))))))</f>
        <v>0</v>
      </c>
      <c r="BP77" s="12">
        <f>IF(N77="",0,IF(SETUP!$E$7="USD",((IF(O77="USD",W77,(W77/'Master Data-C19RM'!$D$2)))),((IF(O77="EUR",W77,(W77*'Master Data-C19RM'!$D$2))))))</f>
        <v>0</v>
      </c>
      <c r="BQ77">
        <f>IF(N77="",0,IF(SETUP!$E$7="USD",((IF(O77="USD",AD77,(AD77/'Master Data-C19RM'!$E$2)))),((IF(O77="EUR",AD77,(AD77*'Master Data-C19RM'!$E$2))))))</f>
        <v>0</v>
      </c>
      <c r="BR77">
        <f>IF(N77="",0,IF(SETUP!$E$7="USD",((IF(O77="USD",AK77,(AK77/'Master Data-C19RM'!$F$2)))),((IF(O77="EUR",AK77,(AK77*'Master Data-C19RM'!$F$2))))))</f>
        <v>0</v>
      </c>
      <c r="BS77">
        <f>IF(N77="",0,IF(SETUP!$E$7="USD",((IF(O77="USD",AR77,(AR77/'Master Data-C19RM'!$G$2)))),((IF(O77="EUR",AR77,(AR77*'Master Data-C19RM'!$G$2))))))</f>
        <v>0</v>
      </c>
      <c r="BT77">
        <f>IF(N77="",0,IF(SETUP!$E$7="USD",((IF(O77="USD",AY77,(AY77/'Master Data-C19RM'!$H$2)))),((IF(O77="EUR",AY77,(AY77*'Master Data-C19RM'!$H$2))))))</f>
        <v>0</v>
      </c>
      <c r="BU77" s="12">
        <f t="shared" si="5"/>
        <v>0</v>
      </c>
      <c r="BV77" s="142">
        <f t="shared" si="6"/>
        <v>0</v>
      </c>
    </row>
    <row r="78" spans="1:74" ht="14.5" customHeight="1" x14ac:dyDescent="0.35">
      <c r="A78" s="1192"/>
      <c r="B78" s="1192"/>
      <c r="C78" s="1192"/>
      <c r="D78" s="1192"/>
      <c r="E78" s="1173"/>
      <c r="F78" s="1173"/>
      <c r="G78" s="1173"/>
      <c r="H78" s="1173"/>
      <c r="I78" s="1173"/>
      <c r="J78" s="1173"/>
      <c r="K78" s="1173"/>
      <c r="L78" s="493" t="str" cm="1">
        <f t="array" ref="L78">IF(A78&lt;&gt;"",IFERROR(INDEX(PMtbl[[WKst]:[Unit of measure*]],MATCH($A$8&amp;$A78&amp;$E78&amp;$I78,INDEX(PMtbl[Sec]&amp;PMtbl[Category]&amp;PMtbl[Each]&amp;PMtbl[Packaging],0,),0),14),""),"")</f>
        <v/>
      </c>
      <c r="M78" s="480" t="str">
        <f>IF(L78="","",INDEX(SETUP!$E$20:$E$122,(MATCH(INDEX(PMsheet!$D:$E,MATCH(A78,PMsheet!E:E,0),1),SETUP!$D$20:$D$122,0))))</f>
        <v/>
      </c>
      <c r="N78" s="494">
        <f>IF($O78="USD",_xlfn.IFNA(VLOOKUP(A78&amp;E78&amp;I78,PMsheet!J:K,2,0),0),(_xlfn.IFNA(VLOOKUP(A78&amp;E78&amp;I78,PMsheet!J:K,2,0),0)*'Master Data-C19RM'!$C$2))</f>
        <v>0</v>
      </c>
      <c r="O78" s="495" t="str">
        <f>IF(L78="", "",SETUP!$E$7)</f>
        <v/>
      </c>
      <c r="P78" s="445">
        <f>IF($O78="USD",_xlfn.IFNA(VLOOKUP($A78&amp;$E78&amp;$I78,PMsheet!$J:$K,2,0),0),(_xlfn.IFNA(VLOOKUP($A78&amp;$E78&amp;$I78,PMsheet!$J:$K,2,0),0)*'Master Data-C19RM'!$C$2))</f>
        <v>0</v>
      </c>
      <c r="Q78" s="440"/>
      <c r="R78" s="440"/>
      <c r="S78" s="440"/>
      <c r="T78" s="440"/>
      <c r="U78" s="482">
        <f t="shared" si="7"/>
        <v>0</v>
      </c>
      <c r="V78" s="484">
        <f>IF(SETUP!$E$7="USD",(U78*(IF(O78="USD",P78,(P78/'Master Data-C19RM'!$C$2)))),(U78*(IF(O78="EUR",P78,(P78*'Master Data-C19RM'!$C$2)))))</f>
        <v>0</v>
      </c>
      <c r="W78" s="445">
        <f>IF($O78="USD",_xlfn.IFNA(VLOOKUP($A78&amp;$E78&amp;$I78,PMsheet!$J:$K,2,0),0),(_xlfn.IFNA(VLOOKUP($A78&amp;$E78&amp;$I78,PMsheet!$J:$K,2,0),0)*'Master Data-C19RM'!$D$2))</f>
        <v>0</v>
      </c>
      <c r="X78" s="440"/>
      <c r="Y78" s="440"/>
      <c r="Z78" s="440"/>
      <c r="AA78" s="440"/>
      <c r="AB78" s="482">
        <f t="shared" si="1"/>
        <v>0</v>
      </c>
      <c r="AC78" s="484">
        <f>IF(SETUP!$E$7="USD",(AB78*(IF(O78="USD",W78,(W78/'Master Data-C19RM'!$D$2)))),(AB78*(IF(O78="EUR",W78,(W78*'Master Data-C19RM'!$D$2)))))</f>
        <v>0</v>
      </c>
      <c r="AD78" s="445">
        <f>IF($O78="USD",_xlfn.IFNA(VLOOKUP($A78&amp;$E78&amp;$I78,PMsheet!$J:$K,2,0),0),(_xlfn.IFNA(VLOOKUP($A78&amp;$E78&amp;$I78,PMsheet!$J:$K,2,0),0)*'Master Data-C19RM'!$E$2))</f>
        <v>0</v>
      </c>
      <c r="AE78" s="440"/>
      <c r="AF78" s="440"/>
      <c r="AG78" s="440"/>
      <c r="AH78" s="440"/>
      <c r="AI78" s="514">
        <f t="shared" si="8"/>
        <v>0</v>
      </c>
      <c r="AJ78" s="515">
        <f>IF(SETUP!$E$7="USD",(AI78*(IF(O78="USD",AD78,(AD78/'Master Data-C19RM'!$E$2)))),(AI78*(IF(O78="EUR",AD78,(AD78*'Master Data-C19RM'!$E$2)))))</f>
        <v>0</v>
      </c>
      <c r="AK78" s="445">
        <f>IF($O78="USD",_xlfn.IFNA(VLOOKUP($A78&amp;$E78&amp;$I78,PMsheet!$J:$K,2,0),0),(_xlfn.IFNA(VLOOKUP($A78&amp;$E78&amp;$I78,PMsheet!$J:$K,2,0),0)*'Master Data-C19RM'!$F$2))</f>
        <v>0</v>
      </c>
      <c r="AL78" s="440"/>
      <c r="AM78" s="440"/>
      <c r="AN78" s="440"/>
      <c r="AO78" s="440"/>
      <c r="AP78" s="482">
        <f t="shared" si="3"/>
        <v>0</v>
      </c>
      <c r="AQ78" s="484">
        <f>IF(SETUP!$E$7="USD",(AP78*(IF(O78="USD",AK78,(AK78/'Master Data-C19RM'!$F$2)))),(AP78*(IF(O78="EUR",AK78,(AK78*'Master Data-C19RM'!$F$2)))))</f>
        <v>0</v>
      </c>
      <c r="AR78" s="445">
        <f>IF($O78="USD",_xlfn.IFNA(VLOOKUP($A78&amp;$E78&amp;$I78,PMsheet!$J:$K,2,0),0),(_xlfn.IFNA(VLOOKUP($A78&amp;$E78&amp;$I78,PMsheet!$J:$K,2,0),0)*'Master Data-C19RM'!$G$2))</f>
        <v>0</v>
      </c>
      <c r="AS78" s="440"/>
      <c r="AT78" s="440"/>
      <c r="AU78" s="440"/>
      <c r="AV78" s="440"/>
      <c r="AW78" s="482">
        <f t="shared" si="4"/>
        <v>0</v>
      </c>
      <c r="AX78" s="484">
        <f>IF(SETUP!$E$7="USD",(AW78*(IF(O78="USD",AR78,(AR78/'Master Data-C19RM'!$G$2)))),(AW78*(IF(O78="EUR",AR78,(AR78*'Master Data-C19RM'!$G$2)))))</f>
        <v>0</v>
      </c>
      <c r="AY78" s="843"/>
      <c r="AZ78" s="843"/>
      <c r="BA78" s="843"/>
      <c r="BB78" s="843"/>
      <c r="BC78" s="843"/>
      <c r="BD78" s="843"/>
      <c r="BE78" s="844"/>
      <c r="BF78" s="482">
        <f>'C19RM 2021-Lab &amp; Other HPS'!$U78+'C19RM 2021-Lab &amp; Other HPS'!$AB78+AI78+'C19RM 2021-Lab &amp; Other HPS'!$AP78+'C19RM 2021-Lab &amp; Other HPS'!$AW78+BD78</f>
        <v>0</v>
      </c>
      <c r="BG78" s="482">
        <f>'C19RM 2021-Lab &amp; Other HPS'!$V78+'C19RM 2021-Lab &amp; Other HPS'!$AC78+'C19RM 2021-Lab &amp; Other HPS'!$AQ78+'C19RM 2021-Lab &amp; Other HPS'!$AJ78+AX78+BE78</f>
        <v>0</v>
      </c>
      <c r="BH78" s="499" t="str" cm="1">
        <f t="array" ref="BH78">IF(A78&lt;&gt;"",IFERROR(INDEX(PMtbl[[WKst]:[Unit of measure*]],MATCH($A$8&amp;$A78&amp;$E78&amp;$I78,INDEX(PMtbl[Sec]&amp;PMtbl[Category]&amp;PMtbl[Each]&amp;PMtbl[Packaging],0,),0),11),""),"")</f>
        <v/>
      </c>
      <c r="BI78" s="818"/>
      <c r="BJ78" s="503" t="str">
        <f>IFERROR(INDEX(SETUP!$C$19:$G$121,MATCH((INDEX(PMtbl[[WKst]:[Unit of measure*]],MATCH($A78&amp;$E78&amp;$I78,INDEX(PMtbl[Category]&amp;PMtbl[Each]&amp;PMtbl[Packaging],0,),0),3)),SETUP!$D$19:$D$121,0),5),"")</f>
        <v/>
      </c>
      <c r="BK78" s="439"/>
      <c r="BL78" s="158"/>
      <c r="BO78" s="12">
        <f>IF(N78="",0,IF(SETUP!$E$7="USD",((IF(O78="USD",P78,(P78/'Master Data-C19RM'!$C$2)))),((IF(O78="EUR",P78,(P78*'Master Data-C19RM'!$C$2))))))</f>
        <v>0</v>
      </c>
      <c r="BP78" s="12">
        <f>IF(N78="",0,IF(SETUP!$E$7="USD",((IF(O78="USD",W78,(W78/'Master Data-C19RM'!$D$2)))),((IF(O78="EUR",W78,(W78*'Master Data-C19RM'!$D$2))))))</f>
        <v>0</v>
      </c>
      <c r="BQ78">
        <f>IF(N78="",0,IF(SETUP!$E$7="USD",((IF(O78="USD",AD78,(AD78/'Master Data-C19RM'!$E$2)))),((IF(O78="EUR",AD78,(AD78*'Master Data-C19RM'!$E$2))))))</f>
        <v>0</v>
      </c>
      <c r="BR78">
        <f>IF(N78="",0,IF(SETUP!$E$7="USD",((IF(O78="USD",AK78,(AK78/'Master Data-C19RM'!$F$2)))),((IF(O78="EUR",AK78,(AK78*'Master Data-C19RM'!$F$2))))))</f>
        <v>0</v>
      </c>
      <c r="BS78">
        <f>IF(N78="",0,IF(SETUP!$E$7="USD",((IF(O78="USD",AR78,(AR78/'Master Data-C19RM'!$G$2)))),((IF(O78="EUR",AR78,(AR78*'Master Data-C19RM'!$G$2))))))</f>
        <v>0</v>
      </c>
      <c r="BT78">
        <f>IF(N78="",0,IF(SETUP!$E$7="USD",((IF(O78="USD",AY78,(AY78/'Master Data-C19RM'!$H$2)))),((IF(O78="EUR",AY78,(AY78*'Master Data-C19RM'!$H$2))))))</f>
        <v>0</v>
      </c>
      <c r="BU78" s="12">
        <f t="shared" si="5"/>
        <v>0</v>
      </c>
      <c r="BV78" s="142">
        <f t="shared" si="6"/>
        <v>0</v>
      </c>
    </row>
    <row r="79" spans="1:74" ht="14.5" customHeight="1" x14ac:dyDescent="0.35">
      <c r="A79" s="1200"/>
      <c r="B79" s="1201"/>
      <c r="C79" s="1201"/>
      <c r="D79" s="1202"/>
      <c r="E79" s="1216"/>
      <c r="F79" s="1217"/>
      <c r="G79" s="1217"/>
      <c r="H79" s="1218"/>
      <c r="I79" s="1216"/>
      <c r="J79" s="1217"/>
      <c r="K79" s="1218"/>
      <c r="L79" s="490" t="str" cm="1">
        <f t="array" ref="L79">IF(A79&lt;&gt;"",IFERROR(INDEX(PMtbl[[WKst]:[Unit of measure*]],MATCH($A$8&amp;$A79&amp;$E79&amp;$I79,INDEX(PMtbl[Sec]&amp;PMtbl[Category]&amp;PMtbl[Each]&amp;PMtbl[Packaging],0,),0),14),""),"")</f>
        <v/>
      </c>
      <c r="M79" s="479" t="str">
        <f>IF(L79="","",INDEX(SETUP!$E$20:$E$122,(MATCH(INDEX(PMsheet!$D:$E,MATCH(A79,PMsheet!E:E,0),1),SETUP!$D$20:$D$122,0))))</f>
        <v/>
      </c>
      <c r="N79" s="496">
        <f>IF($O79="USD",_xlfn.IFNA(VLOOKUP(A79&amp;E79&amp;I79,PMsheet!J:K,2,0),0),(_xlfn.IFNA(VLOOKUP(A79&amp;E79&amp;I79,PMsheet!J:K,2,0),0)*'Master Data-C19RM'!$C$2))</f>
        <v>0</v>
      </c>
      <c r="O79" s="492" t="str">
        <f>IF(L79="", "",SETUP!$E$7)</f>
        <v/>
      </c>
      <c r="P79" s="444">
        <f>IF($O79="USD",_xlfn.IFNA(VLOOKUP($A79&amp;$E79&amp;$I79,PMsheet!$J:$K,2,0),0),(_xlfn.IFNA(VLOOKUP($A79&amp;$E79&amp;$I79,PMsheet!$J:$K,2,0),0)*'Master Data-C19RM'!$C$2))</f>
        <v>0</v>
      </c>
      <c r="Q79" s="441"/>
      <c r="R79" s="441"/>
      <c r="S79" s="441"/>
      <c r="T79" s="441"/>
      <c r="U79" s="481">
        <f t="shared" si="7"/>
        <v>0</v>
      </c>
      <c r="V79" s="483">
        <f>IF(SETUP!$E$7="USD",(U79*(IF(O79="USD",P79,(P79/'Master Data-C19RM'!$C$2)))),(U79*(IF(O79="EUR",P79,(P79*'Master Data-C19RM'!$C$2)))))</f>
        <v>0</v>
      </c>
      <c r="W79" s="444">
        <f>IF($O79="USD",_xlfn.IFNA(VLOOKUP($A79&amp;$E79&amp;$I79,PMsheet!$J:$K,2,0),0),(_xlfn.IFNA(VLOOKUP($A79&amp;$E79&amp;$I79,PMsheet!$J:$K,2,0),0)*'Master Data-C19RM'!$D$2))</f>
        <v>0</v>
      </c>
      <c r="X79" s="441"/>
      <c r="Y79" s="441"/>
      <c r="Z79" s="441"/>
      <c r="AA79" s="441"/>
      <c r="AB79" s="481">
        <f t="shared" si="1"/>
        <v>0</v>
      </c>
      <c r="AC79" s="483">
        <f>IF(SETUP!$E$7="USD",(AB79*(IF(O79="USD",W79,(W79/'Master Data-C19RM'!$D$2)))),(AB79*(IF(O79="EUR",W79,(W79*'Master Data-C19RM'!$D$2)))))</f>
        <v>0</v>
      </c>
      <c r="AD79" s="444">
        <f>IF($O79="USD",_xlfn.IFNA(VLOOKUP($A79&amp;$E79&amp;$I79,PMsheet!$J:$K,2,0),0),(_xlfn.IFNA(VLOOKUP($A79&amp;$E79&amp;$I79,PMsheet!$J:$K,2,0),0)*'Master Data-C19RM'!$E$2))</f>
        <v>0</v>
      </c>
      <c r="AE79" s="441"/>
      <c r="AF79" s="441"/>
      <c r="AG79" s="441"/>
      <c r="AH79" s="441"/>
      <c r="AI79" s="512">
        <f t="shared" si="8"/>
        <v>0</v>
      </c>
      <c r="AJ79" s="513">
        <f>IF(SETUP!$E$7="USD",(AI79*(IF(O79="USD",AD79,(AD79/'Master Data-C19RM'!$E$2)))),(AI79*(IF(O79="EUR",AD79,(AD79*'Master Data-C19RM'!$E$2)))))</f>
        <v>0</v>
      </c>
      <c r="AK79" s="444">
        <f>IF($O79="USD",_xlfn.IFNA(VLOOKUP($A79&amp;$E79&amp;$I79,PMsheet!$J:$K,2,0),0),(_xlfn.IFNA(VLOOKUP($A79&amp;$E79&amp;$I79,PMsheet!$J:$K,2,0),0)*'Master Data-C19RM'!$F$2))</f>
        <v>0</v>
      </c>
      <c r="AL79" s="441"/>
      <c r="AM79" s="441"/>
      <c r="AN79" s="441"/>
      <c r="AO79" s="441"/>
      <c r="AP79" s="481">
        <f t="shared" si="3"/>
        <v>0</v>
      </c>
      <c r="AQ79" s="483">
        <f>IF(SETUP!$E$7="USD",(AP79*(IF(O79="USD",AK79,(AK79/'Master Data-C19RM'!$F$2)))),(AP79*(IF(O79="EUR",AK79,(AK79*'Master Data-C19RM'!$F$2)))))</f>
        <v>0</v>
      </c>
      <c r="AR79" s="444">
        <f>IF($O79="USD",_xlfn.IFNA(VLOOKUP($A79&amp;$E79&amp;$I79,PMsheet!$J:$K,2,0),0),(_xlfn.IFNA(VLOOKUP($A79&amp;$E79&amp;$I79,PMsheet!$J:$K,2,0),0)*'Master Data-C19RM'!$G$2))</f>
        <v>0</v>
      </c>
      <c r="AS79" s="441"/>
      <c r="AT79" s="441"/>
      <c r="AU79" s="441"/>
      <c r="AV79" s="441"/>
      <c r="AW79" s="481">
        <f t="shared" ref="AW79:AW113" si="9">SUM($AS79:$AV79)</f>
        <v>0</v>
      </c>
      <c r="AX79" s="483">
        <f>IF(SETUP!$E$7="USD",(AW79*(IF(O79="USD",AR79,(AR79/'Master Data-C19RM'!$G$2)))),(AW79*(IF(O79="EUR",AR79,(AR79*'Master Data-C19RM'!$G$2)))))</f>
        <v>0</v>
      </c>
      <c r="AY79" s="851"/>
      <c r="AZ79" s="851"/>
      <c r="BA79" s="851"/>
      <c r="BB79" s="851"/>
      <c r="BC79" s="851"/>
      <c r="BD79" s="851"/>
      <c r="BE79" s="852"/>
      <c r="BF79" s="481">
        <f>'C19RM 2021-Lab &amp; Other HPS'!$U79+'C19RM 2021-Lab &amp; Other HPS'!$AB79+AI79+'C19RM 2021-Lab &amp; Other HPS'!$AP79+'C19RM 2021-Lab &amp; Other HPS'!$AW79+BD79</f>
        <v>0</v>
      </c>
      <c r="BG79" s="481">
        <f>'C19RM 2021-Lab &amp; Other HPS'!$V79+'C19RM 2021-Lab &amp; Other HPS'!$AC79+'C19RM 2021-Lab &amp; Other HPS'!$AQ79+'C19RM 2021-Lab &amp; Other HPS'!$AJ79+AX79+BE79</f>
        <v>0</v>
      </c>
      <c r="BH79" s="500" t="str" cm="1">
        <f t="array" ref="BH79">IF(A79&lt;&gt;"",IFERROR(INDEX(PMtbl[[WKst]:[Unit of measure*]],MATCH($A$8&amp;$A79&amp;$E79&amp;$I79,INDEX(PMtbl[Sec]&amp;PMtbl[Category]&amp;PMtbl[Each]&amp;PMtbl[Packaging],0,),0),11),""),"")</f>
        <v/>
      </c>
      <c r="BI79" s="819"/>
      <c r="BJ79" s="502" t="str">
        <f>IFERROR(INDEX(SETUP!$C$19:$G$121,MATCH((INDEX(PMtbl[[WKst]:[Unit of measure*]],MATCH($A79&amp;$E79&amp;$I79,INDEX(PMtbl[Category]&amp;PMtbl[Each]&amp;PMtbl[Packaging],0,),0),3)),SETUP!$D$19:$D$121,0),5),"")</f>
        <v/>
      </c>
      <c r="BK79" s="438"/>
      <c r="BL79" s="157"/>
      <c r="BO79" s="12">
        <f>IF(N79="",0,IF(SETUP!$E$7="USD",((IF(O79="USD",P79,(P79/'Master Data-C19RM'!$C$2)))),((IF(O79="EUR",P79,(P79*'Master Data-C19RM'!$C$2))))))</f>
        <v>0</v>
      </c>
      <c r="BP79" s="12">
        <f>IF(N79="",0,IF(SETUP!$E$7="USD",((IF(O79="USD",W79,(W79/'Master Data-C19RM'!$D$2)))),((IF(O79="EUR",W79,(W79*'Master Data-C19RM'!$D$2))))))</f>
        <v>0</v>
      </c>
      <c r="BQ79">
        <f>IF(N79="",0,IF(SETUP!$E$7="USD",((IF(O79="USD",AD79,(AD79/'Master Data-C19RM'!$E$2)))),((IF(O79="EUR",AD79,(AD79*'Master Data-C19RM'!$E$2))))))</f>
        <v>0</v>
      </c>
      <c r="BR79">
        <f>IF(N79="",0,IF(SETUP!$E$7="USD",((IF(O79="USD",AK79,(AK79/'Master Data-C19RM'!$F$2)))),((IF(O79="EUR",AK79,(AK79*'Master Data-C19RM'!$F$2))))))</f>
        <v>0</v>
      </c>
      <c r="BS79">
        <f>IF(N79="",0,IF(SETUP!$E$7="USD",((IF(O79="USD",AR79,(AR79/'Master Data-C19RM'!$G$2)))),((IF(O79="EUR",AR79,(AR79*'Master Data-C19RM'!$G$2))))))</f>
        <v>0</v>
      </c>
      <c r="BT79">
        <f>IF(N79="",0,IF(SETUP!$E$7="USD",((IF(O79="USD",AY79,(AY79/'Master Data-C19RM'!$H$2)))),((IF(O79="EUR",AY79,(AY79*'Master Data-C19RM'!$H$2))))))</f>
        <v>0</v>
      </c>
      <c r="BU79" s="12">
        <f t="shared" si="5"/>
        <v>0</v>
      </c>
      <c r="BV79" s="142">
        <f t="shared" si="6"/>
        <v>0</v>
      </c>
    </row>
    <row r="80" spans="1:74" ht="14.5" customHeight="1" x14ac:dyDescent="0.35">
      <c r="A80" s="1192"/>
      <c r="B80" s="1192"/>
      <c r="C80" s="1192"/>
      <c r="D80" s="1192"/>
      <c r="E80" s="1173"/>
      <c r="F80" s="1173"/>
      <c r="G80" s="1173"/>
      <c r="H80" s="1173"/>
      <c r="I80" s="1173"/>
      <c r="J80" s="1173"/>
      <c r="K80" s="1173"/>
      <c r="L80" s="493" t="str" cm="1">
        <f t="array" ref="L80">IF(A80&lt;&gt;"",IFERROR(INDEX(PMtbl[[WKst]:[Unit of measure*]],MATCH($A$8&amp;$A80&amp;$E80&amp;$I80,INDEX(PMtbl[Sec]&amp;PMtbl[Category]&amp;PMtbl[Each]&amp;PMtbl[Packaging],0,),0),14),""),"")</f>
        <v/>
      </c>
      <c r="M80" s="480" t="str">
        <f>IF(L80="","",INDEX(SETUP!$E$20:$E$122,(MATCH(INDEX(PMsheet!$D:$E,MATCH(A80,PMsheet!E:E,0),1),SETUP!$D$20:$D$122,0))))</f>
        <v/>
      </c>
      <c r="N80" s="494">
        <f>IF($O80="USD",_xlfn.IFNA(VLOOKUP(A80&amp;E80&amp;I80,PMsheet!J:K,2,0),0),(_xlfn.IFNA(VLOOKUP(A80&amp;E80&amp;I80,PMsheet!J:K,2,0),0)*'Master Data-C19RM'!$C$2))</f>
        <v>0</v>
      </c>
      <c r="O80" s="495" t="str">
        <f>IF(L80="", "",SETUP!$E$7)</f>
        <v/>
      </c>
      <c r="P80" s="445">
        <f>IF($O80="USD",_xlfn.IFNA(VLOOKUP($A80&amp;$E80&amp;$I80,PMsheet!$J:$K,2,0),0),(_xlfn.IFNA(VLOOKUP($A80&amp;$E80&amp;$I80,PMsheet!$J:$K,2,0),0)*'Master Data-C19RM'!$C$2))</f>
        <v>0</v>
      </c>
      <c r="Q80" s="440"/>
      <c r="R80" s="440"/>
      <c r="S80" s="440"/>
      <c r="T80" s="440"/>
      <c r="U80" s="482">
        <f t="shared" si="7"/>
        <v>0</v>
      </c>
      <c r="V80" s="484">
        <f>IF(SETUP!$E$7="USD",(U80*(IF(O80="USD",P80,(P80/'Master Data-C19RM'!$C$2)))),(U80*(IF(O80="EUR",P80,(P80*'Master Data-C19RM'!$C$2)))))</f>
        <v>0</v>
      </c>
      <c r="W80" s="445">
        <f>IF($O80="USD",_xlfn.IFNA(VLOOKUP($A80&amp;$E80&amp;$I80,PMsheet!$J:$K,2,0),0),(_xlfn.IFNA(VLOOKUP($A80&amp;$E80&amp;$I80,PMsheet!$J:$K,2,0),0)*'Master Data-C19RM'!$D$2))</f>
        <v>0</v>
      </c>
      <c r="X80" s="440"/>
      <c r="Y80" s="440"/>
      <c r="Z80" s="440"/>
      <c r="AA80" s="440"/>
      <c r="AB80" s="482">
        <f t="shared" si="1"/>
        <v>0</v>
      </c>
      <c r="AC80" s="484">
        <f>IF(SETUP!$E$7="USD",(AB80*(IF(O80="USD",W80,(W80/'Master Data-C19RM'!$D$2)))),(AB80*(IF(O80="EUR",W80,(W80*'Master Data-C19RM'!$D$2)))))</f>
        <v>0</v>
      </c>
      <c r="AD80" s="445">
        <f>IF($O80="USD",_xlfn.IFNA(VLOOKUP($A80&amp;$E80&amp;$I80,PMsheet!$J:$K,2,0),0),(_xlfn.IFNA(VLOOKUP($A80&amp;$E80&amp;$I80,PMsheet!$J:$K,2,0),0)*'Master Data-C19RM'!$E$2))</f>
        <v>0</v>
      </c>
      <c r="AE80" s="440"/>
      <c r="AF80" s="440"/>
      <c r="AG80" s="440"/>
      <c r="AH80" s="440"/>
      <c r="AI80" s="514">
        <f t="shared" si="8"/>
        <v>0</v>
      </c>
      <c r="AJ80" s="515">
        <f>IF(SETUP!$E$7="USD",(AI80*(IF(O80="USD",AD80,(AD80/'Master Data-C19RM'!$E$2)))),(AI80*(IF(O80="EUR",AD80,(AD80*'Master Data-C19RM'!$E$2)))))</f>
        <v>0</v>
      </c>
      <c r="AK80" s="445">
        <f>IF($O80="USD",_xlfn.IFNA(VLOOKUP($A80&amp;$E80&amp;$I80,PMsheet!$J:$K,2,0),0),(_xlfn.IFNA(VLOOKUP($A80&amp;$E80&amp;$I80,PMsheet!$J:$K,2,0),0)*'Master Data-C19RM'!$F$2))</f>
        <v>0</v>
      </c>
      <c r="AL80" s="440"/>
      <c r="AM80" s="440"/>
      <c r="AN80" s="440"/>
      <c r="AO80" s="440"/>
      <c r="AP80" s="482">
        <f t="shared" si="3"/>
        <v>0</v>
      </c>
      <c r="AQ80" s="484">
        <f>IF(SETUP!$E$7="USD",(AP80*(IF(O80="USD",AK80,(AK80/'Master Data-C19RM'!$F$2)))),(AP80*(IF(O80="EUR",AK80,(AK80*'Master Data-C19RM'!$F$2)))))</f>
        <v>0</v>
      </c>
      <c r="AR80" s="445">
        <f>IF($O80="USD",_xlfn.IFNA(VLOOKUP($A80&amp;$E80&amp;$I80,PMsheet!$J:$K,2,0),0),(_xlfn.IFNA(VLOOKUP($A80&amp;$E80&amp;$I80,PMsheet!$J:$K,2,0),0)*'Master Data-C19RM'!$G$2))</f>
        <v>0</v>
      </c>
      <c r="AS80" s="440"/>
      <c r="AT80" s="440"/>
      <c r="AU80" s="440"/>
      <c r="AV80" s="440"/>
      <c r="AW80" s="482">
        <f t="shared" si="9"/>
        <v>0</v>
      </c>
      <c r="AX80" s="484">
        <f>IF(SETUP!$E$7="USD",(AW80*(IF(O80="USD",AR80,(AR80/'Master Data-C19RM'!$G$2)))),(AW80*(IF(O80="EUR",AR80,(AR80*'Master Data-C19RM'!$G$2)))))</f>
        <v>0</v>
      </c>
      <c r="AY80" s="843"/>
      <c r="AZ80" s="843"/>
      <c r="BA80" s="843"/>
      <c r="BB80" s="843"/>
      <c r="BC80" s="843"/>
      <c r="BD80" s="843"/>
      <c r="BE80" s="844"/>
      <c r="BF80" s="482">
        <f>'C19RM 2021-Lab &amp; Other HPS'!$U80+'C19RM 2021-Lab &amp; Other HPS'!$AB80+AI80+'C19RM 2021-Lab &amp; Other HPS'!$AP80+'C19RM 2021-Lab &amp; Other HPS'!$AW80+BD80</f>
        <v>0</v>
      </c>
      <c r="BG80" s="482">
        <f>'C19RM 2021-Lab &amp; Other HPS'!$V80+'C19RM 2021-Lab &amp; Other HPS'!$AC80+'C19RM 2021-Lab &amp; Other HPS'!$AQ80+'C19RM 2021-Lab &amp; Other HPS'!$AJ80+AX80+BE80</f>
        <v>0</v>
      </c>
      <c r="BH80" s="499" t="str" cm="1">
        <f t="array" ref="BH80">IF(A80&lt;&gt;"",IFERROR(INDEX(PMtbl[[WKst]:[Unit of measure*]],MATCH($A$8&amp;$A80&amp;$E80&amp;$I80,INDEX(PMtbl[Sec]&amp;PMtbl[Category]&amp;PMtbl[Each]&amp;PMtbl[Packaging],0,),0),11),""),"")</f>
        <v/>
      </c>
      <c r="BI80" s="818"/>
      <c r="BJ80" s="503" t="str">
        <f>IFERROR(INDEX(SETUP!$C$19:$G$121,MATCH((INDEX(PMtbl[[WKst]:[Unit of measure*]],MATCH($A80&amp;$E80&amp;$I80,INDEX(PMtbl[Category]&amp;PMtbl[Each]&amp;PMtbl[Packaging],0,),0),3)),SETUP!$D$19:$D$121,0),5),"")</f>
        <v/>
      </c>
      <c r="BK80" s="439"/>
      <c r="BL80" s="158"/>
      <c r="BO80" s="12">
        <f>IF(N80="",0,IF(SETUP!$E$7="USD",((IF(O80="USD",P80,(P80/'Master Data-C19RM'!$C$2)))),((IF(O80="EUR",P80,(P80*'Master Data-C19RM'!$C$2))))))</f>
        <v>0</v>
      </c>
      <c r="BP80" s="12">
        <f>IF(N80="",0,IF(SETUP!$E$7="USD",((IF(O80="USD",W80,(W80/'Master Data-C19RM'!$D$2)))),((IF(O80="EUR",W80,(W80*'Master Data-C19RM'!$D$2))))))</f>
        <v>0</v>
      </c>
      <c r="BQ80">
        <f>IF(N80="",0,IF(SETUP!$E$7="USD",((IF(O80="USD",AD80,(AD80/'Master Data-C19RM'!$E$2)))),((IF(O80="EUR",AD80,(AD80*'Master Data-C19RM'!$E$2))))))</f>
        <v>0</v>
      </c>
      <c r="BR80">
        <f>IF(N80="",0,IF(SETUP!$E$7="USD",((IF(O80="USD",AK80,(AK80/'Master Data-C19RM'!$F$2)))),((IF(O80="EUR",AK80,(AK80*'Master Data-C19RM'!$F$2))))))</f>
        <v>0</v>
      </c>
      <c r="BS80">
        <f>IF(N80="",0,IF(SETUP!$E$7="USD",((IF(O80="USD",AR80,(AR80/'Master Data-C19RM'!$G$2)))),((IF(O80="EUR",AR80,(AR80*'Master Data-C19RM'!$G$2))))))</f>
        <v>0</v>
      </c>
      <c r="BT80">
        <f>IF(N80="",0,IF(SETUP!$E$7="USD",((IF(O80="USD",AY80,(AY80/'Master Data-C19RM'!$H$2)))),((IF(O80="EUR",AY80,(AY80*'Master Data-C19RM'!$H$2))))))</f>
        <v>0</v>
      </c>
      <c r="BU80" s="12">
        <f t="shared" si="5"/>
        <v>0</v>
      </c>
      <c r="BV80" s="142">
        <f t="shared" si="6"/>
        <v>0</v>
      </c>
    </row>
    <row r="81" spans="1:74" ht="14.5" customHeight="1" x14ac:dyDescent="0.35">
      <c r="A81" s="1200"/>
      <c r="B81" s="1201"/>
      <c r="C81" s="1201"/>
      <c r="D81" s="1202"/>
      <c r="E81" s="1216"/>
      <c r="F81" s="1217"/>
      <c r="G81" s="1217"/>
      <c r="H81" s="1218"/>
      <c r="I81" s="1216"/>
      <c r="J81" s="1217"/>
      <c r="K81" s="1218"/>
      <c r="L81" s="490" t="str" cm="1">
        <f t="array" ref="L81">IF(A81&lt;&gt;"",IFERROR(INDEX(PMtbl[[WKst]:[Unit of measure*]],MATCH($A$8&amp;$A81&amp;$E81&amp;$I81,INDEX(PMtbl[Sec]&amp;PMtbl[Category]&amp;PMtbl[Each]&amp;PMtbl[Packaging],0,),0),14),""),"")</f>
        <v/>
      </c>
      <c r="M81" s="479" t="str">
        <f>IF(L81="","",INDEX(SETUP!$E$20:$E$122,(MATCH(INDEX(PMsheet!$D:$E,MATCH(A81,PMsheet!E:E,0),1),SETUP!$D$20:$D$122,0))))</f>
        <v/>
      </c>
      <c r="N81" s="496">
        <f>IF($O81="USD",_xlfn.IFNA(VLOOKUP(A81&amp;E81&amp;I81,PMsheet!J:K,2,0),0),(_xlfn.IFNA(VLOOKUP(A81&amp;E81&amp;I81,PMsheet!J:K,2,0),0)*'Master Data-C19RM'!$C$2))</f>
        <v>0</v>
      </c>
      <c r="O81" s="492" t="str">
        <f>IF(L81="", "",SETUP!$E$7)</f>
        <v/>
      </c>
      <c r="P81" s="444">
        <f>IF($O81="USD",_xlfn.IFNA(VLOOKUP($A81&amp;$E81&amp;$I81,PMsheet!$J:$K,2,0),0),(_xlfn.IFNA(VLOOKUP($A81&amp;$E81&amp;$I81,PMsheet!$J:$K,2,0),0)*'Master Data-C19RM'!$C$2))</f>
        <v>0</v>
      </c>
      <c r="Q81" s="441"/>
      <c r="R81" s="441"/>
      <c r="S81" s="441"/>
      <c r="T81" s="441"/>
      <c r="U81" s="481">
        <f t="shared" si="7"/>
        <v>0</v>
      </c>
      <c r="V81" s="483">
        <f>IF(SETUP!$E$7="USD",(U81*(IF(O81="USD",P81,(P81/'Master Data-C19RM'!$C$2)))),(U81*(IF(O81="EUR",P81,(P81*'Master Data-C19RM'!$C$2)))))</f>
        <v>0</v>
      </c>
      <c r="W81" s="444">
        <f>IF($O81="USD",_xlfn.IFNA(VLOOKUP($A81&amp;$E81&amp;$I81,PMsheet!$J:$K,2,0),0),(_xlfn.IFNA(VLOOKUP($A81&amp;$E81&amp;$I81,PMsheet!$J:$K,2,0),0)*'Master Data-C19RM'!$D$2))</f>
        <v>0</v>
      </c>
      <c r="X81" s="441"/>
      <c r="Y81" s="441"/>
      <c r="Z81" s="441"/>
      <c r="AA81" s="441"/>
      <c r="AB81" s="481">
        <f t="shared" si="1"/>
        <v>0</v>
      </c>
      <c r="AC81" s="483">
        <f>IF(SETUP!$E$7="USD",(AB81*(IF(O81="USD",W81,(W81/'Master Data-C19RM'!$D$2)))),(AB81*(IF(O81="EUR",W81,(W81*'Master Data-C19RM'!$D$2)))))</f>
        <v>0</v>
      </c>
      <c r="AD81" s="444">
        <f>IF($O81="USD",_xlfn.IFNA(VLOOKUP($A81&amp;$E81&amp;$I81,PMsheet!$J:$K,2,0),0),(_xlfn.IFNA(VLOOKUP($A81&amp;$E81&amp;$I81,PMsheet!$J:$K,2,0),0)*'Master Data-C19RM'!$E$2))</f>
        <v>0</v>
      </c>
      <c r="AE81" s="441"/>
      <c r="AF81" s="441"/>
      <c r="AG81" s="441"/>
      <c r="AH81" s="441"/>
      <c r="AI81" s="512">
        <f t="shared" si="8"/>
        <v>0</v>
      </c>
      <c r="AJ81" s="513">
        <f>IF(SETUP!$E$7="USD",(AI81*(IF(O81="USD",AD81,(AD81/'Master Data-C19RM'!$E$2)))),(AI81*(IF(O81="EUR",AD81,(AD81*'Master Data-C19RM'!$E$2)))))</f>
        <v>0</v>
      </c>
      <c r="AK81" s="444">
        <f>IF($O81="USD",_xlfn.IFNA(VLOOKUP($A81&amp;$E81&amp;$I81,PMsheet!$J:$K,2,0),0),(_xlfn.IFNA(VLOOKUP($A81&amp;$E81&amp;$I81,PMsheet!$J:$K,2,0),0)*'Master Data-C19RM'!$F$2))</f>
        <v>0</v>
      </c>
      <c r="AL81" s="441"/>
      <c r="AM81" s="441"/>
      <c r="AN81" s="441"/>
      <c r="AO81" s="441"/>
      <c r="AP81" s="481">
        <f t="shared" si="3"/>
        <v>0</v>
      </c>
      <c r="AQ81" s="483">
        <f>IF(SETUP!$E$7="USD",(AP81*(IF(O81="USD",AK81,(AK81/'Master Data-C19RM'!$F$2)))),(AP81*(IF(O81="EUR",AK81,(AK81*'Master Data-C19RM'!$F$2)))))</f>
        <v>0</v>
      </c>
      <c r="AR81" s="444">
        <f>IF($O81="USD",_xlfn.IFNA(VLOOKUP($A81&amp;$E81&amp;$I81,PMsheet!$J:$K,2,0),0),(_xlfn.IFNA(VLOOKUP($A81&amp;$E81&amp;$I81,PMsheet!$J:$K,2,0),0)*'Master Data-C19RM'!$G$2))</f>
        <v>0</v>
      </c>
      <c r="AS81" s="441"/>
      <c r="AT81" s="441"/>
      <c r="AU81" s="441"/>
      <c r="AV81" s="441"/>
      <c r="AW81" s="481">
        <f t="shared" si="9"/>
        <v>0</v>
      </c>
      <c r="AX81" s="483">
        <f>IF(SETUP!$E$7="USD",(AW81*(IF(O81="USD",AR81,(AR81/'Master Data-C19RM'!$G$2)))),(AW81*(IF(O81="EUR",AR81,(AR81*'Master Data-C19RM'!$G$2)))))</f>
        <v>0</v>
      </c>
      <c r="AY81" s="851"/>
      <c r="AZ81" s="851"/>
      <c r="BA81" s="851"/>
      <c r="BB81" s="851"/>
      <c r="BC81" s="851"/>
      <c r="BD81" s="851"/>
      <c r="BE81" s="852"/>
      <c r="BF81" s="481">
        <f>'C19RM 2021-Lab &amp; Other HPS'!$U81+'C19RM 2021-Lab &amp; Other HPS'!$AB81+AI81+'C19RM 2021-Lab &amp; Other HPS'!$AP81+'C19RM 2021-Lab &amp; Other HPS'!$AW81+BD81</f>
        <v>0</v>
      </c>
      <c r="BG81" s="481">
        <f>'C19RM 2021-Lab &amp; Other HPS'!$V81+'C19RM 2021-Lab &amp; Other HPS'!$AC81+'C19RM 2021-Lab &amp; Other HPS'!$AQ81+'C19RM 2021-Lab &amp; Other HPS'!$AJ81+AX81+BE81</f>
        <v>0</v>
      </c>
      <c r="BH81" s="500" t="str" cm="1">
        <f t="array" ref="BH81">IF(A81&lt;&gt;"",IFERROR(INDEX(PMtbl[[WKst]:[Unit of measure*]],MATCH($A$8&amp;$A81&amp;$E81&amp;$I81,INDEX(PMtbl[Sec]&amp;PMtbl[Category]&amp;PMtbl[Each]&amp;PMtbl[Packaging],0,),0),11),""),"")</f>
        <v/>
      </c>
      <c r="BI81" s="819"/>
      <c r="BJ81" s="502" t="str">
        <f>IFERROR(INDEX(SETUP!$C$19:$G$121,MATCH((INDEX(PMtbl[[WKst]:[Unit of measure*]],MATCH($A81&amp;$E81&amp;$I81,INDEX(PMtbl[Category]&amp;PMtbl[Each]&amp;PMtbl[Packaging],0,),0),3)),SETUP!$D$19:$D$121,0),5),"")</f>
        <v/>
      </c>
      <c r="BK81" s="438"/>
      <c r="BL81" s="157"/>
      <c r="BO81" s="12">
        <f>IF(N81="",0,IF(SETUP!$E$7="USD",((IF(O81="USD",P81,(P81/'Master Data-C19RM'!$C$2)))),((IF(O81="EUR",P81,(P81*'Master Data-C19RM'!$C$2))))))</f>
        <v>0</v>
      </c>
      <c r="BP81" s="12">
        <f>IF(N81="",0,IF(SETUP!$E$7="USD",((IF(O81="USD",W81,(W81/'Master Data-C19RM'!$D$2)))),((IF(O81="EUR",W81,(W81*'Master Data-C19RM'!$D$2))))))</f>
        <v>0</v>
      </c>
      <c r="BQ81">
        <f>IF(N81="",0,IF(SETUP!$E$7="USD",((IF(O81="USD",AD81,(AD81/'Master Data-C19RM'!$E$2)))),((IF(O81="EUR",AD81,(AD81*'Master Data-C19RM'!$E$2))))))</f>
        <v>0</v>
      </c>
      <c r="BR81">
        <f>IF(N81="",0,IF(SETUP!$E$7="USD",((IF(O81="USD",AK81,(AK81/'Master Data-C19RM'!$F$2)))),((IF(O81="EUR",AK81,(AK81*'Master Data-C19RM'!$F$2))))))</f>
        <v>0</v>
      </c>
      <c r="BS81">
        <f>IF(N81="",0,IF(SETUP!$E$7="USD",((IF(O81="USD",AR81,(AR81/'Master Data-C19RM'!$G$2)))),((IF(O81="EUR",AR81,(AR81*'Master Data-C19RM'!$G$2))))))</f>
        <v>0</v>
      </c>
      <c r="BT81">
        <f>IF(N81="",0,IF(SETUP!$E$7="USD",((IF(O81="USD",AY81,(AY81/'Master Data-C19RM'!$H$2)))),((IF(O81="EUR",AY81,(AY81*'Master Data-C19RM'!$H$2))))))</f>
        <v>0</v>
      </c>
      <c r="BU81" s="12">
        <f t="shared" si="5"/>
        <v>0</v>
      </c>
      <c r="BV81" s="142">
        <f t="shared" si="6"/>
        <v>0</v>
      </c>
    </row>
    <row r="82" spans="1:74" ht="14.5" customHeight="1" x14ac:dyDescent="0.35">
      <c r="A82" s="1192"/>
      <c r="B82" s="1192"/>
      <c r="C82" s="1192"/>
      <c r="D82" s="1192"/>
      <c r="E82" s="1173"/>
      <c r="F82" s="1173"/>
      <c r="G82" s="1173"/>
      <c r="H82" s="1173"/>
      <c r="I82" s="1173"/>
      <c r="J82" s="1173"/>
      <c r="K82" s="1173"/>
      <c r="L82" s="493" t="str" cm="1">
        <f t="array" ref="L82">IF(A82&lt;&gt;"",IFERROR(INDEX(PMtbl[[WKst]:[Unit of measure*]],MATCH($A$8&amp;$A82&amp;$E82&amp;$I82,INDEX(PMtbl[Sec]&amp;PMtbl[Category]&amp;PMtbl[Each]&amp;PMtbl[Packaging],0,),0),14),""),"")</f>
        <v/>
      </c>
      <c r="M82" s="480" t="str">
        <f>IF(L82="","",INDEX(SETUP!$E$20:$E$122,(MATCH(INDEX(PMsheet!$D:$E,MATCH(A82,PMsheet!E:E,0),1),SETUP!$D$20:$D$122,0))))</f>
        <v/>
      </c>
      <c r="N82" s="494">
        <f>IF($O82="USD",_xlfn.IFNA(VLOOKUP(A82&amp;E82&amp;I82,PMsheet!J:K,2,0),0),(_xlfn.IFNA(VLOOKUP(A82&amp;E82&amp;I82,PMsheet!J:K,2,0),0)*'Master Data-C19RM'!$C$2))</f>
        <v>0</v>
      </c>
      <c r="O82" s="495" t="str">
        <f>IF(L82="", "",SETUP!$E$7)</f>
        <v/>
      </c>
      <c r="P82" s="445">
        <f>IF($O82="USD",_xlfn.IFNA(VLOOKUP($A82&amp;$E82&amp;$I82,PMsheet!$J:$K,2,0),0),(_xlfn.IFNA(VLOOKUP($A82&amp;$E82&amp;$I82,PMsheet!$J:$K,2,0),0)*'Master Data-C19RM'!$C$2))</f>
        <v>0</v>
      </c>
      <c r="Q82" s="440"/>
      <c r="R82" s="440"/>
      <c r="S82" s="440"/>
      <c r="T82" s="440"/>
      <c r="U82" s="482">
        <f t="shared" si="7"/>
        <v>0</v>
      </c>
      <c r="V82" s="484">
        <f>IF(SETUP!$E$7="USD",(U82*(IF(O82="USD",P82,(P82/'Master Data-C19RM'!$C$2)))),(U82*(IF(O82="EUR",P82,(P82*'Master Data-C19RM'!$C$2)))))</f>
        <v>0</v>
      </c>
      <c r="W82" s="445">
        <f>IF($O82="USD",_xlfn.IFNA(VLOOKUP($A82&amp;$E82&amp;$I82,PMsheet!$J:$K,2,0),0),(_xlfn.IFNA(VLOOKUP($A82&amp;$E82&amp;$I82,PMsheet!$J:$K,2,0),0)*'Master Data-C19RM'!$D$2))</f>
        <v>0</v>
      </c>
      <c r="X82" s="440"/>
      <c r="Y82" s="440"/>
      <c r="Z82" s="440"/>
      <c r="AA82" s="440"/>
      <c r="AB82" s="482">
        <f t="shared" si="1"/>
        <v>0</v>
      </c>
      <c r="AC82" s="484">
        <f>IF(SETUP!$E$7="USD",(AB82*(IF(O82="USD",W82,(W82/'Master Data-C19RM'!$D$2)))),(AB82*(IF(O82="EUR",W82,(W82*'Master Data-C19RM'!$D$2)))))</f>
        <v>0</v>
      </c>
      <c r="AD82" s="445">
        <f>IF($O82="USD",_xlfn.IFNA(VLOOKUP($A82&amp;$E82&amp;$I82,PMsheet!$J:$K,2,0),0),(_xlfn.IFNA(VLOOKUP($A82&amp;$E82&amp;$I82,PMsheet!$J:$K,2,0),0)*'Master Data-C19RM'!$E$2))</f>
        <v>0</v>
      </c>
      <c r="AE82" s="440"/>
      <c r="AF82" s="440"/>
      <c r="AG82" s="440"/>
      <c r="AH82" s="440"/>
      <c r="AI82" s="514">
        <f t="shared" si="8"/>
        <v>0</v>
      </c>
      <c r="AJ82" s="515">
        <f>IF(SETUP!$E$7="USD",(AI82*(IF(O82="USD",AD82,(AD82/'Master Data-C19RM'!$E$2)))),(AI82*(IF(O82="EUR",AD82,(AD82*'Master Data-C19RM'!$E$2)))))</f>
        <v>0</v>
      </c>
      <c r="AK82" s="445">
        <f>IF($O82="USD",_xlfn.IFNA(VLOOKUP($A82&amp;$E82&amp;$I82,PMsheet!$J:$K,2,0),0),(_xlfn.IFNA(VLOOKUP($A82&amp;$E82&amp;$I82,PMsheet!$J:$K,2,0),0)*'Master Data-C19RM'!$F$2))</f>
        <v>0</v>
      </c>
      <c r="AL82" s="440"/>
      <c r="AM82" s="440"/>
      <c r="AN82" s="440"/>
      <c r="AO82" s="440"/>
      <c r="AP82" s="482">
        <f t="shared" si="3"/>
        <v>0</v>
      </c>
      <c r="AQ82" s="484">
        <f>IF(SETUP!$E$7="USD",(AP82*(IF(O82="USD",AK82,(AK82/'Master Data-C19RM'!$F$2)))),(AP82*(IF(O82="EUR",AK82,(AK82*'Master Data-C19RM'!$F$2)))))</f>
        <v>0</v>
      </c>
      <c r="AR82" s="445">
        <f>IF($O82="USD",_xlfn.IFNA(VLOOKUP($A82&amp;$E82&amp;$I82,PMsheet!$J:$K,2,0),0),(_xlfn.IFNA(VLOOKUP($A82&amp;$E82&amp;$I82,PMsheet!$J:$K,2,0),0)*'Master Data-C19RM'!$G$2))</f>
        <v>0</v>
      </c>
      <c r="AS82" s="440"/>
      <c r="AT82" s="440"/>
      <c r="AU82" s="440"/>
      <c r="AV82" s="440"/>
      <c r="AW82" s="482">
        <f t="shared" si="9"/>
        <v>0</v>
      </c>
      <c r="AX82" s="484">
        <f>IF(SETUP!$E$7="USD",(AW82*(IF(O82="USD",AR82,(AR82/'Master Data-C19RM'!$G$2)))),(AW82*(IF(O82="EUR",AR82,(AR82*'Master Data-C19RM'!$G$2)))))</f>
        <v>0</v>
      </c>
      <c r="AY82" s="843"/>
      <c r="AZ82" s="843"/>
      <c r="BA82" s="843"/>
      <c r="BB82" s="843"/>
      <c r="BC82" s="843"/>
      <c r="BD82" s="843"/>
      <c r="BE82" s="844"/>
      <c r="BF82" s="482">
        <f>'C19RM 2021-Lab &amp; Other HPS'!$U82+'C19RM 2021-Lab &amp; Other HPS'!$AB82+AI82+'C19RM 2021-Lab &amp; Other HPS'!$AP82+'C19RM 2021-Lab &amp; Other HPS'!$AW82+BD82</f>
        <v>0</v>
      </c>
      <c r="BG82" s="482">
        <f>'C19RM 2021-Lab &amp; Other HPS'!$V82+'C19RM 2021-Lab &amp; Other HPS'!$AC82+'C19RM 2021-Lab &amp; Other HPS'!$AQ82+'C19RM 2021-Lab &amp; Other HPS'!$AJ82+AX82+BE82</f>
        <v>0</v>
      </c>
      <c r="BH82" s="499" t="str" cm="1">
        <f t="array" ref="BH82">IF(A82&lt;&gt;"",IFERROR(INDEX(PMtbl[[WKst]:[Unit of measure*]],MATCH($A$8&amp;$A82&amp;$E82&amp;$I82,INDEX(PMtbl[Sec]&amp;PMtbl[Category]&amp;PMtbl[Each]&amp;PMtbl[Packaging],0,),0),11),""),"")</f>
        <v/>
      </c>
      <c r="BI82" s="818"/>
      <c r="BJ82" s="503" t="str">
        <f>IFERROR(INDEX(SETUP!$C$19:$G$121,MATCH((INDEX(PMtbl[[WKst]:[Unit of measure*]],MATCH($A82&amp;$E82&amp;$I82,INDEX(PMtbl[Category]&amp;PMtbl[Each]&amp;PMtbl[Packaging],0,),0),3)),SETUP!$D$19:$D$121,0),5),"")</f>
        <v/>
      </c>
      <c r="BK82" s="439"/>
      <c r="BL82" s="158"/>
      <c r="BO82" s="12">
        <f>IF(N82="",0,IF(SETUP!$E$7="USD",((IF(O82="USD",P82,(P82/'Master Data-C19RM'!$C$2)))),((IF(O82="EUR",P82,(P82*'Master Data-C19RM'!$C$2))))))</f>
        <v>0</v>
      </c>
      <c r="BP82" s="12">
        <f>IF(N82="",0,IF(SETUP!$E$7="USD",((IF(O82="USD",W82,(W82/'Master Data-C19RM'!$D$2)))),((IF(O82="EUR",W82,(W82*'Master Data-C19RM'!$D$2))))))</f>
        <v>0</v>
      </c>
      <c r="BQ82">
        <f>IF(N82="",0,IF(SETUP!$E$7="USD",((IF(O82="USD",AD82,(AD82/'Master Data-C19RM'!$E$2)))),((IF(O82="EUR",AD82,(AD82*'Master Data-C19RM'!$E$2))))))</f>
        <v>0</v>
      </c>
      <c r="BR82">
        <f>IF(N82="",0,IF(SETUP!$E$7="USD",((IF(O82="USD",AK82,(AK82/'Master Data-C19RM'!$F$2)))),((IF(O82="EUR",AK82,(AK82*'Master Data-C19RM'!$F$2))))))</f>
        <v>0</v>
      </c>
      <c r="BS82">
        <f>IF(N82="",0,IF(SETUP!$E$7="USD",((IF(O82="USD",AR82,(AR82/'Master Data-C19RM'!$G$2)))),((IF(O82="EUR",AR82,(AR82*'Master Data-C19RM'!$G$2))))))</f>
        <v>0</v>
      </c>
      <c r="BT82">
        <f>IF(N82="",0,IF(SETUP!$E$7="USD",((IF(O82="USD",AY82,(AY82/'Master Data-C19RM'!$H$2)))),((IF(O82="EUR",AY82,(AY82*'Master Data-C19RM'!$H$2))))))</f>
        <v>0</v>
      </c>
      <c r="BU82" s="12">
        <f t="shared" si="5"/>
        <v>0</v>
      </c>
      <c r="BV82" s="142">
        <f t="shared" si="6"/>
        <v>0</v>
      </c>
    </row>
    <row r="83" spans="1:74" ht="14.5" customHeight="1" x14ac:dyDescent="0.35">
      <c r="A83" s="1200"/>
      <c r="B83" s="1201"/>
      <c r="C83" s="1201"/>
      <c r="D83" s="1202"/>
      <c r="E83" s="1216"/>
      <c r="F83" s="1217"/>
      <c r="G83" s="1217"/>
      <c r="H83" s="1218"/>
      <c r="I83" s="1216"/>
      <c r="J83" s="1217"/>
      <c r="K83" s="1218"/>
      <c r="L83" s="490" t="str" cm="1">
        <f t="array" ref="L83">IF(A83&lt;&gt;"",IFERROR(INDEX(PMtbl[[WKst]:[Unit of measure*]],MATCH($A$8&amp;$A83&amp;$E83&amp;$I83,INDEX(PMtbl[Sec]&amp;PMtbl[Category]&amp;PMtbl[Each]&amp;PMtbl[Packaging],0,),0),14),""),"")</f>
        <v/>
      </c>
      <c r="M83" s="479" t="str">
        <f>IF(L83="","",INDEX(SETUP!$E$20:$E$122,(MATCH(INDEX(PMsheet!$D:$E,MATCH(A83,PMsheet!E:E,0),1),SETUP!$D$20:$D$122,0))))</f>
        <v/>
      </c>
      <c r="N83" s="496">
        <f>IF($O83="USD",_xlfn.IFNA(VLOOKUP(A83&amp;E83&amp;I83,PMsheet!J:K,2,0),0),(_xlfn.IFNA(VLOOKUP(A83&amp;E83&amp;I83,PMsheet!J:K,2,0),0)*'Master Data-C19RM'!$C$2))</f>
        <v>0</v>
      </c>
      <c r="O83" s="492" t="str">
        <f>IF(L83="", "",SETUP!$E$7)</f>
        <v/>
      </c>
      <c r="P83" s="444">
        <f>IF($O83="USD",_xlfn.IFNA(VLOOKUP($A83&amp;$E83&amp;$I83,PMsheet!$J:$K,2,0),0),(_xlfn.IFNA(VLOOKUP($A83&amp;$E83&amp;$I83,PMsheet!$J:$K,2,0),0)*'Master Data-C19RM'!$C$2))</f>
        <v>0</v>
      </c>
      <c r="Q83" s="441"/>
      <c r="R83" s="441"/>
      <c r="S83" s="441"/>
      <c r="T83" s="441"/>
      <c r="U83" s="481">
        <f t="shared" si="7"/>
        <v>0</v>
      </c>
      <c r="V83" s="483">
        <f>IF(SETUP!$E$7="USD",(U83*(IF(O83="USD",P83,(P83/'Master Data-C19RM'!$C$2)))),(U83*(IF(O83="EUR",P83,(P83*'Master Data-C19RM'!$C$2)))))</f>
        <v>0</v>
      </c>
      <c r="W83" s="444">
        <f>IF($O83="USD",_xlfn.IFNA(VLOOKUP($A83&amp;$E83&amp;$I83,PMsheet!$J:$K,2,0),0),(_xlfn.IFNA(VLOOKUP($A83&amp;$E83&amp;$I83,PMsheet!$J:$K,2,0),0)*'Master Data-C19RM'!$D$2))</f>
        <v>0</v>
      </c>
      <c r="X83" s="441"/>
      <c r="Y83" s="441"/>
      <c r="Z83" s="441"/>
      <c r="AA83" s="441"/>
      <c r="AB83" s="481">
        <f t="shared" si="1"/>
        <v>0</v>
      </c>
      <c r="AC83" s="483">
        <f>IF(SETUP!$E$7="USD",(AB83*(IF(O83="USD",W83,(W83/'Master Data-C19RM'!$D$2)))),(AB83*(IF(O83="EUR",W83,(W83*'Master Data-C19RM'!$D$2)))))</f>
        <v>0</v>
      </c>
      <c r="AD83" s="444">
        <f>IF($O83="USD",_xlfn.IFNA(VLOOKUP($A83&amp;$E83&amp;$I83,PMsheet!$J:$K,2,0),0),(_xlfn.IFNA(VLOOKUP($A83&amp;$E83&amp;$I83,PMsheet!$J:$K,2,0),0)*'Master Data-C19RM'!$E$2))</f>
        <v>0</v>
      </c>
      <c r="AE83" s="441"/>
      <c r="AF83" s="441"/>
      <c r="AG83" s="441"/>
      <c r="AH83" s="441"/>
      <c r="AI83" s="512">
        <f t="shared" si="8"/>
        <v>0</v>
      </c>
      <c r="AJ83" s="513">
        <f>IF(SETUP!$E$7="USD",(AI83*(IF(O83="USD",AD83,(AD83/'Master Data-C19RM'!$E$2)))),(AI83*(IF(O83="EUR",AD83,(AD83*'Master Data-C19RM'!$E$2)))))</f>
        <v>0</v>
      </c>
      <c r="AK83" s="444">
        <f>IF($O83="USD",_xlfn.IFNA(VLOOKUP($A83&amp;$E83&amp;$I83,PMsheet!$J:$K,2,0),0),(_xlfn.IFNA(VLOOKUP($A83&amp;$E83&amp;$I83,PMsheet!$J:$K,2,0),0)*'Master Data-C19RM'!$F$2))</f>
        <v>0</v>
      </c>
      <c r="AL83" s="441"/>
      <c r="AM83" s="441"/>
      <c r="AN83" s="441"/>
      <c r="AO83" s="441"/>
      <c r="AP83" s="481">
        <f t="shared" si="3"/>
        <v>0</v>
      </c>
      <c r="AQ83" s="483">
        <f>IF(SETUP!$E$7="USD",(AP83*(IF(O83="USD",AK83,(AK83/'Master Data-C19RM'!$F$2)))),(AP83*(IF(O83="EUR",AK83,(AK83*'Master Data-C19RM'!$F$2)))))</f>
        <v>0</v>
      </c>
      <c r="AR83" s="444">
        <f>IF($O83="USD",_xlfn.IFNA(VLOOKUP($A83&amp;$E83&amp;$I83,PMsheet!$J:$K,2,0),0),(_xlfn.IFNA(VLOOKUP($A83&amp;$E83&amp;$I83,PMsheet!$J:$K,2,0),0)*'Master Data-C19RM'!$G$2))</f>
        <v>0</v>
      </c>
      <c r="AS83" s="441"/>
      <c r="AT83" s="441"/>
      <c r="AU83" s="441"/>
      <c r="AV83" s="441"/>
      <c r="AW83" s="481">
        <f t="shared" si="9"/>
        <v>0</v>
      </c>
      <c r="AX83" s="483">
        <f>IF(SETUP!$E$7="USD",(AW83*(IF(O83="USD",AR83,(AR83/'Master Data-C19RM'!$G$2)))),(AW83*(IF(O83="EUR",AR83,(AR83*'Master Data-C19RM'!$G$2)))))</f>
        <v>0</v>
      </c>
      <c r="AY83" s="851"/>
      <c r="AZ83" s="851"/>
      <c r="BA83" s="851"/>
      <c r="BB83" s="851"/>
      <c r="BC83" s="851"/>
      <c r="BD83" s="851"/>
      <c r="BE83" s="852"/>
      <c r="BF83" s="481">
        <f>'C19RM 2021-Lab &amp; Other HPS'!$U83+'C19RM 2021-Lab &amp; Other HPS'!$AB83+AI83+'C19RM 2021-Lab &amp; Other HPS'!$AP83+'C19RM 2021-Lab &amp; Other HPS'!$AW83+BD83</f>
        <v>0</v>
      </c>
      <c r="BG83" s="481">
        <f>'C19RM 2021-Lab &amp; Other HPS'!$V83+'C19RM 2021-Lab &amp; Other HPS'!$AC83+'C19RM 2021-Lab &amp; Other HPS'!$AQ83+'C19RM 2021-Lab &amp; Other HPS'!$AJ83+AX83+BE83</f>
        <v>0</v>
      </c>
      <c r="BH83" s="500" t="str" cm="1">
        <f t="array" ref="BH83">IF(A83&lt;&gt;"",IFERROR(INDEX(PMtbl[[WKst]:[Unit of measure*]],MATCH($A$8&amp;$A83&amp;$E83&amp;$I83,INDEX(PMtbl[Sec]&amp;PMtbl[Category]&amp;PMtbl[Each]&amp;PMtbl[Packaging],0,),0),11),""),"")</f>
        <v/>
      </c>
      <c r="BI83" s="819"/>
      <c r="BJ83" s="502" t="str">
        <f>IFERROR(INDEX(SETUP!$C$19:$G$121,MATCH((INDEX(PMtbl[[WKst]:[Unit of measure*]],MATCH($A83&amp;$E83&amp;$I83,INDEX(PMtbl[Category]&amp;PMtbl[Each]&amp;PMtbl[Packaging],0,),0),3)),SETUP!$D$19:$D$121,0),5),"")</f>
        <v/>
      </c>
      <c r="BK83" s="438" t="str">
        <f>IFERROR(IF((INDEX(SETUP!$C$19:$G$121,MATCH((INDEX(PMtbl[[WKst]:[Unit of measure*]],MATCH($A83&amp;$E83&amp;$I83,INDEX(PMtbl[Category]&amp;PMtbl[Each]&amp;PMtbl[Packaging],0,),0),3)),SETUP!$D$19:$D$121,0),4))="Upfront",0,INDEX(SETUP!$C$19:$G$121,MATCH((INDEX(PMtbl[[WKst]:[Unit of measure*]],MATCH($A83&amp;$E83&amp;$I83,INDEX(PMtbl[Category]&amp;PMtbl[Each]&amp;PMtbl[Packaging],0,),0),3)),SETUP!$D$19:$D$121,0),5)),"")</f>
        <v/>
      </c>
      <c r="BL83" s="157" t="str" cm="1">
        <f t="array" ref="BL83">IF(A83&lt;&gt;"",IFERROR(INDEX(PMtbl[[WKst]:[Unit of measure*]],MATCH($A$8&amp;$A83&amp;$E83&amp;$I83,INDEX(PMtbl[Sec]&amp;PMtbl[Category]&amp;PMtbl[Each]&amp;PMtbl[Packaging],0,),0),11),""),"")</f>
        <v/>
      </c>
      <c r="BO83" s="12">
        <f>IF(N83="",0,IF(SETUP!$E$7="USD",((IF(O83="USD",P83,(P83/'Master Data-C19RM'!$C$2)))),((IF(O83="EUR",P83,(P83*'Master Data-C19RM'!$C$2))))))</f>
        <v>0</v>
      </c>
      <c r="BP83" s="12">
        <f>IF(N83="",0,IF(SETUP!$E$7="USD",((IF(O83="USD",W83,(W83/'Master Data-C19RM'!$D$2)))),((IF(O83="EUR",W83,(W83*'Master Data-C19RM'!$D$2))))))</f>
        <v>0</v>
      </c>
      <c r="BQ83">
        <f>IF(N83="",0,IF(SETUP!$E$7="USD",((IF(O83="USD",AD83,(AD83/'Master Data-C19RM'!$E$2)))),((IF(O83="EUR",AD83,(AD83*'Master Data-C19RM'!$E$2))))))</f>
        <v>0</v>
      </c>
      <c r="BR83">
        <f>IF(N83="",0,IF(SETUP!$E$7="USD",((IF(O83="USD",AK83,(AK83/'Master Data-C19RM'!$F$2)))),((IF(O83="EUR",AK83,(AK83*'Master Data-C19RM'!$F$2))))))</f>
        <v>0</v>
      </c>
      <c r="BS83">
        <f>IF(N83="",0,IF(SETUP!$E$7="USD",((IF(O83="USD",AR83,(AR83/'Master Data-C19RM'!$G$2)))),((IF(O83="EUR",AR83,(AR83*'Master Data-C19RM'!$G$2))))))</f>
        <v>0</v>
      </c>
      <c r="BT83">
        <f>IF(N83="",0,IF(SETUP!$E$7="USD",((IF(O83="USD",AY83,(AY83/'Master Data-C19RM'!$H$2)))),((IF(O83="EUR",AY83,(AY83*'Master Data-C19RM'!$H$2))))))</f>
        <v>0</v>
      </c>
      <c r="BU83" s="12">
        <f t="shared" si="5"/>
        <v>0</v>
      </c>
      <c r="BV83" s="142">
        <f t="shared" si="6"/>
        <v>0</v>
      </c>
    </row>
    <row r="84" spans="1:74" ht="14.5" customHeight="1" x14ac:dyDescent="0.35">
      <c r="A84" s="1192"/>
      <c r="B84" s="1192"/>
      <c r="C84" s="1192"/>
      <c r="D84" s="1192"/>
      <c r="E84" s="1173"/>
      <c r="F84" s="1173"/>
      <c r="G84" s="1173"/>
      <c r="H84" s="1173"/>
      <c r="I84" s="1173"/>
      <c r="J84" s="1173"/>
      <c r="K84" s="1173"/>
      <c r="L84" s="493" t="str" cm="1">
        <f t="array" ref="L84">IF(A84&lt;&gt;"",IFERROR(INDEX(PMtbl[[WKst]:[Unit of measure*]],MATCH($A$8&amp;$A84&amp;$E84&amp;$I84,INDEX(PMtbl[Sec]&amp;PMtbl[Category]&amp;PMtbl[Each]&amp;PMtbl[Packaging],0,),0),14),""),"")</f>
        <v/>
      </c>
      <c r="M84" s="480" t="str">
        <f>IF(L84="","",INDEX(SETUP!$E$20:$E$122,(MATCH(INDEX(PMsheet!$D:$E,MATCH(A84,PMsheet!E:E,0),1),SETUP!$D$20:$D$122,0))))</f>
        <v/>
      </c>
      <c r="N84" s="494">
        <f>IF($O84="USD",_xlfn.IFNA(VLOOKUP(A84&amp;E84&amp;I84,PMsheet!J:K,2,0),0),(_xlfn.IFNA(VLOOKUP(A84&amp;E84&amp;I84,PMsheet!J:K,2,0),0)*'Master Data-C19RM'!$C$2))</f>
        <v>0</v>
      </c>
      <c r="O84" s="495" t="str">
        <f>IF(L84="", "",SETUP!$E$7)</f>
        <v/>
      </c>
      <c r="P84" s="445">
        <f>IF($O84="USD",_xlfn.IFNA(VLOOKUP($A84&amp;$E84&amp;$I84,PMsheet!$J:$K,2,0),0),(_xlfn.IFNA(VLOOKUP($A84&amp;$E84&amp;$I84,PMsheet!$J:$K,2,0),0)*'Master Data-C19RM'!$C$2))</f>
        <v>0</v>
      </c>
      <c r="Q84" s="440"/>
      <c r="R84" s="440"/>
      <c r="S84" s="440"/>
      <c r="T84" s="440"/>
      <c r="U84" s="482">
        <f t="shared" si="7"/>
        <v>0</v>
      </c>
      <c r="V84" s="484">
        <f>IF(SETUP!$E$7="USD",(U84*(IF(O84="USD",P84,(P84/'Master Data-C19RM'!$C$2)))),(U84*(IF(O84="EUR",P84,(P84*'Master Data-C19RM'!$C$2)))))</f>
        <v>0</v>
      </c>
      <c r="W84" s="445">
        <f>IF($O84="USD",_xlfn.IFNA(VLOOKUP($A84&amp;$E84&amp;$I84,PMsheet!$J:$K,2,0),0),(_xlfn.IFNA(VLOOKUP($A84&amp;$E84&amp;$I84,PMsheet!$J:$K,2,0),0)*'Master Data-C19RM'!$D$2))</f>
        <v>0</v>
      </c>
      <c r="X84" s="440"/>
      <c r="Y84" s="440"/>
      <c r="Z84" s="440"/>
      <c r="AA84" s="440"/>
      <c r="AB84" s="482">
        <f t="shared" si="1"/>
        <v>0</v>
      </c>
      <c r="AC84" s="484">
        <f>IF(SETUP!$E$7="USD",(AB84*(IF(O84="USD",W84,(W84/'Master Data-C19RM'!$D$2)))),(AB84*(IF(O84="EUR",W84,(W84*'Master Data-C19RM'!$D$2)))))</f>
        <v>0</v>
      </c>
      <c r="AD84" s="445">
        <f>IF($O84="USD",_xlfn.IFNA(VLOOKUP($A84&amp;$E84&amp;$I84,PMsheet!$J:$K,2,0),0),(_xlfn.IFNA(VLOOKUP($A84&amp;$E84&amp;$I84,PMsheet!$J:$K,2,0),0)*'Master Data-C19RM'!$E$2))</f>
        <v>0</v>
      </c>
      <c r="AE84" s="440"/>
      <c r="AF84" s="440"/>
      <c r="AG84" s="440"/>
      <c r="AH84" s="440"/>
      <c r="AI84" s="514">
        <f t="shared" si="8"/>
        <v>0</v>
      </c>
      <c r="AJ84" s="515">
        <f>IF(SETUP!$E$7="USD",(AI84*(IF(O84="USD",AD84,(AD84/'Master Data-C19RM'!$E$2)))),(AI84*(IF(O84="EUR",AD84,(AD84*'Master Data-C19RM'!$E$2)))))</f>
        <v>0</v>
      </c>
      <c r="AK84" s="445">
        <f>IF($O84="USD",_xlfn.IFNA(VLOOKUP($A84&amp;$E84&amp;$I84,PMsheet!$J:$K,2,0),0),(_xlfn.IFNA(VLOOKUP($A84&amp;$E84&amp;$I84,PMsheet!$J:$K,2,0),0)*'Master Data-C19RM'!$F$2))</f>
        <v>0</v>
      </c>
      <c r="AL84" s="440"/>
      <c r="AM84" s="440"/>
      <c r="AN84" s="440"/>
      <c r="AO84" s="440"/>
      <c r="AP84" s="482">
        <f t="shared" si="3"/>
        <v>0</v>
      </c>
      <c r="AQ84" s="484">
        <f>IF(SETUP!$E$7="USD",(AP84*(IF(O84="USD",AK84,(AK84/'Master Data-C19RM'!$F$2)))),(AP84*(IF(O84="EUR",AK84,(AK84*'Master Data-C19RM'!$F$2)))))</f>
        <v>0</v>
      </c>
      <c r="AR84" s="445">
        <f>IF($O84="USD",_xlfn.IFNA(VLOOKUP($A84&amp;$E84&amp;$I84,PMsheet!$J:$K,2,0),0),(_xlfn.IFNA(VLOOKUP($A84&amp;$E84&amp;$I84,PMsheet!$J:$K,2,0),0)*'Master Data-C19RM'!$G$2))</f>
        <v>0</v>
      </c>
      <c r="AS84" s="440"/>
      <c r="AT84" s="440"/>
      <c r="AU84" s="440"/>
      <c r="AV84" s="440"/>
      <c r="AW84" s="482">
        <f t="shared" si="9"/>
        <v>0</v>
      </c>
      <c r="AX84" s="484">
        <f>IF(SETUP!$E$7="USD",(AW84*(IF(O84="USD",AR84,(AR84/'Master Data-C19RM'!$G$2)))),(AW84*(IF(O84="EUR",AR84,(AR84*'Master Data-C19RM'!$G$2)))))</f>
        <v>0</v>
      </c>
      <c r="AY84" s="843"/>
      <c r="AZ84" s="843"/>
      <c r="BA84" s="843"/>
      <c r="BB84" s="843"/>
      <c r="BC84" s="843"/>
      <c r="BD84" s="843"/>
      <c r="BE84" s="844"/>
      <c r="BF84" s="482">
        <f>'C19RM 2021-Lab &amp; Other HPS'!$U84+'C19RM 2021-Lab &amp; Other HPS'!$AB84+AI84+'C19RM 2021-Lab &amp; Other HPS'!$AP84+'C19RM 2021-Lab &amp; Other HPS'!$AW84+BD84</f>
        <v>0</v>
      </c>
      <c r="BG84" s="482">
        <f>'C19RM 2021-Lab &amp; Other HPS'!$V84+'C19RM 2021-Lab &amp; Other HPS'!$AC84+'C19RM 2021-Lab &amp; Other HPS'!$AQ84+'C19RM 2021-Lab &amp; Other HPS'!$AJ84+AX84+BE84</f>
        <v>0</v>
      </c>
      <c r="BH84" s="499" t="str" cm="1">
        <f t="array" ref="BH84">IF(A84&lt;&gt;"",IFERROR(INDEX(PMtbl[[WKst]:[Unit of measure*]],MATCH($A$8&amp;$A84&amp;$E84&amp;$I84,INDEX(PMtbl[Sec]&amp;PMtbl[Category]&amp;PMtbl[Each]&amp;PMtbl[Packaging],0,),0),11),""),"")</f>
        <v/>
      </c>
      <c r="BI84" s="818"/>
      <c r="BJ84" s="503" t="str">
        <f>IFERROR(INDEX(SETUP!$C$19:$G$121,MATCH((INDEX(PMtbl[[WKst]:[Unit of measure*]],MATCH($A84&amp;$E84&amp;$I84,INDEX(PMtbl[Category]&amp;PMtbl[Each]&amp;PMtbl[Packaging],0,),0),3)),SETUP!$D$19:$D$121,0),5),"")</f>
        <v/>
      </c>
      <c r="BK84" s="439" t="str">
        <f>IFERROR(IF((INDEX(SETUP!$C$19:$G$121,MATCH((INDEX(PMtbl[[WKst]:[Unit of measure*]],MATCH($A84&amp;$E84&amp;$I84,INDEX(PMtbl[Category]&amp;PMtbl[Each]&amp;PMtbl[Packaging],0,),0),3)),SETUP!$D$19:$D$121,0),4))="Upfront",0,INDEX(SETUP!$C$19:$G$121,MATCH((INDEX(PMtbl[[WKst]:[Unit of measure*]],MATCH($A84&amp;$E84&amp;$I84,INDEX(PMtbl[Category]&amp;PMtbl[Each]&amp;PMtbl[Packaging],0,),0),3)),SETUP!$D$19:$D$121,0),5)),"")</f>
        <v/>
      </c>
      <c r="BL84" s="158" t="str" cm="1">
        <f t="array" ref="BL84">IF(A84&lt;&gt;"",IFERROR(INDEX(PMtbl[[WKst]:[Unit of measure*]],MATCH($A$8&amp;$A84&amp;$E84&amp;$I84,INDEX(PMtbl[Sec]&amp;PMtbl[Category]&amp;PMtbl[Each]&amp;PMtbl[Packaging],0,),0),11),""),"")</f>
        <v/>
      </c>
      <c r="BO84" s="12">
        <f>IF(N84="",0,IF(SETUP!$E$7="USD",((IF(O84="USD",P84,(P84/'Master Data-C19RM'!$C$2)))),((IF(O84="EUR",P84,(P84*'Master Data-C19RM'!$C$2))))))</f>
        <v>0</v>
      </c>
      <c r="BP84" s="12">
        <f>IF(N84="",0,IF(SETUP!$E$7="USD",((IF(O84="USD",W84,(W84/'Master Data-C19RM'!$D$2)))),((IF(O84="EUR",W84,(W84*'Master Data-C19RM'!$D$2))))))</f>
        <v>0</v>
      </c>
      <c r="BQ84">
        <f>IF(N84="",0,IF(SETUP!$E$7="USD",((IF(O84="USD",AD84,(AD84/'Master Data-C19RM'!$E$2)))),((IF(O84="EUR",AD84,(AD84*'Master Data-C19RM'!$E$2))))))</f>
        <v>0</v>
      </c>
      <c r="BR84">
        <f>IF(N84="",0,IF(SETUP!$E$7="USD",((IF(O84="USD",AK84,(AK84/'Master Data-C19RM'!$F$2)))),((IF(O84="EUR",AK84,(AK84*'Master Data-C19RM'!$F$2))))))</f>
        <v>0</v>
      </c>
      <c r="BS84">
        <f>IF(N84="",0,IF(SETUP!$E$7="USD",((IF(O84="USD",AR84,(AR84/'Master Data-C19RM'!$G$2)))),((IF(O84="EUR",AR84,(AR84*'Master Data-C19RM'!$G$2))))))</f>
        <v>0</v>
      </c>
      <c r="BT84">
        <f>IF(N84="",0,IF(SETUP!$E$7="USD",((IF(O84="USD",AY84,(AY84/'Master Data-C19RM'!$H$2)))),((IF(O84="EUR",AY84,(AY84*'Master Data-C19RM'!$H$2))))))</f>
        <v>0</v>
      </c>
      <c r="BU84" s="12">
        <f t="shared" si="5"/>
        <v>0</v>
      </c>
      <c r="BV84" s="142">
        <f t="shared" si="6"/>
        <v>0</v>
      </c>
    </row>
    <row r="85" spans="1:74" ht="14.5" customHeight="1" x14ac:dyDescent="0.35">
      <c r="A85" s="1200"/>
      <c r="B85" s="1201"/>
      <c r="C85" s="1201"/>
      <c r="D85" s="1202"/>
      <c r="E85" s="1216"/>
      <c r="F85" s="1217"/>
      <c r="G85" s="1217"/>
      <c r="H85" s="1218"/>
      <c r="I85" s="1216"/>
      <c r="J85" s="1217"/>
      <c r="K85" s="1218"/>
      <c r="L85" s="490" t="str" cm="1">
        <f t="array" ref="L85">IF(A85&lt;&gt;"",IFERROR(INDEX(PMtbl[[WKst]:[Unit of measure*]],MATCH($A$8&amp;$A85&amp;$E85&amp;$I85,INDEX(PMtbl[Sec]&amp;PMtbl[Category]&amp;PMtbl[Each]&amp;PMtbl[Packaging],0,),0),14),""),"")</f>
        <v/>
      </c>
      <c r="M85" s="479" t="str">
        <f>IF(L85="","",INDEX(SETUP!$E$20:$E$122,(MATCH(INDEX(PMsheet!$D:$E,MATCH(A85,PMsheet!E:E,0),1),SETUP!$D$20:$D$122,0))))</f>
        <v/>
      </c>
      <c r="N85" s="496">
        <f>IF($O85="USD",_xlfn.IFNA(VLOOKUP(A85&amp;E85&amp;I85,PMsheet!J:K,2,0),0),(_xlfn.IFNA(VLOOKUP(A85&amp;E85&amp;I85,PMsheet!J:K,2,0),0)*'Master Data-C19RM'!$C$2))</f>
        <v>0</v>
      </c>
      <c r="O85" s="492" t="str">
        <f>IF(L85="", "",SETUP!$E$7)</f>
        <v/>
      </c>
      <c r="P85" s="444">
        <f>IF($O85="USD",_xlfn.IFNA(VLOOKUP($A85&amp;$E85&amp;$I85,PMsheet!$J:$K,2,0),0),(_xlfn.IFNA(VLOOKUP($A85&amp;$E85&amp;$I85,PMsheet!$J:$K,2,0),0)*'Master Data-C19RM'!$C$2))</f>
        <v>0</v>
      </c>
      <c r="Q85" s="441"/>
      <c r="R85" s="441"/>
      <c r="S85" s="441"/>
      <c r="T85" s="441"/>
      <c r="U85" s="481">
        <f t="shared" si="7"/>
        <v>0</v>
      </c>
      <c r="V85" s="483">
        <f>IF(SETUP!$E$7="USD",(U85*(IF(O85="USD",P85,(P85/'Master Data-C19RM'!$C$2)))),(U85*(IF(O85="EUR",P85,(P85*'Master Data-C19RM'!$C$2)))))</f>
        <v>0</v>
      </c>
      <c r="W85" s="444">
        <f>IF($O85="USD",_xlfn.IFNA(VLOOKUP($A85&amp;$E85&amp;$I85,PMsheet!$J:$K,2,0),0),(_xlfn.IFNA(VLOOKUP($A85&amp;$E85&amp;$I85,PMsheet!$J:$K,2,0),0)*'Master Data-C19RM'!$D$2))</f>
        <v>0</v>
      </c>
      <c r="X85" s="441"/>
      <c r="Y85" s="441"/>
      <c r="Z85" s="441"/>
      <c r="AA85" s="441"/>
      <c r="AB85" s="481">
        <f t="shared" si="1"/>
        <v>0</v>
      </c>
      <c r="AC85" s="483">
        <f>IF(SETUP!$E$7="USD",(AB85*(IF(O85="USD",W85,(W85/'Master Data-C19RM'!$D$2)))),(AB85*(IF(O85="EUR",W85,(W85*'Master Data-C19RM'!$D$2)))))</f>
        <v>0</v>
      </c>
      <c r="AD85" s="444">
        <f>IF($O85="USD",_xlfn.IFNA(VLOOKUP($A85&amp;$E85&amp;$I85,PMsheet!$J:$K,2,0),0),(_xlfn.IFNA(VLOOKUP($A85&amp;$E85&amp;$I85,PMsheet!$J:$K,2,0),0)*'Master Data-C19RM'!$E$2))</f>
        <v>0</v>
      </c>
      <c r="AE85" s="441"/>
      <c r="AF85" s="441"/>
      <c r="AG85" s="441"/>
      <c r="AH85" s="441"/>
      <c r="AI85" s="512">
        <f t="shared" si="8"/>
        <v>0</v>
      </c>
      <c r="AJ85" s="513">
        <f>IF(SETUP!$E$7="USD",(AI85*(IF(O85="USD",AD85,(AD85/'Master Data-C19RM'!$E$2)))),(AI85*(IF(O85="EUR",AD85,(AD85*'Master Data-C19RM'!$E$2)))))</f>
        <v>0</v>
      </c>
      <c r="AK85" s="444">
        <f>IF($O85="USD",_xlfn.IFNA(VLOOKUP($A85&amp;$E85&amp;$I85,PMsheet!$J:$K,2,0),0),(_xlfn.IFNA(VLOOKUP($A85&amp;$E85&amp;$I85,PMsheet!$J:$K,2,0),0)*'Master Data-C19RM'!$F$2))</f>
        <v>0</v>
      </c>
      <c r="AL85" s="441"/>
      <c r="AM85" s="441"/>
      <c r="AN85" s="441"/>
      <c r="AO85" s="441"/>
      <c r="AP85" s="481">
        <f t="shared" si="3"/>
        <v>0</v>
      </c>
      <c r="AQ85" s="483">
        <f>IF(SETUP!$E$7="USD",(AP85*(IF(O85="USD",AK85,(AK85/'Master Data-C19RM'!$F$2)))),(AP85*(IF(O85="EUR",AK85,(AK85*'Master Data-C19RM'!$F$2)))))</f>
        <v>0</v>
      </c>
      <c r="AR85" s="444">
        <f>IF($O85="USD",_xlfn.IFNA(VLOOKUP($A85&amp;$E85&amp;$I85,PMsheet!$J:$K,2,0),0),(_xlfn.IFNA(VLOOKUP($A85&amp;$E85&amp;$I85,PMsheet!$J:$K,2,0),0)*'Master Data-C19RM'!$G$2))</f>
        <v>0</v>
      </c>
      <c r="AS85" s="441"/>
      <c r="AT85" s="441"/>
      <c r="AU85" s="441"/>
      <c r="AV85" s="441"/>
      <c r="AW85" s="481">
        <f t="shared" si="9"/>
        <v>0</v>
      </c>
      <c r="AX85" s="483">
        <f>IF(SETUP!$E$7="USD",(AW85*(IF(O85="USD",AR85,(AR85/'Master Data-C19RM'!$G$2)))),(AW85*(IF(O85="EUR",AR85,(AR85*'Master Data-C19RM'!$G$2)))))</f>
        <v>0</v>
      </c>
      <c r="AY85" s="851"/>
      <c r="AZ85" s="851"/>
      <c r="BA85" s="851"/>
      <c r="BB85" s="851"/>
      <c r="BC85" s="851"/>
      <c r="BD85" s="851"/>
      <c r="BE85" s="852"/>
      <c r="BF85" s="481">
        <f>'C19RM 2021-Lab &amp; Other HPS'!$U85+'C19RM 2021-Lab &amp; Other HPS'!$AB85+AI85+'C19RM 2021-Lab &amp; Other HPS'!$AP85+'C19RM 2021-Lab &amp; Other HPS'!$AW85+BD85</f>
        <v>0</v>
      </c>
      <c r="BG85" s="481">
        <f>'C19RM 2021-Lab &amp; Other HPS'!$V85+'C19RM 2021-Lab &amp; Other HPS'!$AC85+'C19RM 2021-Lab &amp; Other HPS'!$AQ85+'C19RM 2021-Lab &amp; Other HPS'!$AJ85+AX85+BE85</f>
        <v>0</v>
      </c>
      <c r="BH85" s="500" t="str" cm="1">
        <f t="array" ref="BH85">IF(A85&lt;&gt;"",IFERROR(INDEX(PMtbl[[WKst]:[Unit of measure*]],MATCH($A$8&amp;$A85&amp;$E85&amp;$I85,INDEX(PMtbl[Sec]&amp;PMtbl[Category]&amp;PMtbl[Each]&amp;PMtbl[Packaging],0,),0),11),""),"")</f>
        <v/>
      </c>
      <c r="BI85" s="819"/>
      <c r="BJ85" s="502" t="str">
        <f>IFERROR(INDEX(SETUP!$C$19:$G$121,MATCH((INDEX(PMtbl[[WKst]:[Unit of measure*]],MATCH($A85&amp;$E85&amp;$I85,INDEX(PMtbl[Category]&amp;PMtbl[Each]&amp;PMtbl[Packaging],0,),0),3)),SETUP!$D$19:$D$121,0),5),"")</f>
        <v/>
      </c>
      <c r="BK85" s="438" t="str">
        <f>IFERROR(IF((INDEX(SETUP!$C$19:$G$121,MATCH((INDEX(PMtbl[[WKst]:[Unit of measure*]],MATCH($A85&amp;$E85&amp;$I85,INDEX(PMtbl[Category]&amp;PMtbl[Each]&amp;PMtbl[Packaging],0,),0),3)),SETUP!$D$19:$D$121,0),4))="Upfront",0,INDEX(SETUP!$C$19:$G$121,MATCH((INDEX(PMtbl[[WKst]:[Unit of measure*]],MATCH($A85&amp;$E85&amp;$I85,INDEX(PMtbl[Category]&amp;PMtbl[Each]&amp;PMtbl[Packaging],0,),0),3)),SETUP!$D$19:$D$121,0),5)),"")</f>
        <v/>
      </c>
      <c r="BL85" s="157" t="str" cm="1">
        <f t="array" ref="BL85">IF(A85&lt;&gt;"",IFERROR(INDEX(PMtbl[[WKst]:[Unit of measure*]],MATCH($A$8&amp;$A85&amp;$E85&amp;$I85,INDEX(PMtbl[Sec]&amp;PMtbl[Category]&amp;PMtbl[Each]&amp;PMtbl[Packaging],0,),0),11),""),"")</f>
        <v/>
      </c>
      <c r="BO85" s="12">
        <f>IF(N85="",0,IF(SETUP!$E$7="USD",((IF(O85="USD",P85,(P85/'Master Data-C19RM'!$C$2)))),((IF(O85="EUR",P85,(P85*'Master Data-C19RM'!$C$2))))))</f>
        <v>0</v>
      </c>
      <c r="BP85" s="12">
        <f>IF(N85="",0,IF(SETUP!$E$7="USD",((IF(O85="USD",W85,(W85/'Master Data-C19RM'!$D$2)))),((IF(O85="EUR",W85,(W85*'Master Data-C19RM'!$D$2))))))</f>
        <v>0</v>
      </c>
      <c r="BQ85">
        <f>IF(N85="",0,IF(SETUP!$E$7="USD",((IF(O85="USD",AD85,(AD85/'Master Data-C19RM'!$E$2)))),((IF(O85="EUR",AD85,(AD85*'Master Data-C19RM'!$E$2))))))</f>
        <v>0</v>
      </c>
      <c r="BR85">
        <f>IF(N85="",0,IF(SETUP!$E$7="USD",((IF(O85="USD",AK85,(AK85/'Master Data-C19RM'!$F$2)))),((IF(O85="EUR",AK85,(AK85*'Master Data-C19RM'!$F$2))))))</f>
        <v>0</v>
      </c>
      <c r="BS85">
        <f>IF(N85="",0,IF(SETUP!$E$7="USD",((IF(O85="USD",AR85,(AR85/'Master Data-C19RM'!$G$2)))),((IF(O85="EUR",AR85,(AR85*'Master Data-C19RM'!$G$2))))))</f>
        <v>0</v>
      </c>
      <c r="BT85">
        <f>IF(N85="",0,IF(SETUP!$E$7="USD",((IF(O85="USD",AY85,(AY85/'Master Data-C19RM'!$H$2)))),((IF(O85="EUR",AY85,(AY85*'Master Data-C19RM'!$H$2))))))</f>
        <v>0</v>
      </c>
      <c r="BU85" s="12">
        <f t="shared" si="5"/>
        <v>0</v>
      </c>
      <c r="BV85" s="142">
        <f t="shared" si="6"/>
        <v>0</v>
      </c>
    </row>
    <row r="86" spans="1:74" ht="14.5" customHeight="1" x14ac:dyDescent="0.35">
      <c r="A86" s="1192"/>
      <c r="B86" s="1192"/>
      <c r="C86" s="1192"/>
      <c r="D86" s="1192"/>
      <c r="E86" s="1173"/>
      <c r="F86" s="1173"/>
      <c r="G86" s="1173"/>
      <c r="H86" s="1173"/>
      <c r="I86" s="1173"/>
      <c r="J86" s="1173"/>
      <c r="K86" s="1173"/>
      <c r="L86" s="493" t="str" cm="1">
        <f t="array" ref="L86">IF(A86&lt;&gt;"",IFERROR(INDEX(PMtbl[[WKst]:[Unit of measure*]],MATCH($A$8&amp;$A86&amp;$E86&amp;$I86,INDEX(PMtbl[Sec]&amp;PMtbl[Category]&amp;PMtbl[Each]&amp;PMtbl[Packaging],0,),0),14),""),"")</f>
        <v/>
      </c>
      <c r="M86" s="480" t="str">
        <f>IF(L86="","",INDEX(SETUP!$E$20:$E$122,(MATCH(INDEX(PMsheet!$D:$E,MATCH(A86,PMsheet!E:E,0),1),SETUP!$D$20:$D$122,0))))</f>
        <v/>
      </c>
      <c r="N86" s="494">
        <f>IF($O86="USD",_xlfn.IFNA(VLOOKUP(A86&amp;E86&amp;I86,PMsheet!J:K,2,0),0),(_xlfn.IFNA(VLOOKUP(A86&amp;E86&amp;I86,PMsheet!J:K,2,0),0)*'Master Data-C19RM'!$C$2))</f>
        <v>0</v>
      </c>
      <c r="O86" s="495" t="str">
        <f>IF(L86="", "",SETUP!$E$7)</f>
        <v/>
      </c>
      <c r="P86" s="445">
        <f>IF($O86="USD",_xlfn.IFNA(VLOOKUP($A86&amp;$E86&amp;$I86,PMsheet!$J:$K,2,0),0),(_xlfn.IFNA(VLOOKUP($A86&amp;$E86&amp;$I86,PMsheet!$J:$K,2,0),0)*'Master Data-C19RM'!$C$2))</f>
        <v>0</v>
      </c>
      <c r="Q86" s="440"/>
      <c r="R86" s="440"/>
      <c r="S86" s="440"/>
      <c r="T86" s="440"/>
      <c r="U86" s="482">
        <f t="shared" si="7"/>
        <v>0</v>
      </c>
      <c r="V86" s="484">
        <f>IF(SETUP!$E$7="USD",(U86*(IF(O86="USD",P86,(P86/'Master Data-C19RM'!$C$2)))),(U86*(IF(O86="EUR",P86,(P86*'Master Data-C19RM'!$C$2)))))</f>
        <v>0</v>
      </c>
      <c r="W86" s="445">
        <f>IF($O86="USD",_xlfn.IFNA(VLOOKUP($A86&amp;$E86&amp;$I86,PMsheet!$J:$K,2,0),0),(_xlfn.IFNA(VLOOKUP($A86&amp;$E86&amp;$I86,PMsheet!$J:$K,2,0),0)*'Master Data-C19RM'!$D$2))</f>
        <v>0</v>
      </c>
      <c r="X86" s="440"/>
      <c r="Y86" s="440"/>
      <c r="Z86" s="440"/>
      <c r="AA86" s="440"/>
      <c r="AB86" s="482">
        <f t="shared" si="1"/>
        <v>0</v>
      </c>
      <c r="AC86" s="484">
        <f>IF(SETUP!$E$7="USD",(AB86*(IF(O86="USD",W86,(W86/'Master Data-C19RM'!$D$2)))),(AB86*(IF(O86="EUR",W86,(W86*'Master Data-C19RM'!$D$2)))))</f>
        <v>0</v>
      </c>
      <c r="AD86" s="445">
        <f>IF($O86="USD",_xlfn.IFNA(VLOOKUP($A86&amp;$E86&amp;$I86,PMsheet!$J:$K,2,0),0),(_xlfn.IFNA(VLOOKUP($A86&amp;$E86&amp;$I86,PMsheet!$J:$K,2,0),0)*'Master Data-C19RM'!$E$2))</f>
        <v>0</v>
      </c>
      <c r="AE86" s="440"/>
      <c r="AF86" s="440"/>
      <c r="AG86" s="440"/>
      <c r="AH86" s="440"/>
      <c r="AI86" s="514">
        <f t="shared" si="8"/>
        <v>0</v>
      </c>
      <c r="AJ86" s="515">
        <f>IF(SETUP!$E$7="USD",(AI86*(IF(O86="USD",AD86,(AD86/'Master Data-C19RM'!$E$2)))),(AI86*(IF(O86="EUR",AD86,(AD86*'Master Data-C19RM'!$E$2)))))</f>
        <v>0</v>
      </c>
      <c r="AK86" s="445">
        <f>IF($O86="USD",_xlfn.IFNA(VLOOKUP($A86&amp;$E86&amp;$I86,PMsheet!$J:$K,2,0),0),(_xlfn.IFNA(VLOOKUP($A86&amp;$E86&amp;$I86,PMsheet!$J:$K,2,0),0)*'Master Data-C19RM'!$F$2))</f>
        <v>0</v>
      </c>
      <c r="AL86" s="440"/>
      <c r="AM86" s="440"/>
      <c r="AN86" s="440"/>
      <c r="AO86" s="440"/>
      <c r="AP86" s="482">
        <f t="shared" si="3"/>
        <v>0</v>
      </c>
      <c r="AQ86" s="484">
        <f>IF(SETUP!$E$7="USD",(AP86*(IF(O86="USD",AK86,(AK86/'Master Data-C19RM'!$F$2)))),(AP86*(IF(O86="EUR",AK86,(AK86*'Master Data-C19RM'!$F$2)))))</f>
        <v>0</v>
      </c>
      <c r="AR86" s="445">
        <f>IF($O86="USD",_xlfn.IFNA(VLOOKUP($A86&amp;$E86&amp;$I86,PMsheet!$J:$K,2,0),0),(_xlfn.IFNA(VLOOKUP($A86&amp;$E86&amp;$I86,PMsheet!$J:$K,2,0),0)*'Master Data-C19RM'!$G$2))</f>
        <v>0</v>
      </c>
      <c r="AS86" s="440"/>
      <c r="AT86" s="440"/>
      <c r="AU86" s="440"/>
      <c r="AV86" s="440"/>
      <c r="AW86" s="482">
        <f t="shared" si="9"/>
        <v>0</v>
      </c>
      <c r="AX86" s="484">
        <f>IF(SETUP!$E$7="USD",(AW86*(IF(O86="USD",AR86,(AR86/'Master Data-C19RM'!$G$2)))),(AW86*(IF(O86="EUR",AR86,(AR86*'Master Data-C19RM'!$G$2)))))</f>
        <v>0</v>
      </c>
      <c r="AY86" s="843"/>
      <c r="AZ86" s="843"/>
      <c r="BA86" s="843"/>
      <c r="BB86" s="843"/>
      <c r="BC86" s="843"/>
      <c r="BD86" s="843"/>
      <c r="BE86" s="844"/>
      <c r="BF86" s="482">
        <f>'C19RM 2021-Lab &amp; Other HPS'!$U86+'C19RM 2021-Lab &amp; Other HPS'!$AB86+AI86+'C19RM 2021-Lab &amp; Other HPS'!$AP86+'C19RM 2021-Lab &amp; Other HPS'!$AW86+BD86</f>
        <v>0</v>
      </c>
      <c r="BG86" s="482">
        <f>'C19RM 2021-Lab &amp; Other HPS'!$V86+'C19RM 2021-Lab &amp; Other HPS'!$AC86+'C19RM 2021-Lab &amp; Other HPS'!$AQ86+'C19RM 2021-Lab &amp; Other HPS'!$AJ86+AX86+BE86</f>
        <v>0</v>
      </c>
      <c r="BH86" s="499" t="str" cm="1">
        <f t="array" ref="BH86">IF(A86&lt;&gt;"",IFERROR(INDEX(PMtbl[[WKst]:[Unit of measure*]],MATCH($A$8&amp;$A86&amp;$E86&amp;$I86,INDEX(PMtbl[Sec]&amp;PMtbl[Category]&amp;PMtbl[Each]&amp;PMtbl[Packaging],0,),0),11),""),"")</f>
        <v/>
      </c>
      <c r="BI86" s="818"/>
      <c r="BJ86" s="503" t="str">
        <f>IFERROR(INDEX(SETUP!$C$19:$G$121,MATCH((INDEX(PMtbl[[WKst]:[Unit of measure*]],MATCH($A86&amp;$E86&amp;$I86,INDEX(PMtbl[Category]&amp;PMtbl[Each]&amp;PMtbl[Packaging],0,),0),3)),SETUP!$D$19:$D$121,0),5),"")</f>
        <v/>
      </c>
      <c r="BK86" s="439" t="str">
        <f>IFERROR(IF((INDEX(SETUP!$C$19:$G$121,MATCH((INDEX(PMtbl[[WKst]:[Unit of measure*]],MATCH($A86&amp;$E86&amp;$I86,INDEX(PMtbl[Category]&amp;PMtbl[Each]&amp;PMtbl[Packaging],0,),0),3)),SETUP!$D$19:$D$121,0),4))="Upfront",0,INDEX(SETUP!$C$19:$G$121,MATCH((INDEX(PMtbl[[WKst]:[Unit of measure*]],MATCH($A86&amp;$E86&amp;$I86,INDEX(PMtbl[Category]&amp;PMtbl[Each]&amp;PMtbl[Packaging],0,),0),3)),SETUP!$D$19:$D$121,0),5)),"")</f>
        <v/>
      </c>
      <c r="BL86" s="158" t="str" cm="1">
        <f t="array" ref="BL86">IF(A86&lt;&gt;"",IFERROR(INDEX(PMtbl[[WKst]:[Unit of measure*]],MATCH($A$8&amp;$A86&amp;$E86&amp;$I86,INDEX(PMtbl[Sec]&amp;PMtbl[Category]&amp;PMtbl[Each]&amp;PMtbl[Packaging],0,),0),11),""),"")</f>
        <v/>
      </c>
      <c r="BO86" s="12">
        <f>IF(N86="",0,IF(SETUP!$E$7="USD",((IF(O86="USD",P86,(P86/'Master Data-C19RM'!$C$2)))),((IF(O86="EUR",P86,(P86*'Master Data-C19RM'!$C$2))))))</f>
        <v>0</v>
      </c>
      <c r="BP86" s="12">
        <f>IF(N86="",0,IF(SETUP!$E$7="USD",((IF(O86="USD",W86,(W86/'Master Data-C19RM'!$D$2)))),((IF(O86="EUR",W86,(W86*'Master Data-C19RM'!$D$2))))))</f>
        <v>0</v>
      </c>
      <c r="BQ86">
        <f>IF(N86="",0,IF(SETUP!$E$7="USD",((IF(O86="USD",AD86,(AD86/'Master Data-C19RM'!$E$2)))),((IF(O86="EUR",AD86,(AD86*'Master Data-C19RM'!$E$2))))))</f>
        <v>0</v>
      </c>
      <c r="BR86">
        <f>IF(N86="",0,IF(SETUP!$E$7="USD",((IF(O86="USD",AK86,(AK86/'Master Data-C19RM'!$F$2)))),((IF(O86="EUR",AK86,(AK86*'Master Data-C19RM'!$F$2))))))</f>
        <v>0</v>
      </c>
      <c r="BS86">
        <f>IF(N86="",0,IF(SETUP!$E$7="USD",((IF(O86="USD",AR86,(AR86/'Master Data-C19RM'!$G$2)))),((IF(O86="EUR",AR86,(AR86*'Master Data-C19RM'!$G$2))))))</f>
        <v>0</v>
      </c>
      <c r="BT86">
        <f>IF(N86="",0,IF(SETUP!$E$7="USD",((IF(O86="USD",AY86,(AY86/'Master Data-C19RM'!$H$2)))),((IF(O86="EUR",AY86,(AY86*'Master Data-C19RM'!$H$2))))))</f>
        <v>0</v>
      </c>
      <c r="BU86" s="12">
        <f t="shared" si="5"/>
        <v>0</v>
      </c>
      <c r="BV86" s="142">
        <f t="shared" si="6"/>
        <v>0</v>
      </c>
    </row>
    <row r="87" spans="1:74" ht="14.5" customHeight="1" x14ac:dyDescent="0.35">
      <c r="A87" s="1200"/>
      <c r="B87" s="1201"/>
      <c r="C87" s="1201"/>
      <c r="D87" s="1202"/>
      <c r="E87" s="1216"/>
      <c r="F87" s="1217"/>
      <c r="G87" s="1217"/>
      <c r="H87" s="1218"/>
      <c r="I87" s="1216"/>
      <c r="J87" s="1217"/>
      <c r="K87" s="1218"/>
      <c r="L87" s="490" t="str" cm="1">
        <f t="array" ref="L87">IF(A87&lt;&gt;"",IFERROR(INDEX(PMtbl[[WKst]:[Unit of measure*]],MATCH($A$8&amp;$A87&amp;$E87&amp;$I87,INDEX(PMtbl[Sec]&amp;PMtbl[Category]&amp;PMtbl[Each]&amp;PMtbl[Packaging],0,),0),14),""),"")</f>
        <v/>
      </c>
      <c r="M87" s="479" t="str">
        <f>IF(L87="","",INDEX(SETUP!$E$20:$E$122,(MATCH(INDEX(PMsheet!$D:$E,MATCH(A87,PMsheet!E:E,0),1),SETUP!$D$20:$D$122,0))))</f>
        <v/>
      </c>
      <c r="N87" s="496">
        <f>IF($O87="USD",_xlfn.IFNA(VLOOKUP(A87&amp;E87&amp;I87,PMsheet!J:K,2,0),0),(_xlfn.IFNA(VLOOKUP(A87&amp;E87&amp;I87,PMsheet!J:K,2,0),0)*'Master Data-C19RM'!$C$2))</f>
        <v>0</v>
      </c>
      <c r="O87" s="492" t="str">
        <f>IF(L87="", "",SETUP!$E$7)</f>
        <v/>
      </c>
      <c r="P87" s="444">
        <f>IF($O87="USD",_xlfn.IFNA(VLOOKUP($A87&amp;$E87&amp;$I87,PMsheet!$J:$K,2,0),0),(_xlfn.IFNA(VLOOKUP($A87&amp;$E87&amp;$I87,PMsheet!$J:$K,2,0),0)*'Master Data-C19RM'!$C$2))</f>
        <v>0</v>
      </c>
      <c r="Q87" s="441"/>
      <c r="R87" s="441"/>
      <c r="S87" s="441"/>
      <c r="T87" s="441"/>
      <c r="U87" s="481">
        <f t="shared" si="7"/>
        <v>0</v>
      </c>
      <c r="V87" s="483">
        <f>IF(SETUP!$E$7="USD",(U87*(IF(O87="USD",P87,(P87/'Master Data-C19RM'!$C$2)))),(U87*(IF(O87="EUR",P87,(P87*'Master Data-C19RM'!$C$2)))))</f>
        <v>0</v>
      </c>
      <c r="W87" s="444">
        <f>IF($O87="USD",_xlfn.IFNA(VLOOKUP($A87&amp;$E87&amp;$I87,PMsheet!$J:$K,2,0),0),(_xlfn.IFNA(VLOOKUP($A87&amp;$E87&amp;$I87,PMsheet!$J:$K,2,0),0)*'Master Data-C19RM'!$D$2))</f>
        <v>0</v>
      </c>
      <c r="X87" s="441"/>
      <c r="Y87" s="441"/>
      <c r="Z87" s="441"/>
      <c r="AA87" s="441"/>
      <c r="AB87" s="481">
        <f t="shared" si="1"/>
        <v>0</v>
      </c>
      <c r="AC87" s="483">
        <f>IF(SETUP!$E$7="USD",(AB87*(IF(O87="USD",W87,(W87/'Master Data-C19RM'!$D$2)))),(AB87*(IF(O87="EUR",W87,(W87*'Master Data-C19RM'!$D$2)))))</f>
        <v>0</v>
      </c>
      <c r="AD87" s="444">
        <f>IF($O87="USD",_xlfn.IFNA(VLOOKUP($A87&amp;$E87&amp;$I87,PMsheet!$J:$K,2,0),0),(_xlfn.IFNA(VLOOKUP($A87&amp;$E87&amp;$I87,PMsheet!$J:$K,2,0),0)*'Master Data-C19RM'!$E$2))</f>
        <v>0</v>
      </c>
      <c r="AE87" s="441"/>
      <c r="AF87" s="441"/>
      <c r="AG87" s="441"/>
      <c r="AH87" s="441"/>
      <c r="AI87" s="512">
        <f t="shared" si="8"/>
        <v>0</v>
      </c>
      <c r="AJ87" s="513">
        <f>IF(SETUP!$E$7="USD",(AI87*(IF(O87="USD",AD87,(AD87/'Master Data-C19RM'!$E$2)))),(AI87*(IF(O87="EUR",AD87,(AD87*'Master Data-C19RM'!$E$2)))))</f>
        <v>0</v>
      </c>
      <c r="AK87" s="444">
        <f>IF($O87="USD",_xlfn.IFNA(VLOOKUP($A87&amp;$E87&amp;$I87,PMsheet!$J:$K,2,0),0),(_xlfn.IFNA(VLOOKUP($A87&amp;$E87&amp;$I87,PMsheet!$J:$K,2,0),0)*'Master Data-C19RM'!$F$2))</f>
        <v>0</v>
      </c>
      <c r="AL87" s="441"/>
      <c r="AM87" s="441"/>
      <c r="AN87" s="441"/>
      <c r="AO87" s="441"/>
      <c r="AP87" s="481">
        <f t="shared" si="3"/>
        <v>0</v>
      </c>
      <c r="AQ87" s="483">
        <f>IF(SETUP!$E$7="USD",(AP87*(IF(O87="USD",AK87,(AK87/'Master Data-C19RM'!$F$2)))),(AP87*(IF(O87="EUR",AK87,(AK87*'Master Data-C19RM'!$F$2)))))</f>
        <v>0</v>
      </c>
      <c r="AR87" s="444">
        <f>IF($O87="USD",_xlfn.IFNA(VLOOKUP($A87&amp;$E87&amp;$I87,PMsheet!$J:$K,2,0),0),(_xlfn.IFNA(VLOOKUP($A87&amp;$E87&amp;$I87,PMsheet!$J:$K,2,0),0)*'Master Data-C19RM'!$G$2))</f>
        <v>0</v>
      </c>
      <c r="AS87" s="441"/>
      <c r="AT87" s="441"/>
      <c r="AU87" s="441"/>
      <c r="AV87" s="441"/>
      <c r="AW87" s="481">
        <f t="shared" si="9"/>
        <v>0</v>
      </c>
      <c r="AX87" s="483">
        <f>IF(SETUP!$E$7="USD",(AW87*(IF(O87="USD",AR87,(AR87/'Master Data-C19RM'!$G$2)))),(AW87*(IF(O87="EUR",AR87,(AR87*'Master Data-C19RM'!$G$2)))))</f>
        <v>0</v>
      </c>
      <c r="AY87" s="851"/>
      <c r="AZ87" s="851"/>
      <c r="BA87" s="851"/>
      <c r="BB87" s="851"/>
      <c r="BC87" s="851"/>
      <c r="BD87" s="851"/>
      <c r="BE87" s="852"/>
      <c r="BF87" s="481">
        <f>'C19RM 2021-Lab &amp; Other HPS'!$U87+'C19RM 2021-Lab &amp; Other HPS'!$AB87+AI87+'C19RM 2021-Lab &amp; Other HPS'!$AP87+'C19RM 2021-Lab &amp; Other HPS'!$AW87+BD87</f>
        <v>0</v>
      </c>
      <c r="BG87" s="481">
        <f>'C19RM 2021-Lab &amp; Other HPS'!$V87+'C19RM 2021-Lab &amp; Other HPS'!$AC87+'C19RM 2021-Lab &amp; Other HPS'!$AQ87+'C19RM 2021-Lab &amp; Other HPS'!$AJ87+AX87+BE87</f>
        <v>0</v>
      </c>
      <c r="BH87" s="500" t="str" cm="1">
        <f t="array" ref="BH87">IF(A87&lt;&gt;"",IFERROR(INDEX(PMtbl[[WKst]:[Unit of measure*]],MATCH($A$8&amp;$A87&amp;$E87&amp;$I87,INDEX(PMtbl[Sec]&amp;PMtbl[Category]&amp;PMtbl[Each]&amp;PMtbl[Packaging],0,),0),11),""),"")</f>
        <v/>
      </c>
      <c r="BI87" s="819"/>
      <c r="BJ87" s="502" t="str">
        <f>IFERROR(INDEX(SETUP!$C$19:$G$121,MATCH((INDEX(PMtbl[[WKst]:[Unit of measure*]],MATCH($A87&amp;$E87&amp;$I87,INDEX(PMtbl[Category]&amp;PMtbl[Each]&amp;PMtbl[Packaging],0,),0),3)),SETUP!$D$19:$D$121,0),5),"")</f>
        <v/>
      </c>
      <c r="BK87" s="438" t="str">
        <f>IFERROR(IF((INDEX(SETUP!$C$19:$G$121,MATCH((INDEX(PMtbl[[WKst]:[Unit of measure*]],MATCH($A87&amp;$E87&amp;$I87,INDEX(PMtbl[Category]&amp;PMtbl[Each]&amp;PMtbl[Packaging],0,),0),3)),SETUP!$D$19:$D$121,0),4))="Upfront",0,INDEX(SETUP!$C$19:$G$121,MATCH((INDEX(PMtbl[[WKst]:[Unit of measure*]],MATCH($A87&amp;$E87&amp;$I87,INDEX(PMtbl[Category]&amp;PMtbl[Each]&amp;PMtbl[Packaging],0,),0),3)),SETUP!$D$19:$D$121,0),5)),"")</f>
        <v/>
      </c>
      <c r="BL87" s="157" t="str" cm="1">
        <f t="array" ref="BL87">IF(A87&lt;&gt;"",IFERROR(INDEX(PMtbl[[WKst]:[Unit of measure*]],MATCH($A$8&amp;$A87&amp;$E87&amp;$I87,INDEX(PMtbl[Sec]&amp;PMtbl[Category]&amp;PMtbl[Each]&amp;PMtbl[Packaging],0,),0),11),""),"")</f>
        <v/>
      </c>
      <c r="BO87" s="12">
        <f>IF(N87="",0,IF(SETUP!$E$7="USD",((IF(O87="USD",P87,(P87/'Master Data-C19RM'!$C$2)))),((IF(O87="EUR",P87,(P87*'Master Data-C19RM'!$C$2))))))</f>
        <v>0</v>
      </c>
      <c r="BP87" s="12">
        <f>IF(N87="",0,IF(SETUP!$E$7="USD",((IF(O87="USD",W87,(W87/'Master Data-C19RM'!$D$2)))),((IF(O87="EUR",W87,(W87*'Master Data-C19RM'!$D$2))))))</f>
        <v>0</v>
      </c>
      <c r="BQ87">
        <f>IF(N87="",0,IF(SETUP!$E$7="USD",((IF(O87="USD",AD87,(AD87/'Master Data-C19RM'!$E$2)))),((IF(O87="EUR",AD87,(AD87*'Master Data-C19RM'!$E$2))))))</f>
        <v>0</v>
      </c>
      <c r="BR87">
        <f>IF(N87="",0,IF(SETUP!$E$7="USD",((IF(O87="USD",AK87,(AK87/'Master Data-C19RM'!$F$2)))),((IF(O87="EUR",AK87,(AK87*'Master Data-C19RM'!$F$2))))))</f>
        <v>0</v>
      </c>
      <c r="BS87">
        <f>IF(N87="",0,IF(SETUP!$E$7="USD",((IF(O87="USD",AR87,(AR87/'Master Data-C19RM'!$G$2)))),((IF(O87="EUR",AR87,(AR87*'Master Data-C19RM'!$G$2))))))</f>
        <v>0</v>
      </c>
      <c r="BT87">
        <f>IF(N87="",0,IF(SETUP!$E$7="USD",((IF(O87="USD",AY87,(AY87/'Master Data-C19RM'!$H$2)))),((IF(O87="EUR",AY87,(AY87*'Master Data-C19RM'!$H$2))))))</f>
        <v>0</v>
      </c>
      <c r="BU87" s="12">
        <f t="shared" si="5"/>
        <v>0</v>
      </c>
      <c r="BV87" s="142">
        <f t="shared" si="6"/>
        <v>0</v>
      </c>
    </row>
    <row r="88" spans="1:74" ht="14.5" customHeight="1" x14ac:dyDescent="0.35">
      <c r="A88" s="1192"/>
      <c r="B88" s="1192"/>
      <c r="C88" s="1192"/>
      <c r="D88" s="1192"/>
      <c r="E88" s="1173"/>
      <c r="F88" s="1173"/>
      <c r="G88" s="1173"/>
      <c r="H88" s="1173"/>
      <c r="I88" s="1173"/>
      <c r="J88" s="1173"/>
      <c r="K88" s="1173"/>
      <c r="L88" s="493" t="str" cm="1">
        <f t="array" ref="L88">IF(A88&lt;&gt;"",IFERROR(INDEX(PMtbl[[WKst]:[Unit of measure*]],MATCH($A$8&amp;$A88&amp;$E88&amp;$I88,INDEX(PMtbl[Sec]&amp;PMtbl[Category]&amp;PMtbl[Each]&amp;PMtbl[Packaging],0,),0),14),""),"")</f>
        <v/>
      </c>
      <c r="M88" s="480" t="str">
        <f>IF(L88="","",INDEX(SETUP!$E$20:$E$122,(MATCH(INDEX(PMsheet!$D:$E,MATCH(A88,PMsheet!E:E,0),1),SETUP!$D$20:$D$122,0))))</f>
        <v/>
      </c>
      <c r="N88" s="494">
        <f>IF($O88="USD",_xlfn.IFNA(VLOOKUP(A88&amp;E88&amp;I88,PMsheet!J:K,2,0),0),(_xlfn.IFNA(VLOOKUP(A88&amp;E88&amp;I88,PMsheet!J:K,2,0),0)*'Master Data-C19RM'!$C$2))</f>
        <v>0</v>
      </c>
      <c r="O88" s="495" t="str">
        <f>IF(L88="", "",SETUP!$E$7)</f>
        <v/>
      </c>
      <c r="P88" s="445">
        <f>IF($O88="USD",_xlfn.IFNA(VLOOKUP($A88&amp;$E88&amp;$I88,PMsheet!$J:$K,2,0),0),(_xlfn.IFNA(VLOOKUP($A88&amp;$E88&amp;$I88,PMsheet!$J:$K,2,0),0)*'Master Data-C19RM'!$C$2))</f>
        <v>0</v>
      </c>
      <c r="Q88" s="440"/>
      <c r="R88" s="440"/>
      <c r="S88" s="440"/>
      <c r="T88" s="440"/>
      <c r="U88" s="482">
        <f t="shared" si="7"/>
        <v>0</v>
      </c>
      <c r="V88" s="484">
        <f>IF(SETUP!$E$7="USD",(U88*(IF(O88="USD",P88,(P88/'Master Data-C19RM'!$C$2)))),(U88*(IF(O88="EUR",P88,(P88*'Master Data-C19RM'!$C$2)))))</f>
        <v>0</v>
      </c>
      <c r="W88" s="445">
        <f>IF($O88="USD",_xlfn.IFNA(VLOOKUP($A88&amp;$E88&amp;$I88,PMsheet!$J:$K,2,0),0),(_xlfn.IFNA(VLOOKUP($A88&amp;$E88&amp;$I88,PMsheet!$J:$K,2,0),0)*'Master Data-C19RM'!$D$2))</f>
        <v>0</v>
      </c>
      <c r="X88" s="440"/>
      <c r="Y88" s="440"/>
      <c r="Z88" s="440"/>
      <c r="AA88" s="440"/>
      <c r="AB88" s="482">
        <f t="shared" si="1"/>
        <v>0</v>
      </c>
      <c r="AC88" s="484">
        <f>IF(SETUP!$E$7="USD",(AB88*(IF(O88="USD",W88,(W88/'Master Data-C19RM'!$D$2)))),(AB88*(IF(O88="EUR",W88,(W88*'Master Data-C19RM'!$D$2)))))</f>
        <v>0</v>
      </c>
      <c r="AD88" s="445">
        <f>IF($O88="USD",_xlfn.IFNA(VLOOKUP($A88&amp;$E88&amp;$I88,PMsheet!$J:$K,2,0),0),(_xlfn.IFNA(VLOOKUP($A88&amp;$E88&amp;$I88,PMsheet!$J:$K,2,0),0)*'Master Data-C19RM'!$E$2))</f>
        <v>0</v>
      </c>
      <c r="AE88" s="440"/>
      <c r="AF88" s="440"/>
      <c r="AG88" s="440"/>
      <c r="AH88" s="440"/>
      <c r="AI88" s="514">
        <f t="shared" si="8"/>
        <v>0</v>
      </c>
      <c r="AJ88" s="515">
        <f>IF(SETUP!$E$7="USD",(AI88*(IF(O88="USD",AD88,(AD88/'Master Data-C19RM'!$E$2)))),(AI88*(IF(O88="EUR",AD88,(AD88*'Master Data-C19RM'!$E$2)))))</f>
        <v>0</v>
      </c>
      <c r="AK88" s="445">
        <f>IF($O88="USD",_xlfn.IFNA(VLOOKUP($A88&amp;$E88&amp;$I88,PMsheet!$J:$K,2,0),0),(_xlfn.IFNA(VLOOKUP($A88&amp;$E88&amp;$I88,PMsheet!$J:$K,2,0),0)*'Master Data-C19RM'!$F$2))</f>
        <v>0</v>
      </c>
      <c r="AL88" s="440"/>
      <c r="AM88" s="440"/>
      <c r="AN88" s="440"/>
      <c r="AO88" s="440"/>
      <c r="AP88" s="482">
        <f t="shared" si="3"/>
        <v>0</v>
      </c>
      <c r="AQ88" s="484">
        <f>IF(SETUP!$E$7="USD",(AP88*(IF(O88="USD",AK88,(AK88/'Master Data-C19RM'!$F$2)))),(AP88*(IF(O88="EUR",AK88,(AK88*'Master Data-C19RM'!$F$2)))))</f>
        <v>0</v>
      </c>
      <c r="AR88" s="445">
        <f>IF($O88="USD",_xlfn.IFNA(VLOOKUP($A88&amp;$E88&amp;$I88,PMsheet!$J:$K,2,0),0),(_xlfn.IFNA(VLOOKUP($A88&amp;$E88&amp;$I88,PMsheet!$J:$K,2,0),0)*'Master Data-C19RM'!$G$2))</f>
        <v>0</v>
      </c>
      <c r="AS88" s="440"/>
      <c r="AT88" s="440"/>
      <c r="AU88" s="440"/>
      <c r="AV88" s="440"/>
      <c r="AW88" s="482">
        <f t="shared" si="9"/>
        <v>0</v>
      </c>
      <c r="AX88" s="484">
        <f>IF(SETUP!$E$7="USD",(AW88*(IF(O88="USD",AR88,(AR88/'Master Data-C19RM'!$G$2)))),(AW88*(IF(O88="EUR",AR88,(AR88*'Master Data-C19RM'!$G$2)))))</f>
        <v>0</v>
      </c>
      <c r="AY88" s="843"/>
      <c r="AZ88" s="843"/>
      <c r="BA88" s="843"/>
      <c r="BB88" s="843"/>
      <c r="BC88" s="843"/>
      <c r="BD88" s="843"/>
      <c r="BE88" s="844"/>
      <c r="BF88" s="482">
        <f>'C19RM 2021-Lab &amp; Other HPS'!$U88+'C19RM 2021-Lab &amp; Other HPS'!$AB88+AI88+'C19RM 2021-Lab &amp; Other HPS'!$AP88+'C19RM 2021-Lab &amp; Other HPS'!$AW88+BD88</f>
        <v>0</v>
      </c>
      <c r="BG88" s="482">
        <f>'C19RM 2021-Lab &amp; Other HPS'!$V88+'C19RM 2021-Lab &amp; Other HPS'!$AC88+'C19RM 2021-Lab &amp; Other HPS'!$AQ88+'C19RM 2021-Lab &amp; Other HPS'!$AJ88+AX88+BE88</f>
        <v>0</v>
      </c>
      <c r="BH88" s="499" t="str" cm="1">
        <f t="array" ref="BH88">IF(A88&lt;&gt;"",IFERROR(INDEX(PMtbl[[WKst]:[Unit of measure*]],MATCH($A$8&amp;$A88&amp;$E88&amp;$I88,INDEX(PMtbl[Sec]&amp;PMtbl[Category]&amp;PMtbl[Each]&amp;PMtbl[Packaging],0,),0),11),""),"")</f>
        <v/>
      </c>
      <c r="BI88" s="818"/>
      <c r="BJ88" s="503" t="str">
        <f>IFERROR(INDEX(SETUP!$C$19:$G$121,MATCH((INDEX(PMtbl[[WKst]:[Unit of measure*]],MATCH($A88&amp;$E88&amp;$I88,INDEX(PMtbl[Category]&amp;PMtbl[Each]&amp;PMtbl[Packaging],0,),0),3)),SETUP!$D$19:$D$121,0),5),"")</f>
        <v/>
      </c>
      <c r="BK88" s="439" t="str">
        <f>IFERROR(IF((INDEX(SETUP!$C$19:$G$121,MATCH((INDEX(PMtbl[[WKst]:[Unit of measure*]],MATCH($A88&amp;$E88&amp;$I88,INDEX(PMtbl[Category]&amp;PMtbl[Each]&amp;PMtbl[Packaging],0,),0),3)),SETUP!$D$19:$D$121,0),4))="Upfront",0,INDEX(SETUP!$C$19:$G$121,MATCH((INDEX(PMtbl[[WKst]:[Unit of measure*]],MATCH($A88&amp;$E88&amp;$I88,INDEX(PMtbl[Category]&amp;PMtbl[Each]&amp;PMtbl[Packaging],0,),0),3)),SETUP!$D$19:$D$121,0),5)),"")</f>
        <v/>
      </c>
      <c r="BL88" s="158" t="str" cm="1">
        <f t="array" ref="BL88">IF(A88&lt;&gt;"",IFERROR(INDEX(PMtbl[[WKst]:[Unit of measure*]],MATCH($A$8&amp;$A88&amp;$E88&amp;$I88,INDEX(PMtbl[Sec]&amp;PMtbl[Category]&amp;PMtbl[Each]&amp;PMtbl[Packaging],0,),0),11),""),"")</f>
        <v/>
      </c>
      <c r="BO88" s="12">
        <f>IF(N88="",0,IF(SETUP!$E$7="USD",((IF(O88="USD",P88,(P88/'Master Data-C19RM'!$C$2)))),((IF(O88="EUR",P88,(P88*'Master Data-C19RM'!$C$2))))))</f>
        <v>0</v>
      </c>
      <c r="BP88" s="12">
        <f>IF(N88="",0,IF(SETUP!$E$7="USD",((IF(O88="USD",W88,(W88/'Master Data-C19RM'!$D$2)))),((IF(O88="EUR",W88,(W88*'Master Data-C19RM'!$D$2))))))</f>
        <v>0</v>
      </c>
      <c r="BQ88">
        <f>IF(N88="",0,IF(SETUP!$E$7="USD",((IF(O88="USD",AD88,(AD88/'Master Data-C19RM'!$E$2)))),((IF(O88="EUR",AD88,(AD88*'Master Data-C19RM'!$E$2))))))</f>
        <v>0</v>
      </c>
      <c r="BR88">
        <f>IF(N88="",0,IF(SETUP!$E$7="USD",((IF(O88="USD",AK88,(AK88/'Master Data-C19RM'!$F$2)))),((IF(O88="EUR",AK88,(AK88*'Master Data-C19RM'!$F$2))))))</f>
        <v>0</v>
      </c>
      <c r="BS88">
        <f>IF(N88="",0,IF(SETUP!$E$7="USD",((IF(O88="USD",AR88,(AR88/'Master Data-C19RM'!$G$2)))),((IF(O88="EUR",AR88,(AR88*'Master Data-C19RM'!$G$2))))))</f>
        <v>0</v>
      </c>
      <c r="BT88">
        <f>IF(N88="",0,IF(SETUP!$E$7="USD",((IF(O88="USD",AY88,(AY88/'Master Data-C19RM'!$H$2)))),((IF(O88="EUR",AY88,(AY88*'Master Data-C19RM'!$H$2))))))</f>
        <v>0</v>
      </c>
      <c r="BU88" s="12">
        <f t="shared" si="5"/>
        <v>0</v>
      </c>
      <c r="BV88" s="142">
        <f t="shared" si="6"/>
        <v>0</v>
      </c>
    </row>
    <row r="89" spans="1:74" ht="14.5" customHeight="1" x14ac:dyDescent="0.35">
      <c r="A89" s="1200"/>
      <c r="B89" s="1201"/>
      <c r="C89" s="1201"/>
      <c r="D89" s="1202"/>
      <c r="E89" s="1216"/>
      <c r="F89" s="1217"/>
      <c r="G89" s="1217"/>
      <c r="H89" s="1218"/>
      <c r="I89" s="1216"/>
      <c r="J89" s="1217"/>
      <c r="K89" s="1218"/>
      <c r="L89" s="490" t="str" cm="1">
        <f t="array" ref="L89">IF(A89&lt;&gt;"",IFERROR(INDEX(PMtbl[[WKst]:[Unit of measure*]],MATCH($A$8&amp;$A89&amp;$E89&amp;$I89,INDEX(PMtbl[Sec]&amp;PMtbl[Category]&amp;PMtbl[Each]&amp;PMtbl[Packaging],0,),0),14),""),"")</f>
        <v/>
      </c>
      <c r="M89" s="479" t="str">
        <f>IF(L89="","",INDEX(SETUP!$E$20:$E$122,(MATCH(INDEX(PMsheet!$D:$E,MATCH(A89,PMsheet!E:E,0),1),SETUP!$D$20:$D$122,0))))</f>
        <v/>
      </c>
      <c r="N89" s="496">
        <f>IF($O89="USD",_xlfn.IFNA(VLOOKUP(A89&amp;E89&amp;I89,PMsheet!J:K,2,0),0),(_xlfn.IFNA(VLOOKUP(A89&amp;E89&amp;I89,PMsheet!J:K,2,0),0)*'Master Data-C19RM'!$C$2))</f>
        <v>0</v>
      </c>
      <c r="O89" s="492" t="str">
        <f>IF(L89="", "",SETUP!$E$7)</f>
        <v/>
      </c>
      <c r="P89" s="444">
        <f>IF($O89="USD",_xlfn.IFNA(VLOOKUP($A89&amp;$E89&amp;$I89,PMsheet!$J:$K,2,0),0),(_xlfn.IFNA(VLOOKUP($A89&amp;$E89&amp;$I89,PMsheet!$J:$K,2,0),0)*'Master Data-C19RM'!$C$2))</f>
        <v>0</v>
      </c>
      <c r="Q89" s="441"/>
      <c r="R89" s="441"/>
      <c r="S89" s="441"/>
      <c r="T89" s="441"/>
      <c r="U89" s="481">
        <f t="shared" si="7"/>
        <v>0</v>
      </c>
      <c r="V89" s="483">
        <f>IF(SETUP!$E$7="USD",(U89*(IF(O89="USD",P89,(P89/'Master Data-C19RM'!$C$2)))),(U89*(IF(O89="EUR",P89,(P89*'Master Data-C19RM'!$C$2)))))</f>
        <v>0</v>
      </c>
      <c r="W89" s="444">
        <f>IF($O89="USD",_xlfn.IFNA(VLOOKUP($A89&amp;$E89&amp;$I89,PMsheet!$J:$K,2,0),0),(_xlfn.IFNA(VLOOKUP($A89&amp;$E89&amp;$I89,PMsheet!$J:$K,2,0),0)*'Master Data-C19RM'!$D$2))</f>
        <v>0</v>
      </c>
      <c r="X89" s="441"/>
      <c r="Y89" s="441"/>
      <c r="Z89" s="441"/>
      <c r="AA89" s="441"/>
      <c r="AB89" s="481">
        <f t="shared" si="1"/>
        <v>0</v>
      </c>
      <c r="AC89" s="483">
        <f>IF(SETUP!$E$7="USD",(AB89*(IF(O89="USD",W89,(W89/'Master Data-C19RM'!$D$2)))),(AB89*(IF(O89="EUR",W89,(W89*'Master Data-C19RM'!$D$2)))))</f>
        <v>0</v>
      </c>
      <c r="AD89" s="444">
        <f>IF($O89="USD",_xlfn.IFNA(VLOOKUP($A89&amp;$E89&amp;$I89,PMsheet!$J:$K,2,0),0),(_xlfn.IFNA(VLOOKUP($A89&amp;$E89&amp;$I89,PMsheet!$J:$K,2,0),0)*'Master Data-C19RM'!$E$2))</f>
        <v>0</v>
      </c>
      <c r="AE89" s="441"/>
      <c r="AF89" s="441"/>
      <c r="AG89" s="441"/>
      <c r="AH89" s="441"/>
      <c r="AI89" s="512">
        <f t="shared" si="8"/>
        <v>0</v>
      </c>
      <c r="AJ89" s="513">
        <f>IF(SETUP!$E$7="USD",(AI89*(IF(O89="USD",AD89,(AD89/'Master Data-C19RM'!$E$2)))),(AI89*(IF(O89="EUR",AD89,(AD89*'Master Data-C19RM'!$E$2)))))</f>
        <v>0</v>
      </c>
      <c r="AK89" s="444">
        <f>IF($O89="USD",_xlfn.IFNA(VLOOKUP($A89&amp;$E89&amp;$I89,PMsheet!$J:$K,2,0),0),(_xlfn.IFNA(VLOOKUP($A89&amp;$E89&amp;$I89,PMsheet!$J:$K,2,0),0)*'Master Data-C19RM'!$F$2))</f>
        <v>0</v>
      </c>
      <c r="AL89" s="441"/>
      <c r="AM89" s="441"/>
      <c r="AN89" s="441"/>
      <c r="AO89" s="441"/>
      <c r="AP89" s="481">
        <f t="shared" si="3"/>
        <v>0</v>
      </c>
      <c r="AQ89" s="483">
        <f>IF(SETUP!$E$7="USD",(AP89*(IF(O89="USD",AK89,(AK89/'Master Data-C19RM'!$F$2)))),(AP89*(IF(O89="EUR",AK89,(AK89*'Master Data-C19RM'!$F$2)))))</f>
        <v>0</v>
      </c>
      <c r="AR89" s="444">
        <f>IF($O89="USD",_xlfn.IFNA(VLOOKUP($A89&amp;$E89&amp;$I89,PMsheet!$J:$K,2,0),0),(_xlfn.IFNA(VLOOKUP($A89&amp;$E89&amp;$I89,PMsheet!$J:$K,2,0),0)*'Master Data-C19RM'!$G$2))</f>
        <v>0</v>
      </c>
      <c r="AS89" s="441"/>
      <c r="AT89" s="441"/>
      <c r="AU89" s="441"/>
      <c r="AV89" s="441"/>
      <c r="AW89" s="481">
        <f t="shared" si="9"/>
        <v>0</v>
      </c>
      <c r="AX89" s="483">
        <f>IF(SETUP!$E$7="USD",(AW89*(IF(O89="USD",AR89,(AR89/'Master Data-C19RM'!$G$2)))),(AW89*(IF(O89="EUR",AR89,(AR89*'Master Data-C19RM'!$G$2)))))</f>
        <v>0</v>
      </c>
      <c r="AY89" s="851"/>
      <c r="AZ89" s="851"/>
      <c r="BA89" s="851"/>
      <c r="BB89" s="851"/>
      <c r="BC89" s="851"/>
      <c r="BD89" s="851"/>
      <c r="BE89" s="852"/>
      <c r="BF89" s="481">
        <f>'C19RM 2021-Lab &amp; Other HPS'!$U89+'C19RM 2021-Lab &amp; Other HPS'!$AB89+AI89+'C19RM 2021-Lab &amp; Other HPS'!$AP89+'C19RM 2021-Lab &amp; Other HPS'!$AW89+BD89</f>
        <v>0</v>
      </c>
      <c r="BG89" s="481">
        <f>'C19RM 2021-Lab &amp; Other HPS'!$V89+'C19RM 2021-Lab &amp; Other HPS'!$AC89+'C19RM 2021-Lab &amp; Other HPS'!$AQ89+'C19RM 2021-Lab &amp; Other HPS'!$AJ89+AX89+BE89</f>
        <v>0</v>
      </c>
      <c r="BH89" s="500" t="str" cm="1">
        <f t="array" ref="BH89">IF(A89&lt;&gt;"",IFERROR(INDEX(PMtbl[[WKst]:[Unit of measure*]],MATCH($A$8&amp;$A89&amp;$E89&amp;$I89,INDEX(PMtbl[Sec]&amp;PMtbl[Category]&amp;PMtbl[Each]&amp;PMtbl[Packaging],0,),0),11),""),"")</f>
        <v/>
      </c>
      <c r="BI89" s="819"/>
      <c r="BJ89" s="502" t="str">
        <f>IFERROR(INDEX(SETUP!$C$19:$G$121,MATCH((INDEX(PMtbl[[WKst]:[Unit of measure*]],MATCH($A89&amp;$E89&amp;$I89,INDEX(PMtbl[Category]&amp;PMtbl[Each]&amp;PMtbl[Packaging],0,),0),3)),SETUP!$D$19:$D$121,0),5),"")</f>
        <v/>
      </c>
      <c r="BK89" s="438" t="str">
        <f>IFERROR(IF((INDEX(SETUP!$C$19:$G$121,MATCH((INDEX(PMtbl[[WKst]:[Unit of measure*]],MATCH($A89&amp;$E89&amp;$I89,INDEX(PMtbl[Category]&amp;PMtbl[Each]&amp;PMtbl[Packaging],0,),0),3)),SETUP!$D$19:$D$121,0),4))="Upfront",0,INDEX(SETUP!$C$19:$G$121,MATCH((INDEX(PMtbl[[WKst]:[Unit of measure*]],MATCH($A89&amp;$E89&amp;$I89,INDEX(PMtbl[Category]&amp;PMtbl[Each]&amp;PMtbl[Packaging],0,),0),3)),SETUP!$D$19:$D$121,0),5)),"")</f>
        <v/>
      </c>
      <c r="BL89" s="157" t="str" cm="1">
        <f t="array" ref="BL89">IF(A89&lt;&gt;"",IFERROR(INDEX(PMtbl[[WKst]:[Unit of measure*]],MATCH($A$8&amp;$A89&amp;$E89&amp;$I89,INDEX(PMtbl[Sec]&amp;PMtbl[Category]&amp;PMtbl[Each]&amp;PMtbl[Packaging],0,),0),11),""),"")</f>
        <v/>
      </c>
      <c r="BO89" s="12">
        <f>IF(N89="",0,IF(SETUP!$E$7="USD",((IF(O89="USD",P89,(P89/'Master Data-C19RM'!$C$2)))),((IF(O89="EUR",P89,(P89*'Master Data-C19RM'!$C$2))))))</f>
        <v>0</v>
      </c>
      <c r="BP89" s="12">
        <f>IF(N89="",0,IF(SETUP!$E$7="USD",((IF(O89="USD",W89,(W89/'Master Data-C19RM'!$D$2)))),((IF(O89="EUR",W89,(W89*'Master Data-C19RM'!$D$2))))))</f>
        <v>0</v>
      </c>
      <c r="BQ89">
        <f>IF(N89="",0,IF(SETUP!$E$7="USD",((IF(O89="USD",AD89,(AD89/'Master Data-C19RM'!$E$2)))),((IF(O89="EUR",AD89,(AD89*'Master Data-C19RM'!$E$2))))))</f>
        <v>0</v>
      </c>
      <c r="BR89">
        <f>IF(N89="",0,IF(SETUP!$E$7="USD",((IF(O89="USD",AK89,(AK89/'Master Data-C19RM'!$F$2)))),((IF(O89="EUR",AK89,(AK89*'Master Data-C19RM'!$F$2))))))</f>
        <v>0</v>
      </c>
      <c r="BS89">
        <f>IF(N89="",0,IF(SETUP!$E$7="USD",((IF(O89="USD",AR89,(AR89/'Master Data-C19RM'!$G$2)))),((IF(O89="EUR",AR89,(AR89*'Master Data-C19RM'!$G$2))))))</f>
        <v>0</v>
      </c>
      <c r="BT89">
        <f>IF(N89="",0,IF(SETUP!$E$7="USD",((IF(O89="USD",AY89,(AY89/'Master Data-C19RM'!$H$2)))),((IF(O89="EUR",AY89,(AY89*'Master Data-C19RM'!$H$2))))))</f>
        <v>0</v>
      </c>
      <c r="BU89" s="12">
        <f t="shared" si="5"/>
        <v>0</v>
      </c>
      <c r="BV89" s="142">
        <f t="shared" si="6"/>
        <v>0</v>
      </c>
    </row>
    <row r="90" spans="1:74" ht="14.5" customHeight="1" x14ac:dyDescent="0.35">
      <c r="A90" s="1192"/>
      <c r="B90" s="1192"/>
      <c r="C90" s="1192"/>
      <c r="D90" s="1192"/>
      <c r="E90" s="1173"/>
      <c r="F90" s="1173"/>
      <c r="G90" s="1173"/>
      <c r="H90" s="1173"/>
      <c r="I90" s="1173"/>
      <c r="J90" s="1173"/>
      <c r="K90" s="1173"/>
      <c r="L90" s="493" t="str" cm="1">
        <f t="array" ref="L90">IF(A90&lt;&gt;"",IFERROR(INDEX(PMtbl[[WKst]:[Unit of measure*]],MATCH($A$8&amp;$A90&amp;$E90&amp;$I90,INDEX(PMtbl[Sec]&amp;PMtbl[Category]&amp;PMtbl[Each]&amp;PMtbl[Packaging],0,),0),14),""),"")</f>
        <v/>
      </c>
      <c r="M90" s="480" t="str">
        <f>IF(L90="","",INDEX(SETUP!$E$20:$E$122,(MATCH(INDEX(PMsheet!$D:$E,MATCH(A90,PMsheet!E:E,0),1),SETUP!$D$20:$D$122,0))))</f>
        <v/>
      </c>
      <c r="N90" s="494">
        <f>IF($O90="USD",_xlfn.IFNA(VLOOKUP(A90&amp;E90&amp;I90,PMsheet!J:K,2,0),0),(_xlfn.IFNA(VLOOKUP(A90&amp;E90&amp;I90,PMsheet!J:K,2,0),0)*'Master Data-C19RM'!$C$2))</f>
        <v>0</v>
      </c>
      <c r="O90" s="495" t="str">
        <f>IF(L90="", "",SETUP!$E$7)</f>
        <v/>
      </c>
      <c r="P90" s="445">
        <f>IF($O90="USD",_xlfn.IFNA(VLOOKUP($A90&amp;$E90&amp;$I90,PMsheet!$J:$K,2,0),0),(_xlfn.IFNA(VLOOKUP($A90&amp;$E90&amp;$I90,PMsheet!$J:$K,2,0),0)*'Master Data-C19RM'!$C$2))</f>
        <v>0</v>
      </c>
      <c r="Q90" s="440"/>
      <c r="R90" s="440"/>
      <c r="S90" s="440"/>
      <c r="T90" s="440"/>
      <c r="U90" s="482">
        <f t="shared" si="7"/>
        <v>0</v>
      </c>
      <c r="V90" s="484">
        <f>IF(SETUP!$E$7="USD",(U90*(IF(O90="USD",P90,(P90/'Master Data-C19RM'!$C$2)))),(U90*(IF(O90="EUR",P90,(P90*'Master Data-C19RM'!$C$2)))))</f>
        <v>0</v>
      </c>
      <c r="W90" s="445">
        <f>IF($O90="USD",_xlfn.IFNA(VLOOKUP($A90&amp;$E90&amp;$I90,PMsheet!$J:$K,2,0),0),(_xlfn.IFNA(VLOOKUP($A90&amp;$E90&amp;$I90,PMsheet!$J:$K,2,0),0)*'Master Data-C19RM'!$D$2))</f>
        <v>0</v>
      </c>
      <c r="X90" s="440"/>
      <c r="Y90" s="440"/>
      <c r="Z90" s="440"/>
      <c r="AA90" s="440"/>
      <c r="AB90" s="482">
        <f t="shared" si="1"/>
        <v>0</v>
      </c>
      <c r="AC90" s="484">
        <f>IF(SETUP!$E$7="USD",(AB90*(IF(O90="USD",W90,(W90/'Master Data-C19RM'!$D$2)))),(AB90*(IF(O90="EUR",W90,(W90*'Master Data-C19RM'!$D$2)))))</f>
        <v>0</v>
      </c>
      <c r="AD90" s="445">
        <f>IF($O90="USD",_xlfn.IFNA(VLOOKUP($A90&amp;$E90&amp;$I90,PMsheet!$J:$K,2,0),0),(_xlfn.IFNA(VLOOKUP($A90&amp;$E90&amp;$I90,PMsheet!$J:$K,2,0),0)*'Master Data-C19RM'!$E$2))</f>
        <v>0</v>
      </c>
      <c r="AE90" s="440"/>
      <c r="AF90" s="440"/>
      <c r="AG90" s="440"/>
      <c r="AH90" s="440"/>
      <c r="AI90" s="514">
        <f t="shared" si="8"/>
        <v>0</v>
      </c>
      <c r="AJ90" s="515">
        <f>IF(SETUP!$E$7="USD",(AI90*(IF(O90="USD",AD90,(AD90/'Master Data-C19RM'!$E$2)))),(AI90*(IF(O90="EUR",AD90,(AD90*'Master Data-C19RM'!$E$2)))))</f>
        <v>0</v>
      </c>
      <c r="AK90" s="445">
        <f>IF($O90="USD",_xlfn.IFNA(VLOOKUP($A90&amp;$E90&amp;$I90,PMsheet!$J:$K,2,0),0),(_xlfn.IFNA(VLOOKUP($A90&amp;$E90&amp;$I90,PMsheet!$J:$K,2,0),0)*'Master Data-C19RM'!$F$2))</f>
        <v>0</v>
      </c>
      <c r="AL90" s="440"/>
      <c r="AM90" s="440"/>
      <c r="AN90" s="440"/>
      <c r="AO90" s="440"/>
      <c r="AP90" s="482">
        <f t="shared" si="3"/>
        <v>0</v>
      </c>
      <c r="AQ90" s="484">
        <f>IF(SETUP!$E$7="USD",(AP90*(IF(O90="USD",AK90,(AK90/'Master Data-C19RM'!$F$2)))),(AP90*(IF(O90="EUR",AK90,(AK90*'Master Data-C19RM'!$F$2)))))</f>
        <v>0</v>
      </c>
      <c r="AR90" s="445">
        <f>IF($O90="USD",_xlfn.IFNA(VLOOKUP($A90&amp;$E90&amp;$I90,PMsheet!$J:$K,2,0),0),(_xlfn.IFNA(VLOOKUP($A90&amp;$E90&amp;$I90,PMsheet!$J:$K,2,0),0)*'Master Data-C19RM'!$G$2))</f>
        <v>0</v>
      </c>
      <c r="AS90" s="440"/>
      <c r="AT90" s="440"/>
      <c r="AU90" s="440"/>
      <c r="AV90" s="440"/>
      <c r="AW90" s="482">
        <f t="shared" si="9"/>
        <v>0</v>
      </c>
      <c r="AX90" s="484">
        <f>IF(SETUP!$E$7="USD",(AW90*(IF(O90="USD",AR90,(AR90/'Master Data-C19RM'!$G$2)))),(AW90*(IF(O90="EUR",AR90,(AR90*'Master Data-C19RM'!$G$2)))))</f>
        <v>0</v>
      </c>
      <c r="AY90" s="843"/>
      <c r="AZ90" s="843"/>
      <c r="BA90" s="843"/>
      <c r="BB90" s="843"/>
      <c r="BC90" s="843"/>
      <c r="BD90" s="843"/>
      <c r="BE90" s="844"/>
      <c r="BF90" s="482">
        <f>'C19RM 2021-Lab &amp; Other HPS'!$U90+'C19RM 2021-Lab &amp; Other HPS'!$AB90+AI90+'C19RM 2021-Lab &amp; Other HPS'!$AP90+'C19RM 2021-Lab &amp; Other HPS'!$AW90+BD90</f>
        <v>0</v>
      </c>
      <c r="BG90" s="482">
        <f>'C19RM 2021-Lab &amp; Other HPS'!$V90+'C19RM 2021-Lab &amp; Other HPS'!$AC90+'C19RM 2021-Lab &amp; Other HPS'!$AQ90+'C19RM 2021-Lab &amp; Other HPS'!$AJ90+AX90+BE90</f>
        <v>0</v>
      </c>
      <c r="BH90" s="499" t="str" cm="1">
        <f t="array" ref="BH90">IF(A90&lt;&gt;"",IFERROR(INDEX(PMtbl[[WKst]:[Unit of measure*]],MATCH($A$8&amp;$A90&amp;$E90&amp;$I90,INDEX(PMtbl[Sec]&amp;PMtbl[Category]&amp;PMtbl[Each]&amp;PMtbl[Packaging],0,),0),11),""),"")</f>
        <v/>
      </c>
      <c r="BI90" s="818"/>
      <c r="BJ90" s="503" t="str">
        <f>IFERROR(INDEX(SETUP!$C$19:$G$121,MATCH((INDEX(PMtbl[[WKst]:[Unit of measure*]],MATCH($A90&amp;$E90&amp;$I90,INDEX(PMtbl[Category]&amp;PMtbl[Each]&amp;PMtbl[Packaging],0,),0),3)),SETUP!$D$19:$D$121,0),5),"")</f>
        <v/>
      </c>
      <c r="BK90" s="439" t="str">
        <f>IFERROR(IF((INDEX(SETUP!$C$19:$G$121,MATCH((INDEX(PMtbl[[WKst]:[Unit of measure*]],MATCH($A90&amp;$E90&amp;$I90,INDEX(PMtbl[Category]&amp;PMtbl[Each]&amp;PMtbl[Packaging],0,),0),3)),SETUP!$D$19:$D$121,0),4))="Upfront",0,INDEX(SETUP!$C$19:$G$121,MATCH((INDEX(PMtbl[[WKst]:[Unit of measure*]],MATCH($A90&amp;$E90&amp;$I90,INDEX(PMtbl[Category]&amp;PMtbl[Each]&amp;PMtbl[Packaging],0,),0),3)),SETUP!$D$19:$D$121,0),5)),"")</f>
        <v/>
      </c>
      <c r="BL90" s="158" t="str" cm="1">
        <f t="array" ref="BL90">IF(A90&lt;&gt;"",IFERROR(INDEX(PMtbl[[WKst]:[Unit of measure*]],MATCH($A$8&amp;$A90&amp;$E90&amp;$I90,INDEX(PMtbl[Sec]&amp;PMtbl[Category]&amp;PMtbl[Each]&amp;PMtbl[Packaging],0,),0),11),""),"")</f>
        <v/>
      </c>
      <c r="BO90" s="12">
        <f>IF(N90="",0,IF(SETUP!$E$7="USD",((IF(O90="USD",P90,(P90/'Master Data-C19RM'!$C$2)))),((IF(O90="EUR",P90,(P90*'Master Data-C19RM'!$C$2))))))</f>
        <v>0</v>
      </c>
      <c r="BP90" s="12">
        <f>IF(N90="",0,IF(SETUP!$E$7="USD",((IF(O90="USD",W90,(W90/'Master Data-C19RM'!$D$2)))),((IF(O90="EUR",W90,(W90*'Master Data-C19RM'!$D$2))))))</f>
        <v>0</v>
      </c>
      <c r="BQ90">
        <f>IF(N90="",0,IF(SETUP!$E$7="USD",((IF(O90="USD",AD90,(AD90/'Master Data-C19RM'!$E$2)))),((IF(O90="EUR",AD90,(AD90*'Master Data-C19RM'!$E$2))))))</f>
        <v>0</v>
      </c>
      <c r="BR90">
        <f>IF(N90="",0,IF(SETUP!$E$7="USD",((IF(O90="USD",AK90,(AK90/'Master Data-C19RM'!$F$2)))),((IF(O90="EUR",AK90,(AK90*'Master Data-C19RM'!$F$2))))))</f>
        <v>0</v>
      </c>
      <c r="BS90">
        <f>IF(N90="",0,IF(SETUP!$E$7="USD",((IF(O90="USD",AR90,(AR90/'Master Data-C19RM'!$G$2)))),((IF(O90="EUR",AR90,(AR90*'Master Data-C19RM'!$G$2))))))</f>
        <v>0</v>
      </c>
      <c r="BT90">
        <f>IF(N90="",0,IF(SETUP!$E$7="USD",((IF(O90="USD",AY90,(AY90/'Master Data-C19RM'!$H$2)))),((IF(O90="EUR",AY90,(AY90*'Master Data-C19RM'!$H$2))))))</f>
        <v>0</v>
      </c>
      <c r="BU90" s="12">
        <f t="shared" si="5"/>
        <v>0</v>
      </c>
      <c r="BV90" s="142">
        <f t="shared" si="6"/>
        <v>0</v>
      </c>
    </row>
    <row r="91" spans="1:74" ht="14.5" customHeight="1" x14ac:dyDescent="0.35">
      <c r="A91" s="1200"/>
      <c r="B91" s="1201"/>
      <c r="C91" s="1201"/>
      <c r="D91" s="1202"/>
      <c r="E91" s="1216"/>
      <c r="F91" s="1217"/>
      <c r="G91" s="1217"/>
      <c r="H91" s="1218"/>
      <c r="I91" s="1216"/>
      <c r="J91" s="1217"/>
      <c r="K91" s="1218"/>
      <c r="L91" s="490" t="str" cm="1">
        <f t="array" ref="L91">IF(A91&lt;&gt;"",IFERROR(INDEX(PMtbl[[WKst]:[Unit of measure*]],MATCH($A$8&amp;$A91&amp;$E91&amp;$I91,INDEX(PMtbl[Sec]&amp;PMtbl[Category]&amp;PMtbl[Each]&amp;PMtbl[Packaging],0,),0),14),""),"")</f>
        <v/>
      </c>
      <c r="M91" s="479" t="str">
        <f>IF(L91="","",INDEX(SETUP!$E$20:$E$122,(MATCH(INDEX(PMsheet!$D:$E,MATCH(A91,PMsheet!E:E,0),1),SETUP!$D$20:$D$122,0))))</f>
        <v/>
      </c>
      <c r="N91" s="496">
        <f>IF($O91="USD",_xlfn.IFNA(VLOOKUP(A91&amp;E91&amp;I91,PMsheet!J:K,2,0),0),(_xlfn.IFNA(VLOOKUP(A91&amp;E91&amp;I91,PMsheet!J:K,2,0),0)*'Master Data-C19RM'!$C$2))</f>
        <v>0</v>
      </c>
      <c r="O91" s="492" t="str">
        <f>IF(L91="", "",SETUP!$E$7)</f>
        <v/>
      </c>
      <c r="P91" s="444">
        <f>IF($O91="USD",_xlfn.IFNA(VLOOKUP($A91&amp;$E91&amp;$I91,PMsheet!$J:$K,2,0),0),(_xlfn.IFNA(VLOOKUP($A91&amp;$E91&amp;$I91,PMsheet!$J:$K,2,0),0)*'Master Data-C19RM'!$C$2))</f>
        <v>0</v>
      </c>
      <c r="Q91" s="441"/>
      <c r="R91" s="441"/>
      <c r="S91" s="441"/>
      <c r="T91" s="441"/>
      <c r="U91" s="481">
        <f t="shared" si="7"/>
        <v>0</v>
      </c>
      <c r="V91" s="483">
        <f>IF(SETUP!$E$7="USD",(U91*(IF(O91="USD",P91,(P91/'Master Data-C19RM'!$C$2)))),(U91*(IF(O91="EUR",P91,(P91*'Master Data-C19RM'!$C$2)))))</f>
        <v>0</v>
      </c>
      <c r="W91" s="444">
        <f>IF($O91="USD",_xlfn.IFNA(VLOOKUP($A91&amp;$E91&amp;$I91,PMsheet!$J:$K,2,0),0),(_xlfn.IFNA(VLOOKUP($A91&amp;$E91&amp;$I91,PMsheet!$J:$K,2,0),0)*'Master Data-C19RM'!$D$2))</f>
        <v>0</v>
      </c>
      <c r="X91" s="441"/>
      <c r="Y91" s="441"/>
      <c r="Z91" s="441"/>
      <c r="AA91" s="441"/>
      <c r="AB91" s="481">
        <f t="shared" si="1"/>
        <v>0</v>
      </c>
      <c r="AC91" s="483">
        <f>IF(SETUP!$E$7="USD",(AB91*(IF(O91="USD",W91,(W91/'Master Data-C19RM'!$D$2)))),(AB91*(IF(O91="EUR",W91,(W91*'Master Data-C19RM'!$D$2)))))</f>
        <v>0</v>
      </c>
      <c r="AD91" s="444">
        <f>IF($O91="USD",_xlfn.IFNA(VLOOKUP($A91&amp;$E91&amp;$I91,PMsheet!$J:$K,2,0),0),(_xlfn.IFNA(VLOOKUP($A91&amp;$E91&amp;$I91,PMsheet!$J:$K,2,0),0)*'Master Data-C19RM'!$E$2))</f>
        <v>0</v>
      </c>
      <c r="AE91" s="441"/>
      <c r="AF91" s="441"/>
      <c r="AG91" s="441"/>
      <c r="AH91" s="441"/>
      <c r="AI91" s="512">
        <f t="shared" si="8"/>
        <v>0</v>
      </c>
      <c r="AJ91" s="513">
        <f>IF(SETUP!$E$7="USD",(AI91*(IF(O91="USD",AD91,(AD91/'Master Data-C19RM'!$E$2)))),(AI91*(IF(O91="EUR",AD91,(AD91*'Master Data-C19RM'!$E$2)))))</f>
        <v>0</v>
      </c>
      <c r="AK91" s="444">
        <f>IF($O91="USD",_xlfn.IFNA(VLOOKUP($A91&amp;$E91&amp;$I91,PMsheet!$J:$K,2,0),0),(_xlfn.IFNA(VLOOKUP($A91&amp;$E91&amp;$I91,PMsheet!$J:$K,2,0),0)*'Master Data-C19RM'!$F$2))</f>
        <v>0</v>
      </c>
      <c r="AL91" s="441"/>
      <c r="AM91" s="441"/>
      <c r="AN91" s="441"/>
      <c r="AO91" s="441"/>
      <c r="AP91" s="481">
        <f t="shared" si="3"/>
        <v>0</v>
      </c>
      <c r="AQ91" s="483">
        <f>IF(SETUP!$E$7="USD",(AP91*(IF(O91="USD",AK91,(AK91/'Master Data-C19RM'!$F$2)))),(AP91*(IF(O91="EUR",AK91,(AK91*'Master Data-C19RM'!$F$2)))))</f>
        <v>0</v>
      </c>
      <c r="AR91" s="444">
        <f>IF($O91="USD",_xlfn.IFNA(VLOOKUP($A91&amp;$E91&amp;$I91,PMsheet!$J:$K,2,0),0),(_xlfn.IFNA(VLOOKUP($A91&amp;$E91&amp;$I91,PMsheet!$J:$K,2,0),0)*'Master Data-C19RM'!$G$2))</f>
        <v>0</v>
      </c>
      <c r="AS91" s="441"/>
      <c r="AT91" s="441"/>
      <c r="AU91" s="441"/>
      <c r="AV91" s="441"/>
      <c r="AW91" s="481">
        <f t="shared" si="9"/>
        <v>0</v>
      </c>
      <c r="AX91" s="483">
        <f>IF(SETUP!$E$7="USD",(AW91*(IF(O91="USD",AR91,(AR91/'Master Data-C19RM'!$G$2)))),(AW91*(IF(O91="EUR",AR91,(AR91*'Master Data-C19RM'!$G$2)))))</f>
        <v>0</v>
      </c>
      <c r="AY91" s="851"/>
      <c r="AZ91" s="851"/>
      <c r="BA91" s="851"/>
      <c r="BB91" s="851"/>
      <c r="BC91" s="851"/>
      <c r="BD91" s="851"/>
      <c r="BE91" s="852"/>
      <c r="BF91" s="481">
        <f>'C19RM 2021-Lab &amp; Other HPS'!$U91+'C19RM 2021-Lab &amp; Other HPS'!$AB91+AI91+'C19RM 2021-Lab &amp; Other HPS'!$AP91+'C19RM 2021-Lab &amp; Other HPS'!$AW91+BD91</f>
        <v>0</v>
      </c>
      <c r="BG91" s="481">
        <f>'C19RM 2021-Lab &amp; Other HPS'!$V91+'C19RM 2021-Lab &amp; Other HPS'!$AC91+'C19RM 2021-Lab &amp; Other HPS'!$AQ91+'C19RM 2021-Lab &amp; Other HPS'!$AJ91+AX91+BE91</f>
        <v>0</v>
      </c>
      <c r="BH91" s="500" t="str" cm="1">
        <f t="array" ref="BH91">IF(A91&lt;&gt;"",IFERROR(INDEX(PMtbl[[WKst]:[Unit of measure*]],MATCH($A$8&amp;$A91&amp;$E91&amp;$I91,INDEX(PMtbl[Sec]&amp;PMtbl[Category]&amp;PMtbl[Each]&amp;PMtbl[Packaging],0,),0),11),""),"")</f>
        <v/>
      </c>
      <c r="BI91" s="819"/>
      <c r="BJ91" s="502" t="str">
        <f>IFERROR(INDEX(SETUP!$C$19:$G$121,MATCH((INDEX(PMtbl[[WKst]:[Unit of measure*]],MATCH($A91&amp;$E91&amp;$I91,INDEX(PMtbl[Category]&amp;PMtbl[Each]&amp;PMtbl[Packaging],0,),0),3)),SETUP!$D$19:$D$121,0),5),"")</f>
        <v/>
      </c>
      <c r="BK91" s="438" t="str">
        <f>IFERROR(IF((INDEX(SETUP!$C$19:$G$121,MATCH((INDEX(PMtbl[[WKst]:[Unit of measure*]],MATCH($A91&amp;$E91&amp;$I91,INDEX(PMtbl[Category]&amp;PMtbl[Each]&amp;PMtbl[Packaging],0,),0),3)),SETUP!$D$19:$D$121,0),4))="Upfront",0,INDEX(SETUP!$C$19:$G$121,MATCH((INDEX(PMtbl[[WKst]:[Unit of measure*]],MATCH($A91&amp;$E91&amp;$I91,INDEX(PMtbl[Category]&amp;PMtbl[Each]&amp;PMtbl[Packaging],0,),0),3)),SETUP!$D$19:$D$121,0),5)),"")</f>
        <v/>
      </c>
      <c r="BL91" s="157" t="str" cm="1">
        <f t="array" ref="BL91">IF(A91&lt;&gt;"",IFERROR(INDEX(PMtbl[[WKst]:[Unit of measure*]],MATCH($A$8&amp;$A91&amp;$E91&amp;$I91,INDEX(PMtbl[Sec]&amp;PMtbl[Category]&amp;PMtbl[Each]&amp;PMtbl[Packaging],0,),0),11),""),"")</f>
        <v/>
      </c>
      <c r="BO91" s="12">
        <f>IF(N91="",0,IF(SETUP!$E$7="USD",((IF(O91="USD",P91,(P91/'Master Data-C19RM'!$C$2)))),((IF(O91="EUR",P91,(P91*'Master Data-C19RM'!$C$2))))))</f>
        <v>0</v>
      </c>
      <c r="BP91" s="12">
        <f>IF(N91="",0,IF(SETUP!$E$7="USD",((IF(O91="USD",W91,(W91/'Master Data-C19RM'!$D$2)))),((IF(O91="EUR",W91,(W91*'Master Data-C19RM'!$D$2))))))</f>
        <v>0</v>
      </c>
      <c r="BQ91">
        <f>IF(N91="",0,IF(SETUP!$E$7="USD",((IF(O91="USD",AD91,(AD91/'Master Data-C19RM'!$E$2)))),((IF(O91="EUR",AD91,(AD91*'Master Data-C19RM'!$E$2))))))</f>
        <v>0</v>
      </c>
      <c r="BR91">
        <f>IF(N91="",0,IF(SETUP!$E$7="USD",((IF(O91="USD",AK91,(AK91/'Master Data-C19RM'!$F$2)))),((IF(O91="EUR",AK91,(AK91*'Master Data-C19RM'!$F$2))))))</f>
        <v>0</v>
      </c>
      <c r="BS91">
        <f>IF(N91="",0,IF(SETUP!$E$7="USD",((IF(O91="USD",AR91,(AR91/'Master Data-C19RM'!$G$2)))),((IF(O91="EUR",AR91,(AR91*'Master Data-C19RM'!$G$2))))))</f>
        <v>0</v>
      </c>
      <c r="BT91">
        <f>IF(N91="",0,IF(SETUP!$E$7="USD",((IF(O91="USD",AY91,(AY91/'Master Data-C19RM'!$H$2)))),((IF(O91="EUR",AY91,(AY91*'Master Data-C19RM'!$H$2))))))</f>
        <v>0</v>
      </c>
      <c r="BU91" s="12">
        <f t="shared" si="5"/>
        <v>0</v>
      </c>
      <c r="BV91" s="142">
        <f t="shared" si="6"/>
        <v>0</v>
      </c>
    </row>
    <row r="92" spans="1:74" ht="14.5" customHeight="1" x14ac:dyDescent="0.35">
      <c r="A92" s="1192"/>
      <c r="B92" s="1192"/>
      <c r="C92" s="1192"/>
      <c r="D92" s="1192"/>
      <c r="E92" s="1173"/>
      <c r="F92" s="1173"/>
      <c r="G92" s="1173"/>
      <c r="H92" s="1173"/>
      <c r="I92" s="1173"/>
      <c r="J92" s="1173"/>
      <c r="K92" s="1173"/>
      <c r="L92" s="493" t="str" cm="1">
        <f t="array" ref="L92">IF(A92&lt;&gt;"",IFERROR(INDEX(PMtbl[[WKst]:[Unit of measure*]],MATCH($A$8&amp;$A92&amp;$E92&amp;$I92,INDEX(PMtbl[Sec]&amp;PMtbl[Category]&amp;PMtbl[Each]&amp;PMtbl[Packaging],0,),0),14),""),"")</f>
        <v/>
      </c>
      <c r="M92" s="480" t="str">
        <f>IF(L92="","",INDEX(SETUP!$E$20:$E$122,(MATCH(INDEX(PMsheet!$D:$E,MATCH(A92,PMsheet!E:E,0),1),SETUP!$D$20:$D$122,0))))</f>
        <v/>
      </c>
      <c r="N92" s="494">
        <f>IF($O92="USD",_xlfn.IFNA(VLOOKUP(A92&amp;E92&amp;I92,PMsheet!J:K,2,0),0),(_xlfn.IFNA(VLOOKUP(A92&amp;E92&amp;I92,PMsheet!J:K,2,0),0)*'Master Data-C19RM'!$C$2))</f>
        <v>0</v>
      </c>
      <c r="O92" s="495" t="str">
        <f>IF(L92="", "",SETUP!$E$7)</f>
        <v/>
      </c>
      <c r="P92" s="445">
        <f>IF($O92="USD",_xlfn.IFNA(VLOOKUP($A92&amp;$E92&amp;$I92,PMsheet!$J:$K,2,0),0),(_xlfn.IFNA(VLOOKUP($A92&amp;$E92&amp;$I92,PMsheet!$J:$K,2,0),0)*'Master Data-C19RM'!$C$2))</f>
        <v>0</v>
      </c>
      <c r="Q92" s="440"/>
      <c r="R92" s="440"/>
      <c r="S92" s="440"/>
      <c r="T92" s="440"/>
      <c r="U92" s="482">
        <f t="shared" si="7"/>
        <v>0</v>
      </c>
      <c r="V92" s="484">
        <f>IF(SETUP!$E$7="USD",(U92*(IF(O92="USD",P92,(P92/'Master Data-C19RM'!$C$2)))),(U92*(IF(O92="EUR",P92,(P92*'Master Data-C19RM'!$C$2)))))</f>
        <v>0</v>
      </c>
      <c r="W92" s="445">
        <f>IF($O92="USD",_xlfn.IFNA(VLOOKUP($A92&amp;$E92&amp;$I92,PMsheet!$J:$K,2,0),0),(_xlfn.IFNA(VLOOKUP($A92&amp;$E92&amp;$I92,PMsheet!$J:$K,2,0),0)*'Master Data-C19RM'!$D$2))</f>
        <v>0</v>
      </c>
      <c r="X92" s="440"/>
      <c r="Y92" s="440"/>
      <c r="Z92" s="440"/>
      <c r="AA92" s="440"/>
      <c r="AB92" s="482">
        <f t="shared" si="1"/>
        <v>0</v>
      </c>
      <c r="AC92" s="484">
        <f>IF(SETUP!$E$7="USD",(AB92*(IF(O92="USD",W92,(W92/'Master Data-C19RM'!$D$2)))),(AB92*(IF(O92="EUR",W92,(W92*'Master Data-C19RM'!$D$2)))))</f>
        <v>0</v>
      </c>
      <c r="AD92" s="445">
        <f>IF($O92="USD",_xlfn.IFNA(VLOOKUP($A92&amp;$E92&amp;$I92,PMsheet!$J:$K,2,0),0),(_xlfn.IFNA(VLOOKUP($A92&amp;$E92&amp;$I92,PMsheet!$J:$K,2,0),0)*'Master Data-C19RM'!$E$2))</f>
        <v>0</v>
      </c>
      <c r="AE92" s="440"/>
      <c r="AF92" s="440"/>
      <c r="AG92" s="440"/>
      <c r="AH92" s="440"/>
      <c r="AI92" s="514">
        <f t="shared" si="8"/>
        <v>0</v>
      </c>
      <c r="AJ92" s="515">
        <f>IF(SETUP!$E$7="USD",(AI92*(IF(O92="USD",AD92,(AD92/'Master Data-C19RM'!$E$2)))),(AI92*(IF(O92="EUR",AD92,(AD92*'Master Data-C19RM'!$E$2)))))</f>
        <v>0</v>
      </c>
      <c r="AK92" s="445">
        <f>IF($O92="USD",_xlfn.IFNA(VLOOKUP($A92&amp;$E92&amp;$I92,PMsheet!$J:$K,2,0),0),(_xlfn.IFNA(VLOOKUP($A92&amp;$E92&amp;$I92,PMsheet!$J:$K,2,0),0)*'Master Data-C19RM'!$F$2))</f>
        <v>0</v>
      </c>
      <c r="AL92" s="440"/>
      <c r="AM92" s="440"/>
      <c r="AN92" s="440"/>
      <c r="AO92" s="440"/>
      <c r="AP92" s="482">
        <f t="shared" si="3"/>
        <v>0</v>
      </c>
      <c r="AQ92" s="484">
        <f>IF(SETUP!$E$7="USD",(AP92*(IF(O92="USD",AK92,(AK92/'Master Data-C19RM'!$F$2)))),(AP92*(IF(O92="EUR",AK92,(AK92*'Master Data-C19RM'!$F$2)))))</f>
        <v>0</v>
      </c>
      <c r="AR92" s="445">
        <f>IF($O92="USD",_xlfn.IFNA(VLOOKUP($A92&amp;$E92&amp;$I92,PMsheet!$J:$K,2,0),0),(_xlfn.IFNA(VLOOKUP($A92&amp;$E92&amp;$I92,PMsheet!$J:$K,2,0),0)*'Master Data-C19RM'!$G$2))</f>
        <v>0</v>
      </c>
      <c r="AS92" s="440"/>
      <c r="AT92" s="440"/>
      <c r="AU92" s="440"/>
      <c r="AV92" s="440"/>
      <c r="AW92" s="482">
        <f t="shared" si="9"/>
        <v>0</v>
      </c>
      <c r="AX92" s="484">
        <f>IF(SETUP!$E$7="USD",(AW92*(IF(O92="USD",AR92,(AR92/'Master Data-C19RM'!$G$2)))),(AW92*(IF(O92="EUR",AR92,(AR92*'Master Data-C19RM'!$G$2)))))</f>
        <v>0</v>
      </c>
      <c r="AY92" s="843"/>
      <c r="AZ92" s="843"/>
      <c r="BA92" s="843"/>
      <c r="BB92" s="843"/>
      <c r="BC92" s="843"/>
      <c r="BD92" s="843"/>
      <c r="BE92" s="844"/>
      <c r="BF92" s="482">
        <f>'C19RM 2021-Lab &amp; Other HPS'!$U92+'C19RM 2021-Lab &amp; Other HPS'!$AB92+AI92+'C19RM 2021-Lab &amp; Other HPS'!$AP92+'C19RM 2021-Lab &amp; Other HPS'!$AW92+BD92</f>
        <v>0</v>
      </c>
      <c r="BG92" s="482">
        <f>'C19RM 2021-Lab &amp; Other HPS'!$V92+'C19RM 2021-Lab &amp; Other HPS'!$AC92+'C19RM 2021-Lab &amp; Other HPS'!$AQ92+'C19RM 2021-Lab &amp; Other HPS'!$AJ92+AX92+BE92</f>
        <v>0</v>
      </c>
      <c r="BH92" s="499" t="str" cm="1">
        <f t="array" ref="BH92">IF(A92&lt;&gt;"",IFERROR(INDEX(PMtbl[[WKst]:[Unit of measure*]],MATCH($A$8&amp;$A92&amp;$E92&amp;$I92,INDEX(PMtbl[Sec]&amp;PMtbl[Category]&amp;PMtbl[Each]&amp;PMtbl[Packaging],0,),0),11),""),"")</f>
        <v/>
      </c>
      <c r="BI92" s="818"/>
      <c r="BJ92" s="503" t="str">
        <f>IFERROR(INDEX(SETUP!$C$19:$G$121,MATCH((INDEX(PMtbl[[WKst]:[Unit of measure*]],MATCH($A92&amp;$E92&amp;$I92,INDEX(PMtbl[Category]&amp;PMtbl[Each]&amp;PMtbl[Packaging],0,),0),3)),SETUP!$D$19:$D$121,0),5),"")</f>
        <v/>
      </c>
      <c r="BK92" s="439" t="str">
        <f>IFERROR(IF((INDEX(SETUP!$C$19:$G$121,MATCH((INDEX(PMtbl[[WKst]:[Unit of measure*]],MATCH($A92&amp;$E92&amp;$I92,INDEX(PMtbl[Category]&amp;PMtbl[Each]&amp;PMtbl[Packaging],0,),0),3)),SETUP!$D$19:$D$121,0),4))="Upfront",0,INDEX(SETUP!$C$19:$G$121,MATCH((INDEX(PMtbl[[WKst]:[Unit of measure*]],MATCH($A92&amp;$E92&amp;$I92,INDEX(PMtbl[Category]&amp;PMtbl[Each]&amp;PMtbl[Packaging],0,),0),3)),SETUP!$D$19:$D$121,0),5)),"")</f>
        <v/>
      </c>
      <c r="BL92" s="158" t="str" cm="1">
        <f t="array" ref="BL92">IF(A92&lt;&gt;"",IFERROR(INDEX(PMtbl[[WKst]:[Unit of measure*]],MATCH($A$8&amp;$A92&amp;$E92&amp;$I92,INDEX(PMtbl[Sec]&amp;PMtbl[Category]&amp;PMtbl[Each]&amp;PMtbl[Packaging],0,),0),11),""),"")</f>
        <v/>
      </c>
      <c r="BO92" s="12">
        <f>IF(N92="",0,IF(SETUP!$E$7="USD",((IF(O92="USD",P92,(P92/'Master Data-C19RM'!$C$2)))),((IF(O92="EUR",P92,(P92*'Master Data-C19RM'!$C$2))))))</f>
        <v>0</v>
      </c>
      <c r="BP92" s="12">
        <f>IF(N92="",0,IF(SETUP!$E$7="USD",((IF(O92="USD",W92,(W92/'Master Data-C19RM'!$D$2)))),((IF(O92="EUR",W92,(W92*'Master Data-C19RM'!$D$2))))))</f>
        <v>0</v>
      </c>
      <c r="BQ92">
        <f>IF(N92="",0,IF(SETUP!$E$7="USD",((IF(O92="USD",AD92,(AD92/'Master Data-C19RM'!$E$2)))),((IF(O92="EUR",AD92,(AD92*'Master Data-C19RM'!$E$2))))))</f>
        <v>0</v>
      </c>
      <c r="BR92">
        <f>IF(N92="",0,IF(SETUP!$E$7="USD",((IF(O92="USD",AK92,(AK92/'Master Data-C19RM'!$F$2)))),((IF(O92="EUR",AK92,(AK92*'Master Data-C19RM'!$F$2))))))</f>
        <v>0</v>
      </c>
      <c r="BS92">
        <f>IF(N92="",0,IF(SETUP!$E$7="USD",((IF(O92="USD",AR92,(AR92/'Master Data-C19RM'!$G$2)))),((IF(O92="EUR",AR92,(AR92*'Master Data-C19RM'!$G$2))))))</f>
        <v>0</v>
      </c>
      <c r="BT92">
        <f>IF(N92="",0,IF(SETUP!$E$7="USD",((IF(O92="USD",AY92,(AY92/'Master Data-C19RM'!$H$2)))),((IF(O92="EUR",AY92,(AY92*'Master Data-C19RM'!$H$2))))))</f>
        <v>0</v>
      </c>
      <c r="BU92" s="12">
        <f t="shared" si="5"/>
        <v>0</v>
      </c>
      <c r="BV92" s="142">
        <f t="shared" si="6"/>
        <v>0</v>
      </c>
    </row>
    <row r="93" spans="1:74" ht="14.5" customHeight="1" x14ac:dyDescent="0.35">
      <c r="A93" s="1200"/>
      <c r="B93" s="1201"/>
      <c r="C93" s="1201"/>
      <c r="D93" s="1202"/>
      <c r="E93" s="1216"/>
      <c r="F93" s="1217"/>
      <c r="G93" s="1217"/>
      <c r="H93" s="1218"/>
      <c r="I93" s="1216"/>
      <c r="J93" s="1217"/>
      <c r="K93" s="1218"/>
      <c r="L93" s="490" t="str" cm="1">
        <f t="array" ref="L93">IF(A93&lt;&gt;"",IFERROR(INDEX(PMtbl[[WKst]:[Unit of measure*]],MATCH($A$8&amp;$A93&amp;$E93&amp;$I93,INDEX(PMtbl[Sec]&amp;PMtbl[Category]&amp;PMtbl[Each]&amp;PMtbl[Packaging],0,),0),14),""),"")</f>
        <v/>
      </c>
      <c r="M93" s="479" t="str">
        <f>IF(L93="","",INDEX(SETUP!$E$20:$E$122,(MATCH(INDEX(PMsheet!$D:$E,MATCH(A93,PMsheet!E:E,0),1),SETUP!$D$20:$D$122,0))))</f>
        <v/>
      </c>
      <c r="N93" s="496">
        <f>IF($O93="USD",_xlfn.IFNA(VLOOKUP(A93&amp;E93&amp;I93,PMsheet!J:K,2,0),0),(_xlfn.IFNA(VLOOKUP(A93&amp;E93&amp;I93,PMsheet!J:K,2,0),0)*'Master Data-C19RM'!$C$2))</f>
        <v>0</v>
      </c>
      <c r="O93" s="492" t="str">
        <f>IF(L93="", "",SETUP!$E$7)</f>
        <v/>
      </c>
      <c r="P93" s="444">
        <f>IF($O93="USD",_xlfn.IFNA(VLOOKUP($A93&amp;$E93&amp;$I93,PMsheet!$J:$K,2,0),0),(_xlfn.IFNA(VLOOKUP($A93&amp;$E93&amp;$I93,PMsheet!$J:$K,2,0),0)*'Master Data-C19RM'!$C$2))</f>
        <v>0</v>
      </c>
      <c r="Q93" s="441"/>
      <c r="R93" s="441"/>
      <c r="S93" s="441"/>
      <c r="T93" s="441"/>
      <c r="U93" s="481">
        <f t="shared" si="7"/>
        <v>0</v>
      </c>
      <c r="V93" s="483">
        <f>IF(SETUP!$E$7="USD",(U93*(IF(O93="USD",P93,(P93/'Master Data-C19RM'!$C$2)))),(U93*(IF(O93="EUR",P93,(P93*'Master Data-C19RM'!$C$2)))))</f>
        <v>0</v>
      </c>
      <c r="W93" s="444">
        <f>IF($O93="USD",_xlfn.IFNA(VLOOKUP($A93&amp;$E93&amp;$I93,PMsheet!$J:$K,2,0),0),(_xlfn.IFNA(VLOOKUP($A93&amp;$E93&amp;$I93,PMsheet!$J:$K,2,0),0)*'Master Data-C19RM'!$D$2))</f>
        <v>0</v>
      </c>
      <c r="X93" s="441"/>
      <c r="Y93" s="441"/>
      <c r="Z93" s="441"/>
      <c r="AA93" s="441"/>
      <c r="AB93" s="481">
        <f t="shared" si="1"/>
        <v>0</v>
      </c>
      <c r="AC93" s="483">
        <f>IF(SETUP!$E$7="USD",(AB93*(IF(O93="USD",W93,(W93/'Master Data-C19RM'!$D$2)))),(AB93*(IF(O93="EUR",W93,(W93*'Master Data-C19RM'!$D$2)))))</f>
        <v>0</v>
      </c>
      <c r="AD93" s="444">
        <f>IF($O93="USD",_xlfn.IFNA(VLOOKUP($A93&amp;$E93&amp;$I93,PMsheet!$J:$K,2,0),0),(_xlfn.IFNA(VLOOKUP($A93&amp;$E93&amp;$I93,PMsheet!$J:$K,2,0),0)*'Master Data-C19RM'!$E$2))</f>
        <v>0</v>
      </c>
      <c r="AE93" s="441"/>
      <c r="AF93" s="441"/>
      <c r="AG93" s="441"/>
      <c r="AH93" s="441"/>
      <c r="AI93" s="512">
        <f t="shared" si="8"/>
        <v>0</v>
      </c>
      <c r="AJ93" s="513">
        <f>IF(SETUP!$E$7="USD",(AI93*(IF(O93="USD",AD93,(AD93/'Master Data-C19RM'!$E$2)))),(AI93*(IF(O93="EUR",AD93,(AD93*'Master Data-C19RM'!$E$2)))))</f>
        <v>0</v>
      </c>
      <c r="AK93" s="444">
        <f>IF($O93="USD",_xlfn.IFNA(VLOOKUP($A93&amp;$E93&amp;$I93,PMsheet!$J:$K,2,0),0),(_xlfn.IFNA(VLOOKUP($A93&amp;$E93&amp;$I93,PMsheet!$J:$K,2,0),0)*'Master Data-C19RM'!$F$2))</f>
        <v>0</v>
      </c>
      <c r="AL93" s="441"/>
      <c r="AM93" s="441"/>
      <c r="AN93" s="441"/>
      <c r="AO93" s="441"/>
      <c r="AP93" s="481">
        <f t="shared" si="3"/>
        <v>0</v>
      </c>
      <c r="AQ93" s="483">
        <f>IF(SETUP!$E$7="USD",(AP93*(IF(O93="USD",AK93,(AK93/'Master Data-C19RM'!$F$2)))),(AP93*(IF(O93="EUR",AK93,(AK93*'Master Data-C19RM'!$F$2)))))</f>
        <v>0</v>
      </c>
      <c r="AR93" s="444">
        <f>IF($O93="USD",_xlfn.IFNA(VLOOKUP($A93&amp;$E93&amp;$I93,PMsheet!$J:$K,2,0),0),(_xlfn.IFNA(VLOOKUP($A93&amp;$E93&amp;$I93,PMsheet!$J:$K,2,0),0)*'Master Data-C19RM'!$G$2))</f>
        <v>0</v>
      </c>
      <c r="AS93" s="441"/>
      <c r="AT93" s="441"/>
      <c r="AU93" s="441"/>
      <c r="AV93" s="441"/>
      <c r="AW93" s="481">
        <f t="shared" si="9"/>
        <v>0</v>
      </c>
      <c r="AX93" s="483">
        <f>IF(SETUP!$E$7="USD",(AW93*(IF(O93="USD",AR93,(AR93/'Master Data-C19RM'!$G$2)))),(AW93*(IF(O93="EUR",AR93,(AR93*'Master Data-C19RM'!$G$2)))))</f>
        <v>0</v>
      </c>
      <c r="AY93" s="851"/>
      <c r="AZ93" s="851"/>
      <c r="BA93" s="851"/>
      <c r="BB93" s="851"/>
      <c r="BC93" s="851"/>
      <c r="BD93" s="851"/>
      <c r="BE93" s="852"/>
      <c r="BF93" s="481">
        <f>'C19RM 2021-Lab &amp; Other HPS'!$U93+'C19RM 2021-Lab &amp; Other HPS'!$AB93+AI93+'C19RM 2021-Lab &amp; Other HPS'!$AP93+'C19RM 2021-Lab &amp; Other HPS'!$AW93+BD93</f>
        <v>0</v>
      </c>
      <c r="BG93" s="481">
        <f>'C19RM 2021-Lab &amp; Other HPS'!$V93+'C19RM 2021-Lab &amp; Other HPS'!$AC93+'C19RM 2021-Lab &amp; Other HPS'!$AQ93+'C19RM 2021-Lab &amp; Other HPS'!$AJ93+AX93+BE93</f>
        <v>0</v>
      </c>
      <c r="BH93" s="500" t="str" cm="1">
        <f t="array" ref="BH93">IF(A93&lt;&gt;"",IFERROR(INDEX(PMtbl[[WKst]:[Unit of measure*]],MATCH($A$8&amp;$A93&amp;$E93&amp;$I93,INDEX(PMtbl[Sec]&amp;PMtbl[Category]&amp;PMtbl[Each]&amp;PMtbl[Packaging],0,),0),11),""),"")</f>
        <v/>
      </c>
      <c r="BI93" s="819"/>
      <c r="BJ93" s="502" t="str">
        <f>IFERROR(INDEX(SETUP!$C$19:$G$121,MATCH((INDEX(PMtbl[[WKst]:[Unit of measure*]],MATCH($A93&amp;$E93&amp;$I93,INDEX(PMtbl[Category]&amp;PMtbl[Each]&amp;PMtbl[Packaging],0,),0),3)),SETUP!$D$19:$D$121,0),5),"")</f>
        <v/>
      </c>
      <c r="BK93" s="438" t="str">
        <f>IFERROR(IF((INDEX(SETUP!$C$19:$G$121,MATCH((INDEX(PMtbl[[WKst]:[Unit of measure*]],MATCH($A93&amp;$E93&amp;$I93,INDEX(PMtbl[Category]&amp;PMtbl[Each]&amp;PMtbl[Packaging],0,),0),3)),SETUP!$D$19:$D$121,0),4))="Upfront",0,INDEX(SETUP!$C$19:$G$121,MATCH((INDEX(PMtbl[[WKst]:[Unit of measure*]],MATCH($A93&amp;$E93&amp;$I93,INDEX(PMtbl[Category]&amp;PMtbl[Each]&amp;PMtbl[Packaging],0,),0),3)),SETUP!$D$19:$D$121,0),5)),"")</f>
        <v/>
      </c>
      <c r="BL93" s="157" t="str" cm="1">
        <f t="array" ref="BL93">IF(A93&lt;&gt;"",IFERROR(INDEX(PMtbl[[WKst]:[Unit of measure*]],MATCH($A$8&amp;$A93&amp;$E93&amp;$I93,INDEX(PMtbl[Sec]&amp;PMtbl[Category]&amp;PMtbl[Each]&amp;PMtbl[Packaging],0,),0),11),""),"")</f>
        <v/>
      </c>
      <c r="BO93" s="12">
        <f>IF(N93="",0,IF(SETUP!$E$7="USD",((IF(O93="USD",P93,(P93/'Master Data-C19RM'!$C$2)))),((IF(O93="EUR",P93,(P93*'Master Data-C19RM'!$C$2))))))</f>
        <v>0</v>
      </c>
      <c r="BP93" s="12">
        <f>IF(N93="",0,IF(SETUP!$E$7="USD",((IF(O93="USD",W93,(W93/'Master Data-C19RM'!$D$2)))),((IF(O93="EUR",W93,(W93*'Master Data-C19RM'!$D$2))))))</f>
        <v>0</v>
      </c>
      <c r="BQ93">
        <f>IF(N93="",0,IF(SETUP!$E$7="USD",((IF(O93="USD",AD93,(AD93/'Master Data-C19RM'!$E$2)))),((IF(O93="EUR",AD93,(AD93*'Master Data-C19RM'!$E$2))))))</f>
        <v>0</v>
      </c>
      <c r="BR93">
        <f>IF(N93="",0,IF(SETUP!$E$7="USD",((IF(O93="USD",AK93,(AK93/'Master Data-C19RM'!$F$2)))),((IF(O93="EUR",AK93,(AK93*'Master Data-C19RM'!$F$2))))))</f>
        <v>0</v>
      </c>
      <c r="BS93">
        <f>IF(N93="",0,IF(SETUP!$E$7="USD",((IF(O93="USD",AR93,(AR93/'Master Data-C19RM'!$G$2)))),((IF(O93="EUR",AR93,(AR93*'Master Data-C19RM'!$G$2))))))</f>
        <v>0</v>
      </c>
      <c r="BT93">
        <f>IF(N93="",0,IF(SETUP!$E$7="USD",((IF(O93="USD",AY93,(AY93/'Master Data-C19RM'!$H$2)))),((IF(O93="EUR",AY93,(AY93*'Master Data-C19RM'!$H$2))))))</f>
        <v>0</v>
      </c>
      <c r="BU93" s="12">
        <f t="shared" si="5"/>
        <v>0</v>
      </c>
      <c r="BV93" s="142">
        <f t="shared" si="6"/>
        <v>0</v>
      </c>
    </row>
    <row r="94" spans="1:74" ht="14.5" customHeight="1" x14ac:dyDescent="0.35">
      <c r="A94" s="1192"/>
      <c r="B94" s="1192"/>
      <c r="C94" s="1192"/>
      <c r="D94" s="1192"/>
      <c r="E94" s="1173"/>
      <c r="F94" s="1173"/>
      <c r="G94" s="1173"/>
      <c r="H94" s="1173"/>
      <c r="I94" s="1173"/>
      <c r="J94" s="1173"/>
      <c r="K94" s="1173"/>
      <c r="L94" s="493" t="str" cm="1">
        <f t="array" ref="L94">IF(A94&lt;&gt;"",IFERROR(INDEX(PMtbl[[WKst]:[Unit of measure*]],MATCH($A$8&amp;$A94&amp;$E94&amp;$I94,INDEX(PMtbl[Sec]&amp;PMtbl[Category]&amp;PMtbl[Each]&amp;PMtbl[Packaging],0,),0),14),""),"")</f>
        <v/>
      </c>
      <c r="M94" s="480" t="str">
        <f>IF(L94="","",INDEX(SETUP!$E$20:$E$122,(MATCH(INDEX(PMsheet!$D:$E,MATCH(A94,PMsheet!E:E,0),1),SETUP!$D$20:$D$122,0))))</f>
        <v/>
      </c>
      <c r="N94" s="494">
        <f>IF($O94="USD",_xlfn.IFNA(VLOOKUP(A94&amp;E94&amp;I94,PMsheet!J:K,2,0),0),(_xlfn.IFNA(VLOOKUP(A94&amp;E94&amp;I94,PMsheet!J:K,2,0),0)*'Master Data-C19RM'!$C$2))</f>
        <v>0</v>
      </c>
      <c r="O94" s="495" t="str">
        <f>IF(L94="", "",SETUP!$E$7)</f>
        <v/>
      </c>
      <c r="P94" s="445">
        <f>IF($O94="USD",_xlfn.IFNA(VLOOKUP($A94&amp;$E94&amp;$I94,PMsheet!$J:$K,2,0),0),(_xlfn.IFNA(VLOOKUP($A94&amp;$E94&amp;$I94,PMsheet!$J:$K,2,0),0)*'Master Data-C19RM'!$C$2))</f>
        <v>0</v>
      </c>
      <c r="Q94" s="440"/>
      <c r="R94" s="440"/>
      <c r="S94" s="440"/>
      <c r="T94" s="440"/>
      <c r="U94" s="482">
        <f t="shared" si="7"/>
        <v>0</v>
      </c>
      <c r="V94" s="484">
        <f>IF(SETUP!$E$7="USD",(U94*(IF(O94="USD",P94,(P94/'Master Data-C19RM'!$C$2)))),(U94*(IF(O94="EUR",P94,(P94*'Master Data-C19RM'!$C$2)))))</f>
        <v>0</v>
      </c>
      <c r="W94" s="445">
        <f>IF($O94="USD",_xlfn.IFNA(VLOOKUP($A94&amp;$E94&amp;$I94,PMsheet!$J:$K,2,0),0),(_xlfn.IFNA(VLOOKUP($A94&amp;$E94&amp;$I94,PMsheet!$J:$K,2,0),0)*'Master Data-C19RM'!$D$2))</f>
        <v>0</v>
      </c>
      <c r="X94" s="440"/>
      <c r="Y94" s="440"/>
      <c r="Z94" s="440"/>
      <c r="AA94" s="440"/>
      <c r="AB94" s="482">
        <f t="shared" si="1"/>
        <v>0</v>
      </c>
      <c r="AC94" s="484">
        <f>IF(SETUP!$E$7="USD",(AB94*(IF(O94="USD",W94,(W94/'Master Data-C19RM'!$D$2)))),(AB94*(IF(O94="EUR",W94,(W94*'Master Data-C19RM'!$D$2)))))</f>
        <v>0</v>
      </c>
      <c r="AD94" s="445">
        <f>IF($O94="USD",_xlfn.IFNA(VLOOKUP($A94&amp;$E94&amp;$I94,PMsheet!$J:$K,2,0),0),(_xlfn.IFNA(VLOOKUP($A94&amp;$E94&amp;$I94,PMsheet!$J:$K,2,0),0)*'Master Data-C19RM'!$E$2))</f>
        <v>0</v>
      </c>
      <c r="AE94" s="440"/>
      <c r="AF94" s="440"/>
      <c r="AG94" s="440"/>
      <c r="AH94" s="440"/>
      <c r="AI94" s="514">
        <f t="shared" si="8"/>
        <v>0</v>
      </c>
      <c r="AJ94" s="515">
        <f>IF(SETUP!$E$7="USD",(AI94*(IF(O94="USD",AD94,(AD94/'Master Data-C19RM'!$E$2)))),(AI94*(IF(O94="EUR",AD94,(AD94*'Master Data-C19RM'!$E$2)))))</f>
        <v>0</v>
      </c>
      <c r="AK94" s="445">
        <f>IF($O94="USD",_xlfn.IFNA(VLOOKUP($A94&amp;$E94&amp;$I94,PMsheet!$J:$K,2,0),0),(_xlfn.IFNA(VLOOKUP($A94&amp;$E94&amp;$I94,PMsheet!$J:$K,2,0),0)*'Master Data-C19RM'!$F$2))</f>
        <v>0</v>
      </c>
      <c r="AL94" s="440"/>
      <c r="AM94" s="440"/>
      <c r="AN94" s="440"/>
      <c r="AO94" s="440"/>
      <c r="AP94" s="482">
        <f t="shared" si="3"/>
        <v>0</v>
      </c>
      <c r="AQ94" s="484">
        <f>IF(SETUP!$E$7="USD",(AP94*(IF(O94="USD",AK94,(AK94/'Master Data-C19RM'!$F$2)))),(AP94*(IF(O94="EUR",AK94,(AK94*'Master Data-C19RM'!$F$2)))))</f>
        <v>0</v>
      </c>
      <c r="AR94" s="445">
        <f>IF($O94="USD",_xlfn.IFNA(VLOOKUP($A94&amp;$E94&amp;$I94,PMsheet!$J:$K,2,0),0),(_xlfn.IFNA(VLOOKUP($A94&amp;$E94&amp;$I94,PMsheet!$J:$K,2,0),0)*'Master Data-C19RM'!$G$2))</f>
        <v>0</v>
      </c>
      <c r="AS94" s="440"/>
      <c r="AT94" s="440"/>
      <c r="AU94" s="440"/>
      <c r="AV94" s="440"/>
      <c r="AW94" s="482">
        <f t="shared" si="9"/>
        <v>0</v>
      </c>
      <c r="AX94" s="484">
        <f>IF(SETUP!$E$7="USD",(AW94*(IF(O94="USD",AR94,(AR94/'Master Data-C19RM'!$G$2)))),(AW94*(IF(O94="EUR",AR94,(AR94*'Master Data-C19RM'!$G$2)))))</f>
        <v>0</v>
      </c>
      <c r="AY94" s="843"/>
      <c r="AZ94" s="843"/>
      <c r="BA94" s="843"/>
      <c r="BB94" s="843"/>
      <c r="BC94" s="843"/>
      <c r="BD94" s="843"/>
      <c r="BE94" s="844"/>
      <c r="BF94" s="482">
        <f>'C19RM 2021-Lab &amp; Other HPS'!$U94+'C19RM 2021-Lab &amp; Other HPS'!$AB94+AI94+'C19RM 2021-Lab &amp; Other HPS'!$AP94+'C19RM 2021-Lab &amp; Other HPS'!$AW94+BD94</f>
        <v>0</v>
      </c>
      <c r="BG94" s="482">
        <f>'C19RM 2021-Lab &amp; Other HPS'!$V94+'C19RM 2021-Lab &amp; Other HPS'!$AC94+'C19RM 2021-Lab &amp; Other HPS'!$AQ94+'C19RM 2021-Lab &amp; Other HPS'!$AJ94+AX94+BE94</f>
        <v>0</v>
      </c>
      <c r="BH94" s="499" t="str" cm="1">
        <f t="array" ref="BH94">IF(A94&lt;&gt;"",IFERROR(INDEX(PMtbl[[WKst]:[Unit of measure*]],MATCH($A$8&amp;$A94&amp;$E94&amp;$I94,INDEX(PMtbl[Sec]&amp;PMtbl[Category]&amp;PMtbl[Each]&amp;PMtbl[Packaging],0,),0),11),""),"")</f>
        <v/>
      </c>
      <c r="BI94" s="818"/>
      <c r="BJ94" s="503" t="str">
        <f>IFERROR(INDEX(SETUP!$C$19:$G$121,MATCH((INDEX(PMtbl[[WKst]:[Unit of measure*]],MATCH($A94&amp;$E94&amp;$I94,INDEX(PMtbl[Category]&amp;PMtbl[Each]&amp;PMtbl[Packaging],0,),0),3)),SETUP!$D$19:$D$121,0),5),"")</f>
        <v/>
      </c>
      <c r="BK94" s="439" t="str">
        <f>IFERROR(IF((INDEX(SETUP!$C$19:$G$121,MATCH((INDEX(PMtbl[[WKst]:[Unit of measure*]],MATCH($A94&amp;$E94&amp;$I94,INDEX(PMtbl[Category]&amp;PMtbl[Each]&amp;PMtbl[Packaging],0,),0),3)),SETUP!$D$19:$D$121,0),4))="Upfront",0,INDEX(SETUP!$C$19:$G$121,MATCH((INDEX(PMtbl[[WKst]:[Unit of measure*]],MATCH($A94&amp;$E94&amp;$I94,INDEX(PMtbl[Category]&amp;PMtbl[Each]&amp;PMtbl[Packaging],0,),0),3)),SETUP!$D$19:$D$121,0),5)),"")</f>
        <v/>
      </c>
      <c r="BL94" s="158" t="str" cm="1">
        <f t="array" ref="BL94">IF(A94&lt;&gt;"",IFERROR(INDEX(PMtbl[[WKst]:[Unit of measure*]],MATCH($A$8&amp;$A94&amp;$E94&amp;$I94,INDEX(PMtbl[Sec]&amp;PMtbl[Category]&amp;PMtbl[Each]&amp;PMtbl[Packaging],0,),0),11),""),"")</f>
        <v/>
      </c>
      <c r="BO94" s="12">
        <f>IF(N94="",0,IF(SETUP!$E$7="USD",((IF(O94="USD",P94,(P94/'Master Data-C19RM'!$C$2)))),((IF(O94="EUR",P94,(P94*'Master Data-C19RM'!$C$2))))))</f>
        <v>0</v>
      </c>
      <c r="BP94" s="12">
        <f>IF(N94="",0,IF(SETUP!$E$7="USD",((IF(O94="USD",W94,(W94/'Master Data-C19RM'!$D$2)))),((IF(O94="EUR",W94,(W94*'Master Data-C19RM'!$D$2))))))</f>
        <v>0</v>
      </c>
      <c r="BQ94">
        <f>IF(N94="",0,IF(SETUP!$E$7="USD",((IF(O94="USD",AD94,(AD94/'Master Data-C19RM'!$E$2)))),((IF(O94="EUR",AD94,(AD94*'Master Data-C19RM'!$E$2))))))</f>
        <v>0</v>
      </c>
      <c r="BR94">
        <f>IF(N94="",0,IF(SETUP!$E$7="USD",((IF(O94="USD",AK94,(AK94/'Master Data-C19RM'!$F$2)))),((IF(O94="EUR",AK94,(AK94*'Master Data-C19RM'!$F$2))))))</f>
        <v>0</v>
      </c>
      <c r="BS94">
        <f>IF(N94="",0,IF(SETUP!$E$7="USD",((IF(O94="USD",AR94,(AR94/'Master Data-C19RM'!$G$2)))),((IF(O94="EUR",AR94,(AR94*'Master Data-C19RM'!$G$2))))))</f>
        <v>0</v>
      </c>
      <c r="BT94">
        <f>IF(N94="",0,IF(SETUP!$E$7="USD",((IF(O94="USD",AY94,(AY94/'Master Data-C19RM'!$H$2)))),((IF(O94="EUR",AY94,(AY94*'Master Data-C19RM'!$H$2))))))</f>
        <v>0</v>
      </c>
      <c r="BU94" s="12">
        <f t="shared" si="5"/>
        <v>0</v>
      </c>
      <c r="BV94" s="142">
        <f t="shared" si="6"/>
        <v>0</v>
      </c>
    </row>
    <row r="95" spans="1:74" ht="14.5" customHeight="1" x14ac:dyDescent="0.35">
      <c r="A95" s="1200"/>
      <c r="B95" s="1201"/>
      <c r="C95" s="1201"/>
      <c r="D95" s="1202"/>
      <c r="E95" s="1216"/>
      <c r="F95" s="1217"/>
      <c r="G95" s="1217"/>
      <c r="H95" s="1218"/>
      <c r="I95" s="1216"/>
      <c r="J95" s="1217"/>
      <c r="K95" s="1218"/>
      <c r="L95" s="490" t="str" cm="1">
        <f t="array" ref="L95">IF(A95&lt;&gt;"",IFERROR(INDEX(PMtbl[[WKst]:[Unit of measure*]],MATCH($A$8&amp;$A95&amp;$E95&amp;$I95,INDEX(PMtbl[Sec]&amp;PMtbl[Category]&amp;PMtbl[Each]&amp;PMtbl[Packaging],0,),0),14),""),"")</f>
        <v/>
      </c>
      <c r="M95" s="479" t="str">
        <f>IF(L95="","",INDEX(SETUP!$E$20:$E$122,(MATCH(INDEX(PMsheet!$D:$E,MATCH(A95,PMsheet!E:E,0),1),SETUP!$D$20:$D$122,0))))</f>
        <v/>
      </c>
      <c r="N95" s="496">
        <f>IF($O95="USD",_xlfn.IFNA(VLOOKUP(A95&amp;E95&amp;I95,PMsheet!J:K,2,0),0),(_xlfn.IFNA(VLOOKUP(A95&amp;E95&amp;I95,PMsheet!J:K,2,0),0)*'Master Data-C19RM'!$C$2))</f>
        <v>0</v>
      </c>
      <c r="O95" s="492" t="str">
        <f>IF(L95="", "",SETUP!$E$7)</f>
        <v/>
      </c>
      <c r="P95" s="444">
        <f>IF($O95="USD",_xlfn.IFNA(VLOOKUP($A95&amp;$E95&amp;$I95,PMsheet!$J:$K,2,0),0),(_xlfn.IFNA(VLOOKUP($A95&amp;$E95&amp;$I95,PMsheet!$J:$K,2,0),0)*'Master Data-C19RM'!$C$2))</f>
        <v>0</v>
      </c>
      <c r="Q95" s="441"/>
      <c r="R95" s="441"/>
      <c r="S95" s="441"/>
      <c r="T95" s="441"/>
      <c r="U95" s="481">
        <f t="shared" si="7"/>
        <v>0</v>
      </c>
      <c r="V95" s="483">
        <f>IF(SETUP!$E$7="USD",(U95*(IF(O95="USD",P95,(P95/'Master Data-C19RM'!$C$2)))),(U95*(IF(O95="EUR",P95,(P95*'Master Data-C19RM'!$C$2)))))</f>
        <v>0</v>
      </c>
      <c r="W95" s="444">
        <f>IF($O95="USD",_xlfn.IFNA(VLOOKUP($A95&amp;$E95&amp;$I95,PMsheet!$J:$K,2,0),0),(_xlfn.IFNA(VLOOKUP($A95&amp;$E95&amp;$I95,PMsheet!$J:$K,2,0),0)*'Master Data-C19RM'!$D$2))</f>
        <v>0</v>
      </c>
      <c r="X95" s="441"/>
      <c r="Y95" s="441"/>
      <c r="Z95" s="441"/>
      <c r="AA95" s="441"/>
      <c r="AB95" s="481">
        <f t="shared" si="1"/>
        <v>0</v>
      </c>
      <c r="AC95" s="483">
        <f>IF(SETUP!$E$7="USD",(AB95*(IF(O95="USD",W95,(W95/'Master Data-C19RM'!$D$2)))),(AB95*(IF(O95="EUR",W95,(W95*'Master Data-C19RM'!$D$2)))))</f>
        <v>0</v>
      </c>
      <c r="AD95" s="444">
        <f>IF($O95="USD",_xlfn.IFNA(VLOOKUP($A95&amp;$E95&amp;$I95,PMsheet!$J:$K,2,0),0),(_xlfn.IFNA(VLOOKUP($A95&amp;$E95&amp;$I95,PMsheet!$J:$K,2,0),0)*'Master Data-C19RM'!$E$2))</f>
        <v>0</v>
      </c>
      <c r="AE95" s="441"/>
      <c r="AF95" s="441"/>
      <c r="AG95" s="441"/>
      <c r="AH95" s="441"/>
      <c r="AI95" s="512">
        <f t="shared" si="8"/>
        <v>0</v>
      </c>
      <c r="AJ95" s="513">
        <f>IF(SETUP!$E$7="USD",(AI95*(IF(O95="USD",AD95,(AD95/'Master Data-C19RM'!$E$2)))),(AI95*(IF(O95="EUR",AD95,(AD95*'Master Data-C19RM'!$E$2)))))</f>
        <v>0</v>
      </c>
      <c r="AK95" s="444">
        <f>IF($O95="USD",_xlfn.IFNA(VLOOKUP($A95&amp;$E95&amp;$I95,PMsheet!$J:$K,2,0),0),(_xlfn.IFNA(VLOOKUP($A95&amp;$E95&amp;$I95,PMsheet!$J:$K,2,0),0)*'Master Data-C19RM'!$F$2))</f>
        <v>0</v>
      </c>
      <c r="AL95" s="441"/>
      <c r="AM95" s="441"/>
      <c r="AN95" s="441"/>
      <c r="AO95" s="441"/>
      <c r="AP95" s="481">
        <f t="shared" si="3"/>
        <v>0</v>
      </c>
      <c r="AQ95" s="483">
        <f>IF(SETUP!$E$7="USD",(AP95*(IF(O95="USD",AK95,(AK95/'Master Data-C19RM'!$F$2)))),(AP95*(IF(O95="EUR",AK95,(AK95*'Master Data-C19RM'!$F$2)))))</f>
        <v>0</v>
      </c>
      <c r="AR95" s="444">
        <f>IF($O95="USD",_xlfn.IFNA(VLOOKUP($A95&amp;$E95&amp;$I95,PMsheet!$J:$K,2,0),0),(_xlfn.IFNA(VLOOKUP($A95&amp;$E95&amp;$I95,PMsheet!$J:$K,2,0),0)*'Master Data-C19RM'!$G$2))</f>
        <v>0</v>
      </c>
      <c r="AS95" s="441"/>
      <c r="AT95" s="441"/>
      <c r="AU95" s="441"/>
      <c r="AV95" s="441"/>
      <c r="AW95" s="481">
        <f t="shared" si="9"/>
        <v>0</v>
      </c>
      <c r="AX95" s="483">
        <f>IF(SETUP!$E$7="USD",(AW95*(IF(O95="USD",AR95,(AR95/'Master Data-C19RM'!$G$2)))),(AW95*(IF(O95="EUR",AR95,(AR95*'Master Data-C19RM'!$G$2)))))</f>
        <v>0</v>
      </c>
      <c r="AY95" s="851"/>
      <c r="AZ95" s="851"/>
      <c r="BA95" s="851"/>
      <c r="BB95" s="851"/>
      <c r="BC95" s="851"/>
      <c r="BD95" s="851"/>
      <c r="BE95" s="852"/>
      <c r="BF95" s="481">
        <f>'C19RM 2021-Lab &amp; Other HPS'!$U95+'C19RM 2021-Lab &amp; Other HPS'!$AB95+AI95+'C19RM 2021-Lab &amp; Other HPS'!$AP95+'C19RM 2021-Lab &amp; Other HPS'!$AW95+BD95</f>
        <v>0</v>
      </c>
      <c r="BG95" s="481">
        <f>'C19RM 2021-Lab &amp; Other HPS'!$V95+'C19RM 2021-Lab &amp; Other HPS'!$AC95+'C19RM 2021-Lab &amp; Other HPS'!$AQ95+'C19RM 2021-Lab &amp; Other HPS'!$AJ95+AX95+BE95</f>
        <v>0</v>
      </c>
      <c r="BH95" s="500" t="str" cm="1">
        <f t="array" ref="BH95">IF(A95&lt;&gt;"",IFERROR(INDEX(PMtbl[[WKst]:[Unit of measure*]],MATCH($A$8&amp;$A95&amp;$E95&amp;$I95,INDEX(PMtbl[Sec]&amp;PMtbl[Category]&amp;PMtbl[Each]&amp;PMtbl[Packaging],0,),0),11),""),"")</f>
        <v/>
      </c>
      <c r="BI95" s="819"/>
      <c r="BJ95" s="502" t="str">
        <f>IFERROR(INDEX(SETUP!$C$19:$G$121,MATCH((INDEX(PMtbl[[WKst]:[Unit of measure*]],MATCH($A95&amp;$E95&amp;$I95,INDEX(PMtbl[Category]&amp;PMtbl[Each]&amp;PMtbl[Packaging],0,),0),3)),SETUP!$D$19:$D$121,0),5),"")</f>
        <v/>
      </c>
      <c r="BK95" s="438" t="str">
        <f>IFERROR(IF((INDEX(SETUP!$C$19:$G$121,MATCH((INDEX(PMtbl[[WKst]:[Unit of measure*]],MATCH($A95&amp;$E95&amp;$I95,INDEX(PMtbl[Category]&amp;PMtbl[Each]&amp;PMtbl[Packaging],0,),0),3)),SETUP!$D$19:$D$121,0),4))="Upfront",0,INDEX(SETUP!$C$19:$G$121,MATCH((INDEX(PMtbl[[WKst]:[Unit of measure*]],MATCH($A95&amp;$E95&amp;$I95,INDEX(PMtbl[Category]&amp;PMtbl[Each]&amp;PMtbl[Packaging],0,),0),3)),SETUP!$D$19:$D$121,0),5)),"")</f>
        <v/>
      </c>
      <c r="BL95" s="157" t="str" cm="1">
        <f t="array" ref="BL95">IF(A95&lt;&gt;"",IFERROR(INDEX(PMtbl[[WKst]:[Unit of measure*]],MATCH($A$8&amp;$A95&amp;$E95&amp;$I95,INDEX(PMtbl[Sec]&amp;PMtbl[Category]&amp;PMtbl[Each]&amp;PMtbl[Packaging],0,),0),11),""),"")</f>
        <v/>
      </c>
      <c r="BO95" s="12">
        <f>IF(N95="",0,IF(SETUP!$E$7="USD",((IF(O95="USD",P95,(P95/'Master Data-C19RM'!$C$2)))),((IF(O95="EUR",P95,(P95*'Master Data-C19RM'!$C$2))))))</f>
        <v>0</v>
      </c>
      <c r="BP95" s="12">
        <f>IF(N95="",0,IF(SETUP!$E$7="USD",((IF(O95="USD",W95,(W95/'Master Data-C19RM'!$D$2)))),((IF(O95="EUR",W95,(W95*'Master Data-C19RM'!$D$2))))))</f>
        <v>0</v>
      </c>
      <c r="BQ95">
        <f>IF(N95="",0,IF(SETUP!$E$7="USD",((IF(O95="USD",AD95,(AD95/'Master Data-C19RM'!$E$2)))),((IF(O95="EUR",AD95,(AD95*'Master Data-C19RM'!$E$2))))))</f>
        <v>0</v>
      </c>
      <c r="BR95">
        <f>IF(N95="",0,IF(SETUP!$E$7="USD",((IF(O95="USD",AK95,(AK95/'Master Data-C19RM'!$F$2)))),((IF(O95="EUR",AK95,(AK95*'Master Data-C19RM'!$F$2))))))</f>
        <v>0</v>
      </c>
      <c r="BS95">
        <f>IF(N95="",0,IF(SETUP!$E$7="USD",((IF(O95="USD",AR95,(AR95/'Master Data-C19RM'!$G$2)))),((IF(O95="EUR",AR95,(AR95*'Master Data-C19RM'!$G$2))))))</f>
        <v>0</v>
      </c>
      <c r="BT95">
        <f>IF(N95="",0,IF(SETUP!$E$7="USD",((IF(O95="USD",AY95,(AY95/'Master Data-C19RM'!$H$2)))),((IF(O95="EUR",AY95,(AY95*'Master Data-C19RM'!$H$2))))))</f>
        <v>0</v>
      </c>
      <c r="BU95" s="12">
        <f t="shared" si="5"/>
        <v>0</v>
      </c>
      <c r="BV95" s="142">
        <f t="shared" si="6"/>
        <v>0</v>
      </c>
    </row>
    <row r="96" spans="1:74" ht="14.5" customHeight="1" x14ac:dyDescent="0.35">
      <c r="A96" s="1192"/>
      <c r="B96" s="1192"/>
      <c r="C96" s="1192"/>
      <c r="D96" s="1192"/>
      <c r="E96" s="1173"/>
      <c r="F96" s="1173"/>
      <c r="G96" s="1173"/>
      <c r="H96" s="1173"/>
      <c r="I96" s="1173"/>
      <c r="J96" s="1173"/>
      <c r="K96" s="1173"/>
      <c r="L96" s="493" t="str" cm="1">
        <f t="array" ref="L96">IF(A96&lt;&gt;"",IFERROR(INDEX(PMtbl[[WKst]:[Unit of measure*]],MATCH($A$8&amp;$A96&amp;$E96&amp;$I96,INDEX(PMtbl[Sec]&amp;PMtbl[Category]&amp;PMtbl[Each]&amp;PMtbl[Packaging],0,),0),14),""),"")</f>
        <v/>
      </c>
      <c r="M96" s="480" t="str">
        <f>IF(L96="","",INDEX(SETUP!$E$20:$E$122,(MATCH(INDEX(PMsheet!$D:$E,MATCH(A96,PMsheet!E:E,0),1),SETUP!$D$20:$D$122,0))))</f>
        <v/>
      </c>
      <c r="N96" s="494">
        <f>IF($O96="USD",_xlfn.IFNA(VLOOKUP(A96&amp;E96&amp;I96,PMsheet!J:K,2,0),0),(_xlfn.IFNA(VLOOKUP(A96&amp;E96&amp;I96,PMsheet!J:K,2,0),0)*'Master Data-C19RM'!$C$2))</f>
        <v>0</v>
      </c>
      <c r="O96" s="495" t="str">
        <f>IF(L96="", "",SETUP!$E$7)</f>
        <v/>
      </c>
      <c r="P96" s="445">
        <f>IF($O96="USD",_xlfn.IFNA(VLOOKUP($A96&amp;$E96&amp;$I96,PMsheet!$J:$K,2,0),0),(_xlfn.IFNA(VLOOKUP($A96&amp;$E96&amp;$I96,PMsheet!$J:$K,2,0),0)*'Master Data-C19RM'!$C$2))</f>
        <v>0</v>
      </c>
      <c r="Q96" s="440"/>
      <c r="R96" s="440"/>
      <c r="S96" s="440"/>
      <c r="T96" s="440"/>
      <c r="U96" s="482">
        <f t="shared" si="7"/>
        <v>0</v>
      </c>
      <c r="V96" s="484">
        <f>IF(SETUP!$E$7="USD",(U96*(IF(O96="USD",P96,(P96/'Master Data-C19RM'!$C$2)))),(U96*(IF(O96="EUR",P96,(P96*'Master Data-C19RM'!$C$2)))))</f>
        <v>0</v>
      </c>
      <c r="W96" s="445">
        <f>IF($O96="USD",_xlfn.IFNA(VLOOKUP($A96&amp;$E96&amp;$I96,PMsheet!$J:$K,2,0),0),(_xlfn.IFNA(VLOOKUP($A96&amp;$E96&amp;$I96,PMsheet!$J:$K,2,0),0)*'Master Data-C19RM'!$D$2))</f>
        <v>0</v>
      </c>
      <c r="X96" s="440"/>
      <c r="Y96" s="440"/>
      <c r="Z96" s="440"/>
      <c r="AA96" s="440"/>
      <c r="AB96" s="482">
        <f t="shared" si="1"/>
        <v>0</v>
      </c>
      <c r="AC96" s="484">
        <f>IF(SETUP!$E$7="USD",(AB96*(IF(O96="USD",W96,(W96/'Master Data-C19RM'!$D$2)))),(AB96*(IF(O96="EUR",W96,(W96*'Master Data-C19RM'!$D$2)))))</f>
        <v>0</v>
      </c>
      <c r="AD96" s="445">
        <f>IF($O96="USD",_xlfn.IFNA(VLOOKUP($A96&amp;$E96&amp;$I96,PMsheet!$J:$K,2,0),0),(_xlfn.IFNA(VLOOKUP($A96&amp;$E96&amp;$I96,PMsheet!$J:$K,2,0),0)*'Master Data-C19RM'!$E$2))</f>
        <v>0</v>
      </c>
      <c r="AE96" s="440"/>
      <c r="AF96" s="440"/>
      <c r="AG96" s="440"/>
      <c r="AH96" s="440"/>
      <c r="AI96" s="514">
        <f t="shared" si="8"/>
        <v>0</v>
      </c>
      <c r="AJ96" s="515">
        <f>IF(SETUP!$E$7="USD",(AI96*(IF(O96="USD",AD96,(AD96/'Master Data-C19RM'!$E$2)))),(AI96*(IF(O96="EUR",AD96,(AD96*'Master Data-C19RM'!$E$2)))))</f>
        <v>0</v>
      </c>
      <c r="AK96" s="445">
        <f>IF($O96="USD",_xlfn.IFNA(VLOOKUP($A96&amp;$E96&amp;$I96,PMsheet!$J:$K,2,0),0),(_xlfn.IFNA(VLOOKUP($A96&amp;$E96&amp;$I96,PMsheet!$J:$K,2,0),0)*'Master Data-C19RM'!$F$2))</f>
        <v>0</v>
      </c>
      <c r="AL96" s="440"/>
      <c r="AM96" s="440"/>
      <c r="AN96" s="440"/>
      <c r="AO96" s="440"/>
      <c r="AP96" s="482">
        <f t="shared" si="3"/>
        <v>0</v>
      </c>
      <c r="AQ96" s="484">
        <f>IF(SETUP!$E$7="USD",(AP96*(IF(O96="USD",AK96,(AK96/'Master Data-C19RM'!$F$2)))),(AP96*(IF(O96="EUR",AK96,(AK96*'Master Data-C19RM'!$F$2)))))</f>
        <v>0</v>
      </c>
      <c r="AR96" s="445">
        <f>IF($O96="USD",_xlfn.IFNA(VLOOKUP($A96&amp;$E96&amp;$I96,PMsheet!$J:$K,2,0),0),(_xlfn.IFNA(VLOOKUP($A96&amp;$E96&amp;$I96,PMsheet!$J:$K,2,0),0)*'Master Data-C19RM'!$G$2))</f>
        <v>0</v>
      </c>
      <c r="AS96" s="440"/>
      <c r="AT96" s="440"/>
      <c r="AU96" s="440"/>
      <c r="AV96" s="440"/>
      <c r="AW96" s="482">
        <f t="shared" si="9"/>
        <v>0</v>
      </c>
      <c r="AX96" s="484">
        <f>IF(SETUP!$E$7="USD",(AW96*(IF(O96="USD",AR96,(AR96/'Master Data-C19RM'!$G$2)))),(AW96*(IF(O96="EUR",AR96,(AR96*'Master Data-C19RM'!$G$2)))))</f>
        <v>0</v>
      </c>
      <c r="AY96" s="843"/>
      <c r="AZ96" s="843"/>
      <c r="BA96" s="843"/>
      <c r="BB96" s="843"/>
      <c r="BC96" s="843"/>
      <c r="BD96" s="843"/>
      <c r="BE96" s="844"/>
      <c r="BF96" s="482">
        <f>'C19RM 2021-Lab &amp; Other HPS'!$U96+'C19RM 2021-Lab &amp; Other HPS'!$AB96+AI96+'C19RM 2021-Lab &amp; Other HPS'!$AP96+'C19RM 2021-Lab &amp; Other HPS'!$AW96+BD96</f>
        <v>0</v>
      </c>
      <c r="BG96" s="482">
        <f>'C19RM 2021-Lab &amp; Other HPS'!$V96+'C19RM 2021-Lab &amp; Other HPS'!$AC96+'C19RM 2021-Lab &amp; Other HPS'!$AQ96+'C19RM 2021-Lab &amp; Other HPS'!$AJ96+AX96+BE96</f>
        <v>0</v>
      </c>
      <c r="BH96" s="499" t="str" cm="1">
        <f t="array" ref="BH96">IF(A96&lt;&gt;"",IFERROR(INDEX(PMtbl[[WKst]:[Unit of measure*]],MATCH($A$8&amp;$A96&amp;$E96&amp;$I96,INDEX(PMtbl[Sec]&amp;PMtbl[Category]&amp;PMtbl[Each]&amp;PMtbl[Packaging],0,),0),11),""),"")</f>
        <v/>
      </c>
      <c r="BI96" s="818"/>
      <c r="BJ96" s="503" t="str">
        <f>IFERROR(INDEX(SETUP!$C$19:$G$121,MATCH((INDEX(PMtbl[[WKst]:[Unit of measure*]],MATCH($A96&amp;$E96&amp;$I96,INDEX(PMtbl[Category]&amp;PMtbl[Each]&amp;PMtbl[Packaging],0,),0),3)),SETUP!$D$19:$D$121,0),5),"")</f>
        <v/>
      </c>
      <c r="BK96" s="439" t="str">
        <f>IFERROR(IF((INDEX(SETUP!$C$19:$G$121,MATCH((INDEX(PMtbl[[WKst]:[Unit of measure*]],MATCH($A96&amp;$E96&amp;$I96,INDEX(PMtbl[Category]&amp;PMtbl[Each]&amp;PMtbl[Packaging],0,),0),3)),SETUP!$D$19:$D$121,0),4))="Upfront",0,INDEX(SETUP!$C$19:$G$121,MATCH((INDEX(PMtbl[[WKst]:[Unit of measure*]],MATCH($A96&amp;$E96&amp;$I96,INDEX(PMtbl[Category]&amp;PMtbl[Each]&amp;PMtbl[Packaging],0,),0),3)),SETUP!$D$19:$D$121,0),5)),"")</f>
        <v/>
      </c>
      <c r="BL96" s="158" t="str" cm="1">
        <f t="array" ref="BL96">IF(A96&lt;&gt;"",IFERROR(INDEX(PMtbl[[WKst]:[Unit of measure*]],MATCH($A$8&amp;$A96&amp;$E96&amp;$I96,INDEX(PMtbl[Sec]&amp;PMtbl[Category]&amp;PMtbl[Each]&amp;PMtbl[Packaging],0,),0),11),""),"")</f>
        <v/>
      </c>
      <c r="BO96" s="12">
        <f>IF(N96="",0,IF(SETUP!$E$7="USD",((IF(O96="USD",P96,(P96/'Master Data-C19RM'!$C$2)))),((IF(O96="EUR",P96,(P96*'Master Data-C19RM'!$C$2))))))</f>
        <v>0</v>
      </c>
      <c r="BP96" s="12">
        <f>IF(N96="",0,IF(SETUP!$E$7="USD",((IF(O96="USD",W96,(W96/'Master Data-C19RM'!$D$2)))),((IF(O96="EUR",W96,(W96*'Master Data-C19RM'!$D$2))))))</f>
        <v>0</v>
      </c>
      <c r="BQ96">
        <f>IF(N96="",0,IF(SETUP!$E$7="USD",((IF(O96="USD",AD96,(AD96/'Master Data-C19RM'!$E$2)))),((IF(O96="EUR",AD96,(AD96*'Master Data-C19RM'!$E$2))))))</f>
        <v>0</v>
      </c>
      <c r="BR96">
        <f>IF(N96="",0,IF(SETUP!$E$7="USD",((IF(O96="USD",AK96,(AK96/'Master Data-C19RM'!$F$2)))),((IF(O96="EUR",AK96,(AK96*'Master Data-C19RM'!$F$2))))))</f>
        <v>0</v>
      </c>
      <c r="BS96">
        <f>IF(N96="",0,IF(SETUP!$E$7="USD",((IF(O96="USD",AR96,(AR96/'Master Data-C19RM'!$G$2)))),((IF(O96="EUR",AR96,(AR96*'Master Data-C19RM'!$G$2))))))</f>
        <v>0</v>
      </c>
      <c r="BT96">
        <f>IF(N96="",0,IF(SETUP!$E$7="USD",((IF(O96="USD",AY96,(AY96/'Master Data-C19RM'!$H$2)))),((IF(O96="EUR",AY96,(AY96*'Master Data-C19RM'!$H$2))))))</f>
        <v>0</v>
      </c>
      <c r="BU96" s="12">
        <f t="shared" si="5"/>
        <v>0</v>
      </c>
      <c r="BV96" s="142">
        <f t="shared" si="6"/>
        <v>0</v>
      </c>
    </row>
    <row r="97" spans="1:74" ht="14.5" customHeight="1" x14ac:dyDescent="0.35">
      <c r="A97" s="1200"/>
      <c r="B97" s="1201"/>
      <c r="C97" s="1201"/>
      <c r="D97" s="1202"/>
      <c r="E97" s="1216"/>
      <c r="F97" s="1217"/>
      <c r="G97" s="1217"/>
      <c r="H97" s="1218"/>
      <c r="I97" s="1216"/>
      <c r="J97" s="1217"/>
      <c r="K97" s="1218"/>
      <c r="L97" s="490" t="str" cm="1">
        <f t="array" ref="L97">IF(A97&lt;&gt;"",IFERROR(INDEX(PMtbl[[WKst]:[Unit of measure*]],MATCH($A$8&amp;$A97&amp;$E97&amp;$I97,INDEX(PMtbl[Sec]&amp;PMtbl[Category]&amp;PMtbl[Each]&amp;PMtbl[Packaging],0,),0),14),""),"")</f>
        <v/>
      </c>
      <c r="M97" s="479" t="str">
        <f>IF(L97="","",INDEX(SETUP!$E$20:$E$122,(MATCH(INDEX(PMsheet!$D:$E,MATCH(A97,PMsheet!E:E,0),1),SETUP!$D$20:$D$122,0))))</f>
        <v/>
      </c>
      <c r="N97" s="496">
        <f>IF($O97="USD",_xlfn.IFNA(VLOOKUP(A97&amp;E97&amp;I97,PMsheet!J:K,2,0),0),(_xlfn.IFNA(VLOOKUP(A97&amp;E97&amp;I97,PMsheet!J:K,2,0),0)*'Master Data-C19RM'!$C$2))</f>
        <v>0</v>
      </c>
      <c r="O97" s="492" t="str">
        <f>IF(L97="", "",SETUP!$E$7)</f>
        <v/>
      </c>
      <c r="P97" s="444">
        <f>IF($O97="USD",_xlfn.IFNA(VLOOKUP($A97&amp;$E97&amp;$I97,PMsheet!$J:$K,2,0),0),(_xlfn.IFNA(VLOOKUP($A97&amp;$E97&amp;$I97,PMsheet!$J:$K,2,0),0)*'Master Data-C19RM'!$C$2))</f>
        <v>0</v>
      </c>
      <c r="Q97" s="441"/>
      <c r="R97" s="441"/>
      <c r="S97" s="441"/>
      <c r="T97" s="441"/>
      <c r="U97" s="481">
        <f t="shared" si="7"/>
        <v>0</v>
      </c>
      <c r="V97" s="483">
        <f>IF(SETUP!$E$7="USD",(U97*(IF(O97="USD",P97,(P97/'Master Data-C19RM'!$C$2)))),(U97*(IF(O97="EUR",P97,(P97*'Master Data-C19RM'!$C$2)))))</f>
        <v>0</v>
      </c>
      <c r="W97" s="444">
        <f>IF($O97="USD",_xlfn.IFNA(VLOOKUP($A97&amp;$E97&amp;$I97,PMsheet!$J:$K,2,0),0),(_xlfn.IFNA(VLOOKUP($A97&amp;$E97&amp;$I97,PMsheet!$J:$K,2,0),0)*'Master Data-C19RM'!$D$2))</f>
        <v>0</v>
      </c>
      <c r="X97" s="441"/>
      <c r="Y97" s="441"/>
      <c r="Z97" s="441"/>
      <c r="AA97" s="441"/>
      <c r="AB97" s="481">
        <f t="shared" si="1"/>
        <v>0</v>
      </c>
      <c r="AC97" s="483">
        <f>IF(SETUP!$E$7="USD",(AB97*(IF(O97="USD",W97,(W97/'Master Data-C19RM'!$D$2)))),(AB97*(IF(O97="EUR",W97,(W97*'Master Data-C19RM'!$D$2)))))</f>
        <v>0</v>
      </c>
      <c r="AD97" s="444">
        <f>IF($O97="USD",_xlfn.IFNA(VLOOKUP($A97&amp;$E97&amp;$I97,PMsheet!$J:$K,2,0),0),(_xlfn.IFNA(VLOOKUP($A97&amp;$E97&amp;$I97,PMsheet!$J:$K,2,0),0)*'Master Data-C19RM'!$E$2))</f>
        <v>0</v>
      </c>
      <c r="AE97" s="441"/>
      <c r="AF97" s="441"/>
      <c r="AG97" s="441"/>
      <c r="AH97" s="441"/>
      <c r="AI97" s="512">
        <f t="shared" si="8"/>
        <v>0</v>
      </c>
      <c r="AJ97" s="513">
        <f>IF(SETUP!$E$7="USD",(AI97*(IF(O97="USD",AD97,(AD97/'Master Data-C19RM'!$E$2)))),(AI97*(IF(O97="EUR",AD97,(AD97*'Master Data-C19RM'!$E$2)))))</f>
        <v>0</v>
      </c>
      <c r="AK97" s="444">
        <f>IF($O97="USD",_xlfn.IFNA(VLOOKUP($A97&amp;$E97&amp;$I97,PMsheet!$J:$K,2,0),0),(_xlfn.IFNA(VLOOKUP($A97&amp;$E97&amp;$I97,PMsheet!$J:$K,2,0),0)*'Master Data-C19RM'!$F$2))</f>
        <v>0</v>
      </c>
      <c r="AL97" s="441"/>
      <c r="AM97" s="441"/>
      <c r="AN97" s="441"/>
      <c r="AO97" s="441"/>
      <c r="AP97" s="481">
        <f t="shared" si="3"/>
        <v>0</v>
      </c>
      <c r="AQ97" s="483">
        <f>IF(SETUP!$E$7="USD",(AP97*(IF(O97="USD",AK97,(AK97/'Master Data-C19RM'!$F$2)))),(AP97*(IF(O97="EUR",AK97,(AK97*'Master Data-C19RM'!$F$2)))))</f>
        <v>0</v>
      </c>
      <c r="AR97" s="444">
        <f>IF($O97="USD",_xlfn.IFNA(VLOOKUP($A97&amp;$E97&amp;$I97,PMsheet!$J:$K,2,0),0),(_xlfn.IFNA(VLOOKUP($A97&amp;$E97&amp;$I97,PMsheet!$J:$K,2,0),0)*'Master Data-C19RM'!$G$2))</f>
        <v>0</v>
      </c>
      <c r="AS97" s="441"/>
      <c r="AT97" s="441"/>
      <c r="AU97" s="441"/>
      <c r="AV97" s="441"/>
      <c r="AW97" s="481">
        <f t="shared" si="9"/>
        <v>0</v>
      </c>
      <c r="AX97" s="483">
        <f>IF(SETUP!$E$7="USD",(AW97*(IF(O97="USD",AR97,(AR97/'Master Data-C19RM'!$G$2)))),(AW97*(IF(O97="EUR",AR97,(AR97*'Master Data-C19RM'!$G$2)))))</f>
        <v>0</v>
      </c>
      <c r="AY97" s="851"/>
      <c r="AZ97" s="851"/>
      <c r="BA97" s="851"/>
      <c r="BB97" s="851"/>
      <c r="BC97" s="851"/>
      <c r="BD97" s="851"/>
      <c r="BE97" s="852"/>
      <c r="BF97" s="481">
        <f>'C19RM 2021-Lab &amp; Other HPS'!$U97+'C19RM 2021-Lab &amp; Other HPS'!$AB97+AI97+'C19RM 2021-Lab &amp; Other HPS'!$AP97+'C19RM 2021-Lab &amp; Other HPS'!$AW97+BD97</f>
        <v>0</v>
      </c>
      <c r="BG97" s="481">
        <f>'C19RM 2021-Lab &amp; Other HPS'!$V97+'C19RM 2021-Lab &amp; Other HPS'!$AC97+'C19RM 2021-Lab &amp; Other HPS'!$AQ97+'C19RM 2021-Lab &amp; Other HPS'!$AJ97+AX97+BE97</f>
        <v>0</v>
      </c>
      <c r="BH97" s="500" t="str" cm="1">
        <f t="array" ref="BH97">IF(A97&lt;&gt;"",IFERROR(INDEX(PMtbl[[WKst]:[Unit of measure*]],MATCH($A$8&amp;$A97&amp;$E97&amp;$I97,INDEX(PMtbl[Sec]&amp;PMtbl[Category]&amp;PMtbl[Each]&amp;PMtbl[Packaging],0,),0),11),""),"")</f>
        <v/>
      </c>
      <c r="BI97" s="819"/>
      <c r="BJ97" s="502" t="str">
        <f>IFERROR(INDEX(SETUP!$C$19:$G$121,MATCH((INDEX(PMtbl[[WKst]:[Unit of measure*]],MATCH($A97&amp;$E97&amp;$I97,INDEX(PMtbl[Category]&amp;PMtbl[Each]&amp;PMtbl[Packaging],0,),0),3)),SETUP!$D$19:$D$121,0),5),"")</f>
        <v/>
      </c>
      <c r="BK97" s="438" t="str">
        <f>IFERROR(IF((INDEX(SETUP!$C$19:$G$121,MATCH((INDEX(PMtbl[[WKst]:[Unit of measure*]],MATCH($A97&amp;$E97&amp;$I97,INDEX(PMtbl[Category]&amp;PMtbl[Each]&amp;PMtbl[Packaging],0,),0),3)),SETUP!$D$19:$D$121,0),4))="Upfront",0,INDEX(SETUP!$C$19:$G$121,MATCH((INDEX(PMtbl[[WKst]:[Unit of measure*]],MATCH($A97&amp;$E97&amp;$I97,INDEX(PMtbl[Category]&amp;PMtbl[Each]&amp;PMtbl[Packaging],0,),0),3)),SETUP!$D$19:$D$121,0),5)),"")</f>
        <v/>
      </c>
      <c r="BL97" s="157" t="str" cm="1">
        <f t="array" ref="BL97">IF(A97&lt;&gt;"",IFERROR(INDEX(PMtbl[[WKst]:[Unit of measure*]],MATCH($A$8&amp;$A97&amp;$E97&amp;$I97,INDEX(PMtbl[Sec]&amp;PMtbl[Category]&amp;PMtbl[Each]&amp;PMtbl[Packaging],0,),0),11),""),"")</f>
        <v/>
      </c>
      <c r="BO97" s="12">
        <f>IF(N97="",0,IF(SETUP!$E$7="USD",((IF(O97="USD",P97,(P97/'Master Data-C19RM'!$C$2)))),((IF(O97="EUR",P97,(P97*'Master Data-C19RM'!$C$2))))))</f>
        <v>0</v>
      </c>
      <c r="BP97" s="12">
        <f>IF(N97="",0,IF(SETUP!$E$7="USD",((IF(O97="USD",W97,(W97/'Master Data-C19RM'!$D$2)))),((IF(O97="EUR",W97,(W97*'Master Data-C19RM'!$D$2))))))</f>
        <v>0</v>
      </c>
      <c r="BQ97">
        <f>IF(N97="",0,IF(SETUP!$E$7="USD",((IF(O97="USD",AD97,(AD97/'Master Data-C19RM'!$E$2)))),((IF(O97="EUR",AD97,(AD97*'Master Data-C19RM'!$E$2))))))</f>
        <v>0</v>
      </c>
      <c r="BR97">
        <f>IF(N97="",0,IF(SETUP!$E$7="USD",((IF(O97="USD",AK97,(AK97/'Master Data-C19RM'!$F$2)))),((IF(O97="EUR",AK97,(AK97*'Master Data-C19RM'!$F$2))))))</f>
        <v>0</v>
      </c>
      <c r="BS97">
        <f>IF(N97="",0,IF(SETUP!$E$7="USD",((IF(O97="USD",AR97,(AR97/'Master Data-C19RM'!$G$2)))),((IF(O97="EUR",AR97,(AR97*'Master Data-C19RM'!$G$2))))))</f>
        <v>0</v>
      </c>
      <c r="BT97">
        <f>IF(N97="",0,IF(SETUP!$E$7="USD",((IF(O97="USD",AY97,(AY97/'Master Data-C19RM'!$H$2)))),((IF(O97="EUR",AY97,(AY97*'Master Data-C19RM'!$H$2))))))</f>
        <v>0</v>
      </c>
      <c r="BU97" s="12">
        <f t="shared" si="5"/>
        <v>0</v>
      </c>
      <c r="BV97" s="142">
        <f t="shared" si="6"/>
        <v>0</v>
      </c>
    </row>
    <row r="98" spans="1:74" ht="14.5" customHeight="1" x14ac:dyDescent="0.35">
      <c r="A98" s="1192"/>
      <c r="B98" s="1192"/>
      <c r="C98" s="1192"/>
      <c r="D98" s="1192"/>
      <c r="E98" s="1173"/>
      <c r="F98" s="1173"/>
      <c r="G98" s="1173"/>
      <c r="H98" s="1173"/>
      <c r="I98" s="1173"/>
      <c r="J98" s="1173"/>
      <c r="K98" s="1173"/>
      <c r="L98" s="493" t="str" cm="1">
        <f t="array" ref="L98">IF(A98&lt;&gt;"",IFERROR(INDEX(PMtbl[[WKst]:[Unit of measure*]],MATCH($A$8&amp;$A98&amp;$E98&amp;$I98,INDEX(PMtbl[Sec]&amp;PMtbl[Category]&amp;PMtbl[Each]&amp;PMtbl[Packaging],0,),0),14),""),"")</f>
        <v/>
      </c>
      <c r="M98" s="480" t="str">
        <f>IF(L98="","",INDEX(SETUP!$E$20:$E$122,(MATCH(INDEX(PMsheet!$D:$E,MATCH(A98,PMsheet!E:E,0),1),SETUP!$D$20:$D$122,0))))</f>
        <v/>
      </c>
      <c r="N98" s="494">
        <f>IF($O98="USD",_xlfn.IFNA(VLOOKUP(A98&amp;E98&amp;I98,PMsheet!J:K,2,0),0),(_xlfn.IFNA(VLOOKUP(A98&amp;E98&amp;I98,PMsheet!J:K,2,0),0)*'Master Data-C19RM'!$C$2))</f>
        <v>0</v>
      </c>
      <c r="O98" s="495" t="str">
        <f>IF(L98="", "",SETUP!$E$7)</f>
        <v/>
      </c>
      <c r="P98" s="445">
        <f>IF($O98="USD",_xlfn.IFNA(VLOOKUP($A98&amp;$E98&amp;$I98,PMsheet!$J:$K,2,0),0),(_xlfn.IFNA(VLOOKUP($A98&amp;$E98&amp;$I98,PMsheet!$J:$K,2,0),0)*'Master Data-C19RM'!$C$2))</f>
        <v>0</v>
      </c>
      <c r="Q98" s="440"/>
      <c r="R98" s="440"/>
      <c r="S98" s="440"/>
      <c r="T98" s="440"/>
      <c r="U98" s="482">
        <f t="shared" si="7"/>
        <v>0</v>
      </c>
      <c r="V98" s="484">
        <f>IF(SETUP!$E$7="USD",(U98*(IF(O98="USD",P98,(P98/'Master Data-C19RM'!$C$2)))),(U98*(IF(O98="EUR",P98,(P98*'Master Data-C19RM'!$C$2)))))</f>
        <v>0</v>
      </c>
      <c r="W98" s="445">
        <f>IF($O98="USD",_xlfn.IFNA(VLOOKUP($A98&amp;$E98&amp;$I98,PMsheet!$J:$K,2,0),0),(_xlfn.IFNA(VLOOKUP($A98&amp;$E98&amp;$I98,PMsheet!$J:$K,2,0),0)*'Master Data-C19RM'!$D$2))</f>
        <v>0</v>
      </c>
      <c r="X98" s="440"/>
      <c r="Y98" s="440"/>
      <c r="Z98" s="440"/>
      <c r="AA98" s="440"/>
      <c r="AB98" s="482">
        <f t="shared" si="1"/>
        <v>0</v>
      </c>
      <c r="AC98" s="484">
        <f>IF(SETUP!$E$7="USD",(AB98*(IF(O98="USD",W98,(W98/'Master Data-C19RM'!$D$2)))),(AB98*(IF(O98="EUR",W98,(W98*'Master Data-C19RM'!$D$2)))))</f>
        <v>0</v>
      </c>
      <c r="AD98" s="445">
        <f>IF($O98="USD",_xlfn.IFNA(VLOOKUP($A98&amp;$E98&amp;$I98,PMsheet!$J:$K,2,0),0),(_xlfn.IFNA(VLOOKUP($A98&amp;$E98&amp;$I98,PMsheet!$J:$K,2,0),0)*'Master Data-C19RM'!$E$2))</f>
        <v>0</v>
      </c>
      <c r="AE98" s="440"/>
      <c r="AF98" s="440"/>
      <c r="AG98" s="440"/>
      <c r="AH98" s="440"/>
      <c r="AI98" s="514">
        <f t="shared" si="8"/>
        <v>0</v>
      </c>
      <c r="AJ98" s="515">
        <f>IF(SETUP!$E$7="USD",(AI98*(IF(O98="USD",AD98,(AD98/'Master Data-C19RM'!$E$2)))),(AI98*(IF(O98="EUR",AD98,(AD98*'Master Data-C19RM'!$E$2)))))</f>
        <v>0</v>
      </c>
      <c r="AK98" s="445">
        <f>IF($O98="USD",_xlfn.IFNA(VLOOKUP($A98&amp;$E98&amp;$I98,PMsheet!$J:$K,2,0),0),(_xlfn.IFNA(VLOOKUP($A98&amp;$E98&amp;$I98,PMsheet!$J:$K,2,0),0)*'Master Data-C19RM'!$F$2))</f>
        <v>0</v>
      </c>
      <c r="AL98" s="440"/>
      <c r="AM98" s="440"/>
      <c r="AN98" s="440"/>
      <c r="AO98" s="440"/>
      <c r="AP98" s="482">
        <f t="shared" si="3"/>
        <v>0</v>
      </c>
      <c r="AQ98" s="484">
        <f>IF(SETUP!$E$7="USD",(AP98*(IF(O98="USD",AK98,(AK98/'Master Data-C19RM'!$F$2)))),(AP98*(IF(O98="EUR",AK98,(AK98*'Master Data-C19RM'!$F$2)))))</f>
        <v>0</v>
      </c>
      <c r="AR98" s="445">
        <f>IF($O98="USD",_xlfn.IFNA(VLOOKUP($A98&amp;$E98&amp;$I98,PMsheet!$J:$K,2,0),0),(_xlfn.IFNA(VLOOKUP($A98&amp;$E98&amp;$I98,PMsheet!$J:$K,2,0),0)*'Master Data-C19RM'!$G$2))</f>
        <v>0</v>
      </c>
      <c r="AS98" s="440"/>
      <c r="AT98" s="440"/>
      <c r="AU98" s="440"/>
      <c r="AV98" s="440"/>
      <c r="AW98" s="482">
        <f t="shared" si="9"/>
        <v>0</v>
      </c>
      <c r="AX98" s="484">
        <f>IF(SETUP!$E$7="USD",(AW98*(IF(O98="USD",AR98,(AR98/'Master Data-C19RM'!$G$2)))),(AW98*(IF(O98="EUR",AR98,(AR98*'Master Data-C19RM'!$G$2)))))</f>
        <v>0</v>
      </c>
      <c r="AY98" s="843"/>
      <c r="AZ98" s="843"/>
      <c r="BA98" s="843"/>
      <c r="BB98" s="843"/>
      <c r="BC98" s="843"/>
      <c r="BD98" s="843"/>
      <c r="BE98" s="844"/>
      <c r="BF98" s="482">
        <f>'C19RM 2021-Lab &amp; Other HPS'!$U98+'C19RM 2021-Lab &amp; Other HPS'!$AB98+AI98+'C19RM 2021-Lab &amp; Other HPS'!$AP98+'C19RM 2021-Lab &amp; Other HPS'!$AW98+BD98</f>
        <v>0</v>
      </c>
      <c r="BG98" s="482">
        <f>'C19RM 2021-Lab &amp; Other HPS'!$V98+'C19RM 2021-Lab &amp; Other HPS'!$AC98+'C19RM 2021-Lab &amp; Other HPS'!$AQ98+'C19RM 2021-Lab &amp; Other HPS'!$AJ98+AX98+BE98</f>
        <v>0</v>
      </c>
      <c r="BH98" s="499" t="str" cm="1">
        <f t="array" ref="BH98">IF(A98&lt;&gt;"",IFERROR(INDEX(PMtbl[[WKst]:[Unit of measure*]],MATCH($A$8&amp;$A98&amp;$E98&amp;$I98,INDEX(PMtbl[Sec]&amp;PMtbl[Category]&amp;PMtbl[Each]&amp;PMtbl[Packaging],0,),0),11),""),"")</f>
        <v/>
      </c>
      <c r="BI98" s="818"/>
      <c r="BJ98" s="503" t="str">
        <f>IFERROR(INDEX(SETUP!$C$19:$G$121,MATCH((INDEX(PMtbl[[WKst]:[Unit of measure*]],MATCH($A98&amp;$E98&amp;$I98,INDEX(PMtbl[Category]&amp;PMtbl[Each]&amp;PMtbl[Packaging],0,),0),3)),SETUP!$D$19:$D$121,0),5),"")</f>
        <v/>
      </c>
      <c r="BK98" s="439" t="str">
        <f>IFERROR(IF((INDEX(SETUP!$C$19:$G$121,MATCH((INDEX(PMtbl[[WKst]:[Unit of measure*]],MATCH($A98&amp;$E98&amp;$I98,INDEX(PMtbl[Category]&amp;PMtbl[Each]&amp;PMtbl[Packaging],0,),0),3)),SETUP!$D$19:$D$121,0),4))="Upfront",0,INDEX(SETUP!$C$19:$G$121,MATCH((INDEX(PMtbl[[WKst]:[Unit of measure*]],MATCH($A98&amp;$E98&amp;$I98,INDEX(PMtbl[Category]&amp;PMtbl[Each]&amp;PMtbl[Packaging],0,),0),3)),SETUP!$D$19:$D$121,0),5)),"")</f>
        <v/>
      </c>
      <c r="BL98" s="158" t="str" cm="1">
        <f t="array" ref="BL98">IF(A98&lt;&gt;"",IFERROR(INDEX(PMtbl[[WKst]:[Unit of measure*]],MATCH($A$8&amp;$A98&amp;$E98&amp;$I98,INDEX(PMtbl[Sec]&amp;PMtbl[Category]&amp;PMtbl[Each]&amp;PMtbl[Packaging],0,),0),11),""),"")</f>
        <v/>
      </c>
      <c r="BO98" s="12">
        <f>IF(N98="",0,IF(SETUP!$E$7="USD",((IF(O98="USD",P98,(P98/'Master Data-C19RM'!$C$2)))),((IF(O98="EUR",P98,(P98*'Master Data-C19RM'!$C$2))))))</f>
        <v>0</v>
      </c>
      <c r="BP98" s="12">
        <f>IF(N98="",0,IF(SETUP!$E$7="USD",((IF(O98="USD",W98,(W98/'Master Data-C19RM'!$D$2)))),((IF(O98="EUR",W98,(W98*'Master Data-C19RM'!$D$2))))))</f>
        <v>0</v>
      </c>
      <c r="BQ98">
        <f>IF(N98="",0,IF(SETUP!$E$7="USD",((IF(O98="USD",AD98,(AD98/'Master Data-C19RM'!$E$2)))),((IF(O98="EUR",AD98,(AD98*'Master Data-C19RM'!$E$2))))))</f>
        <v>0</v>
      </c>
      <c r="BR98">
        <f>IF(N98="",0,IF(SETUP!$E$7="USD",((IF(O98="USD",AK98,(AK98/'Master Data-C19RM'!$F$2)))),((IF(O98="EUR",AK98,(AK98*'Master Data-C19RM'!$F$2))))))</f>
        <v>0</v>
      </c>
      <c r="BS98">
        <f>IF(N98="",0,IF(SETUP!$E$7="USD",((IF(O98="USD",AR98,(AR98/'Master Data-C19RM'!$G$2)))),((IF(O98="EUR",AR98,(AR98*'Master Data-C19RM'!$G$2))))))</f>
        <v>0</v>
      </c>
      <c r="BT98">
        <f>IF(N98="",0,IF(SETUP!$E$7="USD",((IF(O98="USD",AY98,(AY98/'Master Data-C19RM'!$H$2)))),((IF(O98="EUR",AY98,(AY98*'Master Data-C19RM'!$H$2))))))</f>
        <v>0</v>
      </c>
      <c r="BU98" s="12">
        <f t="shared" si="5"/>
        <v>0</v>
      </c>
      <c r="BV98" s="142">
        <f t="shared" si="6"/>
        <v>0</v>
      </c>
    </row>
    <row r="99" spans="1:74" ht="14.5" customHeight="1" x14ac:dyDescent="0.35">
      <c r="A99" s="1200"/>
      <c r="B99" s="1201"/>
      <c r="C99" s="1201"/>
      <c r="D99" s="1202"/>
      <c r="E99" s="1216"/>
      <c r="F99" s="1217"/>
      <c r="G99" s="1217"/>
      <c r="H99" s="1218"/>
      <c r="I99" s="1216"/>
      <c r="J99" s="1217"/>
      <c r="K99" s="1218"/>
      <c r="L99" s="490" t="str" cm="1">
        <f t="array" ref="L99">IF(A99&lt;&gt;"",IFERROR(INDEX(PMtbl[[WKst]:[Unit of measure*]],MATCH($A$8&amp;$A99&amp;$E99&amp;$I99,INDEX(PMtbl[Sec]&amp;PMtbl[Category]&amp;PMtbl[Each]&amp;PMtbl[Packaging],0,),0),14),""),"")</f>
        <v/>
      </c>
      <c r="M99" s="479" t="str">
        <f>IF(L99="","",INDEX(SETUP!$E$20:$E$122,(MATCH(INDEX(PMsheet!$D:$E,MATCH(A99,PMsheet!E:E,0),1),SETUP!$D$20:$D$122,0))))</f>
        <v/>
      </c>
      <c r="N99" s="496">
        <f>IF($O99="USD",_xlfn.IFNA(VLOOKUP(A99&amp;E99&amp;I99,PMsheet!J:K,2,0),0),(_xlfn.IFNA(VLOOKUP(A99&amp;E99&amp;I99,PMsheet!J:K,2,0),0)*'Master Data-C19RM'!$C$2))</f>
        <v>0</v>
      </c>
      <c r="O99" s="492" t="str">
        <f>IF(L99="", "",SETUP!$E$7)</f>
        <v/>
      </c>
      <c r="P99" s="444">
        <f>IF($O99="USD",_xlfn.IFNA(VLOOKUP($A99&amp;$E99&amp;$I99,PMsheet!$J:$K,2,0),0),(_xlfn.IFNA(VLOOKUP($A99&amp;$E99&amp;$I99,PMsheet!$J:$K,2,0),0)*'Master Data-C19RM'!$C$2))</f>
        <v>0</v>
      </c>
      <c r="Q99" s="441"/>
      <c r="R99" s="441"/>
      <c r="S99" s="441"/>
      <c r="T99" s="441"/>
      <c r="U99" s="481">
        <f t="shared" si="7"/>
        <v>0</v>
      </c>
      <c r="V99" s="483">
        <f>IF(SETUP!$E$7="USD",(U99*(IF(O99="USD",P99,(P99/'Master Data-C19RM'!$C$2)))),(U99*(IF(O99="EUR",P99,(P99*'Master Data-C19RM'!$C$2)))))</f>
        <v>0</v>
      </c>
      <c r="W99" s="444">
        <f>IF($O99="USD",_xlfn.IFNA(VLOOKUP($A99&amp;$E99&amp;$I99,PMsheet!$J:$K,2,0),0),(_xlfn.IFNA(VLOOKUP($A99&amp;$E99&amp;$I99,PMsheet!$J:$K,2,0),0)*'Master Data-C19RM'!$D$2))</f>
        <v>0</v>
      </c>
      <c r="X99" s="441"/>
      <c r="Y99" s="441"/>
      <c r="Z99" s="441"/>
      <c r="AA99" s="441"/>
      <c r="AB99" s="481">
        <f t="shared" si="1"/>
        <v>0</v>
      </c>
      <c r="AC99" s="483">
        <f>IF(SETUP!$E$7="USD",(AB99*(IF(O99="USD",W99,(W99/'Master Data-C19RM'!$D$2)))),(AB99*(IF(O99="EUR",W99,(W99*'Master Data-C19RM'!$D$2)))))</f>
        <v>0</v>
      </c>
      <c r="AD99" s="444">
        <f>IF($O99="USD",_xlfn.IFNA(VLOOKUP($A99&amp;$E99&amp;$I99,PMsheet!$J:$K,2,0),0),(_xlfn.IFNA(VLOOKUP($A99&amp;$E99&amp;$I99,PMsheet!$J:$K,2,0),0)*'Master Data-C19RM'!$E$2))</f>
        <v>0</v>
      </c>
      <c r="AE99" s="441"/>
      <c r="AF99" s="441"/>
      <c r="AG99" s="441"/>
      <c r="AH99" s="441"/>
      <c r="AI99" s="512">
        <f t="shared" si="8"/>
        <v>0</v>
      </c>
      <c r="AJ99" s="513">
        <f>IF(SETUP!$E$7="USD",(AI99*(IF(O99="USD",AD99,(AD99/'Master Data-C19RM'!$E$2)))),(AI99*(IF(O99="EUR",AD99,(AD99*'Master Data-C19RM'!$E$2)))))</f>
        <v>0</v>
      </c>
      <c r="AK99" s="444">
        <f>IF($O99="USD",_xlfn.IFNA(VLOOKUP($A99&amp;$E99&amp;$I99,PMsheet!$J:$K,2,0),0),(_xlfn.IFNA(VLOOKUP($A99&amp;$E99&amp;$I99,PMsheet!$J:$K,2,0),0)*'Master Data-C19RM'!$F$2))</f>
        <v>0</v>
      </c>
      <c r="AL99" s="441"/>
      <c r="AM99" s="441"/>
      <c r="AN99" s="441"/>
      <c r="AO99" s="441"/>
      <c r="AP99" s="481">
        <f t="shared" si="3"/>
        <v>0</v>
      </c>
      <c r="AQ99" s="483">
        <f>IF(SETUP!$E$7="USD",(AP99*(IF(O99="USD",AK99,(AK99/'Master Data-C19RM'!$F$2)))),(AP99*(IF(O99="EUR",AK99,(AK99*'Master Data-C19RM'!$F$2)))))</f>
        <v>0</v>
      </c>
      <c r="AR99" s="444">
        <f>IF($O99="USD",_xlfn.IFNA(VLOOKUP($A99&amp;$E99&amp;$I99,PMsheet!$J:$K,2,0),0),(_xlfn.IFNA(VLOOKUP($A99&amp;$E99&amp;$I99,PMsheet!$J:$K,2,0),0)*'Master Data-C19RM'!$G$2))</f>
        <v>0</v>
      </c>
      <c r="AS99" s="441"/>
      <c r="AT99" s="441"/>
      <c r="AU99" s="441"/>
      <c r="AV99" s="441"/>
      <c r="AW99" s="481">
        <f t="shared" si="9"/>
        <v>0</v>
      </c>
      <c r="AX99" s="483">
        <f>IF(SETUP!$E$7="USD",(AW99*(IF(O99="USD",AR99,(AR99/'Master Data-C19RM'!$G$2)))),(AW99*(IF(O99="EUR",AR99,(AR99*'Master Data-C19RM'!$G$2)))))</f>
        <v>0</v>
      </c>
      <c r="AY99" s="851"/>
      <c r="AZ99" s="851"/>
      <c r="BA99" s="851"/>
      <c r="BB99" s="851"/>
      <c r="BC99" s="851"/>
      <c r="BD99" s="851"/>
      <c r="BE99" s="852"/>
      <c r="BF99" s="481">
        <f>'C19RM 2021-Lab &amp; Other HPS'!$U99+'C19RM 2021-Lab &amp; Other HPS'!$AB99+AI99+'C19RM 2021-Lab &amp; Other HPS'!$AP99+'C19RM 2021-Lab &amp; Other HPS'!$AW99+BD99</f>
        <v>0</v>
      </c>
      <c r="BG99" s="481">
        <f>'C19RM 2021-Lab &amp; Other HPS'!$V99+'C19RM 2021-Lab &amp; Other HPS'!$AC99+'C19RM 2021-Lab &amp; Other HPS'!$AQ99+'C19RM 2021-Lab &amp; Other HPS'!$AJ99+AX99+BE99</f>
        <v>0</v>
      </c>
      <c r="BH99" s="500" t="str" cm="1">
        <f t="array" ref="BH99">IF(A99&lt;&gt;"",IFERROR(INDEX(PMtbl[[WKst]:[Unit of measure*]],MATCH($A$8&amp;$A99&amp;$E99&amp;$I99,INDEX(PMtbl[Sec]&amp;PMtbl[Category]&amp;PMtbl[Each]&amp;PMtbl[Packaging],0,),0),11),""),"")</f>
        <v/>
      </c>
      <c r="BI99" s="819"/>
      <c r="BJ99" s="502" t="str">
        <f>IFERROR(INDEX(SETUP!$C$19:$G$121,MATCH((INDEX(PMtbl[[WKst]:[Unit of measure*]],MATCH($A99&amp;$E99&amp;$I99,INDEX(PMtbl[Category]&amp;PMtbl[Each]&amp;PMtbl[Packaging],0,),0),3)),SETUP!$D$19:$D$121,0),5),"")</f>
        <v/>
      </c>
      <c r="BK99" s="438" t="str">
        <f>IFERROR(IF((INDEX(SETUP!$C$19:$G$121,MATCH((INDEX(PMtbl[[WKst]:[Unit of measure*]],MATCH($A99&amp;$E99&amp;$I99,INDEX(PMtbl[Category]&amp;PMtbl[Each]&amp;PMtbl[Packaging],0,),0),3)),SETUP!$D$19:$D$121,0),4))="Upfront",0,INDEX(SETUP!$C$19:$G$121,MATCH((INDEX(PMtbl[[WKst]:[Unit of measure*]],MATCH($A99&amp;$E99&amp;$I99,INDEX(PMtbl[Category]&amp;PMtbl[Each]&amp;PMtbl[Packaging],0,),0),3)),SETUP!$D$19:$D$121,0),5)),"")</f>
        <v/>
      </c>
      <c r="BL99" s="157" t="str" cm="1">
        <f t="array" ref="BL99">IF(A99&lt;&gt;"",IFERROR(INDEX(PMtbl[[WKst]:[Unit of measure*]],MATCH($A$8&amp;$A99&amp;$E99&amp;$I99,INDEX(PMtbl[Sec]&amp;PMtbl[Category]&amp;PMtbl[Each]&amp;PMtbl[Packaging],0,),0),11),""),"")</f>
        <v/>
      </c>
      <c r="BO99" s="12">
        <f>IF(N99="",0,IF(SETUP!$E$7="USD",((IF(O99="USD",P99,(P99/'Master Data-C19RM'!$C$2)))),((IF(O99="EUR",P99,(P99*'Master Data-C19RM'!$C$2))))))</f>
        <v>0</v>
      </c>
      <c r="BP99" s="12">
        <f>IF(N99="",0,IF(SETUP!$E$7="USD",((IF(O99="USD",W99,(W99/'Master Data-C19RM'!$D$2)))),((IF(O99="EUR",W99,(W99*'Master Data-C19RM'!$D$2))))))</f>
        <v>0</v>
      </c>
      <c r="BQ99">
        <f>IF(N99="",0,IF(SETUP!$E$7="USD",((IF(O99="USD",AD99,(AD99/'Master Data-C19RM'!$E$2)))),((IF(O99="EUR",AD99,(AD99*'Master Data-C19RM'!$E$2))))))</f>
        <v>0</v>
      </c>
      <c r="BR99">
        <f>IF(N99="",0,IF(SETUP!$E$7="USD",((IF(O99="USD",AK99,(AK99/'Master Data-C19RM'!$F$2)))),((IF(O99="EUR",AK99,(AK99*'Master Data-C19RM'!$F$2))))))</f>
        <v>0</v>
      </c>
      <c r="BS99">
        <f>IF(N99="",0,IF(SETUP!$E$7="USD",((IF(O99="USD",AR99,(AR99/'Master Data-C19RM'!$G$2)))),((IF(O99="EUR",AR99,(AR99*'Master Data-C19RM'!$G$2))))))</f>
        <v>0</v>
      </c>
      <c r="BT99">
        <f>IF(N99="",0,IF(SETUP!$E$7="USD",((IF(O99="USD",AY99,(AY99/'Master Data-C19RM'!$H$2)))),((IF(O99="EUR",AY99,(AY99*'Master Data-C19RM'!$H$2))))))</f>
        <v>0</v>
      </c>
      <c r="BU99" s="12">
        <f t="shared" si="5"/>
        <v>0</v>
      </c>
      <c r="BV99" s="142">
        <f t="shared" si="6"/>
        <v>0</v>
      </c>
    </row>
    <row r="100" spans="1:74" ht="14.5" customHeight="1" x14ac:dyDescent="0.35">
      <c r="A100" s="1192"/>
      <c r="B100" s="1192"/>
      <c r="C100" s="1192"/>
      <c r="D100" s="1192"/>
      <c r="E100" s="1173"/>
      <c r="F100" s="1173"/>
      <c r="G100" s="1173"/>
      <c r="H100" s="1173"/>
      <c r="I100" s="1173"/>
      <c r="J100" s="1173"/>
      <c r="K100" s="1173"/>
      <c r="L100" s="493" t="str" cm="1">
        <f t="array" ref="L100">IF(A100&lt;&gt;"",IFERROR(INDEX(PMtbl[[WKst]:[Unit of measure*]],MATCH($A$8&amp;$A100&amp;$E100&amp;$I100,INDEX(PMtbl[Sec]&amp;PMtbl[Category]&amp;PMtbl[Each]&amp;PMtbl[Packaging],0,),0),14),""),"")</f>
        <v/>
      </c>
      <c r="M100" s="480" t="str">
        <f>IF(L100="","",INDEX(SETUP!$E$20:$E$122,(MATCH(INDEX(PMsheet!$D:$E,MATCH(A100,PMsheet!E:E,0),1),SETUP!$D$20:$D$122,0))))</f>
        <v/>
      </c>
      <c r="N100" s="494">
        <f>IF($O100="USD",_xlfn.IFNA(VLOOKUP(A100&amp;E100&amp;I100,PMsheet!J:K,2,0),0),(_xlfn.IFNA(VLOOKUP(A100&amp;E100&amp;I100,PMsheet!J:K,2,0),0)*'Master Data-C19RM'!$C$2))</f>
        <v>0</v>
      </c>
      <c r="O100" s="495" t="str">
        <f>IF(L100="", "",SETUP!$E$7)</f>
        <v/>
      </c>
      <c r="P100" s="445">
        <f>IF($O100="USD",_xlfn.IFNA(VLOOKUP($A100&amp;$E100&amp;$I100,PMsheet!$J:$K,2,0),0),(_xlfn.IFNA(VLOOKUP($A100&amp;$E100&amp;$I100,PMsheet!$J:$K,2,0),0)*'Master Data-C19RM'!$C$2))</f>
        <v>0</v>
      </c>
      <c r="Q100" s="440"/>
      <c r="R100" s="440"/>
      <c r="S100" s="440"/>
      <c r="T100" s="440"/>
      <c r="U100" s="482">
        <f t="shared" si="7"/>
        <v>0</v>
      </c>
      <c r="V100" s="484">
        <f>IF(SETUP!$E$7="USD",(U100*(IF(O100="USD",P100,(P100/'Master Data-C19RM'!$C$2)))),(U100*(IF(O100="EUR",P100,(P100*'Master Data-C19RM'!$C$2)))))</f>
        <v>0</v>
      </c>
      <c r="W100" s="445">
        <f>IF($O100="USD",_xlfn.IFNA(VLOOKUP($A100&amp;$E100&amp;$I100,PMsheet!$J:$K,2,0),0),(_xlfn.IFNA(VLOOKUP($A100&amp;$E100&amp;$I100,PMsheet!$J:$K,2,0),0)*'Master Data-C19RM'!$D$2))</f>
        <v>0</v>
      </c>
      <c r="X100" s="440"/>
      <c r="Y100" s="440"/>
      <c r="Z100" s="440"/>
      <c r="AA100" s="440"/>
      <c r="AB100" s="482">
        <f t="shared" si="1"/>
        <v>0</v>
      </c>
      <c r="AC100" s="484">
        <f>IF(SETUP!$E$7="USD",(AB100*(IF(O100="USD",W100,(W100/'Master Data-C19RM'!$D$2)))),(AB100*(IF(O100="EUR",W100,(W100*'Master Data-C19RM'!$D$2)))))</f>
        <v>0</v>
      </c>
      <c r="AD100" s="445">
        <f>IF($O100="USD",_xlfn.IFNA(VLOOKUP($A100&amp;$E100&amp;$I100,PMsheet!$J:$K,2,0),0),(_xlfn.IFNA(VLOOKUP($A100&amp;$E100&amp;$I100,PMsheet!$J:$K,2,0),0)*'Master Data-C19RM'!$E$2))</f>
        <v>0</v>
      </c>
      <c r="AE100" s="440"/>
      <c r="AF100" s="440"/>
      <c r="AG100" s="440"/>
      <c r="AH100" s="440"/>
      <c r="AI100" s="514">
        <f t="shared" si="8"/>
        <v>0</v>
      </c>
      <c r="AJ100" s="515">
        <f>IF(SETUP!$E$7="USD",(AI100*(IF(O100="USD",AD100,(AD100/'Master Data-C19RM'!$E$2)))),(AI100*(IF(O100="EUR",AD100,(AD100*'Master Data-C19RM'!$E$2)))))</f>
        <v>0</v>
      </c>
      <c r="AK100" s="445">
        <f>IF($O100="USD",_xlfn.IFNA(VLOOKUP($A100&amp;$E100&amp;$I100,PMsheet!$J:$K,2,0),0),(_xlfn.IFNA(VLOOKUP($A100&amp;$E100&amp;$I100,PMsheet!$J:$K,2,0),0)*'Master Data-C19RM'!$F$2))</f>
        <v>0</v>
      </c>
      <c r="AL100" s="440"/>
      <c r="AM100" s="440"/>
      <c r="AN100" s="440"/>
      <c r="AO100" s="440"/>
      <c r="AP100" s="482">
        <f t="shared" si="3"/>
        <v>0</v>
      </c>
      <c r="AQ100" s="484">
        <f>IF(SETUP!$E$7="USD",(AP100*(IF(O100="USD",AK100,(AK100/'Master Data-C19RM'!$F$2)))),(AP100*(IF(O100="EUR",AK100,(AK100*'Master Data-C19RM'!$F$2)))))</f>
        <v>0</v>
      </c>
      <c r="AR100" s="445">
        <f>IF($O100="USD",_xlfn.IFNA(VLOOKUP($A100&amp;$E100&amp;$I100,PMsheet!$J:$K,2,0),0),(_xlfn.IFNA(VLOOKUP($A100&amp;$E100&amp;$I100,PMsheet!$J:$K,2,0),0)*'Master Data-C19RM'!$G$2))</f>
        <v>0</v>
      </c>
      <c r="AS100" s="440"/>
      <c r="AT100" s="440"/>
      <c r="AU100" s="440"/>
      <c r="AV100" s="440"/>
      <c r="AW100" s="482">
        <f t="shared" si="9"/>
        <v>0</v>
      </c>
      <c r="AX100" s="484">
        <f>IF(SETUP!$E$7="USD",(AW100*(IF(O100="USD",AR100,(AR100/'Master Data-C19RM'!$G$2)))),(AW100*(IF(O100="EUR",AR100,(AR100*'Master Data-C19RM'!$G$2)))))</f>
        <v>0</v>
      </c>
      <c r="AY100" s="843"/>
      <c r="AZ100" s="843"/>
      <c r="BA100" s="843"/>
      <c r="BB100" s="843"/>
      <c r="BC100" s="843"/>
      <c r="BD100" s="843"/>
      <c r="BE100" s="844"/>
      <c r="BF100" s="482">
        <f>'C19RM 2021-Lab &amp; Other HPS'!$U100+'C19RM 2021-Lab &amp; Other HPS'!$AB100+AI100+'C19RM 2021-Lab &amp; Other HPS'!$AP100+'C19RM 2021-Lab &amp; Other HPS'!$AW100+BD100</f>
        <v>0</v>
      </c>
      <c r="BG100" s="482">
        <f>'C19RM 2021-Lab &amp; Other HPS'!$V100+'C19RM 2021-Lab &amp; Other HPS'!$AC100+'C19RM 2021-Lab &amp; Other HPS'!$AQ100+'C19RM 2021-Lab &amp; Other HPS'!$AJ100+AX100+BE100</f>
        <v>0</v>
      </c>
      <c r="BH100" s="499" t="str" cm="1">
        <f t="array" ref="BH100">IF(A100&lt;&gt;"",IFERROR(INDEX(PMtbl[[WKst]:[Unit of measure*]],MATCH($A$8&amp;$A100&amp;$E100&amp;$I100,INDEX(PMtbl[Sec]&amp;PMtbl[Category]&amp;PMtbl[Each]&amp;PMtbl[Packaging],0,),0),11),""),"")</f>
        <v/>
      </c>
      <c r="BI100" s="818"/>
      <c r="BJ100" s="503" t="str">
        <f>IFERROR(INDEX(SETUP!$C$19:$G$121,MATCH((INDEX(PMtbl[[WKst]:[Unit of measure*]],MATCH($A100&amp;$E100&amp;$I100,INDEX(PMtbl[Category]&amp;PMtbl[Each]&amp;PMtbl[Packaging],0,),0),3)),SETUP!$D$19:$D$121,0),5),"")</f>
        <v/>
      </c>
      <c r="BK100" s="439" t="str">
        <f>IFERROR(IF((INDEX(SETUP!$C$19:$G$121,MATCH((INDEX(PMtbl[[WKst]:[Unit of measure*]],MATCH($A100&amp;$E100&amp;$I100,INDEX(PMtbl[Category]&amp;PMtbl[Each]&amp;PMtbl[Packaging],0,),0),3)),SETUP!$D$19:$D$121,0),4))="Upfront",0,INDEX(SETUP!$C$19:$G$121,MATCH((INDEX(PMtbl[[WKst]:[Unit of measure*]],MATCH($A100&amp;$E100&amp;$I100,INDEX(PMtbl[Category]&amp;PMtbl[Each]&amp;PMtbl[Packaging],0,),0),3)),SETUP!$D$19:$D$121,0),5)),"")</f>
        <v/>
      </c>
      <c r="BL100" s="158" t="str" cm="1">
        <f t="array" ref="BL100">IF(A100&lt;&gt;"",IFERROR(INDEX(PMtbl[[WKst]:[Unit of measure*]],MATCH($A$8&amp;$A100&amp;$E100&amp;$I100,INDEX(PMtbl[Sec]&amp;PMtbl[Category]&amp;PMtbl[Each]&amp;PMtbl[Packaging],0,),0),11),""),"")</f>
        <v/>
      </c>
      <c r="BO100" s="12">
        <f>IF(N100="",0,IF(SETUP!$E$7="USD",((IF(O100="USD",P100,(P100/'Master Data-C19RM'!$C$2)))),((IF(O100="EUR",P100,(P100*'Master Data-C19RM'!$C$2))))))</f>
        <v>0</v>
      </c>
      <c r="BP100" s="12">
        <f>IF(N100="",0,IF(SETUP!$E$7="USD",((IF(O100="USD",W100,(W100/'Master Data-C19RM'!$D$2)))),((IF(O100="EUR",W100,(W100*'Master Data-C19RM'!$D$2))))))</f>
        <v>0</v>
      </c>
      <c r="BQ100">
        <f>IF(N100="",0,IF(SETUP!$E$7="USD",((IF(O100="USD",AD100,(AD100/'Master Data-C19RM'!$E$2)))),((IF(O100="EUR",AD100,(AD100*'Master Data-C19RM'!$E$2))))))</f>
        <v>0</v>
      </c>
      <c r="BR100">
        <f>IF(N100="",0,IF(SETUP!$E$7="USD",((IF(O100="USD",AK100,(AK100/'Master Data-C19RM'!$F$2)))),((IF(O100="EUR",AK100,(AK100*'Master Data-C19RM'!$F$2))))))</f>
        <v>0</v>
      </c>
      <c r="BS100">
        <f>IF(N100="",0,IF(SETUP!$E$7="USD",((IF(O100="USD",AR100,(AR100/'Master Data-C19RM'!$G$2)))),((IF(O100="EUR",AR100,(AR100*'Master Data-C19RM'!$G$2))))))</f>
        <v>0</v>
      </c>
      <c r="BT100">
        <f>IF(N100="",0,IF(SETUP!$E$7="USD",((IF(O100="USD",AY100,(AY100/'Master Data-C19RM'!$H$2)))),((IF(O100="EUR",AY100,(AY100*'Master Data-C19RM'!$H$2))))))</f>
        <v>0</v>
      </c>
      <c r="BU100" s="12">
        <f t="shared" si="5"/>
        <v>0</v>
      </c>
      <c r="BV100" s="142">
        <f t="shared" si="6"/>
        <v>0</v>
      </c>
    </row>
    <row r="101" spans="1:74" ht="14.5" customHeight="1" x14ac:dyDescent="0.35">
      <c r="A101" s="1200"/>
      <c r="B101" s="1201"/>
      <c r="C101" s="1201"/>
      <c r="D101" s="1202"/>
      <c r="E101" s="1216"/>
      <c r="F101" s="1217"/>
      <c r="G101" s="1217"/>
      <c r="H101" s="1218"/>
      <c r="I101" s="1216"/>
      <c r="J101" s="1217"/>
      <c r="K101" s="1218"/>
      <c r="L101" s="490" t="str" cm="1">
        <f t="array" ref="L101">IF(A101&lt;&gt;"",IFERROR(INDEX(PMtbl[[WKst]:[Unit of measure*]],MATCH($A$8&amp;$A101&amp;$E101&amp;$I101,INDEX(PMtbl[Sec]&amp;PMtbl[Category]&amp;PMtbl[Each]&amp;PMtbl[Packaging],0,),0),14),""),"")</f>
        <v/>
      </c>
      <c r="M101" s="479" t="str">
        <f>IF(L101="","",INDEX(SETUP!$E$20:$E$122,(MATCH(INDEX(PMsheet!$D:$E,MATCH(A101,PMsheet!E:E,0),1),SETUP!$D$20:$D$122,0))))</f>
        <v/>
      </c>
      <c r="N101" s="496">
        <f>IF($O101="USD",_xlfn.IFNA(VLOOKUP(A101&amp;E101&amp;I101,PMsheet!J:K,2,0),0),(_xlfn.IFNA(VLOOKUP(A101&amp;E101&amp;I101,PMsheet!J:K,2,0),0)*'Master Data-C19RM'!$C$2))</f>
        <v>0</v>
      </c>
      <c r="O101" s="492" t="str">
        <f>IF(L101="", "",SETUP!$E$7)</f>
        <v/>
      </c>
      <c r="P101" s="444">
        <f>IF($O101="USD",_xlfn.IFNA(VLOOKUP($A101&amp;$E101&amp;$I101,PMsheet!$J:$K,2,0),0),(_xlfn.IFNA(VLOOKUP($A101&amp;$E101&amp;$I101,PMsheet!$J:$K,2,0),0)*'Master Data-C19RM'!$C$2))</f>
        <v>0</v>
      </c>
      <c r="Q101" s="441"/>
      <c r="R101" s="441"/>
      <c r="S101" s="441"/>
      <c r="T101" s="441"/>
      <c r="U101" s="481">
        <f t="shared" si="7"/>
        <v>0</v>
      </c>
      <c r="V101" s="483">
        <f>IF(SETUP!$E$7="USD",(U101*(IF(O101="USD",P101,(P101/'Master Data-C19RM'!$C$2)))),(U101*(IF(O101="EUR",P101,(P101*'Master Data-C19RM'!$C$2)))))</f>
        <v>0</v>
      </c>
      <c r="W101" s="444">
        <f>IF($O101="USD",_xlfn.IFNA(VLOOKUP($A101&amp;$E101&amp;$I101,PMsheet!$J:$K,2,0),0),(_xlfn.IFNA(VLOOKUP($A101&amp;$E101&amp;$I101,PMsheet!$J:$K,2,0),0)*'Master Data-C19RM'!$D$2))</f>
        <v>0</v>
      </c>
      <c r="X101" s="441"/>
      <c r="Y101" s="441"/>
      <c r="Z101" s="441"/>
      <c r="AA101" s="441"/>
      <c r="AB101" s="481">
        <f t="shared" si="1"/>
        <v>0</v>
      </c>
      <c r="AC101" s="483">
        <f>IF(SETUP!$E$7="USD",(AB101*(IF(O101="USD",W101,(W101/'Master Data-C19RM'!$D$2)))),(AB101*(IF(O101="EUR",W101,(W101*'Master Data-C19RM'!$D$2)))))</f>
        <v>0</v>
      </c>
      <c r="AD101" s="444">
        <f>IF($O101="USD",_xlfn.IFNA(VLOOKUP($A101&amp;$E101&amp;$I101,PMsheet!$J:$K,2,0),0),(_xlfn.IFNA(VLOOKUP($A101&amp;$E101&amp;$I101,PMsheet!$J:$K,2,0),0)*'Master Data-C19RM'!$E$2))</f>
        <v>0</v>
      </c>
      <c r="AE101" s="441"/>
      <c r="AF101" s="441"/>
      <c r="AG101" s="441"/>
      <c r="AH101" s="441"/>
      <c r="AI101" s="512">
        <f t="shared" si="8"/>
        <v>0</v>
      </c>
      <c r="AJ101" s="513">
        <f>IF(SETUP!$E$7="USD",(AI101*(IF(O101="USD",AD101,(AD101/'Master Data-C19RM'!$E$2)))),(AI101*(IF(O101="EUR",AD101,(AD101*'Master Data-C19RM'!$E$2)))))</f>
        <v>0</v>
      </c>
      <c r="AK101" s="444">
        <f>IF($O101="USD",_xlfn.IFNA(VLOOKUP($A101&amp;$E101&amp;$I101,PMsheet!$J:$K,2,0),0),(_xlfn.IFNA(VLOOKUP($A101&amp;$E101&amp;$I101,PMsheet!$J:$K,2,0),0)*'Master Data-C19RM'!$F$2))</f>
        <v>0</v>
      </c>
      <c r="AL101" s="441"/>
      <c r="AM101" s="441"/>
      <c r="AN101" s="441"/>
      <c r="AO101" s="441"/>
      <c r="AP101" s="481">
        <f t="shared" si="3"/>
        <v>0</v>
      </c>
      <c r="AQ101" s="483">
        <f>IF(SETUP!$E$7="USD",(AP101*(IF(O101="USD",AK101,(AK101/'Master Data-C19RM'!$F$2)))),(AP101*(IF(O101="EUR",AK101,(AK101*'Master Data-C19RM'!$F$2)))))</f>
        <v>0</v>
      </c>
      <c r="AR101" s="444">
        <f>IF($O101="USD",_xlfn.IFNA(VLOOKUP($A101&amp;$E101&amp;$I101,PMsheet!$J:$K,2,0),0),(_xlfn.IFNA(VLOOKUP($A101&amp;$E101&amp;$I101,PMsheet!$J:$K,2,0),0)*'Master Data-C19RM'!$G$2))</f>
        <v>0</v>
      </c>
      <c r="AS101" s="441"/>
      <c r="AT101" s="441"/>
      <c r="AU101" s="441"/>
      <c r="AV101" s="441"/>
      <c r="AW101" s="481">
        <f t="shared" si="9"/>
        <v>0</v>
      </c>
      <c r="AX101" s="483">
        <f>IF(SETUP!$E$7="USD",(AW101*(IF(O101="USD",AR101,(AR101/'Master Data-C19RM'!$G$2)))),(AW101*(IF(O101="EUR",AR101,(AR101*'Master Data-C19RM'!$G$2)))))</f>
        <v>0</v>
      </c>
      <c r="AY101" s="851"/>
      <c r="AZ101" s="851"/>
      <c r="BA101" s="851"/>
      <c r="BB101" s="851"/>
      <c r="BC101" s="851"/>
      <c r="BD101" s="851"/>
      <c r="BE101" s="852"/>
      <c r="BF101" s="481">
        <f>'C19RM 2021-Lab &amp; Other HPS'!$U101+'C19RM 2021-Lab &amp; Other HPS'!$AB101+AI101+'C19RM 2021-Lab &amp; Other HPS'!$AP101+'C19RM 2021-Lab &amp; Other HPS'!$AW101+BD101</f>
        <v>0</v>
      </c>
      <c r="BG101" s="481">
        <f>'C19RM 2021-Lab &amp; Other HPS'!$V101+'C19RM 2021-Lab &amp; Other HPS'!$AC101+'C19RM 2021-Lab &amp; Other HPS'!$AQ101+'C19RM 2021-Lab &amp; Other HPS'!$AJ101+AX101+BE101</f>
        <v>0</v>
      </c>
      <c r="BH101" s="500" t="str" cm="1">
        <f t="array" ref="BH101">IF(A101&lt;&gt;"",IFERROR(INDEX(PMtbl[[WKst]:[Unit of measure*]],MATCH($A$8&amp;$A101&amp;$E101&amp;$I101,INDEX(PMtbl[Sec]&amp;PMtbl[Category]&amp;PMtbl[Each]&amp;PMtbl[Packaging],0,),0),11),""),"")</f>
        <v/>
      </c>
      <c r="BI101" s="819"/>
      <c r="BJ101" s="502" t="str">
        <f>IFERROR(INDEX(SETUP!$C$19:$G$121,MATCH((INDEX(PMtbl[[WKst]:[Unit of measure*]],MATCH($A101&amp;$E101&amp;$I101,INDEX(PMtbl[Category]&amp;PMtbl[Each]&amp;PMtbl[Packaging],0,),0),3)),SETUP!$D$19:$D$121,0),5),"")</f>
        <v/>
      </c>
      <c r="BK101" s="438" t="str">
        <f>IFERROR(IF((INDEX(SETUP!$C$19:$G$121,MATCH((INDEX(PMtbl[[WKst]:[Unit of measure*]],MATCH($A101&amp;$E101&amp;$I101,INDEX(PMtbl[Category]&amp;PMtbl[Each]&amp;PMtbl[Packaging],0,),0),3)),SETUP!$D$19:$D$121,0),4))="Upfront",0,INDEX(SETUP!$C$19:$G$121,MATCH((INDEX(PMtbl[[WKst]:[Unit of measure*]],MATCH($A101&amp;$E101&amp;$I101,INDEX(PMtbl[Category]&amp;PMtbl[Each]&amp;PMtbl[Packaging],0,),0),3)),SETUP!$D$19:$D$121,0),5)),"")</f>
        <v/>
      </c>
      <c r="BL101" s="157" t="str" cm="1">
        <f t="array" ref="BL101">IF(A101&lt;&gt;"",IFERROR(INDEX(PMtbl[[WKst]:[Unit of measure*]],MATCH($A$8&amp;$A101&amp;$E101&amp;$I101,INDEX(PMtbl[Sec]&amp;PMtbl[Category]&amp;PMtbl[Each]&amp;PMtbl[Packaging],0,),0),11),""),"")</f>
        <v/>
      </c>
      <c r="BO101" s="12">
        <f>IF(N101="",0,IF(SETUP!$E$7="USD",((IF(O101="USD",P101,(P101/'Master Data-C19RM'!$C$2)))),((IF(O101="EUR",P101,(P101*'Master Data-C19RM'!$C$2))))))</f>
        <v>0</v>
      </c>
      <c r="BP101" s="12">
        <f>IF(N101="",0,IF(SETUP!$E$7="USD",((IF(O101="USD",W101,(W101/'Master Data-C19RM'!$D$2)))),((IF(O101="EUR",W101,(W101*'Master Data-C19RM'!$D$2))))))</f>
        <v>0</v>
      </c>
      <c r="BQ101">
        <f>IF(N101="",0,IF(SETUP!$E$7="USD",((IF(O101="USD",AD101,(AD101/'Master Data-C19RM'!$E$2)))),((IF(O101="EUR",AD101,(AD101*'Master Data-C19RM'!$E$2))))))</f>
        <v>0</v>
      </c>
      <c r="BR101">
        <f>IF(N101="",0,IF(SETUP!$E$7="USD",((IF(O101="USD",AK101,(AK101/'Master Data-C19RM'!$F$2)))),((IF(O101="EUR",AK101,(AK101*'Master Data-C19RM'!$F$2))))))</f>
        <v>0</v>
      </c>
      <c r="BS101">
        <f>IF(N101="",0,IF(SETUP!$E$7="USD",((IF(O101="USD",AR101,(AR101/'Master Data-C19RM'!$G$2)))),((IF(O101="EUR",AR101,(AR101*'Master Data-C19RM'!$G$2))))))</f>
        <v>0</v>
      </c>
      <c r="BT101">
        <f>IF(N101="",0,IF(SETUP!$E$7="USD",((IF(O101="USD",AY101,(AY101/'Master Data-C19RM'!$H$2)))),((IF(O101="EUR",AY101,(AY101*'Master Data-C19RM'!$H$2))))))</f>
        <v>0</v>
      </c>
      <c r="BU101" s="12">
        <f t="shared" si="5"/>
        <v>0</v>
      </c>
      <c r="BV101" s="142">
        <f t="shared" si="6"/>
        <v>0</v>
      </c>
    </row>
    <row r="102" spans="1:74" ht="14.5" customHeight="1" x14ac:dyDescent="0.35">
      <c r="A102" s="1192"/>
      <c r="B102" s="1192"/>
      <c r="C102" s="1192"/>
      <c r="D102" s="1192"/>
      <c r="E102" s="1173"/>
      <c r="F102" s="1173"/>
      <c r="G102" s="1173"/>
      <c r="H102" s="1173"/>
      <c r="I102" s="1173"/>
      <c r="J102" s="1173"/>
      <c r="K102" s="1173"/>
      <c r="L102" s="493" t="str" cm="1">
        <f t="array" ref="L102">IF(A102&lt;&gt;"",IFERROR(INDEX(PMtbl[[WKst]:[Unit of measure*]],MATCH($A$8&amp;$A102&amp;$E102&amp;$I102,INDEX(PMtbl[Sec]&amp;PMtbl[Category]&amp;PMtbl[Each]&amp;PMtbl[Packaging],0,),0),14),""),"")</f>
        <v/>
      </c>
      <c r="M102" s="480" t="str">
        <f>IF(L102="","",INDEX(SETUP!$E$20:$E$122,(MATCH(INDEX(PMsheet!$D:$E,MATCH(A102,PMsheet!E:E,0),1),SETUP!$D$20:$D$122,0))))</f>
        <v/>
      </c>
      <c r="N102" s="494">
        <f>IF($O102="USD",_xlfn.IFNA(VLOOKUP(A102&amp;E102&amp;I102,PMsheet!J:K,2,0),0),(_xlfn.IFNA(VLOOKUP(A102&amp;E102&amp;I102,PMsheet!J:K,2,0),0)*'Master Data-C19RM'!$C$2))</f>
        <v>0</v>
      </c>
      <c r="O102" s="495" t="str">
        <f>IF(L102="", "",SETUP!$E$7)</f>
        <v/>
      </c>
      <c r="P102" s="445">
        <f>IF($O102="USD",_xlfn.IFNA(VLOOKUP($A102&amp;$E102&amp;$I102,PMsheet!$J:$K,2,0),0),(_xlfn.IFNA(VLOOKUP($A102&amp;$E102&amp;$I102,PMsheet!$J:$K,2,0),0)*'Master Data-C19RM'!$C$2))</f>
        <v>0</v>
      </c>
      <c r="Q102" s="440"/>
      <c r="R102" s="440"/>
      <c r="S102" s="440"/>
      <c r="T102" s="440"/>
      <c r="U102" s="482">
        <f t="shared" si="7"/>
        <v>0</v>
      </c>
      <c r="V102" s="484">
        <f>IF(SETUP!$E$7="USD",(U102*(IF(O102="USD",P102,(P102/'Master Data-C19RM'!$C$2)))),(U102*(IF(O102="EUR",P102,(P102*'Master Data-C19RM'!$C$2)))))</f>
        <v>0</v>
      </c>
      <c r="W102" s="445">
        <f>IF($O102="USD",_xlfn.IFNA(VLOOKUP($A102&amp;$E102&amp;$I102,PMsheet!$J:$K,2,0),0),(_xlfn.IFNA(VLOOKUP($A102&amp;$E102&amp;$I102,PMsheet!$J:$K,2,0),0)*'Master Data-C19RM'!$D$2))</f>
        <v>0</v>
      </c>
      <c r="X102" s="440"/>
      <c r="Y102" s="440"/>
      <c r="Z102" s="440"/>
      <c r="AA102" s="440"/>
      <c r="AB102" s="482">
        <f t="shared" si="1"/>
        <v>0</v>
      </c>
      <c r="AC102" s="484">
        <f>IF(SETUP!$E$7="USD",(AB102*(IF(O102="USD",W102,(W102/'Master Data-C19RM'!$D$2)))),(AB102*(IF(O102="EUR",W102,(W102*'Master Data-C19RM'!$D$2)))))</f>
        <v>0</v>
      </c>
      <c r="AD102" s="445">
        <f>IF($O102="USD",_xlfn.IFNA(VLOOKUP($A102&amp;$E102&amp;$I102,PMsheet!$J:$K,2,0),0),(_xlfn.IFNA(VLOOKUP($A102&amp;$E102&amp;$I102,PMsheet!$J:$K,2,0),0)*'Master Data-C19RM'!$E$2))</f>
        <v>0</v>
      </c>
      <c r="AE102" s="440"/>
      <c r="AF102" s="440"/>
      <c r="AG102" s="440"/>
      <c r="AH102" s="440"/>
      <c r="AI102" s="514">
        <f t="shared" si="8"/>
        <v>0</v>
      </c>
      <c r="AJ102" s="515">
        <f>IF(SETUP!$E$7="USD",(AI102*(IF(O102="USD",AD102,(AD102/'Master Data-C19RM'!$E$2)))),(AI102*(IF(O102="EUR",AD102,(AD102*'Master Data-C19RM'!$E$2)))))</f>
        <v>0</v>
      </c>
      <c r="AK102" s="445">
        <f>IF($O102="USD",_xlfn.IFNA(VLOOKUP($A102&amp;$E102&amp;$I102,PMsheet!$J:$K,2,0),0),(_xlfn.IFNA(VLOOKUP($A102&amp;$E102&amp;$I102,PMsheet!$J:$K,2,0),0)*'Master Data-C19RM'!$F$2))</f>
        <v>0</v>
      </c>
      <c r="AL102" s="440"/>
      <c r="AM102" s="440"/>
      <c r="AN102" s="440"/>
      <c r="AO102" s="440"/>
      <c r="AP102" s="482">
        <f t="shared" si="3"/>
        <v>0</v>
      </c>
      <c r="AQ102" s="484">
        <f>IF(SETUP!$E$7="USD",(AP102*(IF(O102="USD",AK102,(AK102/'Master Data-C19RM'!$F$2)))),(AP102*(IF(O102="EUR",AK102,(AK102*'Master Data-C19RM'!$F$2)))))</f>
        <v>0</v>
      </c>
      <c r="AR102" s="445">
        <f>IF($O102="USD",_xlfn.IFNA(VLOOKUP($A102&amp;$E102&amp;$I102,PMsheet!$J:$K,2,0),0),(_xlfn.IFNA(VLOOKUP($A102&amp;$E102&amp;$I102,PMsheet!$J:$K,2,0),0)*'Master Data-C19RM'!$G$2))</f>
        <v>0</v>
      </c>
      <c r="AS102" s="440"/>
      <c r="AT102" s="440"/>
      <c r="AU102" s="440"/>
      <c r="AV102" s="440"/>
      <c r="AW102" s="482">
        <f t="shared" si="9"/>
        <v>0</v>
      </c>
      <c r="AX102" s="484">
        <f>IF(SETUP!$E$7="USD",(AW102*(IF(O102="USD",AR102,(AR102/'Master Data-C19RM'!$G$2)))),(AW102*(IF(O102="EUR",AR102,(AR102*'Master Data-C19RM'!$G$2)))))</f>
        <v>0</v>
      </c>
      <c r="AY102" s="843"/>
      <c r="AZ102" s="843"/>
      <c r="BA102" s="843"/>
      <c r="BB102" s="843"/>
      <c r="BC102" s="843"/>
      <c r="BD102" s="843"/>
      <c r="BE102" s="844"/>
      <c r="BF102" s="482">
        <f>'C19RM 2021-Lab &amp; Other HPS'!$U102+'C19RM 2021-Lab &amp; Other HPS'!$AB102+AI102+'C19RM 2021-Lab &amp; Other HPS'!$AP102+'C19RM 2021-Lab &amp; Other HPS'!$AW102+BD102</f>
        <v>0</v>
      </c>
      <c r="BG102" s="482">
        <f>'C19RM 2021-Lab &amp; Other HPS'!$V102+'C19RM 2021-Lab &amp; Other HPS'!$AC102+'C19RM 2021-Lab &amp; Other HPS'!$AQ102+'C19RM 2021-Lab &amp; Other HPS'!$AJ102+AX102+BE102</f>
        <v>0</v>
      </c>
      <c r="BH102" s="499" t="str" cm="1">
        <f t="array" ref="BH102">IF(A102&lt;&gt;"",IFERROR(INDEX(PMtbl[[WKst]:[Unit of measure*]],MATCH($A$8&amp;$A102&amp;$E102&amp;$I102,INDEX(PMtbl[Sec]&amp;PMtbl[Category]&amp;PMtbl[Each]&amp;PMtbl[Packaging],0,),0),11),""),"")</f>
        <v/>
      </c>
      <c r="BI102" s="818"/>
      <c r="BJ102" s="503" t="str">
        <f>IFERROR(INDEX(SETUP!$C$19:$G$121,MATCH((INDEX(PMtbl[[WKst]:[Unit of measure*]],MATCH($A102&amp;$E102&amp;$I102,INDEX(PMtbl[Category]&amp;PMtbl[Each]&amp;PMtbl[Packaging],0,),0),3)),SETUP!$D$19:$D$121,0),5),"")</f>
        <v/>
      </c>
      <c r="BK102" s="439" t="str">
        <f>IFERROR(IF((INDEX(SETUP!$C$19:$G$121,MATCH((INDEX(PMtbl[[WKst]:[Unit of measure*]],MATCH($A102&amp;$E102&amp;$I102,INDEX(PMtbl[Category]&amp;PMtbl[Each]&amp;PMtbl[Packaging],0,),0),3)),SETUP!$D$19:$D$121,0),4))="Upfront",0,INDEX(SETUP!$C$19:$G$121,MATCH((INDEX(PMtbl[[WKst]:[Unit of measure*]],MATCH($A102&amp;$E102&amp;$I102,INDEX(PMtbl[Category]&amp;PMtbl[Each]&amp;PMtbl[Packaging],0,),0),3)),SETUP!$D$19:$D$121,0),5)),"")</f>
        <v/>
      </c>
      <c r="BL102" s="158" t="str" cm="1">
        <f t="array" ref="BL102">IF(A102&lt;&gt;"",IFERROR(INDEX(PMtbl[[WKst]:[Unit of measure*]],MATCH($A$8&amp;$A102&amp;$E102&amp;$I102,INDEX(PMtbl[Sec]&amp;PMtbl[Category]&amp;PMtbl[Each]&amp;PMtbl[Packaging],0,),0),11),""),"")</f>
        <v/>
      </c>
      <c r="BO102" s="12">
        <f>IF(N102="",0,IF(SETUP!$E$7="USD",((IF(O102="USD",P102,(P102/'Master Data-C19RM'!$C$2)))),((IF(O102="EUR",P102,(P102*'Master Data-C19RM'!$C$2))))))</f>
        <v>0</v>
      </c>
      <c r="BP102" s="12">
        <f>IF(N102="",0,IF(SETUP!$E$7="USD",((IF(O102="USD",W102,(W102/'Master Data-C19RM'!$D$2)))),((IF(O102="EUR",W102,(W102*'Master Data-C19RM'!$D$2))))))</f>
        <v>0</v>
      </c>
      <c r="BQ102">
        <f>IF(N102="",0,IF(SETUP!$E$7="USD",((IF(O102="USD",AD102,(AD102/'Master Data-C19RM'!$E$2)))),((IF(O102="EUR",AD102,(AD102*'Master Data-C19RM'!$E$2))))))</f>
        <v>0</v>
      </c>
      <c r="BR102">
        <f>IF(N102="",0,IF(SETUP!$E$7="USD",((IF(O102="USD",AK102,(AK102/'Master Data-C19RM'!$F$2)))),((IF(O102="EUR",AK102,(AK102*'Master Data-C19RM'!$F$2))))))</f>
        <v>0</v>
      </c>
      <c r="BS102">
        <f>IF(N102="",0,IF(SETUP!$E$7="USD",((IF(O102="USD",AR102,(AR102/'Master Data-C19RM'!$G$2)))),((IF(O102="EUR",AR102,(AR102*'Master Data-C19RM'!$G$2))))))</f>
        <v>0</v>
      </c>
      <c r="BT102">
        <f>IF(N102="",0,IF(SETUP!$E$7="USD",((IF(O102="USD",AY102,(AY102/'Master Data-C19RM'!$H$2)))),((IF(O102="EUR",AY102,(AY102*'Master Data-C19RM'!$H$2))))))</f>
        <v>0</v>
      </c>
      <c r="BU102" s="12">
        <f t="shared" si="5"/>
        <v>0</v>
      </c>
      <c r="BV102" s="142">
        <f t="shared" si="6"/>
        <v>0</v>
      </c>
    </row>
    <row r="103" spans="1:74" ht="14.5" customHeight="1" x14ac:dyDescent="0.35">
      <c r="A103" s="1200"/>
      <c r="B103" s="1201"/>
      <c r="C103" s="1201"/>
      <c r="D103" s="1202"/>
      <c r="E103" s="1216"/>
      <c r="F103" s="1217"/>
      <c r="G103" s="1217"/>
      <c r="H103" s="1218"/>
      <c r="I103" s="1216"/>
      <c r="J103" s="1217"/>
      <c r="K103" s="1218"/>
      <c r="L103" s="490" t="str" cm="1">
        <f t="array" ref="L103">IF(A103&lt;&gt;"",IFERROR(INDEX(PMtbl[[WKst]:[Unit of measure*]],MATCH($A$8&amp;$A103&amp;$E103&amp;$I103,INDEX(PMtbl[Sec]&amp;PMtbl[Category]&amp;PMtbl[Each]&amp;PMtbl[Packaging],0,),0),14),""),"")</f>
        <v/>
      </c>
      <c r="M103" s="479" t="str">
        <f>IF(L103="","",INDEX(SETUP!$E$20:$E$122,(MATCH(INDEX(PMsheet!$D:$E,MATCH(A103,PMsheet!E:E,0),1),SETUP!$D$20:$D$122,0))))</f>
        <v/>
      </c>
      <c r="N103" s="496">
        <f>IF($O103="USD",_xlfn.IFNA(VLOOKUP(A103&amp;E103&amp;I103,PMsheet!J:K,2,0),0),(_xlfn.IFNA(VLOOKUP(A103&amp;E103&amp;I103,PMsheet!J:K,2,0),0)*'Master Data-C19RM'!$C$2))</f>
        <v>0</v>
      </c>
      <c r="O103" s="492" t="str">
        <f>IF(L103="", "",SETUP!$E$7)</f>
        <v/>
      </c>
      <c r="P103" s="444">
        <f>IF($O103="USD",_xlfn.IFNA(VLOOKUP($A103&amp;$E103&amp;$I103,PMsheet!$J:$K,2,0),0),(_xlfn.IFNA(VLOOKUP($A103&amp;$E103&amp;$I103,PMsheet!$J:$K,2,0),0)*'Master Data-C19RM'!$C$2))</f>
        <v>0</v>
      </c>
      <c r="Q103" s="441"/>
      <c r="R103" s="441"/>
      <c r="S103" s="441"/>
      <c r="T103" s="441"/>
      <c r="U103" s="481">
        <f t="shared" si="7"/>
        <v>0</v>
      </c>
      <c r="V103" s="483">
        <f>IF(SETUP!$E$7="USD",(U103*(IF(O103="USD",P103,(P103/'Master Data-C19RM'!$C$2)))),(U103*(IF(O103="EUR",P103,(P103*'Master Data-C19RM'!$C$2)))))</f>
        <v>0</v>
      </c>
      <c r="W103" s="444">
        <f>IF($O103="USD",_xlfn.IFNA(VLOOKUP($A103&amp;$E103&amp;$I103,PMsheet!$J:$K,2,0),0),(_xlfn.IFNA(VLOOKUP($A103&amp;$E103&amp;$I103,PMsheet!$J:$K,2,0),0)*'Master Data-C19RM'!$D$2))</f>
        <v>0</v>
      </c>
      <c r="X103" s="441"/>
      <c r="Y103" s="441"/>
      <c r="Z103" s="441"/>
      <c r="AA103" s="441"/>
      <c r="AB103" s="481">
        <f t="shared" si="1"/>
        <v>0</v>
      </c>
      <c r="AC103" s="483">
        <f>IF(SETUP!$E$7="USD",(AB103*(IF(O103="USD",W103,(W103/'Master Data-C19RM'!$D$2)))),(AB103*(IF(O103="EUR",W103,(W103*'Master Data-C19RM'!$D$2)))))</f>
        <v>0</v>
      </c>
      <c r="AD103" s="444">
        <f>IF($O103="USD",_xlfn.IFNA(VLOOKUP($A103&amp;$E103&amp;$I103,PMsheet!$J:$K,2,0),0),(_xlfn.IFNA(VLOOKUP($A103&amp;$E103&amp;$I103,PMsheet!$J:$K,2,0),0)*'Master Data-C19RM'!$E$2))</f>
        <v>0</v>
      </c>
      <c r="AE103" s="441"/>
      <c r="AF103" s="441"/>
      <c r="AG103" s="441"/>
      <c r="AH103" s="441"/>
      <c r="AI103" s="512">
        <f t="shared" si="8"/>
        <v>0</v>
      </c>
      <c r="AJ103" s="513">
        <f>IF(SETUP!$E$7="USD",(AI103*(IF(O103="USD",AD103,(AD103/'Master Data-C19RM'!$E$2)))),(AI103*(IF(O103="EUR",AD103,(AD103*'Master Data-C19RM'!$E$2)))))</f>
        <v>0</v>
      </c>
      <c r="AK103" s="444">
        <f>IF($O103="USD",_xlfn.IFNA(VLOOKUP($A103&amp;$E103&amp;$I103,PMsheet!$J:$K,2,0),0),(_xlfn.IFNA(VLOOKUP($A103&amp;$E103&amp;$I103,PMsheet!$J:$K,2,0),0)*'Master Data-C19RM'!$F$2))</f>
        <v>0</v>
      </c>
      <c r="AL103" s="441"/>
      <c r="AM103" s="441"/>
      <c r="AN103" s="441"/>
      <c r="AO103" s="441"/>
      <c r="AP103" s="481">
        <f t="shared" si="3"/>
        <v>0</v>
      </c>
      <c r="AQ103" s="483">
        <f>IF(SETUP!$E$7="USD",(AP103*(IF(O103="USD",AK103,(AK103/'Master Data-C19RM'!$F$2)))),(AP103*(IF(O103="EUR",AK103,(AK103*'Master Data-C19RM'!$F$2)))))</f>
        <v>0</v>
      </c>
      <c r="AR103" s="444">
        <f>IF($O103="USD",_xlfn.IFNA(VLOOKUP($A103&amp;$E103&amp;$I103,PMsheet!$J:$K,2,0),0),(_xlfn.IFNA(VLOOKUP($A103&amp;$E103&amp;$I103,PMsheet!$J:$K,2,0),0)*'Master Data-C19RM'!$G$2))</f>
        <v>0</v>
      </c>
      <c r="AS103" s="441"/>
      <c r="AT103" s="441"/>
      <c r="AU103" s="441"/>
      <c r="AV103" s="441"/>
      <c r="AW103" s="481">
        <f t="shared" si="9"/>
        <v>0</v>
      </c>
      <c r="AX103" s="483">
        <f>IF(SETUP!$E$7="USD",(AW103*(IF(O103="USD",AR103,(AR103/'Master Data-C19RM'!$G$2)))),(AW103*(IF(O103="EUR",AR103,(AR103*'Master Data-C19RM'!$G$2)))))</f>
        <v>0</v>
      </c>
      <c r="AY103" s="851"/>
      <c r="AZ103" s="851"/>
      <c r="BA103" s="851"/>
      <c r="BB103" s="851"/>
      <c r="BC103" s="851"/>
      <c r="BD103" s="851"/>
      <c r="BE103" s="852"/>
      <c r="BF103" s="481">
        <f>'C19RM 2021-Lab &amp; Other HPS'!$U103+'C19RM 2021-Lab &amp; Other HPS'!$AB103+AI103+'C19RM 2021-Lab &amp; Other HPS'!$AP103+'C19RM 2021-Lab &amp; Other HPS'!$AW103+BD103</f>
        <v>0</v>
      </c>
      <c r="BG103" s="481">
        <f>'C19RM 2021-Lab &amp; Other HPS'!$V103+'C19RM 2021-Lab &amp; Other HPS'!$AC103+'C19RM 2021-Lab &amp; Other HPS'!$AQ103+'C19RM 2021-Lab &amp; Other HPS'!$AJ103+AX103+BE103</f>
        <v>0</v>
      </c>
      <c r="BH103" s="500" t="str" cm="1">
        <f t="array" ref="BH103">IF(A103&lt;&gt;"",IFERROR(INDEX(PMtbl[[WKst]:[Unit of measure*]],MATCH($A$8&amp;$A103&amp;$E103&amp;$I103,INDEX(PMtbl[Sec]&amp;PMtbl[Category]&amp;PMtbl[Each]&amp;PMtbl[Packaging],0,),0),11),""),"")</f>
        <v/>
      </c>
      <c r="BI103" s="819"/>
      <c r="BJ103" s="502" t="str">
        <f>IFERROR(INDEX(SETUP!$C$19:$G$121,MATCH((INDEX(PMtbl[[WKst]:[Unit of measure*]],MATCH($A103&amp;$E103&amp;$I103,INDEX(PMtbl[Category]&amp;PMtbl[Each]&amp;PMtbl[Packaging],0,),0),3)),SETUP!$D$19:$D$121,0),5),"")</f>
        <v/>
      </c>
      <c r="BK103" s="438" t="str">
        <f>IFERROR(IF((INDEX(SETUP!$C$19:$G$121,MATCH((INDEX(PMtbl[[WKst]:[Unit of measure*]],MATCH($A103&amp;$E103&amp;$I103,INDEX(PMtbl[Category]&amp;PMtbl[Each]&amp;PMtbl[Packaging],0,),0),3)),SETUP!$D$19:$D$121,0),4))="Upfront",0,INDEX(SETUP!$C$19:$G$121,MATCH((INDEX(PMtbl[[WKst]:[Unit of measure*]],MATCH($A103&amp;$E103&amp;$I103,INDEX(PMtbl[Category]&amp;PMtbl[Each]&amp;PMtbl[Packaging],0,),0),3)),SETUP!$D$19:$D$121,0),5)),"")</f>
        <v/>
      </c>
      <c r="BL103" s="157" t="str" cm="1">
        <f t="array" ref="BL103">IF(A103&lt;&gt;"",IFERROR(INDEX(PMtbl[[WKst]:[Unit of measure*]],MATCH($A$8&amp;$A103&amp;$E103&amp;$I103,INDEX(PMtbl[Sec]&amp;PMtbl[Category]&amp;PMtbl[Each]&amp;PMtbl[Packaging],0,),0),11),""),"")</f>
        <v/>
      </c>
      <c r="BO103" s="12">
        <f>IF(N103="",0,IF(SETUP!$E$7="USD",((IF(O103="USD",P103,(P103/'Master Data-C19RM'!$C$2)))),((IF(O103="EUR",P103,(P103*'Master Data-C19RM'!$C$2))))))</f>
        <v>0</v>
      </c>
      <c r="BP103" s="12">
        <f>IF(N103="",0,IF(SETUP!$E$7="USD",((IF(O103="USD",W103,(W103/'Master Data-C19RM'!$D$2)))),((IF(O103="EUR",W103,(W103*'Master Data-C19RM'!$D$2))))))</f>
        <v>0</v>
      </c>
      <c r="BQ103">
        <f>IF(N103="",0,IF(SETUP!$E$7="USD",((IF(O103="USD",AD103,(AD103/'Master Data-C19RM'!$E$2)))),((IF(O103="EUR",AD103,(AD103*'Master Data-C19RM'!$E$2))))))</f>
        <v>0</v>
      </c>
      <c r="BR103">
        <f>IF(N103="",0,IF(SETUP!$E$7="USD",((IF(O103="USD",AK103,(AK103/'Master Data-C19RM'!$F$2)))),((IF(O103="EUR",AK103,(AK103*'Master Data-C19RM'!$F$2))))))</f>
        <v>0</v>
      </c>
      <c r="BS103">
        <f>IF(N103="",0,IF(SETUP!$E$7="USD",((IF(O103="USD",AR103,(AR103/'Master Data-C19RM'!$G$2)))),((IF(O103="EUR",AR103,(AR103*'Master Data-C19RM'!$G$2))))))</f>
        <v>0</v>
      </c>
      <c r="BT103">
        <f>IF(N103="",0,IF(SETUP!$E$7="USD",((IF(O103="USD",AY103,(AY103/'Master Data-C19RM'!$H$2)))),((IF(O103="EUR",AY103,(AY103*'Master Data-C19RM'!$H$2))))))</f>
        <v>0</v>
      </c>
      <c r="BU103" s="12">
        <f t="shared" si="5"/>
        <v>0</v>
      </c>
      <c r="BV103" s="142">
        <f t="shared" si="6"/>
        <v>0</v>
      </c>
    </row>
    <row r="104" spans="1:74" ht="14.5" customHeight="1" x14ac:dyDescent="0.35">
      <c r="A104" s="1192"/>
      <c r="B104" s="1192"/>
      <c r="C104" s="1192"/>
      <c r="D104" s="1192"/>
      <c r="E104" s="1173"/>
      <c r="F104" s="1173"/>
      <c r="G104" s="1173"/>
      <c r="H104" s="1173"/>
      <c r="I104" s="1173"/>
      <c r="J104" s="1173"/>
      <c r="K104" s="1173"/>
      <c r="L104" s="493" t="str" cm="1">
        <f t="array" ref="L104">IF(A104&lt;&gt;"",IFERROR(INDEX(PMtbl[[WKst]:[Unit of measure*]],MATCH($A$8&amp;$A104&amp;$E104&amp;$I104,INDEX(PMtbl[Sec]&amp;PMtbl[Category]&amp;PMtbl[Each]&amp;PMtbl[Packaging],0,),0),14),""),"")</f>
        <v/>
      </c>
      <c r="M104" s="480" t="str">
        <f>IF(L104="","",INDEX(SETUP!$E$20:$E$122,(MATCH(INDEX(PMsheet!$D:$E,MATCH(A104,PMsheet!E:E,0),1),SETUP!$D$20:$D$122,0))))</f>
        <v/>
      </c>
      <c r="N104" s="494">
        <f>IF($O104="USD",_xlfn.IFNA(VLOOKUP(A104&amp;E104&amp;I104,PMsheet!J:K,2,0),0),(_xlfn.IFNA(VLOOKUP(A104&amp;E104&amp;I104,PMsheet!J:K,2,0),0)*'Master Data-C19RM'!$C$2))</f>
        <v>0</v>
      </c>
      <c r="O104" s="495" t="str">
        <f>IF(L104="", "",SETUP!$E$7)</f>
        <v/>
      </c>
      <c r="P104" s="445">
        <f>IF($O104="USD",_xlfn.IFNA(VLOOKUP($A104&amp;$E104&amp;$I104,PMsheet!$J:$K,2,0),0),(_xlfn.IFNA(VLOOKUP($A104&amp;$E104&amp;$I104,PMsheet!$J:$K,2,0),0)*'Master Data-C19RM'!$C$2))</f>
        <v>0</v>
      </c>
      <c r="Q104" s="440"/>
      <c r="R104" s="440"/>
      <c r="S104" s="440"/>
      <c r="T104" s="440"/>
      <c r="U104" s="482">
        <f t="shared" si="7"/>
        <v>0</v>
      </c>
      <c r="V104" s="484">
        <f>IF(SETUP!$E$7="USD",(U104*(IF(O104="USD",P104,(P104/'Master Data-C19RM'!$C$2)))),(U104*(IF(O104="EUR",P104,(P104*'Master Data-C19RM'!$C$2)))))</f>
        <v>0</v>
      </c>
      <c r="W104" s="445">
        <f>IF($O104="USD",_xlfn.IFNA(VLOOKUP($A104&amp;$E104&amp;$I104,PMsheet!$J:$K,2,0),0),(_xlfn.IFNA(VLOOKUP($A104&amp;$E104&amp;$I104,PMsheet!$J:$K,2,0),0)*'Master Data-C19RM'!$D$2))</f>
        <v>0</v>
      </c>
      <c r="X104" s="440"/>
      <c r="Y104" s="440"/>
      <c r="Z104" s="440"/>
      <c r="AA104" s="440"/>
      <c r="AB104" s="482">
        <f t="shared" si="1"/>
        <v>0</v>
      </c>
      <c r="AC104" s="484">
        <f>IF(SETUP!$E$7="USD",(AB104*(IF(O104="USD",W104,(W104/'Master Data-C19RM'!$D$2)))),(AB104*(IF(O104="EUR",W104,(W104*'Master Data-C19RM'!$D$2)))))</f>
        <v>0</v>
      </c>
      <c r="AD104" s="445">
        <f>IF($O104="USD",_xlfn.IFNA(VLOOKUP($A104&amp;$E104&amp;$I104,PMsheet!$J:$K,2,0),0),(_xlfn.IFNA(VLOOKUP($A104&amp;$E104&amp;$I104,PMsheet!$J:$K,2,0),0)*'Master Data-C19RM'!$E$2))</f>
        <v>0</v>
      </c>
      <c r="AE104" s="440"/>
      <c r="AF104" s="440"/>
      <c r="AG104" s="440"/>
      <c r="AH104" s="440"/>
      <c r="AI104" s="514">
        <f t="shared" si="8"/>
        <v>0</v>
      </c>
      <c r="AJ104" s="515">
        <f>IF(SETUP!$E$7="USD",(AI104*(IF(O104="USD",AD104,(AD104/'Master Data-C19RM'!$E$2)))),(AI104*(IF(O104="EUR",AD104,(AD104*'Master Data-C19RM'!$E$2)))))</f>
        <v>0</v>
      </c>
      <c r="AK104" s="445">
        <f>IF($O104="USD",_xlfn.IFNA(VLOOKUP($A104&amp;$E104&amp;$I104,PMsheet!$J:$K,2,0),0),(_xlfn.IFNA(VLOOKUP($A104&amp;$E104&amp;$I104,PMsheet!$J:$K,2,0),0)*'Master Data-C19RM'!$F$2))</f>
        <v>0</v>
      </c>
      <c r="AL104" s="440"/>
      <c r="AM104" s="440"/>
      <c r="AN104" s="440"/>
      <c r="AO104" s="440"/>
      <c r="AP104" s="482">
        <f t="shared" si="3"/>
        <v>0</v>
      </c>
      <c r="AQ104" s="484">
        <f>IF(SETUP!$E$7="USD",(AP104*(IF(O104="USD",AK104,(AK104/'Master Data-C19RM'!$F$2)))),(AP104*(IF(O104="EUR",AK104,(AK104*'Master Data-C19RM'!$F$2)))))</f>
        <v>0</v>
      </c>
      <c r="AR104" s="445">
        <f>IF($O104="USD",_xlfn.IFNA(VLOOKUP($A104&amp;$E104&amp;$I104,PMsheet!$J:$K,2,0),0),(_xlfn.IFNA(VLOOKUP($A104&amp;$E104&amp;$I104,PMsheet!$J:$K,2,0),0)*'Master Data-C19RM'!$G$2))</f>
        <v>0</v>
      </c>
      <c r="AS104" s="440"/>
      <c r="AT104" s="440"/>
      <c r="AU104" s="440"/>
      <c r="AV104" s="440"/>
      <c r="AW104" s="482">
        <f t="shared" si="9"/>
        <v>0</v>
      </c>
      <c r="AX104" s="484">
        <f>IF(SETUP!$E$7="USD",(AW104*(IF(O104="USD",AR104,(AR104/'Master Data-C19RM'!$G$2)))),(AW104*(IF(O104="EUR",AR104,(AR104*'Master Data-C19RM'!$G$2)))))</f>
        <v>0</v>
      </c>
      <c r="AY104" s="843"/>
      <c r="AZ104" s="843"/>
      <c r="BA104" s="843"/>
      <c r="BB104" s="843"/>
      <c r="BC104" s="843"/>
      <c r="BD104" s="843"/>
      <c r="BE104" s="844"/>
      <c r="BF104" s="482">
        <f>'C19RM 2021-Lab &amp; Other HPS'!$U104+'C19RM 2021-Lab &amp; Other HPS'!$AB104+AI104+'C19RM 2021-Lab &amp; Other HPS'!$AP104+'C19RM 2021-Lab &amp; Other HPS'!$AW104+BD104</f>
        <v>0</v>
      </c>
      <c r="BG104" s="482">
        <f>'C19RM 2021-Lab &amp; Other HPS'!$V104+'C19RM 2021-Lab &amp; Other HPS'!$AC104+'C19RM 2021-Lab &amp; Other HPS'!$AQ104+'C19RM 2021-Lab &amp; Other HPS'!$AJ104+AX104+BE104</f>
        <v>0</v>
      </c>
      <c r="BH104" s="499" t="str" cm="1">
        <f t="array" ref="BH104">IF(A104&lt;&gt;"",IFERROR(INDEX(PMtbl[[WKst]:[Unit of measure*]],MATCH($A$8&amp;$A104&amp;$E104&amp;$I104,INDEX(PMtbl[Sec]&amp;PMtbl[Category]&amp;PMtbl[Each]&amp;PMtbl[Packaging],0,),0),11),""),"")</f>
        <v/>
      </c>
      <c r="BI104" s="818"/>
      <c r="BJ104" s="503" t="str">
        <f>IFERROR(INDEX(SETUP!$C$19:$G$121,MATCH((INDEX(PMtbl[[WKst]:[Unit of measure*]],MATCH($A104&amp;$E104&amp;$I104,INDEX(PMtbl[Category]&amp;PMtbl[Each]&amp;PMtbl[Packaging],0,),0),3)),SETUP!$D$19:$D$121,0),5),"")</f>
        <v/>
      </c>
      <c r="BK104" s="439" t="str">
        <f>IFERROR(IF((INDEX(SETUP!$C$19:$G$121,MATCH((INDEX(PMtbl[[WKst]:[Unit of measure*]],MATCH($A104&amp;$E104&amp;$I104,INDEX(PMtbl[Category]&amp;PMtbl[Each]&amp;PMtbl[Packaging],0,),0),3)),SETUP!$D$19:$D$121,0),4))="Upfront",0,INDEX(SETUP!$C$19:$G$121,MATCH((INDEX(PMtbl[[WKst]:[Unit of measure*]],MATCH($A104&amp;$E104&amp;$I104,INDEX(PMtbl[Category]&amp;PMtbl[Each]&amp;PMtbl[Packaging],0,),0),3)),SETUP!$D$19:$D$121,0),5)),"")</f>
        <v/>
      </c>
      <c r="BL104" s="158" t="str" cm="1">
        <f t="array" ref="BL104">IF(A104&lt;&gt;"",IFERROR(INDEX(PMtbl[[WKst]:[Unit of measure*]],MATCH($A$8&amp;$A104&amp;$E104&amp;$I104,INDEX(PMtbl[Sec]&amp;PMtbl[Category]&amp;PMtbl[Each]&amp;PMtbl[Packaging],0,),0),11),""),"")</f>
        <v/>
      </c>
      <c r="BO104" s="12">
        <f>IF(N104="",0,IF(SETUP!$E$7="USD",((IF(O104="USD",P104,(P104/'Master Data-C19RM'!$C$2)))),((IF(O104="EUR",P104,(P104*'Master Data-C19RM'!$C$2))))))</f>
        <v>0</v>
      </c>
      <c r="BP104" s="12">
        <f>IF(N104="",0,IF(SETUP!$E$7="USD",((IF(O104="USD",W104,(W104/'Master Data-C19RM'!$D$2)))),((IF(O104="EUR",W104,(W104*'Master Data-C19RM'!$D$2))))))</f>
        <v>0</v>
      </c>
      <c r="BQ104">
        <f>IF(N104="",0,IF(SETUP!$E$7="USD",((IF(O104="USD",AD104,(AD104/'Master Data-C19RM'!$E$2)))),((IF(O104="EUR",AD104,(AD104*'Master Data-C19RM'!$E$2))))))</f>
        <v>0</v>
      </c>
      <c r="BR104">
        <f>IF(N104="",0,IF(SETUP!$E$7="USD",((IF(O104="USD",AK104,(AK104/'Master Data-C19RM'!$F$2)))),((IF(O104="EUR",AK104,(AK104*'Master Data-C19RM'!$F$2))))))</f>
        <v>0</v>
      </c>
      <c r="BS104">
        <f>IF(N104="",0,IF(SETUP!$E$7="USD",((IF(O104="USD",AR104,(AR104/'Master Data-C19RM'!$G$2)))),((IF(O104="EUR",AR104,(AR104*'Master Data-C19RM'!$G$2))))))</f>
        <v>0</v>
      </c>
      <c r="BT104">
        <f>IF(N104="",0,IF(SETUP!$E$7="USD",((IF(O104="USD",AY104,(AY104/'Master Data-C19RM'!$H$2)))),((IF(O104="EUR",AY104,(AY104*'Master Data-C19RM'!$H$2))))))</f>
        <v>0</v>
      </c>
      <c r="BU104" s="12">
        <f t="shared" si="5"/>
        <v>0</v>
      </c>
      <c r="BV104" s="142">
        <f t="shared" si="6"/>
        <v>0</v>
      </c>
    </row>
    <row r="105" spans="1:74" ht="14.5" customHeight="1" x14ac:dyDescent="0.35">
      <c r="A105" s="1200"/>
      <c r="B105" s="1201"/>
      <c r="C105" s="1201"/>
      <c r="D105" s="1202"/>
      <c r="E105" s="1216"/>
      <c r="F105" s="1217"/>
      <c r="G105" s="1217"/>
      <c r="H105" s="1218"/>
      <c r="I105" s="1216"/>
      <c r="J105" s="1217"/>
      <c r="K105" s="1218"/>
      <c r="L105" s="490" t="str" cm="1">
        <f t="array" ref="L105">IF(A105&lt;&gt;"",IFERROR(INDEX(PMtbl[[WKst]:[Unit of measure*]],MATCH($A$8&amp;$A105&amp;$E105&amp;$I105,INDEX(PMtbl[Sec]&amp;PMtbl[Category]&amp;PMtbl[Each]&amp;PMtbl[Packaging],0,),0),14),""),"")</f>
        <v/>
      </c>
      <c r="M105" s="479" t="str">
        <f>IF(L105="","",INDEX(SETUP!$E$20:$E$122,(MATCH(INDEX(PMsheet!$D:$E,MATCH(A105,PMsheet!E:E,0),1),SETUP!$D$20:$D$122,0))))</f>
        <v/>
      </c>
      <c r="N105" s="496">
        <f>IF($O105="USD",_xlfn.IFNA(VLOOKUP(A105&amp;E105&amp;I105,PMsheet!J:K,2,0),0),(_xlfn.IFNA(VLOOKUP(A105&amp;E105&amp;I105,PMsheet!J:K,2,0),0)*'Master Data-C19RM'!$C$2))</f>
        <v>0</v>
      </c>
      <c r="O105" s="492" t="str">
        <f>IF(L105="", "",SETUP!$E$7)</f>
        <v/>
      </c>
      <c r="P105" s="444">
        <f>IF($O105="USD",_xlfn.IFNA(VLOOKUP($A105&amp;$E105&amp;$I105,PMsheet!$J:$K,2,0),0),(_xlfn.IFNA(VLOOKUP($A105&amp;$E105&amp;$I105,PMsheet!$J:$K,2,0),0)*'Master Data-C19RM'!$C$2))</f>
        <v>0</v>
      </c>
      <c r="Q105" s="441"/>
      <c r="R105" s="441"/>
      <c r="S105" s="441"/>
      <c r="T105" s="441"/>
      <c r="U105" s="481">
        <f t="shared" si="7"/>
        <v>0</v>
      </c>
      <c r="V105" s="483">
        <f>IF(SETUP!$E$7="USD",(U105*(IF(O105="USD",P105,(P105/'Master Data-C19RM'!$C$2)))),(U105*(IF(O105="EUR",P105,(P105*'Master Data-C19RM'!$C$2)))))</f>
        <v>0</v>
      </c>
      <c r="W105" s="444">
        <f>IF($O105="USD",_xlfn.IFNA(VLOOKUP($A105&amp;$E105&amp;$I105,PMsheet!$J:$K,2,0),0),(_xlfn.IFNA(VLOOKUP($A105&amp;$E105&amp;$I105,PMsheet!$J:$K,2,0),0)*'Master Data-C19RM'!$D$2))</f>
        <v>0</v>
      </c>
      <c r="X105" s="441"/>
      <c r="Y105" s="441"/>
      <c r="Z105" s="441"/>
      <c r="AA105" s="441"/>
      <c r="AB105" s="481">
        <f t="shared" si="1"/>
        <v>0</v>
      </c>
      <c r="AC105" s="483">
        <f>IF(SETUP!$E$7="USD",(AB105*(IF(O105="USD",W105,(W105/'Master Data-C19RM'!$D$2)))),(AB105*(IF(O105="EUR",W105,(W105*'Master Data-C19RM'!$D$2)))))</f>
        <v>0</v>
      </c>
      <c r="AD105" s="444">
        <f>IF($O105="USD",_xlfn.IFNA(VLOOKUP($A105&amp;$E105&amp;$I105,PMsheet!$J:$K,2,0),0),(_xlfn.IFNA(VLOOKUP($A105&amp;$E105&amp;$I105,PMsheet!$J:$K,2,0),0)*'Master Data-C19RM'!$E$2))</f>
        <v>0</v>
      </c>
      <c r="AE105" s="441"/>
      <c r="AF105" s="441"/>
      <c r="AG105" s="441"/>
      <c r="AH105" s="441"/>
      <c r="AI105" s="512">
        <f t="shared" si="8"/>
        <v>0</v>
      </c>
      <c r="AJ105" s="513">
        <f>IF(SETUP!$E$7="USD",(AI105*(IF(O105="USD",AD105,(AD105/'Master Data-C19RM'!$E$2)))),(AI105*(IF(O105="EUR",AD105,(AD105*'Master Data-C19RM'!$E$2)))))</f>
        <v>0</v>
      </c>
      <c r="AK105" s="444">
        <f>IF($O105="USD",_xlfn.IFNA(VLOOKUP($A105&amp;$E105&amp;$I105,PMsheet!$J:$K,2,0),0),(_xlfn.IFNA(VLOOKUP($A105&amp;$E105&amp;$I105,PMsheet!$J:$K,2,0),0)*'Master Data-C19RM'!$F$2))</f>
        <v>0</v>
      </c>
      <c r="AL105" s="441"/>
      <c r="AM105" s="441"/>
      <c r="AN105" s="441"/>
      <c r="AO105" s="441"/>
      <c r="AP105" s="481">
        <f t="shared" si="3"/>
        <v>0</v>
      </c>
      <c r="AQ105" s="483">
        <f>IF(SETUP!$E$7="USD",(AP105*(IF(O105="USD",AK105,(AK105/'Master Data-C19RM'!$F$2)))),(AP105*(IF(O105="EUR",AK105,(AK105*'Master Data-C19RM'!$F$2)))))</f>
        <v>0</v>
      </c>
      <c r="AR105" s="444">
        <f>IF($O105="USD",_xlfn.IFNA(VLOOKUP($A105&amp;$E105&amp;$I105,PMsheet!$J:$K,2,0),0),(_xlfn.IFNA(VLOOKUP($A105&amp;$E105&amp;$I105,PMsheet!$J:$K,2,0),0)*'Master Data-C19RM'!$G$2))</f>
        <v>0</v>
      </c>
      <c r="AS105" s="441"/>
      <c r="AT105" s="441"/>
      <c r="AU105" s="441"/>
      <c r="AV105" s="441"/>
      <c r="AW105" s="481">
        <f t="shared" si="9"/>
        <v>0</v>
      </c>
      <c r="AX105" s="483">
        <f>IF(SETUP!$E$7="USD",(AW105*(IF(O105="USD",AR105,(AR105/'Master Data-C19RM'!$G$2)))),(AW105*(IF(O105="EUR",AR105,(AR105*'Master Data-C19RM'!$G$2)))))</f>
        <v>0</v>
      </c>
      <c r="AY105" s="851"/>
      <c r="AZ105" s="851"/>
      <c r="BA105" s="851"/>
      <c r="BB105" s="851"/>
      <c r="BC105" s="851"/>
      <c r="BD105" s="851"/>
      <c r="BE105" s="852"/>
      <c r="BF105" s="481">
        <f>'C19RM 2021-Lab &amp; Other HPS'!$U105+'C19RM 2021-Lab &amp; Other HPS'!$AB105+AI105+'C19RM 2021-Lab &amp; Other HPS'!$AP105+'C19RM 2021-Lab &amp; Other HPS'!$AW105+BD105</f>
        <v>0</v>
      </c>
      <c r="BG105" s="481">
        <f>'C19RM 2021-Lab &amp; Other HPS'!$V105+'C19RM 2021-Lab &amp; Other HPS'!$AC105+'C19RM 2021-Lab &amp; Other HPS'!$AQ105+'C19RM 2021-Lab &amp; Other HPS'!$AJ105+AX105+BE105</f>
        <v>0</v>
      </c>
      <c r="BH105" s="500" t="str" cm="1">
        <f t="array" ref="BH105">IF(A105&lt;&gt;"",IFERROR(INDEX(PMtbl[[WKst]:[Unit of measure*]],MATCH($A$8&amp;$A105&amp;$E105&amp;$I105,INDEX(PMtbl[Sec]&amp;PMtbl[Category]&amp;PMtbl[Each]&amp;PMtbl[Packaging],0,),0),11),""),"")</f>
        <v/>
      </c>
      <c r="BI105" s="819"/>
      <c r="BJ105" s="502" t="str">
        <f>IFERROR(INDEX(SETUP!$C$19:$G$121,MATCH((INDEX(PMtbl[[WKst]:[Unit of measure*]],MATCH($A105&amp;$E105&amp;$I105,INDEX(PMtbl[Category]&amp;PMtbl[Each]&amp;PMtbl[Packaging],0,),0),3)),SETUP!$D$19:$D$121,0),5),"")</f>
        <v/>
      </c>
      <c r="BK105" s="438" t="str">
        <f>IFERROR(IF((INDEX(SETUP!$C$19:$G$121,MATCH((INDEX(PMtbl[[WKst]:[Unit of measure*]],MATCH($A105&amp;$E105&amp;$I105,INDEX(PMtbl[Category]&amp;PMtbl[Each]&amp;PMtbl[Packaging],0,),0),3)),SETUP!$D$19:$D$121,0),4))="Upfront",0,INDEX(SETUP!$C$19:$G$121,MATCH((INDEX(PMtbl[[WKst]:[Unit of measure*]],MATCH($A105&amp;$E105&amp;$I105,INDEX(PMtbl[Category]&amp;PMtbl[Each]&amp;PMtbl[Packaging],0,),0),3)),SETUP!$D$19:$D$121,0),5)),"")</f>
        <v/>
      </c>
      <c r="BL105" s="157" t="str" cm="1">
        <f t="array" ref="BL105">IF(A105&lt;&gt;"",IFERROR(INDEX(PMtbl[[WKst]:[Unit of measure*]],MATCH($A$8&amp;$A105&amp;$E105&amp;$I105,INDEX(PMtbl[Sec]&amp;PMtbl[Category]&amp;PMtbl[Each]&amp;PMtbl[Packaging],0,),0),11),""),"")</f>
        <v/>
      </c>
      <c r="BO105" s="12">
        <f>IF(N105="",0,IF(SETUP!$E$7="USD",((IF(O105="USD",P105,(P105/'Master Data-C19RM'!$C$2)))),((IF(O105="EUR",P105,(P105*'Master Data-C19RM'!$C$2))))))</f>
        <v>0</v>
      </c>
      <c r="BP105" s="12">
        <f>IF(N105="",0,IF(SETUP!$E$7="USD",((IF(O105="USD",W105,(W105/'Master Data-C19RM'!$D$2)))),((IF(O105="EUR",W105,(W105*'Master Data-C19RM'!$D$2))))))</f>
        <v>0</v>
      </c>
      <c r="BQ105">
        <f>IF(N105="",0,IF(SETUP!$E$7="USD",((IF(O105="USD",AD105,(AD105/'Master Data-C19RM'!$E$2)))),((IF(O105="EUR",AD105,(AD105*'Master Data-C19RM'!$E$2))))))</f>
        <v>0</v>
      </c>
      <c r="BR105">
        <f>IF(N105="",0,IF(SETUP!$E$7="USD",((IF(O105="USD",AK105,(AK105/'Master Data-C19RM'!$F$2)))),((IF(O105="EUR",AK105,(AK105*'Master Data-C19RM'!$F$2))))))</f>
        <v>0</v>
      </c>
      <c r="BS105">
        <f>IF(N105="",0,IF(SETUP!$E$7="USD",((IF(O105="USD",AR105,(AR105/'Master Data-C19RM'!$G$2)))),((IF(O105="EUR",AR105,(AR105*'Master Data-C19RM'!$G$2))))))</f>
        <v>0</v>
      </c>
      <c r="BT105">
        <f>IF(N105="",0,IF(SETUP!$E$7="USD",((IF(O105="USD",AY105,(AY105/'Master Data-C19RM'!$H$2)))),((IF(O105="EUR",AY105,(AY105*'Master Data-C19RM'!$H$2))))))</f>
        <v>0</v>
      </c>
      <c r="BU105" s="12">
        <f t="shared" si="5"/>
        <v>0</v>
      </c>
      <c r="BV105" s="142">
        <f t="shared" si="6"/>
        <v>0</v>
      </c>
    </row>
    <row r="106" spans="1:74" ht="14.5" customHeight="1" x14ac:dyDescent="0.35">
      <c r="A106" s="1192"/>
      <c r="B106" s="1192"/>
      <c r="C106" s="1192"/>
      <c r="D106" s="1192"/>
      <c r="E106" s="1173"/>
      <c r="F106" s="1173"/>
      <c r="G106" s="1173"/>
      <c r="H106" s="1173"/>
      <c r="I106" s="1173"/>
      <c r="J106" s="1173"/>
      <c r="K106" s="1173"/>
      <c r="L106" s="493" t="str" cm="1">
        <f t="array" ref="L106">IF(A106&lt;&gt;"",IFERROR(INDEX(PMtbl[[WKst]:[Unit of measure*]],MATCH($A$8&amp;$A106&amp;$E106&amp;$I106,INDEX(PMtbl[Sec]&amp;PMtbl[Category]&amp;PMtbl[Each]&amp;PMtbl[Packaging],0,),0),14),""),"")</f>
        <v/>
      </c>
      <c r="M106" s="480" t="str">
        <f>IF(L106="","",INDEX(SETUP!$E$20:$E$122,(MATCH(INDEX(PMsheet!$D:$E,MATCH(A106,PMsheet!E:E,0),1),SETUP!$D$20:$D$122,0))))</f>
        <v/>
      </c>
      <c r="N106" s="494">
        <f>IF($O106="USD",_xlfn.IFNA(VLOOKUP(A106&amp;E106&amp;I106,PMsheet!J:K,2,0),0),(_xlfn.IFNA(VLOOKUP(A106&amp;E106&amp;I106,PMsheet!J:K,2,0),0)*'Master Data-C19RM'!$C$2))</f>
        <v>0</v>
      </c>
      <c r="O106" s="495" t="str">
        <f>IF(L106="", "",SETUP!$E$7)</f>
        <v/>
      </c>
      <c r="P106" s="445">
        <f>IF($O106="USD",_xlfn.IFNA(VLOOKUP($A106&amp;$E106&amp;$I106,PMsheet!$J:$K,2,0),0),(_xlfn.IFNA(VLOOKUP($A106&amp;$E106&amp;$I106,PMsheet!$J:$K,2,0),0)*'Master Data-C19RM'!$C$2))</f>
        <v>0</v>
      </c>
      <c r="Q106" s="440"/>
      <c r="R106" s="440"/>
      <c r="S106" s="440"/>
      <c r="T106" s="440"/>
      <c r="U106" s="482">
        <f t="shared" si="7"/>
        <v>0</v>
      </c>
      <c r="V106" s="484">
        <f>IF(SETUP!$E$7="USD",(U106*(IF(O106="USD",P106,(P106/'Master Data-C19RM'!$C$2)))),(U106*(IF(O106="EUR",P106,(P106*'Master Data-C19RM'!$C$2)))))</f>
        <v>0</v>
      </c>
      <c r="W106" s="445">
        <f>IF($O106="USD",_xlfn.IFNA(VLOOKUP($A106&amp;$E106&amp;$I106,PMsheet!$J:$K,2,0),0),(_xlfn.IFNA(VLOOKUP($A106&amp;$E106&amp;$I106,PMsheet!$J:$K,2,0),0)*'Master Data-C19RM'!$D$2))</f>
        <v>0</v>
      </c>
      <c r="X106" s="440"/>
      <c r="Y106" s="440"/>
      <c r="Z106" s="440"/>
      <c r="AA106" s="440"/>
      <c r="AB106" s="482">
        <f t="shared" si="1"/>
        <v>0</v>
      </c>
      <c r="AC106" s="484">
        <f>IF(SETUP!$E$7="USD",(AB106*(IF(O106="USD",W106,(W106/'Master Data-C19RM'!$D$2)))),(AB106*(IF(O106="EUR",W106,(W106*'Master Data-C19RM'!$D$2)))))</f>
        <v>0</v>
      </c>
      <c r="AD106" s="445">
        <f>IF($O106="USD",_xlfn.IFNA(VLOOKUP($A106&amp;$E106&amp;$I106,PMsheet!$J:$K,2,0),0),(_xlfn.IFNA(VLOOKUP($A106&amp;$E106&amp;$I106,PMsheet!$J:$K,2,0),0)*'Master Data-C19RM'!$E$2))</f>
        <v>0</v>
      </c>
      <c r="AE106" s="440"/>
      <c r="AF106" s="440"/>
      <c r="AG106" s="440"/>
      <c r="AH106" s="440"/>
      <c r="AI106" s="514">
        <f t="shared" si="8"/>
        <v>0</v>
      </c>
      <c r="AJ106" s="515">
        <f>IF(SETUP!$E$7="USD",(AI106*(IF(O106="USD",AD106,(AD106/'Master Data-C19RM'!$E$2)))),(AI106*(IF(O106="EUR",AD106,(AD106*'Master Data-C19RM'!$E$2)))))</f>
        <v>0</v>
      </c>
      <c r="AK106" s="445">
        <f>IF($O106="USD",_xlfn.IFNA(VLOOKUP($A106&amp;$E106&amp;$I106,PMsheet!$J:$K,2,0),0),(_xlfn.IFNA(VLOOKUP($A106&amp;$E106&amp;$I106,PMsheet!$J:$K,2,0),0)*'Master Data-C19RM'!$F$2))</f>
        <v>0</v>
      </c>
      <c r="AL106" s="440"/>
      <c r="AM106" s="440"/>
      <c r="AN106" s="440"/>
      <c r="AO106" s="440"/>
      <c r="AP106" s="482">
        <f t="shared" si="3"/>
        <v>0</v>
      </c>
      <c r="AQ106" s="484">
        <f>IF(SETUP!$E$7="USD",(AP106*(IF(O106="USD",AK106,(AK106/'Master Data-C19RM'!$F$2)))),(AP106*(IF(O106="EUR",AK106,(AK106*'Master Data-C19RM'!$F$2)))))</f>
        <v>0</v>
      </c>
      <c r="AR106" s="445">
        <f>IF($O106="USD",_xlfn.IFNA(VLOOKUP($A106&amp;$E106&amp;$I106,PMsheet!$J:$K,2,0),0),(_xlfn.IFNA(VLOOKUP($A106&amp;$E106&amp;$I106,PMsheet!$J:$K,2,0),0)*'Master Data-C19RM'!$G$2))</f>
        <v>0</v>
      </c>
      <c r="AS106" s="440"/>
      <c r="AT106" s="440"/>
      <c r="AU106" s="440"/>
      <c r="AV106" s="440"/>
      <c r="AW106" s="482">
        <f t="shared" si="9"/>
        <v>0</v>
      </c>
      <c r="AX106" s="484">
        <f>IF(SETUP!$E$7="USD",(AW106*(IF(O106="USD",AR106,(AR106/'Master Data-C19RM'!$G$2)))),(AW106*(IF(O106="EUR",AR106,(AR106*'Master Data-C19RM'!$G$2)))))</f>
        <v>0</v>
      </c>
      <c r="AY106" s="843"/>
      <c r="AZ106" s="843"/>
      <c r="BA106" s="843"/>
      <c r="BB106" s="843"/>
      <c r="BC106" s="843"/>
      <c r="BD106" s="843"/>
      <c r="BE106" s="844"/>
      <c r="BF106" s="482">
        <f>'C19RM 2021-Lab &amp; Other HPS'!$U106+'C19RM 2021-Lab &amp; Other HPS'!$AB106+AI106+'C19RM 2021-Lab &amp; Other HPS'!$AP106+'C19RM 2021-Lab &amp; Other HPS'!$AW106+BD106</f>
        <v>0</v>
      </c>
      <c r="BG106" s="482">
        <f>'C19RM 2021-Lab &amp; Other HPS'!$V106+'C19RM 2021-Lab &amp; Other HPS'!$AC106+'C19RM 2021-Lab &amp; Other HPS'!$AQ106+'C19RM 2021-Lab &amp; Other HPS'!$AJ106+AX106+BE106</f>
        <v>0</v>
      </c>
      <c r="BH106" s="499" t="str" cm="1">
        <f t="array" ref="BH106">IF(A106&lt;&gt;"",IFERROR(INDEX(PMtbl[[WKst]:[Unit of measure*]],MATCH($A$8&amp;$A106&amp;$E106&amp;$I106,INDEX(PMtbl[Sec]&amp;PMtbl[Category]&amp;PMtbl[Each]&amp;PMtbl[Packaging],0,),0),11),""),"")</f>
        <v/>
      </c>
      <c r="BI106" s="818"/>
      <c r="BJ106" s="503" t="str">
        <f>IFERROR(INDEX(SETUP!$C$19:$G$121,MATCH((INDEX(PMtbl[[WKst]:[Unit of measure*]],MATCH($A106&amp;$E106&amp;$I106,INDEX(PMtbl[Category]&amp;PMtbl[Each]&amp;PMtbl[Packaging],0,),0),3)),SETUP!$D$19:$D$121,0),5),"")</f>
        <v/>
      </c>
      <c r="BK106" s="439" t="str">
        <f>IFERROR(IF((INDEX(SETUP!$C$19:$G$121,MATCH((INDEX(PMtbl[[WKst]:[Unit of measure*]],MATCH($A106&amp;$E106&amp;$I106,INDEX(PMtbl[Category]&amp;PMtbl[Each]&amp;PMtbl[Packaging],0,),0),3)),SETUP!$D$19:$D$121,0),4))="Upfront",0,INDEX(SETUP!$C$19:$G$121,MATCH((INDEX(PMtbl[[WKst]:[Unit of measure*]],MATCH($A106&amp;$E106&amp;$I106,INDEX(PMtbl[Category]&amp;PMtbl[Each]&amp;PMtbl[Packaging],0,),0),3)),SETUP!$D$19:$D$121,0),5)),"")</f>
        <v/>
      </c>
      <c r="BL106" s="158" t="str" cm="1">
        <f t="array" ref="BL106">IF(A106&lt;&gt;"",IFERROR(INDEX(PMtbl[[WKst]:[Unit of measure*]],MATCH($A$8&amp;$A106&amp;$E106&amp;$I106,INDEX(PMtbl[Sec]&amp;PMtbl[Category]&amp;PMtbl[Each]&amp;PMtbl[Packaging],0,),0),11),""),"")</f>
        <v/>
      </c>
      <c r="BO106" s="12">
        <f>IF(N106="",0,IF(SETUP!$E$7="USD",((IF(O106="USD",P106,(P106/'Master Data-C19RM'!$C$2)))),((IF(O106="EUR",P106,(P106*'Master Data-C19RM'!$C$2))))))</f>
        <v>0</v>
      </c>
      <c r="BP106" s="12">
        <f>IF(N106="",0,IF(SETUP!$E$7="USD",((IF(O106="USD",W106,(W106/'Master Data-C19RM'!$D$2)))),((IF(O106="EUR",W106,(W106*'Master Data-C19RM'!$D$2))))))</f>
        <v>0</v>
      </c>
      <c r="BQ106">
        <f>IF(N106="",0,IF(SETUP!$E$7="USD",((IF(O106="USD",AD106,(AD106/'Master Data-C19RM'!$E$2)))),((IF(O106="EUR",AD106,(AD106*'Master Data-C19RM'!$E$2))))))</f>
        <v>0</v>
      </c>
      <c r="BR106">
        <f>IF(N106="",0,IF(SETUP!$E$7="USD",((IF(O106="USD",AK106,(AK106/'Master Data-C19RM'!$F$2)))),((IF(O106="EUR",AK106,(AK106*'Master Data-C19RM'!$F$2))))))</f>
        <v>0</v>
      </c>
      <c r="BS106">
        <f>IF(N106="",0,IF(SETUP!$E$7="USD",((IF(O106="USD",AR106,(AR106/'Master Data-C19RM'!$G$2)))),((IF(O106="EUR",AR106,(AR106*'Master Data-C19RM'!$G$2))))))</f>
        <v>0</v>
      </c>
      <c r="BT106">
        <f>IF(N106="",0,IF(SETUP!$E$7="USD",((IF(O106="USD",AY106,(AY106/'Master Data-C19RM'!$H$2)))),((IF(O106="EUR",AY106,(AY106*'Master Data-C19RM'!$H$2))))))</f>
        <v>0</v>
      </c>
      <c r="BU106" s="12">
        <f t="shared" si="5"/>
        <v>0</v>
      </c>
      <c r="BV106" s="142">
        <f t="shared" si="6"/>
        <v>0</v>
      </c>
    </row>
    <row r="107" spans="1:74" ht="14.5" customHeight="1" x14ac:dyDescent="0.35">
      <c r="A107" s="1200"/>
      <c r="B107" s="1201"/>
      <c r="C107" s="1201"/>
      <c r="D107" s="1202"/>
      <c r="E107" s="1216"/>
      <c r="F107" s="1217"/>
      <c r="G107" s="1217"/>
      <c r="H107" s="1218"/>
      <c r="I107" s="1216"/>
      <c r="J107" s="1217"/>
      <c r="K107" s="1218"/>
      <c r="L107" s="490" t="str" cm="1">
        <f t="array" ref="L107">IF(A107&lt;&gt;"",IFERROR(INDEX(PMtbl[[WKst]:[Unit of measure*]],MATCH($A$8&amp;$A107&amp;$E107&amp;$I107,INDEX(PMtbl[Sec]&amp;PMtbl[Category]&amp;PMtbl[Each]&amp;PMtbl[Packaging],0,),0),14),""),"")</f>
        <v/>
      </c>
      <c r="M107" s="479" t="str">
        <f>IF(L107="","",INDEX(SETUP!$E$20:$E$122,(MATCH(INDEX(PMsheet!$D:$E,MATCH(A107,PMsheet!E:E,0),1),SETUP!$D$20:$D$122,0))))</f>
        <v/>
      </c>
      <c r="N107" s="496">
        <f>IF($O107="USD",_xlfn.IFNA(VLOOKUP(A107&amp;E107&amp;I107,PMsheet!J:K,2,0),0),(_xlfn.IFNA(VLOOKUP(A107&amp;E107&amp;I107,PMsheet!J:K,2,0),0)*'Master Data-C19RM'!$C$2))</f>
        <v>0</v>
      </c>
      <c r="O107" s="492" t="str">
        <f>IF(L107="", "",SETUP!$E$7)</f>
        <v/>
      </c>
      <c r="P107" s="444">
        <f>IF($O107="USD",_xlfn.IFNA(VLOOKUP($A107&amp;$E107&amp;$I107,PMsheet!$J:$K,2,0),0),(_xlfn.IFNA(VLOOKUP($A107&amp;$E107&amp;$I107,PMsheet!$J:$K,2,0),0)*'Master Data-C19RM'!$C$2))</f>
        <v>0</v>
      </c>
      <c r="Q107" s="441"/>
      <c r="R107" s="441"/>
      <c r="S107" s="441"/>
      <c r="T107" s="441"/>
      <c r="U107" s="481">
        <f t="shared" si="7"/>
        <v>0</v>
      </c>
      <c r="V107" s="483">
        <f>IF(SETUP!$E$7="USD",(U107*(IF(O107="USD",P107,(P107/'Master Data-C19RM'!$C$2)))),(U107*(IF(O107="EUR",P107,(P107*'Master Data-C19RM'!$C$2)))))</f>
        <v>0</v>
      </c>
      <c r="W107" s="444">
        <f>IF($O107="USD",_xlfn.IFNA(VLOOKUP($A107&amp;$E107&amp;$I107,PMsheet!$J:$K,2,0),0),(_xlfn.IFNA(VLOOKUP($A107&amp;$E107&amp;$I107,PMsheet!$J:$K,2,0),0)*'Master Data-C19RM'!$D$2))</f>
        <v>0</v>
      </c>
      <c r="X107" s="441"/>
      <c r="Y107" s="441"/>
      <c r="Z107" s="441"/>
      <c r="AA107" s="441"/>
      <c r="AB107" s="481">
        <f t="shared" si="1"/>
        <v>0</v>
      </c>
      <c r="AC107" s="483">
        <f>IF(SETUP!$E$7="USD",(AB107*(IF(O107="USD",W107,(W107/'Master Data-C19RM'!$D$2)))),(AB107*(IF(O107="EUR",W107,(W107*'Master Data-C19RM'!$D$2)))))</f>
        <v>0</v>
      </c>
      <c r="AD107" s="444">
        <f>IF($O107="USD",_xlfn.IFNA(VLOOKUP($A107&amp;$E107&amp;$I107,PMsheet!$J:$K,2,0),0),(_xlfn.IFNA(VLOOKUP($A107&amp;$E107&amp;$I107,PMsheet!$J:$K,2,0),0)*'Master Data-C19RM'!$E$2))</f>
        <v>0</v>
      </c>
      <c r="AE107" s="441"/>
      <c r="AF107" s="441"/>
      <c r="AG107" s="441"/>
      <c r="AH107" s="441"/>
      <c r="AI107" s="512">
        <f t="shared" si="8"/>
        <v>0</v>
      </c>
      <c r="AJ107" s="513">
        <f>IF(SETUP!$E$7="USD",(AI107*(IF(O107="USD",AD107,(AD107/'Master Data-C19RM'!$E$2)))),(AI107*(IF(O107="EUR",AD107,(AD107*'Master Data-C19RM'!$E$2)))))</f>
        <v>0</v>
      </c>
      <c r="AK107" s="444">
        <f>IF($O107="USD",_xlfn.IFNA(VLOOKUP($A107&amp;$E107&amp;$I107,PMsheet!$J:$K,2,0),0),(_xlfn.IFNA(VLOOKUP($A107&amp;$E107&amp;$I107,PMsheet!$J:$K,2,0),0)*'Master Data-C19RM'!$F$2))</f>
        <v>0</v>
      </c>
      <c r="AL107" s="441"/>
      <c r="AM107" s="441"/>
      <c r="AN107" s="441"/>
      <c r="AO107" s="441"/>
      <c r="AP107" s="481">
        <f t="shared" si="3"/>
        <v>0</v>
      </c>
      <c r="AQ107" s="483">
        <f>IF(SETUP!$E$7="USD",(AP107*(IF(O107="USD",AK107,(AK107/'Master Data-C19RM'!$F$2)))),(AP107*(IF(O107="EUR",AK107,(AK107*'Master Data-C19RM'!$F$2)))))</f>
        <v>0</v>
      </c>
      <c r="AR107" s="444">
        <f>IF($O107="USD",_xlfn.IFNA(VLOOKUP($A107&amp;$E107&amp;$I107,PMsheet!$J:$K,2,0),0),(_xlfn.IFNA(VLOOKUP($A107&amp;$E107&amp;$I107,PMsheet!$J:$K,2,0),0)*'Master Data-C19RM'!$G$2))</f>
        <v>0</v>
      </c>
      <c r="AS107" s="441"/>
      <c r="AT107" s="441"/>
      <c r="AU107" s="441"/>
      <c r="AV107" s="441"/>
      <c r="AW107" s="481">
        <f t="shared" si="9"/>
        <v>0</v>
      </c>
      <c r="AX107" s="483">
        <f>IF(SETUP!$E$7="USD",(AW107*(IF(O107="USD",AR107,(AR107/'Master Data-C19RM'!$G$2)))),(AW107*(IF(O107="EUR",AR107,(AR107*'Master Data-C19RM'!$G$2)))))</f>
        <v>0</v>
      </c>
      <c r="AY107" s="851"/>
      <c r="AZ107" s="851"/>
      <c r="BA107" s="851"/>
      <c r="BB107" s="851"/>
      <c r="BC107" s="851"/>
      <c r="BD107" s="851"/>
      <c r="BE107" s="852"/>
      <c r="BF107" s="481">
        <f>'C19RM 2021-Lab &amp; Other HPS'!$U107+'C19RM 2021-Lab &amp; Other HPS'!$AB107+AI107+'C19RM 2021-Lab &amp; Other HPS'!$AP107+'C19RM 2021-Lab &amp; Other HPS'!$AW107+BD107</f>
        <v>0</v>
      </c>
      <c r="BG107" s="481">
        <f>'C19RM 2021-Lab &amp; Other HPS'!$V107+'C19RM 2021-Lab &amp; Other HPS'!$AC107+'C19RM 2021-Lab &amp; Other HPS'!$AQ107+'C19RM 2021-Lab &amp; Other HPS'!$AJ107+AX107+BE107</f>
        <v>0</v>
      </c>
      <c r="BH107" s="500" t="str" cm="1">
        <f t="array" ref="BH107">IF(A107&lt;&gt;"",IFERROR(INDEX(PMtbl[[WKst]:[Unit of measure*]],MATCH($A$8&amp;$A107&amp;$E107&amp;$I107,INDEX(PMtbl[Sec]&amp;PMtbl[Category]&amp;PMtbl[Each]&amp;PMtbl[Packaging],0,),0),11),""),"")</f>
        <v/>
      </c>
      <c r="BI107" s="819"/>
      <c r="BJ107" s="502" t="str">
        <f>IFERROR(INDEX(SETUP!$C$19:$G$121,MATCH((INDEX(PMtbl[[WKst]:[Unit of measure*]],MATCH($A107&amp;$E107&amp;$I107,INDEX(PMtbl[Category]&amp;PMtbl[Each]&amp;PMtbl[Packaging],0,),0),3)),SETUP!$D$19:$D$121,0),5),"")</f>
        <v/>
      </c>
      <c r="BK107" s="438" t="str">
        <f>IFERROR(IF((INDEX(SETUP!$C$19:$G$121,MATCH((INDEX(PMtbl[[WKst]:[Unit of measure*]],MATCH($A107&amp;$E107&amp;$I107,INDEX(PMtbl[Category]&amp;PMtbl[Each]&amp;PMtbl[Packaging],0,),0),3)),SETUP!$D$19:$D$121,0),4))="Upfront",0,INDEX(SETUP!$C$19:$G$121,MATCH((INDEX(PMtbl[[WKst]:[Unit of measure*]],MATCH($A107&amp;$E107&amp;$I107,INDEX(PMtbl[Category]&amp;PMtbl[Each]&amp;PMtbl[Packaging],0,),0),3)),SETUP!$D$19:$D$121,0),5)),"")</f>
        <v/>
      </c>
      <c r="BL107" s="157" t="str" cm="1">
        <f t="array" ref="BL107">IF(A107&lt;&gt;"",IFERROR(INDEX(PMtbl[[WKst]:[Unit of measure*]],MATCH($A$8&amp;$A107&amp;$E107&amp;$I107,INDEX(PMtbl[Sec]&amp;PMtbl[Category]&amp;PMtbl[Each]&amp;PMtbl[Packaging],0,),0),11),""),"")</f>
        <v/>
      </c>
      <c r="BO107" s="12">
        <f>IF(N107="",0,IF(SETUP!$E$7="USD",((IF(O107="USD",P107,(P107/'Master Data-C19RM'!$C$2)))),((IF(O107="EUR",P107,(P107*'Master Data-C19RM'!$C$2))))))</f>
        <v>0</v>
      </c>
      <c r="BP107" s="12">
        <f>IF(N107="",0,IF(SETUP!$E$7="USD",((IF(O107="USD",W107,(W107/'Master Data-C19RM'!$D$2)))),((IF(O107="EUR",W107,(W107*'Master Data-C19RM'!$D$2))))))</f>
        <v>0</v>
      </c>
      <c r="BQ107">
        <f>IF(N107="",0,IF(SETUP!$E$7="USD",((IF(O107="USD",AD107,(AD107/'Master Data-C19RM'!$E$2)))),((IF(O107="EUR",AD107,(AD107*'Master Data-C19RM'!$E$2))))))</f>
        <v>0</v>
      </c>
      <c r="BR107">
        <f>IF(N107="",0,IF(SETUP!$E$7="USD",((IF(O107="USD",AK107,(AK107/'Master Data-C19RM'!$F$2)))),((IF(O107="EUR",AK107,(AK107*'Master Data-C19RM'!$F$2))))))</f>
        <v>0</v>
      </c>
      <c r="BS107">
        <f>IF(N107="",0,IF(SETUP!$E$7="USD",((IF(O107="USD",AR107,(AR107/'Master Data-C19RM'!$G$2)))),((IF(O107="EUR",AR107,(AR107*'Master Data-C19RM'!$G$2))))))</f>
        <v>0</v>
      </c>
      <c r="BT107">
        <f>IF(N107="",0,IF(SETUP!$E$7="USD",((IF(O107="USD",AY107,(AY107/'Master Data-C19RM'!$H$2)))),((IF(O107="EUR",AY107,(AY107*'Master Data-C19RM'!$H$2))))))</f>
        <v>0</v>
      </c>
      <c r="BU107" s="12">
        <f t="shared" si="5"/>
        <v>0</v>
      </c>
      <c r="BV107" s="142">
        <f t="shared" si="6"/>
        <v>0</v>
      </c>
    </row>
    <row r="108" spans="1:74" ht="14.5" customHeight="1" x14ac:dyDescent="0.35">
      <c r="A108" s="1192"/>
      <c r="B108" s="1192"/>
      <c r="C108" s="1192"/>
      <c r="D108" s="1192"/>
      <c r="E108" s="1173"/>
      <c r="F108" s="1173"/>
      <c r="G108" s="1173"/>
      <c r="H108" s="1173"/>
      <c r="I108" s="1173"/>
      <c r="J108" s="1173"/>
      <c r="K108" s="1173"/>
      <c r="L108" s="493" t="str" cm="1">
        <f t="array" ref="L108">IF(A108&lt;&gt;"",IFERROR(INDEX(PMtbl[[WKst]:[Unit of measure*]],MATCH($A$8&amp;$A108&amp;$E108&amp;$I108,INDEX(PMtbl[Sec]&amp;PMtbl[Category]&amp;PMtbl[Each]&amp;PMtbl[Packaging],0,),0),14),""),"")</f>
        <v/>
      </c>
      <c r="M108" s="480" t="str">
        <f>IF(L108="","",INDEX(SETUP!$E$20:$E$122,(MATCH(INDEX(PMsheet!$D:$E,MATCH(A108,PMsheet!E:E,0),1),SETUP!$D$20:$D$122,0))))</f>
        <v/>
      </c>
      <c r="N108" s="494">
        <f>IF($O108="USD",_xlfn.IFNA(VLOOKUP(A108&amp;E108&amp;I108,PMsheet!J:K,2,0),0),(_xlfn.IFNA(VLOOKUP(A108&amp;E108&amp;I108,PMsheet!J:K,2,0),0)*'Master Data-C19RM'!$C$2))</f>
        <v>0</v>
      </c>
      <c r="O108" s="495" t="str">
        <f>IF(L108="", "",SETUP!$E$7)</f>
        <v/>
      </c>
      <c r="P108" s="445">
        <f>IF($O108="USD",_xlfn.IFNA(VLOOKUP($A108&amp;$E108&amp;$I108,PMsheet!$J:$K,2,0),0),(_xlfn.IFNA(VLOOKUP($A108&amp;$E108&amp;$I108,PMsheet!$J:$K,2,0),0)*'Master Data-C19RM'!$C$2))</f>
        <v>0</v>
      </c>
      <c r="Q108" s="440"/>
      <c r="R108" s="440"/>
      <c r="S108" s="440"/>
      <c r="T108" s="440"/>
      <c r="U108" s="482">
        <f t="shared" si="7"/>
        <v>0</v>
      </c>
      <c r="V108" s="484">
        <f>IF(SETUP!$E$7="USD",(U108*(IF(O108="USD",P108,(P108/'Master Data-C19RM'!$C$2)))),(U108*(IF(O108="EUR",P108,(P108*'Master Data-C19RM'!$C$2)))))</f>
        <v>0</v>
      </c>
      <c r="W108" s="445">
        <f>IF($O108="USD",_xlfn.IFNA(VLOOKUP($A108&amp;$E108&amp;$I108,PMsheet!$J:$K,2,0),0),(_xlfn.IFNA(VLOOKUP($A108&amp;$E108&amp;$I108,PMsheet!$J:$K,2,0),0)*'Master Data-C19RM'!$D$2))</f>
        <v>0</v>
      </c>
      <c r="X108" s="440"/>
      <c r="Y108" s="440"/>
      <c r="Z108" s="440"/>
      <c r="AA108" s="440"/>
      <c r="AB108" s="482">
        <f t="shared" si="1"/>
        <v>0</v>
      </c>
      <c r="AC108" s="484">
        <f>IF(SETUP!$E$7="USD",(AB108*(IF(O108="USD",W108,(W108/'Master Data-C19RM'!$D$2)))),(AB108*(IF(O108="EUR",W108,(W108*'Master Data-C19RM'!$D$2)))))</f>
        <v>0</v>
      </c>
      <c r="AD108" s="445">
        <f>IF($O108="USD",_xlfn.IFNA(VLOOKUP($A108&amp;$E108&amp;$I108,PMsheet!$J:$K,2,0),0),(_xlfn.IFNA(VLOOKUP($A108&amp;$E108&amp;$I108,PMsheet!$J:$K,2,0),0)*'Master Data-C19RM'!$E$2))</f>
        <v>0</v>
      </c>
      <c r="AE108" s="440"/>
      <c r="AF108" s="440"/>
      <c r="AG108" s="440"/>
      <c r="AH108" s="440"/>
      <c r="AI108" s="514">
        <f t="shared" si="8"/>
        <v>0</v>
      </c>
      <c r="AJ108" s="515">
        <f>IF(SETUP!$E$7="USD",(AI108*(IF(O108="USD",AD108,(AD108/'Master Data-C19RM'!$E$2)))),(AI108*(IF(O108="EUR",AD108,(AD108*'Master Data-C19RM'!$E$2)))))</f>
        <v>0</v>
      </c>
      <c r="AK108" s="445">
        <f>IF($O108="USD",_xlfn.IFNA(VLOOKUP($A108&amp;$E108&amp;$I108,PMsheet!$J:$K,2,0),0),(_xlfn.IFNA(VLOOKUP($A108&amp;$E108&amp;$I108,PMsheet!$J:$K,2,0),0)*'Master Data-C19RM'!$F$2))</f>
        <v>0</v>
      </c>
      <c r="AL108" s="440"/>
      <c r="AM108" s="440"/>
      <c r="AN108" s="440"/>
      <c r="AO108" s="440"/>
      <c r="AP108" s="482">
        <f t="shared" si="3"/>
        <v>0</v>
      </c>
      <c r="AQ108" s="484">
        <f>IF(SETUP!$E$7="USD",(AP108*(IF(O108="USD",AK108,(AK108/'Master Data-C19RM'!$F$2)))),(AP108*(IF(O108="EUR",AK108,(AK108*'Master Data-C19RM'!$F$2)))))</f>
        <v>0</v>
      </c>
      <c r="AR108" s="445">
        <f>IF($O108="USD",_xlfn.IFNA(VLOOKUP($A108&amp;$E108&amp;$I108,PMsheet!$J:$K,2,0),0),(_xlfn.IFNA(VLOOKUP($A108&amp;$E108&amp;$I108,PMsheet!$J:$K,2,0),0)*'Master Data-C19RM'!$G$2))</f>
        <v>0</v>
      </c>
      <c r="AS108" s="440"/>
      <c r="AT108" s="440"/>
      <c r="AU108" s="440"/>
      <c r="AV108" s="440"/>
      <c r="AW108" s="482">
        <f t="shared" si="9"/>
        <v>0</v>
      </c>
      <c r="AX108" s="484">
        <f>IF(SETUP!$E$7="USD",(AW108*(IF(O108="USD",AR108,(AR108/'Master Data-C19RM'!$G$2)))),(AW108*(IF(O108="EUR",AR108,(AR108*'Master Data-C19RM'!$G$2)))))</f>
        <v>0</v>
      </c>
      <c r="AY108" s="843"/>
      <c r="AZ108" s="843"/>
      <c r="BA108" s="843"/>
      <c r="BB108" s="843"/>
      <c r="BC108" s="843"/>
      <c r="BD108" s="843"/>
      <c r="BE108" s="844"/>
      <c r="BF108" s="482">
        <f>'C19RM 2021-Lab &amp; Other HPS'!$U108+'C19RM 2021-Lab &amp; Other HPS'!$AB108+AI108+'C19RM 2021-Lab &amp; Other HPS'!$AP108+'C19RM 2021-Lab &amp; Other HPS'!$AW108+BD108</f>
        <v>0</v>
      </c>
      <c r="BG108" s="482">
        <f>'C19RM 2021-Lab &amp; Other HPS'!$V108+'C19RM 2021-Lab &amp; Other HPS'!$AC108+'C19RM 2021-Lab &amp; Other HPS'!$AQ108+'C19RM 2021-Lab &amp; Other HPS'!$AJ108+AX108+BE108</f>
        <v>0</v>
      </c>
      <c r="BH108" s="499" t="str" cm="1">
        <f t="array" ref="BH108">IF(A108&lt;&gt;"",IFERROR(INDEX(PMtbl[[WKst]:[Unit of measure*]],MATCH($A$8&amp;$A108&amp;$E108&amp;$I108,INDEX(PMtbl[Sec]&amp;PMtbl[Category]&amp;PMtbl[Each]&amp;PMtbl[Packaging],0,),0),11),""),"")</f>
        <v/>
      </c>
      <c r="BI108" s="818"/>
      <c r="BJ108" s="503" t="str">
        <f>IFERROR(INDEX(SETUP!$C$19:$G$121,MATCH((INDEX(PMtbl[[WKst]:[Unit of measure*]],MATCH($A108&amp;$E108&amp;$I108,INDEX(PMtbl[Category]&amp;PMtbl[Each]&amp;PMtbl[Packaging],0,),0),3)),SETUP!$D$19:$D$121,0),5),"")</f>
        <v/>
      </c>
      <c r="BK108" s="439" t="str">
        <f>IFERROR(IF((INDEX(SETUP!$C$19:$G$121,MATCH((INDEX(PMtbl[[WKst]:[Unit of measure*]],MATCH($A108&amp;$E108&amp;$I108,INDEX(PMtbl[Category]&amp;PMtbl[Each]&amp;PMtbl[Packaging],0,),0),3)),SETUP!$D$19:$D$121,0),4))="Upfront",0,INDEX(SETUP!$C$19:$G$121,MATCH((INDEX(PMtbl[[WKst]:[Unit of measure*]],MATCH($A108&amp;$E108&amp;$I108,INDEX(PMtbl[Category]&amp;PMtbl[Each]&amp;PMtbl[Packaging],0,),0),3)),SETUP!$D$19:$D$121,0),5)),"")</f>
        <v/>
      </c>
      <c r="BL108" s="158" t="str" cm="1">
        <f t="array" ref="BL108">IF(A108&lt;&gt;"",IFERROR(INDEX(PMtbl[[WKst]:[Unit of measure*]],MATCH($A$8&amp;$A108&amp;$E108&amp;$I108,INDEX(PMtbl[Sec]&amp;PMtbl[Category]&amp;PMtbl[Each]&amp;PMtbl[Packaging],0,),0),11),""),"")</f>
        <v/>
      </c>
      <c r="BO108" s="12">
        <f>IF(N108="",0,IF(SETUP!$E$7="USD",((IF(O108="USD",P108,(P108/'Master Data-C19RM'!$C$2)))),((IF(O108="EUR",P108,(P108*'Master Data-C19RM'!$C$2))))))</f>
        <v>0</v>
      </c>
      <c r="BP108" s="12">
        <f>IF(N108="",0,IF(SETUP!$E$7="USD",((IF(O108="USD",W108,(W108/'Master Data-C19RM'!$D$2)))),((IF(O108="EUR",W108,(W108*'Master Data-C19RM'!$D$2))))))</f>
        <v>0</v>
      </c>
      <c r="BQ108">
        <f>IF(N108="",0,IF(SETUP!$E$7="USD",((IF(O108="USD",AD108,(AD108/'Master Data-C19RM'!$E$2)))),((IF(O108="EUR",AD108,(AD108*'Master Data-C19RM'!$E$2))))))</f>
        <v>0</v>
      </c>
      <c r="BR108">
        <f>IF(N108="",0,IF(SETUP!$E$7="USD",((IF(O108="USD",AK108,(AK108/'Master Data-C19RM'!$F$2)))),((IF(O108="EUR",AK108,(AK108*'Master Data-C19RM'!$F$2))))))</f>
        <v>0</v>
      </c>
      <c r="BS108">
        <f>IF(N108="",0,IF(SETUP!$E$7="USD",((IF(O108="USD",AR108,(AR108/'Master Data-C19RM'!$G$2)))),((IF(O108="EUR",AR108,(AR108*'Master Data-C19RM'!$G$2))))))</f>
        <v>0</v>
      </c>
      <c r="BT108">
        <f>IF(N108="",0,IF(SETUP!$E$7="USD",((IF(O108="USD",AY108,(AY108/'Master Data-C19RM'!$H$2)))),((IF(O108="EUR",AY108,(AY108*'Master Data-C19RM'!$H$2))))))</f>
        <v>0</v>
      </c>
      <c r="BU108" s="12">
        <f t="shared" si="5"/>
        <v>0</v>
      </c>
      <c r="BV108" s="142">
        <f t="shared" si="6"/>
        <v>0</v>
      </c>
    </row>
    <row r="109" spans="1:74" ht="14.5" customHeight="1" x14ac:dyDescent="0.35">
      <c r="A109" s="1200"/>
      <c r="B109" s="1201"/>
      <c r="C109" s="1201"/>
      <c r="D109" s="1202"/>
      <c r="E109" s="1216"/>
      <c r="F109" s="1217"/>
      <c r="G109" s="1217"/>
      <c r="H109" s="1218"/>
      <c r="I109" s="1216"/>
      <c r="J109" s="1217"/>
      <c r="K109" s="1218"/>
      <c r="L109" s="490" t="str" cm="1">
        <f t="array" ref="L109">IF(A109&lt;&gt;"",IFERROR(INDEX(PMtbl[[WKst]:[Unit of measure*]],MATCH($A$8&amp;$A109&amp;$E109&amp;$I109,INDEX(PMtbl[Sec]&amp;PMtbl[Category]&amp;PMtbl[Each]&amp;PMtbl[Packaging],0,),0),14),""),"")</f>
        <v/>
      </c>
      <c r="M109" s="479" t="str">
        <f>IF(L109="","",INDEX(SETUP!$E$20:$E$122,(MATCH(INDEX(PMsheet!$D:$E,MATCH(A109,PMsheet!E:E,0),1),SETUP!$D$20:$D$122,0))))</f>
        <v/>
      </c>
      <c r="N109" s="496">
        <f>IF($O109="USD",_xlfn.IFNA(VLOOKUP(A109&amp;E109&amp;I109,PMsheet!J:K,2,0),0),(_xlfn.IFNA(VLOOKUP(A109&amp;E109&amp;I109,PMsheet!J:K,2,0),0)*'Master Data-C19RM'!$C$2))</f>
        <v>0</v>
      </c>
      <c r="O109" s="492" t="str">
        <f>IF(L109="", "",SETUP!$E$7)</f>
        <v/>
      </c>
      <c r="P109" s="444">
        <f>IF($O109="USD",_xlfn.IFNA(VLOOKUP($A109&amp;$E109&amp;$I109,PMsheet!$J:$K,2,0),0),(_xlfn.IFNA(VLOOKUP($A109&amp;$E109&amp;$I109,PMsheet!$J:$K,2,0),0)*'Master Data-C19RM'!$C$2))</f>
        <v>0</v>
      </c>
      <c r="Q109" s="441"/>
      <c r="R109" s="441"/>
      <c r="S109" s="441"/>
      <c r="T109" s="441"/>
      <c r="U109" s="481">
        <f t="shared" si="7"/>
        <v>0</v>
      </c>
      <c r="V109" s="483">
        <f>IF(SETUP!$E$7="USD",(U109*(IF(O109="USD",P109,(P109/'Master Data-C19RM'!$C$2)))),(U109*(IF(O109="EUR",P109,(P109*'Master Data-C19RM'!$C$2)))))</f>
        <v>0</v>
      </c>
      <c r="W109" s="444">
        <f>IF($O109="USD",_xlfn.IFNA(VLOOKUP($A109&amp;$E109&amp;$I109,PMsheet!$J:$K,2,0),0),(_xlfn.IFNA(VLOOKUP($A109&amp;$E109&amp;$I109,PMsheet!$J:$K,2,0),0)*'Master Data-C19RM'!$D$2))</f>
        <v>0</v>
      </c>
      <c r="X109" s="441"/>
      <c r="Y109" s="441"/>
      <c r="Z109" s="441"/>
      <c r="AA109" s="441"/>
      <c r="AB109" s="481">
        <f t="shared" si="1"/>
        <v>0</v>
      </c>
      <c r="AC109" s="483">
        <f>IF(SETUP!$E$7="USD",(AB109*(IF(O109="USD",W109,(W109/'Master Data-C19RM'!$D$2)))),(AB109*(IF(O109="EUR",W109,(W109*'Master Data-C19RM'!$D$2)))))</f>
        <v>0</v>
      </c>
      <c r="AD109" s="444">
        <f>IF($O109="USD",_xlfn.IFNA(VLOOKUP($A109&amp;$E109&amp;$I109,PMsheet!$J:$K,2,0),0),(_xlfn.IFNA(VLOOKUP($A109&amp;$E109&amp;$I109,PMsheet!$J:$K,2,0),0)*'Master Data-C19RM'!$E$2))</f>
        <v>0</v>
      </c>
      <c r="AE109" s="441"/>
      <c r="AF109" s="441"/>
      <c r="AG109" s="441"/>
      <c r="AH109" s="441"/>
      <c r="AI109" s="512">
        <f t="shared" si="8"/>
        <v>0</v>
      </c>
      <c r="AJ109" s="513">
        <f>IF(SETUP!$E$7="USD",(AI109*(IF(O109="USD",AD109,(AD109/'Master Data-C19RM'!$E$2)))),(AI109*(IF(O109="EUR",AD109,(AD109*'Master Data-C19RM'!$E$2)))))</f>
        <v>0</v>
      </c>
      <c r="AK109" s="444">
        <f>IF($O109="USD",_xlfn.IFNA(VLOOKUP($A109&amp;$E109&amp;$I109,PMsheet!$J:$K,2,0),0),(_xlfn.IFNA(VLOOKUP($A109&amp;$E109&amp;$I109,PMsheet!$J:$K,2,0),0)*'Master Data-C19RM'!$F$2))</f>
        <v>0</v>
      </c>
      <c r="AL109" s="441"/>
      <c r="AM109" s="441"/>
      <c r="AN109" s="441"/>
      <c r="AO109" s="441"/>
      <c r="AP109" s="481">
        <f t="shared" si="3"/>
        <v>0</v>
      </c>
      <c r="AQ109" s="483">
        <f>IF(SETUP!$E$7="USD",(AP109*(IF(O109="USD",AK109,(AK109/'Master Data-C19RM'!$F$2)))),(AP109*(IF(O109="EUR",AK109,(AK109*'Master Data-C19RM'!$F$2)))))</f>
        <v>0</v>
      </c>
      <c r="AR109" s="444">
        <f>IF($O109="USD",_xlfn.IFNA(VLOOKUP($A109&amp;$E109&amp;$I109,PMsheet!$J:$K,2,0),0),(_xlfn.IFNA(VLOOKUP($A109&amp;$E109&amp;$I109,PMsheet!$J:$K,2,0),0)*'Master Data-C19RM'!$G$2))</f>
        <v>0</v>
      </c>
      <c r="AS109" s="441"/>
      <c r="AT109" s="441"/>
      <c r="AU109" s="441"/>
      <c r="AV109" s="441"/>
      <c r="AW109" s="481">
        <f t="shared" si="9"/>
        <v>0</v>
      </c>
      <c r="AX109" s="483">
        <f>IF(SETUP!$E$7="USD",(AW109*(IF(O109="USD",AR109,(AR109/'Master Data-C19RM'!$G$2)))),(AW109*(IF(O109="EUR",AR109,(AR109*'Master Data-C19RM'!$G$2)))))</f>
        <v>0</v>
      </c>
      <c r="AY109" s="851"/>
      <c r="AZ109" s="851"/>
      <c r="BA109" s="851"/>
      <c r="BB109" s="851"/>
      <c r="BC109" s="851"/>
      <c r="BD109" s="851"/>
      <c r="BE109" s="852"/>
      <c r="BF109" s="481">
        <f>'C19RM 2021-Lab &amp; Other HPS'!$U109+'C19RM 2021-Lab &amp; Other HPS'!$AB109+AI109+'C19RM 2021-Lab &amp; Other HPS'!$AP109+'C19RM 2021-Lab &amp; Other HPS'!$AW109+BD109</f>
        <v>0</v>
      </c>
      <c r="BG109" s="481">
        <f>'C19RM 2021-Lab &amp; Other HPS'!$V109+'C19RM 2021-Lab &amp; Other HPS'!$AC109+'C19RM 2021-Lab &amp; Other HPS'!$AQ109+'C19RM 2021-Lab &amp; Other HPS'!$AJ109+AX109+BE109</f>
        <v>0</v>
      </c>
      <c r="BH109" s="500" t="str" cm="1">
        <f t="array" ref="BH109">IF(A109&lt;&gt;"",IFERROR(INDEX(PMtbl[[WKst]:[Unit of measure*]],MATCH($A$8&amp;$A109&amp;$E109&amp;$I109,INDEX(PMtbl[Sec]&amp;PMtbl[Category]&amp;PMtbl[Each]&amp;PMtbl[Packaging],0,),0),11),""),"")</f>
        <v/>
      </c>
      <c r="BI109" s="819"/>
      <c r="BJ109" s="502" t="str">
        <f>IFERROR(INDEX(SETUP!$C$19:$G$121,MATCH((INDEX(PMtbl[[WKst]:[Unit of measure*]],MATCH($A109&amp;$E109&amp;$I109,INDEX(PMtbl[Category]&amp;PMtbl[Each]&amp;PMtbl[Packaging],0,),0),3)),SETUP!$D$19:$D$121,0),5),"")</f>
        <v/>
      </c>
      <c r="BK109" s="438" t="str">
        <f>IFERROR(IF((INDEX(SETUP!$C$19:$G$121,MATCH((INDEX(PMtbl[[WKst]:[Unit of measure*]],MATCH($A109&amp;$E109&amp;$I109,INDEX(PMtbl[Category]&amp;PMtbl[Each]&amp;PMtbl[Packaging],0,),0),3)),SETUP!$D$19:$D$121,0),4))="Upfront",0,INDEX(SETUP!$C$19:$G$121,MATCH((INDEX(PMtbl[[WKst]:[Unit of measure*]],MATCH($A109&amp;$E109&amp;$I109,INDEX(PMtbl[Category]&amp;PMtbl[Each]&amp;PMtbl[Packaging],0,),0),3)),SETUP!$D$19:$D$121,0),5)),"")</f>
        <v/>
      </c>
      <c r="BL109" s="157" t="str" cm="1">
        <f t="array" ref="BL109">IF(A109&lt;&gt;"",IFERROR(INDEX(PMtbl[[WKst]:[Unit of measure*]],MATCH($A$8&amp;$A109&amp;$E109&amp;$I109,INDEX(PMtbl[Sec]&amp;PMtbl[Category]&amp;PMtbl[Each]&amp;PMtbl[Packaging],0,),0),11),""),"")</f>
        <v/>
      </c>
      <c r="BO109" s="12">
        <f>IF(N109="",0,IF(SETUP!$E$7="USD",((IF(O109="USD",P109,(P109/'Master Data-C19RM'!$C$2)))),((IF(O109="EUR",P109,(P109*'Master Data-C19RM'!$C$2))))))</f>
        <v>0</v>
      </c>
      <c r="BP109" s="12">
        <f>IF(N109="",0,IF(SETUP!$E$7="USD",((IF(O109="USD",W109,(W109/'Master Data-C19RM'!$D$2)))),((IF(O109="EUR",W109,(W109*'Master Data-C19RM'!$D$2))))))</f>
        <v>0</v>
      </c>
      <c r="BQ109">
        <f>IF(N109="",0,IF(SETUP!$E$7="USD",((IF(O109="USD",AD109,(AD109/'Master Data-C19RM'!$E$2)))),((IF(O109="EUR",AD109,(AD109*'Master Data-C19RM'!$E$2))))))</f>
        <v>0</v>
      </c>
      <c r="BR109">
        <f>IF(N109="",0,IF(SETUP!$E$7="USD",((IF(O109="USD",AK109,(AK109/'Master Data-C19RM'!$F$2)))),((IF(O109="EUR",AK109,(AK109*'Master Data-C19RM'!$F$2))))))</f>
        <v>0</v>
      </c>
      <c r="BS109">
        <f>IF(N109="",0,IF(SETUP!$E$7="USD",((IF(O109="USD",AR109,(AR109/'Master Data-C19RM'!$G$2)))),((IF(O109="EUR",AR109,(AR109*'Master Data-C19RM'!$G$2))))))</f>
        <v>0</v>
      </c>
      <c r="BT109">
        <f>IF(N109="",0,IF(SETUP!$E$7="USD",((IF(O109="USD",AY109,(AY109/'Master Data-C19RM'!$H$2)))),((IF(O109="EUR",AY109,(AY109*'Master Data-C19RM'!$H$2))))))</f>
        <v>0</v>
      </c>
      <c r="BU109" s="12">
        <f t="shared" si="5"/>
        <v>0</v>
      </c>
      <c r="BV109" s="142">
        <f t="shared" si="6"/>
        <v>0</v>
      </c>
    </row>
    <row r="110" spans="1:74" ht="14.5" customHeight="1" x14ac:dyDescent="0.35">
      <c r="A110" s="1192"/>
      <c r="B110" s="1192"/>
      <c r="C110" s="1192"/>
      <c r="D110" s="1192"/>
      <c r="E110" s="1219"/>
      <c r="F110" s="1220"/>
      <c r="G110" s="1220"/>
      <c r="H110" s="1221"/>
      <c r="I110" s="1173"/>
      <c r="J110" s="1173"/>
      <c r="K110" s="1173"/>
      <c r="L110" s="493" t="str" cm="1">
        <f t="array" ref="L110">IF(A110&lt;&gt;"",IFERROR(INDEX(PMtbl[[WKst]:[Unit of measure*]],MATCH($A$8&amp;$A110&amp;$E110&amp;$I110,INDEX(PMtbl[Sec]&amp;PMtbl[Category]&amp;PMtbl[Each]&amp;PMtbl[Packaging],0,),0),14),""),"")</f>
        <v/>
      </c>
      <c r="M110" s="480" t="str">
        <f>IF(L110="","",INDEX(SETUP!$E$20:$E$122,(MATCH(INDEX(PMsheet!$D:$E,MATCH(A110,PMsheet!E:E,0),1),SETUP!$D$20:$D$122,0))))</f>
        <v/>
      </c>
      <c r="N110" s="494">
        <f>IF($O110="USD",_xlfn.IFNA(VLOOKUP(A110&amp;E110&amp;I110,PMsheet!J:K,2,0),0),(_xlfn.IFNA(VLOOKUP(A110&amp;E110&amp;I110,PMsheet!J:K,2,0),0)*'Master Data-C19RM'!$C$2))</f>
        <v>0</v>
      </c>
      <c r="O110" s="495" t="str">
        <f>IF(L110="", "",SETUP!$E$7)</f>
        <v/>
      </c>
      <c r="P110" s="445">
        <f>IF($O110="USD",_xlfn.IFNA(VLOOKUP($A110&amp;$E110&amp;$I110,PMsheet!$J:$K,2,0),0),(_xlfn.IFNA(VLOOKUP($A110&amp;$E110&amp;$I110,PMsheet!$J:$K,2,0),0)*'Master Data-C19RM'!$C$2))</f>
        <v>0</v>
      </c>
      <c r="Q110" s="440"/>
      <c r="R110" s="440"/>
      <c r="S110" s="440"/>
      <c r="T110" s="440"/>
      <c r="U110" s="482">
        <f t="shared" si="7"/>
        <v>0</v>
      </c>
      <c r="V110" s="484">
        <f>IF(SETUP!$E$7="USD",(U110*(IF(O110="USD",P110,(P110/'Master Data-C19RM'!$C$2)))),(U110*(IF(O110="EUR",P110,(P110*'Master Data-C19RM'!$C$2)))))</f>
        <v>0</v>
      </c>
      <c r="W110" s="445">
        <f>IF($O110="USD",_xlfn.IFNA(VLOOKUP($A110&amp;$E110&amp;$I110,PMsheet!$J:$K,2,0),0),(_xlfn.IFNA(VLOOKUP($A110&amp;$E110&amp;$I110,PMsheet!$J:$K,2,0),0)*'Master Data-C19RM'!$D$2))</f>
        <v>0</v>
      </c>
      <c r="X110" s="440"/>
      <c r="Y110" s="440"/>
      <c r="Z110" s="440"/>
      <c r="AA110" s="440"/>
      <c r="AB110" s="482">
        <f t="shared" si="1"/>
        <v>0</v>
      </c>
      <c r="AC110" s="484">
        <f>IF(SETUP!$E$7="USD",(AB110*(IF(O110="USD",W110,(W110/'Master Data-C19RM'!$D$2)))),(AB110*(IF(O110="EUR",W110,(W110*'Master Data-C19RM'!$D$2)))))</f>
        <v>0</v>
      </c>
      <c r="AD110" s="445">
        <f>IF($O110="USD",_xlfn.IFNA(VLOOKUP($A110&amp;$E110&amp;$I110,PMsheet!$J:$K,2,0),0),(_xlfn.IFNA(VLOOKUP($A110&amp;$E110&amp;$I110,PMsheet!$J:$K,2,0),0)*'Master Data-C19RM'!$E$2))</f>
        <v>0</v>
      </c>
      <c r="AE110" s="440"/>
      <c r="AF110" s="440"/>
      <c r="AG110" s="440"/>
      <c r="AH110" s="440"/>
      <c r="AI110" s="514">
        <f t="shared" si="8"/>
        <v>0</v>
      </c>
      <c r="AJ110" s="515">
        <f>IF(SETUP!$E$7="USD",(AI110*(IF(O110="USD",AD110,(AD110/'Master Data-C19RM'!$E$2)))),(AI110*(IF(O110="EUR",AD110,(AD110*'Master Data-C19RM'!$E$2)))))</f>
        <v>0</v>
      </c>
      <c r="AK110" s="445">
        <f>IF($O110="USD",_xlfn.IFNA(VLOOKUP($A110&amp;$E110&amp;$I110,PMsheet!$J:$K,2,0),0),(_xlfn.IFNA(VLOOKUP($A110&amp;$E110&amp;$I110,PMsheet!$J:$K,2,0),0)*'Master Data-C19RM'!$F$2))</f>
        <v>0</v>
      </c>
      <c r="AL110" s="440"/>
      <c r="AM110" s="440"/>
      <c r="AN110" s="440"/>
      <c r="AO110" s="440"/>
      <c r="AP110" s="482">
        <f t="shared" si="3"/>
        <v>0</v>
      </c>
      <c r="AQ110" s="484">
        <f>IF(SETUP!$E$7="USD",(AP110*(IF(O110="USD",AK110,(AK110/'Master Data-C19RM'!$F$2)))),(AP110*(IF(O110="EUR",AK110,(AK110*'Master Data-C19RM'!$F$2)))))</f>
        <v>0</v>
      </c>
      <c r="AR110" s="445">
        <f>IF($O110="USD",_xlfn.IFNA(VLOOKUP($A110&amp;$E110&amp;$I110,PMsheet!$J:$K,2,0),0),(_xlfn.IFNA(VLOOKUP($A110&amp;$E110&amp;$I110,PMsheet!$J:$K,2,0),0)*'Master Data-C19RM'!$G$2))</f>
        <v>0</v>
      </c>
      <c r="AS110" s="440"/>
      <c r="AT110" s="440"/>
      <c r="AU110" s="440"/>
      <c r="AV110" s="440"/>
      <c r="AW110" s="482">
        <f t="shared" si="9"/>
        <v>0</v>
      </c>
      <c r="AX110" s="484">
        <f>IF(SETUP!$E$7="USD",(AW110*(IF(O110="USD",AR110,(AR110/'Master Data-C19RM'!$G$2)))),(AW110*(IF(O110="EUR",AR110,(AR110*'Master Data-C19RM'!$G$2)))))</f>
        <v>0</v>
      </c>
      <c r="AY110" s="843"/>
      <c r="AZ110" s="843"/>
      <c r="BA110" s="843"/>
      <c r="BB110" s="843"/>
      <c r="BC110" s="843"/>
      <c r="BD110" s="843"/>
      <c r="BE110" s="844"/>
      <c r="BF110" s="482">
        <f>'C19RM 2021-Lab &amp; Other HPS'!$U110+'C19RM 2021-Lab &amp; Other HPS'!$AB110+AI110+'C19RM 2021-Lab &amp; Other HPS'!$AP110+'C19RM 2021-Lab &amp; Other HPS'!$AW110+BD110</f>
        <v>0</v>
      </c>
      <c r="BG110" s="482">
        <f>'C19RM 2021-Lab &amp; Other HPS'!$V110+'C19RM 2021-Lab &amp; Other HPS'!$AC110+'C19RM 2021-Lab &amp; Other HPS'!$AQ110+'C19RM 2021-Lab &amp; Other HPS'!$AJ110+AX110+BE110</f>
        <v>0</v>
      </c>
      <c r="BH110" s="499" t="str" cm="1">
        <f t="array" ref="BH110">IF(A110&lt;&gt;"",IFERROR(INDEX(PMtbl[[WKst]:[Unit of measure*]],MATCH($A$8&amp;$A110&amp;$E110&amp;$I110,INDEX(PMtbl[Sec]&amp;PMtbl[Category]&amp;PMtbl[Each]&amp;PMtbl[Packaging],0,),0),11),""),"")</f>
        <v/>
      </c>
      <c r="BI110" s="818"/>
      <c r="BJ110" s="503" t="str">
        <f>IFERROR(INDEX(SETUP!$C$19:$G$121,MATCH((INDEX(PMtbl[[WKst]:[Unit of measure*]],MATCH($A110&amp;$E110&amp;$I110,INDEX(PMtbl[Category]&amp;PMtbl[Each]&amp;PMtbl[Packaging],0,),0),3)),SETUP!$D$19:$D$121,0),5),"")</f>
        <v/>
      </c>
      <c r="BK110" s="439" t="str">
        <f>IFERROR(IF((INDEX(SETUP!$C$19:$G$121,MATCH((INDEX(PMtbl[[WKst]:[Unit of measure*]],MATCH($A110&amp;$E110&amp;$I110,INDEX(PMtbl[Category]&amp;PMtbl[Each]&amp;PMtbl[Packaging],0,),0),3)),SETUP!$D$19:$D$121,0),4))="Upfront",0,INDEX(SETUP!$C$19:$G$121,MATCH((INDEX(PMtbl[[WKst]:[Unit of measure*]],MATCH($A110&amp;$E110&amp;$I110,INDEX(PMtbl[Category]&amp;PMtbl[Each]&amp;PMtbl[Packaging],0,),0),3)),SETUP!$D$19:$D$121,0),5)),"")</f>
        <v/>
      </c>
      <c r="BL110" s="158" t="str" cm="1">
        <f t="array" ref="BL110">IF(A110&lt;&gt;"",IFERROR(INDEX(PMtbl[[WKst]:[Unit of measure*]],MATCH($A$8&amp;$A110&amp;$E110&amp;$I110,INDEX(PMtbl[Sec]&amp;PMtbl[Category]&amp;PMtbl[Each]&amp;PMtbl[Packaging],0,),0),11),""),"")</f>
        <v/>
      </c>
      <c r="BO110" s="12">
        <f>IF(N110="",0,IF(SETUP!$E$7="USD",((IF(O110="USD",P110,(P110/'Master Data-C19RM'!$C$2)))),((IF(O110="EUR",P110,(P110*'Master Data-C19RM'!$C$2))))))</f>
        <v>0</v>
      </c>
      <c r="BP110" s="12">
        <f>IF(N110="",0,IF(SETUP!$E$7="USD",((IF(O110="USD",W110,(W110/'Master Data-C19RM'!$D$2)))),((IF(O110="EUR",W110,(W110*'Master Data-C19RM'!$D$2))))))</f>
        <v>0</v>
      </c>
      <c r="BQ110">
        <f>IF(N110="",0,IF(SETUP!$E$7="USD",((IF(O110="USD",AD110,(AD110/'Master Data-C19RM'!$E$2)))),((IF(O110="EUR",AD110,(AD110*'Master Data-C19RM'!$E$2))))))</f>
        <v>0</v>
      </c>
      <c r="BR110">
        <f>IF(N110="",0,IF(SETUP!$E$7="USD",((IF(O110="USD",AK110,(AK110/'Master Data-C19RM'!$F$2)))),((IF(O110="EUR",AK110,(AK110*'Master Data-C19RM'!$F$2))))))</f>
        <v>0</v>
      </c>
      <c r="BS110">
        <f>IF(N110="",0,IF(SETUP!$E$7="USD",((IF(O110="USD",AR110,(AR110/'Master Data-C19RM'!$G$2)))),((IF(O110="EUR",AR110,(AR110*'Master Data-C19RM'!$G$2))))))</f>
        <v>0</v>
      </c>
      <c r="BT110">
        <f>IF(N110="",0,IF(SETUP!$E$7="USD",((IF(O110="USD",AY110,(AY110/'Master Data-C19RM'!$H$2)))),((IF(O110="EUR",AY110,(AY110*'Master Data-C19RM'!$H$2))))))</f>
        <v>0</v>
      </c>
      <c r="BU110" s="12">
        <f t="shared" si="5"/>
        <v>0</v>
      </c>
      <c r="BV110" s="142">
        <f t="shared" si="6"/>
        <v>0</v>
      </c>
    </row>
    <row r="111" spans="1:74" ht="14.5" customHeight="1" x14ac:dyDescent="0.35">
      <c r="A111" s="1200"/>
      <c r="B111" s="1201"/>
      <c r="C111" s="1201"/>
      <c r="D111" s="1202"/>
      <c r="E111" s="1216"/>
      <c r="F111" s="1217"/>
      <c r="G111" s="1217"/>
      <c r="H111" s="1218"/>
      <c r="I111" s="1216"/>
      <c r="J111" s="1217"/>
      <c r="K111" s="1218"/>
      <c r="L111" s="490" t="str" cm="1">
        <f t="array" ref="L111">IF(A111&lt;&gt;"",IFERROR(INDEX(PMtbl[[WKst]:[Unit of measure*]],MATCH($A$8&amp;$A111&amp;$E111&amp;$I111,INDEX(PMtbl[Sec]&amp;PMtbl[Category]&amp;PMtbl[Each]&amp;PMtbl[Packaging],0,),0),14),""),"")</f>
        <v/>
      </c>
      <c r="M111" s="479" t="str">
        <f>IF(L111="","",INDEX(SETUP!$E$20:$E$122,(MATCH(INDEX(PMsheet!$D:$E,MATCH(A111,PMsheet!E:E,0),1),SETUP!$D$20:$D$122,0))))</f>
        <v/>
      </c>
      <c r="N111" s="496">
        <f>IF($O111="USD",_xlfn.IFNA(VLOOKUP(A111&amp;E111&amp;I111,PMsheet!J:K,2,0),0),(_xlfn.IFNA(VLOOKUP(A111&amp;E111&amp;I111,PMsheet!J:K,2,0),0)*'Master Data-C19RM'!$C$2))</f>
        <v>0</v>
      </c>
      <c r="O111" s="492" t="str">
        <f>IF(L111="", "",SETUP!$E$7)</f>
        <v/>
      </c>
      <c r="P111" s="444">
        <f>IF($O111="USD",_xlfn.IFNA(VLOOKUP($A111&amp;$E111&amp;$I111,PMsheet!$J:$K,2,0),0),(_xlfn.IFNA(VLOOKUP($A111&amp;$E111&amp;$I111,PMsheet!$J:$K,2,0),0)*'Master Data-C19RM'!$C$2))</f>
        <v>0</v>
      </c>
      <c r="Q111" s="441"/>
      <c r="R111" s="441"/>
      <c r="S111" s="441"/>
      <c r="T111" s="441"/>
      <c r="U111" s="481">
        <f t="shared" si="7"/>
        <v>0</v>
      </c>
      <c r="V111" s="483">
        <f>IF(SETUP!$E$7="USD",(U111*(IF(O111="USD",P111,(P111/'Master Data-C19RM'!$C$2)))),(U111*(IF(O111="EUR",P111,(P111*'Master Data-C19RM'!$C$2)))))</f>
        <v>0</v>
      </c>
      <c r="W111" s="444">
        <f>IF($O111="USD",_xlfn.IFNA(VLOOKUP($A111&amp;$E111&amp;$I111,PMsheet!$J:$K,2,0),0),(_xlfn.IFNA(VLOOKUP($A111&amp;$E111&amp;$I111,PMsheet!$J:$K,2,0),0)*'Master Data-C19RM'!$D$2))</f>
        <v>0</v>
      </c>
      <c r="X111" s="441"/>
      <c r="Y111" s="441"/>
      <c r="Z111" s="441"/>
      <c r="AA111" s="441"/>
      <c r="AB111" s="481">
        <f t="shared" si="1"/>
        <v>0</v>
      </c>
      <c r="AC111" s="483">
        <f>IF(SETUP!$E$7="USD",(AB111*(IF(O111="USD",W111,(W111/'Master Data-C19RM'!$D$2)))),(AB111*(IF(O111="EUR",W111,(W111*'Master Data-C19RM'!$D$2)))))</f>
        <v>0</v>
      </c>
      <c r="AD111" s="444">
        <f>IF($O111="USD",_xlfn.IFNA(VLOOKUP($A111&amp;$E111&amp;$I111,PMsheet!$J:$K,2,0),0),(_xlfn.IFNA(VLOOKUP($A111&amp;$E111&amp;$I111,PMsheet!$J:$K,2,0),0)*'Master Data-C19RM'!$E$2))</f>
        <v>0</v>
      </c>
      <c r="AE111" s="441"/>
      <c r="AF111" s="441"/>
      <c r="AG111" s="441"/>
      <c r="AH111" s="441"/>
      <c r="AI111" s="512">
        <f t="shared" si="8"/>
        <v>0</v>
      </c>
      <c r="AJ111" s="513">
        <f>IF(SETUP!$E$7="USD",(AI111*(IF(O111="USD",AD111,(AD111/'Master Data-C19RM'!$E$2)))),(AI111*(IF(O111="EUR",AD111,(AD111*'Master Data-C19RM'!$E$2)))))</f>
        <v>0</v>
      </c>
      <c r="AK111" s="444">
        <f>IF($O111="USD",_xlfn.IFNA(VLOOKUP($A111&amp;$E111&amp;$I111,PMsheet!$J:$K,2,0),0),(_xlfn.IFNA(VLOOKUP($A111&amp;$E111&amp;$I111,PMsheet!$J:$K,2,0),0)*'Master Data-C19RM'!$F$2))</f>
        <v>0</v>
      </c>
      <c r="AL111" s="441"/>
      <c r="AM111" s="441"/>
      <c r="AN111" s="441"/>
      <c r="AO111" s="441"/>
      <c r="AP111" s="481">
        <f t="shared" si="3"/>
        <v>0</v>
      </c>
      <c r="AQ111" s="483">
        <f>IF(SETUP!$E$7="USD",(AP111*(IF(O111="USD",AK111,(AK111/'Master Data-C19RM'!$F$2)))),(AP111*(IF(O111="EUR",AK111,(AK111*'Master Data-C19RM'!$F$2)))))</f>
        <v>0</v>
      </c>
      <c r="AR111" s="444">
        <f>IF($O111="USD",_xlfn.IFNA(VLOOKUP($A111&amp;$E111&amp;$I111,PMsheet!$J:$K,2,0),0),(_xlfn.IFNA(VLOOKUP($A111&amp;$E111&amp;$I111,PMsheet!$J:$K,2,0),0)*'Master Data-C19RM'!$G$2))</f>
        <v>0</v>
      </c>
      <c r="AS111" s="441"/>
      <c r="AT111" s="441"/>
      <c r="AU111" s="441"/>
      <c r="AV111" s="441"/>
      <c r="AW111" s="481">
        <f t="shared" si="9"/>
        <v>0</v>
      </c>
      <c r="AX111" s="483">
        <f>IF(SETUP!$E$7="USD",(AW111*(IF(O111="USD",AR111,(AR111/'Master Data-C19RM'!$G$2)))),(AW111*(IF(O111="EUR",AR111,(AR111*'Master Data-C19RM'!$G$2)))))</f>
        <v>0</v>
      </c>
      <c r="AY111" s="851"/>
      <c r="AZ111" s="851"/>
      <c r="BA111" s="851"/>
      <c r="BB111" s="851"/>
      <c r="BC111" s="851"/>
      <c r="BD111" s="851"/>
      <c r="BE111" s="852"/>
      <c r="BF111" s="481">
        <f>'C19RM 2021-Lab &amp; Other HPS'!$U111+'C19RM 2021-Lab &amp; Other HPS'!$AB111+AI111+'C19RM 2021-Lab &amp; Other HPS'!$AP111+'C19RM 2021-Lab &amp; Other HPS'!$AW111+BD111</f>
        <v>0</v>
      </c>
      <c r="BG111" s="481">
        <f>'C19RM 2021-Lab &amp; Other HPS'!$V111+'C19RM 2021-Lab &amp; Other HPS'!$AC111+'C19RM 2021-Lab &amp; Other HPS'!$AQ111+'C19RM 2021-Lab &amp; Other HPS'!$AJ111+AX111+BE111</f>
        <v>0</v>
      </c>
      <c r="BH111" s="500" t="str" cm="1">
        <f t="array" ref="BH111">IF(A111&lt;&gt;"",IFERROR(INDEX(PMtbl[[WKst]:[Unit of measure*]],MATCH($A$8&amp;$A111&amp;$E111&amp;$I111,INDEX(PMtbl[Sec]&amp;PMtbl[Category]&amp;PMtbl[Each]&amp;PMtbl[Packaging],0,),0),11),""),"")</f>
        <v/>
      </c>
      <c r="BI111" s="819"/>
      <c r="BJ111" s="502" t="str">
        <f>IFERROR(INDEX(SETUP!$C$19:$G$121,MATCH((INDEX(PMtbl[[WKst]:[Unit of measure*]],MATCH($A111&amp;$E111&amp;$I111,INDEX(PMtbl[Category]&amp;PMtbl[Each]&amp;PMtbl[Packaging],0,),0),3)),SETUP!$D$19:$D$121,0),5),"")</f>
        <v/>
      </c>
      <c r="BK111" s="438" t="str">
        <f>IFERROR(IF((INDEX(SETUP!$C$19:$G$121,MATCH((INDEX(PMtbl[[WKst]:[Unit of measure*]],MATCH($A111&amp;$E111&amp;$I111,INDEX(PMtbl[Category]&amp;PMtbl[Each]&amp;PMtbl[Packaging],0,),0),3)),SETUP!$D$19:$D$121,0),4))="Upfront",0,INDEX(SETUP!$C$19:$G$121,MATCH((INDEX(PMtbl[[WKst]:[Unit of measure*]],MATCH($A111&amp;$E111&amp;$I111,INDEX(PMtbl[Category]&amp;PMtbl[Each]&amp;PMtbl[Packaging],0,),0),3)),SETUP!$D$19:$D$121,0),5)),"")</f>
        <v/>
      </c>
      <c r="BL111" s="157" t="str" cm="1">
        <f t="array" ref="BL111">IF(A111&lt;&gt;"",IFERROR(INDEX(PMtbl[[WKst]:[Unit of measure*]],MATCH($A$8&amp;$A111&amp;$E111&amp;$I111,INDEX(PMtbl[Sec]&amp;PMtbl[Category]&amp;PMtbl[Each]&amp;PMtbl[Packaging],0,),0),11),""),"")</f>
        <v/>
      </c>
      <c r="BO111" s="12">
        <f>IF(N111="",0,IF(SETUP!$E$7="USD",((IF(O111="USD",P111,(P111/'Master Data-C19RM'!$C$2)))),((IF(O111="EUR",P111,(P111*'Master Data-C19RM'!$C$2))))))</f>
        <v>0</v>
      </c>
      <c r="BP111" s="12">
        <f>IF(N111="",0,IF(SETUP!$E$7="USD",((IF(O111="USD",W111,(W111/'Master Data-C19RM'!$D$2)))),((IF(O111="EUR",W111,(W111*'Master Data-C19RM'!$D$2))))))</f>
        <v>0</v>
      </c>
      <c r="BQ111">
        <f>IF(N111="",0,IF(SETUP!$E$7="USD",((IF(O111="USD",AD111,(AD111/'Master Data-C19RM'!$E$2)))),((IF(O111="EUR",AD111,(AD111*'Master Data-C19RM'!$E$2))))))</f>
        <v>0</v>
      </c>
      <c r="BR111">
        <f>IF(N111="",0,IF(SETUP!$E$7="USD",((IF(O111="USD",AK111,(AK111/'Master Data-C19RM'!$F$2)))),((IF(O111="EUR",AK111,(AK111*'Master Data-C19RM'!$F$2))))))</f>
        <v>0</v>
      </c>
      <c r="BS111">
        <f>IF(N111="",0,IF(SETUP!$E$7="USD",((IF(O111="USD",AR111,(AR111/'Master Data-C19RM'!$G$2)))),((IF(O111="EUR",AR111,(AR111*'Master Data-C19RM'!$G$2))))))</f>
        <v>0</v>
      </c>
      <c r="BT111">
        <f>IF(N111="",0,IF(SETUP!$E$7="USD",((IF(O111="USD",AY111,(AY111/'Master Data-C19RM'!$H$2)))),((IF(O111="EUR",AY111,(AY111*'Master Data-C19RM'!$H$2))))))</f>
        <v>0</v>
      </c>
      <c r="BU111" s="12">
        <f t="shared" si="5"/>
        <v>0</v>
      </c>
      <c r="BV111" s="142">
        <f t="shared" si="6"/>
        <v>0</v>
      </c>
    </row>
    <row r="112" spans="1:74" ht="14.5" customHeight="1" x14ac:dyDescent="0.35">
      <c r="A112" s="1192"/>
      <c r="B112" s="1192"/>
      <c r="C112" s="1192"/>
      <c r="D112" s="1192"/>
      <c r="E112" s="1173"/>
      <c r="F112" s="1173"/>
      <c r="G112" s="1173"/>
      <c r="H112" s="1173"/>
      <c r="I112" s="1173"/>
      <c r="J112" s="1173"/>
      <c r="K112" s="1173"/>
      <c r="L112" s="493" t="str" cm="1">
        <f t="array" ref="L112">IF(A112&lt;&gt;"",IFERROR(INDEX(PMtbl[[WKst]:[Unit of measure*]],MATCH($A$8&amp;$A112&amp;$E112&amp;$I112,INDEX(PMtbl[Sec]&amp;PMtbl[Category]&amp;PMtbl[Each]&amp;PMtbl[Packaging],0,),0),14),""),"")</f>
        <v/>
      </c>
      <c r="M112" s="480" t="str">
        <f>IF(L112="","",INDEX(SETUP!$E$20:$E$122,(MATCH(INDEX(PMsheet!$D:$E,MATCH(A112,PMsheet!E:E,0),1),SETUP!$D$20:$D$122,0))))</f>
        <v/>
      </c>
      <c r="N112" s="494">
        <f>IF($O112="USD",_xlfn.IFNA(VLOOKUP(A112&amp;E112&amp;I112,PMsheet!J:K,2,0),0),(_xlfn.IFNA(VLOOKUP(A112&amp;E112&amp;I112,PMsheet!J:K,2,0),0)*'Master Data-C19RM'!$C$2))</f>
        <v>0</v>
      </c>
      <c r="O112" s="495" t="str">
        <f>IF(L112="", "",SETUP!$E$7)</f>
        <v/>
      </c>
      <c r="P112" s="445">
        <f>IF($O112="USD",_xlfn.IFNA(VLOOKUP($A112&amp;$E112&amp;$I112,PMsheet!$J:$K,2,0),0),(_xlfn.IFNA(VLOOKUP($A112&amp;$E112&amp;$I112,PMsheet!$J:$K,2,0),0)*'Master Data-C19RM'!$C$2))</f>
        <v>0</v>
      </c>
      <c r="Q112" s="440"/>
      <c r="R112" s="440"/>
      <c r="S112" s="440"/>
      <c r="T112" s="440"/>
      <c r="U112" s="482">
        <f t="shared" si="7"/>
        <v>0</v>
      </c>
      <c r="V112" s="484">
        <f>IF(SETUP!$E$7="USD",(U112*(IF(O112="USD",P112,(P112/'Master Data-C19RM'!$C$2)))),(U112*(IF(O112="EUR",P112,(P112*'Master Data-C19RM'!$C$2)))))</f>
        <v>0</v>
      </c>
      <c r="W112" s="445">
        <f>IF($O112="USD",_xlfn.IFNA(VLOOKUP($A112&amp;$E112&amp;$I112,PMsheet!$J:$K,2,0),0),(_xlfn.IFNA(VLOOKUP($A112&amp;$E112&amp;$I112,PMsheet!$J:$K,2,0),0)*'Master Data-C19RM'!$D$2))</f>
        <v>0</v>
      </c>
      <c r="X112" s="440"/>
      <c r="Y112" s="440"/>
      <c r="Z112" s="440"/>
      <c r="AA112" s="440"/>
      <c r="AB112" s="482">
        <f t="shared" si="1"/>
        <v>0</v>
      </c>
      <c r="AC112" s="484">
        <f>IF(SETUP!$E$7="USD",(AB112*(IF(O112="USD",W112,(W112/'Master Data-C19RM'!$D$2)))),(AB112*(IF(O112="EUR",W112,(W112*'Master Data-C19RM'!$D$2)))))</f>
        <v>0</v>
      </c>
      <c r="AD112" s="445">
        <f>IF($O112="USD",_xlfn.IFNA(VLOOKUP($A112&amp;$E112&amp;$I112,PMsheet!$J:$K,2,0),0),(_xlfn.IFNA(VLOOKUP($A112&amp;$E112&amp;$I112,PMsheet!$J:$K,2,0),0)*'Master Data-C19RM'!$E$2))</f>
        <v>0</v>
      </c>
      <c r="AE112" s="440"/>
      <c r="AF112" s="440"/>
      <c r="AG112" s="440"/>
      <c r="AH112" s="440"/>
      <c r="AI112" s="514">
        <f t="shared" si="8"/>
        <v>0</v>
      </c>
      <c r="AJ112" s="515">
        <f>IF(SETUP!$E$7="USD",(AI112*(IF(O112="USD",AD112,(AD112/'Master Data-C19RM'!$E$2)))),(AI112*(IF(O112="EUR",AD112,(AD112*'Master Data-C19RM'!$E$2)))))</f>
        <v>0</v>
      </c>
      <c r="AK112" s="445">
        <f>IF($O112="USD",_xlfn.IFNA(VLOOKUP($A112&amp;$E112&amp;$I112,PMsheet!$J:$K,2,0),0),(_xlfn.IFNA(VLOOKUP($A112&amp;$E112&amp;$I112,PMsheet!$J:$K,2,0),0)*'Master Data-C19RM'!$F$2))</f>
        <v>0</v>
      </c>
      <c r="AL112" s="440"/>
      <c r="AM112" s="440"/>
      <c r="AN112" s="440"/>
      <c r="AO112" s="440"/>
      <c r="AP112" s="482">
        <f t="shared" si="3"/>
        <v>0</v>
      </c>
      <c r="AQ112" s="484">
        <f>IF(SETUP!$E$7="USD",(AP112*(IF(O112="USD",AK112,(AK112/'Master Data-C19RM'!$F$2)))),(AP112*(IF(O112="EUR",AK112,(AK112*'Master Data-C19RM'!$F$2)))))</f>
        <v>0</v>
      </c>
      <c r="AR112" s="445">
        <f>IF($O112="USD",_xlfn.IFNA(VLOOKUP($A112&amp;$E112&amp;$I112,PMsheet!$J:$K,2,0),0),(_xlfn.IFNA(VLOOKUP($A112&amp;$E112&amp;$I112,PMsheet!$J:$K,2,0),0)*'Master Data-C19RM'!$G$2))</f>
        <v>0</v>
      </c>
      <c r="AS112" s="440"/>
      <c r="AT112" s="440"/>
      <c r="AU112" s="440"/>
      <c r="AV112" s="440"/>
      <c r="AW112" s="482">
        <f t="shared" si="9"/>
        <v>0</v>
      </c>
      <c r="AX112" s="484">
        <f>IF(SETUP!$E$7="USD",(AW112*(IF(O112="USD",AR112,(AR112/'Master Data-C19RM'!$G$2)))),(AW112*(IF(O112="EUR",AR112,(AR112*'Master Data-C19RM'!$G$2)))))</f>
        <v>0</v>
      </c>
      <c r="AY112" s="843"/>
      <c r="AZ112" s="843"/>
      <c r="BA112" s="843"/>
      <c r="BB112" s="843"/>
      <c r="BC112" s="843"/>
      <c r="BD112" s="843"/>
      <c r="BE112" s="844"/>
      <c r="BF112" s="482">
        <f>'C19RM 2021-Lab &amp; Other HPS'!$U112+'C19RM 2021-Lab &amp; Other HPS'!$AB112+AI112+'C19RM 2021-Lab &amp; Other HPS'!$AP112+'C19RM 2021-Lab &amp; Other HPS'!$AW112+BD112</f>
        <v>0</v>
      </c>
      <c r="BG112" s="482">
        <f>'C19RM 2021-Lab &amp; Other HPS'!$V112+'C19RM 2021-Lab &amp; Other HPS'!$AC112+'C19RM 2021-Lab &amp; Other HPS'!$AQ112+'C19RM 2021-Lab &amp; Other HPS'!$AJ112+AX112+BE112</f>
        <v>0</v>
      </c>
      <c r="BH112" s="499" t="str" cm="1">
        <f t="array" ref="BH112">IF(A112&lt;&gt;"",IFERROR(INDEX(PMtbl[[WKst]:[Unit of measure*]],MATCH($A$8&amp;$A112&amp;$E112&amp;$I112,INDEX(PMtbl[Sec]&amp;PMtbl[Category]&amp;PMtbl[Each]&amp;PMtbl[Packaging],0,),0),11),""),"")</f>
        <v/>
      </c>
      <c r="BI112" s="818"/>
      <c r="BJ112" s="503" t="str">
        <f>IFERROR(INDEX(SETUP!$C$19:$G$121,MATCH((INDEX(PMtbl[[WKst]:[Unit of measure*]],MATCH($A112&amp;$E112&amp;$I112,INDEX(PMtbl[Category]&amp;PMtbl[Each]&amp;PMtbl[Packaging],0,),0),3)),SETUP!$D$19:$D$121,0),5),"")</f>
        <v/>
      </c>
      <c r="BK112" s="439" t="str">
        <f>IFERROR(IF((INDEX(SETUP!$C$19:$G$121,MATCH((INDEX(PMtbl[[WKst]:[Unit of measure*]],MATCH($A112&amp;$E112&amp;$I112,INDEX(PMtbl[Category]&amp;PMtbl[Each]&amp;PMtbl[Packaging],0,),0),3)),SETUP!$D$19:$D$121,0),4))="Upfront",0,INDEX(SETUP!$C$19:$G$121,MATCH((INDEX(PMtbl[[WKst]:[Unit of measure*]],MATCH($A112&amp;$E112&amp;$I112,INDEX(PMtbl[Category]&amp;PMtbl[Each]&amp;PMtbl[Packaging],0,),0),3)),SETUP!$D$19:$D$121,0),5)),"")</f>
        <v/>
      </c>
      <c r="BL112" s="158" t="str" cm="1">
        <f t="array" ref="BL112">IF(A112&lt;&gt;"",IFERROR(INDEX(PMtbl[[WKst]:[Unit of measure*]],MATCH($A$8&amp;$A112&amp;$E112&amp;$I112,INDEX(PMtbl[Sec]&amp;PMtbl[Category]&amp;PMtbl[Each]&amp;PMtbl[Packaging],0,),0),11),""),"")</f>
        <v/>
      </c>
      <c r="BO112" s="12">
        <f>IF(N112="",0,IF(SETUP!$E$7="USD",((IF(O112="USD",P112,(P112/'Master Data-C19RM'!$C$2)))),((IF(O112="EUR",P112,(P112*'Master Data-C19RM'!$C$2))))))</f>
        <v>0</v>
      </c>
      <c r="BP112" s="12">
        <f>IF(N112="",0,IF(SETUP!$E$7="USD",((IF(O112="USD",W112,(W112/'Master Data-C19RM'!$D$2)))),((IF(O112="EUR",W112,(W112*'Master Data-C19RM'!$D$2))))))</f>
        <v>0</v>
      </c>
      <c r="BQ112">
        <f>IF(N112="",0,IF(SETUP!$E$7="USD",((IF(O112="USD",AD112,(AD112/'Master Data-C19RM'!$E$2)))),((IF(O112="EUR",AD112,(AD112*'Master Data-C19RM'!$E$2))))))</f>
        <v>0</v>
      </c>
      <c r="BR112">
        <f>IF(N112="",0,IF(SETUP!$E$7="USD",((IF(O112="USD",AK112,(AK112/'Master Data-C19RM'!$F$2)))),((IF(O112="EUR",AK112,(AK112*'Master Data-C19RM'!$F$2))))))</f>
        <v>0</v>
      </c>
      <c r="BS112">
        <f>IF(N112="",0,IF(SETUP!$E$7="USD",((IF(O112="USD",AR112,(AR112/'Master Data-C19RM'!$G$2)))),((IF(O112="EUR",AR112,(AR112*'Master Data-C19RM'!$G$2))))))</f>
        <v>0</v>
      </c>
      <c r="BT112">
        <f>IF(N112="",0,IF(SETUP!$E$7="USD",((IF(O112="USD",AY112,(AY112/'Master Data-C19RM'!$H$2)))),((IF(O112="EUR",AY112,(AY112*'Master Data-C19RM'!$H$2))))))</f>
        <v>0</v>
      </c>
      <c r="BU112" s="12">
        <f t="shared" si="5"/>
        <v>0</v>
      </c>
      <c r="BV112" s="142">
        <f t="shared" si="6"/>
        <v>0</v>
      </c>
    </row>
    <row r="113" spans="1:94" ht="14.5" customHeight="1" thickBot="1" x14ac:dyDescent="0.4">
      <c r="A113" s="1222"/>
      <c r="B113" s="1223"/>
      <c r="C113" s="1223"/>
      <c r="D113" s="1224"/>
      <c r="E113" s="1225"/>
      <c r="F113" s="1226"/>
      <c r="G113" s="1226"/>
      <c r="H113" s="1227"/>
      <c r="I113" s="1225"/>
      <c r="J113" s="1226"/>
      <c r="K113" s="1227"/>
      <c r="L113" s="506" t="str" cm="1">
        <f t="array" ref="L113">IF(A113&lt;&gt;"",IFERROR(INDEX(PMtbl[[WKst]:[Unit of measure*]],MATCH($A$8&amp;$A113&amp;$E113&amp;$I113,INDEX(PMtbl[Sec]&amp;PMtbl[Category]&amp;PMtbl[Each]&amp;PMtbl[Packaging],0,),0),14),""),"")</f>
        <v/>
      </c>
      <c r="M113" s="507" t="str">
        <f>IF(L113="","",INDEX(SETUP!$E$20:$E$122,(MATCH(INDEX(PMsheet!$D:$E,MATCH(A113,PMsheet!E:E,0),1),SETUP!$D$20:$D$122,0))))</f>
        <v/>
      </c>
      <c r="N113" s="508">
        <f>IF($O113="USD",_xlfn.IFNA(VLOOKUP(A113&amp;E113&amp;I113,PMsheet!J:K,2,0),0),(_xlfn.IFNA(VLOOKUP(A113&amp;E113&amp;I113,PMsheet!J:K,2,0),0)*'Master Data-C19RM'!$C$2))</f>
        <v>0</v>
      </c>
      <c r="O113" s="509" t="str">
        <f>IF(L113="", "",SETUP!$E$7)</f>
        <v/>
      </c>
      <c r="P113" s="460">
        <f>IF($O113="USD",_xlfn.IFNA(VLOOKUP($A113&amp;$E113&amp;$I113,PMsheet!$J:$K,2,0),0),(_xlfn.IFNA(VLOOKUP($A113&amp;$E113&amp;$I113,PMsheet!$J:$K,2,0),0)*'Master Data-C19RM'!$C$2))</f>
        <v>0</v>
      </c>
      <c r="Q113" s="459"/>
      <c r="R113" s="459"/>
      <c r="S113" s="459"/>
      <c r="T113" s="459"/>
      <c r="U113" s="510">
        <f t="shared" si="7"/>
        <v>0</v>
      </c>
      <c r="V113" s="511">
        <f>IF(SETUP!$E$7="USD",(U113*(IF(O113="USD",P113,(P113/'Master Data-C19RM'!$C$2)))),(U113*(IF(O113="EUR",P113,(P113*'Master Data-C19RM'!$C$2)))))</f>
        <v>0</v>
      </c>
      <c r="W113" s="460">
        <f>IF($O113="USD",_xlfn.IFNA(VLOOKUP($A113&amp;$E113&amp;$I113,PMsheet!$J:$K,2,0),0),(_xlfn.IFNA(VLOOKUP($A113&amp;$E113&amp;$I113,PMsheet!$J:$K,2,0),0)*'Master Data-C19RM'!$D$2))</f>
        <v>0</v>
      </c>
      <c r="X113" s="459"/>
      <c r="Y113" s="459"/>
      <c r="Z113" s="459"/>
      <c r="AA113" s="459"/>
      <c r="AB113" s="510">
        <f t="shared" si="1"/>
        <v>0</v>
      </c>
      <c r="AC113" s="511">
        <f>IF(SETUP!$E$7="USD",(AB113*(IF(O113="USD",W113,(W113/'Master Data-C19RM'!$D$2)))),(AB113*(IF(O113="EUR",W113,(W113*'Master Data-C19RM'!$D$2)))))</f>
        <v>0</v>
      </c>
      <c r="AD113" s="460">
        <f>IF($O113="USD",_xlfn.IFNA(VLOOKUP($A113&amp;$E113&amp;$I113,PMsheet!$J:$K,2,0),0),(_xlfn.IFNA(VLOOKUP($A113&amp;$E113&amp;$I113,PMsheet!$J:$K,2,0),0)*'Master Data-C19RM'!$E$2))</f>
        <v>0</v>
      </c>
      <c r="AE113" s="459"/>
      <c r="AF113" s="459"/>
      <c r="AG113" s="459"/>
      <c r="AH113" s="459"/>
      <c r="AI113" s="516">
        <f t="shared" si="8"/>
        <v>0</v>
      </c>
      <c r="AJ113" s="517">
        <f>IF(SETUP!$E$7="USD",(AI113*(IF(O113="USD",AD113,(AD113/'Master Data-C19RM'!$E$2)))),(AI113*(IF(O113="EUR",AD113,(AD113*'Master Data-C19RM'!$E$2)))))</f>
        <v>0</v>
      </c>
      <c r="AK113" s="460">
        <f>IF($O113="USD",_xlfn.IFNA(VLOOKUP($A113&amp;$E113&amp;$I113,PMsheet!$J:$K,2,0),0),(_xlfn.IFNA(VLOOKUP($A113&amp;$E113&amp;$I113,PMsheet!$J:$K,2,0),0)*'Master Data-C19RM'!$F$2))</f>
        <v>0</v>
      </c>
      <c r="AL113" s="459"/>
      <c r="AM113" s="459"/>
      <c r="AN113" s="459"/>
      <c r="AO113" s="459"/>
      <c r="AP113" s="510">
        <f t="shared" si="3"/>
        <v>0</v>
      </c>
      <c r="AQ113" s="511">
        <f>IF(SETUP!$E$7="USD",(AP113*(IF(O113="USD",AK113,(AK113/'Master Data-C19RM'!$F$2)))),(AP113*(IF(O113="EUR",AK113,(AK113*'Master Data-C19RM'!$F$2)))))</f>
        <v>0</v>
      </c>
      <c r="AR113" s="460">
        <f>IF($O113="USD",_xlfn.IFNA(VLOOKUP($A113&amp;$E113&amp;$I113,PMsheet!$J:$K,2,0),0),(_xlfn.IFNA(VLOOKUP($A113&amp;$E113&amp;$I113,PMsheet!$J:$K,2,0),0)*'Master Data-C19RM'!$G$2))</f>
        <v>0</v>
      </c>
      <c r="AS113" s="459"/>
      <c r="AT113" s="459"/>
      <c r="AU113" s="459"/>
      <c r="AV113" s="459"/>
      <c r="AW113" s="510">
        <f t="shared" si="9"/>
        <v>0</v>
      </c>
      <c r="AX113" s="511">
        <f>IF(SETUP!$E$7="USD",(AW113*(IF(O113="USD",AR113,(AR113/'Master Data-C19RM'!$G$2)))),(AW113*(IF(O113="EUR",AR113,(AR113*'Master Data-C19RM'!$G$2)))))</f>
        <v>0</v>
      </c>
      <c r="AY113" s="853"/>
      <c r="AZ113" s="853"/>
      <c r="BA113" s="853"/>
      <c r="BB113" s="853"/>
      <c r="BC113" s="853"/>
      <c r="BD113" s="853"/>
      <c r="BE113" s="854"/>
      <c r="BF113" s="510">
        <f>'C19RM 2021-Lab &amp; Other HPS'!$U113+'C19RM 2021-Lab &amp; Other HPS'!$AB113+AI113+'C19RM 2021-Lab &amp; Other HPS'!$AP113+'C19RM 2021-Lab &amp; Other HPS'!$AW113+BD113</f>
        <v>0</v>
      </c>
      <c r="BG113" s="510">
        <f>'C19RM 2021-Lab &amp; Other HPS'!$V113+'C19RM 2021-Lab &amp; Other HPS'!$AC113+'C19RM 2021-Lab &amp; Other HPS'!$AQ113+'C19RM 2021-Lab &amp; Other HPS'!$AJ113+AX113+BE113</f>
        <v>0</v>
      </c>
      <c r="BH113" s="524" t="str" cm="1">
        <f t="array" ref="BH113">IF(A113&lt;&gt;"",IFERROR(INDEX(PMtbl[[WKst]:[Unit of measure*]],MATCH($A$8&amp;$A113&amp;$E113&amp;$I113,INDEX(PMtbl[Sec]&amp;PMtbl[Category]&amp;PMtbl[Each]&amp;PMtbl[Packaging],0,),0),11),""),"")</f>
        <v/>
      </c>
      <c r="BI113" s="821"/>
      <c r="BJ113" s="527" t="str">
        <f>IFERROR(INDEX(SETUP!$C$19:$G$121,MATCH((INDEX(PMtbl[[WKst]:[Unit of measure*]],MATCH($A113&amp;$E113&amp;$I113,INDEX(PMtbl[Category]&amp;PMtbl[Each]&amp;PMtbl[Packaging],0,),0),3)),SETUP!$D$19:$D$121,0),5),"")</f>
        <v/>
      </c>
      <c r="BK113" s="438" t="str" cm="1">
        <f t="array" ref="BK113">IFERROR(IF((INDEX(SETUP!$C$19:$G$121,MATCH((INDEX(PMtbl[[WKst]:[Unit of measure*]],MATCH($A113&amp;$E113&amp;$I113,INDEX(PMtbl[Category]&amp;PMtbl[Each]&amp;PMtbl[Packaging],0,),0),3)),SETUP!$D$19:$D$121,0),4))="Upfront",0,INDEX(SETUP!$C$19:$G$121,MATCH((INDEX(PMtbl[[WKst]:[Unit of measure*]],MATCH($A113&amp;$E113&amp;$I113,INDEX(PMtbl[Category]&amp;PMtbl[Each]&amp;PMtbl[Packaging],0,),0),3)),SETUP!$D$19:$D$121,0),5)),"")</f>
        <v/>
      </c>
      <c r="BL113" s="157" t="str" cm="1">
        <f t="array" ref="BL113">IF(A113&lt;&gt;"",IFERROR(INDEX(PMtbl[[WKst]:[Unit of measure*]],MATCH($A$8&amp;$A113&amp;$E113&amp;$I113,INDEX(PMtbl[Sec]&amp;PMtbl[Category]&amp;PMtbl[Each]&amp;PMtbl[Packaging],0,),0),11),""),"")</f>
        <v/>
      </c>
      <c r="BO113" s="12">
        <f>IF(N113="",0,IF(SETUP!$E$7="USD",((IF(O113="USD",P113,(P113/'Master Data-C19RM'!$C$2)))),((IF(O113="EUR",P113,(P113*'Master Data-C19RM'!$C$2))))))</f>
        <v>0</v>
      </c>
      <c r="BP113" s="12">
        <f>IF(N113="",0,IF(SETUP!$E$7="USD",((IF(O113="USD",W113,(W113/'Master Data-C19RM'!$D$2)))),((IF(O113="EUR",W113,(W113*'Master Data-C19RM'!$D$2))))))</f>
        <v>0</v>
      </c>
      <c r="BQ113">
        <f>IF(N113="",0,IF(SETUP!$E$7="USD",((IF(O113="USD",AD113,(AD113/'Master Data-C19RM'!$E$2)))),((IF(O113="EUR",AD113,(AD113*'Master Data-C19RM'!$E$2))))))</f>
        <v>0</v>
      </c>
      <c r="BR113">
        <f>IF(N113="",0,IF(SETUP!$E$7="USD",((IF(O113="USD",AK113,(AK113/'Master Data-C19RM'!$F$2)))),((IF(O113="EUR",AK113,(AK113*'Master Data-C19RM'!$F$2))))))</f>
        <v>0</v>
      </c>
      <c r="BS113">
        <f>IF(N113="",0,IF(SETUP!$E$7="USD",((IF(O113="USD",AR113,(AR113/'Master Data-C19RM'!$G$2)))),((IF(O113="EUR",AR113,(AR113*'Master Data-C19RM'!$G$2))))))</f>
        <v>0</v>
      </c>
      <c r="BT113">
        <f>IF(N113="",0,IF(SETUP!$E$7="USD",((IF(O113="USD",AY113,(AY113/'Master Data-C19RM'!$H$2)))),((IF(O113="EUR",AY113,(AY113*'Master Data-C19RM'!$H$2))))))</f>
        <v>0</v>
      </c>
      <c r="BU113" s="12">
        <f t="shared" si="5"/>
        <v>0</v>
      </c>
      <c r="BV113" s="142">
        <f t="shared" si="6"/>
        <v>0</v>
      </c>
    </row>
    <row r="114" spans="1:94" ht="15" thickBot="1" x14ac:dyDescent="0.4">
      <c r="A114" s="33"/>
      <c r="B114" s="33"/>
      <c r="C114" s="92"/>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50"/>
      <c r="AJ114" s="51"/>
      <c r="AK114" s="33"/>
      <c r="AL114" s="33"/>
      <c r="AM114" s="33"/>
      <c r="AN114" s="33"/>
      <c r="AO114" s="33"/>
      <c r="AP114" s="50"/>
      <c r="AQ114" s="51"/>
      <c r="BK114" s="12"/>
    </row>
    <row r="115" spans="1:94" ht="22.5" customHeight="1" thickBot="1" x14ac:dyDescent="0.4">
      <c r="A115" s="1140">
        <v>2</v>
      </c>
      <c r="B115" s="1142" t="s">
        <v>3029</v>
      </c>
      <c r="C115" s="1142"/>
      <c r="D115" s="1134" t="s">
        <v>3030</v>
      </c>
      <c r="E115" s="1134"/>
      <c r="F115" s="1134"/>
      <c r="G115" s="1135"/>
      <c r="H115"/>
      <c r="I115"/>
      <c r="J115"/>
      <c r="K115"/>
      <c r="L115"/>
      <c r="O115" s="1145" t="str">
        <f>CONCATENATE(J7," ",SETUP!E7)</f>
        <v xml:space="preserve">Total Amount in </v>
      </c>
      <c r="P115" s="532" t="s">
        <v>125</v>
      </c>
      <c r="Q115" s="532" t="s">
        <v>126</v>
      </c>
      <c r="R115" s="532" t="s">
        <v>127</v>
      </c>
      <c r="S115" s="532" t="s">
        <v>128</v>
      </c>
      <c r="T115" s="532" t="s">
        <v>661</v>
      </c>
      <c r="U115" s="533" t="s">
        <v>129</v>
      </c>
      <c r="V115" s="17"/>
      <c r="W115" s="17"/>
      <c r="X115" s="17"/>
      <c r="Y115" s="17"/>
      <c r="Z115" s="17"/>
      <c r="AA115" s="17"/>
      <c r="AB115" s="17"/>
      <c r="AC115" s="17"/>
      <c r="AD115" s="17"/>
      <c r="AE115" s="17"/>
      <c r="AF115" s="17"/>
      <c r="AG115" s="17"/>
      <c r="AH115" s="17"/>
      <c r="AI115" s="52"/>
      <c r="AJ115" s="43"/>
      <c r="AK115" s="17"/>
      <c r="AL115" s="17"/>
      <c r="AM115" s="17"/>
      <c r="AN115" s="17"/>
      <c r="AO115" s="17"/>
      <c r="AP115" s="52"/>
      <c r="AQ115" s="43"/>
      <c r="BK115" s="12"/>
    </row>
    <row r="116" spans="1:94" ht="32.5" customHeight="1" thickBot="1" x14ac:dyDescent="0.4">
      <c r="A116" s="1141"/>
      <c r="B116" s="1143"/>
      <c r="C116" s="1143"/>
      <c r="D116" s="1194" t="s">
        <v>3031</v>
      </c>
      <c r="E116" s="1194"/>
      <c r="F116" s="1194"/>
      <c r="G116" s="1195"/>
      <c r="H116"/>
      <c r="I116"/>
      <c r="J116"/>
      <c r="K116"/>
      <c r="L116"/>
      <c r="O116" s="1146"/>
      <c r="P116" s="534">
        <f>SUM(V121:V220)</f>
        <v>0</v>
      </c>
      <c r="Q116" s="534">
        <f>SUM(AC121:AC220)</f>
        <v>0</v>
      </c>
      <c r="R116" s="534">
        <f>SUM(AJ121:AJ220)</f>
        <v>0</v>
      </c>
      <c r="S116" s="534">
        <f>SUM(AQ121:AQ220)</f>
        <v>0</v>
      </c>
      <c r="T116" s="534">
        <f>SUM(AX121:AX220)</f>
        <v>0</v>
      </c>
      <c r="U116" s="535">
        <f>SUM(P116:T116)</f>
        <v>0</v>
      </c>
      <c r="V116" s="17"/>
      <c r="W116" s="17"/>
      <c r="X116" s="17"/>
      <c r="Y116" s="17"/>
      <c r="Z116" s="17"/>
      <c r="AA116" s="17"/>
      <c r="AB116" s="17"/>
      <c r="AC116" s="17"/>
      <c r="AD116" s="17"/>
      <c r="AE116" s="17"/>
      <c r="AF116" s="17"/>
      <c r="AG116" s="17"/>
      <c r="AH116" s="17"/>
      <c r="AI116" s="52"/>
      <c r="AJ116" s="43"/>
      <c r="AK116" s="17"/>
      <c r="AL116" s="17"/>
      <c r="AM116" s="17"/>
      <c r="AN116" s="17"/>
      <c r="AO116" s="17"/>
      <c r="AP116" s="52"/>
      <c r="AQ116" s="43"/>
      <c r="BK116" s="12"/>
    </row>
    <row r="117" spans="1:94" ht="205" customHeight="1" thickBot="1" x14ac:dyDescent="0.4">
      <c r="A117"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117" s="1148"/>
      <c r="C117" s="1148"/>
      <c r="D117" s="1148"/>
      <c r="E117" s="1148"/>
      <c r="F117" s="1148"/>
      <c r="G117" s="1148"/>
      <c r="H117" s="1148"/>
      <c r="I117" s="1148"/>
      <c r="J117" s="1148"/>
      <c r="K117" s="1148"/>
      <c r="L117" s="1148"/>
      <c r="M117" s="1148"/>
      <c r="N117" s="1148"/>
      <c r="O117" s="1149"/>
      <c r="P117" s="25"/>
      <c r="Q117" s="25"/>
      <c r="R117" s="25"/>
      <c r="S117" s="25"/>
      <c r="T117" s="25"/>
      <c r="U117" s="25"/>
      <c r="V117" s="25"/>
      <c r="W117" s="25"/>
      <c r="X117" s="25"/>
      <c r="Y117" s="25"/>
      <c r="Z117" s="25"/>
      <c r="AA117" s="25"/>
      <c r="AB117" s="25"/>
      <c r="AC117" s="25"/>
      <c r="AD117" s="25"/>
      <c r="AE117" s="25"/>
      <c r="AF117" s="25"/>
      <c r="AG117" s="26"/>
      <c r="AH117" s="26"/>
      <c r="AI117" s="150"/>
      <c r="AJ117" s="26"/>
      <c r="AK117" s="25"/>
      <c r="AL117" s="25"/>
      <c r="AM117" s="25"/>
      <c r="AN117" s="26"/>
      <c r="AO117" s="26"/>
      <c r="AP117" s="150"/>
      <c r="AQ117" s="26"/>
      <c r="BK117" s="12"/>
    </row>
    <row r="118" spans="1:94" s="455" customFormat="1" thickBot="1" x14ac:dyDescent="0.35">
      <c r="A118" s="464"/>
      <c r="B118" s="472"/>
      <c r="C118" s="465"/>
      <c r="D118" s="473"/>
      <c r="E118" s="473"/>
      <c r="F118" s="474"/>
      <c r="G118" s="474"/>
      <c r="H118" s="474"/>
      <c r="I118" s="474"/>
      <c r="J118" s="474"/>
      <c r="K118" s="474"/>
      <c r="L118" s="475"/>
      <c r="M118" s="475"/>
      <c r="N118" s="475"/>
      <c r="O118" s="476"/>
      <c r="P118" s="434" t="s">
        <v>130</v>
      </c>
      <c r="Q118" s="435" t="str">
        <f>Q11</f>
        <v>Jan21 - Mar21</v>
      </c>
      <c r="R118" s="435" t="str">
        <f>R11</f>
        <v>Apr21 - Jun21</v>
      </c>
      <c r="S118" s="435" t="str">
        <f>S11</f>
        <v>Jul21 - Sep21</v>
      </c>
      <c r="T118" s="436" t="str">
        <f>T11</f>
        <v>Oct21 - Dec21</v>
      </c>
      <c r="U118" s="477"/>
      <c r="V118" s="477"/>
      <c r="W118" s="434" t="s">
        <v>130</v>
      </c>
      <c r="X118" s="435" t="str">
        <f>X11</f>
        <v>Jan22 - Mar22</v>
      </c>
      <c r="Y118" s="435" t="str">
        <f>Y11</f>
        <v>Apr22 - Jun22</v>
      </c>
      <c r="Z118" s="435" t="str">
        <f>Z11</f>
        <v>Jul22 - Sep22</v>
      </c>
      <c r="AA118" s="436" t="str">
        <f>AA11</f>
        <v>Oct22 - Dec22</v>
      </c>
      <c r="AB118" s="477"/>
      <c r="AC118" s="477"/>
      <c r="AD118" s="434" t="s">
        <v>130</v>
      </c>
      <c r="AE118" s="435" t="str">
        <f>AE11</f>
        <v>Jan23 - Mar23</v>
      </c>
      <c r="AF118" s="435" t="str">
        <f>AF11</f>
        <v>Apr23 - Jun23</v>
      </c>
      <c r="AG118" s="435" t="str">
        <f>AG11</f>
        <v>Jul23 - Sep23</v>
      </c>
      <c r="AH118" s="436" t="str">
        <f>AH11</f>
        <v>Oct23 - Dec23</v>
      </c>
      <c r="AI118" s="477"/>
      <c r="AJ118" s="477"/>
      <c r="AK118" s="434" t="s">
        <v>130</v>
      </c>
      <c r="AL118" s="435" t="str">
        <f>AL11</f>
        <v>Jan24 - Mar24</v>
      </c>
      <c r="AM118" s="435" t="str">
        <f>AM11</f>
        <v>Apr24 - Jun24</v>
      </c>
      <c r="AN118" s="435" t="str">
        <f>AN11</f>
        <v>Jul24 - Sep24</v>
      </c>
      <c r="AO118" s="436" t="str">
        <f>AO11</f>
        <v>Oct24 - Dec24</v>
      </c>
      <c r="AP118" s="477"/>
      <c r="AQ118" s="477"/>
      <c r="AR118" s="434" t="s">
        <v>130</v>
      </c>
      <c r="AS118" s="836" t="str">
        <f>AS11</f>
        <v>Jan25 - Mar25</v>
      </c>
      <c r="AT118" s="836" t="str">
        <f>AT11</f>
        <v>Apr25 - Jun25</v>
      </c>
      <c r="AU118" s="836" t="str">
        <f>AU11</f>
        <v>Jul25 - Sep25</v>
      </c>
      <c r="AV118" s="898" t="str">
        <f>AV11</f>
        <v>Oct25 - Dec25</v>
      </c>
      <c r="AW118" s="837"/>
      <c r="AX118" s="477"/>
      <c r="AY118" s="434" t="s">
        <v>130</v>
      </c>
      <c r="AZ118" s="898" t="str">
        <f>AZ11</f>
        <v>-</v>
      </c>
      <c r="BA118" s="898" t="str">
        <f t="shared" ref="BA118:BC118" si="10">BA11</f>
        <v>-</v>
      </c>
      <c r="BB118" s="898" t="str">
        <f t="shared" si="10"/>
        <v>-</v>
      </c>
      <c r="BC118" s="899" t="str">
        <f t="shared" si="10"/>
        <v>-</v>
      </c>
      <c r="BD118" s="477"/>
      <c r="BE118" s="477"/>
      <c r="BP118" s="477"/>
      <c r="BQ118" s="477"/>
      <c r="BR118" s="477"/>
      <c r="BS118" s="477"/>
      <c r="BT118" s="477"/>
      <c r="BV118" s="477"/>
      <c r="BW118" s="477"/>
      <c r="BX118" s="477"/>
      <c r="BY118" s="477"/>
      <c r="BZ118" s="477"/>
      <c r="CA118" s="477"/>
      <c r="CB118" s="477"/>
      <c r="CC118" s="477"/>
      <c r="CD118" s="477"/>
      <c r="CE118" s="477"/>
      <c r="CF118" s="477"/>
      <c r="CG118" s="477"/>
      <c r="CH118" s="477"/>
      <c r="CI118" s="477"/>
      <c r="CJ118" s="477"/>
      <c r="CK118" s="477"/>
      <c r="CL118" s="477"/>
      <c r="CM118" s="477"/>
      <c r="CN118" s="477"/>
      <c r="CO118" s="477"/>
      <c r="CP118" s="477"/>
    </row>
    <row r="119" spans="1:94" s="547" customFormat="1" ht="15.75" customHeight="1" thickBot="1" x14ac:dyDescent="0.4">
      <c r="A119" s="1174" t="str">
        <f>A12</f>
        <v>Item Category</v>
      </c>
      <c r="B119" s="1174"/>
      <c r="C119" s="1174"/>
      <c r="D119" s="1174"/>
      <c r="E119" s="1174" t="str">
        <f>E12</f>
        <v>Product Details</v>
      </c>
      <c r="F119" s="1174"/>
      <c r="G119" s="1174"/>
      <c r="H119" s="1174"/>
      <c r="I119" s="1170" t="str">
        <f>I12</f>
        <v>Additional Details</v>
      </c>
      <c r="J119" s="1170"/>
      <c r="K119" s="1170"/>
      <c r="L119" s="1156" t="str">
        <f>L12</f>
        <v>Unit of measure</v>
      </c>
      <c r="M119" s="1157" t="str">
        <f>M12</f>
        <v>Procurement Channel</v>
      </c>
      <c r="N119" s="1157" t="str">
        <f>N12</f>
        <v>Reference Price (In Payment Currency)</v>
      </c>
      <c r="O119" s="1158" t="str">
        <f>O12</f>
        <v>Payment Currency</v>
      </c>
      <c r="P119" s="1167" t="str">
        <f>P12</f>
        <v>2021</v>
      </c>
      <c r="Q119" s="1168"/>
      <c r="R119" s="1168"/>
      <c r="S119" s="1168"/>
      <c r="T119" s="1168"/>
      <c r="U119" s="1168"/>
      <c r="V119" s="1169"/>
      <c r="W119" s="1167" t="str">
        <f>W12</f>
        <v>2022</v>
      </c>
      <c r="X119" s="1168"/>
      <c r="Y119" s="1168"/>
      <c r="Z119" s="1168"/>
      <c r="AA119" s="1168"/>
      <c r="AB119" s="1168"/>
      <c r="AC119" s="1169"/>
      <c r="AD119" s="1167" t="str">
        <f>AD12</f>
        <v>2023</v>
      </c>
      <c r="AE119" s="1168"/>
      <c r="AF119" s="1168"/>
      <c r="AG119" s="1168"/>
      <c r="AH119" s="1168"/>
      <c r="AI119" s="1168"/>
      <c r="AJ119" s="1169"/>
      <c r="AK119" s="1167" t="str">
        <f>AK12</f>
        <v>2024</v>
      </c>
      <c r="AL119" s="1168"/>
      <c r="AM119" s="1168"/>
      <c r="AN119" s="1168"/>
      <c r="AO119" s="1168"/>
      <c r="AP119" s="1168"/>
      <c r="AQ119" s="1169"/>
      <c r="AR119" s="1167" t="str">
        <f>AR12</f>
        <v>2025</v>
      </c>
      <c r="AS119" s="1168"/>
      <c r="AT119" s="1168"/>
      <c r="AU119" s="1168"/>
      <c r="AV119" s="1168"/>
      <c r="AW119" s="1168"/>
      <c r="AX119" s="1169"/>
      <c r="AY119" s="1167" t="str">
        <f>AY12</f>
        <v/>
      </c>
      <c r="AZ119" s="1168"/>
      <c r="BA119" s="1168"/>
      <c r="BB119" s="1168"/>
      <c r="BC119" s="1168"/>
      <c r="BD119" s="1168"/>
      <c r="BE119" s="1169"/>
      <c r="BF119" s="1168" t="str">
        <f>BF12</f>
        <v>Total grant period</v>
      </c>
      <c r="BG119" s="1168"/>
      <c r="BH119" s="1174" t="str">
        <f>BH12</f>
        <v>Cost Input</v>
      </c>
      <c r="BI119" s="1228" t="str">
        <f>BI12</f>
        <v>Comments</v>
      </c>
      <c r="BJ119" s="1230" t="str">
        <f>BJ12</f>
        <v>Delivery Lead Time</v>
      </c>
      <c r="BK119" s="1232" t="e">
        <f>BK12</f>
        <v>#N/A</v>
      </c>
      <c r="BL119" s="546" t="e">
        <f>#REF!</f>
        <v>#REF!</v>
      </c>
      <c r="BP119" s="54"/>
      <c r="BQ119" s="54"/>
      <c r="BR119" s="54"/>
      <c r="BS119" s="54"/>
      <c r="BT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row>
    <row r="120" spans="1:94" s="548" customFormat="1" ht="42.5" thickBot="1" x14ac:dyDescent="0.4">
      <c r="A120" s="1175"/>
      <c r="B120" s="1175"/>
      <c r="C120" s="1175"/>
      <c r="D120" s="1175"/>
      <c r="E120" s="1175"/>
      <c r="F120" s="1175"/>
      <c r="G120" s="1175"/>
      <c r="H120" s="1175"/>
      <c r="I120" s="1171"/>
      <c r="J120" s="1171"/>
      <c r="K120" s="1171"/>
      <c r="L120" s="1159"/>
      <c r="M120" s="1160"/>
      <c r="N120" s="1160"/>
      <c r="O120" s="1161"/>
      <c r="P120" s="449" t="str">
        <f t="shared" ref="P120:V120" si="11">P13</f>
        <v>Y1 Unit cost</v>
      </c>
      <c r="Q120" s="450" t="str">
        <f t="shared" si="11"/>
        <v>Y1 Q1 quantity</v>
      </c>
      <c r="R120" s="450" t="str">
        <f t="shared" si="11"/>
        <v>Y1 Q2 quantity</v>
      </c>
      <c r="S120" s="450" t="str">
        <f t="shared" si="11"/>
        <v>Y1 Q3 quantity</v>
      </c>
      <c r="T120" s="450" t="str">
        <f t="shared" si="11"/>
        <v>Y1 Q4 quantity</v>
      </c>
      <c r="U120" s="450" t="str">
        <f t="shared" si="11"/>
        <v>Y1 Total quantity</v>
      </c>
      <c r="V120" s="451" t="str">
        <f t="shared" si="11"/>
        <v>Y1 Total cost (In Grant Currency -)</v>
      </c>
      <c r="W120" s="449" t="str">
        <f>W13</f>
        <v>Y2 Unit cost</v>
      </c>
      <c r="X120" s="450" t="str">
        <f t="shared" ref="X120:AC120" si="12">X13</f>
        <v>Y2 Q1 quantity</v>
      </c>
      <c r="Y120" s="450" t="str">
        <f t="shared" si="12"/>
        <v>Y2 Q2 quantity</v>
      </c>
      <c r="Z120" s="450" t="str">
        <f t="shared" si="12"/>
        <v>Y2 Q3 quantity</v>
      </c>
      <c r="AA120" s="450" t="str">
        <f t="shared" si="12"/>
        <v>Y2 Q4 quantity</v>
      </c>
      <c r="AB120" s="450" t="str">
        <f t="shared" si="12"/>
        <v>Y2 Total quantity</v>
      </c>
      <c r="AC120" s="451" t="str">
        <f t="shared" si="12"/>
        <v>Y2 Total cost (In Grant Currency -)</v>
      </c>
      <c r="AD120" s="449" t="str">
        <f>AD13</f>
        <v>Y3 Unit cost</v>
      </c>
      <c r="AE120" s="450" t="str">
        <f t="shared" ref="AE120:AJ120" si="13">AE13</f>
        <v>Y3 Q1 quantity</v>
      </c>
      <c r="AF120" s="450" t="str">
        <f t="shared" si="13"/>
        <v>Y3 Q2 quantity</v>
      </c>
      <c r="AG120" s="450" t="str">
        <f t="shared" si="13"/>
        <v>Y3 Q3 quantity</v>
      </c>
      <c r="AH120" s="450" t="str">
        <f t="shared" si="13"/>
        <v>Y3 Q4 quantity</v>
      </c>
      <c r="AI120" s="450" t="str">
        <f t="shared" si="13"/>
        <v>Y3 Total quantity</v>
      </c>
      <c r="AJ120" s="451" t="str">
        <f t="shared" si="13"/>
        <v>Y3 Total cost (In Grant Currency -)</v>
      </c>
      <c r="AK120" s="449" t="str">
        <f>AK13</f>
        <v>Y4 Unit cost</v>
      </c>
      <c r="AL120" s="450" t="str">
        <f t="shared" ref="AL120:BE120" si="14">AL13</f>
        <v>Y4 Q1 quantity</v>
      </c>
      <c r="AM120" s="450" t="str">
        <f t="shared" si="14"/>
        <v>Y4 Q2 quantity</v>
      </c>
      <c r="AN120" s="450" t="str">
        <f t="shared" si="14"/>
        <v>Y4 Q3 quantity</v>
      </c>
      <c r="AO120" s="450" t="str">
        <f t="shared" si="14"/>
        <v>Y4 Q4 quantity</v>
      </c>
      <c r="AP120" s="450" t="str">
        <f t="shared" si="14"/>
        <v>Y4 Total quantity</v>
      </c>
      <c r="AQ120" s="451" t="str">
        <f t="shared" si="14"/>
        <v>Y4 Total cost (In Grant Currency -)</v>
      </c>
      <c r="AR120" s="449" t="str">
        <f t="shared" si="14"/>
        <v>Y5 Unit cost</v>
      </c>
      <c r="AS120" s="450" t="str">
        <f t="shared" si="14"/>
        <v>Y5 Q1 quantity</v>
      </c>
      <c r="AT120" s="450" t="str">
        <f t="shared" si="14"/>
        <v>Y5 Q2 quantity</v>
      </c>
      <c r="AU120" s="450" t="str">
        <f t="shared" si="14"/>
        <v>Y5 Q3 quantity</v>
      </c>
      <c r="AV120" s="450" t="str">
        <f t="shared" si="14"/>
        <v>Y5 Q4 quantity</v>
      </c>
      <c r="AW120" s="450" t="str">
        <f t="shared" si="14"/>
        <v>Y5 Total quantity</v>
      </c>
      <c r="AX120" s="451" t="str">
        <f t="shared" si="14"/>
        <v>Y5 Total cost (In Grant Currency -)</v>
      </c>
      <c r="AY120" s="449" t="str">
        <f t="shared" si="14"/>
        <v>Y6 Unit cost</v>
      </c>
      <c r="AZ120" s="450" t="str">
        <f t="shared" si="14"/>
        <v>Y6 Q1 quantity</v>
      </c>
      <c r="BA120" s="450" t="str">
        <f t="shared" si="14"/>
        <v>Y6 Q2 quantity</v>
      </c>
      <c r="BB120" s="450" t="str">
        <f t="shared" si="14"/>
        <v>Y6 Q3 quantity</v>
      </c>
      <c r="BC120" s="450" t="str">
        <f t="shared" si="14"/>
        <v>Y6 Q4 quantity</v>
      </c>
      <c r="BD120" s="450" t="str">
        <f t="shared" si="14"/>
        <v>Y6 Total quantity</v>
      </c>
      <c r="BE120" s="451" t="str">
        <f t="shared" si="14"/>
        <v>Y6 Total cost (In Grant Currency -)</v>
      </c>
      <c r="BF120" s="582" t="str">
        <f>BF13</f>
        <v>Total quantity</v>
      </c>
      <c r="BG120" s="450" t="str">
        <f>BG13</f>
        <v>Total cost (In Grant Currency -)</v>
      </c>
      <c r="BH120" s="1175"/>
      <c r="BI120" s="1229"/>
      <c r="BJ120" s="1231"/>
      <c r="BK120" s="1232"/>
      <c r="BL120" s="546" t="str">
        <f>BH119</f>
        <v>Cost Input</v>
      </c>
      <c r="BP120" s="54"/>
      <c r="BQ120" s="54"/>
      <c r="BR120" s="54"/>
      <c r="BS120" s="54"/>
      <c r="BT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row>
    <row r="121" spans="1:94" x14ac:dyDescent="0.35">
      <c r="A121" s="1178"/>
      <c r="B121" s="1178"/>
      <c r="C121" s="1178"/>
      <c r="D121" s="1178"/>
      <c r="E121" s="1179"/>
      <c r="F121" s="1179"/>
      <c r="G121" s="1179"/>
      <c r="H121" s="1179"/>
      <c r="I121" s="1179"/>
      <c r="J121" s="1179"/>
      <c r="K121" s="1179"/>
      <c r="L121" s="493" t="str" cm="1">
        <f t="array" ref="L121">IF(A121&lt;&gt;"",IFERROR(INDEX(PMtbl[[WKst]:[Unit of measure*]],MATCH($A$115&amp;$A121&amp;$E121&amp;$I121,INDEX(PMtbl[Sec]&amp;PMtbl[Category]&amp;PMtbl[Each]&amp;PMtbl[Packaging],0,),0),14),""),"")</f>
        <v/>
      </c>
      <c r="M121" s="480" t="str">
        <f>IF(L121="","",INDEX(SETUP!$E$20:$E$122,(MATCH(INDEX(PMsheet!$D:$E,MATCH(A121,PMsheet!E:E,0),1),SETUP!$D$20:$D$122,0))))</f>
        <v/>
      </c>
      <c r="N121" s="494">
        <f>IF($O121="USD",_xlfn.IFNA(VLOOKUP(A121&amp;E121&amp;I121,PMsheet!J:K,2,0),0),(_xlfn.IFNA(VLOOKUP(A121&amp;E121&amp;I121,PMsheet!J:K,2,0),0)*'Master Data-C19RM'!$C$2))</f>
        <v>0</v>
      </c>
      <c r="O121" s="495" t="str">
        <f>IF(L121="", "",SETUP!$E$7)</f>
        <v/>
      </c>
      <c r="P121" s="445">
        <f>IF($O121="USD",_xlfn.IFNA(VLOOKUP($A121&amp;$E121&amp;$I121,PMsheet!$J:$K,2,0),0),(_xlfn.IFNA(VLOOKUP($A121&amp;$E121&amp;$I121,PMsheet!$J:$K,2,0),0)*'Master Data-C19RM'!$C$2))</f>
        <v>0</v>
      </c>
      <c r="Q121" s="440"/>
      <c r="R121" s="440"/>
      <c r="S121" s="440"/>
      <c r="T121" s="440"/>
      <c r="U121" s="482">
        <f>SUM($Q121:$T121)</f>
        <v>0</v>
      </c>
      <c r="V121" s="484">
        <f>IF(SETUP!$E$7="USD",(U121*(IF(O121="USD",P121,(P121/'Master Data-C19RM'!$C$2)))),(U121*(IF(O121="EUR",P121,(P121*'Master Data-C19RM'!$C$2)))))</f>
        <v>0</v>
      </c>
      <c r="W121" s="445">
        <f>IF($O121="USD",_xlfn.IFNA(VLOOKUP($A121&amp;$E121&amp;$I121,PMsheet!$J:$K,2,0),0),(_xlfn.IFNA(VLOOKUP($A121&amp;$E121&amp;$I121,PMsheet!$J:$K,2,0),0)*'Master Data-C19RM'!$D$2))</f>
        <v>0</v>
      </c>
      <c r="X121" s="440"/>
      <c r="Y121" s="440"/>
      <c r="Z121" s="440"/>
      <c r="AA121" s="440"/>
      <c r="AB121" s="482">
        <f>SUM($X121:$AA121)</f>
        <v>0</v>
      </c>
      <c r="AC121" s="484">
        <f>IF(SETUP!$E$7="USD",(AB121*(IF(O121="USD",W121,(W121/'Master Data-C19RM'!$D$2)))),(AB121*(IF(O121="EUR",W121,(W121*'Master Data-C19RM'!$D$2)))))</f>
        <v>0</v>
      </c>
      <c r="AD121" s="445">
        <f>IF($O121="USD",_xlfn.IFNA(VLOOKUP($A121&amp;$E121&amp;$I121,PMsheet!$J:$K,2,0),0),(_xlfn.IFNA(VLOOKUP($A121&amp;$E121&amp;$I121,PMsheet!$J:$K,2,0),0)*'Master Data-C19RM'!$E$2))</f>
        <v>0</v>
      </c>
      <c r="AE121" s="440"/>
      <c r="AF121" s="440"/>
      <c r="AG121" s="440"/>
      <c r="AH121" s="440"/>
      <c r="AI121" s="514">
        <f>SUM($AE121:$AH121)</f>
        <v>0</v>
      </c>
      <c r="AJ121" s="515">
        <f>IF(SETUP!$E$7="USD",(AI121*(IF(O121="USD",AD121,(AD121/'Master Data-C19RM'!$E$2)))),(AI121*(IF(O121="EUR",AD121,(AD121*'Master Data-C19RM'!$E$2)))))</f>
        <v>0</v>
      </c>
      <c r="AK121" s="445">
        <f>IF($O121="USD",_xlfn.IFNA(VLOOKUP($A121&amp;$E121&amp;$I121,PMsheet!$J:$K,2,0),0),(_xlfn.IFNA(VLOOKUP($A121&amp;$E121&amp;$I121,PMsheet!$J:$K,2,0),0)*'Master Data-C19RM'!$F$2))</f>
        <v>0</v>
      </c>
      <c r="AL121" s="440"/>
      <c r="AM121" s="440"/>
      <c r="AN121" s="440"/>
      <c r="AO121" s="440"/>
      <c r="AP121" s="482">
        <f>SUM($AL121:$AO121)</f>
        <v>0</v>
      </c>
      <c r="AQ121" s="484">
        <f>IF(SETUP!$E$7="USD",(AP121*(IF(O121="USD",AK121,(AK121/'Master Data-C19RM'!$F$2)))),(AP121*(IF(O121="EUR",AK121,(AK121*'Master Data-C19RM'!$F$2)))))</f>
        <v>0</v>
      </c>
      <c r="AR121" s="923">
        <f>IF($O121="USD",_xlfn.IFNA(VLOOKUP($A121&amp;$E121&amp;$I121,PMsheet!$J:$K,2,0),0),(_xlfn.IFNA(VLOOKUP($A121&amp;$E121&amp;$I121,PMsheet!$J:$K,2,0),0)*'Master Data-C19RM'!$G$2))</f>
        <v>0</v>
      </c>
      <c r="AS121" s="440"/>
      <c r="AT121" s="440"/>
      <c r="AU121" s="440"/>
      <c r="AV121" s="440"/>
      <c r="AW121" s="482">
        <f>SUM($AS121:$AV121)</f>
        <v>0</v>
      </c>
      <c r="AX121" s="498">
        <f>IF(SETUP!$E$7="USD",(AW121*(IF(O121="USD",AR121,(AR121/'Master Data-C19RM'!$G$2)))),(AW121*(IF(O121="EUR",AR121,(AR121*'Master Data-C19RM'!$G$2)))))</f>
        <v>0</v>
      </c>
      <c r="AY121" s="842"/>
      <c r="AZ121" s="843"/>
      <c r="BA121" s="843"/>
      <c r="BB121" s="843"/>
      <c r="BC121" s="843"/>
      <c r="BD121" s="843"/>
      <c r="BE121" s="844"/>
      <c r="BF121" s="482">
        <f>'C19RM 2021-Lab &amp; Other HPS'!$U121+'C19RM 2021-Lab &amp; Other HPS'!$AB121+'C19RM 2021-Lab &amp; Other HPS'!$AP121+'C19RM 2021-Lab &amp; Other HPS'!$AI121+AW121+BD121</f>
        <v>0</v>
      </c>
      <c r="BG121" s="482">
        <f>'C19RM 2021-Lab &amp; Other HPS'!$V121+'C19RM 2021-Lab &amp; Other HPS'!$AC121+'C19RM 2021-Lab &amp; Other HPS'!$AQ121+'C19RM 2021-Lab &amp; Other HPS'!$AJ121+AX121+BE121</f>
        <v>0</v>
      </c>
      <c r="BH121" s="499" t="str" cm="1">
        <f t="array" ref="BH121">IF(A121&lt;&gt;"",IFERROR(INDEX(PMtbl[[WKst]:[Unit of measure*]],MATCH($A$115&amp;$A121&amp;$E121&amp;$I121,INDEX(PMtbl[Sec]&amp;PMtbl[Category]&amp;PMtbl[Each]&amp;PMtbl[Packaging],0,),0),11),""),"")</f>
        <v/>
      </c>
      <c r="BI121" s="818"/>
      <c r="BJ121" s="501" t="str" cm="1">
        <f t="array" ref="BJ121">IFERROR(INDEX(SETUP!$C$19:$G$121,MATCH((INDEX(PMtbl[[WKst]:[Unit of measure*]],MATCH($A121&amp;$E121&amp;$I121,INDEX(PMtbl[Category]&amp;PMtbl[Each]&amp;PMtbl[Packaging],0,),0),3)),SETUP!$D$19:$D$121,0),5),"")</f>
        <v/>
      </c>
      <c r="BK121" s="541" t="str" cm="1">
        <f t="array" ref="BK121">IFERROR(IF((INDEX(SETUP!$C$19:$G$121,MATCH((INDEX(PMtbl[[WKst]:[Unit of measure*]],MATCH($A121&amp;$E121&amp;$I121,INDEX(PMtbl[Category]&amp;PMtbl[Each]&amp;PMtbl[Packaging],0,),0),3)),SETUP!$D$19:$D$121,0),4))="Upfront",0,INDEX(SETUP!$C$19:$G$121,MATCH((INDEX(PMtbl[[WKst]:[Unit of measure*]],MATCH($A121&amp;$E121&amp;$I121,INDEX(PMtbl[Category]&amp;PMtbl[Each]&amp;PMtbl[Packaging],0,),0),3)),SETUP!$D$19:$D$121,0),5)),"")</f>
        <v/>
      </c>
      <c r="BL121" s="199" t="str" cm="1">
        <f t="array" ref="BL121">IF(E121&lt;&gt;"",IFERROR(INDEX(PMtbl[[WKst]:[Unit of measure*]],MATCH($A$115&amp;$A121&amp;$E121&amp;$I121,INDEX(PMtbl[Sec]&amp;PMtbl[Category]&amp;PMtbl[Each]&amp;PMtbl[Packaging],0,),0),11),""),"")</f>
        <v/>
      </c>
      <c r="BO121" s="12">
        <f>IF(N121="",0,IF(SETUP!$E$7="USD",((IF(O121="USD",P121,(P121/'Master Data-C19RM'!$C$2)))),((IF(O121="EUR",P121,(P121*'Master Data-C19RM'!$C$2))))))</f>
        <v>0</v>
      </c>
      <c r="BP121" s="12">
        <f>IF(N121="",0,IF(SETUP!$E$7="USD",((IF(O121="USD",W121,(W121/'Master Data-C19RM'!$D$2)))),((IF(O121="EUR",W121,(W121*'Master Data-C19RM'!$D$2))))))</f>
        <v>0</v>
      </c>
      <c r="BQ121">
        <f>IF(N121="",0,IF(SETUP!$E$7="USD",((IF(O121="USD",AD121,(AD121/'Master Data-C19RM'!$E$2)))),((IF(O121="EUR",AD121,(AD121*'Master Data-C19RM'!$E$2))))))</f>
        <v>0</v>
      </c>
      <c r="BR121">
        <f>IF(N121="",0,IF(SETUP!$E$7="USD",((IF(O121="USD",AK121,(AK121/'Master Data-C19RM'!$F$2)))),((IF(O121="EUR",AK121,(AK121*'Master Data-C19RM'!$F$2))))))</f>
        <v>0</v>
      </c>
      <c r="BS121">
        <f>IF(N121="",0,IF(SETUP!$E$7="USD",((IF(O121="USD",AR121,(AR121/'Master Data-C19RM'!$G$2)))),((IF(O121="EUR",AR121,(AR121*'Master Data-C19RM'!$G$2))))))</f>
        <v>0</v>
      </c>
      <c r="BT121">
        <f>IF(N121="",0,IF(SETUP!$E$7="USD",((IF(O121="USD",AY121,(AY121/'Master Data-C19RM'!$H$2)))),((IF(O121="EUR",AY121,(AY121*'Master Data-C19RM'!$H$2))))))</f>
        <v>0</v>
      </c>
      <c r="BU121" s="12">
        <f t="shared" ref="BU121:BU220" si="15">IF(AND(L121="",(COUNTBLANK(A121:K121)=8)),1,0)</f>
        <v>0</v>
      </c>
      <c r="BV121" s="142">
        <f t="shared" ref="BV121:BV220" si="16">BF121</f>
        <v>0</v>
      </c>
    </row>
    <row r="122" spans="1:94" x14ac:dyDescent="0.35">
      <c r="A122" s="1165"/>
      <c r="B122" s="1165"/>
      <c r="C122" s="1165"/>
      <c r="D122" s="1165"/>
      <c r="E122" s="1166"/>
      <c r="F122" s="1166"/>
      <c r="G122" s="1166"/>
      <c r="H122" s="1166"/>
      <c r="I122" s="1166"/>
      <c r="J122" s="1166"/>
      <c r="K122" s="1166"/>
      <c r="L122" s="490" t="str" cm="1">
        <f t="array" ref="L122">IF(A122&lt;&gt;"",IFERROR(INDEX(PMtbl[[WKst]:[Unit of measure*]],MATCH($A$115&amp;$A122&amp;$E122&amp;$I122,INDEX(PMtbl[Sec]&amp;PMtbl[Category]&amp;PMtbl[Each]&amp;PMtbl[Packaging],0,),0),14),""),"")</f>
        <v/>
      </c>
      <c r="M122" s="479" t="str">
        <f>IF(L122="","",INDEX(SETUP!$E$20:$E$122,(MATCH(INDEX(PMsheet!$D:$E,MATCH(A122,PMsheet!E:E,0),1),SETUP!$D$20:$D$122,0))))</f>
        <v/>
      </c>
      <c r="N122" s="496">
        <f>IF($O122="USD",_xlfn.IFNA(VLOOKUP(A122&amp;E122&amp;I122,PMsheet!J:K,2,0),0),(_xlfn.IFNA(VLOOKUP(A122&amp;E122&amp;I122,PMsheet!J:K,2,0),0)*'Master Data-C19RM'!$C$2))</f>
        <v>0</v>
      </c>
      <c r="O122" s="492" t="str">
        <f>IF(L122="", "",SETUP!$E$7)</f>
        <v/>
      </c>
      <c r="P122" s="456">
        <f>IF($O122="USD",_xlfn.IFNA(VLOOKUP($A122&amp;$E122&amp;$I122,PMsheet!$J:$K,2,0),0),(_xlfn.IFNA(VLOOKUP($A122&amp;$E122&amp;$I122,PMsheet!$J:$K,2,0),0)*'Master Data-C19RM'!$C$2))</f>
        <v>0</v>
      </c>
      <c r="Q122" s="441"/>
      <c r="R122" s="441"/>
      <c r="S122" s="441"/>
      <c r="T122" s="441"/>
      <c r="U122" s="481">
        <f t="shared" ref="U122:U220" si="17">SUM($Q122:$T122)</f>
        <v>0</v>
      </c>
      <c r="V122" s="483">
        <f>IF(SETUP!$E$7="USD",(U122*(IF(O122="USD",P122,(P122/'Master Data-C19RM'!$C$2)))),(U122*(IF(O122="EUR",P122,(P122*'Master Data-C19RM'!$C$2)))))</f>
        <v>0</v>
      </c>
      <c r="W122" s="444">
        <f>IF($O122="USD",_xlfn.IFNA(VLOOKUP($A122&amp;$E122&amp;$I122,PMsheet!$J:$K,2,0),0),(_xlfn.IFNA(VLOOKUP($A122&amp;$E122&amp;$I122,PMsheet!$J:$K,2,0),0)*'Master Data-C19RM'!$D$2))</f>
        <v>0</v>
      </c>
      <c r="X122" s="441"/>
      <c r="Y122" s="441"/>
      <c r="Z122" s="441"/>
      <c r="AA122" s="441"/>
      <c r="AB122" s="481">
        <f t="shared" ref="AB122:AB220" si="18">SUM($X122:$AA122)</f>
        <v>0</v>
      </c>
      <c r="AC122" s="483">
        <f>IF(SETUP!$E$7="USD",(AB122*(IF(O122="USD",W122,(W122/'Master Data-C19RM'!$D$2)))),(AB122*(IF(O122="EUR",W122,(W122*'Master Data-C19RM'!$D$2)))))</f>
        <v>0</v>
      </c>
      <c r="AD122" s="444">
        <f>IF($O122="USD",_xlfn.IFNA(VLOOKUP($A122&amp;$E122&amp;$I122,PMsheet!$J:$K,2,0),0),(_xlfn.IFNA(VLOOKUP($A122&amp;$E122&amp;$I122,PMsheet!$J:$K,2,0),0)*'Master Data-C19RM'!$E$2))</f>
        <v>0</v>
      </c>
      <c r="AE122" s="441"/>
      <c r="AF122" s="441"/>
      <c r="AG122" s="441"/>
      <c r="AH122" s="441"/>
      <c r="AI122" s="512">
        <f t="shared" ref="AI122:AI220" si="19">SUM($AE122:$AH122)</f>
        <v>0</v>
      </c>
      <c r="AJ122" s="513">
        <f>IF(SETUP!$E$7="USD",(AI122*(IF(O122="USD",AD122,(AD122/'Master Data-C19RM'!$E$2)))),(AI122*(IF(O122="EUR",AD122,(AD122*'Master Data-C19RM'!$E$2)))))</f>
        <v>0</v>
      </c>
      <c r="AK122" s="444">
        <f>IF($O122="USD",_xlfn.IFNA(VLOOKUP($A122&amp;$E122&amp;$I122,PMsheet!$J:$K,2,0),0),(_xlfn.IFNA(VLOOKUP($A122&amp;$E122&amp;$I122,PMsheet!$J:$K,2,0),0)*'Master Data-C19RM'!$F$2))</f>
        <v>0</v>
      </c>
      <c r="AL122" s="441"/>
      <c r="AM122" s="441"/>
      <c r="AN122" s="441"/>
      <c r="AO122" s="441"/>
      <c r="AP122" s="512">
        <f t="shared" ref="AP122:AP220" si="20">SUM($AL122:$AO122)</f>
        <v>0</v>
      </c>
      <c r="AQ122" s="513">
        <f>IF(SETUP!$E$7="USD",(AP122*(IF(O122="USD",AK122,(AK122/'Master Data-C19RM'!$F$2)))),(AP122*(IF(O122="EUR",AK122,(AK122*'Master Data-C19RM'!$F$2)))))</f>
        <v>0</v>
      </c>
      <c r="AR122" s="924">
        <f>IF($O122="USD",_xlfn.IFNA(VLOOKUP($A122&amp;$E122&amp;$I122,PMsheet!$J:$K,2,0),0),(_xlfn.IFNA(VLOOKUP($A122&amp;$E122&amp;$I122,PMsheet!$J:$K,2,0),0)*'Master Data-C19RM'!$G$2))</f>
        <v>0</v>
      </c>
      <c r="AS122" s="572"/>
      <c r="AT122" s="572"/>
      <c r="AU122" s="572"/>
      <c r="AV122" s="572"/>
      <c r="AW122" s="512">
        <f t="shared" ref="AW122:AW185" si="21">SUM($AS122:$AV122)</f>
        <v>0</v>
      </c>
      <c r="AX122" s="513">
        <f>IF(SETUP!$E$7="USD",(AW122*(IF(O122="USD",AR122,(AR122/'Master Data-C19RM'!$G$2)))),(AW122*(IF(O122="EUR",AR122,(AR122*'Master Data-C19RM'!$G$2)))))</f>
        <v>0</v>
      </c>
      <c r="AY122" s="845"/>
      <c r="AZ122" s="846"/>
      <c r="BA122" s="846"/>
      <c r="BB122" s="846"/>
      <c r="BC122" s="846"/>
      <c r="BD122" s="846"/>
      <c r="BE122" s="847"/>
      <c r="BF122" s="512">
        <f>'C19RM 2021-Lab &amp; Other HPS'!$U122+'C19RM 2021-Lab &amp; Other HPS'!$AB122+'C19RM 2021-Lab &amp; Other HPS'!$AP122+'C19RM 2021-Lab &amp; Other HPS'!$AI122+AW122+BD122</f>
        <v>0</v>
      </c>
      <c r="BG122" s="512">
        <f>'C19RM 2021-Lab &amp; Other HPS'!$V122+'C19RM 2021-Lab &amp; Other HPS'!$AC122+'C19RM 2021-Lab &amp; Other HPS'!$AQ122+'C19RM 2021-Lab &amp; Other HPS'!$AJ122+AX122+BE122</f>
        <v>0</v>
      </c>
      <c r="BH122" s="500" t="str" cm="1">
        <f t="array" ref="BH122">IF(A122&lt;&gt;"",IFERROR(INDEX(PMtbl[[WKst]:[Unit of measure*]],MATCH($A$115&amp;$A122&amp;$E122&amp;$I122,INDEX(PMtbl[Sec]&amp;PMtbl[Category]&amp;PMtbl[Each]&amp;PMtbl[Packaging],0,),0),11),""),"")</f>
        <v/>
      </c>
      <c r="BI122" s="819"/>
      <c r="BJ122" s="502" t="str" cm="1">
        <f t="array" ref="BJ122">IFERROR(INDEX(SETUP!$C$19:$G$121,MATCH((INDEX(PMtbl[[WKst]:[Unit of measure*]],MATCH($A122&amp;$E122&amp;$I122,INDEX(PMtbl[Category]&amp;PMtbl[Each]&amp;PMtbl[Packaging],0,),0),3)),SETUP!$D$19:$D$121,0),5),"")</f>
        <v/>
      </c>
      <c r="BK122" s="542" t="str" cm="1">
        <f t="array" ref="BK122">IFERROR(IF((INDEX(SETUP!$C$19:$G$121,MATCH((INDEX(PMtbl[[WKst]:[Unit of measure*]],MATCH($A122&amp;$E122&amp;$I122,INDEX(PMtbl[Category]&amp;PMtbl[Each]&amp;PMtbl[Packaging],0,),0),3)),SETUP!$D$19:$D$121,0),4))="Upfront",0,INDEX(SETUP!$C$19:$G$121,MATCH((INDEX(PMtbl[[WKst]:[Unit of measure*]],MATCH($A122&amp;$E122&amp;$I122,INDEX(PMtbl[Category]&amp;PMtbl[Each]&amp;PMtbl[Packaging],0,),0),3)),SETUP!$D$19:$D$121,0),5)),"")</f>
        <v/>
      </c>
      <c r="BL122" s="214" t="str" cm="1">
        <f t="array" ref="BL122">IF(E122&lt;&gt;"",IFERROR(INDEX(PMtbl[[WKst]:[Unit of measure*]],MATCH($A$115&amp;$A122&amp;$E122&amp;$I122,INDEX(PMtbl[Sec]&amp;PMtbl[Category]&amp;PMtbl[Each]&amp;PMtbl[Packaging],0,),0),11),""),"")</f>
        <v/>
      </c>
      <c r="BO122" s="12">
        <f>IF(N122="",0,IF(SETUP!$E$7="USD",((IF(O122="USD",P122,(P122/'Master Data-C19RM'!$C$2)))),((IF(O122="EUR",P122,(P122*'Master Data-C19RM'!$C$2))))))</f>
        <v>0</v>
      </c>
      <c r="BP122" s="12">
        <f>IF(N122="",0,IF(SETUP!$E$7="USD",((IF(O122="USD",W122,(W122/'Master Data-C19RM'!$D$2)))),((IF(O122="EUR",W122,(W122*'Master Data-C19RM'!$D$2))))))</f>
        <v>0</v>
      </c>
      <c r="BQ122">
        <f>IF(N122="",0,IF(SETUP!$E$7="USD",((IF(O122="USD",AD122,(AD122/'Master Data-C19RM'!$E$2)))),((IF(O122="EUR",AD122,(AD122*'Master Data-C19RM'!$E$2))))))</f>
        <v>0</v>
      </c>
      <c r="BR122">
        <f>IF(N122="",0,IF(SETUP!$E$7="USD",((IF(O122="USD",AK122,(AK122/'Master Data-C19RM'!$F$2)))),((IF(O122="EUR",AK122,(AK122*'Master Data-C19RM'!$F$2))))))</f>
        <v>0</v>
      </c>
      <c r="BS122">
        <f>IF(N122="",0,IF(SETUP!$E$7="USD",((IF(O122="USD",AR122,(AR122/'Master Data-C19RM'!$G$2)))),((IF(O122="EUR",AR122,(AR122*'Master Data-C19RM'!$G$2))))))</f>
        <v>0</v>
      </c>
      <c r="BT122">
        <f>IF(N122="",0,IF(SETUP!$E$7="USD",((IF(O122="USD",AY122,(AY122/'Master Data-C19RM'!$H$2)))),((IF(O122="EUR",AY122,(AY122*'Master Data-C19RM'!$H$2))))))</f>
        <v>0</v>
      </c>
      <c r="BU122" s="12">
        <f t="shared" si="15"/>
        <v>0</v>
      </c>
      <c r="BV122" s="142">
        <f t="shared" si="16"/>
        <v>0</v>
      </c>
    </row>
    <row r="123" spans="1:94" x14ac:dyDescent="0.35">
      <c r="A123" s="1192"/>
      <c r="B123" s="1192"/>
      <c r="C123" s="1192"/>
      <c r="D123" s="1192"/>
      <c r="E123" s="1173"/>
      <c r="F123" s="1173"/>
      <c r="G123" s="1173"/>
      <c r="H123" s="1173"/>
      <c r="I123" s="1173"/>
      <c r="J123" s="1173"/>
      <c r="K123" s="1173"/>
      <c r="L123" s="493" t="str" cm="1">
        <f t="array" ref="L123">IF(A123&lt;&gt;"",IFERROR(INDEX(PMtbl[[WKst]:[Unit of measure*]],MATCH($A$115&amp;$A123&amp;$E123&amp;$I123,INDEX(PMtbl[Sec]&amp;PMtbl[Category]&amp;PMtbl[Each]&amp;PMtbl[Packaging],0,),0),14),""),"")</f>
        <v/>
      </c>
      <c r="M123" s="480" t="str">
        <f>IF(L123="","",INDEX(SETUP!$E$20:$E$122,(MATCH(INDEX(PMsheet!$D:$E,MATCH(A123,PMsheet!E:E,0),1),SETUP!$D$20:$D$122,0))))</f>
        <v/>
      </c>
      <c r="N123" s="494">
        <f>IF($O123="USD",_xlfn.IFNA(VLOOKUP(A123&amp;E123&amp;I123,PMsheet!J:K,2,0),0),(_xlfn.IFNA(VLOOKUP(A123&amp;E123&amp;I123,PMsheet!J:K,2,0),0)*'Master Data-C19RM'!$C$2))</f>
        <v>0</v>
      </c>
      <c r="O123" s="495" t="str">
        <f>IF(L123="", "",SETUP!$E$7)</f>
        <v/>
      </c>
      <c r="P123" s="457">
        <f>IF($O123="USD",_xlfn.IFNA(VLOOKUP($A123&amp;$E123&amp;$I123,PMsheet!$J:$K,2,0),0),(_xlfn.IFNA(VLOOKUP($A123&amp;$E123&amp;$I123,PMsheet!$J:$K,2,0),0)*'Master Data-C19RM'!$C$2))</f>
        <v>0</v>
      </c>
      <c r="Q123" s="440"/>
      <c r="R123" s="440"/>
      <c r="S123" s="440"/>
      <c r="T123" s="440"/>
      <c r="U123" s="482">
        <f t="shared" si="17"/>
        <v>0</v>
      </c>
      <c r="V123" s="484">
        <f>IF(SETUP!$E$7="USD",(U123*(IF(O123="USD",P123,(P123/'Master Data-C19RM'!$C$2)))),(U123*(IF(O123="EUR",P123,(P123*'Master Data-C19RM'!$C$2)))))</f>
        <v>0</v>
      </c>
      <c r="W123" s="445">
        <f>IF($O123="USD",_xlfn.IFNA(VLOOKUP($A123&amp;$E123&amp;$I123,PMsheet!$J:$K,2,0),0),(_xlfn.IFNA(VLOOKUP($A123&amp;$E123&amp;$I123,PMsheet!$J:$K,2,0),0)*'Master Data-C19RM'!$D$2))</f>
        <v>0</v>
      </c>
      <c r="X123" s="440"/>
      <c r="Y123" s="440"/>
      <c r="Z123" s="440"/>
      <c r="AA123" s="440"/>
      <c r="AB123" s="482">
        <f t="shared" si="18"/>
        <v>0</v>
      </c>
      <c r="AC123" s="484">
        <f>IF(SETUP!$E$7="USD",(AB123*(IF(O123="USD",W123,(W123/'Master Data-C19RM'!$D$2)))),(AB123*(IF(O123="EUR",W123,(W123*'Master Data-C19RM'!$D$2)))))</f>
        <v>0</v>
      </c>
      <c r="AD123" s="445">
        <f>IF($O123="USD",_xlfn.IFNA(VLOOKUP($A123&amp;$E123&amp;$I123,PMsheet!$J:$K,2,0),0),(_xlfn.IFNA(VLOOKUP($A123&amp;$E123&amp;$I123,PMsheet!$J:$K,2,0),0)*'Master Data-C19RM'!$E$2))</f>
        <v>0</v>
      </c>
      <c r="AE123" s="440"/>
      <c r="AF123" s="440"/>
      <c r="AG123" s="440"/>
      <c r="AH123" s="440"/>
      <c r="AI123" s="514">
        <f t="shared" si="19"/>
        <v>0</v>
      </c>
      <c r="AJ123" s="515">
        <f>IF(SETUP!$E$7="USD",(AI123*(IF(O123="USD",AD123,(AD123/'Master Data-C19RM'!$E$2)))),(AI123*(IF(O123="EUR",AD123,(AD123*'Master Data-C19RM'!$E$2)))))</f>
        <v>0</v>
      </c>
      <c r="AK123" s="445">
        <f>IF($O123="USD",_xlfn.IFNA(VLOOKUP($A123&amp;$E123&amp;$I123,PMsheet!$J:$K,2,0),0),(_xlfn.IFNA(VLOOKUP($A123&amp;$E123&amp;$I123,PMsheet!$J:$K,2,0),0)*'Master Data-C19RM'!$F$2))</f>
        <v>0</v>
      </c>
      <c r="AL123" s="440"/>
      <c r="AM123" s="440"/>
      <c r="AN123" s="440"/>
      <c r="AO123" s="440"/>
      <c r="AP123" s="514">
        <f t="shared" si="20"/>
        <v>0</v>
      </c>
      <c r="AQ123" s="515">
        <f>IF(SETUP!$E$7="USD",(AP123*(IF(O123="USD",AK123,(AK123/'Master Data-C19RM'!$F$2)))),(AP123*(IF(O123="EUR",AK123,(AK123*'Master Data-C19RM'!$F$2)))))</f>
        <v>0</v>
      </c>
      <c r="AR123" s="925">
        <f>IF($O123="USD",_xlfn.IFNA(VLOOKUP($A123&amp;$E123&amp;$I123,PMsheet!$J:$K,2,0),0),(_xlfn.IFNA(VLOOKUP($A123&amp;$E123&amp;$I123,PMsheet!$J:$K,2,0),0)*'Master Data-C19RM'!$G$2))</f>
        <v>0</v>
      </c>
      <c r="AS123" s="926"/>
      <c r="AT123" s="926"/>
      <c r="AU123" s="926"/>
      <c r="AV123" s="926"/>
      <c r="AW123" s="514">
        <f t="shared" si="21"/>
        <v>0</v>
      </c>
      <c r="AX123" s="515">
        <f>IF(SETUP!$E$7="USD",(AW123*(IF(O123="USD",AR123,(AR123/'Master Data-C19RM'!$G$2)))),(AW123*(IF(O123="EUR",AR123,(AR123*'Master Data-C19RM'!$G$2)))))</f>
        <v>0</v>
      </c>
      <c r="AY123" s="845"/>
      <c r="AZ123" s="846"/>
      <c r="BA123" s="846"/>
      <c r="BB123" s="846"/>
      <c r="BC123" s="846"/>
      <c r="BD123" s="846"/>
      <c r="BE123" s="847"/>
      <c r="BF123" s="514">
        <f>'C19RM 2021-Lab &amp; Other HPS'!$U123+'C19RM 2021-Lab &amp; Other HPS'!$AB123+'C19RM 2021-Lab &amp; Other HPS'!$AP123+'C19RM 2021-Lab &amp; Other HPS'!$AI123+AW123+BD123</f>
        <v>0</v>
      </c>
      <c r="BG123" s="514">
        <f>'C19RM 2021-Lab &amp; Other HPS'!$V123+'C19RM 2021-Lab &amp; Other HPS'!$AC123+'C19RM 2021-Lab &amp; Other HPS'!$AQ123+'C19RM 2021-Lab &amp; Other HPS'!$AJ123+AX123+BE123</f>
        <v>0</v>
      </c>
      <c r="BH123" s="522" t="str" cm="1">
        <f t="array" ref="BH123">IF(A123&lt;&gt;"",IFERROR(INDEX(PMtbl[[WKst]:[Unit of measure*]],MATCH($A$115&amp;$A123&amp;$E123&amp;$I123,INDEX(PMtbl[Sec]&amp;PMtbl[Category]&amp;PMtbl[Each]&amp;PMtbl[Packaging],0,),0),11),""),"")</f>
        <v/>
      </c>
      <c r="BI123" s="818"/>
      <c r="BJ123" s="503" t="str" cm="1">
        <f t="array" ref="BJ123">IFERROR(INDEX(SETUP!$C$19:$G$121,MATCH((INDEX(PMtbl[[WKst]:[Unit of measure*]],MATCH($A123&amp;$E123&amp;$I123,INDEX(PMtbl[Category]&amp;PMtbl[Each]&amp;PMtbl[Packaging],0,),0),3)),SETUP!$D$19:$D$121,0),5),"")</f>
        <v/>
      </c>
      <c r="BK123" s="543" t="str" cm="1">
        <f t="array" ref="BK123">IFERROR(IF((INDEX(SETUP!$C$19:$G$121,MATCH((INDEX(PMtbl[[WKst]:[Unit of measure*]],MATCH($A123&amp;$E123&amp;$I123,INDEX(PMtbl[Category]&amp;PMtbl[Each]&amp;PMtbl[Packaging],0,),0),3)),SETUP!$D$19:$D$121,0),4))="Upfront",0,INDEX(SETUP!$C$19:$G$121,MATCH((INDEX(PMtbl[[WKst]:[Unit of measure*]],MATCH($A123&amp;$E123&amp;$I123,INDEX(PMtbl[Category]&amp;PMtbl[Each]&amp;PMtbl[Packaging],0,),0),3)),SETUP!$D$19:$D$121,0),5)),"")</f>
        <v/>
      </c>
      <c r="BL123" s="215" t="str" cm="1">
        <f t="array" ref="BL123">IF(E123&lt;&gt;"",IFERROR(INDEX(PMtbl[[WKst]:[Unit of measure*]],MATCH($A$115&amp;$A123&amp;$E123&amp;$I123,INDEX(PMtbl[Sec]&amp;PMtbl[Category]&amp;PMtbl[Each]&amp;PMtbl[Packaging],0,),0),11),""),"")</f>
        <v/>
      </c>
      <c r="BO123" s="12">
        <f>IF(N123="",0,IF(SETUP!$E$7="USD",((IF(O123="USD",P123,(P123/'Master Data-C19RM'!$C$2)))),((IF(O123="EUR",P123,(P123*'Master Data-C19RM'!$C$2))))))</f>
        <v>0</v>
      </c>
      <c r="BP123" s="12">
        <f>IF(N123="",0,IF(SETUP!$E$7="USD",((IF(O123="USD",W123,(W123/'Master Data-C19RM'!$D$2)))),((IF(O123="EUR",W123,(W123*'Master Data-C19RM'!$D$2))))))</f>
        <v>0</v>
      </c>
      <c r="BQ123">
        <f>IF(N123="",0,IF(SETUP!$E$7="USD",((IF(O123="USD",AD123,(AD123/'Master Data-C19RM'!$E$2)))),((IF(O123="EUR",AD123,(AD123*'Master Data-C19RM'!$E$2))))))</f>
        <v>0</v>
      </c>
      <c r="BR123">
        <f>IF(N123="",0,IF(SETUP!$E$7="USD",((IF(O123="USD",AK123,(AK123/'Master Data-C19RM'!$F$2)))),((IF(O123="EUR",AK123,(AK123*'Master Data-C19RM'!$F$2))))))</f>
        <v>0</v>
      </c>
      <c r="BS123">
        <f>IF(N123="",0,IF(SETUP!$E$7="USD",((IF(O123="USD",AR123,(AR123/'Master Data-C19RM'!$G$2)))),((IF(O123="EUR",AR123,(AR123*'Master Data-C19RM'!$G$2))))))</f>
        <v>0</v>
      </c>
      <c r="BT123">
        <f>IF(N123="",0,IF(SETUP!$E$7="USD",((IF(O123="USD",AY123,(AY123/'Master Data-C19RM'!$H$2)))),((IF(O123="EUR",AY123,(AY123*'Master Data-C19RM'!$H$2))))))</f>
        <v>0</v>
      </c>
      <c r="BU123" s="12">
        <f t="shared" si="15"/>
        <v>0</v>
      </c>
      <c r="BV123" s="142">
        <f t="shared" si="16"/>
        <v>0</v>
      </c>
    </row>
    <row r="124" spans="1:94" x14ac:dyDescent="0.35">
      <c r="A124" s="1165"/>
      <c r="B124" s="1165"/>
      <c r="C124" s="1165"/>
      <c r="D124" s="1165"/>
      <c r="E124" s="1166"/>
      <c r="F124" s="1166"/>
      <c r="G124" s="1166"/>
      <c r="H124" s="1166"/>
      <c r="I124" s="1166"/>
      <c r="J124" s="1166"/>
      <c r="K124" s="1166"/>
      <c r="L124" s="490" t="str" cm="1">
        <f t="array" ref="L124">IF(A124&lt;&gt;"",IFERROR(INDEX(PMtbl[[WKst]:[Unit of measure*]],MATCH($A$115&amp;$A124&amp;$E124&amp;$I124,INDEX(PMtbl[Sec]&amp;PMtbl[Category]&amp;PMtbl[Each]&amp;PMtbl[Packaging],0,),0),14),""),"")</f>
        <v/>
      </c>
      <c r="M124" s="479" t="str">
        <f>IF(L124="","",INDEX(SETUP!$E$20:$E$122,(MATCH(INDEX(PMsheet!$D:$E,MATCH(A124,PMsheet!E:E,0),1),SETUP!$D$20:$D$122,0))))</f>
        <v/>
      </c>
      <c r="N124" s="491">
        <f>IF($O124="USD",_xlfn.IFNA(VLOOKUP(A124&amp;E124&amp;I124,PMsheet!J:K,2,0),0),(_xlfn.IFNA(VLOOKUP(A124&amp;E124&amp;I124,PMsheet!J:K,2,0),0)*'Master Data-C19RM'!$C$2))</f>
        <v>0</v>
      </c>
      <c r="O124" s="492" t="str">
        <f>IF(L124="", "",SETUP!$E$7)</f>
        <v/>
      </c>
      <c r="P124" s="456">
        <f>IF($O124="USD",_xlfn.IFNA(VLOOKUP($A124&amp;$E124&amp;$I124,PMsheet!$J:$K,2,0),0),(_xlfn.IFNA(VLOOKUP($A124&amp;$E124&amp;$I124,PMsheet!$J:$K,2,0),0)*'Master Data-C19RM'!$C$2))</f>
        <v>0</v>
      </c>
      <c r="Q124" s="441"/>
      <c r="R124" s="441"/>
      <c r="S124" s="441"/>
      <c r="T124" s="441"/>
      <c r="U124" s="481">
        <f t="shared" si="17"/>
        <v>0</v>
      </c>
      <c r="V124" s="483">
        <f>IF(SETUP!$E$7="USD",(U124*(IF(O124="USD",P124,(P124/'Master Data-C19RM'!$C$2)))),(U124*(IF(O124="EUR",P124,(P124*'Master Data-C19RM'!$C$2)))))</f>
        <v>0</v>
      </c>
      <c r="W124" s="444">
        <f>IF($O124="USD",_xlfn.IFNA(VLOOKUP($A124&amp;$E124&amp;$I124,PMsheet!$J:$K,2,0),0),(_xlfn.IFNA(VLOOKUP($A124&amp;$E124&amp;$I124,PMsheet!$J:$K,2,0),0)*'Master Data-C19RM'!$D$2))</f>
        <v>0</v>
      </c>
      <c r="X124" s="441"/>
      <c r="Y124" s="441"/>
      <c r="Z124" s="441"/>
      <c r="AA124" s="441"/>
      <c r="AB124" s="481">
        <f t="shared" si="18"/>
        <v>0</v>
      </c>
      <c r="AC124" s="483">
        <f>IF(SETUP!$E$7="USD",(AB124*(IF(O124="USD",W124,(W124/'Master Data-C19RM'!$D$2)))),(AB124*(IF(O124="EUR",W124,(W124*'Master Data-C19RM'!$D$2)))))</f>
        <v>0</v>
      </c>
      <c r="AD124" s="444">
        <f>IF($O124="USD",_xlfn.IFNA(VLOOKUP($A124&amp;$E124&amp;$I124,PMsheet!$J:$K,2,0),0),(_xlfn.IFNA(VLOOKUP($A124&amp;$E124&amp;$I124,PMsheet!$J:$K,2,0),0)*'Master Data-C19RM'!$E$2))</f>
        <v>0</v>
      </c>
      <c r="AE124" s="441"/>
      <c r="AF124" s="441"/>
      <c r="AG124" s="441"/>
      <c r="AH124" s="441"/>
      <c r="AI124" s="512">
        <f t="shared" si="19"/>
        <v>0</v>
      </c>
      <c r="AJ124" s="513">
        <f>IF(SETUP!$E$7="USD",(AI124*(IF(O124="USD",AD124,(AD124/'Master Data-C19RM'!$E$2)))),(AI124*(IF(O124="EUR",AD124,(AD124*'Master Data-C19RM'!$E$2)))))</f>
        <v>0</v>
      </c>
      <c r="AK124" s="444">
        <f>IF($O124="USD",_xlfn.IFNA(VLOOKUP($A124&amp;$E124&amp;$I124,PMsheet!$J:$K,2,0),0),(_xlfn.IFNA(VLOOKUP($A124&amp;$E124&amp;$I124,PMsheet!$J:$K,2,0),0)*'Master Data-C19RM'!$F$2))</f>
        <v>0</v>
      </c>
      <c r="AL124" s="441"/>
      <c r="AM124" s="441"/>
      <c r="AN124" s="441"/>
      <c r="AO124" s="441"/>
      <c r="AP124" s="512">
        <f t="shared" si="20"/>
        <v>0</v>
      </c>
      <c r="AQ124" s="513">
        <f>IF(SETUP!$E$7="USD",(AP124*(IF(O124="USD",AK124,(AK124/'Master Data-C19RM'!$F$2)))),(AP124*(IF(O124="EUR",AK124,(AK124*'Master Data-C19RM'!$F$2)))))</f>
        <v>0</v>
      </c>
      <c r="AR124" s="924">
        <f>IF($O124="USD",_xlfn.IFNA(VLOOKUP($A124&amp;$E124&amp;$I124,PMsheet!$J:$K,2,0),0),(_xlfn.IFNA(VLOOKUP($A124&amp;$E124&amp;$I124,PMsheet!$J:$K,2,0),0)*'Master Data-C19RM'!$G$2))</f>
        <v>0</v>
      </c>
      <c r="AS124" s="572"/>
      <c r="AT124" s="572"/>
      <c r="AU124" s="572"/>
      <c r="AV124" s="572"/>
      <c r="AW124" s="512">
        <f t="shared" si="21"/>
        <v>0</v>
      </c>
      <c r="AX124" s="513">
        <f>IF(SETUP!$E$7="USD",(AW124*(IF(O124="USD",AR124,(AR124/'Master Data-C19RM'!$G$2)))),(AW124*(IF(O124="EUR",AR124,(AR124*'Master Data-C19RM'!$G$2)))))</f>
        <v>0</v>
      </c>
      <c r="AY124" s="845"/>
      <c r="AZ124" s="846"/>
      <c r="BA124" s="846"/>
      <c r="BB124" s="846"/>
      <c r="BC124" s="846"/>
      <c r="BD124" s="846"/>
      <c r="BE124" s="847"/>
      <c r="BF124" s="512">
        <f>'C19RM 2021-Lab &amp; Other HPS'!$U124+'C19RM 2021-Lab &amp; Other HPS'!$AB124+'C19RM 2021-Lab &amp; Other HPS'!$AP124+'C19RM 2021-Lab &amp; Other HPS'!$AI124+AW124+BD124</f>
        <v>0</v>
      </c>
      <c r="BG124" s="512">
        <f>'C19RM 2021-Lab &amp; Other HPS'!$V124+'C19RM 2021-Lab &amp; Other HPS'!$AC124+'C19RM 2021-Lab &amp; Other HPS'!$AQ124+'C19RM 2021-Lab &amp; Other HPS'!$AJ124+AX124+BE124</f>
        <v>0</v>
      </c>
      <c r="BH124" s="500" t="str" cm="1">
        <f t="array" ref="BH124">IF(A124&lt;&gt;"",IFERROR(INDEX(PMtbl[[WKst]:[Unit of measure*]],MATCH($A$115&amp;$A124&amp;$E124&amp;$I124,INDEX(PMtbl[Sec]&amp;PMtbl[Category]&amp;PMtbl[Each]&amp;PMtbl[Packaging],0,),0),11),""),"")</f>
        <v/>
      </c>
      <c r="BI124" s="819"/>
      <c r="BJ124" s="502" t="str" cm="1">
        <f t="array" ref="BJ124">IFERROR(INDEX(SETUP!$C$19:$G$121,MATCH((INDEX(PMtbl[[WKst]:[Unit of measure*]],MATCH($A124&amp;$E124&amp;$I124,INDEX(PMtbl[Category]&amp;PMtbl[Each]&amp;PMtbl[Packaging],0,),0),3)),SETUP!$D$19:$D$121,0),5),"")</f>
        <v/>
      </c>
      <c r="BK124" s="542" t="str" cm="1">
        <f t="array" ref="BK124">IFERROR(IF((INDEX(SETUP!$C$19:$G$121,MATCH((INDEX(PMtbl[[WKst]:[Unit of measure*]],MATCH($A124&amp;$E124&amp;$I124,INDEX(PMtbl[Category]&amp;PMtbl[Each]&amp;PMtbl[Packaging],0,),0),3)),SETUP!$D$19:$D$121,0),4))="Upfront",0,INDEX(SETUP!$C$19:$G$121,MATCH((INDEX(PMtbl[[WKst]:[Unit of measure*]],MATCH($A124&amp;$E124&amp;$I124,INDEX(PMtbl[Category]&amp;PMtbl[Each]&amp;PMtbl[Packaging],0,),0),3)),SETUP!$D$19:$D$121,0),5)),"")</f>
        <v/>
      </c>
      <c r="BL124" s="214" t="str" cm="1">
        <f t="array" ref="BL124">IF(E124&lt;&gt;"",IFERROR(INDEX(PMtbl[[WKst]:[Unit of measure*]],MATCH($A$115&amp;$A124&amp;$E124&amp;$I124,INDEX(PMtbl[Sec]&amp;PMtbl[Category]&amp;PMtbl[Each]&amp;PMtbl[Packaging],0,),0),11),""),"")</f>
        <v/>
      </c>
      <c r="BO124" s="12">
        <f>IF(N124="",0,IF(SETUP!$E$7="USD",((IF(O124="USD",P124,(P124/'Master Data-C19RM'!$C$2)))),((IF(O124="EUR",P124,(P124*'Master Data-C19RM'!$C$2))))))</f>
        <v>0</v>
      </c>
      <c r="BP124" s="12">
        <f>IF(N124="",0,IF(SETUP!$E$7="USD",((IF(O124="USD",W124,(W124/'Master Data-C19RM'!$D$2)))),((IF(O124="EUR",W124,(W124*'Master Data-C19RM'!$D$2))))))</f>
        <v>0</v>
      </c>
      <c r="BQ124">
        <f>IF(N124="",0,IF(SETUP!$E$7="USD",((IF(O124="USD",AD124,(AD124/'Master Data-C19RM'!$E$2)))),((IF(O124="EUR",AD124,(AD124*'Master Data-C19RM'!$E$2))))))</f>
        <v>0</v>
      </c>
      <c r="BR124">
        <f>IF(N124="",0,IF(SETUP!$E$7="USD",((IF(O124="USD",AK124,(AK124/'Master Data-C19RM'!$F$2)))),((IF(O124="EUR",AK124,(AK124*'Master Data-C19RM'!$F$2))))))</f>
        <v>0</v>
      </c>
      <c r="BS124">
        <f>IF(N124="",0,IF(SETUP!$E$7="USD",((IF(O124="USD",AR124,(AR124/'Master Data-C19RM'!$G$2)))),((IF(O124="EUR",AR124,(AR124*'Master Data-C19RM'!$G$2))))))</f>
        <v>0</v>
      </c>
      <c r="BT124">
        <f>IF(N124="",0,IF(SETUP!$E$7="USD",((IF(O124="USD",AY124,(AY124/'Master Data-C19RM'!$H$2)))),((IF(O124="EUR",AY124,(AY124*'Master Data-C19RM'!$H$2))))))</f>
        <v>0</v>
      </c>
      <c r="BU124" s="12">
        <f t="shared" si="15"/>
        <v>0</v>
      </c>
      <c r="BV124" s="142">
        <f t="shared" si="16"/>
        <v>0</v>
      </c>
    </row>
    <row r="125" spans="1:94" x14ac:dyDescent="0.35">
      <c r="A125" s="1192"/>
      <c r="B125" s="1192"/>
      <c r="C125" s="1192"/>
      <c r="D125" s="1192"/>
      <c r="E125" s="1173"/>
      <c r="F125" s="1173"/>
      <c r="G125" s="1173"/>
      <c r="H125" s="1173"/>
      <c r="I125" s="1173"/>
      <c r="J125" s="1173"/>
      <c r="K125" s="1173"/>
      <c r="L125" s="493" t="str" cm="1">
        <f t="array" ref="L125">IF(A125&lt;&gt;"",IFERROR(INDEX(PMtbl[[WKst]:[Unit of measure*]],MATCH($A$115&amp;$A125&amp;$E125&amp;$I125,INDEX(PMtbl[Sec]&amp;PMtbl[Category]&amp;PMtbl[Each]&amp;PMtbl[Packaging],0,),0),14),""),"")</f>
        <v/>
      </c>
      <c r="M125" s="480" t="str">
        <f>IF(L125="","",INDEX(SETUP!$E$20:$E$122,(MATCH(INDEX(PMsheet!$D:$E,MATCH(A125,PMsheet!E:E,0),1),SETUP!$D$20:$D$122,0))))</f>
        <v/>
      </c>
      <c r="N125" s="494">
        <f>IF($O125="USD",_xlfn.IFNA(VLOOKUP(A125&amp;E125&amp;I125,PMsheet!J:K,2,0),0),(_xlfn.IFNA(VLOOKUP(A125&amp;E125&amp;I125,PMsheet!J:K,2,0),0)*'Master Data-C19RM'!$C$2))</f>
        <v>0</v>
      </c>
      <c r="O125" s="495" t="str">
        <f>IF(L125="", "",SETUP!$E$7)</f>
        <v/>
      </c>
      <c r="P125" s="457">
        <f>IF($O125="USD",_xlfn.IFNA(VLOOKUP($A125&amp;$E125&amp;$I125,PMsheet!$J:$K,2,0),0),(_xlfn.IFNA(VLOOKUP($A125&amp;$E125&amp;$I125,PMsheet!$J:$K,2,0),0)*'Master Data-C19RM'!$C$2))</f>
        <v>0</v>
      </c>
      <c r="Q125" s="440"/>
      <c r="R125" s="440"/>
      <c r="S125" s="440"/>
      <c r="T125" s="440"/>
      <c r="U125" s="482">
        <f t="shared" si="17"/>
        <v>0</v>
      </c>
      <c r="V125" s="484">
        <f>IF(SETUP!$E$7="USD",(U125*(IF(O125="USD",P125,(P125/'Master Data-C19RM'!$C$2)))),(U125*(IF(O125="EUR",P125,(P125*'Master Data-C19RM'!$C$2)))))</f>
        <v>0</v>
      </c>
      <c r="W125" s="445">
        <f>IF($O125="USD",_xlfn.IFNA(VLOOKUP($A125&amp;$E125&amp;$I125,PMsheet!$J:$K,2,0),0),(_xlfn.IFNA(VLOOKUP($A125&amp;$E125&amp;$I125,PMsheet!$J:$K,2,0),0)*'Master Data-C19RM'!$D$2))</f>
        <v>0</v>
      </c>
      <c r="X125" s="440"/>
      <c r="Y125" s="440"/>
      <c r="Z125" s="440"/>
      <c r="AA125" s="440"/>
      <c r="AB125" s="482">
        <f t="shared" si="18"/>
        <v>0</v>
      </c>
      <c r="AC125" s="484">
        <f>IF(SETUP!$E$7="USD",(AB125*(IF(O125="USD",W125,(W125/'Master Data-C19RM'!$D$2)))),(AB125*(IF(O125="EUR",W125,(W125*'Master Data-C19RM'!$D$2)))))</f>
        <v>0</v>
      </c>
      <c r="AD125" s="445">
        <f>IF($O125="USD",_xlfn.IFNA(VLOOKUP($A125&amp;$E125&amp;$I125,PMsheet!$J:$K,2,0),0),(_xlfn.IFNA(VLOOKUP($A125&amp;$E125&amp;$I125,PMsheet!$J:$K,2,0),0)*'Master Data-C19RM'!$E$2))</f>
        <v>0</v>
      </c>
      <c r="AE125" s="440"/>
      <c r="AF125" s="440"/>
      <c r="AG125" s="440"/>
      <c r="AH125" s="440"/>
      <c r="AI125" s="514">
        <f t="shared" si="19"/>
        <v>0</v>
      </c>
      <c r="AJ125" s="515">
        <f>IF(SETUP!$E$7="USD",(AI125*(IF(O125="USD",AD125,(AD125/'Master Data-C19RM'!$E$2)))),(AI125*(IF(O125="EUR",AD125,(AD125*'Master Data-C19RM'!$E$2)))))</f>
        <v>0</v>
      </c>
      <c r="AK125" s="445">
        <f>IF($O125="USD",_xlfn.IFNA(VLOOKUP($A125&amp;$E125&amp;$I125,PMsheet!$J:$K,2,0),0),(_xlfn.IFNA(VLOOKUP($A125&amp;$E125&amp;$I125,PMsheet!$J:$K,2,0),0)*'Master Data-C19RM'!$F$2))</f>
        <v>0</v>
      </c>
      <c r="AL125" s="440"/>
      <c r="AM125" s="440"/>
      <c r="AN125" s="440"/>
      <c r="AO125" s="440"/>
      <c r="AP125" s="514">
        <f t="shared" si="20"/>
        <v>0</v>
      </c>
      <c r="AQ125" s="515">
        <f>IF(SETUP!$E$7="USD",(AP125*(IF(O125="USD",AK125,(AK125/'Master Data-C19RM'!$F$2)))),(AP125*(IF(O125="EUR",AK125,(AK125*'Master Data-C19RM'!$F$2)))))</f>
        <v>0</v>
      </c>
      <c r="AR125" s="925">
        <f>IF($O125="USD",_xlfn.IFNA(VLOOKUP($A125&amp;$E125&amp;$I125,PMsheet!$J:$K,2,0),0),(_xlfn.IFNA(VLOOKUP($A125&amp;$E125&amp;$I125,PMsheet!$J:$K,2,0),0)*'Master Data-C19RM'!$G$2))</f>
        <v>0</v>
      </c>
      <c r="AS125" s="926"/>
      <c r="AT125" s="926"/>
      <c r="AU125" s="926"/>
      <c r="AV125" s="926"/>
      <c r="AW125" s="514">
        <f t="shared" si="21"/>
        <v>0</v>
      </c>
      <c r="AX125" s="515">
        <f>IF(SETUP!$E$7="USD",(AW125*(IF(O125="USD",AR125,(AR125/'Master Data-C19RM'!$G$2)))),(AW125*(IF(O125="EUR",AR125,(AR125*'Master Data-C19RM'!$G$2)))))</f>
        <v>0</v>
      </c>
      <c r="AY125" s="845"/>
      <c r="AZ125" s="846"/>
      <c r="BA125" s="846"/>
      <c r="BB125" s="846"/>
      <c r="BC125" s="846"/>
      <c r="BD125" s="846"/>
      <c r="BE125" s="847"/>
      <c r="BF125" s="514">
        <f>'C19RM 2021-Lab &amp; Other HPS'!$U125+'C19RM 2021-Lab &amp; Other HPS'!$AB125+'C19RM 2021-Lab &amp; Other HPS'!$AP125+'C19RM 2021-Lab &amp; Other HPS'!$AI125+AW125+BD125</f>
        <v>0</v>
      </c>
      <c r="BG125" s="514">
        <f>'C19RM 2021-Lab &amp; Other HPS'!$V125+'C19RM 2021-Lab &amp; Other HPS'!$AC125+'C19RM 2021-Lab &amp; Other HPS'!$AQ125+'C19RM 2021-Lab &amp; Other HPS'!$AJ125+AX125+BE125</f>
        <v>0</v>
      </c>
      <c r="BH125" s="522" t="str" cm="1">
        <f t="array" ref="BH125">IF(A125&lt;&gt;"",IFERROR(INDEX(PMtbl[[WKst]:[Unit of measure*]],MATCH($A$115&amp;$A125&amp;$E125&amp;$I125,INDEX(PMtbl[Sec]&amp;PMtbl[Category]&amp;PMtbl[Each]&amp;PMtbl[Packaging],0,),0),11),""),"")</f>
        <v/>
      </c>
      <c r="BI125" s="818"/>
      <c r="BJ125" s="503" t="str" cm="1">
        <f t="array" ref="BJ125">IFERROR(INDEX(SETUP!$C$19:$G$121,MATCH((INDEX(PMtbl[[WKst]:[Unit of measure*]],MATCH($A125&amp;$E125&amp;$I125,INDEX(PMtbl[Category]&amp;PMtbl[Each]&amp;PMtbl[Packaging],0,),0),3)),SETUP!$D$19:$D$121,0),5),"")</f>
        <v/>
      </c>
      <c r="BK125" s="543" t="str" cm="1">
        <f t="array" ref="BK125">IFERROR(IF((INDEX(SETUP!$C$19:$G$121,MATCH((INDEX(PMtbl[[WKst]:[Unit of measure*]],MATCH($A125&amp;$E125&amp;$I125,INDEX(PMtbl[Category]&amp;PMtbl[Each]&amp;PMtbl[Packaging],0,),0),3)),SETUP!$D$19:$D$121,0),4))="Upfront",0,INDEX(SETUP!$C$19:$G$121,MATCH((INDEX(PMtbl[[WKst]:[Unit of measure*]],MATCH($A125&amp;$E125&amp;$I125,INDEX(PMtbl[Category]&amp;PMtbl[Each]&amp;PMtbl[Packaging],0,),0),3)),SETUP!$D$19:$D$121,0),5)),"")</f>
        <v/>
      </c>
      <c r="BL125" s="215" t="str" cm="1">
        <f t="array" ref="BL125">IF(E125&lt;&gt;"",IFERROR(INDEX(PMtbl[[WKst]:[Unit of measure*]],MATCH($A$115&amp;$A125&amp;$E125&amp;$I125,INDEX(PMtbl[Sec]&amp;PMtbl[Category]&amp;PMtbl[Each]&amp;PMtbl[Packaging],0,),0),11),""),"")</f>
        <v/>
      </c>
      <c r="BO125" s="12">
        <f>IF(N125="",0,IF(SETUP!$E$7="USD",((IF(O125="USD",P125,(P125/'Master Data-C19RM'!$C$2)))),((IF(O125="EUR",P125,(P125*'Master Data-C19RM'!$C$2))))))</f>
        <v>0</v>
      </c>
      <c r="BP125" s="12">
        <f>IF(N125="",0,IF(SETUP!$E$7="USD",((IF(O125="USD",W125,(W125/'Master Data-C19RM'!$D$2)))),((IF(O125="EUR",W125,(W125*'Master Data-C19RM'!$D$2))))))</f>
        <v>0</v>
      </c>
      <c r="BQ125">
        <f>IF(N125="",0,IF(SETUP!$E$7="USD",((IF(O125="USD",AD125,(AD125/'Master Data-C19RM'!$E$2)))),((IF(O125="EUR",AD125,(AD125*'Master Data-C19RM'!$E$2))))))</f>
        <v>0</v>
      </c>
      <c r="BR125">
        <f>IF(N125="",0,IF(SETUP!$E$7="USD",((IF(O125="USD",AK125,(AK125/'Master Data-C19RM'!$F$2)))),((IF(O125="EUR",AK125,(AK125*'Master Data-C19RM'!$F$2))))))</f>
        <v>0</v>
      </c>
      <c r="BS125">
        <f>IF(N125="",0,IF(SETUP!$E$7="USD",((IF(O125="USD",AR125,(AR125/'Master Data-C19RM'!$G$2)))),((IF(O125="EUR",AR125,(AR125*'Master Data-C19RM'!$G$2))))))</f>
        <v>0</v>
      </c>
      <c r="BT125">
        <f>IF(N125="",0,IF(SETUP!$E$7="USD",((IF(O125="USD",AY125,(AY125/'Master Data-C19RM'!$H$2)))),((IF(O125="EUR",AY125,(AY125*'Master Data-C19RM'!$H$2))))))</f>
        <v>0</v>
      </c>
      <c r="BU125" s="12">
        <f t="shared" si="15"/>
        <v>0</v>
      </c>
      <c r="BV125" s="142">
        <f t="shared" si="16"/>
        <v>0</v>
      </c>
    </row>
    <row r="126" spans="1:94" x14ac:dyDescent="0.35">
      <c r="A126" s="1165"/>
      <c r="B126" s="1165"/>
      <c r="C126" s="1165"/>
      <c r="D126" s="1165"/>
      <c r="E126" s="1166"/>
      <c r="F126" s="1166"/>
      <c r="G126" s="1166"/>
      <c r="H126" s="1166"/>
      <c r="I126" s="1166"/>
      <c r="J126" s="1166"/>
      <c r="K126" s="1166"/>
      <c r="L126" s="490" t="str" cm="1">
        <f t="array" ref="L126">IF(A126&lt;&gt;"",IFERROR(INDEX(PMtbl[[WKst]:[Unit of measure*]],MATCH($A$115&amp;$A126&amp;$E126&amp;$I126,INDEX(PMtbl[Sec]&amp;PMtbl[Category]&amp;PMtbl[Each]&amp;PMtbl[Packaging],0,),0),14),""),"")</f>
        <v/>
      </c>
      <c r="M126" s="479" t="str">
        <f>IF(L126="","",INDEX(SETUP!$E$20:$E$122,(MATCH(INDEX(PMsheet!$D:$E,MATCH(A126,PMsheet!E:E,0),1),SETUP!$D$20:$D$122,0))))</f>
        <v/>
      </c>
      <c r="N126" s="491">
        <f>IF($O126="USD",_xlfn.IFNA(VLOOKUP(A126&amp;E126&amp;I126,PMsheet!J:K,2,0),0),(_xlfn.IFNA(VLOOKUP(A126&amp;E126&amp;I126,PMsheet!J:K,2,0),0)*'Master Data-C19RM'!$C$2))</f>
        <v>0</v>
      </c>
      <c r="O126" s="492" t="str">
        <f>IF(L126="", "",SETUP!$E$7)</f>
        <v/>
      </c>
      <c r="P126" s="456">
        <f>IF($O126="USD",_xlfn.IFNA(VLOOKUP($A126&amp;$E126&amp;$I126,PMsheet!$J:$K,2,0),0),(_xlfn.IFNA(VLOOKUP($A126&amp;$E126&amp;$I126,PMsheet!$J:$K,2,0),0)*'Master Data-C19RM'!$C$2))</f>
        <v>0</v>
      </c>
      <c r="Q126" s="441"/>
      <c r="R126" s="441"/>
      <c r="S126" s="441"/>
      <c r="T126" s="441"/>
      <c r="U126" s="481">
        <f t="shared" si="17"/>
        <v>0</v>
      </c>
      <c r="V126" s="483">
        <f>IF(SETUP!$E$7="USD",(U126*(IF(O126="USD",P126,(P126/'Master Data-C19RM'!$C$2)))),(U126*(IF(O126="EUR",P126,(P126*'Master Data-C19RM'!$C$2)))))</f>
        <v>0</v>
      </c>
      <c r="W126" s="444">
        <f>IF($O126="USD",_xlfn.IFNA(VLOOKUP($A126&amp;$E126&amp;$I126,PMsheet!$J:$K,2,0),0),(_xlfn.IFNA(VLOOKUP($A126&amp;$E126&amp;$I126,PMsheet!$J:$K,2,0),0)*'Master Data-C19RM'!$D$2))</f>
        <v>0</v>
      </c>
      <c r="X126" s="441"/>
      <c r="Y126" s="441"/>
      <c r="Z126" s="441"/>
      <c r="AA126" s="441"/>
      <c r="AB126" s="481">
        <f t="shared" si="18"/>
        <v>0</v>
      </c>
      <c r="AC126" s="483">
        <f>IF(SETUP!$E$7="USD",(AB126*(IF(O126="USD",W126,(W126/'Master Data-C19RM'!$D$2)))),(AB126*(IF(O126="EUR",W126,(W126*'Master Data-C19RM'!$D$2)))))</f>
        <v>0</v>
      </c>
      <c r="AD126" s="444">
        <f>IF($O126="USD",_xlfn.IFNA(VLOOKUP($A126&amp;$E126&amp;$I126,PMsheet!$J:$K,2,0),0),(_xlfn.IFNA(VLOOKUP($A126&amp;$E126&amp;$I126,PMsheet!$J:$K,2,0),0)*'Master Data-C19RM'!$E$2))</f>
        <v>0</v>
      </c>
      <c r="AE126" s="441"/>
      <c r="AF126" s="441"/>
      <c r="AG126" s="441"/>
      <c r="AH126" s="441"/>
      <c r="AI126" s="512">
        <f t="shared" si="19"/>
        <v>0</v>
      </c>
      <c r="AJ126" s="513">
        <f>IF(SETUP!$E$7="USD",(AI126*(IF(O126="USD",AD126,(AD126/'Master Data-C19RM'!$E$2)))),(AI126*(IF(O126="EUR",AD126,(AD126*'Master Data-C19RM'!$E$2)))))</f>
        <v>0</v>
      </c>
      <c r="AK126" s="444">
        <f>IF($O126="USD",_xlfn.IFNA(VLOOKUP($A126&amp;$E126&amp;$I126,PMsheet!$J:$K,2,0),0),(_xlfn.IFNA(VLOOKUP($A126&amp;$E126&amp;$I126,PMsheet!$J:$K,2,0),0)*'Master Data-C19RM'!$F$2))</f>
        <v>0</v>
      </c>
      <c r="AL126" s="441"/>
      <c r="AM126" s="441"/>
      <c r="AN126" s="441"/>
      <c r="AO126" s="441"/>
      <c r="AP126" s="512">
        <f t="shared" si="20"/>
        <v>0</v>
      </c>
      <c r="AQ126" s="513">
        <f>IF(SETUP!$E$7="USD",(AP126*(IF(O126="USD",AK126,(AK126/'Master Data-C19RM'!$F$2)))),(AP126*(IF(O126="EUR",AK126,(AK126*'Master Data-C19RM'!$F$2)))))</f>
        <v>0</v>
      </c>
      <c r="AR126" s="924">
        <f>IF($O126="USD",_xlfn.IFNA(VLOOKUP($A126&amp;$E126&amp;$I126,PMsheet!$J:$K,2,0),0),(_xlfn.IFNA(VLOOKUP($A126&amp;$E126&amp;$I126,PMsheet!$J:$K,2,0),0)*'Master Data-C19RM'!$G$2))</f>
        <v>0</v>
      </c>
      <c r="AS126" s="572"/>
      <c r="AT126" s="572"/>
      <c r="AU126" s="572"/>
      <c r="AV126" s="572"/>
      <c r="AW126" s="512">
        <f t="shared" si="21"/>
        <v>0</v>
      </c>
      <c r="AX126" s="513">
        <f>IF(SETUP!$E$7="USD",(AW126*(IF(O126="USD",AR126,(AR126/'Master Data-C19RM'!$G$2)))),(AW126*(IF(O126="EUR",AR126,(AR126*'Master Data-C19RM'!$G$2)))))</f>
        <v>0</v>
      </c>
      <c r="AY126" s="845"/>
      <c r="AZ126" s="846"/>
      <c r="BA126" s="846"/>
      <c r="BB126" s="846"/>
      <c r="BC126" s="846"/>
      <c r="BD126" s="846"/>
      <c r="BE126" s="847"/>
      <c r="BF126" s="512">
        <f>'C19RM 2021-Lab &amp; Other HPS'!$U126+'C19RM 2021-Lab &amp; Other HPS'!$AB126+'C19RM 2021-Lab &amp; Other HPS'!$AP126+'C19RM 2021-Lab &amp; Other HPS'!$AI126+AW126+BD126</f>
        <v>0</v>
      </c>
      <c r="BG126" s="512">
        <f>'C19RM 2021-Lab &amp; Other HPS'!$V126+'C19RM 2021-Lab &amp; Other HPS'!$AC126+'C19RM 2021-Lab &amp; Other HPS'!$AQ126+'C19RM 2021-Lab &amp; Other HPS'!$AJ126+AX126+BE126</f>
        <v>0</v>
      </c>
      <c r="BH126" s="500" t="str" cm="1">
        <f t="array" ref="BH126">IF(A126&lt;&gt;"",IFERROR(INDEX(PMtbl[[WKst]:[Unit of measure*]],MATCH($A$115&amp;$A126&amp;$E126&amp;$I126,INDEX(PMtbl[Sec]&amp;PMtbl[Category]&amp;PMtbl[Each]&amp;PMtbl[Packaging],0,),0),11),""),"")</f>
        <v/>
      </c>
      <c r="BI126" s="819"/>
      <c r="BJ126" s="502" t="str" cm="1">
        <f t="array" ref="BJ126">IFERROR(INDEX(SETUP!$C$19:$G$121,MATCH((INDEX(PMtbl[[WKst]:[Unit of measure*]],MATCH($A126&amp;$E126&amp;$I126,INDEX(PMtbl[Category]&amp;PMtbl[Each]&amp;PMtbl[Packaging],0,),0),3)),SETUP!$D$19:$D$121,0),5),"")</f>
        <v/>
      </c>
      <c r="BK126" s="542" t="str" cm="1">
        <f t="array" ref="BK126">IFERROR(IF((INDEX(SETUP!$C$19:$G$121,MATCH((INDEX(PMtbl[[WKst]:[Unit of measure*]],MATCH($A126&amp;$E126&amp;$I126,INDEX(PMtbl[Category]&amp;PMtbl[Each]&amp;PMtbl[Packaging],0,),0),3)),SETUP!$D$19:$D$121,0),4))="Upfront",0,INDEX(SETUP!$C$19:$G$121,MATCH((INDEX(PMtbl[[WKst]:[Unit of measure*]],MATCH($A126&amp;$E126&amp;$I126,INDEX(PMtbl[Category]&amp;PMtbl[Each]&amp;PMtbl[Packaging],0,),0),3)),SETUP!$D$19:$D$121,0),5)),"")</f>
        <v/>
      </c>
      <c r="BL126" s="214" t="str" cm="1">
        <f t="array" ref="BL126">IF(E126&lt;&gt;"",IFERROR(INDEX(PMtbl[[WKst]:[Unit of measure*]],MATCH($A$115&amp;$A126&amp;$E126&amp;$I126,INDEX(PMtbl[Sec]&amp;PMtbl[Category]&amp;PMtbl[Each]&amp;PMtbl[Packaging],0,),0),11),""),"")</f>
        <v/>
      </c>
      <c r="BO126" s="12">
        <f>IF(N126="",0,IF(SETUP!$E$7="USD",((IF(O126="USD",P126,(P126/'Master Data-C19RM'!$C$2)))),((IF(O126="EUR",P126,(P126*'Master Data-C19RM'!$C$2))))))</f>
        <v>0</v>
      </c>
      <c r="BP126" s="12">
        <f>IF(N126="",0,IF(SETUP!$E$7="USD",((IF(O126="USD",W126,(W126/'Master Data-C19RM'!$D$2)))),((IF(O126="EUR",W126,(W126*'Master Data-C19RM'!$D$2))))))</f>
        <v>0</v>
      </c>
      <c r="BQ126">
        <f>IF(N126="",0,IF(SETUP!$E$7="USD",((IF(O126="USD",AD126,(AD126/'Master Data-C19RM'!$E$2)))),((IF(O126="EUR",AD126,(AD126*'Master Data-C19RM'!$E$2))))))</f>
        <v>0</v>
      </c>
      <c r="BR126">
        <f>IF(N126="",0,IF(SETUP!$E$7="USD",((IF(O126="USD",AK126,(AK126/'Master Data-C19RM'!$F$2)))),((IF(O126="EUR",AK126,(AK126*'Master Data-C19RM'!$F$2))))))</f>
        <v>0</v>
      </c>
      <c r="BS126">
        <f>IF(N126="",0,IF(SETUP!$E$7="USD",((IF(O126="USD",AR126,(AR126/'Master Data-C19RM'!$G$2)))),((IF(O126="EUR",AR126,(AR126*'Master Data-C19RM'!$G$2))))))</f>
        <v>0</v>
      </c>
      <c r="BT126">
        <f>IF(N126="",0,IF(SETUP!$E$7="USD",((IF(O126="USD",AY126,(AY126/'Master Data-C19RM'!$H$2)))),((IF(O126="EUR",AY126,(AY126*'Master Data-C19RM'!$H$2))))))</f>
        <v>0</v>
      </c>
      <c r="BU126" s="12">
        <f t="shared" si="15"/>
        <v>0</v>
      </c>
      <c r="BV126" s="142">
        <f t="shared" si="16"/>
        <v>0</v>
      </c>
    </row>
    <row r="127" spans="1:94" x14ac:dyDescent="0.35">
      <c r="A127" s="1192"/>
      <c r="B127" s="1192"/>
      <c r="C127" s="1192"/>
      <c r="D127" s="1192"/>
      <c r="E127" s="1173"/>
      <c r="F127" s="1173"/>
      <c r="G127" s="1173"/>
      <c r="H127" s="1173"/>
      <c r="I127" s="1173"/>
      <c r="J127" s="1173"/>
      <c r="K127" s="1173"/>
      <c r="L127" s="493" t="str" cm="1">
        <f t="array" ref="L127">IF(A127&lt;&gt;"",IFERROR(INDEX(PMtbl[[WKst]:[Unit of measure*]],MATCH($A$115&amp;$A127&amp;$E127&amp;$I127,INDEX(PMtbl[Sec]&amp;PMtbl[Category]&amp;PMtbl[Each]&amp;PMtbl[Packaging],0,),0),14),""),"")</f>
        <v/>
      </c>
      <c r="M127" s="480" t="str">
        <f>IF(L127="","",INDEX(SETUP!$E$20:$E$122,(MATCH(INDEX(PMsheet!$D:$E,MATCH(A127,PMsheet!E:E,0),1),SETUP!$D$20:$D$122,0))))</f>
        <v/>
      </c>
      <c r="N127" s="494">
        <f>IF($O127="USD",_xlfn.IFNA(VLOOKUP(A127&amp;E127&amp;I127,PMsheet!J:K,2,0),0),(_xlfn.IFNA(VLOOKUP(A127&amp;E127&amp;I127,PMsheet!J:K,2,0),0)*'Master Data-C19RM'!$C$2))</f>
        <v>0</v>
      </c>
      <c r="O127" s="495" t="str">
        <f>IF(L127="", "",SETUP!$E$7)</f>
        <v/>
      </c>
      <c r="P127" s="457">
        <f>IF($O127="USD",_xlfn.IFNA(VLOOKUP($A127&amp;$E127&amp;$I127,PMsheet!$J:$K,2,0),0),(_xlfn.IFNA(VLOOKUP($A127&amp;$E127&amp;$I127,PMsheet!$J:$K,2,0),0)*'Master Data-C19RM'!$C$2))</f>
        <v>0</v>
      </c>
      <c r="Q127" s="440"/>
      <c r="R127" s="440"/>
      <c r="S127" s="440"/>
      <c r="T127" s="440"/>
      <c r="U127" s="482">
        <f t="shared" si="17"/>
        <v>0</v>
      </c>
      <c r="V127" s="484">
        <f>IF(SETUP!$E$7="USD",(U127*(IF(O127="USD",P127,(P127/'Master Data-C19RM'!$C$2)))),(U127*(IF(O127="EUR",P127,(P127*'Master Data-C19RM'!$C$2)))))</f>
        <v>0</v>
      </c>
      <c r="W127" s="445">
        <f>IF($O127="USD",_xlfn.IFNA(VLOOKUP($A127&amp;$E127&amp;$I127,PMsheet!$J:$K,2,0),0),(_xlfn.IFNA(VLOOKUP($A127&amp;$E127&amp;$I127,PMsheet!$J:$K,2,0),0)*'Master Data-C19RM'!$D$2))</f>
        <v>0</v>
      </c>
      <c r="X127" s="440"/>
      <c r="Y127" s="440"/>
      <c r="Z127" s="440"/>
      <c r="AA127" s="440"/>
      <c r="AB127" s="482">
        <f t="shared" si="18"/>
        <v>0</v>
      </c>
      <c r="AC127" s="484">
        <f>IF(SETUP!$E$7="USD",(AB127*(IF(O127="USD",W127,(W127/'Master Data-C19RM'!$D$2)))),(AB127*(IF(O127="EUR",W127,(W127*'Master Data-C19RM'!$D$2)))))</f>
        <v>0</v>
      </c>
      <c r="AD127" s="445">
        <f>IF($O127="USD",_xlfn.IFNA(VLOOKUP($A127&amp;$E127&amp;$I127,PMsheet!$J:$K,2,0),0),(_xlfn.IFNA(VLOOKUP($A127&amp;$E127&amp;$I127,PMsheet!$J:$K,2,0),0)*'Master Data-C19RM'!$E$2))</f>
        <v>0</v>
      </c>
      <c r="AE127" s="440"/>
      <c r="AF127" s="440"/>
      <c r="AG127" s="440"/>
      <c r="AH127" s="440"/>
      <c r="AI127" s="514">
        <f t="shared" si="19"/>
        <v>0</v>
      </c>
      <c r="AJ127" s="515">
        <f>IF(SETUP!$E$7="USD",(AI127*(IF(O127="USD",AD127,(AD127/'Master Data-C19RM'!$E$2)))),(AI127*(IF(O127="EUR",AD127,(AD127*'Master Data-C19RM'!$E$2)))))</f>
        <v>0</v>
      </c>
      <c r="AK127" s="445">
        <f>IF($O127="USD",_xlfn.IFNA(VLOOKUP($A127&amp;$E127&amp;$I127,PMsheet!$J:$K,2,0),0),(_xlfn.IFNA(VLOOKUP($A127&amp;$E127&amp;$I127,PMsheet!$J:$K,2,0),0)*'Master Data-C19RM'!$F$2))</f>
        <v>0</v>
      </c>
      <c r="AL127" s="440"/>
      <c r="AM127" s="440"/>
      <c r="AN127" s="440"/>
      <c r="AO127" s="440"/>
      <c r="AP127" s="514">
        <f t="shared" si="20"/>
        <v>0</v>
      </c>
      <c r="AQ127" s="515">
        <f>IF(SETUP!$E$7="USD",(AP127*(IF(O127="USD",AK127,(AK127/'Master Data-C19RM'!$F$2)))),(AP127*(IF(O127="EUR",AK127,(AK127*'Master Data-C19RM'!$F$2)))))</f>
        <v>0</v>
      </c>
      <c r="AR127" s="925">
        <f>IF($O127="USD",_xlfn.IFNA(VLOOKUP($A127&amp;$E127&amp;$I127,PMsheet!$J:$K,2,0),0),(_xlfn.IFNA(VLOOKUP($A127&amp;$E127&amp;$I127,PMsheet!$J:$K,2,0),0)*'Master Data-C19RM'!$G$2))</f>
        <v>0</v>
      </c>
      <c r="AS127" s="926"/>
      <c r="AT127" s="926"/>
      <c r="AU127" s="926"/>
      <c r="AV127" s="926"/>
      <c r="AW127" s="514">
        <f t="shared" si="21"/>
        <v>0</v>
      </c>
      <c r="AX127" s="515">
        <f>IF(SETUP!$E$7="USD",(AW127*(IF(O127="USD",AR127,(AR127/'Master Data-C19RM'!$G$2)))),(AW127*(IF(O127="EUR",AR127,(AR127*'Master Data-C19RM'!$G$2)))))</f>
        <v>0</v>
      </c>
      <c r="AY127" s="845"/>
      <c r="AZ127" s="846"/>
      <c r="BA127" s="846"/>
      <c r="BB127" s="846"/>
      <c r="BC127" s="846"/>
      <c r="BD127" s="846"/>
      <c r="BE127" s="847"/>
      <c r="BF127" s="514">
        <f>'C19RM 2021-Lab &amp; Other HPS'!$U127+'C19RM 2021-Lab &amp; Other HPS'!$AB127+'C19RM 2021-Lab &amp; Other HPS'!$AP127+'C19RM 2021-Lab &amp; Other HPS'!$AI127+AW127+BD127</f>
        <v>0</v>
      </c>
      <c r="BG127" s="514">
        <f>'C19RM 2021-Lab &amp; Other HPS'!$V127+'C19RM 2021-Lab &amp; Other HPS'!$AC127+'C19RM 2021-Lab &amp; Other HPS'!$AQ127+'C19RM 2021-Lab &amp; Other HPS'!$AJ127+AX127+BE127</f>
        <v>0</v>
      </c>
      <c r="BH127" s="522" t="str" cm="1">
        <f t="array" ref="BH127">IF(A127&lt;&gt;"",IFERROR(INDEX(PMtbl[[WKst]:[Unit of measure*]],MATCH($A$115&amp;$A127&amp;$E127&amp;$I127,INDEX(PMtbl[Sec]&amp;PMtbl[Category]&amp;PMtbl[Each]&amp;PMtbl[Packaging],0,),0),11),""),"")</f>
        <v/>
      </c>
      <c r="BI127" s="818"/>
      <c r="BJ127" s="503" t="str" cm="1">
        <f t="array" ref="BJ127">IFERROR(INDEX(SETUP!$C$19:$G$121,MATCH((INDEX(PMtbl[[WKst]:[Unit of measure*]],MATCH($A127&amp;$E127&amp;$I127,INDEX(PMtbl[Category]&amp;PMtbl[Each]&amp;PMtbl[Packaging],0,),0),3)),SETUP!$D$19:$D$121,0),5),"")</f>
        <v/>
      </c>
      <c r="BK127" s="543" t="str" cm="1">
        <f t="array" ref="BK127">IFERROR(IF((INDEX(SETUP!$C$19:$G$121,MATCH((INDEX(PMtbl[[WKst]:[Unit of measure*]],MATCH($A127&amp;$E127&amp;$I127,INDEX(PMtbl[Category]&amp;PMtbl[Each]&amp;PMtbl[Packaging],0,),0),3)),SETUP!$D$19:$D$121,0),4))="Upfront",0,INDEX(SETUP!$C$19:$G$121,MATCH((INDEX(PMtbl[[WKst]:[Unit of measure*]],MATCH($A127&amp;$E127&amp;$I127,INDEX(PMtbl[Category]&amp;PMtbl[Each]&amp;PMtbl[Packaging],0,),0),3)),SETUP!$D$19:$D$121,0),5)),"")</f>
        <v/>
      </c>
      <c r="BL127" s="215" t="str" cm="1">
        <f t="array" ref="BL127">IF(E127&lt;&gt;"",IFERROR(INDEX(PMtbl[[WKst]:[Unit of measure*]],MATCH($A$115&amp;$A127&amp;$E127&amp;$I127,INDEX(PMtbl[Sec]&amp;PMtbl[Category]&amp;PMtbl[Each]&amp;PMtbl[Packaging],0,),0),11),""),"")</f>
        <v/>
      </c>
      <c r="BO127" s="12">
        <f>IF(N127="",0,IF(SETUP!$E$7="USD",((IF(O127="USD",P127,(P127/'Master Data-C19RM'!$C$2)))),((IF(O127="EUR",P127,(P127*'Master Data-C19RM'!$C$2))))))</f>
        <v>0</v>
      </c>
      <c r="BP127" s="12">
        <f>IF(N127="",0,IF(SETUP!$E$7="USD",((IF(O127="USD",W127,(W127/'Master Data-C19RM'!$D$2)))),((IF(O127="EUR",W127,(W127*'Master Data-C19RM'!$D$2))))))</f>
        <v>0</v>
      </c>
      <c r="BQ127">
        <f>IF(N127="",0,IF(SETUP!$E$7="USD",((IF(O127="USD",AD127,(AD127/'Master Data-C19RM'!$E$2)))),((IF(O127="EUR",AD127,(AD127*'Master Data-C19RM'!$E$2))))))</f>
        <v>0</v>
      </c>
      <c r="BR127">
        <f>IF(N127="",0,IF(SETUP!$E$7="USD",((IF(O127="USD",AK127,(AK127/'Master Data-C19RM'!$F$2)))),((IF(O127="EUR",AK127,(AK127*'Master Data-C19RM'!$F$2))))))</f>
        <v>0</v>
      </c>
      <c r="BS127">
        <f>IF(N127="",0,IF(SETUP!$E$7="USD",((IF(O127="USD",AR127,(AR127/'Master Data-C19RM'!$G$2)))),((IF(O127="EUR",AR127,(AR127*'Master Data-C19RM'!$G$2))))))</f>
        <v>0</v>
      </c>
      <c r="BT127">
        <f>IF(N127="",0,IF(SETUP!$E$7="USD",((IF(O127="USD",AY127,(AY127/'Master Data-C19RM'!$H$2)))),((IF(O127="EUR",AY127,(AY127*'Master Data-C19RM'!$H$2))))))</f>
        <v>0</v>
      </c>
      <c r="BU127" s="12">
        <f t="shared" si="15"/>
        <v>0</v>
      </c>
      <c r="BV127" s="142">
        <f t="shared" si="16"/>
        <v>0</v>
      </c>
    </row>
    <row r="128" spans="1:94" x14ac:dyDescent="0.35">
      <c r="A128" s="1165"/>
      <c r="B128" s="1165"/>
      <c r="C128" s="1165"/>
      <c r="D128" s="1165"/>
      <c r="E128" s="1166"/>
      <c r="F128" s="1166"/>
      <c r="G128" s="1166"/>
      <c r="H128" s="1166"/>
      <c r="I128" s="1166"/>
      <c r="J128" s="1166"/>
      <c r="K128" s="1166"/>
      <c r="L128" s="490" t="str" cm="1">
        <f t="array" ref="L128">IF(A128&lt;&gt;"",IFERROR(INDEX(PMtbl[[WKst]:[Unit of measure*]],MATCH($A$115&amp;$A128&amp;$E128&amp;$I128,INDEX(PMtbl[Sec]&amp;PMtbl[Category]&amp;PMtbl[Each]&amp;PMtbl[Packaging],0,),0),14),""),"")</f>
        <v/>
      </c>
      <c r="M128" s="479" t="str">
        <f>IF(L128="","",INDEX(SETUP!$E$20:$E$122,(MATCH(INDEX(PMsheet!$D:$E,MATCH(A128,PMsheet!E:E,0),1),SETUP!$D$20:$D$122,0))))</f>
        <v/>
      </c>
      <c r="N128" s="491">
        <f>IF($O128="USD",_xlfn.IFNA(VLOOKUP(A128&amp;E128&amp;I128,PMsheet!J:K,2,0),0),(_xlfn.IFNA(VLOOKUP(A128&amp;E128&amp;I128,PMsheet!J:K,2,0),0)*'Master Data-C19RM'!$C$2))</f>
        <v>0</v>
      </c>
      <c r="O128" s="492" t="str">
        <f>IF(L128="", "",SETUP!$E$7)</f>
        <v/>
      </c>
      <c r="P128" s="456">
        <f>IF($O128="USD",_xlfn.IFNA(VLOOKUP($A128&amp;$E128&amp;$I128,PMsheet!$J:$K,2,0),0),(_xlfn.IFNA(VLOOKUP($A128&amp;$E128&amp;$I128,PMsheet!$J:$K,2,0),0)*'Master Data-C19RM'!$C$2))</f>
        <v>0</v>
      </c>
      <c r="Q128" s="441"/>
      <c r="R128" s="441"/>
      <c r="S128" s="441"/>
      <c r="T128" s="441"/>
      <c r="U128" s="481">
        <f t="shared" si="17"/>
        <v>0</v>
      </c>
      <c r="V128" s="483">
        <f>IF(SETUP!$E$7="USD",(U128*(IF(O128="USD",P128,(P128/'Master Data-C19RM'!$C$2)))),(U128*(IF(O128="EUR",P128,(P128*'Master Data-C19RM'!$C$2)))))</f>
        <v>0</v>
      </c>
      <c r="W128" s="444">
        <f>IF($O128="USD",_xlfn.IFNA(VLOOKUP($A128&amp;$E128&amp;$I128,PMsheet!$J:$K,2,0),0),(_xlfn.IFNA(VLOOKUP($A128&amp;$E128&amp;$I128,PMsheet!$J:$K,2,0),0)*'Master Data-C19RM'!$D$2))</f>
        <v>0</v>
      </c>
      <c r="X128" s="441"/>
      <c r="Y128" s="441"/>
      <c r="Z128" s="441"/>
      <c r="AA128" s="441"/>
      <c r="AB128" s="481">
        <f t="shared" si="18"/>
        <v>0</v>
      </c>
      <c r="AC128" s="483">
        <f>IF(SETUP!$E$7="USD",(AB128*(IF(O128="USD",W128,(W128/'Master Data-C19RM'!$D$2)))),(AB128*(IF(O128="EUR",W128,(W128*'Master Data-C19RM'!$D$2)))))</f>
        <v>0</v>
      </c>
      <c r="AD128" s="444">
        <f>IF($O128="USD",_xlfn.IFNA(VLOOKUP($A128&amp;$E128&amp;$I128,PMsheet!$J:$K,2,0),0),(_xlfn.IFNA(VLOOKUP($A128&amp;$E128&amp;$I128,PMsheet!$J:$K,2,0),0)*'Master Data-C19RM'!$E$2))</f>
        <v>0</v>
      </c>
      <c r="AE128" s="441"/>
      <c r="AF128" s="441"/>
      <c r="AG128" s="441"/>
      <c r="AH128" s="441"/>
      <c r="AI128" s="512">
        <f t="shared" si="19"/>
        <v>0</v>
      </c>
      <c r="AJ128" s="513">
        <f>IF(SETUP!$E$7="USD",(AI128*(IF(O128="USD",AD128,(AD128/'Master Data-C19RM'!$E$2)))),(AI128*(IF(O128="EUR",AD128,(AD128*'Master Data-C19RM'!$E$2)))))</f>
        <v>0</v>
      </c>
      <c r="AK128" s="444">
        <f>IF($O128="USD",_xlfn.IFNA(VLOOKUP($A128&amp;$E128&amp;$I128,PMsheet!$J:$K,2,0),0),(_xlfn.IFNA(VLOOKUP($A128&amp;$E128&amp;$I128,PMsheet!$J:$K,2,0),0)*'Master Data-C19RM'!$F$2))</f>
        <v>0</v>
      </c>
      <c r="AL128" s="441"/>
      <c r="AM128" s="441"/>
      <c r="AN128" s="441"/>
      <c r="AO128" s="441"/>
      <c r="AP128" s="512">
        <f t="shared" si="20"/>
        <v>0</v>
      </c>
      <c r="AQ128" s="513">
        <f>IF(SETUP!$E$7="USD",(AP128*(IF(O128="USD",AK128,(AK128/'Master Data-C19RM'!$F$2)))),(AP128*(IF(O128="EUR",AK128,(AK128*'Master Data-C19RM'!$F$2)))))</f>
        <v>0</v>
      </c>
      <c r="AR128" s="924">
        <f>IF($O128="USD",_xlfn.IFNA(VLOOKUP($A128&amp;$E128&amp;$I128,PMsheet!$J:$K,2,0),0),(_xlfn.IFNA(VLOOKUP($A128&amp;$E128&amp;$I128,PMsheet!$J:$K,2,0),0)*'Master Data-C19RM'!$G$2))</f>
        <v>0</v>
      </c>
      <c r="AS128" s="572"/>
      <c r="AT128" s="572"/>
      <c r="AU128" s="572"/>
      <c r="AV128" s="572"/>
      <c r="AW128" s="512">
        <f t="shared" si="21"/>
        <v>0</v>
      </c>
      <c r="AX128" s="513">
        <f>IF(SETUP!$E$7="USD",(AW128*(IF(O128="USD",AR128,(AR128/'Master Data-C19RM'!$G$2)))),(AW128*(IF(O128="EUR",AR128,(AR128*'Master Data-C19RM'!$G$2)))))</f>
        <v>0</v>
      </c>
      <c r="AY128" s="845"/>
      <c r="AZ128" s="846"/>
      <c r="BA128" s="846"/>
      <c r="BB128" s="846"/>
      <c r="BC128" s="846"/>
      <c r="BD128" s="846"/>
      <c r="BE128" s="847"/>
      <c r="BF128" s="512">
        <f>'C19RM 2021-Lab &amp; Other HPS'!$U128+'C19RM 2021-Lab &amp; Other HPS'!$AB128+'C19RM 2021-Lab &amp; Other HPS'!$AP128+'C19RM 2021-Lab &amp; Other HPS'!$AI128+AW128+BD128</f>
        <v>0</v>
      </c>
      <c r="BG128" s="512">
        <f>'C19RM 2021-Lab &amp; Other HPS'!$V128+'C19RM 2021-Lab &amp; Other HPS'!$AC128+'C19RM 2021-Lab &amp; Other HPS'!$AQ128+'C19RM 2021-Lab &amp; Other HPS'!$AJ128+AX128+BE128</f>
        <v>0</v>
      </c>
      <c r="BH128" s="500" t="str" cm="1">
        <f t="array" ref="BH128">IF(A128&lt;&gt;"",IFERROR(INDEX(PMtbl[[WKst]:[Unit of measure*]],MATCH($A$115&amp;$A128&amp;$E128&amp;$I128,INDEX(PMtbl[Sec]&amp;PMtbl[Category]&amp;PMtbl[Each]&amp;PMtbl[Packaging],0,),0),11),""),"")</f>
        <v/>
      </c>
      <c r="BI128" s="819"/>
      <c r="BJ128" s="502" t="str" cm="1">
        <f t="array" ref="BJ128">IFERROR(INDEX(SETUP!$C$19:$G$121,MATCH((INDEX(PMtbl[[WKst]:[Unit of measure*]],MATCH($A128&amp;$E128&amp;$I128,INDEX(PMtbl[Category]&amp;PMtbl[Each]&amp;PMtbl[Packaging],0,),0),3)),SETUP!$D$19:$D$121,0),5),"")</f>
        <v/>
      </c>
      <c r="BK128" s="542" t="str" cm="1">
        <f t="array" ref="BK128">IFERROR(IF((INDEX(SETUP!$C$19:$G$121,MATCH((INDEX(PMtbl[[WKst]:[Unit of measure*]],MATCH($A128&amp;$E128&amp;$I128,INDEX(PMtbl[Category]&amp;PMtbl[Each]&amp;PMtbl[Packaging],0,),0),3)),SETUP!$D$19:$D$121,0),4))="Upfront",0,INDEX(SETUP!$C$19:$G$121,MATCH((INDEX(PMtbl[[WKst]:[Unit of measure*]],MATCH($A128&amp;$E128&amp;$I128,INDEX(PMtbl[Category]&amp;PMtbl[Each]&amp;PMtbl[Packaging],0,),0),3)),SETUP!$D$19:$D$121,0),5)),"")</f>
        <v/>
      </c>
      <c r="BL128" s="214" t="str" cm="1">
        <f t="array" ref="BL128">IF(E128&lt;&gt;"",IFERROR(INDEX(PMtbl[[WKst]:[Unit of measure*]],MATCH($A$115&amp;$A128&amp;$E128&amp;$I128,INDEX(PMtbl[Sec]&amp;PMtbl[Category]&amp;PMtbl[Each]&amp;PMtbl[Packaging],0,),0),11),""),"")</f>
        <v/>
      </c>
      <c r="BO128" s="12">
        <f>IF(N128="",0,IF(SETUP!$E$7="USD",((IF(O128="USD",P128,(P128/'Master Data-C19RM'!$C$2)))),((IF(O128="EUR",P128,(P128*'Master Data-C19RM'!$C$2))))))</f>
        <v>0</v>
      </c>
      <c r="BP128" s="12">
        <f>IF(N128="",0,IF(SETUP!$E$7="USD",((IF(O128="USD",W128,(W128/'Master Data-C19RM'!$D$2)))),((IF(O128="EUR",W128,(W128*'Master Data-C19RM'!$D$2))))))</f>
        <v>0</v>
      </c>
      <c r="BQ128">
        <f>IF(N128="",0,IF(SETUP!$E$7="USD",((IF(O128="USD",AD128,(AD128/'Master Data-C19RM'!$E$2)))),((IF(O128="EUR",AD128,(AD128*'Master Data-C19RM'!$E$2))))))</f>
        <v>0</v>
      </c>
      <c r="BR128">
        <f>IF(N128="",0,IF(SETUP!$E$7="USD",((IF(O128="USD",AK128,(AK128/'Master Data-C19RM'!$F$2)))),((IF(O128="EUR",AK128,(AK128*'Master Data-C19RM'!$F$2))))))</f>
        <v>0</v>
      </c>
      <c r="BS128">
        <f>IF(N128="",0,IF(SETUP!$E$7="USD",((IF(O128="USD",AR128,(AR128/'Master Data-C19RM'!$G$2)))),((IF(O128="EUR",AR128,(AR128*'Master Data-C19RM'!$G$2))))))</f>
        <v>0</v>
      </c>
      <c r="BT128">
        <f>IF(N128="",0,IF(SETUP!$E$7="USD",((IF(O128="USD",AY128,(AY128/'Master Data-C19RM'!$H$2)))),((IF(O128="EUR",AY128,(AY128*'Master Data-C19RM'!$H$2))))))</f>
        <v>0</v>
      </c>
      <c r="BU128" s="12">
        <f t="shared" si="15"/>
        <v>0</v>
      </c>
      <c r="BV128" s="142">
        <f t="shared" si="16"/>
        <v>0</v>
      </c>
    </row>
    <row r="129" spans="1:74" x14ac:dyDescent="0.35">
      <c r="A129" s="1192"/>
      <c r="B129" s="1192"/>
      <c r="C129" s="1192"/>
      <c r="D129" s="1192"/>
      <c r="E129" s="1173"/>
      <c r="F129" s="1173"/>
      <c r="G129" s="1173"/>
      <c r="H129" s="1173"/>
      <c r="I129" s="1173"/>
      <c r="J129" s="1173"/>
      <c r="K129" s="1173"/>
      <c r="L129" s="493" t="str" cm="1">
        <f t="array" ref="L129">IF(A129&lt;&gt;"",IFERROR(INDEX(PMtbl[[WKst]:[Unit of measure*]],MATCH($A$115&amp;$A129&amp;$E129&amp;$I129,INDEX(PMtbl[Sec]&amp;PMtbl[Category]&amp;PMtbl[Each]&amp;PMtbl[Packaging],0,),0),14),""),"")</f>
        <v/>
      </c>
      <c r="M129" s="480" t="str">
        <f>IF(L129="","",INDEX(SETUP!$E$20:$E$122,(MATCH(INDEX(PMsheet!$D:$E,MATCH(A129,PMsheet!E:E,0),1),SETUP!$D$20:$D$122,0))))</f>
        <v/>
      </c>
      <c r="N129" s="494">
        <f>IF($O129="USD",_xlfn.IFNA(VLOOKUP(A129&amp;E129&amp;I129,PMsheet!J:K,2,0),0),(_xlfn.IFNA(VLOOKUP(A129&amp;E129&amp;I129,PMsheet!J:K,2,0),0)*'Master Data-C19RM'!$C$2))</f>
        <v>0</v>
      </c>
      <c r="O129" s="495" t="str">
        <f>IF(L129="", "",SETUP!$E$7)</f>
        <v/>
      </c>
      <c r="P129" s="457">
        <f>IF($O129="USD",_xlfn.IFNA(VLOOKUP($A129&amp;$E129&amp;$I129,PMsheet!$J:$K,2,0),0),(_xlfn.IFNA(VLOOKUP($A129&amp;$E129&amp;$I129,PMsheet!$J:$K,2,0),0)*'Master Data-C19RM'!$C$2))</f>
        <v>0</v>
      </c>
      <c r="Q129" s="440"/>
      <c r="R129" s="440"/>
      <c r="S129" s="440"/>
      <c r="T129" s="440"/>
      <c r="U129" s="482">
        <f t="shared" si="17"/>
        <v>0</v>
      </c>
      <c r="V129" s="484">
        <f>IF(SETUP!$E$7="USD",(U129*(IF(O129="USD",P129,(P129/'Master Data-C19RM'!$C$2)))),(U129*(IF(O129="EUR",P129,(P129*'Master Data-C19RM'!$C$2)))))</f>
        <v>0</v>
      </c>
      <c r="W129" s="445">
        <f>IF($O129="USD",_xlfn.IFNA(VLOOKUP($A129&amp;$E129&amp;$I129,PMsheet!$J:$K,2,0),0),(_xlfn.IFNA(VLOOKUP($A129&amp;$E129&amp;$I129,PMsheet!$J:$K,2,0),0)*'Master Data-C19RM'!$D$2))</f>
        <v>0</v>
      </c>
      <c r="X129" s="440"/>
      <c r="Y129" s="440"/>
      <c r="Z129" s="440"/>
      <c r="AA129" s="440"/>
      <c r="AB129" s="482">
        <f t="shared" si="18"/>
        <v>0</v>
      </c>
      <c r="AC129" s="484">
        <f>IF(SETUP!$E$7="USD",(AB129*(IF(O129="USD",W129,(W129/'Master Data-C19RM'!$D$2)))),(AB129*(IF(O129="EUR",W129,(W129*'Master Data-C19RM'!$D$2)))))</f>
        <v>0</v>
      </c>
      <c r="AD129" s="445">
        <f>IF($O129="USD",_xlfn.IFNA(VLOOKUP($A129&amp;$E129&amp;$I129,PMsheet!$J:$K,2,0),0),(_xlfn.IFNA(VLOOKUP($A129&amp;$E129&amp;$I129,PMsheet!$J:$K,2,0),0)*'Master Data-C19RM'!$E$2))</f>
        <v>0</v>
      </c>
      <c r="AE129" s="440"/>
      <c r="AF129" s="440"/>
      <c r="AG129" s="440"/>
      <c r="AH129" s="440"/>
      <c r="AI129" s="514">
        <f t="shared" si="19"/>
        <v>0</v>
      </c>
      <c r="AJ129" s="515">
        <f>IF(SETUP!$E$7="USD",(AI129*(IF(O129="USD",AD129,(AD129/'Master Data-C19RM'!$E$2)))),(AI129*(IF(O129="EUR",AD129,(AD129*'Master Data-C19RM'!$E$2)))))</f>
        <v>0</v>
      </c>
      <c r="AK129" s="445">
        <f>IF($O129="USD",_xlfn.IFNA(VLOOKUP($A129&amp;$E129&amp;$I129,PMsheet!$J:$K,2,0),0),(_xlfn.IFNA(VLOOKUP($A129&amp;$E129&amp;$I129,PMsheet!$J:$K,2,0),0)*'Master Data-C19RM'!$F$2))</f>
        <v>0</v>
      </c>
      <c r="AL129" s="440"/>
      <c r="AM129" s="440"/>
      <c r="AN129" s="440"/>
      <c r="AO129" s="440"/>
      <c r="AP129" s="514">
        <f t="shared" si="20"/>
        <v>0</v>
      </c>
      <c r="AQ129" s="515">
        <f>IF(SETUP!$E$7="USD",(AP129*(IF(O129="USD",AK129,(AK129/'Master Data-C19RM'!$F$2)))),(AP129*(IF(O129="EUR",AK129,(AK129*'Master Data-C19RM'!$F$2)))))</f>
        <v>0</v>
      </c>
      <c r="AR129" s="925">
        <f>IF($O129="USD",_xlfn.IFNA(VLOOKUP($A129&amp;$E129&amp;$I129,PMsheet!$J:$K,2,0),0),(_xlfn.IFNA(VLOOKUP($A129&amp;$E129&amp;$I129,PMsheet!$J:$K,2,0),0)*'Master Data-C19RM'!$G$2))</f>
        <v>0</v>
      </c>
      <c r="AS129" s="926"/>
      <c r="AT129" s="926"/>
      <c r="AU129" s="926"/>
      <c r="AV129" s="926"/>
      <c r="AW129" s="514">
        <f t="shared" si="21"/>
        <v>0</v>
      </c>
      <c r="AX129" s="515">
        <f>IF(SETUP!$E$7="USD",(AW129*(IF(O129="USD",AR129,(AR129/'Master Data-C19RM'!$G$2)))),(AW129*(IF(O129="EUR",AR129,(AR129*'Master Data-C19RM'!$G$2)))))</f>
        <v>0</v>
      </c>
      <c r="AY129" s="845"/>
      <c r="AZ129" s="846"/>
      <c r="BA129" s="846"/>
      <c r="BB129" s="846"/>
      <c r="BC129" s="846"/>
      <c r="BD129" s="846"/>
      <c r="BE129" s="847"/>
      <c r="BF129" s="514">
        <f>'C19RM 2021-Lab &amp; Other HPS'!$U129+'C19RM 2021-Lab &amp; Other HPS'!$AB129+'C19RM 2021-Lab &amp; Other HPS'!$AP129+'C19RM 2021-Lab &amp; Other HPS'!$AI129+AW129+BD129</f>
        <v>0</v>
      </c>
      <c r="BG129" s="514">
        <f>'C19RM 2021-Lab &amp; Other HPS'!$V129+'C19RM 2021-Lab &amp; Other HPS'!$AC129+'C19RM 2021-Lab &amp; Other HPS'!$AQ129+'C19RM 2021-Lab &amp; Other HPS'!$AJ129+AX129+BE129</f>
        <v>0</v>
      </c>
      <c r="BH129" s="522" t="str" cm="1">
        <f t="array" ref="BH129">IF(A129&lt;&gt;"",IFERROR(INDEX(PMtbl[[WKst]:[Unit of measure*]],MATCH($A$115&amp;$A129&amp;$E129&amp;$I129,INDEX(PMtbl[Sec]&amp;PMtbl[Category]&amp;PMtbl[Each]&amp;PMtbl[Packaging],0,),0),11),""),"")</f>
        <v/>
      </c>
      <c r="BI129" s="818"/>
      <c r="BJ129" s="503" t="str" cm="1">
        <f t="array" ref="BJ129">IFERROR(INDEX(SETUP!$C$19:$G$121,MATCH((INDEX(PMtbl[[WKst]:[Unit of measure*]],MATCH($A129&amp;$E129&amp;$I129,INDEX(PMtbl[Category]&amp;PMtbl[Each]&amp;PMtbl[Packaging],0,),0),3)),SETUP!$D$19:$D$121,0),5),"")</f>
        <v/>
      </c>
      <c r="BK129" s="543" t="str" cm="1">
        <f t="array" ref="BK129">IFERROR(IF((INDEX(SETUP!$C$19:$G$121,MATCH((INDEX(PMtbl[[WKst]:[Unit of measure*]],MATCH($A129&amp;$E129&amp;$I129,INDEX(PMtbl[Category]&amp;PMtbl[Each]&amp;PMtbl[Packaging],0,),0),3)),SETUP!$D$19:$D$121,0),4))="Upfront",0,INDEX(SETUP!$C$19:$G$121,MATCH((INDEX(PMtbl[[WKst]:[Unit of measure*]],MATCH($A129&amp;$E129&amp;$I129,INDEX(PMtbl[Category]&amp;PMtbl[Each]&amp;PMtbl[Packaging],0,),0),3)),SETUP!$D$19:$D$121,0),5)),"")</f>
        <v/>
      </c>
      <c r="BL129" s="215" t="str" cm="1">
        <f t="array" ref="BL129">IF(E129&lt;&gt;"",IFERROR(INDEX(PMtbl[[WKst]:[Unit of measure*]],MATCH($A$115&amp;$A129&amp;$E129&amp;$I129,INDEX(PMtbl[Sec]&amp;PMtbl[Category]&amp;PMtbl[Each]&amp;PMtbl[Packaging],0,),0),11),""),"")</f>
        <v/>
      </c>
      <c r="BO129" s="12">
        <f>IF(N129="",0,IF(SETUP!$E$7="USD",((IF(O129="USD",P129,(P129/'Master Data-C19RM'!$C$2)))),((IF(O129="EUR",P129,(P129*'Master Data-C19RM'!$C$2))))))</f>
        <v>0</v>
      </c>
      <c r="BP129" s="12">
        <f>IF(N129="",0,IF(SETUP!$E$7="USD",((IF(O129="USD",W129,(W129/'Master Data-C19RM'!$D$2)))),((IF(O129="EUR",W129,(W129*'Master Data-C19RM'!$D$2))))))</f>
        <v>0</v>
      </c>
      <c r="BQ129">
        <f>IF(N129="",0,IF(SETUP!$E$7="USD",((IF(O129="USD",AD129,(AD129/'Master Data-C19RM'!$E$2)))),((IF(O129="EUR",AD129,(AD129*'Master Data-C19RM'!$E$2))))))</f>
        <v>0</v>
      </c>
      <c r="BR129">
        <f>IF(N129="",0,IF(SETUP!$E$7="USD",((IF(O129="USD",AK129,(AK129/'Master Data-C19RM'!$F$2)))),((IF(O129="EUR",AK129,(AK129*'Master Data-C19RM'!$F$2))))))</f>
        <v>0</v>
      </c>
      <c r="BS129">
        <f>IF(N129="",0,IF(SETUP!$E$7="USD",((IF(O129="USD",AR129,(AR129/'Master Data-C19RM'!$G$2)))),((IF(O129="EUR",AR129,(AR129*'Master Data-C19RM'!$G$2))))))</f>
        <v>0</v>
      </c>
      <c r="BT129">
        <f>IF(N129="",0,IF(SETUP!$E$7="USD",((IF(O129="USD",AY129,(AY129/'Master Data-C19RM'!$H$2)))),((IF(O129="EUR",AY129,(AY129*'Master Data-C19RM'!$H$2))))))</f>
        <v>0</v>
      </c>
      <c r="BU129" s="12">
        <f t="shared" si="15"/>
        <v>0</v>
      </c>
      <c r="BV129" s="142">
        <f t="shared" si="16"/>
        <v>0</v>
      </c>
    </row>
    <row r="130" spans="1:74" x14ac:dyDescent="0.35">
      <c r="A130" s="1165"/>
      <c r="B130" s="1165"/>
      <c r="C130" s="1165"/>
      <c r="D130" s="1165"/>
      <c r="E130" s="1166"/>
      <c r="F130" s="1166"/>
      <c r="G130" s="1166"/>
      <c r="H130" s="1166"/>
      <c r="I130" s="1166"/>
      <c r="J130" s="1166"/>
      <c r="K130" s="1166"/>
      <c r="L130" s="490" t="str" cm="1">
        <f t="array" ref="L130">IF(A130&lt;&gt;"",IFERROR(INDEX(PMtbl[[WKst]:[Unit of measure*]],MATCH($A$115&amp;$A130&amp;$E130&amp;$I130,INDEX(PMtbl[Sec]&amp;PMtbl[Category]&amp;PMtbl[Each]&amp;PMtbl[Packaging],0,),0),14),""),"")</f>
        <v/>
      </c>
      <c r="M130" s="479" t="str">
        <f>IF(L130="","",INDEX(SETUP!$E$20:$E$122,(MATCH(INDEX(PMsheet!$D:$E,MATCH(A130,PMsheet!E:E,0),1),SETUP!$D$20:$D$122,0))))</f>
        <v/>
      </c>
      <c r="N130" s="491">
        <f>IF($O130="USD",_xlfn.IFNA(VLOOKUP(A130&amp;E130&amp;I130,PMsheet!J:K,2,0),0),(_xlfn.IFNA(VLOOKUP(A130&amp;E130&amp;I130,PMsheet!J:K,2,0),0)*'Master Data-C19RM'!$C$2))</f>
        <v>0</v>
      </c>
      <c r="O130" s="492" t="str">
        <f>IF(L130="", "",SETUP!$E$7)</f>
        <v/>
      </c>
      <c r="P130" s="456">
        <f>IF($O130="USD",_xlfn.IFNA(VLOOKUP($A130&amp;$E130&amp;$I130,PMsheet!$J:$K,2,0),0),(_xlfn.IFNA(VLOOKUP($A130&amp;$E130&amp;$I130,PMsheet!$J:$K,2,0),0)*'Master Data-C19RM'!$C$2))</f>
        <v>0</v>
      </c>
      <c r="Q130" s="441"/>
      <c r="R130" s="441"/>
      <c r="S130" s="441"/>
      <c r="T130" s="441"/>
      <c r="U130" s="481">
        <f t="shared" si="17"/>
        <v>0</v>
      </c>
      <c r="V130" s="483">
        <f>IF(SETUP!$E$7="USD",(U130*(IF(O130="USD",P130,(P130/'Master Data-C19RM'!$C$2)))),(U130*(IF(O130="EUR",P130,(P130*'Master Data-C19RM'!$C$2)))))</f>
        <v>0</v>
      </c>
      <c r="W130" s="444">
        <f>IF($O130="USD",_xlfn.IFNA(VLOOKUP($A130&amp;$E130&amp;$I130,PMsheet!$J:$K,2,0),0),(_xlfn.IFNA(VLOOKUP($A130&amp;$E130&amp;$I130,PMsheet!$J:$K,2,0),0)*'Master Data-C19RM'!$D$2))</f>
        <v>0</v>
      </c>
      <c r="X130" s="441"/>
      <c r="Y130" s="441"/>
      <c r="Z130" s="441"/>
      <c r="AA130" s="441"/>
      <c r="AB130" s="481">
        <f t="shared" si="18"/>
        <v>0</v>
      </c>
      <c r="AC130" s="483">
        <f>IF(SETUP!$E$7="USD",(AB130*(IF(O130="USD",W130,(W130/'Master Data-C19RM'!$D$2)))),(AB130*(IF(O130="EUR",W130,(W130*'Master Data-C19RM'!$D$2)))))</f>
        <v>0</v>
      </c>
      <c r="AD130" s="444">
        <f>IF($O130="USD",_xlfn.IFNA(VLOOKUP($A130&amp;$E130&amp;$I130,PMsheet!$J:$K,2,0),0),(_xlfn.IFNA(VLOOKUP($A130&amp;$E130&amp;$I130,PMsheet!$J:$K,2,0),0)*'Master Data-C19RM'!$E$2))</f>
        <v>0</v>
      </c>
      <c r="AE130" s="441"/>
      <c r="AF130" s="441"/>
      <c r="AG130" s="441"/>
      <c r="AH130" s="441"/>
      <c r="AI130" s="512">
        <f t="shared" si="19"/>
        <v>0</v>
      </c>
      <c r="AJ130" s="513">
        <f>IF(SETUP!$E$7="USD",(AI130*(IF(O130="USD",AD130,(AD130/'Master Data-C19RM'!$E$2)))),(AI130*(IF(O130="EUR",AD130,(AD130*'Master Data-C19RM'!$E$2)))))</f>
        <v>0</v>
      </c>
      <c r="AK130" s="444">
        <f>IF($O130="USD",_xlfn.IFNA(VLOOKUP($A130&amp;$E130&amp;$I130,PMsheet!$J:$K,2,0),0),(_xlfn.IFNA(VLOOKUP($A130&amp;$E130&amp;$I130,PMsheet!$J:$K,2,0),0)*'Master Data-C19RM'!$F$2))</f>
        <v>0</v>
      </c>
      <c r="AL130" s="441"/>
      <c r="AM130" s="441"/>
      <c r="AN130" s="441"/>
      <c r="AO130" s="441"/>
      <c r="AP130" s="512">
        <f t="shared" si="20"/>
        <v>0</v>
      </c>
      <c r="AQ130" s="513">
        <f>IF(SETUP!$E$7="USD",(AP130*(IF(O130="USD",AK130,(AK130/'Master Data-C19RM'!$F$2)))),(AP130*(IF(O130="EUR",AK130,(AK130*'Master Data-C19RM'!$F$2)))))</f>
        <v>0</v>
      </c>
      <c r="AR130" s="924">
        <f>IF($O130="USD",_xlfn.IFNA(VLOOKUP($A130&amp;$E130&amp;$I130,PMsheet!$J:$K,2,0),0),(_xlfn.IFNA(VLOOKUP($A130&amp;$E130&amp;$I130,PMsheet!$J:$K,2,0),0)*'Master Data-C19RM'!$G$2))</f>
        <v>0</v>
      </c>
      <c r="AS130" s="572"/>
      <c r="AT130" s="572"/>
      <c r="AU130" s="572"/>
      <c r="AV130" s="572"/>
      <c r="AW130" s="512">
        <f t="shared" si="21"/>
        <v>0</v>
      </c>
      <c r="AX130" s="513">
        <f>IF(SETUP!$E$7="USD",(AW130*(IF(O130="USD",AR130,(AR130/'Master Data-C19RM'!$G$2)))),(AW130*(IF(O130="EUR",AR130,(AR130*'Master Data-C19RM'!$G$2)))))</f>
        <v>0</v>
      </c>
      <c r="AY130" s="845"/>
      <c r="AZ130" s="846"/>
      <c r="BA130" s="846"/>
      <c r="BB130" s="846"/>
      <c r="BC130" s="846"/>
      <c r="BD130" s="846"/>
      <c r="BE130" s="847"/>
      <c r="BF130" s="512">
        <f>'C19RM 2021-Lab &amp; Other HPS'!$U130+'C19RM 2021-Lab &amp; Other HPS'!$AB130+'C19RM 2021-Lab &amp; Other HPS'!$AP130+'C19RM 2021-Lab &amp; Other HPS'!$AI130+AW130+BD130</f>
        <v>0</v>
      </c>
      <c r="BG130" s="512">
        <f>'C19RM 2021-Lab &amp; Other HPS'!$V130+'C19RM 2021-Lab &amp; Other HPS'!$AC130+'C19RM 2021-Lab &amp; Other HPS'!$AQ130+'C19RM 2021-Lab &amp; Other HPS'!$AJ130+AX130+BE130</f>
        <v>0</v>
      </c>
      <c r="BH130" s="500" t="str" cm="1">
        <f t="array" ref="BH130">IF(A130&lt;&gt;"",IFERROR(INDEX(PMtbl[[WKst]:[Unit of measure*]],MATCH($A$115&amp;$A130&amp;$E130&amp;$I130,INDEX(PMtbl[Sec]&amp;PMtbl[Category]&amp;PMtbl[Each]&amp;PMtbl[Packaging],0,),0),11),""),"")</f>
        <v/>
      </c>
      <c r="BI130" s="819"/>
      <c r="BJ130" s="526" t="str" cm="1">
        <f t="array" ref="BJ130">IFERROR(INDEX(SETUP!$C$19:$G$121,MATCH((INDEX(PMtbl[[WKst]:[Unit of measure*]],MATCH($A130&amp;$E130&amp;$I130,INDEX(PMtbl[Category]&amp;PMtbl[Each]&amp;PMtbl[Packaging],0,),0),3)),SETUP!$D$19:$D$121,0),5),"")</f>
        <v/>
      </c>
      <c r="BK130" s="544" t="str" cm="1">
        <f t="array" ref="BK130">IFERROR(IF((INDEX(SETUP!$C$19:$G$121,MATCH((INDEX(PMtbl[[WKst]:[Unit of measure*]],MATCH($A130&amp;$E130&amp;$I130,INDEX(PMtbl[Category]&amp;PMtbl[Each]&amp;PMtbl[Packaging],0,),0),3)),SETUP!$D$19:$D$121,0),4))="Upfront",0,INDEX(SETUP!$C$19:$G$121,MATCH((INDEX(PMtbl[[WKst]:[Unit of measure*]],MATCH($A130&amp;$E130&amp;$I130,INDEX(PMtbl[Category]&amp;PMtbl[Each]&amp;PMtbl[Packaging],0,),0),3)),SETUP!$D$19:$D$121,0),5)),"")</f>
        <v/>
      </c>
      <c r="BL130" s="214" t="str" cm="1">
        <f t="array" ref="BL130">IF(E130&lt;&gt;"",IFERROR(INDEX(PMtbl[[WKst]:[Unit of measure*]],MATCH($A$115&amp;$A130&amp;$E130&amp;$I130,INDEX(PMtbl[Sec]&amp;PMtbl[Category]&amp;PMtbl[Each]&amp;PMtbl[Packaging],0,),0),11),""),"")</f>
        <v/>
      </c>
      <c r="BO130" s="12">
        <f>IF(N130="",0,IF(SETUP!$E$7="USD",((IF(O130="USD",P130,(P130/'Master Data-C19RM'!$C$2)))),((IF(O130="EUR",P130,(P130*'Master Data-C19RM'!$C$2))))))</f>
        <v>0</v>
      </c>
      <c r="BP130" s="12">
        <f>IF(N130="",0,IF(SETUP!$E$7="USD",((IF(O130="USD",W130,(W130/'Master Data-C19RM'!$D$2)))),((IF(O130="EUR",W130,(W130*'Master Data-C19RM'!$D$2))))))</f>
        <v>0</v>
      </c>
      <c r="BQ130">
        <f>IF(N130="",0,IF(SETUP!$E$7="USD",((IF(O130="USD",AD130,(AD130/'Master Data-C19RM'!$E$2)))),((IF(O130="EUR",AD130,(AD130*'Master Data-C19RM'!$E$2))))))</f>
        <v>0</v>
      </c>
      <c r="BR130">
        <f>IF(N130="",0,IF(SETUP!$E$7="USD",((IF(O130="USD",AK130,(AK130/'Master Data-C19RM'!$F$2)))),((IF(O130="EUR",AK130,(AK130*'Master Data-C19RM'!$F$2))))))</f>
        <v>0</v>
      </c>
      <c r="BS130">
        <f>IF(N130="",0,IF(SETUP!$E$7="USD",((IF(O130="USD",AR130,(AR130/'Master Data-C19RM'!$G$2)))),((IF(O130="EUR",AR130,(AR130*'Master Data-C19RM'!$G$2))))))</f>
        <v>0</v>
      </c>
      <c r="BT130">
        <f>IF(N130="",0,IF(SETUP!$E$7="USD",((IF(O130="USD",AY130,(AY130/'Master Data-C19RM'!$H$2)))),((IF(O130="EUR",AY130,(AY130*'Master Data-C19RM'!$H$2))))))</f>
        <v>0</v>
      </c>
      <c r="BU130" s="12">
        <f t="shared" si="15"/>
        <v>0</v>
      </c>
      <c r="BV130" s="142">
        <f t="shared" si="16"/>
        <v>0</v>
      </c>
    </row>
    <row r="131" spans="1:74" x14ac:dyDescent="0.35">
      <c r="A131" s="1192"/>
      <c r="B131" s="1192"/>
      <c r="C131" s="1192"/>
      <c r="D131" s="1192"/>
      <c r="E131" s="1173"/>
      <c r="F131" s="1173"/>
      <c r="G131" s="1173"/>
      <c r="H131" s="1173"/>
      <c r="I131" s="1173"/>
      <c r="J131" s="1173"/>
      <c r="K131" s="1173"/>
      <c r="L131" s="493" t="str" cm="1">
        <f t="array" ref="L131">IF(A131&lt;&gt;"",IFERROR(INDEX(PMtbl[[WKst]:[Unit of measure*]],MATCH($A$115&amp;$A131&amp;$E131&amp;$I131,INDEX(PMtbl[Sec]&amp;PMtbl[Category]&amp;PMtbl[Each]&amp;PMtbl[Packaging],0,),0),14),""),"")</f>
        <v/>
      </c>
      <c r="M131" s="480" t="str">
        <f>IF(L131="","",INDEX(SETUP!$E$20:$E$122,(MATCH(INDEX(PMsheet!$D:$E,MATCH(A131,PMsheet!E:E,0),1),SETUP!$D$20:$D$122,0))))</f>
        <v/>
      </c>
      <c r="N131" s="494">
        <f>IF($O131="USD",_xlfn.IFNA(VLOOKUP(A131&amp;E131&amp;I131,PMsheet!J:K,2,0),0),(_xlfn.IFNA(VLOOKUP(A131&amp;E131&amp;I131,PMsheet!J:K,2,0),0)*'Master Data-C19RM'!$C$2))</f>
        <v>0</v>
      </c>
      <c r="O131" s="495" t="str">
        <f>IF(L131="", "",SETUP!$E$7)</f>
        <v/>
      </c>
      <c r="P131" s="457">
        <f>IF($O131="USD",_xlfn.IFNA(VLOOKUP($A131&amp;$E131&amp;$I131,PMsheet!$J:$K,2,0),0),(_xlfn.IFNA(VLOOKUP($A131&amp;$E131&amp;$I131,PMsheet!$J:$K,2,0),0)*'Master Data-C19RM'!$C$2))</f>
        <v>0</v>
      </c>
      <c r="Q131" s="440"/>
      <c r="R131" s="440"/>
      <c r="S131" s="440"/>
      <c r="T131" s="440"/>
      <c r="U131" s="482">
        <f t="shared" si="17"/>
        <v>0</v>
      </c>
      <c r="V131" s="484">
        <f>IF(SETUP!$E$7="USD",(U131*(IF(O131="USD",P131,(P131/'Master Data-C19RM'!$C$2)))),(U131*(IF(O131="EUR",P131,(P131*'Master Data-C19RM'!$C$2)))))</f>
        <v>0</v>
      </c>
      <c r="W131" s="445">
        <f>IF($O131="USD",_xlfn.IFNA(VLOOKUP($A131&amp;$E131&amp;$I131,PMsheet!$J:$K,2,0),0),(_xlfn.IFNA(VLOOKUP($A131&amp;$E131&amp;$I131,PMsheet!$J:$K,2,0),0)*'Master Data-C19RM'!$D$2))</f>
        <v>0</v>
      </c>
      <c r="X131" s="440"/>
      <c r="Y131" s="440"/>
      <c r="Z131" s="440"/>
      <c r="AA131" s="440"/>
      <c r="AB131" s="482">
        <f t="shared" si="18"/>
        <v>0</v>
      </c>
      <c r="AC131" s="484">
        <f>IF(SETUP!$E$7="USD",(AB131*(IF(O131="USD",W131,(W131/'Master Data-C19RM'!$D$2)))),(AB131*(IF(O131="EUR",W131,(W131*'Master Data-C19RM'!$D$2)))))</f>
        <v>0</v>
      </c>
      <c r="AD131" s="445">
        <f>IF($O131="USD",_xlfn.IFNA(VLOOKUP($A131&amp;$E131&amp;$I131,PMsheet!$J:$K,2,0),0),(_xlfn.IFNA(VLOOKUP($A131&amp;$E131&amp;$I131,PMsheet!$J:$K,2,0),0)*'Master Data-C19RM'!$E$2))</f>
        <v>0</v>
      </c>
      <c r="AE131" s="440"/>
      <c r="AF131" s="440"/>
      <c r="AG131" s="440"/>
      <c r="AH131" s="440"/>
      <c r="AI131" s="514">
        <f t="shared" si="19"/>
        <v>0</v>
      </c>
      <c r="AJ131" s="515">
        <f>IF(SETUP!$E$7="USD",(AI131*(IF(O131="USD",AD131,(AD131/'Master Data-C19RM'!$E$2)))),(AI131*(IF(O131="EUR",AD131,(AD131*'Master Data-C19RM'!$E$2)))))</f>
        <v>0</v>
      </c>
      <c r="AK131" s="445">
        <f>IF($O131="USD",_xlfn.IFNA(VLOOKUP($A131&amp;$E131&amp;$I131,PMsheet!$J:$K,2,0),0),(_xlfn.IFNA(VLOOKUP($A131&amp;$E131&amp;$I131,PMsheet!$J:$K,2,0),0)*'Master Data-C19RM'!$F$2))</f>
        <v>0</v>
      </c>
      <c r="AL131" s="440"/>
      <c r="AM131" s="440"/>
      <c r="AN131" s="440"/>
      <c r="AO131" s="440"/>
      <c r="AP131" s="514">
        <f t="shared" si="20"/>
        <v>0</v>
      </c>
      <c r="AQ131" s="515">
        <f>IF(SETUP!$E$7="USD",(AP131*(IF(O131="USD",AK131,(AK131/'Master Data-C19RM'!$F$2)))),(AP131*(IF(O131="EUR",AK131,(AK131*'Master Data-C19RM'!$F$2)))))</f>
        <v>0</v>
      </c>
      <c r="AR131" s="925">
        <f>IF($O131="USD",_xlfn.IFNA(VLOOKUP($A131&amp;$E131&amp;$I131,PMsheet!$J:$K,2,0),0),(_xlfn.IFNA(VLOOKUP($A131&amp;$E131&amp;$I131,PMsheet!$J:$K,2,0),0)*'Master Data-C19RM'!$G$2))</f>
        <v>0</v>
      </c>
      <c r="AS131" s="926"/>
      <c r="AT131" s="926"/>
      <c r="AU131" s="926"/>
      <c r="AV131" s="926"/>
      <c r="AW131" s="514">
        <f t="shared" si="21"/>
        <v>0</v>
      </c>
      <c r="AX131" s="515">
        <f>IF(SETUP!$E$7="USD",(AW131*(IF(O131="USD",AR131,(AR131/'Master Data-C19RM'!$G$2)))),(AW131*(IF(O131="EUR",AR131,(AR131*'Master Data-C19RM'!$G$2)))))</f>
        <v>0</v>
      </c>
      <c r="AY131" s="845"/>
      <c r="AZ131" s="846"/>
      <c r="BA131" s="846"/>
      <c r="BB131" s="846"/>
      <c r="BC131" s="846"/>
      <c r="BD131" s="846"/>
      <c r="BE131" s="847"/>
      <c r="BF131" s="514">
        <f>'C19RM 2021-Lab &amp; Other HPS'!$U131+'C19RM 2021-Lab &amp; Other HPS'!$AB131+'C19RM 2021-Lab &amp; Other HPS'!$AP131+'C19RM 2021-Lab &amp; Other HPS'!$AI131+AW131+BD131</f>
        <v>0</v>
      </c>
      <c r="BG131" s="514">
        <f>'C19RM 2021-Lab &amp; Other HPS'!$V131+'C19RM 2021-Lab &amp; Other HPS'!$AC131+'C19RM 2021-Lab &amp; Other HPS'!$AQ131+'C19RM 2021-Lab &amp; Other HPS'!$AJ131+AX131+BE131</f>
        <v>0</v>
      </c>
      <c r="BH131" s="522" t="str" cm="1">
        <f t="array" ref="BH131">IF(A131&lt;&gt;"",IFERROR(INDEX(PMtbl[[WKst]:[Unit of measure*]],MATCH($A$115&amp;$A131&amp;$E131&amp;$I131,INDEX(PMtbl[Sec]&amp;PMtbl[Category]&amp;PMtbl[Each]&amp;PMtbl[Packaging],0,),0),11),""),"")</f>
        <v/>
      </c>
      <c r="BI131" s="818"/>
      <c r="BJ131" s="503" t="str" cm="1">
        <f t="array" ref="BJ131">IFERROR(INDEX(SETUP!$C$19:$G$121,MATCH((INDEX(PMtbl[[WKst]:[Unit of measure*]],MATCH($A131&amp;$E131&amp;$I131,INDEX(PMtbl[Category]&amp;PMtbl[Each]&amp;PMtbl[Packaging],0,),0),3)),SETUP!$D$19:$D$121,0),5),"")</f>
        <v/>
      </c>
      <c r="BK131" s="543" t="str" cm="1">
        <f t="array" ref="BK131">IFERROR(IF((INDEX(SETUP!$C$19:$G$121,MATCH((INDEX(PMtbl[[WKst]:[Unit of measure*]],MATCH($A131&amp;$E131&amp;$I131,INDEX(PMtbl[Category]&amp;PMtbl[Each]&amp;PMtbl[Packaging],0,),0),3)),SETUP!$D$19:$D$121,0),4))="Upfront",0,INDEX(SETUP!$C$19:$G$121,MATCH((INDEX(PMtbl[[WKst]:[Unit of measure*]],MATCH($A131&amp;$E131&amp;$I131,INDEX(PMtbl[Category]&amp;PMtbl[Each]&amp;PMtbl[Packaging],0,),0),3)),SETUP!$D$19:$D$121,0),5)),"")</f>
        <v/>
      </c>
      <c r="BL131" s="215" t="str" cm="1">
        <f t="array" ref="BL131">IF(E131&lt;&gt;"",IFERROR(INDEX(PMtbl[[WKst]:[Unit of measure*]],MATCH($A$115&amp;$A131&amp;$E131&amp;$I131,INDEX(PMtbl[Sec]&amp;PMtbl[Category]&amp;PMtbl[Each]&amp;PMtbl[Packaging],0,),0),11),""),"")</f>
        <v/>
      </c>
      <c r="BO131" s="12">
        <f>IF(N131="",0,IF(SETUP!$E$7="USD",((IF(O131="USD",P131,(P131/'Master Data-C19RM'!$C$2)))),((IF(O131="EUR",P131,(P131*'Master Data-C19RM'!$C$2))))))</f>
        <v>0</v>
      </c>
      <c r="BP131" s="12">
        <f>IF(N131="",0,IF(SETUP!$E$7="USD",((IF(O131="USD",W131,(W131/'Master Data-C19RM'!$D$2)))),((IF(O131="EUR",W131,(W131*'Master Data-C19RM'!$D$2))))))</f>
        <v>0</v>
      </c>
      <c r="BQ131">
        <f>IF(N131="",0,IF(SETUP!$E$7="USD",((IF(O131="USD",AD131,(AD131/'Master Data-C19RM'!$E$2)))),((IF(O131="EUR",AD131,(AD131*'Master Data-C19RM'!$E$2))))))</f>
        <v>0</v>
      </c>
      <c r="BR131">
        <f>IF(N131="",0,IF(SETUP!$E$7="USD",((IF(O131="USD",AK131,(AK131/'Master Data-C19RM'!$F$2)))),((IF(O131="EUR",AK131,(AK131*'Master Data-C19RM'!$F$2))))))</f>
        <v>0</v>
      </c>
      <c r="BS131">
        <f>IF(N131="",0,IF(SETUP!$E$7="USD",((IF(O131="USD",AR131,(AR131/'Master Data-C19RM'!$G$2)))),((IF(O131="EUR",AR131,(AR131*'Master Data-C19RM'!$G$2))))))</f>
        <v>0</v>
      </c>
      <c r="BT131">
        <f>IF(N131="",0,IF(SETUP!$E$7="USD",((IF(O131="USD",AY131,(AY131/'Master Data-C19RM'!$H$2)))),((IF(O131="EUR",AY131,(AY131*'Master Data-C19RM'!$H$2))))))</f>
        <v>0</v>
      </c>
      <c r="BU131" s="12">
        <f t="shared" si="15"/>
        <v>0</v>
      </c>
      <c r="BV131" s="142">
        <f t="shared" si="16"/>
        <v>0</v>
      </c>
    </row>
    <row r="132" spans="1:74" x14ac:dyDescent="0.35">
      <c r="A132" s="1165"/>
      <c r="B132" s="1165"/>
      <c r="C132" s="1165"/>
      <c r="D132" s="1165"/>
      <c r="E132" s="1166"/>
      <c r="F132" s="1166"/>
      <c r="G132" s="1166"/>
      <c r="H132" s="1166"/>
      <c r="I132" s="1166"/>
      <c r="J132" s="1166"/>
      <c r="K132" s="1166"/>
      <c r="L132" s="490" t="str" cm="1">
        <f t="array" ref="L132">IF(A132&lt;&gt;"",IFERROR(INDEX(PMtbl[[WKst]:[Unit of measure*]],MATCH($A$115&amp;$A132&amp;$E132&amp;$I132,INDEX(PMtbl[Sec]&amp;PMtbl[Category]&amp;PMtbl[Each]&amp;PMtbl[Packaging],0,),0),14),""),"")</f>
        <v/>
      </c>
      <c r="M132" s="479" t="str">
        <f>IF(L132="","",INDEX(SETUP!$E$20:$E$122,(MATCH(INDEX(PMsheet!$D:$E,MATCH(A132,PMsheet!E:E,0),1),SETUP!$D$20:$D$122,0))))</f>
        <v/>
      </c>
      <c r="N132" s="491">
        <f>IF($O132="USD",_xlfn.IFNA(VLOOKUP(A132&amp;E132&amp;I132,PMsheet!J:K,2,0),0),(_xlfn.IFNA(VLOOKUP(A132&amp;E132&amp;I132,PMsheet!J:K,2,0),0)*'Master Data-C19RM'!$C$2))</f>
        <v>0</v>
      </c>
      <c r="O132" s="492" t="str">
        <f>IF(L132="", "",SETUP!$E$7)</f>
        <v/>
      </c>
      <c r="P132" s="456">
        <f>IF($O132="USD",_xlfn.IFNA(VLOOKUP($A132&amp;$E132&amp;$I132,PMsheet!$J:$K,2,0),0),(_xlfn.IFNA(VLOOKUP($A132&amp;$E132&amp;$I132,PMsheet!$J:$K,2,0),0)*'Master Data-C19RM'!$C$2))</f>
        <v>0</v>
      </c>
      <c r="Q132" s="441"/>
      <c r="R132" s="441"/>
      <c r="S132" s="441"/>
      <c r="T132" s="441"/>
      <c r="U132" s="481">
        <f t="shared" si="17"/>
        <v>0</v>
      </c>
      <c r="V132" s="483">
        <f>IF(SETUP!$E$7="USD",(U132*(IF(O132="USD",P132,(P132/'Master Data-C19RM'!$C$2)))),(U132*(IF(O132="EUR",P132,(P132*'Master Data-C19RM'!$C$2)))))</f>
        <v>0</v>
      </c>
      <c r="W132" s="444">
        <f>IF($O132="USD",_xlfn.IFNA(VLOOKUP($A132&amp;$E132&amp;$I132,PMsheet!$J:$K,2,0),0),(_xlfn.IFNA(VLOOKUP($A132&amp;$E132&amp;$I132,PMsheet!$J:$K,2,0),0)*'Master Data-C19RM'!$D$2))</f>
        <v>0</v>
      </c>
      <c r="X132" s="441"/>
      <c r="Y132" s="441"/>
      <c r="Z132" s="441"/>
      <c r="AA132" s="441"/>
      <c r="AB132" s="481">
        <f t="shared" si="18"/>
        <v>0</v>
      </c>
      <c r="AC132" s="483">
        <f>IF(SETUP!$E$7="USD",(AB132*(IF(O132="USD",W132,(W132/'Master Data-C19RM'!$D$2)))),(AB132*(IF(O132="EUR",W132,(W132*'Master Data-C19RM'!$D$2)))))</f>
        <v>0</v>
      </c>
      <c r="AD132" s="444">
        <f>IF($O132="USD",_xlfn.IFNA(VLOOKUP($A132&amp;$E132&amp;$I132,PMsheet!$J:$K,2,0),0),(_xlfn.IFNA(VLOOKUP($A132&amp;$E132&amp;$I132,PMsheet!$J:$K,2,0),0)*'Master Data-C19RM'!$E$2))</f>
        <v>0</v>
      </c>
      <c r="AE132" s="441"/>
      <c r="AF132" s="441"/>
      <c r="AG132" s="441"/>
      <c r="AH132" s="441"/>
      <c r="AI132" s="512">
        <f t="shared" si="19"/>
        <v>0</v>
      </c>
      <c r="AJ132" s="513">
        <f>IF(SETUP!$E$7="USD",(AI132*(IF(O132="USD",AD132,(AD132/'Master Data-C19RM'!$E$2)))),(AI132*(IF(O132="EUR",AD132,(AD132*'Master Data-C19RM'!$E$2)))))</f>
        <v>0</v>
      </c>
      <c r="AK132" s="444">
        <f>IF($O132="USD",_xlfn.IFNA(VLOOKUP($A132&amp;$E132&amp;$I132,PMsheet!$J:$K,2,0),0),(_xlfn.IFNA(VLOOKUP($A132&amp;$E132&amp;$I132,PMsheet!$J:$K,2,0),0)*'Master Data-C19RM'!$F$2))</f>
        <v>0</v>
      </c>
      <c r="AL132" s="441"/>
      <c r="AM132" s="441"/>
      <c r="AN132" s="441"/>
      <c r="AO132" s="441"/>
      <c r="AP132" s="512">
        <f t="shared" si="20"/>
        <v>0</v>
      </c>
      <c r="AQ132" s="513">
        <f>IF(SETUP!$E$7="USD",(AP132*(IF(O132="USD",AK132,(AK132/'Master Data-C19RM'!$F$2)))),(AP132*(IF(O132="EUR",AK132,(AK132*'Master Data-C19RM'!$F$2)))))</f>
        <v>0</v>
      </c>
      <c r="AR132" s="924">
        <f>IF($O132="USD",_xlfn.IFNA(VLOOKUP($A132&amp;$E132&amp;$I132,PMsheet!$J:$K,2,0),0),(_xlfn.IFNA(VLOOKUP($A132&amp;$E132&amp;$I132,PMsheet!$J:$K,2,0),0)*'Master Data-C19RM'!$G$2))</f>
        <v>0</v>
      </c>
      <c r="AS132" s="572"/>
      <c r="AT132" s="572"/>
      <c r="AU132" s="572"/>
      <c r="AV132" s="572"/>
      <c r="AW132" s="512">
        <f t="shared" si="21"/>
        <v>0</v>
      </c>
      <c r="AX132" s="513">
        <f>IF(SETUP!$E$7="USD",(AW132*(IF(O132="USD",AR132,(AR132/'Master Data-C19RM'!$G$2)))),(AW132*(IF(O132="EUR",AR132,(AR132*'Master Data-C19RM'!$G$2)))))</f>
        <v>0</v>
      </c>
      <c r="AY132" s="845"/>
      <c r="AZ132" s="846"/>
      <c r="BA132" s="846"/>
      <c r="BB132" s="846"/>
      <c r="BC132" s="846"/>
      <c r="BD132" s="846"/>
      <c r="BE132" s="847"/>
      <c r="BF132" s="512">
        <f>'C19RM 2021-Lab &amp; Other HPS'!$U132+'C19RM 2021-Lab &amp; Other HPS'!$AB132+'C19RM 2021-Lab &amp; Other HPS'!$AP132+'C19RM 2021-Lab &amp; Other HPS'!$AI132+AW132+BD132</f>
        <v>0</v>
      </c>
      <c r="BG132" s="512">
        <f>'C19RM 2021-Lab &amp; Other HPS'!$V132+'C19RM 2021-Lab &amp; Other HPS'!$AC132+'C19RM 2021-Lab &amp; Other HPS'!$AQ132+'C19RM 2021-Lab &amp; Other HPS'!$AJ132+AX132+BE132</f>
        <v>0</v>
      </c>
      <c r="BH132" s="500" t="str" cm="1">
        <f t="array" ref="BH132">IF(A132&lt;&gt;"",IFERROR(INDEX(PMtbl[[WKst]:[Unit of measure*]],MATCH($A$115&amp;$A132&amp;$E132&amp;$I132,INDEX(PMtbl[Sec]&amp;PMtbl[Category]&amp;PMtbl[Each]&amp;PMtbl[Packaging],0,),0),11),""),"")</f>
        <v/>
      </c>
      <c r="BI132" s="819"/>
      <c r="BJ132" s="526" t="str" cm="1">
        <f t="array" ref="BJ132">IFERROR(INDEX(SETUP!$C$19:$G$121,MATCH((INDEX(PMtbl[[WKst]:[Unit of measure*]],MATCH($A132&amp;$E132&amp;$I132,INDEX(PMtbl[Category]&amp;PMtbl[Each]&amp;PMtbl[Packaging],0,),0),3)),SETUP!$D$19:$D$121,0),5),"")</f>
        <v/>
      </c>
      <c r="BK132" s="544" t="str" cm="1">
        <f t="array" ref="BK132">IFERROR(IF((INDEX(SETUP!$C$19:$G$121,MATCH((INDEX(PMtbl[[WKst]:[Unit of measure*]],MATCH($A132&amp;$E132&amp;$I132,INDEX(PMtbl[Category]&amp;PMtbl[Each]&amp;PMtbl[Packaging],0,),0),3)),SETUP!$D$19:$D$121,0),4))="Upfront",0,INDEX(SETUP!$C$19:$G$121,MATCH((INDEX(PMtbl[[WKst]:[Unit of measure*]],MATCH($A132&amp;$E132&amp;$I132,INDEX(PMtbl[Category]&amp;PMtbl[Each]&amp;PMtbl[Packaging],0,),0),3)),SETUP!$D$19:$D$121,0),5)),"")</f>
        <v/>
      </c>
      <c r="BL132" s="214" t="str" cm="1">
        <f t="array" ref="BL132">IF(E132&lt;&gt;"",IFERROR(INDEX(PMtbl[[WKst]:[Unit of measure*]],MATCH($A$115&amp;$A132&amp;$E132&amp;$I132,INDEX(PMtbl[Sec]&amp;PMtbl[Category]&amp;PMtbl[Each]&amp;PMtbl[Packaging],0,),0),11),""),"")</f>
        <v/>
      </c>
      <c r="BO132" s="12">
        <f>IF(N132="",0,IF(SETUP!$E$7="USD",((IF(O132="USD",P132,(P132/'Master Data-C19RM'!$C$2)))),((IF(O132="EUR",P132,(P132*'Master Data-C19RM'!$C$2))))))</f>
        <v>0</v>
      </c>
      <c r="BP132" s="12">
        <f>IF(N132="",0,IF(SETUP!$E$7="USD",((IF(O132="USD",W132,(W132/'Master Data-C19RM'!$D$2)))),((IF(O132="EUR",W132,(W132*'Master Data-C19RM'!$D$2))))))</f>
        <v>0</v>
      </c>
      <c r="BQ132">
        <f>IF(N132="",0,IF(SETUP!$E$7="USD",((IF(O132="USD",AD132,(AD132/'Master Data-C19RM'!$E$2)))),((IF(O132="EUR",AD132,(AD132*'Master Data-C19RM'!$E$2))))))</f>
        <v>0</v>
      </c>
      <c r="BR132">
        <f>IF(N132="",0,IF(SETUP!$E$7="USD",((IF(O132="USD",AK132,(AK132/'Master Data-C19RM'!$F$2)))),((IF(O132="EUR",AK132,(AK132*'Master Data-C19RM'!$F$2))))))</f>
        <v>0</v>
      </c>
      <c r="BS132">
        <f>IF(N132="",0,IF(SETUP!$E$7="USD",((IF(O132="USD",AR132,(AR132/'Master Data-C19RM'!$G$2)))),((IF(O132="EUR",AR132,(AR132*'Master Data-C19RM'!$G$2))))))</f>
        <v>0</v>
      </c>
      <c r="BT132">
        <f>IF(N132="",0,IF(SETUP!$E$7="USD",((IF(O132="USD",AY132,(AY132/'Master Data-C19RM'!$H$2)))),((IF(O132="EUR",AY132,(AY132*'Master Data-C19RM'!$H$2))))))</f>
        <v>0</v>
      </c>
      <c r="BU132" s="12">
        <f t="shared" si="15"/>
        <v>0</v>
      </c>
      <c r="BV132" s="142">
        <f t="shared" si="16"/>
        <v>0</v>
      </c>
    </row>
    <row r="133" spans="1:74" x14ac:dyDescent="0.35">
      <c r="A133" s="1192"/>
      <c r="B133" s="1192"/>
      <c r="C133" s="1192"/>
      <c r="D133" s="1192"/>
      <c r="E133" s="1173"/>
      <c r="F133" s="1173"/>
      <c r="G133" s="1173"/>
      <c r="H133" s="1173"/>
      <c r="I133" s="1173"/>
      <c r="J133" s="1173"/>
      <c r="K133" s="1173"/>
      <c r="L133" s="493" t="str" cm="1">
        <f t="array" ref="L133">IF(A133&lt;&gt;"",IFERROR(INDEX(PMtbl[[WKst]:[Unit of measure*]],MATCH($A$115&amp;$A133&amp;$E133&amp;$I133,INDEX(PMtbl[Sec]&amp;PMtbl[Category]&amp;PMtbl[Each]&amp;PMtbl[Packaging],0,),0),14),""),"")</f>
        <v/>
      </c>
      <c r="M133" s="480" t="str">
        <f>IF(L133="","",INDEX(SETUP!$E$20:$E$122,(MATCH(INDEX(PMsheet!$D:$E,MATCH(A133,PMsheet!E:E,0),1),SETUP!$D$20:$D$122,0))))</f>
        <v/>
      </c>
      <c r="N133" s="494">
        <f>IF($O133="USD",_xlfn.IFNA(VLOOKUP(A133&amp;E133&amp;I133,PMsheet!J:K,2,0),0),(_xlfn.IFNA(VLOOKUP(A133&amp;E133&amp;I133,PMsheet!J:K,2,0),0)*'Master Data-C19RM'!$C$2))</f>
        <v>0</v>
      </c>
      <c r="O133" s="495" t="str">
        <f>IF(L133="", "",SETUP!$E$7)</f>
        <v/>
      </c>
      <c r="P133" s="457">
        <f>IF($O133="USD",_xlfn.IFNA(VLOOKUP($A133&amp;$E133&amp;$I133,PMsheet!$J:$K,2,0),0),(_xlfn.IFNA(VLOOKUP($A133&amp;$E133&amp;$I133,PMsheet!$J:$K,2,0),0)*'Master Data-C19RM'!$C$2))</f>
        <v>0</v>
      </c>
      <c r="Q133" s="440"/>
      <c r="R133" s="440"/>
      <c r="S133" s="440"/>
      <c r="T133" s="440"/>
      <c r="U133" s="482">
        <f t="shared" si="17"/>
        <v>0</v>
      </c>
      <c r="V133" s="484">
        <f>IF(SETUP!$E$7="USD",(U133*(IF(O133="USD",P133,(P133/'Master Data-C19RM'!$C$2)))),(U133*(IF(O133="EUR",P133,(P133*'Master Data-C19RM'!$C$2)))))</f>
        <v>0</v>
      </c>
      <c r="W133" s="445">
        <f>IF($O133="USD",_xlfn.IFNA(VLOOKUP($A133&amp;$E133&amp;$I133,PMsheet!$J:$K,2,0),0),(_xlfn.IFNA(VLOOKUP($A133&amp;$E133&amp;$I133,PMsheet!$J:$K,2,0),0)*'Master Data-C19RM'!$D$2))</f>
        <v>0</v>
      </c>
      <c r="X133" s="440"/>
      <c r="Y133" s="440"/>
      <c r="Z133" s="440"/>
      <c r="AA133" s="440"/>
      <c r="AB133" s="482">
        <f t="shared" si="18"/>
        <v>0</v>
      </c>
      <c r="AC133" s="484">
        <f>IF(SETUP!$E$7="USD",(AB133*(IF(O133="USD",W133,(W133/'Master Data-C19RM'!$D$2)))),(AB133*(IF(O133="EUR",W133,(W133*'Master Data-C19RM'!$D$2)))))</f>
        <v>0</v>
      </c>
      <c r="AD133" s="445">
        <f>IF($O133="USD",_xlfn.IFNA(VLOOKUP($A133&amp;$E133&amp;$I133,PMsheet!$J:$K,2,0),0),(_xlfn.IFNA(VLOOKUP($A133&amp;$E133&amp;$I133,PMsheet!$J:$K,2,0),0)*'Master Data-C19RM'!$E$2))</f>
        <v>0</v>
      </c>
      <c r="AE133" s="440"/>
      <c r="AF133" s="440"/>
      <c r="AG133" s="440"/>
      <c r="AH133" s="440"/>
      <c r="AI133" s="514">
        <f t="shared" si="19"/>
        <v>0</v>
      </c>
      <c r="AJ133" s="515">
        <f>IF(SETUP!$E$7="USD",(AI133*(IF(O133="USD",AD133,(AD133/'Master Data-C19RM'!$E$2)))),(AI133*(IF(O133="EUR",AD133,(AD133*'Master Data-C19RM'!$E$2)))))</f>
        <v>0</v>
      </c>
      <c r="AK133" s="445">
        <f>IF($O133="USD",_xlfn.IFNA(VLOOKUP($A133&amp;$E133&amp;$I133,PMsheet!$J:$K,2,0),0),(_xlfn.IFNA(VLOOKUP($A133&amp;$E133&amp;$I133,PMsheet!$J:$K,2,0),0)*'Master Data-C19RM'!$F$2))</f>
        <v>0</v>
      </c>
      <c r="AL133" s="440"/>
      <c r="AM133" s="440"/>
      <c r="AN133" s="440"/>
      <c r="AO133" s="440"/>
      <c r="AP133" s="514">
        <f t="shared" si="20"/>
        <v>0</v>
      </c>
      <c r="AQ133" s="515">
        <f>IF(SETUP!$E$7="USD",(AP133*(IF(O133="USD",AK133,(AK133/'Master Data-C19RM'!$F$2)))),(AP133*(IF(O133="EUR",AK133,(AK133*'Master Data-C19RM'!$F$2)))))</f>
        <v>0</v>
      </c>
      <c r="AR133" s="925">
        <f>IF($O133="USD",_xlfn.IFNA(VLOOKUP($A133&amp;$E133&amp;$I133,PMsheet!$J:$K,2,0),0),(_xlfn.IFNA(VLOOKUP($A133&amp;$E133&amp;$I133,PMsheet!$J:$K,2,0),0)*'Master Data-C19RM'!$G$2))</f>
        <v>0</v>
      </c>
      <c r="AS133" s="926"/>
      <c r="AT133" s="926"/>
      <c r="AU133" s="926"/>
      <c r="AV133" s="926"/>
      <c r="AW133" s="514">
        <f t="shared" si="21"/>
        <v>0</v>
      </c>
      <c r="AX133" s="515">
        <f>IF(SETUP!$E$7="USD",(AW133*(IF(O133="USD",AR133,(AR133/'Master Data-C19RM'!$G$2)))),(AW133*(IF(O133="EUR",AR133,(AR133*'Master Data-C19RM'!$G$2)))))</f>
        <v>0</v>
      </c>
      <c r="AY133" s="845"/>
      <c r="AZ133" s="846"/>
      <c r="BA133" s="846"/>
      <c r="BB133" s="846"/>
      <c r="BC133" s="846"/>
      <c r="BD133" s="846"/>
      <c r="BE133" s="847"/>
      <c r="BF133" s="514">
        <f>'C19RM 2021-Lab &amp; Other HPS'!$U133+'C19RM 2021-Lab &amp; Other HPS'!$AB133+'C19RM 2021-Lab &amp; Other HPS'!$AP133+'C19RM 2021-Lab &amp; Other HPS'!$AI133+AW133+BD133</f>
        <v>0</v>
      </c>
      <c r="BG133" s="514">
        <f>'C19RM 2021-Lab &amp; Other HPS'!$V133+'C19RM 2021-Lab &amp; Other HPS'!$AC133+'C19RM 2021-Lab &amp; Other HPS'!$AQ133+'C19RM 2021-Lab &amp; Other HPS'!$AJ133+AX133+BE133</f>
        <v>0</v>
      </c>
      <c r="BH133" s="522" t="str" cm="1">
        <f t="array" ref="BH133">IF(A133&lt;&gt;"",IFERROR(INDEX(PMtbl[[WKst]:[Unit of measure*]],MATCH($A$115&amp;$A133&amp;$E133&amp;$I133,INDEX(PMtbl[Sec]&amp;PMtbl[Category]&amp;PMtbl[Each]&amp;PMtbl[Packaging],0,),0),11),""),"")</f>
        <v/>
      </c>
      <c r="BI133" s="818"/>
      <c r="BJ133" s="503" t="str" cm="1">
        <f t="array" ref="BJ133">IFERROR(INDEX(SETUP!$C$19:$G$121,MATCH((INDEX(PMtbl[[WKst]:[Unit of measure*]],MATCH($A133&amp;$E133&amp;$I133,INDEX(PMtbl[Category]&amp;PMtbl[Each]&amp;PMtbl[Packaging],0,),0),3)),SETUP!$D$19:$D$121,0),5),"")</f>
        <v/>
      </c>
      <c r="BK133" s="543" t="str" cm="1">
        <f t="array" ref="BK133">IFERROR(IF((INDEX(SETUP!$C$19:$G$121,MATCH((INDEX(PMtbl[[WKst]:[Unit of measure*]],MATCH($A133&amp;$E133&amp;$I133,INDEX(PMtbl[Category]&amp;PMtbl[Each]&amp;PMtbl[Packaging],0,),0),3)),SETUP!$D$19:$D$121,0),4))="Upfront",0,INDEX(SETUP!$C$19:$G$121,MATCH((INDEX(PMtbl[[WKst]:[Unit of measure*]],MATCH($A133&amp;$E133&amp;$I133,INDEX(PMtbl[Category]&amp;PMtbl[Each]&amp;PMtbl[Packaging],0,),0),3)),SETUP!$D$19:$D$121,0),5)),"")</f>
        <v/>
      </c>
      <c r="BL133" s="215" t="str" cm="1">
        <f t="array" ref="BL133">IF(E133&lt;&gt;"",IFERROR(INDEX(PMtbl[[WKst]:[Unit of measure*]],MATCH($A$115&amp;$A133&amp;$E133&amp;$I133,INDEX(PMtbl[Sec]&amp;PMtbl[Category]&amp;PMtbl[Each]&amp;PMtbl[Packaging],0,),0),11),""),"")</f>
        <v/>
      </c>
      <c r="BO133" s="12">
        <f>IF(N133="",0,IF(SETUP!$E$7="USD",((IF(O133="USD",P133,(P133/'Master Data-C19RM'!$C$2)))),((IF(O133="EUR",P133,(P133*'Master Data-C19RM'!$C$2))))))</f>
        <v>0</v>
      </c>
      <c r="BP133" s="12">
        <f>IF(N133="",0,IF(SETUP!$E$7="USD",((IF(O133="USD",W133,(W133/'Master Data-C19RM'!$D$2)))),((IF(O133="EUR",W133,(W133*'Master Data-C19RM'!$D$2))))))</f>
        <v>0</v>
      </c>
      <c r="BQ133">
        <f>IF(N133="",0,IF(SETUP!$E$7="USD",((IF(O133="USD",AD133,(AD133/'Master Data-C19RM'!$E$2)))),((IF(O133="EUR",AD133,(AD133*'Master Data-C19RM'!$E$2))))))</f>
        <v>0</v>
      </c>
      <c r="BR133">
        <f>IF(N133="",0,IF(SETUP!$E$7="USD",((IF(O133="USD",AK133,(AK133/'Master Data-C19RM'!$F$2)))),((IF(O133="EUR",AK133,(AK133*'Master Data-C19RM'!$F$2))))))</f>
        <v>0</v>
      </c>
      <c r="BS133">
        <f>IF(N133="",0,IF(SETUP!$E$7="USD",((IF(O133="USD",AR133,(AR133/'Master Data-C19RM'!$G$2)))),((IF(O133="EUR",AR133,(AR133*'Master Data-C19RM'!$G$2))))))</f>
        <v>0</v>
      </c>
      <c r="BT133">
        <f>IF(N133="",0,IF(SETUP!$E$7="USD",((IF(O133="USD",AY133,(AY133/'Master Data-C19RM'!$H$2)))),((IF(O133="EUR",AY133,(AY133*'Master Data-C19RM'!$H$2))))))</f>
        <v>0</v>
      </c>
      <c r="BU133" s="12">
        <f t="shared" si="15"/>
        <v>0</v>
      </c>
      <c r="BV133" s="142">
        <f t="shared" si="16"/>
        <v>0</v>
      </c>
    </row>
    <row r="134" spans="1:74" x14ac:dyDescent="0.35">
      <c r="A134" s="1165"/>
      <c r="B134" s="1165"/>
      <c r="C134" s="1165"/>
      <c r="D134" s="1165"/>
      <c r="E134" s="1166"/>
      <c r="F134" s="1166"/>
      <c r="G134" s="1166"/>
      <c r="H134" s="1166"/>
      <c r="I134" s="1166"/>
      <c r="J134" s="1166"/>
      <c r="K134" s="1166"/>
      <c r="L134" s="490" t="str" cm="1">
        <f t="array" ref="L134">IF(A134&lt;&gt;"",IFERROR(INDEX(PMtbl[[WKst]:[Unit of measure*]],MATCH($A$115&amp;$A134&amp;$E134&amp;$I134,INDEX(PMtbl[Sec]&amp;PMtbl[Category]&amp;PMtbl[Each]&amp;PMtbl[Packaging],0,),0),14),""),"")</f>
        <v/>
      </c>
      <c r="M134" s="479" t="str">
        <f>IF(L134="","",INDEX(SETUP!$E$20:$E$122,(MATCH(INDEX(PMsheet!$D:$E,MATCH(A134,PMsheet!E:E,0),1),SETUP!$D$20:$D$122,0))))</f>
        <v/>
      </c>
      <c r="N134" s="491">
        <f>IF($O134="USD",_xlfn.IFNA(VLOOKUP(A134&amp;E134&amp;I134,PMsheet!J:K,2,0),0),(_xlfn.IFNA(VLOOKUP(A134&amp;E134&amp;I134,PMsheet!J:K,2,0),0)*'Master Data-C19RM'!$C$2))</f>
        <v>0</v>
      </c>
      <c r="O134" s="492" t="str">
        <f>IF(L134="", "",SETUP!$E$7)</f>
        <v/>
      </c>
      <c r="P134" s="456">
        <f>IF($O134="USD",_xlfn.IFNA(VLOOKUP($A134&amp;$E134&amp;$I134,PMsheet!$J:$K,2,0),0),(_xlfn.IFNA(VLOOKUP($A134&amp;$E134&amp;$I134,PMsheet!$J:$K,2,0),0)*'Master Data-C19RM'!$C$2))</f>
        <v>0</v>
      </c>
      <c r="Q134" s="441"/>
      <c r="R134" s="441"/>
      <c r="S134" s="441"/>
      <c r="T134" s="441"/>
      <c r="U134" s="481">
        <f t="shared" si="17"/>
        <v>0</v>
      </c>
      <c r="V134" s="483">
        <f>IF(SETUP!$E$7="USD",(U134*(IF(O134="USD",P134,(P134/'Master Data-C19RM'!$C$2)))),(U134*(IF(O134="EUR",P134,(P134*'Master Data-C19RM'!$C$2)))))</f>
        <v>0</v>
      </c>
      <c r="W134" s="444">
        <f>IF($O134="USD",_xlfn.IFNA(VLOOKUP($A134&amp;$E134&amp;$I134,PMsheet!$J:$K,2,0),0),(_xlfn.IFNA(VLOOKUP($A134&amp;$E134&amp;$I134,PMsheet!$J:$K,2,0),0)*'Master Data-C19RM'!$D$2))</f>
        <v>0</v>
      </c>
      <c r="X134" s="441"/>
      <c r="Y134" s="441"/>
      <c r="Z134" s="441"/>
      <c r="AA134" s="441"/>
      <c r="AB134" s="481">
        <f t="shared" si="18"/>
        <v>0</v>
      </c>
      <c r="AC134" s="483">
        <f>IF(SETUP!$E$7="USD",(AB134*(IF(O134="USD",W134,(W134/'Master Data-C19RM'!$D$2)))),(AB134*(IF(O134="EUR",W134,(W134*'Master Data-C19RM'!$D$2)))))</f>
        <v>0</v>
      </c>
      <c r="AD134" s="444">
        <f>IF($O134="USD",_xlfn.IFNA(VLOOKUP($A134&amp;$E134&amp;$I134,PMsheet!$J:$K,2,0),0),(_xlfn.IFNA(VLOOKUP($A134&amp;$E134&amp;$I134,PMsheet!$J:$K,2,0),0)*'Master Data-C19RM'!$E$2))</f>
        <v>0</v>
      </c>
      <c r="AE134" s="441"/>
      <c r="AF134" s="441"/>
      <c r="AG134" s="441"/>
      <c r="AH134" s="441"/>
      <c r="AI134" s="512">
        <f t="shared" si="19"/>
        <v>0</v>
      </c>
      <c r="AJ134" s="513">
        <f>IF(SETUP!$E$7="USD",(AI134*(IF(O134="USD",AD134,(AD134/'Master Data-C19RM'!$E$2)))),(AI134*(IF(O134="EUR",AD134,(AD134*'Master Data-C19RM'!$E$2)))))</f>
        <v>0</v>
      </c>
      <c r="AK134" s="444">
        <f>IF($O134="USD",_xlfn.IFNA(VLOOKUP($A134&amp;$E134&amp;$I134,PMsheet!$J:$K,2,0),0),(_xlfn.IFNA(VLOOKUP($A134&amp;$E134&amp;$I134,PMsheet!$J:$K,2,0),0)*'Master Data-C19RM'!$F$2))</f>
        <v>0</v>
      </c>
      <c r="AL134" s="441"/>
      <c r="AM134" s="441"/>
      <c r="AN134" s="441"/>
      <c r="AO134" s="441"/>
      <c r="AP134" s="512">
        <f t="shared" si="20"/>
        <v>0</v>
      </c>
      <c r="AQ134" s="513">
        <f>IF(SETUP!$E$7="USD",(AP134*(IF(O134="USD",AK134,(AK134/'Master Data-C19RM'!$F$2)))),(AP134*(IF(O134="EUR",AK134,(AK134*'Master Data-C19RM'!$F$2)))))</f>
        <v>0</v>
      </c>
      <c r="AR134" s="924">
        <f>IF($O134="USD",_xlfn.IFNA(VLOOKUP($A134&amp;$E134&amp;$I134,PMsheet!$J:$K,2,0),0),(_xlfn.IFNA(VLOOKUP($A134&amp;$E134&amp;$I134,PMsheet!$J:$K,2,0),0)*'Master Data-C19RM'!$G$2))</f>
        <v>0</v>
      </c>
      <c r="AS134" s="572"/>
      <c r="AT134" s="572"/>
      <c r="AU134" s="572"/>
      <c r="AV134" s="572"/>
      <c r="AW134" s="512">
        <f t="shared" si="21"/>
        <v>0</v>
      </c>
      <c r="AX134" s="513">
        <f>IF(SETUP!$E$7="USD",(AW134*(IF(O134="USD",AR134,(AR134/'Master Data-C19RM'!$G$2)))),(AW134*(IF(O134="EUR",AR134,(AR134*'Master Data-C19RM'!$G$2)))))</f>
        <v>0</v>
      </c>
      <c r="AY134" s="845"/>
      <c r="AZ134" s="846"/>
      <c r="BA134" s="846"/>
      <c r="BB134" s="846"/>
      <c r="BC134" s="846"/>
      <c r="BD134" s="846"/>
      <c r="BE134" s="847"/>
      <c r="BF134" s="512">
        <f>'C19RM 2021-Lab &amp; Other HPS'!$U134+'C19RM 2021-Lab &amp; Other HPS'!$AB134+'C19RM 2021-Lab &amp; Other HPS'!$AP134+'C19RM 2021-Lab &amp; Other HPS'!$AI134+AW134+BD134</f>
        <v>0</v>
      </c>
      <c r="BG134" s="512">
        <f>'C19RM 2021-Lab &amp; Other HPS'!$V134+'C19RM 2021-Lab &amp; Other HPS'!$AC134+'C19RM 2021-Lab &amp; Other HPS'!$AQ134+'C19RM 2021-Lab &amp; Other HPS'!$AJ134+AX134+BE134</f>
        <v>0</v>
      </c>
      <c r="BH134" s="500" t="str" cm="1">
        <f t="array" ref="BH134">IF(A134&lt;&gt;"",IFERROR(INDEX(PMtbl[[WKst]:[Unit of measure*]],MATCH($A$115&amp;$A134&amp;$E134&amp;$I134,INDEX(PMtbl[Sec]&amp;PMtbl[Category]&amp;PMtbl[Each]&amp;PMtbl[Packaging],0,),0),11),""),"")</f>
        <v/>
      </c>
      <c r="BI134" s="819"/>
      <c r="BJ134" s="502" t="str" cm="1">
        <f t="array" ref="BJ134">IFERROR(INDEX(SETUP!$C$19:$G$121,MATCH((INDEX(PMtbl[[WKst]:[Unit of measure*]],MATCH($A134&amp;$E134&amp;$I134,INDEX(PMtbl[Category]&amp;PMtbl[Each]&amp;PMtbl[Packaging],0,),0),3)),SETUP!$D$19:$D$121,0),5),"")</f>
        <v/>
      </c>
      <c r="BK134" s="542" t="str" cm="1">
        <f t="array" ref="BK134">IFERROR(IF((INDEX(SETUP!$C$19:$G$121,MATCH((INDEX(PMtbl[[WKst]:[Unit of measure*]],MATCH($A134&amp;$E134&amp;$I134,INDEX(PMtbl[Category]&amp;PMtbl[Each]&amp;PMtbl[Packaging],0,),0),3)),SETUP!$D$19:$D$121,0),4))="Upfront",0,INDEX(SETUP!$C$19:$G$121,MATCH((INDEX(PMtbl[[WKst]:[Unit of measure*]],MATCH($A134&amp;$E134&amp;$I134,INDEX(PMtbl[Category]&amp;PMtbl[Each]&amp;PMtbl[Packaging],0,),0),3)),SETUP!$D$19:$D$121,0),5)),"")</f>
        <v/>
      </c>
      <c r="BL134" s="214" t="str" cm="1">
        <f t="array" ref="BL134">IF(E134&lt;&gt;"",IFERROR(INDEX(PMtbl[[WKst]:[Unit of measure*]],MATCH($A$115&amp;$A134&amp;$E134&amp;$I134,INDEX(PMtbl[Sec]&amp;PMtbl[Category]&amp;PMtbl[Each]&amp;PMtbl[Packaging],0,),0),11),""),"")</f>
        <v/>
      </c>
      <c r="BO134" s="12">
        <f>IF(N134="",0,IF(SETUP!$E$7="USD",((IF(O134="USD",P134,(P134/'Master Data-C19RM'!$C$2)))),((IF(O134="EUR",P134,(P134*'Master Data-C19RM'!$C$2))))))</f>
        <v>0</v>
      </c>
      <c r="BP134" s="12">
        <f>IF(N134="",0,IF(SETUP!$E$7="USD",((IF(O134="USD",W134,(W134/'Master Data-C19RM'!$D$2)))),((IF(O134="EUR",W134,(W134*'Master Data-C19RM'!$D$2))))))</f>
        <v>0</v>
      </c>
      <c r="BQ134">
        <f>IF(N134="",0,IF(SETUP!$E$7="USD",((IF(O134="USD",AD134,(AD134/'Master Data-C19RM'!$E$2)))),((IF(O134="EUR",AD134,(AD134*'Master Data-C19RM'!$E$2))))))</f>
        <v>0</v>
      </c>
      <c r="BR134">
        <f>IF(N134="",0,IF(SETUP!$E$7="USD",((IF(O134="USD",AK134,(AK134/'Master Data-C19RM'!$F$2)))),((IF(O134="EUR",AK134,(AK134*'Master Data-C19RM'!$F$2))))))</f>
        <v>0</v>
      </c>
      <c r="BS134">
        <f>IF(N134="",0,IF(SETUP!$E$7="USD",((IF(O134="USD",AR134,(AR134/'Master Data-C19RM'!$G$2)))),((IF(O134="EUR",AR134,(AR134*'Master Data-C19RM'!$G$2))))))</f>
        <v>0</v>
      </c>
      <c r="BT134">
        <f>IF(N134="",0,IF(SETUP!$E$7="USD",((IF(O134="USD",AY134,(AY134/'Master Data-C19RM'!$H$2)))),((IF(O134="EUR",AY134,(AY134*'Master Data-C19RM'!$H$2))))))</f>
        <v>0</v>
      </c>
      <c r="BU134" s="12">
        <f t="shared" si="15"/>
        <v>0</v>
      </c>
      <c r="BV134" s="142">
        <f t="shared" si="16"/>
        <v>0</v>
      </c>
    </row>
    <row r="135" spans="1:74" x14ac:dyDescent="0.35">
      <c r="A135" s="1192"/>
      <c r="B135" s="1192"/>
      <c r="C135" s="1192"/>
      <c r="D135" s="1192"/>
      <c r="E135" s="1173"/>
      <c r="F135" s="1173"/>
      <c r="G135" s="1173"/>
      <c r="H135" s="1173"/>
      <c r="I135" s="1173"/>
      <c r="J135" s="1173"/>
      <c r="K135" s="1173"/>
      <c r="L135" s="493" t="str" cm="1">
        <f t="array" ref="L135">IF(A135&lt;&gt;"",IFERROR(INDEX(PMtbl[[WKst]:[Unit of measure*]],MATCH($A$115&amp;$A135&amp;$E135&amp;$I135,INDEX(PMtbl[Sec]&amp;PMtbl[Category]&amp;PMtbl[Each]&amp;PMtbl[Packaging],0,),0),14),""),"")</f>
        <v/>
      </c>
      <c r="M135" s="480" t="str">
        <f>IF(L135="","",INDEX(SETUP!$E$20:$E$122,(MATCH(INDEX(PMsheet!$D:$E,MATCH(A135,PMsheet!E:E,0),1),SETUP!$D$20:$D$122,0))))</f>
        <v/>
      </c>
      <c r="N135" s="494">
        <f>IF($O135="USD",_xlfn.IFNA(VLOOKUP(A135&amp;E135&amp;I135,PMsheet!J:K,2,0),0),(_xlfn.IFNA(VLOOKUP(A135&amp;E135&amp;I135,PMsheet!J:K,2,0),0)*'Master Data-C19RM'!$C$2))</f>
        <v>0</v>
      </c>
      <c r="O135" s="495" t="str">
        <f>IF(L135="", "",SETUP!$E$7)</f>
        <v/>
      </c>
      <c r="P135" s="457">
        <f>IF($O135="USD",_xlfn.IFNA(VLOOKUP($A135&amp;$E135&amp;$I135,PMsheet!$J:$K,2,0),0),(_xlfn.IFNA(VLOOKUP($A135&amp;$E135&amp;$I135,PMsheet!$J:$K,2,0),0)*'Master Data-C19RM'!$C$2))</f>
        <v>0</v>
      </c>
      <c r="Q135" s="440"/>
      <c r="R135" s="440"/>
      <c r="S135" s="440"/>
      <c r="T135" s="440"/>
      <c r="U135" s="482">
        <f t="shared" si="17"/>
        <v>0</v>
      </c>
      <c r="V135" s="484">
        <f>IF(SETUP!$E$7="USD",(U135*(IF(O135="USD",P135,(P135/'Master Data-C19RM'!$C$2)))),(U135*(IF(O135="EUR",P135,(P135*'Master Data-C19RM'!$C$2)))))</f>
        <v>0</v>
      </c>
      <c r="W135" s="445">
        <f>IF($O135="USD",_xlfn.IFNA(VLOOKUP($A135&amp;$E135&amp;$I135,PMsheet!$J:$K,2,0),0),(_xlfn.IFNA(VLOOKUP($A135&amp;$E135&amp;$I135,PMsheet!$J:$K,2,0),0)*'Master Data-C19RM'!$D$2))</f>
        <v>0</v>
      </c>
      <c r="X135" s="440"/>
      <c r="Y135" s="440"/>
      <c r="Z135" s="440"/>
      <c r="AA135" s="440"/>
      <c r="AB135" s="482">
        <f t="shared" si="18"/>
        <v>0</v>
      </c>
      <c r="AC135" s="484">
        <f>IF(SETUP!$E$7="USD",(AB135*(IF(O135="USD",W135,(W135/'Master Data-C19RM'!$D$2)))),(AB135*(IF(O135="EUR",W135,(W135*'Master Data-C19RM'!$D$2)))))</f>
        <v>0</v>
      </c>
      <c r="AD135" s="445">
        <f>IF($O135="USD",_xlfn.IFNA(VLOOKUP($A135&amp;$E135&amp;$I135,PMsheet!$J:$K,2,0),0),(_xlfn.IFNA(VLOOKUP($A135&amp;$E135&amp;$I135,PMsheet!$J:$K,2,0),0)*'Master Data-C19RM'!$E$2))</f>
        <v>0</v>
      </c>
      <c r="AE135" s="440"/>
      <c r="AF135" s="440"/>
      <c r="AG135" s="440"/>
      <c r="AH135" s="440"/>
      <c r="AI135" s="514">
        <f t="shared" si="19"/>
        <v>0</v>
      </c>
      <c r="AJ135" s="515">
        <f>IF(SETUP!$E$7="USD",(AI135*(IF(O135="USD",AD135,(AD135/'Master Data-C19RM'!$E$2)))),(AI135*(IF(O135="EUR",AD135,(AD135*'Master Data-C19RM'!$E$2)))))</f>
        <v>0</v>
      </c>
      <c r="AK135" s="445">
        <f>IF($O135="USD",_xlfn.IFNA(VLOOKUP($A135&amp;$E135&amp;$I135,PMsheet!$J:$K,2,0),0),(_xlfn.IFNA(VLOOKUP($A135&amp;$E135&amp;$I135,PMsheet!$J:$K,2,0),0)*'Master Data-C19RM'!$F$2))</f>
        <v>0</v>
      </c>
      <c r="AL135" s="440"/>
      <c r="AM135" s="440"/>
      <c r="AN135" s="440"/>
      <c r="AO135" s="440"/>
      <c r="AP135" s="514">
        <f t="shared" si="20"/>
        <v>0</v>
      </c>
      <c r="AQ135" s="515">
        <f>IF(SETUP!$E$7="USD",(AP135*(IF(O135="USD",AK135,(AK135/'Master Data-C19RM'!$F$2)))),(AP135*(IF(O135="EUR",AK135,(AK135*'Master Data-C19RM'!$F$2)))))</f>
        <v>0</v>
      </c>
      <c r="AR135" s="925">
        <f>IF($O135="USD",_xlfn.IFNA(VLOOKUP($A135&amp;$E135&amp;$I135,PMsheet!$J:$K,2,0),0),(_xlfn.IFNA(VLOOKUP($A135&amp;$E135&amp;$I135,PMsheet!$J:$K,2,0),0)*'Master Data-C19RM'!$G$2))</f>
        <v>0</v>
      </c>
      <c r="AS135" s="926"/>
      <c r="AT135" s="926"/>
      <c r="AU135" s="926"/>
      <c r="AV135" s="926"/>
      <c r="AW135" s="514">
        <f t="shared" si="21"/>
        <v>0</v>
      </c>
      <c r="AX135" s="515">
        <f>IF(SETUP!$E$7="USD",(AW135*(IF(O135="USD",AR135,(AR135/'Master Data-C19RM'!$G$2)))),(AW135*(IF(O135="EUR",AR135,(AR135*'Master Data-C19RM'!$G$2)))))</f>
        <v>0</v>
      </c>
      <c r="AY135" s="845"/>
      <c r="AZ135" s="846"/>
      <c r="BA135" s="846"/>
      <c r="BB135" s="846"/>
      <c r="BC135" s="846"/>
      <c r="BD135" s="846"/>
      <c r="BE135" s="847"/>
      <c r="BF135" s="514">
        <f>'C19RM 2021-Lab &amp; Other HPS'!$U135+'C19RM 2021-Lab &amp; Other HPS'!$AB135+'C19RM 2021-Lab &amp; Other HPS'!$AP135+'C19RM 2021-Lab &amp; Other HPS'!$AI135+AW135+BD135</f>
        <v>0</v>
      </c>
      <c r="BG135" s="514">
        <f>'C19RM 2021-Lab &amp; Other HPS'!$V135+'C19RM 2021-Lab &amp; Other HPS'!$AC135+'C19RM 2021-Lab &amp; Other HPS'!$AQ135+'C19RM 2021-Lab &amp; Other HPS'!$AJ135+AX135+BE135</f>
        <v>0</v>
      </c>
      <c r="BH135" s="522" t="str" cm="1">
        <f t="array" ref="BH135">IF(A135&lt;&gt;"",IFERROR(INDEX(PMtbl[[WKst]:[Unit of measure*]],MATCH($A$115&amp;$A135&amp;$E135&amp;$I135,INDEX(PMtbl[Sec]&amp;PMtbl[Category]&amp;PMtbl[Each]&amp;PMtbl[Packaging],0,),0),11),""),"")</f>
        <v/>
      </c>
      <c r="BI135" s="818"/>
      <c r="BJ135" s="503" t="str" cm="1">
        <f t="array" ref="BJ135">IFERROR(INDEX(SETUP!$C$19:$G$121,MATCH((INDEX(PMtbl[[WKst]:[Unit of measure*]],MATCH($A135&amp;$E135&amp;$I135,INDEX(PMtbl[Category]&amp;PMtbl[Each]&amp;PMtbl[Packaging],0,),0),3)),SETUP!$D$19:$D$121,0),5),"")</f>
        <v/>
      </c>
      <c r="BK135" s="543" t="str" cm="1">
        <f t="array" ref="BK135">IFERROR(IF((INDEX(SETUP!$C$19:$G$121,MATCH((INDEX(PMtbl[[WKst]:[Unit of measure*]],MATCH($A135&amp;$E135&amp;$I135,INDEX(PMtbl[Category]&amp;PMtbl[Each]&amp;PMtbl[Packaging],0,),0),3)),SETUP!$D$19:$D$121,0),4))="Upfront",0,INDEX(SETUP!$C$19:$G$121,MATCH((INDEX(PMtbl[[WKst]:[Unit of measure*]],MATCH($A135&amp;$E135&amp;$I135,INDEX(PMtbl[Category]&amp;PMtbl[Each]&amp;PMtbl[Packaging],0,),0),3)),SETUP!$D$19:$D$121,0),5)),"")</f>
        <v/>
      </c>
      <c r="BL135" s="215" t="str" cm="1">
        <f t="array" ref="BL135">IF(E135&lt;&gt;"",IFERROR(INDEX(PMtbl[[WKst]:[Unit of measure*]],MATCH($A$115&amp;$A135&amp;$E135&amp;$I135,INDEX(PMtbl[Sec]&amp;PMtbl[Category]&amp;PMtbl[Each]&amp;PMtbl[Packaging],0,),0),11),""),"")</f>
        <v/>
      </c>
      <c r="BO135" s="12">
        <f>IF(N135="",0,IF(SETUP!$E$7="USD",((IF(O135="USD",P135,(P135/'Master Data-C19RM'!$C$2)))),((IF(O135="EUR",P135,(P135*'Master Data-C19RM'!$C$2))))))</f>
        <v>0</v>
      </c>
      <c r="BP135" s="12">
        <f>IF(N135="",0,IF(SETUP!$E$7="USD",((IF(O135="USD",W135,(W135/'Master Data-C19RM'!$D$2)))),((IF(O135="EUR",W135,(W135*'Master Data-C19RM'!$D$2))))))</f>
        <v>0</v>
      </c>
      <c r="BQ135">
        <f>IF(N135="",0,IF(SETUP!$E$7="USD",((IF(O135="USD",AD135,(AD135/'Master Data-C19RM'!$E$2)))),((IF(O135="EUR",AD135,(AD135*'Master Data-C19RM'!$E$2))))))</f>
        <v>0</v>
      </c>
      <c r="BR135">
        <f>IF(N135="",0,IF(SETUP!$E$7="USD",((IF(O135="USD",AK135,(AK135/'Master Data-C19RM'!$F$2)))),((IF(O135="EUR",AK135,(AK135*'Master Data-C19RM'!$F$2))))))</f>
        <v>0</v>
      </c>
      <c r="BS135">
        <f>IF(N135="",0,IF(SETUP!$E$7="USD",((IF(O135="USD",AR135,(AR135/'Master Data-C19RM'!$G$2)))),((IF(O135="EUR",AR135,(AR135*'Master Data-C19RM'!$G$2))))))</f>
        <v>0</v>
      </c>
      <c r="BT135">
        <f>IF(N135="",0,IF(SETUP!$E$7="USD",((IF(O135="USD",AY135,(AY135/'Master Data-C19RM'!$H$2)))),((IF(O135="EUR",AY135,(AY135*'Master Data-C19RM'!$H$2))))))</f>
        <v>0</v>
      </c>
      <c r="BU135" s="12">
        <f t="shared" si="15"/>
        <v>0</v>
      </c>
      <c r="BV135" s="142">
        <f t="shared" si="16"/>
        <v>0</v>
      </c>
    </row>
    <row r="136" spans="1:74" x14ac:dyDescent="0.35">
      <c r="A136" s="1165"/>
      <c r="B136" s="1165"/>
      <c r="C136" s="1165"/>
      <c r="D136" s="1165"/>
      <c r="E136" s="1166"/>
      <c r="F136" s="1166"/>
      <c r="G136" s="1166"/>
      <c r="H136" s="1166"/>
      <c r="I136" s="1166"/>
      <c r="J136" s="1166"/>
      <c r="K136" s="1166"/>
      <c r="L136" s="490" t="str" cm="1">
        <f t="array" ref="L136">IF(A136&lt;&gt;"",IFERROR(INDEX(PMtbl[[WKst]:[Unit of measure*]],MATCH($A$115&amp;$A136&amp;$E136&amp;$I136,INDEX(PMtbl[Sec]&amp;PMtbl[Category]&amp;PMtbl[Each]&amp;PMtbl[Packaging],0,),0),14),""),"")</f>
        <v/>
      </c>
      <c r="M136" s="479" t="str">
        <f>IF(L136="","",INDEX(SETUP!$E$20:$E$122,(MATCH(INDEX(PMsheet!$D:$E,MATCH(A136,PMsheet!E:E,0),1),SETUP!$D$20:$D$122,0))))</f>
        <v/>
      </c>
      <c r="N136" s="491">
        <f>IF($O136="USD",_xlfn.IFNA(VLOOKUP(A136&amp;E136&amp;I136,PMsheet!J:K,2,0),0),(_xlfn.IFNA(VLOOKUP(A136&amp;E136&amp;I136,PMsheet!J:K,2,0),0)*'Master Data-C19RM'!$C$2))</f>
        <v>0</v>
      </c>
      <c r="O136" s="492" t="str">
        <f>IF(L136="", "",SETUP!$E$7)</f>
        <v/>
      </c>
      <c r="P136" s="456">
        <f>IF($O136="USD",_xlfn.IFNA(VLOOKUP($A136&amp;$E136&amp;$I136,PMsheet!$J:$K,2,0),0),(_xlfn.IFNA(VLOOKUP($A136&amp;$E136&amp;$I136,PMsheet!$J:$K,2,0),0)*'Master Data-C19RM'!$C$2))</f>
        <v>0</v>
      </c>
      <c r="Q136" s="441"/>
      <c r="R136" s="441"/>
      <c r="S136" s="441"/>
      <c r="T136" s="441"/>
      <c r="U136" s="481">
        <f t="shared" si="17"/>
        <v>0</v>
      </c>
      <c r="V136" s="483">
        <f>IF(SETUP!$E$7="USD",(U136*(IF(O136="USD",P136,(P136/'Master Data-C19RM'!$C$2)))),(U136*(IF(O136="EUR",P136,(P136*'Master Data-C19RM'!$C$2)))))</f>
        <v>0</v>
      </c>
      <c r="W136" s="444">
        <f>IF($O136="USD",_xlfn.IFNA(VLOOKUP($A136&amp;$E136&amp;$I136,PMsheet!$J:$K,2,0),0),(_xlfn.IFNA(VLOOKUP($A136&amp;$E136&amp;$I136,PMsheet!$J:$K,2,0),0)*'Master Data-C19RM'!$D$2))</f>
        <v>0</v>
      </c>
      <c r="X136" s="441"/>
      <c r="Y136" s="441"/>
      <c r="Z136" s="441"/>
      <c r="AA136" s="441"/>
      <c r="AB136" s="481">
        <f t="shared" si="18"/>
        <v>0</v>
      </c>
      <c r="AC136" s="483">
        <f>IF(SETUP!$E$7="USD",(AB136*(IF(O136="USD",W136,(W136/'Master Data-C19RM'!$D$2)))),(AB136*(IF(O136="EUR",W136,(W136*'Master Data-C19RM'!$D$2)))))</f>
        <v>0</v>
      </c>
      <c r="AD136" s="444">
        <f>IF($O136="USD",_xlfn.IFNA(VLOOKUP($A136&amp;$E136&amp;$I136,PMsheet!$J:$K,2,0),0),(_xlfn.IFNA(VLOOKUP($A136&amp;$E136&amp;$I136,PMsheet!$J:$K,2,0),0)*'Master Data-C19RM'!$E$2))</f>
        <v>0</v>
      </c>
      <c r="AE136" s="441"/>
      <c r="AF136" s="441"/>
      <c r="AG136" s="441"/>
      <c r="AH136" s="441"/>
      <c r="AI136" s="512">
        <f t="shared" si="19"/>
        <v>0</v>
      </c>
      <c r="AJ136" s="513">
        <f>IF(SETUP!$E$7="USD",(AI136*(IF(O136="USD",AD136,(AD136/'Master Data-C19RM'!$E$2)))),(AI136*(IF(O136="EUR",AD136,(AD136*'Master Data-C19RM'!$E$2)))))</f>
        <v>0</v>
      </c>
      <c r="AK136" s="444">
        <f>IF($O136="USD",_xlfn.IFNA(VLOOKUP($A136&amp;$E136&amp;$I136,PMsheet!$J:$K,2,0),0),(_xlfn.IFNA(VLOOKUP($A136&amp;$E136&amp;$I136,PMsheet!$J:$K,2,0),0)*'Master Data-C19RM'!$F$2))</f>
        <v>0</v>
      </c>
      <c r="AL136" s="441"/>
      <c r="AM136" s="441"/>
      <c r="AN136" s="441"/>
      <c r="AO136" s="441"/>
      <c r="AP136" s="512">
        <f t="shared" si="20"/>
        <v>0</v>
      </c>
      <c r="AQ136" s="513">
        <f>IF(SETUP!$E$7="USD",(AP136*(IF(O136="USD",AK136,(AK136/'Master Data-C19RM'!$F$2)))),(AP136*(IF(O136="EUR",AK136,(AK136*'Master Data-C19RM'!$F$2)))))</f>
        <v>0</v>
      </c>
      <c r="AR136" s="924">
        <f>IF($O136="USD",_xlfn.IFNA(VLOOKUP($A136&amp;$E136&amp;$I136,PMsheet!$J:$K,2,0),0),(_xlfn.IFNA(VLOOKUP($A136&amp;$E136&amp;$I136,PMsheet!$J:$K,2,0),0)*'Master Data-C19RM'!$G$2))</f>
        <v>0</v>
      </c>
      <c r="AS136" s="572"/>
      <c r="AT136" s="572"/>
      <c r="AU136" s="572"/>
      <c r="AV136" s="572"/>
      <c r="AW136" s="512">
        <f t="shared" si="21"/>
        <v>0</v>
      </c>
      <c r="AX136" s="513">
        <f>IF(SETUP!$E$7="USD",(AW136*(IF(O136="USD",AR136,(AR136/'Master Data-C19RM'!$G$2)))),(AW136*(IF(O136="EUR",AR136,(AR136*'Master Data-C19RM'!$G$2)))))</f>
        <v>0</v>
      </c>
      <c r="AY136" s="845"/>
      <c r="AZ136" s="846"/>
      <c r="BA136" s="846"/>
      <c r="BB136" s="846"/>
      <c r="BC136" s="846"/>
      <c r="BD136" s="846"/>
      <c r="BE136" s="847"/>
      <c r="BF136" s="512">
        <f>'C19RM 2021-Lab &amp; Other HPS'!$U136+'C19RM 2021-Lab &amp; Other HPS'!$AB136+'C19RM 2021-Lab &amp; Other HPS'!$AP136+'C19RM 2021-Lab &amp; Other HPS'!$AI136+AW136+BD136</f>
        <v>0</v>
      </c>
      <c r="BG136" s="512">
        <f>'C19RM 2021-Lab &amp; Other HPS'!$V136+'C19RM 2021-Lab &amp; Other HPS'!$AC136+'C19RM 2021-Lab &amp; Other HPS'!$AQ136+'C19RM 2021-Lab &amp; Other HPS'!$AJ136+AX136+BE136</f>
        <v>0</v>
      </c>
      <c r="BH136" s="500" t="str" cm="1">
        <f t="array" ref="BH136">IF(A136&lt;&gt;"",IFERROR(INDEX(PMtbl[[WKst]:[Unit of measure*]],MATCH($A$115&amp;$A136&amp;$E136&amp;$I136,INDEX(PMtbl[Sec]&amp;PMtbl[Category]&amp;PMtbl[Each]&amp;PMtbl[Packaging],0,),0),11),""),"")</f>
        <v/>
      </c>
      <c r="BI136" s="819"/>
      <c r="BJ136" s="502" t="str" cm="1">
        <f t="array" ref="BJ136">IFERROR(INDEX(SETUP!$C$19:$G$121,MATCH((INDEX(PMtbl[[WKst]:[Unit of measure*]],MATCH($A136&amp;$E136&amp;$I136,INDEX(PMtbl[Category]&amp;PMtbl[Each]&amp;PMtbl[Packaging],0,),0),3)),SETUP!$D$19:$D$121,0),5),"")</f>
        <v/>
      </c>
      <c r="BK136" s="542" t="str" cm="1">
        <f t="array" ref="BK136">IFERROR(IF((INDEX(SETUP!$C$19:$G$121,MATCH((INDEX(PMtbl[[WKst]:[Unit of measure*]],MATCH($A136&amp;$E136&amp;$I136,INDEX(PMtbl[Category]&amp;PMtbl[Each]&amp;PMtbl[Packaging],0,),0),3)),SETUP!$D$19:$D$121,0),4))="Upfront",0,INDEX(SETUP!$C$19:$G$121,MATCH((INDEX(PMtbl[[WKst]:[Unit of measure*]],MATCH($A136&amp;$E136&amp;$I136,INDEX(PMtbl[Category]&amp;PMtbl[Each]&amp;PMtbl[Packaging],0,),0),3)),SETUP!$D$19:$D$121,0),5)),"")</f>
        <v/>
      </c>
      <c r="BL136" s="214" t="str" cm="1">
        <f t="array" ref="BL136">IF(E136&lt;&gt;"",IFERROR(INDEX(PMtbl[[WKst]:[Unit of measure*]],MATCH($A$115&amp;$A136&amp;$E136&amp;$I136,INDEX(PMtbl[Sec]&amp;PMtbl[Category]&amp;PMtbl[Each]&amp;PMtbl[Packaging],0,),0),11),""),"")</f>
        <v/>
      </c>
      <c r="BO136" s="12">
        <f>IF(N136="",0,IF(SETUP!$E$7="USD",((IF(O136="USD",P136,(P136/'Master Data-C19RM'!$C$2)))),((IF(O136="EUR",P136,(P136*'Master Data-C19RM'!$C$2))))))</f>
        <v>0</v>
      </c>
      <c r="BP136" s="12">
        <f>IF(N136="",0,IF(SETUP!$E$7="USD",((IF(O136="USD",W136,(W136/'Master Data-C19RM'!$D$2)))),((IF(O136="EUR",W136,(W136*'Master Data-C19RM'!$D$2))))))</f>
        <v>0</v>
      </c>
      <c r="BQ136">
        <f>IF(N136="",0,IF(SETUP!$E$7="USD",((IF(O136="USD",AD136,(AD136/'Master Data-C19RM'!$E$2)))),((IF(O136="EUR",AD136,(AD136*'Master Data-C19RM'!$E$2))))))</f>
        <v>0</v>
      </c>
      <c r="BR136">
        <f>IF(N136="",0,IF(SETUP!$E$7="USD",((IF(O136="USD",AK136,(AK136/'Master Data-C19RM'!$F$2)))),((IF(O136="EUR",AK136,(AK136*'Master Data-C19RM'!$F$2))))))</f>
        <v>0</v>
      </c>
      <c r="BS136">
        <f>IF(N136="",0,IF(SETUP!$E$7="USD",((IF(O136="USD",AR136,(AR136/'Master Data-C19RM'!$G$2)))),((IF(O136="EUR",AR136,(AR136*'Master Data-C19RM'!$G$2))))))</f>
        <v>0</v>
      </c>
      <c r="BT136">
        <f>IF(N136="",0,IF(SETUP!$E$7="USD",((IF(O136="USD",AY136,(AY136/'Master Data-C19RM'!$H$2)))),((IF(O136="EUR",AY136,(AY136*'Master Data-C19RM'!$H$2))))))</f>
        <v>0</v>
      </c>
      <c r="BU136" s="12">
        <f t="shared" si="15"/>
        <v>0</v>
      </c>
      <c r="BV136" s="142">
        <f t="shared" si="16"/>
        <v>0</v>
      </c>
    </row>
    <row r="137" spans="1:74" x14ac:dyDescent="0.35">
      <c r="A137" s="1192"/>
      <c r="B137" s="1192"/>
      <c r="C137" s="1192"/>
      <c r="D137" s="1192"/>
      <c r="E137" s="1173"/>
      <c r="F137" s="1173"/>
      <c r="G137" s="1173"/>
      <c r="H137" s="1173"/>
      <c r="I137" s="1173"/>
      <c r="J137" s="1173"/>
      <c r="K137" s="1173"/>
      <c r="L137" s="493" t="str" cm="1">
        <f t="array" ref="L137">IF(A137&lt;&gt;"",IFERROR(INDEX(PMtbl[[WKst]:[Unit of measure*]],MATCH($A$115&amp;$A137&amp;$E137&amp;$I137,INDEX(PMtbl[Sec]&amp;PMtbl[Category]&amp;PMtbl[Each]&amp;PMtbl[Packaging],0,),0),14),""),"")</f>
        <v/>
      </c>
      <c r="M137" s="480" t="str">
        <f>IF(L137="","",INDEX(SETUP!$E$20:$E$122,(MATCH(INDEX(PMsheet!$D:$E,MATCH(A137,PMsheet!E:E,0),1),SETUP!$D$20:$D$122,0))))</f>
        <v/>
      </c>
      <c r="N137" s="494">
        <f>IF($O137="USD",_xlfn.IFNA(VLOOKUP(A137&amp;E137&amp;I137,PMsheet!J:K,2,0),0),(_xlfn.IFNA(VLOOKUP(A137&amp;E137&amp;I137,PMsheet!J:K,2,0),0)*'Master Data-C19RM'!$C$2))</f>
        <v>0</v>
      </c>
      <c r="O137" s="495" t="str">
        <f>IF(L137="", "",SETUP!$E$7)</f>
        <v/>
      </c>
      <c r="P137" s="457">
        <f>IF($O137="USD",_xlfn.IFNA(VLOOKUP($A137&amp;$E137&amp;$I137,PMsheet!$J:$K,2,0),0),(_xlfn.IFNA(VLOOKUP($A137&amp;$E137&amp;$I137,PMsheet!$J:$K,2,0),0)*'Master Data-C19RM'!$C$2))</f>
        <v>0</v>
      </c>
      <c r="Q137" s="440"/>
      <c r="R137" s="440"/>
      <c r="S137" s="440"/>
      <c r="T137" s="440"/>
      <c r="U137" s="482">
        <f t="shared" si="17"/>
        <v>0</v>
      </c>
      <c r="V137" s="484">
        <f>IF(SETUP!$E$7="USD",(U137*(IF(O137="USD",P137,(P137/'Master Data-C19RM'!$C$2)))),(U137*(IF(O137="EUR",P137,(P137*'Master Data-C19RM'!$C$2)))))</f>
        <v>0</v>
      </c>
      <c r="W137" s="445">
        <f>IF($O137="USD",_xlfn.IFNA(VLOOKUP($A137&amp;$E137&amp;$I137,PMsheet!$J:$K,2,0),0),(_xlfn.IFNA(VLOOKUP($A137&amp;$E137&amp;$I137,PMsheet!$J:$K,2,0),0)*'Master Data-C19RM'!$D$2))</f>
        <v>0</v>
      </c>
      <c r="X137" s="440"/>
      <c r="Y137" s="440"/>
      <c r="Z137" s="440"/>
      <c r="AA137" s="440"/>
      <c r="AB137" s="482">
        <f t="shared" si="18"/>
        <v>0</v>
      </c>
      <c r="AC137" s="484">
        <f>IF(SETUP!$E$7="USD",(AB137*(IF(O137="USD",W137,(W137/'Master Data-C19RM'!$D$2)))),(AB137*(IF(O137="EUR",W137,(W137*'Master Data-C19RM'!$D$2)))))</f>
        <v>0</v>
      </c>
      <c r="AD137" s="445">
        <f>IF($O137="USD",_xlfn.IFNA(VLOOKUP($A137&amp;$E137&amp;$I137,PMsheet!$J:$K,2,0),0),(_xlfn.IFNA(VLOOKUP($A137&amp;$E137&amp;$I137,PMsheet!$J:$K,2,0),0)*'Master Data-C19RM'!$E$2))</f>
        <v>0</v>
      </c>
      <c r="AE137" s="440"/>
      <c r="AF137" s="440"/>
      <c r="AG137" s="440"/>
      <c r="AH137" s="440"/>
      <c r="AI137" s="514">
        <f t="shared" si="19"/>
        <v>0</v>
      </c>
      <c r="AJ137" s="515">
        <f>IF(SETUP!$E$7="USD",(AI137*(IF(O137="USD",AD137,(AD137/'Master Data-C19RM'!$E$2)))),(AI137*(IF(O137="EUR",AD137,(AD137*'Master Data-C19RM'!$E$2)))))</f>
        <v>0</v>
      </c>
      <c r="AK137" s="445">
        <f>IF($O137="USD",_xlfn.IFNA(VLOOKUP($A137&amp;$E137&amp;$I137,PMsheet!$J:$K,2,0),0),(_xlfn.IFNA(VLOOKUP($A137&amp;$E137&amp;$I137,PMsheet!$J:$K,2,0),0)*'Master Data-C19RM'!$F$2))</f>
        <v>0</v>
      </c>
      <c r="AL137" s="440"/>
      <c r="AM137" s="440"/>
      <c r="AN137" s="440"/>
      <c r="AO137" s="440"/>
      <c r="AP137" s="514">
        <f t="shared" si="20"/>
        <v>0</v>
      </c>
      <c r="AQ137" s="515">
        <f>IF(SETUP!$E$7="USD",(AP137*(IF(O137="USD",AK137,(AK137/'Master Data-C19RM'!$F$2)))),(AP137*(IF(O137="EUR",AK137,(AK137*'Master Data-C19RM'!$F$2)))))</f>
        <v>0</v>
      </c>
      <c r="AR137" s="925">
        <f>IF($O137="USD",_xlfn.IFNA(VLOOKUP($A137&amp;$E137&amp;$I137,PMsheet!$J:$K,2,0),0),(_xlfn.IFNA(VLOOKUP($A137&amp;$E137&amp;$I137,PMsheet!$J:$K,2,0),0)*'Master Data-C19RM'!$G$2))</f>
        <v>0</v>
      </c>
      <c r="AS137" s="926"/>
      <c r="AT137" s="926"/>
      <c r="AU137" s="926"/>
      <c r="AV137" s="926"/>
      <c r="AW137" s="514">
        <f t="shared" si="21"/>
        <v>0</v>
      </c>
      <c r="AX137" s="515">
        <f>IF(SETUP!$E$7="USD",(AW137*(IF(O137="USD",AR137,(AR137/'Master Data-C19RM'!$G$2)))),(AW137*(IF(O137="EUR",AR137,(AR137*'Master Data-C19RM'!$G$2)))))</f>
        <v>0</v>
      </c>
      <c r="AY137" s="845"/>
      <c r="AZ137" s="846"/>
      <c r="BA137" s="846"/>
      <c r="BB137" s="846"/>
      <c r="BC137" s="846"/>
      <c r="BD137" s="846"/>
      <c r="BE137" s="847"/>
      <c r="BF137" s="514">
        <f>'C19RM 2021-Lab &amp; Other HPS'!$U137+'C19RM 2021-Lab &amp; Other HPS'!$AB137+'C19RM 2021-Lab &amp; Other HPS'!$AP137+'C19RM 2021-Lab &amp; Other HPS'!$AI137+AW137+BD137</f>
        <v>0</v>
      </c>
      <c r="BG137" s="514">
        <f>'C19RM 2021-Lab &amp; Other HPS'!$V137+'C19RM 2021-Lab &amp; Other HPS'!$AC137+'C19RM 2021-Lab &amp; Other HPS'!$AQ137+'C19RM 2021-Lab &amp; Other HPS'!$AJ137+AX137+BE137</f>
        <v>0</v>
      </c>
      <c r="BH137" s="522" t="str" cm="1">
        <f t="array" ref="BH137">IF(A137&lt;&gt;"",IFERROR(INDEX(PMtbl[[WKst]:[Unit of measure*]],MATCH($A$115&amp;$A137&amp;$E137&amp;$I137,INDEX(PMtbl[Sec]&amp;PMtbl[Category]&amp;PMtbl[Each]&amp;PMtbl[Packaging],0,),0),11),""),"")</f>
        <v/>
      </c>
      <c r="BI137" s="818"/>
      <c r="BJ137" s="503" t="str" cm="1">
        <f t="array" ref="BJ137">IFERROR(INDEX(SETUP!$C$19:$G$121,MATCH((INDEX(PMtbl[[WKst]:[Unit of measure*]],MATCH($A137&amp;$E137&amp;$I137,INDEX(PMtbl[Category]&amp;PMtbl[Each]&amp;PMtbl[Packaging],0,),0),3)),SETUP!$D$19:$D$121,0),5),"")</f>
        <v/>
      </c>
      <c r="BK137" s="543" t="str" cm="1">
        <f t="array" ref="BK137">IFERROR(IF((INDEX(SETUP!$C$19:$G$121,MATCH((INDEX(PMtbl[[WKst]:[Unit of measure*]],MATCH($A137&amp;$E137&amp;$I137,INDEX(PMtbl[Category]&amp;PMtbl[Each]&amp;PMtbl[Packaging],0,),0),3)),SETUP!$D$19:$D$121,0),4))="Upfront",0,INDEX(SETUP!$C$19:$G$121,MATCH((INDEX(PMtbl[[WKst]:[Unit of measure*]],MATCH($A137&amp;$E137&amp;$I137,INDEX(PMtbl[Category]&amp;PMtbl[Each]&amp;PMtbl[Packaging],0,),0),3)),SETUP!$D$19:$D$121,0),5)),"")</f>
        <v/>
      </c>
      <c r="BL137" s="215" t="str" cm="1">
        <f t="array" ref="BL137">IF(E137&lt;&gt;"",IFERROR(INDEX(PMtbl[[WKst]:[Unit of measure*]],MATCH($A$115&amp;$A137&amp;$E137&amp;$I137,INDEX(PMtbl[Sec]&amp;PMtbl[Category]&amp;PMtbl[Each]&amp;PMtbl[Packaging],0,),0),11),""),"")</f>
        <v/>
      </c>
      <c r="BO137" s="12">
        <f>IF(N137="",0,IF(SETUP!$E$7="USD",((IF(O137="USD",P137,(P137/'Master Data-C19RM'!$C$2)))),((IF(O137="EUR",P137,(P137*'Master Data-C19RM'!$C$2))))))</f>
        <v>0</v>
      </c>
      <c r="BP137" s="12">
        <f>IF(N137="",0,IF(SETUP!$E$7="USD",((IF(O137="USD",W137,(W137/'Master Data-C19RM'!$D$2)))),((IF(O137="EUR",W137,(W137*'Master Data-C19RM'!$D$2))))))</f>
        <v>0</v>
      </c>
      <c r="BQ137">
        <f>IF(N137="",0,IF(SETUP!$E$7="USD",((IF(O137="USD",AD137,(AD137/'Master Data-C19RM'!$E$2)))),((IF(O137="EUR",AD137,(AD137*'Master Data-C19RM'!$E$2))))))</f>
        <v>0</v>
      </c>
      <c r="BR137">
        <f>IF(N137="",0,IF(SETUP!$E$7="USD",((IF(O137="USD",AK137,(AK137/'Master Data-C19RM'!$F$2)))),((IF(O137="EUR",AK137,(AK137*'Master Data-C19RM'!$F$2))))))</f>
        <v>0</v>
      </c>
      <c r="BS137">
        <f>IF(N137="",0,IF(SETUP!$E$7="USD",((IF(O137="USD",AR137,(AR137/'Master Data-C19RM'!$G$2)))),((IF(O137="EUR",AR137,(AR137*'Master Data-C19RM'!$G$2))))))</f>
        <v>0</v>
      </c>
      <c r="BT137">
        <f>IF(N137="",0,IF(SETUP!$E$7="USD",((IF(O137="USD",AY137,(AY137/'Master Data-C19RM'!$H$2)))),((IF(O137="EUR",AY137,(AY137*'Master Data-C19RM'!$H$2))))))</f>
        <v>0</v>
      </c>
      <c r="BU137" s="12">
        <f t="shared" si="15"/>
        <v>0</v>
      </c>
      <c r="BV137" s="142">
        <f t="shared" si="16"/>
        <v>0</v>
      </c>
    </row>
    <row r="138" spans="1:74" x14ac:dyDescent="0.35">
      <c r="A138" s="1165"/>
      <c r="B138" s="1165"/>
      <c r="C138" s="1165"/>
      <c r="D138" s="1165"/>
      <c r="E138" s="1166"/>
      <c r="F138" s="1166"/>
      <c r="G138" s="1166"/>
      <c r="H138" s="1166"/>
      <c r="I138" s="1166"/>
      <c r="J138" s="1166"/>
      <c r="K138" s="1166"/>
      <c r="L138" s="490" t="str" cm="1">
        <f t="array" ref="L138">IF(A138&lt;&gt;"",IFERROR(INDEX(PMtbl[[WKst]:[Unit of measure*]],MATCH($A$115&amp;$A138&amp;$E138&amp;$I138,INDEX(PMtbl[Sec]&amp;PMtbl[Category]&amp;PMtbl[Each]&amp;PMtbl[Packaging],0,),0),14),""),"")</f>
        <v/>
      </c>
      <c r="M138" s="479" t="str">
        <f>IF(L138="","",INDEX(SETUP!$E$20:$E$122,(MATCH(INDEX(PMsheet!$D:$E,MATCH(A138,PMsheet!E:E,0),1),SETUP!$D$20:$D$122,0))))</f>
        <v/>
      </c>
      <c r="N138" s="491">
        <f>IF($O138="USD",_xlfn.IFNA(VLOOKUP(A138&amp;E138&amp;I138,PMsheet!J:K,2,0),0),(_xlfn.IFNA(VLOOKUP(A138&amp;E138&amp;I138,PMsheet!J:K,2,0),0)*'Master Data-C19RM'!$C$2))</f>
        <v>0</v>
      </c>
      <c r="O138" s="492" t="str">
        <f>IF(L138="", "",SETUP!$E$7)</f>
        <v/>
      </c>
      <c r="P138" s="456">
        <f>IF($O138="USD",_xlfn.IFNA(VLOOKUP($A138&amp;$E138&amp;$I138,PMsheet!$J:$K,2,0),0),(_xlfn.IFNA(VLOOKUP($A138&amp;$E138&amp;$I138,PMsheet!$J:$K,2,0),0)*'Master Data-C19RM'!$C$2))</f>
        <v>0</v>
      </c>
      <c r="Q138" s="441"/>
      <c r="R138" s="441"/>
      <c r="S138" s="441"/>
      <c r="T138" s="441"/>
      <c r="U138" s="481">
        <f t="shared" si="17"/>
        <v>0</v>
      </c>
      <c r="V138" s="483">
        <f>IF(SETUP!$E$7="USD",(U138*(IF(O138="USD",P138,(P138/'Master Data-C19RM'!$C$2)))),(U138*(IF(O138="EUR",P138,(P138*'Master Data-C19RM'!$C$2)))))</f>
        <v>0</v>
      </c>
      <c r="W138" s="444">
        <f>IF($O138="USD",_xlfn.IFNA(VLOOKUP($A138&amp;$E138&amp;$I138,PMsheet!$J:$K,2,0),0),(_xlfn.IFNA(VLOOKUP($A138&amp;$E138&amp;$I138,PMsheet!$J:$K,2,0),0)*'Master Data-C19RM'!$D$2))</f>
        <v>0</v>
      </c>
      <c r="X138" s="441"/>
      <c r="Y138" s="441"/>
      <c r="Z138" s="441"/>
      <c r="AA138" s="441"/>
      <c r="AB138" s="481">
        <f t="shared" si="18"/>
        <v>0</v>
      </c>
      <c r="AC138" s="483">
        <f>IF(SETUP!$E$7="USD",(AB138*(IF(O138="USD",W138,(W138/'Master Data-C19RM'!$D$2)))),(AB138*(IF(O138="EUR",W138,(W138*'Master Data-C19RM'!$D$2)))))</f>
        <v>0</v>
      </c>
      <c r="AD138" s="444">
        <f>IF($O138="USD",_xlfn.IFNA(VLOOKUP($A138&amp;$E138&amp;$I138,PMsheet!$J:$K,2,0),0),(_xlfn.IFNA(VLOOKUP($A138&amp;$E138&amp;$I138,PMsheet!$J:$K,2,0),0)*'Master Data-C19RM'!$E$2))</f>
        <v>0</v>
      </c>
      <c r="AE138" s="441"/>
      <c r="AF138" s="441"/>
      <c r="AG138" s="441"/>
      <c r="AH138" s="441"/>
      <c r="AI138" s="512">
        <f t="shared" si="19"/>
        <v>0</v>
      </c>
      <c r="AJ138" s="513">
        <f>IF(SETUP!$E$7="USD",(AI138*(IF(O138="USD",AD138,(AD138/'Master Data-C19RM'!$E$2)))),(AI138*(IF(O138="EUR",AD138,(AD138*'Master Data-C19RM'!$E$2)))))</f>
        <v>0</v>
      </c>
      <c r="AK138" s="444">
        <f>IF($O138="USD",_xlfn.IFNA(VLOOKUP($A138&amp;$E138&amp;$I138,PMsheet!$J:$K,2,0),0),(_xlfn.IFNA(VLOOKUP($A138&amp;$E138&amp;$I138,PMsheet!$J:$K,2,0),0)*'Master Data-C19RM'!$F$2))</f>
        <v>0</v>
      </c>
      <c r="AL138" s="441"/>
      <c r="AM138" s="441"/>
      <c r="AN138" s="441"/>
      <c r="AO138" s="441"/>
      <c r="AP138" s="512">
        <f t="shared" si="20"/>
        <v>0</v>
      </c>
      <c r="AQ138" s="513">
        <f>IF(SETUP!$E$7="USD",(AP138*(IF(O138="USD",AK138,(AK138/'Master Data-C19RM'!$F$2)))),(AP138*(IF(O138="EUR",AK138,(AK138*'Master Data-C19RM'!$F$2)))))</f>
        <v>0</v>
      </c>
      <c r="AR138" s="924">
        <f>IF($O138="USD",_xlfn.IFNA(VLOOKUP($A138&amp;$E138&amp;$I138,PMsheet!$J:$K,2,0),0),(_xlfn.IFNA(VLOOKUP($A138&amp;$E138&amp;$I138,PMsheet!$J:$K,2,0),0)*'Master Data-C19RM'!$G$2))</f>
        <v>0</v>
      </c>
      <c r="AS138" s="572"/>
      <c r="AT138" s="572"/>
      <c r="AU138" s="572"/>
      <c r="AV138" s="572"/>
      <c r="AW138" s="512">
        <f t="shared" si="21"/>
        <v>0</v>
      </c>
      <c r="AX138" s="513">
        <f>IF(SETUP!$E$7="USD",(AW138*(IF(O138="USD",AR138,(AR138/'Master Data-C19RM'!$G$2)))),(AW138*(IF(O138="EUR",AR138,(AR138*'Master Data-C19RM'!$G$2)))))</f>
        <v>0</v>
      </c>
      <c r="AY138" s="845"/>
      <c r="AZ138" s="846"/>
      <c r="BA138" s="846"/>
      <c r="BB138" s="846"/>
      <c r="BC138" s="846"/>
      <c r="BD138" s="846"/>
      <c r="BE138" s="847"/>
      <c r="BF138" s="512">
        <f>'C19RM 2021-Lab &amp; Other HPS'!$U138+'C19RM 2021-Lab &amp; Other HPS'!$AB138+'C19RM 2021-Lab &amp; Other HPS'!$AP138+'C19RM 2021-Lab &amp; Other HPS'!$AI138+AW138+BD138</f>
        <v>0</v>
      </c>
      <c r="BG138" s="512">
        <f>'C19RM 2021-Lab &amp; Other HPS'!$V138+'C19RM 2021-Lab &amp; Other HPS'!$AC138+'C19RM 2021-Lab &amp; Other HPS'!$AQ138+'C19RM 2021-Lab &amp; Other HPS'!$AJ138+AX138+BE138</f>
        <v>0</v>
      </c>
      <c r="BH138" s="500" t="str" cm="1">
        <f t="array" ref="BH138">IF(A138&lt;&gt;"",IFERROR(INDEX(PMtbl[[WKst]:[Unit of measure*]],MATCH($A$115&amp;$A138&amp;$E138&amp;$I138,INDEX(PMtbl[Sec]&amp;PMtbl[Category]&amp;PMtbl[Each]&amp;PMtbl[Packaging],0,),0),11),""),"")</f>
        <v/>
      </c>
      <c r="BI138" s="819"/>
      <c r="BJ138" s="502" t="str" cm="1">
        <f t="array" ref="BJ138">IFERROR(INDEX(SETUP!$C$19:$G$121,MATCH((INDEX(PMtbl[[WKst]:[Unit of measure*]],MATCH($A138&amp;$E138&amp;$I138,INDEX(PMtbl[Category]&amp;PMtbl[Each]&amp;PMtbl[Packaging],0,),0),3)),SETUP!$D$19:$D$121,0),5),"")</f>
        <v/>
      </c>
      <c r="BK138" s="542" t="str" cm="1">
        <f t="array" ref="BK138">IFERROR(IF((INDEX(SETUP!$C$19:$G$121,MATCH((INDEX(PMtbl[[WKst]:[Unit of measure*]],MATCH($A138&amp;$E138&amp;$I138,INDEX(PMtbl[Category]&amp;PMtbl[Each]&amp;PMtbl[Packaging],0,),0),3)),SETUP!$D$19:$D$121,0),4))="Upfront",0,INDEX(SETUP!$C$19:$G$121,MATCH((INDEX(PMtbl[[WKst]:[Unit of measure*]],MATCH($A138&amp;$E138&amp;$I138,INDEX(PMtbl[Category]&amp;PMtbl[Each]&amp;PMtbl[Packaging],0,),0),3)),SETUP!$D$19:$D$121,0),5)),"")</f>
        <v/>
      </c>
      <c r="BL138" s="214" t="str" cm="1">
        <f t="array" ref="BL138">IF(E138&lt;&gt;"",IFERROR(INDEX(PMtbl[[WKst]:[Unit of measure*]],MATCH($A$115&amp;$A138&amp;$E138&amp;$I138,INDEX(PMtbl[Sec]&amp;PMtbl[Category]&amp;PMtbl[Each]&amp;PMtbl[Packaging],0,),0),11),""),"")</f>
        <v/>
      </c>
      <c r="BO138" s="12">
        <f>IF(N138="",0,IF(SETUP!$E$7="USD",((IF(O138="USD",P138,(P138/'Master Data-C19RM'!$C$2)))),((IF(O138="EUR",P138,(P138*'Master Data-C19RM'!$C$2))))))</f>
        <v>0</v>
      </c>
      <c r="BP138" s="12">
        <f>IF(N138="",0,IF(SETUP!$E$7="USD",((IF(O138="USD",W138,(W138/'Master Data-C19RM'!$D$2)))),((IF(O138="EUR",W138,(W138*'Master Data-C19RM'!$D$2))))))</f>
        <v>0</v>
      </c>
      <c r="BQ138">
        <f>IF(N138="",0,IF(SETUP!$E$7="USD",((IF(O138="USD",AD138,(AD138/'Master Data-C19RM'!$E$2)))),((IF(O138="EUR",AD138,(AD138*'Master Data-C19RM'!$E$2))))))</f>
        <v>0</v>
      </c>
      <c r="BR138">
        <f>IF(N138="",0,IF(SETUP!$E$7="USD",((IF(O138="USD",AK138,(AK138/'Master Data-C19RM'!$F$2)))),((IF(O138="EUR",AK138,(AK138*'Master Data-C19RM'!$F$2))))))</f>
        <v>0</v>
      </c>
      <c r="BS138">
        <f>IF(N138="",0,IF(SETUP!$E$7="USD",((IF(O138="USD",AR138,(AR138/'Master Data-C19RM'!$G$2)))),((IF(O138="EUR",AR138,(AR138*'Master Data-C19RM'!$G$2))))))</f>
        <v>0</v>
      </c>
      <c r="BT138">
        <f>IF(N138="",0,IF(SETUP!$E$7="USD",((IF(O138="USD",AY138,(AY138/'Master Data-C19RM'!$H$2)))),((IF(O138="EUR",AY138,(AY138*'Master Data-C19RM'!$H$2))))))</f>
        <v>0</v>
      </c>
      <c r="BU138" s="12">
        <f t="shared" si="15"/>
        <v>0</v>
      </c>
      <c r="BV138" s="142">
        <f t="shared" si="16"/>
        <v>0</v>
      </c>
    </row>
    <row r="139" spans="1:74" x14ac:dyDescent="0.35">
      <c r="A139" s="1192"/>
      <c r="B139" s="1192"/>
      <c r="C139" s="1192"/>
      <c r="D139" s="1192"/>
      <c r="E139" s="1173"/>
      <c r="F139" s="1173"/>
      <c r="G139" s="1173"/>
      <c r="H139" s="1173"/>
      <c r="I139" s="1173"/>
      <c r="J139" s="1173"/>
      <c r="K139" s="1173"/>
      <c r="L139" s="493" t="str" cm="1">
        <f t="array" ref="L139">IF(A139&lt;&gt;"",IFERROR(INDEX(PMtbl[[WKst]:[Unit of measure*]],MATCH($A$115&amp;$A139&amp;$E139&amp;$I139,INDEX(PMtbl[Sec]&amp;PMtbl[Category]&amp;PMtbl[Each]&amp;PMtbl[Packaging],0,),0),14),""),"")</f>
        <v/>
      </c>
      <c r="M139" s="480" t="str">
        <f>IF(L139="","",INDEX(SETUP!$E$20:$E$122,(MATCH(INDEX(PMsheet!$D:$E,MATCH(A139,PMsheet!E:E,0),1),SETUP!$D$20:$D$122,0))))</f>
        <v/>
      </c>
      <c r="N139" s="494">
        <f>IF($O139="USD",_xlfn.IFNA(VLOOKUP(A139&amp;E139&amp;I139,PMsheet!J:K,2,0),0),(_xlfn.IFNA(VLOOKUP(A139&amp;E139&amp;I139,PMsheet!J:K,2,0),0)*'Master Data-C19RM'!$C$2))</f>
        <v>0</v>
      </c>
      <c r="O139" s="495" t="str">
        <f>IF(L139="", "",SETUP!$E$7)</f>
        <v/>
      </c>
      <c r="P139" s="457">
        <f>IF($O139="USD",_xlfn.IFNA(VLOOKUP($A139&amp;$E139&amp;$I139,PMsheet!$J:$K,2,0),0),(_xlfn.IFNA(VLOOKUP($A139&amp;$E139&amp;$I139,PMsheet!$J:$K,2,0),0)*'Master Data-C19RM'!$C$2))</f>
        <v>0</v>
      </c>
      <c r="Q139" s="440"/>
      <c r="R139" s="440"/>
      <c r="S139" s="440"/>
      <c r="T139" s="440"/>
      <c r="U139" s="482">
        <f t="shared" si="17"/>
        <v>0</v>
      </c>
      <c r="V139" s="484">
        <f>IF(SETUP!$E$7="USD",(U139*(IF(O139="USD",P139,(P139/'Master Data-C19RM'!$C$2)))),(U139*(IF(O139="EUR",P139,(P139*'Master Data-C19RM'!$C$2)))))</f>
        <v>0</v>
      </c>
      <c r="W139" s="445">
        <f>IF($O139="USD",_xlfn.IFNA(VLOOKUP($A139&amp;$E139&amp;$I139,PMsheet!$J:$K,2,0),0),(_xlfn.IFNA(VLOOKUP($A139&amp;$E139&amp;$I139,PMsheet!$J:$K,2,0),0)*'Master Data-C19RM'!$D$2))</f>
        <v>0</v>
      </c>
      <c r="X139" s="440"/>
      <c r="Y139" s="440"/>
      <c r="Z139" s="440"/>
      <c r="AA139" s="440"/>
      <c r="AB139" s="482">
        <f t="shared" si="18"/>
        <v>0</v>
      </c>
      <c r="AC139" s="484">
        <f>IF(SETUP!$E$7="USD",(AB139*(IF(O139="USD",W139,(W139/'Master Data-C19RM'!$D$2)))),(AB139*(IF(O139="EUR",W139,(W139*'Master Data-C19RM'!$D$2)))))</f>
        <v>0</v>
      </c>
      <c r="AD139" s="445">
        <f>IF($O139="USD",_xlfn.IFNA(VLOOKUP($A139&amp;$E139&amp;$I139,PMsheet!$J:$K,2,0),0),(_xlfn.IFNA(VLOOKUP($A139&amp;$E139&amp;$I139,PMsheet!$J:$K,2,0),0)*'Master Data-C19RM'!$E$2))</f>
        <v>0</v>
      </c>
      <c r="AE139" s="440"/>
      <c r="AF139" s="440"/>
      <c r="AG139" s="440"/>
      <c r="AH139" s="440"/>
      <c r="AI139" s="514">
        <f t="shared" si="19"/>
        <v>0</v>
      </c>
      <c r="AJ139" s="515">
        <f>IF(SETUP!$E$7="USD",(AI139*(IF(O139="USD",AD139,(AD139/'Master Data-C19RM'!$E$2)))),(AI139*(IF(O139="EUR",AD139,(AD139*'Master Data-C19RM'!$E$2)))))</f>
        <v>0</v>
      </c>
      <c r="AK139" s="445">
        <f>IF($O139="USD",_xlfn.IFNA(VLOOKUP($A139&amp;$E139&amp;$I139,PMsheet!$J:$K,2,0),0),(_xlfn.IFNA(VLOOKUP($A139&amp;$E139&amp;$I139,PMsheet!$J:$K,2,0),0)*'Master Data-C19RM'!$F$2))</f>
        <v>0</v>
      </c>
      <c r="AL139" s="440"/>
      <c r="AM139" s="440"/>
      <c r="AN139" s="440"/>
      <c r="AO139" s="440"/>
      <c r="AP139" s="514">
        <f t="shared" si="20"/>
        <v>0</v>
      </c>
      <c r="AQ139" s="515">
        <f>IF(SETUP!$E$7="USD",(AP139*(IF(O139="USD",AK139,(AK139/'Master Data-C19RM'!$F$2)))),(AP139*(IF(O139="EUR",AK139,(AK139*'Master Data-C19RM'!$F$2)))))</f>
        <v>0</v>
      </c>
      <c r="AR139" s="925">
        <f>IF($O139="USD",_xlfn.IFNA(VLOOKUP($A139&amp;$E139&amp;$I139,PMsheet!$J:$K,2,0),0),(_xlfn.IFNA(VLOOKUP($A139&amp;$E139&amp;$I139,PMsheet!$J:$K,2,0),0)*'Master Data-C19RM'!$G$2))</f>
        <v>0</v>
      </c>
      <c r="AS139" s="926"/>
      <c r="AT139" s="926"/>
      <c r="AU139" s="926"/>
      <c r="AV139" s="926"/>
      <c r="AW139" s="514">
        <f t="shared" si="21"/>
        <v>0</v>
      </c>
      <c r="AX139" s="515">
        <f>IF(SETUP!$E$7="USD",(AW139*(IF(O139="USD",AR139,(AR139/'Master Data-C19RM'!$G$2)))),(AW139*(IF(O139="EUR",AR139,(AR139*'Master Data-C19RM'!$G$2)))))</f>
        <v>0</v>
      </c>
      <c r="AY139" s="845"/>
      <c r="AZ139" s="846"/>
      <c r="BA139" s="846"/>
      <c r="BB139" s="846"/>
      <c r="BC139" s="846"/>
      <c r="BD139" s="846"/>
      <c r="BE139" s="847"/>
      <c r="BF139" s="514">
        <f>'C19RM 2021-Lab &amp; Other HPS'!$U139+'C19RM 2021-Lab &amp; Other HPS'!$AB139+'C19RM 2021-Lab &amp; Other HPS'!$AP139+'C19RM 2021-Lab &amp; Other HPS'!$AI139+AW139+BD139</f>
        <v>0</v>
      </c>
      <c r="BG139" s="514">
        <f>'C19RM 2021-Lab &amp; Other HPS'!$V139+'C19RM 2021-Lab &amp; Other HPS'!$AC139+'C19RM 2021-Lab &amp; Other HPS'!$AQ139+'C19RM 2021-Lab &amp; Other HPS'!$AJ139+AX139+BE139</f>
        <v>0</v>
      </c>
      <c r="BH139" s="522" t="str" cm="1">
        <f t="array" ref="BH139">IF(A139&lt;&gt;"",IFERROR(INDEX(PMtbl[[WKst]:[Unit of measure*]],MATCH($A$115&amp;$A139&amp;$E139&amp;$I139,INDEX(PMtbl[Sec]&amp;PMtbl[Category]&amp;PMtbl[Each]&amp;PMtbl[Packaging],0,),0),11),""),"")</f>
        <v/>
      </c>
      <c r="BI139" s="818"/>
      <c r="BJ139" s="503" t="str" cm="1">
        <f t="array" ref="BJ139">IFERROR(INDEX(SETUP!$C$19:$G$121,MATCH((INDEX(PMtbl[[WKst]:[Unit of measure*]],MATCH($A139&amp;$E139&amp;$I139,INDEX(PMtbl[Category]&amp;PMtbl[Each]&amp;PMtbl[Packaging],0,),0),3)),SETUP!$D$19:$D$121,0),5),"")</f>
        <v/>
      </c>
      <c r="BK139" s="543" t="str" cm="1">
        <f t="array" ref="BK139">IFERROR(IF((INDEX(SETUP!$C$19:$G$121,MATCH((INDEX(PMtbl[[WKst]:[Unit of measure*]],MATCH($A139&amp;$E139&amp;$I139,INDEX(PMtbl[Category]&amp;PMtbl[Each]&amp;PMtbl[Packaging],0,),0),3)),SETUP!$D$19:$D$121,0),4))="Upfront",0,INDEX(SETUP!$C$19:$G$121,MATCH((INDEX(PMtbl[[WKst]:[Unit of measure*]],MATCH($A139&amp;$E139&amp;$I139,INDEX(PMtbl[Category]&amp;PMtbl[Each]&amp;PMtbl[Packaging],0,),0),3)),SETUP!$D$19:$D$121,0),5)),"")</f>
        <v/>
      </c>
      <c r="BL139" s="215" t="str" cm="1">
        <f t="array" ref="BL139">IF(E139&lt;&gt;"",IFERROR(INDEX(PMtbl[[WKst]:[Unit of measure*]],MATCH($A$115&amp;$A139&amp;$E139&amp;$I139,INDEX(PMtbl[Sec]&amp;PMtbl[Category]&amp;PMtbl[Each]&amp;PMtbl[Packaging],0,),0),11),""),"")</f>
        <v/>
      </c>
      <c r="BO139" s="12">
        <f>IF(N139="",0,IF(SETUP!$E$7="USD",((IF(O139="USD",P139,(P139/'Master Data-C19RM'!$C$2)))),((IF(O139="EUR",P139,(P139*'Master Data-C19RM'!$C$2))))))</f>
        <v>0</v>
      </c>
      <c r="BP139" s="12">
        <f>IF(N139="",0,IF(SETUP!$E$7="USD",((IF(O139="USD",W139,(W139/'Master Data-C19RM'!$D$2)))),((IF(O139="EUR",W139,(W139*'Master Data-C19RM'!$D$2))))))</f>
        <v>0</v>
      </c>
      <c r="BQ139">
        <f>IF(N139="",0,IF(SETUP!$E$7="USD",((IF(O139="USD",AD139,(AD139/'Master Data-C19RM'!$E$2)))),((IF(O139="EUR",AD139,(AD139*'Master Data-C19RM'!$E$2))))))</f>
        <v>0</v>
      </c>
      <c r="BR139">
        <f>IF(N139="",0,IF(SETUP!$E$7="USD",((IF(O139="USD",AK139,(AK139/'Master Data-C19RM'!$F$2)))),((IF(O139="EUR",AK139,(AK139*'Master Data-C19RM'!$F$2))))))</f>
        <v>0</v>
      </c>
      <c r="BS139">
        <f>IF(N139="",0,IF(SETUP!$E$7="USD",((IF(O139="USD",AR139,(AR139/'Master Data-C19RM'!$G$2)))),((IF(O139="EUR",AR139,(AR139*'Master Data-C19RM'!$G$2))))))</f>
        <v>0</v>
      </c>
      <c r="BT139">
        <f>IF(N139="",0,IF(SETUP!$E$7="USD",((IF(O139="USD",AY139,(AY139/'Master Data-C19RM'!$H$2)))),((IF(O139="EUR",AY139,(AY139*'Master Data-C19RM'!$H$2))))))</f>
        <v>0</v>
      </c>
      <c r="BU139" s="12">
        <f t="shared" si="15"/>
        <v>0</v>
      </c>
      <c r="BV139" s="142">
        <f t="shared" si="16"/>
        <v>0</v>
      </c>
    </row>
    <row r="140" spans="1:74" x14ac:dyDescent="0.35">
      <c r="A140" s="1165"/>
      <c r="B140" s="1165"/>
      <c r="C140" s="1165"/>
      <c r="D140" s="1165"/>
      <c r="E140" s="1166"/>
      <c r="F140" s="1166"/>
      <c r="G140" s="1166"/>
      <c r="H140" s="1166"/>
      <c r="I140" s="1166"/>
      <c r="J140" s="1166"/>
      <c r="K140" s="1166"/>
      <c r="L140" s="490" t="str" cm="1">
        <f t="array" ref="L140">IF(A140&lt;&gt;"",IFERROR(INDEX(PMtbl[[WKst]:[Unit of measure*]],MATCH($A$115&amp;$A140&amp;$E140&amp;$I140,INDEX(PMtbl[Sec]&amp;PMtbl[Category]&amp;PMtbl[Each]&amp;PMtbl[Packaging],0,),0),14),""),"")</f>
        <v/>
      </c>
      <c r="M140" s="479" t="str">
        <f>IF(L140="","",INDEX(SETUP!$E$20:$E$122,(MATCH(INDEX(PMsheet!$D:$E,MATCH(A140,PMsheet!E:E,0),1),SETUP!$D$20:$D$122,0))))</f>
        <v/>
      </c>
      <c r="N140" s="491">
        <f>IF($O140="USD",_xlfn.IFNA(VLOOKUP(A140&amp;E140&amp;I140,PMsheet!J:K,2,0),0),(_xlfn.IFNA(VLOOKUP(A140&amp;E140&amp;I140,PMsheet!J:K,2,0),0)*'Master Data-C19RM'!$C$2))</f>
        <v>0</v>
      </c>
      <c r="O140" s="492" t="str">
        <f>IF(L140="", "",SETUP!$E$7)</f>
        <v/>
      </c>
      <c r="P140" s="456">
        <f>IF($O140="USD",_xlfn.IFNA(VLOOKUP($A140&amp;$E140&amp;$I140,PMsheet!$J:$K,2,0),0),(_xlfn.IFNA(VLOOKUP($A140&amp;$E140&amp;$I140,PMsheet!$J:$K,2,0),0)*'Master Data-C19RM'!$C$2))</f>
        <v>0</v>
      </c>
      <c r="Q140" s="441"/>
      <c r="R140" s="441"/>
      <c r="S140" s="441"/>
      <c r="T140" s="441"/>
      <c r="U140" s="481">
        <f t="shared" si="17"/>
        <v>0</v>
      </c>
      <c r="V140" s="483">
        <f>IF(SETUP!$E$7="USD",(U140*(IF(O140="USD",P140,(P140/'Master Data-C19RM'!$C$2)))),(U140*(IF(O140="EUR",P140,(P140*'Master Data-C19RM'!$C$2)))))</f>
        <v>0</v>
      </c>
      <c r="W140" s="444">
        <f>IF($O140="USD",_xlfn.IFNA(VLOOKUP($A140&amp;$E140&amp;$I140,PMsheet!$J:$K,2,0),0),(_xlfn.IFNA(VLOOKUP($A140&amp;$E140&amp;$I140,PMsheet!$J:$K,2,0),0)*'Master Data-C19RM'!$D$2))</f>
        <v>0</v>
      </c>
      <c r="X140" s="441"/>
      <c r="Y140" s="441"/>
      <c r="Z140" s="441"/>
      <c r="AA140" s="441"/>
      <c r="AB140" s="481">
        <f t="shared" si="18"/>
        <v>0</v>
      </c>
      <c r="AC140" s="483">
        <f>IF(SETUP!$E$7="USD",(AB140*(IF(O140="USD",W140,(W140/'Master Data-C19RM'!$D$2)))),(AB140*(IF(O140="EUR",W140,(W140*'Master Data-C19RM'!$D$2)))))</f>
        <v>0</v>
      </c>
      <c r="AD140" s="444">
        <f>IF($O140="USD",_xlfn.IFNA(VLOOKUP($A140&amp;$E140&amp;$I140,PMsheet!$J:$K,2,0),0),(_xlfn.IFNA(VLOOKUP($A140&amp;$E140&amp;$I140,PMsheet!$J:$K,2,0),0)*'Master Data-C19RM'!$E$2))</f>
        <v>0</v>
      </c>
      <c r="AE140" s="441"/>
      <c r="AF140" s="441"/>
      <c r="AG140" s="441"/>
      <c r="AH140" s="441"/>
      <c r="AI140" s="512">
        <f t="shared" si="19"/>
        <v>0</v>
      </c>
      <c r="AJ140" s="513">
        <f>IF(SETUP!$E$7="USD",(AI140*(IF(O140="USD",AD140,(AD140/'Master Data-C19RM'!$E$2)))),(AI140*(IF(O140="EUR",AD140,(AD140*'Master Data-C19RM'!$E$2)))))</f>
        <v>0</v>
      </c>
      <c r="AK140" s="444">
        <f>IF($O140="USD",_xlfn.IFNA(VLOOKUP($A140&amp;$E140&amp;$I140,PMsheet!$J:$K,2,0),0),(_xlfn.IFNA(VLOOKUP($A140&amp;$E140&amp;$I140,PMsheet!$J:$K,2,0),0)*'Master Data-C19RM'!$F$2))</f>
        <v>0</v>
      </c>
      <c r="AL140" s="441"/>
      <c r="AM140" s="441"/>
      <c r="AN140" s="441"/>
      <c r="AO140" s="441"/>
      <c r="AP140" s="512">
        <f t="shared" si="20"/>
        <v>0</v>
      </c>
      <c r="AQ140" s="513">
        <f>IF(SETUP!$E$7="USD",(AP140*(IF(O140="USD",AK140,(AK140/'Master Data-C19RM'!$F$2)))),(AP140*(IF(O140="EUR",AK140,(AK140*'Master Data-C19RM'!$F$2)))))</f>
        <v>0</v>
      </c>
      <c r="AR140" s="924">
        <f>IF($O140="USD",_xlfn.IFNA(VLOOKUP($A140&amp;$E140&amp;$I140,PMsheet!$J:$K,2,0),0),(_xlfn.IFNA(VLOOKUP($A140&amp;$E140&amp;$I140,PMsheet!$J:$K,2,0),0)*'Master Data-C19RM'!$G$2))</f>
        <v>0</v>
      </c>
      <c r="AS140" s="572"/>
      <c r="AT140" s="572"/>
      <c r="AU140" s="572"/>
      <c r="AV140" s="572"/>
      <c r="AW140" s="512">
        <f t="shared" si="21"/>
        <v>0</v>
      </c>
      <c r="AX140" s="513">
        <f>IF(SETUP!$E$7="USD",(AW140*(IF(O140="USD",AR140,(AR140/'Master Data-C19RM'!$G$2)))),(AW140*(IF(O140="EUR",AR140,(AR140*'Master Data-C19RM'!$G$2)))))</f>
        <v>0</v>
      </c>
      <c r="AY140" s="845"/>
      <c r="AZ140" s="846"/>
      <c r="BA140" s="846"/>
      <c r="BB140" s="846"/>
      <c r="BC140" s="846"/>
      <c r="BD140" s="846"/>
      <c r="BE140" s="847"/>
      <c r="BF140" s="512">
        <f>'C19RM 2021-Lab &amp; Other HPS'!$U140+'C19RM 2021-Lab &amp; Other HPS'!$AB140+'C19RM 2021-Lab &amp; Other HPS'!$AP140+'C19RM 2021-Lab &amp; Other HPS'!$AI140+AW140+BD140</f>
        <v>0</v>
      </c>
      <c r="BG140" s="512">
        <f>'C19RM 2021-Lab &amp; Other HPS'!$V140+'C19RM 2021-Lab &amp; Other HPS'!$AC140+'C19RM 2021-Lab &amp; Other HPS'!$AQ140+'C19RM 2021-Lab &amp; Other HPS'!$AJ140+AX140+BE140</f>
        <v>0</v>
      </c>
      <c r="BH140" s="500" t="str" cm="1">
        <f t="array" ref="BH140">IF(A140&lt;&gt;"",IFERROR(INDEX(PMtbl[[WKst]:[Unit of measure*]],MATCH($A$115&amp;$A140&amp;$E140&amp;$I140,INDEX(PMtbl[Sec]&amp;PMtbl[Category]&amp;PMtbl[Each]&amp;PMtbl[Packaging],0,),0),11),""),"")</f>
        <v/>
      </c>
      <c r="BI140" s="819"/>
      <c r="BJ140" s="502" t="str" cm="1">
        <f t="array" ref="BJ140">IFERROR(INDEX(SETUP!$C$19:$G$121,MATCH((INDEX(PMtbl[[WKst]:[Unit of measure*]],MATCH($A140&amp;$E140&amp;$I140,INDEX(PMtbl[Category]&amp;PMtbl[Each]&amp;PMtbl[Packaging],0,),0),3)),SETUP!$D$19:$D$121,0),5),"")</f>
        <v/>
      </c>
      <c r="BK140" s="542"/>
      <c r="BL140" s="214"/>
      <c r="BO140" s="12">
        <f>IF(N140="",0,IF(SETUP!$E$7="USD",((IF(O140="USD",P140,(P140/'Master Data-C19RM'!$C$2)))),((IF(O140="EUR",P140,(P140*'Master Data-C19RM'!$C$2))))))</f>
        <v>0</v>
      </c>
      <c r="BP140" s="12">
        <f>IF(N140="",0,IF(SETUP!$E$7="USD",((IF(O140="USD",W140,(W140/'Master Data-C19RM'!$D$2)))),((IF(O140="EUR",W140,(W140*'Master Data-C19RM'!$D$2))))))</f>
        <v>0</v>
      </c>
      <c r="BQ140">
        <f>IF(N140="",0,IF(SETUP!$E$7="USD",((IF(O140="USD",AD140,(AD140/'Master Data-C19RM'!$E$2)))),((IF(O140="EUR",AD140,(AD140*'Master Data-C19RM'!$E$2))))))</f>
        <v>0</v>
      </c>
      <c r="BR140">
        <f>IF(N140="",0,IF(SETUP!$E$7="USD",((IF(O140="USD",AK140,(AK140/'Master Data-C19RM'!$F$2)))),((IF(O140="EUR",AK140,(AK140*'Master Data-C19RM'!$F$2))))))</f>
        <v>0</v>
      </c>
      <c r="BS140">
        <f>IF(N140="",0,IF(SETUP!$E$7="USD",((IF(O140="USD",AR140,(AR140/'Master Data-C19RM'!$G$2)))),((IF(O140="EUR",AR140,(AR140*'Master Data-C19RM'!$G$2))))))</f>
        <v>0</v>
      </c>
      <c r="BT140">
        <f>IF(N140="",0,IF(SETUP!$E$7="USD",((IF(O140="USD",AY140,(AY140/'Master Data-C19RM'!$H$2)))),((IF(O140="EUR",AY140,(AY140*'Master Data-C19RM'!$H$2))))))</f>
        <v>0</v>
      </c>
      <c r="BU140" s="12">
        <f t="shared" ref="BU140:BU164" si="22">IF(AND(L140="",(COUNTBLANK(A140:K140)=8)),1,0)</f>
        <v>0</v>
      </c>
      <c r="BV140" s="142">
        <f t="shared" ref="BV140:BV164" si="23">BF140</f>
        <v>0</v>
      </c>
    </row>
    <row r="141" spans="1:74" x14ac:dyDescent="0.35">
      <c r="A141" s="1192"/>
      <c r="B141" s="1192"/>
      <c r="C141" s="1192"/>
      <c r="D141" s="1192"/>
      <c r="E141" s="1173"/>
      <c r="F141" s="1173"/>
      <c r="G141" s="1173"/>
      <c r="H141" s="1173"/>
      <c r="I141" s="1173"/>
      <c r="J141" s="1173"/>
      <c r="K141" s="1173"/>
      <c r="L141" s="493" t="str" cm="1">
        <f t="array" ref="L141">IF(A141&lt;&gt;"",IFERROR(INDEX(PMtbl[[WKst]:[Unit of measure*]],MATCH($A$115&amp;$A141&amp;$E141&amp;$I141,INDEX(PMtbl[Sec]&amp;PMtbl[Category]&amp;PMtbl[Each]&amp;PMtbl[Packaging],0,),0),14),""),"")</f>
        <v/>
      </c>
      <c r="M141" s="480" t="str">
        <f>IF(L141="","",INDEX(SETUP!$E$20:$E$122,(MATCH(INDEX(PMsheet!$D:$E,MATCH(A141,PMsheet!E:E,0),1),SETUP!$D$20:$D$122,0))))</f>
        <v/>
      </c>
      <c r="N141" s="494">
        <f>IF($O141="USD",_xlfn.IFNA(VLOOKUP(A141&amp;E141&amp;I141,PMsheet!J:K,2,0),0),(_xlfn.IFNA(VLOOKUP(A141&amp;E141&amp;I141,PMsheet!J:K,2,0),0)*'Master Data-C19RM'!$C$2))</f>
        <v>0</v>
      </c>
      <c r="O141" s="495" t="str">
        <f>IF(L141="", "",SETUP!$E$7)</f>
        <v/>
      </c>
      <c r="P141" s="457">
        <f>IF($O141="USD",_xlfn.IFNA(VLOOKUP($A141&amp;$E141&amp;$I141,PMsheet!$J:$K,2,0),0),(_xlfn.IFNA(VLOOKUP($A141&amp;$E141&amp;$I141,PMsheet!$J:$K,2,0),0)*'Master Data-C19RM'!$C$2))</f>
        <v>0</v>
      </c>
      <c r="Q141" s="440"/>
      <c r="R141" s="440"/>
      <c r="S141" s="440"/>
      <c r="T141" s="440"/>
      <c r="U141" s="482">
        <f t="shared" si="17"/>
        <v>0</v>
      </c>
      <c r="V141" s="484">
        <f>IF(SETUP!$E$7="USD",(U141*(IF(O141="USD",P141,(P141/'Master Data-C19RM'!$C$2)))),(U141*(IF(O141="EUR",P141,(P141*'Master Data-C19RM'!$C$2)))))</f>
        <v>0</v>
      </c>
      <c r="W141" s="445">
        <f>IF($O141="USD",_xlfn.IFNA(VLOOKUP($A141&amp;$E141&amp;$I141,PMsheet!$J:$K,2,0),0),(_xlfn.IFNA(VLOOKUP($A141&amp;$E141&amp;$I141,PMsheet!$J:$K,2,0),0)*'Master Data-C19RM'!$D$2))</f>
        <v>0</v>
      </c>
      <c r="X141" s="440"/>
      <c r="Y141" s="440"/>
      <c r="Z141" s="440"/>
      <c r="AA141" s="440"/>
      <c r="AB141" s="482">
        <f t="shared" si="18"/>
        <v>0</v>
      </c>
      <c r="AC141" s="484">
        <f>IF(SETUP!$E$7="USD",(AB141*(IF(O141="USD",W141,(W141/'Master Data-C19RM'!$D$2)))),(AB141*(IF(O141="EUR",W141,(W141*'Master Data-C19RM'!$D$2)))))</f>
        <v>0</v>
      </c>
      <c r="AD141" s="445">
        <f>IF($O141="USD",_xlfn.IFNA(VLOOKUP($A141&amp;$E141&amp;$I141,PMsheet!$J:$K,2,0),0),(_xlfn.IFNA(VLOOKUP($A141&amp;$E141&amp;$I141,PMsheet!$J:$K,2,0),0)*'Master Data-C19RM'!$E$2))</f>
        <v>0</v>
      </c>
      <c r="AE141" s="440"/>
      <c r="AF141" s="440"/>
      <c r="AG141" s="440"/>
      <c r="AH141" s="440"/>
      <c r="AI141" s="514">
        <f t="shared" si="19"/>
        <v>0</v>
      </c>
      <c r="AJ141" s="515">
        <f>IF(SETUP!$E$7="USD",(AI141*(IF(O141="USD",AD141,(AD141/'Master Data-C19RM'!$E$2)))),(AI141*(IF(O141="EUR",AD141,(AD141*'Master Data-C19RM'!$E$2)))))</f>
        <v>0</v>
      </c>
      <c r="AK141" s="445">
        <f>IF($O141="USD",_xlfn.IFNA(VLOOKUP($A141&amp;$E141&amp;$I141,PMsheet!$J:$K,2,0),0),(_xlfn.IFNA(VLOOKUP($A141&amp;$E141&amp;$I141,PMsheet!$J:$K,2,0),0)*'Master Data-C19RM'!$F$2))</f>
        <v>0</v>
      </c>
      <c r="AL141" s="440"/>
      <c r="AM141" s="440"/>
      <c r="AN141" s="440"/>
      <c r="AO141" s="440"/>
      <c r="AP141" s="514">
        <f t="shared" si="20"/>
        <v>0</v>
      </c>
      <c r="AQ141" s="515">
        <f>IF(SETUP!$E$7="USD",(AP141*(IF(O141="USD",AK141,(AK141/'Master Data-C19RM'!$F$2)))),(AP141*(IF(O141="EUR",AK141,(AK141*'Master Data-C19RM'!$F$2)))))</f>
        <v>0</v>
      </c>
      <c r="AR141" s="925">
        <f>IF($O141="USD",_xlfn.IFNA(VLOOKUP($A141&amp;$E141&amp;$I141,PMsheet!$J:$K,2,0),0),(_xlfn.IFNA(VLOOKUP($A141&amp;$E141&amp;$I141,PMsheet!$J:$K,2,0),0)*'Master Data-C19RM'!$G$2))</f>
        <v>0</v>
      </c>
      <c r="AS141" s="926"/>
      <c r="AT141" s="926"/>
      <c r="AU141" s="926"/>
      <c r="AV141" s="926"/>
      <c r="AW141" s="514">
        <f t="shared" si="21"/>
        <v>0</v>
      </c>
      <c r="AX141" s="515">
        <f>IF(SETUP!$E$7="USD",(AW141*(IF(O141="USD",AR141,(AR141/'Master Data-C19RM'!$G$2)))),(AW141*(IF(O141="EUR",AR141,(AR141*'Master Data-C19RM'!$G$2)))))</f>
        <v>0</v>
      </c>
      <c r="AY141" s="845"/>
      <c r="AZ141" s="846"/>
      <c r="BA141" s="846"/>
      <c r="BB141" s="846"/>
      <c r="BC141" s="846"/>
      <c r="BD141" s="846"/>
      <c r="BE141" s="847"/>
      <c r="BF141" s="514">
        <f>'C19RM 2021-Lab &amp; Other HPS'!$U141+'C19RM 2021-Lab &amp; Other HPS'!$AB141+'C19RM 2021-Lab &amp; Other HPS'!$AP141+'C19RM 2021-Lab &amp; Other HPS'!$AI141+AW141+BD141</f>
        <v>0</v>
      </c>
      <c r="BG141" s="514">
        <f>'C19RM 2021-Lab &amp; Other HPS'!$V141+'C19RM 2021-Lab &amp; Other HPS'!$AC141+'C19RM 2021-Lab &amp; Other HPS'!$AQ141+'C19RM 2021-Lab &amp; Other HPS'!$AJ141+AX141+BE141</f>
        <v>0</v>
      </c>
      <c r="BH141" s="522" t="str" cm="1">
        <f t="array" ref="BH141">IF(A141&lt;&gt;"",IFERROR(INDEX(PMtbl[[WKst]:[Unit of measure*]],MATCH($A$115&amp;$A141&amp;$E141&amp;$I141,INDEX(PMtbl[Sec]&amp;PMtbl[Category]&amp;PMtbl[Each]&amp;PMtbl[Packaging],0,),0),11),""),"")</f>
        <v/>
      </c>
      <c r="BI141" s="818"/>
      <c r="BJ141" s="503" t="str" cm="1">
        <f t="array" ref="BJ141">IFERROR(INDEX(SETUP!$C$19:$G$121,MATCH((INDEX(PMtbl[[WKst]:[Unit of measure*]],MATCH($A141&amp;$E141&amp;$I141,INDEX(PMtbl[Category]&amp;PMtbl[Each]&amp;PMtbl[Packaging],0,),0),3)),SETUP!$D$19:$D$121,0),5),"")</f>
        <v/>
      </c>
      <c r="BK141" s="543"/>
      <c r="BL141" s="215"/>
      <c r="BO141" s="12">
        <f>IF(N141="",0,IF(SETUP!$E$7="USD",((IF(O141="USD",P141,(P141/'Master Data-C19RM'!$C$2)))),((IF(O141="EUR",P141,(P141*'Master Data-C19RM'!$C$2))))))</f>
        <v>0</v>
      </c>
      <c r="BP141" s="12">
        <f>IF(N141="",0,IF(SETUP!$E$7="USD",((IF(O141="USD",W141,(W141/'Master Data-C19RM'!$D$2)))),((IF(O141="EUR",W141,(W141*'Master Data-C19RM'!$D$2))))))</f>
        <v>0</v>
      </c>
      <c r="BQ141">
        <f>IF(N141="",0,IF(SETUP!$E$7="USD",((IF(O141="USD",AD141,(AD141/'Master Data-C19RM'!$E$2)))),((IF(O141="EUR",AD141,(AD141*'Master Data-C19RM'!$E$2))))))</f>
        <v>0</v>
      </c>
      <c r="BR141">
        <f>IF(N141="",0,IF(SETUP!$E$7="USD",((IF(O141="USD",AK141,(AK141/'Master Data-C19RM'!$F$2)))),((IF(O141="EUR",AK141,(AK141*'Master Data-C19RM'!$F$2))))))</f>
        <v>0</v>
      </c>
      <c r="BS141">
        <f>IF(N141="",0,IF(SETUP!$E$7="USD",((IF(O141="USD",AR141,(AR141/'Master Data-C19RM'!$G$2)))),((IF(O141="EUR",AR141,(AR141*'Master Data-C19RM'!$G$2))))))</f>
        <v>0</v>
      </c>
      <c r="BT141">
        <f>IF(N141="",0,IF(SETUP!$E$7="USD",((IF(O141="USD",AY141,(AY141/'Master Data-C19RM'!$H$2)))),((IF(O141="EUR",AY141,(AY141*'Master Data-C19RM'!$H$2))))))</f>
        <v>0</v>
      </c>
      <c r="BU141" s="12">
        <f t="shared" si="22"/>
        <v>0</v>
      </c>
      <c r="BV141" s="142">
        <f t="shared" si="23"/>
        <v>0</v>
      </c>
    </row>
    <row r="142" spans="1:74" x14ac:dyDescent="0.35">
      <c r="A142" s="1165"/>
      <c r="B142" s="1165"/>
      <c r="C142" s="1165"/>
      <c r="D142" s="1165"/>
      <c r="E142" s="1166"/>
      <c r="F142" s="1166"/>
      <c r="G142" s="1166"/>
      <c r="H142" s="1166"/>
      <c r="I142" s="1166"/>
      <c r="J142" s="1166"/>
      <c r="K142" s="1166"/>
      <c r="L142" s="490" t="str" cm="1">
        <f t="array" ref="L142">IF(A142&lt;&gt;"",IFERROR(INDEX(PMtbl[[WKst]:[Unit of measure*]],MATCH($A$115&amp;$A142&amp;$E142&amp;$I142,INDEX(PMtbl[Sec]&amp;PMtbl[Category]&amp;PMtbl[Each]&amp;PMtbl[Packaging],0,),0),14),""),"")</f>
        <v/>
      </c>
      <c r="M142" s="479" t="str">
        <f>IF(L142="","",INDEX(SETUP!$E$20:$E$122,(MATCH(INDEX(PMsheet!$D:$E,MATCH(A142,PMsheet!E:E,0),1),SETUP!$D$20:$D$122,0))))</f>
        <v/>
      </c>
      <c r="N142" s="491">
        <f>IF($O142="USD",_xlfn.IFNA(VLOOKUP(A142&amp;E142&amp;I142,PMsheet!J:K,2,0),0),(_xlfn.IFNA(VLOOKUP(A142&amp;E142&amp;I142,PMsheet!J:K,2,0),0)*'Master Data-C19RM'!$C$2))</f>
        <v>0</v>
      </c>
      <c r="O142" s="492" t="str">
        <f>IF(L142="", "",SETUP!$E$7)</f>
        <v/>
      </c>
      <c r="P142" s="456">
        <f>IF($O142="USD",_xlfn.IFNA(VLOOKUP($A142&amp;$E142&amp;$I142,PMsheet!$J:$K,2,0),0),(_xlfn.IFNA(VLOOKUP($A142&amp;$E142&amp;$I142,PMsheet!$J:$K,2,0),0)*'Master Data-C19RM'!$C$2))</f>
        <v>0</v>
      </c>
      <c r="Q142" s="441"/>
      <c r="R142" s="441"/>
      <c r="S142" s="441"/>
      <c r="T142" s="441"/>
      <c r="U142" s="481">
        <f t="shared" si="17"/>
        <v>0</v>
      </c>
      <c r="V142" s="483">
        <f>IF(SETUP!$E$7="USD",(U142*(IF(O142="USD",P142,(P142/'Master Data-C19RM'!$C$2)))),(U142*(IF(O142="EUR",P142,(P142*'Master Data-C19RM'!$C$2)))))</f>
        <v>0</v>
      </c>
      <c r="W142" s="444">
        <f>IF($O142="USD",_xlfn.IFNA(VLOOKUP($A142&amp;$E142&amp;$I142,PMsheet!$J:$K,2,0),0),(_xlfn.IFNA(VLOOKUP($A142&amp;$E142&amp;$I142,PMsheet!$J:$K,2,0),0)*'Master Data-C19RM'!$D$2))</f>
        <v>0</v>
      </c>
      <c r="X142" s="441"/>
      <c r="Y142" s="441"/>
      <c r="Z142" s="441"/>
      <c r="AA142" s="441"/>
      <c r="AB142" s="481">
        <f t="shared" si="18"/>
        <v>0</v>
      </c>
      <c r="AC142" s="483">
        <f>IF(SETUP!$E$7="USD",(AB142*(IF(O142="USD",W142,(W142/'Master Data-C19RM'!$D$2)))),(AB142*(IF(O142="EUR",W142,(W142*'Master Data-C19RM'!$D$2)))))</f>
        <v>0</v>
      </c>
      <c r="AD142" s="444">
        <f>IF($O142="USD",_xlfn.IFNA(VLOOKUP($A142&amp;$E142&amp;$I142,PMsheet!$J:$K,2,0),0),(_xlfn.IFNA(VLOOKUP($A142&amp;$E142&amp;$I142,PMsheet!$J:$K,2,0),0)*'Master Data-C19RM'!$E$2))</f>
        <v>0</v>
      </c>
      <c r="AE142" s="441"/>
      <c r="AF142" s="441"/>
      <c r="AG142" s="441"/>
      <c r="AH142" s="441"/>
      <c r="AI142" s="512">
        <f t="shared" si="19"/>
        <v>0</v>
      </c>
      <c r="AJ142" s="513">
        <f>IF(SETUP!$E$7="USD",(AI142*(IF(O142="USD",AD142,(AD142/'Master Data-C19RM'!$E$2)))),(AI142*(IF(O142="EUR",AD142,(AD142*'Master Data-C19RM'!$E$2)))))</f>
        <v>0</v>
      </c>
      <c r="AK142" s="444">
        <f>IF($O142="USD",_xlfn.IFNA(VLOOKUP($A142&amp;$E142&amp;$I142,PMsheet!$J:$K,2,0),0),(_xlfn.IFNA(VLOOKUP($A142&amp;$E142&amp;$I142,PMsheet!$J:$K,2,0),0)*'Master Data-C19RM'!$F$2))</f>
        <v>0</v>
      </c>
      <c r="AL142" s="441"/>
      <c r="AM142" s="441"/>
      <c r="AN142" s="441"/>
      <c r="AO142" s="441"/>
      <c r="AP142" s="512">
        <f t="shared" si="20"/>
        <v>0</v>
      </c>
      <c r="AQ142" s="513">
        <f>IF(SETUP!$E$7="USD",(AP142*(IF(O142="USD",AK142,(AK142/'Master Data-C19RM'!$F$2)))),(AP142*(IF(O142="EUR",AK142,(AK142*'Master Data-C19RM'!$F$2)))))</f>
        <v>0</v>
      </c>
      <c r="AR142" s="924">
        <f>IF($O142="USD",_xlfn.IFNA(VLOOKUP($A142&amp;$E142&amp;$I142,PMsheet!$J:$K,2,0),0),(_xlfn.IFNA(VLOOKUP($A142&amp;$E142&amp;$I142,PMsheet!$J:$K,2,0),0)*'Master Data-C19RM'!$G$2))</f>
        <v>0</v>
      </c>
      <c r="AS142" s="572"/>
      <c r="AT142" s="572"/>
      <c r="AU142" s="572"/>
      <c r="AV142" s="572"/>
      <c r="AW142" s="512">
        <f t="shared" si="21"/>
        <v>0</v>
      </c>
      <c r="AX142" s="513">
        <f>IF(SETUP!$E$7="USD",(AW142*(IF(O142="USD",AR142,(AR142/'Master Data-C19RM'!$G$2)))),(AW142*(IF(O142="EUR",AR142,(AR142*'Master Data-C19RM'!$G$2)))))</f>
        <v>0</v>
      </c>
      <c r="AY142" s="845"/>
      <c r="AZ142" s="846"/>
      <c r="BA142" s="846"/>
      <c r="BB142" s="846"/>
      <c r="BC142" s="846"/>
      <c r="BD142" s="846"/>
      <c r="BE142" s="847"/>
      <c r="BF142" s="512">
        <f>'C19RM 2021-Lab &amp; Other HPS'!$U142+'C19RM 2021-Lab &amp; Other HPS'!$AB142+'C19RM 2021-Lab &amp; Other HPS'!$AP142+'C19RM 2021-Lab &amp; Other HPS'!$AI142+AW142+BD142</f>
        <v>0</v>
      </c>
      <c r="BG142" s="512">
        <f>'C19RM 2021-Lab &amp; Other HPS'!$V142+'C19RM 2021-Lab &amp; Other HPS'!$AC142+'C19RM 2021-Lab &amp; Other HPS'!$AQ142+'C19RM 2021-Lab &amp; Other HPS'!$AJ142+AX142+BE142</f>
        <v>0</v>
      </c>
      <c r="BH142" s="500" t="str" cm="1">
        <f t="array" ref="BH142">IF(A142&lt;&gt;"",IFERROR(INDEX(PMtbl[[WKst]:[Unit of measure*]],MATCH($A$115&amp;$A142&amp;$E142&amp;$I142,INDEX(PMtbl[Sec]&amp;PMtbl[Category]&amp;PMtbl[Each]&amp;PMtbl[Packaging],0,),0),11),""),"")</f>
        <v/>
      </c>
      <c r="BI142" s="819"/>
      <c r="BJ142" s="502" t="str" cm="1">
        <f t="array" ref="BJ142">IFERROR(INDEX(SETUP!$C$19:$G$121,MATCH((INDEX(PMtbl[[WKst]:[Unit of measure*]],MATCH($A142&amp;$E142&amp;$I142,INDEX(PMtbl[Category]&amp;PMtbl[Each]&amp;PMtbl[Packaging],0,),0),3)),SETUP!$D$19:$D$121,0),5),"")</f>
        <v/>
      </c>
      <c r="BK142" s="542"/>
      <c r="BL142" s="214"/>
      <c r="BO142" s="12">
        <f>IF(N142="",0,IF(SETUP!$E$7="USD",((IF(O142="USD",P142,(P142/'Master Data-C19RM'!$C$2)))),((IF(O142="EUR",P142,(P142*'Master Data-C19RM'!$C$2))))))</f>
        <v>0</v>
      </c>
      <c r="BP142" s="12">
        <f>IF(N142="",0,IF(SETUP!$E$7="USD",((IF(O142="USD",W142,(W142/'Master Data-C19RM'!$D$2)))),((IF(O142="EUR",W142,(W142*'Master Data-C19RM'!$D$2))))))</f>
        <v>0</v>
      </c>
      <c r="BQ142">
        <f>IF(N142="",0,IF(SETUP!$E$7="USD",((IF(O142="USD",AD142,(AD142/'Master Data-C19RM'!$E$2)))),((IF(O142="EUR",AD142,(AD142*'Master Data-C19RM'!$E$2))))))</f>
        <v>0</v>
      </c>
      <c r="BR142">
        <f>IF(N142="",0,IF(SETUP!$E$7="USD",((IF(O142="USD",AK142,(AK142/'Master Data-C19RM'!$F$2)))),((IF(O142="EUR",AK142,(AK142*'Master Data-C19RM'!$F$2))))))</f>
        <v>0</v>
      </c>
      <c r="BS142">
        <f>IF(N142="",0,IF(SETUP!$E$7="USD",((IF(O142="USD",AR142,(AR142/'Master Data-C19RM'!$G$2)))),((IF(O142="EUR",AR142,(AR142*'Master Data-C19RM'!$G$2))))))</f>
        <v>0</v>
      </c>
      <c r="BT142">
        <f>IF(N142="",0,IF(SETUP!$E$7="USD",((IF(O142="USD",AY142,(AY142/'Master Data-C19RM'!$H$2)))),((IF(O142="EUR",AY142,(AY142*'Master Data-C19RM'!$H$2))))))</f>
        <v>0</v>
      </c>
      <c r="BU142" s="12">
        <f t="shared" si="22"/>
        <v>0</v>
      </c>
      <c r="BV142" s="142">
        <f t="shared" si="23"/>
        <v>0</v>
      </c>
    </row>
    <row r="143" spans="1:74" x14ac:dyDescent="0.35">
      <c r="A143" s="1192"/>
      <c r="B143" s="1192"/>
      <c r="C143" s="1192"/>
      <c r="D143" s="1192"/>
      <c r="E143" s="1173"/>
      <c r="F143" s="1173"/>
      <c r="G143" s="1173"/>
      <c r="H143" s="1173"/>
      <c r="I143" s="1173"/>
      <c r="J143" s="1173"/>
      <c r="K143" s="1173"/>
      <c r="L143" s="493" t="str" cm="1">
        <f t="array" ref="L143">IF(A143&lt;&gt;"",IFERROR(INDEX(PMtbl[[WKst]:[Unit of measure*]],MATCH($A$115&amp;$A143&amp;$E143&amp;$I143,INDEX(PMtbl[Sec]&amp;PMtbl[Category]&amp;PMtbl[Each]&amp;PMtbl[Packaging],0,),0),14),""),"")</f>
        <v/>
      </c>
      <c r="M143" s="480" t="str">
        <f>IF(L143="","",INDEX(SETUP!$E$20:$E$122,(MATCH(INDEX(PMsheet!$D:$E,MATCH(A143,PMsheet!E:E,0),1),SETUP!$D$20:$D$122,0))))</f>
        <v/>
      </c>
      <c r="N143" s="494">
        <f>IF($O143="USD",_xlfn.IFNA(VLOOKUP(A143&amp;E143&amp;I143,PMsheet!J:K,2,0),0),(_xlfn.IFNA(VLOOKUP(A143&amp;E143&amp;I143,PMsheet!J:K,2,0),0)*'Master Data-C19RM'!$C$2))</f>
        <v>0</v>
      </c>
      <c r="O143" s="495" t="str">
        <f>IF(L143="", "",SETUP!$E$7)</f>
        <v/>
      </c>
      <c r="P143" s="457">
        <f>IF($O143="USD",_xlfn.IFNA(VLOOKUP($A143&amp;$E143&amp;$I143,PMsheet!$J:$K,2,0),0),(_xlfn.IFNA(VLOOKUP($A143&amp;$E143&amp;$I143,PMsheet!$J:$K,2,0),0)*'Master Data-C19RM'!$C$2))</f>
        <v>0</v>
      </c>
      <c r="Q143" s="440"/>
      <c r="R143" s="440"/>
      <c r="S143" s="440"/>
      <c r="T143" s="440"/>
      <c r="U143" s="482">
        <f t="shared" si="17"/>
        <v>0</v>
      </c>
      <c r="V143" s="484">
        <f>IF(SETUP!$E$7="USD",(U143*(IF(O143="USD",P143,(P143/'Master Data-C19RM'!$C$2)))),(U143*(IF(O143="EUR",P143,(P143*'Master Data-C19RM'!$C$2)))))</f>
        <v>0</v>
      </c>
      <c r="W143" s="445">
        <f>IF($O143="USD",_xlfn.IFNA(VLOOKUP($A143&amp;$E143&amp;$I143,PMsheet!$J:$K,2,0),0),(_xlfn.IFNA(VLOOKUP($A143&amp;$E143&amp;$I143,PMsheet!$J:$K,2,0),0)*'Master Data-C19RM'!$D$2))</f>
        <v>0</v>
      </c>
      <c r="X143" s="440"/>
      <c r="Y143" s="440"/>
      <c r="Z143" s="440"/>
      <c r="AA143" s="440"/>
      <c r="AB143" s="482">
        <f t="shared" si="18"/>
        <v>0</v>
      </c>
      <c r="AC143" s="484">
        <f>IF(SETUP!$E$7="USD",(AB143*(IF(O143="USD",W143,(W143/'Master Data-C19RM'!$D$2)))),(AB143*(IF(O143="EUR",W143,(W143*'Master Data-C19RM'!$D$2)))))</f>
        <v>0</v>
      </c>
      <c r="AD143" s="445">
        <f>IF($O143="USD",_xlfn.IFNA(VLOOKUP($A143&amp;$E143&amp;$I143,PMsheet!$J:$K,2,0),0),(_xlfn.IFNA(VLOOKUP($A143&amp;$E143&amp;$I143,PMsheet!$J:$K,2,0),0)*'Master Data-C19RM'!$E$2))</f>
        <v>0</v>
      </c>
      <c r="AE143" s="440"/>
      <c r="AF143" s="440"/>
      <c r="AG143" s="440"/>
      <c r="AH143" s="440"/>
      <c r="AI143" s="514">
        <f t="shared" si="19"/>
        <v>0</v>
      </c>
      <c r="AJ143" s="515">
        <f>IF(SETUP!$E$7="USD",(AI143*(IF(O143="USD",AD143,(AD143/'Master Data-C19RM'!$E$2)))),(AI143*(IF(O143="EUR",AD143,(AD143*'Master Data-C19RM'!$E$2)))))</f>
        <v>0</v>
      </c>
      <c r="AK143" s="445">
        <f>IF($O143="USD",_xlfn.IFNA(VLOOKUP($A143&amp;$E143&amp;$I143,PMsheet!$J:$K,2,0),0),(_xlfn.IFNA(VLOOKUP($A143&amp;$E143&amp;$I143,PMsheet!$J:$K,2,0),0)*'Master Data-C19RM'!$F$2))</f>
        <v>0</v>
      </c>
      <c r="AL143" s="440"/>
      <c r="AM143" s="440"/>
      <c r="AN143" s="440"/>
      <c r="AO143" s="440"/>
      <c r="AP143" s="514">
        <f t="shared" si="20"/>
        <v>0</v>
      </c>
      <c r="AQ143" s="515">
        <f>IF(SETUP!$E$7="USD",(AP143*(IF(O143="USD",AK143,(AK143/'Master Data-C19RM'!$F$2)))),(AP143*(IF(O143="EUR",AK143,(AK143*'Master Data-C19RM'!$F$2)))))</f>
        <v>0</v>
      </c>
      <c r="AR143" s="925">
        <f>IF($O143="USD",_xlfn.IFNA(VLOOKUP($A143&amp;$E143&amp;$I143,PMsheet!$J:$K,2,0),0),(_xlfn.IFNA(VLOOKUP($A143&amp;$E143&amp;$I143,PMsheet!$J:$K,2,0),0)*'Master Data-C19RM'!$G$2))</f>
        <v>0</v>
      </c>
      <c r="AS143" s="926"/>
      <c r="AT143" s="926"/>
      <c r="AU143" s="926"/>
      <c r="AV143" s="926"/>
      <c r="AW143" s="514">
        <f t="shared" si="21"/>
        <v>0</v>
      </c>
      <c r="AX143" s="515">
        <f>IF(SETUP!$E$7="USD",(AW143*(IF(O143="USD",AR143,(AR143/'Master Data-C19RM'!$G$2)))),(AW143*(IF(O143="EUR",AR143,(AR143*'Master Data-C19RM'!$G$2)))))</f>
        <v>0</v>
      </c>
      <c r="AY143" s="845"/>
      <c r="AZ143" s="846"/>
      <c r="BA143" s="846"/>
      <c r="BB143" s="846"/>
      <c r="BC143" s="846"/>
      <c r="BD143" s="846"/>
      <c r="BE143" s="847"/>
      <c r="BF143" s="514">
        <f>'C19RM 2021-Lab &amp; Other HPS'!$U143+'C19RM 2021-Lab &amp; Other HPS'!$AB143+'C19RM 2021-Lab &amp; Other HPS'!$AP143+'C19RM 2021-Lab &amp; Other HPS'!$AI143+AW143+BD143</f>
        <v>0</v>
      </c>
      <c r="BG143" s="514">
        <f>'C19RM 2021-Lab &amp; Other HPS'!$V143+'C19RM 2021-Lab &amp; Other HPS'!$AC143+'C19RM 2021-Lab &amp; Other HPS'!$AQ143+'C19RM 2021-Lab &amp; Other HPS'!$AJ143+AX143+BE143</f>
        <v>0</v>
      </c>
      <c r="BH143" s="522" t="str" cm="1">
        <f t="array" ref="BH143">IF(A143&lt;&gt;"",IFERROR(INDEX(PMtbl[[WKst]:[Unit of measure*]],MATCH($A$115&amp;$A143&amp;$E143&amp;$I143,INDEX(PMtbl[Sec]&amp;PMtbl[Category]&amp;PMtbl[Each]&amp;PMtbl[Packaging],0,),0),11),""),"")</f>
        <v/>
      </c>
      <c r="BI143" s="818"/>
      <c r="BJ143" s="503" t="str" cm="1">
        <f t="array" ref="BJ143">IFERROR(INDEX(SETUP!$C$19:$G$121,MATCH((INDEX(PMtbl[[WKst]:[Unit of measure*]],MATCH($A143&amp;$E143&amp;$I143,INDEX(PMtbl[Category]&amp;PMtbl[Each]&amp;PMtbl[Packaging],0,),0),3)),SETUP!$D$19:$D$121,0),5),"")</f>
        <v/>
      </c>
      <c r="BK143" s="543"/>
      <c r="BL143" s="215"/>
      <c r="BO143" s="12">
        <f>IF(N143="",0,IF(SETUP!$E$7="USD",((IF(O143="USD",P143,(P143/'Master Data-C19RM'!$C$2)))),((IF(O143="EUR",P143,(P143*'Master Data-C19RM'!$C$2))))))</f>
        <v>0</v>
      </c>
      <c r="BP143" s="12">
        <f>IF(N143="",0,IF(SETUP!$E$7="USD",((IF(O143="USD",W143,(W143/'Master Data-C19RM'!$D$2)))),((IF(O143="EUR",W143,(W143*'Master Data-C19RM'!$D$2))))))</f>
        <v>0</v>
      </c>
      <c r="BQ143">
        <f>IF(N143="",0,IF(SETUP!$E$7="USD",((IF(O143="USD",AD143,(AD143/'Master Data-C19RM'!$E$2)))),((IF(O143="EUR",AD143,(AD143*'Master Data-C19RM'!$E$2))))))</f>
        <v>0</v>
      </c>
      <c r="BR143">
        <f>IF(N143="",0,IF(SETUP!$E$7="USD",((IF(O143="USD",AK143,(AK143/'Master Data-C19RM'!$F$2)))),((IF(O143="EUR",AK143,(AK143*'Master Data-C19RM'!$F$2))))))</f>
        <v>0</v>
      </c>
      <c r="BS143">
        <f>IF(N143="",0,IF(SETUP!$E$7="USD",((IF(O143="USD",AR143,(AR143/'Master Data-C19RM'!$G$2)))),((IF(O143="EUR",AR143,(AR143*'Master Data-C19RM'!$G$2))))))</f>
        <v>0</v>
      </c>
      <c r="BT143">
        <f>IF(N143="",0,IF(SETUP!$E$7="USD",((IF(O143="USD",AY143,(AY143/'Master Data-C19RM'!$H$2)))),((IF(O143="EUR",AY143,(AY143*'Master Data-C19RM'!$H$2))))))</f>
        <v>0</v>
      </c>
      <c r="BU143" s="12">
        <f t="shared" si="22"/>
        <v>0</v>
      </c>
      <c r="BV143" s="142">
        <f t="shared" si="23"/>
        <v>0</v>
      </c>
    </row>
    <row r="144" spans="1:74" x14ac:dyDescent="0.35">
      <c r="A144" s="1165"/>
      <c r="B144" s="1165"/>
      <c r="C144" s="1165"/>
      <c r="D144" s="1165"/>
      <c r="E144" s="1166"/>
      <c r="F144" s="1166"/>
      <c r="G144" s="1166"/>
      <c r="H144" s="1166"/>
      <c r="I144" s="1166"/>
      <c r="J144" s="1166"/>
      <c r="K144" s="1166"/>
      <c r="L144" s="490" t="str" cm="1">
        <f t="array" ref="L144">IF(A144&lt;&gt;"",IFERROR(INDEX(PMtbl[[WKst]:[Unit of measure*]],MATCH($A$115&amp;$A144&amp;$E144&amp;$I144,INDEX(PMtbl[Sec]&amp;PMtbl[Category]&amp;PMtbl[Each]&amp;PMtbl[Packaging],0,),0),14),""),"")</f>
        <v/>
      </c>
      <c r="M144" s="479" t="str">
        <f>IF(L144="","",INDEX(SETUP!$E$20:$E$122,(MATCH(INDEX(PMsheet!$D:$E,MATCH(A144,PMsheet!E:E,0),1),SETUP!$D$20:$D$122,0))))</f>
        <v/>
      </c>
      <c r="N144" s="491">
        <f>IF($O144="USD",_xlfn.IFNA(VLOOKUP(A144&amp;E144&amp;I144,PMsheet!J:K,2,0),0),(_xlfn.IFNA(VLOOKUP(A144&amp;E144&amp;I144,PMsheet!J:K,2,0),0)*'Master Data-C19RM'!$C$2))</f>
        <v>0</v>
      </c>
      <c r="O144" s="492" t="str">
        <f>IF(L144="", "",SETUP!$E$7)</f>
        <v/>
      </c>
      <c r="P144" s="456">
        <f>IF($O144="USD",_xlfn.IFNA(VLOOKUP($A144&amp;$E144&amp;$I144,PMsheet!$J:$K,2,0),0),(_xlfn.IFNA(VLOOKUP($A144&amp;$E144&amp;$I144,PMsheet!$J:$K,2,0),0)*'Master Data-C19RM'!$C$2))</f>
        <v>0</v>
      </c>
      <c r="Q144" s="441"/>
      <c r="R144" s="441"/>
      <c r="S144" s="441"/>
      <c r="T144" s="441"/>
      <c r="U144" s="481">
        <f t="shared" si="17"/>
        <v>0</v>
      </c>
      <c r="V144" s="483">
        <f>IF(SETUP!$E$7="USD",(U144*(IF(O144="USD",P144,(P144/'Master Data-C19RM'!$C$2)))),(U144*(IF(O144="EUR",P144,(P144*'Master Data-C19RM'!$C$2)))))</f>
        <v>0</v>
      </c>
      <c r="W144" s="444">
        <f>IF($O144="USD",_xlfn.IFNA(VLOOKUP($A144&amp;$E144&amp;$I144,PMsheet!$J:$K,2,0),0),(_xlfn.IFNA(VLOOKUP($A144&amp;$E144&amp;$I144,PMsheet!$J:$K,2,0),0)*'Master Data-C19RM'!$D$2))</f>
        <v>0</v>
      </c>
      <c r="X144" s="441"/>
      <c r="Y144" s="441"/>
      <c r="Z144" s="441"/>
      <c r="AA144" s="441"/>
      <c r="AB144" s="481">
        <f t="shared" si="18"/>
        <v>0</v>
      </c>
      <c r="AC144" s="483">
        <f>IF(SETUP!$E$7="USD",(AB144*(IF(O144="USD",W144,(W144/'Master Data-C19RM'!$D$2)))),(AB144*(IF(O144="EUR",W144,(W144*'Master Data-C19RM'!$D$2)))))</f>
        <v>0</v>
      </c>
      <c r="AD144" s="444">
        <f>IF($O144="USD",_xlfn.IFNA(VLOOKUP($A144&amp;$E144&amp;$I144,PMsheet!$J:$K,2,0),0),(_xlfn.IFNA(VLOOKUP($A144&amp;$E144&amp;$I144,PMsheet!$J:$K,2,0),0)*'Master Data-C19RM'!$E$2))</f>
        <v>0</v>
      </c>
      <c r="AE144" s="441"/>
      <c r="AF144" s="441"/>
      <c r="AG144" s="441"/>
      <c r="AH144" s="441"/>
      <c r="AI144" s="512">
        <f t="shared" si="19"/>
        <v>0</v>
      </c>
      <c r="AJ144" s="513">
        <f>IF(SETUP!$E$7="USD",(AI144*(IF(O144="USD",AD144,(AD144/'Master Data-C19RM'!$E$2)))),(AI144*(IF(O144="EUR",AD144,(AD144*'Master Data-C19RM'!$E$2)))))</f>
        <v>0</v>
      </c>
      <c r="AK144" s="444">
        <f>IF($O144="USD",_xlfn.IFNA(VLOOKUP($A144&amp;$E144&amp;$I144,PMsheet!$J:$K,2,0),0),(_xlfn.IFNA(VLOOKUP($A144&amp;$E144&amp;$I144,PMsheet!$J:$K,2,0),0)*'Master Data-C19RM'!$F$2))</f>
        <v>0</v>
      </c>
      <c r="AL144" s="441"/>
      <c r="AM144" s="441"/>
      <c r="AN144" s="441"/>
      <c r="AO144" s="441"/>
      <c r="AP144" s="512">
        <f t="shared" si="20"/>
        <v>0</v>
      </c>
      <c r="AQ144" s="513">
        <f>IF(SETUP!$E$7="USD",(AP144*(IF(O144="USD",AK144,(AK144/'Master Data-C19RM'!$F$2)))),(AP144*(IF(O144="EUR",AK144,(AK144*'Master Data-C19RM'!$F$2)))))</f>
        <v>0</v>
      </c>
      <c r="AR144" s="924">
        <f>IF($O144="USD",_xlfn.IFNA(VLOOKUP($A144&amp;$E144&amp;$I144,PMsheet!$J:$K,2,0),0),(_xlfn.IFNA(VLOOKUP($A144&amp;$E144&amp;$I144,PMsheet!$J:$K,2,0),0)*'Master Data-C19RM'!$G$2))</f>
        <v>0</v>
      </c>
      <c r="AS144" s="572"/>
      <c r="AT144" s="572"/>
      <c r="AU144" s="572"/>
      <c r="AV144" s="572"/>
      <c r="AW144" s="512">
        <f t="shared" si="21"/>
        <v>0</v>
      </c>
      <c r="AX144" s="513">
        <f>IF(SETUP!$E$7="USD",(AW144*(IF(O144="USD",AR144,(AR144/'Master Data-C19RM'!$G$2)))),(AW144*(IF(O144="EUR",AR144,(AR144*'Master Data-C19RM'!$G$2)))))</f>
        <v>0</v>
      </c>
      <c r="AY144" s="845"/>
      <c r="AZ144" s="846"/>
      <c r="BA144" s="846"/>
      <c r="BB144" s="846"/>
      <c r="BC144" s="846"/>
      <c r="BD144" s="846"/>
      <c r="BE144" s="847"/>
      <c r="BF144" s="512">
        <f>'C19RM 2021-Lab &amp; Other HPS'!$U144+'C19RM 2021-Lab &amp; Other HPS'!$AB144+'C19RM 2021-Lab &amp; Other HPS'!$AP144+'C19RM 2021-Lab &amp; Other HPS'!$AI144+AW144+BD144</f>
        <v>0</v>
      </c>
      <c r="BG144" s="512">
        <f>'C19RM 2021-Lab &amp; Other HPS'!$V144+'C19RM 2021-Lab &amp; Other HPS'!$AC144+'C19RM 2021-Lab &amp; Other HPS'!$AQ144+'C19RM 2021-Lab &amp; Other HPS'!$AJ144+AX144+BE144</f>
        <v>0</v>
      </c>
      <c r="BH144" s="500" t="str" cm="1">
        <f t="array" ref="BH144">IF(A144&lt;&gt;"",IFERROR(INDEX(PMtbl[[WKst]:[Unit of measure*]],MATCH($A$115&amp;$A144&amp;$E144&amp;$I144,INDEX(PMtbl[Sec]&amp;PMtbl[Category]&amp;PMtbl[Each]&amp;PMtbl[Packaging],0,),0),11),""),"")</f>
        <v/>
      </c>
      <c r="BI144" s="819"/>
      <c r="BJ144" s="502" t="str" cm="1">
        <f t="array" ref="BJ144">IFERROR(INDEX(SETUP!$C$19:$G$121,MATCH((INDEX(PMtbl[[WKst]:[Unit of measure*]],MATCH($A144&amp;$E144&amp;$I144,INDEX(PMtbl[Category]&amp;PMtbl[Each]&amp;PMtbl[Packaging],0,),0),3)),SETUP!$D$19:$D$121,0),5),"")</f>
        <v/>
      </c>
      <c r="BK144" s="542"/>
      <c r="BL144" s="214"/>
      <c r="BO144" s="12">
        <f>IF(N144="",0,IF(SETUP!$E$7="USD",((IF(O144="USD",P144,(P144/'Master Data-C19RM'!$C$2)))),((IF(O144="EUR",P144,(P144*'Master Data-C19RM'!$C$2))))))</f>
        <v>0</v>
      </c>
      <c r="BP144" s="12">
        <f>IF(N144="",0,IF(SETUP!$E$7="USD",((IF(O144="USD",W144,(W144/'Master Data-C19RM'!$D$2)))),((IF(O144="EUR",W144,(W144*'Master Data-C19RM'!$D$2))))))</f>
        <v>0</v>
      </c>
      <c r="BQ144">
        <f>IF(N144="",0,IF(SETUP!$E$7="USD",((IF(O144="USD",AD144,(AD144/'Master Data-C19RM'!$E$2)))),((IF(O144="EUR",AD144,(AD144*'Master Data-C19RM'!$E$2))))))</f>
        <v>0</v>
      </c>
      <c r="BR144">
        <f>IF(N144="",0,IF(SETUP!$E$7="USD",((IF(O144="USD",AK144,(AK144/'Master Data-C19RM'!$F$2)))),((IF(O144="EUR",AK144,(AK144*'Master Data-C19RM'!$F$2))))))</f>
        <v>0</v>
      </c>
      <c r="BS144">
        <f>IF(N144="",0,IF(SETUP!$E$7="USD",((IF(O144="USD",AR144,(AR144/'Master Data-C19RM'!$G$2)))),((IF(O144="EUR",AR144,(AR144*'Master Data-C19RM'!$G$2))))))</f>
        <v>0</v>
      </c>
      <c r="BT144">
        <f>IF(N144="",0,IF(SETUP!$E$7="USD",((IF(O144="USD",AY144,(AY144/'Master Data-C19RM'!$H$2)))),((IF(O144="EUR",AY144,(AY144*'Master Data-C19RM'!$H$2))))))</f>
        <v>0</v>
      </c>
      <c r="BU144" s="12">
        <f t="shared" si="22"/>
        <v>0</v>
      </c>
      <c r="BV144" s="142">
        <f t="shared" si="23"/>
        <v>0</v>
      </c>
    </row>
    <row r="145" spans="1:74" x14ac:dyDescent="0.35">
      <c r="A145" s="1192"/>
      <c r="B145" s="1192"/>
      <c r="C145" s="1192"/>
      <c r="D145" s="1192"/>
      <c r="E145" s="1173"/>
      <c r="F145" s="1173"/>
      <c r="G145" s="1173"/>
      <c r="H145" s="1173"/>
      <c r="I145" s="1173"/>
      <c r="J145" s="1173"/>
      <c r="K145" s="1173"/>
      <c r="L145" s="493" t="str" cm="1">
        <f t="array" ref="L145">IF(A145&lt;&gt;"",IFERROR(INDEX(PMtbl[[WKst]:[Unit of measure*]],MATCH($A$115&amp;$A145&amp;$E145&amp;$I145,INDEX(PMtbl[Sec]&amp;PMtbl[Category]&amp;PMtbl[Each]&amp;PMtbl[Packaging],0,),0),14),""),"")</f>
        <v/>
      </c>
      <c r="M145" s="480" t="str">
        <f>IF(L145="","",INDEX(SETUP!$E$20:$E$122,(MATCH(INDEX(PMsheet!$D:$E,MATCH(A145,PMsheet!E:E,0),1),SETUP!$D$20:$D$122,0))))</f>
        <v/>
      </c>
      <c r="N145" s="494">
        <f>IF($O145="USD",_xlfn.IFNA(VLOOKUP(A145&amp;E145&amp;I145,PMsheet!J:K,2,0),0),(_xlfn.IFNA(VLOOKUP(A145&amp;E145&amp;I145,PMsheet!J:K,2,0),0)*'Master Data-C19RM'!$C$2))</f>
        <v>0</v>
      </c>
      <c r="O145" s="495" t="str">
        <f>IF(L145="", "",SETUP!$E$7)</f>
        <v/>
      </c>
      <c r="P145" s="457">
        <f>IF($O145="USD",_xlfn.IFNA(VLOOKUP($A145&amp;$E145&amp;$I145,PMsheet!$J:$K,2,0),0),(_xlfn.IFNA(VLOOKUP($A145&amp;$E145&amp;$I145,PMsheet!$J:$K,2,0),0)*'Master Data-C19RM'!$C$2))</f>
        <v>0</v>
      </c>
      <c r="Q145" s="440"/>
      <c r="R145" s="440"/>
      <c r="S145" s="440"/>
      <c r="T145" s="440"/>
      <c r="U145" s="482">
        <f t="shared" si="17"/>
        <v>0</v>
      </c>
      <c r="V145" s="484">
        <f>IF(SETUP!$E$7="USD",(U145*(IF(O145="USD",P145,(P145/'Master Data-C19RM'!$C$2)))),(U145*(IF(O145="EUR",P145,(P145*'Master Data-C19RM'!$C$2)))))</f>
        <v>0</v>
      </c>
      <c r="W145" s="445">
        <f>IF($O145="USD",_xlfn.IFNA(VLOOKUP($A145&amp;$E145&amp;$I145,PMsheet!$J:$K,2,0),0),(_xlfn.IFNA(VLOOKUP($A145&amp;$E145&amp;$I145,PMsheet!$J:$K,2,0),0)*'Master Data-C19RM'!$D$2))</f>
        <v>0</v>
      </c>
      <c r="X145" s="440"/>
      <c r="Y145" s="440"/>
      <c r="Z145" s="440"/>
      <c r="AA145" s="440"/>
      <c r="AB145" s="482">
        <f t="shared" si="18"/>
        <v>0</v>
      </c>
      <c r="AC145" s="484">
        <f>IF(SETUP!$E$7="USD",(AB145*(IF(O145="USD",W145,(W145/'Master Data-C19RM'!$D$2)))),(AB145*(IF(O145="EUR",W145,(W145*'Master Data-C19RM'!$D$2)))))</f>
        <v>0</v>
      </c>
      <c r="AD145" s="445">
        <f>IF($O145="USD",_xlfn.IFNA(VLOOKUP($A145&amp;$E145&amp;$I145,PMsheet!$J:$K,2,0),0),(_xlfn.IFNA(VLOOKUP($A145&amp;$E145&amp;$I145,PMsheet!$J:$K,2,0),0)*'Master Data-C19RM'!$E$2))</f>
        <v>0</v>
      </c>
      <c r="AE145" s="440"/>
      <c r="AF145" s="440"/>
      <c r="AG145" s="440"/>
      <c r="AH145" s="440"/>
      <c r="AI145" s="514">
        <f t="shared" si="19"/>
        <v>0</v>
      </c>
      <c r="AJ145" s="515">
        <f>IF(SETUP!$E$7="USD",(AI145*(IF(O145="USD",AD145,(AD145/'Master Data-C19RM'!$E$2)))),(AI145*(IF(O145="EUR",AD145,(AD145*'Master Data-C19RM'!$E$2)))))</f>
        <v>0</v>
      </c>
      <c r="AK145" s="445">
        <f>IF($O145="USD",_xlfn.IFNA(VLOOKUP($A145&amp;$E145&amp;$I145,PMsheet!$J:$K,2,0),0),(_xlfn.IFNA(VLOOKUP($A145&amp;$E145&amp;$I145,PMsheet!$J:$K,2,0),0)*'Master Data-C19RM'!$F$2))</f>
        <v>0</v>
      </c>
      <c r="AL145" s="440"/>
      <c r="AM145" s="440"/>
      <c r="AN145" s="440"/>
      <c r="AO145" s="440"/>
      <c r="AP145" s="514">
        <f t="shared" si="20"/>
        <v>0</v>
      </c>
      <c r="AQ145" s="515">
        <f>IF(SETUP!$E$7="USD",(AP145*(IF(O145="USD",AK145,(AK145/'Master Data-C19RM'!$F$2)))),(AP145*(IF(O145="EUR",AK145,(AK145*'Master Data-C19RM'!$F$2)))))</f>
        <v>0</v>
      </c>
      <c r="AR145" s="925">
        <f>IF($O145="USD",_xlfn.IFNA(VLOOKUP($A145&amp;$E145&amp;$I145,PMsheet!$J:$K,2,0),0),(_xlfn.IFNA(VLOOKUP($A145&amp;$E145&amp;$I145,PMsheet!$J:$K,2,0),0)*'Master Data-C19RM'!$G$2))</f>
        <v>0</v>
      </c>
      <c r="AS145" s="926"/>
      <c r="AT145" s="926"/>
      <c r="AU145" s="926"/>
      <c r="AV145" s="926"/>
      <c r="AW145" s="514">
        <f t="shared" si="21"/>
        <v>0</v>
      </c>
      <c r="AX145" s="515">
        <f>IF(SETUP!$E$7="USD",(AW145*(IF(O145="USD",AR145,(AR145/'Master Data-C19RM'!$G$2)))),(AW145*(IF(O145="EUR",AR145,(AR145*'Master Data-C19RM'!$G$2)))))</f>
        <v>0</v>
      </c>
      <c r="AY145" s="845"/>
      <c r="AZ145" s="846"/>
      <c r="BA145" s="846"/>
      <c r="BB145" s="846"/>
      <c r="BC145" s="846"/>
      <c r="BD145" s="846"/>
      <c r="BE145" s="847"/>
      <c r="BF145" s="514">
        <f>'C19RM 2021-Lab &amp; Other HPS'!$U145+'C19RM 2021-Lab &amp; Other HPS'!$AB145+'C19RM 2021-Lab &amp; Other HPS'!$AP145+'C19RM 2021-Lab &amp; Other HPS'!$AI145+AW145+BD145</f>
        <v>0</v>
      </c>
      <c r="BG145" s="514">
        <f>'C19RM 2021-Lab &amp; Other HPS'!$V145+'C19RM 2021-Lab &amp; Other HPS'!$AC145+'C19RM 2021-Lab &amp; Other HPS'!$AQ145+'C19RM 2021-Lab &amp; Other HPS'!$AJ145+AX145+BE145</f>
        <v>0</v>
      </c>
      <c r="BH145" s="522" t="str" cm="1">
        <f t="array" ref="BH145">IF(A145&lt;&gt;"",IFERROR(INDEX(PMtbl[[WKst]:[Unit of measure*]],MATCH($A$115&amp;$A145&amp;$E145&amp;$I145,INDEX(PMtbl[Sec]&amp;PMtbl[Category]&amp;PMtbl[Each]&amp;PMtbl[Packaging],0,),0),11),""),"")</f>
        <v/>
      </c>
      <c r="BI145" s="818"/>
      <c r="BJ145" s="503" t="str" cm="1">
        <f t="array" ref="BJ145">IFERROR(INDEX(SETUP!$C$19:$G$121,MATCH((INDEX(PMtbl[[WKst]:[Unit of measure*]],MATCH($A145&amp;$E145&amp;$I145,INDEX(PMtbl[Category]&amp;PMtbl[Each]&amp;PMtbl[Packaging],0,),0),3)),SETUP!$D$19:$D$121,0),5),"")</f>
        <v/>
      </c>
      <c r="BK145" s="543"/>
      <c r="BL145" s="215"/>
      <c r="BO145" s="12">
        <f>IF(N145="",0,IF(SETUP!$E$7="USD",((IF(O145="USD",P145,(P145/'Master Data-C19RM'!$C$2)))),((IF(O145="EUR",P145,(P145*'Master Data-C19RM'!$C$2))))))</f>
        <v>0</v>
      </c>
      <c r="BP145" s="12">
        <f>IF(N145="",0,IF(SETUP!$E$7="USD",((IF(O145="USD",W145,(W145/'Master Data-C19RM'!$D$2)))),((IF(O145="EUR",W145,(W145*'Master Data-C19RM'!$D$2))))))</f>
        <v>0</v>
      </c>
      <c r="BQ145">
        <f>IF(N145="",0,IF(SETUP!$E$7="USD",((IF(O145="USD",AD145,(AD145/'Master Data-C19RM'!$E$2)))),((IF(O145="EUR",AD145,(AD145*'Master Data-C19RM'!$E$2))))))</f>
        <v>0</v>
      </c>
      <c r="BR145">
        <f>IF(N145="",0,IF(SETUP!$E$7="USD",((IF(O145="USD",AK145,(AK145/'Master Data-C19RM'!$F$2)))),((IF(O145="EUR",AK145,(AK145*'Master Data-C19RM'!$F$2))))))</f>
        <v>0</v>
      </c>
      <c r="BS145">
        <f>IF(N145="",0,IF(SETUP!$E$7="USD",((IF(O145="USD",AR145,(AR145/'Master Data-C19RM'!$G$2)))),((IF(O145="EUR",AR145,(AR145*'Master Data-C19RM'!$G$2))))))</f>
        <v>0</v>
      </c>
      <c r="BT145">
        <f>IF(N145="",0,IF(SETUP!$E$7="USD",((IF(O145="USD",AY145,(AY145/'Master Data-C19RM'!$H$2)))),((IF(O145="EUR",AY145,(AY145*'Master Data-C19RM'!$H$2))))))</f>
        <v>0</v>
      </c>
      <c r="BU145" s="12">
        <f t="shared" si="22"/>
        <v>0</v>
      </c>
      <c r="BV145" s="142">
        <f t="shared" si="23"/>
        <v>0</v>
      </c>
    </row>
    <row r="146" spans="1:74" x14ac:dyDescent="0.35">
      <c r="A146" s="1165"/>
      <c r="B146" s="1165"/>
      <c r="C146" s="1165"/>
      <c r="D146" s="1165"/>
      <c r="E146" s="1166"/>
      <c r="F146" s="1166"/>
      <c r="G146" s="1166"/>
      <c r="H146" s="1166"/>
      <c r="I146" s="1166"/>
      <c r="J146" s="1166"/>
      <c r="K146" s="1166"/>
      <c r="L146" s="490" t="str" cm="1">
        <f t="array" ref="L146">IF(A146&lt;&gt;"",IFERROR(INDEX(PMtbl[[WKst]:[Unit of measure*]],MATCH($A$115&amp;$A146&amp;$E146&amp;$I146,INDEX(PMtbl[Sec]&amp;PMtbl[Category]&amp;PMtbl[Each]&amp;PMtbl[Packaging],0,),0),14),""),"")</f>
        <v/>
      </c>
      <c r="M146" s="479" t="str">
        <f>IF(L146="","",INDEX(SETUP!$E$20:$E$122,(MATCH(INDEX(PMsheet!$D:$E,MATCH(A146,PMsheet!E:E,0),1),SETUP!$D$20:$D$122,0))))</f>
        <v/>
      </c>
      <c r="N146" s="491">
        <f>IF($O146="USD",_xlfn.IFNA(VLOOKUP(A146&amp;E146&amp;I146,PMsheet!J:K,2,0),0),(_xlfn.IFNA(VLOOKUP(A146&amp;E146&amp;I146,PMsheet!J:K,2,0),0)*'Master Data-C19RM'!$C$2))</f>
        <v>0</v>
      </c>
      <c r="O146" s="492" t="str">
        <f>IF(L146="", "",SETUP!$E$7)</f>
        <v/>
      </c>
      <c r="P146" s="456">
        <f>IF($O146="USD",_xlfn.IFNA(VLOOKUP($A146&amp;$E146&amp;$I146,PMsheet!$J:$K,2,0),0),(_xlfn.IFNA(VLOOKUP($A146&amp;$E146&amp;$I146,PMsheet!$J:$K,2,0),0)*'Master Data-C19RM'!$C$2))</f>
        <v>0</v>
      </c>
      <c r="Q146" s="441"/>
      <c r="R146" s="441"/>
      <c r="S146" s="441"/>
      <c r="T146" s="441"/>
      <c r="U146" s="481">
        <f t="shared" si="17"/>
        <v>0</v>
      </c>
      <c r="V146" s="483">
        <f>IF(SETUP!$E$7="USD",(U146*(IF(O146="USD",P146,(P146/'Master Data-C19RM'!$C$2)))),(U146*(IF(O146="EUR",P146,(P146*'Master Data-C19RM'!$C$2)))))</f>
        <v>0</v>
      </c>
      <c r="W146" s="444">
        <f>IF($O146="USD",_xlfn.IFNA(VLOOKUP($A146&amp;$E146&amp;$I146,PMsheet!$J:$K,2,0),0),(_xlfn.IFNA(VLOOKUP($A146&amp;$E146&amp;$I146,PMsheet!$J:$K,2,0),0)*'Master Data-C19RM'!$D$2))</f>
        <v>0</v>
      </c>
      <c r="X146" s="441"/>
      <c r="Y146" s="441"/>
      <c r="Z146" s="441"/>
      <c r="AA146" s="441"/>
      <c r="AB146" s="481">
        <f t="shared" si="18"/>
        <v>0</v>
      </c>
      <c r="AC146" s="483">
        <f>IF(SETUP!$E$7="USD",(AB146*(IF(O146="USD",W146,(W146/'Master Data-C19RM'!$D$2)))),(AB146*(IF(O146="EUR",W146,(W146*'Master Data-C19RM'!$D$2)))))</f>
        <v>0</v>
      </c>
      <c r="AD146" s="444">
        <f>IF($O146="USD",_xlfn.IFNA(VLOOKUP($A146&amp;$E146&amp;$I146,PMsheet!$J:$K,2,0),0),(_xlfn.IFNA(VLOOKUP($A146&amp;$E146&amp;$I146,PMsheet!$J:$K,2,0),0)*'Master Data-C19RM'!$E$2))</f>
        <v>0</v>
      </c>
      <c r="AE146" s="441"/>
      <c r="AF146" s="441"/>
      <c r="AG146" s="441"/>
      <c r="AH146" s="441"/>
      <c r="AI146" s="512">
        <f t="shared" si="19"/>
        <v>0</v>
      </c>
      <c r="AJ146" s="513">
        <f>IF(SETUP!$E$7="USD",(AI146*(IF(O146="USD",AD146,(AD146/'Master Data-C19RM'!$E$2)))),(AI146*(IF(O146="EUR",AD146,(AD146*'Master Data-C19RM'!$E$2)))))</f>
        <v>0</v>
      </c>
      <c r="AK146" s="444">
        <f>IF($O146="USD",_xlfn.IFNA(VLOOKUP($A146&amp;$E146&amp;$I146,PMsheet!$J:$K,2,0),0),(_xlfn.IFNA(VLOOKUP($A146&amp;$E146&amp;$I146,PMsheet!$J:$K,2,0),0)*'Master Data-C19RM'!$F$2))</f>
        <v>0</v>
      </c>
      <c r="AL146" s="441"/>
      <c r="AM146" s="441"/>
      <c r="AN146" s="441"/>
      <c r="AO146" s="441"/>
      <c r="AP146" s="512">
        <f t="shared" si="20"/>
        <v>0</v>
      </c>
      <c r="AQ146" s="513">
        <f>IF(SETUP!$E$7="USD",(AP146*(IF(O146="USD",AK146,(AK146/'Master Data-C19RM'!$F$2)))),(AP146*(IF(O146="EUR",AK146,(AK146*'Master Data-C19RM'!$F$2)))))</f>
        <v>0</v>
      </c>
      <c r="AR146" s="924">
        <f>IF($O146="USD",_xlfn.IFNA(VLOOKUP($A146&amp;$E146&amp;$I146,PMsheet!$J:$K,2,0),0),(_xlfn.IFNA(VLOOKUP($A146&amp;$E146&amp;$I146,PMsheet!$J:$K,2,0),0)*'Master Data-C19RM'!$G$2))</f>
        <v>0</v>
      </c>
      <c r="AS146" s="572"/>
      <c r="AT146" s="572"/>
      <c r="AU146" s="572"/>
      <c r="AV146" s="572"/>
      <c r="AW146" s="512">
        <f t="shared" si="21"/>
        <v>0</v>
      </c>
      <c r="AX146" s="513">
        <f>IF(SETUP!$E$7="USD",(AW146*(IF(O146="USD",AR146,(AR146/'Master Data-C19RM'!$G$2)))),(AW146*(IF(O146="EUR",AR146,(AR146*'Master Data-C19RM'!$G$2)))))</f>
        <v>0</v>
      </c>
      <c r="AY146" s="845"/>
      <c r="AZ146" s="846"/>
      <c r="BA146" s="846"/>
      <c r="BB146" s="846"/>
      <c r="BC146" s="846"/>
      <c r="BD146" s="846"/>
      <c r="BE146" s="847"/>
      <c r="BF146" s="512">
        <f>'C19RM 2021-Lab &amp; Other HPS'!$U146+'C19RM 2021-Lab &amp; Other HPS'!$AB146+'C19RM 2021-Lab &amp; Other HPS'!$AP146+'C19RM 2021-Lab &amp; Other HPS'!$AI146+AW146+BD146</f>
        <v>0</v>
      </c>
      <c r="BG146" s="512">
        <f>'C19RM 2021-Lab &amp; Other HPS'!$V146+'C19RM 2021-Lab &amp; Other HPS'!$AC146+'C19RM 2021-Lab &amp; Other HPS'!$AQ146+'C19RM 2021-Lab &amp; Other HPS'!$AJ146+AX146+BE146</f>
        <v>0</v>
      </c>
      <c r="BH146" s="500" t="str" cm="1">
        <f t="array" ref="BH146">IF(A146&lt;&gt;"",IFERROR(INDEX(PMtbl[[WKst]:[Unit of measure*]],MATCH($A$115&amp;$A146&amp;$E146&amp;$I146,INDEX(PMtbl[Sec]&amp;PMtbl[Category]&amp;PMtbl[Each]&amp;PMtbl[Packaging],0,),0),11),""),"")</f>
        <v/>
      </c>
      <c r="BI146" s="819"/>
      <c r="BJ146" s="502" t="str" cm="1">
        <f t="array" ref="BJ146">IFERROR(INDEX(SETUP!$C$19:$G$121,MATCH((INDEX(PMtbl[[WKst]:[Unit of measure*]],MATCH($A146&amp;$E146&amp;$I146,INDEX(PMtbl[Category]&amp;PMtbl[Each]&amp;PMtbl[Packaging],0,),0),3)),SETUP!$D$19:$D$121,0),5),"")</f>
        <v/>
      </c>
      <c r="BK146" s="542"/>
      <c r="BL146" s="214"/>
      <c r="BO146" s="12">
        <f>IF(N146="",0,IF(SETUP!$E$7="USD",((IF(O146="USD",P146,(P146/'Master Data-C19RM'!$C$2)))),((IF(O146="EUR",P146,(P146*'Master Data-C19RM'!$C$2))))))</f>
        <v>0</v>
      </c>
      <c r="BP146" s="12">
        <f>IF(N146="",0,IF(SETUP!$E$7="USD",((IF(O146="USD",W146,(W146/'Master Data-C19RM'!$D$2)))),((IF(O146="EUR",W146,(W146*'Master Data-C19RM'!$D$2))))))</f>
        <v>0</v>
      </c>
      <c r="BQ146">
        <f>IF(N146="",0,IF(SETUP!$E$7="USD",((IF(O146="USD",AD146,(AD146/'Master Data-C19RM'!$E$2)))),((IF(O146="EUR",AD146,(AD146*'Master Data-C19RM'!$E$2))))))</f>
        <v>0</v>
      </c>
      <c r="BR146">
        <f>IF(N146="",0,IF(SETUP!$E$7="USD",((IF(O146="USD",AK146,(AK146/'Master Data-C19RM'!$F$2)))),((IF(O146="EUR",AK146,(AK146*'Master Data-C19RM'!$F$2))))))</f>
        <v>0</v>
      </c>
      <c r="BS146">
        <f>IF(N146="",0,IF(SETUP!$E$7="USD",((IF(O146="USD",AR146,(AR146/'Master Data-C19RM'!$G$2)))),((IF(O146="EUR",AR146,(AR146*'Master Data-C19RM'!$G$2))))))</f>
        <v>0</v>
      </c>
      <c r="BT146">
        <f>IF(N146="",0,IF(SETUP!$E$7="USD",((IF(O146="USD",AY146,(AY146/'Master Data-C19RM'!$H$2)))),((IF(O146="EUR",AY146,(AY146*'Master Data-C19RM'!$H$2))))))</f>
        <v>0</v>
      </c>
      <c r="BU146" s="12">
        <f t="shared" si="22"/>
        <v>0</v>
      </c>
      <c r="BV146" s="142">
        <f t="shared" si="23"/>
        <v>0</v>
      </c>
    </row>
    <row r="147" spans="1:74" x14ac:dyDescent="0.35">
      <c r="A147" s="1192"/>
      <c r="B147" s="1192"/>
      <c r="C147" s="1192"/>
      <c r="D147" s="1192"/>
      <c r="E147" s="1173"/>
      <c r="F147" s="1173"/>
      <c r="G147" s="1173"/>
      <c r="H147" s="1173"/>
      <c r="I147" s="1173"/>
      <c r="J147" s="1173"/>
      <c r="K147" s="1173"/>
      <c r="L147" s="493" t="str" cm="1">
        <f t="array" ref="L147">IF(A147&lt;&gt;"",IFERROR(INDEX(PMtbl[[WKst]:[Unit of measure*]],MATCH($A$115&amp;$A147&amp;$E147&amp;$I147,INDEX(PMtbl[Sec]&amp;PMtbl[Category]&amp;PMtbl[Each]&amp;PMtbl[Packaging],0,),0),14),""),"")</f>
        <v/>
      </c>
      <c r="M147" s="480" t="str">
        <f>IF(L147="","",INDEX(SETUP!$E$20:$E$122,(MATCH(INDEX(PMsheet!$D:$E,MATCH(A147,PMsheet!E:E,0),1),SETUP!$D$20:$D$122,0))))</f>
        <v/>
      </c>
      <c r="N147" s="494">
        <f>IF($O147="USD",_xlfn.IFNA(VLOOKUP(A147&amp;E147&amp;I147,PMsheet!J:K,2,0),0),(_xlfn.IFNA(VLOOKUP(A147&amp;E147&amp;I147,PMsheet!J:K,2,0),0)*'Master Data-C19RM'!$C$2))</f>
        <v>0</v>
      </c>
      <c r="O147" s="495" t="str">
        <f>IF(L147="", "",SETUP!$E$7)</f>
        <v/>
      </c>
      <c r="P147" s="457">
        <f>IF($O147="USD",_xlfn.IFNA(VLOOKUP($A147&amp;$E147&amp;$I147,PMsheet!$J:$K,2,0),0),(_xlfn.IFNA(VLOOKUP($A147&amp;$E147&amp;$I147,PMsheet!$J:$K,2,0),0)*'Master Data-C19RM'!$C$2))</f>
        <v>0</v>
      </c>
      <c r="Q147" s="440"/>
      <c r="R147" s="440"/>
      <c r="S147" s="440"/>
      <c r="T147" s="440"/>
      <c r="U147" s="482">
        <f t="shared" si="17"/>
        <v>0</v>
      </c>
      <c r="V147" s="484">
        <f>IF(SETUP!$E$7="USD",(U147*(IF(O147="USD",P147,(P147/'Master Data-C19RM'!$C$2)))),(U147*(IF(O147="EUR",P147,(P147*'Master Data-C19RM'!$C$2)))))</f>
        <v>0</v>
      </c>
      <c r="W147" s="445">
        <f>IF($O147="USD",_xlfn.IFNA(VLOOKUP($A147&amp;$E147&amp;$I147,PMsheet!$J:$K,2,0),0),(_xlfn.IFNA(VLOOKUP($A147&amp;$E147&amp;$I147,PMsheet!$J:$K,2,0),0)*'Master Data-C19RM'!$D$2))</f>
        <v>0</v>
      </c>
      <c r="X147" s="440"/>
      <c r="Y147" s="440"/>
      <c r="Z147" s="440"/>
      <c r="AA147" s="440"/>
      <c r="AB147" s="482">
        <f t="shared" si="18"/>
        <v>0</v>
      </c>
      <c r="AC147" s="484">
        <f>IF(SETUP!$E$7="USD",(AB147*(IF(O147="USD",W147,(W147/'Master Data-C19RM'!$D$2)))),(AB147*(IF(O147="EUR",W147,(W147*'Master Data-C19RM'!$D$2)))))</f>
        <v>0</v>
      </c>
      <c r="AD147" s="445">
        <f>IF($O147="USD",_xlfn.IFNA(VLOOKUP($A147&amp;$E147&amp;$I147,PMsheet!$J:$K,2,0),0),(_xlfn.IFNA(VLOOKUP($A147&amp;$E147&amp;$I147,PMsheet!$J:$K,2,0),0)*'Master Data-C19RM'!$E$2))</f>
        <v>0</v>
      </c>
      <c r="AE147" s="440"/>
      <c r="AF147" s="440"/>
      <c r="AG147" s="440"/>
      <c r="AH147" s="440"/>
      <c r="AI147" s="514">
        <f t="shared" si="19"/>
        <v>0</v>
      </c>
      <c r="AJ147" s="515">
        <f>IF(SETUP!$E$7="USD",(AI147*(IF(O147="USD",AD147,(AD147/'Master Data-C19RM'!$E$2)))),(AI147*(IF(O147="EUR",AD147,(AD147*'Master Data-C19RM'!$E$2)))))</f>
        <v>0</v>
      </c>
      <c r="AK147" s="445">
        <f>IF($O147="USD",_xlfn.IFNA(VLOOKUP($A147&amp;$E147&amp;$I147,PMsheet!$J:$K,2,0),0),(_xlfn.IFNA(VLOOKUP($A147&amp;$E147&amp;$I147,PMsheet!$J:$K,2,0),0)*'Master Data-C19RM'!$F$2))</f>
        <v>0</v>
      </c>
      <c r="AL147" s="440"/>
      <c r="AM147" s="440"/>
      <c r="AN147" s="440"/>
      <c r="AO147" s="440"/>
      <c r="AP147" s="514">
        <f t="shared" si="20"/>
        <v>0</v>
      </c>
      <c r="AQ147" s="515">
        <f>IF(SETUP!$E$7="USD",(AP147*(IF(O147="USD",AK147,(AK147/'Master Data-C19RM'!$F$2)))),(AP147*(IF(O147="EUR",AK147,(AK147*'Master Data-C19RM'!$F$2)))))</f>
        <v>0</v>
      </c>
      <c r="AR147" s="925">
        <f>IF($O147="USD",_xlfn.IFNA(VLOOKUP($A147&amp;$E147&amp;$I147,PMsheet!$J:$K,2,0),0),(_xlfn.IFNA(VLOOKUP($A147&amp;$E147&amp;$I147,PMsheet!$J:$K,2,0),0)*'Master Data-C19RM'!$G$2))</f>
        <v>0</v>
      </c>
      <c r="AS147" s="926"/>
      <c r="AT147" s="926"/>
      <c r="AU147" s="926"/>
      <c r="AV147" s="926"/>
      <c r="AW147" s="514">
        <f t="shared" si="21"/>
        <v>0</v>
      </c>
      <c r="AX147" s="515">
        <f>IF(SETUP!$E$7="USD",(AW147*(IF(O147="USD",AR147,(AR147/'Master Data-C19RM'!$G$2)))),(AW147*(IF(O147="EUR",AR147,(AR147*'Master Data-C19RM'!$G$2)))))</f>
        <v>0</v>
      </c>
      <c r="AY147" s="845"/>
      <c r="AZ147" s="846"/>
      <c r="BA147" s="846"/>
      <c r="BB147" s="846"/>
      <c r="BC147" s="846"/>
      <c r="BD147" s="846"/>
      <c r="BE147" s="847"/>
      <c r="BF147" s="514">
        <f>'C19RM 2021-Lab &amp; Other HPS'!$U147+'C19RM 2021-Lab &amp; Other HPS'!$AB147+'C19RM 2021-Lab &amp; Other HPS'!$AP147+'C19RM 2021-Lab &amp; Other HPS'!$AI147+AW147+BD147</f>
        <v>0</v>
      </c>
      <c r="BG147" s="514">
        <f>'C19RM 2021-Lab &amp; Other HPS'!$V147+'C19RM 2021-Lab &amp; Other HPS'!$AC147+'C19RM 2021-Lab &amp; Other HPS'!$AQ147+'C19RM 2021-Lab &amp; Other HPS'!$AJ147+AX147+BE147</f>
        <v>0</v>
      </c>
      <c r="BH147" s="522" t="str" cm="1">
        <f t="array" ref="BH147">IF(A147&lt;&gt;"",IFERROR(INDEX(PMtbl[[WKst]:[Unit of measure*]],MATCH($A$115&amp;$A147&amp;$E147&amp;$I147,INDEX(PMtbl[Sec]&amp;PMtbl[Category]&amp;PMtbl[Each]&amp;PMtbl[Packaging],0,),0),11),""),"")</f>
        <v/>
      </c>
      <c r="BI147" s="818"/>
      <c r="BJ147" s="503" t="str" cm="1">
        <f t="array" ref="BJ147">IFERROR(INDEX(SETUP!$C$19:$G$121,MATCH((INDEX(PMtbl[[WKst]:[Unit of measure*]],MATCH($A147&amp;$E147&amp;$I147,INDEX(PMtbl[Category]&amp;PMtbl[Each]&amp;PMtbl[Packaging],0,),0),3)),SETUP!$D$19:$D$121,0),5),"")</f>
        <v/>
      </c>
      <c r="BK147" s="543"/>
      <c r="BL147" s="215"/>
      <c r="BO147" s="12">
        <f>IF(N147="",0,IF(SETUP!$E$7="USD",((IF(O147="USD",P147,(P147/'Master Data-C19RM'!$C$2)))),((IF(O147="EUR",P147,(P147*'Master Data-C19RM'!$C$2))))))</f>
        <v>0</v>
      </c>
      <c r="BP147" s="12">
        <f>IF(N147="",0,IF(SETUP!$E$7="USD",((IF(O147="USD",W147,(W147/'Master Data-C19RM'!$D$2)))),((IF(O147="EUR",W147,(W147*'Master Data-C19RM'!$D$2))))))</f>
        <v>0</v>
      </c>
      <c r="BQ147">
        <f>IF(N147="",0,IF(SETUP!$E$7="USD",((IF(O147="USD",AD147,(AD147/'Master Data-C19RM'!$E$2)))),((IF(O147="EUR",AD147,(AD147*'Master Data-C19RM'!$E$2))))))</f>
        <v>0</v>
      </c>
      <c r="BR147">
        <f>IF(N147="",0,IF(SETUP!$E$7="USD",((IF(O147="USD",AK147,(AK147/'Master Data-C19RM'!$F$2)))),((IF(O147="EUR",AK147,(AK147*'Master Data-C19RM'!$F$2))))))</f>
        <v>0</v>
      </c>
      <c r="BS147">
        <f>IF(N147="",0,IF(SETUP!$E$7="USD",((IF(O147="USD",AR147,(AR147/'Master Data-C19RM'!$G$2)))),((IF(O147="EUR",AR147,(AR147*'Master Data-C19RM'!$G$2))))))</f>
        <v>0</v>
      </c>
      <c r="BT147">
        <f>IF(N147="",0,IF(SETUP!$E$7="USD",((IF(O147="USD",AY147,(AY147/'Master Data-C19RM'!$H$2)))),((IF(O147="EUR",AY147,(AY147*'Master Data-C19RM'!$H$2))))))</f>
        <v>0</v>
      </c>
      <c r="BU147" s="12">
        <f t="shared" si="22"/>
        <v>0</v>
      </c>
      <c r="BV147" s="142">
        <f t="shared" si="23"/>
        <v>0</v>
      </c>
    </row>
    <row r="148" spans="1:74" x14ac:dyDescent="0.35">
      <c r="A148" s="1165"/>
      <c r="B148" s="1165"/>
      <c r="C148" s="1165"/>
      <c r="D148" s="1165"/>
      <c r="E148" s="1166"/>
      <c r="F148" s="1166"/>
      <c r="G148" s="1166"/>
      <c r="H148" s="1166"/>
      <c r="I148" s="1166"/>
      <c r="J148" s="1166"/>
      <c r="K148" s="1166"/>
      <c r="L148" s="490" t="str" cm="1">
        <f t="array" ref="L148">IF(A148&lt;&gt;"",IFERROR(INDEX(PMtbl[[WKst]:[Unit of measure*]],MATCH($A$115&amp;$A148&amp;$E148&amp;$I148,INDEX(PMtbl[Sec]&amp;PMtbl[Category]&amp;PMtbl[Each]&amp;PMtbl[Packaging],0,),0),14),""),"")</f>
        <v/>
      </c>
      <c r="M148" s="479" t="str">
        <f>IF(L148="","",INDEX(SETUP!$E$20:$E$122,(MATCH(INDEX(PMsheet!$D:$E,MATCH(A148,PMsheet!E:E,0),1),SETUP!$D$20:$D$122,0))))</f>
        <v/>
      </c>
      <c r="N148" s="491">
        <f>IF($O148="USD",_xlfn.IFNA(VLOOKUP(A148&amp;E148&amp;I148,PMsheet!J:K,2,0),0),(_xlfn.IFNA(VLOOKUP(A148&amp;E148&amp;I148,PMsheet!J:K,2,0),0)*'Master Data-C19RM'!$C$2))</f>
        <v>0</v>
      </c>
      <c r="O148" s="492" t="str">
        <f>IF(L148="", "",SETUP!$E$7)</f>
        <v/>
      </c>
      <c r="P148" s="456">
        <f>IF($O148="USD",_xlfn.IFNA(VLOOKUP($A148&amp;$E148&amp;$I148,PMsheet!$J:$K,2,0),0),(_xlfn.IFNA(VLOOKUP($A148&amp;$E148&amp;$I148,PMsheet!$J:$K,2,0),0)*'Master Data-C19RM'!$C$2))</f>
        <v>0</v>
      </c>
      <c r="Q148" s="441"/>
      <c r="R148" s="441"/>
      <c r="S148" s="441"/>
      <c r="T148" s="441"/>
      <c r="U148" s="481">
        <f t="shared" si="17"/>
        <v>0</v>
      </c>
      <c r="V148" s="483">
        <f>IF(SETUP!$E$7="USD",(U148*(IF(O148="USD",P148,(P148/'Master Data-C19RM'!$C$2)))),(U148*(IF(O148="EUR",P148,(P148*'Master Data-C19RM'!$C$2)))))</f>
        <v>0</v>
      </c>
      <c r="W148" s="444">
        <f>IF($O148="USD",_xlfn.IFNA(VLOOKUP($A148&amp;$E148&amp;$I148,PMsheet!$J:$K,2,0),0),(_xlfn.IFNA(VLOOKUP($A148&amp;$E148&amp;$I148,PMsheet!$J:$K,2,0),0)*'Master Data-C19RM'!$D$2))</f>
        <v>0</v>
      </c>
      <c r="X148" s="441"/>
      <c r="Y148" s="441"/>
      <c r="Z148" s="441"/>
      <c r="AA148" s="441"/>
      <c r="AB148" s="481">
        <f t="shared" si="18"/>
        <v>0</v>
      </c>
      <c r="AC148" s="483">
        <f>IF(SETUP!$E$7="USD",(AB148*(IF(O148="USD",W148,(W148/'Master Data-C19RM'!$D$2)))),(AB148*(IF(O148="EUR",W148,(W148*'Master Data-C19RM'!$D$2)))))</f>
        <v>0</v>
      </c>
      <c r="AD148" s="444">
        <f>IF($O148="USD",_xlfn.IFNA(VLOOKUP($A148&amp;$E148&amp;$I148,PMsheet!$J:$K,2,0),0),(_xlfn.IFNA(VLOOKUP($A148&amp;$E148&amp;$I148,PMsheet!$J:$K,2,0),0)*'Master Data-C19RM'!$E$2))</f>
        <v>0</v>
      </c>
      <c r="AE148" s="441"/>
      <c r="AF148" s="441"/>
      <c r="AG148" s="441"/>
      <c r="AH148" s="441"/>
      <c r="AI148" s="512">
        <f t="shared" si="19"/>
        <v>0</v>
      </c>
      <c r="AJ148" s="513">
        <f>IF(SETUP!$E$7="USD",(AI148*(IF(O148="USD",AD148,(AD148/'Master Data-C19RM'!$E$2)))),(AI148*(IF(O148="EUR",AD148,(AD148*'Master Data-C19RM'!$E$2)))))</f>
        <v>0</v>
      </c>
      <c r="AK148" s="444">
        <f>IF($O148="USD",_xlfn.IFNA(VLOOKUP($A148&amp;$E148&amp;$I148,PMsheet!$J:$K,2,0),0),(_xlfn.IFNA(VLOOKUP($A148&amp;$E148&amp;$I148,PMsheet!$J:$K,2,0),0)*'Master Data-C19RM'!$F$2))</f>
        <v>0</v>
      </c>
      <c r="AL148" s="441"/>
      <c r="AM148" s="441"/>
      <c r="AN148" s="441"/>
      <c r="AO148" s="441"/>
      <c r="AP148" s="512">
        <f t="shared" si="20"/>
        <v>0</v>
      </c>
      <c r="AQ148" s="513">
        <f>IF(SETUP!$E$7="USD",(AP148*(IF(O148="USD",AK148,(AK148/'Master Data-C19RM'!$F$2)))),(AP148*(IF(O148="EUR",AK148,(AK148*'Master Data-C19RM'!$F$2)))))</f>
        <v>0</v>
      </c>
      <c r="AR148" s="924">
        <f>IF($O148="USD",_xlfn.IFNA(VLOOKUP($A148&amp;$E148&amp;$I148,PMsheet!$J:$K,2,0),0),(_xlfn.IFNA(VLOOKUP($A148&amp;$E148&amp;$I148,PMsheet!$J:$K,2,0),0)*'Master Data-C19RM'!$G$2))</f>
        <v>0</v>
      </c>
      <c r="AS148" s="572"/>
      <c r="AT148" s="572"/>
      <c r="AU148" s="572"/>
      <c r="AV148" s="572"/>
      <c r="AW148" s="512">
        <f t="shared" si="21"/>
        <v>0</v>
      </c>
      <c r="AX148" s="513">
        <f>IF(SETUP!$E$7="USD",(AW148*(IF(O148="USD",AR148,(AR148/'Master Data-C19RM'!$G$2)))),(AW148*(IF(O148="EUR",AR148,(AR148*'Master Data-C19RM'!$G$2)))))</f>
        <v>0</v>
      </c>
      <c r="AY148" s="845"/>
      <c r="AZ148" s="846"/>
      <c r="BA148" s="846"/>
      <c r="BB148" s="846"/>
      <c r="BC148" s="846"/>
      <c r="BD148" s="846"/>
      <c r="BE148" s="847"/>
      <c r="BF148" s="512">
        <f>'C19RM 2021-Lab &amp; Other HPS'!$U148+'C19RM 2021-Lab &amp; Other HPS'!$AB148+'C19RM 2021-Lab &amp; Other HPS'!$AP148+'C19RM 2021-Lab &amp; Other HPS'!$AI148+AW148+BD148</f>
        <v>0</v>
      </c>
      <c r="BG148" s="512">
        <f>'C19RM 2021-Lab &amp; Other HPS'!$V148+'C19RM 2021-Lab &amp; Other HPS'!$AC148+'C19RM 2021-Lab &amp; Other HPS'!$AQ148+'C19RM 2021-Lab &amp; Other HPS'!$AJ148+AX148+BE148</f>
        <v>0</v>
      </c>
      <c r="BH148" s="500" t="str" cm="1">
        <f t="array" ref="BH148">IF(A148&lt;&gt;"",IFERROR(INDEX(PMtbl[[WKst]:[Unit of measure*]],MATCH($A$115&amp;$A148&amp;$E148&amp;$I148,INDEX(PMtbl[Sec]&amp;PMtbl[Category]&amp;PMtbl[Each]&amp;PMtbl[Packaging],0,),0),11),""),"")</f>
        <v/>
      </c>
      <c r="BI148" s="819"/>
      <c r="BJ148" s="502" t="str" cm="1">
        <f t="array" ref="BJ148">IFERROR(INDEX(SETUP!$C$19:$G$121,MATCH((INDEX(PMtbl[[WKst]:[Unit of measure*]],MATCH($A148&amp;$E148&amp;$I148,INDEX(PMtbl[Category]&amp;PMtbl[Each]&amp;PMtbl[Packaging],0,),0),3)),SETUP!$D$19:$D$121,0),5),"")</f>
        <v/>
      </c>
      <c r="BK148" s="542"/>
      <c r="BL148" s="214"/>
      <c r="BO148" s="12">
        <f>IF(N148="",0,IF(SETUP!$E$7="USD",((IF(O148="USD",P148,(P148/'Master Data-C19RM'!$C$2)))),((IF(O148="EUR",P148,(P148*'Master Data-C19RM'!$C$2))))))</f>
        <v>0</v>
      </c>
      <c r="BP148" s="12">
        <f>IF(N148="",0,IF(SETUP!$E$7="USD",((IF(O148="USD",W148,(W148/'Master Data-C19RM'!$D$2)))),((IF(O148="EUR",W148,(W148*'Master Data-C19RM'!$D$2))))))</f>
        <v>0</v>
      </c>
      <c r="BQ148">
        <f>IF(N148="",0,IF(SETUP!$E$7="USD",((IF(O148="USD",AD148,(AD148/'Master Data-C19RM'!$E$2)))),((IF(O148="EUR",AD148,(AD148*'Master Data-C19RM'!$E$2))))))</f>
        <v>0</v>
      </c>
      <c r="BR148">
        <f>IF(N148="",0,IF(SETUP!$E$7="USD",((IF(O148="USD",AK148,(AK148/'Master Data-C19RM'!$F$2)))),((IF(O148="EUR",AK148,(AK148*'Master Data-C19RM'!$F$2))))))</f>
        <v>0</v>
      </c>
      <c r="BS148">
        <f>IF(N148="",0,IF(SETUP!$E$7="USD",((IF(O148="USD",AR148,(AR148/'Master Data-C19RM'!$G$2)))),((IF(O148="EUR",AR148,(AR148*'Master Data-C19RM'!$G$2))))))</f>
        <v>0</v>
      </c>
      <c r="BT148">
        <f>IF(N148="",0,IF(SETUP!$E$7="USD",((IF(O148="USD",AY148,(AY148/'Master Data-C19RM'!$H$2)))),((IF(O148="EUR",AY148,(AY148*'Master Data-C19RM'!$H$2))))))</f>
        <v>0</v>
      </c>
      <c r="BU148" s="12">
        <f t="shared" si="22"/>
        <v>0</v>
      </c>
      <c r="BV148" s="142">
        <f t="shared" si="23"/>
        <v>0</v>
      </c>
    </row>
    <row r="149" spans="1:74" x14ac:dyDescent="0.35">
      <c r="A149" s="1192"/>
      <c r="B149" s="1192"/>
      <c r="C149" s="1192"/>
      <c r="D149" s="1192"/>
      <c r="E149" s="1173"/>
      <c r="F149" s="1173"/>
      <c r="G149" s="1173"/>
      <c r="H149" s="1173"/>
      <c r="I149" s="1173"/>
      <c r="J149" s="1173"/>
      <c r="K149" s="1173"/>
      <c r="L149" s="493" t="str" cm="1">
        <f t="array" ref="L149">IF(A149&lt;&gt;"",IFERROR(INDEX(PMtbl[[WKst]:[Unit of measure*]],MATCH($A$115&amp;$A149&amp;$E149&amp;$I149,INDEX(PMtbl[Sec]&amp;PMtbl[Category]&amp;PMtbl[Each]&amp;PMtbl[Packaging],0,),0),14),""),"")</f>
        <v/>
      </c>
      <c r="M149" s="480" t="str">
        <f>IF(L149="","",INDEX(SETUP!$E$20:$E$122,(MATCH(INDEX(PMsheet!$D:$E,MATCH(A149,PMsheet!E:E,0),1),SETUP!$D$20:$D$122,0))))</f>
        <v/>
      </c>
      <c r="N149" s="494">
        <f>IF($O149="USD",_xlfn.IFNA(VLOOKUP(A149&amp;E149&amp;I149,PMsheet!J:K,2,0),0),(_xlfn.IFNA(VLOOKUP(A149&amp;E149&amp;I149,PMsheet!J:K,2,0),0)*'Master Data-C19RM'!$C$2))</f>
        <v>0</v>
      </c>
      <c r="O149" s="495" t="str">
        <f>IF(L149="", "",SETUP!$E$7)</f>
        <v/>
      </c>
      <c r="P149" s="457">
        <f>IF($O149="USD",_xlfn.IFNA(VLOOKUP($A149&amp;$E149&amp;$I149,PMsheet!$J:$K,2,0),0),(_xlfn.IFNA(VLOOKUP($A149&amp;$E149&amp;$I149,PMsheet!$J:$K,2,0),0)*'Master Data-C19RM'!$C$2))</f>
        <v>0</v>
      </c>
      <c r="Q149" s="440"/>
      <c r="R149" s="440"/>
      <c r="S149" s="440"/>
      <c r="T149" s="440"/>
      <c r="U149" s="482">
        <f t="shared" si="17"/>
        <v>0</v>
      </c>
      <c r="V149" s="484">
        <f>IF(SETUP!$E$7="USD",(U149*(IF(O149="USD",P149,(P149/'Master Data-C19RM'!$C$2)))),(U149*(IF(O149="EUR",P149,(P149*'Master Data-C19RM'!$C$2)))))</f>
        <v>0</v>
      </c>
      <c r="W149" s="445">
        <f>IF($O149="USD",_xlfn.IFNA(VLOOKUP($A149&amp;$E149&amp;$I149,PMsheet!$J:$K,2,0),0),(_xlfn.IFNA(VLOOKUP($A149&amp;$E149&amp;$I149,PMsheet!$J:$K,2,0),0)*'Master Data-C19RM'!$D$2))</f>
        <v>0</v>
      </c>
      <c r="X149" s="440"/>
      <c r="Y149" s="440"/>
      <c r="Z149" s="440"/>
      <c r="AA149" s="440"/>
      <c r="AB149" s="482">
        <f t="shared" si="18"/>
        <v>0</v>
      </c>
      <c r="AC149" s="484">
        <f>IF(SETUP!$E$7="USD",(AB149*(IF(O149="USD",W149,(W149/'Master Data-C19RM'!$D$2)))),(AB149*(IF(O149="EUR",W149,(W149*'Master Data-C19RM'!$D$2)))))</f>
        <v>0</v>
      </c>
      <c r="AD149" s="445">
        <f>IF($O149="USD",_xlfn.IFNA(VLOOKUP($A149&amp;$E149&amp;$I149,PMsheet!$J:$K,2,0),0),(_xlfn.IFNA(VLOOKUP($A149&amp;$E149&amp;$I149,PMsheet!$J:$K,2,0),0)*'Master Data-C19RM'!$E$2))</f>
        <v>0</v>
      </c>
      <c r="AE149" s="440"/>
      <c r="AF149" s="440"/>
      <c r="AG149" s="440"/>
      <c r="AH149" s="440"/>
      <c r="AI149" s="514">
        <f t="shared" si="19"/>
        <v>0</v>
      </c>
      <c r="AJ149" s="515">
        <f>IF(SETUP!$E$7="USD",(AI149*(IF(O149="USD",AD149,(AD149/'Master Data-C19RM'!$E$2)))),(AI149*(IF(O149="EUR",AD149,(AD149*'Master Data-C19RM'!$E$2)))))</f>
        <v>0</v>
      </c>
      <c r="AK149" s="445">
        <f>IF($O149="USD",_xlfn.IFNA(VLOOKUP($A149&amp;$E149&amp;$I149,PMsheet!$J:$K,2,0),0),(_xlfn.IFNA(VLOOKUP($A149&amp;$E149&amp;$I149,PMsheet!$J:$K,2,0),0)*'Master Data-C19RM'!$F$2))</f>
        <v>0</v>
      </c>
      <c r="AL149" s="440"/>
      <c r="AM149" s="440"/>
      <c r="AN149" s="440"/>
      <c r="AO149" s="440"/>
      <c r="AP149" s="514">
        <f t="shared" si="20"/>
        <v>0</v>
      </c>
      <c r="AQ149" s="515">
        <f>IF(SETUP!$E$7="USD",(AP149*(IF(O149="USD",AK149,(AK149/'Master Data-C19RM'!$F$2)))),(AP149*(IF(O149="EUR",AK149,(AK149*'Master Data-C19RM'!$F$2)))))</f>
        <v>0</v>
      </c>
      <c r="AR149" s="925">
        <f>IF($O149="USD",_xlfn.IFNA(VLOOKUP($A149&amp;$E149&amp;$I149,PMsheet!$J:$K,2,0),0),(_xlfn.IFNA(VLOOKUP($A149&amp;$E149&amp;$I149,PMsheet!$J:$K,2,0),0)*'Master Data-C19RM'!$G$2))</f>
        <v>0</v>
      </c>
      <c r="AS149" s="926"/>
      <c r="AT149" s="926"/>
      <c r="AU149" s="926"/>
      <c r="AV149" s="926"/>
      <c r="AW149" s="514">
        <f t="shared" si="21"/>
        <v>0</v>
      </c>
      <c r="AX149" s="515">
        <f>IF(SETUP!$E$7="USD",(AW149*(IF(O149="USD",AR149,(AR149/'Master Data-C19RM'!$G$2)))),(AW149*(IF(O149="EUR",AR149,(AR149*'Master Data-C19RM'!$G$2)))))</f>
        <v>0</v>
      </c>
      <c r="AY149" s="845"/>
      <c r="AZ149" s="846"/>
      <c r="BA149" s="846"/>
      <c r="BB149" s="846"/>
      <c r="BC149" s="846"/>
      <c r="BD149" s="846"/>
      <c r="BE149" s="847"/>
      <c r="BF149" s="514">
        <f>'C19RM 2021-Lab &amp; Other HPS'!$U149+'C19RM 2021-Lab &amp; Other HPS'!$AB149+'C19RM 2021-Lab &amp; Other HPS'!$AP149+'C19RM 2021-Lab &amp; Other HPS'!$AI149+AW149+BD149</f>
        <v>0</v>
      </c>
      <c r="BG149" s="514">
        <f>'C19RM 2021-Lab &amp; Other HPS'!$V149+'C19RM 2021-Lab &amp; Other HPS'!$AC149+'C19RM 2021-Lab &amp; Other HPS'!$AQ149+'C19RM 2021-Lab &amp; Other HPS'!$AJ149+AX149+BE149</f>
        <v>0</v>
      </c>
      <c r="BH149" s="522" t="str" cm="1">
        <f t="array" ref="BH149">IF(A149&lt;&gt;"",IFERROR(INDEX(PMtbl[[WKst]:[Unit of measure*]],MATCH($A$115&amp;$A149&amp;$E149&amp;$I149,INDEX(PMtbl[Sec]&amp;PMtbl[Category]&amp;PMtbl[Each]&amp;PMtbl[Packaging],0,),0),11),""),"")</f>
        <v/>
      </c>
      <c r="BI149" s="818"/>
      <c r="BJ149" s="503" t="str" cm="1">
        <f t="array" ref="BJ149">IFERROR(INDEX(SETUP!$C$19:$G$121,MATCH((INDEX(PMtbl[[WKst]:[Unit of measure*]],MATCH($A149&amp;$E149&amp;$I149,INDEX(PMtbl[Category]&amp;PMtbl[Each]&amp;PMtbl[Packaging],0,),0),3)),SETUP!$D$19:$D$121,0),5),"")</f>
        <v/>
      </c>
      <c r="BK149" s="543"/>
      <c r="BL149" s="215"/>
      <c r="BO149" s="12">
        <f>IF(N149="",0,IF(SETUP!$E$7="USD",((IF(O149="USD",P149,(P149/'Master Data-C19RM'!$C$2)))),((IF(O149="EUR",P149,(P149*'Master Data-C19RM'!$C$2))))))</f>
        <v>0</v>
      </c>
      <c r="BP149" s="12">
        <f>IF(N149="",0,IF(SETUP!$E$7="USD",((IF(O149="USD",W149,(W149/'Master Data-C19RM'!$D$2)))),((IF(O149="EUR",W149,(W149*'Master Data-C19RM'!$D$2))))))</f>
        <v>0</v>
      </c>
      <c r="BQ149">
        <f>IF(N149="",0,IF(SETUP!$E$7="USD",((IF(O149="USD",AD149,(AD149/'Master Data-C19RM'!$E$2)))),((IF(O149="EUR",AD149,(AD149*'Master Data-C19RM'!$E$2))))))</f>
        <v>0</v>
      </c>
      <c r="BR149">
        <f>IF(N149="",0,IF(SETUP!$E$7="USD",((IF(O149="USD",AK149,(AK149/'Master Data-C19RM'!$F$2)))),((IF(O149="EUR",AK149,(AK149*'Master Data-C19RM'!$F$2))))))</f>
        <v>0</v>
      </c>
      <c r="BS149">
        <f>IF(N149="",0,IF(SETUP!$E$7="USD",((IF(O149="USD",AR149,(AR149/'Master Data-C19RM'!$G$2)))),((IF(O149="EUR",AR149,(AR149*'Master Data-C19RM'!$G$2))))))</f>
        <v>0</v>
      </c>
      <c r="BT149">
        <f>IF(N149="",0,IF(SETUP!$E$7="USD",((IF(O149="USD",AY149,(AY149/'Master Data-C19RM'!$H$2)))),((IF(O149="EUR",AY149,(AY149*'Master Data-C19RM'!$H$2))))))</f>
        <v>0</v>
      </c>
      <c r="BU149" s="12">
        <f t="shared" si="22"/>
        <v>0</v>
      </c>
      <c r="BV149" s="142">
        <f t="shared" si="23"/>
        <v>0</v>
      </c>
    </row>
    <row r="150" spans="1:74" x14ac:dyDescent="0.35">
      <c r="A150" s="1165"/>
      <c r="B150" s="1165"/>
      <c r="C150" s="1165"/>
      <c r="D150" s="1165"/>
      <c r="E150" s="1166"/>
      <c r="F150" s="1166"/>
      <c r="G150" s="1166"/>
      <c r="H150" s="1166"/>
      <c r="I150" s="1166"/>
      <c r="J150" s="1166"/>
      <c r="K150" s="1166"/>
      <c r="L150" s="490" t="str" cm="1">
        <f t="array" ref="L150">IF(A150&lt;&gt;"",IFERROR(INDEX(PMtbl[[WKst]:[Unit of measure*]],MATCH($A$115&amp;$A150&amp;$E150&amp;$I150,INDEX(PMtbl[Sec]&amp;PMtbl[Category]&amp;PMtbl[Each]&amp;PMtbl[Packaging],0,),0),14),""),"")</f>
        <v/>
      </c>
      <c r="M150" s="479" t="str">
        <f>IF(L150="","",INDEX(SETUP!$E$20:$E$122,(MATCH(INDEX(PMsheet!$D:$E,MATCH(A150,PMsheet!E:E,0),1),SETUP!$D$20:$D$122,0))))</f>
        <v/>
      </c>
      <c r="N150" s="491">
        <f>IF($O150="USD",_xlfn.IFNA(VLOOKUP(A150&amp;E150&amp;I150,PMsheet!J:K,2,0),0),(_xlfn.IFNA(VLOOKUP(A150&amp;E150&amp;I150,PMsheet!J:K,2,0),0)*'Master Data-C19RM'!$C$2))</f>
        <v>0</v>
      </c>
      <c r="O150" s="492" t="str">
        <f>IF(L150="", "",SETUP!$E$7)</f>
        <v/>
      </c>
      <c r="P150" s="456">
        <f>IF($O150="USD",_xlfn.IFNA(VLOOKUP($A150&amp;$E150&amp;$I150,PMsheet!$J:$K,2,0),0),(_xlfn.IFNA(VLOOKUP($A150&amp;$E150&amp;$I150,PMsheet!$J:$K,2,0),0)*'Master Data-C19RM'!$C$2))</f>
        <v>0</v>
      </c>
      <c r="Q150" s="441"/>
      <c r="R150" s="441"/>
      <c r="S150" s="441"/>
      <c r="T150" s="441"/>
      <c r="U150" s="481">
        <f t="shared" si="17"/>
        <v>0</v>
      </c>
      <c r="V150" s="483">
        <f>IF(SETUP!$E$7="USD",(U150*(IF(O150="USD",P150,(P150/'Master Data-C19RM'!$C$2)))),(U150*(IF(O150="EUR",P150,(P150*'Master Data-C19RM'!$C$2)))))</f>
        <v>0</v>
      </c>
      <c r="W150" s="444">
        <f>IF($O150="USD",_xlfn.IFNA(VLOOKUP($A150&amp;$E150&amp;$I150,PMsheet!$J:$K,2,0),0),(_xlfn.IFNA(VLOOKUP($A150&amp;$E150&amp;$I150,PMsheet!$J:$K,2,0),0)*'Master Data-C19RM'!$D$2))</f>
        <v>0</v>
      </c>
      <c r="X150" s="441"/>
      <c r="Y150" s="441"/>
      <c r="Z150" s="441"/>
      <c r="AA150" s="441"/>
      <c r="AB150" s="481">
        <f t="shared" si="18"/>
        <v>0</v>
      </c>
      <c r="AC150" s="483">
        <f>IF(SETUP!$E$7="USD",(AB150*(IF(O150="USD",W150,(W150/'Master Data-C19RM'!$D$2)))),(AB150*(IF(O150="EUR",W150,(W150*'Master Data-C19RM'!$D$2)))))</f>
        <v>0</v>
      </c>
      <c r="AD150" s="444">
        <f>IF($O150="USD",_xlfn.IFNA(VLOOKUP($A150&amp;$E150&amp;$I150,PMsheet!$J:$K,2,0),0),(_xlfn.IFNA(VLOOKUP($A150&amp;$E150&amp;$I150,PMsheet!$J:$K,2,0),0)*'Master Data-C19RM'!$E$2))</f>
        <v>0</v>
      </c>
      <c r="AE150" s="441"/>
      <c r="AF150" s="441"/>
      <c r="AG150" s="441"/>
      <c r="AH150" s="441"/>
      <c r="AI150" s="512">
        <f t="shared" si="19"/>
        <v>0</v>
      </c>
      <c r="AJ150" s="513">
        <f>IF(SETUP!$E$7="USD",(AI150*(IF(O150="USD",AD150,(AD150/'Master Data-C19RM'!$E$2)))),(AI150*(IF(O150="EUR",AD150,(AD150*'Master Data-C19RM'!$E$2)))))</f>
        <v>0</v>
      </c>
      <c r="AK150" s="444">
        <f>IF($O150="USD",_xlfn.IFNA(VLOOKUP($A150&amp;$E150&amp;$I150,PMsheet!$J:$K,2,0),0),(_xlfn.IFNA(VLOOKUP($A150&amp;$E150&amp;$I150,PMsheet!$J:$K,2,0),0)*'Master Data-C19RM'!$F$2))</f>
        <v>0</v>
      </c>
      <c r="AL150" s="441"/>
      <c r="AM150" s="441"/>
      <c r="AN150" s="441"/>
      <c r="AO150" s="441"/>
      <c r="AP150" s="512">
        <f t="shared" si="20"/>
        <v>0</v>
      </c>
      <c r="AQ150" s="513">
        <f>IF(SETUP!$E$7="USD",(AP150*(IF(O150="USD",AK150,(AK150/'Master Data-C19RM'!$F$2)))),(AP150*(IF(O150="EUR",AK150,(AK150*'Master Data-C19RM'!$F$2)))))</f>
        <v>0</v>
      </c>
      <c r="AR150" s="924">
        <f>IF($O150="USD",_xlfn.IFNA(VLOOKUP($A150&amp;$E150&amp;$I150,PMsheet!$J:$K,2,0),0),(_xlfn.IFNA(VLOOKUP($A150&amp;$E150&amp;$I150,PMsheet!$J:$K,2,0),0)*'Master Data-C19RM'!$G$2))</f>
        <v>0</v>
      </c>
      <c r="AS150" s="572"/>
      <c r="AT150" s="572"/>
      <c r="AU150" s="572"/>
      <c r="AV150" s="572"/>
      <c r="AW150" s="512">
        <f t="shared" si="21"/>
        <v>0</v>
      </c>
      <c r="AX150" s="513">
        <f>IF(SETUP!$E$7="USD",(AW150*(IF(O150="USD",AR150,(AR150/'Master Data-C19RM'!$G$2)))),(AW150*(IF(O150="EUR",AR150,(AR150*'Master Data-C19RM'!$G$2)))))</f>
        <v>0</v>
      </c>
      <c r="AY150" s="845"/>
      <c r="AZ150" s="846"/>
      <c r="BA150" s="846"/>
      <c r="BB150" s="846"/>
      <c r="BC150" s="846"/>
      <c r="BD150" s="846"/>
      <c r="BE150" s="847"/>
      <c r="BF150" s="512">
        <f>'C19RM 2021-Lab &amp; Other HPS'!$U150+'C19RM 2021-Lab &amp; Other HPS'!$AB150+'C19RM 2021-Lab &amp; Other HPS'!$AP150+'C19RM 2021-Lab &amp; Other HPS'!$AI150+AW150+BD150</f>
        <v>0</v>
      </c>
      <c r="BG150" s="512">
        <f>'C19RM 2021-Lab &amp; Other HPS'!$V150+'C19RM 2021-Lab &amp; Other HPS'!$AC150+'C19RM 2021-Lab &amp; Other HPS'!$AQ150+'C19RM 2021-Lab &amp; Other HPS'!$AJ150+AX150+BE150</f>
        <v>0</v>
      </c>
      <c r="BH150" s="500" t="str" cm="1">
        <f t="array" ref="BH150">IF(A150&lt;&gt;"",IFERROR(INDEX(PMtbl[[WKst]:[Unit of measure*]],MATCH($A$115&amp;$A150&amp;$E150&amp;$I150,INDEX(PMtbl[Sec]&amp;PMtbl[Category]&amp;PMtbl[Each]&amp;PMtbl[Packaging],0,),0),11),""),"")</f>
        <v/>
      </c>
      <c r="BI150" s="819"/>
      <c r="BJ150" s="502" t="str" cm="1">
        <f t="array" ref="BJ150">IFERROR(INDEX(SETUP!$C$19:$G$121,MATCH((INDEX(PMtbl[[WKst]:[Unit of measure*]],MATCH($A150&amp;$E150&amp;$I150,INDEX(PMtbl[Category]&amp;PMtbl[Each]&amp;PMtbl[Packaging],0,),0),3)),SETUP!$D$19:$D$121,0),5),"")</f>
        <v/>
      </c>
      <c r="BK150" s="542"/>
      <c r="BL150" s="214"/>
      <c r="BO150" s="12">
        <f>IF(N150="",0,IF(SETUP!$E$7="USD",((IF(O150="USD",P150,(P150/'Master Data-C19RM'!$C$2)))),((IF(O150="EUR",P150,(P150*'Master Data-C19RM'!$C$2))))))</f>
        <v>0</v>
      </c>
      <c r="BP150" s="12">
        <f>IF(N150="",0,IF(SETUP!$E$7="USD",((IF(O150="USD",W150,(W150/'Master Data-C19RM'!$D$2)))),((IF(O150="EUR",W150,(W150*'Master Data-C19RM'!$D$2))))))</f>
        <v>0</v>
      </c>
      <c r="BQ150">
        <f>IF(N150="",0,IF(SETUP!$E$7="USD",((IF(O150="USD",AD150,(AD150/'Master Data-C19RM'!$E$2)))),((IF(O150="EUR",AD150,(AD150*'Master Data-C19RM'!$E$2))))))</f>
        <v>0</v>
      </c>
      <c r="BR150">
        <f>IF(N150="",0,IF(SETUP!$E$7="USD",((IF(O150="USD",AK150,(AK150/'Master Data-C19RM'!$F$2)))),((IF(O150="EUR",AK150,(AK150*'Master Data-C19RM'!$F$2))))))</f>
        <v>0</v>
      </c>
      <c r="BS150">
        <f>IF(N150="",0,IF(SETUP!$E$7="USD",((IF(O150="USD",AR150,(AR150/'Master Data-C19RM'!$G$2)))),((IF(O150="EUR",AR150,(AR150*'Master Data-C19RM'!$G$2))))))</f>
        <v>0</v>
      </c>
      <c r="BT150">
        <f>IF(N150="",0,IF(SETUP!$E$7="USD",((IF(O150="USD",AY150,(AY150/'Master Data-C19RM'!$H$2)))),((IF(O150="EUR",AY150,(AY150*'Master Data-C19RM'!$H$2))))))</f>
        <v>0</v>
      </c>
      <c r="BU150" s="12">
        <f t="shared" si="22"/>
        <v>0</v>
      </c>
      <c r="BV150" s="142">
        <f t="shared" si="23"/>
        <v>0</v>
      </c>
    </row>
    <row r="151" spans="1:74" x14ac:dyDescent="0.35">
      <c r="A151" s="1192"/>
      <c r="B151" s="1192"/>
      <c r="C151" s="1192"/>
      <c r="D151" s="1192"/>
      <c r="E151" s="1173"/>
      <c r="F151" s="1173"/>
      <c r="G151" s="1173"/>
      <c r="H151" s="1173"/>
      <c r="I151" s="1173"/>
      <c r="J151" s="1173"/>
      <c r="K151" s="1173"/>
      <c r="L151" s="493" t="str" cm="1">
        <f t="array" ref="L151">IF(A151&lt;&gt;"",IFERROR(INDEX(PMtbl[[WKst]:[Unit of measure*]],MATCH($A$115&amp;$A151&amp;$E151&amp;$I151,INDEX(PMtbl[Sec]&amp;PMtbl[Category]&amp;PMtbl[Each]&amp;PMtbl[Packaging],0,),0),14),""),"")</f>
        <v/>
      </c>
      <c r="M151" s="480" t="str">
        <f>IF(L151="","",INDEX(SETUP!$E$20:$E$122,(MATCH(INDEX(PMsheet!$D:$E,MATCH(A151,PMsheet!E:E,0),1),SETUP!$D$20:$D$122,0))))</f>
        <v/>
      </c>
      <c r="N151" s="494">
        <f>IF($O151="USD",_xlfn.IFNA(VLOOKUP(A151&amp;E151&amp;I151,PMsheet!J:K,2,0),0),(_xlfn.IFNA(VLOOKUP(A151&amp;E151&amp;I151,PMsheet!J:K,2,0),0)*'Master Data-C19RM'!$C$2))</f>
        <v>0</v>
      </c>
      <c r="O151" s="495" t="str">
        <f>IF(L151="", "",SETUP!$E$7)</f>
        <v/>
      </c>
      <c r="P151" s="457">
        <f>IF($O151="USD",_xlfn.IFNA(VLOOKUP($A151&amp;$E151&amp;$I151,PMsheet!$J:$K,2,0),0),(_xlfn.IFNA(VLOOKUP($A151&amp;$E151&amp;$I151,PMsheet!$J:$K,2,0),0)*'Master Data-C19RM'!$C$2))</f>
        <v>0</v>
      </c>
      <c r="Q151" s="440"/>
      <c r="R151" s="440"/>
      <c r="S151" s="440"/>
      <c r="T151" s="440"/>
      <c r="U151" s="482">
        <f t="shared" si="17"/>
        <v>0</v>
      </c>
      <c r="V151" s="484">
        <f>IF(SETUP!$E$7="USD",(U151*(IF(O151="USD",P151,(P151/'Master Data-C19RM'!$C$2)))),(U151*(IF(O151="EUR",P151,(P151*'Master Data-C19RM'!$C$2)))))</f>
        <v>0</v>
      </c>
      <c r="W151" s="445">
        <f>IF($O151="USD",_xlfn.IFNA(VLOOKUP($A151&amp;$E151&amp;$I151,PMsheet!$J:$K,2,0),0),(_xlfn.IFNA(VLOOKUP($A151&amp;$E151&amp;$I151,PMsheet!$J:$K,2,0),0)*'Master Data-C19RM'!$D$2))</f>
        <v>0</v>
      </c>
      <c r="X151" s="440"/>
      <c r="Y151" s="440"/>
      <c r="Z151" s="440"/>
      <c r="AA151" s="440"/>
      <c r="AB151" s="482">
        <f t="shared" si="18"/>
        <v>0</v>
      </c>
      <c r="AC151" s="484">
        <f>IF(SETUP!$E$7="USD",(AB151*(IF(O151="USD",W151,(W151/'Master Data-C19RM'!$D$2)))),(AB151*(IF(O151="EUR",W151,(W151*'Master Data-C19RM'!$D$2)))))</f>
        <v>0</v>
      </c>
      <c r="AD151" s="445">
        <f>IF($O151="USD",_xlfn.IFNA(VLOOKUP($A151&amp;$E151&amp;$I151,PMsheet!$J:$K,2,0),0),(_xlfn.IFNA(VLOOKUP($A151&amp;$E151&amp;$I151,PMsheet!$J:$K,2,0),0)*'Master Data-C19RM'!$E$2))</f>
        <v>0</v>
      </c>
      <c r="AE151" s="440"/>
      <c r="AF151" s="440"/>
      <c r="AG151" s="440"/>
      <c r="AH151" s="440"/>
      <c r="AI151" s="514">
        <f t="shared" si="19"/>
        <v>0</v>
      </c>
      <c r="AJ151" s="515">
        <f>IF(SETUP!$E$7="USD",(AI151*(IF(O151="USD",AD151,(AD151/'Master Data-C19RM'!$E$2)))),(AI151*(IF(O151="EUR",AD151,(AD151*'Master Data-C19RM'!$E$2)))))</f>
        <v>0</v>
      </c>
      <c r="AK151" s="445">
        <f>IF($O151="USD",_xlfn.IFNA(VLOOKUP($A151&amp;$E151&amp;$I151,PMsheet!$J:$K,2,0),0),(_xlfn.IFNA(VLOOKUP($A151&amp;$E151&amp;$I151,PMsheet!$J:$K,2,0),0)*'Master Data-C19RM'!$F$2))</f>
        <v>0</v>
      </c>
      <c r="AL151" s="440"/>
      <c r="AM151" s="440"/>
      <c r="AN151" s="440"/>
      <c r="AO151" s="440"/>
      <c r="AP151" s="514">
        <f t="shared" si="20"/>
        <v>0</v>
      </c>
      <c r="AQ151" s="515">
        <f>IF(SETUP!$E$7="USD",(AP151*(IF(O151="USD",AK151,(AK151/'Master Data-C19RM'!$F$2)))),(AP151*(IF(O151="EUR",AK151,(AK151*'Master Data-C19RM'!$F$2)))))</f>
        <v>0</v>
      </c>
      <c r="AR151" s="925">
        <f>IF($O151="USD",_xlfn.IFNA(VLOOKUP($A151&amp;$E151&amp;$I151,PMsheet!$J:$K,2,0),0),(_xlfn.IFNA(VLOOKUP($A151&amp;$E151&amp;$I151,PMsheet!$J:$K,2,0),0)*'Master Data-C19RM'!$G$2))</f>
        <v>0</v>
      </c>
      <c r="AS151" s="926"/>
      <c r="AT151" s="926"/>
      <c r="AU151" s="926"/>
      <c r="AV151" s="926"/>
      <c r="AW151" s="514">
        <f t="shared" si="21"/>
        <v>0</v>
      </c>
      <c r="AX151" s="515">
        <f>IF(SETUP!$E$7="USD",(AW151*(IF(O151="USD",AR151,(AR151/'Master Data-C19RM'!$G$2)))),(AW151*(IF(O151="EUR",AR151,(AR151*'Master Data-C19RM'!$G$2)))))</f>
        <v>0</v>
      </c>
      <c r="AY151" s="845"/>
      <c r="AZ151" s="846"/>
      <c r="BA151" s="846"/>
      <c r="BB151" s="846"/>
      <c r="BC151" s="846"/>
      <c r="BD151" s="846"/>
      <c r="BE151" s="847"/>
      <c r="BF151" s="514">
        <f>'C19RM 2021-Lab &amp; Other HPS'!$U151+'C19RM 2021-Lab &amp; Other HPS'!$AB151+'C19RM 2021-Lab &amp; Other HPS'!$AP151+'C19RM 2021-Lab &amp; Other HPS'!$AI151+AW151+BD151</f>
        <v>0</v>
      </c>
      <c r="BG151" s="514">
        <f>'C19RM 2021-Lab &amp; Other HPS'!$V151+'C19RM 2021-Lab &amp; Other HPS'!$AC151+'C19RM 2021-Lab &amp; Other HPS'!$AQ151+'C19RM 2021-Lab &amp; Other HPS'!$AJ151+AX151+BE151</f>
        <v>0</v>
      </c>
      <c r="BH151" s="522" t="str" cm="1">
        <f t="array" ref="BH151">IF(A151&lt;&gt;"",IFERROR(INDEX(PMtbl[[WKst]:[Unit of measure*]],MATCH($A$115&amp;$A151&amp;$E151&amp;$I151,INDEX(PMtbl[Sec]&amp;PMtbl[Category]&amp;PMtbl[Each]&amp;PMtbl[Packaging],0,),0),11),""),"")</f>
        <v/>
      </c>
      <c r="BI151" s="818"/>
      <c r="BJ151" s="503" t="str" cm="1">
        <f t="array" ref="BJ151">IFERROR(INDEX(SETUP!$C$19:$G$121,MATCH((INDEX(PMtbl[[WKst]:[Unit of measure*]],MATCH($A151&amp;$E151&amp;$I151,INDEX(PMtbl[Category]&amp;PMtbl[Each]&amp;PMtbl[Packaging],0,),0),3)),SETUP!$D$19:$D$121,0),5),"")</f>
        <v/>
      </c>
      <c r="BK151" s="543"/>
      <c r="BL151" s="215"/>
      <c r="BO151" s="12">
        <f>IF(N151="",0,IF(SETUP!$E$7="USD",((IF(O151="USD",P151,(P151/'Master Data-C19RM'!$C$2)))),((IF(O151="EUR",P151,(P151*'Master Data-C19RM'!$C$2))))))</f>
        <v>0</v>
      </c>
      <c r="BP151" s="12">
        <f>IF(N151="",0,IF(SETUP!$E$7="USD",((IF(O151="USD",W151,(W151/'Master Data-C19RM'!$D$2)))),((IF(O151="EUR",W151,(W151*'Master Data-C19RM'!$D$2))))))</f>
        <v>0</v>
      </c>
      <c r="BQ151">
        <f>IF(N151="",0,IF(SETUP!$E$7="USD",((IF(O151="USD",AD151,(AD151/'Master Data-C19RM'!$E$2)))),((IF(O151="EUR",AD151,(AD151*'Master Data-C19RM'!$E$2))))))</f>
        <v>0</v>
      </c>
      <c r="BR151">
        <f>IF(N151="",0,IF(SETUP!$E$7="USD",((IF(O151="USD",AK151,(AK151/'Master Data-C19RM'!$F$2)))),((IF(O151="EUR",AK151,(AK151*'Master Data-C19RM'!$F$2))))))</f>
        <v>0</v>
      </c>
      <c r="BS151">
        <f>IF(N151="",0,IF(SETUP!$E$7="USD",((IF(O151="USD",AR151,(AR151/'Master Data-C19RM'!$G$2)))),((IF(O151="EUR",AR151,(AR151*'Master Data-C19RM'!$G$2))))))</f>
        <v>0</v>
      </c>
      <c r="BT151">
        <f>IF(N151="",0,IF(SETUP!$E$7="USD",((IF(O151="USD",AY151,(AY151/'Master Data-C19RM'!$H$2)))),((IF(O151="EUR",AY151,(AY151*'Master Data-C19RM'!$H$2))))))</f>
        <v>0</v>
      </c>
      <c r="BU151" s="12">
        <f t="shared" si="22"/>
        <v>0</v>
      </c>
      <c r="BV151" s="142">
        <f t="shared" si="23"/>
        <v>0</v>
      </c>
    </row>
    <row r="152" spans="1:74" x14ac:dyDescent="0.35">
      <c r="A152" s="1165"/>
      <c r="B152" s="1165"/>
      <c r="C152" s="1165"/>
      <c r="D152" s="1165"/>
      <c r="E152" s="1166"/>
      <c r="F152" s="1166"/>
      <c r="G152" s="1166"/>
      <c r="H152" s="1166"/>
      <c r="I152" s="1166"/>
      <c r="J152" s="1166"/>
      <c r="K152" s="1166"/>
      <c r="L152" s="490" t="str" cm="1">
        <f t="array" ref="L152">IF(A152&lt;&gt;"",IFERROR(INDEX(PMtbl[[WKst]:[Unit of measure*]],MATCH($A$115&amp;$A152&amp;$E152&amp;$I152,INDEX(PMtbl[Sec]&amp;PMtbl[Category]&amp;PMtbl[Each]&amp;PMtbl[Packaging],0,),0),14),""),"")</f>
        <v/>
      </c>
      <c r="M152" s="479" t="str">
        <f>IF(L152="","",INDEX(SETUP!$E$20:$E$122,(MATCH(INDEX(PMsheet!$D:$E,MATCH(A152,PMsheet!E:E,0),1),SETUP!$D$20:$D$122,0))))</f>
        <v/>
      </c>
      <c r="N152" s="491">
        <f>IF($O152="USD",_xlfn.IFNA(VLOOKUP(A152&amp;E152&amp;I152,PMsheet!J:K,2,0),0),(_xlfn.IFNA(VLOOKUP(A152&amp;E152&amp;I152,PMsheet!J:K,2,0),0)*'Master Data-C19RM'!$C$2))</f>
        <v>0</v>
      </c>
      <c r="O152" s="492" t="str">
        <f>IF(L152="", "",SETUP!$E$7)</f>
        <v/>
      </c>
      <c r="P152" s="456">
        <f>IF($O152="USD",_xlfn.IFNA(VLOOKUP($A152&amp;$E152&amp;$I152,PMsheet!$J:$K,2,0),0),(_xlfn.IFNA(VLOOKUP($A152&amp;$E152&amp;$I152,PMsheet!$J:$K,2,0),0)*'Master Data-C19RM'!$C$2))</f>
        <v>0</v>
      </c>
      <c r="Q152" s="441"/>
      <c r="R152" s="441"/>
      <c r="S152" s="441"/>
      <c r="T152" s="441"/>
      <c r="U152" s="481">
        <f t="shared" si="17"/>
        <v>0</v>
      </c>
      <c r="V152" s="483">
        <f>IF(SETUP!$E$7="USD",(U152*(IF(O152="USD",P152,(P152/'Master Data-C19RM'!$C$2)))),(U152*(IF(O152="EUR",P152,(P152*'Master Data-C19RM'!$C$2)))))</f>
        <v>0</v>
      </c>
      <c r="W152" s="444">
        <f>IF($O152="USD",_xlfn.IFNA(VLOOKUP($A152&amp;$E152&amp;$I152,PMsheet!$J:$K,2,0),0),(_xlfn.IFNA(VLOOKUP($A152&amp;$E152&amp;$I152,PMsheet!$J:$K,2,0),0)*'Master Data-C19RM'!$D$2))</f>
        <v>0</v>
      </c>
      <c r="X152" s="441"/>
      <c r="Y152" s="441"/>
      <c r="Z152" s="441"/>
      <c r="AA152" s="441"/>
      <c r="AB152" s="481">
        <f t="shared" si="18"/>
        <v>0</v>
      </c>
      <c r="AC152" s="483">
        <f>IF(SETUP!$E$7="USD",(AB152*(IF(O152="USD",W152,(W152/'Master Data-C19RM'!$D$2)))),(AB152*(IF(O152="EUR",W152,(W152*'Master Data-C19RM'!$D$2)))))</f>
        <v>0</v>
      </c>
      <c r="AD152" s="444">
        <f>IF($O152="USD",_xlfn.IFNA(VLOOKUP($A152&amp;$E152&amp;$I152,PMsheet!$J:$K,2,0),0),(_xlfn.IFNA(VLOOKUP($A152&amp;$E152&amp;$I152,PMsheet!$J:$K,2,0),0)*'Master Data-C19RM'!$E$2))</f>
        <v>0</v>
      </c>
      <c r="AE152" s="441"/>
      <c r="AF152" s="441"/>
      <c r="AG152" s="441"/>
      <c r="AH152" s="441"/>
      <c r="AI152" s="512">
        <f t="shared" si="19"/>
        <v>0</v>
      </c>
      <c r="AJ152" s="513">
        <f>IF(SETUP!$E$7="USD",(AI152*(IF(O152="USD",AD152,(AD152/'Master Data-C19RM'!$E$2)))),(AI152*(IF(O152="EUR",AD152,(AD152*'Master Data-C19RM'!$E$2)))))</f>
        <v>0</v>
      </c>
      <c r="AK152" s="444">
        <f>IF($O152="USD",_xlfn.IFNA(VLOOKUP($A152&amp;$E152&amp;$I152,PMsheet!$J:$K,2,0),0),(_xlfn.IFNA(VLOOKUP($A152&amp;$E152&amp;$I152,PMsheet!$J:$K,2,0),0)*'Master Data-C19RM'!$F$2))</f>
        <v>0</v>
      </c>
      <c r="AL152" s="441"/>
      <c r="AM152" s="441"/>
      <c r="AN152" s="441"/>
      <c r="AO152" s="441"/>
      <c r="AP152" s="512">
        <f t="shared" si="20"/>
        <v>0</v>
      </c>
      <c r="AQ152" s="513">
        <f>IF(SETUP!$E$7="USD",(AP152*(IF(O152="USD",AK152,(AK152/'Master Data-C19RM'!$F$2)))),(AP152*(IF(O152="EUR",AK152,(AK152*'Master Data-C19RM'!$F$2)))))</f>
        <v>0</v>
      </c>
      <c r="AR152" s="924">
        <f>IF($O152="USD",_xlfn.IFNA(VLOOKUP($A152&amp;$E152&amp;$I152,PMsheet!$J:$K,2,0),0),(_xlfn.IFNA(VLOOKUP($A152&amp;$E152&amp;$I152,PMsheet!$J:$K,2,0),0)*'Master Data-C19RM'!$G$2))</f>
        <v>0</v>
      </c>
      <c r="AS152" s="572"/>
      <c r="AT152" s="572"/>
      <c r="AU152" s="572"/>
      <c r="AV152" s="572"/>
      <c r="AW152" s="512">
        <f t="shared" si="21"/>
        <v>0</v>
      </c>
      <c r="AX152" s="513">
        <f>IF(SETUP!$E$7="USD",(AW152*(IF(O152="USD",AR152,(AR152/'Master Data-C19RM'!$G$2)))),(AW152*(IF(O152="EUR",AR152,(AR152*'Master Data-C19RM'!$G$2)))))</f>
        <v>0</v>
      </c>
      <c r="AY152" s="845"/>
      <c r="AZ152" s="846"/>
      <c r="BA152" s="846"/>
      <c r="BB152" s="846"/>
      <c r="BC152" s="846"/>
      <c r="BD152" s="846"/>
      <c r="BE152" s="847"/>
      <c r="BF152" s="512">
        <f>'C19RM 2021-Lab &amp; Other HPS'!$U152+'C19RM 2021-Lab &amp; Other HPS'!$AB152+'C19RM 2021-Lab &amp; Other HPS'!$AP152+'C19RM 2021-Lab &amp; Other HPS'!$AI152+AW152+BD152</f>
        <v>0</v>
      </c>
      <c r="BG152" s="512">
        <f>'C19RM 2021-Lab &amp; Other HPS'!$V152+'C19RM 2021-Lab &amp; Other HPS'!$AC152+'C19RM 2021-Lab &amp; Other HPS'!$AQ152+'C19RM 2021-Lab &amp; Other HPS'!$AJ152+AX152+BE152</f>
        <v>0</v>
      </c>
      <c r="BH152" s="500" t="str" cm="1">
        <f t="array" ref="BH152">IF(A152&lt;&gt;"",IFERROR(INDEX(PMtbl[[WKst]:[Unit of measure*]],MATCH($A$115&amp;$A152&amp;$E152&amp;$I152,INDEX(PMtbl[Sec]&amp;PMtbl[Category]&amp;PMtbl[Each]&amp;PMtbl[Packaging],0,),0),11),""),"")</f>
        <v/>
      </c>
      <c r="BI152" s="819"/>
      <c r="BJ152" s="502" t="str" cm="1">
        <f t="array" ref="BJ152">IFERROR(INDEX(SETUP!$C$19:$G$121,MATCH((INDEX(PMtbl[[WKst]:[Unit of measure*]],MATCH($A152&amp;$E152&amp;$I152,INDEX(PMtbl[Category]&amp;PMtbl[Each]&amp;PMtbl[Packaging],0,),0),3)),SETUP!$D$19:$D$121,0),5),"")</f>
        <v/>
      </c>
      <c r="BK152" s="542"/>
      <c r="BL152" s="214"/>
      <c r="BO152" s="12">
        <f>IF(N152="",0,IF(SETUP!$E$7="USD",((IF(O152="USD",P152,(P152/'Master Data-C19RM'!$C$2)))),((IF(O152="EUR",P152,(P152*'Master Data-C19RM'!$C$2))))))</f>
        <v>0</v>
      </c>
      <c r="BP152" s="12">
        <f>IF(N152="",0,IF(SETUP!$E$7="USD",((IF(O152="USD",W152,(W152/'Master Data-C19RM'!$D$2)))),((IF(O152="EUR",W152,(W152*'Master Data-C19RM'!$D$2))))))</f>
        <v>0</v>
      </c>
      <c r="BQ152">
        <f>IF(N152="",0,IF(SETUP!$E$7="USD",((IF(O152="USD",AD152,(AD152/'Master Data-C19RM'!$E$2)))),((IF(O152="EUR",AD152,(AD152*'Master Data-C19RM'!$E$2))))))</f>
        <v>0</v>
      </c>
      <c r="BR152">
        <f>IF(N152="",0,IF(SETUP!$E$7="USD",((IF(O152="USD",AK152,(AK152/'Master Data-C19RM'!$F$2)))),((IF(O152="EUR",AK152,(AK152*'Master Data-C19RM'!$F$2))))))</f>
        <v>0</v>
      </c>
      <c r="BS152">
        <f>IF(N152="",0,IF(SETUP!$E$7="USD",((IF(O152="USD",AR152,(AR152/'Master Data-C19RM'!$G$2)))),((IF(O152="EUR",AR152,(AR152*'Master Data-C19RM'!$G$2))))))</f>
        <v>0</v>
      </c>
      <c r="BT152">
        <f>IF(N152="",0,IF(SETUP!$E$7="USD",((IF(O152="USD",AY152,(AY152/'Master Data-C19RM'!$H$2)))),((IF(O152="EUR",AY152,(AY152*'Master Data-C19RM'!$H$2))))))</f>
        <v>0</v>
      </c>
      <c r="BU152" s="12">
        <f t="shared" si="22"/>
        <v>0</v>
      </c>
      <c r="BV152" s="142">
        <f t="shared" si="23"/>
        <v>0</v>
      </c>
    </row>
    <row r="153" spans="1:74" x14ac:dyDescent="0.35">
      <c r="A153" s="1192"/>
      <c r="B153" s="1192"/>
      <c r="C153" s="1192"/>
      <c r="D153" s="1192"/>
      <c r="E153" s="1173"/>
      <c r="F153" s="1173"/>
      <c r="G153" s="1173"/>
      <c r="H153" s="1173"/>
      <c r="I153" s="1173"/>
      <c r="J153" s="1173"/>
      <c r="K153" s="1173"/>
      <c r="L153" s="493" t="str" cm="1">
        <f t="array" ref="L153">IF(A153&lt;&gt;"",IFERROR(INDEX(PMtbl[[WKst]:[Unit of measure*]],MATCH($A$115&amp;$A153&amp;$E153&amp;$I153,INDEX(PMtbl[Sec]&amp;PMtbl[Category]&amp;PMtbl[Each]&amp;PMtbl[Packaging],0,),0),14),""),"")</f>
        <v/>
      </c>
      <c r="M153" s="480" t="str">
        <f>IF(L153="","",INDEX(SETUP!$E$20:$E$122,(MATCH(INDEX(PMsheet!$D:$E,MATCH(A153,PMsheet!E:E,0),1),SETUP!$D$20:$D$122,0))))</f>
        <v/>
      </c>
      <c r="N153" s="494">
        <f>IF($O153="USD",_xlfn.IFNA(VLOOKUP(A153&amp;E153&amp;I153,PMsheet!J:K,2,0),0),(_xlfn.IFNA(VLOOKUP(A153&amp;E153&amp;I153,PMsheet!J:K,2,0),0)*'Master Data-C19RM'!$C$2))</f>
        <v>0</v>
      </c>
      <c r="O153" s="495" t="str">
        <f>IF(L153="", "",SETUP!$E$7)</f>
        <v/>
      </c>
      <c r="P153" s="457">
        <f>IF($O153="USD",_xlfn.IFNA(VLOOKUP($A153&amp;$E153&amp;$I153,PMsheet!$J:$K,2,0),0),(_xlfn.IFNA(VLOOKUP($A153&amp;$E153&amp;$I153,PMsheet!$J:$K,2,0),0)*'Master Data-C19RM'!$C$2))</f>
        <v>0</v>
      </c>
      <c r="Q153" s="440"/>
      <c r="R153" s="440"/>
      <c r="S153" s="440"/>
      <c r="T153" s="440"/>
      <c r="U153" s="482">
        <f t="shared" si="17"/>
        <v>0</v>
      </c>
      <c r="V153" s="484">
        <f>IF(SETUP!$E$7="USD",(U153*(IF(O153="USD",P153,(P153/'Master Data-C19RM'!$C$2)))),(U153*(IF(O153="EUR",P153,(P153*'Master Data-C19RM'!$C$2)))))</f>
        <v>0</v>
      </c>
      <c r="W153" s="445">
        <f>IF($O153="USD",_xlfn.IFNA(VLOOKUP($A153&amp;$E153&amp;$I153,PMsheet!$J:$K,2,0),0),(_xlfn.IFNA(VLOOKUP($A153&amp;$E153&amp;$I153,PMsheet!$J:$K,2,0),0)*'Master Data-C19RM'!$D$2))</f>
        <v>0</v>
      </c>
      <c r="X153" s="440"/>
      <c r="Y153" s="440"/>
      <c r="Z153" s="440"/>
      <c r="AA153" s="440"/>
      <c r="AB153" s="482">
        <f t="shared" si="18"/>
        <v>0</v>
      </c>
      <c r="AC153" s="484">
        <f>IF(SETUP!$E$7="USD",(AB153*(IF(O153="USD",W153,(W153/'Master Data-C19RM'!$D$2)))),(AB153*(IF(O153="EUR",W153,(W153*'Master Data-C19RM'!$D$2)))))</f>
        <v>0</v>
      </c>
      <c r="AD153" s="445">
        <f>IF($O153="USD",_xlfn.IFNA(VLOOKUP($A153&amp;$E153&amp;$I153,PMsheet!$J:$K,2,0),0),(_xlfn.IFNA(VLOOKUP($A153&amp;$E153&amp;$I153,PMsheet!$J:$K,2,0),0)*'Master Data-C19RM'!$E$2))</f>
        <v>0</v>
      </c>
      <c r="AE153" s="440"/>
      <c r="AF153" s="440"/>
      <c r="AG153" s="440"/>
      <c r="AH153" s="440"/>
      <c r="AI153" s="514">
        <f t="shared" si="19"/>
        <v>0</v>
      </c>
      <c r="AJ153" s="515">
        <f>IF(SETUP!$E$7="USD",(AI153*(IF(O153="USD",AD153,(AD153/'Master Data-C19RM'!$E$2)))),(AI153*(IF(O153="EUR",AD153,(AD153*'Master Data-C19RM'!$E$2)))))</f>
        <v>0</v>
      </c>
      <c r="AK153" s="445">
        <f>IF($O153="USD",_xlfn.IFNA(VLOOKUP($A153&amp;$E153&amp;$I153,PMsheet!$J:$K,2,0),0),(_xlfn.IFNA(VLOOKUP($A153&amp;$E153&amp;$I153,PMsheet!$J:$K,2,0),0)*'Master Data-C19RM'!$F$2))</f>
        <v>0</v>
      </c>
      <c r="AL153" s="440"/>
      <c r="AM153" s="440"/>
      <c r="AN153" s="440"/>
      <c r="AO153" s="440"/>
      <c r="AP153" s="514">
        <f t="shared" si="20"/>
        <v>0</v>
      </c>
      <c r="AQ153" s="515">
        <f>IF(SETUP!$E$7="USD",(AP153*(IF(O153="USD",AK153,(AK153/'Master Data-C19RM'!$F$2)))),(AP153*(IF(O153="EUR",AK153,(AK153*'Master Data-C19RM'!$F$2)))))</f>
        <v>0</v>
      </c>
      <c r="AR153" s="925">
        <f>IF($O153="USD",_xlfn.IFNA(VLOOKUP($A153&amp;$E153&amp;$I153,PMsheet!$J:$K,2,0),0),(_xlfn.IFNA(VLOOKUP($A153&amp;$E153&amp;$I153,PMsheet!$J:$K,2,0),0)*'Master Data-C19RM'!$G$2))</f>
        <v>0</v>
      </c>
      <c r="AS153" s="926"/>
      <c r="AT153" s="926"/>
      <c r="AU153" s="926"/>
      <c r="AV153" s="926"/>
      <c r="AW153" s="514">
        <f t="shared" si="21"/>
        <v>0</v>
      </c>
      <c r="AX153" s="515">
        <f>IF(SETUP!$E$7="USD",(AW153*(IF(O153="USD",AR153,(AR153/'Master Data-C19RM'!$G$2)))),(AW153*(IF(O153="EUR",AR153,(AR153*'Master Data-C19RM'!$G$2)))))</f>
        <v>0</v>
      </c>
      <c r="AY153" s="845"/>
      <c r="AZ153" s="846"/>
      <c r="BA153" s="846"/>
      <c r="BB153" s="846"/>
      <c r="BC153" s="846"/>
      <c r="BD153" s="846"/>
      <c r="BE153" s="847"/>
      <c r="BF153" s="514">
        <f>'C19RM 2021-Lab &amp; Other HPS'!$U153+'C19RM 2021-Lab &amp; Other HPS'!$AB153+'C19RM 2021-Lab &amp; Other HPS'!$AP153+'C19RM 2021-Lab &amp; Other HPS'!$AI153+AW153+BD153</f>
        <v>0</v>
      </c>
      <c r="BG153" s="514">
        <f>'C19RM 2021-Lab &amp; Other HPS'!$V153+'C19RM 2021-Lab &amp; Other HPS'!$AC153+'C19RM 2021-Lab &amp; Other HPS'!$AQ153+'C19RM 2021-Lab &amp; Other HPS'!$AJ153+AX153+BE153</f>
        <v>0</v>
      </c>
      <c r="BH153" s="522" t="str" cm="1">
        <f t="array" ref="BH153">IF(A153&lt;&gt;"",IFERROR(INDEX(PMtbl[[WKst]:[Unit of measure*]],MATCH($A$115&amp;$A153&amp;$E153&amp;$I153,INDEX(PMtbl[Sec]&amp;PMtbl[Category]&amp;PMtbl[Each]&amp;PMtbl[Packaging],0,),0),11),""),"")</f>
        <v/>
      </c>
      <c r="BI153" s="818"/>
      <c r="BJ153" s="503" t="str" cm="1">
        <f t="array" ref="BJ153">IFERROR(INDEX(SETUP!$C$19:$G$121,MATCH((INDEX(PMtbl[[WKst]:[Unit of measure*]],MATCH($A153&amp;$E153&amp;$I153,INDEX(PMtbl[Category]&amp;PMtbl[Each]&amp;PMtbl[Packaging],0,),0),3)),SETUP!$D$19:$D$121,0),5),"")</f>
        <v/>
      </c>
      <c r="BK153" s="543"/>
      <c r="BL153" s="215"/>
      <c r="BO153" s="12">
        <f>IF(N153="",0,IF(SETUP!$E$7="USD",((IF(O153="USD",P153,(P153/'Master Data-C19RM'!$C$2)))),((IF(O153="EUR",P153,(P153*'Master Data-C19RM'!$C$2))))))</f>
        <v>0</v>
      </c>
      <c r="BP153" s="12">
        <f>IF(N153="",0,IF(SETUP!$E$7="USD",((IF(O153="USD",W153,(W153/'Master Data-C19RM'!$D$2)))),((IF(O153="EUR",W153,(W153*'Master Data-C19RM'!$D$2))))))</f>
        <v>0</v>
      </c>
      <c r="BQ153">
        <f>IF(N153="",0,IF(SETUP!$E$7="USD",((IF(O153="USD",AD153,(AD153/'Master Data-C19RM'!$E$2)))),((IF(O153="EUR",AD153,(AD153*'Master Data-C19RM'!$E$2))))))</f>
        <v>0</v>
      </c>
      <c r="BR153">
        <f>IF(N153="",0,IF(SETUP!$E$7="USD",((IF(O153="USD",AK153,(AK153/'Master Data-C19RM'!$F$2)))),((IF(O153="EUR",AK153,(AK153*'Master Data-C19RM'!$F$2))))))</f>
        <v>0</v>
      </c>
      <c r="BS153">
        <f>IF(N153="",0,IF(SETUP!$E$7="USD",((IF(O153="USD",AR153,(AR153/'Master Data-C19RM'!$G$2)))),((IF(O153="EUR",AR153,(AR153*'Master Data-C19RM'!$G$2))))))</f>
        <v>0</v>
      </c>
      <c r="BT153">
        <f>IF(N153="",0,IF(SETUP!$E$7="USD",((IF(O153="USD",AY153,(AY153/'Master Data-C19RM'!$H$2)))),((IF(O153="EUR",AY153,(AY153*'Master Data-C19RM'!$H$2))))))</f>
        <v>0</v>
      </c>
      <c r="BU153" s="12">
        <f t="shared" si="22"/>
        <v>0</v>
      </c>
      <c r="BV153" s="142">
        <f t="shared" si="23"/>
        <v>0</v>
      </c>
    </row>
    <row r="154" spans="1:74" x14ac:dyDescent="0.35">
      <c r="A154" s="1165"/>
      <c r="B154" s="1165"/>
      <c r="C154" s="1165"/>
      <c r="D154" s="1165"/>
      <c r="E154" s="1166"/>
      <c r="F154" s="1166"/>
      <c r="G154" s="1166"/>
      <c r="H154" s="1166"/>
      <c r="I154" s="1166"/>
      <c r="J154" s="1166"/>
      <c r="K154" s="1166"/>
      <c r="L154" s="490" t="str" cm="1">
        <f t="array" ref="L154">IF(A154&lt;&gt;"",IFERROR(INDEX(PMtbl[[WKst]:[Unit of measure*]],MATCH($A$115&amp;$A154&amp;$E154&amp;$I154,INDEX(PMtbl[Sec]&amp;PMtbl[Category]&amp;PMtbl[Each]&amp;PMtbl[Packaging],0,),0),14),""),"")</f>
        <v/>
      </c>
      <c r="M154" s="479" t="str">
        <f>IF(L154="","",INDEX(SETUP!$E$20:$E$122,(MATCH(INDEX(PMsheet!$D:$E,MATCH(A154,PMsheet!E:E,0),1),SETUP!$D$20:$D$122,0))))</f>
        <v/>
      </c>
      <c r="N154" s="491">
        <f>IF($O154="USD",_xlfn.IFNA(VLOOKUP(A154&amp;E154&amp;I154,PMsheet!J:K,2,0),0),(_xlfn.IFNA(VLOOKUP(A154&amp;E154&amp;I154,PMsheet!J:K,2,0),0)*'Master Data-C19RM'!$C$2))</f>
        <v>0</v>
      </c>
      <c r="O154" s="492" t="str">
        <f>IF(L154="", "",SETUP!$E$7)</f>
        <v/>
      </c>
      <c r="P154" s="456">
        <f>IF($O154="USD",_xlfn.IFNA(VLOOKUP($A154&amp;$E154&amp;$I154,PMsheet!$J:$K,2,0),0),(_xlfn.IFNA(VLOOKUP($A154&amp;$E154&amp;$I154,PMsheet!$J:$K,2,0),0)*'Master Data-C19RM'!$C$2))</f>
        <v>0</v>
      </c>
      <c r="Q154" s="441"/>
      <c r="R154" s="441"/>
      <c r="S154" s="441"/>
      <c r="T154" s="441"/>
      <c r="U154" s="481">
        <f t="shared" si="17"/>
        <v>0</v>
      </c>
      <c r="V154" s="483">
        <f>IF(SETUP!$E$7="USD",(U154*(IF(O154="USD",P154,(P154/'Master Data-C19RM'!$C$2)))),(U154*(IF(O154="EUR",P154,(P154*'Master Data-C19RM'!$C$2)))))</f>
        <v>0</v>
      </c>
      <c r="W154" s="444">
        <f>IF($O154="USD",_xlfn.IFNA(VLOOKUP($A154&amp;$E154&amp;$I154,PMsheet!$J:$K,2,0),0),(_xlfn.IFNA(VLOOKUP($A154&amp;$E154&amp;$I154,PMsheet!$J:$K,2,0),0)*'Master Data-C19RM'!$D$2))</f>
        <v>0</v>
      </c>
      <c r="X154" s="441"/>
      <c r="Y154" s="441"/>
      <c r="Z154" s="441"/>
      <c r="AA154" s="441"/>
      <c r="AB154" s="481">
        <f t="shared" si="18"/>
        <v>0</v>
      </c>
      <c r="AC154" s="483">
        <f>IF(SETUP!$E$7="USD",(AB154*(IF(O154="USD",W154,(W154/'Master Data-C19RM'!$D$2)))),(AB154*(IF(O154="EUR",W154,(W154*'Master Data-C19RM'!$D$2)))))</f>
        <v>0</v>
      </c>
      <c r="AD154" s="444">
        <f>IF($O154="USD",_xlfn.IFNA(VLOOKUP($A154&amp;$E154&amp;$I154,PMsheet!$J:$K,2,0),0),(_xlfn.IFNA(VLOOKUP($A154&amp;$E154&amp;$I154,PMsheet!$J:$K,2,0),0)*'Master Data-C19RM'!$E$2))</f>
        <v>0</v>
      </c>
      <c r="AE154" s="441"/>
      <c r="AF154" s="441"/>
      <c r="AG154" s="441"/>
      <c r="AH154" s="441"/>
      <c r="AI154" s="512">
        <f t="shared" si="19"/>
        <v>0</v>
      </c>
      <c r="AJ154" s="513">
        <f>IF(SETUP!$E$7="USD",(AI154*(IF(O154="USD",AD154,(AD154/'Master Data-C19RM'!$E$2)))),(AI154*(IF(O154="EUR",AD154,(AD154*'Master Data-C19RM'!$E$2)))))</f>
        <v>0</v>
      </c>
      <c r="AK154" s="444">
        <f>IF($O154="USD",_xlfn.IFNA(VLOOKUP($A154&amp;$E154&amp;$I154,PMsheet!$J:$K,2,0),0),(_xlfn.IFNA(VLOOKUP($A154&amp;$E154&amp;$I154,PMsheet!$J:$K,2,0),0)*'Master Data-C19RM'!$F$2))</f>
        <v>0</v>
      </c>
      <c r="AL154" s="441"/>
      <c r="AM154" s="441"/>
      <c r="AN154" s="441"/>
      <c r="AO154" s="441"/>
      <c r="AP154" s="512">
        <f t="shared" si="20"/>
        <v>0</v>
      </c>
      <c r="AQ154" s="513">
        <f>IF(SETUP!$E$7="USD",(AP154*(IF(O154="USD",AK154,(AK154/'Master Data-C19RM'!$F$2)))),(AP154*(IF(O154="EUR",AK154,(AK154*'Master Data-C19RM'!$F$2)))))</f>
        <v>0</v>
      </c>
      <c r="AR154" s="924">
        <f>IF($O154="USD",_xlfn.IFNA(VLOOKUP($A154&amp;$E154&amp;$I154,PMsheet!$J:$K,2,0),0),(_xlfn.IFNA(VLOOKUP($A154&amp;$E154&amp;$I154,PMsheet!$J:$K,2,0),0)*'Master Data-C19RM'!$G$2))</f>
        <v>0</v>
      </c>
      <c r="AS154" s="572"/>
      <c r="AT154" s="572"/>
      <c r="AU154" s="572"/>
      <c r="AV154" s="572"/>
      <c r="AW154" s="512">
        <f t="shared" si="21"/>
        <v>0</v>
      </c>
      <c r="AX154" s="513">
        <f>IF(SETUP!$E$7="USD",(AW154*(IF(O154="USD",AR154,(AR154/'Master Data-C19RM'!$G$2)))),(AW154*(IF(O154="EUR",AR154,(AR154*'Master Data-C19RM'!$G$2)))))</f>
        <v>0</v>
      </c>
      <c r="AY154" s="845"/>
      <c r="AZ154" s="846"/>
      <c r="BA154" s="846"/>
      <c r="BB154" s="846"/>
      <c r="BC154" s="846"/>
      <c r="BD154" s="846"/>
      <c r="BE154" s="847"/>
      <c r="BF154" s="512">
        <f>'C19RM 2021-Lab &amp; Other HPS'!$U154+'C19RM 2021-Lab &amp; Other HPS'!$AB154+'C19RM 2021-Lab &amp; Other HPS'!$AP154+'C19RM 2021-Lab &amp; Other HPS'!$AI154+AW154+BD154</f>
        <v>0</v>
      </c>
      <c r="BG154" s="512">
        <f>'C19RM 2021-Lab &amp; Other HPS'!$V154+'C19RM 2021-Lab &amp; Other HPS'!$AC154+'C19RM 2021-Lab &amp; Other HPS'!$AQ154+'C19RM 2021-Lab &amp; Other HPS'!$AJ154+AX154+BE154</f>
        <v>0</v>
      </c>
      <c r="BH154" s="500" t="str" cm="1">
        <f t="array" ref="BH154">IF(A154&lt;&gt;"",IFERROR(INDEX(PMtbl[[WKst]:[Unit of measure*]],MATCH($A$115&amp;$A154&amp;$E154&amp;$I154,INDEX(PMtbl[Sec]&amp;PMtbl[Category]&amp;PMtbl[Each]&amp;PMtbl[Packaging],0,),0),11),""),"")</f>
        <v/>
      </c>
      <c r="BI154" s="819"/>
      <c r="BJ154" s="502" t="str" cm="1">
        <f t="array" ref="BJ154">IFERROR(INDEX(SETUP!$C$19:$G$121,MATCH((INDEX(PMtbl[[WKst]:[Unit of measure*]],MATCH($A154&amp;$E154&amp;$I154,INDEX(PMtbl[Category]&amp;PMtbl[Each]&amp;PMtbl[Packaging],0,),0),3)),SETUP!$D$19:$D$121,0),5),"")</f>
        <v/>
      </c>
      <c r="BK154" s="542"/>
      <c r="BL154" s="214"/>
      <c r="BO154" s="12">
        <f>IF(N154="",0,IF(SETUP!$E$7="USD",((IF(O154="USD",P154,(P154/'Master Data-C19RM'!$C$2)))),((IF(O154="EUR",P154,(P154*'Master Data-C19RM'!$C$2))))))</f>
        <v>0</v>
      </c>
      <c r="BP154" s="12">
        <f>IF(N154="",0,IF(SETUP!$E$7="USD",((IF(O154="USD",W154,(W154/'Master Data-C19RM'!$D$2)))),((IF(O154="EUR",W154,(W154*'Master Data-C19RM'!$D$2))))))</f>
        <v>0</v>
      </c>
      <c r="BQ154">
        <f>IF(N154="",0,IF(SETUP!$E$7="USD",((IF(O154="USD",AD154,(AD154/'Master Data-C19RM'!$E$2)))),((IF(O154="EUR",AD154,(AD154*'Master Data-C19RM'!$E$2))))))</f>
        <v>0</v>
      </c>
      <c r="BR154">
        <f>IF(N154="",0,IF(SETUP!$E$7="USD",((IF(O154="USD",AK154,(AK154/'Master Data-C19RM'!$F$2)))),((IF(O154="EUR",AK154,(AK154*'Master Data-C19RM'!$F$2))))))</f>
        <v>0</v>
      </c>
      <c r="BS154">
        <f>IF(N154="",0,IF(SETUP!$E$7="USD",((IF(O154="USD",AR154,(AR154/'Master Data-C19RM'!$G$2)))),((IF(O154="EUR",AR154,(AR154*'Master Data-C19RM'!$G$2))))))</f>
        <v>0</v>
      </c>
      <c r="BT154">
        <f>IF(N154="",0,IF(SETUP!$E$7="USD",((IF(O154="USD",AY154,(AY154/'Master Data-C19RM'!$H$2)))),((IF(O154="EUR",AY154,(AY154*'Master Data-C19RM'!$H$2))))))</f>
        <v>0</v>
      </c>
      <c r="BU154" s="12">
        <f t="shared" si="22"/>
        <v>0</v>
      </c>
      <c r="BV154" s="142">
        <f t="shared" si="23"/>
        <v>0</v>
      </c>
    </row>
    <row r="155" spans="1:74" x14ac:dyDescent="0.35">
      <c r="A155" s="1192"/>
      <c r="B155" s="1192"/>
      <c r="C155" s="1192"/>
      <c r="D155" s="1192"/>
      <c r="E155" s="1173"/>
      <c r="F155" s="1173"/>
      <c r="G155" s="1173"/>
      <c r="H155" s="1173"/>
      <c r="I155" s="1173"/>
      <c r="J155" s="1173"/>
      <c r="K155" s="1173"/>
      <c r="L155" s="493" t="str" cm="1">
        <f t="array" ref="L155">IF(A155&lt;&gt;"",IFERROR(INDEX(PMtbl[[WKst]:[Unit of measure*]],MATCH($A$115&amp;$A155&amp;$E155&amp;$I155,INDEX(PMtbl[Sec]&amp;PMtbl[Category]&amp;PMtbl[Each]&amp;PMtbl[Packaging],0,),0),14),""),"")</f>
        <v/>
      </c>
      <c r="M155" s="480" t="str">
        <f>IF(L155="","",INDEX(SETUP!$E$20:$E$122,(MATCH(INDEX(PMsheet!$D:$E,MATCH(A155,PMsheet!E:E,0),1),SETUP!$D$20:$D$122,0))))</f>
        <v/>
      </c>
      <c r="N155" s="494">
        <f>IF($O155="USD",_xlfn.IFNA(VLOOKUP(A155&amp;E155&amp;I155,PMsheet!J:K,2,0),0),(_xlfn.IFNA(VLOOKUP(A155&amp;E155&amp;I155,PMsheet!J:K,2,0),0)*'Master Data-C19RM'!$C$2))</f>
        <v>0</v>
      </c>
      <c r="O155" s="495" t="str">
        <f>IF(L155="", "",SETUP!$E$7)</f>
        <v/>
      </c>
      <c r="P155" s="457">
        <f>IF($O155="USD",_xlfn.IFNA(VLOOKUP($A155&amp;$E155&amp;$I155,PMsheet!$J:$K,2,0),0),(_xlfn.IFNA(VLOOKUP($A155&amp;$E155&amp;$I155,PMsheet!$J:$K,2,0),0)*'Master Data-C19RM'!$C$2))</f>
        <v>0</v>
      </c>
      <c r="Q155" s="440"/>
      <c r="R155" s="440"/>
      <c r="S155" s="440"/>
      <c r="T155" s="440"/>
      <c r="U155" s="482">
        <f t="shared" si="17"/>
        <v>0</v>
      </c>
      <c r="V155" s="484">
        <f>IF(SETUP!$E$7="USD",(U155*(IF(O155="USD",P155,(P155/'Master Data-C19RM'!$C$2)))),(U155*(IF(O155="EUR",P155,(P155*'Master Data-C19RM'!$C$2)))))</f>
        <v>0</v>
      </c>
      <c r="W155" s="445">
        <f>IF($O155="USD",_xlfn.IFNA(VLOOKUP($A155&amp;$E155&amp;$I155,PMsheet!$J:$K,2,0),0),(_xlfn.IFNA(VLOOKUP($A155&amp;$E155&amp;$I155,PMsheet!$J:$K,2,0),0)*'Master Data-C19RM'!$D$2))</f>
        <v>0</v>
      </c>
      <c r="X155" s="440"/>
      <c r="Y155" s="440"/>
      <c r="Z155" s="440"/>
      <c r="AA155" s="440"/>
      <c r="AB155" s="482">
        <f t="shared" si="18"/>
        <v>0</v>
      </c>
      <c r="AC155" s="484">
        <f>IF(SETUP!$E$7="USD",(AB155*(IF(O155="USD",W155,(W155/'Master Data-C19RM'!$D$2)))),(AB155*(IF(O155="EUR",W155,(W155*'Master Data-C19RM'!$D$2)))))</f>
        <v>0</v>
      </c>
      <c r="AD155" s="445">
        <f>IF($O155="USD",_xlfn.IFNA(VLOOKUP($A155&amp;$E155&amp;$I155,PMsheet!$J:$K,2,0),0),(_xlfn.IFNA(VLOOKUP($A155&amp;$E155&amp;$I155,PMsheet!$J:$K,2,0),0)*'Master Data-C19RM'!$E$2))</f>
        <v>0</v>
      </c>
      <c r="AE155" s="440"/>
      <c r="AF155" s="440"/>
      <c r="AG155" s="440"/>
      <c r="AH155" s="440"/>
      <c r="AI155" s="514">
        <f t="shared" si="19"/>
        <v>0</v>
      </c>
      <c r="AJ155" s="515">
        <f>IF(SETUP!$E$7="USD",(AI155*(IF(O155="USD",AD155,(AD155/'Master Data-C19RM'!$E$2)))),(AI155*(IF(O155="EUR",AD155,(AD155*'Master Data-C19RM'!$E$2)))))</f>
        <v>0</v>
      </c>
      <c r="AK155" s="445">
        <f>IF($O155="USD",_xlfn.IFNA(VLOOKUP($A155&amp;$E155&amp;$I155,PMsheet!$J:$K,2,0),0),(_xlfn.IFNA(VLOOKUP($A155&amp;$E155&amp;$I155,PMsheet!$J:$K,2,0),0)*'Master Data-C19RM'!$F$2))</f>
        <v>0</v>
      </c>
      <c r="AL155" s="440"/>
      <c r="AM155" s="440"/>
      <c r="AN155" s="440"/>
      <c r="AO155" s="440"/>
      <c r="AP155" s="514">
        <f t="shared" si="20"/>
        <v>0</v>
      </c>
      <c r="AQ155" s="515">
        <f>IF(SETUP!$E$7="USD",(AP155*(IF(O155="USD",AK155,(AK155/'Master Data-C19RM'!$F$2)))),(AP155*(IF(O155="EUR",AK155,(AK155*'Master Data-C19RM'!$F$2)))))</f>
        <v>0</v>
      </c>
      <c r="AR155" s="925">
        <f>IF($O155="USD",_xlfn.IFNA(VLOOKUP($A155&amp;$E155&amp;$I155,PMsheet!$J:$K,2,0),0),(_xlfn.IFNA(VLOOKUP($A155&amp;$E155&amp;$I155,PMsheet!$J:$K,2,0),0)*'Master Data-C19RM'!$G$2))</f>
        <v>0</v>
      </c>
      <c r="AS155" s="926"/>
      <c r="AT155" s="926"/>
      <c r="AU155" s="926"/>
      <c r="AV155" s="926"/>
      <c r="AW155" s="514">
        <f t="shared" si="21"/>
        <v>0</v>
      </c>
      <c r="AX155" s="515">
        <f>IF(SETUP!$E$7="USD",(AW155*(IF(O155="USD",AR155,(AR155/'Master Data-C19RM'!$G$2)))),(AW155*(IF(O155="EUR",AR155,(AR155*'Master Data-C19RM'!$G$2)))))</f>
        <v>0</v>
      </c>
      <c r="AY155" s="845"/>
      <c r="AZ155" s="846"/>
      <c r="BA155" s="846"/>
      <c r="BB155" s="846"/>
      <c r="BC155" s="846"/>
      <c r="BD155" s="846"/>
      <c r="BE155" s="847"/>
      <c r="BF155" s="514">
        <f>'C19RM 2021-Lab &amp; Other HPS'!$U155+'C19RM 2021-Lab &amp; Other HPS'!$AB155+'C19RM 2021-Lab &amp; Other HPS'!$AP155+'C19RM 2021-Lab &amp; Other HPS'!$AI155+AW155+BD155</f>
        <v>0</v>
      </c>
      <c r="BG155" s="514">
        <f>'C19RM 2021-Lab &amp; Other HPS'!$V155+'C19RM 2021-Lab &amp; Other HPS'!$AC155+'C19RM 2021-Lab &amp; Other HPS'!$AQ155+'C19RM 2021-Lab &amp; Other HPS'!$AJ155+AX155+BE155</f>
        <v>0</v>
      </c>
      <c r="BH155" s="522" t="str" cm="1">
        <f t="array" ref="BH155">IF(A155&lt;&gt;"",IFERROR(INDEX(PMtbl[[WKst]:[Unit of measure*]],MATCH($A$115&amp;$A155&amp;$E155&amp;$I155,INDEX(PMtbl[Sec]&amp;PMtbl[Category]&amp;PMtbl[Each]&amp;PMtbl[Packaging],0,),0),11),""),"")</f>
        <v/>
      </c>
      <c r="BI155" s="818"/>
      <c r="BJ155" s="503" t="str" cm="1">
        <f t="array" ref="BJ155">IFERROR(INDEX(SETUP!$C$19:$G$121,MATCH((INDEX(PMtbl[[WKst]:[Unit of measure*]],MATCH($A155&amp;$E155&amp;$I155,INDEX(PMtbl[Category]&amp;PMtbl[Each]&amp;PMtbl[Packaging],0,),0),3)),SETUP!$D$19:$D$121,0),5),"")</f>
        <v/>
      </c>
      <c r="BK155" s="543"/>
      <c r="BL155" s="215"/>
      <c r="BO155" s="12">
        <f>IF(N155="",0,IF(SETUP!$E$7="USD",((IF(O155="USD",P155,(P155/'Master Data-C19RM'!$C$2)))),((IF(O155="EUR",P155,(P155*'Master Data-C19RM'!$C$2))))))</f>
        <v>0</v>
      </c>
      <c r="BP155" s="12">
        <f>IF(N155="",0,IF(SETUP!$E$7="USD",((IF(O155="USD",W155,(W155/'Master Data-C19RM'!$D$2)))),((IF(O155="EUR",W155,(W155*'Master Data-C19RM'!$D$2))))))</f>
        <v>0</v>
      </c>
      <c r="BQ155">
        <f>IF(N155="",0,IF(SETUP!$E$7="USD",((IF(O155="USD",AD155,(AD155/'Master Data-C19RM'!$E$2)))),((IF(O155="EUR",AD155,(AD155*'Master Data-C19RM'!$E$2))))))</f>
        <v>0</v>
      </c>
      <c r="BR155">
        <f>IF(N155="",0,IF(SETUP!$E$7="USD",((IF(O155="USD",AK155,(AK155/'Master Data-C19RM'!$F$2)))),((IF(O155="EUR",AK155,(AK155*'Master Data-C19RM'!$F$2))))))</f>
        <v>0</v>
      </c>
      <c r="BS155">
        <f>IF(N155="",0,IF(SETUP!$E$7="USD",((IF(O155="USD",AR155,(AR155/'Master Data-C19RM'!$G$2)))),((IF(O155="EUR",AR155,(AR155*'Master Data-C19RM'!$G$2))))))</f>
        <v>0</v>
      </c>
      <c r="BT155">
        <f>IF(N155="",0,IF(SETUP!$E$7="USD",((IF(O155="USD",AY155,(AY155/'Master Data-C19RM'!$H$2)))),((IF(O155="EUR",AY155,(AY155*'Master Data-C19RM'!$H$2))))))</f>
        <v>0</v>
      </c>
      <c r="BU155" s="12">
        <f t="shared" si="22"/>
        <v>0</v>
      </c>
      <c r="BV155" s="142">
        <f t="shared" si="23"/>
        <v>0</v>
      </c>
    </row>
    <row r="156" spans="1:74" x14ac:dyDescent="0.35">
      <c r="A156" s="1165"/>
      <c r="B156" s="1165"/>
      <c r="C156" s="1165"/>
      <c r="D156" s="1165"/>
      <c r="E156" s="1166"/>
      <c r="F156" s="1166"/>
      <c r="G156" s="1166"/>
      <c r="H156" s="1166"/>
      <c r="I156" s="1166"/>
      <c r="J156" s="1166"/>
      <c r="K156" s="1166"/>
      <c r="L156" s="490" t="str" cm="1">
        <f t="array" ref="L156">IF(A156&lt;&gt;"",IFERROR(INDEX(PMtbl[[WKst]:[Unit of measure*]],MATCH($A$115&amp;$A156&amp;$E156&amp;$I156,INDEX(PMtbl[Sec]&amp;PMtbl[Category]&amp;PMtbl[Each]&amp;PMtbl[Packaging],0,),0),14),""),"")</f>
        <v/>
      </c>
      <c r="M156" s="479" t="str">
        <f>IF(L156="","",INDEX(SETUP!$E$20:$E$122,(MATCH(INDEX(PMsheet!$D:$E,MATCH(A156,PMsheet!E:E,0),1),SETUP!$D$20:$D$122,0))))</f>
        <v/>
      </c>
      <c r="N156" s="491">
        <f>IF($O156="USD",_xlfn.IFNA(VLOOKUP(A156&amp;E156&amp;I156,PMsheet!J:K,2,0),0),(_xlfn.IFNA(VLOOKUP(A156&amp;E156&amp;I156,PMsheet!J:K,2,0),0)*'Master Data-C19RM'!$C$2))</f>
        <v>0</v>
      </c>
      <c r="O156" s="492" t="str">
        <f>IF(L156="", "",SETUP!$E$7)</f>
        <v/>
      </c>
      <c r="P156" s="456">
        <f>IF($O156="USD",_xlfn.IFNA(VLOOKUP($A156&amp;$E156&amp;$I156,PMsheet!$J:$K,2,0),0),(_xlfn.IFNA(VLOOKUP($A156&amp;$E156&amp;$I156,PMsheet!$J:$K,2,0),0)*'Master Data-C19RM'!$C$2))</f>
        <v>0</v>
      </c>
      <c r="Q156" s="441"/>
      <c r="R156" s="441"/>
      <c r="S156" s="441"/>
      <c r="T156" s="441"/>
      <c r="U156" s="481">
        <f t="shared" si="17"/>
        <v>0</v>
      </c>
      <c r="V156" s="483">
        <f>IF(SETUP!$E$7="USD",(U156*(IF(O156="USD",P156,(P156/'Master Data-C19RM'!$C$2)))),(U156*(IF(O156="EUR",P156,(P156*'Master Data-C19RM'!$C$2)))))</f>
        <v>0</v>
      </c>
      <c r="W156" s="444">
        <f>IF($O156="USD",_xlfn.IFNA(VLOOKUP($A156&amp;$E156&amp;$I156,PMsheet!$J:$K,2,0),0),(_xlfn.IFNA(VLOOKUP($A156&amp;$E156&amp;$I156,PMsheet!$J:$K,2,0),0)*'Master Data-C19RM'!$D$2))</f>
        <v>0</v>
      </c>
      <c r="X156" s="441"/>
      <c r="Y156" s="441"/>
      <c r="Z156" s="441"/>
      <c r="AA156" s="441"/>
      <c r="AB156" s="481">
        <f t="shared" si="18"/>
        <v>0</v>
      </c>
      <c r="AC156" s="483">
        <f>IF(SETUP!$E$7="USD",(AB156*(IF(O156="USD",W156,(W156/'Master Data-C19RM'!$D$2)))),(AB156*(IF(O156="EUR",W156,(W156*'Master Data-C19RM'!$D$2)))))</f>
        <v>0</v>
      </c>
      <c r="AD156" s="444">
        <f>IF($O156="USD",_xlfn.IFNA(VLOOKUP($A156&amp;$E156&amp;$I156,PMsheet!$J:$K,2,0),0),(_xlfn.IFNA(VLOOKUP($A156&amp;$E156&amp;$I156,PMsheet!$J:$K,2,0),0)*'Master Data-C19RM'!$E$2))</f>
        <v>0</v>
      </c>
      <c r="AE156" s="441"/>
      <c r="AF156" s="441"/>
      <c r="AG156" s="441"/>
      <c r="AH156" s="441"/>
      <c r="AI156" s="512">
        <f t="shared" si="19"/>
        <v>0</v>
      </c>
      <c r="AJ156" s="513">
        <f>IF(SETUP!$E$7="USD",(AI156*(IF(O156="USD",AD156,(AD156/'Master Data-C19RM'!$E$2)))),(AI156*(IF(O156="EUR",AD156,(AD156*'Master Data-C19RM'!$E$2)))))</f>
        <v>0</v>
      </c>
      <c r="AK156" s="444">
        <f>IF($O156="USD",_xlfn.IFNA(VLOOKUP($A156&amp;$E156&amp;$I156,PMsheet!$J:$K,2,0),0),(_xlfn.IFNA(VLOOKUP($A156&amp;$E156&amp;$I156,PMsheet!$J:$K,2,0),0)*'Master Data-C19RM'!$F$2))</f>
        <v>0</v>
      </c>
      <c r="AL156" s="441"/>
      <c r="AM156" s="441"/>
      <c r="AN156" s="441"/>
      <c r="AO156" s="441"/>
      <c r="AP156" s="512">
        <f t="shared" si="20"/>
        <v>0</v>
      </c>
      <c r="AQ156" s="513">
        <f>IF(SETUP!$E$7="USD",(AP156*(IF(O156="USD",AK156,(AK156/'Master Data-C19RM'!$F$2)))),(AP156*(IF(O156="EUR",AK156,(AK156*'Master Data-C19RM'!$F$2)))))</f>
        <v>0</v>
      </c>
      <c r="AR156" s="924">
        <f>IF($O156="USD",_xlfn.IFNA(VLOOKUP($A156&amp;$E156&amp;$I156,PMsheet!$J:$K,2,0),0),(_xlfn.IFNA(VLOOKUP($A156&amp;$E156&amp;$I156,PMsheet!$J:$K,2,0),0)*'Master Data-C19RM'!$G$2))</f>
        <v>0</v>
      </c>
      <c r="AS156" s="572"/>
      <c r="AT156" s="572"/>
      <c r="AU156" s="572"/>
      <c r="AV156" s="572"/>
      <c r="AW156" s="512">
        <f t="shared" si="21"/>
        <v>0</v>
      </c>
      <c r="AX156" s="513">
        <f>IF(SETUP!$E$7="USD",(AW156*(IF(O156="USD",AR156,(AR156/'Master Data-C19RM'!$G$2)))),(AW156*(IF(O156="EUR",AR156,(AR156*'Master Data-C19RM'!$G$2)))))</f>
        <v>0</v>
      </c>
      <c r="AY156" s="845"/>
      <c r="AZ156" s="846"/>
      <c r="BA156" s="846"/>
      <c r="BB156" s="846"/>
      <c r="BC156" s="846"/>
      <c r="BD156" s="846"/>
      <c r="BE156" s="847"/>
      <c r="BF156" s="512">
        <f>'C19RM 2021-Lab &amp; Other HPS'!$U156+'C19RM 2021-Lab &amp; Other HPS'!$AB156+'C19RM 2021-Lab &amp; Other HPS'!$AP156+'C19RM 2021-Lab &amp; Other HPS'!$AI156+AW156+BD156</f>
        <v>0</v>
      </c>
      <c r="BG156" s="512">
        <f>'C19RM 2021-Lab &amp; Other HPS'!$V156+'C19RM 2021-Lab &amp; Other HPS'!$AC156+'C19RM 2021-Lab &amp; Other HPS'!$AQ156+'C19RM 2021-Lab &amp; Other HPS'!$AJ156+AX156+BE156</f>
        <v>0</v>
      </c>
      <c r="BH156" s="500" t="str" cm="1">
        <f t="array" ref="BH156">IF(A156&lt;&gt;"",IFERROR(INDEX(PMtbl[[WKst]:[Unit of measure*]],MATCH($A$115&amp;$A156&amp;$E156&amp;$I156,INDEX(PMtbl[Sec]&amp;PMtbl[Category]&amp;PMtbl[Each]&amp;PMtbl[Packaging],0,),0),11),""),"")</f>
        <v/>
      </c>
      <c r="BI156" s="819"/>
      <c r="BJ156" s="502" t="str" cm="1">
        <f t="array" ref="BJ156">IFERROR(INDEX(SETUP!$C$19:$G$121,MATCH((INDEX(PMtbl[[WKst]:[Unit of measure*]],MATCH($A156&amp;$E156&amp;$I156,INDEX(PMtbl[Category]&amp;PMtbl[Each]&amp;PMtbl[Packaging],0,),0),3)),SETUP!$D$19:$D$121,0),5),"")</f>
        <v/>
      </c>
      <c r="BK156" s="542"/>
      <c r="BL156" s="214"/>
      <c r="BO156" s="12">
        <f>IF(N156="",0,IF(SETUP!$E$7="USD",((IF(O156="USD",P156,(P156/'Master Data-C19RM'!$C$2)))),((IF(O156="EUR",P156,(P156*'Master Data-C19RM'!$C$2))))))</f>
        <v>0</v>
      </c>
      <c r="BP156" s="12">
        <f>IF(N156="",0,IF(SETUP!$E$7="USD",((IF(O156="USD",W156,(W156/'Master Data-C19RM'!$D$2)))),((IF(O156="EUR",W156,(W156*'Master Data-C19RM'!$D$2))))))</f>
        <v>0</v>
      </c>
      <c r="BQ156">
        <f>IF(N156="",0,IF(SETUP!$E$7="USD",((IF(O156="USD",AD156,(AD156/'Master Data-C19RM'!$E$2)))),((IF(O156="EUR",AD156,(AD156*'Master Data-C19RM'!$E$2))))))</f>
        <v>0</v>
      </c>
      <c r="BR156">
        <f>IF(N156="",0,IF(SETUP!$E$7="USD",((IF(O156="USD",AK156,(AK156/'Master Data-C19RM'!$F$2)))),((IF(O156="EUR",AK156,(AK156*'Master Data-C19RM'!$F$2))))))</f>
        <v>0</v>
      </c>
      <c r="BS156">
        <f>IF(N156="",0,IF(SETUP!$E$7="USD",((IF(O156="USD",AR156,(AR156/'Master Data-C19RM'!$G$2)))),((IF(O156="EUR",AR156,(AR156*'Master Data-C19RM'!$G$2))))))</f>
        <v>0</v>
      </c>
      <c r="BT156">
        <f>IF(N156="",0,IF(SETUP!$E$7="USD",((IF(O156="USD",AY156,(AY156/'Master Data-C19RM'!$H$2)))),((IF(O156="EUR",AY156,(AY156*'Master Data-C19RM'!$H$2))))))</f>
        <v>0</v>
      </c>
      <c r="BU156" s="12">
        <f t="shared" si="22"/>
        <v>0</v>
      </c>
      <c r="BV156" s="142">
        <f t="shared" si="23"/>
        <v>0</v>
      </c>
    </row>
    <row r="157" spans="1:74" x14ac:dyDescent="0.35">
      <c r="A157" s="1192"/>
      <c r="B157" s="1192"/>
      <c r="C157" s="1192"/>
      <c r="D157" s="1192"/>
      <c r="E157" s="1173"/>
      <c r="F157" s="1173"/>
      <c r="G157" s="1173"/>
      <c r="H157" s="1173"/>
      <c r="I157" s="1173"/>
      <c r="J157" s="1173"/>
      <c r="K157" s="1173"/>
      <c r="L157" s="493" t="str" cm="1">
        <f t="array" ref="L157">IF(A157&lt;&gt;"",IFERROR(INDEX(PMtbl[[WKst]:[Unit of measure*]],MATCH($A$115&amp;$A157&amp;$E157&amp;$I157,INDEX(PMtbl[Sec]&amp;PMtbl[Category]&amp;PMtbl[Each]&amp;PMtbl[Packaging],0,),0),14),""),"")</f>
        <v/>
      </c>
      <c r="M157" s="480" t="str">
        <f>IF(L157="","",INDEX(SETUP!$E$20:$E$122,(MATCH(INDEX(PMsheet!$D:$E,MATCH(A157,PMsheet!E:E,0),1),SETUP!$D$20:$D$122,0))))</f>
        <v/>
      </c>
      <c r="N157" s="494">
        <f>IF($O157="USD",_xlfn.IFNA(VLOOKUP(A157&amp;E157&amp;I157,PMsheet!J:K,2,0),0),(_xlfn.IFNA(VLOOKUP(A157&amp;E157&amp;I157,PMsheet!J:K,2,0),0)*'Master Data-C19RM'!$C$2))</f>
        <v>0</v>
      </c>
      <c r="O157" s="495" t="str">
        <f>IF(L157="", "",SETUP!$E$7)</f>
        <v/>
      </c>
      <c r="P157" s="457">
        <f>IF($O157="USD",_xlfn.IFNA(VLOOKUP($A157&amp;$E157&amp;$I157,PMsheet!$J:$K,2,0),0),(_xlfn.IFNA(VLOOKUP($A157&amp;$E157&amp;$I157,PMsheet!$J:$K,2,0),0)*'Master Data-C19RM'!$C$2))</f>
        <v>0</v>
      </c>
      <c r="Q157" s="440"/>
      <c r="R157" s="440"/>
      <c r="S157" s="440"/>
      <c r="T157" s="440"/>
      <c r="U157" s="482">
        <f t="shared" si="17"/>
        <v>0</v>
      </c>
      <c r="V157" s="484">
        <f>IF(SETUP!$E$7="USD",(U157*(IF(O157="USD",P157,(P157/'Master Data-C19RM'!$C$2)))),(U157*(IF(O157="EUR",P157,(P157*'Master Data-C19RM'!$C$2)))))</f>
        <v>0</v>
      </c>
      <c r="W157" s="445">
        <f>IF($O157="USD",_xlfn.IFNA(VLOOKUP($A157&amp;$E157&amp;$I157,PMsheet!$J:$K,2,0),0),(_xlfn.IFNA(VLOOKUP($A157&amp;$E157&amp;$I157,PMsheet!$J:$K,2,0),0)*'Master Data-C19RM'!$D$2))</f>
        <v>0</v>
      </c>
      <c r="X157" s="440"/>
      <c r="Y157" s="440"/>
      <c r="Z157" s="440"/>
      <c r="AA157" s="440"/>
      <c r="AB157" s="482">
        <f t="shared" si="18"/>
        <v>0</v>
      </c>
      <c r="AC157" s="484">
        <f>IF(SETUP!$E$7="USD",(AB157*(IF(O157="USD",W157,(W157/'Master Data-C19RM'!$D$2)))),(AB157*(IF(O157="EUR",W157,(W157*'Master Data-C19RM'!$D$2)))))</f>
        <v>0</v>
      </c>
      <c r="AD157" s="445">
        <f>IF($O157="USD",_xlfn.IFNA(VLOOKUP($A157&amp;$E157&amp;$I157,PMsheet!$J:$K,2,0),0),(_xlfn.IFNA(VLOOKUP($A157&amp;$E157&amp;$I157,PMsheet!$J:$K,2,0),0)*'Master Data-C19RM'!$E$2))</f>
        <v>0</v>
      </c>
      <c r="AE157" s="440"/>
      <c r="AF157" s="440"/>
      <c r="AG157" s="440"/>
      <c r="AH157" s="440"/>
      <c r="AI157" s="514">
        <f t="shared" si="19"/>
        <v>0</v>
      </c>
      <c r="AJ157" s="515">
        <f>IF(SETUP!$E$7="USD",(AI157*(IF(O157="USD",AD157,(AD157/'Master Data-C19RM'!$E$2)))),(AI157*(IF(O157="EUR",AD157,(AD157*'Master Data-C19RM'!$E$2)))))</f>
        <v>0</v>
      </c>
      <c r="AK157" s="445">
        <f>IF($O157="USD",_xlfn.IFNA(VLOOKUP($A157&amp;$E157&amp;$I157,PMsheet!$J:$K,2,0),0),(_xlfn.IFNA(VLOOKUP($A157&amp;$E157&amp;$I157,PMsheet!$J:$K,2,0),0)*'Master Data-C19RM'!$F$2))</f>
        <v>0</v>
      </c>
      <c r="AL157" s="440"/>
      <c r="AM157" s="440"/>
      <c r="AN157" s="440"/>
      <c r="AO157" s="440"/>
      <c r="AP157" s="514">
        <f t="shared" si="20"/>
        <v>0</v>
      </c>
      <c r="AQ157" s="515">
        <f>IF(SETUP!$E$7="USD",(AP157*(IF(O157="USD",AK157,(AK157/'Master Data-C19RM'!$F$2)))),(AP157*(IF(O157="EUR",AK157,(AK157*'Master Data-C19RM'!$F$2)))))</f>
        <v>0</v>
      </c>
      <c r="AR157" s="925">
        <f>IF($O157="USD",_xlfn.IFNA(VLOOKUP($A157&amp;$E157&amp;$I157,PMsheet!$J:$K,2,0),0),(_xlfn.IFNA(VLOOKUP($A157&amp;$E157&amp;$I157,PMsheet!$J:$K,2,0),0)*'Master Data-C19RM'!$G$2))</f>
        <v>0</v>
      </c>
      <c r="AS157" s="926"/>
      <c r="AT157" s="926"/>
      <c r="AU157" s="926"/>
      <c r="AV157" s="926"/>
      <c r="AW157" s="514">
        <f t="shared" si="21"/>
        <v>0</v>
      </c>
      <c r="AX157" s="515">
        <f>IF(SETUP!$E$7="USD",(AW157*(IF(O157="USD",AR157,(AR157/'Master Data-C19RM'!$G$2)))),(AW157*(IF(O157="EUR",AR157,(AR157*'Master Data-C19RM'!$G$2)))))</f>
        <v>0</v>
      </c>
      <c r="AY157" s="845"/>
      <c r="AZ157" s="846"/>
      <c r="BA157" s="846"/>
      <c r="BB157" s="846"/>
      <c r="BC157" s="846"/>
      <c r="BD157" s="846"/>
      <c r="BE157" s="847"/>
      <c r="BF157" s="514">
        <f>'C19RM 2021-Lab &amp; Other HPS'!$U157+'C19RM 2021-Lab &amp; Other HPS'!$AB157+'C19RM 2021-Lab &amp; Other HPS'!$AP157+'C19RM 2021-Lab &amp; Other HPS'!$AI157+AW157+BD157</f>
        <v>0</v>
      </c>
      <c r="BG157" s="514">
        <f>'C19RM 2021-Lab &amp; Other HPS'!$V157+'C19RM 2021-Lab &amp; Other HPS'!$AC157+'C19RM 2021-Lab &amp; Other HPS'!$AQ157+'C19RM 2021-Lab &amp; Other HPS'!$AJ157+AX157+BE157</f>
        <v>0</v>
      </c>
      <c r="BH157" s="522" t="str" cm="1">
        <f t="array" ref="BH157">IF(A157&lt;&gt;"",IFERROR(INDEX(PMtbl[[WKst]:[Unit of measure*]],MATCH($A$115&amp;$A157&amp;$E157&amp;$I157,INDEX(PMtbl[Sec]&amp;PMtbl[Category]&amp;PMtbl[Each]&amp;PMtbl[Packaging],0,),0),11),""),"")</f>
        <v/>
      </c>
      <c r="BI157" s="818"/>
      <c r="BJ157" s="503" t="str" cm="1">
        <f t="array" ref="BJ157">IFERROR(INDEX(SETUP!$C$19:$G$121,MATCH((INDEX(PMtbl[[WKst]:[Unit of measure*]],MATCH($A157&amp;$E157&amp;$I157,INDEX(PMtbl[Category]&amp;PMtbl[Each]&amp;PMtbl[Packaging],0,),0),3)),SETUP!$D$19:$D$121,0),5),"")</f>
        <v/>
      </c>
      <c r="BK157" s="543"/>
      <c r="BL157" s="215"/>
      <c r="BO157" s="12">
        <f>IF(N157="",0,IF(SETUP!$E$7="USD",((IF(O157="USD",P157,(P157/'Master Data-C19RM'!$C$2)))),((IF(O157="EUR",P157,(P157*'Master Data-C19RM'!$C$2))))))</f>
        <v>0</v>
      </c>
      <c r="BP157" s="12">
        <f>IF(N157="",0,IF(SETUP!$E$7="USD",((IF(O157="USD",W157,(W157/'Master Data-C19RM'!$D$2)))),((IF(O157="EUR",W157,(W157*'Master Data-C19RM'!$D$2))))))</f>
        <v>0</v>
      </c>
      <c r="BQ157">
        <f>IF(N157="",0,IF(SETUP!$E$7="USD",((IF(O157="USD",AD157,(AD157/'Master Data-C19RM'!$E$2)))),((IF(O157="EUR",AD157,(AD157*'Master Data-C19RM'!$E$2))))))</f>
        <v>0</v>
      </c>
      <c r="BR157">
        <f>IF(N157="",0,IF(SETUP!$E$7="USD",((IF(O157="USD",AK157,(AK157/'Master Data-C19RM'!$F$2)))),((IF(O157="EUR",AK157,(AK157*'Master Data-C19RM'!$F$2))))))</f>
        <v>0</v>
      </c>
      <c r="BS157">
        <f>IF(N157="",0,IF(SETUP!$E$7="USD",((IF(O157="USD",AR157,(AR157/'Master Data-C19RM'!$G$2)))),((IF(O157="EUR",AR157,(AR157*'Master Data-C19RM'!$G$2))))))</f>
        <v>0</v>
      </c>
      <c r="BT157">
        <f>IF(N157="",0,IF(SETUP!$E$7="USD",((IF(O157="USD",AY157,(AY157/'Master Data-C19RM'!$H$2)))),((IF(O157="EUR",AY157,(AY157*'Master Data-C19RM'!$H$2))))))</f>
        <v>0</v>
      </c>
      <c r="BU157" s="12">
        <f t="shared" si="22"/>
        <v>0</v>
      </c>
      <c r="BV157" s="142">
        <f t="shared" si="23"/>
        <v>0</v>
      </c>
    </row>
    <row r="158" spans="1:74" x14ac:dyDescent="0.35">
      <c r="A158" s="1165"/>
      <c r="B158" s="1165"/>
      <c r="C158" s="1165"/>
      <c r="D158" s="1165"/>
      <c r="E158" s="1166"/>
      <c r="F158" s="1166"/>
      <c r="G158" s="1166"/>
      <c r="H158" s="1166"/>
      <c r="I158" s="1166"/>
      <c r="J158" s="1166"/>
      <c r="K158" s="1166"/>
      <c r="L158" s="490" t="str" cm="1">
        <f t="array" ref="L158">IF(A158&lt;&gt;"",IFERROR(INDEX(PMtbl[[WKst]:[Unit of measure*]],MATCH($A$115&amp;$A158&amp;$E158&amp;$I158,INDEX(PMtbl[Sec]&amp;PMtbl[Category]&amp;PMtbl[Each]&amp;PMtbl[Packaging],0,),0),14),""),"")</f>
        <v/>
      </c>
      <c r="M158" s="479" t="str">
        <f>IF(L158="","",INDEX(SETUP!$E$20:$E$122,(MATCH(INDEX(PMsheet!$D:$E,MATCH(A158,PMsheet!E:E,0),1),SETUP!$D$20:$D$122,0))))</f>
        <v/>
      </c>
      <c r="N158" s="491">
        <f>IF($O158="USD",_xlfn.IFNA(VLOOKUP(A158&amp;E158&amp;I158,PMsheet!J:K,2,0),0),(_xlfn.IFNA(VLOOKUP(A158&amp;E158&amp;I158,PMsheet!J:K,2,0),0)*'Master Data-C19RM'!$C$2))</f>
        <v>0</v>
      </c>
      <c r="O158" s="492" t="str">
        <f>IF(L158="", "",SETUP!$E$7)</f>
        <v/>
      </c>
      <c r="P158" s="456">
        <f>IF($O158="USD",_xlfn.IFNA(VLOOKUP($A158&amp;$E158&amp;$I158,PMsheet!$J:$K,2,0),0),(_xlfn.IFNA(VLOOKUP($A158&amp;$E158&amp;$I158,PMsheet!$J:$K,2,0),0)*'Master Data-C19RM'!$C$2))</f>
        <v>0</v>
      </c>
      <c r="Q158" s="441"/>
      <c r="R158" s="441"/>
      <c r="S158" s="441"/>
      <c r="T158" s="441"/>
      <c r="U158" s="481">
        <f t="shared" si="17"/>
        <v>0</v>
      </c>
      <c r="V158" s="483">
        <f>IF(SETUP!$E$7="USD",(U158*(IF(O158="USD",P158,(P158/'Master Data-C19RM'!$C$2)))),(U158*(IF(O158="EUR",P158,(P158*'Master Data-C19RM'!$C$2)))))</f>
        <v>0</v>
      </c>
      <c r="W158" s="444">
        <f>IF($O158="USD",_xlfn.IFNA(VLOOKUP($A158&amp;$E158&amp;$I158,PMsheet!$J:$K,2,0),0),(_xlfn.IFNA(VLOOKUP($A158&amp;$E158&amp;$I158,PMsheet!$J:$K,2,0),0)*'Master Data-C19RM'!$D$2))</f>
        <v>0</v>
      </c>
      <c r="X158" s="441"/>
      <c r="Y158" s="441"/>
      <c r="Z158" s="441"/>
      <c r="AA158" s="441"/>
      <c r="AB158" s="481">
        <f t="shared" si="18"/>
        <v>0</v>
      </c>
      <c r="AC158" s="483">
        <f>IF(SETUP!$E$7="USD",(AB158*(IF(O158="USD",W158,(W158/'Master Data-C19RM'!$D$2)))),(AB158*(IF(O158="EUR",W158,(W158*'Master Data-C19RM'!$D$2)))))</f>
        <v>0</v>
      </c>
      <c r="AD158" s="444">
        <f>IF($O158="USD",_xlfn.IFNA(VLOOKUP($A158&amp;$E158&amp;$I158,PMsheet!$J:$K,2,0),0),(_xlfn.IFNA(VLOOKUP($A158&amp;$E158&amp;$I158,PMsheet!$J:$K,2,0),0)*'Master Data-C19RM'!$E$2))</f>
        <v>0</v>
      </c>
      <c r="AE158" s="441"/>
      <c r="AF158" s="441"/>
      <c r="AG158" s="441"/>
      <c r="AH158" s="441"/>
      <c r="AI158" s="512">
        <f t="shared" si="19"/>
        <v>0</v>
      </c>
      <c r="AJ158" s="513">
        <f>IF(SETUP!$E$7="USD",(AI158*(IF(O158="USD",AD158,(AD158/'Master Data-C19RM'!$E$2)))),(AI158*(IF(O158="EUR",AD158,(AD158*'Master Data-C19RM'!$E$2)))))</f>
        <v>0</v>
      </c>
      <c r="AK158" s="444">
        <f>IF($O158="USD",_xlfn.IFNA(VLOOKUP($A158&amp;$E158&amp;$I158,PMsheet!$J:$K,2,0),0),(_xlfn.IFNA(VLOOKUP($A158&amp;$E158&amp;$I158,PMsheet!$J:$K,2,0),0)*'Master Data-C19RM'!$F$2))</f>
        <v>0</v>
      </c>
      <c r="AL158" s="441"/>
      <c r="AM158" s="441"/>
      <c r="AN158" s="441"/>
      <c r="AO158" s="441"/>
      <c r="AP158" s="512">
        <f t="shared" si="20"/>
        <v>0</v>
      </c>
      <c r="AQ158" s="513">
        <f>IF(SETUP!$E$7="USD",(AP158*(IF(O158="USD",AK158,(AK158/'Master Data-C19RM'!$F$2)))),(AP158*(IF(O158="EUR",AK158,(AK158*'Master Data-C19RM'!$F$2)))))</f>
        <v>0</v>
      </c>
      <c r="AR158" s="924">
        <f>IF($O158="USD",_xlfn.IFNA(VLOOKUP($A158&amp;$E158&amp;$I158,PMsheet!$J:$K,2,0),0),(_xlfn.IFNA(VLOOKUP($A158&amp;$E158&amp;$I158,PMsheet!$J:$K,2,0),0)*'Master Data-C19RM'!$G$2))</f>
        <v>0</v>
      </c>
      <c r="AS158" s="572"/>
      <c r="AT158" s="572"/>
      <c r="AU158" s="572"/>
      <c r="AV158" s="572"/>
      <c r="AW158" s="512">
        <f t="shared" si="21"/>
        <v>0</v>
      </c>
      <c r="AX158" s="513">
        <f>IF(SETUP!$E$7="USD",(AW158*(IF(O158="USD",AR158,(AR158/'Master Data-C19RM'!$G$2)))),(AW158*(IF(O158="EUR",AR158,(AR158*'Master Data-C19RM'!$G$2)))))</f>
        <v>0</v>
      </c>
      <c r="AY158" s="845"/>
      <c r="AZ158" s="846"/>
      <c r="BA158" s="846"/>
      <c r="BB158" s="846"/>
      <c r="BC158" s="846"/>
      <c r="BD158" s="846"/>
      <c r="BE158" s="847"/>
      <c r="BF158" s="512">
        <f>'C19RM 2021-Lab &amp; Other HPS'!$U158+'C19RM 2021-Lab &amp; Other HPS'!$AB158+'C19RM 2021-Lab &amp; Other HPS'!$AP158+'C19RM 2021-Lab &amp; Other HPS'!$AI158+AW158+BD158</f>
        <v>0</v>
      </c>
      <c r="BG158" s="512">
        <f>'C19RM 2021-Lab &amp; Other HPS'!$V158+'C19RM 2021-Lab &amp; Other HPS'!$AC158+'C19RM 2021-Lab &amp; Other HPS'!$AQ158+'C19RM 2021-Lab &amp; Other HPS'!$AJ158+AX158+BE158</f>
        <v>0</v>
      </c>
      <c r="BH158" s="500" t="str" cm="1">
        <f t="array" ref="BH158">IF(A158&lt;&gt;"",IFERROR(INDEX(PMtbl[[WKst]:[Unit of measure*]],MATCH($A$115&amp;$A158&amp;$E158&amp;$I158,INDEX(PMtbl[Sec]&amp;PMtbl[Category]&amp;PMtbl[Each]&amp;PMtbl[Packaging],0,),0),11),""),"")</f>
        <v/>
      </c>
      <c r="BI158" s="819"/>
      <c r="BJ158" s="502" t="str" cm="1">
        <f t="array" ref="BJ158">IFERROR(INDEX(SETUP!$C$19:$G$121,MATCH((INDEX(PMtbl[[WKst]:[Unit of measure*]],MATCH($A158&amp;$E158&amp;$I158,INDEX(PMtbl[Category]&amp;PMtbl[Each]&amp;PMtbl[Packaging],0,),0),3)),SETUP!$D$19:$D$121,0),5),"")</f>
        <v/>
      </c>
      <c r="BK158" s="542"/>
      <c r="BL158" s="214"/>
      <c r="BO158" s="12">
        <f>IF(N158="",0,IF(SETUP!$E$7="USD",((IF(O158="USD",P158,(P158/'Master Data-C19RM'!$C$2)))),((IF(O158="EUR",P158,(P158*'Master Data-C19RM'!$C$2))))))</f>
        <v>0</v>
      </c>
      <c r="BP158" s="12">
        <f>IF(N158="",0,IF(SETUP!$E$7="USD",((IF(O158="USD",W158,(W158/'Master Data-C19RM'!$D$2)))),((IF(O158="EUR",W158,(W158*'Master Data-C19RM'!$D$2))))))</f>
        <v>0</v>
      </c>
      <c r="BQ158">
        <f>IF(N158="",0,IF(SETUP!$E$7="USD",((IF(O158="USD",AD158,(AD158/'Master Data-C19RM'!$E$2)))),((IF(O158="EUR",AD158,(AD158*'Master Data-C19RM'!$E$2))))))</f>
        <v>0</v>
      </c>
      <c r="BR158">
        <f>IF(N158="",0,IF(SETUP!$E$7="USD",((IF(O158="USD",AK158,(AK158/'Master Data-C19RM'!$F$2)))),((IF(O158="EUR",AK158,(AK158*'Master Data-C19RM'!$F$2))))))</f>
        <v>0</v>
      </c>
      <c r="BS158">
        <f>IF(N158="",0,IF(SETUP!$E$7="USD",((IF(O158="USD",AR158,(AR158/'Master Data-C19RM'!$G$2)))),((IF(O158="EUR",AR158,(AR158*'Master Data-C19RM'!$G$2))))))</f>
        <v>0</v>
      </c>
      <c r="BT158">
        <f>IF(N158="",0,IF(SETUP!$E$7="USD",((IF(O158="USD",AY158,(AY158/'Master Data-C19RM'!$H$2)))),((IF(O158="EUR",AY158,(AY158*'Master Data-C19RM'!$H$2))))))</f>
        <v>0</v>
      </c>
      <c r="BU158" s="12">
        <f t="shared" si="22"/>
        <v>0</v>
      </c>
      <c r="BV158" s="142">
        <f t="shared" si="23"/>
        <v>0</v>
      </c>
    </row>
    <row r="159" spans="1:74" x14ac:dyDescent="0.35">
      <c r="A159" s="1192"/>
      <c r="B159" s="1192"/>
      <c r="C159" s="1192"/>
      <c r="D159" s="1192"/>
      <c r="E159" s="1173"/>
      <c r="F159" s="1173"/>
      <c r="G159" s="1173"/>
      <c r="H159" s="1173"/>
      <c r="I159" s="1173"/>
      <c r="J159" s="1173"/>
      <c r="K159" s="1173"/>
      <c r="L159" s="493" t="str" cm="1">
        <f t="array" ref="L159">IF(A159&lt;&gt;"",IFERROR(INDEX(PMtbl[[WKst]:[Unit of measure*]],MATCH($A$115&amp;$A159&amp;$E159&amp;$I159,INDEX(PMtbl[Sec]&amp;PMtbl[Category]&amp;PMtbl[Each]&amp;PMtbl[Packaging],0,),0),14),""),"")</f>
        <v/>
      </c>
      <c r="M159" s="480" t="str">
        <f>IF(L159="","",INDEX(SETUP!$E$20:$E$122,(MATCH(INDEX(PMsheet!$D:$E,MATCH(A159,PMsheet!E:E,0),1),SETUP!$D$20:$D$122,0))))</f>
        <v/>
      </c>
      <c r="N159" s="494">
        <f>IF($O159="USD",_xlfn.IFNA(VLOOKUP(A159&amp;E159&amp;I159,PMsheet!J:K,2,0),0),(_xlfn.IFNA(VLOOKUP(A159&amp;E159&amp;I159,PMsheet!J:K,2,0),0)*'Master Data-C19RM'!$C$2))</f>
        <v>0</v>
      </c>
      <c r="O159" s="495" t="str">
        <f>IF(L159="", "",SETUP!$E$7)</f>
        <v/>
      </c>
      <c r="P159" s="457">
        <f>IF($O159="USD",_xlfn.IFNA(VLOOKUP($A159&amp;$E159&amp;$I159,PMsheet!$J:$K,2,0),0),(_xlfn.IFNA(VLOOKUP($A159&amp;$E159&amp;$I159,PMsheet!$J:$K,2,0),0)*'Master Data-C19RM'!$C$2))</f>
        <v>0</v>
      </c>
      <c r="Q159" s="440"/>
      <c r="R159" s="440"/>
      <c r="S159" s="440"/>
      <c r="T159" s="440"/>
      <c r="U159" s="482">
        <f t="shared" si="17"/>
        <v>0</v>
      </c>
      <c r="V159" s="484">
        <f>IF(SETUP!$E$7="USD",(U159*(IF(O159="USD",P159,(P159/'Master Data-C19RM'!$C$2)))),(U159*(IF(O159="EUR",P159,(P159*'Master Data-C19RM'!$C$2)))))</f>
        <v>0</v>
      </c>
      <c r="W159" s="445">
        <f>IF($O159="USD",_xlfn.IFNA(VLOOKUP($A159&amp;$E159&amp;$I159,PMsheet!$J:$K,2,0),0),(_xlfn.IFNA(VLOOKUP($A159&amp;$E159&amp;$I159,PMsheet!$J:$K,2,0),0)*'Master Data-C19RM'!$D$2))</f>
        <v>0</v>
      </c>
      <c r="X159" s="440"/>
      <c r="Y159" s="440"/>
      <c r="Z159" s="440"/>
      <c r="AA159" s="440"/>
      <c r="AB159" s="482">
        <f t="shared" si="18"/>
        <v>0</v>
      </c>
      <c r="AC159" s="484">
        <f>IF(SETUP!$E$7="USD",(AB159*(IF(O159="USD",W159,(W159/'Master Data-C19RM'!$D$2)))),(AB159*(IF(O159="EUR",W159,(W159*'Master Data-C19RM'!$D$2)))))</f>
        <v>0</v>
      </c>
      <c r="AD159" s="445">
        <f>IF($O159="USD",_xlfn.IFNA(VLOOKUP($A159&amp;$E159&amp;$I159,PMsheet!$J:$K,2,0),0),(_xlfn.IFNA(VLOOKUP($A159&amp;$E159&amp;$I159,PMsheet!$J:$K,2,0),0)*'Master Data-C19RM'!$E$2))</f>
        <v>0</v>
      </c>
      <c r="AE159" s="440"/>
      <c r="AF159" s="440"/>
      <c r="AG159" s="440"/>
      <c r="AH159" s="440"/>
      <c r="AI159" s="514">
        <f t="shared" si="19"/>
        <v>0</v>
      </c>
      <c r="AJ159" s="515">
        <f>IF(SETUP!$E$7="USD",(AI159*(IF(O159="USD",AD159,(AD159/'Master Data-C19RM'!$E$2)))),(AI159*(IF(O159="EUR",AD159,(AD159*'Master Data-C19RM'!$E$2)))))</f>
        <v>0</v>
      </c>
      <c r="AK159" s="445">
        <f>IF($O159="USD",_xlfn.IFNA(VLOOKUP($A159&amp;$E159&amp;$I159,PMsheet!$J:$K,2,0),0),(_xlfn.IFNA(VLOOKUP($A159&amp;$E159&amp;$I159,PMsheet!$J:$K,2,0),0)*'Master Data-C19RM'!$F$2))</f>
        <v>0</v>
      </c>
      <c r="AL159" s="440"/>
      <c r="AM159" s="440"/>
      <c r="AN159" s="440"/>
      <c r="AO159" s="440"/>
      <c r="AP159" s="514">
        <f t="shared" si="20"/>
        <v>0</v>
      </c>
      <c r="AQ159" s="515">
        <f>IF(SETUP!$E$7="USD",(AP159*(IF(O159="USD",AK159,(AK159/'Master Data-C19RM'!$F$2)))),(AP159*(IF(O159="EUR",AK159,(AK159*'Master Data-C19RM'!$F$2)))))</f>
        <v>0</v>
      </c>
      <c r="AR159" s="925">
        <f>IF($O159="USD",_xlfn.IFNA(VLOOKUP($A159&amp;$E159&amp;$I159,PMsheet!$J:$K,2,0),0),(_xlfn.IFNA(VLOOKUP($A159&amp;$E159&amp;$I159,PMsheet!$J:$K,2,0),0)*'Master Data-C19RM'!$G$2))</f>
        <v>0</v>
      </c>
      <c r="AS159" s="926"/>
      <c r="AT159" s="926"/>
      <c r="AU159" s="926"/>
      <c r="AV159" s="926"/>
      <c r="AW159" s="514">
        <f t="shared" si="21"/>
        <v>0</v>
      </c>
      <c r="AX159" s="515">
        <f>IF(SETUP!$E$7="USD",(AW159*(IF(O159="USD",AR159,(AR159/'Master Data-C19RM'!$G$2)))),(AW159*(IF(O159="EUR",AR159,(AR159*'Master Data-C19RM'!$G$2)))))</f>
        <v>0</v>
      </c>
      <c r="AY159" s="845"/>
      <c r="AZ159" s="846"/>
      <c r="BA159" s="846"/>
      <c r="BB159" s="846"/>
      <c r="BC159" s="846"/>
      <c r="BD159" s="846"/>
      <c r="BE159" s="847"/>
      <c r="BF159" s="514">
        <f>'C19RM 2021-Lab &amp; Other HPS'!$U159+'C19RM 2021-Lab &amp; Other HPS'!$AB159+'C19RM 2021-Lab &amp; Other HPS'!$AP159+'C19RM 2021-Lab &amp; Other HPS'!$AI159+AW159+BD159</f>
        <v>0</v>
      </c>
      <c r="BG159" s="514">
        <f>'C19RM 2021-Lab &amp; Other HPS'!$V159+'C19RM 2021-Lab &amp; Other HPS'!$AC159+'C19RM 2021-Lab &amp; Other HPS'!$AQ159+'C19RM 2021-Lab &amp; Other HPS'!$AJ159+AX159+BE159</f>
        <v>0</v>
      </c>
      <c r="BH159" s="522" t="str" cm="1">
        <f t="array" ref="BH159">IF(A159&lt;&gt;"",IFERROR(INDEX(PMtbl[[WKst]:[Unit of measure*]],MATCH($A$115&amp;$A159&amp;$E159&amp;$I159,INDEX(PMtbl[Sec]&amp;PMtbl[Category]&amp;PMtbl[Each]&amp;PMtbl[Packaging],0,),0),11),""),"")</f>
        <v/>
      </c>
      <c r="BI159" s="818"/>
      <c r="BJ159" s="503" t="str" cm="1">
        <f t="array" ref="BJ159">IFERROR(INDEX(SETUP!$C$19:$G$121,MATCH((INDEX(PMtbl[[WKst]:[Unit of measure*]],MATCH($A159&amp;$E159&amp;$I159,INDEX(PMtbl[Category]&amp;PMtbl[Each]&amp;PMtbl[Packaging],0,),0),3)),SETUP!$D$19:$D$121,0),5),"")</f>
        <v/>
      </c>
      <c r="BK159" s="543"/>
      <c r="BL159" s="215"/>
      <c r="BO159" s="12">
        <f>IF(N159="",0,IF(SETUP!$E$7="USD",((IF(O159="USD",P159,(P159/'Master Data-C19RM'!$C$2)))),((IF(O159="EUR",P159,(P159*'Master Data-C19RM'!$C$2))))))</f>
        <v>0</v>
      </c>
      <c r="BP159" s="12">
        <f>IF(N159="",0,IF(SETUP!$E$7="USD",((IF(O159="USD",W159,(W159/'Master Data-C19RM'!$D$2)))),((IF(O159="EUR",W159,(W159*'Master Data-C19RM'!$D$2))))))</f>
        <v>0</v>
      </c>
      <c r="BQ159">
        <f>IF(N159="",0,IF(SETUP!$E$7="USD",((IF(O159="USD",AD159,(AD159/'Master Data-C19RM'!$E$2)))),((IF(O159="EUR",AD159,(AD159*'Master Data-C19RM'!$E$2))))))</f>
        <v>0</v>
      </c>
      <c r="BR159">
        <f>IF(N159="",0,IF(SETUP!$E$7="USD",((IF(O159="USD",AK159,(AK159/'Master Data-C19RM'!$F$2)))),((IF(O159="EUR",AK159,(AK159*'Master Data-C19RM'!$F$2))))))</f>
        <v>0</v>
      </c>
      <c r="BS159">
        <f>IF(N159="",0,IF(SETUP!$E$7="USD",((IF(O159="USD",AR159,(AR159/'Master Data-C19RM'!$G$2)))),((IF(O159="EUR",AR159,(AR159*'Master Data-C19RM'!$G$2))))))</f>
        <v>0</v>
      </c>
      <c r="BT159">
        <f>IF(N159="",0,IF(SETUP!$E$7="USD",((IF(O159="USD",AY159,(AY159/'Master Data-C19RM'!$H$2)))),((IF(O159="EUR",AY159,(AY159*'Master Data-C19RM'!$H$2))))))</f>
        <v>0</v>
      </c>
      <c r="BU159" s="12">
        <f t="shared" si="22"/>
        <v>0</v>
      </c>
      <c r="BV159" s="142">
        <f t="shared" si="23"/>
        <v>0</v>
      </c>
    </row>
    <row r="160" spans="1:74" x14ac:dyDescent="0.35">
      <c r="A160" s="1165"/>
      <c r="B160" s="1165"/>
      <c r="C160" s="1165"/>
      <c r="D160" s="1165"/>
      <c r="E160" s="1166"/>
      <c r="F160" s="1166"/>
      <c r="G160" s="1166"/>
      <c r="H160" s="1166"/>
      <c r="I160" s="1166"/>
      <c r="J160" s="1166"/>
      <c r="K160" s="1166"/>
      <c r="L160" s="490" t="str" cm="1">
        <f t="array" ref="L160">IF(A160&lt;&gt;"",IFERROR(INDEX(PMtbl[[WKst]:[Unit of measure*]],MATCH($A$115&amp;$A160&amp;$E160&amp;$I160,INDEX(PMtbl[Sec]&amp;PMtbl[Category]&amp;PMtbl[Each]&amp;PMtbl[Packaging],0,),0),14),""),"")</f>
        <v/>
      </c>
      <c r="M160" s="479" t="str">
        <f>IF(L160="","",INDEX(SETUP!$E$20:$E$122,(MATCH(INDEX(PMsheet!$D:$E,MATCH(A160,PMsheet!E:E,0),1),SETUP!$D$20:$D$122,0))))</f>
        <v/>
      </c>
      <c r="N160" s="491">
        <f>IF($O160="USD",_xlfn.IFNA(VLOOKUP(A160&amp;E160&amp;I160,PMsheet!J:K,2,0),0),(_xlfn.IFNA(VLOOKUP(A160&amp;E160&amp;I160,PMsheet!J:K,2,0),0)*'Master Data-C19RM'!$C$2))</f>
        <v>0</v>
      </c>
      <c r="O160" s="492" t="str">
        <f>IF(L160="", "",SETUP!$E$7)</f>
        <v/>
      </c>
      <c r="P160" s="456">
        <f>IF($O160="USD",_xlfn.IFNA(VLOOKUP($A160&amp;$E160&amp;$I160,PMsheet!$J:$K,2,0),0),(_xlfn.IFNA(VLOOKUP($A160&amp;$E160&amp;$I160,PMsheet!$J:$K,2,0),0)*'Master Data-C19RM'!$C$2))</f>
        <v>0</v>
      </c>
      <c r="Q160" s="441"/>
      <c r="R160" s="441"/>
      <c r="S160" s="441"/>
      <c r="T160" s="441"/>
      <c r="U160" s="481">
        <f t="shared" si="17"/>
        <v>0</v>
      </c>
      <c r="V160" s="483">
        <f>IF(SETUP!$E$7="USD",(U160*(IF(O160="USD",P160,(P160/'Master Data-C19RM'!$C$2)))),(U160*(IF(O160="EUR",P160,(P160*'Master Data-C19RM'!$C$2)))))</f>
        <v>0</v>
      </c>
      <c r="W160" s="444">
        <f>IF($O160="USD",_xlfn.IFNA(VLOOKUP($A160&amp;$E160&amp;$I160,PMsheet!$J:$K,2,0),0),(_xlfn.IFNA(VLOOKUP($A160&amp;$E160&amp;$I160,PMsheet!$J:$K,2,0),0)*'Master Data-C19RM'!$D$2))</f>
        <v>0</v>
      </c>
      <c r="X160" s="441"/>
      <c r="Y160" s="441"/>
      <c r="Z160" s="441"/>
      <c r="AA160" s="441"/>
      <c r="AB160" s="481">
        <f t="shared" si="18"/>
        <v>0</v>
      </c>
      <c r="AC160" s="483">
        <f>IF(SETUP!$E$7="USD",(AB160*(IF(O160="USD",W160,(W160/'Master Data-C19RM'!$D$2)))),(AB160*(IF(O160="EUR",W160,(W160*'Master Data-C19RM'!$D$2)))))</f>
        <v>0</v>
      </c>
      <c r="AD160" s="444">
        <f>IF($O160="USD",_xlfn.IFNA(VLOOKUP($A160&amp;$E160&amp;$I160,PMsheet!$J:$K,2,0),0),(_xlfn.IFNA(VLOOKUP($A160&amp;$E160&amp;$I160,PMsheet!$J:$K,2,0),0)*'Master Data-C19RM'!$E$2))</f>
        <v>0</v>
      </c>
      <c r="AE160" s="441"/>
      <c r="AF160" s="441"/>
      <c r="AG160" s="441"/>
      <c r="AH160" s="441"/>
      <c r="AI160" s="512">
        <f t="shared" si="19"/>
        <v>0</v>
      </c>
      <c r="AJ160" s="513">
        <f>IF(SETUP!$E$7="USD",(AI160*(IF(O160="USD",AD160,(AD160/'Master Data-C19RM'!$E$2)))),(AI160*(IF(O160="EUR",AD160,(AD160*'Master Data-C19RM'!$E$2)))))</f>
        <v>0</v>
      </c>
      <c r="AK160" s="444">
        <f>IF($O160="USD",_xlfn.IFNA(VLOOKUP($A160&amp;$E160&amp;$I160,PMsheet!$J:$K,2,0),0),(_xlfn.IFNA(VLOOKUP($A160&amp;$E160&amp;$I160,PMsheet!$J:$K,2,0),0)*'Master Data-C19RM'!$F$2))</f>
        <v>0</v>
      </c>
      <c r="AL160" s="441"/>
      <c r="AM160" s="441"/>
      <c r="AN160" s="441"/>
      <c r="AO160" s="441"/>
      <c r="AP160" s="512">
        <f t="shared" si="20"/>
        <v>0</v>
      </c>
      <c r="AQ160" s="513">
        <f>IF(SETUP!$E$7="USD",(AP160*(IF(O160="USD",AK160,(AK160/'Master Data-C19RM'!$F$2)))),(AP160*(IF(O160="EUR",AK160,(AK160*'Master Data-C19RM'!$F$2)))))</f>
        <v>0</v>
      </c>
      <c r="AR160" s="924">
        <f>IF($O160="USD",_xlfn.IFNA(VLOOKUP($A160&amp;$E160&amp;$I160,PMsheet!$J:$K,2,0),0),(_xlfn.IFNA(VLOOKUP($A160&amp;$E160&amp;$I160,PMsheet!$J:$K,2,0),0)*'Master Data-C19RM'!$G$2))</f>
        <v>0</v>
      </c>
      <c r="AS160" s="572"/>
      <c r="AT160" s="572"/>
      <c r="AU160" s="572"/>
      <c r="AV160" s="572"/>
      <c r="AW160" s="512">
        <f t="shared" si="21"/>
        <v>0</v>
      </c>
      <c r="AX160" s="513">
        <f>IF(SETUP!$E$7="USD",(AW160*(IF(O160="USD",AR160,(AR160/'Master Data-C19RM'!$G$2)))),(AW160*(IF(O160="EUR",AR160,(AR160*'Master Data-C19RM'!$G$2)))))</f>
        <v>0</v>
      </c>
      <c r="AY160" s="845"/>
      <c r="AZ160" s="846"/>
      <c r="BA160" s="846"/>
      <c r="BB160" s="846"/>
      <c r="BC160" s="846"/>
      <c r="BD160" s="846"/>
      <c r="BE160" s="847"/>
      <c r="BF160" s="512">
        <f>'C19RM 2021-Lab &amp; Other HPS'!$U160+'C19RM 2021-Lab &amp; Other HPS'!$AB160+'C19RM 2021-Lab &amp; Other HPS'!$AP160+'C19RM 2021-Lab &amp; Other HPS'!$AI160+AW160+BD160</f>
        <v>0</v>
      </c>
      <c r="BG160" s="512">
        <f>'C19RM 2021-Lab &amp; Other HPS'!$V160+'C19RM 2021-Lab &amp; Other HPS'!$AC160+'C19RM 2021-Lab &amp; Other HPS'!$AQ160+'C19RM 2021-Lab &amp; Other HPS'!$AJ160+AX160+BE160</f>
        <v>0</v>
      </c>
      <c r="BH160" s="500" t="str" cm="1">
        <f t="array" ref="BH160">IF(A160&lt;&gt;"",IFERROR(INDEX(PMtbl[[WKst]:[Unit of measure*]],MATCH($A$115&amp;$A160&amp;$E160&amp;$I160,INDEX(PMtbl[Sec]&amp;PMtbl[Category]&amp;PMtbl[Each]&amp;PMtbl[Packaging],0,),0),11),""),"")</f>
        <v/>
      </c>
      <c r="BI160" s="819"/>
      <c r="BJ160" s="502" t="str" cm="1">
        <f t="array" ref="BJ160">IFERROR(INDEX(SETUP!$C$19:$G$121,MATCH((INDEX(PMtbl[[WKst]:[Unit of measure*]],MATCH($A160&amp;$E160&amp;$I160,INDEX(PMtbl[Category]&amp;PMtbl[Each]&amp;PMtbl[Packaging],0,),0),3)),SETUP!$D$19:$D$121,0),5),"")</f>
        <v/>
      </c>
      <c r="BK160" s="542"/>
      <c r="BL160" s="214"/>
      <c r="BO160" s="12">
        <f>IF(N160="",0,IF(SETUP!$E$7="USD",((IF(O160="USD",P160,(P160/'Master Data-C19RM'!$C$2)))),((IF(O160="EUR",P160,(P160*'Master Data-C19RM'!$C$2))))))</f>
        <v>0</v>
      </c>
      <c r="BP160" s="12">
        <f>IF(N160="",0,IF(SETUP!$E$7="USD",((IF(O160="USD",W160,(W160/'Master Data-C19RM'!$D$2)))),((IF(O160="EUR",W160,(W160*'Master Data-C19RM'!$D$2))))))</f>
        <v>0</v>
      </c>
      <c r="BQ160">
        <f>IF(N160="",0,IF(SETUP!$E$7="USD",((IF(O160="USD",AD160,(AD160/'Master Data-C19RM'!$E$2)))),((IF(O160="EUR",AD160,(AD160*'Master Data-C19RM'!$E$2))))))</f>
        <v>0</v>
      </c>
      <c r="BR160">
        <f>IF(N160="",0,IF(SETUP!$E$7="USD",((IF(O160="USD",AK160,(AK160/'Master Data-C19RM'!$F$2)))),((IF(O160="EUR",AK160,(AK160*'Master Data-C19RM'!$F$2))))))</f>
        <v>0</v>
      </c>
      <c r="BS160">
        <f>IF(N160="",0,IF(SETUP!$E$7="USD",((IF(O160="USD",AR160,(AR160/'Master Data-C19RM'!$G$2)))),((IF(O160="EUR",AR160,(AR160*'Master Data-C19RM'!$G$2))))))</f>
        <v>0</v>
      </c>
      <c r="BT160">
        <f>IF(N160="",0,IF(SETUP!$E$7="USD",((IF(O160="USD",AY160,(AY160/'Master Data-C19RM'!$H$2)))),((IF(O160="EUR",AY160,(AY160*'Master Data-C19RM'!$H$2))))))</f>
        <v>0</v>
      </c>
      <c r="BU160" s="12">
        <f t="shared" si="22"/>
        <v>0</v>
      </c>
      <c r="BV160" s="142">
        <f t="shared" si="23"/>
        <v>0</v>
      </c>
    </row>
    <row r="161" spans="1:74" x14ac:dyDescent="0.35">
      <c r="A161" s="1192"/>
      <c r="B161" s="1192"/>
      <c r="C161" s="1192"/>
      <c r="D161" s="1192"/>
      <c r="E161" s="1173"/>
      <c r="F161" s="1173"/>
      <c r="G161" s="1173"/>
      <c r="H161" s="1173"/>
      <c r="I161" s="1173"/>
      <c r="J161" s="1173"/>
      <c r="K161" s="1173"/>
      <c r="L161" s="493" t="str" cm="1">
        <f t="array" ref="L161">IF(A161&lt;&gt;"",IFERROR(INDEX(PMtbl[[WKst]:[Unit of measure*]],MATCH($A$115&amp;$A161&amp;$E161&amp;$I161,INDEX(PMtbl[Sec]&amp;PMtbl[Category]&amp;PMtbl[Each]&amp;PMtbl[Packaging],0,),0),14),""),"")</f>
        <v/>
      </c>
      <c r="M161" s="480" t="str">
        <f>IF(L161="","",INDEX(SETUP!$E$20:$E$122,(MATCH(INDEX(PMsheet!$D:$E,MATCH(A161,PMsheet!E:E,0),1),SETUP!$D$20:$D$122,0))))</f>
        <v/>
      </c>
      <c r="N161" s="494">
        <f>IF($O161="USD",_xlfn.IFNA(VLOOKUP(A161&amp;E161&amp;I161,PMsheet!J:K,2,0),0),(_xlfn.IFNA(VLOOKUP(A161&amp;E161&amp;I161,PMsheet!J:K,2,0),0)*'Master Data-C19RM'!$C$2))</f>
        <v>0</v>
      </c>
      <c r="O161" s="495" t="str">
        <f>IF(L161="", "",SETUP!$E$7)</f>
        <v/>
      </c>
      <c r="P161" s="457">
        <f>IF($O161="USD",_xlfn.IFNA(VLOOKUP($A161&amp;$E161&amp;$I161,PMsheet!$J:$K,2,0),0),(_xlfn.IFNA(VLOOKUP($A161&amp;$E161&amp;$I161,PMsheet!$J:$K,2,0),0)*'Master Data-C19RM'!$C$2))</f>
        <v>0</v>
      </c>
      <c r="Q161" s="440"/>
      <c r="R161" s="440"/>
      <c r="S161" s="440"/>
      <c r="T161" s="440"/>
      <c r="U161" s="482">
        <f t="shared" si="17"/>
        <v>0</v>
      </c>
      <c r="V161" s="484">
        <f>IF(SETUP!$E$7="USD",(U161*(IF(O161="USD",P161,(P161/'Master Data-C19RM'!$C$2)))),(U161*(IF(O161="EUR",P161,(P161*'Master Data-C19RM'!$C$2)))))</f>
        <v>0</v>
      </c>
      <c r="W161" s="445">
        <f>IF($O161="USD",_xlfn.IFNA(VLOOKUP($A161&amp;$E161&amp;$I161,PMsheet!$J:$K,2,0),0),(_xlfn.IFNA(VLOOKUP($A161&amp;$E161&amp;$I161,PMsheet!$J:$K,2,0),0)*'Master Data-C19RM'!$D$2))</f>
        <v>0</v>
      </c>
      <c r="X161" s="440"/>
      <c r="Y161" s="440"/>
      <c r="Z161" s="440"/>
      <c r="AA161" s="440"/>
      <c r="AB161" s="482">
        <f t="shared" si="18"/>
        <v>0</v>
      </c>
      <c r="AC161" s="484">
        <f>IF(SETUP!$E$7="USD",(AB161*(IF(O161="USD",W161,(W161/'Master Data-C19RM'!$D$2)))),(AB161*(IF(O161="EUR",W161,(W161*'Master Data-C19RM'!$D$2)))))</f>
        <v>0</v>
      </c>
      <c r="AD161" s="445">
        <f>IF($O161="USD",_xlfn.IFNA(VLOOKUP($A161&amp;$E161&amp;$I161,PMsheet!$J:$K,2,0),0),(_xlfn.IFNA(VLOOKUP($A161&amp;$E161&amp;$I161,PMsheet!$J:$K,2,0),0)*'Master Data-C19RM'!$E$2))</f>
        <v>0</v>
      </c>
      <c r="AE161" s="440"/>
      <c r="AF161" s="440"/>
      <c r="AG161" s="440"/>
      <c r="AH161" s="440"/>
      <c r="AI161" s="514">
        <f t="shared" si="19"/>
        <v>0</v>
      </c>
      <c r="AJ161" s="515">
        <f>IF(SETUP!$E$7="USD",(AI161*(IF(O161="USD",AD161,(AD161/'Master Data-C19RM'!$E$2)))),(AI161*(IF(O161="EUR",AD161,(AD161*'Master Data-C19RM'!$E$2)))))</f>
        <v>0</v>
      </c>
      <c r="AK161" s="445">
        <f>IF($O161="USD",_xlfn.IFNA(VLOOKUP($A161&amp;$E161&amp;$I161,PMsheet!$J:$K,2,0),0),(_xlfn.IFNA(VLOOKUP($A161&amp;$E161&amp;$I161,PMsheet!$J:$K,2,0),0)*'Master Data-C19RM'!$F$2))</f>
        <v>0</v>
      </c>
      <c r="AL161" s="440"/>
      <c r="AM161" s="440"/>
      <c r="AN161" s="440"/>
      <c r="AO161" s="440"/>
      <c r="AP161" s="514">
        <f t="shared" si="20"/>
        <v>0</v>
      </c>
      <c r="AQ161" s="515">
        <f>IF(SETUP!$E$7="USD",(AP161*(IF(O161="USD",AK161,(AK161/'Master Data-C19RM'!$F$2)))),(AP161*(IF(O161="EUR",AK161,(AK161*'Master Data-C19RM'!$F$2)))))</f>
        <v>0</v>
      </c>
      <c r="AR161" s="925">
        <f>IF($O161="USD",_xlfn.IFNA(VLOOKUP($A161&amp;$E161&amp;$I161,PMsheet!$J:$K,2,0),0),(_xlfn.IFNA(VLOOKUP($A161&amp;$E161&amp;$I161,PMsheet!$J:$K,2,0),0)*'Master Data-C19RM'!$G$2))</f>
        <v>0</v>
      </c>
      <c r="AS161" s="926"/>
      <c r="AT161" s="926"/>
      <c r="AU161" s="926"/>
      <c r="AV161" s="926"/>
      <c r="AW161" s="514">
        <f t="shared" si="21"/>
        <v>0</v>
      </c>
      <c r="AX161" s="515">
        <f>IF(SETUP!$E$7="USD",(AW161*(IF(O161="USD",AR161,(AR161/'Master Data-C19RM'!$G$2)))),(AW161*(IF(O161="EUR",AR161,(AR161*'Master Data-C19RM'!$G$2)))))</f>
        <v>0</v>
      </c>
      <c r="AY161" s="845"/>
      <c r="AZ161" s="846"/>
      <c r="BA161" s="846"/>
      <c r="BB161" s="846"/>
      <c r="BC161" s="846"/>
      <c r="BD161" s="846"/>
      <c r="BE161" s="847"/>
      <c r="BF161" s="514">
        <f>'C19RM 2021-Lab &amp; Other HPS'!$U161+'C19RM 2021-Lab &amp; Other HPS'!$AB161+'C19RM 2021-Lab &amp; Other HPS'!$AP161+'C19RM 2021-Lab &amp; Other HPS'!$AI161+AW161+BD161</f>
        <v>0</v>
      </c>
      <c r="BG161" s="514">
        <f>'C19RM 2021-Lab &amp; Other HPS'!$V161+'C19RM 2021-Lab &amp; Other HPS'!$AC161+'C19RM 2021-Lab &amp; Other HPS'!$AQ161+'C19RM 2021-Lab &amp; Other HPS'!$AJ161+AX161+BE161</f>
        <v>0</v>
      </c>
      <c r="BH161" s="522" t="str" cm="1">
        <f t="array" ref="BH161">IF(A161&lt;&gt;"",IFERROR(INDEX(PMtbl[[WKst]:[Unit of measure*]],MATCH($A$115&amp;$A161&amp;$E161&amp;$I161,INDEX(PMtbl[Sec]&amp;PMtbl[Category]&amp;PMtbl[Each]&amp;PMtbl[Packaging],0,),0),11),""),"")</f>
        <v/>
      </c>
      <c r="BI161" s="818"/>
      <c r="BJ161" s="503" t="str" cm="1">
        <f t="array" ref="BJ161">IFERROR(INDEX(SETUP!$C$19:$G$121,MATCH((INDEX(PMtbl[[WKst]:[Unit of measure*]],MATCH($A161&amp;$E161&amp;$I161,INDEX(PMtbl[Category]&amp;PMtbl[Each]&amp;PMtbl[Packaging],0,),0),3)),SETUP!$D$19:$D$121,0),5),"")</f>
        <v/>
      </c>
      <c r="BK161" s="543"/>
      <c r="BL161" s="215"/>
      <c r="BO161" s="12">
        <f>IF(N161="",0,IF(SETUP!$E$7="USD",((IF(O161="USD",P161,(P161/'Master Data-C19RM'!$C$2)))),((IF(O161="EUR",P161,(P161*'Master Data-C19RM'!$C$2))))))</f>
        <v>0</v>
      </c>
      <c r="BP161" s="12">
        <f>IF(N161="",0,IF(SETUP!$E$7="USD",((IF(O161="USD",W161,(W161/'Master Data-C19RM'!$D$2)))),((IF(O161="EUR",W161,(W161*'Master Data-C19RM'!$D$2))))))</f>
        <v>0</v>
      </c>
      <c r="BQ161">
        <f>IF(N161="",0,IF(SETUP!$E$7="USD",((IF(O161="USD",AD161,(AD161/'Master Data-C19RM'!$E$2)))),((IF(O161="EUR",AD161,(AD161*'Master Data-C19RM'!$E$2))))))</f>
        <v>0</v>
      </c>
      <c r="BR161">
        <f>IF(N161="",0,IF(SETUP!$E$7="USD",((IF(O161="USD",AK161,(AK161/'Master Data-C19RM'!$F$2)))),((IF(O161="EUR",AK161,(AK161*'Master Data-C19RM'!$F$2))))))</f>
        <v>0</v>
      </c>
      <c r="BS161">
        <f>IF(N161="",0,IF(SETUP!$E$7="USD",((IF(O161="USD",AR161,(AR161/'Master Data-C19RM'!$G$2)))),((IF(O161="EUR",AR161,(AR161*'Master Data-C19RM'!$G$2))))))</f>
        <v>0</v>
      </c>
      <c r="BT161">
        <f>IF(N161="",0,IF(SETUP!$E$7="USD",((IF(O161="USD",AY161,(AY161/'Master Data-C19RM'!$H$2)))),((IF(O161="EUR",AY161,(AY161*'Master Data-C19RM'!$H$2))))))</f>
        <v>0</v>
      </c>
      <c r="BU161" s="12">
        <f t="shared" si="22"/>
        <v>0</v>
      </c>
      <c r="BV161" s="142">
        <f t="shared" si="23"/>
        <v>0</v>
      </c>
    </row>
    <row r="162" spans="1:74" x14ac:dyDescent="0.35">
      <c r="A162" s="1165"/>
      <c r="B162" s="1165"/>
      <c r="C162" s="1165"/>
      <c r="D162" s="1165"/>
      <c r="E162" s="1166"/>
      <c r="F162" s="1166"/>
      <c r="G162" s="1166"/>
      <c r="H162" s="1166"/>
      <c r="I162" s="1166"/>
      <c r="J162" s="1166"/>
      <c r="K162" s="1166"/>
      <c r="L162" s="490" t="str" cm="1">
        <f t="array" ref="L162">IF(A162&lt;&gt;"",IFERROR(INDEX(PMtbl[[WKst]:[Unit of measure*]],MATCH($A$115&amp;$A162&amp;$E162&amp;$I162,INDEX(PMtbl[Sec]&amp;PMtbl[Category]&amp;PMtbl[Each]&amp;PMtbl[Packaging],0,),0),14),""),"")</f>
        <v/>
      </c>
      <c r="M162" s="479" t="str">
        <f>IF(L162="","",INDEX(SETUP!$E$20:$E$122,(MATCH(INDEX(PMsheet!$D:$E,MATCH(A162,PMsheet!E:E,0),1),SETUP!$D$20:$D$122,0))))</f>
        <v/>
      </c>
      <c r="N162" s="491">
        <f>IF($O162="USD",_xlfn.IFNA(VLOOKUP(A162&amp;E162&amp;I162,PMsheet!J:K,2,0),0),(_xlfn.IFNA(VLOOKUP(A162&amp;E162&amp;I162,PMsheet!J:K,2,0),0)*'Master Data-C19RM'!$C$2))</f>
        <v>0</v>
      </c>
      <c r="O162" s="492" t="str">
        <f>IF(L162="", "",SETUP!$E$7)</f>
        <v/>
      </c>
      <c r="P162" s="456">
        <f>IF($O162="USD",_xlfn.IFNA(VLOOKUP($A162&amp;$E162&amp;$I162,PMsheet!$J:$K,2,0),0),(_xlfn.IFNA(VLOOKUP($A162&amp;$E162&amp;$I162,PMsheet!$J:$K,2,0),0)*'Master Data-C19RM'!$C$2))</f>
        <v>0</v>
      </c>
      <c r="Q162" s="441"/>
      <c r="R162" s="441"/>
      <c r="S162" s="441"/>
      <c r="T162" s="441"/>
      <c r="U162" s="481">
        <f t="shared" si="17"/>
        <v>0</v>
      </c>
      <c r="V162" s="483">
        <f>IF(SETUP!$E$7="USD",(U162*(IF(O162="USD",P162,(P162/'Master Data-C19RM'!$C$2)))),(U162*(IF(O162="EUR",P162,(P162*'Master Data-C19RM'!$C$2)))))</f>
        <v>0</v>
      </c>
      <c r="W162" s="444">
        <f>IF($O162="USD",_xlfn.IFNA(VLOOKUP($A162&amp;$E162&amp;$I162,PMsheet!$J:$K,2,0),0),(_xlfn.IFNA(VLOOKUP($A162&amp;$E162&amp;$I162,PMsheet!$J:$K,2,0),0)*'Master Data-C19RM'!$D$2))</f>
        <v>0</v>
      </c>
      <c r="X162" s="441"/>
      <c r="Y162" s="441"/>
      <c r="Z162" s="441"/>
      <c r="AA162" s="441"/>
      <c r="AB162" s="481">
        <f t="shared" si="18"/>
        <v>0</v>
      </c>
      <c r="AC162" s="483">
        <f>IF(SETUP!$E$7="USD",(AB162*(IF(O162="USD",W162,(W162/'Master Data-C19RM'!$D$2)))),(AB162*(IF(O162="EUR",W162,(W162*'Master Data-C19RM'!$D$2)))))</f>
        <v>0</v>
      </c>
      <c r="AD162" s="444">
        <f>IF($O162="USD",_xlfn.IFNA(VLOOKUP($A162&amp;$E162&amp;$I162,PMsheet!$J:$K,2,0),0),(_xlfn.IFNA(VLOOKUP($A162&amp;$E162&amp;$I162,PMsheet!$J:$K,2,0),0)*'Master Data-C19RM'!$E$2))</f>
        <v>0</v>
      </c>
      <c r="AE162" s="441"/>
      <c r="AF162" s="441"/>
      <c r="AG162" s="441"/>
      <c r="AH162" s="441"/>
      <c r="AI162" s="512">
        <f t="shared" si="19"/>
        <v>0</v>
      </c>
      <c r="AJ162" s="513">
        <f>IF(SETUP!$E$7="USD",(AI162*(IF(O162="USD",AD162,(AD162/'Master Data-C19RM'!$E$2)))),(AI162*(IF(O162="EUR",AD162,(AD162*'Master Data-C19RM'!$E$2)))))</f>
        <v>0</v>
      </c>
      <c r="AK162" s="444">
        <f>IF($O162="USD",_xlfn.IFNA(VLOOKUP($A162&amp;$E162&amp;$I162,PMsheet!$J:$K,2,0),0),(_xlfn.IFNA(VLOOKUP($A162&amp;$E162&amp;$I162,PMsheet!$J:$K,2,0),0)*'Master Data-C19RM'!$F$2))</f>
        <v>0</v>
      </c>
      <c r="AL162" s="441"/>
      <c r="AM162" s="441"/>
      <c r="AN162" s="441"/>
      <c r="AO162" s="441"/>
      <c r="AP162" s="512">
        <f t="shared" si="20"/>
        <v>0</v>
      </c>
      <c r="AQ162" s="513">
        <f>IF(SETUP!$E$7="USD",(AP162*(IF(O162="USD",AK162,(AK162/'Master Data-C19RM'!$F$2)))),(AP162*(IF(O162="EUR",AK162,(AK162*'Master Data-C19RM'!$F$2)))))</f>
        <v>0</v>
      </c>
      <c r="AR162" s="924">
        <f>IF($O162="USD",_xlfn.IFNA(VLOOKUP($A162&amp;$E162&amp;$I162,PMsheet!$J:$K,2,0),0),(_xlfn.IFNA(VLOOKUP($A162&amp;$E162&amp;$I162,PMsheet!$J:$K,2,0),0)*'Master Data-C19RM'!$G$2))</f>
        <v>0</v>
      </c>
      <c r="AS162" s="572"/>
      <c r="AT162" s="572"/>
      <c r="AU162" s="572"/>
      <c r="AV162" s="572"/>
      <c r="AW162" s="512">
        <f t="shared" si="21"/>
        <v>0</v>
      </c>
      <c r="AX162" s="513">
        <f>IF(SETUP!$E$7="USD",(AW162*(IF(O162="USD",AR162,(AR162/'Master Data-C19RM'!$G$2)))),(AW162*(IF(O162="EUR",AR162,(AR162*'Master Data-C19RM'!$G$2)))))</f>
        <v>0</v>
      </c>
      <c r="AY162" s="845"/>
      <c r="AZ162" s="846"/>
      <c r="BA162" s="846"/>
      <c r="BB162" s="846"/>
      <c r="BC162" s="846"/>
      <c r="BD162" s="846"/>
      <c r="BE162" s="847"/>
      <c r="BF162" s="512">
        <f>'C19RM 2021-Lab &amp; Other HPS'!$U162+'C19RM 2021-Lab &amp; Other HPS'!$AB162+'C19RM 2021-Lab &amp; Other HPS'!$AP162+'C19RM 2021-Lab &amp; Other HPS'!$AI162+AW162+BD162</f>
        <v>0</v>
      </c>
      <c r="BG162" s="512">
        <f>'C19RM 2021-Lab &amp; Other HPS'!$V162+'C19RM 2021-Lab &amp; Other HPS'!$AC162+'C19RM 2021-Lab &amp; Other HPS'!$AQ162+'C19RM 2021-Lab &amp; Other HPS'!$AJ162+AX162+BE162</f>
        <v>0</v>
      </c>
      <c r="BH162" s="500" t="str" cm="1">
        <f t="array" ref="BH162">IF(A162&lt;&gt;"",IFERROR(INDEX(PMtbl[[WKst]:[Unit of measure*]],MATCH($A$115&amp;$A162&amp;$E162&amp;$I162,INDEX(PMtbl[Sec]&amp;PMtbl[Category]&amp;PMtbl[Each]&amp;PMtbl[Packaging],0,),0),11),""),"")</f>
        <v/>
      </c>
      <c r="BI162" s="819"/>
      <c r="BJ162" s="502" t="str" cm="1">
        <f t="array" ref="BJ162">IFERROR(INDEX(SETUP!$C$19:$G$121,MATCH((INDEX(PMtbl[[WKst]:[Unit of measure*]],MATCH($A162&amp;$E162&amp;$I162,INDEX(PMtbl[Category]&amp;PMtbl[Each]&amp;PMtbl[Packaging],0,),0),3)),SETUP!$D$19:$D$121,0),5),"")</f>
        <v/>
      </c>
      <c r="BK162" s="542"/>
      <c r="BL162" s="214"/>
      <c r="BO162" s="12">
        <f>IF(N162="",0,IF(SETUP!$E$7="USD",((IF(O162="USD",P162,(P162/'Master Data-C19RM'!$C$2)))),((IF(O162="EUR",P162,(P162*'Master Data-C19RM'!$C$2))))))</f>
        <v>0</v>
      </c>
      <c r="BP162" s="12">
        <f>IF(N162="",0,IF(SETUP!$E$7="USD",((IF(O162="USD",W162,(W162/'Master Data-C19RM'!$D$2)))),((IF(O162="EUR",W162,(W162*'Master Data-C19RM'!$D$2))))))</f>
        <v>0</v>
      </c>
      <c r="BQ162">
        <f>IF(N162="",0,IF(SETUP!$E$7="USD",((IF(O162="USD",AD162,(AD162/'Master Data-C19RM'!$E$2)))),((IF(O162="EUR",AD162,(AD162*'Master Data-C19RM'!$E$2))))))</f>
        <v>0</v>
      </c>
      <c r="BR162">
        <f>IF(N162="",0,IF(SETUP!$E$7="USD",((IF(O162="USD",AK162,(AK162/'Master Data-C19RM'!$F$2)))),((IF(O162="EUR",AK162,(AK162*'Master Data-C19RM'!$F$2))))))</f>
        <v>0</v>
      </c>
      <c r="BS162">
        <f>IF(N162="",0,IF(SETUP!$E$7="USD",((IF(O162="USD",AR162,(AR162/'Master Data-C19RM'!$G$2)))),((IF(O162="EUR",AR162,(AR162*'Master Data-C19RM'!$G$2))))))</f>
        <v>0</v>
      </c>
      <c r="BT162">
        <f>IF(N162="",0,IF(SETUP!$E$7="USD",((IF(O162="USD",AY162,(AY162/'Master Data-C19RM'!$H$2)))),((IF(O162="EUR",AY162,(AY162*'Master Data-C19RM'!$H$2))))))</f>
        <v>0</v>
      </c>
      <c r="BU162" s="12">
        <f t="shared" si="22"/>
        <v>0</v>
      </c>
      <c r="BV162" s="142">
        <f t="shared" si="23"/>
        <v>0</v>
      </c>
    </row>
    <row r="163" spans="1:74" x14ac:dyDescent="0.35">
      <c r="A163" s="1192"/>
      <c r="B163" s="1192"/>
      <c r="C163" s="1192"/>
      <c r="D163" s="1192"/>
      <c r="E163" s="1173"/>
      <c r="F163" s="1173"/>
      <c r="G163" s="1173"/>
      <c r="H163" s="1173"/>
      <c r="I163" s="1173"/>
      <c r="J163" s="1173"/>
      <c r="K163" s="1173"/>
      <c r="L163" s="493" t="str" cm="1">
        <f t="array" ref="L163">IF(A163&lt;&gt;"",IFERROR(INDEX(PMtbl[[WKst]:[Unit of measure*]],MATCH($A$115&amp;$A163&amp;$E163&amp;$I163,INDEX(PMtbl[Sec]&amp;PMtbl[Category]&amp;PMtbl[Each]&amp;PMtbl[Packaging],0,),0),14),""),"")</f>
        <v/>
      </c>
      <c r="M163" s="480" t="str">
        <f>IF(L163="","",INDEX(SETUP!$E$20:$E$122,(MATCH(INDEX(PMsheet!$D:$E,MATCH(A163,PMsheet!E:E,0),1),SETUP!$D$20:$D$122,0))))</f>
        <v/>
      </c>
      <c r="N163" s="494">
        <f>IF($O163="USD",_xlfn.IFNA(VLOOKUP(A163&amp;E163&amp;I163,PMsheet!J:K,2,0),0),(_xlfn.IFNA(VLOOKUP(A163&amp;E163&amp;I163,PMsheet!J:K,2,0),0)*'Master Data-C19RM'!$C$2))</f>
        <v>0</v>
      </c>
      <c r="O163" s="495" t="str">
        <f>IF(L163="", "",SETUP!$E$7)</f>
        <v/>
      </c>
      <c r="P163" s="457">
        <f>IF($O163="USD",_xlfn.IFNA(VLOOKUP($A163&amp;$E163&amp;$I163,PMsheet!$J:$K,2,0),0),(_xlfn.IFNA(VLOOKUP($A163&amp;$E163&amp;$I163,PMsheet!$J:$K,2,0),0)*'Master Data-C19RM'!$C$2))</f>
        <v>0</v>
      </c>
      <c r="Q163" s="440"/>
      <c r="R163" s="440"/>
      <c r="S163" s="440"/>
      <c r="T163" s="440"/>
      <c r="U163" s="482">
        <f t="shared" si="17"/>
        <v>0</v>
      </c>
      <c r="V163" s="484">
        <f>IF(SETUP!$E$7="USD",(U163*(IF(O163="USD",P163,(P163/'Master Data-C19RM'!$C$2)))),(U163*(IF(O163="EUR",P163,(P163*'Master Data-C19RM'!$C$2)))))</f>
        <v>0</v>
      </c>
      <c r="W163" s="445">
        <f>IF($O163="USD",_xlfn.IFNA(VLOOKUP($A163&amp;$E163&amp;$I163,PMsheet!$J:$K,2,0),0),(_xlfn.IFNA(VLOOKUP($A163&amp;$E163&amp;$I163,PMsheet!$J:$K,2,0),0)*'Master Data-C19RM'!$D$2))</f>
        <v>0</v>
      </c>
      <c r="X163" s="440"/>
      <c r="Y163" s="440"/>
      <c r="Z163" s="440"/>
      <c r="AA163" s="440"/>
      <c r="AB163" s="482">
        <f t="shared" si="18"/>
        <v>0</v>
      </c>
      <c r="AC163" s="484">
        <f>IF(SETUP!$E$7="USD",(AB163*(IF(O163="USD",W163,(W163/'Master Data-C19RM'!$D$2)))),(AB163*(IF(O163="EUR",W163,(W163*'Master Data-C19RM'!$D$2)))))</f>
        <v>0</v>
      </c>
      <c r="AD163" s="445">
        <f>IF($O163="USD",_xlfn.IFNA(VLOOKUP($A163&amp;$E163&amp;$I163,PMsheet!$J:$K,2,0),0),(_xlfn.IFNA(VLOOKUP($A163&amp;$E163&amp;$I163,PMsheet!$J:$K,2,0),0)*'Master Data-C19RM'!$E$2))</f>
        <v>0</v>
      </c>
      <c r="AE163" s="440"/>
      <c r="AF163" s="440"/>
      <c r="AG163" s="440"/>
      <c r="AH163" s="440"/>
      <c r="AI163" s="514">
        <f t="shared" si="19"/>
        <v>0</v>
      </c>
      <c r="AJ163" s="515">
        <f>IF(SETUP!$E$7="USD",(AI163*(IF(O163="USD",AD163,(AD163/'Master Data-C19RM'!$E$2)))),(AI163*(IF(O163="EUR",AD163,(AD163*'Master Data-C19RM'!$E$2)))))</f>
        <v>0</v>
      </c>
      <c r="AK163" s="445">
        <f>IF($O163="USD",_xlfn.IFNA(VLOOKUP($A163&amp;$E163&amp;$I163,PMsheet!$J:$K,2,0),0),(_xlfn.IFNA(VLOOKUP($A163&amp;$E163&amp;$I163,PMsheet!$J:$K,2,0),0)*'Master Data-C19RM'!$F$2))</f>
        <v>0</v>
      </c>
      <c r="AL163" s="440"/>
      <c r="AM163" s="440"/>
      <c r="AN163" s="440"/>
      <c r="AO163" s="440"/>
      <c r="AP163" s="514">
        <f t="shared" si="20"/>
        <v>0</v>
      </c>
      <c r="AQ163" s="515">
        <f>IF(SETUP!$E$7="USD",(AP163*(IF(O163="USD",AK163,(AK163/'Master Data-C19RM'!$F$2)))),(AP163*(IF(O163="EUR",AK163,(AK163*'Master Data-C19RM'!$F$2)))))</f>
        <v>0</v>
      </c>
      <c r="AR163" s="925">
        <f>IF($O163="USD",_xlfn.IFNA(VLOOKUP($A163&amp;$E163&amp;$I163,PMsheet!$J:$K,2,0),0),(_xlfn.IFNA(VLOOKUP($A163&amp;$E163&amp;$I163,PMsheet!$J:$K,2,0),0)*'Master Data-C19RM'!$G$2))</f>
        <v>0</v>
      </c>
      <c r="AS163" s="926"/>
      <c r="AT163" s="926"/>
      <c r="AU163" s="926"/>
      <c r="AV163" s="926"/>
      <c r="AW163" s="514">
        <f t="shared" si="21"/>
        <v>0</v>
      </c>
      <c r="AX163" s="515">
        <f>IF(SETUP!$E$7="USD",(AW163*(IF(O163="USD",AR163,(AR163/'Master Data-C19RM'!$G$2)))),(AW163*(IF(O163="EUR",AR163,(AR163*'Master Data-C19RM'!$G$2)))))</f>
        <v>0</v>
      </c>
      <c r="AY163" s="845"/>
      <c r="AZ163" s="846"/>
      <c r="BA163" s="846"/>
      <c r="BB163" s="846"/>
      <c r="BC163" s="846"/>
      <c r="BD163" s="846"/>
      <c r="BE163" s="847"/>
      <c r="BF163" s="514">
        <f>'C19RM 2021-Lab &amp; Other HPS'!$U163+'C19RM 2021-Lab &amp; Other HPS'!$AB163+'C19RM 2021-Lab &amp; Other HPS'!$AP163+'C19RM 2021-Lab &amp; Other HPS'!$AI163+AW163+BD163</f>
        <v>0</v>
      </c>
      <c r="BG163" s="514">
        <f>'C19RM 2021-Lab &amp; Other HPS'!$V163+'C19RM 2021-Lab &amp; Other HPS'!$AC163+'C19RM 2021-Lab &amp; Other HPS'!$AQ163+'C19RM 2021-Lab &amp; Other HPS'!$AJ163+AX163+BE163</f>
        <v>0</v>
      </c>
      <c r="BH163" s="522" t="str" cm="1">
        <f t="array" ref="BH163">IF(A163&lt;&gt;"",IFERROR(INDEX(PMtbl[[WKst]:[Unit of measure*]],MATCH($A$115&amp;$A163&amp;$E163&amp;$I163,INDEX(PMtbl[Sec]&amp;PMtbl[Category]&amp;PMtbl[Each]&amp;PMtbl[Packaging],0,),0),11),""),"")</f>
        <v/>
      </c>
      <c r="BI163" s="818"/>
      <c r="BJ163" s="503" t="str" cm="1">
        <f t="array" ref="BJ163">IFERROR(INDEX(SETUP!$C$19:$G$121,MATCH((INDEX(PMtbl[[WKst]:[Unit of measure*]],MATCH($A163&amp;$E163&amp;$I163,INDEX(PMtbl[Category]&amp;PMtbl[Each]&amp;PMtbl[Packaging],0,),0),3)),SETUP!$D$19:$D$121,0),5),"")</f>
        <v/>
      </c>
      <c r="BK163" s="543"/>
      <c r="BL163" s="215"/>
      <c r="BO163" s="12">
        <f>IF(N163="",0,IF(SETUP!$E$7="USD",((IF(O163="USD",P163,(P163/'Master Data-C19RM'!$C$2)))),((IF(O163="EUR",P163,(P163*'Master Data-C19RM'!$C$2))))))</f>
        <v>0</v>
      </c>
      <c r="BP163" s="12">
        <f>IF(N163="",0,IF(SETUP!$E$7="USD",((IF(O163="USD",W163,(W163/'Master Data-C19RM'!$D$2)))),((IF(O163="EUR",W163,(W163*'Master Data-C19RM'!$D$2))))))</f>
        <v>0</v>
      </c>
      <c r="BQ163">
        <f>IF(N163="",0,IF(SETUP!$E$7="USD",((IF(O163="USD",AD163,(AD163/'Master Data-C19RM'!$E$2)))),((IF(O163="EUR",AD163,(AD163*'Master Data-C19RM'!$E$2))))))</f>
        <v>0</v>
      </c>
      <c r="BR163">
        <f>IF(N163="",0,IF(SETUP!$E$7="USD",((IF(O163="USD",AK163,(AK163/'Master Data-C19RM'!$F$2)))),((IF(O163="EUR",AK163,(AK163*'Master Data-C19RM'!$F$2))))))</f>
        <v>0</v>
      </c>
      <c r="BS163">
        <f>IF(N163="",0,IF(SETUP!$E$7="USD",((IF(O163="USD",AR163,(AR163/'Master Data-C19RM'!$G$2)))),((IF(O163="EUR",AR163,(AR163*'Master Data-C19RM'!$G$2))))))</f>
        <v>0</v>
      </c>
      <c r="BT163">
        <f>IF(N163="",0,IF(SETUP!$E$7="USD",((IF(O163="USD",AY163,(AY163/'Master Data-C19RM'!$H$2)))),((IF(O163="EUR",AY163,(AY163*'Master Data-C19RM'!$H$2))))))</f>
        <v>0</v>
      </c>
      <c r="BU163" s="12">
        <f t="shared" si="22"/>
        <v>0</v>
      </c>
      <c r="BV163" s="142">
        <f t="shared" si="23"/>
        <v>0</v>
      </c>
    </row>
    <row r="164" spans="1:74" x14ac:dyDescent="0.35">
      <c r="A164" s="1165"/>
      <c r="B164" s="1165"/>
      <c r="C164" s="1165"/>
      <c r="D164" s="1165"/>
      <c r="E164" s="1166"/>
      <c r="F164" s="1166"/>
      <c r="G164" s="1166"/>
      <c r="H164" s="1166"/>
      <c r="I164" s="1166"/>
      <c r="J164" s="1166"/>
      <c r="K164" s="1166"/>
      <c r="L164" s="490" t="str" cm="1">
        <f t="array" ref="L164">IF(A164&lt;&gt;"",IFERROR(INDEX(PMtbl[[WKst]:[Unit of measure*]],MATCH($A$115&amp;$A164&amp;$E164&amp;$I164,INDEX(PMtbl[Sec]&amp;PMtbl[Category]&amp;PMtbl[Each]&amp;PMtbl[Packaging],0,),0),14),""),"")</f>
        <v/>
      </c>
      <c r="M164" s="479" t="str">
        <f>IF(L164="","",INDEX(SETUP!$E$20:$E$122,(MATCH(INDEX(PMsheet!$D:$E,MATCH(A164,PMsheet!E:E,0),1),SETUP!$D$20:$D$122,0))))</f>
        <v/>
      </c>
      <c r="N164" s="491">
        <f>IF($O164="USD",_xlfn.IFNA(VLOOKUP(A164&amp;E164&amp;I164,PMsheet!J:K,2,0),0),(_xlfn.IFNA(VLOOKUP(A164&amp;E164&amp;I164,PMsheet!J:K,2,0),0)*'Master Data-C19RM'!$C$2))</f>
        <v>0</v>
      </c>
      <c r="O164" s="492" t="str">
        <f>IF(L164="", "",SETUP!$E$7)</f>
        <v/>
      </c>
      <c r="P164" s="456">
        <f>IF($O164="USD",_xlfn.IFNA(VLOOKUP($A164&amp;$E164&amp;$I164,PMsheet!$J:$K,2,0),0),(_xlfn.IFNA(VLOOKUP($A164&amp;$E164&amp;$I164,PMsheet!$J:$K,2,0),0)*'Master Data-C19RM'!$C$2))</f>
        <v>0</v>
      </c>
      <c r="Q164" s="441"/>
      <c r="R164" s="441"/>
      <c r="S164" s="441"/>
      <c r="T164" s="441"/>
      <c r="U164" s="481">
        <f t="shared" si="17"/>
        <v>0</v>
      </c>
      <c r="V164" s="483">
        <f>IF(SETUP!$E$7="USD",(U164*(IF(O164="USD",P164,(P164/'Master Data-C19RM'!$C$2)))),(U164*(IF(O164="EUR",P164,(P164*'Master Data-C19RM'!$C$2)))))</f>
        <v>0</v>
      </c>
      <c r="W164" s="444">
        <f>IF($O164="USD",_xlfn.IFNA(VLOOKUP($A164&amp;$E164&amp;$I164,PMsheet!$J:$K,2,0),0),(_xlfn.IFNA(VLOOKUP($A164&amp;$E164&amp;$I164,PMsheet!$J:$K,2,0),0)*'Master Data-C19RM'!$D$2))</f>
        <v>0</v>
      </c>
      <c r="X164" s="441"/>
      <c r="Y164" s="441"/>
      <c r="Z164" s="441"/>
      <c r="AA164" s="441"/>
      <c r="AB164" s="481">
        <f t="shared" si="18"/>
        <v>0</v>
      </c>
      <c r="AC164" s="483">
        <f>IF(SETUP!$E$7="USD",(AB164*(IF(O164="USD",W164,(W164/'Master Data-C19RM'!$D$2)))),(AB164*(IF(O164="EUR",W164,(W164*'Master Data-C19RM'!$D$2)))))</f>
        <v>0</v>
      </c>
      <c r="AD164" s="444">
        <f>IF($O164="USD",_xlfn.IFNA(VLOOKUP($A164&amp;$E164&amp;$I164,PMsheet!$J:$K,2,0),0),(_xlfn.IFNA(VLOOKUP($A164&amp;$E164&amp;$I164,PMsheet!$J:$K,2,0),0)*'Master Data-C19RM'!$E$2))</f>
        <v>0</v>
      </c>
      <c r="AE164" s="441"/>
      <c r="AF164" s="441"/>
      <c r="AG164" s="441"/>
      <c r="AH164" s="441"/>
      <c r="AI164" s="512">
        <f t="shared" si="19"/>
        <v>0</v>
      </c>
      <c r="AJ164" s="513">
        <f>IF(SETUP!$E$7="USD",(AI164*(IF(O164="USD",AD164,(AD164/'Master Data-C19RM'!$E$2)))),(AI164*(IF(O164="EUR",AD164,(AD164*'Master Data-C19RM'!$E$2)))))</f>
        <v>0</v>
      </c>
      <c r="AK164" s="444">
        <f>IF($O164="USD",_xlfn.IFNA(VLOOKUP($A164&amp;$E164&amp;$I164,PMsheet!$J:$K,2,0),0),(_xlfn.IFNA(VLOOKUP($A164&amp;$E164&amp;$I164,PMsheet!$J:$K,2,0),0)*'Master Data-C19RM'!$F$2))</f>
        <v>0</v>
      </c>
      <c r="AL164" s="441"/>
      <c r="AM164" s="441"/>
      <c r="AN164" s="441"/>
      <c r="AO164" s="441"/>
      <c r="AP164" s="512">
        <f t="shared" si="20"/>
        <v>0</v>
      </c>
      <c r="AQ164" s="513">
        <f>IF(SETUP!$E$7="USD",(AP164*(IF(O164="USD",AK164,(AK164/'Master Data-C19RM'!$F$2)))),(AP164*(IF(O164="EUR",AK164,(AK164*'Master Data-C19RM'!$F$2)))))</f>
        <v>0</v>
      </c>
      <c r="AR164" s="924">
        <f>IF($O164="USD",_xlfn.IFNA(VLOOKUP($A164&amp;$E164&amp;$I164,PMsheet!$J:$K,2,0),0),(_xlfn.IFNA(VLOOKUP($A164&amp;$E164&amp;$I164,PMsheet!$J:$K,2,0),0)*'Master Data-C19RM'!$G$2))</f>
        <v>0</v>
      </c>
      <c r="AS164" s="572"/>
      <c r="AT164" s="572"/>
      <c r="AU164" s="572"/>
      <c r="AV164" s="572"/>
      <c r="AW164" s="512">
        <f t="shared" si="21"/>
        <v>0</v>
      </c>
      <c r="AX164" s="513">
        <f>IF(SETUP!$E$7="USD",(AW164*(IF(O164="USD",AR164,(AR164/'Master Data-C19RM'!$G$2)))),(AW164*(IF(O164="EUR",AR164,(AR164*'Master Data-C19RM'!$G$2)))))</f>
        <v>0</v>
      </c>
      <c r="AY164" s="845"/>
      <c r="AZ164" s="846"/>
      <c r="BA164" s="846"/>
      <c r="BB164" s="846"/>
      <c r="BC164" s="846"/>
      <c r="BD164" s="846"/>
      <c r="BE164" s="847"/>
      <c r="BF164" s="512">
        <f>'C19RM 2021-Lab &amp; Other HPS'!$U164+'C19RM 2021-Lab &amp; Other HPS'!$AB164+'C19RM 2021-Lab &amp; Other HPS'!$AP164+'C19RM 2021-Lab &amp; Other HPS'!$AI164+AW164+BD164</f>
        <v>0</v>
      </c>
      <c r="BG164" s="512">
        <f>'C19RM 2021-Lab &amp; Other HPS'!$V164+'C19RM 2021-Lab &amp; Other HPS'!$AC164+'C19RM 2021-Lab &amp; Other HPS'!$AQ164+'C19RM 2021-Lab &amp; Other HPS'!$AJ164+AX164+BE164</f>
        <v>0</v>
      </c>
      <c r="BH164" s="500" t="str" cm="1">
        <f t="array" ref="BH164">IF(A164&lt;&gt;"",IFERROR(INDEX(PMtbl[[WKst]:[Unit of measure*]],MATCH($A$115&amp;$A164&amp;$E164&amp;$I164,INDEX(PMtbl[Sec]&amp;PMtbl[Category]&amp;PMtbl[Each]&amp;PMtbl[Packaging],0,),0),11),""),"")</f>
        <v/>
      </c>
      <c r="BI164" s="819"/>
      <c r="BJ164" s="502" t="str" cm="1">
        <f t="array" ref="BJ164">IFERROR(INDEX(SETUP!$C$19:$G$121,MATCH((INDEX(PMtbl[[WKst]:[Unit of measure*]],MATCH($A164&amp;$E164&amp;$I164,INDEX(PMtbl[Category]&amp;PMtbl[Each]&amp;PMtbl[Packaging],0,),0),3)),SETUP!$D$19:$D$121,0),5),"")</f>
        <v/>
      </c>
      <c r="BK164" s="542"/>
      <c r="BL164" s="214"/>
      <c r="BO164" s="12">
        <f>IF(N164="",0,IF(SETUP!$E$7="USD",((IF(O164="USD",P164,(P164/'Master Data-C19RM'!$C$2)))),((IF(O164="EUR",P164,(P164*'Master Data-C19RM'!$C$2))))))</f>
        <v>0</v>
      </c>
      <c r="BP164" s="12">
        <f>IF(N164="",0,IF(SETUP!$E$7="USD",((IF(O164="USD",W164,(W164/'Master Data-C19RM'!$D$2)))),((IF(O164="EUR",W164,(W164*'Master Data-C19RM'!$D$2))))))</f>
        <v>0</v>
      </c>
      <c r="BQ164">
        <f>IF(N164="",0,IF(SETUP!$E$7="USD",((IF(O164="USD",AD164,(AD164/'Master Data-C19RM'!$E$2)))),((IF(O164="EUR",AD164,(AD164*'Master Data-C19RM'!$E$2))))))</f>
        <v>0</v>
      </c>
      <c r="BR164">
        <f>IF(N164="",0,IF(SETUP!$E$7="USD",((IF(O164="USD",AK164,(AK164/'Master Data-C19RM'!$F$2)))),((IF(O164="EUR",AK164,(AK164*'Master Data-C19RM'!$F$2))))))</f>
        <v>0</v>
      </c>
      <c r="BS164">
        <f>IF(N164="",0,IF(SETUP!$E$7="USD",((IF(O164="USD",AR164,(AR164/'Master Data-C19RM'!$G$2)))),((IF(O164="EUR",AR164,(AR164*'Master Data-C19RM'!$G$2))))))</f>
        <v>0</v>
      </c>
      <c r="BT164">
        <f>IF(N164="",0,IF(SETUP!$E$7="USD",((IF(O164="USD",AY164,(AY164/'Master Data-C19RM'!$H$2)))),((IF(O164="EUR",AY164,(AY164*'Master Data-C19RM'!$H$2))))))</f>
        <v>0</v>
      </c>
      <c r="BU164" s="12">
        <f t="shared" si="22"/>
        <v>0</v>
      </c>
      <c r="BV164" s="142">
        <f t="shared" si="23"/>
        <v>0</v>
      </c>
    </row>
    <row r="165" spans="1:74" x14ac:dyDescent="0.35">
      <c r="A165" s="1192"/>
      <c r="B165" s="1192"/>
      <c r="C165" s="1192"/>
      <c r="D165" s="1192"/>
      <c r="E165" s="1173"/>
      <c r="F165" s="1173"/>
      <c r="G165" s="1173"/>
      <c r="H165" s="1173"/>
      <c r="I165" s="1173"/>
      <c r="J165" s="1173"/>
      <c r="K165" s="1173"/>
      <c r="L165" s="493" t="str" cm="1">
        <f t="array" ref="L165">IF(A165&lt;&gt;"",IFERROR(INDEX(PMtbl[[WKst]:[Unit of measure*]],MATCH($A$115&amp;$A165&amp;$E165&amp;$I165,INDEX(PMtbl[Sec]&amp;PMtbl[Category]&amp;PMtbl[Each]&amp;PMtbl[Packaging],0,),0),14),""),"")</f>
        <v/>
      </c>
      <c r="M165" s="480" t="str">
        <f>IF(L165="","",INDEX(SETUP!$E$20:$E$122,(MATCH(INDEX(PMsheet!$D:$E,MATCH(A165,PMsheet!E:E,0),1),SETUP!$D$20:$D$122,0))))</f>
        <v/>
      </c>
      <c r="N165" s="494">
        <f>IF($O165="USD",_xlfn.IFNA(VLOOKUP(A165&amp;E165&amp;I165,PMsheet!J:K,2,0),0),(_xlfn.IFNA(VLOOKUP(A165&amp;E165&amp;I165,PMsheet!J:K,2,0),0)*'Master Data-C19RM'!$C$2))</f>
        <v>0</v>
      </c>
      <c r="O165" s="495" t="str">
        <f>IF(L165="", "",SETUP!$E$7)</f>
        <v/>
      </c>
      <c r="P165" s="457">
        <f>IF($O165="USD",_xlfn.IFNA(VLOOKUP($A165&amp;$E165&amp;$I165,PMsheet!$J:$K,2,0),0),(_xlfn.IFNA(VLOOKUP($A165&amp;$E165&amp;$I165,PMsheet!$J:$K,2,0),0)*'Master Data-C19RM'!$C$2))</f>
        <v>0</v>
      </c>
      <c r="Q165" s="440"/>
      <c r="R165" s="440"/>
      <c r="S165" s="440"/>
      <c r="T165" s="440"/>
      <c r="U165" s="482">
        <f t="shared" si="17"/>
        <v>0</v>
      </c>
      <c r="V165" s="484">
        <f>IF(SETUP!$E$7="USD",(U165*(IF(O165="USD",P165,(P165/'Master Data-C19RM'!$C$2)))),(U165*(IF(O165="EUR",P165,(P165*'Master Data-C19RM'!$C$2)))))</f>
        <v>0</v>
      </c>
      <c r="W165" s="445">
        <f>IF($O165="USD",_xlfn.IFNA(VLOOKUP($A165&amp;$E165&amp;$I165,PMsheet!$J:$K,2,0),0),(_xlfn.IFNA(VLOOKUP($A165&amp;$E165&amp;$I165,PMsheet!$J:$K,2,0),0)*'Master Data-C19RM'!$D$2))</f>
        <v>0</v>
      </c>
      <c r="X165" s="440"/>
      <c r="Y165" s="440"/>
      <c r="Z165" s="440"/>
      <c r="AA165" s="440"/>
      <c r="AB165" s="482">
        <f t="shared" si="18"/>
        <v>0</v>
      </c>
      <c r="AC165" s="484">
        <f>IF(SETUP!$E$7="USD",(AB165*(IF(O165="USD",W165,(W165/'Master Data-C19RM'!$D$2)))),(AB165*(IF(O165="EUR",W165,(W165*'Master Data-C19RM'!$D$2)))))</f>
        <v>0</v>
      </c>
      <c r="AD165" s="445">
        <f>IF($O165="USD",_xlfn.IFNA(VLOOKUP($A165&amp;$E165&amp;$I165,PMsheet!$J:$K,2,0),0),(_xlfn.IFNA(VLOOKUP($A165&amp;$E165&amp;$I165,PMsheet!$J:$K,2,0),0)*'Master Data-C19RM'!$E$2))</f>
        <v>0</v>
      </c>
      <c r="AE165" s="440"/>
      <c r="AF165" s="440"/>
      <c r="AG165" s="440"/>
      <c r="AH165" s="440"/>
      <c r="AI165" s="514">
        <f t="shared" si="19"/>
        <v>0</v>
      </c>
      <c r="AJ165" s="515">
        <f>IF(SETUP!$E$7="USD",(AI165*(IF(O165="USD",AD165,(AD165/'Master Data-C19RM'!$E$2)))),(AI165*(IF(O165="EUR",AD165,(AD165*'Master Data-C19RM'!$E$2)))))</f>
        <v>0</v>
      </c>
      <c r="AK165" s="445">
        <f>IF($O165="USD",_xlfn.IFNA(VLOOKUP($A165&amp;$E165&amp;$I165,PMsheet!$J:$K,2,0),0),(_xlfn.IFNA(VLOOKUP($A165&amp;$E165&amp;$I165,PMsheet!$J:$K,2,0),0)*'Master Data-C19RM'!$F$2))</f>
        <v>0</v>
      </c>
      <c r="AL165" s="440"/>
      <c r="AM165" s="440"/>
      <c r="AN165" s="440"/>
      <c r="AO165" s="440"/>
      <c r="AP165" s="514">
        <f t="shared" si="20"/>
        <v>0</v>
      </c>
      <c r="AQ165" s="515">
        <f>IF(SETUP!$E$7="USD",(AP165*(IF(O165="USD",AK165,(AK165/'Master Data-C19RM'!$F$2)))),(AP165*(IF(O165="EUR",AK165,(AK165*'Master Data-C19RM'!$F$2)))))</f>
        <v>0</v>
      </c>
      <c r="AR165" s="925">
        <f>IF($O165="USD",_xlfn.IFNA(VLOOKUP($A165&amp;$E165&amp;$I165,PMsheet!$J:$K,2,0),0),(_xlfn.IFNA(VLOOKUP($A165&amp;$E165&amp;$I165,PMsheet!$J:$K,2,0),0)*'Master Data-C19RM'!$G$2))</f>
        <v>0</v>
      </c>
      <c r="AS165" s="926"/>
      <c r="AT165" s="926"/>
      <c r="AU165" s="926"/>
      <c r="AV165" s="926"/>
      <c r="AW165" s="514">
        <f t="shared" si="21"/>
        <v>0</v>
      </c>
      <c r="AX165" s="515">
        <f>IF(SETUP!$E$7="USD",(AW165*(IF(O165="USD",AR165,(AR165/'Master Data-C19RM'!$G$2)))),(AW165*(IF(O165="EUR",AR165,(AR165*'Master Data-C19RM'!$G$2)))))</f>
        <v>0</v>
      </c>
      <c r="AY165" s="845"/>
      <c r="AZ165" s="846"/>
      <c r="BA165" s="846"/>
      <c r="BB165" s="846"/>
      <c r="BC165" s="846"/>
      <c r="BD165" s="846"/>
      <c r="BE165" s="847"/>
      <c r="BF165" s="514">
        <f>'C19RM 2021-Lab &amp; Other HPS'!$U165+'C19RM 2021-Lab &amp; Other HPS'!$AB165+'C19RM 2021-Lab &amp; Other HPS'!$AP165+'C19RM 2021-Lab &amp; Other HPS'!$AI165+AW165+BD165</f>
        <v>0</v>
      </c>
      <c r="BG165" s="514">
        <f>'C19RM 2021-Lab &amp; Other HPS'!$V165+'C19RM 2021-Lab &amp; Other HPS'!$AC165+'C19RM 2021-Lab &amp; Other HPS'!$AQ165+'C19RM 2021-Lab &amp; Other HPS'!$AJ165+AX165+BE165</f>
        <v>0</v>
      </c>
      <c r="BH165" s="522" t="str" cm="1">
        <f t="array" ref="BH165">IF(A165&lt;&gt;"",IFERROR(INDEX(PMtbl[[WKst]:[Unit of measure*]],MATCH($A$115&amp;$A165&amp;$E165&amp;$I165,INDEX(PMtbl[Sec]&amp;PMtbl[Category]&amp;PMtbl[Each]&amp;PMtbl[Packaging],0,),0),11),""),"")</f>
        <v/>
      </c>
      <c r="BI165" s="818"/>
      <c r="BJ165" s="503" t="str" cm="1">
        <f t="array" ref="BJ165">IFERROR(INDEX(SETUP!$C$19:$G$121,MATCH((INDEX(PMtbl[[WKst]:[Unit of measure*]],MATCH($A165&amp;$E165&amp;$I165,INDEX(PMtbl[Category]&amp;PMtbl[Each]&amp;PMtbl[Packaging],0,),0),3)),SETUP!$D$19:$D$121,0),5),"")</f>
        <v/>
      </c>
      <c r="BK165" s="543" t="str" cm="1">
        <f t="array" ref="BK165">IFERROR(IF((INDEX(SETUP!$C$19:$G$121,MATCH((INDEX(PMtbl[[WKst]:[Unit of measure*]],MATCH($A165&amp;$E165&amp;$I165,INDEX(PMtbl[Category]&amp;PMtbl[Each]&amp;PMtbl[Packaging],0,),0),3)),SETUP!$D$19:$D$121,0),4))="Upfront",0,INDEX(SETUP!$C$19:$G$121,MATCH((INDEX(PMtbl[[WKst]:[Unit of measure*]],MATCH($A165&amp;$E165&amp;$I165,INDEX(PMtbl[Category]&amp;PMtbl[Each]&amp;PMtbl[Packaging],0,),0),3)),SETUP!$D$19:$D$121,0),5)),"")</f>
        <v/>
      </c>
      <c r="BL165" s="215" t="str" cm="1">
        <f t="array" ref="BL165">IF(E165&lt;&gt;"",IFERROR(INDEX(PMtbl[[WKst]:[Unit of measure*]],MATCH($A$115&amp;$A165&amp;$E165&amp;$I165,INDEX(PMtbl[Sec]&amp;PMtbl[Category]&amp;PMtbl[Each]&amp;PMtbl[Packaging],0,),0),11),""),"")</f>
        <v/>
      </c>
      <c r="BO165" s="12">
        <f>IF(N165="",0,IF(SETUP!$E$7="USD",((IF(O165="USD",P165,(P165/'Master Data-C19RM'!$C$2)))),((IF(O165="EUR",P165,(P165*'Master Data-C19RM'!$C$2))))))</f>
        <v>0</v>
      </c>
      <c r="BP165" s="12">
        <f>IF(N165="",0,IF(SETUP!$E$7="USD",((IF(O165="USD",W165,(W165/'Master Data-C19RM'!$D$2)))),((IF(O165="EUR",W165,(W165*'Master Data-C19RM'!$D$2))))))</f>
        <v>0</v>
      </c>
      <c r="BQ165">
        <f>IF(N165="",0,IF(SETUP!$E$7="USD",((IF(O165="USD",AD165,(AD165/'Master Data-C19RM'!$E$2)))),((IF(O165="EUR",AD165,(AD165*'Master Data-C19RM'!$E$2))))))</f>
        <v>0</v>
      </c>
      <c r="BR165">
        <f>IF(N165="",0,IF(SETUP!$E$7="USD",((IF(O165="USD",AK165,(AK165/'Master Data-C19RM'!$F$2)))),((IF(O165="EUR",AK165,(AK165*'Master Data-C19RM'!$F$2))))))</f>
        <v>0</v>
      </c>
      <c r="BS165">
        <f>IF(N165="",0,IF(SETUP!$E$7="USD",((IF(O165="USD",AR165,(AR165/'Master Data-C19RM'!$G$2)))),((IF(O165="EUR",AR165,(AR165*'Master Data-C19RM'!$G$2))))))</f>
        <v>0</v>
      </c>
      <c r="BT165">
        <f>IF(N165="",0,IF(SETUP!$E$7="USD",((IF(O165="USD",AY165,(AY165/'Master Data-C19RM'!$H$2)))),((IF(O165="EUR",AY165,(AY165*'Master Data-C19RM'!$H$2))))))</f>
        <v>0</v>
      </c>
      <c r="BU165" s="12">
        <f t="shared" si="15"/>
        <v>0</v>
      </c>
      <c r="BV165" s="142">
        <f t="shared" si="16"/>
        <v>0</v>
      </c>
    </row>
    <row r="166" spans="1:74" x14ac:dyDescent="0.35">
      <c r="A166" s="1165"/>
      <c r="B166" s="1165"/>
      <c r="C166" s="1165"/>
      <c r="D166" s="1165"/>
      <c r="E166" s="1166"/>
      <c r="F166" s="1166"/>
      <c r="G166" s="1166"/>
      <c r="H166" s="1166"/>
      <c r="I166" s="1166"/>
      <c r="J166" s="1166"/>
      <c r="K166" s="1166"/>
      <c r="L166" s="490" t="str" cm="1">
        <f t="array" ref="L166">IF(A166&lt;&gt;"",IFERROR(INDEX(PMtbl[[WKst]:[Unit of measure*]],MATCH($A$115&amp;$A166&amp;$E166&amp;$I166,INDEX(PMtbl[Sec]&amp;PMtbl[Category]&amp;PMtbl[Each]&amp;PMtbl[Packaging],0,),0),14),""),"")</f>
        <v/>
      </c>
      <c r="M166" s="479" t="str">
        <f>IF(L166="","",INDEX(SETUP!$E$20:$E$122,(MATCH(INDEX(PMsheet!$D:$E,MATCH(A166,PMsheet!E:E,0),1),SETUP!$D$20:$D$122,0))))</f>
        <v/>
      </c>
      <c r="N166" s="491">
        <f>IF($O166="USD",_xlfn.IFNA(VLOOKUP(A166&amp;E166&amp;I166,PMsheet!J:K,2,0),0),(_xlfn.IFNA(VLOOKUP(A166&amp;E166&amp;I166,PMsheet!J:K,2,0),0)*'Master Data-C19RM'!$C$2))</f>
        <v>0</v>
      </c>
      <c r="O166" s="492" t="str">
        <f>IF(L166="", "",SETUP!$E$7)</f>
        <v/>
      </c>
      <c r="P166" s="456">
        <f>IF($O166="USD",_xlfn.IFNA(VLOOKUP($A166&amp;$E166&amp;$I166,PMsheet!$J:$K,2,0),0),(_xlfn.IFNA(VLOOKUP($A166&amp;$E166&amp;$I166,PMsheet!$J:$K,2,0),0)*'Master Data-C19RM'!$C$2))</f>
        <v>0</v>
      </c>
      <c r="Q166" s="441"/>
      <c r="R166" s="441"/>
      <c r="S166" s="441"/>
      <c r="T166" s="441"/>
      <c r="U166" s="481">
        <f t="shared" si="17"/>
        <v>0</v>
      </c>
      <c r="V166" s="483">
        <f>IF(SETUP!$E$7="USD",(U166*(IF(O166="USD",P166,(P166/'Master Data-C19RM'!$C$2)))),(U166*(IF(O166="EUR",P166,(P166*'Master Data-C19RM'!$C$2)))))</f>
        <v>0</v>
      </c>
      <c r="W166" s="444">
        <f>IF($O166="USD",_xlfn.IFNA(VLOOKUP($A166&amp;$E166&amp;$I166,PMsheet!$J:$K,2,0),0),(_xlfn.IFNA(VLOOKUP($A166&amp;$E166&amp;$I166,PMsheet!$J:$K,2,0),0)*'Master Data-C19RM'!$D$2))</f>
        <v>0</v>
      </c>
      <c r="X166" s="441"/>
      <c r="Y166" s="441"/>
      <c r="Z166" s="441"/>
      <c r="AA166" s="441"/>
      <c r="AB166" s="481">
        <f t="shared" si="18"/>
        <v>0</v>
      </c>
      <c r="AC166" s="483">
        <f>IF(SETUP!$E$7="USD",(AB166*(IF(O166="USD",W166,(W166/'Master Data-C19RM'!$D$2)))),(AB166*(IF(O166="EUR",W166,(W166*'Master Data-C19RM'!$D$2)))))</f>
        <v>0</v>
      </c>
      <c r="AD166" s="444">
        <f>IF($O166="USD",_xlfn.IFNA(VLOOKUP($A166&amp;$E166&amp;$I166,PMsheet!$J:$K,2,0),0),(_xlfn.IFNA(VLOOKUP($A166&amp;$E166&amp;$I166,PMsheet!$J:$K,2,0),0)*'Master Data-C19RM'!$E$2))</f>
        <v>0</v>
      </c>
      <c r="AE166" s="441"/>
      <c r="AF166" s="441"/>
      <c r="AG166" s="441"/>
      <c r="AH166" s="441"/>
      <c r="AI166" s="512">
        <f t="shared" si="19"/>
        <v>0</v>
      </c>
      <c r="AJ166" s="513">
        <f>IF(SETUP!$E$7="USD",(AI166*(IF(O166="USD",AD166,(AD166/'Master Data-C19RM'!$E$2)))),(AI166*(IF(O166="EUR",AD166,(AD166*'Master Data-C19RM'!$E$2)))))</f>
        <v>0</v>
      </c>
      <c r="AK166" s="444">
        <f>IF($O166="USD",_xlfn.IFNA(VLOOKUP($A166&amp;$E166&amp;$I166,PMsheet!$J:$K,2,0),0),(_xlfn.IFNA(VLOOKUP($A166&amp;$E166&amp;$I166,PMsheet!$J:$K,2,0),0)*'Master Data-C19RM'!$F$2))</f>
        <v>0</v>
      </c>
      <c r="AL166" s="441"/>
      <c r="AM166" s="441"/>
      <c r="AN166" s="441"/>
      <c r="AO166" s="441"/>
      <c r="AP166" s="512">
        <f t="shared" si="20"/>
        <v>0</v>
      </c>
      <c r="AQ166" s="513">
        <f>IF(SETUP!$E$7="USD",(AP166*(IF(O166="USD",AK166,(AK166/'Master Data-C19RM'!$F$2)))),(AP166*(IF(O166="EUR",AK166,(AK166*'Master Data-C19RM'!$F$2)))))</f>
        <v>0</v>
      </c>
      <c r="AR166" s="924">
        <f>IF($O166="USD",_xlfn.IFNA(VLOOKUP($A166&amp;$E166&amp;$I166,PMsheet!$J:$K,2,0),0),(_xlfn.IFNA(VLOOKUP($A166&amp;$E166&amp;$I166,PMsheet!$J:$K,2,0),0)*'Master Data-C19RM'!$G$2))</f>
        <v>0</v>
      </c>
      <c r="AS166" s="572"/>
      <c r="AT166" s="572"/>
      <c r="AU166" s="572"/>
      <c r="AV166" s="572"/>
      <c r="AW166" s="512">
        <f t="shared" si="21"/>
        <v>0</v>
      </c>
      <c r="AX166" s="513">
        <f>IF(SETUP!$E$7="USD",(AW166*(IF(O166="USD",AR166,(AR166/'Master Data-C19RM'!$G$2)))),(AW166*(IF(O166="EUR",AR166,(AR166*'Master Data-C19RM'!$G$2)))))</f>
        <v>0</v>
      </c>
      <c r="AY166" s="845"/>
      <c r="AZ166" s="846"/>
      <c r="BA166" s="846"/>
      <c r="BB166" s="846"/>
      <c r="BC166" s="846"/>
      <c r="BD166" s="846"/>
      <c r="BE166" s="847"/>
      <c r="BF166" s="512">
        <f>'C19RM 2021-Lab &amp; Other HPS'!$U166+'C19RM 2021-Lab &amp; Other HPS'!$AB166+'C19RM 2021-Lab &amp; Other HPS'!$AP166+'C19RM 2021-Lab &amp; Other HPS'!$AI166+AW166+BD166</f>
        <v>0</v>
      </c>
      <c r="BG166" s="512">
        <f>'C19RM 2021-Lab &amp; Other HPS'!$V166+'C19RM 2021-Lab &amp; Other HPS'!$AC166+'C19RM 2021-Lab &amp; Other HPS'!$AQ166+'C19RM 2021-Lab &amp; Other HPS'!$AJ166+AX166+BE166</f>
        <v>0</v>
      </c>
      <c r="BH166" s="500" t="str" cm="1">
        <f t="array" ref="BH166">IF(A166&lt;&gt;"",IFERROR(INDEX(PMtbl[[WKst]:[Unit of measure*]],MATCH($A$115&amp;$A166&amp;$E166&amp;$I166,INDEX(PMtbl[Sec]&amp;PMtbl[Category]&amp;PMtbl[Each]&amp;PMtbl[Packaging],0,),0),11),""),"")</f>
        <v/>
      </c>
      <c r="BI166" s="819"/>
      <c r="BJ166" s="502" t="str" cm="1">
        <f t="array" ref="BJ166">IFERROR(INDEX(SETUP!$C$19:$G$121,MATCH((INDEX(PMtbl[[WKst]:[Unit of measure*]],MATCH($A166&amp;$E166&amp;$I166,INDEX(PMtbl[Category]&amp;PMtbl[Each]&amp;PMtbl[Packaging],0,),0),3)),SETUP!$D$19:$D$121,0),5),"")</f>
        <v/>
      </c>
      <c r="BK166" s="542" t="str" cm="1">
        <f t="array" ref="BK166">IFERROR(IF((INDEX(SETUP!$C$19:$G$121,MATCH((INDEX(PMtbl[[WKst]:[Unit of measure*]],MATCH($A166&amp;$E166&amp;$I166,INDEX(PMtbl[Category]&amp;PMtbl[Each]&amp;PMtbl[Packaging],0,),0),3)),SETUP!$D$19:$D$121,0),4))="Upfront",0,INDEX(SETUP!$C$19:$G$121,MATCH((INDEX(PMtbl[[WKst]:[Unit of measure*]],MATCH($A166&amp;$E166&amp;$I166,INDEX(PMtbl[Category]&amp;PMtbl[Each]&amp;PMtbl[Packaging],0,),0),3)),SETUP!$D$19:$D$121,0),5)),"")</f>
        <v/>
      </c>
      <c r="BL166" s="214" t="str" cm="1">
        <f t="array" ref="BL166">IF(E166&lt;&gt;"",IFERROR(INDEX(PMtbl[[WKst]:[Unit of measure*]],MATCH($A$115&amp;$A166&amp;$E166&amp;$I166,INDEX(PMtbl[Sec]&amp;PMtbl[Category]&amp;PMtbl[Each]&amp;PMtbl[Packaging],0,),0),11),""),"")</f>
        <v/>
      </c>
      <c r="BO166" s="12">
        <f>IF(N166="",0,IF(SETUP!$E$7="USD",((IF(O166="USD",P166,(P166/'Master Data-C19RM'!$C$2)))),((IF(O166="EUR",P166,(P166*'Master Data-C19RM'!$C$2))))))</f>
        <v>0</v>
      </c>
      <c r="BP166" s="12">
        <f>IF(N166="",0,IF(SETUP!$E$7="USD",((IF(O166="USD",W166,(W166/'Master Data-C19RM'!$D$2)))),((IF(O166="EUR",W166,(W166*'Master Data-C19RM'!$D$2))))))</f>
        <v>0</v>
      </c>
      <c r="BQ166">
        <f>IF(N166="",0,IF(SETUP!$E$7="USD",((IF(O166="USD",AD166,(AD166/'Master Data-C19RM'!$E$2)))),((IF(O166="EUR",AD166,(AD166*'Master Data-C19RM'!$E$2))))))</f>
        <v>0</v>
      </c>
      <c r="BR166">
        <f>IF(N166="",0,IF(SETUP!$E$7="USD",((IF(O166="USD",AK166,(AK166/'Master Data-C19RM'!$F$2)))),((IF(O166="EUR",AK166,(AK166*'Master Data-C19RM'!$F$2))))))</f>
        <v>0</v>
      </c>
      <c r="BS166">
        <f>IF(N166="",0,IF(SETUP!$E$7="USD",((IF(O166="USD",AR166,(AR166/'Master Data-C19RM'!$G$2)))),((IF(O166="EUR",AR166,(AR166*'Master Data-C19RM'!$G$2))))))</f>
        <v>0</v>
      </c>
      <c r="BT166">
        <f>IF(N166="",0,IF(SETUP!$E$7="USD",((IF(O166="USD",AY166,(AY166/'Master Data-C19RM'!$H$2)))),((IF(O166="EUR",AY166,(AY166*'Master Data-C19RM'!$H$2))))))</f>
        <v>0</v>
      </c>
      <c r="BU166" s="12">
        <f t="shared" si="15"/>
        <v>0</v>
      </c>
      <c r="BV166" s="142">
        <f t="shared" si="16"/>
        <v>0</v>
      </c>
    </row>
    <row r="167" spans="1:74" x14ac:dyDescent="0.35">
      <c r="A167" s="1192"/>
      <c r="B167" s="1192"/>
      <c r="C167" s="1192"/>
      <c r="D167" s="1192"/>
      <c r="E167" s="1173"/>
      <c r="F167" s="1173"/>
      <c r="G167" s="1173"/>
      <c r="H167" s="1173"/>
      <c r="I167" s="1173"/>
      <c r="J167" s="1173"/>
      <c r="K167" s="1173"/>
      <c r="L167" s="493" t="str" cm="1">
        <f t="array" ref="L167">IF(A167&lt;&gt;"",IFERROR(INDEX(PMtbl[[WKst]:[Unit of measure*]],MATCH($A$115&amp;$A167&amp;$E167&amp;$I167,INDEX(PMtbl[Sec]&amp;PMtbl[Category]&amp;PMtbl[Each]&amp;PMtbl[Packaging],0,),0),14),""),"")</f>
        <v/>
      </c>
      <c r="M167" s="480" t="str">
        <f>IF(L167="","",INDEX(SETUP!$E$20:$E$122,(MATCH(INDEX(PMsheet!$D:$E,MATCH(A167,PMsheet!E:E,0),1),SETUP!$D$20:$D$122,0))))</f>
        <v/>
      </c>
      <c r="N167" s="494">
        <f>IF($O167="USD",_xlfn.IFNA(VLOOKUP(A167&amp;E167&amp;I167,PMsheet!J:K,2,0),0),(_xlfn.IFNA(VLOOKUP(A167&amp;E167&amp;I167,PMsheet!J:K,2,0),0)*'Master Data-C19RM'!$C$2))</f>
        <v>0</v>
      </c>
      <c r="O167" s="495" t="str">
        <f>IF(L167="", "",SETUP!$E$7)</f>
        <v/>
      </c>
      <c r="P167" s="457">
        <f>IF($O167="USD",_xlfn.IFNA(VLOOKUP($A167&amp;$E167&amp;$I167,PMsheet!$J:$K,2,0),0),(_xlfn.IFNA(VLOOKUP($A167&amp;$E167&amp;$I167,PMsheet!$J:$K,2,0),0)*'Master Data-C19RM'!$C$2))</f>
        <v>0</v>
      </c>
      <c r="Q167" s="440"/>
      <c r="R167" s="440"/>
      <c r="S167" s="440"/>
      <c r="T167" s="440"/>
      <c r="U167" s="482">
        <f t="shared" si="17"/>
        <v>0</v>
      </c>
      <c r="V167" s="484">
        <f>IF(SETUP!$E$7="USD",(U167*(IF(O167="USD",P167,(P167/'Master Data-C19RM'!$C$2)))),(U167*(IF(O167="EUR",P167,(P167*'Master Data-C19RM'!$C$2)))))</f>
        <v>0</v>
      </c>
      <c r="W167" s="445">
        <f>IF($O167="USD",_xlfn.IFNA(VLOOKUP($A167&amp;$E167&amp;$I167,PMsheet!$J:$K,2,0),0),(_xlfn.IFNA(VLOOKUP($A167&amp;$E167&amp;$I167,PMsheet!$J:$K,2,0),0)*'Master Data-C19RM'!$D$2))</f>
        <v>0</v>
      </c>
      <c r="X167" s="440"/>
      <c r="Y167" s="440"/>
      <c r="Z167" s="440"/>
      <c r="AA167" s="440"/>
      <c r="AB167" s="482">
        <f t="shared" si="18"/>
        <v>0</v>
      </c>
      <c r="AC167" s="484">
        <f>IF(SETUP!$E$7="USD",(AB167*(IF(O167="USD",W167,(W167/'Master Data-C19RM'!$D$2)))),(AB167*(IF(O167="EUR",W167,(W167*'Master Data-C19RM'!$D$2)))))</f>
        <v>0</v>
      </c>
      <c r="AD167" s="445">
        <f>IF($O167="USD",_xlfn.IFNA(VLOOKUP($A167&amp;$E167&amp;$I167,PMsheet!$J:$K,2,0),0),(_xlfn.IFNA(VLOOKUP($A167&amp;$E167&amp;$I167,PMsheet!$J:$K,2,0),0)*'Master Data-C19RM'!$E$2))</f>
        <v>0</v>
      </c>
      <c r="AE167" s="440"/>
      <c r="AF167" s="440"/>
      <c r="AG167" s="440"/>
      <c r="AH167" s="440"/>
      <c r="AI167" s="514">
        <f t="shared" si="19"/>
        <v>0</v>
      </c>
      <c r="AJ167" s="515">
        <f>IF(SETUP!$E$7="USD",(AI167*(IF(O167="USD",AD167,(AD167/'Master Data-C19RM'!$E$2)))),(AI167*(IF(O167="EUR",AD167,(AD167*'Master Data-C19RM'!$E$2)))))</f>
        <v>0</v>
      </c>
      <c r="AK167" s="445">
        <f>IF($O167="USD",_xlfn.IFNA(VLOOKUP($A167&amp;$E167&amp;$I167,PMsheet!$J:$K,2,0),0),(_xlfn.IFNA(VLOOKUP($A167&amp;$E167&amp;$I167,PMsheet!$J:$K,2,0),0)*'Master Data-C19RM'!$F$2))</f>
        <v>0</v>
      </c>
      <c r="AL167" s="440"/>
      <c r="AM167" s="440"/>
      <c r="AN167" s="440"/>
      <c r="AO167" s="440"/>
      <c r="AP167" s="514">
        <f t="shared" si="20"/>
        <v>0</v>
      </c>
      <c r="AQ167" s="515">
        <f>IF(SETUP!$E$7="USD",(AP167*(IF(O167="USD",AK167,(AK167/'Master Data-C19RM'!$F$2)))),(AP167*(IF(O167="EUR",AK167,(AK167*'Master Data-C19RM'!$F$2)))))</f>
        <v>0</v>
      </c>
      <c r="AR167" s="925">
        <f>IF($O167="USD",_xlfn.IFNA(VLOOKUP($A167&amp;$E167&amp;$I167,PMsheet!$J:$K,2,0),0),(_xlfn.IFNA(VLOOKUP($A167&amp;$E167&amp;$I167,PMsheet!$J:$K,2,0),0)*'Master Data-C19RM'!$G$2))</f>
        <v>0</v>
      </c>
      <c r="AS167" s="926"/>
      <c r="AT167" s="926"/>
      <c r="AU167" s="926"/>
      <c r="AV167" s="926"/>
      <c r="AW167" s="514">
        <f t="shared" si="21"/>
        <v>0</v>
      </c>
      <c r="AX167" s="515">
        <f>IF(SETUP!$E$7="USD",(AW167*(IF(O167="USD",AR167,(AR167/'Master Data-C19RM'!$G$2)))),(AW167*(IF(O167="EUR",AR167,(AR167*'Master Data-C19RM'!$G$2)))))</f>
        <v>0</v>
      </c>
      <c r="AY167" s="845"/>
      <c r="AZ167" s="846"/>
      <c r="BA167" s="846"/>
      <c r="BB167" s="846"/>
      <c r="BC167" s="846"/>
      <c r="BD167" s="846"/>
      <c r="BE167" s="847"/>
      <c r="BF167" s="514">
        <f>'C19RM 2021-Lab &amp; Other HPS'!$U167+'C19RM 2021-Lab &amp; Other HPS'!$AB167+'C19RM 2021-Lab &amp; Other HPS'!$AP167+'C19RM 2021-Lab &amp; Other HPS'!$AI167+AW167+BD167</f>
        <v>0</v>
      </c>
      <c r="BG167" s="514">
        <f>'C19RM 2021-Lab &amp; Other HPS'!$V167+'C19RM 2021-Lab &amp; Other HPS'!$AC167+'C19RM 2021-Lab &amp; Other HPS'!$AQ167+'C19RM 2021-Lab &amp; Other HPS'!$AJ167+AX167+BE167</f>
        <v>0</v>
      </c>
      <c r="BH167" s="522" t="str" cm="1">
        <f t="array" ref="BH167">IF(A167&lt;&gt;"",IFERROR(INDEX(PMtbl[[WKst]:[Unit of measure*]],MATCH($A$115&amp;$A167&amp;$E167&amp;$I167,INDEX(PMtbl[Sec]&amp;PMtbl[Category]&amp;PMtbl[Each]&amp;PMtbl[Packaging],0,),0),11),""),"")</f>
        <v/>
      </c>
      <c r="BI167" s="818"/>
      <c r="BJ167" s="503" t="str" cm="1">
        <f t="array" ref="BJ167">IFERROR(INDEX(SETUP!$C$19:$G$121,MATCH((INDEX(PMtbl[[WKst]:[Unit of measure*]],MATCH($A167&amp;$E167&amp;$I167,INDEX(PMtbl[Category]&amp;PMtbl[Each]&amp;PMtbl[Packaging],0,),0),3)),SETUP!$D$19:$D$121,0),5),"")</f>
        <v/>
      </c>
      <c r="BK167" s="543" t="str" cm="1">
        <f t="array" ref="BK167">IFERROR(IF((INDEX(SETUP!$C$19:$G$121,MATCH((INDEX(PMtbl[[WKst]:[Unit of measure*]],MATCH($A167&amp;$E167&amp;$I167,INDEX(PMtbl[Category]&amp;PMtbl[Each]&amp;PMtbl[Packaging],0,),0),3)),SETUP!$D$19:$D$121,0),4))="Upfront",0,INDEX(SETUP!$C$19:$G$121,MATCH((INDEX(PMtbl[[WKst]:[Unit of measure*]],MATCH($A167&amp;$E167&amp;$I167,INDEX(PMtbl[Category]&amp;PMtbl[Each]&amp;PMtbl[Packaging],0,),0),3)),SETUP!$D$19:$D$121,0),5)),"")</f>
        <v/>
      </c>
      <c r="BL167" s="215" t="str" cm="1">
        <f t="array" ref="BL167">IF(E167&lt;&gt;"",IFERROR(INDEX(PMtbl[[WKst]:[Unit of measure*]],MATCH($A$115&amp;$A167&amp;$E167&amp;$I167,INDEX(PMtbl[Sec]&amp;PMtbl[Category]&amp;PMtbl[Each]&amp;PMtbl[Packaging],0,),0),11),""),"")</f>
        <v/>
      </c>
      <c r="BO167" s="12">
        <f>IF(N167="",0,IF(SETUP!$E$7="USD",((IF(O167="USD",P167,(P167/'Master Data-C19RM'!$C$2)))),((IF(O167="EUR",P167,(P167*'Master Data-C19RM'!$C$2))))))</f>
        <v>0</v>
      </c>
      <c r="BP167" s="12">
        <f>IF(N167="",0,IF(SETUP!$E$7="USD",((IF(O167="USD",W167,(W167/'Master Data-C19RM'!$D$2)))),((IF(O167="EUR",W167,(W167*'Master Data-C19RM'!$D$2))))))</f>
        <v>0</v>
      </c>
      <c r="BQ167">
        <f>IF(N167="",0,IF(SETUP!$E$7="USD",((IF(O167="USD",AD167,(AD167/'Master Data-C19RM'!$E$2)))),((IF(O167="EUR",AD167,(AD167*'Master Data-C19RM'!$E$2))))))</f>
        <v>0</v>
      </c>
      <c r="BR167">
        <f>IF(N167="",0,IF(SETUP!$E$7="USD",((IF(O167="USD",AK167,(AK167/'Master Data-C19RM'!$F$2)))),((IF(O167="EUR",AK167,(AK167*'Master Data-C19RM'!$F$2))))))</f>
        <v>0</v>
      </c>
      <c r="BS167">
        <f>IF(N167="",0,IF(SETUP!$E$7="USD",((IF(O167="USD",AR167,(AR167/'Master Data-C19RM'!$G$2)))),((IF(O167="EUR",AR167,(AR167*'Master Data-C19RM'!$G$2))))))</f>
        <v>0</v>
      </c>
      <c r="BT167">
        <f>IF(N167="",0,IF(SETUP!$E$7="USD",((IF(O167="USD",AY167,(AY167/'Master Data-C19RM'!$H$2)))),((IF(O167="EUR",AY167,(AY167*'Master Data-C19RM'!$H$2))))))</f>
        <v>0</v>
      </c>
      <c r="BU167" s="12">
        <f t="shared" si="15"/>
        <v>0</v>
      </c>
      <c r="BV167" s="142">
        <f t="shared" si="16"/>
        <v>0</v>
      </c>
    </row>
    <row r="168" spans="1:74" x14ac:dyDescent="0.35">
      <c r="A168" s="1165"/>
      <c r="B168" s="1165"/>
      <c r="C168" s="1165"/>
      <c r="D168" s="1165"/>
      <c r="E168" s="1166"/>
      <c r="F168" s="1166"/>
      <c r="G168" s="1166"/>
      <c r="H168" s="1166"/>
      <c r="I168" s="1166"/>
      <c r="J168" s="1166"/>
      <c r="K168" s="1166"/>
      <c r="L168" s="490" t="str" cm="1">
        <f t="array" ref="L168">IF(A168&lt;&gt;"",IFERROR(INDEX(PMtbl[[WKst]:[Unit of measure*]],MATCH($A$115&amp;$A168&amp;$E168&amp;$I168,INDEX(PMtbl[Sec]&amp;PMtbl[Category]&amp;PMtbl[Each]&amp;PMtbl[Packaging],0,),0),14),""),"")</f>
        <v/>
      </c>
      <c r="M168" s="479" t="str">
        <f>IF(L168="","",INDEX(SETUP!$E$20:$E$122,(MATCH(INDEX(PMsheet!$D:$E,MATCH(A168,PMsheet!E:E,0),1),SETUP!$D$20:$D$122,0))))</f>
        <v/>
      </c>
      <c r="N168" s="491">
        <f>IF($O168="USD",_xlfn.IFNA(VLOOKUP(A168&amp;E168&amp;I168,PMsheet!J:K,2,0),0),(_xlfn.IFNA(VLOOKUP(A168&amp;E168&amp;I168,PMsheet!J:K,2,0),0)*'Master Data-C19RM'!$C$2))</f>
        <v>0</v>
      </c>
      <c r="O168" s="492" t="str">
        <f>IF(L168="", "",SETUP!$E$7)</f>
        <v/>
      </c>
      <c r="P168" s="456">
        <f>IF($O168="USD",_xlfn.IFNA(VLOOKUP($A168&amp;$E168&amp;$I168,PMsheet!$J:$K,2,0),0),(_xlfn.IFNA(VLOOKUP($A168&amp;$E168&amp;$I168,PMsheet!$J:$K,2,0),0)*'Master Data-C19RM'!$C$2))</f>
        <v>0</v>
      </c>
      <c r="Q168" s="441"/>
      <c r="R168" s="441"/>
      <c r="S168" s="441"/>
      <c r="T168" s="441"/>
      <c r="U168" s="481">
        <f t="shared" si="17"/>
        <v>0</v>
      </c>
      <c r="V168" s="483">
        <f>IF(SETUP!$E$7="USD",(U168*(IF(O168="USD",P168,(P168/'Master Data-C19RM'!$C$2)))),(U168*(IF(O168="EUR",P168,(P168*'Master Data-C19RM'!$C$2)))))</f>
        <v>0</v>
      </c>
      <c r="W168" s="444">
        <f>IF($O168="USD",_xlfn.IFNA(VLOOKUP($A168&amp;$E168&amp;$I168,PMsheet!$J:$K,2,0),0),(_xlfn.IFNA(VLOOKUP($A168&amp;$E168&amp;$I168,PMsheet!$J:$K,2,0),0)*'Master Data-C19RM'!$D$2))</f>
        <v>0</v>
      </c>
      <c r="X168" s="441"/>
      <c r="Y168" s="441"/>
      <c r="Z168" s="441"/>
      <c r="AA168" s="441"/>
      <c r="AB168" s="481">
        <f t="shared" si="18"/>
        <v>0</v>
      </c>
      <c r="AC168" s="483">
        <f>IF(SETUP!$E$7="USD",(AB168*(IF(O168="USD",W168,(W168/'Master Data-C19RM'!$D$2)))),(AB168*(IF(O168="EUR",W168,(W168*'Master Data-C19RM'!$D$2)))))</f>
        <v>0</v>
      </c>
      <c r="AD168" s="444">
        <f>IF($O168="USD",_xlfn.IFNA(VLOOKUP($A168&amp;$E168&amp;$I168,PMsheet!$J:$K,2,0),0),(_xlfn.IFNA(VLOOKUP($A168&amp;$E168&amp;$I168,PMsheet!$J:$K,2,0),0)*'Master Data-C19RM'!$E$2))</f>
        <v>0</v>
      </c>
      <c r="AE168" s="441"/>
      <c r="AF168" s="441"/>
      <c r="AG168" s="441"/>
      <c r="AH168" s="441"/>
      <c r="AI168" s="512">
        <f t="shared" si="19"/>
        <v>0</v>
      </c>
      <c r="AJ168" s="513">
        <f>IF(SETUP!$E$7="USD",(AI168*(IF(O168="USD",AD168,(AD168/'Master Data-C19RM'!$E$2)))),(AI168*(IF(O168="EUR",AD168,(AD168*'Master Data-C19RM'!$E$2)))))</f>
        <v>0</v>
      </c>
      <c r="AK168" s="444">
        <f>IF($O168="USD",_xlfn.IFNA(VLOOKUP($A168&amp;$E168&amp;$I168,PMsheet!$J:$K,2,0),0),(_xlfn.IFNA(VLOOKUP($A168&amp;$E168&amp;$I168,PMsheet!$J:$K,2,0),0)*'Master Data-C19RM'!$F$2))</f>
        <v>0</v>
      </c>
      <c r="AL168" s="441"/>
      <c r="AM168" s="441"/>
      <c r="AN168" s="441"/>
      <c r="AO168" s="441"/>
      <c r="AP168" s="512">
        <f t="shared" si="20"/>
        <v>0</v>
      </c>
      <c r="AQ168" s="513">
        <f>IF(SETUP!$E$7="USD",(AP168*(IF(O168="USD",AK168,(AK168/'Master Data-C19RM'!$F$2)))),(AP168*(IF(O168="EUR",AK168,(AK168*'Master Data-C19RM'!$F$2)))))</f>
        <v>0</v>
      </c>
      <c r="AR168" s="924">
        <f>IF($O168="USD",_xlfn.IFNA(VLOOKUP($A168&amp;$E168&amp;$I168,PMsheet!$J:$K,2,0),0),(_xlfn.IFNA(VLOOKUP($A168&amp;$E168&amp;$I168,PMsheet!$J:$K,2,0),0)*'Master Data-C19RM'!$G$2))</f>
        <v>0</v>
      </c>
      <c r="AS168" s="572"/>
      <c r="AT168" s="572"/>
      <c r="AU168" s="572"/>
      <c r="AV168" s="572"/>
      <c r="AW168" s="512">
        <f t="shared" si="21"/>
        <v>0</v>
      </c>
      <c r="AX168" s="513">
        <f>IF(SETUP!$E$7="USD",(AW168*(IF(O168="USD",AR168,(AR168/'Master Data-C19RM'!$G$2)))),(AW168*(IF(O168="EUR",AR168,(AR168*'Master Data-C19RM'!$G$2)))))</f>
        <v>0</v>
      </c>
      <c r="AY168" s="845"/>
      <c r="AZ168" s="846"/>
      <c r="BA168" s="846"/>
      <c r="BB168" s="846"/>
      <c r="BC168" s="846"/>
      <c r="BD168" s="846"/>
      <c r="BE168" s="847"/>
      <c r="BF168" s="512">
        <f>'C19RM 2021-Lab &amp; Other HPS'!$U168+'C19RM 2021-Lab &amp; Other HPS'!$AB168+'C19RM 2021-Lab &amp; Other HPS'!$AP168+'C19RM 2021-Lab &amp; Other HPS'!$AI168+AW168+BD168</f>
        <v>0</v>
      </c>
      <c r="BG168" s="512">
        <f>'C19RM 2021-Lab &amp; Other HPS'!$V168+'C19RM 2021-Lab &amp; Other HPS'!$AC168+'C19RM 2021-Lab &amp; Other HPS'!$AQ168+'C19RM 2021-Lab &amp; Other HPS'!$AJ168+AX168+BE168</f>
        <v>0</v>
      </c>
      <c r="BH168" s="500" t="str" cm="1">
        <f t="array" ref="BH168">IF(A168&lt;&gt;"",IFERROR(INDEX(PMtbl[[WKst]:[Unit of measure*]],MATCH($A$115&amp;$A168&amp;$E168&amp;$I168,INDEX(PMtbl[Sec]&amp;PMtbl[Category]&amp;PMtbl[Each]&amp;PMtbl[Packaging],0,),0),11),""),"")</f>
        <v/>
      </c>
      <c r="BI168" s="819"/>
      <c r="BJ168" s="502" t="str" cm="1">
        <f t="array" ref="BJ168">IFERROR(INDEX(SETUP!$C$19:$G$121,MATCH((INDEX(PMtbl[[WKst]:[Unit of measure*]],MATCH($A168&amp;$E168&amp;$I168,INDEX(PMtbl[Category]&amp;PMtbl[Each]&amp;PMtbl[Packaging],0,),0),3)),SETUP!$D$19:$D$121,0),5),"")</f>
        <v/>
      </c>
      <c r="BK168" s="542" t="str" cm="1">
        <f t="array" ref="BK168">IFERROR(IF((INDEX(SETUP!$C$19:$G$121,MATCH((INDEX(PMtbl[[WKst]:[Unit of measure*]],MATCH($A168&amp;$E168&amp;$I168,INDEX(PMtbl[Category]&amp;PMtbl[Each]&amp;PMtbl[Packaging],0,),0),3)),SETUP!$D$19:$D$121,0),4))="Upfront",0,INDEX(SETUP!$C$19:$G$121,MATCH((INDEX(PMtbl[[WKst]:[Unit of measure*]],MATCH($A168&amp;$E168&amp;$I168,INDEX(PMtbl[Category]&amp;PMtbl[Each]&amp;PMtbl[Packaging],0,),0),3)),SETUP!$D$19:$D$121,0),5)),"")</f>
        <v/>
      </c>
      <c r="BL168" s="214" t="str" cm="1">
        <f t="array" ref="BL168">IF(E168&lt;&gt;"",IFERROR(INDEX(PMtbl[[WKst]:[Unit of measure*]],MATCH($A$115&amp;$A168&amp;$E168&amp;$I168,INDEX(PMtbl[Sec]&amp;PMtbl[Category]&amp;PMtbl[Each]&amp;PMtbl[Packaging],0,),0),11),""),"")</f>
        <v/>
      </c>
      <c r="BO168" s="12">
        <f>IF(N168="",0,IF(SETUP!$E$7="USD",((IF(O168="USD",P168,(P168/'Master Data-C19RM'!$C$2)))),((IF(O168="EUR",P168,(P168*'Master Data-C19RM'!$C$2))))))</f>
        <v>0</v>
      </c>
      <c r="BP168" s="12">
        <f>IF(N168="",0,IF(SETUP!$E$7="USD",((IF(O168="USD",W168,(W168/'Master Data-C19RM'!$D$2)))),((IF(O168="EUR",W168,(W168*'Master Data-C19RM'!$D$2))))))</f>
        <v>0</v>
      </c>
      <c r="BQ168">
        <f>IF(N168="",0,IF(SETUP!$E$7="USD",((IF(O168="USD",AD168,(AD168/'Master Data-C19RM'!$E$2)))),((IF(O168="EUR",AD168,(AD168*'Master Data-C19RM'!$E$2))))))</f>
        <v>0</v>
      </c>
      <c r="BR168">
        <f>IF(N168="",0,IF(SETUP!$E$7="USD",((IF(O168="USD",AK168,(AK168/'Master Data-C19RM'!$F$2)))),((IF(O168="EUR",AK168,(AK168*'Master Data-C19RM'!$F$2))))))</f>
        <v>0</v>
      </c>
      <c r="BS168">
        <f>IF(N168="",0,IF(SETUP!$E$7="USD",((IF(O168="USD",AR168,(AR168/'Master Data-C19RM'!$G$2)))),((IF(O168="EUR",AR168,(AR168*'Master Data-C19RM'!$G$2))))))</f>
        <v>0</v>
      </c>
      <c r="BT168">
        <f>IF(N168="",0,IF(SETUP!$E$7="USD",((IF(O168="USD",AY168,(AY168/'Master Data-C19RM'!$H$2)))),((IF(O168="EUR",AY168,(AY168*'Master Data-C19RM'!$H$2))))))</f>
        <v>0</v>
      </c>
      <c r="BU168" s="12">
        <f t="shared" si="15"/>
        <v>0</v>
      </c>
      <c r="BV168" s="142">
        <f t="shared" si="16"/>
        <v>0</v>
      </c>
    </row>
    <row r="169" spans="1:74" x14ac:dyDescent="0.35">
      <c r="A169" s="1192"/>
      <c r="B169" s="1192"/>
      <c r="C169" s="1192"/>
      <c r="D169" s="1192"/>
      <c r="E169" s="1173"/>
      <c r="F169" s="1173"/>
      <c r="G169" s="1173"/>
      <c r="H169" s="1173"/>
      <c r="I169" s="1173"/>
      <c r="J169" s="1173"/>
      <c r="K169" s="1173"/>
      <c r="L169" s="493" t="str" cm="1">
        <f t="array" ref="L169">IF(A169&lt;&gt;"",IFERROR(INDEX(PMtbl[[WKst]:[Unit of measure*]],MATCH($A$115&amp;$A169&amp;$E169&amp;$I169,INDEX(PMtbl[Sec]&amp;PMtbl[Category]&amp;PMtbl[Each]&amp;PMtbl[Packaging],0,),0),14),""),"")</f>
        <v/>
      </c>
      <c r="M169" s="480" t="str">
        <f>IF(L169="","",INDEX(SETUP!$E$20:$E$122,(MATCH(INDEX(PMsheet!$D:$E,MATCH(A169,PMsheet!E:E,0),1),SETUP!$D$20:$D$122,0))))</f>
        <v/>
      </c>
      <c r="N169" s="494">
        <f>IF($O169="USD",_xlfn.IFNA(VLOOKUP(A169&amp;E169&amp;I169,PMsheet!J:K,2,0),0),(_xlfn.IFNA(VLOOKUP(A169&amp;E169&amp;I169,PMsheet!J:K,2,0),0)*'Master Data-C19RM'!$C$2))</f>
        <v>0</v>
      </c>
      <c r="O169" s="495" t="str">
        <f>IF(L169="", "",SETUP!$E$7)</f>
        <v/>
      </c>
      <c r="P169" s="457">
        <f>IF($O169="USD",_xlfn.IFNA(VLOOKUP($A169&amp;$E169&amp;$I169,PMsheet!$J:$K,2,0),0),(_xlfn.IFNA(VLOOKUP($A169&amp;$E169&amp;$I169,PMsheet!$J:$K,2,0),0)*'Master Data-C19RM'!$C$2))</f>
        <v>0</v>
      </c>
      <c r="Q169" s="440"/>
      <c r="R169" s="440"/>
      <c r="S169" s="440"/>
      <c r="T169" s="440"/>
      <c r="U169" s="482">
        <f t="shared" si="17"/>
        <v>0</v>
      </c>
      <c r="V169" s="484">
        <f>IF(SETUP!$E$7="USD",(U169*(IF(O169="USD",P169,(P169/'Master Data-C19RM'!$C$2)))),(U169*(IF(O169="EUR",P169,(P169*'Master Data-C19RM'!$C$2)))))</f>
        <v>0</v>
      </c>
      <c r="W169" s="445">
        <f>IF($O169="USD",_xlfn.IFNA(VLOOKUP($A169&amp;$E169&amp;$I169,PMsheet!$J:$K,2,0),0),(_xlfn.IFNA(VLOOKUP($A169&amp;$E169&amp;$I169,PMsheet!$J:$K,2,0),0)*'Master Data-C19RM'!$D$2))</f>
        <v>0</v>
      </c>
      <c r="X169" s="440"/>
      <c r="Y169" s="440"/>
      <c r="Z169" s="440"/>
      <c r="AA169" s="440"/>
      <c r="AB169" s="482">
        <f t="shared" si="18"/>
        <v>0</v>
      </c>
      <c r="AC169" s="484">
        <f>IF(SETUP!$E$7="USD",(AB169*(IF(O169="USD",W169,(W169/'Master Data-C19RM'!$D$2)))),(AB169*(IF(O169="EUR",W169,(W169*'Master Data-C19RM'!$D$2)))))</f>
        <v>0</v>
      </c>
      <c r="AD169" s="445">
        <f>IF($O169="USD",_xlfn.IFNA(VLOOKUP($A169&amp;$E169&amp;$I169,PMsheet!$J:$K,2,0),0),(_xlfn.IFNA(VLOOKUP($A169&amp;$E169&amp;$I169,PMsheet!$J:$K,2,0),0)*'Master Data-C19RM'!$E$2))</f>
        <v>0</v>
      </c>
      <c r="AE169" s="440"/>
      <c r="AF169" s="440"/>
      <c r="AG169" s="440"/>
      <c r="AH169" s="440"/>
      <c r="AI169" s="514">
        <f t="shared" si="19"/>
        <v>0</v>
      </c>
      <c r="AJ169" s="515">
        <f>IF(SETUP!$E$7="USD",(AI169*(IF(O169="USD",AD169,(AD169/'Master Data-C19RM'!$E$2)))),(AI169*(IF(O169="EUR",AD169,(AD169*'Master Data-C19RM'!$E$2)))))</f>
        <v>0</v>
      </c>
      <c r="AK169" s="445">
        <f>IF($O169="USD",_xlfn.IFNA(VLOOKUP($A169&amp;$E169&amp;$I169,PMsheet!$J:$K,2,0),0),(_xlfn.IFNA(VLOOKUP($A169&amp;$E169&amp;$I169,PMsheet!$J:$K,2,0),0)*'Master Data-C19RM'!$F$2))</f>
        <v>0</v>
      </c>
      <c r="AL169" s="440"/>
      <c r="AM169" s="440"/>
      <c r="AN169" s="440"/>
      <c r="AO169" s="440"/>
      <c r="AP169" s="514">
        <f t="shared" si="20"/>
        <v>0</v>
      </c>
      <c r="AQ169" s="515">
        <f>IF(SETUP!$E$7="USD",(AP169*(IF(O169="USD",AK169,(AK169/'Master Data-C19RM'!$F$2)))),(AP169*(IF(O169="EUR",AK169,(AK169*'Master Data-C19RM'!$F$2)))))</f>
        <v>0</v>
      </c>
      <c r="AR169" s="925">
        <f>IF($O169="USD",_xlfn.IFNA(VLOOKUP($A169&amp;$E169&amp;$I169,PMsheet!$J:$K,2,0),0),(_xlfn.IFNA(VLOOKUP($A169&amp;$E169&amp;$I169,PMsheet!$J:$K,2,0),0)*'Master Data-C19RM'!$G$2))</f>
        <v>0</v>
      </c>
      <c r="AS169" s="926"/>
      <c r="AT169" s="926"/>
      <c r="AU169" s="926"/>
      <c r="AV169" s="926"/>
      <c r="AW169" s="514">
        <f t="shared" si="21"/>
        <v>0</v>
      </c>
      <c r="AX169" s="515">
        <f>IF(SETUP!$E$7="USD",(AW169*(IF(O169="USD",AR169,(AR169/'Master Data-C19RM'!$G$2)))),(AW169*(IF(O169="EUR",AR169,(AR169*'Master Data-C19RM'!$G$2)))))</f>
        <v>0</v>
      </c>
      <c r="AY169" s="845"/>
      <c r="AZ169" s="846"/>
      <c r="BA169" s="846"/>
      <c r="BB169" s="846"/>
      <c r="BC169" s="846"/>
      <c r="BD169" s="846"/>
      <c r="BE169" s="847"/>
      <c r="BF169" s="514">
        <f>'C19RM 2021-Lab &amp; Other HPS'!$U169+'C19RM 2021-Lab &amp; Other HPS'!$AB169+'C19RM 2021-Lab &amp; Other HPS'!$AP169+'C19RM 2021-Lab &amp; Other HPS'!$AI169+AW169+BD169</f>
        <v>0</v>
      </c>
      <c r="BG169" s="514">
        <f>'C19RM 2021-Lab &amp; Other HPS'!$V169+'C19RM 2021-Lab &amp; Other HPS'!$AC169+'C19RM 2021-Lab &amp; Other HPS'!$AQ169+'C19RM 2021-Lab &amp; Other HPS'!$AJ169+AX169+BE169</f>
        <v>0</v>
      </c>
      <c r="BH169" s="522" t="str" cm="1">
        <f t="array" ref="BH169">IF(A169&lt;&gt;"",IFERROR(INDEX(PMtbl[[WKst]:[Unit of measure*]],MATCH($A$115&amp;$A169&amp;$E169&amp;$I169,INDEX(PMtbl[Sec]&amp;PMtbl[Category]&amp;PMtbl[Each]&amp;PMtbl[Packaging],0,),0),11),""),"")</f>
        <v/>
      </c>
      <c r="BI169" s="818"/>
      <c r="BJ169" s="503" t="str" cm="1">
        <f t="array" ref="BJ169">IFERROR(INDEX(SETUP!$C$19:$G$121,MATCH((INDEX(PMtbl[[WKst]:[Unit of measure*]],MATCH($A169&amp;$E169&amp;$I169,INDEX(PMtbl[Category]&amp;PMtbl[Each]&amp;PMtbl[Packaging],0,),0),3)),SETUP!$D$19:$D$121,0),5),"")</f>
        <v/>
      </c>
      <c r="BK169" s="543" t="str" cm="1">
        <f t="array" ref="BK169">IFERROR(IF((INDEX(SETUP!$C$19:$G$121,MATCH((INDEX(PMtbl[[WKst]:[Unit of measure*]],MATCH($A169&amp;$E169&amp;$I169,INDEX(PMtbl[Category]&amp;PMtbl[Each]&amp;PMtbl[Packaging],0,),0),3)),SETUP!$D$19:$D$121,0),4))="Upfront",0,INDEX(SETUP!$C$19:$G$121,MATCH((INDEX(PMtbl[[WKst]:[Unit of measure*]],MATCH($A169&amp;$E169&amp;$I169,INDEX(PMtbl[Category]&amp;PMtbl[Each]&amp;PMtbl[Packaging],0,),0),3)),SETUP!$D$19:$D$121,0),5)),"")</f>
        <v/>
      </c>
      <c r="BL169" s="215" t="str" cm="1">
        <f t="array" ref="BL169">IF(E169&lt;&gt;"",IFERROR(INDEX(PMtbl[[WKst]:[Unit of measure*]],MATCH($A$115&amp;$A169&amp;$E169&amp;$I169,INDEX(PMtbl[Sec]&amp;PMtbl[Category]&amp;PMtbl[Each]&amp;PMtbl[Packaging],0,),0),11),""),"")</f>
        <v/>
      </c>
      <c r="BO169" s="12">
        <f>IF(N169="",0,IF(SETUP!$E$7="USD",((IF(O169="USD",P169,(P169/'Master Data-C19RM'!$C$2)))),((IF(O169="EUR",P169,(P169*'Master Data-C19RM'!$C$2))))))</f>
        <v>0</v>
      </c>
      <c r="BP169" s="12">
        <f>IF(N169="",0,IF(SETUP!$E$7="USD",((IF(O169="USD",W169,(W169/'Master Data-C19RM'!$D$2)))),((IF(O169="EUR",W169,(W169*'Master Data-C19RM'!$D$2))))))</f>
        <v>0</v>
      </c>
      <c r="BQ169">
        <f>IF(N169="",0,IF(SETUP!$E$7="USD",((IF(O169="USD",AD169,(AD169/'Master Data-C19RM'!$E$2)))),((IF(O169="EUR",AD169,(AD169*'Master Data-C19RM'!$E$2))))))</f>
        <v>0</v>
      </c>
      <c r="BR169">
        <f>IF(N169="",0,IF(SETUP!$E$7="USD",((IF(O169="USD",AK169,(AK169/'Master Data-C19RM'!$F$2)))),((IF(O169="EUR",AK169,(AK169*'Master Data-C19RM'!$F$2))))))</f>
        <v>0</v>
      </c>
      <c r="BS169">
        <f>IF(N169="",0,IF(SETUP!$E$7="USD",((IF(O169="USD",AR169,(AR169/'Master Data-C19RM'!$G$2)))),((IF(O169="EUR",AR169,(AR169*'Master Data-C19RM'!$G$2))))))</f>
        <v>0</v>
      </c>
      <c r="BT169">
        <f>IF(N169="",0,IF(SETUP!$E$7="USD",((IF(O169="USD",AY169,(AY169/'Master Data-C19RM'!$H$2)))),((IF(O169="EUR",AY169,(AY169*'Master Data-C19RM'!$H$2))))))</f>
        <v>0</v>
      </c>
      <c r="BU169" s="12">
        <f t="shared" si="15"/>
        <v>0</v>
      </c>
      <c r="BV169" s="142">
        <f t="shared" si="16"/>
        <v>0</v>
      </c>
    </row>
    <row r="170" spans="1:74" x14ac:dyDescent="0.35">
      <c r="A170" s="1165"/>
      <c r="B170" s="1165"/>
      <c r="C170" s="1165"/>
      <c r="D170" s="1165"/>
      <c r="E170" s="1166"/>
      <c r="F170" s="1166"/>
      <c r="G170" s="1166"/>
      <c r="H170" s="1166"/>
      <c r="I170" s="1166"/>
      <c r="J170" s="1166"/>
      <c r="K170" s="1166"/>
      <c r="L170" s="490" t="str" cm="1">
        <f t="array" ref="L170">IF(A170&lt;&gt;"",IFERROR(INDEX(PMtbl[[WKst]:[Unit of measure*]],MATCH($A$115&amp;$A170&amp;$E170&amp;$I170,INDEX(PMtbl[Sec]&amp;PMtbl[Category]&amp;PMtbl[Each]&amp;PMtbl[Packaging],0,),0),14),""),"")</f>
        <v/>
      </c>
      <c r="M170" s="479" t="str">
        <f>IF(L170="","",INDEX(SETUP!$E$20:$E$122,(MATCH(INDEX(PMsheet!$D:$E,MATCH(A170,PMsheet!E:E,0),1),SETUP!$D$20:$D$122,0))))</f>
        <v/>
      </c>
      <c r="N170" s="491">
        <f>IF($O170="USD",_xlfn.IFNA(VLOOKUP(A170&amp;E170&amp;I170,PMsheet!J:K,2,0),0),(_xlfn.IFNA(VLOOKUP(A170&amp;E170&amp;I170,PMsheet!J:K,2,0),0)*'Master Data-C19RM'!$C$2))</f>
        <v>0</v>
      </c>
      <c r="O170" s="492" t="str">
        <f>IF(L170="", "",SETUP!$E$7)</f>
        <v/>
      </c>
      <c r="P170" s="456">
        <f>IF($O170="USD",_xlfn.IFNA(VLOOKUP($A170&amp;$E170&amp;$I170,PMsheet!$J:$K,2,0),0),(_xlfn.IFNA(VLOOKUP($A170&amp;$E170&amp;$I170,PMsheet!$J:$K,2,0),0)*'Master Data-C19RM'!$C$2))</f>
        <v>0</v>
      </c>
      <c r="Q170" s="441"/>
      <c r="R170" s="441"/>
      <c r="S170" s="441"/>
      <c r="T170" s="441"/>
      <c r="U170" s="481">
        <f t="shared" si="17"/>
        <v>0</v>
      </c>
      <c r="V170" s="483">
        <f>IF(SETUP!$E$7="USD",(U170*(IF(O170="USD",P170,(P170/'Master Data-C19RM'!$C$2)))),(U170*(IF(O170="EUR",P170,(P170*'Master Data-C19RM'!$C$2)))))</f>
        <v>0</v>
      </c>
      <c r="W170" s="444">
        <f>IF($O170="USD",_xlfn.IFNA(VLOOKUP($A170&amp;$E170&amp;$I170,PMsheet!$J:$K,2,0),0),(_xlfn.IFNA(VLOOKUP($A170&amp;$E170&amp;$I170,PMsheet!$J:$K,2,0),0)*'Master Data-C19RM'!$D$2))</f>
        <v>0</v>
      </c>
      <c r="X170" s="441"/>
      <c r="Y170" s="441"/>
      <c r="Z170" s="441"/>
      <c r="AA170" s="441"/>
      <c r="AB170" s="481">
        <f t="shared" si="18"/>
        <v>0</v>
      </c>
      <c r="AC170" s="483">
        <f>IF(SETUP!$E$7="USD",(AB170*(IF(O170="USD",W170,(W170/'Master Data-C19RM'!$D$2)))),(AB170*(IF(O170="EUR",W170,(W170*'Master Data-C19RM'!$D$2)))))</f>
        <v>0</v>
      </c>
      <c r="AD170" s="444">
        <f>IF($O170="USD",_xlfn.IFNA(VLOOKUP($A170&amp;$E170&amp;$I170,PMsheet!$J:$K,2,0),0),(_xlfn.IFNA(VLOOKUP($A170&amp;$E170&amp;$I170,PMsheet!$J:$K,2,0),0)*'Master Data-C19RM'!$E$2))</f>
        <v>0</v>
      </c>
      <c r="AE170" s="441"/>
      <c r="AF170" s="441"/>
      <c r="AG170" s="441"/>
      <c r="AH170" s="441"/>
      <c r="AI170" s="512">
        <f t="shared" si="19"/>
        <v>0</v>
      </c>
      <c r="AJ170" s="513">
        <f>IF(SETUP!$E$7="USD",(AI170*(IF(O170="USD",AD170,(AD170/'Master Data-C19RM'!$E$2)))),(AI170*(IF(O170="EUR",AD170,(AD170*'Master Data-C19RM'!$E$2)))))</f>
        <v>0</v>
      </c>
      <c r="AK170" s="444">
        <f>IF($O170="USD",_xlfn.IFNA(VLOOKUP($A170&amp;$E170&amp;$I170,PMsheet!$J:$K,2,0),0),(_xlfn.IFNA(VLOOKUP($A170&amp;$E170&amp;$I170,PMsheet!$J:$K,2,0),0)*'Master Data-C19RM'!$F$2))</f>
        <v>0</v>
      </c>
      <c r="AL170" s="441"/>
      <c r="AM170" s="441"/>
      <c r="AN170" s="441"/>
      <c r="AO170" s="441"/>
      <c r="AP170" s="512">
        <f t="shared" si="20"/>
        <v>0</v>
      </c>
      <c r="AQ170" s="513">
        <f>IF(SETUP!$E$7="USD",(AP170*(IF(O170="USD",AK170,(AK170/'Master Data-C19RM'!$F$2)))),(AP170*(IF(O170="EUR",AK170,(AK170*'Master Data-C19RM'!$F$2)))))</f>
        <v>0</v>
      </c>
      <c r="AR170" s="924">
        <f>IF($O170="USD",_xlfn.IFNA(VLOOKUP($A170&amp;$E170&amp;$I170,PMsheet!$J:$K,2,0),0),(_xlfn.IFNA(VLOOKUP($A170&amp;$E170&amp;$I170,PMsheet!$J:$K,2,0),0)*'Master Data-C19RM'!$G$2))</f>
        <v>0</v>
      </c>
      <c r="AS170" s="572"/>
      <c r="AT170" s="572"/>
      <c r="AU170" s="572"/>
      <c r="AV170" s="572"/>
      <c r="AW170" s="512">
        <f t="shared" si="21"/>
        <v>0</v>
      </c>
      <c r="AX170" s="513">
        <f>IF(SETUP!$E$7="USD",(AW170*(IF(O170="USD",AR170,(AR170/'Master Data-C19RM'!$G$2)))),(AW170*(IF(O170="EUR",AR170,(AR170*'Master Data-C19RM'!$G$2)))))</f>
        <v>0</v>
      </c>
      <c r="AY170" s="845"/>
      <c r="AZ170" s="846"/>
      <c r="BA170" s="846"/>
      <c r="BB170" s="846"/>
      <c r="BC170" s="846"/>
      <c r="BD170" s="846"/>
      <c r="BE170" s="847"/>
      <c r="BF170" s="512">
        <f>'C19RM 2021-Lab &amp; Other HPS'!$U170+'C19RM 2021-Lab &amp; Other HPS'!$AB170+'C19RM 2021-Lab &amp; Other HPS'!$AP170+'C19RM 2021-Lab &amp; Other HPS'!$AI170+AW170+BD170</f>
        <v>0</v>
      </c>
      <c r="BG170" s="512">
        <f>'C19RM 2021-Lab &amp; Other HPS'!$V170+'C19RM 2021-Lab &amp; Other HPS'!$AC170+'C19RM 2021-Lab &amp; Other HPS'!$AQ170+'C19RM 2021-Lab &amp; Other HPS'!$AJ170+AX170+BE170</f>
        <v>0</v>
      </c>
      <c r="BH170" s="500" t="str" cm="1">
        <f t="array" ref="BH170">IF(A170&lt;&gt;"",IFERROR(INDEX(PMtbl[[WKst]:[Unit of measure*]],MATCH($A$115&amp;$A170&amp;$E170&amp;$I170,INDEX(PMtbl[Sec]&amp;PMtbl[Category]&amp;PMtbl[Each]&amp;PMtbl[Packaging],0,),0),11),""),"")</f>
        <v/>
      </c>
      <c r="BI170" s="819"/>
      <c r="BJ170" s="502" t="str" cm="1">
        <f t="array" ref="BJ170">IFERROR(INDEX(SETUP!$C$19:$G$121,MATCH((INDEX(PMtbl[[WKst]:[Unit of measure*]],MATCH($A170&amp;$E170&amp;$I170,INDEX(PMtbl[Category]&amp;PMtbl[Each]&amp;PMtbl[Packaging],0,),0),3)),SETUP!$D$19:$D$121,0),5),"")</f>
        <v/>
      </c>
      <c r="BK170" s="542" t="str" cm="1">
        <f t="array" ref="BK170">IFERROR(IF((INDEX(SETUP!$C$19:$G$121,MATCH((INDEX(PMtbl[[WKst]:[Unit of measure*]],MATCH($A170&amp;$E170&amp;$I170,INDEX(PMtbl[Category]&amp;PMtbl[Each]&amp;PMtbl[Packaging],0,),0),3)),SETUP!$D$19:$D$121,0),4))="Upfront",0,INDEX(SETUP!$C$19:$G$121,MATCH((INDEX(PMtbl[[WKst]:[Unit of measure*]],MATCH($A170&amp;$E170&amp;$I170,INDEX(PMtbl[Category]&amp;PMtbl[Each]&amp;PMtbl[Packaging],0,),0),3)),SETUP!$D$19:$D$121,0),5)),"")</f>
        <v/>
      </c>
      <c r="BL170" s="214" t="str" cm="1">
        <f t="array" ref="BL170">IF(E170&lt;&gt;"",IFERROR(INDEX(PMtbl[[WKst]:[Unit of measure*]],MATCH($A$115&amp;$A170&amp;$E170&amp;$I170,INDEX(PMtbl[Sec]&amp;PMtbl[Category]&amp;PMtbl[Each]&amp;PMtbl[Packaging],0,),0),11),""),"")</f>
        <v/>
      </c>
      <c r="BO170" s="12">
        <f>IF(N170="",0,IF(SETUP!$E$7="USD",((IF(O170="USD",P170,(P170/'Master Data-C19RM'!$C$2)))),((IF(O170="EUR",P170,(P170*'Master Data-C19RM'!$C$2))))))</f>
        <v>0</v>
      </c>
      <c r="BP170" s="12">
        <f>IF(N170="",0,IF(SETUP!$E$7="USD",((IF(O170="USD",W170,(W170/'Master Data-C19RM'!$D$2)))),((IF(O170="EUR",W170,(W170*'Master Data-C19RM'!$D$2))))))</f>
        <v>0</v>
      </c>
      <c r="BQ170">
        <f>IF(N170="",0,IF(SETUP!$E$7="USD",((IF(O170="USD",AD170,(AD170/'Master Data-C19RM'!$E$2)))),((IF(O170="EUR",AD170,(AD170*'Master Data-C19RM'!$E$2))))))</f>
        <v>0</v>
      </c>
      <c r="BR170">
        <f>IF(N170="",0,IF(SETUP!$E$7="USD",((IF(O170="USD",AK170,(AK170/'Master Data-C19RM'!$F$2)))),((IF(O170="EUR",AK170,(AK170*'Master Data-C19RM'!$F$2))))))</f>
        <v>0</v>
      </c>
      <c r="BS170">
        <f>IF(N170="",0,IF(SETUP!$E$7="USD",((IF(O170="USD",AR170,(AR170/'Master Data-C19RM'!$G$2)))),((IF(O170="EUR",AR170,(AR170*'Master Data-C19RM'!$G$2))))))</f>
        <v>0</v>
      </c>
      <c r="BT170">
        <f>IF(N170="",0,IF(SETUP!$E$7="USD",((IF(O170="USD",AY170,(AY170/'Master Data-C19RM'!$H$2)))),((IF(O170="EUR",AY170,(AY170*'Master Data-C19RM'!$H$2))))))</f>
        <v>0</v>
      </c>
      <c r="BU170" s="12">
        <f t="shared" si="15"/>
        <v>0</v>
      </c>
      <c r="BV170" s="142">
        <f t="shared" si="16"/>
        <v>0</v>
      </c>
    </row>
    <row r="171" spans="1:74" x14ac:dyDescent="0.35">
      <c r="A171" s="1192"/>
      <c r="B171" s="1192"/>
      <c r="C171" s="1192"/>
      <c r="D171" s="1192"/>
      <c r="E171" s="1173"/>
      <c r="F171" s="1173"/>
      <c r="G171" s="1173"/>
      <c r="H171" s="1173"/>
      <c r="I171" s="1173"/>
      <c r="J171" s="1173"/>
      <c r="K171" s="1173"/>
      <c r="L171" s="493" t="str" cm="1">
        <f t="array" ref="L171">IF(A171&lt;&gt;"",IFERROR(INDEX(PMtbl[[WKst]:[Unit of measure*]],MATCH($A$115&amp;$A171&amp;$E171&amp;$I171,INDEX(PMtbl[Sec]&amp;PMtbl[Category]&amp;PMtbl[Each]&amp;PMtbl[Packaging],0,),0),14),""),"")</f>
        <v/>
      </c>
      <c r="M171" s="480" t="str">
        <f>IF(L171="","",INDEX(SETUP!$E$20:$E$122,(MATCH(INDEX(PMsheet!$D:$E,MATCH(A171,PMsheet!E:E,0),1),SETUP!$D$20:$D$122,0))))</f>
        <v/>
      </c>
      <c r="N171" s="494">
        <f>IF($O171="USD",_xlfn.IFNA(VLOOKUP(A171&amp;E171&amp;I171,PMsheet!J:K,2,0),0),(_xlfn.IFNA(VLOOKUP(A171&amp;E171&amp;I171,PMsheet!J:K,2,0),0)*'Master Data-C19RM'!$C$2))</f>
        <v>0</v>
      </c>
      <c r="O171" s="495" t="str">
        <f>IF(L171="", "",SETUP!$E$7)</f>
        <v/>
      </c>
      <c r="P171" s="457">
        <f>IF($O171="USD",_xlfn.IFNA(VLOOKUP($A171&amp;$E171&amp;$I171,PMsheet!$J:$K,2,0),0),(_xlfn.IFNA(VLOOKUP($A171&amp;$E171&amp;$I171,PMsheet!$J:$K,2,0),0)*'Master Data-C19RM'!$C$2))</f>
        <v>0</v>
      </c>
      <c r="Q171" s="440"/>
      <c r="R171" s="440"/>
      <c r="S171" s="440"/>
      <c r="T171" s="440"/>
      <c r="U171" s="482">
        <f t="shared" si="17"/>
        <v>0</v>
      </c>
      <c r="V171" s="484">
        <f>IF(SETUP!$E$7="USD",(U171*(IF(O171="USD",P171,(P171/'Master Data-C19RM'!$C$2)))),(U171*(IF(O171="EUR",P171,(P171*'Master Data-C19RM'!$C$2)))))</f>
        <v>0</v>
      </c>
      <c r="W171" s="445">
        <f>IF($O171="USD",_xlfn.IFNA(VLOOKUP($A171&amp;$E171&amp;$I171,PMsheet!$J:$K,2,0),0),(_xlfn.IFNA(VLOOKUP($A171&amp;$E171&amp;$I171,PMsheet!$J:$K,2,0),0)*'Master Data-C19RM'!$D$2))</f>
        <v>0</v>
      </c>
      <c r="X171" s="440"/>
      <c r="Y171" s="440"/>
      <c r="Z171" s="440"/>
      <c r="AA171" s="440"/>
      <c r="AB171" s="482">
        <f t="shared" si="18"/>
        <v>0</v>
      </c>
      <c r="AC171" s="484">
        <f>IF(SETUP!$E$7="USD",(AB171*(IF(O171="USD",W171,(W171/'Master Data-C19RM'!$D$2)))),(AB171*(IF(O171="EUR",W171,(W171*'Master Data-C19RM'!$D$2)))))</f>
        <v>0</v>
      </c>
      <c r="AD171" s="445">
        <f>IF($O171="USD",_xlfn.IFNA(VLOOKUP($A171&amp;$E171&amp;$I171,PMsheet!$J:$K,2,0),0),(_xlfn.IFNA(VLOOKUP($A171&amp;$E171&amp;$I171,PMsheet!$J:$K,2,0),0)*'Master Data-C19RM'!$E$2))</f>
        <v>0</v>
      </c>
      <c r="AE171" s="440"/>
      <c r="AF171" s="440"/>
      <c r="AG171" s="440"/>
      <c r="AH171" s="440"/>
      <c r="AI171" s="514">
        <f t="shared" si="19"/>
        <v>0</v>
      </c>
      <c r="AJ171" s="515">
        <f>IF(SETUP!$E$7="USD",(AI171*(IF(O171="USD",AD171,(AD171/'Master Data-C19RM'!$E$2)))),(AI171*(IF(O171="EUR",AD171,(AD171*'Master Data-C19RM'!$E$2)))))</f>
        <v>0</v>
      </c>
      <c r="AK171" s="445">
        <f>IF($O171="USD",_xlfn.IFNA(VLOOKUP($A171&amp;$E171&amp;$I171,PMsheet!$J:$K,2,0),0),(_xlfn.IFNA(VLOOKUP($A171&amp;$E171&amp;$I171,PMsheet!$J:$K,2,0),0)*'Master Data-C19RM'!$F$2))</f>
        <v>0</v>
      </c>
      <c r="AL171" s="440"/>
      <c r="AM171" s="440"/>
      <c r="AN171" s="440"/>
      <c r="AO171" s="440"/>
      <c r="AP171" s="514">
        <f t="shared" si="20"/>
        <v>0</v>
      </c>
      <c r="AQ171" s="515">
        <f>IF(SETUP!$E$7="USD",(AP171*(IF(O171="USD",AK171,(AK171/'Master Data-C19RM'!$F$2)))),(AP171*(IF(O171="EUR",AK171,(AK171*'Master Data-C19RM'!$F$2)))))</f>
        <v>0</v>
      </c>
      <c r="AR171" s="925">
        <f>IF($O171="USD",_xlfn.IFNA(VLOOKUP($A171&amp;$E171&amp;$I171,PMsheet!$J:$K,2,0),0),(_xlfn.IFNA(VLOOKUP($A171&amp;$E171&amp;$I171,PMsheet!$J:$K,2,0),0)*'Master Data-C19RM'!$G$2))</f>
        <v>0</v>
      </c>
      <c r="AS171" s="926"/>
      <c r="AT171" s="926"/>
      <c r="AU171" s="926"/>
      <c r="AV171" s="926"/>
      <c r="AW171" s="514">
        <f t="shared" si="21"/>
        <v>0</v>
      </c>
      <c r="AX171" s="515">
        <f>IF(SETUP!$E$7="USD",(AW171*(IF(O171="USD",AR171,(AR171/'Master Data-C19RM'!$G$2)))),(AW171*(IF(O171="EUR",AR171,(AR171*'Master Data-C19RM'!$G$2)))))</f>
        <v>0</v>
      </c>
      <c r="AY171" s="845"/>
      <c r="AZ171" s="846"/>
      <c r="BA171" s="846"/>
      <c r="BB171" s="846"/>
      <c r="BC171" s="846"/>
      <c r="BD171" s="846"/>
      <c r="BE171" s="847"/>
      <c r="BF171" s="514">
        <f>'C19RM 2021-Lab &amp; Other HPS'!$U171+'C19RM 2021-Lab &amp; Other HPS'!$AB171+'C19RM 2021-Lab &amp; Other HPS'!$AP171+'C19RM 2021-Lab &amp; Other HPS'!$AI171+AW171+BD171</f>
        <v>0</v>
      </c>
      <c r="BG171" s="514">
        <f>'C19RM 2021-Lab &amp; Other HPS'!$V171+'C19RM 2021-Lab &amp; Other HPS'!$AC171+'C19RM 2021-Lab &amp; Other HPS'!$AQ171+'C19RM 2021-Lab &amp; Other HPS'!$AJ171+AX171+BE171</f>
        <v>0</v>
      </c>
      <c r="BH171" s="522" t="str" cm="1">
        <f t="array" ref="BH171">IF(A171&lt;&gt;"",IFERROR(INDEX(PMtbl[[WKst]:[Unit of measure*]],MATCH($A$115&amp;$A171&amp;$E171&amp;$I171,INDEX(PMtbl[Sec]&amp;PMtbl[Category]&amp;PMtbl[Each]&amp;PMtbl[Packaging],0,),0),11),""),"")</f>
        <v/>
      </c>
      <c r="BI171" s="818"/>
      <c r="BJ171" s="503" t="str" cm="1">
        <f t="array" ref="BJ171">IFERROR(INDEX(SETUP!$C$19:$G$121,MATCH((INDEX(PMtbl[[WKst]:[Unit of measure*]],MATCH($A171&amp;$E171&amp;$I171,INDEX(PMtbl[Category]&amp;PMtbl[Each]&amp;PMtbl[Packaging],0,),0),3)),SETUP!$D$19:$D$121,0),5),"")</f>
        <v/>
      </c>
      <c r="BK171" s="543" t="str" cm="1">
        <f t="array" ref="BK171">IFERROR(IF((INDEX(SETUP!$C$19:$G$121,MATCH((INDEX(PMtbl[[WKst]:[Unit of measure*]],MATCH($A171&amp;$E171&amp;$I171,INDEX(PMtbl[Category]&amp;PMtbl[Each]&amp;PMtbl[Packaging],0,),0),3)),SETUP!$D$19:$D$121,0),4))="Upfront",0,INDEX(SETUP!$C$19:$G$121,MATCH((INDEX(PMtbl[[WKst]:[Unit of measure*]],MATCH($A171&amp;$E171&amp;$I171,INDEX(PMtbl[Category]&amp;PMtbl[Each]&amp;PMtbl[Packaging],0,),0),3)),SETUP!$D$19:$D$121,0),5)),"")</f>
        <v/>
      </c>
      <c r="BL171" s="215" t="str" cm="1">
        <f t="array" ref="BL171">IF(E171&lt;&gt;"",IFERROR(INDEX(PMtbl[[WKst]:[Unit of measure*]],MATCH($A$115&amp;$A171&amp;$E171&amp;$I171,INDEX(PMtbl[Sec]&amp;PMtbl[Category]&amp;PMtbl[Each]&amp;PMtbl[Packaging],0,),0),11),""),"")</f>
        <v/>
      </c>
      <c r="BO171" s="12">
        <f>IF(N171="",0,IF(SETUP!$E$7="USD",((IF(O171="USD",P171,(P171/'Master Data-C19RM'!$C$2)))),((IF(O171="EUR",P171,(P171*'Master Data-C19RM'!$C$2))))))</f>
        <v>0</v>
      </c>
      <c r="BP171" s="12">
        <f>IF(N171="",0,IF(SETUP!$E$7="USD",((IF(O171="USD",W171,(W171/'Master Data-C19RM'!$D$2)))),((IF(O171="EUR",W171,(W171*'Master Data-C19RM'!$D$2))))))</f>
        <v>0</v>
      </c>
      <c r="BQ171">
        <f>IF(N171="",0,IF(SETUP!$E$7="USD",((IF(O171="USD",AD171,(AD171/'Master Data-C19RM'!$E$2)))),((IF(O171="EUR",AD171,(AD171*'Master Data-C19RM'!$E$2))))))</f>
        <v>0</v>
      </c>
      <c r="BR171">
        <f>IF(N171="",0,IF(SETUP!$E$7="USD",((IF(O171="USD",AK171,(AK171/'Master Data-C19RM'!$F$2)))),((IF(O171="EUR",AK171,(AK171*'Master Data-C19RM'!$F$2))))))</f>
        <v>0</v>
      </c>
      <c r="BS171">
        <f>IF(N171="",0,IF(SETUP!$E$7="USD",((IF(O171="USD",AR171,(AR171/'Master Data-C19RM'!$G$2)))),((IF(O171="EUR",AR171,(AR171*'Master Data-C19RM'!$G$2))))))</f>
        <v>0</v>
      </c>
      <c r="BT171">
        <f>IF(N171="",0,IF(SETUP!$E$7="USD",((IF(O171="USD",AY171,(AY171/'Master Data-C19RM'!$H$2)))),((IF(O171="EUR",AY171,(AY171*'Master Data-C19RM'!$H$2))))))</f>
        <v>0</v>
      </c>
      <c r="BU171" s="12">
        <f t="shared" si="15"/>
        <v>0</v>
      </c>
      <c r="BV171" s="142">
        <f t="shared" si="16"/>
        <v>0</v>
      </c>
    </row>
    <row r="172" spans="1:74" x14ac:dyDescent="0.35">
      <c r="A172" s="1165"/>
      <c r="B172" s="1165"/>
      <c r="C172" s="1165"/>
      <c r="D172" s="1165"/>
      <c r="E172" s="1166"/>
      <c r="F172" s="1166"/>
      <c r="G172" s="1166"/>
      <c r="H172" s="1166"/>
      <c r="I172" s="1166"/>
      <c r="J172" s="1166"/>
      <c r="K172" s="1166"/>
      <c r="L172" s="490" t="str" cm="1">
        <f t="array" ref="L172">IF(A172&lt;&gt;"",IFERROR(INDEX(PMtbl[[WKst]:[Unit of measure*]],MATCH($A$115&amp;$A172&amp;$E172&amp;$I172,INDEX(PMtbl[Sec]&amp;PMtbl[Category]&amp;PMtbl[Each]&amp;PMtbl[Packaging],0,),0),14),""),"")</f>
        <v/>
      </c>
      <c r="M172" s="479" t="str">
        <f>IF(L172="","",INDEX(SETUP!$E$20:$E$122,(MATCH(INDEX(PMsheet!$D:$E,MATCH(A172,PMsheet!E:E,0),1),SETUP!$D$20:$D$122,0))))</f>
        <v/>
      </c>
      <c r="N172" s="491">
        <f>IF($O172="USD",_xlfn.IFNA(VLOOKUP(A172&amp;E172&amp;I172,PMsheet!J:K,2,0),0),(_xlfn.IFNA(VLOOKUP(A172&amp;E172&amp;I172,PMsheet!J:K,2,0),0)*'Master Data-C19RM'!$C$2))</f>
        <v>0</v>
      </c>
      <c r="O172" s="492" t="str">
        <f>IF(L172="", "",SETUP!$E$7)</f>
        <v/>
      </c>
      <c r="P172" s="456">
        <f>IF($O172="USD",_xlfn.IFNA(VLOOKUP($A172&amp;$E172&amp;$I172,PMsheet!$J:$K,2,0),0),(_xlfn.IFNA(VLOOKUP($A172&amp;$E172&amp;$I172,PMsheet!$J:$K,2,0),0)*'Master Data-C19RM'!$C$2))</f>
        <v>0</v>
      </c>
      <c r="Q172" s="441"/>
      <c r="R172" s="441"/>
      <c r="S172" s="441"/>
      <c r="T172" s="441"/>
      <c r="U172" s="481">
        <f t="shared" si="17"/>
        <v>0</v>
      </c>
      <c r="V172" s="483">
        <f>IF(SETUP!$E$7="USD",(U172*(IF(O172="USD",P172,(P172/'Master Data-C19RM'!$C$2)))),(U172*(IF(O172="EUR",P172,(P172*'Master Data-C19RM'!$C$2)))))</f>
        <v>0</v>
      </c>
      <c r="W172" s="444">
        <f>IF($O172="USD",_xlfn.IFNA(VLOOKUP($A172&amp;$E172&amp;$I172,PMsheet!$J:$K,2,0),0),(_xlfn.IFNA(VLOOKUP($A172&amp;$E172&amp;$I172,PMsheet!$J:$K,2,0),0)*'Master Data-C19RM'!$D$2))</f>
        <v>0</v>
      </c>
      <c r="X172" s="441"/>
      <c r="Y172" s="441"/>
      <c r="Z172" s="441"/>
      <c r="AA172" s="441"/>
      <c r="AB172" s="481">
        <f t="shared" si="18"/>
        <v>0</v>
      </c>
      <c r="AC172" s="483">
        <f>IF(SETUP!$E$7="USD",(AB172*(IF(O172="USD",W172,(W172/'Master Data-C19RM'!$D$2)))),(AB172*(IF(O172="EUR",W172,(W172*'Master Data-C19RM'!$D$2)))))</f>
        <v>0</v>
      </c>
      <c r="AD172" s="444">
        <f>IF($O172="USD",_xlfn.IFNA(VLOOKUP($A172&amp;$E172&amp;$I172,PMsheet!$J:$K,2,0),0),(_xlfn.IFNA(VLOOKUP($A172&amp;$E172&amp;$I172,PMsheet!$J:$K,2,0),0)*'Master Data-C19RM'!$E$2))</f>
        <v>0</v>
      </c>
      <c r="AE172" s="441"/>
      <c r="AF172" s="441"/>
      <c r="AG172" s="441"/>
      <c r="AH172" s="441"/>
      <c r="AI172" s="512">
        <f t="shared" si="19"/>
        <v>0</v>
      </c>
      <c r="AJ172" s="513">
        <f>IF(SETUP!$E$7="USD",(AI172*(IF(O172="USD",AD172,(AD172/'Master Data-C19RM'!$E$2)))),(AI172*(IF(O172="EUR",AD172,(AD172*'Master Data-C19RM'!$E$2)))))</f>
        <v>0</v>
      </c>
      <c r="AK172" s="444">
        <f>IF($O172="USD",_xlfn.IFNA(VLOOKUP($A172&amp;$E172&amp;$I172,PMsheet!$J:$K,2,0),0),(_xlfn.IFNA(VLOOKUP($A172&amp;$E172&amp;$I172,PMsheet!$J:$K,2,0),0)*'Master Data-C19RM'!$F$2))</f>
        <v>0</v>
      </c>
      <c r="AL172" s="441"/>
      <c r="AM172" s="441"/>
      <c r="AN172" s="441"/>
      <c r="AO172" s="441"/>
      <c r="AP172" s="512">
        <f t="shared" si="20"/>
        <v>0</v>
      </c>
      <c r="AQ172" s="513">
        <f>IF(SETUP!$E$7="USD",(AP172*(IF(O172="USD",AK172,(AK172/'Master Data-C19RM'!$F$2)))),(AP172*(IF(O172="EUR",AK172,(AK172*'Master Data-C19RM'!$F$2)))))</f>
        <v>0</v>
      </c>
      <c r="AR172" s="924">
        <f>IF($O172="USD",_xlfn.IFNA(VLOOKUP($A172&amp;$E172&amp;$I172,PMsheet!$J:$K,2,0),0),(_xlfn.IFNA(VLOOKUP($A172&amp;$E172&amp;$I172,PMsheet!$J:$K,2,0),0)*'Master Data-C19RM'!$G$2))</f>
        <v>0</v>
      </c>
      <c r="AS172" s="572"/>
      <c r="AT172" s="572"/>
      <c r="AU172" s="572"/>
      <c r="AV172" s="572"/>
      <c r="AW172" s="512">
        <f t="shared" si="21"/>
        <v>0</v>
      </c>
      <c r="AX172" s="513">
        <f>IF(SETUP!$E$7="USD",(AW172*(IF(O172="USD",AR172,(AR172/'Master Data-C19RM'!$G$2)))),(AW172*(IF(O172="EUR",AR172,(AR172*'Master Data-C19RM'!$G$2)))))</f>
        <v>0</v>
      </c>
      <c r="AY172" s="845"/>
      <c r="AZ172" s="846"/>
      <c r="BA172" s="846"/>
      <c r="BB172" s="846"/>
      <c r="BC172" s="846"/>
      <c r="BD172" s="846"/>
      <c r="BE172" s="847"/>
      <c r="BF172" s="512">
        <f>'C19RM 2021-Lab &amp; Other HPS'!$U172+'C19RM 2021-Lab &amp; Other HPS'!$AB172+'C19RM 2021-Lab &amp; Other HPS'!$AP172+'C19RM 2021-Lab &amp; Other HPS'!$AI172+AW172+BD172</f>
        <v>0</v>
      </c>
      <c r="BG172" s="512">
        <f>'C19RM 2021-Lab &amp; Other HPS'!$V172+'C19RM 2021-Lab &amp; Other HPS'!$AC172+'C19RM 2021-Lab &amp; Other HPS'!$AQ172+'C19RM 2021-Lab &amp; Other HPS'!$AJ172+AX172+BE172</f>
        <v>0</v>
      </c>
      <c r="BH172" s="500" t="str" cm="1">
        <f t="array" ref="BH172">IF(A172&lt;&gt;"",IFERROR(INDEX(PMtbl[[WKst]:[Unit of measure*]],MATCH($A$115&amp;$A172&amp;$E172&amp;$I172,INDEX(PMtbl[Sec]&amp;PMtbl[Category]&amp;PMtbl[Each]&amp;PMtbl[Packaging],0,),0),11),""),"")</f>
        <v/>
      </c>
      <c r="BI172" s="819"/>
      <c r="BJ172" s="502" t="str" cm="1">
        <f t="array" ref="BJ172">IFERROR(INDEX(SETUP!$C$19:$G$121,MATCH((INDEX(PMtbl[[WKst]:[Unit of measure*]],MATCH($A172&amp;$E172&amp;$I172,INDEX(PMtbl[Category]&amp;PMtbl[Each]&amp;PMtbl[Packaging],0,),0),3)),SETUP!$D$19:$D$121,0),5),"")</f>
        <v/>
      </c>
      <c r="BK172" s="542" t="str" cm="1">
        <f t="array" ref="BK172">IFERROR(IF((INDEX(SETUP!$C$19:$G$121,MATCH((INDEX(PMtbl[[WKst]:[Unit of measure*]],MATCH($A172&amp;$E172&amp;$I172,INDEX(PMtbl[Category]&amp;PMtbl[Each]&amp;PMtbl[Packaging],0,),0),3)),SETUP!$D$19:$D$121,0),4))="Upfront",0,INDEX(SETUP!$C$19:$G$121,MATCH((INDEX(PMtbl[[WKst]:[Unit of measure*]],MATCH($A172&amp;$E172&amp;$I172,INDEX(PMtbl[Category]&amp;PMtbl[Each]&amp;PMtbl[Packaging],0,),0),3)),SETUP!$D$19:$D$121,0),5)),"")</f>
        <v/>
      </c>
      <c r="BL172" s="214" t="str" cm="1">
        <f t="array" ref="BL172">IF(E172&lt;&gt;"",IFERROR(INDEX(PMtbl[[WKst]:[Unit of measure*]],MATCH($A$115&amp;$A172&amp;$E172&amp;$I172,INDEX(PMtbl[Sec]&amp;PMtbl[Category]&amp;PMtbl[Each]&amp;PMtbl[Packaging],0,),0),11),""),"")</f>
        <v/>
      </c>
      <c r="BO172" s="12">
        <f>IF(N172="",0,IF(SETUP!$E$7="USD",((IF(O172="USD",P172,(P172/'Master Data-C19RM'!$C$2)))),((IF(O172="EUR",P172,(P172*'Master Data-C19RM'!$C$2))))))</f>
        <v>0</v>
      </c>
      <c r="BP172" s="12">
        <f>IF(N172="",0,IF(SETUP!$E$7="USD",((IF(O172="USD",W172,(W172/'Master Data-C19RM'!$D$2)))),((IF(O172="EUR",W172,(W172*'Master Data-C19RM'!$D$2))))))</f>
        <v>0</v>
      </c>
      <c r="BQ172">
        <f>IF(N172="",0,IF(SETUP!$E$7="USD",((IF(O172="USD",AD172,(AD172/'Master Data-C19RM'!$E$2)))),((IF(O172="EUR",AD172,(AD172*'Master Data-C19RM'!$E$2))))))</f>
        <v>0</v>
      </c>
      <c r="BR172">
        <f>IF(N172="",0,IF(SETUP!$E$7="USD",((IF(O172="USD",AK172,(AK172/'Master Data-C19RM'!$F$2)))),((IF(O172="EUR",AK172,(AK172*'Master Data-C19RM'!$F$2))))))</f>
        <v>0</v>
      </c>
      <c r="BS172">
        <f>IF(N172="",0,IF(SETUP!$E$7="USD",((IF(O172="USD",AR172,(AR172/'Master Data-C19RM'!$G$2)))),((IF(O172="EUR",AR172,(AR172*'Master Data-C19RM'!$G$2))))))</f>
        <v>0</v>
      </c>
      <c r="BT172">
        <f>IF(N172="",0,IF(SETUP!$E$7="USD",((IF(O172="USD",AY172,(AY172/'Master Data-C19RM'!$H$2)))),((IF(O172="EUR",AY172,(AY172*'Master Data-C19RM'!$H$2))))))</f>
        <v>0</v>
      </c>
      <c r="BU172" s="12">
        <f t="shared" si="15"/>
        <v>0</v>
      </c>
      <c r="BV172" s="142">
        <f t="shared" si="16"/>
        <v>0</v>
      </c>
    </row>
    <row r="173" spans="1:74" x14ac:dyDescent="0.35">
      <c r="A173" s="1192"/>
      <c r="B173" s="1192"/>
      <c r="C173" s="1192"/>
      <c r="D173" s="1192"/>
      <c r="E173" s="1173"/>
      <c r="F173" s="1173"/>
      <c r="G173" s="1173"/>
      <c r="H173" s="1173"/>
      <c r="I173" s="1173"/>
      <c r="J173" s="1173"/>
      <c r="K173" s="1173"/>
      <c r="L173" s="493" t="str" cm="1">
        <f t="array" ref="L173">IF(A173&lt;&gt;"",IFERROR(INDEX(PMtbl[[WKst]:[Unit of measure*]],MATCH($A$115&amp;$A173&amp;$E173&amp;$I173,INDEX(PMtbl[Sec]&amp;PMtbl[Category]&amp;PMtbl[Each]&amp;PMtbl[Packaging],0,),0),14),""),"")</f>
        <v/>
      </c>
      <c r="M173" s="480" t="str">
        <f>IF(L173="","",INDEX(SETUP!$E$20:$E$122,(MATCH(INDEX(PMsheet!$D:$E,MATCH(A173,PMsheet!E:E,0),1),SETUP!$D$20:$D$122,0))))</f>
        <v/>
      </c>
      <c r="N173" s="494">
        <f>IF($O173="USD",_xlfn.IFNA(VLOOKUP(A173&amp;E173&amp;I173,PMsheet!J:K,2,0),0),(_xlfn.IFNA(VLOOKUP(A173&amp;E173&amp;I173,PMsheet!J:K,2,0),0)*'Master Data-C19RM'!$C$2))</f>
        <v>0</v>
      </c>
      <c r="O173" s="495" t="str">
        <f>IF(L173="", "",SETUP!$E$7)</f>
        <v/>
      </c>
      <c r="P173" s="457">
        <f>IF($O173="USD",_xlfn.IFNA(VLOOKUP($A173&amp;$E173&amp;$I173,PMsheet!$J:$K,2,0),0),(_xlfn.IFNA(VLOOKUP($A173&amp;$E173&amp;$I173,PMsheet!$J:$K,2,0),0)*'Master Data-C19RM'!$C$2))</f>
        <v>0</v>
      </c>
      <c r="Q173" s="440"/>
      <c r="R173" s="440"/>
      <c r="S173" s="440"/>
      <c r="T173" s="440"/>
      <c r="U173" s="482">
        <f t="shared" si="17"/>
        <v>0</v>
      </c>
      <c r="V173" s="484">
        <f>IF(SETUP!$E$7="USD",(U173*(IF(O173="USD",P173,(P173/'Master Data-C19RM'!$C$2)))),(U173*(IF(O173="EUR",P173,(P173*'Master Data-C19RM'!$C$2)))))</f>
        <v>0</v>
      </c>
      <c r="W173" s="445">
        <f>IF($O173="USD",_xlfn.IFNA(VLOOKUP($A173&amp;$E173&amp;$I173,PMsheet!$J:$K,2,0),0),(_xlfn.IFNA(VLOOKUP($A173&amp;$E173&amp;$I173,PMsheet!$J:$K,2,0),0)*'Master Data-C19RM'!$D$2))</f>
        <v>0</v>
      </c>
      <c r="X173" s="440"/>
      <c r="Y173" s="440"/>
      <c r="Z173" s="440"/>
      <c r="AA173" s="440"/>
      <c r="AB173" s="482">
        <f t="shared" si="18"/>
        <v>0</v>
      </c>
      <c r="AC173" s="484">
        <f>IF(SETUP!$E$7="USD",(AB173*(IF(O173="USD",W173,(W173/'Master Data-C19RM'!$D$2)))),(AB173*(IF(O173="EUR",W173,(W173*'Master Data-C19RM'!$D$2)))))</f>
        <v>0</v>
      </c>
      <c r="AD173" s="445">
        <f>IF($O173="USD",_xlfn.IFNA(VLOOKUP($A173&amp;$E173&amp;$I173,PMsheet!$J:$K,2,0),0),(_xlfn.IFNA(VLOOKUP($A173&amp;$E173&amp;$I173,PMsheet!$J:$K,2,0),0)*'Master Data-C19RM'!$E$2))</f>
        <v>0</v>
      </c>
      <c r="AE173" s="440"/>
      <c r="AF173" s="440"/>
      <c r="AG173" s="440"/>
      <c r="AH173" s="440"/>
      <c r="AI173" s="514">
        <f t="shared" si="19"/>
        <v>0</v>
      </c>
      <c r="AJ173" s="515">
        <f>IF(SETUP!$E$7="USD",(AI173*(IF(O173="USD",AD173,(AD173/'Master Data-C19RM'!$E$2)))),(AI173*(IF(O173="EUR",AD173,(AD173*'Master Data-C19RM'!$E$2)))))</f>
        <v>0</v>
      </c>
      <c r="AK173" s="445">
        <f>IF($O173="USD",_xlfn.IFNA(VLOOKUP($A173&amp;$E173&amp;$I173,PMsheet!$J:$K,2,0),0),(_xlfn.IFNA(VLOOKUP($A173&amp;$E173&amp;$I173,PMsheet!$J:$K,2,0),0)*'Master Data-C19RM'!$F$2))</f>
        <v>0</v>
      </c>
      <c r="AL173" s="440"/>
      <c r="AM173" s="440"/>
      <c r="AN173" s="440"/>
      <c r="AO173" s="440"/>
      <c r="AP173" s="514">
        <f t="shared" si="20"/>
        <v>0</v>
      </c>
      <c r="AQ173" s="515">
        <f>IF(SETUP!$E$7="USD",(AP173*(IF(O173="USD",AK173,(AK173/'Master Data-C19RM'!$F$2)))),(AP173*(IF(O173="EUR",AK173,(AK173*'Master Data-C19RM'!$F$2)))))</f>
        <v>0</v>
      </c>
      <c r="AR173" s="925">
        <f>IF($O173="USD",_xlfn.IFNA(VLOOKUP($A173&amp;$E173&amp;$I173,PMsheet!$J:$K,2,0),0),(_xlfn.IFNA(VLOOKUP($A173&amp;$E173&amp;$I173,PMsheet!$J:$K,2,0),0)*'Master Data-C19RM'!$G$2))</f>
        <v>0</v>
      </c>
      <c r="AS173" s="926"/>
      <c r="AT173" s="926"/>
      <c r="AU173" s="926"/>
      <c r="AV173" s="926"/>
      <c r="AW173" s="514">
        <f t="shared" si="21"/>
        <v>0</v>
      </c>
      <c r="AX173" s="515">
        <f>IF(SETUP!$E$7="USD",(AW173*(IF(O173="USD",AR173,(AR173/'Master Data-C19RM'!$G$2)))),(AW173*(IF(O173="EUR",AR173,(AR173*'Master Data-C19RM'!$G$2)))))</f>
        <v>0</v>
      </c>
      <c r="AY173" s="845"/>
      <c r="AZ173" s="846"/>
      <c r="BA173" s="846"/>
      <c r="BB173" s="846"/>
      <c r="BC173" s="846"/>
      <c r="BD173" s="846"/>
      <c r="BE173" s="847"/>
      <c r="BF173" s="514">
        <f>'C19RM 2021-Lab &amp; Other HPS'!$U173+'C19RM 2021-Lab &amp; Other HPS'!$AB173+'C19RM 2021-Lab &amp; Other HPS'!$AP173+'C19RM 2021-Lab &amp; Other HPS'!$AI173+AW173+BD173</f>
        <v>0</v>
      </c>
      <c r="BG173" s="514">
        <f>'C19RM 2021-Lab &amp; Other HPS'!$V173+'C19RM 2021-Lab &amp; Other HPS'!$AC173+'C19RM 2021-Lab &amp; Other HPS'!$AQ173+'C19RM 2021-Lab &amp; Other HPS'!$AJ173+AX173+BE173</f>
        <v>0</v>
      </c>
      <c r="BH173" s="522" t="str" cm="1">
        <f t="array" ref="BH173">IF(A173&lt;&gt;"",IFERROR(INDEX(PMtbl[[WKst]:[Unit of measure*]],MATCH($A$115&amp;$A173&amp;$E173&amp;$I173,INDEX(PMtbl[Sec]&amp;PMtbl[Category]&amp;PMtbl[Each]&amp;PMtbl[Packaging],0,),0),11),""),"")</f>
        <v/>
      </c>
      <c r="BI173" s="818"/>
      <c r="BJ173" s="503" t="str" cm="1">
        <f t="array" ref="BJ173">IFERROR(INDEX(SETUP!$C$19:$G$121,MATCH((INDEX(PMtbl[[WKst]:[Unit of measure*]],MATCH($A173&amp;$E173&amp;$I173,INDEX(PMtbl[Category]&amp;PMtbl[Each]&amp;PMtbl[Packaging],0,),0),3)),SETUP!$D$19:$D$121,0),5),"")</f>
        <v/>
      </c>
      <c r="BK173" s="543" t="str" cm="1">
        <f t="array" ref="BK173">IFERROR(IF((INDEX(SETUP!$C$19:$G$121,MATCH((INDEX(PMtbl[[WKst]:[Unit of measure*]],MATCH($A173&amp;$E173&amp;$I173,INDEX(PMtbl[Category]&amp;PMtbl[Each]&amp;PMtbl[Packaging],0,),0),3)),SETUP!$D$19:$D$121,0),4))="Upfront",0,INDEX(SETUP!$C$19:$G$121,MATCH((INDEX(PMtbl[[WKst]:[Unit of measure*]],MATCH($A173&amp;$E173&amp;$I173,INDEX(PMtbl[Category]&amp;PMtbl[Each]&amp;PMtbl[Packaging],0,),0),3)),SETUP!$D$19:$D$121,0),5)),"")</f>
        <v/>
      </c>
      <c r="BL173" s="215" t="str" cm="1">
        <f t="array" ref="BL173">IF(E173&lt;&gt;"",IFERROR(INDEX(PMtbl[[WKst]:[Unit of measure*]],MATCH($A$115&amp;$A173&amp;$E173&amp;$I173,INDEX(PMtbl[Sec]&amp;PMtbl[Category]&amp;PMtbl[Each]&amp;PMtbl[Packaging],0,),0),11),""),"")</f>
        <v/>
      </c>
      <c r="BO173" s="12">
        <f>IF(N173="",0,IF(SETUP!$E$7="USD",((IF(O173="USD",P173,(P173/'Master Data-C19RM'!$C$2)))),((IF(O173="EUR",P173,(P173*'Master Data-C19RM'!$C$2))))))</f>
        <v>0</v>
      </c>
      <c r="BP173" s="12">
        <f>IF(N173="",0,IF(SETUP!$E$7="USD",((IF(O173="USD",W173,(W173/'Master Data-C19RM'!$D$2)))),((IF(O173="EUR",W173,(W173*'Master Data-C19RM'!$D$2))))))</f>
        <v>0</v>
      </c>
      <c r="BQ173">
        <f>IF(N173="",0,IF(SETUP!$E$7="USD",((IF(O173="USD",AD173,(AD173/'Master Data-C19RM'!$E$2)))),((IF(O173="EUR",AD173,(AD173*'Master Data-C19RM'!$E$2))))))</f>
        <v>0</v>
      </c>
      <c r="BR173">
        <f>IF(N173="",0,IF(SETUP!$E$7="USD",((IF(O173="USD",AK173,(AK173/'Master Data-C19RM'!$F$2)))),((IF(O173="EUR",AK173,(AK173*'Master Data-C19RM'!$F$2))))))</f>
        <v>0</v>
      </c>
      <c r="BS173">
        <f>IF(N173="",0,IF(SETUP!$E$7="USD",((IF(O173="USD",AR173,(AR173/'Master Data-C19RM'!$G$2)))),((IF(O173="EUR",AR173,(AR173*'Master Data-C19RM'!$G$2))))))</f>
        <v>0</v>
      </c>
      <c r="BT173">
        <f>IF(N173="",0,IF(SETUP!$E$7="USD",((IF(O173="USD",AY173,(AY173/'Master Data-C19RM'!$H$2)))),((IF(O173="EUR",AY173,(AY173*'Master Data-C19RM'!$H$2))))))</f>
        <v>0</v>
      </c>
      <c r="BU173" s="12">
        <f t="shared" si="15"/>
        <v>0</v>
      </c>
      <c r="BV173" s="142">
        <f t="shared" si="16"/>
        <v>0</v>
      </c>
    </row>
    <row r="174" spans="1:74" x14ac:dyDescent="0.35">
      <c r="A174" s="1165"/>
      <c r="B174" s="1165"/>
      <c r="C174" s="1165"/>
      <c r="D174" s="1165"/>
      <c r="E174" s="1166"/>
      <c r="F174" s="1166"/>
      <c r="G174" s="1166"/>
      <c r="H174" s="1166"/>
      <c r="I174" s="1166"/>
      <c r="J174" s="1166"/>
      <c r="K174" s="1166"/>
      <c r="L174" s="490" t="str" cm="1">
        <f t="array" ref="L174">IF(A174&lt;&gt;"",IFERROR(INDEX(PMtbl[[WKst]:[Unit of measure*]],MATCH($A$115&amp;$A174&amp;$E174&amp;$I174,INDEX(PMtbl[Sec]&amp;PMtbl[Category]&amp;PMtbl[Each]&amp;PMtbl[Packaging],0,),0),14),""),"")</f>
        <v/>
      </c>
      <c r="M174" s="479" t="str">
        <f>IF(L174="","",INDEX(SETUP!$E$20:$E$122,(MATCH(INDEX(PMsheet!$D:$E,MATCH(A174,PMsheet!E:E,0),1),SETUP!$D$20:$D$122,0))))</f>
        <v/>
      </c>
      <c r="N174" s="491">
        <f>IF($O174="USD",_xlfn.IFNA(VLOOKUP(A174&amp;E174&amp;I174,PMsheet!J:K,2,0),0),(_xlfn.IFNA(VLOOKUP(A174&amp;E174&amp;I174,PMsheet!J:K,2,0),0)*'Master Data-C19RM'!$C$2))</f>
        <v>0</v>
      </c>
      <c r="O174" s="492" t="str">
        <f>IF(L174="", "",SETUP!$E$7)</f>
        <v/>
      </c>
      <c r="P174" s="456">
        <f>IF($O174="USD",_xlfn.IFNA(VLOOKUP($A174&amp;$E174&amp;$I174,PMsheet!$J:$K,2,0),0),(_xlfn.IFNA(VLOOKUP($A174&amp;$E174&amp;$I174,PMsheet!$J:$K,2,0),0)*'Master Data-C19RM'!$C$2))</f>
        <v>0</v>
      </c>
      <c r="Q174" s="441"/>
      <c r="R174" s="441"/>
      <c r="S174" s="441"/>
      <c r="T174" s="441"/>
      <c r="U174" s="481">
        <f t="shared" si="17"/>
        <v>0</v>
      </c>
      <c r="V174" s="483">
        <f>IF(SETUP!$E$7="USD",(U174*(IF(O174="USD",P174,(P174/'Master Data-C19RM'!$C$2)))),(U174*(IF(O174="EUR",P174,(P174*'Master Data-C19RM'!$C$2)))))</f>
        <v>0</v>
      </c>
      <c r="W174" s="444">
        <f>IF($O174="USD",_xlfn.IFNA(VLOOKUP($A174&amp;$E174&amp;$I174,PMsheet!$J:$K,2,0),0),(_xlfn.IFNA(VLOOKUP($A174&amp;$E174&amp;$I174,PMsheet!$J:$K,2,0),0)*'Master Data-C19RM'!$D$2))</f>
        <v>0</v>
      </c>
      <c r="X174" s="441"/>
      <c r="Y174" s="441"/>
      <c r="Z174" s="441"/>
      <c r="AA174" s="441"/>
      <c r="AB174" s="481">
        <f t="shared" si="18"/>
        <v>0</v>
      </c>
      <c r="AC174" s="483">
        <f>IF(SETUP!$E$7="USD",(AB174*(IF(O174="USD",W174,(W174/'Master Data-C19RM'!$D$2)))),(AB174*(IF(O174="EUR",W174,(W174*'Master Data-C19RM'!$D$2)))))</f>
        <v>0</v>
      </c>
      <c r="AD174" s="444">
        <f>IF($O174="USD",_xlfn.IFNA(VLOOKUP($A174&amp;$E174&amp;$I174,PMsheet!$J:$K,2,0),0),(_xlfn.IFNA(VLOOKUP($A174&amp;$E174&amp;$I174,PMsheet!$J:$K,2,0),0)*'Master Data-C19RM'!$E$2))</f>
        <v>0</v>
      </c>
      <c r="AE174" s="441"/>
      <c r="AF174" s="441"/>
      <c r="AG174" s="441"/>
      <c r="AH174" s="441"/>
      <c r="AI174" s="512">
        <f t="shared" si="19"/>
        <v>0</v>
      </c>
      <c r="AJ174" s="513">
        <f>IF(SETUP!$E$7="USD",(AI174*(IF(O174="USD",AD174,(AD174/'Master Data-C19RM'!$E$2)))),(AI174*(IF(O174="EUR",AD174,(AD174*'Master Data-C19RM'!$E$2)))))</f>
        <v>0</v>
      </c>
      <c r="AK174" s="444">
        <f>IF($O174="USD",_xlfn.IFNA(VLOOKUP($A174&amp;$E174&amp;$I174,PMsheet!$J:$K,2,0),0),(_xlfn.IFNA(VLOOKUP($A174&amp;$E174&amp;$I174,PMsheet!$J:$K,2,0),0)*'Master Data-C19RM'!$F$2))</f>
        <v>0</v>
      </c>
      <c r="AL174" s="441"/>
      <c r="AM174" s="441"/>
      <c r="AN174" s="441"/>
      <c r="AO174" s="441"/>
      <c r="AP174" s="512">
        <f t="shared" si="20"/>
        <v>0</v>
      </c>
      <c r="AQ174" s="513">
        <f>IF(SETUP!$E$7="USD",(AP174*(IF(O174="USD",AK174,(AK174/'Master Data-C19RM'!$F$2)))),(AP174*(IF(O174="EUR",AK174,(AK174*'Master Data-C19RM'!$F$2)))))</f>
        <v>0</v>
      </c>
      <c r="AR174" s="924">
        <f>IF($O174="USD",_xlfn.IFNA(VLOOKUP($A174&amp;$E174&amp;$I174,PMsheet!$J:$K,2,0),0),(_xlfn.IFNA(VLOOKUP($A174&amp;$E174&amp;$I174,PMsheet!$J:$K,2,0),0)*'Master Data-C19RM'!$G$2))</f>
        <v>0</v>
      </c>
      <c r="AS174" s="572"/>
      <c r="AT174" s="572"/>
      <c r="AU174" s="572"/>
      <c r="AV174" s="572"/>
      <c r="AW174" s="512">
        <f t="shared" si="21"/>
        <v>0</v>
      </c>
      <c r="AX174" s="513">
        <f>IF(SETUP!$E$7="USD",(AW174*(IF(O174="USD",AR174,(AR174/'Master Data-C19RM'!$G$2)))),(AW174*(IF(O174="EUR",AR174,(AR174*'Master Data-C19RM'!$G$2)))))</f>
        <v>0</v>
      </c>
      <c r="AY174" s="845"/>
      <c r="AZ174" s="846"/>
      <c r="BA174" s="846"/>
      <c r="BB174" s="846"/>
      <c r="BC174" s="846"/>
      <c r="BD174" s="846"/>
      <c r="BE174" s="847"/>
      <c r="BF174" s="512">
        <f>'C19RM 2021-Lab &amp; Other HPS'!$U174+'C19RM 2021-Lab &amp; Other HPS'!$AB174+'C19RM 2021-Lab &amp; Other HPS'!$AP174+'C19RM 2021-Lab &amp; Other HPS'!$AI174+AW174+BD174</f>
        <v>0</v>
      </c>
      <c r="BG174" s="512">
        <f>'C19RM 2021-Lab &amp; Other HPS'!$V174+'C19RM 2021-Lab &amp; Other HPS'!$AC174+'C19RM 2021-Lab &amp; Other HPS'!$AQ174+'C19RM 2021-Lab &amp; Other HPS'!$AJ174+AX174+BE174</f>
        <v>0</v>
      </c>
      <c r="BH174" s="500" t="str" cm="1">
        <f t="array" ref="BH174">IF(A174&lt;&gt;"",IFERROR(INDEX(PMtbl[[WKst]:[Unit of measure*]],MATCH($A$115&amp;$A174&amp;$E174&amp;$I174,INDEX(PMtbl[Sec]&amp;PMtbl[Category]&amp;PMtbl[Each]&amp;PMtbl[Packaging],0,),0),11),""),"")</f>
        <v/>
      </c>
      <c r="BI174" s="819"/>
      <c r="BJ174" s="502" t="str" cm="1">
        <f t="array" ref="BJ174">IFERROR(INDEX(SETUP!$C$19:$G$121,MATCH((INDEX(PMtbl[[WKst]:[Unit of measure*]],MATCH($A174&amp;$E174&amp;$I174,INDEX(PMtbl[Category]&amp;PMtbl[Each]&amp;PMtbl[Packaging],0,),0),3)),SETUP!$D$19:$D$121,0),5),"")</f>
        <v/>
      </c>
      <c r="BK174" s="542" t="str" cm="1">
        <f t="array" ref="BK174">IFERROR(IF((INDEX(SETUP!$C$19:$G$121,MATCH((INDEX(PMtbl[[WKst]:[Unit of measure*]],MATCH($A174&amp;$E174&amp;$I174,INDEX(PMtbl[Category]&amp;PMtbl[Each]&amp;PMtbl[Packaging],0,),0),3)),SETUP!$D$19:$D$121,0),4))="Upfront",0,INDEX(SETUP!$C$19:$G$121,MATCH((INDEX(PMtbl[[WKst]:[Unit of measure*]],MATCH($A174&amp;$E174&amp;$I174,INDEX(PMtbl[Category]&amp;PMtbl[Each]&amp;PMtbl[Packaging],0,),0),3)),SETUP!$D$19:$D$121,0),5)),"")</f>
        <v/>
      </c>
      <c r="BL174" s="214" t="str" cm="1">
        <f t="array" ref="BL174">IF(E174&lt;&gt;"",IFERROR(INDEX(PMtbl[[WKst]:[Unit of measure*]],MATCH($A$115&amp;$A174&amp;$E174&amp;$I174,INDEX(PMtbl[Sec]&amp;PMtbl[Category]&amp;PMtbl[Each]&amp;PMtbl[Packaging],0,),0),11),""),"")</f>
        <v/>
      </c>
      <c r="BO174" s="12">
        <f>IF(N174="",0,IF(SETUP!$E$7="USD",((IF(O174="USD",P174,(P174/'Master Data-C19RM'!$C$2)))),((IF(O174="EUR",P174,(P174*'Master Data-C19RM'!$C$2))))))</f>
        <v>0</v>
      </c>
      <c r="BP174" s="12">
        <f>IF(N174="",0,IF(SETUP!$E$7="USD",((IF(O174="USD",W174,(W174/'Master Data-C19RM'!$D$2)))),((IF(O174="EUR",W174,(W174*'Master Data-C19RM'!$D$2))))))</f>
        <v>0</v>
      </c>
      <c r="BQ174">
        <f>IF(N174="",0,IF(SETUP!$E$7="USD",((IF(O174="USD",AD174,(AD174/'Master Data-C19RM'!$E$2)))),((IF(O174="EUR",AD174,(AD174*'Master Data-C19RM'!$E$2))))))</f>
        <v>0</v>
      </c>
      <c r="BR174">
        <f>IF(N174="",0,IF(SETUP!$E$7="USD",((IF(O174="USD",AK174,(AK174/'Master Data-C19RM'!$F$2)))),((IF(O174="EUR",AK174,(AK174*'Master Data-C19RM'!$F$2))))))</f>
        <v>0</v>
      </c>
      <c r="BS174">
        <f>IF(N174="",0,IF(SETUP!$E$7="USD",((IF(O174="USD",AR174,(AR174/'Master Data-C19RM'!$G$2)))),((IF(O174="EUR",AR174,(AR174*'Master Data-C19RM'!$G$2))))))</f>
        <v>0</v>
      </c>
      <c r="BT174">
        <f>IF(N174="",0,IF(SETUP!$E$7="USD",((IF(O174="USD",AY174,(AY174/'Master Data-C19RM'!$H$2)))),((IF(O174="EUR",AY174,(AY174*'Master Data-C19RM'!$H$2))))))</f>
        <v>0</v>
      </c>
      <c r="BU174" s="12">
        <f t="shared" si="15"/>
        <v>0</v>
      </c>
      <c r="BV174" s="142">
        <f t="shared" si="16"/>
        <v>0</v>
      </c>
    </row>
    <row r="175" spans="1:74" x14ac:dyDescent="0.35">
      <c r="A175" s="1192"/>
      <c r="B175" s="1192"/>
      <c r="C175" s="1192"/>
      <c r="D175" s="1192"/>
      <c r="E175" s="1173"/>
      <c r="F175" s="1173"/>
      <c r="G175" s="1173"/>
      <c r="H175" s="1173"/>
      <c r="I175" s="1173"/>
      <c r="J175" s="1173"/>
      <c r="K175" s="1173"/>
      <c r="L175" s="493" t="str" cm="1">
        <f t="array" ref="L175">IF(A175&lt;&gt;"",IFERROR(INDEX(PMtbl[[WKst]:[Unit of measure*]],MATCH($A$115&amp;$A175&amp;$E175&amp;$I175,INDEX(PMtbl[Sec]&amp;PMtbl[Category]&amp;PMtbl[Each]&amp;PMtbl[Packaging],0,),0),14),""),"")</f>
        <v/>
      </c>
      <c r="M175" s="480" t="str">
        <f>IF(L175="","",INDEX(SETUP!$E$20:$E$122,(MATCH(INDEX(PMsheet!$D:$E,MATCH(A175,PMsheet!E:E,0),1),SETUP!$D$20:$D$122,0))))</f>
        <v/>
      </c>
      <c r="N175" s="494">
        <f>IF($O175="USD",_xlfn.IFNA(VLOOKUP(A175&amp;E175&amp;I175,PMsheet!J:K,2,0),0),(_xlfn.IFNA(VLOOKUP(A175&amp;E175&amp;I175,PMsheet!J:K,2,0),0)*'Master Data-C19RM'!$C$2))</f>
        <v>0</v>
      </c>
      <c r="O175" s="495" t="str">
        <f>IF(L175="", "",SETUP!$E$7)</f>
        <v/>
      </c>
      <c r="P175" s="457">
        <f>IF($O175="USD",_xlfn.IFNA(VLOOKUP($A175&amp;$E175&amp;$I175,PMsheet!$J:$K,2,0),0),(_xlfn.IFNA(VLOOKUP($A175&amp;$E175&amp;$I175,PMsheet!$J:$K,2,0),0)*'Master Data-C19RM'!$C$2))</f>
        <v>0</v>
      </c>
      <c r="Q175" s="440"/>
      <c r="R175" s="440"/>
      <c r="S175" s="440"/>
      <c r="T175" s="440"/>
      <c r="U175" s="482">
        <f t="shared" si="17"/>
        <v>0</v>
      </c>
      <c r="V175" s="484">
        <f>IF(SETUP!$E$7="USD",(U175*(IF(O175="USD",P175,(P175/'Master Data-C19RM'!$C$2)))),(U175*(IF(O175="EUR",P175,(P175*'Master Data-C19RM'!$C$2)))))</f>
        <v>0</v>
      </c>
      <c r="W175" s="445">
        <f>IF($O175="USD",_xlfn.IFNA(VLOOKUP($A175&amp;$E175&amp;$I175,PMsheet!$J:$K,2,0),0),(_xlfn.IFNA(VLOOKUP($A175&amp;$E175&amp;$I175,PMsheet!$J:$K,2,0),0)*'Master Data-C19RM'!$D$2))</f>
        <v>0</v>
      </c>
      <c r="X175" s="440"/>
      <c r="Y175" s="440"/>
      <c r="Z175" s="440"/>
      <c r="AA175" s="440"/>
      <c r="AB175" s="482">
        <f t="shared" si="18"/>
        <v>0</v>
      </c>
      <c r="AC175" s="484">
        <f>IF(SETUP!$E$7="USD",(AB175*(IF(O175="USD",W175,(W175/'Master Data-C19RM'!$D$2)))),(AB175*(IF(O175="EUR",W175,(W175*'Master Data-C19RM'!$D$2)))))</f>
        <v>0</v>
      </c>
      <c r="AD175" s="445">
        <f>IF($O175="USD",_xlfn.IFNA(VLOOKUP($A175&amp;$E175&amp;$I175,PMsheet!$J:$K,2,0),0),(_xlfn.IFNA(VLOOKUP($A175&amp;$E175&amp;$I175,PMsheet!$J:$K,2,0),0)*'Master Data-C19RM'!$E$2))</f>
        <v>0</v>
      </c>
      <c r="AE175" s="440"/>
      <c r="AF175" s="440"/>
      <c r="AG175" s="440"/>
      <c r="AH175" s="440"/>
      <c r="AI175" s="514">
        <f t="shared" si="19"/>
        <v>0</v>
      </c>
      <c r="AJ175" s="515">
        <f>IF(SETUP!$E$7="USD",(AI175*(IF(O175="USD",AD175,(AD175/'Master Data-C19RM'!$E$2)))),(AI175*(IF(O175="EUR",AD175,(AD175*'Master Data-C19RM'!$E$2)))))</f>
        <v>0</v>
      </c>
      <c r="AK175" s="445">
        <f>IF($O175="USD",_xlfn.IFNA(VLOOKUP($A175&amp;$E175&amp;$I175,PMsheet!$J:$K,2,0),0),(_xlfn.IFNA(VLOOKUP($A175&amp;$E175&amp;$I175,PMsheet!$J:$K,2,0),0)*'Master Data-C19RM'!$F$2))</f>
        <v>0</v>
      </c>
      <c r="AL175" s="440"/>
      <c r="AM175" s="440"/>
      <c r="AN175" s="440"/>
      <c r="AO175" s="440"/>
      <c r="AP175" s="514">
        <f t="shared" si="20"/>
        <v>0</v>
      </c>
      <c r="AQ175" s="515">
        <f>IF(SETUP!$E$7="USD",(AP175*(IF(O175="USD",AK175,(AK175/'Master Data-C19RM'!$F$2)))),(AP175*(IF(O175="EUR",AK175,(AK175*'Master Data-C19RM'!$F$2)))))</f>
        <v>0</v>
      </c>
      <c r="AR175" s="925">
        <f>IF($O175="USD",_xlfn.IFNA(VLOOKUP($A175&amp;$E175&amp;$I175,PMsheet!$J:$K,2,0),0),(_xlfn.IFNA(VLOOKUP($A175&amp;$E175&amp;$I175,PMsheet!$J:$K,2,0),0)*'Master Data-C19RM'!$G$2))</f>
        <v>0</v>
      </c>
      <c r="AS175" s="926"/>
      <c r="AT175" s="926"/>
      <c r="AU175" s="926"/>
      <c r="AV175" s="926"/>
      <c r="AW175" s="514">
        <f t="shared" si="21"/>
        <v>0</v>
      </c>
      <c r="AX175" s="515">
        <f>IF(SETUP!$E$7="USD",(AW175*(IF(O175="USD",AR175,(AR175/'Master Data-C19RM'!$G$2)))),(AW175*(IF(O175="EUR",AR175,(AR175*'Master Data-C19RM'!$G$2)))))</f>
        <v>0</v>
      </c>
      <c r="AY175" s="845"/>
      <c r="AZ175" s="846"/>
      <c r="BA175" s="846"/>
      <c r="BB175" s="846"/>
      <c r="BC175" s="846"/>
      <c r="BD175" s="846"/>
      <c r="BE175" s="847"/>
      <c r="BF175" s="514">
        <f>'C19RM 2021-Lab &amp; Other HPS'!$U175+'C19RM 2021-Lab &amp; Other HPS'!$AB175+'C19RM 2021-Lab &amp; Other HPS'!$AP175+'C19RM 2021-Lab &amp; Other HPS'!$AI175+AW175+BD175</f>
        <v>0</v>
      </c>
      <c r="BG175" s="514">
        <f>'C19RM 2021-Lab &amp; Other HPS'!$V175+'C19RM 2021-Lab &amp; Other HPS'!$AC175+'C19RM 2021-Lab &amp; Other HPS'!$AQ175+'C19RM 2021-Lab &amp; Other HPS'!$AJ175+AX175+BE175</f>
        <v>0</v>
      </c>
      <c r="BH175" s="522" t="str" cm="1">
        <f t="array" ref="BH175">IF(A175&lt;&gt;"",IFERROR(INDEX(PMtbl[[WKst]:[Unit of measure*]],MATCH($A$115&amp;$A175&amp;$E175&amp;$I175,INDEX(PMtbl[Sec]&amp;PMtbl[Category]&amp;PMtbl[Each]&amp;PMtbl[Packaging],0,),0),11),""),"")</f>
        <v/>
      </c>
      <c r="BI175" s="818"/>
      <c r="BJ175" s="503" t="str" cm="1">
        <f t="array" ref="BJ175">IFERROR(INDEX(SETUP!$C$19:$G$121,MATCH((INDEX(PMtbl[[WKst]:[Unit of measure*]],MATCH($A175&amp;$E175&amp;$I175,INDEX(PMtbl[Category]&amp;PMtbl[Each]&amp;PMtbl[Packaging],0,),0),3)),SETUP!$D$19:$D$121,0),5),"")</f>
        <v/>
      </c>
      <c r="BK175" s="543" t="str" cm="1">
        <f t="array" ref="BK175">IFERROR(IF((INDEX(SETUP!$C$19:$G$121,MATCH((INDEX(PMtbl[[WKst]:[Unit of measure*]],MATCH($A175&amp;$E175&amp;$I175,INDEX(PMtbl[Category]&amp;PMtbl[Each]&amp;PMtbl[Packaging],0,),0),3)),SETUP!$D$19:$D$121,0),4))="Upfront",0,INDEX(SETUP!$C$19:$G$121,MATCH((INDEX(PMtbl[[WKst]:[Unit of measure*]],MATCH($A175&amp;$E175&amp;$I175,INDEX(PMtbl[Category]&amp;PMtbl[Each]&amp;PMtbl[Packaging],0,),0),3)),SETUP!$D$19:$D$121,0),5)),"")</f>
        <v/>
      </c>
      <c r="BL175" s="215" t="str" cm="1">
        <f t="array" ref="BL175">IF(E175&lt;&gt;"",IFERROR(INDEX(PMtbl[[WKst]:[Unit of measure*]],MATCH($A$115&amp;$A175&amp;$E175&amp;$I175,INDEX(PMtbl[Sec]&amp;PMtbl[Category]&amp;PMtbl[Each]&amp;PMtbl[Packaging],0,),0),11),""),"")</f>
        <v/>
      </c>
      <c r="BO175" s="12">
        <f>IF(N175="",0,IF(SETUP!$E$7="USD",((IF(O175="USD",P175,(P175/'Master Data-C19RM'!$C$2)))),((IF(O175="EUR",P175,(P175*'Master Data-C19RM'!$C$2))))))</f>
        <v>0</v>
      </c>
      <c r="BP175" s="12">
        <f>IF(N175="",0,IF(SETUP!$E$7="USD",((IF(O175="USD",W175,(W175/'Master Data-C19RM'!$D$2)))),((IF(O175="EUR",W175,(W175*'Master Data-C19RM'!$D$2))))))</f>
        <v>0</v>
      </c>
      <c r="BQ175">
        <f>IF(N175="",0,IF(SETUP!$E$7="USD",((IF(O175="USD",AD175,(AD175/'Master Data-C19RM'!$E$2)))),((IF(O175="EUR",AD175,(AD175*'Master Data-C19RM'!$E$2))))))</f>
        <v>0</v>
      </c>
      <c r="BR175">
        <f>IF(N175="",0,IF(SETUP!$E$7="USD",((IF(O175="USD",AK175,(AK175/'Master Data-C19RM'!$F$2)))),((IF(O175="EUR",AK175,(AK175*'Master Data-C19RM'!$F$2))))))</f>
        <v>0</v>
      </c>
      <c r="BS175">
        <f>IF(N175="",0,IF(SETUP!$E$7="USD",((IF(O175="USD",AR175,(AR175/'Master Data-C19RM'!$G$2)))),((IF(O175="EUR",AR175,(AR175*'Master Data-C19RM'!$G$2))))))</f>
        <v>0</v>
      </c>
      <c r="BT175">
        <f>IF(N175="",0,IF(SETUP!$E$7="USD",((IF(O175="USD",AY175,(AY175/'Master Data-C19RM'!$H$2)))),((IF(O175="EUR",AY175,(AY175*'Master Data-C19RM'!$H$2))))))</f>
        <v>0</v>
      </c>
      <c r="BU175" s="12">
        <f t="shared" si="15"/>
        <v>0</v>
      </c>
      <c r="BV175" s="142">
        <f t="shared" si="16"/>
        <v>0</v>
      </c>
    </row>
    <row r="176" spans="1:74" x14ac:dyDescent="0.35">
      <c r="A176" s="1165"/>
      <c r="B176" s="1165"/>
      <c r="C176" s="1165"/>
      <c r="D176" s="1165"/>
      <c r="E176" s="1166"/>
      <c r="F176" s="1166"/>
      <c r="G176" s="1166"/>
      <c r="H176" s="1166"/>
      <c r="I176" s="1166"/>
      <c r="J176" s="1166"/>
      <c r="K176" s="1166"/>
      <c r="L176" s="490" t="str" cm="1">
        <f t="array" ref="L176">IF(A176&lt;&gt;"",IFERROR(INDEX(PMtbl[[WKst]:[Unit of measure*]],MATCH($A$115&amp;$A176&amp;$E176&amp;$I176,INDEX(PMtbl[Sec]&amp;PMtbl[Category]&amp;PMtbl[Each]&amp;PMtbl[Packaging],0,),0),14),""),"")</f>
        <v/>
      </c>
      <c r="M176" s="479" t="str">
        <f>IF(L176="","",INDEX(SETUP!$E$20:$E$122,(MATCH(INDEX(PMsheet!$D:$E,MATCH(A176,PMsheet!E:E,0),1),SETUP!$D$20:$D$122,0))))</f>
        <v/>
      </c>
      <c r="N176" s="491">
        <f>IF($O176="USD",_xlfn.IFNA(VLOOKUP(A176&amp;E176&amp;I176,PMsheet!J:K,2,0),0),(_xlfn.IFNA(VLOOKUP(A176&amp;E176&amp;I176,PMsheet!J:K,2,0),0)*'Master Data-C19RM'!$C$2))</f>
        <v>0</v>
      </c>
      <c r="O176" s="492" t="str">
        <f>IF(L176="", "",SETUP!$E$7)</f>
        <v/>
      </c>
      <c r="P176" s="456">
        <f>IF($O176="USD",_xlfn.IFNA(VLOOKUP($A176&amp;$E176&amp;$I176,PMsheet!$J:$K,2,0),0),(_xlfn.IFNA(VLOOKUP($A176&amp;$E176&amp;$I176,PMsheet!$J:$K,2,0),0)*'Master Data-C19RM'!$C$2))</f>
        <v>0</v>
      </c>
      <c r="Q176" s="441"/>
      <c r="R176" s="441"/>
      <c r="S176" s="441"/>
      <c r="T176" s="441"/>
      <c r="U176" s="481">
        <f t="shared" si="17"/>
        <v>0</v>
      </c>
      <c r="V176" s="483">
        <f>IF(SETUP!$E$7="USD",(U176*(IF(O176="USD",P176,(P176/'Master Data-C19RM'!$C$2)))),(U176*(IF(O176="EUR",P176,(P176*'Master Data-C19RM'!$C$2)))))</f>
        <v>0</v>
      </c>
      <c r="W176" s="444">
        <f>IF($O176="USD",_xlfn.IFNA(VLOOKUP($A176&amp;$E176&amp;$I176,PMsheet!$J:$K,2,0),0),(_xlfn.IFNA(VLOOKUP($A176&amp;$E176&amp;$I176,PMsheet!$J:$K,2,0),0)*'Master Data-C19RM'!$D$2))</f>
        <v>0</v>
      </c>
      <c r="X176" s="441"/>
      <c r="Y176" s="441"/>
      <c r="Z176" s="441"/>
      <c r="AA176" s="441"/>
      <c r="AB176" s="481">
        <f t="shared" si="18"/>
        <v>0</v>
      </c>
      <c r="AC176" s="483">
        <f>IF(SETUP!$E$7="USD",(AB176*(IF(O176="USD",W176,(W176/'Master Data-C19RM'!$D$2)))),(AB176*(IF(O176="EUR",W176,(W176*'Master Data-C19RM'!$D$2)))))</f>
        <v>0</v>
      </c>
      <c r="AD176" s="444">
        <f>IF($O176="USD",_xlfn.IFNA(VLOOKUP($A176&amp;$E176&amp;$I176,PMsheet!$J:$K,2,0),0),(_xlfn.IFNA(VLOOKUP($A176&amp;$E176&amp;$I176,PMsheet!$J:$K,2,0),0)*'Master Data-C19RM'!$E$2))</f>
        <v>0</v>
      </c>
      <c r="AE176" s="441"/>
      <c r="AF176" s="441"/>
      <c r="AG176" s="441"/>
      <c r="AH176" s="441"/>
      <c r="AI176" s="512">
        <f t="shared" si="19"/>
        <v>0</v>
      </c>
      <c r="AJ176" s="513">
        <f>IF(SETUP!$E$7="USD",(AI176*(IF(O176="USD",AD176,(AD176/'Master Data-C19RM'!$E$2)))),(AI176*(IF(O176="EUR",AD176,(AD176*'Master Data-C19RM'!$E$2)))))</f>
        <v>0</v>
      </c>
      <c r="AK176" s="444">
        <f>IF($O176="USD",_xlfn.IFNA(VLOOKUP($A176&amp;$E176&amp;$I176,PMsheet!$J:$K,2,0),0),(_xlfn.IFNA(VLOOKUP($A176&amp;$E176&amp;$I176,PMsheet!$J:$K,2,0),0)*'Master Data-C19RM'!$F$2))</f>
        <v>0</v>
      </c>
      <c r="AL176" s="441"/>
      <c r="AM176" s="441"/>
      <c r="AN176" s="441"/>
      <c r="AO176" s="441"/>
      <c r="AP176" s="512">
        <f t="shared" si="20"/>
        <v>0</v>
      </c>
      <c r="AQ176" s="513">
        <f>IF(SETUP!$E$7="USD",(AP176*(IF(O176="USD",AK176,(AK176/'Master Data-C19RM'!$F$2)))),(AP176*(IF(O176="EUR",AK176,(AK176*'Master Data-C19RM'!$F$2)))))</f>
        <v>0</v>
      </c>
      <c r="AR176" s="924">
        <f>IF($O176="USD",_xlfn.IFNA(VLOOKUP($A176&amp;$E176&amp;$I176,PMsheet!$J:$K,2,0),0),(_xlfn.IFNA(VLOOKUP($A176&amp;$E176&amp;$I176,PMsheet!$J:$K,2,0),0)*'Master Data-C19RM'!$G$2))</f>
        <v>0</v>
      </c>
      <c r="AS176" s="572"/>
      <c r="AT176" s="572"/>
      <c r="AU176" s="572"/>
      <c r="AV176" s="572"/>
      <c r="AW176" s="512">
        <f t="shared" si="21"/>
        <v>0</v>
      </c>
      <c r="AX176" s="513">
        <f>IF(SETUP!$E$7="USD",(AW176*(IF(O176="USD",AR176,(AR176/'Master Data-C19RM'!$G$2)))),(AW176*(IF(O176="EUR",AR176,(AR176*'Master Data-C19RM'!$G$2)))))</f>
        <v>0</v>
      </c>
      <c r="AY176" s="845"/>
      <c r="AZ176" s="846"/>
      <c r="BA176" s="846"/>
      <c r="BB176" s="846"/>
      <c r="BC176" s="846"/>
      <c r="BD176" s="846"/>
      <c r="BE176" s="847"/>
      <c r="BF176" s="512">
        <f>'C19RM 2021-Lab &amp; Other HPS'!$U176+'C19RM 2021-Lab &amp; Other HPS'!$AB176+'C19RM 2021-Lab &amp; Other HPS'!$AP176+'C19RM 2021-Lab &amp; Other HPS'!$AI176+AW176+BD176</f>
        <v>0</v>
      </c>
      <c r="BG176" s="512">
        <f>'C19RM 2021-Lab &amp; Other HPS'!$V176+'C19RM 2021-Lab &amp; Other HPS'!$AC176+'C19RM 2021-Lab &amp; Other HPS'!$AQ176+'C19RM 2021-Lab &amp; Other HPS'!$AJ176+AX176+BE176</f>
        <v>0</v>
      </c>
      <c r="BH176" s="500" t="str" cm="1">
        <f t="array" ref="BH176">IF(A176&lt;&gt;"",IFERROR(INDEX(PMtbl[[WKst]:[Unit of measure*]],MATCH($A$115&amp;$A176&amp;$E176&amp;$I176,INDEX(PMtbl[Sec]&amp;PMtbl[Category]&amp;PMtbl[Each]&amp;PMtbl[Packaging],0,),0),11),""),"")</f>
        <v/>
      </c>
      <c r="BI176" s="819"/>
      <c r="BJ176" s="502" t="str" cm="1">
        <f t="array" ref="BJ176">IFERROR(INDEX(SETUP!$C$19:$G$121,MATCH((INDEX(PMtbl[[WKst]:[Unit of measure*]],MATCH($A176&amp;$E176&amp;$I176,INDEX(PMtbl[Category]&amp;PMtbl[Each]&amp;PMtbl[Packaging],0,),0),3)),SETUP!$D$19:$D$121,0),5),"")</f>
        <v/>
      </c>
      <c r="BK176" s="542" t="str" cm="1">
        <f t="array" ref="BK176">IFERROR(IF((INDEX(SETUP!$C$19:$G$121,MATCH((INDEX(PMtbl[[WKst]:[Unit of measure*]],MATCH($A176&amp;$E176&amp;$I176,INDEX(PMtbl[Category]&amp;PMtbl[Each]&amp;PMtbl[Packaging],0,),0),3)),SETUP!$D$19:$D$121,0),4))="Upfront",0,INDEX(SETUP!$C$19:$G$121,MATCH((INDEX(PMtbl[[WKst]:[Unit of measure*]],MATCH($A176&amp;$E176&amp;$I176,INDEX(PMtbl[Category]&amp;PMtbl[Each]&amp;PMtbl[Packaging],0,),0),3)),SETUP!$D$19:$D$121,0),5)),"")</f>
        <v/>
      </c>
      <c r="BL176" s="214" t="str" cm="1">
        <f t="array" ref="BL176">IF(E176&lt;&gt;"",IFERROR(INDEX(PMtbl[[WKst]:[Unit of measure*]],MATCH($A$115&amp;$A176&amp;$E176&amp;$I176,INDEX(PMtbl[Sec]&amp;PMtbl[Category]&amp;PMtbl[Each]&amp;PMtbl[Packaging],0,),0),11),""),"")</f>
        <v/>
      </c>
      <c r="BO176" s="12">
        <f>IF(N176="",0,IF(SETUP!$E$7="USD",((IF(O176="USD",P176,(P176/'Master Data-C19RM'!$C$2)))),((IF(O176="EUR",P176,(P176*'Master Data-C19RM'!$C$2))))))</f>
        <v>0</v>
      </c>
      <c r="BP176" s="12">
        <f>IF(N176="",0,IF(SETUP!$E$7="USD",((IF(O176="USD",W176,(W176/'Master Data-C19RM'!$D$2)))),((IF(O176="EUR",W176,(W176*'Master Data-C19RM'!$D$2))))))</f>
        <v>0</v>
      </c>
      <c r="BQ176">
        <f>IF(N176="",0,IF(SETUP!$E$7="USD",((IF(O176="USD",AD176,(AD176/'Master Data-C19RM'!$E$2)))),((IF(O176="EUR",AD176,(AD176*'Master Data-C19RM'!$E$2))))))</f>
        <v>0</v>
      </c>
      <c r="BR176">
        <f>IF(N176="",0,IF(SETUP!$E$7="USD",((IF(O176="USD",AK176,(AK176/'Master Data-C19RM'!$F$2)))),((IF(O176="EUR",AK176,(AK176*'Master Data-C19RM'!$F$2))))))</f>
        <v>0</v>
      </c>
      <c r="BS176">
        <f>IF(N176="",0,IF(SETUP!$E$7="USD",((IF(O176="USD",AR176,(AR176/'Master Data-C19RM'!$G$2)))),((IF(O176="EUR",AR176,(AR176*'Master Data-C19RM'!$G$2))))))</f>
        <v>0</v>
      </c>
      <c r="BT176">
        <f>IF(N176="",0,IF(SETUP!$E$7="USD",((IF(O176="USD",AY176,(AY176/'Master Data-C19RM'!$H$2)))),((IF(O176="EUR",AY176,(AY176*'Master Data-C19RM'!$H$2))))))</f>
        <v>0</v>
      </c>
      <c r="BU176" s="12">
        <f t="shared" si="15"/>
        <v>0</v>
      </c>
      <c r="BV176" s="142">
        <f t="shared" si="16"/>
        <v>0</v>
      </c>
    </row>
    <row r="177" spans="1:74" x14ac:dyDescent="0.35">
      <c r="A177" s="1192"/>
      <c r="B177" s="1192"/>
      <c r="C177" s="1192"/>
      <c r="D177" s="1192"/>
      <c r="E177" s="1173"/>
      <c r="F177" s="1173"/>
      <c r="G177" s="1173"/>
      <c r="H177" s="1173"/>
      <c r="I177" s="1173"/>
      <c r="J177" s="1173"/>
      <c r="K177" s="1173"/>
      <c r="L177" s="493" t="str" cm="1">
        <f t="array" ref="L177">IF(A177&lt;&gt;"",IFERROR(INDEX(PMtbl[[WKst]:[Unit of measure*]],MATCH($A$115&amp;$A177&amp;$E177&amp;$I177,INDEX(PMtbl[Sec]&amp;PMtbl[Category]&amp;PMtbl[Each]&amp;PMtbl[Packaging],0,),0),14),""),"")</f>
        <v/>
      </c>
      <c r="M177" s="480" t="str">
        <f>IF(L177="","",INDEX(SETUP!$E$20:$E$122,(MATCH(INDEX(PMsheet!$D:$E,MATCH(A177,PMsheet!E:E,0),1),SETUP!$D$20:$D$122,0))))</f>
        <v/>
      </c>
      <c r="N177" s="494">
        <f>IF($O177="USD",_xlfn.IFNA(VLOOKUP(A177&amp;E177&amp;I177,PMsheet!J:K,2,0),0),(_xlfn.IFNA(VLOOKUP(A177&amp;E177&amp;I177,PMsheet!J:K,2,0),0)*'Master Data-C19RM'!$C$2))</f>
        <v>0</v>
      </c>
      <c r="O177" s="495" t="str">
        <f>IF(L177="", "",SETUP!$E$7)</f>
        <v/>
      </c>
      <c r="P177" s="457">
        <f>IF($O177="USD",_xlfn.IFNA(VLOOKUP($A177&amp;$E177&amp;$I177,PMsheet!$J:$K,2,0),0),(_xlfn.IFNA(VLOOKUP($A177&amp;$E177&amp;$I177,PMsheet!$J:$K,2,0),0)*'Master Data-C19RM'!$C$2))</f>
        <v>0</v>
      </c>
      <c r="Q177" s="440"/>
      <c r="R177" s="440"/>
      <c r="S177" s="440"/>
      <c r="T177" s="440"/>
      <c r="U177" s="482">
        <f t="shared" si="17"/>
        <v>0</v>
      </c>
      <c r="V177" s="484">
        <f>IF(SETUP!$E$7="USD",(U177*(IF(O177="USD",P177,(P177/'Master Data-C19RM'!$C$2)))),(U177*(IF(O177="EUR",P177,(P177*'Master Data-C19RM'!$C$2)))))</f>
        <v>0</v>
      </c>
      <c r="W177" s="445">
        <f>IF($O177="USD",_xlfn.IFNA(VLOOKUP($A177&amp;$E177&amp;$I177,PMsheet!$J:$K,2,0),0),(_xlfn.IFNA(VLOOKUP($A177&amp;$E177&amp;$I177,PMsheet!$J:$K,2,0),0)*'Master Data-C19RM'!$D$2))</f>
        <v>0</v>
      </c>
      <c r="X177" s="440"/>
      <c r="Y177" s="440"/>
      <c r="Z177" s="440"/>
      <c r="AA177" s="440"/>
      <c r="AB177" s="482">
        <f t="shared" si="18"/>
        <v>0</v>
      </c>
      <c r="AC177" s="484">
        <f>IF(SETUP!$E$7="USD",(AB177*(IF(O177="USD",W177,(W177/'Master Data-C19RM'!$D$2)))),(AB177*(IF(O177="EUR",W177,(W177*'Master Data-C19RM'!$D$2)))))</f>
        <v>0</v>
      </c>
      <c r="AD177" s="445">
        <f>IF($O177="USD",_xlfn.IFNA(VLOOKUP($A177&amp;$E177&amp;$I177,PMsheet!$J:$K,2,0),0),(_xlfn.IFNA(VLOOKUP($A177&amp;$E177&amp;$I177,PMsheet!$J:$K,2,0),0)*'Master Data-C19RM'!$E$2))</f>
        <v>0</v>
      </c>
      <c r="AE177" s="440"/>
      <c r="AF177" s="440"/>
      <c r="AG177" s="440"/>
      <c r="AH177" s="440"/>
      <c r="AI177" s="514">
        <f t="shared" si="19"/>
        <v>0</v>
      </c>
      <c r="AJ177" s="515">
        <f>IF(SETUP!$E$7="USD",(AI177*(IF(O177="USD",AD177,(AD177/'Master Data-C19RM'!$E$2)))),(AI177*(IF(O177="EUR",AD177,(AD177*'Master Data-C19RM'!$E$2)))))</f>
        <v>0</v>
      </c>
      <c r="AK177" s="445">
        <f>IF($O177="USD",_xlfn.IFNA(VLOOKUP($A177&amp;$E177&amp;$I177,PMsheet!$J:$K,2,0),0),(_xlfn.IFNA(VLOOKUP($A177&amp;$E177&amp;$I177,PMsheet!$J:$K,2,0),0)*'Master Data-C19RM'!$F$2))</f>
        <v>0</v>
      </c>
      <c r="AL177" s="440"/>
      <c r="AM177" s="440"/>
      <c r="AN177" s="440"/>
      <c r="AO177" s="440"/>
      <c r="AP177" s="514">
        <f t="shared" si="20"/>
        <v>0</v>
      </c>
      <c r="AQ177" s="515">
        <f>IF(SETUP!$E$7="USD",(AP177*(IF(O177="USD",AK177,(AK177/'Master Data-C19RM'!$F$2)))),(AP177*(IF(O177="EUR",AK177,(AK177*'Master Data-C19RM'!$F$2)))))</f>
        <v>0</v>
      </c>
      <c r="AR177" s="925">
        <f>IF($O177="USD",_xlfn.IFNA(VLOOKUP($A177&amp;$E177&amp;$I177,PMsheet!$J:$K,2,0),0),(_xlfn.IFNA(VLOOKUP($A177&amp;$E177&amp;$I177,PMsheet!$J:$K,2,0),0)*'Master Data-C19RM'!$G$2))</f>
        <v>0</v>
      </c>
      <c r="AS177" s="926"/>
      <c r="AT177" s="926"/>
      <c r="AU177" s="926"/>
      <c r="AV177" s="926"/>
      <c r="AW177" s="514">
        <f t="shared" si="21"/>
        <v>0</v>
      </c>
      <c r="AX177" s="515">
        <f>IF(SETUP!$E$7="USD",(AW177*(IF(O177="USD",AR177,(AR177/'Master Data-C19RM'!$G$2)))),(AW177*(IF(O177="EUR",AR177,(AR177*'Master Data-C19RM'!$G$2)))))</f>
        <v>0</v>
      </c>
      <c r="AY177" s="845"/>
      <c r="AZ177" s="846"/>
      <c r="BA177" s="846"/>
      <c r="BB177" s="846"/>
      <c r="BC177" s="846"/>
      <c r="BD177" s="846"/>
      <c r="BE177" s="847"/>
      <c r="BF177" s="514">
        <f>'C19RM 2021-Lab &amp; Other HPS'!$U177+'C19RM 2021-Lab &amp; Other HPS'!$AB177+'C19RM 2021-Lab &amp; Other HPS'!$AP177+'C19RM 2021-Lab &amp; Other HPS'!$AI177+AW177+BD177</f>
        <v>0</v>
      </c>
      <c r="BG177" s="514">
        <f>'C19RM 2021-Lab &amp; Other HPS'!$V177+'C19RM 2021-Lab &amp; Other HPS'!$AC177+'C19RM 2021-Lab &amp; Other HPS'!$AQ177+'C19RM 2021-Lab &amp; Other HPS'!$AJ177+AX177+BE177</f>
        <v>0</v>
      </c>
      <c r="BH177" s="522" t="str" cm="1">
        <f t="array" ref="BH177">IF(A177&lt;&gt;"",IFERROR(INDEX(PMtbl[[WKst]:[Unit of measure*]],MATCH($A$115&amp;$A177&amp;$E177&amp;$I177,INDEX(PMtbl[Sec]&amp;PMtbl[Category]&amp;PMtbl[Each]&amp;PMtbl[Packaging],0,),0),11),""),"")</f>
        <v/>
      </c>
      <c r="BI177" s="818"/>
      <c r="BJ177" s="503" t="str" cm="1">
        <f t="array" ref="BJ177">IFERROR(INDEX(SETUP!$C$19:$G$121,MATCH((INDEX(PMtbl[[WKst]:[Unit of measure*]],MATCH($A177&amp;$E177&amp;$I177,INDEX(PMtbl[Category]&amp;PMtbl[Each]&amp;PMtbl[Packaging],0,),0),3)),SETUP!$D$19:$D$121,0),5),"")</f>
        <v/>
      </c>
      <c r="BK177" s="543" t="str" cm="1">
        <f t="array" ref="BK177">IFERROR(IF((INDEX(SETUP!$C$19:$G$121,MATCH((INDEX(PMtbl[[WKst]:[Unit of measure*]],MATCH($A177&amp;$E177&amp;$I177,INDEX(PMtbl[Category]&amp;PMtbl[Each]&amp;PMtbl[Packaging],0,),0),3)),SETUP!$D$19:$D$121,0),4))="Upfront",0,INDEX(SETUP!$C$19:$G$121,MATCH((INDEX(PMtbl[[WKst]:[Unit of measure*]],MATCH($A177&amp;$E177&amp;$I177,INDEX(PMtbl[Category]&amp;PMtbl[Each]&amp;PMtbl[Packaging],0,),0),3)),SETUP!$D$19:$D$121,0),5)),"")</f>
        <v/>
      </c>
      <c r="BL177" s="215" t="str" cm="1">
        <f t="array" ref="BL177">IF(E177&lt;&gt;"",IFERROR(INDEX(PMtbl[[WKst]:[Unit of measure*]],MATCH($A$115&amp;$A177&amp;$E177&amp;$I177,INDEX(PMtbl[Sec]&amp;PMtbl[Category]&amp;PMtbl[Each]&amp;PMtbl[Packaging],0,),0),11),""),"")</f>
        <v/>
      </c>
      <c r="BO177" s="12">
        <f>IF(N177="",0,IF(SETUP!$E$7="USD",((IF(O177="USD",P177,(P177/'Master Data-C19RM'!$C$2)))),((IF(O177="EUR",P177,(P177*'Master Data-C19RM'!$C$2))))))</f>
        <v>0</v>
      </c>
      <c r="BP177" s="12">
        <f>IF(N177="",0,IF(SETUP!$E$7="USD",((IF(O177="USD",W177,(W177/'Master Data-C19RM'!$D$2)))),((IF(O177="EUR",W177,(W177*'Master Data-C19RM'!$D$2))))))</f>
        <v>0</v>
      </c>
      <c r="BQ177">
        <f>IF(N177="",0,IF(SETUP!$E$7="USD",((IF(O177="USD",AD177,(AD177/'Master Data-C19RM'!$E$2)))),((IF(O177="EUR",AD177,(AD177*'Master Data-C19RM'!$E$2))))))</f>
        <v>0</v>
      </c>
      <c r="BR177">
        <f>IF(N177="",0,IF(SETUP!$E$7="USD",((IF(O177="USD",AK177,(AK177/'Master Data-C19RM'!$F$2)))),((IF(O177="EUR",AK177,(AK177*'Master Data-C19RM'!$F$2))))))</f>
        <v>0</v>
      </c>
      <c r="BS177">
        <f>IF(N177="",0,IF(SETUP!$E$7="USD",((IF(O177="USD",AR177,(AR177/'Master Data-C19RM'!$G$2)))),((IF(O177="EUR",AR177,(AR177*'Master Data-C19RM'!$G$2))))))</f>
        <v>0</v>
      </c>
      <c r="BT177">
        <f>IF(N177="",0,IF(SETUP!$E$7="USD",((IF(O177="USD",AY177,(AY177/'Master Data-C19RM'!$H$2)))),((IF(O177="EUR",AY177,(AY177*'Master Data-C19RM'!$H$2))))))</f>
        <v>0</v>
      </c>
      <c r="BU177" s="12">
        <f t="shared" si="15"/>
        <v>0</v>
      </c>
      <c r="BV177" s="142">
        <f t="shared" si="16"/>
        <v>0</v>
      </c>
    </row>
    <row r="178" spans="1:74" x14ac:dyDescent="0.35">
      <c r="A178" s="1165"/>
      <c r="B178" s="1165"/>
      <c r="C178" s="1165"/>
      <c r="D178" s="1165"/>
      <c r="E178" s="1166"/>
      <c r="F178" s="1166"/>
      <c r="G178" s="1166"/>
      <c r="H178" s="1166"/>
      <c r="I178" s="1166"/>
      <c r="J178" s="1166"/>
      <c r="K178" s="1166"/>
      <c r="L178" s="490" t="str" cm="1">
        <f t="array" ref="L178">IF(A178&lt;&gt;"",IFERROR(INDEX(PMtbl[[WKst]:[Unit of measure*]],MATCH($A$115&amp;$A178&amp;$E178&amp;$I178,INDEX(PMtbl[Sec]&amp;PMtbl[Category]&amp;PMtbl[Each]&amp;PMtbl[Packaging],0,),0),14),""),"")</f>
        <v/>
      </c>
      <c r="M178" s="479" t="str">
        <f>IF(L178="","",INDEX(SETUP!$E$20:$E$122,(MATCH(INDEX(PMsheet!$D:$E,MATCH(A178,PMsheet!E:E,0),1),SETUP!$D$20:$D$122,0))))</f>
        <v/>
      </c>
      <c r="N178" s="491">
        <f>IF($O178="USD",_xlfn.IFNA(VLOOKUP(A178&amp;E178&amp;I178,PMsheet!J:K,2,0),0),(_xlfn.IFNA(VLOOKUP(A178&amp;E178&amp;I178,PMsheet!J:K,2,0),0)*'Master Data-C19RM'!$C$2))</f>
        <v>0</v>
      </c>
      <c r="O178" s="492" t="str">
        <f>IF(L178="", "",SETUP!$E$7)</f>
        <v/>
      </c>
      <c r="P178" s="456">
        <f>IF($O178="USD",_xlfn.IFNA(VLOOKUP($A178&amp;$E178&amp;$I178,PMsheet!$J:$K,2,0),0),(_xlfn.IFNA(VLOOKUP($A178&amp;$E178&amp;$I178,PMsheet!$J:$K,2,0),0)*'Master Data-C19RM'!$C$2))</f>
        <v>0</v>
      </c>
      <c r="Q178" s="441"/>
      <c r="R178" s="441"/>
      <c r="S178" s="441"/>
      <c r="T178" s="441"/>
      <c r="U178" s="481">
        <f t="shared" si="17"/>
        <v>0</v>
      </c>
      <c r="V178" s="483">
        <f>IF(SETUP!$E$7="USD",(U178*(IF(O178="USD",P178,(P178/'Master Data-C19RM'!$C$2)))),(U178*(IF(O178="EUR",P178,(P178*'Master Data-C19RM'!$C$2)))))</f>
        <v>0</v>
      </c>
      <c r="W178" s="444">
        <f>IF($O178="USD",_xlfn.IFNA(VLOOKUP($A178&amp;$E178&amp;$I178,PMsheet!$J:$K,2,0),0),(_xlfn.IFNA(VLOOKUP($A178&amp;$E178&amp;$I178,PMsheet!$J:$K,2,0),0)*'Master Data-C19RM'!$D$2))</f>
        <v>0</v>
      </c>
      <c r="X178" s="441"/>
      <c r="Y178" s="441"/>
      <c r="Z178" s="441"/>
      <c r="AA178" s="441"/>
      <c r="AB178" s="481">
        <f t="shared" si="18"/>
        <v>0</v>
      </c>
      <c r="AC178" s="483">
        <f>IF(SETUP!$E$7="USD",(AB178*(IF(O178="USD",W178,(W178/'Master Data-C19RM'!$D$2)))),(AB178*(IF(O178="EUR",W178,(W178*'Master Data-C19RM'!$D$2)))))</f>
        <v>0</v>
      </c>
      <c r="AD178" s="444">
        <f>IF($O178="USD",_xlfn.IFNA(VLOOKUP($A178&amp;$E178&amp;$I178,PMsheet!$J:$K,2,0),0),(_xlfn.IFNA(VLOOKUP($A178&amp;$E178&amp;$I178,PMsheet!$J:$K,2,0),0)*'Master Data-C19RM'!$E$2))</f>
        <v>0</v>
      </c>
      <c r="AE178" s="441"/>
      <c r="AF178" s="441"/>
      <c r="AG178" s="441"/>
      <c r="AH178" s="441"/>
      <c r="AI178" s="512">
        <f t="shared" si="19"/>
        <v>0</v>
      </c>
      <c r="AJ178" s="513">
        <f>IF(SETUP!$E$7="USD",(AI178*(IF(O178="USD",AD178,(AD178/'Master Data-C19RM'!$E$2)))),(AI178*(IF(O178="EUR",AD178,(AD178*'Master Data-C19RM'!$E$2)))))</f>
        <v>0</v>
      </c>
      <c r="AK178" s="444">
        <f>IF($O178="USD",_xlfn.IFNA(VLOOKUP($A178&amp;$E178&amp;$I178,PMsheet!$J:$K,2,0),0),(_xlfn.IFNA(VLOOKUP($A178&amp;$E178&amp;$I178,PMsheet!$J:$K,2,0),0)*'Master Data-C19RM'!$F$2))</f>
        <v>0</v>
      </c>
      <c r="AL178" s="441"/>
      <c r="AM178" s="441"/>
      <c r="AN178" s="441"/>
      <c r="AO178" s="441"/>
      <c r="AP178" s="512">
        <f t="shared" si="20"/>
        <v>0</v>
      </c>
      <c r="AQ178" s="513">
        <f>IF(SETUP!$E$7="USD",(AP178*(IF(O178="USD",AK178,(AK178/'Master Data-C19RM'!$F$2)))),(AP178*(IF(O178="EUR",AK178,(AK178*'Master Data-C19RM'!$F$2)))))</f>
        <v>0</v>
      </c>
      <c r="AR178" s="924">
        <f>IF($O178="USD",_xlfn.IFNA(VLOOKUP($A178&amp;$E178&amp;$I178,PMsheet!$J:$K,2,0),0),(_xlfn.IFNA(VLOOKUP($A178&amp;$E178&amp;$I178,PMsheet!$J:$K,2,0),0)*'Master Data-C19RM'!$G$2))</f>
        <v>0</v>
      </c>
      <c r="AS178" s="572"/>
      <c r="AT178" s="572"/>
      <c r="AU178" s="572"/>
      <c r="AV178" s="572"/>
      <c r="AW178" s="512">
        <f t="shared" si="21"/>
        <v>0</v>
      </c>
      <c r="AX178" s="513">
        <f>IF(SETUP!$E$7="USD",(AW178*(IF(O178="USD",AR178,(AR178/'Master Data-C19RM'!$G$2)))),(AW178*(IF(O178="EUR",AR178,(AR178*'Master Data-C19RM'!$G$2)))))</f>
        <v>0</v>
      </c>
      <c r="AY178" s="845"/>
      <c r="AZ178" s="846"/>
      <c r="BA178" s="846"/>
      <c r="BB178" s="846"/>
      <c r="BC178" s="846"/>
      <c r="BD178" s="846"/>
      <c r="BE178" s="847"/>
      <c r="BF178" s="512">
        <f>'C19RM 2021-Lab &amp; Other HPS'!$U178+'C19RM 2021-Lab &amp; Other HPS'!$AB178+'C19RM 2021-Lab &amp; Other HPS'!$AP178+'C19RM 2021-Lab &amp; Other HPS'!$AI178+AW178+BD178</f>
        <v>0</v>
      </c>
      <c r="BG178" s="512">
        <f>'C19RM 2021-Lab &amp; Other HPS'!$V178+'C19RM 2021-Lab &amp; Other HPS'!$AC178+'C19RM 2021-Lab &amp; Other HPS'!$AQ178+'C19RM 2021-Lab &amp; Other HPS'!$AJ178+AX178+BE178</f>
        <v>0</v>
      </c>
      <c r="BH178" s="500" t="str" cm="1">
        <f t="array" ref="BH178">IF(A178&lt;&gt;"",IFERROR(INDEX(PMtbl[[WKst]:[Unit of measure*]],MATCH($A$115&amp;$A178&amp;$E178&amp;$I178,INDEX(PMtbl[Sec]&amp;PMtbl[Category]&amp;PMtbl[Each]&amp;PMtbl[Packaging],0,),0),11),""),"")</f>
        <v/>
      </c>
      <c r="BI178" s="819"/>
      <c r="BJ178" s="502" t="str" cm="1">
        <f t="array" ref="BJ178">IFERROR(INDEX(SETUP!$C$19:$G$121,MATCH((INDEX(PMtbl[[WKst]:[Unit of measure*]],MATCH($A178&amp;$E178&amp;$I178,INDEX(PMtbl[Category]&amp;PMtbl[Each]&amp;PMtbl[Packaging],0,),0),3)),SETUP!$D$19:$D$121,0),5),"")</f>
        <v/>
      </c>
      <c r="BK178" s="542" t="str" cm="1">
        <f t="array" ref="BK178">IFERROR(IF((INDEX(SETUP!$C$19:$G$121,MATCH((INDEX(PMtbl[[WKst]:[Unit of measure*]],MATCH($A178&amp;$E178&amp;$I178,INDEX(PMtbl[Category]&amp;PMtbl[Each]&amp;PMtbl[Packaging],0,),0),3)),SETUP!$D$19:$D$121,0),4))="Upfront",0,INDEX(SETUP!$C$19:$G$121,MATCH((INDEX(PMtbl[[WKst]:[Unit of measure*]],MATCH($A178&amp;$E178&amp;$I178,INDEX(PMtbl[Category]&amp;PMtbl[Each]&amp;PMtbl[Packaging],0,),0),3)),SETUP!$D$19:$D$121,0),5)),"")</f>
        <v/>
      </c>
      <c r="BL178" s="214" t="str" cm="1">
        <f t="array" ref="BL178">IF(E178&lt;&gt;"",IFERROR(INDEX(PMtbl[[WKst]:[Unit of measure*]],MATCH($A$115&amp;$A178&amp;$E178&amp;$I178,INDEX(PMtbl[Sec]&amp;PMtbl[Category]&amp;PMtbl[Each]&amp;PMtbl[Packaging],0,),0),11),""),"")</f>
        <v/>
      </c>
      <c r="BO178" s="12">
        <f>IF(N178="",0,IF(SETUP!$E$7="USD",((IF(O178="USD",P178,(P178/'Master Data-C19RM'!$C$2)))),((IF(O178="EUR",P178,(P178*'Master Data-C19RM'!$C$2))))))</f>
        <v>0</v>
      </c>
      <c r="BP178" s="12">
        <f>IF(N178="",0,IF(SETUP!$E$7="USD",((IF(O178="USD",W178,(W178/'Master Data-C19RM'!$D$2)))),((IF(O178="EUR",W178,(W178*'Master Data-C19RM'!$D$2))))))</f>
        <v>0</v>
      </c>
      <c r="BQ178">
        <f>IF(N178="",0,IF(SETUP!$E$7="USD",((IF(O178="USD",AD178,(AD178/'Master Data-C19RM'!$E$2)))),((IF(O178="EUR",AD178,(AD178*'Master Data-C19RM'!$E$2))))))</f>
        <v>0</v>
      </c>
      <c r="BR178">
        <f>IF(N178="",0,IF(SETUP!$E$7="USD",((IF(O178="USD",AK178,(AK178/'Master Data-C19RM'!$F$2)))),((IF(O178="EUR",AK178,(AK178*'Master Data-C19RM'!$F$2))))))</f>
        <v>0</v>
      </c>
      <c r="BS178">
        <f>IF(N178="",0,IF(SETUP!$E$7="USD",((IF(O178="USD",AR178,(AR178/'Master Data-C19RM'!$G$2)))),((IF(O178="EUR",AR178,(AR178*'Master Data-C19RM'!$G$2))))))</f>
        <v>0</v>
      </c>
      <c r="BT178">
        <f>IF(N178="",0,IF(SETUP!$E$7="USD",((IF(O178="USD",AY178,(AY178/'Master Data-C19RM'!$H$2)))),((IF(O178="EUR",AY178,(AY178*'Master Data-C19RM'!$H$2))))))</f>
        <v>0</v>
      </c>
      <c r="BU178" s="12">
        <f t="shared" si="15"/>
        <v>0</v>
      </c>
      <c r="BV178" s="142">
        <f t="shared" si="16"/>
        <v>0</v>
      </c>
    </row>
    <row r="179" spans="1:74" x14ac:dyDescent="0.35">
      <c r="A179" s="1192"/>
      <c r="B179" s="1192"/>
      <c r="C179" s="1192"/>
      <c r="D179" s="1192"/>
      <c r="E179" s="1173"/>
      <c r="F179" s="1173"/>
      <c r="G179" s="1173"/>
      <c r="H179" s="1173"/>
      <c r="I179" s="1173"/>
      <c r="J179" s="1173"/>
      <c r="K179" s="1173"/>
      <c r="L179" s="493" t="str" cm="1">
        <f t="array" ref="L179">IF(A179&lt;&gt;"",IFERROR(INDEX(PMtbl[[WKst]:[Unit of measure*]],MATCH($A$115&amp;$A179&amp;$E179&amp;$I179,INDEX(PMtbl[Sec]&amp;PMtbl[Category]&amp;PMtbl[Each]&amp;PMtbl[Packaging],0,),0),14),""),"")</f>
        <v/>
      </c>
      <c r="M179" s="480" t="str">
        <f>IF(L179="","",INDEX(SETUP!$E$20:$E$122,(MATCH(INDEX(PMsheet!$D:$E,MATCH(A179,PMsheet!E:E,0),1),SETUP!$D$20:$D$122,0))))</f>
        <v/>
      </c>
      <c r="N179" s="494">
        <f>IF($O179="USD",_xlfn.IFNA(VLOOKUP(A179&amp;E179&amp;I179,PMsheet!J:K,2,0),0),(_xlfn.IFNA(VLOOKUP(A179&amp;E179&amp;I179,PMsheet!J:K,2,0),0)*'Master Data-C19RM'!$C$2))</f>
        <v>0</v>
      </c>
      <c r="O179" s="495" t="str">
        <f>IF(L179="", "",SETUP!$E$7)</f>
        <v/>
      </c>
      <c r="P179" s="457">
        <f>IF($O179="USD",_xlfn.IFNA(VLOOKUP($A179&amp;$E179&amp;$I179,PMsheet!$J:$K,2,0),0),(_xlfn.IFNA(VLOOKUP($A179&amp;$E179&amp;$I179,PMsheet!$J:$K,2,0),0)*'Master Data-C19RM'!$C$2))</f>
        <v>0</v>
      </c>
      <c r="Q179" s="440"/>
      <c r="R179" s="440"/>
      <c r="S179" s="440"/>
      <c r="T179" s="440"/>
      <c r="U179" s="482">
        <f t="shared" si="17"/>
        <v>0</v>
      </c>
      <c r="V179" s="484">
        <f>IF(SETUP!$E$7="USD",(U179*(IF(O179="USD",P179,(P179/'Master Data-C19RM'!$C$2)))),(U179*(IF(O179="EUR",P179,(P179*'Master Data-C19RM'!$C$2)))))</f>
        <v>0</v>
      </c>
      <c r="W179" s="445">
        <f>IF($O179="USD",_xlfn.IFNA(VLOOKUP($A179&amp;$E179&amp;$I179,PMsheet!$J:$K,2,0),0),(_xlfn.IFNA(VLOOKUP($A179&amp;$E179&amp;$I179,PMsheet!$J:$K,2,0),0)*'Master Data-C19RM'!$D$2))</f>
        <v>0</v>
      </c>
      <c r="X179" s="440"/>
      <c r="Y179" s="440"/>
      <c r="Z179" s="440"/>
      <c r="AA179" s="440"/>
      <c r="AB179" s="482">
        <f t="shared" si="18"/>
        <v>0</v>
      </c>
      <c r="AC179" s="484">
        <f>IF(SETUP!$E$7="USD",(AB179*(IF(O179="USD",W179,(W179/'Master Data-C19RM'!$D$2)))),(AB179*(IF(O179="EUR",W179,(W179*'Master Data-C19RM'!$D$2)))))</f>
        <v>0</v>
      </c>
      <c r="AD179" s="445">
        <f>IF($O179="USD",_xlfn.IFNA(VLOOKUP($A179&amp;$E179&amp;$I179,PMsheet!$J:$K,2,0),0),(_xlfn.IFNA(VLOOKUP($A179&amp;$E179&amp;$I179,PMsheet!$J:$K,2,0),0)*'Master Data-C19RM'!$E$2))</f>
        <v>0</v>
      </c>
      <c r="AE179" s="440"/>
      <c r="AF179" s="440"/>
      <c r="AG179" s="440"/>
      <c r="AH179" s="440"/>
      <c r="AI179" s="514">
        <f t="shared" si="19"/>
        <v>0</v>
      </c>
      <c r="AJ179" s="515">
        <f>IF(SETUP!$E$7="USD",(AI179*(IF(O179="USD",AD179,(AD179/'Master Data-C19RM'!$E$2)))),(AI179*(IF(O179="EUR",AD179,(AD179*'Master Data-C19RM'!$E$2)))))</f>
        <v>0</v>
      </c>
      <c r="AK179" s="445">
        <f>IF($O179="USD",_xlfn.IFNA(VLOOKUP($A179&amp;$E179&amp;$I179,PMsheet!$J:$K,2,0),0),(_xlfn.IFNA(VLOOKUP($A179&amp;$E179&amp;$I179,PMsheet!$J:$K,2,0),0)*'Master Data-C19RM'!$F$2))</f>
        <v>0</v>
      </c>
      <c r="AL179" s="440"/>
      <c r="AM179" s="440"/>
      <c r="AN179" s="440"/>
      <c r="AO179" s="440"/>
      <c r="AP179" s="514">
        <f t="shared" si="20"/>
        <v>0</v>
      </c>
      <c r="AQ179" s="515">
        <f>IF(SETUP!$E$7="USD",(AP179*(IF(O179="USD",AK179,(AK179/'Master Data-C19RM'!$F$2)))),(AP179*(IF(O179="EUR",AK179,(AK179*'Master Data-C19RM'!$F$2)))))</f>
        <v>0</v>
      </c>
      <c r="AR179" s="925">
        <f>IF($O179="USD",_xlfn.IFNA(VLOOKUP($A179&amp;$E179&amp;$I179,PMsheet!$J:$K,2,0),0),(_xlfn.IFNA(VLOOKUP($A179&amp;$E179&amp;$I179,PMsheet!$J:$K,2,0),0)*'Master Data-C19RM'!$G$2))</f>
        <v>0</v>
      </c>
      <c r="AS179" s="926"/>
      <c r="AT179" s="926"/>
      <c r="AU179" s="926"/>
      <c r="AV179" s="926"/>
      <c r="AW179" s="514">
        <f t="shared" si="21"/>
        <v>0</v>
      </c>
      <c r="AX179" s="515">
        <f>IF(SETUP!$E$7="USD",(AW179*(IF(O179="USD",AR179,(AR179/'Master Data-C19RM'!$G$2)))),(AW179*(IF(O179="EUR",AR179,(AR179*'Master Data-C19RM'!$G$2)))))</f>
        <v>0</v>
      </c>
      <c r="AY179" s="845"/>
      <c r="AZ179" s="846"/>
      <c r="BA179" s="846"/>
      <c r="BB179" s="846"/>
      <c r="BC179" s="846"/>
      <c r="BD179" s="846"/>
      <c r="BE179" s="847"/>
      <c r="BF179" s="514">
        <f>'C19RM 2021-Lab &amp; Other HPS'!$U179+'C19RM 2021-Lab &amp; Other HPS'!$AB179+'C19RM 2021-Lab &amp; Other HPS'!$AP179+'C19RM 2021-Lab &amp; Other HPS'!$AI179+AW179+BD179</f>
        <v>0</v>
      </c>
      <c r="BG179" s="514">
        <f>'C19RM 2021-Lab &amp; Other HPS'!$V179+'C19RM 2021-Lab &amp; Other HPS'!$AC179+'C19RM 2021-Lab &amp; Other HPS'!$AQ179+'C19RM 2021-Lab &amp; Other HPS'!$AJ179+AX179+BE179</f>
        <v>0</v>
      </c>
      <c r="BH179" s="522" t="str" cm="1">
        <f t="array" ref="BH179">IF(A179&lt;&gt;"",IFERROR(INDEX(PMtbl[[WKst]:[Unit of measure*]],MATCH($A$115&amp;$A179&amp;$E179&amp;$I179,INDEX(PMtbl[Sec]&amp;PMtbl[Category]&amp;PMtbl[Each]&amp;PMtbl[Packaging],0,),0),11),""),"")</f>
        <v/>
      </c>
      <c r="BI179" s="818"/>
      <c r="BJ179" s="503" t="str" cm="1">
        <f t="array" ref="BJ179">IFERROR(INDEX(SETUP!$C$19:$G$121,MATCH((INDEX(PMtbl[[WKst]:[Unit of measure*]],MATCH($A179&amp;$E179&amp;$I179,INDEX(PMtbl[Category]&amp;PMtbl[Each]&amp;PMtbl[Packaging],0,),0),3)),SETUP!$D$19:$D$121,0),5),"")</f>
        <v/>
      </c>
      <c r="BK179" s="543" t="str" cm="1">
        <f t="array" ref="BK179">IFERROR(IF((INDEX(SETUP!$C$19:$G$121,MATCH((INDEX(PMtbl[[WKst]:[Unit of measure*]],MATCH($A179&amp;$E179&amp;$I179,INDEX(PMtbl[Category]&amp;PMtbl[Each]&amp;PMtbl[Packaging],0,),0),3)),SETUP!$D$19:$D$121,0),4))="Upfront",0,INDEX(SETUP!$C$19:$G$121,MATCH((INDEX(PMtbl[[WKst]:[Unit of measure*]],MATCH($A179&amp;$E179&amp;$I179,INDEX(PMtbl[Category]&amp;PMtbl[Each]&amp;PMtbl[Packaging],0,),0),3)),SETUP!$D$19:$D$121,0),5)),"")</f>
        <v/>
      </c>
      <c r="BL179" s="215" t="str" cm="1">
        <f t="array" ref="BL179">IF(E179&lt;&gt;"",IFERROR(INDEX(PMtbl[[WKst]:[Unit of measure*]],MATCH($A$115&amp;$A179&amp;$E179&amp;$I179,INDEX(PMtbl[Sec]&amp;PMtbl[Category]&amp;PMtbl[Each]&amp;PMtbl[Packaging],0,),0),11),""),"")</f>
        <v/>
      </c>
      <c r="BO179" s="12">
        <f>IF(N179="",0,IF(SETUP!$E$7="USD",((IF(O179="USD",P179,(P179/'Master Data-C19RM'!$C$2)))),((IF(O179="EUR",P179,(P179*'Master Data-C19RM'!$C$2))))))</f>
        <v>0</v>
      </c>
      <c r="BP179" s="12">
        <f>IF(N179="",0,IF(SETUP!$E$7="USD",((IF(O179="USD",W179,(W179/'Master Data-C19RM'!$D$2)))),((IF(O179="EUR",W179,(W179*'Master Data-C19RM'!$D$2))))))</f>
        <v>0</v>
      </c>
      <c r="BQ179">
        <f>IF(N179="",0,IF(SETUP!$E$7="USD",((IF(O179="USD",AD179,(AD179/'Master Data-C19RM'!$E$2)))),((IF(O179="EUR",AD179,(AD179*'Master Data-C19RM'!$E$2))))))</f>
        <v>0</v>
      </c>
      <c r="BR179">
        <f>IF(N179="",0,IF(SETUP!$E$7="USD",((IF(O179="USD",AK179,(AK179/'Master Data-C19RM'!$F$2)))),((IF(O179="EUR",AK179,(AK179*'Master Data-C19RM'!$F$2))))))</f>
        <v>0</v>
      </c>
      <c r="BS179">
        <f>IF(N179="",0,IF(SETUP!$E$7="USD",((IF(O179="USD",AR179,(AR179/'Master Data-C19RM'!$G$2)))),((IF(O179="EUR",AR179,(AR179*'Master Data-C19RM'!$G$2))))))</f>
        <v>0</v>
      </c>
      <c r="BT179">
        <f>IF(N179="",0,IF(SETUP!$E$7="USD",((IF(O179="USD",AY179,(AY179/'Master Data-C19RM'!$H$2)))),((IF(O179="EUR",AY179,(AY179*'Master Data-C19RM'!$H$2))))))</f>
        <v>0</v>
      </c>
      <c r="BU179" s="12">
        <f t="shared" si="15"/>
        <v>0</v>
      </c>
      <c r="BV179" s="142">
        <f t="shared" si="16"/>
        <v>0</v>
      </c>
    </row>
    <row r="180" spans="1:74" x14ac:dyDescent="0.35">
      <c r="A180" s="1165"/>
      <c r="B180" s="1165"/>
      <c r="C180" s="1165"/>
      <c r="D180" s="1165"/>
      <c r="E180" s="1166"/>
      <c r="F180" s="1166"/>
      <c r="G180" s="1166"/>
      <c r="H180" s="1166"/>
      <c r="I180" s="1166"/>
      <c r="J180" s="1166"/>
      <c r="K180" s="1166"/>
      <c r="L180" s="490" t="str" cm="1">
        <f t="array" ref="L180">IF(A180&lt;&gt;"",IFERROR(INDEX(PMtbl[[WKst]:[Unit of measure*]],MATCH($A$115&amp;$A180&amp;$E180&amp;$I180,INDEX(PMtbl[Sec]&amp;PMtbl[Category]&amp;PMtbl[Each]&amp;PMtbl[Packaging],0,),0),14),""),"")</f>
        <v/>
      </c>
      <c r="M180" s="479" t="str">
        <f>IF(L180="","",INDEX(SETUP!$E$20:$E$122,(MATCH(INDEX(PMsheet!$D:$E,MATCH(A180,PMsheet!E:E,0),1),SETUP!$D$20:$D$122,0))))</f>
        <v/>
      </c>
      <c r="N180" s="491">
        <f>IF($O180="USD",_xlfn.IFNA(VLOOKUP(A180&amp;E180&amp;I180,PMsheet!J:K,2,0),0),(_xlfn.IFNA(VLOOKUP(A180&amp;E180&amp;I180,PMsheet!J:K,2,0),0)*'Master Data-C19RM'!$C$2))</f>
        <v>0</v>
      </c>
      <c r="O180" s="492" t="str">
        <f>IF(L180="", "",SETUP!$E$7)</f>
        <v/>
      </c>
      <c r="P180" s="456">
        <f>IF($O180="USD",_xlfn.IFNA(VLOOKUP($A180&amp;$E180&amp;$I180,PMsheet!$J:$K,2,0),0),(_xlfn.IFNA(VLOOKUP($A180&amp;$E180&amp;$I180,PMsheet!$J:$K,2,0),0)*'Master Data-C19RM'!$C$2))</f>
        <v>0</v>
      </c>
      <c r="Q180" s="441"/>
      <c r="R180" s="441"/>
      <c r="S180" s="441"/>
      <c r="T180" s="441"/>
      <c r="U180" s="481">
        <f t="shared" si="17"/>
        <v>0</v>
      </c>
      <c r="V180" s="483">
        <f>IF(SETUP!$E$7="USD",(U180*(IF(O180="USD",P180,(P180/'Master Data-C19RM'!$C$2)))),(U180*(IF(O180="EUR",P180,(P180*'Master Data-C19RM'!$C$2)))))</f>
        <v>0</v>
      </c>
      <c r="W180" s="444">
        <f>IF($O180="USD",_xlfn.IFNA(VLOOKUP($A180&amp;$E180&amp;$I180,PMsheet!$J:$K,2,0),0),(_xlfn.IFNA(VLOOKUP($A180&amp;$E180&amp;$I180,PMsheet!$J:$K,2,0),0)*'Master Data-C19RM'!$D$2))</f>
        <v>0</v>
      </c>
      <c r="X180" s="441"/>
      <c r="Y180" s="441"/>
      <c r="Z180" s="441"/>
      <c r="AA180" s="441"/>
      <c r="AB180" s="481">
        <f t="shared" si="18"/>
        <v>0</v>
      </c>
      <c r="AC180" s="483">
        <f>IF(SETUP!$E$7="USD",(AB180*(IF(O180="USD",W180,(W180/'Master Data-C19RM'!$D$2)))),(AB180*(IF(O180="EUR",W180,(W180*'Master Data-C19RM'!$D$2)))))</f>
        <v>0</v>
      </c>
      <c r="AD180" s="444">
        <f>IF($O180="USD",_xlfn.IFNA(VLOOKUP($A180&amp;$E180&amp;$I180,PMsheet!$J:$K,2,0),0),(_xlfn.IFNA(VLOOKUP($A180&amp;$E180&amp;$I180,PMsheet!$J:$K,2,0),0)*'Master Data-C19RM'!$E$2))</f>
        <v>0</v>
      </c>
      <c r="AE180" s="441"/>
      <c r="AF180" s="441"/>
      <c r="AG180" s="441"/>
      <c r="AH180" s="441"/>
      <c r="AI180" s="512">
        <f t="shared" si="19"/>
        <v>0</v>
      </c>
      <c r="AJ180" s="513">
        <f>IF(SETUP!$E$7="USD",(AI180*(IF(O180="USD",AD180,(AD180/'Master Data-C19RM'!$E$2)))),(AI180*(IF(O180="EUR",AD180,(AD180*'Master Data-C19RM'!$E$2)))))</f>
        <v>0</v>
      </c>
      <c r="AK180" s="444">
        <f>IF($O180="USD",_xlfn.IFNA(VLOOKUP($A180&amp;$E180&amp;$I180,PMsheet!$J:$K,2,0),0),(_xlfn.IFNA(VLOOKUP($A180&amp;$E180&amp;$I180,PMsheet!$J:$K,2,0),0)*'Master Data-C19RM'!$F$2))</f>
        <v>0</v>
      </c>
      <c r="AL180" s="441"/>
      <c r="AM180" s="441"/>
      <c r="AN180" s="441"/>
      <c r="AO180" s="441"/>
      <c r="AP180" s="512">
        <f t="shared" si="20"/>
        <v>0</v>
      </c>
      <c r="AQ180" s="513">
        <f>IF(SETUP!$E$7="USD",(AP180*(IF(O180="USD",AK180,(AK180/'Master Data-C19RM'!$F$2)))),(AP180*(IF(O180="EUR",AK180,(AK180*'Master Data-C19RM'!$F$2)))))</f>
        <v>0</v>
      </c>
      <c r="AR180" s="924">
        <f>IF($O180="USD",_xlfn.IFNA(VLOOKUP($A180&amp;$E180&amp;$I180,PMsheet!$J:$K,2,0),0),(_xlfn.IFNA(VLOOKUP($A180&amp;$E180&amp;$I180,PMsheet!$J:$K,2,0),0)*'Master Data-C19RM'!$G$2))</f>
        <v>0</v>
      </c>
      <c r="AS180" s="572"/>
      <c r="AT180" s="572"/>
      <c r="AU180" s="572"/>
      <c r="AV180" s="572"/>
      <c r="AW180" s="512">
        <f t="shared" si="21"/>
        <v>0</v>
      </c>
      <c r="AX180" s="513">
        <f>IF(SETUP!$E$7="USD",(AW180*(IF(O180="USD",AR180,(AR180/'Master Data-C19RM'!$G$2)))),(AW180*(IF(O180="EUR",AR180,(AR180*'Master Data-C19RM'!$G$2)))))</f>
        <v>0</v>
      </c>
      <c r="AY180" s="845"/>
      <c r="AZ180" s="846"/>
      <c r="BA180" s="846"/>
      <c r="BB180" s="846"/>
      <c r="BC180" s="846"/>
      <c r="BD180" s="846"/>
      <c r="BE180" s="847"/>
      <c r="BF180" s="512">
        <f>'C19RM 2021-Lab &amp; Other HPS'!$U180+'C19RM 2021-Lab &amp; Other HPS'!$AB180+'C19RM 2021-Lab &amp; Other HPS'!$AP180+'C19RM 2021-Lab &amp; Other HPS'!$AI180+AW180+BD180</f>
        <v>0</v>
      </c>
      <c r="BG180" s="512">
        <f>'C19RM 2021-Lab &amp; Other HPS'!$V180+'C19RM 2021-Lab &amp; Other HPS'!$AC180+'C19RM 2021-Lab &amp; Other HPS'!$AQ180+'C19RM 2021-Lab &amp; Other HPS'!$AJ180+AX180+BE180</f>
        <v>0</v>
      </c>
      <c r="BH180" s="500" t="str" cm="1">
        <f t="array" ref="BH180">IF(A180&lt;&gt;"",IFERROR(INDEX(PMtbl[[WKst]:[Unit of measure*]],MATCH($A$115&amp;$A180&amp;$E180&amp;$I180,INDEX(PMtbl[Sec]&amp;PMtbl[Category]&amp;PMtbl[Each]&amp;PMtbl[Packaging],0,),0),11),""),"")</f>
        <v/>
      </c>
      <c r="BI180" s="819"/>
      <c r="BJ180" s="502" t="str" cm="1">
        <f t="array" ref="BJ180">IFERROR(INDEX(SETUP!$C$19:$G$121,MATCH((INDEX(PMtbl[[WKst]:[Unit of measure*]],MATCH($A180&amp;$E180&amp;$I180,INDEX(PMtbl[Category]&amp;PMtbl[Each]&amp;PMtbl[Packaging],0,),0),3)),SETUP!$D$19:$D$121,0),5),"")</f>
        <v/>
      </c>
      <c r="BK180" s="542" t="str" cm="1">
        <f t="array" ref="BK180">IFERROR(IF((INDEX(SETUP!$C$19:$G$121,MATCH((INDEX(PMtbl[[WKst]:[Unit of measure*]],MATCH($A180&amp;$E180&amp;$I180,INDEX(PMtbl[Category]&amp;PMtbl[Each]&amp;PMtbl[Packaging],0,),0),3)),SETUP!$D$19:$D$121,0),4))="Upfront",0,INDEX(SETUP!$C$19:$G$121,MATCH((INDEX(PMtbl[[WKst]:[Unit of measure*]],MATCH($A180&amp;$E180&amp;$I180,INDEX(PMtbl[Category]&amp;PMtbl[Each]&amp;PMtbl[Packaging],0,),0),3)),SETUP!$D$19:$D$121,0),5)),"")</f>
        <v/>
      </c>
      <c r="BL180" s="214" t="str" cm="1">
        <f t="array" ref="BL180">IF(E180&lt;&gt;"",IFERROR(INDEX(PMtbl[[WKst]:[Unit of measure*]],MATCH($A$115&amp;$A180&amp;$E180&amp;$I180,INDEX(PMtbl[Sec]&amp;PMtbl[Category]&amp;PMtbl[Each]&amp;PMtbl[Packaging],0,),0),11),""),"")</f>
        <v/>
      </c>
      <c r="BO180" s="12">
        <f>IF(N180="",0,IF(SETUP!$E$7="USD",((IF(O180="USD",P180,(P180/'Master Data-C19RM'!$C$2)))),((IF(O180="EUR",P180,(P180*'Master Data-C19RM'!$C$2))))))</f>
        <v>0</v>
      </c>
      <c r="BP180" s="12">
        <f>IF(N180="",0,IF(SETUP!$E$7="USD",((IF(O180="USD",W180,(W180/'Master Data-C19RM'!$D$2)))),((IF(O180="EUR",W180,(W180*'Master Data-C19RM'!$D$2))))))</f>
        <v>0</v>
      </c>
      <c r="BQ180">
        <f>IF(N180="",0,IF(SETUP!$E$7="USD",((IF(O180="USD",AD180,(AD180/'Master Data-C19RM'!$E$2)))),((IF(O180="EUR",AD180,(AD180*'Master Data-C19RM'!$E$2))))))</f>
        <v>0</v>
      </c>
      <c r="BR180">
        <f>IF(N180="",0,IF(SETUP!$E$7="USD",((IF(O180="USD",AK180,(AK180/'Master Data-C19RM'!$F$2)))),((IF(O180="EUR",AK180,(AK180*'Master Data-C19RM'!$F$2))))))</f>
        <v>0</v>
      </c>
      <c r="BS180">
        <f>IF(N180="",0,IF(SETUP!$E$7="USD",((IF(O180="USD",AR180,(AR180/'Master Data-C19RM'!$G$2)))),((IF(O180="EUR",AR180,(AR180*'Master Data-C19RM'!$G$2))))))</f>
        <v>0</v>
      </c>
      <c r="BT180">
        <f>IF(N180="",0,IF(SETUP!$E$7="USD",((IF(O180="USD",AY180,(AY180/'Master Data-C19RM'!$H$2)))),((IF(O180="EUR",AY180,(AY180*'Master Data-C19RM'!$H$2))))))</f>
        <v>0</v>
      </c>
      <c r="BU180" s="12">
        <f t="shared" si="15"/>
        <v>0</v>
      </c>
      <c r="BV180" s="142">
        <f t="shared" si="16"/>
        <v>0</v>
      </c>
    </row>
    <row r="181" spans="1:74" x14ac:dyDescent="0.35">
      <c r="A181" s="1192"/>
      <c r="B181" s="1192"/>
      <c r="C181" s="1192"/>
      <c r="D181" s="1192"/>
      <c r="E181" s="1173"/>
      <c r="F181" s="1173"/>
      <c r="G181" s="1173"/>
      <c r="H181" s="1173"/>
      <c r="I181" s="1173"/>
      <c r="J181" s="1173"/>
      <c r="K181" s="1173"/>
      <c r="L181" s="493" t="str" cm="1">
        <f t="array" ref="L181">IF(A181&lt;&gt;"",IFERROR(INDEX(PMtbl[[WKst]:[Unit of measure*]],MATCH($A$115&amp;$A181&amp;$E181&amp;$I181,INDEX(PMtbl[Sec]&amp;PMtbl[Category]&amp;PMtbl[Each]&amp;PMtbl[Packaging],0,),0),14),""),"")</f>
        <v/>
      </c>
      <c r="M181" s="480" t="str">
        <f>IF(L181="","",INDEX(SETUP!$E$20:$E$122,(MATCH(INDEX(PMsheet!$D:$E,MATCH(A181,PMsheet!E:E,0),1),SETUP!$D$20:$D$122,0))))</f>
        <v/>
      </c>
      <c r="N181" s="494">
        <f>IF($O181="USD",_xlfn.IFNA(VLOOKUP(A181&amp;E181&amp;I181,PMsheet!J:K,2,0),0),(_xlfn.IFNA(VLOOKUP(A181&amp;E181&amp;I181,PMsheet!J:K,2,0),0)*'Master Data-C19RM'!$C$2))</f>
        <v>0</v>
      </c>
      <c r="O181" s="495" t="str">
        <f>IF(L181="", "",SETUP!$E$7)</f>
        <v/>
      </c>
      <c r="P181" s="457">
        <f>IF($O181="USD",_xlfn.IFNA(VLOOKUP($A181&amp;$E181&amp;$I181,PMsheet!$J:$K,2,0),0),(_xlfn.IFNA(VLOOKUP($A181&amp;$E181&amp;$I181,PMsheet!$J:$K,2,0),0)*'Master Data-C19RM'!$C$2))</f>
        <v>0</v>
      </c>
      <c r="Q181" s="440"/>
      <c r="R181" s="440"/>
      <c r="S181" s="440"/>
      <c r="T181" s="440"/>
      <c r="U181" s="482">
        <f t="shared" si="17"/>
        <v>0</v>
      </c>
      <c r="V181" s="484">
        <f>IF(SETUP!$E$7="USD",(U181*(IF(O181="USD",P181,(P181/'Master Data-C19RM'!$C$2)))),(U181*(IF(O181="EUR",P181,(P181*'Master Data-C19RM'!$C$2)))))</f>
        <v>0</v>
      </c>
      <c r="W181" s="445">
        <f>IF($O181="USD",_xlfn.IFNA(VLOOKUP($A181&amp;$E181&amp;$I181,PMsheet!$J:$K,2,0),0),(_xlfn.IFNA(VLOOKUP($A181&amp;$E181&amp;$I181,PMsheet!$J:$K,2,0),0)*'Master Data-C19RM'!$D$2))</f>
        <v>0</v>
      </c>
      <c r="X181" s="440"/>
      <c r="Y181" s="440"/>
      <c r="Z181" s="440"/>
      <c r="AA181" s="440"/>
      <c r="AB181" s="482">
        <f t="shared" si="18"/>
        <v>0</v>
      </c>
      <c r="AC181" s="484">
        <f>IF(SETUP!$E$7="USD",(AB181*(IF(O181="USD",W181,(W181/'Master Data-C19RM'!$D$2)))),(AB181*(IF(O181="EUR",W181,(W181*'Master Data-C19RM'!$D$2)))))</f>
        <v>0</v>
      </c>
      <c r="AD181" s="445">
        <f>IF($O181="USD",_xlfn.IFNA(VLOOKUP($A181&amp;$E181&amp;$I181,PMsheet!$J:$K,2,0),0),(_xlfn.IFNA(VLOOKUP($A181&amp;$E181&amp;$I181,PMsheet!$J:$K,2,0),0)*'Master Data-C19RM'!$E$2))</f>
        <v>0</v>
      </c>
      <c r="AE181" s="440"/>
      <c r="AF181" s="440"/>
      <c r="AG181" s="440"/>
      <c r="AH181" s="440"/>
      <c r="AI181" s="514">
        <f t="shared" si="19"/>
        <v>0</v>
      </c>
      <c r="AJ181" s="515">
        <f>IF(SETUP!$E$7="USD",(AI181*(IF(O181="USD",AD181,(AD181/'Master Data-C19RM'!$E$2)))),(AI181*(IF(O181="EUR",AD181,(AD181*'Master Data-C19RM'!$E$2)))))</f>
        <v>0</v>
      </c>
      <c r="AK181" s="445">
        <f>IF($O181="USD",_xlfn.IFNA(VLOOKUP($A181&amp;$E181&amp;$I181,PMsheet!$J:$K,2,0),0),(_xlfn.IFNA(VLOOKUP($A181&amp;$E181&amp;$I181,PMsheet!$J:$K,2,0),0)*'Master Data-C19RM'!$F$2))</f>
        <v>0</v>
      </c>
      <c r="AL181" s="440"/>
      <c r="AM181" s="440"/>
      <c r="AN181" s="440"/>
      <c r="AO181" s="440"/>
      <c r="AP181" s="514">
        <f t="shared" si="20"/>
        <v>0</v>
      </c>
      <c r="AQ181" s="515">
        <f>IF(SETUP!$E$7="USD",(AP181*(IF(O181="USD",AK181,(AK181/'Master Data-C19RM'!$F$2)))),(AP181*(IF(O181="EUR",AK181,(AK181*'Master Data-C19RM'!$F$2)))))</f>
        <v>0</v>
      </c>
      <c r="AR181" s="925">
        <f>IF($O181="USD",_xlfn.IFNA(VLOOKUP($A181&amp;$E181&amp;$I181,PMsheet!$J:$K,2,0),0),(_xlfn.IFNA(VLOOKUP($A181&amp;$E181&amp;$I181,PMsheet!$J:$K,2,0),0)*'Master Data-C19RM'!$G$2))</f>
        <v>0</v>
      </c>
      <c r="AS181" s="926"/>
      <c r="AT181" s="926"/>
      <c r="AU181" s="926"/>
      <c r="AV181" s="926"/>
      <c r="AW181" s="514">
        <f t="shared" si="21"/>
        <v>0</v>
      </c>
      <c r="AX181" s="515">
        <f>IF(SETUP!$E$7="USD",(AW181*(IF(O181="USD",AR181,(AR181/'Master Data-C19RM'!$G$2)))),(AW181*(IF(O181="EUR",AR181,(AR181*'Master Data-C19RM'!$G$2)))))</f>
        <v>0</v>
      </c>
      <c r="AY181" s="845"/>
      <c r="AZ181" s="846"/>
      <c r="BA181" s="846"/>
      <c r="BB181" s="846"/>
      <c r="BC181" s="846"/>
      <c r="BD181" s="846"/>
      <c r="BE181" s="847"/>
      <c r="BF181" s="514">
        <f>'C19RM 2021-Lab &amp; Other HPS'!$U181+'C19RM 2021-Lab &amp; Other HPS'!$AB181+'C19RM 2021-Lab &amp; Other HPS'!$AP181+'C19RM 2021-Lab &amp; Other HPS'!$AI181+AW181+BD181</f>
        <v>0</v>
      </c>
      <c r="BG181" s="514">
        <f>'C19RM 2021-Lab &amp; Other HPS'!$V181+'C19RM 2021-Lab &amp; Other HPS'!$AC181+'C19RM 2021-Lab &amp; Other HPS'!$AQ181+'C19RM 2021-Lab &amp; Other HPS'!$AJ181+AX181+BE181</f>
        <v>0</v>
      </c>
      <c r="BH181" s="522" t="str" cm="1">
        <f t="array" ref="BH181">IF(A181&lt;&gt;"",IFERROR(INDEX(PMtbl[[WKst]:[Unit of measure*]],MATCH($A$115&amp;$A181&amp;$E181&amp;$I181,INDEX(PMtbl[Sec]&amp;PMtbl[Category]&amp;PMtbl[Each]&amp;PMtbl[Packaging],0,),0),11),""),"")</f>
        <v/>
      </c>
      <c r="BI181" s="818"/>
      <c r="BJ181" s="503" t="str" cm="1">
        <f t="array" ref="BJ181">IFERROR(INDEX(SETUP!$C$19:$G$121,MATCH((INDEX(PMtbl[[WKst]:[Unit of measure*]],MATCH($A181&amp;$E181&amp;$I181,INDEX(PMtbl[Category]&amp;PMtbl[Each]&amp;PMtbl[Packaging],0,),0),3)),SETUP!$D$19:$D$121,0),5),"")</f>
        <v/>
      </c>
      <c r="BK181" s="543" t="str" cm="1">
        <f t="array" ref="BK181">IFERROR(IF((INDEX(SETUP!$C$19:$G$121,MATCH((INDEX(PMtbl[[WKst]:[Unit of measure*]],MATCH($A181&amp;$E181&amp;$I181,INDEX(PMtbl[Category]&amp;PMtbl[Each]&amp;PMtbl[Packaging],0,),0),3)),SETUP!$D$19:$D$121,0),4))="Upfront",0,INDEX(SETUP!$C$19:$G$121,MATCH((INDEX(PMtbl[[WKst]:[Unit of measure*]],MATCH($A181&amp;$E181&amp;$I181,INDEX(PMtbl[Category]&amp;PMtbl[Each]&amp;PMtbl[Packaging],0,),0),3)),SETUP!$D$19:$D$121,0),5)),"")</f>
        <v/>
      </c>
      <c r="BL181" s="215" t="str" cm="1">
        <f t="array" ref="BL181">IF(E181&lt;&gt;"",IFERROR(INDEX(PMtbl[[WKst]:[Unit of measure*]],MATCH($A$115&amp;$A181&amp;$E181&amp;$I181,INDEX(PMtbl[Sec]&amp;PMtbl[Category]&amp;PMtbl[Each]&amp;PMtbl[Packaging],0,),0),11),""),"")</f>
        <v/>
      </c>
      <c r="BO181" s="12">
        <f>IF(N181="",0,IF(SETUP!$E$7="USD",((IF(O181="USD",P181,(P181/'Master Data-C19RM'!$C$2)))),((IF(O181="EUR",P181,(P181*'Master Data-C19RM'!$C$2))))))</f>
        <v>0</v>
      </c>
      <c r="BP181" s="12">
        <f>IF(N181="",0,IF(SETUP!$E$7="USD",((IF(O181="USD",W181,(W181/'Master Data-C19RM'!$D$2)))),((IF(O181="EUR",W181,(W181*'Master Data-C19RM'!$D$2))))))</f>
        <v>0</v>
      </c>
      <c r="BQ181">
        <f>IF(N181="",0,IF(SETUP!$E$7="USD",((IF(O181="USD",AD181,(AD181/'Master Data-C19RM'!$E$2)))),((IF(O181="EUR",AD181,(AD181*'Master Data-C19RM'!$E$2))))))</f>
        <v>0</v>
      </c>
      <c r="BR181">
        <f>IF(N181="",0,IF(SETUP!$E$7="USD",((IF(O181="USD",AK181,(AK181/'Master Data-C19RM'!$F$2)))),((IF(O181="EUR",AK181,(AK181*'Master Data-C19RM'!$F$2))))))</f>
        <v>0</v>
      </c>
      <c r="BS181">
        <f>IF(N181="",0,IF(SETUP!$E$7="USD",((IF(O181="USD",AR181,(AR181/'Master Data-C19RM'!$G$2)))),((IF(O181="EUR",AR181,(AR181*'Master Data-C19RM'!$G$2))))))</f>
        <v>0</v>
      </c>
      <c r="BT181">
        <f>IF(N181="",0,IF(SETUP!$E$7="USD",((IF(O181="USD",AY181,(AY181/'Master Data-C19RM'!$H$2)))),((IF(O181="EUR",AY181,(AY181*'Master Data-C19RM'!$H$2))))))</f>
        <v>0</v>
      </c>
      <c r="BU181" s="12">
        <f t="shared" si="15"/>
        <v>0</v>
      </c>
      <c r="BV181" s="142">
        <f t="shared" si="16"/>
        <v>0</v>
      </c>
    </row>
    <row r="182" spans="1:74" x14ac:dyDescent="0.35">
      <c r="A182" s="1165"/>
      <c r="B182" s="1165"/>
      <c r="C182" s="1165"/>
      <c r="D182" s="1165"/>
      <c r="E182" s="1166"/>
      <c r="F182" s="1166"/>
      <c r="G182" s="1166"/>
      <c r="H182" s="1166"/>
      <c r="I182" s="1166"/>
      <c r="J182" s="1166"/>
      <c r="K182" s="1166"/>
      <c r="L182" s="490" t="str" cm="1">
        <f t="array" ref="L182">IF(A182&lt;&gt;"",IFERROR(INDEX(PMtbl[[WKst]:[Unit of measure*]],MATCH($A$115&amp;$A182&amp;$E182&amp;$I182,INDEX(PMtbl[Sec]&amp;PMtbl[Category]&amp;PMtbl[Each]&amp;PMtbl[Packaging],0,),0),14),""),"")</f>
        <v/>
      </c>
      <c r="M182" s="479" t="str">
        <f>IF(L182="","",INDEX(SETUP!$E$20:$E$122,(MATCH(INDEX(PMsheet!$D:$E,MATCH(A182,PMsheet!E:E,0),1),SETUP!$D$20:$D$122,0))))</f>
        <v/>
      </c>
      <c r="N182" s="491">
        <f>IF($O182="USD",_xlfn.IFNA(VLOOKUP(A182&amp;E182&amp;I182,PMsheet!J:K,2,0),0),(_xlfn.IFNA(VLOOKUP(A182&amp;E182&amp;I182,PMsheet!J:K,2,0),0)*'Master Data-C19RM'!$C$2))</f>
        <v>0</v>
      </c>
      <c r="O182" s="492" t="str">
        <f>IF(L182="", "",SETUP!$E$7)</f>
        <v/>
      </c>
      <c r="P182" s="456">
        <f>IF($O182="USD",_xlfn.IFNA(VLOOKUP($A182&amp;$E182&amp;$I182,PMsheet!$J:$K,2,0),0),(_xlfn.IFNA(VLOOKUP($A182&amp;$E182&amp;$I182,PMsheet!$J:$K,2,0),0)*'Master Data-C19RM'!$C$2))</f>
        <v>0</v>
      </c>
      <c r="Q182" s="441"/>
      <c r="R182" s="441"/>
      <c r="S182" s="441"/>
      <c r="T182" s="441"/>
      <c r="U182" s="481">
        <f t="shared" si="17"/>
        <v>0</v>
      </c>
      <c r="V182" s="483">
        <f>IF(SETUP!$E$7="USD",(U182*(IF(O182="USD",P182,(P182/'Master Data-C19RM'!$C$2)))),(U182*(IF(O182="EUR",P182,(P182*'Master Data-C19RM'!$C$2)))))</f>
        <v>0</v>
      </c>
      <c r="W182" s="444">
        <f>IF($O182="USD",_xlfn.IFNA(VLOOKUP($A182&amp;$E182&amp;$I182,PMsheet!$J:$K,2,0),0),(_xlfn.IFNA(VLOOKUP($A182&amp;$E182&amp;$I182,PMsheet!$J:$K,2,0),0)*'Master Data-C19RM'!$D$2))</f>
        <v>0</v>
      </c>
      <c r="X182" s="441"/>
      <c r="Y182" s="441"/>
      <c r="Z182" s="441"/>
      <c r="AA182" s="441"/>
      <c r="AB182" s="481">
        <f t="shared" si="18"/>
        <v>0</v>
      </c>
      <c r="AC182" s="483">
        <f>IF(SETUP!$E$7="USD",(AB182*(IF(O182="USD",W182,(W182/'Master Data-C19RM'!$D$2)))),(AB182*(IF(O182="EUR",W182,(W182*'Master Data-C19RM'!$D$2)))))</f>
        <v>0</v>
      </c>
      <c r="AD182" s="444">
        <f>IF($O182="USD",_xlfn.IFNA(VLOOKUP($A182&amp;$E182&amp;$I182,PMsheet!$J:$K,2,0),0),(_xlfn.IFNA(VLOOKUP($A182&amp;$E182&amp;$I182,PMsheet!$J:$K,2,0),0)*'Master Data-C19RM'!$E$2))</f>
        <v>0</v>
      </c>
      <c r="AE182" s="441"/>
      <c r="AF182" s="441"/>
      <c r="AG182" s="441"/>
      <c r="AH182" s="441"/>
      <c r="AI182" s="512">
        <f t="shared" si="19"/>
        <v>0</v>
      </c>
      <c r="AJ182" s="513">
        <f>IF(SETUP!$E$7="USD",(AI182*(IF(O182="USD",AD182,(AD182/'Master Data-C19RM'!$E$2)))),(AI182*(IF(O182="EUR",AD182,(AD182*'Master Data-C19RM'!$E$2)))))</f>
        <v>0</v>
      </c>
      <c r="AK182" s="444">
        <f>IF($O182="USD",_xlfn.IFNA(VLOOKUP($A182&amp;$E182&amp;$I182,PMsheet!$J:$K,2,0),0),(_xlfn.IFNA(VLOOKUP($A182&amp;$E182&amp;$I182,PMsheet!$J:$K,2,0),0)*'Master Data-C19RM'!$F$2))</f>
        <v>0</v>
      </c>
      <c r="AL182" s="441"/>
      <c r="AM182" s="441"/>
      <c r="AN182" s="441"/>
      <c r="AO182" s="441"/>
      <c r="AP182" s="512">
        <f t="shared" si="20"/>
        <v>0</v>
      </c>
      <c r="AQ182" s="513">
        <f>IF(SETUP!$E$7="USD",(AP182*(IF(O182="USD",AK182,(AK182/'Master Data-C19RM'!$F$2)))),(AP182*(IF(O182="EUR",AK182,(AK182*'Master Data-C19RM'!$F$2)))))</f>
        <v>0</v>
      </c>
      <c r="AR182" s="924">
        <f>IF($O182="USD",_xlfn.IFNA(VLOOKUP($A182&amp;$E182&amp;$I182,PMsheet!$J:$K,2,0),0),(_xlfn.IFNA(VLOOKUP($A182&amp;$E182&amp;$I182,PMsheet!$J:$K,2,0),0)*'Master Data-C19RM'!$G$2))</f>
        <v>0</v>
      </c>
      <c r="AS182" s="572"/>
      <c r="AT182" s="572"/>
      <c r="AU182" s="572"/>
      <c r="AV182" s="572"/>
      <c r="AW182" s="512">
        <f t="shared" si="21"/>
        <v>0</v>
      </c>
      <c r="AX182" s="513">
        <f>IF(SETUP!$E$7="USD",(AW182*(IF(O182="USD",AR182,(AR182/'Master Data-C19RM'!$G$2)))),(AW182*(IF(O182="EUR",AR182,(AR182*'Master Data-C19RM'!$G$2)))))</f>
        <v>0</v>
      </c>
      <c r="AY182" s="845"/>
      <c r="AZ182" s="846"/>
      <c r="BA182" s="846"/>
      <c r="BB182" s="846"/>
      <c r="BC182" s="846"/>
      <c r="BD182" s="846"/>
      <c r="BE182" s="847"/>
      <c r="BF182" s="512">
        <f>'C19RM 2021-Lab &amp; Other HPS'!$U182+'C19RM 2021-Lab &amp; Other HPS'!$AB182+'C19RM 2021-Lab &amp; Other HPS'!$AP182+'C19RM 2021-Lab &amp; Other HPS'!$AI182+AW182+BD182</f>
        <v>0</v>
      </c>
      <c r="BG182" s="512">
        <f>'C19RM 2021-Lab &amp; Other HPS'!$V182+'C19RM 2021-Lab &amp; Other HPS'!$AC182+'C19RM 2021-Lab &amp; Other HPS'!$AQ182+'C19RM 2021-Lab &amp; Other HPS'!$AJ182+AX182+BE182</f>
        <v>0</v>
      </c>
      <c r="BH182" s="500" t="str" cm="1">
        <f t="array" ref="BH182">IF(A182&lt;&gt;"",IFERROR(INDEX(PMtbl[[WKst]:[Unit of measure*]],MATCH($A$115&amp;$A182&amp;$E182&amp;$I182,INDEX(PMtbl[Sec]&amp;PMtbl[Category]&amp;PMtbl[Each]&amp;PMtbl[Packaging],0,),0),11),""),"")</f>
        <v/>
      </c>
      <c r="BI182" s="819"/>
      <c r="BJ182" s="502" t="str" cm="1">
        <f t="array" ref="BJ182">IFERROR(INDEX(SETUP!$C$19:$G$121,MATCH((INDEX(PMtbl[[WKst]:[Unit of measure*]],MATCH($A182&amp;$E182&amp;$I182,INDEX(PMtbl[Category]&amp;PMtbl[Each]&amp;PMtbl[Packaging],0,),0),3)),SETUP!$D$19:$D$121,0),5),"")</f>
        <v/>
      </c>
      <c r="BK182" s="542" t="str" cm="1">
        <f t="array" ref="BK182">IFERROR(IF((INDEX(SETUP!$C$19:$G$121,MATCH((INDEX(PMtbl[[WKst]:[Unit of measure*]],MATCH($A182&amp;$E182&amp;$I182,INDEX(PMtbl[Category]&amp;PMtbl[Each]&amp;PMtbl[Packaging],0,),0),3)),SETUP!$D$19:$D$121,0),4))="Upfront",0,INDEX(SETUP!$C$19:$G$121,MATCH((INDEX(PMtbl[[WKst]:[Unit of measure*]],MATCH($A182&amp;$E182&amp;$I182,INDEX(PMtbl[Category]&amp;PMtbl[Each]&amp;PMtbl[Packaging],0,),0),3)),SETUP!$D$19:$D$121,0),5)),"")</f>
        <v/>
      </c>
      <c r="BL182" s="214" t="str" cm="1">
        <f t="array" ref="BL182">IF(E182&lt;&gt;"",IFERROR(INDEX(PMtbl[[WKst]:[Unit of measure*]],MATCH($A$115&amp;$A182&amp;$E182&amp;$I182,INDEX(PMtbl[Sec]&amp;PMtbl[Category]&amp;PMtbl[Each]&amp;PMtbl[Packaging],0,),0),11),""),"")</f>
        <v/>
      </c>
      <c r="BO182" s="12">
        <f>IF(N182="",0,IF(SETUP!$E$7="USD",((IF(O182="USD",P182,(P182/'Master Data-C19RM'!$C$2)))),((IF(O182="EUR",P182,(P182*'Master Data-C19RM'!$C$2))))))</f>
        <v>0</v>
      </c>
      <c r="BP182" s="12">
        <f>IF(N182="",0,IF(SETUP!$E$7="USD",((IF(O182="USD",W182,(W182/'Master Data-C19RM'!$D$2)))),((IF(O182="EUR",W182,(W182*'Master Data-C19RM'!$D$2))))))</f>
        <v>0</v>
      </c>
      <c r="BQ182">
        <f>IF(N182="",0,IF(SETUP!$E$7="USD",((IF(O182="USD",AD182,(AD182/'Master Data-C19RM'!$E$2)))),((IF(O182="EUR",AD182,(AD182*'Master Data-C19RM'!$E$2))))))</f>
        <v>0</v>
      </c>
      <c r="BR182">
        <f>IF(N182="",0,IF(SETUP!$E$7="USD",((IF(O182="USD",AK182,(AK182/'Master Data-C19RM'!$F$2)))),((IF(O182="EUR",AK182,(AK182*'Master Data-C19RM'!$F$2))))))</f>
        <v>0</v>
      </c>
      <c r="BS182">
        <f>IF(N182="",0,IF(SETUP!$E$7="USD",((IF(O182="USD",AR182,(AR182/'Master Data-C19RM'!$G$2)))),((IF(O182="EUR",AR182,(AR182*'Master Data-C19RM'!$G$2))))))</f>
        <v>0</v>
      </c>
      <c r="BT182">
        <f>IF(N182="",0,IF(SETUP!$E$7="USD",((IF(O182="USD",AY182,(AY182/'Master Data-C19RM'!$H$2)))),((IF(O182="EUR",AY182,(AY182*'Master Data-C19RM'!$H$2))))))</f>
        <v>0</v>
      </c>
      <c r="BU182" s="12">
        <f t="shared" si="15"/>
        <v>0</v>
      </c>
      <c r="BV182" s="142">
        <f t="shared" si="16"/>
        <v>0</v>
      </c>
    </row>
    <row r="183" spans="1:74" x14ac:dyDescent="0.35">
      <c r="A183" s="1192"/>
      <c r="B183" s="1192"/>
      <c r="C183" s="1192"/>
      <c r="D183" s="1192"/>
      <c r="E183" s="1173"/>
      <c r="F183" s="1173"/>
      <c r="G183" s="1173"/>
      <c r="H183" s="1173"/>
      <c r="I183" s="1173"/>
      <c r="J183" s="1173"/>
      <c r="K183" s="1173"/>
      <c r="L183" s="493" t="str" cm="1">
        <f t="array" ref="L183">IF(A183&lt;&gt;"",IFERROR(INDEX(PMtbl[[WKst]:[Unit of measure*]],MATCH($A$115&amp;$A183&amp;$E183&amp;$I183,INDEX(PMtbl[Sec]&amp;PMtbl[Category]&amp;PMtbl[Each]&amp;PMtbl[Packaging],0,),0),14),""),"")</f>
        <v/>
      </c>
      <c r="M183" s="480" t="str">
        <f>IF(L183="","",INDEX(SETUP!$E$20:$E$122,(MATCH(INDEX(PMsheet!$D:$E,MATCH(A183,PMsheet!E:E,0),1),SETUP!$D$20:$D$122,0))))</f>
        <v/>
      </c>
      <c r="N183" s="494">
        <f>IF($O183="USD",_xlfn.IFNA(VLOOKUP(A183&amp;E183&amp;I183,PMsheet!J:K,2,0),0),(_xlfn.IFNA(VLOOKUP(A183&amp;E183&amp;I183,PMsheet!J:K,2,0),0)*'Master Data-C19RM'!$C$2))</f>
        <v>0</v>
      </c>
      <c r="O183" s="495" t="str">
        <f>IF(L183="", "",SETUP!$E$7)</f>
        <v/>
      </c>
      <c r="P183" s="457">
        <f>IF($O183="USD",_xlfn.IFNA(VLOOKUP($A183&amp;$E183&amp;$I183,PMsheet!$J:$K,2,0),0),(_xlfn.IFNA(VLOOKUP($A183&amp;$E183&amp;$I183,PMsheet!$J:$K,2,0),0)*'Master Data-C19RM'!$C$2))</f>
        <v>0</v>
      </c>
      <c r="Q183" s="440"/>
      <c r="R183" s="440"/>
      <c r="S183" s="440"/>
      <c r="T183" s="440"/>
      <c r="U183" s="482">
        <f t="shared" si="17"/>
        <v>0</v>
      </c>
      <c r="V183" s="484">
        <f>IF(SETUP!$E$7="USD",(U183*(IF(O183="USD",P183,(P183/'Master Data-C19RM'!$C$2)))),(U183*(IF(O183="EUR",P183,(P183*'Master Data-C19RM'!$C$2)))))</f>
        <v>0</v>
      </c>
      <c r="W183" s="445">
        <f>IF($O183="USD",_xlfn.IFNA(VLOOKUP($A183&amp;$E183&amp;$I183,PMsheet!$J:$K,2,0),0),(_xlfn.IFNA(VLOOKUP($A183&amp;$E183&amp;$I183,PMsheet!$J:$K,2,0),0)*'Master Data-C19RM'!$D$2))</f>
        <v>0</v>
      </c>
      <c r="X183" s="440"/>
      <c r="Y183" s="440"/>
      <c r="Z183" s="440"/>
      <c r="AA183" s="440"/>
      <c r="AB183" s="482">
        <f t="shared" si="18"/>
        <v>0</v>
      </c>
      <c r="AC183" s="484">
        <f>IF(SETUP!$E$7="USD",(AB183*(IF(O183="USD",W183,(W183/'Master Data-C19RM'!$D$2)))),(AB183*(IF(O183="EUR",W183,(W183*'Master Data-C19RM'!$D$2)))))</f>
        <v>0</v>
      </c>
      <c r="AD183" s="445">
        <f>IF($O183="USD",_xlfn.IFNA(VLOOKUP($A183&amp;$E183&amp;$I183,PMsheet!$J:$K,2,0),0),(_xlfn.IFNA(VLOOKUP($A183&amp;$E183&amp;$I183,PMsheet!$J:$K,2,0),0)*'Master Data-C19RM'!$E$2))</f>
        <v>0</v>
      </c>
      <c r="AE183" s="440"/>
      <c r="AF183" s="440"/>
      <c r="AG183" s="440"/>
      <c r="AH183" s="440"/>
      <c r="AI183" s="514">
        <f t="shared" si="19"/>
        <v>0</v>
      </c>
      <c r="AJ183" s="515">
        <f>IF(SETUP!$E$7="USD",(AI183*(IF(O183="USD",AD183,(AD183/'Master Data-C19RM'!$E$2)))),(AI183*(IF(O183="EUR",AD183,(AD183*'Master Data-C19RM'!$E$2)))))</f>
        <v>0</v>
      </c>
      <c r="AK183" s="445">
        <f>IF($O183="USD",_xlfn.IFNA(VLOOKUP($A183&amp;$E183&amp;$I183,PMsheet!$J:$K,2,0),0),(_xlfn.IFNA(VLOOKUP($A183&amp;$E183&amp;$I183,PMsheet!$J:$K,2,0),0)*'Master Data-C19RM'!$F$2))</f>
        <v>0</v>
      </c>
      <c r="AL183" s="440"/>
      <c r="AM183" s="440"/>
      <c r="AN183" s="440"/>
      <c r="AO183" s="440"/>
      <c r="AP183" s="514">
        <f t="shared" si="20"/>
        <v>0</v>
      </c>
      <c r="AQ183" s="515">
        <f>IF(SETUP!$E$7="USD",(AP183*(IF(O183="USD",AK183,(AK183/'Master Data-C19RM'!$F$2)))),(AP183*(IF(O183="EUR",AK183,(AK183*'Master Data-C19RM'!$F$2)))))</f>
        <v>0</v>
      </c>
      <c r="AR183" s="925">
        <f>IF($O183="USD",_xlfn.IFNA(VLOOKUP($A183&amp;$E183&amp;$I183,PMsheet!$J:$K,2,0),0),(_xlfn.IFNA(VLOOKUP($A183&amp;$E183&amp;$I183,PMsheet!$J:$K,2,0),0)*'Master Data-C19RM'!$G$2))</f>
        <v>0</v>
      </c>
      <c r="AS183" s="926"/>
      <c r="AT183" s="926"/>
      <c r="AU183" s="926"/>
      <c r="AV183" s="926"/>
      <c r="AW183" s="514">
        <f t="shared" si="21"/>
        <v>0</v>
      </c>
      <c r="AX183" s="515">
        <f>IF(SETUP!$E$7="USD",(AW183*(IF(O183="USD",AR183,(AR183/'Master Data-C19RM'!$G$2)))),(AW183*(IF(O183="EUR",AR183,(AR183*'Master Data-C19RM'!$G$2)))))</f>
        <v>0</v>
      </c>
      <c r="AY183" s="845"/>
      <c r="AZ183" s="846"/>
      <c r="BA183" s="846"/>
      <c r="BB183" s="846"/>
      <c r="BC183" s="846"/>
      <c r="BD183" s="846"/>
      <c r="BE183" s="847"/>
      <c r="BF183" s="514">
        <f>'C19RM 2021-Lab &amp; Other HPS'!$U183+'C19RM 2021-Lab &amp; Other HPS'!$AB183+'C19RM 2021-Lab &amp; Other HPS'!$AP183+'C19RM 2021-Lab &amp; Other HPS'!$AI183+AW183+BD183</f>
        <v>0</v>
      </c>
      <c r="BG183" s="514">
        <f>'C19RM 2021-Lab &amp; Other HPS'!$V183+'C19RM 2021-Lab &amp; Other HPS'!$AC183+'C19RM 2021-Lab &amp; Other HPS'!$AQ183+'C19RM 2021-Lab &amp; Other HPS'!$AJ183+AX183+BE183</f>
        <v>0</v>
      </c>
      <c r="BH183" s="522" t="str" cm="1">
        <f t="array" ref="BH183">IF(A183&lt;&gt;"",IFERROR(INDEX(PMtbl[[WKst]:[Unit of measure*]],MATCH($A$115&amp;$A183&amp;$E183&amp;$I183,INDEX(PMtbl[Sec]&amp;PMtbl[Category]&amp;PMtbl[Each]&amp;PMtbl[Packaging],0,),0),11),""),"")</f>
        <v/>
      </c>
      <c r="BI183" s="818"/>
      <c r="BJ183" s="503" t="str" cm="1">
        <f t="array" ref="BJ183">IFERROR(INDEX(SETUP!$C$19:$G$121,MATCH((INDEX(PMtbl[[WKst]:[Unit of measure*]],MATCH($A183&amp;$E183&amp;$I183,INDEX(PMtbl[Category]&amp;PMtbl[Each]&amp;PMtbl[Packaging],0,),0),3)),SETUP!$D$19:$D$121,0),5),"")</f>
        <v/>
      </c>
      <c r="BK183" s="543" t="str" cm="1">
        <f t="array" ref="BK183">IFERROR(IF((INDEX(SETUP!$C$19:$G$121,MATCH((INDEX(PMtbl[[WKst]:[Unit of measure*]],MATCH($A183&amp;$E183&amp;$I183,INDEX(PMtbl[Category]&amp;PMtbl[Each]&amp;PMtbl[Packaging],0,),0),3)),SETUP!$D$19:$D$121,0),4))="Upfront",0,INDEX(SETUP!$C$19:$G$121,MATCH((INDEX(PMtbl[[WKst]:[Unit of measure*]],MATCH($A183&amp;$E183&amp;$I183,INDEX(PMtbl[Category]&amp;PMtbl[Each]&amp;PMtbl[Packaging],0,),0),3)),SETUP!$D$19:$D$121,0),5)),"")</f>
        <v/>
      </c>
      <c r="BL183" s="215" t="str" cm="1">
        <f t="array" ref="BL183">IF(E183&lt;&gt;"",IFERROR(INDEX(PMtbl[[WKst]:[Unit of measure*]],MATCH($A$115&amp;$A183&amp;$E183&amp;$I183,INDEX(PMtbl[Sec]&amp;PMtbl[Category]&amp;PMtbl[Each]&amp;PMtbl[Packaging],0,),0),11),""),"")</f>
        <v/>
      </c>
      <c r="BO183" s="12">
        <f>IF(N183="",0,IF(SETUP!$E$7="USD",((IF(O183="USD",P183,(P183/'Master Data-C19RM'!$C$2)))),((IF(O183="EUR",P183,(P183*'Master Data-C19RM'!$C$2))))))</f>
        <v>0</v>
      </c>
      <c r="BP183" s="12">
        <f>IF(N183="",0,IF(SETUP!$E$7="USD",((IF(O183="USD",W183,(W183/'Master Data-C19RM'!$D$2)))),((IF(O183="EUR",W183,(W183*'Master Data-C19RM'!$D$2))))))</f>
        <v>0</v>
      </c>
      <c r="BQ183">
        <f>IF(N183="",0,IF(SETUP!$E$7="USD",((IF(O183="USD",AD183,(AD183/'Master Data-C19RM'!$E$2)))),((IF(O183="EUR",AD183,(AD183*'Master Data-C19RM'!$E$2))))))</f>
        <v>0</v>
      </c>
      <c r="BR183">
        <f>IF(N183="",0,IF(SETUP!$E$7="USD",((IF(O183="USD",AK183,(AK183/'Master Data-C19RM'!$F$2)))),((IF(O183="EUR",AK183,(AK183*'Master Data-C19RM'!$F$2))))))</f>
        <v>0</v>
      </c>
      <c r="BS183">
        <f>IF(N183="",0,IF(SETUP!$E$7="USD",((IF(O183="USD",AR183,(AR183/'Master Data-C19RM'!$G$2)))),((IF(O183="EUR",AR183,(AR183*'Master Data-C19RM'!$G$2))))))</f>
        <v>0</v>
      </c>
      <c r="BT183">
        <f>IF(N183="",0,IF(SETUP!$E$7="USD",((IF(O183="USD",AY183,(AY183/'Master Data-C19RM'!$H$2)))),((IF(O183="EUR",AY183,(AY183*'Master Data-C19RM'!$H$2))))))</f>
        <v>0</v>
      </c>
      <c r="BU183" s="12">
        <f t="shared" si="15"/>
        <v>0</v>
      </c>
      <c r="BV183" s="142">
        <f t="shared" si="16"/>
        <v>0</v>
      </c>
    </row>
    <row r="184" spans="1:74" x14ac:dyDescent="0.35">
      <c r="A184" s="1165"/>
      <c r="B184" s="1165"/>
      <c r="C184" s="1165"/>
      <c r="D184" s="1165"/>
      <c r="E184" s="1166"/>
      <c r="F184" s="1166"/>
      <c r="G184" s="1166"/>
      <c r="H184" s="1166"/>
      <c r="I184" s="1166"/>
      <c r="J184" s="1166"/>
      <c r="K184" s="1166"/>
      <c r="L184" s="490" t="str" cm="1">
        <f t="array" ref="L184">IF(A184&lt;&gt;"",IFERROR(INDEX(PMtbl[[WKst]:[Unit of measure*]],MATCH($A$115&amp;$A184&amp;$E184&amp;$I184,INDEX(PMtbl[Sec]&amp;PMtbl[Category]&amp;PMtbl[Each]&amp;PMtbl[Packaging],0,),0),14),""),"")</f>
        <v/>
      </c>
      <c r="M184" s="479" t="str">
        <f>IF(L184="","",INDEX(SETUP!$E$20:$E$122,(MATCH(INDEX(PMsheet!$D:$E,MATCH(A184,PMsheet!E:E,0),1),SETUP!$D$20:$D$122,0))))</f>
        <v/>
      </c>
      <c r="N184" s="491">
        <f>IF($O184="USD",_xlfn.IFNA(VLOOKUP(A184&amp;E184&amp;I184,PMsheet!J:K,2,0),0),(_xlfn.IFNA(VLOOKUP(A184&amp;E184&amp;I184,PMsheet!J:K,2,0),0)*'Master Data-C19RM'!$C$2))</f>
        <v>0</v>
      </c>
      <c r="O184" s="492" t="str">
        <f>IF(L184="", "",SETUP!$E$7)</f>
        <v/>
      </c>
      <c r="P184" s="456">
        <f>IF($O184="USD",_xlfn.IFNA(VLOOKUP($A184&amp;$E184&amp;$I184,PMsheet!$J:$K,2,0),0),(_xlfn.IFNA(VLOOKUP($A184&amp;$E184&amp;$I184,PMsheet!$J:$K,2,0),0)*'Master Data-C19RM'!$C$2))</f>
        <v>0</v>
      </c>
      <c r="Q184" s="441"/>
      <c r="R184" s="441"/>
      <c r="S184" s="441"/>
      <c r="T184" s="441"/>
      <c r="U184" s="481">
        <f t="shared" si="17"/>
        <v>0</v>
      </c>
      <c r="V184" s="483">
        <f>IF(SETUP!$E$7="USD",(U184*(IF(O184="USD",P184,(P184/'Master Data-C19RM'!$C$2)))),(U184*(IF(O184="EUR",P184,(P184*'Master Data-C19RM'!$C$2)))))</f>
        <v>0</v>
      </c>
      <c r="W184" s="444">
        <f>IF($O184="USD",_xlfn.IFNA(VLOOKUP($A184&amp;$E184&amp;$I184,PMsheet!$J:$K,2,0),0),(_xlfn.IFNA(VLOOKUP($A184&amp;$E184&amp;$I184,PMsheet!$J:$K,2,0),0)*'Master Data-C19RM'!$D$2))</f>
        <v>0</v>
      </c>
      <c r="X184" s="441"/>
      <c r="Y184" s="441"/>
      <c r="Z184" s="441"/>
      <c r="AA184" s="441"/>
      <c r="AB184" s="481">
        <f t="shared" si="18"/>
        <v>0</v>
      </c>
      <c r="AC184" s="483">
        <f>IF(SETUP!$E$7="USD",(AB184*(IF(O184="USD",W184,(W184/'Master Data-C19RM'!$D$2)))),(AB184*(IF(O184="EUR",W184,(W184*'Master Data-C19RM'!$D$2)))))</f>
        <v>0</v>
      </c>
      <c r="AD184" s="444">
        <f>IF($O184="USD",_xlfn.IFNA(VLOOKUP($A184&amp;$E184&amp;$I184,PMsheet!$J:$K,2,0),0),(_xlfn.IFNA(VLOOKUP($A184&amp;$E184&amp;$I184,PMsheet!$J:$K,2,0),0)*'Master Data-C19RM'!$E$2))</f>
        <v>0</v>
      </c>
      <c r="AE184" s="441"/>
      <c r="AF184" s="441"/>
      <c r="AG184" s="441"/>
      <c r="AH184" s="441"/>
      <c r="AI184" s="512">
        <f t="shared" si="19"/>
        <v>0</v>
      </c>
      <c r="AJ184" s="513">
        <f>IF(SETUP!$E$7="USD",(AI184*(IF(O184="USD",AD184,(AD184/'Master Data-C19RM'!$E$2)))),(AI184*(IF(O184="EUR",AD184,(AD184*'Master Data-C19RM'!$E$2)))))</f>
        <v>0</v>
      </c>
      <c r="AK184" s="444">
        <f>IF($O184="USD",_xlfn.IFNA(VLOOKUP($A184&amp;$E184&amp;$I184,PMsheet!$J:$K,2,0),0),(_xlfn.IFNA(VLOOKUP($A184&amp;$E184&amp;$I184,PMsheet!$J:$K,2,0),0)*'Master Data-C19RM'!$F$2))</f>
        <v>0</v>
      </c>
      <c r="AL184" s="441"/>
      <c r="AM184" s="441"/>
      <c r="AN184" s="441"/>
      <c r="AO184" s="441"/>
      <c r="AP184" s="512">
        <f t="shared" si="20"/>
        <v>0</v>
      </c>
      <c r="AQ184" s="513">
        <f>IF(SETUP!$E$7="USD",(AP184*(IF(O184="USD",AK184,(AK184/'Master Data-C19RM'!$F$2)))),(AP184*(IF(O184="EUR",AK184,(AK184*'Master Data-C19RM'!$F$2)))))</f>
        <v>0</v>
      </c>
      <c r="AR184" s="924">
        <f>IF($O184="USD",_xlfn.IFNA(VLOOKUP($A184&amp;$E184&amp;$I184,PMsheet!$J:$K,2,0),0),(_xlfn.IFNA(VLOOKUP($A184&amp;$E184&amp;$I184,PMsheet!$J:$K,2,0),0)*'Master Data-C19RM'!$G$2))</f>
        <v>0</v>
      </c>
      <c r="AS184" s="572"/>
      <c r="AT184" s="572"/>
      <c r="AU184" s="572"/>
      <c r="AV184" s="572"/>
      <c r="AW184" s="512">
        <f t="shared" si="21"/>
        <v>0</v>
      </c>
      <c r="AX184" s="513">
        <f>IF(SETUP!$E$7="USD",(AW184*(IF(O184="USD",AR184,(AR184/'Master Data-C19RM'!$G$2)))),(AW184*(IF(O184="EUR",AR184,(AR184*'Master Data-C19RM'!$G$2)))))</f>
        <v>0</v>
      </c>
      <c r="AY184" s="845"/>
      <c r="AZ184" s="846"/>
      <c r="BA184" s="846"/>
      <c r="BB184" s="846"/>
      <c r="BC184" s="846"/>
      <c r="BD184" s="846"/>
      <c r="BE184" s="847"/>
      <c r="BF184" s="512">
        <f>'C19RM 2021-Lab &amp; Other HPS'!$U184+'C19RM 2021-Lab &amp; Other HPS'!$AB184+'C19RM 2021-Lab &amp; Other HPS'!$AP184+'C19RM 2021-Lab &amp; Other HPS'!$AI184+AW184+BD184</f>
        <v>0</v>
      </c>
      <c r="BG184" s="512">
        <f>'C19RM 2021-Lab &amp; Other HPS'!$V184+'C19RM 2021-Lab &amp; Other HPS'!$AC184+'C19RM 2021-Lab &amp; Other HPS'!$AQ184+'C19RM 2021-Lab &amp; Other HPS'!$AJ184+AX184+BE184</f>
        <v>0</v>
      </c>
      <c r="BH184" s="500" t="str" cm="1">
        <f t="array" ref="BH184">IF(A184&lt;&gt;"",IFERROR(INDEX(PMtbl[[WKst]:[Unit of measure*]],MATCH($A$115&amp;$A184&amp;$E184&amp;$I184,INDEX(PMtbl[Sec]&amp;PMtbl[Category]&amp;PMtbl[Each]&amp;PMtbl[Packaging],0,),0),11),""),"")</f>
        <v/>
      </c>
      <c r="BI184" s="819"/>
      <c r="BJ184" s="502" t="str" cm="1">
        <f t="array" ref="BJ184">IFERROR(INDEX(SETUP!$C$19:$G$121,MATCH((INDEX(PMtbl[[WKst]:[Unit of measure*]],MATCH($A184&amp;$E184&amp;$I184,INDEX(PMtbl[Category]&amp;PMtbl[Each]&amp;PMtbl[Packaging],0,),0),3)),SETUP!$D$19:$D$121,0),5),"")</f>
        <v/>
      </c>
      <c r="BK184" s="542" t="str" cm="1">
        <f t="array" ref="BK184">IFERROR(IF((INDEX(SETUP!$C$19:$G$121,MATCH((INDEX(PMtbl[[WKst]:[Unit of measure*]],MATCH($A184&amp;$E184&amp;$I184,INDEX(PMtbl[Category]&amp;PMtbl[Each]&amp;PMtbl[Packaging],0,),0),3)),SETUP!$D$19:$D$121,0),4))="Upfront",0,INDEX(SETUP!$C$19:$G$121,MATCH((INDEX(PMtbl[[WKst]:[Unit of measure*]],MATCH($A184&amp;$E184&amp;$I184,INDEX(PMtbl[Category]&amp;PMtbl[Each]&amp;PMtbl[Packaging],0,),0),3)),SETUP!$D$19:$D$121,0),5)),"")</f>
        <v/>
      </c>
      <c r="BL184" s="214" t="str" cm="1">
        <f t="array" ref="BL184">IF(E184&lt;&gt;"",IFERROR(INDEX(PMtbl[[WKst]:[Unit of measure*]],MATCH($A$115&amp;$A184&amp;$E184&amp;$I184,INDEX(PMtbl[Sec]&amp;PMtbl[Category]&amp;PMtbl[Each]&amp;PMtbl[Packaging],0,),0),11),""),"")</f>
        <v/>
      </c>
      <c r="BO184" s="12">
        <f>IF(N184="",0,IF(SETUP!$E$7="USD",((IF(O184="USD",P184,(P184/'Master Data-C19RM'!$C$2)))),((IF(O184="EUR",P184,(P184*'Master Data-C19RM'!$C$2))))))</f>
        <v>0</v>
      </c>
      <c r="BP184" s="12">
        <f>IF(N184="",0,IF(SETUP!$E$7="USD",((IF(O184="USD",W184,(W184/'Master Data-C19RM'!$D$2)))),((IF(O184="EUR",W184,(W184*'Master Data-C19RM'!$D$2))))))</f>
        <v>0</v>
      </c>
      <c r="BQ184">
        <f>IF(N184="",0,IF(SETUP!$E$7="USD",((IF(O184="USD",AD184,(AD184/'Master Data-C19RM'!$E$2)))),((IF(O184="EUR",AD184,(AD184*'Master Data-C19RM'!$E$2))))))</f>
        <v>0</v>
      </c>
      <c r="BR184">
        <f>IF(N184="",0,IF(SETUP!$E$7="USD",((IF(O184="USD",AK184,(AK184/'Master Data-C19RM'!$F$2)))),((IF(O184="EUR",AK184,(AK184*'Master Data-C19RM'!$F$2))))))</f>
        <v>0</v>
      </c>
      <c r="BS184">
        <f>IF(N184="",0,IF(SETUP!$E$7="USD",((IF(O184="USD",AR184,(AR184/'Master Data-C19RM'!$G$2)))),((IF(O184="EUR",AR184,(AR184*'Master Data-C19RM'!$G$2))))))</f>
        <v>0</v>
      </c>
      <c r="BT184">
        <f>IF(N184="",0,IF(SETUP!$E$7="USD",((IF(O184="USD",AY184,(AY184/'Master Data-C19RM'!$H$2)))),((IF(O184="EUR",AY184,(AY184*'Master Data-C19RM'!$H$2))))))</f>
        <v>0</v>
      </c>
      <c r="BU184" s="12">
        <f t="shared" si="15"/>
        <v>0</v>
      </c>
      <c r="BV184" s="142">
        <f t="shared" si="16"/>
        <v>0</v>
      </c>
    </row>
    <row r="185" spans="1:74" x14ac:dyDescent="0.35">
      <c r="A185" s="1192"/>
      <c r="B185" s="1192"/>
      <c r="C185" s="1192"/>
      <c r="D185" s="1192"/>
      <c r="E185" s="1173"/>
      <c r="F185" s="1173"/>
      <c r="G185" s="1173"/>
      <c r="H185" s="1173"/>
      <c r="I185" s="1173"/>
      <c r="J185" s="1173"/>
      <c r="K185" s="1173"/>
      <c r="L185" s="493" t="str" cm="1">
        <f t="array" ref="L185">IF(A185&lt;&gt;"",IFERROR(INDEX(PMtbl[[WKst]:[Unit of measure*]],MATCH($A$115&amp;$A185&amp;$E185&amp;$I185,INDEX(PMtbl[Sec]&amp;PMtbl[Category]&amp;PMtbl[Each]&amp;PMtbl[Packaging],0,),0),14),""),"")</f>
        <v/>
      </c>
      <c r="M185" s="480" t="str">
        <f>IF(L185="","",INDEX(SETUP!$E$20:$E$122,(MATCH(INDEX(PMsheet!$D:$E,MATCH(A185,PMsheet!E:E,0),1),SETUP!$D$20:$D$122,0))))</f>
        <v/>
      </c>
      <c r="N185" s="494">
        <f>IF($O185="USD",_xlfn.IFNA(VLOOKUP(A185&amp;E185&amp;I185,PMsheet!J:K,2,0),0),(_xlfn.IFNA(VLOOKUP(A185&amp;E185&amp;I185,PMsheet!J:K,2,0),0)*'Master Data-C19RM'!$C$2))</f>
        <v>0</v>
      </c>
      <c r="O185" s="495" t="str">
        <f>IF(L185="", "",SETUP!$E$7)</f>
        <v/>
      </c>
      <c r="P185" s="457">
        <f>IF($O185="USD",_xlfn.IFNA(VLOOKUP($A185&amp;$E185&amp;$I185,PMsheet!$J:$K,2,0),0),(_xlfn.IFNA(VLOOKUP($A185&amp;$E185&amp;$I185,PMsheet!$J:$K,2,0),0)*'Master Data-C19RM'!$C$2))</f>
        <v>0</v>
      </c>
      <c r="Q185" s="440"/>
      <c r="R185" s="440"/>
      <c r="S185" s="440"/>
      <c r="T185" s="440"/>
      <c r="U185" s="482">
        <f t="shared" si="17"/>
        <v>0</v>
      </c>
      <c r="V185" s="484">
        <f>IF(SETUP!$E$7="USD",(U185*(IF(O185="USD",P185,(P185/'Master Data-C19RM'!$C$2)))),(U185*(IF(O185="EUR",P185,(P185*'Master Data-C19RM'!$C$2)))))</f>
        <v>0</v>
      </c>
      <c r="W185" s="445">
        <f>IF($O185="USD",_xlfn.IFNA(VLOOKUP($A185&amp;$E185&amp;$I185,PMsheet!$J:$K,2,0),0),(_xlfn.IFNA(VLOOKUP($A185&amp;$E185&amp;$I185,PMsheet!$J:$K,2,0),0)*'Master Data-C19RM'!$D$2))</f>
        <v>0</v>
      </c>
      <c r="X185" s="440"/>
      <c r="Y185" s="440"/>
      <c r="Z185" s="440"/>
      <c r="AA185" s="440"/>
      <c r="AB185" s="482">
        <f t="shared" si="18"/>
        <v>0</v>
      </c>
      <c r="AC185" s="484">
        <f>IF(SETUP!$E$7="USD",(AB185*(IF(O185="USD",W185,(W185/'Master Data-C19RM'!$D$2)))),(AB185*(IF(O185="EUR",W185,(W185*'Master Data-C19RM'!$D$2)))))</f>
        <v>0</v>
      </c>
      <c r="AD185" s="445">
        <f>IF($O185="USD",_xlfn.IFNA(VLOOKUP($A185&amp;$E185&amp;$I185,PMsheet!$J:$K,2,0),0),(_xlfn.IFNA(VLOOKUP($A185&amp;$E185&amp;$I185,PMsheet!$J:$K,2,0),0)*'Master Data-C19RM'!$E$2))</f>
        <v>0</v>
      </c>
      <c r="AE185" s="440"/>
      <c r="AF185" s="440"/>
      <c r="AG185" s="440"/>
      <c r="AH185" s="440"/>
      <c r="AI185" s="514">
        <f t="shared" si="19"/>
        <v>0</v>
      </c>
      <c r="AJ185" s="515">
        <f>IF(SETUP!$E$7="USD",(AI185*(IF(O185="USD",AD185,(AD185/'Master Data-C19RM'!$E$2)))),(AI185*(IF(O185="EUR",AD185,(AD185*'Master Data-C19RM'!$E$2)))))</f>
        <v>0</v>
      </c>
      <c r="AK185" s="445">
        <f>IF($O185="USD",_xlfn.IFNA(VLOOKUP($A185&amp;$E185&amp;$I185,PMsheet!$J:$K,2,0),0),(_xlfn.IFNA(VLOOKUP($A185&amp;$E185&amp;$I185,PMsheet!$J:$K,2,0),0)*'Master Data-C19RM'!$F$2))</f>
        <v>0</v>
      </c>
      <c r="AL185" s="440"/>
      <c r="AM185" s="440"/>
      <c r="AN185" s="440"/>
      <c r="AO185" s="440"/>
      <c r="AP185" s="514">
        <f t="shared" si="20"/>
        <v>0</v>
      </c>
      <c r="AQ185" s="515">
        <f>IF(SETUP!$E$7="USD",(AP185*(IF(O185="USD",AK185,(AK185/'Master Data-C19RM'!$F$2)))),(AP185*(IF(O185="EUR",AK185,(AK185*'Master Data-C19RM'!$F$2)))))</f>
        <v>0</v>
      </c>
      <c r="AR185" s="925">
        <f>IF($O185="USD",_xlfn.IFNA(VLOOKUP($A185&amp;$E185&amp;$I185,PMsheet!$J:$K,2,0),0),(_xlfn.IFNA(VLOOKUP($A185&amp;$E185&amp;$I185,PMsheet!$J:$K,2,0),0)*'Master Data-C19RM'!$G$2))</f>
        <v>0</v>
      </c>
      <c r="AS185" s="926"/>
      <c r="AT185" s="926"/>
      <c r="AU185" s="926"/>
      <c r="AV185" s="926"/>
      <c r="AW185" s="514">
        <f t="shared" si="21"/>
        <v>0</v>
      </c>
      <c r="AX185" s="515">
        <f>IF(SETUP!$E$7="USD",(AW185*(IF(O185="USD",AR185,(AR185/'Master Data-C19RM'!$G$2)))),(AW185*(IF(O185="EUR",AR185,(AR185*'Master Data-C19RM'!$G$2)))))</f>
        <v>0</v>
      </c>
      <c r="AY185" s="845"/>
      <c r="AZ185" s="846"/>
      <c r="BA185" s="846"/>
      <c r="BB185" s="846"/>
      <c r="BC185" s="846"/>
      <c r="BD185" s="846"/>
      <c r="BE185" s="847"/>
      <c r="BF185" s="514">
        <f>'C19RM 2021-Lab &amp; Other HPS'!$U185+'C19RM 2021-Lab &amp; Other HPS'!$AB185+'C19RM 2021-Lab &amp; Other HPS'!$AP185+'C19RM 2021-Lab &amp; Other HPS'!$AI185+AW185+BD185</f>
        <v>0</v>
      </c>
      <c r="BG185" s="514">
        <f>'C19RM 2021-Lab &amp; Other HPS'!$V185+'C19RM 2021-Lab &amp; Other HPS'!$AC185+'C19RM 2021-Lab &amp; Other HPS'!$AQ185+'C19RM 2021-Lab &amp; Other HPS'!$AJ185+AX185+BE185</f>
        <v>0</v>
      </c>
      <c r="BH185" s="522" t="str" cm="1">
        <f t="array" ref="BH185">IF(A185&lt;&gt;"",IFERROR(INDEX(PMtbl[[WKst]:[Unit of measure*]],MATCH($A$115&amp;$A185&amp;$E185&amp;$I185,INDEX(PMtbl[Sec]&amp;PMtbl[Category]&amp;PMtbl[Each]&amp;PMtbl[Packaging],0,),0),11),""),"")</f>
        <v/>
      </c>
      <c r="BI185" s="818"/>
      <c r="BJ185" s="503" t="str" cm="1">
        <f t="array" ref="BJ185">IFERROR(INDEX(SETUP!$C$19:$G$121,MATCH((INDEX(PMtbl[[WKst]:[Unit of measure*]],MATCH($A185&amp;$E185&amp;$I185,INDEX(PMtbl[Category]&amp;PMtbl[Each]&amp;PMtbl[Packaging],0,),0),3)),SETUP!$D$19:$D$121,0),5),"")</f>
        <v/>
      </c>
      <c r="BK185" s="543" t="str" cm="1">
        <f t="array" ref="BK185">IFERROR(IF((INDEX(SETUP!$C$19:$G$121,MATCH((INDEX(PMtbl[[WKst]:[Unit of measure*]],MATCH($A185&amp;$E185&amp;$I185,INDEX(PMtbl[Category]&amp;PMtbl[Each]&amp;PMtbl[Packaging],0,),0),3)),SETUP!$D$19:$D$121,0),4))="Upfront",0,INDEX(SETUP!$C$19:$G$121,MATCH((INDEX(PMtbl[[WKst]:[Unit of measure*]],MATCH($A185&amp;$E185&amp;$I185,INDEX(PMtbl[Category]&amp;PMtbl[Each]&amp;PMtbl[Packaging],0,),0),3)),SETUP!$D$19:$D$121,0),5)),"")</f>
        <v/>
      </c>
      <c r="BL185" s="215" t="str" cm="1">
        <f t="array" ref="BL185">IF(E185&lt;&gt;"",IFERROR(INDEX(PMtbl[[WKst]:[Unit of measure*]],MATCH($A$115&amp;$A185&amp;$E185&amp;$I185,INDEX(PMtbl[Sec]&amp;PMtbl[Category]&amp;PMtbl[Each]&amp;PMtbl[Packaging],0,),0),11),""),"")</f>
        <v/>
      </c>
      <c r="BO185" s="12">
        <f>IF(N185="",0,IF(SETUP!$E$7="USD",((IF(O185="USD",P185,(P185/'Master Data-C19RM'!$C$2)))),((IF(O185="EUR",P185,(P185*'Master Data-C19RM'!$C$2))))))</f>
        <v>0</v>
      </c>
      <c r="BP185" s="12">
        <f>IF(N185="",0,IF(SETUP!$E$7="USD",((IF(O185="USD",W185,(W185/'Master Data-C19RM'!$D$2)))),((IF(O185="EUR",W185,(W185*'Master Data-C19RM'!$D$2))))))</f>
        <v>0</v>
      </c>
      <c r="BQ185">
        <f>IF(N185="",0,IF(SETUP!$E$7="USD",((IF(O185="USD",AD185,(AD185/'Master Data-C19RM'!$E$2)))),((IF(O185="EUR",AD185,(AD185*'Master Data-C19RM'!$E$2))))))</f>
        <v>0</v>
      </c>
      <c r="BR185">
        <f>IF(N185="",0,IF(SETUP!$E$7="USD",((IF(O185="USD",AK185,(AK185/'Master Data-C19RM'!$F$2)))),((IF(O185="EUR",AK185,(AK185*'Master Data-C19RM'!$F$2))))))</f>
        <v>0</v>
      </c>
      <c r="BS185">
        <f>IF(N185="",0,IF(SETUP!$E$7="USD",((IF(O185="USD",AR185,(AR185/'Master Data-C19RM'!$G$2)))),((IF(O185="EUR",AR185,(AR185*'Master Data-C19RM'!$G$2))))))</f>
        <v>0</v>
      </c>
      <c r="BT185">
        <f>IF(N185="",0,IF(SETUP!$E$7="USD",((IF(O185="USD",AY185,(AY185/'Master Data-C19RM'!$H$2)))),((IF(O185="EUR",AY185,(AY185*'Master Data-C19RM'!$H$2))))))</f>
        <v>0</v>
      </c>
      <c r="BU185" s="12">
        <f t="shared" si="15"/>
        <v>0</v>
      </c>
      <c r="BV185" s="142">
        <f t="shared" si="16"/>
        <v>0</v>
      </c>
    </row>
    <row r="186" spans="1:74" x14ac:dyDescent="0.35">
      <c r="A186" s="1165"/>
      <c r="B186" s="1165"/>
      <c r="C186" s="1165"/>
      <c r="D186" s="1165"/>
      <c r="E186" s="1166"/>
      <c r="F186" s="1166"/>
      <c r="G186" s="1166"/>
      <c r="H186" s="1166"/>
      <c r="I186" s="1166"/>
      <c r="J186" s="1166"/>
      <c r="K186" s="1166"/>
      <c r="L186" s="490" t="str" cm="1">
        <f t="array" ref="L186">IF(A186&lt;&gt;"",IFERROR(INDEX(PMtbl[[WKst]:[Unit of measure*]],MATCH($A$115&amp;$A186&amp;$E186&amp;$I186,INDEX(PMtbl[Sec]&amp;PMtbl[Category]&amp;PMtbl[Each]&amp;PMtbl[Packaging],0,),0),14),""),"")</f>
        <v/>
      </c>
      <c r="M186" s="479" t="str">
        <f>IF(L186="","",INDEX(SETUP!$E$20:$E$122,(MATCH(INDEX(PMsheet!$D:$E,MATCH(A186,PMsheet!E:E,0),1),SETUP!$D$20:$D$122,0))))</f>
        <v/>
      </c>
      <c r="N186" s="491">
        <f>IF($O186="USD",_xlfn.IFNA(VLOOKUP(A186&amp;E186&amp;I186,PMsheet!J:K,2,0),0),(_xlfn.IFNA(VLOOKUP(A186&amp;E186&amp;I186,PMsheet!J:K,2,0),0)*'Master Data-C19RM'!$C$2))</f>
        <v>0</v>
      </c>
      <c r="O186" s="492" t="str">
        <f>IF(L186="", "",SETUP!$E$7)</f>
        <v/>
      </c>
      <c r="P186" s="456">
        <f>IF($O186="USD",_xlfn.IFNA(VLOOKUP($A186&amp;$E186&amp;$I186,PMsheet!$J:$K,2,0),0),(_xlfn.IFNA(VLOOKUP($A186&amp;$E186&amp;$I186,PMsheet!$J:$K,2,0),0)*'Master Data-C19RM'!$C$2))</f>
        <v>0</v>
      </c>
      <c r="Q186" s="441"/>
      <c r="R186" s="441"/>
      <c r="S186" s="441"/>
      <c r="T186" s="441"/>
      <c r="U186" s="481">
        <f t="shared" si="17"/>
        <v>0</v>
      </c>
      <c r="V186" s="483">
        <f>IF(SETUP!$E$7="USD",(U186*(IF(O186="USD",P186,(P186/'Master Data-C19RM'!$C$2)))),(U186*(IF(O186="EUR",P186,(P186*'Master Data-C19RM'!$C$2)))))</f>
        <v>0</v>
      </c>
      <c r="W186" s="444">
        <f>IF($O186="USD",_xlfn.IFNA(VLOOKUP($A186&amp;$E186&amp;$I186,PMsheet!$J:$K,2,0),0),(_xlfn.IFNA(VLOOKUP($A186&amp;$E186&amp;$I186,PMsheet!$J:$K,2,0),0)*'Master Data-C19RM'!$D$2))</f>
        <v>0</v>
      </c>
      <c r="X186" s="441"/>
      <c r="Y186" s="441"/>
      <c r="Z186" s="441"/>
      <c r="AA186" s="441"/>
      <c r="AB186" s="481">
        <f t="shared" si="18"/>
        <v>0</v>
      </c>
      <c r="AC186" s="483">
        <f>IF(SETUP!$E$7="USD",(AB186*(IF(O186="USD",W186,(W186/'Master Data-C19RM'!$D$2)))),(AB186*(IF(O186="EUR",W186,(W186*'Master Data-C19RM'!$D$2)))))</f>
        <v>0</v>
      </c>
      <c r="AD186" s="444">
        <f>IF($O186="USD",_xlfn.IFNA(VLOOKUP($A186&amp;$E186&amp;$I186,PMsheet!$J:$K,2,0),0),(_xlfn.IFNA(VLOOKUP($A186&amp;$E186&amp;$I186,PMsheet!$J:$K,2,0),0)*'Master Data-C19RM'!$E$2))</f>
        <v>0</v>
      </c>
      <c r="AE186" s="441"/>
      <c r="AF186" s="441"/>
      <c r="AG186" s="441"/>
      <c r="AH186" s="441"/>
      <c r="AI186" s="512">
        <f t="shared" si="19"/>
        <v>0</v>
      </c>
      <c r="AJ186" s="513">
        <f>IF(SETUP!$E$7="USD",(AI186*(IF(O186="USD",AD186,(AD186/'Master Data-C19RM'!$E$2)))),(AI186*(IF(O186="EUR",AD186,(AD186*'Master Data-C19RM'!$E$2)))))</f>
        <v>0</v>
      </c>
      <c r="AK186" s="444">
        <f>IF($O186="USD",_xlfn.IFNA(VLOOKUP($A186&amp;$E186&amp;$I186,PMsheet!$J:$K,2,0),0),(_xlfn.IFNA(VLOOKUP($A186&amp;$E186&amp;$I186,PMsheet!$J:$K,2,0),0)*'Master Data-C19RM'!$F$2))</f>
        <v>0</v>
      </c>
      <c r="AL186" s="441"/>
      <c r="AM186" s="441"/>
      <c r="AN186" s="441"/>
      <c r="AO186" s="441"/>
      <c r="AP186" s="512">
        <f t="shared" si="20"/>
        <v>0</v>
      </c>
      <c r="AQ186" s="513">
        <f>IF(SETUP!$E$7="USD",(AP186*(IF(O186="USD",AK186,(AK186/'Master Data-C19RM'!$F$2)))),(AP186*(IF(O186="EUR",AK186,(AK186*'Master Data-C19RM'!$F$2)))))</f>
        <v>0</v>
      </c>
      <c r="AR186" s="924">
        <f>IF($O186="USD",_xlfn.IFNA(VLOOKUP($A186&amp;$E186&amp;$I186,PMsheet!$J:$K,2,0),0),(_xlfn.IFNA(VLOOKUP($A186&amp;$E186&amp;$I186,PMsheet!$J:$K,2,0),0)*'Master Data-C19RM'!$G$2))</f>
        <v>0</v>
      </c>
      <c r="AS186" s="572"/>
      <c r="AT186" s="572"/>
      <c r="AU186" s="572"/>
      <c r="AV186" s="572"/>
      <c r="AW186" s="512">
        <f t="shared" ref="AW186:AW220" si="24">SUM($AS186:$AV186)</f>
        <v>0</v>
      </c>
      <c r="AX186" s="513">
        <f>IF(SETUP!$E$7="USD",(AW186*(IF(O186="USD",AR186,(AR186/'Master Data-C19RM'!$G$2)))),(AW186*(IF(O186="EUR",AR186,(AR186*'Master Data-C19RM'!$G$2)))))</f>
        <v>0</v>
      </c>
      <c r="AY186" s="845"/>
      <c r="AZ186" s="846"/>
      <c r="BA186" s="846"/>
      <c r="BB186" s="846"/>
      <c r="BC186" s="846"/>
      <c r="BD186" s="846"/>
      <c r="BE186" s="847"/>
      <c r="BF186" s="512">
        <f>'C19RM 2021-Lab &amp; Other HPS'!$U186+'C19RM 2021-Lab &amp; Other HPS'!$AB186+'C19RM 2021-Lab &amp; Other HPS'!$AP186+'C19RM 2021-Lab &amp; Other HPS'!$AI186+AW186+BD186</f>
        <v>0</v>
      </c>
      <c r="BG186" s="512">
        <f>'C19RM 2021-Lab &amp; Other HPS'!$V186+'C19RM 2021-Lab &amp; Other HPS'!$AC186+'C19RM 2021-Lab &amp; Other HPS'!$AQ186+'C19RM 2021-Lab &amp; Other HPS'!$AJ186+AX186+BE186</f>
        <v>0</v>
      </c>
      <c r="BH186" s="500" t="str" cm="1">
        <f t="array" ref="BH186">IF(A186&lt;&gt;"",IFERROR(INDEX(PMtbl[[WKst]:[Unit of measure*]],MATCH($A$115&amp;$A186&amp;$E186&amp;$I186,INDEX(PMtbl[Sec]&amp;PMtbl[Category]&amp;PMtbl[Each]&amp;PMtbl[Packaging],0,),0),11),""),"")</f>
        <v/>
      </c>
      <c r="BI186" s="819"/>
      <c r="BJ186" s="502" t="str" cm="1">
        <f t="array" ref="BJ186">IFERROR(INDEX(SETUP!$C$19:$G$121,MATCH((INDEX(PMtbl[[WKst]:[Unit of measure*]],MATCH($A186&amp;$E186&amp;$I186,INDEX(PMtbl[Category]&amp;PMtbl[Each]&amp;PMtbl[Packaging],0,),0),3)),SETUP!$D$19:$D$121,0),5),"")</f>
        <v/>
      </c>
      <c r="BK186" s="542" t="str" cm="1">
        <f t="array" ref="BK186">IFERROR(IF((INDEX(SETUP!$C$19:$G$121,MATCH((INDEX(PMtbl[[WKst]:[Unit of measure*]],MATCH($A186&amp;$E186&amp;$I186,INDEX(PMtbl[Category]&amp;PMtbl[Each]&amp;PMtbl[Packaging],0,),0),3)),SETUP!$D$19:$D$121,0),4))="Upfront",0,INDEX(SETUP!$C$19:$G$121,MATCH((INDEX(PMtbl[[WKst]:[Unit of measure*]],MATCH($A186&amp;$E186&amp;$I186,INDEX(PMtbl[Category]&amp;PMtbl[Each]&amp;PMtbl[Packaging],0,),0),3)),SETUP!$D$19:$D$121,0),5)),"")</f>
        <v/>
      </c>
      <c r="BL186" s="214" t="str" cm="1">
        <f t="array" ref="BL186">IF(E186&lt;&gt;"",IFERROR(INDEX(PMtbl[[WKst]:[Unit of measure*]],MATCH($A$115&amp;$A186&amp;$E186&amp;$I186,INDEX(PMtbl[Sec]&amp;PMtbl[Category]&amp;PMtbl[Each]&amp;PMtbl[Packaging],0,),0),11),""),"")</f>
        <v/>
      </c>
      <c r="BO186" s="12">
        <f>IF(N186="",0,IF(SETUP!$E$7="USD",((IF(O186="USD",P186,(P186/'Master Data-C19RM'!$C$2)))),((IF(O186="EUR",P186,(P186*'Master Data-C19RM'!$C$2))))))</f>
        <v>0</v>
      </c>
      <c r="BP186" s="12">
        <f>IF(N186="",0,IF(SETUP!$E$7="USD",((IF(O186="USD",W186,(W186/'Master Data-C19RM'!$D$2)))),((IF(O186="EUR",W186,(W186*'Master Data-C19RM'!$D$2))))))</f>
        <v>0</v>
      </c>
      <c r="BQ186">
        <f>IF(N186="",0,IF(SETUP!$E$7="USD",((IF(O186="USD",AD186,(AD186/'Master Data-C19RM'!$E$2)))),((IF(O186="EUR",AD186,(AD186*'Master Data-C19RM'!$E$2))))))</f>
        <v>0</v>
      </c>
      <c r="BR186">
        <f>IF(N186="",0,IF(SETUP!$E$7="USD",((IF(O186="USD",AK186,(AK186/'Master Data-C19RM'!$F$2)))),((IF(O186="EUR",AK186,(AK186*'Master Data-C19RM'!$F$2))))))</f>
        <v>0</v>
      </c>
      <c r="BS186">
        <f>IF(N186="",0,IF(SETUP!$E$7="USD",((IF(O186="USD",AR186,(AR186/'Master Data-C19RM'!$G$2)))),((IF(O186="EUR",AR186,(AR186*'Master Data-C19RM'!$G$2))))))</f>
        <v>0</v>
      </c>
      <c r="BT186">
        <f>IF(N186="",0,IF(SETUP!$E$7="USD",((IF(O186="USD",AY186,(AY186/'Master Data-C19RM'!$H$2)))),((IF(O186="EUR",AY186,(AY186*'Master Data-C19RM'!$H$2))))))</f>
        <v>0</v>
      </c>
      <c r="BU186" s="12">
        <f t="shared" si="15"/>
        <v>0</v>
      </c>
      <c r="BV186" s="142">
        <f t="shared" si="16"/>
        <v>0</v>
      </c>
    </row>
    <row r="187" spans="1:74" x14ac:dyDescent="0.35">
      <c r="A187" s="1192"/>
      <c r="B187" s="1192"/>
      <c r="C187" s="1192"/>
      <c r="D187" s="1192"/>
      <c r="E187" s="1173"/>
      <c r="F187" s="1173"/>
      <c r="G187" s="1173"/>
      <c r="H187" s="1173"/>
      <c r="I187" s="1173"/>
      <c r="J187" s="1173"/>
      <c r="K187" s="1173"/>
      <c r="L187" s="493" t="str" cm="1">
        <f t="array" ref="L187">IF(A187&lt;&gt;"",IFERROR(INDEX(PMtbl[[WKst]:[Unit of measure*]],MATCH($A$115&amp;$A187&amp;$E187&amp;$I187,INDEX(PMtbl[Sec]&amp;PMtbl[Category]&amp;PMtbl[Each]&amp;PMtbl[Packaging],0,),0),14),""),"")</f>
        <v/>
      </c>
      <c r="M187" s="480" t="str">
        <f>IF(L187="","",INDEX(SETUP!$E$20:$E$122,(MATCH(INDEX(PMsheet!$D:$E,MATCH(A187,PMsheet!E:E,0),1),SETUP!$D$20:$D$122,0))))</f>
        <v/>
      </c>
      <c r="N187" s="494">
        <f>IF($O187="USD",_xlfn.IFNA(VLOOKUP(A187&amp;E187&amp;I187,PMsheet!J:K,2,0),0),(_xlfn.IFNA(VLOOKUP(A187&amp;E187&amp;I187,PMsheet!J:K,2,0),0)*'Master Data-C19RM'!$C$2))</f>
        <v>0</v>
      </c>
      <c r="O187" s="495" t="str">
        <f>IF(L187="", "",SETUP!$E$7)</f>
        <v/>
      </c>
      <c r="P187" s="457">
        <f>IF($O187="USD",_xlfn.IFNA(VLOOKUP($A187&amp;$E187&amp;$I187,PMsheet!$J:$K,2,0),0),(_xlfn.IFNA(VLOOKUP($A187&amp;$E187&amp;$I187,PMsheet!$J:$K,2,0),0)*'Master Data-C19RM'!$C$2))</f>
        <v>0</v>
      </c>
      <c r="Q187" s="440"/>
      <c r="R187" s="440"/>
      <c r="S187" s="440"/>
      <c r="T187" s="440"/>
      <c r="U187" s="482">
        <f t="shared" si="17"/>
        <v>0</v>
      </c>
      <c r="V187" s="484">
        <f>IF(SETUP!$E$7="USD",(U187*(IF(O187="USD",P187,(P187/'Master Data-C19RM'!$C$2)))),(U187*(IF(O187="EUR",P187,(P187*'Master Data-C19RM'!$C$2)))))</f>
        <v>0</v>
      </c>
      <c r="W187" s="445">
        <f>IF($O187="USD",_xlfn.IFNA(VLOOKUP($A187&amp;$E187&amp;$I187,PMsheet!$J:$K,2,0),0),(_xlfn.IFNA(VLOOKUP($A187&amp;$E187&amp;$I187,PMsheet!$J:$K,2,0),0)*'Master Data-C19RM'!$D$2))</f>
        <v>0</v>
      </c>
      <c r="X187" s="440"/>
      <c r="Y187" s="440"/>
      <c r="Z187" s="440"/>
      <c r="AA187" s="440"/>
      <c r="AB187" s="482">
        <f t="shared" si="18"/>
        <v>0</v>
      </c>
      <c r="AC187" s="484">
        <f>IF(SETUP!$E$7="USD",(AB187*(IF(O187="USD",W187,(W187/'Master Data-C19RM'!$D$2)))),(AB187*(IF(O187="EUR",W187,(W187*'Master Data-C19RM'!$D$2)))))</f>
        <v>0</v>
      </c>
      <c r="AD187" s="445">
        <f>IF($O187="USD",_xlfn.IFNA(VLOOKUP($A187&amp;$E187&amp;$I187,PMsheet!$J:$K,2,0),0),(_xlfn.IFNA(VLOOKUP($A187&amp;$E187&amp;$I187,PMsheet!$J:$K,2,0),0)*'Master Data-C19RM'!$E$2))</f>
        <v>0</v>
      </c>
      <c r="AE187" s="440"/>
      <c r="AF187" s="440"/>
      <c r="AG187" s="440"/>
      <c r="AH187" s="440"/>
      <c r="AI187" s="514">
        <f t="shared" si="19"/>
        <v>0</v>
      </c>
      <c r="AJ187" s="515">
        <f>IF(SETUP!$E$7="USD",(AI187*(IF(O187="USD",AD187,(AD187/'Master Data-C19RM'!$E$2)))),(AI187*(IF(O187="EUR",AD187,(AD187*'Master Data-C19RM'!$E$2)))))</f>
        <v>0</v>
      </c>
      <c r="AK187" s="445">
        <f>IF($O187="USD",_xlfn.IFNA(VLOOKUP($A187&amp;$E187&amp;$I187,PMsheet!$J:$K,2,0),0),(_xlfn.IFNA(VLOOKUP($A187&amp;$E187&amp;$I187,PMsheet!$J:$K,2,0),0)*'Master Data-C19RM'!$F$2))</f>
        <v>0</v>
      </c>
      <c r="AL187" s="440"/>
      <c r="AM187" s="440"/>
      <c r="AN187" s="440"/>
      <c r="AO187" s="440"/>
      <c r="AP187" s="514">
        <f t="shared" si="20"/>
        <v>0</v>
      </c>
      <c r="AQ187" s="515">
        <f>IF(SETUP!$E$7="USD",(AP187*(IF(O187="USD",AK187,(AK187/'Master Data-C19RM'!$F$2)))),(AP187*(IF(O187="EUR",AK187,(AK187*'Master Data-C19RM'!$F$2)))))</f>
        <v>0</v>
      </c>
      <c r="AR187" s="925">
        <f>IF($O187="USD",_xlfn.IFNA(VLOOKUP($A187&amp;$E187&amp;$I187,PMsheet!$J:$K,2,0),0),(_xlfn.IFNA(VLOOKUP($A187&amp;$E187&amp;$I187,PMsheet!$J:$K,2,0),0)*'Master Data-C19RM'!$G$2))</f>
        <v>0</v>
      </c>
      <c r="AS187" s="926"/>
      <c r="AT187" s="926"/>
      <c r="AU187" s="926"/>
      <c r="AV187" s="926"/>
      <c r="AW187" s="514">
        <f t="shared" si="24"/>
        <v>0</v>
      </c>
      <c r="AX187" s="515">
        <f>IF(SETUP!$E$7="USD",(AW187*(IF(O187="USD",AR187,(AR187/'Master Data-C19RM'!$G$2)))),(AW187*(IF(O187="EUR",AR187,(AR187*'Master Data-C19RM'!$G$2)))))</f>
        <v>0</v>
      </c>
      <c r="AY187" s="845"/>
      <c r="AZ187" s="846"/>
      <c r="BA187" s="846"/>
      <c r="BB187" s="846"/>
      <c r="BC187" s="846"/>
      <c r="BD187" s="846"/>
      <c r="BE187" s="847"/>
      <c r="BF187" s="514">
        <f>'C19RM 2021-Lab &amp; Other HPS'!$U187+'C19RM 2021-Lab &amp; Other HPS'!$AB187+'C19RM 2021-Lab &amp; Other HPS'!$AP187+'C19RM 2021-Lab &amp; Other HPS'!$AI187+AW187+BD187</f>
        <v>0</v>
      </c>
      <c r="BG187" s="514">
        <f>'C19RM 2021-Lab &amp; Other HPS'!$V187+'C19RM 2021-Lab &amp; Other HPS'!$AC187+'C19RM 2021-Lab &amp; Other HPS'!$AQ187+'C19RM 2021-Lab &amp; Other HPS'!$AJ187+AX187+BE187</f>
        <v>0</v>
      </c>
      <c r="BH187" s="522" t="str" cm="1">
        <f t="array" ref="BH187">IF(A187&lt;&gt;"",IFERROR(INDEX(PMtbl[[WKst]:[Unit of measure*]],MATCH($A$115&amp;$A187&amp;$E187&amp;$I187,INDEX(PMtbl[Sec]&amp;PMtbl[Category]&amp;PMtbl[Each]&amp;PMtbl[Packaging],0,),0),11),""),"")</f>
        <v/>
      </c>
      <c r="BI187" s="818"/>
      <c r="BJ187" s="503" t="str" cm="1">
        <f t="array" ref="BJ187">IFERROR(INDEX(SETUP!$C$19:$G$121,MATCH((INDEX(PMtbl[[WKst]:[Unit of measure*]],MATCH($A187&amp;$E187&amp;$I187,INDEX(PMtbl[Category]&amp;PMtbl[Each]&amp;PMtbl[Packaging],0,),0),3)),SETUP!$D$19:$D$121,0),5),"")</f>
        <v/>
      </c>
      <c r="BK187" s="543" t="str" cm="1">
        <f t="array" ref="BK187">IFERROR(IF((INDEX(SETUP!$C$19:$G$121,MATCH((INDEX(PMtbl[[WKst]:[Unit of measure*]],MATCH($A187&amp;$E187&amp;$I187,INDEX(PMtbl[Category]&amp;PMtbl[Each]&amp;PMtbl[Packaging],0,),0),3)),SETUP!$D$19:$D$121,0),4))="Upfront",0,INDEX(SETUP!$C$19:$G$121,MATCH((INDEX(PMtbl[[WKst]:[Unit of measure*]],MATCH($A187&amp;$E187&amp;$I187,INDEX(PMtbl[Category]&amp;PMtbl[Each]&amp;PMtbl[Packaging],0,),0),3)),SETUP!$D$19:$D$121,0),5)),"")</f>
        <v/>
      </c>
      <c r="BL187" s="215" t="str" cm="1">
        <f t="array" ref="BL187">IF(E187&lt;&gt;"",IFERROR(INDEX(PMtbl[[WKst]:[Unit of measure*]],MATCH($A$115&amp;$A187&amp;$E187&amp;$I187,INDEX(PMtbl[Sec]&amp;PMtbl[Category]&amp;PMtbl[Each]&amp;PMtbl[Packaging],0,),0),11),""),"")</f>
        <v/>
      </c>
      <c r="BO187" s="12">
        <f>IF(N187="",0,IF(SETUP!$E$7="USD",((IF(O187="USD",P187,(P187/'Master Data-C19RM'!$C$2)))),((IF(O187="EUR",P187,(P187*'Master Data-C19RM'!$C$2))))))</f>
        <v>0</v>
      </c>
      <c r="BP187" s="12">
        <f>IF(N187="",0,IF(SETUP!$E$7="USD",((IF(O187="USD",W187,(W187/'Master Data-C19RM'!$D$2)))),((IF(O187="EUR",W187,(W187*'Master Data-C19RM'!$D$2))))))</f>
        <v>0</v>
      </c>
      <c r="BQ187">
        <f>IF(N187="",0,IF(SETUP!$E$7="USD",((IF(O187="USD",AD187,(AD187/'Master Data-C19RM'!$E$2)))),((IF(O187="EUR",AD187,(AD187*'Master Data-C19RM'!$E$2))))))</f>
        <v>0</v>
      </c>
      <c r="BR187">
        <f>IF(N187="",0,IF(SETUP!$E$7="USD",((IF(O187="USD",AK187,(AK187/'Master Data-C19RM'!$F$2)))),((IF(O187="EUR",AK187,(AK187*'Master Data-C19RM'!$F$2))))))</f>
        <v>0</v>
      </c>
      <c r="BS187">
        <f>IF(N187="",0,IF(SETUP!$E$7="USD",((IF(O187="USD",AR187,(AR187/'Master Data-C19RM'!$G$2)))),((IF(O187="EUR",AR187,(AR187*'Master Data-C19RM'!$G$2))))))</f>
        <v>0</v>
      </c>
      <c r="BT187">
        <f>IF(N187="",0,IF(SETUP!$E$7="USD",((IF(O187="USD",AY187,(AY187/'Master Data-C19RM'!$H$2)))),((IF(O187="EUR",AY187,(AY187*'Master Data-C19RM'!$H$2))))))</f>
        <v>0</v>
      </c>
      <c r="BU187" s="12">
        <f t="shared" si="15"/>
        <v>0</v>
      </c>
      <c r="BV187" s="142">
        <f t="shared" si="16"/>
        <v>0</v>
      </c>
    </row>
    <row r="188" spans="1:74" x14ac:dyDescent="0.35">
      <c r="A188" s="1165"/>
      <c r="B188" s="1165"/>
      <c r="C188" s="1165"/>
      <c r="D188" s="1165"/>
      <c r="E188" s="1166"/>
      <c r="F188" s="1166"/>
      <c r="G188" s="1166"/>
      <c r="H188" s="1166"/>
      <c r="I188" s="1166"/>
      <c r="J188" s="1166"/>
      <c r="K188" s="1166"/>
      <c r="L188" s="490" t="str" cm="1">
        <f t="array" ref="L188">IF(A188&lt;&gt;"",IFERROR(INDEX(PMtbl[[WKst]:[Unit of measure*]],MATCH($A$115&amp;$A188&amp;$E188&amp;$I188,INDEX(PMtbl[Sec]&amp;PMtbl[Category]&amp;PMtbl[Each]&amp;PMtbl[Packaging],0,),0),14),""),"")</f>
        <v/>
      </c>
      <c r="M188" s="479" t="str">
        <f>IF(L188="","",INDEX(SETUP!$E$20:$E$122,(MATCH(INDEX(PMsheet!$D:$E,MATCH(A188,PMsheet!E:E,0),1),SETUP!$D$20:$D$122,0))))</f>
        <v/>
      </c>
      <c r="N188" s="491">
        <f>IF($O188="USD",_xlfn.IFNA(VLOOKUP(A188&amp;E188&amp;I188,PMsheet!J:K,2,0),0),(_xlfn.IFNA(VLOOKUP(A188&amp;E188&amp;I188,PMsheet!J:K,2,0),0)*'Master Data-C19RM'!$C$2))</f>
        <v>0</v>
      </c>
      <c r="O188" s="492" t="str">
        <f>IF(L188="", "",SETUP!$E$7)</f>
        <v/>
      </c>
      <c r="P188" s="456">
        <f>IF($O188="USD",_xlfn.IFNA(VLOOKUP($A188&amp;$E188&amp;$I188,PMsheet!$J:$K,2,0),0),(_xlfn.IFNA(VLOOKUP($A188&amp;$E188&amp;$I188,PMsheet!$J:$K,2,0),0)*'Master Data-C19RM'!$C$2))</f>
        <v>0</v>
      </c>
      <c r="Q188" s="441"/>
      <c r="R188" s="441"/>
      <c r="S188" s="441"/>
      <c r="T188" s="441"/>
      <c r="U188" s="481">
        <f t="shared" si="17"/>
        <v>0</v>
      </c>
      <c r="V188" s="483">
        <f>IF(SETUP!$E$7="USD",(U188*(IF(O188="USD",P188,(P188/'Master Data-C19RM'!$C$2)))),(U188*(IF(O188="EUR",P188,(P188*'Master Data-C19RM'!$C$2)))))</f>
        <v>0</v>
      </c>
      <c r="W188" s="444">
        <f>IF($O188="USD",_xlfn.IFNA(VLOOKUP($A188&amp;$E188&amp;$I188,PMsheet!$J:$K,2,0),0),(_xlfn.IFNA(VLOOKUP($A188&amp;$E188&amp;$I188,PMsheet!$J:$K,2,0),0)*'Master Data-C19RM'!$D$2))</f>
        <v>0</v>
      </c>
      <c r="X188" s="441"/>
      <c r="Y188" s="441"/>
      <c r="Z188" s="441"/>
      <c r="AA188" s="441"/>
      <c r="AB188" s="481">
        <f t="shared" si="18"/>
        <v>0</v>
      </c>
      <c r="AC188" s="483">
        <f>IF(SETUP!$E$7="USD",(AB188*(IF(O188="USD",W188,(W188/'Master Data-C19RM'!$D$2)))),(AB188*(IF(O188="EUR",W188,(W188*'Master Data-C19RM'!$D$2)))))</f>
        <v>0</v>
      </c>
      <c r="AD188" s="444">
        <f>IF($O188="USD",_xlfn.IFNA(VLOOKUP($A188&amp;$E188&amp;$I188,PMsheet!$J:$K,2,0),0),(_xlfn.IFNA(VLOOKUP($A188&amp;$E188&amp;$I188,PMsheet!$J:$K,2,0),0)*'Master Data-C19RM'!$E$2))</f>
        <v>0</v>
      </c>
      <c r="AE188" s="441"/>
      <c r="AF188" s="441"/>
      <c r="AG188" s="441"/>
      <c r="AH188" s="441"/>
      <c r="AI188" s="512">
        <f t="shared" si="19"/>
        <v>0</v>
      </c>
      <c r="AJ188" s="513">
        <f>IF(SETUP!$E$7="USD",(AI188*(IF(O188="USD",AD188,(AD188/'Master Data-C19RM'!$E$2)))),(AI188*(IF(O188="EUR",AD188,(AD188*'Master Data-C19RM'!$E$2)))))</f>
        <v>0</v>
      </c>
      <c r="AK188" s="444">
        <f>IF($O188="USD",_xlfn.IFNA(VLOOKUP($A188&amp;$E188&amp;$I188,PMsheet!$J:$K,2,0),0),(_xlfn.IFNA(VLOOKUP($A188&amp;$E188&amp;$I188,PMsheet!$J:$K,2,0),0)*'Master Data-C19RM'!$F$2))</f>
        <v>0</v>
      </c>
      <c r="AL188" s="441"/>
      <c r="AM188" s="441"/>
      <c r="AN188" s="441"/>
      <c r="AO188" s="441"/>
      <c r="AP188" s="512">
        <f t="shared" si="20"/>
        <v>0</v>
      </c>
      <c r="AQ188" s="513">
        <f>IF(SETUP!$E$7="USD",(AP188*(IF(O188="USD",AK188,(AK188/'Master Data-C19RM'!$F$2)))),(AP188*(IF(O188="EUR",AK188,(AK188*'Master Data-C19RM'!$F$2)))))</f>
        <v>0</v>
      </c>
      <c r="AR188" s="924">
        <f>IF($O188="USD",_xlfn.IFNA(VLOOKUP($A188&amp;$E188&amp;$I188,PMsheet!$J:$K,2,0),0),(_xlfn.IFNA(VLOOKUP($A188&amp;$E188&amp;$I188,PMsheet!$J:$K,2,0),0)*'Master Data-C19RM'!$G$2))</f>
        <v>0</v>
      </c>
      <c r="AS188" s="572"/>
      <c r="AT188" s="572"/>
      <c r="AU188" s="572"/>
      <c r="AV188" s="572"/>
      <c r="AW188" s="512">
        <f t="shared" si="24"/>
        <v>0</v>
      </c>
      <c r="AX188" s="513">
        <f>IF(SETUP!$E$7="USD",(AW188*(IF(O188="USD",AR188,(AR188/'Master Data-C19RM'!$G$2)))),(AW188*(IF(O188="EUR",AR188,(AR188*'Master Data-C19RM'!$G$2)))))</f>
        <v>0</v>
      </c>
      <c r="AY188" s="845"/>
      <c r="AZ188" s="846"/>
      <c r="BA188" s="846"/>
      <c r="BB188" s="846"/>
      <c r="BC188" s="846"/>
      <c r="BD188" s="846"/>
      <c r="BE188" s="847"/>
      <c r="BF188" s="512">
        <f>'C19RM 2021-Lab &amp; Other HPS'!$U188+'C19RM 2021-Lab &amp; Other HPS'!$AB188+'C19RM 2021-Lab &amp; Other HPS'!$AP188+'C19RM 2021-Lab &amp; Other HPS'!$AI188+AW188+BD188</f>
        <v>0</v>
      </c>
      <c r="BG188" s="512">
        <f>'C19RM 2021-Lab &amp; Other HPS'!$V188+'C19RM 2021-Lab &amp; Other HPS'!$AC188+'C19RM 2021-Lab &amp; Other HPS'!$AQ188+'C19RM 2021-Lab &amp; Other HPS'!$AJ188+AX188+BE188</f>
        <v>0</v>
      </c>
      <c r="BH188" s="500" t="str" cm="1">
        <f t="array" ref="BH188">IF(A188&lt;&gt;"",IFERROR(INDEX(PMtbl[[WKst]:[Unit of measure*]],MATCH($A$115&amp;$A188&amp;$E188&amp;$I188,INDEX(PMtbl[Sec]&amp;PMtbl[Category]&amp;PMtbl[Each]&amp;PMtbl[Packaging],0,),0),11),""),"")</f>
        <v/>
      </c>
      <c r="BI188" s="819"/>
      <c r="BJ188" s="502" t="str" cm="1">
        <f t="array" ref="BJ188">IFERROR(INDEX(SETUP!$C$19:$G$121,MATCH((INDEX(PMtbl[[WKst]:[Unit of measure*]],MATCH($A188&amp;$E188&amp;$I188,INDEX(PMtbl[Category]&amp;PMtbl[Each]&amp;PMtbl[Packaging],0,),0),3)),SETUP!$D$19:$D$121,0),5),"")</f>
        <v/>
      </c>
      <c r="BK188" s="542" t="str" cm="1">
        <f t="array" ref="BK188">IFERROR(IF((INDEX(SETUP!$C$19:$G$121,MATCH((INDEX(PMtbl[[WKst]:[Unit of measure*]],MATCH($A188&amp;$E188&amp;$I188,INDEX(PMtbl[Category]&amp;PMtbl[Each]&amp;PMtbl[Packaging],0,),0),3)),SETUP!$D$19:$D$121,0),4))="Upfront",0,INDEX(SETUP!$C$19:$G$121,MATCH((INDEX(PMtbl[[WKst]:[Unit of measure*]],MATCH($A188&amp;$E188&amp;$I188,INDEX(PMtbl[Category]&amp;PMtbl[Each]&amp;PMtbl[Packaging],0,),0),3)),SETUP!$D$19:$D$121,0),5)),"")</f>
        <v/>
      </c>
      <c r="BL188" s="214" t="str" cm="1">
        <f t="array" ref="BL188">IF(E188&lt;&gt;"",IFERROR(INDEX(PMtbl[[WKst]:[Unit of measure*]],MATCH($A$115&amp;$A188&amp;$E188&amp;$I188,INDEX(PMtbl[Sec]&amp;PMtbl[Category]&amp;PMtbl[Each]&amp;PMtbl[Packaging],0,),0),11),""),"")</f>
        <v/>
      </c>
      <c r="BO188" s="12">
        <f>IF(N188="",0,IF(SETUP!$E$7="USD",((IF(O188="USD",P188,(P188/'Master Data-C19RM'!$C$2)))),((IF(O188="EUR",P188,(P188*'Master Data-C19RM'!$C$2))))))</f>
        <v>0</v>
      </c>
      <c r="BP188" s="12">
        <f>IF(N188="",0,IF(SETUP!$E$7="USD",((IF(O188="USD",W188,(W188/'Master Data-C19RM'!$D$2)))),((IF(O188="EUR",W188,(W188*'Master Data-C19RM'!$D$2))))))</f>
        <v>0</v>
      </c>
      <c r="BQ188">
        <f>IF(N188="",0,IF(SETUP!$E$7="USD",((IF(O188="USD",AD188,(AD188/'Master Data-C19RM'!$E$2)))),((IF(O188="EUR",AD188,(AD188*'Master Data-C19RM'!$E$2))))))</f>
        <v>0</v>
      </c>
      <c r="BR188">
        <f>IF(N188="",0,IF(SETUP!$E$7="USD",((IF(O188="USD",AK188,(AK188/'Master Data-C19RM'!$F$2)))),((IF(O188="EUR",AK188,(AK188*'Master Data-C19RM'!$F$2))))))</f>
        <v>0</v>
      </c>
      <c r="BS188">
        <f>IF(N188="",0,IF(SETUP!$E$7="USD",((IF(O188="USD",AR188,(AR188/'Master Data-C19RM'!$G$2)))),((IF(O188="EUR",AR188,(AR188*'Master Data-C19RM'!$G$2))))))</f>
        <v>0</v>
      </c>
      <c r="BT188">
        <f>IF(N188="",0,IF(SETUP!$E$7="USD",((IF(O188="USD",AY188,(AY188/'Master Data-C19RM'!$H$2)))),((IF(O188="EUR",AY188,(AY188*'Master Data-C19RM'!$H$2))))))</f>
        <v>0</v>
      </c>
      <c r="BU188" s="12">
        <f t="shared" si="15"/>
        <v>0</v>
      </c>
      <c r="BV188" s="142">
        <f t="shared" si="16"/>
        <v>0</v>
      </c>
    </row>
    <row r="189" spans="1:74" x14ac:dyDescent="0.35">
      <c r="A189" s="1192"/>
      <c r="B189" s="1192"/>
      <c r="C189" s="1192"/>
      <c r="D189" s="1192"/>
      <c r="E189" s="1173"/>
      <c r="F189" s="1173"/>
      <c r="G189" s="1173"/>
      <c r="H189" s="1173"/>
      <c r="I189" s="1173"/>
      <c r="J189" s="1173"/>
      <c r="K189" s="1173"/>
      <c r="L189" s="493" t="str" cm="1">
        <f t="array" ref="L189">IF(A189&lt;&gt;"",IFERROR(INDEX(PMtbl[[WKst]:[Unit of measure*]],MATCH($A$115&amp;$A189&amp;$E189&amp;$I189,INDEX(PMtbl[Sec]&amp;PMtbl[Category]&amp;PMtbl[Each]&amp;PMtbl[Packaging],0,),0),14),""),"")</f>
        <v/>
      </c>
      <c r="M189" s="480" t="str">
        <f>IF(L189="","",INDEX(SETUP!$E$20:$E$122,(MATCH(INDEX(PMsheet!$D:$E,MATCH(A189,PMsheet!E:E,0),1),SETUP!$D$20:$D$122,0))))</f>
        <v/>
      </c>
      <c r="N189" s="494">
        <f>IF($O189="USD",_xlfn.IFNA(VLOOKUP(A189&amp;E189&amp;I189,PMsheet!J:K,2,0),0),(_xlfn.IFNA(VLOOKUP(A189&amp;E189&amp;I189,PMsheet!J:K,2,0),0)*'Master Data-C19RM'!$C$2))</f>
        <v>0</v>
      </c>
      <c r="O189" s="495" t="str">
        <f>IF(L189="", "",SETUP!$E$7)</f>
        <v/>
      </c>
      <c r="P189" s="457">
        <f>IF($O189="USD",_xlfn.IFNA(VLOOKUP($A189&amp;$E189&amp;$I189,PMsheet!$J:$K,2,0),0),(_xlfn.IFNA(VLOOKUP($A189&amp;$E189&amp;$I189,PMsheet!$J:$K,2,0),0)*'Master Data-C19RM'!$C$2))</f>
        <v>0</v>
      </c>
      <c r="Q189" s="440"/>
      <c r="R189" s="440"/>
      <c r="S189" s="440"/>
      <c r="T189" s="440"/>
      <c r="U189" s="482">
        <f t="shared" si="17"/>
        <v>0</v>
      </c>
      <c r="V189" s="484">
        <f>IF(SETUP!$E$7="USD",(U189*(IF(O189="USD",P189,(P189/'Master Data-C19RM'!$C$2)))),(U189*(IF(O189="EUR",P189,(P189*'Master Data-C19RM'!$C$2)))))</f>
        <v>0</v>
      </c>
      <c r="W189" s="445">
        <f>IF($O189="USD",_xlfn.IFNA(VLOOKUP($A189&amp;$E189&amp;$I189,PMsheet!$J:$K,2,0),0),(_xlfn.IFNA(VLOOKUP($A189&amp;$E189&amp;$I189,PMsheet!$J:$K,2,0),0)*'Master Data-C19RM'!$D$2))</f>
        <v>0</v>
      </c>
      <c r="X189" s="440"/>
      <c r="Y189" s="440"/>
      <c r="Z189" s="440"/>
      <c r="AA189" s="440"/>
      <c r="AB189" s="482">
        <f t="shared" si="18"/>
        <v>0</v>
      </c>
      <c r="AC189" s="484">
        <f>IF(SETUP!$E$7="USD",(AB189*(IF(O189="USD",W189,(W189/'Master Data-C19RM'!$D$2)))),(AB189*(IF(O189="EUR",W189,(W189*'Master Data-C19RM'!$D$2)))))</f>
        <v>0</v>
      </c>
      <c r="AD189" s="445">
        <f>IF($O189="USD",_xlfn.IFNA(VLOOKUP($A189&amp;$E189&amp;$I189,PMsheet!$J:$K,2,0),0),(_xlfn.IFNA(VLOOKUP($A189&amp;$E189&amp;$I189,PMsheet!$J:$K,2,0),0)*'Master Data-C19RM'!$E$2))</f>
        <v>0</v>
      </c>
      <c r="AE189" s="440"/>
      <c r="AF189" s="440"/>
      <c r="AG189" s="440"/>
      <c r="AH189" s="440"/>
      <c r="AI189" s="514">
        <f t="shared" si="19"/>
        <v>0</v>
      </c>
      <c r="AJ189" s="515">
        <f>IF(SETUP!$E$7="USD",(AI189*(IF(O189="USD",AD189,(AD189/'Master Data-C19RM'!$E$2)))),(AI189*(IF(O189="EUR",AD189,(AD189*'Master Data-C19RM'!$E$2)))))</f>
        <v>0</v>
      </c>
      <c r="AK189" s="445">
        <f>IF($O189="USD",_xlfn.IFNA(VLOOKUP($A189&amp;$E189&amp;$I189,PMsheet!$J:$K,2,0),0),(_xlfn.IFNA(VLOOKUP($A189&amp;$E189&amp;$I189,PMsheet!$J:$K,2,0),0)*'Master Data-C19RM'!$F$2))</f>
        <v>0</v>
      </c>
      <c r="AL189" s="440"/>
      <c r="AM189" s="440"/>
      <c r="AN189" s="440"/>
      <c r="AO189" s="440"/>
      <c r="AP189" s="514">
        <f t="shared" si="20"/>
        <v>0</v>
      </c>
      <c r="AQ189" s="515">
        <f>IF(SETUP!$E$7="USD",(AP189*(IF(O189="USD",AK189,(AK189/'Master Data-C19RM'!$F$2)))),(AP189*(IF(O189="EUR",AK189,(AK189*'Master Data-C19RM'!$F$2)))))</f>
        <v>0</v>
      </c>
      <c r="AR189" s="925">
        <f>IF($O189="USD",_xlfn.IFNA(VLOOKUP($A189&amp;$E189&amp;$I189,PMsheet!$J:$K,2,0),0),(_xlfn.IFNA(VLOOKUP($A189&amp;$E189&amp;$I189,PMsheet!$J:$K,2,0),0)*'Master Data-C19RM'!$G$2))</f>
        <v>0</v>
      </c>
      <c r="AS189" s="926"/>
      <c r="AT189" s="926"/>
      <c r="AU189" s="926"/>
      <c r="AV189" s="926"/>
      <c r="AW189" s="514">
        <f t="shared" si="24"/>
        <v>0</v>
      </c>
      <c r="AX189" s="515">
        <f>IF(SETUP!$E$7="USD",(AW189*(IF(O189="USD",AR189,(AR189/'Master Data-C19RM'!$G$2)))),(AW189*(IF(O189="EUR",AR189,(AR189*'Master Data-C19RM'!$G$2)))))</f>
        <v>0</v>
      </c>
      <c r="AY189" s="845"/>
      <c r="AZ189" s="846"/>
      <c r="BA189" s="846"/>
      <c r="BB189" s="846"/>
      <c r="BC189" s="846"/>
      <c r="BD189" s="846"/>
      <c r="BE189" s="847"/>
      <c r="BF189" s="514">
        <f>'C19RM 2021-Lab &amp; Other HPS'!$U189+'C19RM 2021-Lab &amp; Other HPS'!$AB189+'C19RM 2021-Lab &amp; Other HPS'!$AP189+'C19RM 2021-Lab &amp; Other HPS'!$AI189+AW189+BD189</f>
        <v>0</v>
      </c>
      <c r="BG189" s="514">
        <f>'C19RM 2021-Lab &amp; Other HPS'!$V189+'C19RM 2021-Lab &amp; Other HPS'!$AC189+'C19RM 2021-Lab &amp; Other HPS'!$AQ189+'C19RM 2021-Lab &amp; Other HPS'!$AJ189+AX189+BE189</f>
        <v>0</v>
      </c>
      <c r="BH189" s="522" t="str" cm="1">
        <f t="array" ref="BH189">IF(A189&lt;&gt;"",IFERROR(INDEX(PMtbl[[WKst]:[Unit of measure*]],MATCH($A$115&amp;$A189&amp;$E189&amp;$I189,INDEX(PMtbl[Sec]&amp;PMtbl[Category]&amp;PMtbl[Each]&amp;PMtbl[Packaging],0,),0),11),""),"")</f>
        <v/>
      </c>
      <c r="BI189" s="818"/>
      <c r="BJ189" s="503" t="str" cm="1">
        <f t="array" ref="BJ189">IFERROR(INDEX(SETUP!$C$19:$G$121,MATCH((INDEX(PMtbl[[WKst]:[Unit of measure*]],MATCH($A189&amp;$E189&amp;$I189,INDEX(PMtbl[Category]&amp;PMtbl[Each]&amp;PMtbl[Packaging],0,),0),3)),SETUP!$D$19:$D$121,0),5),"")</f>
        <v/>
      </c>
      <c r="BK189" s="543" t="str" cm="1">
        <f t="array" ref="BK189">IFERROR(IF((INDEX(SETUP!$C$19:$G$121,MATCH((INDEX(PMtbl[[WKst]:[Unit of measure*]],MATCH($A189&amp;$E189&amp;$I189,INDEX(PMtbl[Category]&amp;PMtbl[Each]&amp;PMtbl[Packaging],0,),0),3)),SETUP!$D$19:$D$121,0),4))="Upfront",0,INDEX(SETUP!$C$19:$G$121,MATCH((INDEX(PMtbl[[WKst]:[Unit of measure*]],MATCH($A189&amp;$E189&amp;$I189,INDEX(PMtbl[Category]&amp;PMtbl[Each]&amp;PMtbl[Packaging],0,),0),3)),SETUP!$D$19:$D$121,0),5)),"")</f>
        <v/>
      </c>
      <c r="BL189" s="215" t="str" cm="1">
        <f t="array" ref="BL189">IF(E189&lt;&gt;"",IFERROR(INDEX(PMtbl[[WKst]:[Unit of measure*]],MATCH($A$115&amp;$A189&amp;$E189&amp;$I189,INDEX(PMtbl[Sec]&amp;PMtbl[Category]&amp;PMtbl[Each]&amp;PMtbl[Packaging],0,),0),11),""),"")</f>
        <v/>
      </c>
      <c r="BO189" s="12">
        <f>IF(N189="",0,IF(SETUP!$E$7="USD",((IF(O189="USD",P189,(P189/'Master Data-C19RM'!$C$2)))),((IF(O189="EUR",P189,(P189*'Master Data-C19RM'!$C$2))))))</f>
        <v>0</v>
      </c>
      <c r="BP189" s="12">
        <f>IF(N189="",0,IF(SETUP!$E$7="USD",((IF(O189="USD",W189,(W189/'Master Data-C19RM'!$D$2)))),((IF(O189="EUR",W189,(W189*'Master Data-C19RM'!$D$2))))))</f>
        <v>0</v>
      </c>
      <c r="BQ189">
        <f>IF(N189="",0,IF(SETUP!$E$7="USD",((IF(O189="USD",AD189,(AD189/'Master Data-C19RM'!$E$2)))),((IF(O189="EUR",AD189,(AD189*'Master Data-C19RM'!$E$2))))))</f>
        <v>0</v>
      </c>
      <c r="BR189">
        <f>IF(N189="",0,IF(SETUP!$E$7="USD",((IF(O189="USD",AK189,(AK189/'Master Data-C19RM'!$F$2)))),((IF(O189="EUR",AK189,(AK189*'Master Data-C19RM'!$F$2))))))</f>
        <v>0</v>
      </c>
      <c r="BS189">
        <f>IF(N189="",0,IF(SETUP!$E$7="USD",((IF(O189="USD",AR189,(AR189/'Master Data-C19RM'!$G$2)))),((IF(O189="EUR",AR189,(AR189*'Master Data-C19RM'!$G$2))))))</f>
        <v>0</v>
      </c>
      <c r="BT189">
        <f>IF(N189="",0,IF(SETUP!$E$7="USD",((IF(O189="USD",AY189,(AY189/'Master Data-C19RM'!$H$2)))),((IF(O189="EUR",AY189,(AY189*'Master Data-C19RM'!$H$2))))))</f>
        <v>0</v>
      </c>
      <c r="BU189" s="12">
        <f t="shared" si="15"/>
        <v>0</v>
      </c>
      <c r="BV189" s="142">
        <f t="shared" si="16"/>
        <v>0</v>
      </c>
    </row>
    <row r="190" spans="1:74" x14ac:dyDescent="0.35">
      <c r="A190" s="1165"/>
      <c r="B190" s="1165"/>
      <c r="C190" s="1165"/>
      <c r="D190" s="1165"/>
      <c r="E190" s="1166"/>
      <c r="F190" s="1166"/>
      <c r="G190" s="1166"/>
      <c r="H190" s="1166"/>
      <c r="I190" s="1166"/>
      <c r="J190" s="1166"/>
      <c r="K190" s="1166"/>
      <c r="L190" s="490" t="str" cm="1">
        <f t="array" ref="L190">IF(A190&lt;&gt;"",IFERROR(INDEX(PMtbl[[WKst]:[Unit of measure*]],MATCH($A$115&amp;$A190&amp;$E190&amp;$I190,INDEX(PMtbl[Sec]&amp;PMtbl[Category]&amp;PMtbl[Each]&amp;PMtbl[Packaging],0,),0),14),""),"")</f>
        <v/>
      </c>
      <c r="M190" s="479" t="str">
        <f>IF(L190="","",INDEX(SETUP!$E$20:$E$122,(MATCH(INDEX(PMsheet!$D:$E,MATCH(A190,PMsheet!E:E,0),1),SETUP!$D$20:$D$122,0))))</f>
        <v/>
      </c>
      <c r="N190" s="491">
        <f>IF($O190="USD",_xlfn.IFNA(VLOOKUP(A190&amp;E190&amp;I190,PMsheet!J:K,2,0),0),(_xlfn.IFNA(VLOOKUP(A190&amp;E190&amp;I190,PMsheet!J:K,2,0),0)*'Master Data-C19RM'!$C$2))</f>
        <v>0</v>
      </c>
      <c r="O190" s="492" t="str">
        <f>IF(L190="", "",SETUP!$E$7)</f>
        <v/>
      </c>
      <c r="P190" s="456">
        <f>IF($O190="USD",_xlfn.IFNA(VLOOKUP($A190&amp;$E190&amp;$I190,PMsheet!$J:$K,2,0),0),(_xlfn.IFNA(VLOOKUP($A190&amp;$E190&amp;$I190,PMsheet!$J:$K,2,0),0)*'Master Data-C19RM'!$C$2))</f>
        <v>0</v>
      </c>
      <c r="Q190" s="441"/>
      <c r="R190" s="441"/>
      <c r="S190" s="441"/>
      <c r="T190" s="441"/>
      <c r="U190" s="481">
        <f t="shared" si="17"/>
        <v>0</v>
      </c>
      <c r="V190" s="483">
        <f>IF(SETUP!$E$7="USD",(U190*(IF(O190="USD",P190,(P190/'Master Data-C19RM'!$C$2)))),(U190*(IF(O190="EUR",P190,(P190*'Master Data-C19RM'!$C$2)))))</f>
        <v>0</v>
      </c>
      <c r="W190" s="444">
        <f>IF($O190="USD",_xlfn.IFNA(VLOOKUP($A190&amp;$E190&amp;$I190,PMsheet!$J:$K,2,0),0),(_xlfn.IFNA(VLOOKUP($A190&amp;$E190&amp;$I190,PMsheet!$J:$K,2,0),0)*'Master Data-C19RM'!$D$2))</f>
        <v>0</v>
      </c>
      <c r="X190" s="441"/>
      <c r="Y190" s="441"/>
      <c r="Z190" s="441"/>
      <c r="AA190" s="441"/>
      <c r="AB190" s="481">
        <f t="shared" si="18"/>
        <v>0</v>
      </c>
      <c r="AC190" s="483">
        <f>IF(SETUP!$E$7="USD",(AB190*(IF(O190="USD",W190,(W190/'Master Data-C19RM'!$D$2)))),(AB190*(IF(O190="EUR",W190,(W190*'Master Data-C19RM'!$D$2)))))</f>
        <v>0</v>
      </c>
      <c r="AD190" s="444">
        <f>IF($O190="USD",_xlfn.IFNA(VLOOKUP($A190&amp;$E190&amp;$I190,PMsheet!$J:$K,2,0),0),(_xlfn.IFNA(VLOOKUP($A190&amp;$E190&amp;$I190,PMsheet!$J:$K,2,0),0)*'Master Data-C19RM'!$E$2))</f>
        <v>0</v>
      </c>
      <c r="AE190" s="441"/>
      <c r="AF190" s="441"/>
      <c r="AG190" s="441"/>
      <c r="AH190" s="441"/>
      <c r="AI190" s="512">
        <f t="shared" si="19"/>
        <v>0</v>
      </c>
      <c r="AJ190" s="513">
        <f>IF(SETUP!$E$7="USD",(AI190*(IF(O190="USD",AD190,(AD190/'Master Data-C19RM'!$E$2)))),(AI190*(IF(O190="EUR",AD190,(AD190*'Master Data-C19RM'!$E$2)))))</f>
        <v>0</v>
      </c>
      <c r="AK190" s="444">
        <f>IF($O190="USD",_xlfn.IFNA(VLOOKUP($A190&amp;$E190&amp;$I190,PMsheet!$J:$K,2,0),0),(_xlfn.IFNA(VLOOKUP($A190&amp;$E190&amp;$I190,PMsheet!$J:$K,2,0),0)*'Master Data-C19RM'!$F$2))</f>
        <v>0</v>
      </c>
      <c r="AL190" s="441"/>
      <c r="AM190" s="441"/>
      <c r="AN190" s="441"/>
      <c r="AO190" s="441"/>
      <c r="AP190" s="512">
        <f t="shared" si="20"/>
        <v>0</v>
      </c>
      <c r="AQ190" s="513">
        <f>IF(SETUP!$E$7="USD",(AP190*(IF(O190="USD",AK190,(AK190/'Master Data-C19RM'!$F$2)))),(AP190*(IF(O190="EUR",AK190,(AK190*'Master Data-C19RM'!$F$2)))))</f>
        <v>0</v>
      </c>
      <c r="AR190" s="924">
        <f>IF($O190="USD",_xlfn.IFNA(VLOOKUP($A190&amp;$E190&amp;$I190,PMsheet!$J:$K,2,0),0),(_xlfn.IFNA(VLOOKUP($A190&amp;$E190&amp;$I190,PMsheet!$J:$K,2,0),0)*'Master Data-C19RM'!$G$2))</f>
        <v>0</v>
      </c>
      <c r="AS190" s="572"/>
      <c r="AT190" s="572"/>
      <c r="AU190" s="572"/>
      <c r="AV190" s="572"/>
      <c r="AW190" s="512">
        <f t="shared" si="24"/>
        <v>0</v>
      </c>
      <c r="AX190" s="513">
        <f>IF(SETUP!$E$7="USD",(AW190*(IF(O190="USD",AR190,(AR190/'Master Data-C19RM'!$G$2)))),(AW190*(IF(O190="EUR",AR190,(AR190*'Master Data-C19RM'!$G$2)))))</f>
        <v>0</v>
      </c>
      <c r="AY190" s="845"/>
      <c r="AZ190" s="846"/>
      <c r="BA190" s="846"/>
      <c r="BB190" s="846"/>
      <c r="BC190" s="846"/>
      <c r="BD190" s="846"/>
      <c r="BE190" s="847"/>
      <c r="BF190" s="512">
        <f>'C19RM 2021-Lab &amp; Other HPS'!$U190+'C19RM 2021-Lab &amp; Other HPS'!$AB190+'C19RM 2021-Lab &amp; Other HPS'!$AP190+'C19RM 2021-Lab &amp; Other HPS'!$AI190+AW190+BD190</f>
        <v>0</v>
      </c>
      <c r="BG190" s="512">
        <f>'C19RM 2021-Lab &amp; Other HPS'!$V190+'C19RM 2021-Lab &amp; Other HPS'!$AC190+'C19RM 2021-Lab &amp; Other HPS'!$AQ190+'C19RM 2021-Lab &amp; Other HPS'!$AJ190+AX190+BE190</f>
        <v>0</v>
      </c>
      <c r="BH190" s="500" t="str" cm="1">
        <f t="array" ref="BH190">IF(A190&lt;&gt;"",IFERROR(INDEX(PMtbl[[WKst]:[Unit of measure*]],MATCH($A$115&amp;$A190&amp;$E190&amp;$I190,INDEX(PMtbl[Sec]&amp;PMtbl[Category]&amp;PMtbl[Each]&amp;PMtbl[Packaging],0,),0),11),""),"")</f>
        <v/>
      </c>
      <c r="BI190" s="819"/>
      <c r="BJ190" s="502" t="str" cm="1">
        <f t="array" ref="BJ190">IFERROR(INDEX(SETUP!$C$19:$G$121,MATCH((INDEX(PMtbl[[WKst]:[Unit of measure*]],MATCH($A190&amp;$E190&amp;$I190,INDEX(PMtbl[Category]&amp;PMtbl[Each]&amp;PMtbl[Packaging],0,),0),3)),SETUP!$D$19:$D$121,0),5),"")</f>
        <v/>
      </c>
      <c r="BK190" s="542" t="str" cm="1">
        <f t="array" ref="BK190">IFERROR(IF((INDEX(SETUP!$C$19:$G$121,MATCH((INDEX(PMtbl[[WKst]:[Unit of measure*]],MATCH($A190&amp;$E190&amp;$I190,INDEX(PMtbl[Category]&amp;PMtbl[Each]&amp;PMtbl[Packaging],0,),0),3)),SETUP!$D$19:$D$121,0),4))="Upfront",0,INDEX(SETUP!$C$19:$G$121,MATCH((INDEX(PMtbl[[WKst]:[Unit of measure*]],MATCH($A190&amp;$E190&amp;$I190,INDEX(PMtbl[Category]&amp;PMtbl[Each]&amp;PMtbl[Packaging],0,),0),3)),SETUP!$D$19:$D$121,0),5)),"")</f>
        <v/>
      </c>
      <c r="BL190" s="214" t="str" cm="1">
        <f t="array" ref="BL190">IF(E190&lt;&gt;"",IFERROR(INDEX(PMtbl[[WKst]:[Unit of measure*]],MATCH($A$115&amp;$A190&amp;$E190&amp;$I190,INDEX(PMtbl[Sec]&amp;PMtbl[Category]&amp;PMtbl[Each]&amp;PMtbl[Packaging],0,),0),11),""),"")</f>
        <v/>
      </c>
      <c r="BO190" s="12">
        <f>IF(N190="",0,IF(SETUP!$E$7="USD",((IF(O190="USD",P190,(P190/'Master Data-C19RM'!$C$2)))),((IF(O190="EUR",P190,(P190*'Master Data-C19RM'!$C$2))))))</f>
        <v>0</v>
      </c>
      <c r="BP190" s="12">
        <f>IF(N190="",0,IF(SETUP!$E$7="USD",((IF(O190="USD",W190,(W190/'Master Data-C19RM'!$D$2)))),((IF(O190="EUR",W190,(W190*'Master Data-C19RM'!$D$2))))))</f>
        <v>0</v>
      </c>
      <c r="BQ190">
        <f>IF(N190="",0,IF(SETUP!$E$7="USD",((IF(O190="USD",AD190,(AD190/'Master Data-C19RM'!$E$2)))),((IF(O190="EUR",AD190,(AD190*'Master Data-C19RM'!$E$2))))))</f>
        <v>0</v>
      </c>
      <c r="BR190">
        <f>IF(N190="",0,IF(SETUP!$E$7="USD",((IF(O190="USD",AK190,(AK190/'Master Data-C19RM'!$F$2)))),((IF(O190="EUR",AK190,(AK190*'Master Data-C19RM'!$F$2))))))</f>
        <v>0</v>
      </c>
      <c r="BS190">
        <f>IF(N190="",0,IF(SETUP!$E$7="USD",((IF(O190="USD",AR190,(AR190/'Master Data-C19RM'!$G$2)))),((IF(O190="EUR",AR190,(AR190*'Master Data-C19RM'!$G$2))))))</f>
        <v>0</v>
      </c>
      <c r="BT190">
        <f>IF(N190="",0,IF(SETUP!$E$7="USD",((IF(O190="USD",AY190,(AY190/'Master Data-C19RM'!$H$2)))),((IF(O190="EUR",AY190,(AY190*'Master Data-C19RM'!$H$2))))))</f>
        <v>0</v>
      </c>
      <c r="BU190" s="12">
        <f t="shared" si="15"/>
        <v>0</v>
      </c>
      <c r="BV190" s="142">
        <f t="shared" si="16"/>
        <v>0</v>
      </c>
    </row>
    <row r="191" spans="1:74" x14ac:dyDescent="0.35">
      <c r="A191" s="1192"/>
      <c r="B191" s="1192"/>
      <c r="C191" s="1192"/>
      <c r="D191" s="1192"/>
      <c r="E191" s="1173"/>
      <c r="F191" s="1173"/>
      <c r="G191" s="1173"/>
      <c r="H191" s="1173"/>
      <c r="I191" s="1173"/>
      <c r="J191" s="1173"/>
      <c r="K191" s="1173"/>
      <c r="L191" s="493" t="str" cm="1">
        <f t="array" ref="L191">IF(A191&lt;&gt;"",IFERROR(INDEX(PMtbl[[WKst]:[Unit of measure*]],MATCH($A$115&amp;$A191&amp;$E191&amp;$I191,INDEX(PMtbl[Sec]&amp;PMtbl[Category]&amp;PMtbl[Each]&amp;PMtbl[Packaging],0,),0),14),""),"")</f>
        <v/>
      </c>
      <c r="M191" s="480" t="str">
        <f>IF(L191="","",INDEX(SETUP!$E$20:$E$122,(MATCH(INDEX(PMsheet!$D:$E,MATCH(A191,PMsheet!E:E,0),1),SETUP!$D$20:$D$122,0))))</f>
        <v/>
      </c>
      <c r="N191" s="494">
        <f>IF($O191="USD",_xlfn.IFNA(VLOOKUP(A191&amp;E191&amp;I191,PMsheet!J:K,2,0),0),(_xlfn.IFNA(VLOOKUP(A191&amp;E191&amp;I191,PMsheet!J:K,2,0),0)*'Master Data-C19RM'!$C$2))</f>
        <v>0</v>
      </c>
      <c r="O191" s="495" t="str">
        <f>IF(L191="", "",SETUP!$E$7)</f>
        <v/>
      </c>
      <c r="P191" s="457">
        <f>IF($O191="USD",_xlfn.IFNA(VLOOKUP($A191&amp;$E191&amp;$I191,PMsheet!$J:$K,2,0),0),(_xlfn.IFNA(VLOOKUP($A191&amp;$E191&amp;$I191,PMsheet!$J:$K,2,0),0)*'Master Data-C19RM'!$C$2))</f>
        <v>0</v>
      </c>
      <c r="Q191" s="440"/>
      <c r="R191" s="440"/>
      <c r="S191" s="440"/>
      <c r="T191" s="440"/>
      <c r="U191" s="482">
        <f t="shared" si="17"/>
        <v>0</v>
      </c>
      <c r="V191" s="484">
        <f>IF(SETUP!$E$7="USD",(U191*(IF(O191="USD",P191,(P191/'Master Data-C19RM'!$C$2)))),(U191*(IF(O191="EUR",P191,(P191*'Master Data-C19RM'!$C$2)))))</f>
        <v>0</v>
      </c>
      <c r="W191" s="445">
        <f>IF($O191="USD",_xlfn.IFNA(VLOOKUP($A191&amp;$E191&amp;$I191,PMsheet!$J:$K,2,0),0),(_xlfn.IFNA(VLOOKUP($A191&amp;$E191&amp;$I191,PMsheet!$J:$K,2,0),0)*'Master Data-C19RM'!$D$2))</f>
        <v>0</v>
      </c>
      <c r="X191" s="440"/>
      <c r="Y191" s="440"/>
      <c r="Z191" s="440"/>
      <c r="AA191" s="440"/>
      <c r="AB191" s="482">
        <f t="shared" si="18"/>
        <v>0</v>
      </c>
      <c r="AC191" s="484">
        <f>IF(SETUP!$E$7="USD",(AB191*(IF(O191="USD",W191,(W191/'Master Data-C19RM'!$D$2)))),(AB191*(IF(O191="EUR",W191,(W191*'Master Data-C19RM'!$D$2)))))</f>
        <v>0</v>
      </c>
      <c r="AD191" s="445">
        <f>IF($O191="USD",_xlfn.IFNA(VLOOKUP($A191&amp;$E191&amp;$I191,PMsheet!$J:$K,2,0),0),(_xlfn.IFNA(VLOOKUP($A191&amp;$E191&amp;$I191,PMsheet!$J:$K,2,0),0)*'Master Data-C19RM'!$E$2))</f>
        <v>0</v>
      </c>
      <c r="AE191" s="440"/>
      <c r="AF191" s="440"/>
      <c r="AG191" s="440"/>
      <c r="AH191" s="440"/>
      <c r="AI191" s="514">
        <f t="shared" si="19"/>
        <v>0</v>
      </c>
      <c r="AJ191" s="515">
        <f>IF(SETUP!$E$7="USD",(AI191*(IF(O191="USD",AD191,(AD191/'Master Data-C19RM'!$E$2)))),(AI191*(IF(O191="EUR",AD191,(AD191*'Master Data-C19RM'!$E$2)))))</f>
        <v>0</v>
      </c>
      <c r="AK191" s="445">
        <f>IF($O191="USD",_xlfn.IFNA(VLOOKUP($A191&amp;$E191&amp;$I191,PMsheet!$J:$K,2,0),0),(_xlfn.IFNA(VLOOKUP($A191&amp;$E191&amp;$I191,PMsheet!$J:$K,2,0),0)*'Master Data-C19RM'!$F$2))</f>
        <v>0</v>
      </c>
      <c r="AL191" s="440"/>
      <c r="AM191" s="440"/>
      <c r="AN191" s="440"/>
      <c r="AO191" s="440"/>
      <c r="AP191" s="514">
        <f t="shared" si="20"/>
        <v>0</v>
      </c>
      <c r="AQ191" s="515">
        <f>IF(SETUP!$E$7="USD",(AP191*(IF(O191="USD",AK191,(AK191/'Master Data-C19RM'!$F$2)))),(AP191*(IF(O191="EUR",AK191,(AK191*'Master Data-C19RM'!$F$2)))))</f>
        <v>0</v>
      </c>
      <c r="AR191" s="925">
        <f>IF($O191="USD",_xlfn.IFNA(VLOOKUP($A191&amp;$E191&amp;$I191,PMsheet!$J:$K,2,0),0),(_xlfn.IFNA(VLOOKUP($A191&amp;$E191&amp;$I191,PMsheet!$J:$K,2,0),0)*'Master Data-C19RM'!$G$2))</f>
        <v>0</v>
      </c>
      <c r="AS191" s="926"/>
      <c r="AT191" s="926"/>
      <c r="AU191" s="926"/>
      <c r="AV191" s="926"/>
      <c r="AW191" s="514">
        <f t="shared" si="24"/>
        <v>0</v>
      </c>
      <c r="AX191" s="515">
        <f>IF(SETUP!$E$7="USD",(AW191*(IF(O191="USD",AR191,(AR191/'Master Data-C19RM'!$G$2)))),(AW191*(IF(O191="EUR",AR191,(AR191*'Master Data-C19RM'!$G$2)))))</f>
        <v>0</v>
      </c>
      <c r="AY191" s="845"/>
      <c r="AZ191" s="846"/>
      <c r="BA191" s="846"/>
      <c r="BB191" s="846"/>
      <c r="BC191" s="846"/>
      <c r="BD191" s="846"/>
      <c r="BE191" s="847"/>
      <c r="BF191" s="514">
        <f>'C19RM 2021-Lab &amp; Other HPS'!$U191+'C19RM 2021-Lab &amp; Other HPS'!$AB191+'C19RM 2021-Lab &amp; Other HPS'!$AP191+'C19RM 2021-Lab &amp; Other HPS'!$AI191+AW191+BD191</f>
        <v>0</v>
      </c>
      <c r="BG191" s="514">
        <f>'C19RM 2021-Lab &amp; Other HPS'!$V191+'C19RM 2021-Lab &amp; Other HPS'!$AC191+'C19RM 2021-Lab &amp; Other HPS'!$AQ191+'C19RM 2021-Lab &amp; Other HPS'!$AJ191+AX191+BE191</f>
        <v>0</v>
      </c>
      <c r="BH191" s="522" t="str" cm="1">
        <f t="array" ref="BH191">IF(A191&lt;&gt;"",IFERROR(INDEX(PMtbl[[WKst]:[Unit of measure*]],MATCH($A$115&amp;$A191&amp;$E191&amp;$I191,INDEX(PMtbl[Sec]&amp;PMtbl[Category]&amp;PMtbl[Each]&amp;PMtbl[Packaging],0,),0),11),""),"")</f>
        <v/>
      </c>
      <c r="BI191" s="818"/>
      <c r="BJ191" s="503" t="str" cm="1">
        <f t="array" ref="BJ191">IFERROR(INDEX(SETUP!$C$19:$G$121,MATCH((INDEX(PMtbl[[WKst]:[Unit of measure*]],MATCH($A191&amp;$E191&amp;$I191,INDEX(PMtbl[Category]&amp;PMtbl[Each]&amp;PMtbl[Packaging],0,),0),3)),SETUP!$D$19:$D$121,0),5),"")</f>
        <v/>
      </c>
      <c r="BK191" s="543" t="str" cm="1">
        <f t="array" ref="BK191">IFERROR(IF((INDEX(SETUP!$C$19:$G$121,MATCH((INDEX(PMtbl[[WKst]:[Unit of measure*]],MATCH($A191&amp;$E191&amp;$I191,INDEX(PMtbl[Category]&amp;PMtbl[Each]&amp;PMtbl[Packaging],0,),0),3)),SETUP!$D$19:$D$121,0),4))="Upfront",0,INDEX(SETUP!$C$19:$G$121,MATCH((INDEX(PMtbl[[WKst]:[Unit of measure*]],MATCH($A191&amp;$E191&amp;$I191,INDEX(PMtbl[Category]&amp;PMtbl[Each]&amp;PMtbl[Packaging],0,),0),3)),SETUP!$D$19:$D$121,0),5)),"")</f>
        <v/>
      </c>
      <c r="BL191" s="215" t="str" cm="1">
        <f t="array" ref="BL191">IF(E191&lt;&gt;"",IFERROR(INDEX(PMtbl[[WKst]:[Unit of measure*]],MATCH($A$115&amp;$A191&amp;$E191&amp;$I191,INDEX(PMtbl[Sec]&amp;PMtbl[Category]&amp;PMtbl[Each]&amp;PMtbl[Packaging],0,),0),11),""),"")</f>
        <v/>
      </c>
      <c r="BO191" s="12">
        <f>IF(N191="",0,IF(SETUP!$E$7="USD",((IF(O191="USD",P191,(P191/'Master Data-C19RM'!$C$2)))),((IF(O191="EUR",P191,(P191*'Master Data-C19RM'!$C$2))))))</f>
        <v>0</v>
      </c>
      <c r="BP191" s="12">
        <f>IF(N191="",0,IF(SETUP!$E$7="USD",((IF(O191="USD",W191,(W191/'Master Data-C19RM'!$D$2)))),((IF(O191="EUR",W191,(W191*'Master Data-C19RM'!$D$2))))))</f>
        <v>0</v>
      </c>
      <c r="BQ191">
        <f>IF(N191="",0,IF(SETUP!$E$7="USD",((IF(O191="USD",AD191,(AD191/'Master Data-C19RM'!$E$2)))),((IF(O191="EUR",AD191,(AD191*'Master Data-C19RM'!$E$2))))))</f>
        <v>0</v>
      </c>
      <c r="BR191">
        <f>IF(N191="",0,IF(SETUP!$E$7="USD",((IF(O191="USD",AK191,(AK191/'Master Data-C19RM'!$F$2)))),((IF(O191="EUR",AK191,(AK191*'Master Data-C19RM'!$F$2))))))</f>
        <v>0</v>
      </c>
      <c r="BS191">
        <f>IF(N191="",0,IF(SETUP!$E$7="USD",((IF(O191="USD",AR191,(AR191/'Master Data-C19RM'!$G$2)))),((IF(O191="EUR",AR191,(AR191*'Master Data-C19RM'!$G$2))))))</f>
        <v>0</v>
      </c>
      <c r="BT191">
        <f>IF(N191="",0,IF(SETUP!$E$7="USD",((IF(O191="USD",AY191,(AY191/'Master Data-C19RM'!$H$2)))),((IF(O191="EUR",AY191,(AY191*'Master Data-C19RM'!$H$2))))))</f>
        <v>0</v>
      </c>
      <c r="BU191" s="12">
        <f t="shared" si="15"/>
        <v>0</v>
      </c>
      <c r="BV191" s="142">
        <f t="shared" si="16"/>
        <v>0</v>
      </c>
    </row>
    <row r="192" spans="1:74" x14ac:dyDescent="0.35">
      <c r="A192" s="1165"/>
      <c r="B192" s="1165"/>
      <c r="C192" s="1165"/>
      <c r="D192" s="1165"/>
      <c r="E192" s="1166"/>
      <c r="F192" s="1166"/>
      <c r="G192" s="1166"/>
      <c r="H192" s="1166"/>
      <c r="I192" s="1166"/>
      <c r="J192" s="1166"/>
      <c r="K192" s="1166"/>
      <c r="L192" s="490" t="str" cm="1">
        <f t="array" ref="L192">IF(A192&lt;&gt;"",IFERROR(INDEX(PMtbl[[WKst]:[Unit of measure*]],MATCH($A$115&amp;$A192&amp;$E192&amp;$I192,INDEX(PMtbl[Sec]&amp;PMtbl[Category]&amp;PMtbl[Each]&amp;PMtbl[Packaging],0,),0),14),""),"")</f>
        <v/>
      </c>
      <c r="M192" s="479" t="str">
        <f>IF(L192="","",INDEX(SETUP!$E$20:$E$122,(MATCH(INDEX(PMsheet!$D:$E,MATCH(A192,PMsheet!E:E,0),1),SETUP!$D$20:$D$122,0))))</f>
        <v/>
      </c>
      <c r="N192" s="491">
        <f>IF($O192="USD",_xlfn.IFNA(VLOOKUP(A192&amp;E192&amp;I192,PMsheet!J:K,2,0),0),(_xlfn.IFNA(VLOOKUP(A192&amp;E192&amp;I192,PMsheet!J:K,2,0),0)*'Master Data-C19RM'!$C$2))</f>
        <v>0</v>
      </c>
      <c r="O192" s="492" t="str">
        <f>IF(L192="", "",SETUP!$E$7)</f>
        <v/>
      </c>
      <c r="P192" s="456">
        <f>IF($O192="USD",_xlfn.IFNA(VLOOKUP($A192&amp;$E192&amp;$I192,PMsheet!$J:$K,2,0),0),(_xlfn.IFNA(VLOOKUP($A192&amp;$E192&amp;$I192,PMsheet!$J:$K,2,0),0)*'Master Data-C19RM'!$C$2))</f>
        <v>0</v>
      </c>
      <c r="Q192" s="441"/>
      <c r="R192" s="441"/>
      <c r="S192" s="441"/>
      <c r="T192" s="441"/>
      <c r="U192" s="481">
        <f t="shared" si="17"/>
        <v>0</v>
      </c>
      <c r="V192" s="483">
        <f>IF(SETUP!$E$7="USD",(U192*(IF(O192="USD",P192,(P192/'Master Data-C19RM'!$C$2)))),(U192*(IF(O192="EUR",P192,(P192*'Master Data-C19RM'!$C$2)))))</f>
        <v>0</v>
      </c>
      <c r="W192" s="444">
        <f>IF($O192="USD",_xlfn.IFNA(VLOOKUP($A192&amp;$E192&amp;$I192,PMsheet!$J:$K,2,0),0),(_xlfn.IFNA(VLOOKUP($A192&amp;$E192&amp;$I192,PMsheet!$J:$K,2,0),0)*'Master Data-C19RM'!$D$2))</f>
        <v>0</v>
      </c>
      <c r="X192" s="441"/>
      <c r="Y192" s="441"/>
      <c r="Z192" s="441"/>
      <c r="AA192" s="441"/>
      <c r="AB192" s="481">
        <f t="shared" si="18"/>
        <v>0</v>
      </c>
      <c r="AC192" s="483">
        <f>IF(SETUP!$E$7="USD",(AB192*(IF(O192="USD",W192,(W192/'Master Data-C19RM'!$D$2)))),(AB192*(IF(O192="EUR",W192,(W192*'Master Data-C19RM'!$D$2)))))</f>
        <v>0</v>
      </c>
      <c r="AD192" s="444">
        <f>IF($O192="USD",_xlfn.IFNA(VLOOKUP($A192&amp;$E192&amp;$I192,PMsheet!$J:$K,2,0),0),(_xlfn.IFNA(VLOOKUP($A192&amp;$E192&amp;$I192,PMsheet!$J:$K,2,0),0)*'Master Data-C19RM'!$E$2))</f>
        <v>0</v>
      </c>
      <c r="AE192" s="441"/>
      <c r="AF192" s="441"/>
      <c r="AG192" s="441"/>
      <c r="AH192" s="441"/>
      <c r="AI192" s="512">
        <f t="shared" si="19"/>
        <v>0</v>
      </c>
      <c r="AJ192" s="513">
        <f>IF(SETUP!$E$7="USD",(AI192*(IF(O192="USD",AD192,(AD192/'Master Data-C19RM'!$E$2)))),(AI192*(IF(O192="EUR",AD192,(AD192*'Master Data-C19RM'!$E$2)))))</f>
        <v>0</v>
      </c>
      <c r="AK192" s="444">
        <f>IF($O192="USD",_xlfn.IFNA(VLOOKUP($A192&amp;$E192&amp;$I192,PMsheet!$J:$K,2,0),0),(_xlfn.IFNA(VLOOKUP($A192&amp;$E192&amp;$I192,PMsheet!$J:$K,2,0),0)*'Master Data-C19RM'!$F$2))</f>
        <v>0</v>
      </c>
      <c r="AL192" s="441"/>
      <c r="AM192" s="441"/>
      <c r="AN192" s="441"/>
      <c r="AO192" s="441"/>
      <c r="AP192" s="512">
        <f t="shared" si="20"/>
        <v>0</v>
      </c>
      <c r="AQ192" s="513">
        <f>IF(SETUP!$E$7="USD",(AP192*(IF(O192="USD",AK192,(AK192/'Master Data-C19RM'!$F$2)))),(AP192*(IF(O192="EUR",AK192,(AK192*'Master Data-C19RM'!$F$2)))))</f>
        <v>0</v>
      </c>
      <c r="AR192" s="924">
        <f>IF($O192="USD",_xlfn.IFNA(VLOOKUP($A192&amp;$E192&amp;$I192,PMsheet!$J:$K,2,0),0),(_xlfn.IFNA(VLOOKUP($A192&amp;$E192&amp;$I192,PMsheet!$J:$K,2,0),0)*'Master Data-C19RM'!$G$2))</f>
        <v>0</v>
      </c>
      <c r="AS192" s="572"/>
      <c r="AT192" s="572"/>
      <c r="AU192" s="572"/>
      <c r="AV192" s="572"/>
      <c r="AW192" s="512">
        <f t="shared" si="24"/>
        <v>0</v>
      </c>
      <c r="AX192" s="513">
        <f>IF(SETUP!$E$7="USD",(AW192*(IF(O192="USD",AR192,(AR192/'Master Data-C19RM'!$G$2)))),(AW192*(IF(O192="EUR",AR192,(AR192*'Master Data-C19RM'!$G$2)))))</f>
        <v>0</v>
      </c>
      <c r="AY192" s="845"/>
      <c r="AZ192" s="846"/>
      <c r="BA192" s="846"/>
      <c r="BB192" s="846"/>
      <c r="BC192" s="846"/>
      <c r="BD192" s="846"/>
      <c r="BE192" s="847"/>
      <c r="BF192" s="512">
        <f>'C19RM 2021-Lab &amp; Other HPS'!$U192+'C19RM 2021-Lab &amp; Other HPS'!$AB192+'C19RM 2021-Lab &amp; Other HPS'!$AP192+'C19RM 2021-Lab &amp; Other HPS'!$AI192+AW192+BD192</f>
        <v>0</v>
      </c>
      <c r="BG192" s="512">
        <f>'C19RM 2021-Lab &amp; Other HPS'!$V192+'C19RM 2021-Lab &amp; Other HPS'!$AC192+'C19RM 2021-Lab &amp; Other HPS'!$AQ192+'C19RM 2021-Lab &amp; Other HPS'!$AJ192+AX192+BE192</f>
        <v>0</v>
      </c>
      <c r="BH192" s="500" t="str" cm="1">
        <f t="array" ref="BH192">IF(A192&lt;&gt;"",IFERROR(INDEX(PMtbl[[WKst]:[Unit of measure*]],MATCH($A$115&amp;$A192&amp;$E192&amp;$I192,INDEX(PMtbl[Sec]&amp;PMtbl[Category]&amp;PMtbl[Each]&amp;PMtbl[Packaging],0,),0),11),""),"")</f>
        <v/>
      </c>
      <c r="BI192" s="819"/>
      <c r="BJ192" s="502" t="str" cm="1">
        <f t="array" ref="BJ192">IFERROR(INDEX(SETUP!$C$19:$G$121,MATCH((INDEX(PMtbl[[WKst]:[Unit of measure*]],MATCH($A192&amp;$E192&amp;$I192,INDEX(PMtbl[Category]&amp;PMtbl[Each]&amp;PMtbl[Packaging],0,),0),3)),SETUP!$D$19:$D$121,0),5),"")</f>
        <v/>
      </c>
      <c r="BK192" s="542" t="str" cm="1">
        <f t="array" ref="BK192">IFERROR(IF((INDEX(SETUP!$C$19:$G$121,MATCH((INDEX(PMtbl[[WKst]:[Unit of measure*]],MATCH($A192&amp;$E192&amp;$I192,INDEX(PMtbl[Category]&amp;PMtbl[Each]&amp;PMtbl[Packaging],0,),0),3)),SETUP!$D$19:$D$121,0),4))="Upfront",0,INDEX(SETUP!$C$19:$G$121,MATCH((INDEX(PMtbl[[WKst]:[Unit of measure*]],MATCH($A192&amp;$E192&amp;$I192,INDEX(PMtbl[Category]&amp;PMtbl[Each]&amp;PMtbl[Packaging],0,),0),3)),SETUP!$D$19:$D$121,0),5)),"")</f>
        <v/>
      </c>
      <c r="BL192" s="214" t="str" cm="1">
        <f t="array" ref="BL192">IF(E192&lt;&gt;"",IFERROR(INDEX(PMtbl[[WKst]:[Unit of measure*]],MATCH($A$115&amp;$A192&amp;$E192&amp;$I192,INDEX(PMtbl[Sec]&amp;PMtbl[Category]&amp;PMtbl[Each]&amp;PMtbl[Packaging],0,),0),11),""),"")</f>
        <v/>
      </c>
      <c r="BO192" s="12">
        <f>IF(N192="",0,IF(SETUP!$E$7="USD",((IF(O192="USD",P192,(P192/'Master Data-C19RM'!$C$2)))),((IF(O192="EUR",P192,(P192*'Master Data-C19RM'!$C$2))))))</f>
        <v>0</v>
      </c>
      <c r="BP192" s="12">
        <f>IF(N192="",0,IF(SETUP!$E$7="USD",((IF(O192="USD",W192,(W192/'Master Data-C19RM'!$D$2)))),((IF(O192="EUR",W192,(W192*'Master Data-C19RM'!$D$2))))))</f>
        <v>0</v>
      </c>
      <c r="BQ192">
        <f>IF(N192="",0,IF(SETUP!$E$7="USD",((IF(O192="USD",AD192,(AD192/'Master Data-C19RM'!$E$2)))),((IF(O192="EUR",AD192,(AD192*'Master Data-C19RM'!$E$2))))))</f>
        <v>0</v>
      </c>
      <c r="BR192">
        <f>IF(N192="",0,IF(SETUP!$E$7="USD",((IF(O192="USD",AK192,(AK192/'Master Data-C19RM'!$F$2)))),((IF(O192="EUR",AK192,(AK192*'Master Data-C19RM'!$F$2))))))</f>
        <v>0</v>
      </c>
      <c r="BS192">
        <f>IF(N192="",0,IF(SETUP!$E$7="USD",((IF(O192="USD",AR192,(AR192/'Master Data-C19RM'!$G$2)))),((IF(O192="EUR",AR192,(AR192*'Master Data-C19RM'!$G$2))))))</f>
        <v>0</v>
      </c>
      <c r="BT192">
        <f>IF(N192="",0,IF(SETUP!$E$7="USD",((IF(O192="USD",AY192,(AY192/'Master Data-C19RM'!$H$2)))),((IF(O192="EUR",AY192,(AY192*'Master Data-C19RM'!$H$2))))))</f>
        <v>0</v>
      </c>
      <c r="BU192" s="12">
        <f t="shared" si="15"/>
        <v>0</v>
      </c>
      <c r="BV192" s="142">
        <f t="shared" si="16"/>
        <v>0</v>
      </c>
    </row>
    <row r="193" spans="1:74" x14ac:dyDescent="0.35">
      <c r="A193" s="1192"/>
      <c r="B193" s="1192"/>
      <c r="C193" s="1192"/>
      <c r="D193" s="1192"/>
      <c r="E193" s="1173"/>
      <c r="F193" s="1173"/>
      <c r="G193" s="1173"/>
      <c r="H193" s="1173"/>
      <c r="I193" s="1173"/>
      <c r="J193" s="1173"/>
      <c r="K193" s="1173"/>
      <c r="L193" s="493" t="str" cm="1">
        <f t="array" ref="L193">IF(A193&lt;&gt;"",IFERROR(INDEX(PMtbl[[WKst]:[Unit of measure*]],MATCH($A$115&amp;$A193&amp;$E193&amp;$I193,INDEX(PMtbl[Sec]&amp;PMtbl[Category]&amp;PMtbl[Each]&amp;PMtbl[Packaging],0,),0),14),""),"")</f>
        <v/>
      </c>
      <c r="M193" s="480" t="str">
        <f>IF(L193="","",INDEX(SETUP!$E$20:$E$122,(MATCH(INDEX(PMsheet!$D:$E,MATCH(A193,PMsheet!E:E,0),1),SETUP!$D$20:$D$122,0))))</f>
        <v/>
      </c>
      <c r="N193" s="494">
        <f>IF($O193="USD",_xlfn.IFNA(VLOOKUP(A193&amp;E193&amp;I193,PMsheet!J:K,2,0),0),(_xlfn.IFNA(VLOOKUP(A193&amp;E193&amp;I193,PMsheet!J:K,2,0),0)*'Master Data-C19RM'!$C$2))</f>
        <v>0</v>
      </c>
      <c r="O193" s="495" t="str">
        <f>IF(L193="", "",SETUP!$E$7)</f>
        <v/>
      </c>
      <c r="P193" s="457">
        <f>IF($O193="USD",_xlfn.IFNA(VLOOKUP($A193&amp;$E193&amp;$I193,PMsheet!$J:$K,2,0),0),(_xlfn.IFNA(VLOOKUP($A193&amp;$E193&amp;$I193,PMsheet!$J:$K,2,0),0)*'Master Data-C19RM'!$C$2))</f>
        <v>0</v>
      </c>
      <c r="Q193" s="440"/>
      <c r="R193" s="440"/>
      <c r="S193" s="440"/>
      <c r="T193" s="440"/>
      <c r="U193" s="482">
        <f t="shared" si="17"/>
        <v>0</v>
      </c>
      <c r="V193" s="484">
        <f>IF(SETUP!$E$7="USD",(U193*(IF(O193="USD",P193,(P193/'Master Data-C19RM'!$C$2)))),(U193*(IF(O193="EUR",P193,(P193*'Master Data-C19RM'!$C$2)))))</f>
        <v>0</v>
      </c>
      <c r="W193" s="445">
        <f>IF($O193="USD",_xlfn.IFNA(VLOOKUP($A193&amp;$E193&amp;$I193,PMsheet!$J:$K,2,0),0),(_xlfn.IFNA(VLOOKUP($A193&amp;$E193&amp;$I193,PMsheet!$J:$K,2,0),0)*'Master Data-C19RM'!$D$2))</f>
        <v>0</v>
      </c>
      <c r="X193" s="440"/>
      <c r="Y193" s="440"/>
      <c r="Z193" s="440"/>
      <c r="AA193" s="440"/>
      <c r="AB193" s="482">
        <f t="shared" si="18"/>
        <v>0</v>
      </c>
      <c r="AC193" s="484">
        <f>IF(SETUP!$E$7="USD",(AB193*(IF(O193="USD",W193,(W193/'Master Data-C19RM'!$D$2)))),(AB193*(IF(O193="EUR",W193,(W193*'Master Data-C19RM'!$D$2)))))</f>
        <v>0</v>
      </c>
      <c r="AD193" s="445">
        <f>IF($O193="USD",_xlfn.IFNA(VLOOKUP($A193&amp;$E193&amp;$I193,PMsheet!$J:$K,2,0),0),(_xlfn.IFNA(VLOOKUP($A193&amp;$E193&amp;$I193,PMsheet!$J:$K,2,0),0)*'Master Data-C19RM'!$E$2))</f>
        <v>0</v>
      </c>
      <c r="AE193" s="440"/>
      <c r="AF193" s="440"/>
      <c r="AG193" s="440"/>
      <c r="AH193" s="440"/>
      <c r="AI193" s="514">
        <f t="shared" si="19"/>
        <v>0</v>
      </c>
      <c r="AJ193" s="515">
        <f>IF(SETUP!$E$7="USD",(AI193*(IF(O193="USD",AD193,(AD193/'Master Data-C19RM'!$E$2)))),(AI193*(IF(O193="EUR",AD193,(AD193*'Master Data-C19RM'!$E$2)))))</f>
        <v>0</v>
      </c>
      <c r="AK193" s="445">
        <f>IF($O193="USD",_xlfn.IFNA(VLOOKUP($A193&amp;$E193&amp;$I193,PMsheet!$J:$K,2,0),0),(_xlfn.IFNA(VLOOKUP($A193&amp;$E193&amp;$I193,PMsheet!$J:$K,2,0),0)*'Master Data-C19RM'!$F$2))</f>
        <v>0</v>
      </c>
      <c r="AL193" s="440"/>
      <c r="AM193" s="440"/>
      <c r="AN193" s="440"/>
      <c r="AO193" s="440"/>
      <c r="AP193" s="514">
        <f t="shared" si="20"/>
        <v>0</v>
      </c>
      <c r="AQ193" s="515">
        <f>IF(SETUP!$E$7="USD",(AP193*(IF(O193="USD",AK193,(AK193/'Master Data-C19RM'!$F$2)))),(AP193*(IF(O193="EUR",AK193,(AK193*'Master Data-C19RM'!$F$2)))))</f>
        <v>0</v>
      </c>
      <c r="AR193" s="925">
        <f>IF($O193="USD",_xlfn.IFNA(VLOOKUP($A193&amp;$E193&amp;$I193,PMsheet!$J:$K,2,0),0),(_xlfn.IFNA(VLOOKUP($A193&amp;$E193&amp;$I193,PMsheet!$J:$K,2,0),0)*'Master Data-C19RM'!$G$2))</f>
        <v>0</v>
      </c>
      <c r="AS193" s="926"/>
      <c r="AT193" s="926"/>
      <c r="AU193" s="926"/>
      <c r="AV193" s="926"/>
      <c r="AW193" s="514">
        <f t="shared" si="24"/>
        <v>0</v>
      </c>
      <c r="AX193" s="515">
        <f>IF(SETUP!$E$7="USD",(AW193*(IF(O193="USD",AR193,(AR193/'Master Data-C19RM'!$G$2)))),(AW193*(IF(O193="EUR",AR193,(AR193*'Master Data-C19RM'!$G$2)))))</f>
        <v>0</v>
      </c>
      <c r="AY193" s="845"/>
      <c r="AZ193" s="846"/>
      <c r="BA193" s="846"/>
      <c r="BB193" s="846"/>
      <c r="BC193" s="846"/>
      <c r="BD193" s="846"/>
      <c r="BE193" s="847"/>
      <c r="BF193" s="514">
        <f>'C19RM 2021-Lab &amp; Other HPS'!$U193+'C19RM 2021-Lab &amp; Other HPS'!$AB193+'C19RM 2021-Lab &amp; Other HPS'!$AP193+'C19RM 2021-Lab &amp; Other HPS'!$AI193+AW193+BD193</f>
        <v>0</v>
      </c>
      <c r="BG193" s="514">
        <f>'C19RM 2021-Lab &amp; Other HPS'!$V193+'C19RM 2021-Lab &amp; Other HPS'!$AC193+'C19RM 2021-Lab &amp; Other HPS'!$AQ193+'C19RM 2021-Lab &amp; Other HPS'!$AJ193+AX193+BE193</f>
        <v>0</v>
      </c>
      <c r="BH193" s="522" t="str" cm="1">
        <f t="array" ref="BH193">IF(A193&lt;&gt;"",IFERROR(INDEX(PMtbl[[WKst]:[Unit of measure*]],MATCH($A$115&amp;$A193&amp;$E193&amp;$I193,INDEX(PMtbl[Sec]&amp;PMtbl[Category]&amp;PMtbl[Each]&amp;PMtbl[Packaging],0,),0),11),""),"")</f>
        <v/>
      </c>
      <c r="BI193" s="818"/>
      <c r="BJ193" s="503" t="str" cm="1">
        <f t="array" ref="BJ193">IFERROR(INDEX(SETUP!$C$19:$G$121,MATCH((INDEX(PMtbl[[WKst]:[Unit of measure*]],MATCH($A193&amp;$E193&amp;$I193,INDEX(PMtbl[Category]&amp;PMtbl[Each]&amp;PMtbl[Packaging],0,),0),3)),SETUP!$D$19:$D$121,0),5),"")</f>
        <v/>
      </c>
      <c r="BK193" s="543" t="str" cm="1">
        <f t="array" ref="BK193">IFERROR(IF((INDEX(SETUP!$C$19:$G$121,MATCH((INDEX(PMtbl[[WKst]:[Unit of measure*]],MATCH($A193&amp;$E193&amp;$I193,INDEX(PMtbl[Category]&amp;PMtbl[Each]&amp;PMtbl[Packaging],0,),0),3)),SETUP!$D$19:$D$121,0),4))="Upfront",0,INDEX(SETUP!$C$19:$G$121,MATCH((INDEX(PMtbl[[WKst]:[Unit of measure*]],MATCH($A193&amp;$E193&amp;$I193,INDEX(PMtbl[Category]&amp;PMtbl[Each]&amp;PMtbl[Packaging],0,),0),3)),SETUP!$D$19:$D$121,0),5)),"")</f>
        <v/>
      </c>
      <c r="BL193" s="215" t="str" cm="1">
        <f t="array" ref="BL193">IF(E193&lt;&gt;"",IFERROR(INDEX(PMtbl[[WKst]:[Unit of measure*]],MATCH($A$115&amp;$A193&amp;$E193&amp;$I193,INDEX(PMtbl[Sec]&amp;PMtbl[Category]&amp;PMtbl[Each]&amp;PMtbl[Packaging],0,),0),11),""),"")</f>
        <v/>
      </c>
      <c r="BO193" s="12">
        <f>IF(N193="",0,IF(SETUP!$E$7="USD",((IF(O193="USD",P193,(P193/'Master Data-C19RM'!$C$2)))),((IF(O193="EUR",P193,(P193*'Master Data-C19RM'!$C$2))))))</f>
        <v>0</v>
      </c>
      <c r="BP193" s="12">
        <f>IF(N193="",0,IF(SETUP!$E$7="USD",((IF(O193="USD",W193,(W193/'Master Data-C19RM'!$D$2)))),((IF(O193="EUR",W193,(W193*'Master Data-C19RM'!$D$2))))))</f>
        <v>0</v>
      </c>
      <c r="BQ193">
        <f>IF(N193="",0,IF(SETUP!$E$7="USD",((IF(O193="USD",AD193,(AD193/'Master Data-C19RM'!$E$2)))),((IF(O193="EUR",AD193,(AD193*'Master Data-C19RM'!$E$2))))))</f>
        <v>0</v>
      </c>
      <c r="BR193">
        <f>IF(N193="",0,IF(SETUP!$E$7="USD",((IF(O193="USD",AK193,(AK193/'Master Data-C19RM'!$F$2)))),((IF(O193="EUR",AK193,(AK193*'Master Data-C19RM'!$F$2))))))</f>
        <v>0</v>
      </c>
      <c r="BS193">
        <f>IF(N193="",0,IF(SETUP!$E$7="USD",((IF(O193="USD",AR193,(AR193/'Master Data-C19RM'!$G$2)))),((IF(O193="EUR",AR193,(AR193*'Master Data-C19RM'!$G$2))))))</f>
        <v>0</v>
      </c>
      <c r="BT193">
        <f>IF(N193="",0,IF(SETUP!$E$7="USD",((IF(O193="USD",AY193,(AY193/'Master Data-C19RM'!$H$2)))),((IF(O193="EUR",AY193,(AY193*'Master Data-C19RM'!$H$2))))))</f>
        <v>0</v>
      </c>
      <c r="BU193" s="12">
        <f t="shared" si="15"/>
        <v>0</v>
      </c>
      <c r="BV193" s="142">
        <f t="shared" si="16"/>
        <v>0</v>
      </c>
    </row>
    <row r="194" spans="1:74" x14ac:dyDescent="0.35">
      <c r="A194" s="1165"/>
      <c r="B194" s="1165"/>
      <c r="C194" s="1165"/>
      <c r="D194" s="1165"/>
      <c r="E194" s="1166"/>
      <c r="F194" s="1166"/>
      <c r="G194" s="1166"/>
      <c r="H194" s="1166"/>
      <c r="I194" s="1166"/>
      <c r="J194" s="1166"/>
      <c r="K194" s="1166"/>
      <c r="L194" s="490" t="str" cm="1">
        <f t="array" ref="L194">IF(A194&lt;&gt;"",IFERROR(INDEX(PMtbl[[WKst]:[Unit of measure*]],MATCH($A$115&amp;$A194&amp;$E194&amp;$I194,INDEX(PMtbl[Sec]&amp;PMtbl[Category]&amp;PMtbl[Each]&amp;PMtbl[Packaging],0,),0),14),""),"")</f>
        <v/>
      </c>
      <c r="M194" s="479" t="str">
        <f>IF(L194="","",INDEX(SETUP!$E$20:$E$122,(MATCH(INDEX(PMsheet!$D:$E,MATCH(A194,PMsheet!E:E,0),1),SETUP!$D$20:$D$122,0))))</f>
        <v/>
      </c>
      <c r="N194" s="491">
        <f>IF($O194="USD",_xlfn.IFNA(VLOOKUP(A194&amp;E194&amp;I194,PMsheet!J:K,2,0),0),(_xlfn.IFNA(VLOOKUP(A194&amp;E194&amp;I194,PMsheet!J:K,2,0),0)*'Master Data-C19RM'!$C$2))</f>
        <v>0</v>
      </c>
      <c r="O194" s="492" t="str">
        <f>IF(L194="", "",SETUP!$E$7)</f>
        <v/>
      </c>
      <c r="P194" s="456">
        <f>IF($O194="USD",_xlfn.IFNA(VLOOKUP($A194&amp;$E194&amp;$I194,PMsheet!$J:$K,2,0),0),(_xlfn.IFNA(VLOOKUP($A194&amp;$E194&amp;$I194,PMsheet!$J:$K,2,0),0)*'Master Data-C19RM'!$C$2))</f>
        <v>0</v>
      </c>
      <c r="Q194" s="441"/>
      <c r="R194" s="441"/>
      <c r="S194" s="441"/>
      <c r="T194" s="441"/>
      <c r="U194" s="481">
        <f t="shared" si="17"/>
        <v>0</v>
      </c>
      <c r="V194" s="483">
        <f>IF(SETUP!$E$7="USD",(U194*(IF(O194="USD",P194,(P194/'Master Data-C19RM'!$C$2)))),(U194*(IF(O194="EUR",P194,(P194*'Master Data-C19RM'!$C$2)))))</f>
        <v>0</v>
      </c>
      <c r="W194" s="444">
        <f>IF($O194="USD",_xlfn.IFNA(VLOOKUP($A194&amp;$E194&amp;$I194,PMsheet!$J:$K,2,0),0),(_xlfn.IFNA(VLOOKUP($A194&amp;$E194&amp;$I194,PMsheet!$J:$K,2,0),0)*'Master Data-C19RM'!$D$2))</f>
        <v>0</v>
      </c>
      <c r="X194" s="441"/>
      <c r="Y194" s="441"/>
      <c r="Z194" s="441"/>
      <c r="AA194" s="441"/>
      <c r="AB194" s="481">
        <f t="shared" si="18"/>
        <v>0</v>
      </c>
      <c r="AC194" s="483">
        <f>IF(SETUP!$E$7="USD",(AB194*(IF(O194="USD",W194,(W194/'Master Data-C19RM'!$D$2)))),(AB194*(IF(O194="EUR",W194,(W194*'Master Data-C19RM'!$D$2)))))</f>
        <v>0</v>
      </c>
      <c r="AD194" s="444">
        <f>IF($O194="USD",_xlfn.IFNA(VLOOKUP($A194&amp;$E194&amp;$I194,PMsheet!$J:$K,2,0),0),(_xlfn.IFNA(VLOOKUP($A194&amp;$E194&amp;$I194,PMsheet!$J:$K,2,0),0)*'Master Data-C19RM'!$E$2))</f>
        <v>0</v>
      </c>
      <c r="AE194" s="441"/>
      <c r="AF194" s="441"/>
      <c r="AG194" s="441"/>
      <c r="AH194" s="441"/>
      <c r="AI194" s="512">
        <f t="shared" si="19"/>
        <v>0</v>
      </c>
      <c r="AJ194" s="513">
        <f>IF(SETUP!$E$7="USD",(AI194*(IF(O194="USD",AD194,(AD194/'Master Data-C19RM'!$E$2)))),(AI194*(IF(O194="EUR",AD194,(AD194*'Master Data-C19RM'!$E$2)))))</f>
        <v>0</v>
      </c>
      <c r="AK194" s="444">
        <f>IF($O194="USD",_xlfn.IFNA(VLOOKUP($A194&amp;$E194&amp;$I194,PMsheet!$J:$K,2,0),0),(_xlfn.IFNA(VLOOKUP($A194&amp;$E194&amp;$I194,PMsheet!$J:$K,2,0),0)*'Master Data-C19RM'!$F$2))</f>
        <v>0</v>
      </c>
      <c r="AL194" s="441"/>
      <c r="AM194" s="441"/>
      <c r="AN194" s="441"/>
      <c r="AO194" s="441"/>
      <c r="AP194" s="512">
        <f t="shared" si="20"/>
        <v>0</v>
      </c>
      <c r="AQ194" s="513">
        <f>IF(SETUP!$E$7="USD",(AP194*(IF(O194="USD",AK194,(AK194/'Master Data-C19RM'!$F$2)))),(AP194*(IF(O194="EUR",AK194,(AK194*'Master Data-C19RM'!$F$2)))))</f>
        <v>0</v>
      </c>
      <c r="AR194" s="924">
        <f>IF($O194="USD",_xlfn.IFNA(VLOOKUP($A194&amp;$E194&amp;$I194,PMsheet!$J:$K,2,0),0),(_xlfn.IFNA(VLOOKUP($A194&amp;$E194&amp;$I194,PMsheet!$J:$K,2,0),0)*'Master Data-C19RM'!$G$2))</f>
        <v>0</v>
      </c>
      <c r="AS194" s="572"/>
      <c r="AT194" s="572"/>
      <c r="AU194" s="572"/>
      <c r="AV194" s="572"/>
      <c r="AW194" s="512">
        <f t="shared" si="24"/>
        <v>0</v>
      </c>
      <c r="AX194" s="513">
        <f>IF(SETUP!$E$7="USD",(AW194*(IF(O194="USD",AR194,(AR194/'Master Data-C19RM'!$G$2)))),(AW194*(IF(O194="EUR",AR194,(AR194*'Master Data-C19RM'!$G$2)))))</f>
        <v>0</v>
      </c>
      <c r="AY194" s="845"/>
      <c r="AZ194" s="846"/>
      <c r="BA194" s="846"/>
      <c r="BB194" s="846"/>
      <c r="BC194" s="846"/>
      <c r="BD194" s="846"/>
      <c r="BE194" s="847"/>
      <c r="BF194" s="512">
        <f>'C19RM 2021-Lab &amp; Other HPS'!$U194+'C19RM 2021-Lab &amp; Other HPS'!$AB194+'C19RM 2021-Lab &amp; Other HPS'!$AP194+'C19RM 2021-Lab &amp; Other HPS'!$AI194+AW194+BD194</f>
        <v>0</v>
      </c>
      <c r="BG194" s="512">
        <f>'C19RM 2021-Lab &amp; Other HPS'!$V194+'C19RM 2021-Lab &amp; Other HPS'!$AC194+'C19RM 2021-Lab &amp; Other HPS'!$AQ194+'C19RM 2021-Lab &amp; Other HPS'!$AJ194+AX194+BE194</f>
        <v>0</v>
      </c>
      <c r="BH194" s="500" t="str" cm="1">
        <f t="array" ref="BH194">IF(A194&lt;&gt;"",IFERROR(INDEX(PMtbl[[WKst]:[Unit of measure*]],MATCH($A$115&amp;$A194&amp;$E194&amp;$I194,INDEX(PMtbl[Sec]&amp;PMtbl[Category]&amp;PMtbl[Each]&amp;PMtbl[Packaging],0,),0),11),""),"")</f>
        <v/>
      </c>
      <c r="BI194" s="819"/>
      <c r="BJ194" s="502" t="str" cm="1">
        <f t="array" ref="BJ194">IFERROR(INDEX(SETUP!$C$19:$G$121,MATCH((INDEX(PMtbl[[WKst]:[Unit of measure*]],MATCH($A194&amp;$E194&amp;$I194,INDEX(PMtbl[Category]&amp;PMtbl[Each]&amp;PMtbl[Packaging],0,),0),3)),SETUP!$D$19:$D$121,0),5),"")</f>
        <v/>
      </c>
      <c r="BK194" s="542"/>
      <c r="BL194" s="214"/>
      <c r="BO194" s="12">
        <f>IF(N194="",0,IF(SETUP!$E$7="USD",((IF(O194="USD",P194,(P194/'Master Data-C19RM'!$C$2)))),((IF(O194="EUR",P194,(P194*'Master Data-C19RM'!$C$2))))))</f>
        <v>0</v>
      </c>
      <c r="BP194" s="12">
        <f>IF(N194="",0,IF(SETUP!$E$7="USD",((IF(O194="USD",W194,(W194/'Master Data-C19RM'!$D$2)))),((IF(O194="EUR",W194,(W194*'Master Data-C19RM'!$D$2))))))</f>
        <v>0</v>
      </c>
      <c r="BQ194">
        <f>IF(N194="",0,IF(SETUP!$E$7="USD",((IF(O194="USD",AD194,(AD194/'Master Data-C19RM'!$E$2)))),((IF(O194="EUR",AD194,(AD194*'Master Data-C19RM'!$E$2))))))</f>
        <v>0</v>
      </c>
      <c r="BR194">
        <f>IF(N194="",0,IF(SETUP!$E$7="USD",((IF(O194="USD",AK194,(AK194/'Master Data-C19RM'!$F$2)))),((IF(O194="EUR",AK194,(AK194*'Master Data-C19RM'!$F$2))))))</f>
        <v>0</v>
      </c>
      <c r="BS194">
        <f>IF(N194="",0,IF(SETUP!$E$7="USD",((IF(O194="USD",AR194,(AR194/'Master Data-C19RM'!$G$2)))),((IF(O194="EUR",AR194,(AR194*'Master Data-C19RM'!$G$2))))))</f>
        <v>0</v>
      </c>
      <c r="BT194">
        <f>IF(N194="",0,IF(SETUP!$E$7="USD",((IF(O194="USD",AY194,(AY194/'Master Data-C19RM'!$H$2)))),((IF(O194="EUR",AY194,(AY194*'Master Data-C19RM'!$H$2))))))</f>
        <v>0</v>
      </c>
      <c r="BU194" s="12">
        <f t="shared" ref="BU194:BU218" si="25">IF(AND(L194="",(COUNTBLANK(A194:K194)=8)),1,0)</f>
        <v>0</v>
      </c>
      <c r="BV194" s="142">
        <f t="shared" ref="BV194:BV218" si="26">BF194</f>
        <v>0</v>
      </c>
    </row>
    <row r="195" spans="1:74" x14ac:dyDescent="0.35">
      <c r="A195" s="1192"/>
      <c r="B195" s="1192"/>
      <c r="C195" s="1192"/>
      <c r="D195" s="1192"/>
      <c r="E195" s="1173"/>
      <c r="F195" s="1173"/>
      <c r="G195" s="1173"/>
      <c r="H195" s="1173"/>
      <c r="I195" s="1173"/>
      <c r="J195" s="1173"/>
      <c r="K195" s="1173"/>
      <c r="L195" s="493" t="str" cm="1">
        <f t="array" ref="L195">IF(A195&lt;&gt;"",IFERROR(INDEX(PMtbl[[WKst]:[Unit of measure*]],MATCH($A$115&amp;$A195&amp;$E195&amp;$I195,INDEX(PMtbl[Sec]&amp;PMtbl[Category]&amp;PMtbl[Each]&amp;PMtbl[Packaging],0,),0),14),""),"")</f>
        <v/>
      </c>
      <c r="M195" s="480" t="str">
        <f>IF(L195="","",INDEX(SETUP!$E$20:$E$122,(MATCH(INDEX(PMsheet!$D:$E,MATCH(A195,PMsheet!E:E,0),1),SETUP!$D$20:$D$122,0))))</f>
        <v/>
      </c>
      <c r="N195" s="494">
        <f>IF($O195="USD",_xlfn.IFNA(VLOOKUP(A195&amp;E195&amp;I195,PMsheet!J:K,2,0),0),(_xlfn.IFNA(VLOOKUP(A195&amp;E195&amp;I195,PMsheet!J:K,2,0),0)*'Master Data-C19RM'!$C$2))</f>
        <v>0</v>
      </c>
      <c r="O195" s="495" t="str">
        <f>IF(L195="", "",SETUP!$E$7)</f>
        <v/>
      </c>
      <c r="P195" s="457">
        <f>IF($O195="USD",_xlfn.IFNA(VLOOKUP($A195&amp;$E195&amp;$I195,PMsheet!$J:$K,2,0),0),(_xlfn.IFNA(VLOOKUP($A195&amp;$E195&amp;$I195,PMsheet!$J:$K,2,0),0)*'Master Data-C19RM'!$C$2))</f>
        <v>0</v>
      </c>
      <c r="Q195" s="440"/>
      <c r="R195" s="440"/>
      <c r="S195" s="440"/>
      <c r="T195" s="440"/>
      <c r="U195" s="482">
        <f t="shared" si="17"/>
        <v>0</v>
      </c>
      <c r="V195" s="484">
        <f>IF(SETUP!$E$7="USD",(U195*(IF(O195="USD",P195,(P195/'Master Data-C19RM'!$C$2)))),(U195*(IF(O195="EUR",P195,(P195*'Master Data-C19RM'!$C$2)))))</f>
        <v>0</v>
      </c>
      <c r="W195" s="445">
        <f>IF($O195="USD",_xlfn.IFNA(VLOOKUP($A195&amp;$E195&amp;$I195,PMsheet!$J:$K,2,0),0),(_xlfn.IFNA(VLOOKUP($A195&amp;$E195&amp;$I195,PMsheet!$J:$K,2,0),0)*'Master Data-C19RM'!$D$2))</f>
        <v>0</v>
      </c>
      <c r="X195" s="440"/>
      <c r="Y195" s="440"/>
      <c r="Z195" s="440"/>
      <c r="AA195" s="440"/>
      <c r="AB195" s="482">
        <f t="shared" si="18"/>
        <v>0</v>
      </c>
      <c r="AC195" s="484">
        <f>IF(SETUP!$E$7="USD",(AB195*(IF(O195="USD",W195,(W195/'Master Data-C19RM'!$D$2)))),(AB195*(IF(O195="EUR",W195,(W195*'Master Data-C19RM'!$D$2)))))</f>
        <v>0</v>
      </c>
      <c r="AD195" s="445">
        <f>IF($O195="USD",_xlfn.IFNA(VLOOKUP($A195&amp;$E195&amp;$I195,PMsheet!$J:$K,2,0),0),(_xlfn.IFNA(VLOOKUP($A195&amp;$E195&amp;$I195,PMsheet!$J:$K,2,0),0)*'Master Data-C19RM'!$E$2))</f>
        <v>0</v>
      </c>
      <c r="AE195" s="440"/>
      <c r="AF195" s="440"/>
      <c r="AG195" s="440"/>
      <c r="AH195" s="440"/>
      <c r="AI195" s="514">
        <f t="shared" si="19"/>
        <v>0</v>
      </c>
      <c r="AJ195" s="515">
        <f>IF(SETUP!$E$7="USD",(AI195*(IF(O195="USD",AD195,(AD195/'Master Data-C19RM'!$E$2)))),(AI195*(IF(O195="EUR",AD195,(AD195*'Master Data-C19RM'!$E$2)))))</f>
        <v>0</v>
      </c>
      <c r="AK195" s="445">
        <f>IF($O195="USD",_xlfn.IFNA(VLOOKUP($A195&amp;$E195&amp;$I195,PMsheet!$J:$K,2,0),0),(_xlfn.IFNA(VLOOKUP($A195&amp;$E195&amp;$I195,PMsheet!$J:$K,2,0),0)*'Master Data-C19RM'!$F$2))</f>
        <v>0</v>
      </c>
      <c r="AL195" s="440"/>
      <c r="AM195" s="440"/>
      <c r="AN195" s="440"/>
      <c r="AO195" s="440"/>
      <c r="AP195" s="514">
        <f t="shared" si="20"/>
        <v>0</v>
      </c>
      <c r="AQ195" s="515">
        <f>IF(SETUP!$E$7="USD",(AP195*(IF(O195="USD",AK195,(AK195/'Master Data-C19RM'!$F$2)))),(AP195*(IF(O195="EUR",AK195,(AK195*'Master Data-C19RM'!$F$2)))))</f>
        <v>0</v>
      </c>
      <c r="AR195" s="925">
        <f>IF($O195="USD",_xlfn.IFNA(VLOOKUP($A195&amp;$E195&amp;$I195,PMsheet!$J:$K,2,0),0),(_xlfn.IFNA(VLOOKUP($A195&amp;$E195&amp;$I195,PMsheet!$J:$K,2,0),0)*'Master Data-C19RM'!$G$2))</f>
        <v>0</v>
      </c>
      <c r="AS195" s="926"/>
      <c r="AT195" s="926"/>
      <c r="AU195" s="926"/>
      <c r="AV195" s="926"/>
      <c r="AW195" s="514">
        <f t="shared" si="24"/>
        <v>0</v>
      </c>
      <c r="AX195" s="515">
        <f>IF(SETUP!$E$7="USD",(AW195*(IF(O195="USD",AR195,(AR195/'Master Data-C19RM'!$G$2)))),(AW195*(IF(O195="EUR",AR195,(AR195*'Master Data-C19RM'!$G$2)))))</f>
        <v>0</v>
      </c>
      <c r="AY195" s="845"/>
      <c r="AZ195" s="846"/>
      <c r="BA195" s="846"/>
      <c r="BB195" s="846"/>
      <c r="BC195" s="846"/>
      <c r="BD195" s="846"/>
      <c r="BE195" s="847"/>
      <c r="BF195" s="514">
        <f>'C19RM 2021-Lab &amp; Other HPS'!$U195+'C19RM 2021-Lab &amp; Other HPS'!$AB195+'C19RM 2021-Lab &amp; Other HPS'!$AP195+'C19RM 2021-Lab &amp; Other HPS'!$AI195+AW195+BD195</f>
        <v>0</v>
      </c>
      <c r="BG195" s="514">
        <f>'C19RM 2021-Lab &amp; Other HPS'!$V195+'C19RM 2021-Lab &amp; Other HPS'!$AC195+'C19RM 2021-Lab &amp; Other HPS'!$AQ195+'C19RM 2021-Lab &amp; Other HPS'!$AJ195+AX195+BE195</f>
        <v>0</v>
      </c>
      <c r="BH195" s="522" t="str" cm="1">
        <f t="array" ref="BH195">IF(A195&lt;&gt;"",IFERROR(INDEX(PMtbl[[WKst]:[Unit of measure*]],MATCH($A$115&amp;$A195&amp;$E195&amp;$I195,INDEX(PMtbl[Sec]&amp;PMtbl[Category]&amp;PMtbl[Each]&amp;PMtbl[Packaging],0,),0),11),""),"")</f>
        <v/>
      </c>
      <c r="BI195" s="818"/>
      <c r="BJ195" s="503" t="str" cm="1">
        <f t="array" ref="BJ195">IFERROR(INDEX(SETUP!$C$19:$G$121,MATCH((INDEX(PMtbl[[WKst]:[Unit of measure*]],MATCH($A195&amp;$E195&amp;$I195,INDEX(PMtbl[Category]&amp;PMtbl[Each]&amp;PMtbl[Packaging],0,),0),3)),SETUP!$D$19:$D$121,0),5),"")</f>
        <v/>
      </c>
      <c r="BK195" s="543"/>
      <c r="BL195" s="215"/>
      <c r="BO195" s="12">
        <f>IF(N195="",0,IF(SETUP!$E$7="USD",((IF(O195="USD",P195,(P195/'Master Data-C19RM'!$C$2)))),((IF(O195="EUR",P195,(P195*'Master Data-C19RM'!$C$2))))))</f>
        <v>0</v>
      </c>
      <c r="BP195" s="12">
        <f>IF(N195="",0,IF(SETUP!$E$7="USD",((IF(O195="USD",W195,(W195/'Master Data-C19RM'!$D$2)))),((IF(O195="EUR",W195,(W195*'Master Data-C19RM'!$D$2))))))</f>
        <v>0</v>
      </c>
      <c r="BQ195">
        <f>IF(N195="",0,IF(SETUP!$E$7="USD",((IF(O195="USD",AD195,(AD195/'Master Data-C19RM'!$E$2)))),((IF(O195="EUR",AD195,(AD195*'Master Data-C19RM'!$E$2))))))</f>
        <v>0</v>
      </c>
      <c r="BR195">
        <f>IF(N195="",0,IF(SETUP!$E$7="USD",((IF(O195="USD",AK195,(AK195/'Master Data-C19RM'!$F$2)))),((IF(O195="EUR",AK195,(AK195*'Master Data-C19RM'!$F$2))))))</f>
        <v>0</v>
      </c>
      <c r="BS195">
        <f>IF(N195="",0,IF(SETUP!$E$7="USD",((IF(O195="USD",AR195,(AR195/'Master Data-C19RM'!$G$2)))),((IF(O195="EUR",AR195,(AR195*'Master Data-C19RM'!$G$2))))))</f>
        <v>0</v>
      </c>
      <c r="BT195">
        <f>IF(N195="",0,IF(SETUP!$E$7="USD",((IF(O195="USD",AY195,(AY195/'Master Data-C19RM'!$H$2)))),((IF(O195="EUR",AY195,(AY195*'Master Data-C19RM'!$H$2))))))</f>
        <v>0</v>
      </c>
      <c r="BU195" s="12">
        <f t="shared" si="25"/>
        <v>0</v>
      </c>
      <c r="BV195" s="142">
        <f t="shared" si="26"/>
        <v>0</v>
      </c>
    </row>
    <row r="196" spans="1:74" x14ac:dyDescent="0.35">
      <c r="A196" s="1165"/>
      <c r="B196" s="1165"/>
      <c r="C196" s="1165"/>
      <c r="D196" s="1165"/>
      <c r="E196" s="1166"/>
      <c r="F196" s="1166"/>
      <c r="G196" s="1166"/>
      <c r="H196" s="1166"/>
      <c r="I196" s="1166"/>
      <c r="J196" s="1166"/>
      <c r="K196" s="1166"/>
      <c r="L196" s="490" t="str" cm="1">
        <f t="array" ref="L196">IF(A196&lt;&gt;"",IFERROR(INDEX(PMtbl[[WKst]:[Unit of measure*]],MATCH($A$115&amp;$A196&amp;$E196&amp;$I196,INDEX(PMtbl[Sec]&amp;PMtbl[Category]&amp;PMtbl[Each]&amp;PMtbl[Packaging],0,),0),14),""),"")</f>
        <v/>
      </c>
      <c r="M196" s="479" t="str">
        <f>IF(L196="","",INDEX(SETUP!$E$20:$E$122,(MATCH(INDEX(PMsheet!$D:$E,MATCH(A196,PMsheet!E:E,0),1),SETUP!$D$20:$D$122,0))))</f>
        <v/>
      </c>
      <c r="N196" s="491">
        <f>IF($O196="USD",_xlfn.IFNA(VLOOKUP(A196&amp;E196&amp;I196,PMsheet!J:K,2,0),0),(_xlfn.IFNA(VLOOKUP(A196&amp;E196&amp;I196,PMsheet!J:K,2,0),0)*'Master Data-C19RM'!$C$2))</f>
        <v>0</v>
      </c>
      <c r="O196" s="492" t="str">
        <f>IF(L196="", "",SETUP!$E$7)</f>
        <v/>
      </c>
      <c r="P196" s="456">
        <f>IF($O196="USD",_xlfn.IFNA(VLOOKUP($A196&amp;$E196&amp;$I196,PMsheet!$J:$K,2,0),0),(_xlfn.IFNA(VLOOKUP($A196&amp;$E196&amp;$I196,PMsheet!$J:$K,2,0),0)*'Master Data-C19RM'!$C$2))</f>
        <v>0</v>
      </c>
      <c r="Q196" s="441"/>
      <c r="R196" s="441"/>
      <c r="S196" s="441"/>
      <c r="T196" s="441"/>
      <c r="U196" s="481">
        <f t="shared" si="17"/>
        <v>0</v>
      </c>
      <c r="V196" s="483">
        <f>IF(SETUP!$E$7="USD",(U196*(IF(O196="USD",P196,(P196/'Master Data-C19RM'!$C$2)))),(U196*(IF(O196="EUR",P196,(P196*'Master Data-C19RM'!$C$2)))))</f>
        <v>0</v>
      </c>
      <c r="W196" s="444">
        <f>IF($O196="USD",_xlfn.IFNA(VLOOKUP($A196&amp;$E196&amp;$I196,PMsheet!$J:$K,2,0),0),(_xlfn.IFNA(VLOOKUP($A196&amp;$E196&amp;$I196,PMsheet!$J:$K,2,0),0)*'Master Data-C19RM'!$D$2))</f>
        <v>0</v>
      </c>
      <c r="X196" s="441"/>
      <c r="Y196" s="441"/>
      <c r="Z196" s="441"/>
      <c r="AA196" s="441"/>
      <c r="AB196" s="481">
        <f t="shared" si="18"/>
        <v>0</v>
      </c>
      <c r="AC196" s="483">
        <f>IF(SETUP!$E$7="USD",(AB196*(IF(O196="USD",W196,(W196/'Master Data-C19RM'!$D$2)))),(AB196*(IF(O196="EUR",W196,(W196*'Master Data-C19RM'!$D$2)))))</f>
        <v>0</v>
      </c>
      <c r="AD196" s="444">
        <f>IF($O196="USD",_xlfn.IFNA(VLOOKUP($A196&amp;$E196&amp;$I196,PMsheet!$J:$K,2,0),0),(_xlfn.IFNA(VLOOKUP($A196&amp;$E196&amp;$I196,PMsheet!$J:$K,2,0),0)*'Master Data-C19RM'!$E$2))</f>
        <v>0</v>
      </c>
      <c r="AE196" s="441"/>
      <c r="AF196" s="441"/>
      <c r="AG196" s="441"/>
      <c r="AH196" s="441"/>
      <c r="AI196" s="512">
        <f t="shared" si="19"/>
        <v>0</v>
      </c>
      <c r="AJ196" s="513">
        <f>IF(SETUP!$E$7="USD",(AI196*(IF(O196="USD",AD196,(AD196/'Master Data-C19RM'!$E$2)))),(AI196*(IF(O196="EUR",AD196,(AD196*'Master Data-C19RM'!$E$2)))))</f>
        <v>0</v>
      </c>
      <c r="AK196" s="444">
        <f>IF($O196="USD",_xlfn.IFNA(VLOOKUP($A196&amp;$E196&amp;$I196,PMsheet!$J:$K,2,0),0),(_xlfn.IFNA(VLOOKUP($A196&amp;$E196&amp;$I196,PMsheet!$J:$K,2,0),0)*'Master Data-C19RM'!$F$2))</f>
        <v>0</v>
      </c>
      <c r="AL196" s="441"/>
      <c r="AM196" s="441"/>
      <c r="AN196" s="441"/>
      <c r="AO196" s="441"/>
      <c r="AP196" s="512">
        <f t="shared" si="20"/>
        <v>0</v>
      </c>
      <c r="AQ196" s="513">
        <f>IF(SETUP!$E$7="USD",(AP196*(IF(O196="USD",AK196,(AK196/'Master Data-C19RM'!$F$2)))),(AP196*(IF(O196="EUR",AK196,(AK196*'Master Data-C19RM'!$F$2)))))</f>
        <v>0</v>
      </c>
      <c r="AR196" s="924">
        <f>IF($O196="USD",_xlfn.IFNA(VLOOKUP($A196&amp;$E196&amp;$I196,PMsheet!$J:$K,2,0),0),(_xlfn.IFNA(VLOOKUP($A196&amp;$E196&amp;$I196,PMsheet!$J:$K,2,0),0)*'Master Data-C19RM'!$G$2))</f>
        <v>0</v>
      </c>
      <c r="AS196" s="572"/>
      <c r="AT196" s="572"/>
      <c r="AU196" s="572"/>
      <c r="AV196" s="572"/>
      <c r="AW196" s="512">
        <f t="shared" si="24"/>
        <v>0</v>
      </c>
      <c r="AX196" s="513">
        <f>IF(SETUP!$E$7="USD",(AW196*(IF(O196="USD",AR196,(AR196/'Master Data-C19RM'!$G$2)))),(AW196*(IF(O196="EUR",AR196,(AR196*'Master Data-C19RM'!$G$2)))))</f>
        <v>0</v>
      </c>
      <c r="AY196" s="845"/>
      <c r="AZ196" s="846"/>
      <c r="BA196" s="846"/>
      <c r="BB196" s="846"/>
      <c r="BC196" s="846"/>
      <c r="BD196" s="846"/>
      <c r="BE196" s="847"/>
      <c r="BF196" s="512">
        <f>'C19RM 2021-Lab &amp; Other HPS'!$U196+'C19RM 2021-Lab &amp; Other HPS'!$AB196+'C19RM 2021-Lab &amp; Other HPS'!$AP196+'C19RM 2021-Lab &amp; Other HPS'!$AI196+AW196+BD196</f>
        <v>0</v>
      </c>
      <c r="BG196" s="512">
        <f>'C19RM 2021-Lab &amp; Other HPS'!$V196+'C19RM 2021-Lab &amp; Other HPS'!$AC196+'C19RM 2021-Lab &amp; Other HPS'!$AQ196+'C19RM 2021-Lab &amp; Other HPS'!$AJ196+AX196+BE196</f>
        <v>0</v>
      </c>
      <c r="BH196" s="500" t="str" cm="1">
        <f t="array" ref="BH196">IF(A196&lt;&gt;"",IFERROR(INDEX(PMtbl[[WKst]:[Unit of measure*]],MATCH($A$115&amp;$A196&amp;$E196&amp;$I196,INDEX(PMtbl[Sec]&amp;PMtbl[Category]&amp;PMtbl[Each]&amp;PMtbl[Packaging],0,),0),11),""),"")</f>
        <v/>
      </c>
      <c r="BI196" s="819"/>
      <c r="BJ196" s="502" t="str" cm="1">
        <f t="array" ref="BJ196">IFERROR(INDEX(SETUP!$C$19:$G$121,MATCH((INDEX(PMtbl[[WKst]:[Unit of measure*]],MATCH($A196&amp;$E196&amp;$I196,INDEX(PMtbl[Category]&amp;PMtbl[Each]&amp;PMtbl[Packaging],0,),0),3)),SETUP!$D$19:$D$121,0),5),"")</f>
        <v/>
      </c>
      <c r="BK196" s="542"/>
      <c r="BL196" s="214"/>
      <c r="BO196" s="12">
        <f>IF(N196="",0,IF(SETUP!$E$7="USD",((IF(O196="USD",P196,(P196/'Master Data-C19RM'!$C$2)))),((IF(O196="EUR",P196,(P196*'Master Data-C19RM'!$C$2))))))</f>
        <v>0</v>
      </c>
      <c r="BP196" s="12">
        <f>IF(N196="",0,IF(SETUP!$E$7="USD",((IF(O196="USD",W196,(W196/'Master Data-C19RM'!$D$2)))),((IF(O196="EUR",W196,(W196*'Master Data-C19RM'!$D$2))))))</f>
        <v>0</v>
      </c>
      <c r="BQ196">
        <f>IF(N196="",0,IF(SETUP!$E$7="USD",((IF(O196="USD",AD196,(AD196/'Master Data-C19RM'!$E$2)))),((IF(O196="EUR",AD196,(AD196*'Master Data-C19RM'!$E$2))))))</f>
        <v>0</v>
      </c>
      <c r="BR196">
        <f>IF(N196="",0,IF(SETUP!$E$7="USD",((IF(O196="USD",AK196,(AK196/'Master Data-C19RM'!$F$2)))),((IF(O196="EUR",AK196,(AK196*'Master Data-C19RM'!$F$2))))))</f>
        <v>0</v>
      </c>
      <c r="BS196">
        <f>IF(N196="",0,IF(SETUP!$E$7="USD",((IF(O196="USD",AR196,(AR196/'Master Data-C19RM'!$G$2)))),((IF(O196="EUR",AR196,(AR196*'Master Data-C19RM'!$G$2))))))</f>
        <v>0</v>
      </c>
      <c r="BT196">
        <f>IF(N196="",0,IF(SETUP!$E$7="USD",((IF(O196="USD",AY196,(AY196/'Master Data-C19RM'!$H$2)))),((IF(O196="EUR",AY196,(AY196*'Master Data-C19RM'!$H$2))))))</f>
        <v>0</v>
      </c>
      <c r="BU196" s="12">
        <f t="shared" si="25"/>
        <v>0</v>
      </c>
      <c r="BV196" s="142">
        <f t="shared" si="26"/>
        <v>0</v>
      </c>
    </row>
    <row r="197" spans="1:74" x14ac:dyDescent="0.35">
      <c r="A197" s="1192"/>
      <c r="B197" s="1192"/>
      <c r="C197" s="1192"/>
      <c r="D197" s="1192"/>
      <c r="E197" s="1173"/>
      <c r="F197" s="1173"/>
      <c r="G197" s="1173"/>
      <c r="H197" s="1173"/>
      <c r="I197" s="1173"/>
      <c r="J197" s="1173"/>
      <c r="K197" s="1173"/>
      <c r="L197" s="493" t="str" cm="1">
        <f t="array" ref="L197">IF(A197&lt;&gt;"",IFERROR(INDEX(PMtbl[[WKst]:[Unit of measure*]],MATCH($A$115&amp;$A197&amp;$E197&amp;$I197,INDEX(PMtbl[Sec]&amp;PMtbl[Category]&amp;PMtbl[Each]&amp;PMtbl[Packaging],0,),0),14),""),"")</f>
        <v/>
      </c>
      <c r="M197" s="480" t="str">
        <f>IF(L197="","",INDEX(SETUP!$E$20:$E$122,(MATCH(INDEX(PMsheet!$D:$E,MATCH(A197,PMsheet!E:E,0),1),SETUP!$D$20:$D$122,0))))</f>
        <v/>
      </c>
      <c r="N197" s="494">
        <f>IF($O197="USD",_xlfn.IFNA(VLOOKUP(A197&amp;E197&amp;I197,PMsheet!J:K,2,0),0),(_xlfn.IFNA(VLOOKUP(A197&amp;E197&amp;I197,PMsheet!J:K,2,0),0)*'Master Data-C19RM'!$C$2))</f>
        <v>0</v>
      </c>
      <c r="O197" s="495" t="str">
        <f>IF(L197="", "",SETUP!$E$7)</f>
        <v/>
      </c>
      <c r="P197" s="457">
        <f>IF($O197="USD",_xlfn.IFNA(VLOOKUP($A197&amp;$E197&amp;$I197,PMsheet!$J:$K,2,0),0),(_xlfn.IFNA(VLOOKUP($A197&amp;$E197&amp;$I197,PMsheet!$J:$K,2,0),0)*'Master Data-C19RM'!$C$2))</f>
        <v>0</v>
      </c>
      <c r="Q197" s="440"/>
      <c r="R197" s="440"/>
      <c r="S197" s="440"/>
      <c r="T197" s="440"/>
      <c r="U197" s="482">
        <f t="shared" si="17"/>
        <v>0</v>
      </c>
      <c r="V197" s="484">
        <f>IF(SETUP!$E$7="USD",(U197*(IF(O197="USD",P197,(P197/'Master Data-C19RM'!$C$2)))),(U197*(IF(O197="EUR",P197,(P197*'Master Data-C19RM'!$C$2)))))</f>
        <v>0</v>
      </c>
      <c r="W197" s="445">
        <f>IF($O197="USD",_xlfn.IFNA(VLOOKUP($A197&amp;$E197&amp;$I197,PMsheet!$J:$K,2,0),0),(_xlfn.IFNA(VLOOKUP($A197&amp;$E197&amp;$I197,PMsheet!$J:$K,2,0),0)*'Master Data-C19RM'!$D$2))</f>
        <v>0</v>
      </c>
      <c r="X197" s="440"/>
      <c r="Y197" s="440"/>
      <c r="Z197" s="440"/>
      <c r="AA197" s="440"/>
      <c r="AB197" s="482">
        <f t="shared" si="18"/>
        <v>0</v>
      </c>
      <c r="AC197" s="484">
        <f>IF(SETUP!$E$7="USD",(AB197*(IF(O197="USD",W197,(W197/'Master Data-C19RM'!$D$2)))),(AB197*(IF(O197="EUR",W197,(W197*'Master Data-C19RM'!$D$2)))))</f>
        <v>0</v>
      </c>
      <c r="AD197" s="445">
        <f>IF($O197="USD",_xlfn.IFNA(VLOOKUP($A197&amp;$E197&amp;$I197,PMsheet!$J:$K,2,0),0),(_xlfn.IFNA(VLOOKUP($A197&amp;$E197&amp;$I197,PMsheet!$J:$K,2,0),0)*'Master Data-C19RM'!$E$2))</f>
        <v>0</v>
      </c>
      <c r="AE197" s="440"/>
      <c r="AF197" s="440"/>
      <c r="AG197" s="440"/>
      <c r="AH197" s="440"/>
      <c r="AI197" s="514">
        <f t="shared" si="19"/>
        <v>0</v>
      </c>
      <c r="AJ197" s="515">
        <f>IF(SETUP!$E$7="USD",(AI197*(IF(O197="USD",AD197,(AD197/'Master Data-C19RM'!$E$2)))),(AI197*(IF(O197="EUR",AD197,(AD197*'Master Data-C19RM'!$E$2)))))</f>
        <v>0</v>
      </c>
      <c r="AK197" s="445">
        <f>IF($O197="USD",_xlfn.IFNA(VLOOKUP($A197&amp;$E197&amp;$I197,PMsheet!$J:$K,2,0),0),(_xlfn.IFNA(VLOOKUP($A197&amp;$E197&amp;$I197,PMsheet!$J:$K,2,0),0)*'Master Data-C19RM'!$F$2))</f>
        <v>0</v>
      </c>
      <c r="AL197" s="440"/>
      <c r="AM197" s="440"/>
      <c r="AN197" s="440"/>
      <c r="AO197" s="440"/>
      <c r="AP197" s="514">
        <f t="shared" si="20"/>
        <v>0</v>
      </c>
      <c r="AQ197" s="515">
        <f>IF(SETUP!$E$7="USD",(AP197*(IF(O197="USD",AK197,(AK197/'Master Data-C19RM'!$F$2)))),(AP197*(IF(O197="EUR",AK197,(AK197*'Master Data-C19RM'!$F$2)))))</f>
        <v>0</v>
      </c>
      <c r="AR197" s="925">
        <f>IF($O197="USD",_xlfn.IFNA(VLOOKUP($A197&amp;$E197&amp;$I197,PMsheet!$J:$K,2,0),0),(_xlfn.IFNA(VLOOKUP($A197&amp;$E197&amp;$I197,PMsheet!$J:$K,2,0),0)*'Master Data-C19RM'!$G$2))</f>
        <v>0</v>
      </c>
      <c r="AS197" s="926"/>
      <c r="AT197" s="926"/>
      <c r="AU197" s="926"/>
      <c r="AV197" s="926"/>
      <c r="AW197" s="514">
        <f t="shared" si="24"/>
        <v>0</v>
      </c>
      <c r="AX197" s="515">
        <f>IF(SETUP!$E$7="USD",(AW197*(IF(O197="USD",AR197,(AR197/'Master Data-C19RM'!$G$2)))),(AW197*(IF(O197="EUR",AR197,(AR197*'Master Data-C19RM'!$G$2)))))</f>
        <v>0</v>
      </c>
      <c r="AY197" s="845"/>
      <c r="AZ197" s="846"/>
      <c r="BA197" s="846"/>
      <c r="BB197" s="846"/>
      <c r="BC197" s="846"/>
      <c r="BD197" s="846"/>
      <c r="BE197" s="847"/>
      <c r="BF197" s="514">
        <f>'C19RM 2021-Lab &amp; Other HPS'!$U197+'C19RM 2021-Lab &amp; Other HPS'!$AB197+'C19RM 2021-Lab &amp; Other HPS'!$AP197+'C19RM 2021-Lab &amp; Other HPS'!$AI197+AW197+BD197</f>
        <v>0</v>
      </c>
      <c r="BG197" s="514">
        <f>'C19RM 2021-Lab &amp; Other HPS'!$V197+'C19RM 2021-Lab &amp; Other HPS'!$AC197+'C19RM 2021-Lab &amp; Other HPS'!$AQ197+'C19RM 2021-Lab &amp; Other HPS'!$AJ197+AX197+BE197</f>
        <v>0</v>
      </c>
      <c r="BH197" s="522" t="str" cm="1">
        <f t="array" ref="BH197">IF(A197&lt;&gt;"",IFERROR(INDEX(PMtbl[[WKst]:[Unit of measure*]],MATCH($A$115&amp;$A197&amp;$E197&amp;$I197,INDEX(PMtbl[Sec]&amp;PMtbl[Category]&amp;PMtbl[Each]&amp;PMtbl[Packaging],0,),0),11),""),"")</f>
        <v/>
      </c>
      <c r="BI197" s="818"/>
      <c r="BJ197" s="503" t="str" cm="1">
        <f t="array" ref="BJ197">IFERROR(INDEX(SETUP!$C$19:$G$121,MATCH((INDEX(PMtbl[[WKst]:[Unit of measure*]],MATCH($A197&amp;$E197&amp;$I197,INDEX(PMtbl[Category]&amp;PMtbl[Each]&amp;PMtbl[Packaging],0,),0),3)),SETUP!$D$19:$D$121,0),5),"")</f>
        <v/>
      </c>
      <c r="BK197" s="543"/>
      <c r="BL197" s="215"/>
      <c r="BO197" s="12">
        <f>IF(N197="",0,IF(SETUP!$E$7="USD",((IF(O197="USD",P197,(P197/'Master Data-C19RM'!$C$2)))),((IF(O197="EUR",P197,(P197*'Master Data-C19RM'!$C$2))))))</f>
        <v>0</v>
      </c>
      <c r="BP197" s="12">
        <f>IF(N197="",0,IF(SETUP!$E$7="USD",((IF(O197="USD",W197,(W197/'Master Data-C19RM'!$D$2)))),((IF(O197="EUR",W197,(W197*'Master Data-C19RM'!$D$2))))))</f>
        <v>0</v>
      </c>
      <c r="BQ197">
        <f>IF(N197="",0,IF(SETUP!$E$7="USD",((IF(O197="USD",AD197,(AD197/'Master Data-C19RM'!$E$2)))),((IF(O197="EUR",AD197,(AD197*'Master Data-C19RM'!$E$2))))))</f>
        <v>0</v>
      </c>
      <c r="BR197">
        <f>IF(N197="",0,IF(SETUP!$E$7="USD",((IF(O197="USD",AK197,(AK197/'Master Data-C19RM'!$F$2)))),((IF(O197="EUR",AK197,(AK197*'Master Data-C19RM'!$F$2))))))</f>
        <v>0</v>
      </c>
      <c r="BS197">
        <f>IF(N197="",0,IF(SETUP!$E$7="USD",((IF(O197="USD",AR197,(AR197/'Master Data-C19RM'!$G$2)))),((IF(O197="EUR",AR197,(AR197*'Master Data-C19RM'!$G$2))))))</f>
        <v>0</v>
      </c>
      <c r="BT197">
        <f>IF(N197="",0,IF(SETUP!$E$7="USD",((IF(O197="USD",AY197,(AY197/'Master Data-C19RM'!$H$2)))),((IF(O197="EUR",AY197,(AY197*'Master Data-C19RM'!$H$2))))))</f>
        <v>0</v>
      </c>
      <c r="BU197" s="12">
        <f t="shared" si="25"/>
        <v>0</v>
      </c>
      <c r="BV197" s="142">
        <f t="shared" si="26"/>
        <v>0</v>
      </c>
    </row>
    <row r="198" spans="1:74" x14ac:dyDescent="0.35">
      <c r="A198" s="1165"/>
      <c r="B198" s="1165"/>
      <c r="C198" s="1165"/>
      <c r="D198" s="1165"/>
      <c r="E198" s="1166"/>
      <c r="F198" s="1166"/>
      <c r="G198" s="1166"/>
      <c r="H198" s="1166"/>
      <c r="I198" s="1166"/>
      <c r="J198" s="1166"/>
      <c r="K198" s="1166"/>
      <c r="L198" s="490" t="str" cm="1">
        <f t="array" ref="L198">IF(A198&lt;&gt;"",IFERROR(INDEX(PMtbl[[WKst]:[Unit of measure*]],MATCH($A$115&amp;$A198&amp;$E198&amp;$I198,INDEX(PMtbl[Sec]&amp;PMtbl[Category]&amp;PMtbl[Each]&amp;PMtbl[Packaging],0,),0),14),""),"")</f>
        <v/>
      </c>
      <c r="M198" s="479" t="str">
        <f>IF(L198="","",INDEX(SETUP!$E$20:$E$122,(MATCH(INDEX(PMsheet!$D:$E,MATCH(A198,PMsheet!E:E,0),1),SETUP!$D$20:$D$122,0))))</f>
        <v/>
      </c>
      <c r="N198" s="491">
        <f>IF($O198="USD",_xlfn.IFNA(VLOOKUP(A198&amp;E198&amp;I198,PMsheet!J:K,2,0),0),(_xlfn.IFNA(VLOOKUP(A198&amp;E198&amp;I198,PMsheet!J:K,2,0),0)*'Master Data-C19RM'!$C$2))</f>
        <v>0</v>
      </c>
      <c r="O198" s="492" t="str">
        <f>IF(L198="", "",SETUP!$E$7)</f>
        <v/>
      </c>
      <c r="P198" s="456">
        <f>IF($O198="USD",_xlfn.IFNA(VLOOKUP($A198&amp;$E198&amp;$I198,PMsheet!$J:$K,2,0),0),(_xlfn.IFNA(VLOOKUP($A198&amp;$E198&amp;$I198,PMsheet!$J:$K,2,0),0)*'Master Data-C19RM'!$C$2))</f>
        <v>0</v>
      </c>
      <c r="Q198" s="441"/>
      <c r="R198" s="441"/>
      <c r="S198" s="441"/>
      <c r="T198" s="441"/>
      <c r="U198" s="481">
        <f t="shared" si="17"/>
        <v>0</v>
      </c>
      <c r="V198" s="483">
        <f>IF(SETUP!$E$7="USD",(U198*(IF(O198="USD",P198,(P198/'Master Data-C19RM'!$C$2)))),(U198*(IF(O198="EUR",P198,(P198*'Master Data-C19RM'!$C$2)))))</f>
        <v>0</v>
      </c>
      <c r="W198" s="444">
        <f>IF($O198="USD",_xlfn.IFNA(VLOOKUP($A198&amp;$E198&amp;$I198,PMsheet!$J:$K,2,0),0),(_xlfn.IFNA(VLOOKUP($A198&amp;$E198&amp;$I198,PMsheet!$J:$K,2,0),0)*'Master Data-C19RM'!$D$2))</f>
        <v>0</v>
      </c>
      <c r="X198" s="441"/>
      <c r="Y198" s="441"/>
      <c r="Z198" s="441"/>
      <c r="AA198" s="441"/>
      <c r="AB198" s="481">
        <f t="shared" si="18"/>
        <v>0</v>
      </c>
      <c r="AC198" s="483">
        <f>IF(SETUP!$E$7="USD",(AB198*(IF(O198="USD",W198,(W198/'Master Data-C19RM'!$D$2)))),(AB198*(IF(O198="EUR",W198,(W198*'Master Data-C19RM'!$D$2)))))</f>
        <v>0</v>
      </c>
      <c r="AD198" s="444">
        <f>IF($O198="USD",_xlfn.IFNA(VLOOKUP($A198&amp;$E198&amp;$I198,PMsheet!$J:$K,2,0),0),(_xlfn.IFNA(VLOOKUP($A198&amp;$E198&amp;$I198,PMsheet!$J:$K,2,0),0)*'Master Data-C19RM'!$E$2))</f>
        <v>0</v>
      </c>
      <c r="AE198" s="441"/>
      <c r="AF198" s="441"/>
      <c r="AG198" s="441"/>
      <c r="AH198" s="441"/>
      <c r="AI198" s="512">
        <f t="shared" si="19"/>
        <v>0</v>
      </c>
      <c r="AJ198" s="513">
        <f>IF(SETUP!$E$7="USD",(AI198*(IF(O198="USD",AD198,(AD198/'Master Data-C19RM'!$E$2)))),(AI198*(IF(O198="EUR",AD198,(AD198*'Master Data-C19RM'!$E$2)))))</f>
        <v>0</v>
      </c>
      <c r="AK198" s="444">
        <f>IF($O198="USD",_xlfn.IFNA(VLOOKUP($A198&amp;$E198&amp;$I198,PMsheet!$J:$K,2,0),0),(_xlfn.IFNA(VLOOKUP($A198&amp;$E198&amp;$I198,PMsheet!$J:$K,2,0),0)*'Master Data-C19RM'!$F$2))</f>
        <v>0</v>
      </c>
      <c r="AL198" s="441"/>
      <c r="AM198" s="441"/>
      <c r="AN198" s="441"/>
      <c r="AO198" s="441"/>
      <c r="AP198" s="512">
        <f t="shared" si="20"/>
        <v>0</v>
      </c>
      <c r="AQ198" s="513">
        <f>IF(SETUP!$E$7="USD",(AP198*(IF(O198="USD",AK198,(AK198/'Master Data-C19RM'!$F$2)))),(AP198*(IF(O198="EUR",AK198,(AK198*'Master Data-C19RM'!$F$2)))))</f>
        <v>0</v>
      </c>
      <c r="AR198" s="924">
        <f>IF($O198="USD",_xlfn.IFNA(VLOOKUP($A198&amp;$E198&amp;$I198,PMsheet!$J:$K,2,0),0),(_xlfn.IFNA(VLOOKUP($A198&amp;$E198&amp;$I198,PMsheet!$J:$K,2,0),0)*'Master Data-C19RM'!$G$2))</f>
        <v>0</v>
      </c>
      <c r="AS198" s="572"/>
      <c r="AT198" s="572"/>
      <c r="AU198" s="572"/>
      <c r="AV198" s="572"/>
      <c r="AW198" s="512">
        <f t="shared" si="24"/>
        <v>0</v>
      </c>
      <c r="AX198" s="513">
        <f>IF(SETUP!$E$7="USD",(AW198*(IF(O198="USD",AR198,(AR198/'Master Data-C19RM'!$G$2)))),(AW198*(IF(O198="EUR",AR198,(AR198*'Master Data-C19RM'!$G$2)))))</f>
        <v>0</v>
      </c>
      <c r="AY198" s="845"/>
      <c r="AZ198" s="846"/>
      <c r="BA198" s="846"/>
      <c r="BB198" s="846"/>
      <c r="BC198" s="846"/>
      <c r="BD198" s="846"/>
      <c r="BE198" s="847"/>
      <c r="BF198" s="512">
        <f>'C19RM 2021-Lab &amp; Other HPS'!$U198+'C19RM 2021-Lab &amp; Other HPS'!$AB198+'C19RM 2021-Lab &amp; Other HPS'!$AP198+'C19RM 2021-Lab &amp; Other HPS'!$AI198+AW198+BD198</f>
        <v>0</v>
      </c>
      <c r="BG198" s="512">
        <f>'C19RM 2021-Lab &amp; Other HPS'!$V198+'C19RM 2021-Lab &amp; Other HPS'!$AC198+'C19RM 2021-Lab &amp; Other HPS'!$AQ198+'C19RM 2021-Lab &amp; Other HPS'!$AJ198+AX198+BE198</f>
        <v>0</v>
      </c>
      <c r="BH198" s="500" t="str" cm="1">
        <f t="array" ref="BH198">IF(A198&lt;&gt;"",IFERROR(INDEX(PMtbl[[WKst]:[Unit of measure*]],MATCH($A$115&amp;$A198&amp;$E198&amp;$I198,INDEX(PMtbl[Sec]&amp;PMtbl[Category]&amp;PMtbl[Each]&amp;PMtbl[Packaging],0,),0),11),""),"")</f>
        <v/>
      </c>
      <c r="BI198" s="819"/>
      <c r="BJ198" s="502" t="str" cm="1">
        <f t="array" ref="BJ198">IFERROR(INDEX(SETUP!$C$19:$G$121,MATCH((INDEX(PMtbl[[WKst]:[Unit of measure*]],MATCH($A198&amp;$E198&amp;$I198,INDEX(PMtbl[Category]&amp;PMtbl[Each]&amp;PMtbl[Packaging],0,),0),3)),SETUP!$D$19:$D$121,0),5),"")</f>
        <v/>
      </c>
      <c r="BK198" s="542"/>
      <c r="BL198" s="214"/>
      <c r="BO198" s="12">
        <f>IF(N198="",0,IF(SETUP!$E$7="USD",((IF(O198="USD",P198,(P198/'Master Data-C19RM'!$C$2)))),((IF(O198="EUR",P198,(P198*'Master Data-C19RM'!$C$2))))))</f>
        <v>0</v>
      </c>
      <c r="BP198" s="12">
        <f>IF(N198="",0,IF(SETUP!$E$7="USD",((IF(O198="USD",W198,(W198/'Master Data-C19RM'!$D$2)))),((IF(O198="EUR",W198,(W198*'Master Data-C19RM'!$D$2))))))</f>
        <v>0</v>
      </c>
      <c r="BQ198">
        <f>IF(N198="",0,IF(SETUP!$E$7="USD",((IF(O198="USD",AD198,(AD198/'Master Data-C19RM'!$E$2)))),((IF(O198="EUR",AD198,(AD198*'Master Data-C19RM'!$E$2))))))</f>
        <v>0</v>
      </c>
      <c r="BR198">
        <f>IF(N198="",0,IF(SETUP!$E$7="USD",((IF(O198="USD",AK198,(AK198/'Master Data-C19RM'!$F$2)))),((IF(O198="EUR",AK198,(AK198*'Master Data-C19RM'!$F$2))))))</f>
        <v>0</v>
      </c>
      <c r="BS198">
        <f>IF(N198="",0,IF(SETUP!$E$7="USD",((IF(O198="USD",AR198,(AR198/'Master Data-C19RM'!$G$2)))),((IF(O198="EUR",AR198,(AR198*'Master Data-C19RM'!$G$2))))))</f>
        <v>0</v>
      </c>
      <c r="BT198">
        <f>IF(N198="",0,IF(SETUP!$E$7="USD",((IF(O198="USD",AY198,(AY198/'Master Data-C19RM'!$H$2)))),((IF(O198="EUR",AY198,(AY198*'Master Data-C19RM'!$H$2))))))</f>
        <v>0</v>
      </c>
      <c r="BU198" s="12">
        <f t="shared" si="25"/>
        <v>0</v>
      </c>
      <c r="BV198" s="142">
        <f t="shared" si="26"/>
        <v>0</v>
      </c>
    </row>
    <row r="199" spans="1:74" x14ac:dyDescent="0.35">
      <c r="A199" s="1192"/>
      <c r="B199" s="1192"/>
      <c r="C199" s="1192"/>
      <c r="D199" s="1192"/>
      <c r="E199" s="1173"/>
      <c r="F199" s="1173"/>
      <c r="G199" s="1173"/>
      <c r="H199" s="1173"/>
      <c r="I199" s="1173"/>
      <c r="J199" s="1173"/>
      <c r="K199" s="1173"/>
      <c r="L199" s="493" t="str" cm="1">
        <f t="array" ref="L199">IF(A199&lt;&gt;"",IFERROR(INDEX(PMtbl[[WKst]:[Unit of measure*]],MATCH($A$115&amp;$A199&amp;$E199&amp;$I199,INDEX(PMtbl[Sec]&amp;PMtbl[Category]&amp;PMtbl[Each]&amp;PMtbl[Packaging],0,),0),14),""),"")</f>
        <v/>
      </c>
      <c r="M199" s="480" t="str">
        <f>IF(L199="","",INDEX(SETUP!$E$20:$E$122,(MATCH(INDEX(PMsheet!$D:$E,MATCH(A199,PMsheet!E:E,0),1),SETUP!$D$20:$D$122,0))))</f>
        <v/>
      </c>
      <c r="N199" s="494">
        <f>IF($O199="USD",_xlfn.IFNA(VLOOKUP(A199&amp;E199&amp;I199,PMsheet!J:K,2,0),0),(_xlfn.IFNA(VLOOKUP(A199&amp;E199&amp;I199,PMsheet!J:K,2,0),0)*'Master Data-C19RM'!$C$2))</f>
        <v>0</v>
      </c>
      <c r="O199" s="495" t="str">
        <f>IF(L199="", "",SETUP!$E$7)</f>
        <v/>
      </c>
      <c r="P199" s="457">
        <f>IF($O199="USD",_xlfn.IFNA(VLOOKUP($A199&amp;$E199&amp;$I199,PMsheet!$J:$K,2,0),0),(_xlfn.IFNA(VLOOKUP($A199&amp;$E199&amp;$I199,PMsheet!$J:$K,2,0),0)*'Master Data-C19RM'!$C$2))</f>
        <v>0</v>
      </c>
      <c r="Q199" s="440"/>
      <c r="R199" s="440"/>
      <c r="S199" s="440"/>
      <c r="T199" s="440"/>
      <c r="U199" s="482">
        <f t="shared" si="17"/>
        <v>0</v>
      </c>
      <c r="V199" s="484">
        <f>IF(SETUP!$E$7="USD",(U199*(IF(O199="USD",P199,(P199/'Master Data-C19RM'!$C$2)))),(U199*(IF(O199="EUR",P199,(P199*'Master Data-C19RM'!$C$2)))))</f>
        <v>0</v>
      </c>
      <c r="W199" s="445">
        <f>IF($O199="USD",_xlfn.IFNA(VLOOKUP($A199&amp;$E199&amp;$I199,PMsheet!$J:$K,2,0),0),(_xlfn.IFNA(VLOOKUP($A199&amp;$E199&amp;$I199,PMsheet!$J:$K,2,0),0)*'Master Data-C19RM'!$D$2))</f>
        <v>0</v>
      </c>
      <c r="X199" s="440"/>
      <c r="Y199" s="440"/>
      <c r="Z199" s="440"/>
      <c r="AA199" s="440"/>
      <c r="AB199" s="482">
        <f t="shared" si="18"/>
        <v>0</v>
      </c>
      <c r="AC199" s="484">
        <f>IF(SETUP!$E$7="USD",(AB199*(IF(O199="USD",W199,(W199/'Master Data-C19RM'!$D$2)))),(AB199*(IF(O199="EUR",W199,(W199*'Master Data-C19RM'!$D$2)))))</f>
        <v>0</v>
      </c>
      <c r="AD199" s="445">
        <f>IF($O199="USD",_xlfn.IFNA(VLOOKUP($A199&amp;$E199&amp;$I199,PMsheet!$J:$K,2,0),0),(_xlfn.IFNA(VLOOKUP($A199&amp;$E199&amp;$I199,PMsheet!$J:$K,2,0),0)*'Master Data-C19RM'!$E$2))</f>
        <v>0</v>
      </c>
      <c r="AE199" s="440"/>
      <c r="AF199" s="440"/>
      <c r="AG199" s="440"/>
      <c r="AH199" s="440"/>
      <c r="AI199" s="514">
        <f t="shared" si="19"/>
        <v>0</v>
      </c>
      <c r="AJ199" s="515">
        <f>IF(SETUP!$E$7="USD",(AI199*(IF(O199="USD",AD199,(AD199/'Master Data-C19RM'!$E$2)))),(AI199*(IF(O199="EUR",AD199,(AD199*'Master Data-C19RM'!$E$2)))))</f>
        <v>0</v>
      </c>
      <c r="AK199" s="445">
        <f>IF($O199="USD",_xlfn.IFNA(VLOOKUP($A199&amp;$E199&amp;$I199,PMsheet!$J:$K,2,0),0),(_xlfn.IFNA(VLOOKUP($A199&amp;$E199&amp;$I199,PMsheet!$J:$K,2,0),0)*'Master Data-C19RM'!$F$2))</f>
        <v>0</v>
      </c>
      <c r="AL199" s="440"/>
      <c r="AM199" s="440"/>
      <c r="AN199" s="440"/>
      <c r="AO199" s="440"/>
      <c r="AP199" s="514">
        <f t="shared" si="20"/>
        <v>0</v>
      </c>
      <c r="AQ199" s="515">
        <f>IF(SETUP!$E$7="USD",(AP199*(IF(O199="USD",AK199,(AK199/'Master Data-C19RM'!$F$2)))),(AP199*(IF(O199="EUR",AK199,(AK199*'Master Data-C19RM'!$F$2)))))</f>
        <v>0</v>
      </c>
      <c r="AR199" s="925">
        <f>IF($O199="USD",_xlfn.IFNA(VLOOKUP($A199&amp;$E199&amp;$I199,PMsheet!$J:$K,2,0),0),(_xlfn.IFNA(VLOOKUP($A199&amp;$E199&amp;$I199,PMsheet!$J:$K,2,0),0)*'Master Data-C19RM'!$G$2))</f>
        <v>0</v>
      </c>
      <c r="AS199" s="926"/>
      <c r="AT199" s="926"/>
      <c r="AU199" s="926"/>
      <c r="AV199" s="926"/>
      <c r="AW199" s="514">
        <f t="shared" si="24"/>
        <v>0</v>
      </c>
      <c r="AX199" s="515">
        <f>IF(SETUP!$E$7="USD",(AW199*(IF(O199="USD",AR199,(AR199/'Master Data-C19RM'!$G$2)))),(AW199*(IF(O199="EUR",AR199,(AR199*'Master Data-C19RM'!$G$2)))))</f>
        <v>0</v>
      </c>
      <c r="AY199" s="845"/>
      <c r="AZ199" s="846"/>
      <c r="BA199" s="846"/>
      <c r="BB199" s="846"/>
      <c r="BC199" s="846"/>
      <c r="BD199" s="846"/>
      <c r="BE199" s="847"/>
      <c r="BF199" s="514">
        <f>'C19RM 2021-Lab &amp; Other HPS'!$U199+'C19RM 2021-Lab &amp; Other HPS'!$AB199+'C19RM 2021-Lab &amp; Other HPS'!$AP199+'C19RM 2021-Lab &amp; Other HPS'!$AI199+AW199+BD199</f>
        <v>0</v>
      </c>
      <c r="BG199" s="514">
        <f>'C19RM 2021-Lab &amp; Other HPS'!$V199+'C19RM 2021-Lab &amp; Other HPS'!$AC199+'C19RM 2021-Lab &amp; Other HPS'!$AQ199+'C19RM 2021-Lab &amp; Other HPS'!$AJ199+AX199+BE199</f>
        <v>0</v>
      </c>
      <c r="BH199" s="522" t="str" cm="1">
        <f t="array" ref="BH199">IF(A199&lt;&gt;"",IFERROR(INDEX(PMtbl[[WKst]:[Unit of measure*]],MATCH($A$115&amp;$A199&amp;$E199&amp;$I199,INDEX(PMtbl[Sec]&amp;PMtbl[Category]&amp;PMtbl[Each]&amp;PMtbl[Packaging],0,),0),11),""),"")</f>
        <v/>
      </c>
      <c r="BI199" s="818"/>
      <c r="BJ199" s="503" t="str" cm="1">
        <f t="array" ref="BJ199">IFERROR(INDEX(SETUP!$C$19:$G$121,MATCH((INDEX(PMtbl[[WKst]:[Unit of measure*]],MATCH($A199&amp;$E199&amp;$I199,INDEX(PMtbl[Category]&amp;PMtbl[Each]&amp;PMtbl[Packaging],0,),0),3)),SETUP!$D$19:$D$121,0),5),"")</f>
        <v/>
      </c>
      <c r="BK199" s="543"/>
      <c r="BL199" s="215"/>
      <c r="BO199" s="12">
        <f>IF(N199="",0,IF(SETUP!$E$7="USD",((IF(O199="USD",P199,(P199/'Master Data-C19RM'!$C$2)))),((IF(O199="EUR",P199,(P199*'Master Data-C19RM'!$C$2))))))</f>
        <v>0</v>
      </c>
      <c r="BP199" s="12">
        <f>IF(N199="",0,IF(SETUP!$E$7="USD",((IF(O199="USD",W199,(W199/'Master Data-C19RM'!$D$2)))),((IF(O199="EUR",W199,(W199*'Master Data-C19RM'!$D$2))))))</f>
        <v>0</v>
      </c>
      <c r="BQ199">
        <f>IF(N199="",0,IF(SETUP!$E$7="USD",((IF(O199="USD",AD199,(AD199/'Master Data-C19RM'!$E$2)))),((IF(O199="EUR",AD199,(AD199*'Master Data-C19RM'!$E$2))))))</f>
        <v>0</v>
      </c>
      <c r="BR199">
        <f>IF(N199="",0,IF(SETUP!$E$7="USD",((IF(O199="USD",AK199,(AK199/'Master Data-C19RM'!$F$2)))),((IF(O199="EUR",AK199,(AK199*'Master Data-C19RM'!$F$2))))))</f>
        <v>0</v>
      </c>
      <c r="BS199">
        <f>IF(N199="",0,IF(SETUP!$E$7="USD",((IF(O199="USD",AR199,(AR199/'Master Data-C19RM'!$G$2)))),((IF(O199="EUR",AR199,(AR199*'Master Data-C19RM'!$G$2))))))</f>
        <v>0</v>
      </c>
      <c r="BT199">
        <f>IF(N199="",0,IF(SETUP!$E$7="USD",((IF(O199="USD",AY199,(AY199/'Master Data-C19RM'!$H$2)))),((IF(O199="EUR",AY199,(AY199*'Master Data-C19RM'!$H$2))))))</f>
        <v>0</v>
      </c>
      <c r="BU199" s="12">
        <f t="shared" si="25"/>
        <v>0</v>
      </c>
      <c r="BV199" s="142">
        <f t="shared" si="26"/>
        <v>0</v>
      </c>
    </row>
    <row r="200" spans="1:74" x14ac:dyDescent="0.35">
      <c r="A200" s="1165"/>
      <c r="B200" s="1165"/>
      <c r="C200" s="1165"/>
      <c r="D200" s="1165"/>
      <c r="E200" s="1166"/>
      <c r="F200" s="1166"/>
      <c r="G200" s="1166"/>
      <c r="H200" s="1166"/>
      <c r="I200" s="1166"/>
      <c r="J200" s="1166"/>
      <c r="K200" s="1166"/>
      <c r="L200" s="490" t="str" cm="1">
        <f t="array" ref="L200">IF(A200&lt;&gt;"",IFERROR(INDEX(PMtbl[[WKst]:[Unit of measure*]],MATCH($A$115&amp;$A200&amp;$E200&amp;$I200,INDEX(PMtbl[Sec]&amp;PMtbl[Category]&amp;PMtbl[Each]&amp;PMtbl[Packaging],0,),0),14),""),"")</f>
        <v/>
      </c>
      <c r="M200" s="479" t="str">
        <f>IF(L200="","",INDEX(SETUP!$E$20:$E$122,(MATCH(INDEX(PMsheet!$D:$E,MATCH(A200,PMsheet!E:E,0),1),SETUP!$D$20:$D$122,0))))</f>
        <v/>
      </c>
      <c r="N200" s="491">
        <f>IF($O200="USD",_xlfn.IFNA(VLOOKUP(A200&amp;E200&amp;I200,PMsheet!J:K,2,0),0),(_xlfn.IFNA(VLOOKUP(A200&amp;E200&amp;I200,PMsheet!J:K,2,0),0)*'Master Data-C19RM'!$C$2))</f>
        <v>0</v>
      </c>
      <c r="O200" s="492" t="str">
        <f>IF(L200="", "",SETUP!$E$7)</f>
        <v/>
      </c>
      <c r="P200" s="456">
        <f>IF($O200="USD",_xlfn.IFNA(VLOOKUP($A200&amp;$E200&amp;$I200,PMsheet!$J:$K,2,0),0),(_xlfn.IFNA(VLOOKUP($A200&amp;$E200&amp;$I200,PMsheet!$J:$K,2,0),0)*'Master Data-C19RM'!$C$2))</f>
        <v>0</v>
      </c>
      <c r="Q200" s="441"/>
      <c r="R200" s="441"/>
      <c r="S200" s="441"/>
      <c r="T200" s="441"/>
      <c r="U200" s="481">
        <f t="shared" si="17"/>
        <v>0</v>
      </c>
      <c r="V200" s="483">
        <f>IF(SETUP!$E$7="USD",(U200*(IF(O200="USD",P200,(P200/'Master Data-C19RM'!$C$2)))),(U200*(IF(O200="EUR",P200,(P200*'Master Data-C19RM'!$C$2)))))</f>
        <v>0</v>
      </c>
      <c r="W200" s="444">
        <f>IF($O200="USD",_xlfn.IFNA(VLOOKUP($A200&amp;$E200&amp;$I200,PMsheet!$J:$K,2,0),0),(_xlfn.IFNA(VLOOKUP($A200&amp;$E200&amp;$I200,PMsheet!$J:$K,2,0),0)*'Master Data-C19RM'!$D$2))</f>
        <v>0</v>
      </c>
      <c r="X200" s="441"/>
      <c r="Y200" s="441"/>
      <c r="Z200" s="441"/>
      <c r="AA200" s="441"/>
      <c r="AB200" s="481">
        <f t="shared" si="18"/>
        <v>0</v>
      </c>
      <c r="AC200" s="483">
        <f>IF(SETUP!$E$7="USD",(AB200*(IF(O200="USD",W200,(W200/'Master Data-C19RM'!$D$2)))),(AB200*(IF(O200="EUR",W200,(W200*'Master Data-C19RM'!$D$2)))))</f>
        <v>0</v>
      </c>
      <c r="AD200" s="444">
        <f>IF($O200="USD",_xlfn.IFNA(VLOOKUP($A200&amp;$E200&amp;$I200,PMsheet!$J:$K,2,0),0),(_xlfn.IFNA(VLOOKUP($A200&amp;$E200&amp;$I200,PMsheet!$J:$K,2,0),0)*'Master Data-C19RM'!$E$2))</f>
        <v>0</v>
      </c>
      <c r="AE200" s="441"/>
      <c r="AF200" s="441"/>
      <c r="AG200" s="441"/>
      <c r="AH200" s="441"/>
      <c r="AI200" s="512">
        <f t="shared" si="19"/>
        <v>0</v>
      </c>
      <c r="AJ200" s="513">
        <f>IF(SETUP!$E$7="USD",(AI200*(IF(O200="USD",AD200,(AD200/'Master Data-C19RM'!$E$2)))),(AI200*(IF(O200="EUR",AD200,(AD200*'Master Data-C19RM'!$E$2)))))</f>
        <v>0</v>
      </c>
      <c r="AK200" s="444">
        <f>IF($O200="USD",_xlfn.IFNA(VLOOKUP($A200&amp;$E200&amp;$I200,PMsheet!$J:$K,2,0),0),(_xlfn.IFNA(VLOOKUP($A200&amp;$E200&amp;$I200,PMsheet!$J:$K,2,0),0)*'Master Data-C19RM'!$F$2))</f>
        <v>0</v>
      </c>
      <c r="AL200" s="441"/>
      <c r="AM200" s="441"/>
      <c r="AN200" s="441"/>
      <c r="AO200" s="441"/>
      <c r="AP200" s="512">
        <f t="shared" si="20"/>
        <v>0</v>
      </c>
      <c r="AQ200" s="513">
        <f>IF(SETUP!$E$7="USD",(AP200*(IF(O200="USD",AK200,(AK200/'Master Data-C19RM'!$F$2)))),(AP200*(IF(O200="EUR",AK200,(AK200*'Master Data-C19RM'!$F$2)))))</f>
        <v>0</v>
      </c>
      <c r="AR200" s="924">
        <f>IF($O200="USD",_xlfn.IFNA(VLOOKUP($A200&amp;$E200&amp;$I200,PMsheet!$J:$K,2,0),0),(_xlfn.IFNA(VLOOKUP($A200&amp;$E200&amp;$I200,PMsheet!$J:$K,2,0),0)*'Master Data-C19RM'!$G$2))</f>
        <v>0</v>
      </c>
      <c r="AS200" s="572"/>
      <c r="AT200" s="572"/>
      <c r="AU200" s="572"/>
      <c r="AV200" s="572"/>
      <c r="AW200" s="512">
        <f t="shared" si="24"/>
        <v>0</v>
      </c>
      <c r="AX200" s="513">
        <f>IF(SETUP!$E$7="USD",(AW200*(IF(O200="USD",AR200,(AR200/'Master Data-C19RM'!$G$2)))),(AW200*(IF(O200="EUR",AR200,(AR200*'Master Data-C19RM'!$G$2)))))</f>
        <v>0</v>
      </c>
      <c r="AY200" s="845"/>
      <c r="AZ200" s="846"/>
      <c r="BA200" s="846"/>
      <c r="BB200" s="846"/>
      <c r="BC200" s="846"/>
      <c r="BD200" s="846"/>
      <c r="BE200" s="847"/>
      <c r="BF200" s="512">
        <f>'C19RM 2021-Lab &amp; Other HPS'!$U200+'C19RM 2021-Lab &amp; Other HPS'!$AB200+'C19RM 2021-Lab &amp; Other HPS'!$AP200+'C19RM 2021-Lab &amp; Other HPS'!$AI200+AW200+BD200</f>
        <v>0</v>
      </c>
      <c r="BG200" s="512">
        <f>'C19RM 2021-Lab &amp; Other HPS'!$V200+'C19RM 2021-Lab &amp; Other HPS'!$AC200+'C19RM 2021-Lab &amp; Other HPS'!$AQ200+'C19RM 2021-Lab &amp; Other HPS'!$AJ200+AX200+BE200</f>
        <v>0</v>
      </c>
      <c r="BH200" s="500" t="str" cm="1">
        <f t="array" ref="BH200">IF(A200&lt;&gt;"",IFERROR(INDEX(PMtbl[[WKst]:[Unit of measure*]],MATCH($A$115&amp;$A200&amp;$E200&amp;$I200,INDEX(PMtbl[Sec]&amp;PMtbl[Category]&amp;PMtbl[Each]&amp;PMtbl[Packaging],0,),0),11),""),"")</f>
        <v/>
      </c>
      <c r="BI200" s="819"/>
      <c r="BJ200" s="502" t="str" cm="1">
        <f t="array" ref="BJ200">IFERROR(INDEX(SETUP!$C$19:$G$121,MATCH((INDEX(PMtbl[[WKst]:[Unit of measure*]],MATCH($A200&amp;$E200&amp;$I200,INDEX(PMtbl[Category]&amp;PMtbl[Each]&amp;PMtbl[Packaging],0,),0),3)),SETUP!$D$19:$D$121,0),5),"")</f>
        <v/>
      </c>
      <c r="BK200" s="542"/>
      <c r="BL200" s="214"/>
      <c r="BO200" s="12">
        <f>IF(N200="",0,IF(SETUP!$E$7="USD",((IF(O200="USD",P200,(P200/'Master Data-C19RM'!$C$2)))),((IF(O200="EUR",P200,(P200*'Master Data-C19RM'!$C$2))))))</f>
        <v>0</v>
      </c>
      <c r="BP200" s="12">
        <f>IF(N200="",0,IF(SETUP!$E$7="USD",((IF(O200="USD",W200,(W200/'Master Data-C19RM'!$D$2)))),((IF(O200="EUR",W200,(W200*'Master Data-C19RM'!$D$2))))))</f>
        <v>0</v>
      </c>
      <c r="BQ200">
        <f>IF(N200="",0,IF(SETUP!$E$7="USD",((IF(O200="USD",AD200,(AD200/'Master Data-C19RM'!$E$2)))),((IF(O200="EUR",AD200,(AD200*'Master Data-C19RM'!$E$2))))))</f>
        <v>0</v>
      </c>
      <c r="BR200">
        <f>IF(N200="",0,IF(SETUP!$E$7="USD",((IF(O200="USD",AK200,(AK200/'Master Data-C19RM'!$F$2)))),((IF(O200="EUR",AK200,(AK200*'Master Data-C19RM'!$F$2))))))</f>
        <v>0</v>
      </c>
      <c r="BS200">
        <f>IF(N200="",0,IF(SETUP!$E$7="USD",((IF(O200="USD",AR200,(AR200/'Master Data-C19RM'!$G$2)))),((IF(O200="EUR",AR200,(AR200*'Master Data-C19RM'!$G$2))))))</f>
        <v>0</v>
      </c>
      <c r="BT200">
        <f>IF(N200="",0,IF(SETUP!$E$7="USD",((IF(O200="USD",AY200,(AY200/'Master Data-C19RM'!$H$2)))),((IF(O200="EUR",AY200,(AY200*'Master Data-C19RM'!$H$2))))))</f>
        <v>0</v>
      </c>
      <c r="BU200" s="12">
        <f t="shared" si="25"/>
        <v>0</v>
      </c>
      <c r="BV200" s="142">
        <f t="shared" si="26"/>
        <v>0</v>
      </c>
    </row>
    <row r="201" spans="1:74" x14ac:dyDescent="0.35">
      <c r="A201" s="1192"/>
      <c r="B201" s="1192"/>
      <c r="C201" s="1192"/>
      <c r="D201" s="1192"/>
      <c r="E201" s="1173"/>
      <c r="F201" s="1173"/>
      <c r="G201" s="1173"/>
      <c r="H201" s="1173"/>
      <c r="I201" s="1173"/>
      <c r="J201" s="1173"/>
      <c r="K201" s="1173"/>
      <c r="L201" s="493" t="str" cm="1">
        <f t="array" ref="L201">IF(A201&lt;&gt;"",IFERROR(INDEX(PMtbl[[WKst]:[Unit of measure*]],MATCH($A$115&amp;$A201&amp;$E201&amp;$I201,INDEX(PMtbl[Sec]&amp;PMtbl[Category]&amp;PMtbl[Each]&amp;PMtbl[Packaging],0,),0),14),""),"")</f>
        <v/>
      </c>
      <c r="M201" s="480" t="str">
        <f>IF(L201="","",INDEX(SETUP!$E$20:$E$122,(MATCH(INDEX(PMsheet!$D:$E,MATCH(A201,PMsheet!E:E,0),1),SETUP!$D$20:$D$122,0))))</f>
        <v/>
      </c>
      <c r="N201" s="494">
        <f>IF($O201="USD",_xlfn.IFNA(VLOOKUP(A201&amp;E201&amp;I201,PMsheet!J:K,2,0),0),(_xlfn.IFNA(VLOOKUP(A201&amp;E201&amp;I201,PMsheet!J:K,2,0),0)*'Master Data-C19RM'!$C$2))</f>
        <v>0</v>
      </c>
      <c r="O201" s="495" t="str">
        <f>IF(L201="", "",SETUP!$E$7)</f>
        <v/>
      </c>
      <c r="P201" s="457">
        <f>IF($O201="USD",_xlfn.IFNA(VLOOKUP($A201&amp;$E201&amp;$I201,PMsheet!$J:$K,2,0),0),(_xlfn.IFNA(VLOOKUP($A201&amp;$E201&amp;$I201,PMsheet!$J:$K,2,0),0)*'Master Data-C19RM'!$C$2))</f>
        <v>0</v>
      </c>
      <c r="Q201" s="440"/>
      <c r="R201" s="440"/>
      <c r="S201" s="440"/>
      <c r="T201" s="440"/>
      <c r="U201" s="482">
        <f t="shared" si="17"/>
        <v>0</v>
      </c>
      <c r="V201" s="484">
        <f>IF(SETUP!$E$7="USD",(U201*(IF(O201="USD",P201,(P201/'Master Data-C19RM'!$C$2)))),(U201*(IF(O201="EUR",P201,(P201*'Master Data-C19RM'!$C$2)))))</f>
        <v>0</v>
      </c>
      <c r="W201" s="445">
        <f>IF($O201="USD",_xlfn.IFNA(VLOOKUP($A201&amp;$E201&amp;$I201,PMsheet!$J:$K,2,0),0),(_xlfn.IFNA(VLOOKUP($A201&amp;$E201&amp;$I201,PMsheet!$J:$K,2,0),0)*'Master Data-C19RM'!$D$2))</f>
        <v>0</v>
      </c>
      <c r="X201" s="440"/>
      <c r="Y201" s="440"/>
      <c r="Z201" s="440"/>
      <c r="AA201" s="440"/>
      <c r="AB201" s="482">
        <f t="shared" si="18"/>
        <v>0</v>
      </c>
      <c r="AC201" s="484">
        <f>IF(SETUP!$E$7="USD",(AB201*(IF(O201="USD",W201,(W201/'Master Data-C19RM'!$D$2)))),(AB201*(IF(O201="EUR",W201,(W201*'Master Data-C19RM'!$D$2)))))</f>
        <v>0</v>
      </c>
      <c r="AD201" s="445">
        <f>IF($O201="USD",_xlfn.IFNA(VLOOKUP($A201&amp;$E201&amp;$I201,PMsheet!$J:$K,2,0),0),(_xlfn.IFNA(VLOOKUP($A201&amp;$E201&amp;$I201,PMsheet!$J:$K,2,0),0)*'Master Data-C19RM'!$E$2))</f>
        <v>0</v>
      </c>
      <c r="AE201" s="440"/>
      <c r="AF201" s="440"/>
      <c r="AG201" s="440"/>
      <c r="AH201" s="440"/>
      <c r="AI201" s="514">
        <f t="shared" si="19"/>
        <v>0</v>
      </c>
      <c r="AJ201" s="515">
        <f>IF(SETUP!$E$7="USD",(AI201*(IF(O201="USD",AD201,(AD201/'Master Data-C19RM'!$E$2)))),(AI201*(IF(O201="EUR",AD201,(AD201*'Master Data-C19RM'!$E$2)))))</f>
        <v>0</v>
      </c>
      <c r="AK201" s="445">
        <f>IF($O201="USD",_xlfn.IFNA(VLOOKUP($A201&amp;$E201&amp;$I201,PMsheet!$J:$K,2,0),0),(_xlfn.IFNA(VLOOKUP($A201&amp;$E201&amp;$I201,PMsheet!$J:$K,2,0),0)*'Master Data-C19RM'!$F$2))</f>
        <v>0</v>
      </c>
      <c r="AL201" s="440"/>
      <c r="AM201" s="440"/>
      <c r="AN201" s="440"/>
      <c r="AO201" s="440"/>
      <c r="AP201" s="514">
        <f t="shared" si="20"/>
        <v>0</v>
      </c>
      <c r="AQ201" s="515">
        <f>IF(SETUP!$E$7="USD",(AP201*(IF(O201="USD",AK201,(AK201/'Master Data-C19RM'!$F$2)))),(AP201*(IF(O201="EUR",AK201,(AK201*'Master Data-C19RM'!$F$2)))))</f>
        <v>0</v>
      </c>
      <c r="AR201" s="925">
        <f>IF($O201="USD",_xlfn.IFNA(VLOOKUP($A201&amp;$E201&amp;$I201,PMsheet!$J:$K,2,0),0),(_xlfn.IFNA(VLOOKUP($A201&amp;$E201&amp;$I201,PMsheet!$J:$K,2,0),0)*'Master Data-C19RM'!$G$2))</f>
        <v>0</v>
      </c>
      <c r="AS201" s="926"/>
      <c r="AT201" s="926"/>
      <c r="AU201" s="926"/>
      <c r="AV201" s="926"/>
      <c r="AW201" s="514">
        <f t="shared" si="24"/>
        <v>0</v>
      </c>
      <c r="AX201" s="515">
        <f>IF(SETUP!$E$7="USD",(AW201*(IF(O201="USD",AR201,(AR201/'Master Data-C19RM'!$G$2)))),(AW201*(IF(O201="EUR",AR201,(AR201*'Master Data-C19RM'!$G$2)))))</f>
        <v>0</v>
      </c>
      <c r="AY201" s="845"/>
      <c r="AZ201" s="846"/>
      <c r="BA201" s="846"/>
      <c r="BB201" s="846"/>
      <c r="BC201" s="846"/>
      <c r="BD201" s="846"/>
      <c r="BE201" s="847"/>
      <c r="BF201" s="514">
        <f>'C19RM 2021-Lab &amp; Other HPS'!$U201+'C19RM 2021-Lab &amp; Other HPS'!$AB201+'C19RM 2021-Lab &amp; Other HPS'!$AP201+'C19RM 2021-Lab &amp; Other HPS'!$AI201+AW201+BD201</f>
        <v>0</v>
      </c>
      <c r="BG201" s="514">
        <f>'C19RM 2021-Lab &amp; Other HPS'!$V201+'C19RM 2021-Lab &amp; Other HPS'!$AC201+'C19RM 2021-Lab &amp; Other HPS'!$AQ201+'C19RM 2021-Lab &amp; Other HPS'!$AJ201+AX201+BE201</f>
        <v>0</v>
      </c>
      <c r="BH201" s="522" t="str" cm="1">
        <f t="array" ref="BH201">IF(A201&lt;&gt;"",IFERROR(INDEX(PMtbl[[WKst]:[Unit of measure*]],MATCH($A$115&amp;$A201&amp;$E201&amp;$I201,INDEX(PMtbl[Sec]&amp;PMtbl[Category]&amp;PMtbl[Each]&amp;PMtbl[Packaging],0,),0),11),""),"")</f>
        <v/>
      </c>
      <c r="BI201" s="818"/>
      <c r="BJ201" s="503" t="str" cm="1">
        <f t="array" ref="BJ201">IFERROR(INDEX(SETUP!$C$19:$G$121,MATCH((INDEX(PMtbl[[WKst]:[Unit of measure*]],MATCH($A201&amp;$E201&amp;$I201,INDEX(PMtbl[Category]&amp;PMtbl[Each]&amp;PMtbl[Packaging],0,),0),3)),SETUP!$D$19:$D$121,0),5),"")</f>
        <v/>
      </c>
      <c r="BK201" s="543"/>
      <c r="BL201" s="215"/>
      <c r="BO201" s="12">
        <f>IF(N201="",0,IF(SETUP!$E$7="USD",((IF(O201="USD",P201,(P201/'Master Data-C19RM'!$C$2)))),((IF(O201="EUR",P201,(P201*'Master Data-C19RM'!$C$2))))))</f>
        <v>0</v>
      </c>
      <c r="BP201" s="12">
        <f>IF(N201="",0,IF(SETUP!$E$7="USD",((IF(O201="USD",W201,(W201/'Master Data-C19RM'!$D$2)))),((IF(O201="EUR",W201,(W201*'Master Data-C19RM'!$D$2))))))</f>
        <v>0</v>
      </c>
      <c r="BQ201">
        <f>IF(N201="",0,IF(SETUP!$E$7="USD",((IF(O201="USD",AD201,(AD201/'Master Data-C19RM'!$E$2)))),((IF(O201="EUR",AD201,(AD201*'Master Data-C19RM'!$E$2))))))</f>
        <v>0</v>
      </c>
      <c r="BR201">
        <f>IF(N201="",0,IF(SETUP!$E$7="USD",((IF(O201="USD",AK201,(AK201/'Master Data-C19RM'!$F$2)))),((IF(O201="EUR",AK201,(AK201*'Master Data-C19RM'!$F$2))))))</f>
        <v>0</v>
      </c>
      <c r="BS201">
        <f>IF(N201="",0,IF(SETUP!$E$7="USD",((IF(O201="USD",AR201,(AR201/'Master Data-C19RM'!$G$2)))),((IF(O201="EUR",AR201,(AR201*'Master Data-C19RM'!$G$2))))))</f>
        <v>0</v>
      </c>
      <c r="BT201">
        <f>IF(N201="",0,IF(SETUP!$E$7="USD",((IF(O201="USD",AY201,(AY201/'Master Data-C19RM'!$H$2)))),((IF(O201="EUR",AY201,(AY201*'Master Data-C19RM'!$H$2))))))</f>
        <v>0</v>
      </c>
      <c r="BU201" s="12">
        <f t="shared" si="25"/>
        <v>0</v>
      </c>
      <c r="BV201" s="142">
        <f t="shared" si="26"/>
        <v>0</v>
      </c>
    </row>
    <row r="202" spans="1:74" x14ac:dyDescent="0.35">
      <c r="A202" s="1165"/>
      <c r="B202" s="1165"/>
      <c r="C202" s="1165"/>
      <c r="D202" s="1165"/>
      <c r="E202" s="1166"/>
      <c r="F202" s="1166"/>
      <c r="G202" s="1166"/>
      <c r="H202" s="1166"/>
      <c r="I202" s="1166"/>
      <c r="J202" s="1166"/>
      <c r="K202" s="1166"/>
      <c r="L202" s="490" t="str" cm="1">
        <f t="array" ref="L202">IF(A202&lt;&gt;"",IFERROR(INDEX(PMtbl[[WKst]:[Unit of measure*]],MATCH($A$115&amp;$A202&amp;$E202&amp;$I202,INDEX(PMtbl[Sec]&amp;PMtbl[Category]&amp;PMtbl[Each]&amp;PMtbl[Packaging],0,),0),14),""),"")</f>
        <v/>
      </c>
      <c r="M202" s="479" t="str">
        <f>IF(L202="","",INDEX(SETUP!$E$20:$E$122,(MATCH(INDEX(PMsheet!$D:$E,MATCH(A202,PMsheet!E:E,0),1),SETUP!$D$20:$D$122,0))))</f>
        <v/>
      </c>
      <c r="N202" s="491">
        <f>IF($O202="USD",_xlfn.IFNA(VLOOKUP(A202&amp;E202&amp;I202,PMsheet!J:K,2,0),0),(_xlfn.IFNA(VLOOKUP(A202&amp;E202&amp;I202,PMsheet!J:K,2,0),0)*'Master Data-C19RM'!$C$2))</f>
        <v>0</v>
      </c>
      <c r="O202" s="492" t="str">
        <f>IF(L202="", "",SETUP!$E$7)</f>
        <v/>
      </c>
      <c r="P202" s="456">
        <f>IF($O202="USD",_xlfn.IFNA(VLOOKUP($A202&amp;$E202&amp;$I202,PMsheet!$J:$K,2,0),0),(_xlfn.IFNA(VLOOKUP($A202&amp;$E202&amp;$I202,PMsheet!$J:$K,2,0),0)*'Master Data-C19RM'!$C$2))</f>
        <v>0</v>
      </c>
      <c r="Q202" s="441"/>
      <c r="R202" s="441"/>
      <c r="S202" s="441"/>
      <c r="T202" s="441"/>
      <c r="U202" s="481">
        <f t="shared" si="17"/>
        <v>0</v>
      </c>
      <c r="V202" s="483">
        <f>IF(SETUP!$E$7="USD",(U202*(IF(O202="USD",P202,(P202/'Master Data-C19RM'!$C$2)))),(U202*(IF(O202="EUR",P202,(P202*'Master Data-C19RM'!$C$2)))))</f>
        <v>0</v>
      </c>
      <c r="W202" s="444">
        <f>IF($O202="USD",_xlfn.IFNA(VLOOKUP($A202&amp;$E202&amp;$I202,PMsheet!$J:$K,2,0),0),(_xlfn.IFNA(VLOOKUP($A202&amp;$E202&amp;$I202,PMsheet!$J:$K,2,0),0)*'Master Data-C19RM'!$D$2))</f>
        <v>0</v>
      </c>
      <c r="X202" s="441"/>
      <c r="Y202" s="441"/>
      <c r="Z202" s="441"/>
      <c r="AA202" s="441"/>
      <c r="AB202" s="481">
        <f t="shared" si="18"/>
        <v>0</v>
      </c>
      <c r="AC202" s="483">
        <f>IF(SETUP!$E$7="USD",(AB202*(IF(O202="USD",W202,(W202/'Master Data-C19RM'!$D$2)))),(AB202*(IF(O202="EUR",W202,(W202*'Master Data-C19RM'!$D$2)))))</f>
        <v>0</v>
      </c>
      <c r="AD202" s="444">
        <f>IF($O202="USD",_xlfn.IFNA(VLOOKUP($A202&amp;$E202&amp;$I202,PMsheet!$J:$K,2,0),0),(_xlfn.IFNA(VLOOKUP($A202&amp;$E202&amp;$I202,PMsheet!$J:$K,2,0),0)*'Master Data-C19RM'!$E$2))</f>
        <v>0</v>
      </c>
      <c r="AE202" s="441"/>
      <c r="AF202" s="441"/>
      <c r="AG202" s="441"/>
      <c r="AH202" s="441"/>
      <c r="AI202" s="512">
        <f t="shared" si="19"/>
        <v>0</v>
      </c>
      <c r="AJ202" s="513">
        <f>IF(SETUP!$E$7="USD",(AI202*(IF(O202="USD",AD202,(AD202/'Master Data-C19RM'!$E$2)))),(AI202*(IF(O202="EUR",AD202,(AD202*'Master Data-C19RM'!$E$2)))))</f>
        <v>0</v>
      </c>
      <c r="AK202" s="444">
        <f>IF($O202="USD",_xlfn.IFNA(VLOOKUP($A202&amp;$E202&amp;$I202,PMsheet!$J:$K,2,0),0),(_xlfn.IFNA(VLOOKUP($A202&amp;$E202&amp;$I202,PMsheet!$J:$K,2,0),0)*'Master Data-C19RM'!$F$2))</f>
        <v>0</v>
      </c>
      <c r="AL202" s="441"/>
      <c r="AM202" s="441"/>
      <c r="AN202" s="441"/>
      <c r="AO202" s="441"/>
      <c r="AP202" s="512">
        <f t="shared" si="20"/>
        <v>0</v>
      </c>
      <c r="AQ202" s="513">
        <f>IF(SETUP!$E$7="USD",(AP202*(IF(O202="USD",AK202,(AK202/'Master Data-C19RM'!$F$2)))),(AP202*(IF(O202="EUR",AK202,(AK202*'Master Data-C19RM'!$F$2)))))</f>
        <v>0</v>
      </c>
      <c r="AR202" s="924">
        <f>IF($O202="USD",_xlfn.IFNA(VLOOKUP($A202&amp;$E202&amp;$I202,PMsheet!$J:$K,2,0),0),(_xlfn.IFNA(VLOOKUP($A202&amp;$E202&amp;$I202,PMsheet!$J:$K,2,0),0)*'Master Data-C19RM'!$G$2))</f>
        <v>0</v>
      </c>
      <c r="AS202" s="572"/>
      <c r="AT202" s="572"/>
      <c r="AU202" s="572"/>
      <c r="AV202" s="572"/>
      <c r="AW202" s="512">
        <f t="shared" si="24"/>
        <v>0</v>
      </c>
      <c r="AX202" s="513">
        <f>IF(SETUP!$E$7="USD",(AW202*(IF(O202="USD",AR202,(AR202/'Master Data-C19RM'!$G$2)))),(AW202*(IF(O202="EUR",AR202,(AR202*'Master Data-C19RM'!$G$2)))))</f>
        <v>0</v>
      </c>
      <c r="AY202" s="845"/>
      <c r="AZ202" s="846"/>
      <c r="BA202" s="846"/>
      <c r="BB202" s="846"/>
      <c r="BC202" s="846"/>
      <c r="BD202" s="846"/>
      <c r="BE202" s="847"/>
      <c r="BF202" s="512">
        <f>'C19RM 2021-Lab &amp; Other HPS'!$U202+'C19RM 2021-Lab &amp; Other HPS'!$AB202+'C19RM 2021-Lab &amp; Other HPS'!$AP202+'C19RM 2021-Lab &amp; Other HPS'!$AI202+AW202+BD202</f>
        <v>0</v>
      </c>
      <c r="BG202" s="512">
        <f>'C19RM 2021-Lab &amp; Other HPS'!$V202+'C19RM 2021-Lab &amp; Other HPS'!$AC202+'C19RM 2021-Lab &amp; Other HPS'!$AQ202+'C19RM 2021-Lab &amp; Other HPS'!$AJ202+AX202+BE202</f>
        <v>0</v>
      </c>
      <c r="BH202" s="500" t="str" cm="1">
        <f t="array" ref="BH202">IF(A202&lt;&gt;"",IFERROR(INDEX(PMtbl[[WKst]:[Unit of measure*]],MATCH($A$115&amp;$A202&amp;$E202&amp;$I202,INDEX(PMtbl[Sec]&amp;PMtbl[Category]&amp;PMtbl[Each]&amp;PMtbl[Packaging],0,),0),11),""),"")</f>
        <v/>
      </c>
      <c r="BI202" s="819"/>
      <c r="BJ202" s="502" t="str" cm="1">
        <f t="array" ref="BJ202">IFERROR(INDEX(SETUP!$C$19:$G$121,MATCH((INDEX(PMtbl[[WKst]:[Unit of measure*]],MATCH($A202&amp;$E202&amp;$I202,INDEX(PMtbl[Category]&amp;PMtbl[Each]&amp;PMtbl[Packaging],0,),0),3)),SETUP!$D$19:$D$121,0),5),"")</f>
        <v/>
      </c>
      <c r="BK202" s="542"/>
      <c r="BL202" s="214"/>
      <c r="BO202" s="12">
        <f>IF(N202="",0,IF(SETUP!$E$7="USD",((IF(O202="USD",P202,(P202/'Master Data-C19RM'!$C$2)))),((IF(O202="EUR",P202,(P202*'Master Data-C19RM'!$C$2))))))</f>
        <v>0</v>
      </c>
      <c r="BP202" s="12">
        <f>IF(N202="",0,IF(SETUP!$E$7="USD",((IF(O202="USD",W202,(W202/'Master Data-C19RM'!$D$2)))),((IF(O202="EUR",W202,(W202*'Master Data-C19RM'!$D$2))))))</f>
        <v>0</v>
      </c>
      <c r="BQ202">
        <f>IF(N202="",0,IF(SETUP!$E$7="USD",((IF(O202="USD",AD202,(AD202/'Master Data-C19RM'!$E$2)))),((IF(O202="EUR",AD202,(AD202*'Master Data-C19RM'!$E$2))))))</f>
        <v>0</v>
      </c>
      <c r="BR202">
        <f>IF(N202="",0,IF(SETUP!$E$7="USD",((IF(O202="USD",AK202,(AK202/'Master Data-C19RM'!$F$2)))),((IF(O202="EUR",AK202,(AK202*'Master Data-C19RM'!$F$2))))))</f>
        <v>0</v>
      </c>
      <c r="BS202">
        <f>IF(N202="",0,IF(SETUP!$E$7="USD",((IF(O202="USD",AR202,(AR202/'Master Data-C19RM'!$G$2)))),((IF(O202="EUR",AR202,(AR202*'Master Data-C19RM'!$G$2))))))</f>
        <v>0</v>
      </c>
      <c r="BT202">
        <f>IF(N202="",0,IF(SETUP!$E$7="USD",((IF(O202="USD",AY202,(AY202/'Master Data-C19RM'!$H$2)))),((IF(O202="EUR",AY202,(AY202*'Master Data-C19RM'!$H$2))))))</f>
        <v>0</v>
      </c>
      <c r="BU202" s="12">
        <f t="shared" si="25"/>
        <v>0</v>
      </c>
      <c r="BV202" s="142">
        <f t="shared" si="26"/>
        <v>0</v>
      </c>
    </row>
    <row r="203" spans="1:74" x14ac:dyDescent="0.35">
      <c r="A203" s="1192"/>
      <c r="B203" s="1192"/>
      <c r="C203" s="1192"/>
      <c r="D203" s="1192"/>
      <c r="E203" s="1173"/>
      <c r="F203" s="1173"/>
      <c r="G203" s="1173"/>
      <c r="H203" s="1173"/>
      <c r="I203" s="1173"/>
      <c r="J203" s="1173"/>
      <c r="K203" s="1173"/>
      <c r="L203" s="493" t="str" cm="1">
        <f t="array" ref="L203">IF(A203&lt;&gt;"",IFERROR(INDEX(PMtbl[[WKst]:[Unit of measure*]],MATCH($A$115&amp;$A203&amp;$E203&amp;$I203,INDEX(PMtbl[Sec]&amp;PMtbl[Category]&amp;PMtbl[Each]&amp;PMtbl[Packaging],0,),0),14),""),"")</f>
        <v/>
      </c>
      <c r="M203" s="480" t="str">
        <f>IF(L203="","",INDEX(SETUP!$E$20:$E$122,(MATCH(INDEX(PMsheet!$D:$E,MATCH(A203,PMsheet!E:E,0),1),SETUP!$D$20:$D$122,0))))</f>
        <v/>
      </c>
      <c r="N203" s="494">
        <f>IF($O203="USD",_xlfn.IFNA(VLOOKUP(A203&amp;E203&amp;I203,PMsheet!J:K,2,0),0),(_xlfn.IFNA(VLOOKUP(A203&amp;E203&amp;I203,PMsheet!J:K,2,0),0)*'Master Data-C19RM'!$C$2))</f>
        <v>0</v>
      </c>
      <c r="O203" s="495" t="str">
        <f>IF(L203="", "",SETUP!$E$7)</f>
        <v/>
      </c>
      <c r="P203" s="457">
        <f>IF($O203="USD",_xlfn.IFNA(VLOOKUP($A203&amp;$E203&amp;$I203,PMsheet!$J:$K,2,0),0),(_xlfn.IFNA(VLOOKUP($A203&amp;$E203&amp;$I203,PMsheet!$J:$K,2,0),0)*'Master Data-C19RM'!$C$2))</f>
        <v>0</v>
      </c>
      <c r="Q203" s="440"/>
      <c r="R203" s="440"/>
      <c r="S203" s="440"/>
      <c r="T203" s="440"/>
      <c r="U203" s="482">
        <f t="shared" si="17"/>
        <v>0</v>
      </c>
      <c r="V203" s="484">
        <f>IF(SETUP!$E$7="USD",(U203*(IF(O203="USD",P203,(P203/'Master Data-C19RM'!$C$2)))),(U203*(IF(O203="EUR",P203,(P203*'Master Data-C19RM'!$C$2)))))</f>
        <v>0</v>
      </c>
      <c r="W203" s="445">
        <f>IF($O203="USD",_xlfn.IFNA(VLOOKUP($A203&amp;$E203&amp;$I203,PMsheet!$J:$K,2,0),0),(_xlfn.IFNA(VLOOKUP($A203&amp;$E203&amp;$I203,PMsheet!$J:$K,2,0),0)*'Master Data-C19RM'!$D$2))</f>
        <v>0</v>
      </c>
      <c r="X203" s="440"/>
      <c r="Y203" s="440"/>
      <c r="Z203" s="440"/>
      <c r="AA203" s="440"/>
      <c r="AB203" s="482">
        <f t="shared" si="18"/>
        <v>0</v>
      </c>
      <c r="AC203" s="484">
        <f>IF(SETUP!$E$7="USD",(AB203*(IF(O203="USD",W203,(W203/'Master Data-C19RM'!$D$2)))),(AB203*(IF(O203="EUR",W203,(W203*'Master Data-C19RM'!$D$2)))))</f>
        <v>0</v>
      </c>
      <c r="AD203" s="445">
        <f>IF($O203="USD",_xlfn.IFNA(VLOOKUP($A203&amp;$E203&amp;$I203,PMsheet!$J:$K,2,0),0),(_xlfn.IFNA(VLOOKUP($A203&amp;$E203&amp;$I203,PMsheet!$J:$K,2,0),0)*'Master Data-C19RM'!$E$2))</f>
        <v>0</v>
      </c>
      <c r="AE203" s="440"/>
      <c r="AF203" s="440"/>
      <c r="AG203" s="440"/>
      <c r="AH203" s="440"/>
      <c r="AI203" s="514">
        <f t="shared" si="19"/>
        <v>0</v>
      </c>
      <c r="AJ203" s="515">
        <f>IF(SETUP!$E$7="USD",(AI203*(IF(O203="USD",AD203,(AD203/'Master Data-C19RM'!$E$2)))),(AI203*(IF(O203="EUR",AD203,(AD203*'Master Data-C19RM'!$E$2)))))</f>
        <v>0</v>
      </c>
      <c r="AK203" s="445">
        <f>IF($O203="USD",_xlfn.IFNA(VLOOKUP($A203&amp;$E203&amp;$I203,PMsheet!$J:$K,2,0),0),(_xlfn.IFNA(VLOOKUP($A203&amp;$E203&amp;$I203,PMsheet!$J:$K,2,0),0)*'Master Data-C19RM'!$F$2))</f>
        <v>0</v>
      </c>
      <c r="AL203" s="440"/>
      <c r="AM203" s="440"/>
      <c r="AN203" s="440"/>
      <c r="AO203" s="440"/>
      <c r="AP203" s="514">
        <f t="shared" si="20"/>
        <v>0</v>
      </c>
      <c r="AQ203" s="515">
        <f>IF(SETUP!$E$7="USD",(AP203*(IF(O203="USD",AK203,(AK203/'Master Data-C19RM'!$F$2)))),(AP203*(IF(O203="EUR",AK203,(AK203*'Master Data-C19RM'!$F$2)))))</f>
        <v>0</v>
      </c>
      <c r="AR203" s="925">
        <f>IF($O203="USD",_xlfn.IFNA(VLOOKUP($A203&amp;$E203&amp;$I203,PMsheet!$J:$K,2,0),0),(_xlfn.IFNA(VLOOKUP($A203&amp;$E203&amp;$I203,PMsheet!$J:$K,2,0),0)*'Master Data-C19RM'!$G$2))</f>
        <v>0</v>
      </c>
      <c r="AS203" s="926"/>
      <c r="AT203" s="926"/>
      <c r="AU203" s="926"/>
      <c r="AV203" s="926"/>
      <c r="AW203" s="514">
        <f t="shared" si="24"/>
        <v>0</v>
      </c>
      <c r="AX203" s="515">
        <f>IF(SETUP!$E$7="USD",(AW203*(IF(O203="USD",AR203,(AR203/'Master Data-C19RM'!$G$2)))),(AW203*(IF(O203="EUR",AR203,(AR203*'Master Data-C19RM'!$G$2)))))</f>
        <v>0</v>
      </c>
      <c r="AY203" s="845"/>
      <c r="AZ203" s="846"/>
      <c r="BA203" s="846"/>
      <c r="BB203" s="846"/>
      <c r="BC203" s="846"/>
      <c r="BD203" s="846"/>
      <c r="BE203" s="847"/>
      <c r="BF203" s="514">
        <f>'C19RM 2021-Lab &amp; Other HPS'!$U203+'C19RM 2021-Lab &amp; Other HPS'!$AB203+'C19RM 2021-Lab &amp; Other HPS'!$AP203+'C19RM 2021-Lab &amp; Other HPS'!$AI203+AW203+BD203</f>
        <v>0</v>
      </c>
      <c r="BG203" s="514">
        <f>'C19RM 2021-Lab &amp; Other HPS'!$V203+'C19RM 2021-Lab &amp; Other HPS'!$AC203+'C19RM 2021-Lab &amp; Other HPS'!$AQ203+'C19RM 2021-Lab &amp; Other HPS'!$AJ203+AX203+BE203</f>
        <v>0</v>
      </c>
      <c r="BH203" s="522" t="str" cm="1">
        <f t="array" ref="BH203">IF(A203&lt;&gt;"",IFERROR(INDEX(PMtbl[[WKst]:[Unit of measure*]],MATCH($A$115&amp;$A203&amp;$E203&amp;$I203,INDEX(PMtbl[Sec]&amp;PMtbl[Category]&amp;PMtbl[Each]&amp;PMtbl[Packaging],0,),0),11),""),"")</f>
        <v/>
      </c>
      <c r="BI203" s="818"/>
      <c r="BJ203" s="503" t="str" cm="1">
        <f t="array" ref="BJ203">IFERROR(INDEX(SETUP!$C$19:$G$121,MATCH((INDEX(PMtbl[[WKst]:[Unit of measure*]],MATCH($A203&amp;$E203&amp;$I203,INDEX(PMtbl[Category]&amp;PMtbl[Each]&amp;PMtbl[Packaging],0,),0),3)),SETUP!$D$19:$D$121,0),5),"")</f>
        <v/>
      </c>
      <c r="BK203" s="543"/>
      <c r="BL203" s="215"/>
      <c r="BO203" s="12">
        <f>IF(N203="",0,IF(SETUP!$E$7="USD",((IF(O203="USD",P203,(P203/'Master Data-C19RM'!$C$2)))),((IF(O203="EUR",P203,(P203*'Master Data-C19RM'!$C$2))))))</f>
        <v>0</v>
      </c>
      <c r="BP203" s="12">
        <f>IF(N203="",0,IF(SETUP!$E$7="USD",((IF(O203="USD",W203,(W203/'Master Data-C19RM'!$D$2)))),((IF(O203="EUR",W203,(W203*'Master Data-C19RM'!$D$2))))))</f>
        <v>0</v>
      </c>
      <c r="BQ203">
        <f>IF(N203="",0,IF(SETUP!$E$7="USD",((IF(O203="USD",AD203,(AD203/'Master Data-C19RM'!$E$2)))),((IF(O203="EUR",AD203,(AD203*'Master Data-C19RM'!$E$2))))))</f>
        <v>0</v>
      </c>
      <c r="BR203">
        <f>IF(N203="",0,IF(SETUP!$E$7="USD",((IF(O203="USD",AK203,(AK203/'Master Data-C19RM'!$F$2)))),((IF(O203="EUR",AK203,(AK203*'Master Data-C19RM'!$F$2))))))</f>
        <v>0</v>
      </c>
      <c r="BS203">
        <f>IF(N203="",0,IF(SETUP!$E$7="USD",((IF(O203="USD",AR203,(AR203/'Master Data-C19RM'!$G$2)))),((IF(O203="EUR",AR203,(AR203*'Master Data-C19RM'!$G$2))))))</f>
        <v>0</v>
      </c>
      <c r="BT203">
        <f>IF(N203="",0,IF(SETUP!$E$7="USD",((IF(O203="USD",AY203,(AY203/'Master Data-C19RM'!$H$2)))),((IF(O203="EUR",AY203,(AY203*'Master Data-C19RM'!$H$2))))))</f>
        <v>0</v>
      </c>
      <c r="BU203" s="12">
        <f t="shared" si="25"/>
        <v>0</v>
      </c>
      <c r="BV203" s="142">
        <f t="shared" si="26"/>
        <v>0</v>
      </c>
    </row>
    <row r="204" spans="1:74" x14ac:dyDescent="0.35">
      <c r="A204" s="1165"/>
      <c r="B204" s="1165"/>
      <c r="C204" s="1165"/>
      <c r="D204" s="1165"/>
      <c r="E204" s="1166"/>
      <c r="F204" s="1166"/>
      <c r="G204" s="1166"/>
      <c r="H204" s="1166"/>
      <c r="I204" s="1166"/>
      <c r="J204" s="1166"/>
      <c r="K204" s="1166"/>
      <c r="L204" s="490" t="str" cm="1">
        <f t="array" ref="L204">IF(A204&lt;&gt;"",IFERROR(INDEX(PMtbl[[WKst]:[Unit of measure*]],MATCH($A$115&amp;$A204&amp;$E204&amp;$I204,INDEX(PMtbl[Sec]&amp;PMtbl[Category]&amp;PMtbl[Each]&amp;PMtbl[Packaging],0,),0),14),""),"")</f>
        <v/>
      </c>
      <c r="M204" s="479" t="str">
        <f>IF(L204="","",INDEX(SETUP!$E$20:$E$122,(MATCH(INDEX(PMsheet!$D:$E,MATCH(A204,PMsheet!E:E,0),1),SETUP!$D$20:$D$122,0))))</f>
        <v/>
      </c>
      <c r="N204" s="491">
        <f>IF($O204="USD",_xlfn.IFNA(VLOOKUP(A204&amp;E204&amp;I204,PMsheet!J:K,2,0),0),(_xlfn.IFNA(VLOOKUP(A204&amp;E204&amp;I204,PMsheet!J:K,2,0),0)*'Master Data-C19RM'!$C$2))</f>
        <v>0</v>
      </c>
      <c r="O204" s="492" t="str">
        <f>IF(L204="", "",SETUP!$E$7)</f>
        <v/>
      </c>
      <c r="P204" s="456">
        <f>IF($O204="USD",_xlfn.IFNA(VLOOKUP($A204&amp;$E204&amp;$I204,PMsheet!$J:$K,2,0),0),(_xlfn.IFNA(VLOOKUP($A204&amp;$E204&amp;$I204,PMsheet!$J:$K,2,0),0)*'Master Data-C19RM'!$C$2))</f>
        <v>0</v>
      </c>
      <c r="Q204" s="441"/>
      <c r="R204" s="441"/>
      <c r="S204" s="441"/>
      <c r="T204" s="441"/>
      <c r="U204" s="481">
        <f t="shared" si="17"/>
        <v>0</v>
      </c>
      <c r="V204" s="483">
        <f>IF(SETUP!$E$7="USD",(U204*(IF(O204="USD",P204,(P204/'Master Data-C19RM'!$C$2)))),(U204*(IF(O204="EUR",P204,(P204*'Master Data-C19RM'!$C$2)))))</f>
        <v>0</v>
      </c>
      <c r="W204" s="444">
        <f>IF($O204="USD",_xlfn.IFNA(VLOOKUP($A204&amp;$E204&amp;$I204,PMsheet!$J:$K,2,0),0),(_xlfn.IFNA(VLOOKUP($A204&amp;$E204&amp;$I204,PMsheet!$J:$K,2,0),0)*'Master Data-C19RM'!$D$2))</f>
        <v>0</v>
      </c>
      <c r="X204" s="441"/>
      <c r="Y204" s="441"/>
      <c r="Z204" s="441"/>
      <c r="AA204" s="441"/>
      <c r="AB204" s="481">
        <f t="shared" si="18"/>
        <v>0</v>
      </c>
      <c r="AC204" s="483">
        <f>IF(SETUP!$E$7="USD",(AB204*(IF(O204="USD",W204,(W204/'Master Data-C19RM'!$D$2)))),(AB204*(IF(O204="EUR",W204,(W204*'Master Data-C19RM'!$D$2)))))</f>
        <v>0</v>
      </c>
      <c r="AD204" s="444">
        <f>IF($O204="USD",_xlfn.IFNA(VLOOKUP($A204&amp;$E204&amp;$I204,PMsheet!$J:$K,2,0),0),(_xlfn.IFNA(VLOOKUP($A204&amp;$E204&amp;$I204,PMsheet!$J:$K,2,0),0)*'Master Data-C19RM'!$E$2))</f>
        <v>0</v>
      </c>
      <c r="AE204" s="441"/>
      <c r="AF204" s="441"/>
      <c r="AG204" s="441"/>
      <c r="AH204" s="441"/>
      <c r="AI204" s="512">
        <f t="shared" si="19"/>
        <v>0</v>
      </c>
      <c r="AJ204" s="513">
        <f>IF(SETUP!$E$7="USD",(AI204*(IF(O204="USD",AD204,(AD204/'Master Data-C19RM'!$E$2)))),(AI204*(IF(O204="EUR",AD204,(AD204*'Master Data-C19RM'!$E$2)))))</f>
        <v>0</v>
      </c>
      <c r="AK204" s="444">
        <f>IF($O204="USD",_xlfn.IFNA(VLOOKUP($A204&amp;$E204&amp;$I204,PMsheet!$J:$K,2,0),0),(_xlfn.IFNA(VLOOKUP($A204&amp;$E204&amp;$I204,PMsheet!$J:$K,2,0),0)*'Master Data-C19RM'!$F$2))</f>
        <v>0</v>
      </c>
      <c r="AL204" s="441"/>
      <c r="AM204" s="441"/>
      <c r="AN204" s="441"/>
      <c r="AO204" s="441"/>
      <c r="AP204" s="512">
        <f t="shared" si="20"/>
        <v>0</v>
      </c>
      <c r="AQ204" s="513">
        <f>IF(SETUP!$E$7="USD",(AP204*(IF(O204="USD",AK204,(AK204/'Master Data-C19RM'!$F$2)))),(AP204*(IF(O204="EUR",AK204,(AK204*'Master Data-C19RM'!$F$2)))))</f>
        <v>0</v>
      </c>
      <c r="AR204" s="924">
        <f>IF($O204="USD",_xlfn.IFNA(VLOOKUP($A204&amp;$E204&amp;$I204,PMsheet!$J:$K,2,0),0),(_xlfn.IFNA(VLOOKUP($A204&amp;$E204&amp;$I204,PMsheet!$J:$K,2,0),0)*'Master Data-C19RM'!$G$2))</f>
        <v>0</v>
      </c>
      <c r="AS204" s="572"/>
      <c r="AT204" s="572"/>
      <c r="AU204" s="572"/>
      <c r="AV204" s="572"/>
      <c r="AW204" s="512">
        <f t="shared" si="24"/>
        <v>0</v>
      </c>
      <c r="AX204" s="513">
        <f>IF(SETUP!$E$7="USD",(AW204*(IF(O204="USD",AR204,(AR204/'Master Data-C19RM'!$G$2)))),(AW204*(IF(O204="EUR",AR204,(AR204*'Master Data-C19RM'!$G$2)))))</f>
        <v>0</v>
      </c>
      <c r="AY204" s="845"/>
      <c r="AZ204" s="846"/>
      <c r="BA204" s="846"/>
      <c r="BB204" s="846"/>
      <c r="BC204" s="846"/>
      <c r="BD204" s="846"/>
      <c r="BE204" s="847"/>
      <c r="BF204" s="512">
        <f>'C19RM 2021-Lab &amp; Other HPS'!$U204+'C19RM 2021-Lab &amp; Other HPS'!$AB204+'C19RM 2021-Lab &amp; Other HPS'!$AP204+'C19RM 2021-Lab &amp; Other HPS'!$AI204+AW204+BD204</f>
        <v>0</v>
      </c>
      <c r="BG204" s="512">
        <f>'C19RM 2021-Lab &amp; Other HPS'!$V204+'C19RM 2021-Lab &amp; Other HPS'!$AC204+'C19RM 2021-Lab &amp; Other HPS'!$AQ204+'C19RM 2021-Lab &amp; Other HPS'!$AJ204+AX204+BE204</f>
        <v>0</v>
      </c>
      <c r="BH204" s="500" t="str" cm="1">
        <f t="array" ref="BH204">IF(A204&lt;&gt;"",IFERROR(INDEX(PMtbl[[WKst]:[Unit of measure*]],MATCH($A$115&amp;$A204&amp;$E204&amp;$I204,INDEX(PMtbl[Sec]&amp;PMtbl[Category]&amp;PMtbl[Each]&amp;PMtbl[Packaging],0,),0),11),""),"")</f>
        <v/>
      </c>
      <c r="BI204" s="819"/>
      <c r="BJ204" s="502" t="str" cm="1">
        <f t="array" ref="BJ204">IFERROR(INDEX(SETUP!$C$19:$G$121,MATCH((INDEX(PMtbl[[WKst]:[Unit of measure*]],MATCH($A204&amp;$E204&amp;$I204,INDEX(PMtbl[Category]&amp;PMtbl[Each]&amp;PMtbl[Packaging],0,),0),3)),SETUP!$D$19:$D$121,0),5),"")</f>
        <v/>
      </c>
      <c r="BK204" s="542"/>
      <c r="BL204" s="214"/>
      <c r="BO204" s="12">
        <f>IF(N204="",0,IF(SETUP!$E$7="USD",((IF(O204="USD",P204,(P204/'Master Data-C19RM'!$C$2)))),((IF(O204="EUR",P204,(P204*'Master Data-C19RM'!$C$2))))))</f>
        <v>0</v>
      </c>
      <c r="BP204" s="12">
        <f>IF(N204="",0,IF(SETUP!$E$7="USD",((IF(O204="USD",W204,(W204/'Master Data-C19RM'!$D$2)))),((IF(O204="EUR",W204,(W204*'Master Data-C19RM'!$D$2))))))</f>
        <v>0</v>
      </c>
      <c r="BQ204">
        <f>IF(N204="",0,IF(SETUP!$E$7="USD",((IF(O204="USD",AD204,(AD204/'Master Data-C19RM'!$E$2)))),((IF(O204="EUR",AD204,(AD204*'Master Data-C19RM'!$E$2))))))</f>
        <v>0</v>
      </c>
      <c r="BR204">
        <f>IF(N204="",0,IF(SETUP!$E$7="USD",((IF(O204="USD",AK204,(AK204/'Master Data-C19RM'!$F$2)))),((IF(O204="EUR",AK204,(AK204*'Master Data-C19RM'!$F$2))))))</f>
        <v>0</v>
      </c>
      <c r="BS204">
        <f>IF(N204="",0,IF(SETUP!$E$7="USD",((IF(O204="USD",AR204,(AR204/'Master Data-C19RM'!$G$2)))),((IF(O204="EUR",AR204,(AR204*'Master Data-C19RM'!$G$2))))))</f>
        <v>0</v>
      </c>
      <c r="BT204">
        <f>IF(N204="",0,IF(SETUP!$E$7="USD",((IF(O204="USD",AY204,(AY204/'Master Data-C19RM'!$H$2)))),((IF(O204="EUR",AY204,(AY204*'Master Data-C19RM'!$H$2))))))</f>
        <v>0</v>
      </c>
      <c r="BU204" s="12">
        <f t="shared" si="25"/>
        <v>0</v>
      </c>
      <c r="BV204" s="142">
        <f t="shared" si="26"/>
        <v>0</v>
      </c>
    </row>
    <row r="205" spans="1:74" x14ac:dyDescent="0.35">
      <c r="A205" s="1192"/>
      <c r="B205" s="1192"/>
      <c r="C205" s="1192"/>
      <c r="D205" s="1192"/>
      <c r="E205" s="1173"/>
      <c r="F205" s="1173"/>
      <c r="G205" s="1173"/>
      <c r="H205" s="1173"/>
      <c r="I205" s="1173"/>
      <c r="J205" s="1173"/>
      <c r="K205" s="1173"/>
      <c r="L205" s="493" t="str" cm="1">
        <f t="array" ref="L205">IF(A205&lt;&gt;"",IFERROR(INDEX(PMtbl[[WKst]:[Unit of measure*]],MATCH($A$115&amp;$A205&amp;$E205&amp;$I205,INDEX(PMtbl[Sec]&amp;PMtbl[Category]&amp;PMtbl[Each]&amp;PMtbl[Packaging],0,),0),14),""),"")</f>
        <v/>
      </c>
      <c r="M205" s="480" t="str">
        <f>IF(L205="","",INDEX(SETUP!$E$20:$E$122,(MATCH(INDEX(PMsheet!$D:$E,MATCH(A205,PMsheet!E:E,0),1),SETUP!$D$20:$D$122,0))))</f>
        <v/>
      </c>
      <c r="N205" s="494">
        <f>IF($O205="USD",_xlfn.IFNA(VLOOKUP(A205&amp;E205&amp;I205,PMsheet!J:K,2,0),0),(_xlfn.IFNA(VLOOKUP(A205&amp;E205&amp;I205,PMsheet!J:K,2,0),0)*'Master Data-C19RM'!$C$2))</f>
        <v>0</v>
      </c>
      <c r="O205" s="495" t="str">
        <f>IF(L205="", "",SETUP!$E$7)</f>
        <v/>
      </c>
      <c r="P205" s="457">
        <f>IF($O205="USD",_xlfn.IFNA(VLOOKUP($A205&amp;$E205&amp;$I205,PMsheet!$J:$K,2,0),0),(_xlfn.IFNA(VLOOKUP($A205&amp;$E205&amp;$I205,PMsheet!$J:$K,2,0),0)*'Master Data-C19RM'!$C$2))</f>
        <v>0</v>
      </c>
      <c r="Q205" s="440"/>
      <c r="R205" s="440"/>
      <c r="S205" s="440"/>
      <c r="T205" s="440"/>
      <c r="U205" s="482">
        <f t="shared" si="17"/>
        <v>0</v>
      </c>
      <c r="V205" s="484">
        <f>IF(SETUP!$E$7="USD",(U205*(IF(O205="USD",P205,(P205/'Master Data-C19RM'!$C$2)))),(U205*(IF(O205="EUR",P205,(P205*'Master Data-C19RM'!$C$2)))))</f>
        <v>0</v>
      </c>
      <c r="W205" s="445">
        <f>IF($O205="USD",_xlfn.IFNA(VLOOKUP($A205&amp;$E205&amp;$I205,PMsheet!$J:$K,2,0),0),(_xlfn.IFNA(VLOOKUP($A205&amp;$E205&amp;$I205,PMsheet!$J:$K,2,0),0)*'Master Data-C19RM'!$D$2))</f>
        <v>0</v>
      </c>
      <c r="X205" s="440"/>
      <c r="Y205" s="440"/>
      <c r="Z205" s="440"/>
      <c r="AA205" s="440"/>
      <c r="AB205" s="482">
        <f t="shared" si="18"/>
        <v>0</v>
      </c>
      <c r="AC205" s="484">
        <f>IF(SETUP!$E$7="USD",(AB205*(IF(O205="USD",W205,(W205/'Master Data-C19RM'!$D$2)))),(AB205*(IF(O205="EUR",W205,(W205*'Master Data-C19RM'!$D$2)))))</f>
        <v>0</v>
      </c>
      <c r="AD205" s="445">
        <f>IF($O205="USD",_xlfn.IFNA(VLOOKUP($A205&amp;$E205&amp;$I205,PMsheet!$J:$K,2,0),0),(_xlfn.IFNA(VLOOKUP($A205&amp;$E205&amp;$I205,PMsheet!$J:$K,2,0),0)*'Master Data-C19RM'!$E$2))</f>
        <v>0</v>
      </c>
      <c r="AE205" s="440"/>
      <c r="AF205" s="440"/>
      <c r="AG205" s="440"/>
      <c r="AH205" s="440"/>
      <c r="AI205" s="514">
        <f t="shared" si="19"/>
        <v>0</v>
      </c>
      <c r="AJ205" s="515">
        <f>IF(SETUP!$E$7="USD",(AI205*(IF(O205="USD",AD205,(AD205/'Master Data-C19RM'!$E$2)))),(AI205*(IF(O205="EUR",AD205,(AD205*'Master Data-C19RM'!$E$2)))))</f>
        <v>0</v>
      </c>
      <c r="AK205" s="445">
        <f>IF($O205="USD",_xlfn.IFNA(VLOOKUP($A205&amp;$E205&amp;$I205,PMsheet!$J:$K,2,0),0),(_xlfn.IFNA(VLOOKUP($A205&amp;$E205&amp;$I205,PMsheet!$J:$K,2,0),0)*'Master Data-C19RM'!$F$2))</f>
        <v>0</v>
      </c>
      <c r="AL205" s="440"/>
      <c r="AM205" s="440"/>
      <c r="AN205" s="440"/>
      <c r="AO205" s="440"/>
      <c r="AP205" s="514">
        <f t="shared" si="20"/>
        <v>0</v>
      </c>
      <c r="AQ205" s="515">
        <f>IF(SETUP!$E$7="USD",(AP205*(IF(O205="USD",AK205,(AK205/'Master Data-C19RM'!$F$2)))),(AP205*(IF(O205="EUR",AK205,(AK205*'Master Data-C19RM'!$F$2)))))</f>
        <v>0</v>
      </c>
      <c r="AR205" s="925">
        <f>IF($O205="USD",_xlfn.IFNA(VLOOKUP($A205&amp;$E205&amp;$I205,PMsheet!$J:$K,2,0),0),(_xlfn.IFNA(VLOOKUP($A205&amp;$E205&amp;$I205,PMsheet!$J:$K,2,0),0)*'Master Data-C19RM'!$G$2))</f>
        <v>0</v>
      </c>
      <c r="AS205" s="926"/>
      <c r="AT205" s="926"/>
      <c r="AU205" s="926"/>
      <c r="AV205" s="926"/>
      <c r="AW205" s="514">
        <f t="shared" si="24"/>
        <v>0</v>
      </c>
      <c r="AX205" s="515">
        <f>IF(SETUP!$E$7="USD",(AW205*(IF(O205="USD",AR205,(AR205/'Master Data-C19RM'!$G$2)))),(AW205*(IF(O205="EUR",AR205,(AR205*'Master Data-C19RM'!$G$2)))))</f>
        <v>0</v>
      </c>
      <c r="AY205" s="845"/>
      <c r="AZ205" s="846"/>
      <c r="BA205" s="846"/>
      <c r="BB205" s="846"/>
      <c r="BC205" s="846"/>
      <c r="BD205" s="846"/>
      <c r="BE205" s="847"/>
      <c r="BF205" s="514">
        <f>'C19RM 2021-Lab &amp; Other HPS'!$U205+'C19RM 2021-Lab &amp; Other HPS'!$AB205+'C19RM 2021-Lab &amp; Other HPS'!$AP205+'C19RM 2021-Lab &amp; Other HPS'!$AI205+AW205+BD205</f>
        <v>0</v>
      </c>
      <c r="BG205" s="514">
        <f>'C19RM 2021-Lab &amp; Other HPS'!$V205+'C19RM 2021-Lab &amp; Other HPS'!$AC205+'C19RM 2021-Lab &amp; Other HPS'!$AQ205+'C19RM 2021-Lab &amp; Other HPS'!$AJ205+AX205+BE205</f>
        <v>0</v>
      </c>
      <c r="BH205" s="522" t="str" cm="1">
        <f t="array" ref="BH205">IF(A205&lt;&gt;"",IFERROR(INDEX(PMtbl[[WKst]:[Unit of measure*]],MATCH($A$115&amp;$A205&amp;$E205&amp;$I205,INDEX(PMtbl[Sec]&amp;PMtbl[Category]&amp;PMtbl[Each]&amp;PMtbl[Packaging],0,),0),11),""),"")</f>
        <v/>
      </c>
      <c r="BI205" s="818"/>
      <c r="BJ205" s="503" t="str" cm="1">
        <f t="array" ref="BJ205">IFERROR(INDEX(SETUP!$C$19:$G$121,MATCH((INDEX(PMtbl[[WKst]:[Unit of measure*]],MATCH($A205&amp;$E205&amp;$I205,INDEX(PMtbl[Category]&amp;PMtbl[Each]&amp;PMtbl[Packaging],0,),0),3)),SETUP!$D$19:$D$121,0),5),"")</f>
        <v/>
      </c>
      <c r="BK205" s="543"/>
      <c r="BL205" s="215"/>
      <c r="BO205" s="12">
        <f>IF(N205="",0,IF(SETUP!$E$7="USD",((IF(O205="USD",P205,(P205/'Master Data-C19RM'!$C$2)))),((IF(O205="EUR",P205,(P205*'Master Data-C19RM'!$C$2))))))</f>
        <v>0</v>
      </c>
      <c r="BP205" s="12">
        <f>IF(N205="",0,IF(SETUP!$E$7="USD",((IF(O205="USD",W205,(W205/'Master Data-C19RM'!$D$2)))),((IF(O205="EUR",W205,(W205*'Master Data-C19RM'!$D$2))))))</f>
        <v>0</v>
      </c>
      <c r="BQ205">
        <f>IF(N205="",0,IF(SETUP!$E$7="USD",((IF(O205="USD",AD205,(AD205/'Master Data-C19RM'!$E$2)))),((IF(O205="EUR",AD205,(AD205*'Master Data-C19RM'!$E$2))))))</f>
        <v>0</v>
      </c>
      <c r="BR205">
        <f>IF(N205="",0,IF(SETUP!$E$7="USD",((IF(O205="USD",AK205,(AK205/'Master Data-C19RM'!$F$2)))),((IF(O205="EUR",AK205,(AK205*'Master Data-C19RM'!$F$2))))))</f>
        <v>0</v>
      </c>
      <c r="BS205">
        <f>IF(N205="",0,IF(SETUP!$E$7="USD",((IF(O205="USD",AR205,(AR205/'Master Data-C19RM'!$G$2)))),((IF(O205="EUR",AR205,(AR205*'Master Data-C19RM'!$G$2))))))</f>
        <v>0</v>
      </c>
      <c r="BT205">
        <f>IF(N205="",0,IF(SETUP!$E$7="USD",((IF(O205="USD",AY205,(AY205/'Master Data-C19RM'!$H$2)))),((IF(O205="EUR",AY205,(AY205*'Master Data-C19RM'!$H$2))))))</f>
        <v>0</v>
      </c>
      <c r="BU205" s="12">
        <f t="shared" si="25"/>
        <v>0</v>
      </c>
      <c r="BV205" s="142">
        <f t="shared" si="26"/>
        <v>0</v>
      </c>
    </row>
    <row r="206" spans="1:74" x14ac:dyDescent="0.35">
      <c r="A206" s="1165"/>
      <c r="B206" s="1165"/>
      <c r="C206" s="1165"/>
      <c r="D206" s="1165"/>
      <c r="E206" s="1166"/>
      <c r="F206" s="1166"/>
      <c r="G206" s="1166"/>
      <c r="H206" s="1166"/>
      <c r="I206" s="1166"/>
      <c r="J206" s="1166"/>
      <c r="K206" s="1166"/>
      <c r="L206" s="490" t="str" cm="1">
        <f t="array" ref="L206">IF(A206&lt;&gt;"",IFERROR(INDEX(PMtbl[[WKst]:[Unit of measure*]],MATCH($A$115&amp;$A206&amp;$E206&amp;$I206,INDEX(PMtbl[Sec]&amp;PMtbl[Category]&amp;PMtbl[Each]&amp;PMtbl[Packaging],0,),0),14),""),"")</f>
        <v/>
      </c>
      <c r="M206" s="479" t="str">
        <f>IF(L206="","",INDEX(SETUP!$E$20:$E$122,(MATCH(INDEX(PMsheet!$D:$E,MATCH(A206,PMsheet!E:E,0),1),SETUP!$D$20:$D$122,0))))</f>
        <v/>
      </c>
      <c r="N206" s="491">
        <f>IF($O206="USD",_xlfn.IFNA(VLOOKUP(A206&amp;E206&amp;I206,PMsheet!J:K,2,0),0),(_xlfn.IFNA(VLOOKUP(A206&amp;E206&amp;I206,PMsheet!J:K,2,0),0)*'Master Data-C19RM'!$C$2))</f>
        <v>0</v>
      </c>
      <c r="O206" s="492" t="str">
        <f>IF(L206="", "",SETUP!$E$7)</f>
        <v/>
      </c>
      <c r="P206" s="456">
        <f>IF($O206="USD",_xlfn.IFNA(VLOOKUP($A206&amp;$E206&amp;$I206,PMsheet!$J:$K,2,0),0),(_xlfn.IFNA(VLOOKUP($A206&amp;$E206&amp;$I206,PMsheet!$J:$K,2,0),0)*'Master Data-C19RM'!$C$2))</f>
        <v>0</v>
      </c>
      <c r="Q206" s="441"/>
      <c r="R206" s="441"/>
      <c r="S206" s="441"/>
      <c r="T206" s="441"/>
      <c r="U206" s="481">
        <f t="shared" si="17"/>
        <v>0</v>
      </c>
      <c r="V206" s="483">
        <f>IF(SETUP!$E$7="USD",(U206*(IF(O206="USD",P206,(P206/'Master Data-C19RM'!$C$2)))),(U206*(IF(O206="EUR",P206,(P206*'Master Data-C19RM'!$C$2)))))</f>
        <v>0</v>
      </c>
      <c r="W206" s="444">
        <f>IF($O206="USD",_xlfn.IFNA(VLOOKUP($A206&amp;$E206&amp;$I206,PMsheet!$J:$K,2,0),0),(_xlfn.IFNA(VLOOKUP($A206&amp;$E206&amp;$I206,PMsheet!$J:$K,2,0),0)*'Master Data-C19RM'!$D$2))</f>
        <v>0</v>
      </c>
      <c r="X206" s="441"/>
      <c r="Y206" s="441"/>
      <c r="Z206" s="441"/>
      <c r="AA206" s="441"/>
      <c r="AB206" s="481">
        <f t="shared" si="18"/>
        <v>0</v>
      </c>
      <c r="AC206" s="483">
        <f>IF(SETUP!$E$7="USD",(AB206*(IF(O206="USD",W206,(W206/'Master Data-C19RM'!$D$2)))),(AB206*(IF(O206="EUR",W206,(W206*'Master Data-C19RM'!$D$2)))))</f>
        <v>0</v>
      </c>
      <c r="AD206" s="444">
        <f>IF($O206="USD",_xlfn.IFNA(VLOOKUP($A206&amp;$E206&amp;$I206,PMsheet!$J:$K,2,0),0),(_xlfn.IFNA(VLOOKUP($A206&amp;$E206&amp;$I206,PMsheet!$J:$K,2,0),0)*'Master Data-C19RM'!$E$2))</f>
        <v>0</v>
      </c>
      <c r="AE206" s="441"/>
      <c r="AF206" s="441"/>
      <c r="AG206" s="441"/>
      <c r="AH206" s="441"/>
      <c r="AI206" s="512">
        <f t="shared" si="19"/>
        <v>0</v>
      </c>
      <c r="AJ206" s="513">
        <f>IF(SETUP!$E$7="USD",(AI206*(IF(O206="USD",AD206,(AD206/'Master Data-C19RM'!$E$2)))),(AI206*(IF(O206="EUR",AD206,(AD206*'Master Data-C19RM'!$E$2)))))</f>
        <v>0</v>
      </c>
      <c r="AK206" s="444">
        <f>IF($O206="USD",_xlfn.IFNA(VLOOKUP($A206&amp;$E206&amp;$I206,PMsheet!$J:$K,2,0),0),(_xlfn.IFNA(VLOOKUP($A206&amp;$E206&amp;$I206,PMsheet!$J:$K,2,0),0)*'Master Data-C19RM'!$F$2))</f>
        <v>0</v>
      </c>
      <c r="AL206" s="441"/>
      <c r="AM206" s="441"/>
      <c r="AN206" s="441"/>
      <c r="AO206" s="441"/>
      <c r="AP206" s="512">
        <f t="shared" si="20"/>
        <v>0</v>
      </c>
      <c r="AQ206" s="513">
        <f>IF(SETUP!$E$7="USD",(AP206*(IF(O206="USD",AK206,(AK206/'Master Data-C19RM'!$F$2)))),(AP206*(IF(O206="EUR",AK206,(AK206*'Master Data-C19RM'!$F$2)))))</f>
        <v>0</v>
      </c>
      <c r="AR206" s="924">
        <f>IF($O206="USD",_xlfn.IFNA(VLOOKUP($A206&amp;$E206&amp;$I206,PMsheet!$J:$K,2,0),0),(_xlfn.IFNA(VLOOKUP($A206&amp;$E206&amp;$I206,PMsheet!$J:$K,2,0),0)*'Master Data-C19RM'!$G$2))</f>
        <v>0</v>
      </c>
      <c r="AS206" s="572"/>
      <c r="AT206" s="572"/>
      <c r="AU206" s="572"/>
      <c r="AV206" s="572"/>
      <c r="AW206" s="512">
        <f t="shared" si="24"/>
        <v>0</v>
      </c>
      <c r="AX206" s="513">
        <f>IF(SETUP!$E$7="USD",(AW206*(IF(O206="USD",AR206,(AR206/'Master Data-C19RM'!$G$2)))),(AW206*(IF(O206="EUR",AR206,(AR206*'Master Data-C19RM'!$G$2)))))</f>
        <v>0</v>
      </c>
      <c r="AY206" s="845"/>
      <c r="AZ206" s="846"/>
      <c r="BA206" s="846"/>
      <c r="BB206" s="846"/>
      <c r="BC206" s="846"/>
      <c r="BD206" s="846"/>
      <c r="BE206" s="847"/>
      <c r="BF206" s="512">
        <f>'C19RM 2021-Lab &amp; Other HPS'!$U206+'C19RM 2021-Lab &amp; Other HPS'!$AB206+'C19RM 2021-Lab &amp; Other HPS'!$AP206+'C19RM 2021-Lab &amp; Other HPS'!$AI206+AW206+BD206</f>
        <v>0</v>
      </c>
      <c r="BG206" s="512">
        <f>'C19RM 2021-Lab &amp; Other HPS'!$V206+'C19RM 2021-Lab &amp; Other HPS'!$AC206+'C19RM 2021-Lab &amp; Other HPS'!$AQ206+'C19RM 2021-Lab &amp; Other HPS'!$AJ206+AX206+BE206</f>
        <v>0</v>
      </c>
      <c r="BH206" s="500" t="str" cm="1">
        <f t="array" ref="BH206">IF(A206&lt;&gt;"",IFERROR(INDEX(PMtbl[[WKst]:[Unit of measure*]],MATCH($A$115&amp;$A206&amp;$E206&amp;$I206,INDEX(PMtbl[Sec]&amp;PMtbl[Category]&amp;PMtbl[Each]&amp;PMtbl[Packaging],0,),0),11),""),"")</f>
        <v/>
      </c>
      <c r="BI206" s="819"/>
      <c r="BJ206" s="502" t="str" cm="1">
        <f t="array" ref="BJ206">IFERROR(INDEX(SETUP!$C$19:$G$121,MATCH((INDEX(PMtbl[[WKst]:[Unit of measure*]],MATCH($A206&amp;$E206&amp;$I206,INDEX(PMtbl[Category]&amp;PMtbl[Each]&amp;PMtbl[Packaging],0,),0),3)),SETUP!$D$19:$D$121,0),5),"")</f>
        <v/>
      </c>
      <c r="BK206" s="542"/>
      <c r="BL206" s="214"/>
      <c r="BO206" s="12">
        <f>IF(N206="",0,IF(SETUP!$E$7="USD",((IF(O206="USD",P206,(P206/'Master Data-C19RM'!$C$2)))),((IF(O206="EUR",P206,(P206*'Master Data-C19RM'!$C$2))))))</f>
        <v>0</v>
      </c>
      <c r="BP206" s="12">
        <f>IF(N206="",0,IF(SETUP!$E$7="USD",((IF(O206="USD",W206,(W206/'Master Data-C19RM'!$D$2)))),((IF(O206="EUR",W206,(W206*'Master Data-C19RM'!$D$2))))))</f>
        <v>0</v>
      </c>
      <c r="BQ206">
        <f>IF(N206="",0,IF(SETUP!$E$7="USD",((IF(O206="USD",AD206,(AD206/'Master Data-C19RM'!$E$2)))),((IF(O206="EUR",AD206,(AD206*'Master Data-C19RM'!$E$2))))))</f>
        <v>0</v>
      </c>
      <c r="BR206">
        <f>IF(N206="",0,IF(SETUP!$E$7="USD",((IF(O206="USD",AK206,(AK206/'Master Data-C19RM'!$F$2)))),((IF(O206="EUR",AK206,(AK206*'Master Data-C19RM'!$F$2))))))</f>
        <v>0</v>
      </c>
      <c r="BS206">
        <f>IF(N206="",0,IF(SETUP!$E$7="USD",((IF(O206="USD",AR206,(AR206/'Master Data-C19RM'!$G$2)))),((IF(O206="EUR",AR206,(AR206*'Master Data-C19RM'!$G$2))))))</f>
        <v>0</v>
      </c>
      <c r="BT206">
        <f>IF(N206="",0,IF(SETUP!$E$7="USD",((IF(O206="USD",AY206,(AY206/'Master Data-C19RM'!$H$2)))),((IF(O206="EUR",AY206,(AY206*'Master Data-C19RM'!$H$2))))))</f>
        <v>0</v>
      </c>
      <c r="BU206" s="12">
        <f t="shared" si="25"/>
        <v>0</v>
      </c>
      <c r="BV206" s="142">
        <f t="shared" si="26"/>
        <v>0</v>
      </c>
    </row>
    <row r="207" spans="1:74" x14ac:dyDescent="0.35">
      <c r="A207" s="1192"/>
      <c r="B207" s="1192"/>
      <c r="C207" s="1192"/>
      <c r="D207" s="1192"/>
      <c r="E207" s="1173"/>
      <c r="F207" s="1173"/>
      <c r="G207" s="1173"/>
      <c r="H207" s="1173"/>
      <c r="I207" s="1173"/>
      <c r="J207" s="1173"/>
      <c r="K207" s="1173"/>
      <c r="L207" s="493" t="str" cm="1">
        <f t="array" ref="L207">IF(A207&lt;&gt;"",IFERROR(INDEX(PMtbl[[WKst]:[Unit of measure*]],MATCH($A$115&amp;$A207&amp;$E207&amp;$I207,INDEX(PMtbl[Sec]&amp;PMtbl[Category]&amp;PMtbl[Each]&amp;PMtbl[Packaging],0,),0),14),""),"")</f>
        <v/>
      </c>
      <c r="M207" s="480" t="str">
        <f>IF(L207="","",INDEX(SETUP!$E$20:$E$122,(MATCH(INDEX(PMsheet!$D:$E,MATCH(A207,PMsheet!E:E,0),1),SETUP!$D$20:$D$122,0))))</f>
        <v/>
      </c>
      <c r="N207" s="494">
        <f>IF($O207="USD",_xlfn.IFNA(VLOOKUP(A207&amp;E207&amp;I207,PMsheet!J:K,2,0),0),(_xlfn.IFNA(VLOOKUP(A207&amp;E207&amp;I207,PMsheet!J:K,2,0),0)*'Master Data-C19RM'!$C$2))</f>
        <v>0</v>
      </c>
      <c r="O207" s="495" t="str">
        <f>IF(L207="", "",SETUP!$E$7)</f>
        <v/>
      </c>
      <c r="P207" s="457">
        <f>IF($O207="USD",_xlfn.IFNA(VLOOKUP($A207&amp;$E207&amp;$I207,PMsheet!$J:$K,2,0),0),(_xlfn.IFNA(VLOOKUP($A207&amp;$E207&amp;$I207,PMsheet!$J:$K,2,0),0)*'Master Data-C19RM'!$C$2))</f>
        <v>0</v>
      </c>
      <c r="Q207" s="440"/>
      <c r="R207" s="440"/>
      <c r="S207" s="440"/>
      <c r="T207" s="440"/>
      <c r="U207" s="482">
        <f t="shared" si="17"/>
        <v>0</v>
      </c>
      <c r="V207" s="484">
        <f>IF(SETUP!$E$7="USD",(U207*(IF(O207="USD",P207,(P207/'Master Data-C19RM'!$C$2)))),(U207*(IF(O207="EUR",P207,(P207*'Master Data-C19RM'!$C$2)))))</f>
        <v>0</v>
      </c>
      <c r="W207" s="445">
        <f>IF($O207="USD",_xlfn.IFNA(VLOOKUP($A207&amp;$E207&amp;$I207,PMsheet!$J:$K,2,0),0),(_xlfn.IFNA(VLOOKUP($A207&amp;$E207&amp;$I207,PMsheet!$J:$K,2,0),0)*'Master Data-C19RM'!$D$2))</f>
        <v>0</v>
      </c>
      <c r="X207" s="440"/>
      <c r="Y207" s="440"/>
      <c r="Z207" s="440"/>
      <c r="AA207" s="440"/>
      <c r="AB207" s="482">
        <f t="shared" si="18"/>
        <v>0</v>
      </c>
      <c r="AC207" s="484">
        <f>IF(SETUP!$E$7="USD",(AB207*(IF(O207="USD",W207,(W207/'Master Data-C19RM'!$D$2)))),(AB207*(IF(O207="EUR",W207,(W207*'Master Data-C19RM'!$D$2)))))</f>
        <v>0</v>
      </c>
      <c r="AD207" s="445">
        <f>IF($O207="USD",_xlfn.IFNA(VLOOKUP($A207&amp;$E207&amp;$I207,PMsheet!$J:$K,2,0),0),(_xlfn.IFNA(VLOOKUP($A207&amp;$E207&amp;$I207,PMsheet!$J:$K,2,0),0)*'Master Data-C19RM'!$E$2))</f>
        <v>0</v>
      </c>
      <c r="AE207" s="440"/>
      <c r="AF207" s="440"/>
      <c r="AG207" s="440"/>
      <c r="AH207" s="440"/>
      <c r="AI207" s="514">
        <f t="shared" si="19"/>
        <v>0</v>
      </c>
      <c r="AJ207" s="515">
        <f>IF(SETUP!$E$7="USD",(AI207*(IF(O207="USD",AD207,(AD207/'Master Data-C19RM'!$E$2)))),(AI207*(IF(O207="EUR",AD207,(AD207*'Master Data-C19RM'!$E$2)))))</f>
        <v>0</v>
      </c>
      <c r="AK207" s="445">
        <f>IF($O207="USD",_xlfn.IFNA(VLOOKUP($A207&amp;$E207&amp;$I207,PMsheet!$J:$K,2,0),0),(_xlfn.IFNA(VLOOKUP($A207&amp;$E207&amp;$I207,PMsheet!$J:$K,2,0),0)*'Master Data-C19RM'!$F$2))</f>
        <v>0</v>
      </c>
      <c r="AL207" s="440"/>
      <c r="AM207" s="440"/>
      <c r="AN207" s="440"/>
      <c r="AO207" s="440"/>
      <c r="AP207" s="514">
        <f t="shared" si="20"/>
        <v>0</v>
      </c>
      <c r="AQ207" s="515">
        <f>IF(SETUP!$E$7="USD",(AP207*(IF(O207="USD",AK207,(AK207/'Master Data-C19RM'!$F$2)))),(AP207*(IF(O207="EUR",AK207,(AK207*'Master Data-C19RM'!$F$2)))))</f>
        <v>0</v>
      </c>
      <c r="AR207" s="925">
        <f>IF($O207="USD",_xlfn.IFNA(VLOOKUP($A207&amp;$E207&amp;$I207,PMsheet!$J:$K,2,0),0),(_xlfn.IFNA(VLOOKUP($A207&amp;$E207&amp;$I207,PMsheet!$J:$K,2,0),0)*'Master Data-C19RM'!$G$2))</f>
        <v>0</v>
      </c>
      <c r="AS207" s="926"/>
      <c r="AT207" s="926"/>
      <c r="AU207" s="926"/>
      <c r="AV207" s="926"/>
      <c r="AW207" s="514">
        <f t="shared" si="24"/>
        <v>0</v>
      </c>
      <c r="AX207" s="515">
        <f>IF(SETUP!$E$7="USD",(AW207*(IF(O207="USD",AR207,(AR207/'Master Data-C19RM'!$G$2)))),(AW207*(IF(O207="EUR",AR207,(AR207*'Master Data-C19RM'!$G$2)))))</f>
        <v>0</v>
      </c>
      <c r="AY207" s="845"/>
      <c r="AZ207" s="846"/>
      <c r="BA207" s="846"/>
      <c r="BB207" s="846"/>
      <c r="BC207" s="846"/>
      <c r="BD207" s="846"/>
      <c r="BE207" s="847"/>
      <c r="BF207" s="514">
        <f>'C19RM 2021-Lab &amp; Other HPS'!$U207+'C19RM 2021-Lab &amp; Other HPS'!$AB207+'C19RM 2021-Lab &amp; Other HPS'!$AP207+'C19RM 2021-Lab &amp; Other HPS'!$AI207+AW207+BD207</f>
        <v>0</v>
      </c>
      <c r="BG207" s="514">
        <f>'C19RM 2021-Lab &amp; Other HPS'!$V207+'C19RM 2021-Lab &amp; Other HPS'!$AC207+'C19RM 2021-Lab &amp; Other HPS'!$AQ207+'C19RM 2021-Lab &amp; Other HPS'!$AJ207+AX207+BE207</f>
        <v>0</v>
      </c>
      <c r="BH207" s="522" t="str" cm="1">
        <f t="array" ref="BH207">IF(A207&lt;&gt;"",IFERROR(INDEX(PMtbl[[WKst]:[Unit of measure*]],MATCH($A$115&amp;$A207&amp;$E207&amp;$I207,INDEX(PMtbl[Sec]&amp;PMtbl[Category]&amp;PMtbl[Each]&amp;PMtbl[Packaging],0,),0),11),""),"")</f>
        <v/>
      </c>
      <c r="BI207" s="818"/>
      <c r="BJ207" s="503" t="str" cm="1">
        <f t="array" ref="BJ207">IFERROR(INDEX(SETUP!$C$19:$G$121,MATCH((INDEX(PMtbl[[WKst]:[Unit of measure*]],MATCH($A207&amp;$E207&amp;$I207,INDEX(PMtbl[Category]&amp;PMtbl[Each]&amp;PMtbl[Packaging],0,),0),3)),SETUP!$D$19:$D$121,0),5),"")</f>
        <v/>
      </c>
      <c r="BK207" s="543"/>
      <c r="BL207" s="215"/>
      <c r="BO207" s="12">
        <f>IF(N207="",0,IF(SETUP!$E$7="USD",((IF(O207="USD",P207,(P207/'Master Data-C19RM'!$C$2)))),((IF(O207="EUR",P207,(P207*'Master Data-C19RM'!$C$2))))))</f>
        <v>0</v>
      </c>
      <c r="BP207" s="12">
        <f>IF(N207="",0,IF(SETUP!$E$7="USD",((IF(O207="USD",W207,(W207/'Master Data-C19RM'!$D$2)))),((IF(O207="EUR",W207,(W207*'Master Data-C19RM'!$D$2))))))</f>
        <v>0</v>
      </c>
      <c r="BQ207">
        <f>IF(N207="",0,IF(SETUP!$E$7="USD",((IF(O207="USD",AD207,(AD207/'Master Data-C19RM'!$E$2)))),((IF(O207="EUR",AD207,(AD207*'Master Data-C19RM'!$E$2))))))</f>
        <v>0</v>
      </c>
      <c r="BR207">
        <f>IF(N207="",0,IF(SETUP!$E$7="USD",((IF(O207="USD",AK207,(AK207/'Master Data-C19RM'!$F$2)))),((IF(O207="EUR",AK207,(AK207*'Master Data-C19RM'!$F$2))))))</f>
        <v>0</v>
      </c>
      <c r="BS207">
        <f>IF(N207="",0,IF(SETUP!$E$7="USD",((IF(O207="USD",AR207,(AR207/'Master Data-C19RM'!$G$2)))),((IF(O207="EUR",AR207,(AR207*'Master Data-C19RM'!$G$2))))))</f>
        <v>0</v>
      </c>
      <c r="BT207">
        <f>IF(N207="",0,IF(SETUP!$E$7="USD",((IF(O207="USD",AY207,(AY207/'Master Data-C19RM'!$H$2)))),((IF(O207="EUR",AY207,(AY207*'Master Data-C19RM'!$H$2))))))</f>
        <v>0</v>
      </c>
      <c r="BU207" s="12">
        <f t="shared" si="25"/>
        <v>0</v>
      </c>
      <c r="BV207" s="142">
        <f t="shared" si="26"/>
        <v>0</v>
      </c>
    </row>
    <row r="208" spans="1:74" x14ac:dyDescent="0.35">
      <c r="A208" s="1165"/>
      <c r="B208" s="1165"/>
      <c r="C208" s="1165"/>
      <c r="D208" s="1165"/>
      <c r="E208" s="1166"/>
      <c r="F208" s="1166"/>
      <c r="G208" s="1166"/>
      <c r="H208" s="1166"/>
      <c r="I208" s="1166"/>
      <c r="J208" s="1166"/>
      <c r="K208" s="1166"/>
      <c r="L208" s="490" t="str" cm="1">
        <f t="array" ref="L208">IF(A208&lt;&gt;"",IFERROR(INDEX(PMtbl[[WKst]:[Unit of measure*]],MATCH($A$115&amp;$A208&amp;$E208&amp;$I208,INDEX(PMtbl[Sec]&amp;PMtbl[Category]&amp;PMtbl[Each]&amp;PMtbl[Packaging],0,),0),14),""),"")</f>
        <v/>
      </c>
      <c r="M208" s="479" t="str">
        <f>IF(L208="","",INDEX(SETUP!$E$20:$E$122,(MATCH(INDEX(PMsheet!$D:$E,MATCH(A208,PMsheet!E:E,0),1),SETUP!$D$20:$D$122,0))))</f>
        <v/>
      </c>
      <c r="N208" s="491">
        <f>IF($O208="USD",_xlfn.IFNA(VLOOKUP(A208&amp;E208&amp;I208,PMsheet!J:K,2,0),0),(_xlfn.IFNA(VLOOKUP(A208&amp;E208&amp;I208,PMsheet!J:K,2,0),0)*'Master Data-C19RM'!$C$2))</f>
        <v>0</v>
      </c>
      <c r="O208" s="492" t="str">
        <f>IF(L208="", "",SETUP!$E$7)</f>
        <v/>
      </c>
      <c r="P208" s="456">
        <f>IF($O208="USD",_xlfn.IFNA(VLOOKUP($A208&amp;$E208&amp;$I208,PMsheet!$J:$K,2,0),0),(_xlfn.IFNA(VLOOKUP($A208&amp;$E208&amp;$I208,PMsheet!$J:$K,2,0),0)*'Master Data-C19RM'!$C$2))</f>
        <v>0</v>
      </c>
      <c r="Q208" s="441"/>
      <c r="R208" s="441"/>
      <c r="S208" s="441"/>
      <c r="T208" s="441"/>
      <c r="U208" s="481">
        <f t="shared" si="17"/>
        <v>0</v>
      </c>
      <c r="V208" s="483">
        <f>IF(SETUP!$E$7="USD",(U208*(IF(O208="USD",P208,(P208/'Master Data-C19RM'!$C$2)))),(U208*(IF(O208="EUR",P208,(P208*'Master Data-C19RM'!$C$2)))))</f>
        <v>0</v>
      </c>
      <c r="W208" s="444">
        <f>IF($O208="USD",_xlfn.IFNA(VLOOKUP($A208&amp;$E208&amp;$I208,PMsheet!$J:$K,2,0),0),(_xlfn.IFNA(VLOOKUP($A208&amp;$E208&amp;$I208,PMsheet!$J:$K,2,0),0)*'Master Data-C19RM'!$D$2))</f>
        <v>0</v>
      </c>
      <c r="X208" s="441"/>
      <c r="Y208" s="441"/>
      <c r="Z208" s="441"/>
      <c r="AA208" s="441"/>
      <c r="AB208" s="481">
        <f t="shared" si="18"/>
        <v>0</v>
      </c>
      <c r="AC208" s="483">
        <f>IF(SETUP!$E$7="USD",(AB208*(IF(O208="USD",W208,(W208/'Master Data-C19RM'!$D$2)))),(AB208*(IF(O208="EUR",W208,(W208*'Master Data-C19RM'!$D$2)))))</f>
        <v>0</v>
      </c>
      <c r="AD208" s="444">
        <f>IF($O208="USD",_xlfn.IFNA(VLOOKUP($A208&amp;$E208&amp;$I208,PMsheet!$J:$K,2,0),0),(_xlfn.IFNA(VLOOKUP($A208&amp;$E208&amp;$I208,PMsheet!$J:$K,2,0),0)*'Master Data-C19RM'!$E$2))</f>
        <v>0</v>
      </c>
      <c r="AE208" s="441"/>
      <c r="AF208" s="441"/>
      <c r="AG208" s="441"/>
      <c r="AH208" s="441"/>
      <c r="AI208" s="512">
        <f t="shared" si="19"/>
        <v>0</v>
      </c>
      <c r="AJ208" s="513">
        <f>IF(SETUP!$E$7="USD",(AI208*(IF(O208="USD",AD208,(AD208/'Master Data-C19RM'!$E$2)))),(AI208*(IF(O208="EUR",AD208,(AD208*'Master Data-C19RM'!$E$2)))))</f>
        <v>0</v>
      </c>
      <c r="AK208" s="444">
        <f>IF($O208="USD",_xlfn.IFNA(VLOOKUP($A208&amp;$E208&amp;$I208,PMsheet!$J:$K,2,0),0),(_xlfn.IFNA(VLOOKUP($A208&amp;$E208&amp;$I208,PMsheet!$J:$K,2,0),0)*'Master Data-C19RM'!$F$2))</f>
        <v>0</v>
      </c>
      <c r="AL208" s="441"/>
      <c r="AM208" s="441"/>
      <c r="AN208" s="441"/>
      <c r="AO208" s="441"/>
      <c r="AP208" s="512">
        <f t="shared" si="20"/>
        <v>0</v>
      </c>
      <c r="AQ208" s="513">
        <f>IF(SETUP!$E$7="USD",(AP208*(IF(O208="USD",AK208,(AK208/'Master Data-C19RM'!$F$2)))),(AP208*(IF(O208="EUR",AK208,(AK208*'Master Data-C19RM'!$F$2)))))</f>
        <v>0</v>
      </c>
      <c r="AR208" s="924">
        <f>IF($O208="USD",_xlfn.IFNA(VLOOKUP($A208&amp;$E208&amp;$I208,PMsheet!$J:$K,2,0),0),(_xlfn.IFNA(VLOOKUP($A208&amp;$E208&amp;$I208,PMsheet!$J:$K,2,0),0)*'Master Data-C19RM'!$G$2))</f>
        <v>0</v>
      </c>
      <c r="AS208" s="572"/>
      <c r="AT208" s="572"/>
      <c r="AU208" s="572"/>
      <c r="AV208" s="572"/>
      <c r="AW208" s="512">
        <f t="shared" si="24"/>
        <v>0</v>
      </c>
      <c r="AX208" s="513">
        <f>IF(SETUP!$E$7="USD",(AW208*(IF(O208="USD",AR208,(AR208/'Master Data-C19RM'!$G$2)))),(AW208*(IF(O208="EUR",AR208,(AR208*'Master Data-C19RM'!$G$2)))))</f>
        <v>0</v>
      </c>
      <c r="AY208" s="845"/>
      <c r="AZ208" s="846"/>
      <c r="BA208" s="846"/>
      <c r="BB208" s="846"/>
      <c r="BC208" s="846"/>
      <c r="BD208" s="846"/>
      <c r="BE208" s="847"/>
      <c r="BF208" s="512">
        <f>'C19RM 2021-Lab &amp; Other HPS'!$U208+'C19RM 2021-Lab &amp; Other HPS'!$AB208+'C19RM 2021-Lab &amp; Other HPS'!$AP208+'C19RM 2021-Lab &amp; Other HPS'!$AI208+AW208+BD208</f>
        <v>0</v>
      </c>
      <c r="BG208" s="512">
        <f>'C19RM 2021-Lab &amp; Other HPS'!$V208+'C19RM 2021-Lab &amp; Other HPS'!$AC208+'C19RM 2021-Lab &amp; Other HPS'!$AQ208+'C19RM 2021-Lab &amp; Other HPS'!$AJ208+AX208+BE208</f>
        <v>0</v>
      </c>
      <c r="BH208" s="500" t="str" cm="1">
        <f t="array" ref="BH208">IF(A208&lt;&gt;"",IFERROR(INDEX(PMtbl[[WKst]:[Unit of measure*]],MATCH($A$115&amp;$A208&amp;$E208&amp;$I208,INDEX(PMtbl[Sec]&amp;PMtbl[Category]&amp;PMtbl[Each]&amp;PMtbl[Packaging],0,),0),11),""),"")</f>
        <v/>
      </c>
      <c r="BI208" s="819"/>
      <c r="BJ208" s="502" t="str" cm="1">
        <f t="array" ref="BJ208">IFERROR(INDEX(SETUP!$C$19:$G$121,MATCH((INDEX(PMtbl[[WKst]:[Unit of measure*]],MATCH($A208&amp;$E208&amp;$I208,INDEX(PMtbl[Category]&amp;PMtbl[Each]&amp;PMtbl[Packaging],0,),0),3)),SETUP!$D$19:$D$121,0),5),"")</f>
        <v/>
      </c>
      <c r="BK208" s="542"/>
      <c r="BL208" s="214"/>
      <c r="BO208" s="12">
        <f>IF(N208="",0,IF(SETUP!$E$7="USD",((IF(O208="USD",P208,(P208/'Master Data-C19RM'!$C$2)))),((IF(O208="EUR",P208,(P208*'Master Data-C19RM'!$C$2))))))</f>
        <v>0</v>
      </c>
      <c r="BP208" s="12">
        <f>IF(N208="",0,IF(SETUP!$E$7="USD",((IF(O208="USD",W208,(W208/'Master Data-C19RM'!$D$2)))),((IF(O208="EUR",W208,(W208*'Master Data-C19RM'!$D$2))))))</f>
        <v>0</v>
      </c>
      <c r="BQ208">
        <f>IF(N208="",0,IF(SETUP!$E$7="USD",((IF(O208="USD",AD208,(AD208/'Master Data-C19RM'!$E$2)))),((IF(O208="EUR",AD208,(AD208*'Master Data-C19RM'!$E$2))))))</f>
        <v>0</v>
      </c>
      <c r="BR208">
        <f>IF(N208="",0,IF(SETUP!$E$7="USD",((IF(O208="USD",AK208,(AK208/'Master Data-C19RM'!$F$2)))),((IF(O208="EUR",AK208,(AK208*'Master Data-C19RM'!$F$2))))))</f>
        <v>0</v>
      </c>
      <c r="BS208">
        <f>IF(N208="",0,IF(SETUP!$E$7="USD",((IF(O208="USD",AR208,(AR208/'Master Data-C19RM'!$G$2)))),((IF(O208="EUR",AR208,(AR208*'Master Data-C19RM'!$G$2))))))</f>
        <v>0</v>
      </c>
      <c r="BT208">
        <f>IF(N208="",0,IF(SETUP!$E$7="USD",((IF(O208="USD",AY208,(AY208/'Master Data-C19RM'!$H$2)))),((IF(O208="EUR",AY208,(AY208*'Master Data-C19RM'!$H$2))))))</f>
        <v>0</v>
      </c>
      <c r="BU208" s="12">
        <f t="shared" si="25"/>
        <v>0</v>
      </c>
      <c r="BV208" s="142">
        <f t="shared" si="26"/>
        <v>0</v>
      </c>
    </row>
    <row r="209" spans="1:74" x14ac:dyDescent="0.35">
      <c r="A209" s="1192"/>
      <c r="B209" s="1192"/>
      <c r="C209" s="1192"/>
      <c r="D209" s="1192"/>
      <c r="E209" s="1173"/>
      <c r="F209" s="1173"/>
      <c r="G209" s="1173"/>
      <c r="H209" s="1173"/>
      <c r="I209" s="1173"/>
      <c r="J209" s="1173"/>
      <c r="K209" s="1173"/>
      <c r="L209" s="493" t="str" cm="1">
        <f t="array" ref="L209">IF(A209&lt;&gt;"",IFERROR(INDEX(PMtbl[[WKst]:[Unit of measure*]],MATCH($A$115&amp;$A209&amp;$E209&amp;$I209,INDEX(PMtbl[Sec]&amp;PMtbl[Category]&amp;PMtbl[Each]&amp;PMtbl[Packaging],0,),0),14),""),"")</f>
        <v/>
      </c>
      <c r="M209" s="480" t="str">
        <f>IF(L209="","",INDEX(SETUP!$E$20:$E$122,(MATCH(INDEX(PMsheet!$D:$E,MATCH(A209,PMsheet!E:E,0),1),SETUP!$D$20:$D$122,0))))</f>
        <v/>
      </c>
      <c r="N209" s="494">
        <f>IF($O209="USD",_xlfn.IFNA(VLOOKUP(A209&amp;E209&amp;I209,PMsheet!J:K,2,0),0),(_xlfn.IFNA(VLOOKUP(A209&amp;E209&amp;I209,PMsheet!J:K,2,0),0)*'Master Data-C19RM'!$C$2))</f>
        <v>0</v>
      </c>
      <c r="O209" s="495" t="str">
        <f>IF(L209="", "",SETUP!$E$7)</f>
        <v/>
      </c>
      <c r="P209" s="457">
        <f>IF($O209="USD",_xlfn.IFNA(VLOOKUP($A209&amp;$E209&amp;$I209,PMsheet!$J:$K,2,0),0),(_xlfn.IFNA(VLOOKUP($A209&amp;$E209&amp;$I209,PMsheet!$J:$K,2,0),0)*'Master Data-C19RM'!$C$2))</f>
        <v>0</v>
      </c>
      <c r="Q209" s="440"/>
      <c r="R209" s="440"/>
      <c r="S209" s="440"/>
      <c r="T209" s="440"/>
      <c r="U209" s="482">
        <f t="shared" si="17"/>
        <v>0</v>
      </c>
      <c r="V209" s="484">
        <f>IF(SETUP!$E$7="USD",(U209*(IF(O209="USD",P209,(P209/'Master Data-C19RM'!$C$2)))),(U209*(IF(O209="EUR",P209,(P209*'Master Data-C19RM'!$C$2)))))</f>
        <v>0</v>
      </c>
      <c r="W209" s="445">
        <f>IF($O209="USD",_xlfn.IFNA(VLOOKUP($A209&amp;$E209&amp;$I209,PMsheet!$J:$K,2,0),0),(_xlfn.IFNA(VLOOKUP($A209&amp;$E209&amp;$I209,PMsheet!$J:$K,2,0),0)*'Master Data-C19RM'!$D$2))</f>
        <v>0</v>
      </c>
      <c r="X209" s="440"/>
      <c r="Y209" s="440"/>
      <c r="Z209" s="440"/>
      <c r="AA209" s="440"/>
      <c r="AB209" s="482">
        <f t="shared" si="18"/>
        <v>0</v>
      </c>
      <c r="AC209" s="484">
        <f>IF(SETUP!$E$7="USD",(AB209*(IF(O209="USD",W209,(W209/'Master Data-C19RM'!$D$2)))),(AB209*(IF(O209="EUR",W209,(W209*'Master Data-C19RM'!$D$2)))))</f>
        <v>0</v>
      </c>
      <c r="AD209" s="445">
        <f>IF($O209="USD",_xlfn.IFNA(VLOOKUP($A209&amp;$E209&amp;$I209,PMsheet!$J:$K,2,0),0),(_xlfn.IFNA(VLOOKUP($A209&amp;$E209&amp;$I209,PMsheet!$J:$K,2,0),0)*'Master Data-C19RM'!$E$2))</f>
        <v>0</v>
      </c>
      <c r="AE209" s="440"/>
      <c r="AF209" s="440"/>
      <c r="AG209" s="440"/>
      <c r="AH209" s="440"/>
      <c r="AI209" s="514">
        <f t="shared" si="19"/>
        <v>0</v>
      </c>
      <c r="AJ209" s="515">
        <f>IF(SETUP!$E$7="USD",(AI209*(IF(O209="USD",AD209,(AD209/'Master Data-C19RM'!$E$2)))),(AI209*(IF(O209="EUR",AD209,(AD209*'Master Data-C19RM'!$E$2)))))</f>
        <v>0</v>
      </c>
      <c r="AK209" s="445">
        <f>IF($O209="USD",_xlfn.IFNA(VLOOKUP($A209&amp;$E209&amp;$I209,PMsheet!$J:$K,2,0),0),(_xlfn.IFNA(VLOOKUP($A209&amp;$E209&amp;$I209,PMsheet!$J:$K,2,0),0)*'Master Data-C19RM'!$F$2))</f>
        <v>0</v>
      </c>
      <c r="AL209" s="440"/>
      <c r="AM209" s="440"/>
      <c r="AN209" s="440"/>
      <c r="AO209" s="440"/>
      <c r="AP209" s="514">
        <f t="shared" si="20"/>
        <v>0</v>
      </c>
      <c r="AQ209" s="515">
        <f>IF(SETUP!$E$7="USD",(AP209*(IF(O209="USD",AK209,(AK209/'Master Data-C19RM'!$F$2)))),(AP209*(IF(O209="EUR",AK209,(AK209*'Master Data-C19RM'!$F$2)))))</f>
        <v>0</v>
      </c>
      <c r="AR209" s="925">
        <f>IF($O209="USD",_xlfn.IFNA(VLOOKUP($A209&amp;$E209&amp;$I209,PMsheet!$J:$K,2,0),0),(_xlfn.IFNA(VLOOKUP($A209&amp;$E209&amp;$I209,PMsheet!$J:$K,2,0),0)*'Master Data-C19RM'!$G$2))</f>
        <v>0</v>
      </c>
      <c r="AS209" s="926"/>
      <c r="AT209" s="926"/>
      <c r="AU209" s="926"/>
      <c r="AV209" s="926"/>
      <c r="AW209" s="514">
        <f t="shared" si="24"/>
        <v>0</v>
      </c>
      <c r="AX209" s="515">
        <f>IF(SETUP!$E$7="USD",(AW209*(IF(O209="USD",AR209,(AR209/'Master Data-C19RM'!$G$2)))),(AW209*(IF(O209="EUR",AR209,(AR209*'Master Data-C19RM'!$G$2)))))</f>
        <v>0</v>
      </c>
      <c r="AY209" s="845"/>
      <c r="AZ209" s="846"/>
      <c r="BA209" s="846"/>
      <c r="BB209" s="846"/>
      <c r="BC209" s="846"/>
      <c r="BD209" s="846"/>
      <c r="BE209" s="847"/>
      <c r="BF209" s="514">
        <f>'C19RM 2021-Lab &amp; Other HPS'!$U209+'C19RM 2021-Lab &amp; Other HPS'!$AB209+'C19RM 2021-Lab &amp; Other HPS'!$AP209+'C19RM 2021-Lab &amp; Other HPS'!$AI209+AW209+BD209</f>
        <v>0</v>
      </c>
      <c r="BG209" s="514">
        <f>'C19RM 2021-Lab &amp; Other HPS'!$V209+'C19RM 2021-Lab &amp; Other HPS'!$AC209+'C19RM 2021-Lab &amp; Other HPS'!$AQ209+'C19RM 2021-Lab &amp; Other HPS'!$AJ209+AX209+BE209</f>
        <v>0</v>
      </c>
      <c r="BH209" s="522" t="str" cm="1">
        <f t="array" ref="BH209">IF(A209&lt;&gt;"",IFERROR(INDEX(PMtbl[[WKst]:[Unit of measure*]],MATCH($A$115&amp;$A209&amp;$E209&amp;$I209,INDEX(PMtbl[Sec]&amp;PMtbl[Category]&amp;PMtbl[Each]&amp;PMtbl[Packaging],0,),0),11),""),"")</f>
        <v/>
      </c>
      <c r="BI209" s="818"/>
      <c r="BJ209" s="503" t="str" cm="1">
        <f t="array" ref="BJ209">IFERROR(INDEX(SETUP!$C$19:$G$121,MATCH((INDEX(PMtbl[[WKst]:[Unit of measure*]],MATCH($A209&amp;$E209&amp;$I209,INDEX(PMtbl[Category]&amp;PMtbl[Each]&amp;PMtbl[Packaging],0,),0),3)),SETUP!$D$19:$D$121,0),5),"")</f>
        <v/>
      </c>
      <c r="BK209" s="543"/>
      <c r="BL209" s="215"/>
      <c r="BO209" s="12">
        <f>IF(N209="",0,IF(SETUP!$E$7="USD",((IF(O209="USD",P209,(P209/'Master Data-C19RM'!$C$2)))),((IF(O209="EUR",P209,(P209*'Master Data-C19RM'!$C$2))))))</f>
        <v>0</v>
      </c>
      <c r="BP209" s="12">
        <f>IF(N209="",0,IF(SETUP!$E$7="USD",((IF(O209="USD",W209,(W209/'Master Data-C19RM'!$D$2)))),((IF(O209="EUR",W209,(W209*'Master Data-C19RM'!$D$2))))))</f>
        <v>0</v>
      </c>
      <c r="BQ209">
        <f>IF(N209="",0,IF(SETUP!$E$7="USD",((IF(O209="USD",AD209,(AD209/'Master Data-C19RM'!$E$2)))),((IF(O209="EUR",AD209,(AD209*'Master Data-C19RM'!$E$2))))))</f>
        <v>0</v>
      </c>
      <c r="BR209">
        <f>IF(N209="",0,IF(SETUP!$E$7="USD",((IF(O209="USD",AK209,(AK209/'Master Data-C19RM'!$F$2)))),((IF(O209="EUR",AK209,(AK209*'Master Data-C19RM'!$F$2))))))</f>
        <v>0</v>
      </c>
      <c r="BS209">
        <f>IF(N209="",0,IF(SETUP!$E$7="USD",((IF(O209="USD",AR209,(AR209/'Master Data-C19RM'!$G$2)))),((IF(O209="EUR",AR209,(AR209*'Master Data-C19RM'!$G$2))))))</f>
        <v>0</v>
      </c>
      <c r="BT209">
        <f>IF(N209="",0,IF(SETUP!$E$7="USD",((IF(O209="USD",AY209,(AY209/'Master Data-C19RM'!$H$2)))),((IF(O209="EUR",AY209,(AY209*'Master Data-C19RM'!$H$2))))))</f>
        <v>0</v>
      </c>
      <c r="BU209" s="12">
        <f t="shared" si="25"/>
        <v>0</v>
      </c>
      <c r="BV209" s="142">
        <f t="shared" si="26"/>
        <v>0</v>
      </c>
    </row>
    <row r="210" spans="1:74" x14ac:dyDescent="0.35">
      <c r="A210" s="1165"/>
      <c r="B210" s="1165"/>
      <c r="C210" s="1165"/>
      <c r="D210" s="1165"/>
      <c r="E210" s="1166"/>
      <c r="F210" s="1166"/>
      <c r="G210" s="1166"/>
      <c r="H210" s="1166"/>
      <c r="I210" s="1166"/>
      <c r="J210" s="1166"/>
      <c r="K210" s="1166"/>
      <c r="L210" s="490" t="str" cm="1">
        <f t="array" ref="L210">IF(A210&lt;&gt;"",IFERROR(INDEX(PMtbl[[WKst]:[Unit of measure*]],MATCH($A$115&amp;$A210&amp;$E210&amp;$I210,INDEX(PMtbl[Sec]&amp;PMtbl[Category]&amp;PMtbl[Each]&amp;PMtbl[Packaging],0,),0),14),""),"")</f>
        <v/>
      </c>
      <c r="M210" s="479" t="str">
        <f>IF(L210="","",INDEX(SETUP!$E$20:$E$122,(MATCH(INDEX(PMsheet!$D:$E,MATCH(A210,PMsheet!E:E,0),1),SETUP!$D$20:$D$122,0))))</f>
        <v/>
      </c>
      <c r="N210" s="491">
        <f>IF($O210="USD",_xlfn.IFNA(VLOOKUP(A210&amp;E210&amp;I210,PMsheet!J:K,2,0),0),(_xlfn.IFNA(VLOOKUP(A210&amp;E210&amp;I210,PMsheet!J:K,2,0),0)*'Master Data-C19RM'!$C$2))</f>
        <v>0</v>
      </c>
      <c r="O210" s="492" t="str">
        <f>IF(L210="", "",SETUP!$E$7)</f>
        <v/>
      </c>
      <c r="P210" s="456">
        <f>IF($O210="USD",_xlfn.IFNA(VLOOKUP($A210&amp;$E210&amp;$I210,PMsheet!$J:$K,2,0),0),(_xlfn.IFNA(VLOOKUP($A210&amp;$E210&amp;$I210,PMsheet!$J:$K,2,0),0)*'Master Data-C19RM'!$C$2))</f>
        <v>0</v>
      </c>
      <c r="Q210" s="441"/>
      <c r="R210" s="441"/>
      <c r="S210" s="441"/>
      <c r="T210" s="441"/>
      <c r="U210" s="481">
        <f t="shared" si="17"/>
        <v>0</v>
      </c>
      <c r="V210" s="483">
        <f>IF(SETUP!$E$7="USD",(U210*(IF(O210="USD",P210,(P210/'Master Data-C19RM'!$C$2)))),(U210*(IF(O210="EUR",P210,(P210*'Master Data-C19RM'!$C$2)))))</f>
        <v>0</v>
      </c>
      <c r="W210" s="444">
        <f>IF($O210="USD",_xlfn.IFNA(VLOOKUP($A210&amp;$E210&amp;$I210,PMsheet!$J:$K,2,0),0),(_xlfn.IFNA(VLOOKUP($A210&amp;$E210&amp;$I210,PMsheet!$J:$K,2,0),0)*'Master Data-C19RM'!$D$2))</f>
        <v>0</v>
      </c>
      <c r="X210" s="441"/>
      <c r="Y210" s="441"/>
      <c r="Z210" s="441"/>
      <c r="AA210" s="441"/>
      <c r="AB210" s="481">
        <f t="shared" si="18"/>
        <v>0</v>
      </c>
      <c r="AC210" s="483">
        <f>IF(SETUP!$E$7="USD",(AB210*(IF(O210="USD",W210,(W210/'Master Data-C19RM'!$D$2)))),(AB210*(IF(O210="EUR",W210,(W210*'Master Data-C19RM'!$D$2)))))</f>
        <v>0</v>
      </c>
      <c r="AD210" s="444">
        <f>IF($O210="USD",_xlfn.IFNA(VLOOKUP($A210&amp;$E210&amp;$I210,PMsheet!$J:$K,2,0),0),(_xlfn.IFNA(VLOOKUP($A210&amp;$E210&amp;$I210,PMsheet!$J:$K,2,0),0)*'Master Data-C19RM'!$E$2))</f>
        <v>0</v>
      </c>
      <c r="AE210" s="441"/>
      <c r="AF210" s="441"/>
      <c r="AG210" s="441"/>
      <c r="AH210" s="441"/>
      <c r="AI210" s="512">
        <f t="shared" si="19"/>
        <v>0</v>
      </c>
      <c r="AJ210" s="513">
        <f>IF(SETUP!$E$7="USD",(AI210*(IF(O210="USD",AD210,(AD210/'Master Data-C19RM'!$E$2)))),(AI210*(IF(O210="EUR",AD210,(AD210*'Master Data-C19RM'!$E$2)))))</f>
        <v>0</v>
      </c>
      <c r="AK210" s="444">
        <f>IF($O210="USD",_xlfn.IFNA(VLOOKUP($A210&amp;$E210&amp;$I210,PMsheet!$J:$K,2,0),0),(_xlfn.IFNA(VLOOKUP($A210&amp;$E210&amp;$I210,PMsheet!$J:$K,2,0),0)*'Master Data-C19RM'!$F$2))</f>
        <v>0</v>
      </c>
      <c r="AL210" s="441"/>
      <c r="AM210" s="441"/>
      <c r="AN210" s="441"/>
      <c r="AO210" s="441"/>
      <c r="AP210" s="512">
        <f t="shared" si="20"/>
        <v>0</v>
      </c>
      <c r="AQ210" s="513">
        <f>IF(SETUP!$E$7="USD",(AP210*(IF(O210="USD",AK210,(AK210/'Master Data-C19RM'!$F$2)))),(AP210*(IF(O210="EUR",AK210,(AK210*'Master Data-C19RM'!$F$2)))))</f>
        <v>0</v>
      </c>
      <c r="AR210" s="924">
        <f>IF($O210="USD",_xlfn.IFNA(VLOOKUP($A210&amp;$E210&amp;$I210,PMsheet!$J:$K,2,0),0),(_xlfn.IFNA(VLOOKUP($A210&amp;$E210&amp;$I210,PMsheet!$J:$K,2,0),0)*'Master Data-C19RM'!$G$2))</f>
        <v>0</v>
      </c>
      <c r="AS210" s="572"/>
      <c r="AT210" s="572"/>
      <c r="AU210" s="572"/>
      <c r="AV210" s="572"/>
      <c r="AW210" s="512">
        <f t="shared" si="24"/>
        <v>0</v>
      </c>
      <c r="AX210" s="513">
        <f>IF(SETUP!$E$7="USD",(AW210*(IF(O210="USD",AR210,(AR210/'Master Data-C19RM'!$G$2)))),(AW210*(IF(O210="EUR",AR210,(AR210*'Master Data-C19RM'!$G$2)))))</f>
        <v>0</v>
      </c>
      <c r="AY210" s="845"/>
      <c r="AZ210" s="846"/>
      <c r="BA210" s="846"/>
      <c r="BB210" s="846"/>
      <c r="BC210" s="846"/>
      <c r="BD210" s="846"/>
      <c r="BE210" s="847"/>
      <c r="BF210" s="512">
        <f>'C19RM 2021-Lab &amp; Other HPS'!$U210+'C19RM 2021-Lab &amp; Other HPS'!$AB210+'C19RM 2021-Lab &amp; Other HPS'!$AP210+'C19RM 2021-Lab &amp; Other HPS'!$AI210+AW210+BD210</f>
        <v>0</v>
      </c>
      <c r="BG210" s="512">
        <f>'C19RM 2021-Lab &amp; Other HPS'!$V210+'C19RM 2021-Lab &amp; Other HPS'!$AC210+'C19RM 2021-Lab &amp; Other HPS'!$AQ210+'C19RM 2021-Lab &amp; Other HPS'!$AJ210+AX210+BE210</f>
        <v>0</v>
      </c>
      <c r="BH210" s="500" t="str" cm="1">
        <f t="array" ref="BH210">IF(A210&lt;&gt;"",IFERROR(INDEX(PMtbl[[WKst]:[Unit of measure*]],MATCH($A$115&amp;$A210&amp;$E210&amp;$I210,INDEX(PMtbl[Sec]&amp;PMtbl[Category]&amp;PMtbl[Each]&amp;PMtbl[Packaging],0,),0),11),""),"")</f>
        <v/>
      </c>
      <c r="BI210" s="819"/>
      <c r="BJ210" s="502" t="str" cm="1">
        <f t="array" ref="BJ210">IFERROR(INDEX(SETUP!$C$19:$G$121,MATCH((INDEX(PMtbl[[WKst]:[Unit of measure*]],MATCH($A210&amp;$E210&amp;$I210,INDEX(PMtbl[Category]&amp;PMtbl[Each]&amp;PMtbl[Packaging],0,),0),3)),SETUP!$D$19:$D$121,0),5),"")</f>
        <v/>
      </c>
      <c r="BK210" s="542"/>
      <c r="BL210" s="214"/>
      <c r="BO210" s="12">
        <f>IF(N210="",0,IF(SETUP!$E$7="USD",((IF(O210="USD",P210,(P210/'Master Data-C19RM'!$C$2)))),((IF(O210="EUR",P210,(P210*'Master Data-C19RM'!$C$2))))))</f>
        <v>0</v>
      </c>
      <c r="BP210" s="12">
        <f>IF(N210="",0,IF(SETUP!$E$7="USD",((IF(O210="USD",W210,(W210/'Master Data-C19RM'!$D$2)))),((IF(O210="EUR",W210,(W210*'Master Data-C19RM'!$D$2))))))</f>
        <v>0</v>
      </c>
      <c r="BQ210">
        <f>IF(N210="",0,IF(SETUP!$E$7="USD",((IF(O210="USD",AD210,(AD210/'Master Data-C19RM'!$E$2)))),((IF(O210="EUR",AD210,(AD210*'Master Data-C19RM'!$E$2))))))</f>
        <v>0</v>
      </c>
      <c r="BR210">
        <f>IF(N210="",0,IF(SETUP!$E$7="USD",((IF(O210="USD",AK210,(AK210/'Master Data-C19RM'!$F$2)))),((IF(O210="EUR",AK210,(AK210*'Master Data-C19RM'!$F$2))))))</f>
        <v>0</v>
      </c>
      <c r="BS210">
        <f>IF(N210="",0,IF(SETUP!$E$7="USD",((IF(O210="USD",AR210,(AR210/'Master Data-C19RM'!$G$2)))),((IF(O210="EUR",AR210,(AR210*'Master Data-C19RM'!$G$2))))))</f>
        <v>0</v>
      </c>
      <c r="BT210">
        <f>IF(N210="",0,IF(SETUP!$E$7="USD",((IF(O210="USD",AY210,(AY210/'Master Data-C19RM'!$H$2)))),((IF(O210="EUR",AY210,(AY210*'Master Data-C19RM'!$H$2))))))</f>
        <v>0</v>
      </c>
      <c r="BU210" s="12">
        <f t="shared" si="25"/>
        <v>0</v>
      </c>
      <c r="BV210" s="142">
        <f t="shared" si="26"/>
        <v>0</v>
      </c>
    </row>
    <row r="211" spans="1:74" x14ac:dyDescent="0.35">
      <c r="A211" s="1192"/>
      <c r="B211" s="1192"/>
      <c r="C211" s="1192"/>
      <c r="D211" s="1192"/>
      <c r="E211" s="1173"/>
      <c r="F211" s="1173"/>
      <c r="G211" s="1173"/>
      <c r="H211" s="1173"/>
      <c r="I211" s="1173"/>
      <c r="J211" s="1173"/>
      <c r="K211" s="1173"/>
      <c r="L211" s="493" t="str" cm="1">
        <f t="array" ref="L211">IF(A211&lt;&gt;"",IFERROR(INDEX(PMtbl[[WKst]:[Unit of measure*]],MATCH($A$115&amp;$A211&amp;$E211&amp;$I211,INDEX(PMtbl[Sec]&amp;PMtbl[Category]&amp;PMtbl[Each]&amp;PMtbl[Packaging],0,),0),14),""),"")</f>
        <v/>
      </c>
      <c r="M211" s="480" t="str">
        <f>IF(L211="","",INDEX(SETUP!$E$20:$E$122,(MATCH(INDEX(PMsheet!$D:$E,MATCH(A211,PMsheet!E:E,0),1),SETUP!$D$20:$D$122,0))))</f>
        <v/>
      </c>
      <c r="N211" s="494">
        <f>IF($O211="USD",_xlfn.IFNA(VLOOKUP(A211&amp;E211&amp;I211,PMsheet!J:K,2,0),0),(_xlfn.IFNA(VLOOKUP(A211&amp;E211&amp;I211,PMsheet!J:K,2,0),0)*'Master Data-C19RM'!$C$2))</f>
        <v>0</v>
      </c>
      <c r="O211" s="495" t="str">
        <f>IF(L211="", "",SETUP!$E$7)</f>
        <v/>
      </c>
      <c r="P211" s="457">
        <f>IF($O211="USD",_xlfn.IFNA(VLOOKUP($A211&amp;$E211&amp;$I211,PMsheet!$J:$K,2,0),0),(_xlfn.IFNA(VLOOKUP($A211&amp;$E211&amp;$I211,PMsheet!$J:$K,2,0),0)*'Master Data-C19RM'!$C$2))</f>
        <v>0</v>
      </c>
      <c r="Q211" s="440"/>
      <c r="R211" s="440"/>
      <c r="S211" s="440"/>
      <c r="T211" s="440"/>
      <c r="U211" s="482">
        <f t="shared" si="17"/>
        <v>0</v>
      </c>
      <c r="V211" s="484">
        <f>IF(SETUP!$E$7="USD",(U211*(IF(O211="USD",P211,(P211/'Master Data-C19RM'!$C$2)))),(U211*(IF(O211="EUR",P211,(P211*'Master Data-C19RM'!$C$2)))))</f>
        <v>0</v>
      </c>
      <c r="W211" s="445">
        <f>IF($O211="USD",_xlfn.IFNA(VLOOKUP($A211&amp;$E211&amp;$I211,PMsheet!$J:$K,2,0),0),(_xlfn.IFNA(VLOOKUP($A211&amp;$E211&amp;$I211,PMsheet!$J:$K,2,0),0)*'Master Data-C19RM'!$D$2))</f>
        <v>0</v>
      </c>
      <c r="X211" s="440"/>
      <c r="Y211" s="440"/>
      <c r="Z211" s="440"/>
      <c r="AA211" s="440"/>
      <c r="AB211" s="482">
        <f t="shared" si="18"/>
        <v>0</v>
      </c>
      <c r="AC211" s="484">
        <f>IF(SETUP!$E$7="USD",(AB211*(IF(O211="USD",W211,(W211/'Master Data-C19RM'!$D$2)))),(AB211*(IF(O211="EUR",W211,(W211*'Master Data-C19RM'!$D$2)))))</f>
        <v>0</v>
      </c>
      <c r="AD211" s="445">
        <f>IF($O211="USD",_xlfn.IFNA(VLOOKUP($A211&amp;$E211&amp;$I211,PMsheet!$J:$K,2,0),0),(_xlfn.IFNA(VLOOKUP($A211&amp;$E211&amp;$I211,PMsheet!$J:$K,2,0),0)*'Master Data-C19RM'!$E$2))</f>
        <v>0</v>
      </c>
      <c r="AE211" s="440"/>
      <c r="AF211" s="440"/>
      <c r="AG211" s="440"/>
      <c r="AH211" s="440"/>
      <c r="AI211" s="514">
        <f t="shared" si="19"/>
        <v>0</v>
      </c>
      <c r="AJ211" s="515">
        <f>IF(SETUP!$E$7="USD",(AI211*(IF(O211="USD",AD211,(AD211/'Master Data-C19RM'!$E$2)))),(AI211*(IF(O211="EUR",AD211,(AD211*'Master Data-C19RM'!$E$2)))))</f>
        <v>0</v>
      </c>
      <c r="AK211" s="445">
        <f>IF($O211="USD",_xlfn.IFNA(VLOOKUP($A211&amp;$E211&amp;$I211,PMsheet!$J:$K,2,0),0),(_xlfn.IFNA(VLOOKUP($A211&amp;$E211&amp;$I211,PMsheet!$J:$K,2,0),0)*'Master Data-C19RM'!$F$2))</f>
        <v>0</v>
      </c>
      <c r="AL211" s="440"/>
      <c r="AM211" s="440"/>
      <c r="AN211" s="440"/>
      <c r="AO211" s="440"/>
      <c r="AP211" s="514">
        <f t="shared" si="20"/>
        <v>0</v>
      </c>
      <c r="AQ211" s="515">
        <f>IF(SETUP!$E$7="USD",(AP211*(IF(O211="USD",AK211,(AK211/'Master Data-C19RM'!$F$2)))),(AP211*(IF(O211="EUR",AK211,(AK211*'Master Data-C19RM'!$F$2)))))</f>
        <v>0</v>
      </c>
      <c r="AR211" s="925">
        <f>IF($O211="USD",_xlfn.IFNA(VLOOKUP($A211&amp;$E211&amp;$I211,PMsheet!$J:$K,2,0),0),(_xlfn.IFNA(VLOOKUP($A211&amp;$E211&amp;$I211,PMsheet!$J:$K,2,0),0)*'Master Data-C19RM'!$G$2))</f>
        <v>0</v>
      </c>
      <c r="AS211" s="926"/>
      <c r="AT211" s="926"/>
      <c r="AU211" s="926"/>
      <c r="AV211" s="926"/>
      <c r="AW211" s="514">
        <f t="shared" si="24"/>
        <v>0</v>
      </c>
      <c r="AX211" s="515">
        <f>IF(SETUP!$E$7="USD",(AW211*(IF(O211="USD",AR211,(AR211/'Master Data-C19RM'!$G$2)))),(AW211*(IF(O211="EUR",AR211,(AR211*'Master Data-C19RM'!$G$2)))))</f>
        <v>0</v>
      </c>
      <c r="AY211" s="845"/>
      <c r="AZ211" s="846"/>
      <c r="BA211" s="846"/>
      <c r="BB211" s="846"/>
      <c r="BC211" s="846"/>
      <c r="BD211" s="846"/>
      <c r="BE211" s="847"/>
      <c r="BF211" s="514">
        <f>'C19RM 2021-Lab &amp; Other HPS'!$U211+'C19RM 2021-Lab &amp; Other HPS'!$AB211+'C19RM 2021-Lab &amp; Other HPS'!$AP211+'C19RM 2021-Lab &amp; Other HPS'!$AI211+AW211+BD211</f>
        <v>0</v>
      </c>
      <c r="BG211" s="514">
        <f>'C19RM 2021-Lab &amp; Other HPS'!$V211+'C19RM 2021-Lab &amp; Other HPS'!$AC211+'C19RM 2021-Lab &amp; Other HPS'!$AQ211+'C19RM 2021-Lab &amp; Other HPS'!$AJ211+AX211+BE211</f>
        <v>0</v>
      </c>
      <c r="BH211" s="522" t="str" cm="1">
        <f t="array" ref="BH211">IF(A211&lt;&gt;"",IFERROR(INDEX(PMtbl[[WKst]:[Unit of measure*]],MATCH($A$115&amp;$A211&amp;$E211&amp;$I211,INDEX(PMtbl[Sec]&amp;PMtbl[Category]&amp;PMtbl[Each]&amp;PMtbl[Packaging],0,),0),11),""),"")</f>
        <v/>
      </c>
      <c r="BI211" s="818"/>
      <c r="BJ211" s="503" t="str" cm="1">
        <f t="array" ref="BJ211">IFERROR(INDEX(SETUP!$C$19:$G$121,MATCH((INDEX(PMtbl[[WKst]:[Unit of measure*]],MATCH($A211&amp;$E211&amp;$I211,INDEX(PMtbl[Category]&amp;PMtbl[Each]&amp;PMtbl[Packaging],0,),0),3)),SETUP!$D$19:$D$121,0),5),"")</f>
        <v/>
      </c>
      <c r="BK211" s="543"/>
      <c r="BL211" s="215"/>
      <c r="BO211" s="12">
        <f>IF(N211="",0,IF(SETUP!$E$7="USD",((IF(O211="USD",P211,(P211/'Master Data-C19RM'!$C$2)))),((IF(O211="EUR",P211,(P211*'Master Data-C19RM'!$C$2))))))</f>
        <v>0</v>
      </c>
      <c r="BP211" s="12">
        <f>IF(N211="",0,IF(SETUP!$E$7="USD",((IF(O211="USD",W211,(W211/'Master Data-C19RM'!$D$2)))),((IF(O211="EUR",W211,(W211*'Master Data-C19RM'!$D$2))))))</f>
        <v>0</v>
      </c>
      <c r="BQ211">
        <f>IF(N211="",0,IF(SETUP!$E$7="USD",((IF(O211="USD",AD211,(AD211/'Master Data-C19RM'!$E$2)))),((IF(O211="EUR",AD211,(AD211*'Master Data-C19RM'!$E$2))))))</f>
        <v>0</v>
      </c>
      <c r="BR211">
        <f>IF(N211="",0,IF(SETUP!$E$7="USD",((IF(O211="USD",AK211,(AK211/'Master Data-C19RM'!$F$2)))),((IF(O211="EUR",AK211,(AK211*'Master Data-C19RM'!$F$2))))))</f>
        <v>0</v>
      </c>
      <c r="BS211">
        <f>IF(N211="",0,IF(SETUP!$E$7="USD",((IF(O211="USD",AR211,(AR211/'Master Data-C19RM'!$G$2)))),((IF(O211="EUR",AR211,(AR211*'Master Data-C19RM'!$G$2))))))</f>
        <v>0</v>
      </c>
      <c r="BT211">
        <f>IF(N211="",0,IF(SETUP!$E$7="USD",((IF(O211="USD",AY211,(AY211/'Master Data-C19RM'!$H$2)))),((IF(O211="EUR",AY211,(AY211*'Master Data-C19RM'!$H$2))))))</f>
        <v>0</v>
      </c>
      <c r="BU211" s="12">
        <f t="shared" si="25"/>
        <v>0</v>
      </c>
      <c r="BV211" s="142">
        <f t="shared" si="26"/>
        <v>0</v>
      </c>
    </row>
    <row r="212" spans="1:74" x14ac:dyDescent="0.35">
      <c r="A212" s="1165"/>
      <c r="B212" s="1165"/>
      <c r="C212" s="1165"/>
      <c r="D212" s="1165"/>
      <c r="E212" s="1166"/>
      <c r="F212" s="1166"/>
      <c r="G212" s="1166"/>
      <c r="H212" s="1166"/>
      <c r="I212" s="1166"/>
      <c r="J212" s="1166"/>
      <c r="K212" s="1166"/>
      <c r="L212" s="490" t="str" cm="1">
        <f t="array" ref="L212">IF(A212&lt;&gt;"",IFERROR(INDEX(PMtbl[[WKst]:[Unit of measure*]],MATCH($A$115&amp;$A212&amp;$E212&amp;$I212,INDEX(PMtbl[Sec]&amp;PMtbl[Category]&amp;PMtbl[Each]&amp;PMtbl[Packaging],0,),0),14),""),"")</f>
        <v/>
      </c>
      <c r="M212" s="479" t="str">
        <f>IF(L212="","",INDEX(SETUP!$E$20:$E$122,(MATCH(INDEX(PMsheet!$D:$E,MATCH(A212,PMsheet!E:E,0),1),SETUP!$D$20:$D$122,0))))</f>
        <v/>
      </c>
      <c r="N212" s="491">
        <f>IF($O212="USD",_xlfn.IFNA(VLOOKUP(A212&amp;E212&amp;I212,PMsheet!J:K,2,0),0),(_xlfn.IFNA(VLOOKUP(A212&amp;E212&amp;I212,PMsheet!J:K,2,0),0)*'Master Data-C19RM'!$C$2))</f>
        <v>0</v>
      </c>
      <c r="O212" s="492" t="str">
        <f>IF(L212="", "",SETUP!$E$7)</f>
        <v/>
      </c>
      <c r="P212" s="456">
        <f>IF($O212="USD",_xlfn.IFNA(VLOOKUP($A212&amp;$E212&amp;$I212,PMsheet!$J:$K,2,0),0),(_xlfn.IFNA(VLOOKUP($A212&amp;$E212&amp;$I212,PMsheet!$J:$K,2,0),0)*'Master Data-C19RM'!$C$2))</f>
        <v>0</v>
      </c>
      <c r="Q212" s="441"/>
      <c r="R212" s="441"/>
      <c r="S212" s="441"/>
      <c r="T212" s="441"/>
      <c r="U212" s="481">
        <f t="shared" si="17"/>
        <v>0</v>
      </c>
      <c r="V212" s="483">
        <f>IF(SETUP!$E$7="USD",(U212*(IF(O212="USD",P212,(P212/'Master Data-C19RM'!$C$2)))),(U212*(IF(O212="EUR",P212,(P212*'Master Data-C19RM'!$C$2)))))</f>
        <v>0</v>
      </c>
      <c r="W212" s="444">
        <f>IF($O212="USD",_xlfn.IFNA(VLOOKUP($A212&amp;$E212&amp;$I212,PMsheet!$J:$K,2,0),0),(_xlfn.IFNA(VLOOKUP($A212&amp;$E212&amp;$I212,PMsheet!$J:$K,2,0),0)*'Master Data-C19RM'!$D$2))</f>
        <v>0</v>
      </c>
      <c r="X212" s="441"/>
      <c r="Y212" s="441"/>
      <c r="Z212" s="441"/>
      <c r="AA212" s="441"/>
      <c r="AB212" s="481">
        <f t="shared" si="18"/>
        <v>0</v>
      </c>
      <c r="AC212" s="483">
        <f>IF(SETUP!$E$7="USD",(AB212*(IF(O212="USD",W212,(W212/'Master Data-C19RM'!$D$2)))),(AB212*(IF(O212="EUR",W212,(W212*'Master Data-C19RM'!$D$2)))))</f>
        <v>0</v>
      </c>
      <c r="AD212" s="444">
        <f>IF($O212="USD",_xlfn.IFNA(VLOOKUP($A212&amp;$E212&amp;$I212,PMsheet!$J:$K,2,0),0),(_xlfn.IFNA(VLOOKUP($A212&amp;$E212&amp;$I212,PMsheet!$J:$K,2,0),0)*'Master Data-C19RM'!$E$2))</f>
        <v>0</v>
      </c>
      <c r="AE212" s="441"/>
      <c r="AF212" s="441"/>
      <c r="AG212" s="441"/>
      <c r="AH212" s="441"/>
      <c r="AI212" s="512">
        <f t="shared" si="19"/>
        <v>0</v>
      </c>
      <c r="AJ212" s="513">
        <f>IF(SETUP!$E$7="USD",(AI212*(IF(O212="USD",AD212,(AD212/'Master Data-C19RM'!$E$2)))),(AI212*(IF(O212="EUR",AD212,(AD212*'Master Data-C19RM'!$E$2)))))</f>
        <v>0</v>
      </c>
      <c r="AK212" s="444">
        <f>IF($O212="USD",_xlfn.IFNA(VLOOKUP($A212&amp;$E212&amp;$I212,PMsheet!$J:$K,2,0),0),(_xlfn.IFNA(VLOOKUP($A212&amp;$E212&amp;$I212,PMsheet!$J:$K,2,0),0)*'Master Data-C19RM'!$F$2))</f>
        <v>0</v>
      </c>
      <c r="AL212" s="441"/>
      <c r="AM212" s="441"/>
      <c r="AN212" s="441"/>
      <c r="AO212" s="441"/>
      <c r="AP212" s="512">
        <f t="shared" si="20"/>
        <v>0</v>
      </c>
      <c r="AQ212" s="513">
        <f>IF(SETUP!$E$7="USD",(AP212*(IF(O212="USD",AK212,(AK212/'Master Data-C19RM'!$F$2)))),(AP212*(IF(O212="EUR",AK212,(AK212*'Master Data-C19RM'!$F$2)))))</f>
        <v>0</v>
      </c>
      <c r="AR212" s="924">
        <f>IF($O212="USD",_xlfn.IFNA(VLOOKUP($A212&amp;$E212&amp;$I212,PMsheet!$J:$K,2,0),0),(_xlfn.IFNA(VLOOKUP($A212&amp;$E212&amp;$I212,PMsheet!$J:$K,2,0),0)*'Master Data-C19RM'!$G$2))</f>
        <v>0</v>
      </c>
      <c r="AS212" s="572"/>
      <c r="AT212" s="572"/>
      <c r="AU212" s="572"/>
      <c r="AV212" s="572"/>
      <c r="AW212" s="512">
        <f t="shared" si="24"/>
        <v>0</v>
      </c>
      <c r="AX212" s="513">
        <f>IF(SETUP!$E$7="USD",(AW212*(IF(O212="USD",AR212,(AR212/'Master Data-C19RM'!$G$2)))),(AW212*(IF(O212="EUR",AR212,(AR212*'Master Data-C19RM'!$G$2)))))</f>
        <v>0</v>
      </c>
      <c r="AY212" s="845"/>
      <c r="AZ212" s="846"/>
      <c r="BA212" s="846"/>
      <c r="BB212" s="846"/>
      <c r="BC212" s="846"/>
      <c r="BD212" s="846"/>
      <c r="BE212" s="847"/>
      <c r="BF212" s="512">
        <f>'C19RM 2021-Lab &amp; Other HPS'!$U212+'C19RM 2021-Lab &amp; Other HPS'!$AB212+'C19RM 2021-Lab &amp; Other HPS'!$AP212+'C19RM 2021-Lab &amp; Other HPS'!$AI212+AW212+BD212</f>
        <v>0</v>
      </c>
      <c r="BG212" s="512">
        <f>'C19RM 2021-Lab &amp; Other HPS'!$V212+'C19RM 2021-Lab &amp; Other HPS'!$AC212+'C19RM 2021-Lab &amp; Other HPS'!$AQ212+'C19RM 2021-Lab &amp; Other HPS'!$AJ212+AX212+BE212</f>
        <v>0</v>
      </c>
      <c r="BH212" s="500" t="str" cm="1">
        <f t="array" ref="BH212">IF(A212&lt;&gt;"",IFERROR(INDEX(PMtbl[[WKst]:[Unit of measure*]],MATCH($A$115&amp;$A212&amp;$E212&amp;$I212,INDEX(PMtbl[Sec]&amp;PMtbl[Category]&amp;PMtbl[Each]&amp;PMtbl[Packaging],0,),0),11),""),"")</f>
        <v/>
      </c>
      <c r="BI212" s="819"/>
      <c r="BJ212" s="502" t="str" cm="1">
        <f t="array" ref="BJ212">IFERROR(INDEX(SETUP!$C$19:$G$121,MATCH((INDEX(PMtbl[[WKst]:[Unit of measure*]],MATCH($A212&amp;$E212&amp;$I212,INDEX(PMtbl[Category]&amp;PMtbl[Each]&amp;PMtbl[Packaging],0,),0),3)),SETUP!$D$19:$D$121,0),5),"")</f>
        <v/>
      </c>
      <c r="BK212" s="542"/>
      <c r="BL212" s="214"/>
      <c r="BO212" s="12">
        <f>IF(N212="",0,IF(SETUP!$E$7="USD",((IF(O212="USD",P212,(P212/'Master Data-C19RM'!$C$2)))),((IF(O212="EUR",P212,(P212*'Master Data-C19RM'!$C$2))))))</f>
        <v>0</v>
      </c>
      <c r="BP212" s="12">
        <f>IF(N212="",0,IF(SETUP!$E$7="USD",((IF(O212="USD",W212,(W212/'Master Data-C19RM'!$D$2)))),((IF(O212="EUR",W212,(W212*'Master Data-C19RM'!$D$2))))))</f>
        <v>0</v>
      </c>
      <c r="BQ212">
        <f>IF(N212="",0,IF(SETUP!$E$7="USD",((IF(O212="USD",AD212,(AD212/'Master Data-C19RM'!$E$2)))),((IF(O212="EUR",AD212,(AD212*'Master Data-C19RM'!$E$2))))))</f>
        <v>0</v>
      </c>
      <c r="BR212">
        <f>IF(N212="",0,IF(SETUP!$E$7="USD",((IF(O212="USD",AK212,(AK212/'Master Data-C19RM'!$F$2)))),((IF(O212="EUR",AK212,(AK212*'Master Data-C19RM'!$F$2))))))</f>
        <v>0</v>
      </c>
      <c r="BS212">
        <f>IF(N212="",0,IF(SETUP!$E$7="USD",((IF(O212="USD",AR212,(AR212/'Master Data-C19RM'!$G$2)))),((IF(O212="EUR",AR212,(AR212*'Master Data-C19RM'!$G$2))))))</f>
        <v>0</v>
      </c>
      <c r="BT212">
        <f>IF(N212="",0,IF(SETUP!$E$7="USD",((IF(O212="USD",AY212,(AY212/'Master Data-C19RM'!$H$2)))),((IF(O212="EUR",AY212,(AY212*'Master Data-C19RM'!$H$2))))))</f>
        <v>0</v>
      </c>
      <c r="BU212" s="12">
        <f t="shared" si="25"/>
        <v>0</v>
      </c>
      <c r="BV212" s="142">
        <f t="shared" si="26"/>
        <v>0</v>
      </c>
    </row>
    <row r="213" spans="1:74" x14ac:dyDescent="0.35">
      <c r="A213" s="1192"/>
      <c r="B213" s="1192"/>
      <c r="C213" s="1192"/>
      <c r="D213" s="1192"/>
      <c r="E213" s="1173"/>
      <c r="F213" s="1173"/>
      <c r="G213" s="1173"/>
      <c r="H213" s="1173"/>
      <c r="I213" s="1173"/>
      <c r="J213" s="1173"/>
      <c r="K213" s="1173"/>
      <c r="L213" s="493" t="str" cm="1">
        <f t="array" ref="L213">IF(A213&lt;&gt;"",IFERROR(INDEX(PMtbl[[WKst]:[Unit of measure*]],MATCH($A$115&amp;$A213&amp;$E213&amp;$I213,INDEX(PMtbl[Sec]&amp;PMtbl[Category]&amp;PMtbl[Each]&amp;PMtbl[Packaging],0,),0),14),""),"")</f>
        <v/>
      </c>
      <c r="M213" s="480" t="str">
        <f>IF(L213="","",INDEX(SETUP!$E$20:$E$122,(MATCH(INDEX(PMsheet!$D:$E,MATCH(A213,PMsheet!E:E,0),1),SETUP!$D$20:$D$122,0))))</f>
        <v/>
      </c>
      <c r="N213" s="494">
        <f>IF($O213="USD",_xlfn.IFNA(VLOOKUP(A213&amp;E213&amp;I213,PMsheet!J:K,2,0),0),(_xlfn.IFNA(VLOOKUP(A213&amp;E213&amp;I213,PMsheet!J:K,2,0),0)*'Master Data-C19RM'!$C$2))</f>
        <v>0</v>
      </c>
      <c r="O213" s="495" t="str">
        <f>IF(L213="", "",SETUP!$E$7)</f>
        <v/>
      </c>
      <c r="P213" s="457">
        <f>IF($O213="USD",_xlfn.IFNA(VLOOKUP($A213&amp;$E213&amp;$I213,PMsheet!$J:$K,2,0),0),(_xlfn.IFNA(VLOOKUP($A213&amp;$E213&amp;$I213,PMsheet!$J:$K,2,0),0)*'Master Data-C19RM'!$C$2))</f>
        <v>0</v>
      </c>
      <c r="Q213" s="440"/>
      <c r="R213" s="440"/>
      <c r="S213" s="440"/>
      <c r="T213" s="440"/>
      <c r="U213" s="482">
        <f t="shared" si="17"/>
        <v>0</v>
      </c>
      <c r="V213" s="484">
        <f>IF(SETUP!$E$7="USD",(U213*(IF(O213="USD",P213,(P213/'Master Data-C19RM'!$C$2)))),(U213*(IF(O213="EUR",P213,(P213*'Master Data-C19RM'!$C$2)))))</f>
        <v>0</v>
      </c>
      <c r="W213" s="445">
        <f>IF($O213="USD",_xlfn.IFNA(VLOOKUP($A213&amp;$E213&amp;$I213,PMsheet!$J:$K,2,0),0),(_xlfn.IFNA(VLOOKUP($A213&amp;$E213&amp;$I213,PMsheet!$J:$K,2,0),0)*'Master Data-C19RM'!$D$2))</f>
        <v>0</v>
      </c>
      <c r="X213" s="440"/>
      <c r="Y213" s="440"/>
      <c r="Z213" s="440"/>
      <c r="AA213" s="440"/>
      <c r="AB213" s="482">
        <f t="shared" si="18"/>
        <v>0</v>
      </c>
      <c r="AC213" s="484">
        <f>IF(SETUP!$E$7="USD",(AB213*(IF(O213="USD",W213,(W213/'Master Data-C19RM'!$D$2)))),(AB213*(IF(O213="EUR",W213,(W213*'Master Data-C19RM'!$D$2)))))</f>
        <v>0</v>
      </c>
      <c r="AD213" s="445">
        <f>IF($O213="USD",_xlfn.IFNA(VLOOKUP($A213&amp;$E213&amp;$I213,PMsheet!$J:$K,2,0),0),(_xlfn.IFNA(VLOOKUP($A213&amp;$E213&amp;$I213,PMsheet!$J:$K,2,0),0)*'Master Data-C19RM'!$E$2))</f>
        <v>0</v>
      </c>
      <c r="AE213" s="440"/>
      <c r="AF213" s="440"/>
      <c r="AG213" s="440"/>
      <c r="AH213" s="440"/>
      <c r="AI213" s="514">
        <f t="shared" si="19"/>
        <v>0</v>
      </c>
      <c r="AJ213" s="515">
        <f>IF(SETUP!$E$7="USD",(AI213*(IF(O213="USD",AD213,(AD213/'Master Data-C19RM'!$E$2)))),(AI213*(IF(O213="EUR",AD213,(AD213*'Master Data-C19RM'!$E$2)))))</f>
        <v>0</v>
      </c>
      <c r="AK213" s="445">
        <f>IF($O213="USD",_xlfn.IFNA(VLOOKUP($A213&amp;$E213&amp;$I213,PMsheet!$J:$K,2,0),0),(_xlfn.IFNA(VLOOKUP($A213&amp;$E213&amp;$I213,PMsheet!$J:$K,2,0),0)*'Master Data-C19RM'!$F$2))</f>
        <v>0</v>
      </c>
      <c r="AL213" s="440"/>
      <c r="AM213" s="440"/>
      <c r="AN213" s="440"/>
      <c r="AO213" s="440"/>
      <c r="AP213" s="514">
        <f t="shared" si="20"/>
        <v>0</v>
      </c>
      <c r="AQ213" s="515">
        <f>IF(SETUP!$E$7="USD",(AP213*(IF(O213="USD",AK213,(AK213/'Master Data-C19RM'!$F$2)))),(AP213*(IF(O213="EUR",AK213,(AK213*'Master Data-C19RM'!$F$2)))))</f>
        <v>0</v>
      </c>
      <c r="AR213" s="925">
        <f>IF($O213="USD",_xlfn.IFNA(VLOOKUP($A213&amp;$E213&amp;$I213,PMsheet!$J:$K,2,0),0),(_xlfn.IFNA(VLOOKUP($A213&amp;$E213&amp;$I213,PMsheet!$J:$K,2,0),0)*'Master Data-C19RM'!$G$2))</f>
        <v>0</v>
      </c>
      <c r="AS213" s="926"/>
      <c r="AT213" s="926"/>
      <c r="AU213" s="926"/>
      <c r="AV213" s="926"/>
      <c r="AW213" s="514">
        <f t="shared" si="24"/>
        <v>0</v>
      </c>
      <c r="AX213" s="515">
        <f>IF(SETUP!$E$7="USD",(AW213*(IF(O213="USD",AR213,(AR213/'Master Data-C19RM'!$G$2)))),(AW213*(IF(O213="EUR",AR213,(AR213*'Master Data-C19RM'!$G$2)))))</f>
        <v>0</v>
      </c>
      <c r="AY213" s="845"/>
      <c r="AZ213" s="846"/>
      <c r="BA213" s="846"/>
      <c r="BB213" s="846"/>
      <c r="BC213" s="846"/>
      <c r="BD213" s="846"/>
      <c r="BE213" s="847"/>
      <c r="BF213" s="514">
        <f>'C19RM 2021-Lab &amp; Other HPS'!$U213+'C19RM 2021-Lab &amp; Other HPS'!$AB213+'C19RM 2021-Lab &amp; Other HPS'!$AP213+'C19RM 2021-Lab &amp; Other HPS'!$AI213+AW213+BD213</f>
        <v>0</v>
      </c>
      <c r="BG213" s="514">
        <f>'C19RM 2021-Lab &amp; Other HPS'!$V213+'C19RM 2021-Lab &amp; Other HPS'!$AC213+'C19RM 2021-Lab &amp; Other HPS'!$AQ213+'C19RM 2021-Lab &amp; Other HPS'!$AJ213+AX213+BE213</f>
        <v>0</v>
      </c>
      <c r="BH213" s="522" t="str" cm="1">
        <f t="array" ref="BH213">IF(A213&lt;&gt;"",IFERROR(INDEX(PMtbl[[WKst]:[Unit of measure*]],MATCH($A$115&amp;$A213&amp;$E213&amp;$I213,INDEX(PMtbl[Sec]&amp;PMtbl[Category]&amp;PMtbl[Each]&amp;PMtbl[Packaging],0,),0),11),""),"")</f>
        <v/>
      </c>
      <c r="BI213" s="818"/>
      <c r="BJ213" s="503" t="str" cm="1">
        <f t="array" ref="BJ213">IFERROR(INDEX(SETUP!$C$19:$G$121,MATCH((INDEX(PMtbl[[WKst]:[Unit of measure*]],MATCH($A213&amp;$E213&amp;$I213,INDEX(PMtbl[Category]&amp;PMtbl[Each]&amp;PMtbl[Packaging],0,),0),3)),SETUP!$D$19:$D$121,0),5),"")</f>
        <v/>
      </c>
      <c r="BK213" s="543"/>
      <c r="BL213" s="215"/>
      <c r="BO213" s="12">
        <f>IF(N213="",0,IF(SETUP!$E$7="USD",((IF(O213="USD",P213,(P213/'Master Data-C19RM'!$C$2)))),((IF(O213="EUR",P213,(P213*'Master Data-C19RM'!$C$2))))))</f>
        <v>0</v>
      </c>
      <c r="BP213" s="12">
        <f>IF(N213="",0,IF(SETUP!$E$7="USD",((IF(O213="USD",W213,(W213/'Master Data-C19RM'!$D$2)))),((IF(O213="EUR",W213,(W213*'Master Data-C19RM'!$D$2))))))</f>
        <v>0</v>
      </c>
      <c r="BQ213">
        <f>IF(N213="",0,IF(SETUP!$E$7="USD",((IF(O213="USD",AD213,(AD213/'Master Data-C19RM'!$E$2)))),((IF(O213="EUR",AD213,(AD213*'Master Data-C19RM'!$E$2))))))</f>
        <v>0</v>
      </c>
      <c r="BR213">
        <f>IF(N213="",0,IF(SETUP!$E$7="USD",((IF(O213="USD",AK213,(AK213/'Master Data-C19RM'!$F$2)))),((IF(O213="EUR",AK213,(AK213*'Master Data-C19RM'!$F$2))))))</f>
        <v>0</v>
      </c>
      <c r="BS213">
        <f>IF(N213="",0,IF(SETUP!$E$7="USD",((IF(O213="USD",AR213,(AR213/'Master Data-C19RM'!$G$2)))),((IF(O213="EUR",AR213,(AR213*'Master Data-C19RM'!$G$2))))))</f>
        <v>0</v>
      </c>
      <c r="BT213">
        <f>IF(N213="",0,IF(SETUP!$E$7="USD",((IF(O213="USD",AY213,(AY213/'Master Data-C19RM'!$H$2)))),((IF(O213="EUR",AY213,(AY213*'Master Data-C19RM'!$H$2))))))</f>
        <v>0</v>
      </c>
      <c r="BU213" s="12">
        <f t="shared" si="25"/>
        <v>0</v>
      </c>
      <c r="BV213" s="142">
        <f t="shared" si="26"/>
        <v>0</v>
      </c>
    </row>
    <row r="214" spans="1:74" x14ac:dyDescent="0.35">
      <c r="A214" s="1165"/>
      <c r="B214" s="1165"/>
      <c r="C214" s="1165"/>
      <c r="D214" s="1165"/>
      <c r="E214" s="1166"/>
      <c r="F214" s="1166"/>
      <c r="G214" s="1166"/>
      <c r="H214" s="1166"/>
      <c r="I214" s="1166"/>
      <c r="J214" s="1166"/>
      <c r="K214" s="1166"/>
      <c r="L214" s="490" t="str" cm="1">
        <f t="array" ref="L214">IF(A214&lt;&gt;"",IFERROR(INDEX(PMtbl[[WKst]:[Unit of measure*]],MATCH($A$115&amp;$A214&amp;$E214&amp;$I214,INDEX(PMtbl[Sec]&amp;PMtbl[Category]&amp;PMtbl[Each]&amp;PMtbl[Packaging],0,),0),14),""),"")</f>
        <v/>
      </c>
      <c r="M214" s="479" t="str">
        <f>IF(L214="","",INDEX(SETUP!$E$20:$E$122,(MATCH(INDEX(PMsheet!$D:$E,MATCH(A214,PMsheet!E:E,0),1),SETUP!$D$20:$D$122,0))))</f>
        <v/>
      </c>
      <c r="N214" s="491">
        <f>IF($O214="USD",_xlfn.IFNA(VLOOKUP(A214&amp;E214&amp;I214,PMsheet!J:K,2,0),0),(_xlfn.IFNA(VLOOKUP(A214&amp;E214&amp;I214,PMsheet!J:K,2,0),0)*'Master Data-C19RM'!$C$2))</f>
        <v>0</v>
      </c>
      <c r="O214" s="492" t="str">
        <f>IF(L214="", "",SETUP!$E$7)</f>
        <v/>
      </c>
      <c r="P214" s="456">
        <f>IF($O214="USD",_xlfn.IFNA(VLOOKUP($A214&amp;$E214&amp;$I214,PMsheet!$J:$K,2,0),0),(_xlfn.IFNA(VLOOKUP($A214&amp;$E214&amp;$I214,PMsheet!$J:$K,2,0),0)*'Master Data-C19RM'!$C$2))</f>
        <v>0</v>
      </c>
      <c r="Q214" s="441"/>
      <c r="R214" s="441"/>
      <c r="S214" s="441"/>
      <c r="T214" s="441"/>
      <c r="U214" s="481">
        <f t="shared" si="17"/>
        <v>0</v>
      </c>
      <c r="V214" s="483">
        <f>IF(SETUP!$E$7="USD",(U214*(IF(O214="USD",P214,(P214/'Master Data-C19RM'!$C$2)))),(U214*(IF(O214="EUR",P214,(P214*'Master Data-C19RM'!$C$2)))))</f>
        <v>0</v>
      </c>
      <c r="W214" s="444">
        <f>IF($O214="USD",_xlfn.IFNA(VLOOKUP($A214&amp;$E214&amp;$I214,PMsheet!$J:$K,2,0),0),(_xlfn.IFNA(VLOOKUP($A214&amp;$E214&amp;$I214,PMsheet!$J:$K,2,0),0)*'Master Data-C19RM'!$D$2))</f>
        <v>0</v>
      </c>
      <c r="X214" s="441"/>
      <c r="Y214" s="441"/>
      <c r="Z214" s="441"/>
      <c r="AA214" s="441"/>
      <c r="AB214" s="481">
        <f t="shared" si="18"/>
        <v>0</v>
      </c>
      <c r="AC214" s="483">
        <f>IF(SETUP!$E$7="USD",(AB214*(IF(O214="USD",W214,(W214/'Master Data-C19RM'!$D$2)))),(AB214*(IF(O214="EUR",W214,(W214*'Master Data-C19RM'!$D$2)))))</f>
        <v>0</v>
      </c>
      <c r="AD214" s="444">
        <f>IF($O214="USD",_xlfn.IFNA(VLOOKUP($A214&amp;$E214&amp;$I214,PMsheet!$J:$K,2,0),0),(_xlfn.IFNA(VLOOKUP($A214&amp;$E214&amp;$I214,PMsheet!$J:$K,2,0),0)*'Master Data-C19RM'!$E$2))</f>
        <v>0</v>
      </c>
      <c r="AE214" s="441"/>
      <c r="AF214" s="441"/>
      <c r="AG214" s="441"/>
      <c r="AH214" s="441"/>
      <c r="AI214" s="512">
        <f t="shared" si="19"/>
        <v>0</v>
      </c>
      <c r="AJ214" s="513">
        <f>IF(SETUP!$E$7="USD",(AI214*(IF(O214="USD",AD214,(AD214/'Master Data-C19RM'!$E$2)))),(AI214*(IF(O214="EUR",AD214,(AD214*'Master Data-C19RM'!$E$2)))))</f>
        <v>0</v>
      </c>
      <c r="AK214" s="444">
        <f>IF($O214="USD",_xlfn.IFNA(VLOOKUP($A214&amp;$E214&amp;$I214,PMsheet!$J:$K,2,0),0),(_xlfn.IFNA(VLOOKUP($A214&amp;$E214&amp;$I214,PMsheet!$J:$K,2,0),0)*'Master Data-C19RM'!$F$2))</f>
        <v>0</v>
      </c>
      <c r="AL214" s="441"/>
      <c r="AM214" s="441"/>
      <c r="AN214" s="441"/>
      <c r="AO214" s="441"/>
      <c r="AP214" s="512">
        <f t="shared" si="20"/>
        <v>0</v>
      </c>
      <c r="AQ214" s="513">
        <f>IF(SETUP!$E$7="USD",(AP214*(IF(O214="USD",AK214,(AK214/'Master Data-C19RM'!$F$2)))),(AP214*(IF(O214="EUR",AK214,(AK214*'Master Data-C19RM'!$F$2)))))</f>
        <v>0</v>
      </c>
      <c r="AR214" s="924">
        <f>IF($O214="USD",_xlfn.IFNA(VLOOKUP($A214&amp;$E214&amp;$I214,PMsheet!$J:$K,2,0),0),(_xlfn.IFNA(VLOOKUP($A214&amp;$E214&amp;$I214,PMsheet!$J:$K,2,0),0)*'Master Data-C19RM'!$G$2))</f>
        <v>0</v>
      </c>
      <c r="AS214" s="572"/>
      <c r="AT214" s="572"/>
      <c r="AU214" s="572"/>
      <c r="AV214" s="572"/>
      <c r="AW214" s="512">
        <f t="shared" si="24"/>
        <v>0</v>
      </c>
      <c r="AX214" s="513">
        <f>IF(SETUP!$E$7="USD",(AW214*(IF(O214="USD",AR214,(AR214/'Master Data-C19RM'!$G$2)))),(AW214*(IF(O214="EUR",AR214,(AR214*'Master Data-C19RM'!$G$2)))))</f>
        <v>0</v>
      </c>
      <c r="AY214" s="845"/>
      <c r="AZ214" s="846"/>
      <c r="BA214" s="846"/>
      <c r="BB214" s="846"/>
      <c r="BC214" s="846"/>
      <c r="BD214" s="846"/>
      <c r="BE214" s="847"/>
      <c r="BF214" s="512">
        <f>'C19RM 2021-Lab &amp; Other HPS'!$U214+'C19RM 2021-Lab &amp; Other HPS'!$AB214+'C19RM 2021-Lab &amp; Other HPS'!$AP214+'C19RM 2021-Lab &amp; Other HPS'!$AI214+AW214+BD214</f>
        <v>0</v>
      </c>
      <c r="BG214" s="512">
        <f>'C19RM 2021-Lab &amp; Other HPS'!$V214+'C19RM 2021-Lab &amp; Other HPS'!$AC214+'C19RM 2021-Lab &amp; Other HPS'!$AQ214+'C19RM 2021-Lab &amp; Other HPS'!$AJ214+AX214+BE214</f>
        <v>0</v>
      </c>
      <c r="BH214" s="500" t="str" cm="1">
        <f t="array" ref="BH214">IF(A214&lt;&gt;"",IFERROR(INDEX(PMtbl[[WKst]:[Unit of measure*]],MATCH($A$115&amp;$A214&amp;$E214&amp;$I214,INDEX(PMtbl[Sec]&amp;PMtbl[Category]&amp;PMtbl[Each]&amp;PMtbl[Packaging],0,),0),11),""),"")</f>
        <v/>
      </c>
      <c r="BI214" s="819"/>
      <c r="BJ214" s="502" t="str" cm="1">
        <f t="array" ref="BJ214">IFERROR(INDEX(SETUP!$C$19:$G$121,MATCH((INDEX(PMtbl[[WKst]:[Unit of measure*]],MATCH($A214&amp;$E214&amp;$I214,INDEX(PMtbl[Category]&amp;PMtbl[Each]&amp;PMtbl[Packaging],0,),0),3)),SETUP!$D$19:$D$121,0),5),"")</f>
        <v/>
      </c>
      <c r="BK214" s="542"/>
      <c r="BL214" s="214"/>
      <c r="BO214" s="12">
        <f>IF(N214="",0,IF(SETUP!$E$7="USD",((IF(O214="USD",P214,(P214/'Master Data-C19RM'!$C$2)))),((IF(O214="EUR",P214,(P214*'Master Data-C19RM'!$C$2))))))</f>
        <v>0</v>
      </c>
      <c r="BP214" s="12">
        <f>IF(N214="",0,IF(SETUP!$E$7="USD",((IF(O214="USD",W214,(W214/'Master Data-C19RM'!$D$2)))),((IF(O214="EUR",W214,(W214*'Master Data-C19RM'!$D$2))))))</f>
        <v>0</v>
      </c>
      <c r="BQ214">
        <f>IF(N214="",0,IF(SETUP!$E$7="USD",((IF(O214="USD",AD214,(AD214/'Master Data-C19RM'!$E$2)))),((IF(O214="EUR",AD214,(AD214*'Master Data-C19RM'!$E$2))))))</f>
        <v>0</v>
      </c>
      <c r="BR214">
        <f>IF(N214="",0,IF(SETUP!$E$7="USD",((IF(O214="USD",AK214,(AK214/'Master Data-C19RM'!$F$2)))),((IF(O214="EUR",AK214,(AK214*'Master Data-C19RM'!$F$2))))))</f>
        <v>0</v>
      </c>
      <c r="BS214">
        <f>IF(N214="",0,IF(SETUP!$E$7="USD",((IF(O214="USD",AR214,(AR214/'Master Data-C19RM'!$G$2)))),((IF(O214="EUR",AR214,(AR214*'Master Data-C19RM'!$G$2))))))</f>
        <v>0</v>
      </c>
      <c r="BT214">
        <f>IF(N214="",0,IF(SETUP!$E$7="USD",((IF(O214="USD",AY214,(AY214/'Master Data-C19RM'!$H$2)))),((IF(O214="EUR",AY214,(AY214*'Master Data-C19RM'!$H$2))))))</f>
        <v>0</v>
      </c>
      <c r="BU214" s="12">
        <f t="shared" si="25"/>
        <v>0</v>
      </c>
      <c r="BV214" s="142">
        <f t="shared" si="26"/>
        <v>0</v>
      </c>
    </row>
    <row r="215" spans="1:74" x14ac:dyDescent="0.35">
      <c r="A215" s="1192"/>
      <c r="B215" s="1192"/>
      <c r="C215" s="1192"/>
      <c r="D215" s="1192"/>
      <c r="E215" s="1173"/>
      <c r="F215" s="1173"/>
      <c r="G215" s="1173"/>
      <c r="H215" s="1173"/>
      <c r="I215" s="1173"/>
      <c r="J215" s="1173"/>
      <c r="K215" s="1173"/>
      <c r="L215" s="493" t="str" cm="1">
        <f t="array" ref="L215">IF(A215&lt;&gt;"",IFERROR(INDEX(PMtbl[[WKst]:[Unit of measure*]],MATCH($A$115&amp;$A215&amp;$E215&amp;$I215,INDEX(PMtbl[Sec]&amp;PMtbl[Category]&amp;PMtbl[Each]&amp;PMtbl[Packaging],0,),0),14),""),"")</f>
        <v/>
      </c>
      <c r="M215" s="480" t="str">
        <f>IF(L215="","",INDEX(SETUP!$E$20:$E$122,(MATCH(INDEX(PMsheet!$D:$E,MATCH(A215,PMsheet!E:E,0),1),SETUP!$D$20:$D$122,0))))</f>
        <v/>
      </c>
      <c r="N215" s="494">
        <f>IF($O215="USD",_xlfn.IFNA(VLOOKUP(A215&amp;E215&amp;I215,PMsheet!J:K,2,0),0),(_xlfn.IFNA(VLOOKUP(A215&amp;E215&amp;I215,PMsheet!J:K,2,0),0)*'Master Data-C19RM'!$C$2))</f>
        <v>0</v>
      </c>
      <c r="O215" s="495" t="str">
        <f>IF(L215="", "",SETUP!$E$7)</f>
        <v/>
      </c>
      <c r="P215" s="457">
        <f>IF($O215="USD",_xlfn.IFNA(VLOOKUP($A215&amp;$E215&amp;$I215,PMsheet!$J:$K,2,0),0),(_xlfn.IFNA(VLOOKUP($A215&amp;$E215&amp;$I215,PMsheet!$J:$K,2,0),0)*'Master Data-C19RM'!$C$2))</f>
        <v>0</v>
      </c>
      <c r="Q215" s="440"/>
      <c r="R215" s="440"/>
      <c r="S215" s="440"/>
      <c r="T215" s="440"/>
      <c r="U215" s="482">
        <f t="shared" si="17"/>
        <v>0</v>
      </c>
      <c r="V215" s="484">
        <f>IF(SETUP!$E$7="USD",(U215*(IF(O215="USD",P215,(P215/'Master Data-C19RM'!$C$2)))),(U215*(IF(O215="EUR",P215,(P215*'Master Data-C19RM'!$C$2)))))</f>
        <v>0</v>
      </c>
      <c r="W215" s="445">
        <f>IF($O215="USD",_xlfn.IFNA(VLOOKUP($A215&amp;$E215&amp;$I215,PMsheet!$J:$K,2,0),0),(_xlfn.IFNA(VLOOKUP($A215&amp;$E215&amp;$I215,PMsheet!$J:$K,2,0),0)*'Master Data-C19RM'!$D$2))</f>
        <v>0</v>
      </c>
      <c r="X215" s="440"/>
      <c r="Y215" s="440"/>
      <c r="Z215" s="440"/>
      <c r="AA215" s="440"/>
      <c r="AB215" s="482">
        <f t="shared" si="18"/>
        <v>0</v>
      </c>
      <c r="AC215" s="484">
        <f>IF(SETUP!$E$7="USD",(AB215*(IF(O215="USD",W215,(W215/'Master Data-C19RM'!$D$2)))),(AB215*(IF(O215="EUR",W215,(W215*'Master Data-C19RM'!$D$2)))))</f>
        <v>0</v>
      </c>
      <c r="AD215" s="445">
        <f>IF($O215="USD",_xlfn.IFNA(VLOOKUP($A215&amp;$E215&amp;$I215,PMsheet!$J:$K,2,0),0),(_xlfn.IFNA(VLOOKUP($A215&amp;$E215&amp;$I215,PMsheet!$J:$K,2,0),0)*'Master Data-C19RM'!$E$2))</f>
        <v>0</v>
      </c>
      <c r="AE215" s="440"/>
      <c r="AF215" s="440"/>
      <c r="AG215" s="440"/>
      <c r="AH215" s="440"/>
      <c r="AI215" s="514">
        <f t="shared" si="19"/>
        <v>0</v>
      </c>
      <c r="AJ215" s="515">
        <f>IF(SETUP!$E$7="USD",(AI215*(IF(O215="USD",AD215,(AD215/'Master Data-C19RM'!$E$2)))),(AI215*(IF(O215="EUR",AD215,(AD215*'Master Data-C19RM'!$E$2)))))</f>
        <v>0</v>
      </c>
      <c r="AK215" s="445">
        <f>IF($O215="USD",_xlfn.IFNA(VLOOKUP($A215&amp;$E215&amp;$I215,PMsheet!$J:$K,2,0),0),(_xlfn.IFNA(VLOOKUP($A215&amp;$E215&amp;$I215,PMsheet!$J:$K,2,0),0)*'Master Data-C19RM'!$F$2))</f>
        <v>0</v>
      </c>
      <c r="AL215" s="440"/>
      <c r="AM215" s="440"/>
      <c r="AN215" s="440"/>
      <c r="AO215" s="440"/>
      <c r="AP215" s="514">
        <f t="shared" si="20"/>
        <v>0</v>
      </c>
      <c r="AQ215" s="515">
        <f>IF(SETUP!$E$7="USD",(AP215*(IF(O215="USD",AK215,(AK215/'Master Data-C19RM'!$F$2)))),(AP215*(IF(O215="EUR",AK215,(AK215*'Master Data-C19RM'!$F$2)))))</f>
        <v>0</v>
      </c>
      <c r="AR215" s="925">
        <f>IF($O215="USD",_xlfn.IFNA(VLOOKUP($A215&amp;$E215&amp;$I215,PMsheet!$J:$K,2,0),0),(_xlfn.IFNA(VLOOKUP($A215&amp;$E215&amp;$I215,PMsheet!$J:$K,2,0),0)*'Master Data-C19RM'!$G$2))</f>
        <v>0</v>
      </c>
      <c r="AS215" s="926"/>
      <c r="AT215" s="926"/>
      <c r="AU215" s="926"/>
      <c r="AV215" s="926"/>
      <c r="AW215" s="514">
        <f t="shared" si="24"/>
        <v>0</v>
      </c>
      <c r="AX215" s="515">
        <f>IF(SETUP!$E$7="USD",(AW215*(IF(O215="USD",AR215,(AR215/'Master Data-C19RM'!$G$2)))),(AW215*(IF(O215="EUR",AR215,(AR215*'Master Data-C19RM'!$G$2)))))</f>
        <v>0</v>
      </c>
      <c r="AY215" s="845"/>
      <c r="AZ215" s="846"/>
      <c r="BA215" s="846"/>
      <c r="BB215" s="846"/>
      <c r="BC215" s="846"/>
      <c r="BD215" s="846"/>
      <c r="BE215" s="847"/>
      <c r="BF215" s="514">
        <f>'C19RM 2021-Lab &amp; Other HPS'!$U215+'C19RM 2021-Lab &amp; Other HPS'!$AB215+'C19RM 2021-Lab &amp; Other HPS'!$AP215+'C19RM 2021-Lab &amp; Other HPS'!$AI215+AW215+BD215</f>
        <v>0</v>
      </c>
      <c r="BG215" s="514">
        <f>'C19RM 2021-Lab &amp; Other HPS'!$V215+'C19RM 2021-Lab &amp; Other HPS'!$AC215+'C19RM 2021-Lab &amp; Other HPS'!$AQ215+'C19RM 2021-Lab &amp; Other HPS'!$AJ215+AX215+BE215</f>
        <v>0</v>
      </c>
      <c r="BH215" s="522" t="str" cm="1">
        <f t="array" ref="BH215">IF(A215&lt;&gt;"",IFERROR(INDEX(PMtbl[[WKst]:[Unit of measure*]],MATCH($A$115&amp;$A215&amp;$E215&amp;$I215,INDEX(PMtbl[Sec]&amp;PMtbl[Category]&amp;PMtbl[Each]&amp;PMtbl[Packaging],0,),0),11),""),"")</f>
        <v/>
      </c>
      <c r="BI215" s="818"/>
      <c r="BJ215" s="503" t="str" cm="1">
        <f t="array" ref="BJ215">IFERROR(INDEX(SETUP!$C$19:$G$121,MATCH((INDEX(PMtbl[[WKst]:[Unit of measure*]],MATCH($A215&amp;$E215&amp;$I215,INDEX(PMtbl[Category]&amp;PMtbl[Each]&amp;PMtbl[Packaging],0,),0),3)),SETUP!$D$19:$D$121,0),5),"")</f>
        <v/>
      </c>
      <c r="BK215" s="543"/>
      <c r="BL215" s="215"/>
      <c r="BO215" s="12">
        <f>IF(N215="",0,IF(SETUP!$E$7="USD",((IF(O215="USD",P215,(P215/'Master Data-C19RM'!$C$2)))),((IF(O215="EUR",P215,(P215*'Master Data-C19RM'!$C$2))))))</f>
        <v>0</v>
      </c>
      <c r="BP215" s="12">
        <f>IF(N215="",0,IF(SETUP!$E$7="USD",((IF(O215="USD",W215,(W215/'Master Data-C19RM'!$D$2)))),((IF(O215="EUR",W215,(W215*'Master Data-C19RM'!$D$2))))))</f>
        <v>0</v>
      </c>
      <c r="BQ215">
        <f>IF(N215="",0,IF(SETUP!$E$7="USD",((IF(O215="USD",AD215,(AD215/'Master Data-C19RM'!$E$2)))),((IF(O215="EUR",AD215,(AD215*'Master Data-C19RM'!$E$2))))))</f>
        <v>0</v>
      </c>
      <c r="BR215">
        <f>IF(N215="",0,IF(SETUP!$E$7="USD",((IF(O215="USD",AK215,(AK215/'Master Data-C19RM'!$F$2)))),((IF(O215="EUR",AK215,(AK215*'Master Data-C19RM'!$F$2))))))</f>
        <v>0</v>
      </c>
      <c r="BS215">
        <f>IF(N215="",0,IF(SETUP!$E$7="USD",((IF(O215="USD",AR215,(AR215/'Master Data-C19RM'!$G$2)))),((IF(O215="EUR",AR215,(AR215*'Master Data-C19RM'!$G$2))))))</f>
        <v>0</v>
      </c>
      <c r="BT215">
        <f>IF(N215="",0,IF(SETUP!$E$7="USD",((IF(O215="USD",AY215,(AY215/'Master Data-C19RM'!$H$2)))),((IF(O215="EUR",AY215,(AY215*'Master Data-C19RM'!$H$2))))))</f>
        <v>0</v>
      </c>
      <c r="BU215" s="12">
        <f t="shared" si="25"/>
        <v>0</v>
      </c>
      <c r="BV215" s="142">
        <f t="shared" si="26"/>
        <v>0</v>
      </c>
    </row>
    <row r="216" spans="1:74" x14ac:dyDescent="0.35">
      <c r="A216" s="1165"/>
      <c r="B216" s="1165"/>
      <c r="C216" s="1165"/>
      <c r="D216" s="1165"/>
      <c r="E216" s="1166"/>
      <c r="F216" s="1166"/>
      <c r="G216" s="1166"/>
      <c r="H216" s="1166"/>
      <c r="I216" s="1166"/>
      <c r="J216" s="1166"/>
      <c r="K216" s="1166"/>
      <c r="L216" s="490" t="str" cm="1">
        <f t="array" ref="L216">IF(A216&lt;&gt;"",IFERROR(INDEX(PMtbl[[WKst]:[Unit of measure*]],MATCH($A$115&amp;$A216&amp;$E216&amp;$I216,INDEX(PMtbl[Sec]&amp;PMtbl[Category]&amp;PMtbl[Each]&amp;PMtbl[Packaging],0,),0),14),""),"")</f>
        <v/>
      </c>
      <c r="M216" s="479" t="str">
        <f>IF(L216="","",INDEX(SETUP!$E$20:$E$122,(MATCH(INDEX(PMsheet!$D:$E,MATCH(A216,PMsheet!E:E,0),1),SETUP!$D$20:$D$122,0))))</f>
        <v/>
      </c>
      <c r="N216" s="491">
        <f>IF($O216="USD",_xlfn.IFNA(VLOOKUP(A216&amp;E216&amp;I216,PMsheet!J:K,2,0),0),(_xlfn.IFNA(VLOOKUP(A216&amp;E216&amp;I216,PMsheet!J:K,2,0),0)*'Master Data-C19RM'!$C$2))</f>
        <v>0</v>
      </c>
      <c r="O216" s="492" t="str">
        <f>IF(L216="", "",SETUP!$E$7)</f>
        <v/>
      </c>
      <c r="P216" s="456">
        <f>IF($O216="USD",_xlfn.IFNA(VLOOKUP($A216&amp;$E216&amp;$I216,PMsheet!$J:$K,2,0),0),(_xlfn.IFNA(VLOOKUP($A216&amp;$E216&amp;$I216,PMsheet!$J:$K,2,0),0)*'Master Data-C19RM'!$C$2))</f>
        <v>0</v>
      </c>
      <c r="Q216" s="441"/>
      <c r="R216" s="441"/>
      <c r="S216" s="441"/>
      <c r="T216" s="441"/>
      <c r="U216" s="481">
        <f t="shared" si="17"/>
        <v>0</v>
      </c>
      <c r="V216" s="483">
        <f>IF(SETUP!$E$7="USD",(U216*(IF(O216="USD",P216,(P216/'Master Data-C19RM'!$C$2)))),(U216*(IF(O216="EUR",P216,(P216*'Master Data-C19RM'!$C$2)))))</f>
        <v>0</v>
      </c>
      <c r="W216" s="444">
        <f>IF($O216="USD",_xlfn.IFNA(VLOOKUP($A216&amp;$E216&amp;$I216,PMsheet!$J:$K,2,0),0),(_xlfn.IFNA(VLOOKUP($A216&amp;$E216&amp;$I216,PMsheet!$J:$K,2,0),0)*'Master Data-C19RM'!$D$2))</f>
        <v>0</v>
      </c>
      <c r="X216" s="441"/>
      <c r="Y216" s="441"/>
      <c r="Z216" s="441"/>
      <c r="AA216" s="441"/>
      <c r="AB216" s="481">
        <f t="shared" si="18"/>
        <v>0</v>
      </c>
      <c r="AC216" s="483">
        <f>IF(SETUP!$E$7="USD",(AB216*(IF(O216="USD",W216,(W216/'Master Data-C19RM'!$D$2)))),(AB216*(IF(O216="EUR",W216,(W216*'Master Data-C19RM'!$D$2)))))</f>
        <v>0</v>
      </c>
      <c r="AD216" s="444">
        <f>IF($O216="USD",_xlfn.IFNA(VLOOKUP($A216&amp;$E216&amp;$I216,PMsheet!$J:$K,2,0),0),(_xlfn.IFNA(VLOOKUP($A216&amp;$E216&amp;$I216,PMsheet!$J:$K,2,0),0)*'Master Data-C19RM'!$E$2))</f>
        <v>0</v>
      </c>
      <c r="AE216" s="441"/>
      <c r="AF216" s="441"/>
      <c r="AG216" s="441"/>
      <c r="AH216" s="441"/>
      <c r="AI216" s="512">
        <f t="shared" si="19"/>
        <v>0</v>
      </c>
      <c r="AJ216" s="513">
        <f>IF(SETUP!$E$7="USD",(AI216*(IF(O216="USD",AD216,(AD216/'Master Data-C19RM'!$E$2)))),(AI216*(IF(O216="EUR",AD216,(AD216*'Master Data-C19RM'!$E$2)))))</f>
        <v>0</v>
      </c>
      <c r="AK216" s="444">
        <f>IF($O216="USD",_xlfn.IFNA(VLOOKUP($A216&amp;$E216&amp;$I216,PMsheet!$J:$K,2,0),0),(_xlfn.IFNA(VLOOKUP($A216&amp;$E216&amp;$I216,PMsheet!$J:$K,2,0),0)*'Master Data-C19RM'!$F$2))</f>
        <v>0</v>
      </c>
      <c r="AL216" s="441"/>
      <c r="AM216" s="441"/>
      <c r="AN216" s="441"/>
      <c r="AO216" s="441"/>
      <c r="AP216" s="512">
        <f t="shared" si="20"/>
        <v>0</v>
      </c>
      <c r="AQ216" s="513">
        <f>IF(SETUP!$E$7="USD",(AP216*(IF(O216="USD",AK216,(AK216/'Master Data-C19RM'!$F$2)))),(AP216*(IF(O216="EUR",AK216,(AK216*'Master Data-C19RM'!$F$2)))))</f>
        <v>0</v>
      </c>
      <c r="AR216" s="924">
        <f>IF($O216="USD",_xlfn.IFNA(VLOOKUP($A216&amp;$E216&amp;$I216,PMsheet!$J:$K,2,0),0),(_xlfn.IFNA(VLOOKUP($A216&amp;$E216&amp;$I216,PMsheet!$J:$K,2,0),0)*'Master Data-C19RM'!$G$2))</f>
        <v>0</v>
      </c>
      <c r="AS216" s="572"/>
      <c r="AT216" s="572"/>
      <c r="AU216" s="572"/>
      <c r="AV216" s="572"/>
      <c r="AW216" s="512">
        <f t="shared" si="24"/>
        <v>0</v>
      </c>
      <c r="AX216" s="513">
        <f>IF(SETUP!$E$7="USD",(AW216*(IF(O216="USD",AR216,(AR216/'Master Data-C19RM'!$G$2)))),(AW216*(IF(O216="EUR",AR216,(AR216*'Master Data-C19RM'!$G$2)))))</f>
        <v>0</v>
      </c>
      <c r="AY216" s="845"/>
      <c r="AZ216" s="846"/>
      <c r="BA216" s="846"/>
      <c r="BB216" s="846"/>
      <c r="BC216" s="846"/>
      <c r="BD216" s="846"/>
      <c r="BE216" s="847"/>
      <c r="BF216" s="512">
        <f>'C19RM 2021-Lab &amp; Other HPS'!$U216+'C19RM 2021-Lab &amp; Other HPS'!$AB216+'C19RM 2021-Lab &amp; Other HPS'!$AP216+'C19RM 2021-Lab &amp; Other HPS'!$AI216+AW216+BD216</f>
        <v>0</v>
      </c>
      <c r="BG216" s="512">
        <f>'C19RM 2021-Lab &amp; Other HPS'!$V216+'C19RM 2021-Lab &amp; Other HPS'!$AC216+'C19RM 2021-Lab &amp; Other HPS'!$AQ216+'C19RM 2021-Lab &amp; Other HPS'!$AJ216+AX216+BE216</f>
        <v>0</v>
      </c>
      <c r="BH216" s="500" t="str" cm="1">
        <f t="array" ref="BH216">IF(A216&lt;&gt;"",IFERROR(INDEX(PMtbl[[WKst]:[Unit of measure*]],MATCH($A$115&amp;$A216&amp;$E216&amp;$I216,INDEX(PMtbl[Sec]&amp;PMtbl[Category]&amp;PMtbl[Each]&amp;PMtbl[Packaging],0,),0),11),""),"")</f>
        <v/>
      </c>
      <c r="BI216" s="819"/>
      <c r="BJ216" s="502" t="str" cm="1">
        <f t="array" ref="BJ216">IFERROR(INDEX(SETUP!$C$19:$G$121,MATCH((INDEX(PMtbl[[WKst]:[Unit of measure*]],MATCH($A216&amp;$E216&amp;$I216,INDEX(PMtbl[Category]&amp;PMtbl[Each]&amp;PMtbl[Packaging],0,),0),3)),SETUP!$D$19:$D$121,0),5),"")</f>
        <v/>
      </c>
      <c r="BK216" s="542"/>
      <c r="BL216" s="214"/>
      <c r="BO216" s="12">
        <f>IF(N216="",0,IF(SETUP!$E$7="USD",((IF(O216="USD",P216,(P216/'Master Data-C19RM'!$C$2)))),((IF(O216="EUR",P216,(P216*'Master Data-C19RM'!$C$2))))))</f>
        <v>0</v>
      </c>
      <c r="BP216" s="12">
        <f>IF(N216="",0,IF(SETUP!$E$7="USD",((IF(O216="USD",W216,(W216/'Master Data-C19RM'!$D$2)))),((IF(O216="EUR",W216,(W216*'Master Data-C19RM'!$D$2))))))</f>
        <v>0</v>
      </c>
      <c r="BQ216">
        <f>IF(N216="",0,IF(SETUP!$E$7="USD",((IF(O216="USD",AD216,(AD216/'Master Data-C19RM'!$E$2)))),((IF(O216="EUR",AD216,(AD216*'Master Data-C19RM'!$E$2))))))</f>
        <v>0</v>
      </c>
      <c r="BR216">
        <f>IF(N216="",0,IF(SETUP!$E$7="USD",((IF(O216="USD",AK216,(AK216/'Master Data-C19RM'!$F$2)))),((IF(O216="EUR",AK216,(AK216*'Master Data-C19RM'!$F$2))))))</f>
        <v>0</v>
      </c>
      <c r="BS216">
        <f>IF(N216="",0,IF(SETUP!$E$7="USD",((IF(O216="USD",AR216,(AR216/'Master Data-C19RM'!$G$2)))),((IF(O216="EUR",AR216,(AR216*'Master Data-C19RM'!$G$2))))))</f>
        <v>0</v>
      </c>
      <c r="BT216">
        <f>IF(N216="",0,IF(SETUP!$E$7="USD",((IF(O216="USD",AY216,(AY216/'Master Data-C19RM'!$H$2)))),((IF(O216="EUR",AY216,(AY216*'Master Data-C19RM'!$H$2))))))</f>
        <v>0</v>
      </c>
      <c r="BU216" s="12">
        <f t="shared" si="25"/>
        <v>0</v>
      </c>
      <c r="BV216" s="142">
        <f t="shared" si="26"/>
        <v>0</v>
      </c>
    </row>
    <row r="217" spans="1:74" x14ac:dyDescent="0.35">
      <c r="A217" s="1192"/>
      <c r="B217" s="1192"/>
      <c r="C217" s="1192"/>
      <c r="D217" s="1192"/>
      <c r="E217" s="1173"/>
      <c r="F217" s="1173"/>
      <c r="G217" s="1173"/>
      <c r="H217" s="1173"/>
      <c r="I217" s="1173"/>
      <c r="J217" s="1173"/>
      <c r="K217" s="1173"/>
      <c r="L217" s="493" t="str" cm="1">
        <f t="array" ref="L217">IF(A217&lt;&gt;"",IFERROR(INDEX(PMtbl[[WKst]:[Unit of measure*]],MATCH($A$115&amp;$A217&amp;$E217&amp;$I217,INDEX(PMtbl[Sec]&amp;PMtbl[Category]&amp;PMtbl[Each]&amp;PMtbl[Packaging],0,),0),14),""),"")</f>
        <v/>
      </c>
      <c r="M217" s="480" t="str">
        <f>IF(L217="","",INDEX(SETUP!$E$20:$E$122,(MATCH(INDEX(PMsheet!$D:$E,MATCH(A217,PMsheet!E:E,0),1),SETUP!$D$20:$D$122,0))))</f>
        <v/>
      </c>
      <c r="N217" s="494">
        <f>IF($O217="USD",_xlfn.IFNA(VLOOKUP(A217&amp;E217&amp;I217,PMsheet!J:K,2,0),0),(_xlfn.IFNA(VLOOKUP(A217&amp;E217&amp;I217,PMsheet!J:K,2,0),0)*'Master Data-C19RM'!$C$2))</f>
        <v>0</v>
      </c>
      <c r="O217" s="495" t="str">
        <f>IF(L217="", "",SETUP!$E$7)</f>
        <v/>
      </c>
      <c r="P217" s="457">
        <f>IF($O217="USD",_xlfn.IFNA(VLOOKUP($A217&amp;$E217&amp;$I217,PMsheet!$J:$K,2,0),0),(_xlfn.IFNA(VLOOKUP($A217&amp;$E217&amp;$I217,PMsheet!$J:$K,2,0),0)*'Master Data-C19RM'!$C$2))</f>
        <v>0</v>
      </c>
      <c r="Q217" s="440"/>
      <c r="R217" s="440"/>
      <c r="S217" s="440"/>
      <c r="T217" s="440"/>
      <c r="U217" s="482">
        <f t="shared" si="17"/>
        <v>0</v>
      </c>
      <c r="V217" s="484">
        <f>IF(SETUP!$E$7="USD",(U217*(IF(O217="USD",P217,(P217/'Master Data-C19RM'!$C$2)))),(U217*(IF(O217="EUR",P217,(P217*'Master Data-C19RM'!$C$2)))))</f>
        <v>0</v>
      </c>
      <c r="W217" s="445">
        <f>IF($O217="USD",_xlfn.IFNA(VLOOKUP($A217&amp;$E217&amp;$I217,PMsheet!$J:$K,2,0),0),(_xlfn.IFNA(VLOOKUP($A217&amp;$E217&amp;$I217,PMsheet!$J:$K,2,0),0)*'Master Data-C19RM'!$D$2))</f>
        <v>0</v>
      </c>
      <c r="X217" s="440"/>
      <c r="Y217" s="440"/>
      <c r="Z217" s="440"/>
      <c r="AA217" s="440"/>
      <c r="AB217" s="482">
        <f t="shared" si="18"/>
        <v>0</v>
      </c>
      <c r="AC217" s="484">
        <f>IF(SETUP!$E$7="USD",(AB217*(IF(O217="USD",W217,(W217/'Master Data-C19RM'!$D$2)))),(AB217*(IF(O217="EUR",W217,(W217*'Master Data-C19RM'!$D$2)))))</f>
        <v>0</v>
      </c>
      <c r="AD217" s="445">
        <f>IF($O217="USD",_xlfn.IFNA(VLOOKUP($A217&amp;$E217&amp;$I217,PMsheet!$J:$K,2,0),0),(_xlfn.IFNA(VLOOKUP($A217&amp;$E217&amp;$I217,PMsheet!$J:$K,2,0),0)*'Master Data-C19RM'!$E$2))</f>
        <v>0</v>
      </c>
      <c r="AE217" s="440"/>
      <c r="AF217" s="440"/>
      <c r="AG217" s="440"/>
      <c r="AH217" s="440"/>
      <c r="AI217" s="514">
        <f t="shared" si="19"/>
        <v>0</v>
      </c>
      <c r="AJ217" s="515">
        <f>IF(SETUP!$E$7="USD",(AI217*(IF(O217="USD",AD217,(AD217/'Master Data-C19RM'!$E$2)))),(AI217*(IF(O217="EUR",AD217,(AD217*'Master Data-C19RM'!$E$2)))))</f>
        <v>0</v>
      </c>
      <c r="AK217" s="445">
        <f>IF($O217="USD",_xlfn.IFNA(VLOOKUP($A217&amp;$E217&amp;$I217,PMsheet!$J:$K,2,0),0),(_xlfn.IFNA(VLOOKUP($A217&amp;$E217&amp;$I217,PMsheet!$J:$K,2,0),0)*'Master Data-C19RM'!$F$2))</f>
        <v>0</v>
      </c>
      <c r="AL217" s="440"/>
      <c r="AM217" s="440"/>
      <c r="AN217" s="440"/>
      <c r="AO217" s="440"/>
      <c r="AP217" s="514">
        <f t="shared" si="20"/>
        <v>0</v>
      </c>
      <c r="AQ217" s="515">
        <f>IF(SETUP!$E$7="USD",(AP217*(IF(O217="USD",AK217,(AK217/'Master Data-C19RM'!$F$2)))),(AP217*(IF(O217="EUR",AK217,(AK217*'Master Data-C19RM'!$F$2)))))</f>
        <v>0</v>
      </c>
      <c r="AR217" s="925">
        <f>IF($O217="USD",_xlfn.IFNA(VLOOKUP($A217&amp;$E217&amp;$I217,PMsheet!$J:$K,2,0),0),(_xlfn.IFNA(VLOOKUP($A217&amp;$E217&amp;$I217,PMsheet!$J:$K,2,0),0)*'Master Data-C19RM'!$G$2))</f>
        <v>0</v>
      </c>
      <c r="AS217" s="926"/>
      <c r="AT217" s="926"/>
      <c r="AU217" s="926"/>
      <c r="AV217" s="926"/>
      <c r="AW217" s="514">
        <f t="shared" si="24"/>
        <v>0</v>
      </c>
      <c r="AX217" s="515">
        <f>IF(SETUP!$E$7="USD",(AW217*(IF(O217="USD",AR217,(AR217/'Master Data-C19RM'!$G$2)))),(AW217*(IF(O217="EUR",AR217,(AR217*'Master Data-C19RM'!$G$2)))))</f>
        <v>0</v>
      </c>
      <c r="AY217" s="845"/>
      <c r="AZ217" s="846"/>
      <c r="BA217" s="846"/>
      <c r="BB217" s="846"/>
      <c r="BC217" s="846"/>
      <c r="BD217" s="846"/>
      <c r="BE217" s="847"/>
      <c r="BF217" s="514">
        <f>'C19RM 2021-Lab &amp; Other HPS'!$U217+'C19RM 2021-Lab &amp; Other HPS'!$AB217+'C19RM 2021-Lab &amp; Other HPS'!$AP217+'C19RM 2021-Lab &amp; Other HPS'!$AI217+AW217+BD217</f>
        <v>0</v>
      </c>
      <c r="BG217" s="514">
        <f>'C19RM 2021-Lab &amp; Other HPS'!$V217+'C19RM 2021-Lab &amp; Other HPS'!$AC217+'C19RM 2021-Lab &amp; Other HPS'!$AQ217+'C19RM 2021-Lab &amp; Other HPS'!$AJ217+AX217+BE217</f>
        <v>0</v>
      </c>
      <c r="BH217" s="522" t="str" cm="1">
        <f t="array" ref="BH217">IF(A217&lt;&gt;"",IFERROR(INDEX(PMtbl[[WKst]:[Unit of measure*]],MATCH($A$115&amp;$A217&amp;$E217&amp;$I217,INDEX(PMtbl[Sec]&amp;PMtbl[Category]&amp;PMtbl[Each]&amp;PMtbl[Packaging],0,),0),11),""),"")</f>
        <v/>
      </c>
      <c r="BI217" s="818"/>
      <c r="BJ217" s="503" t="str" cm="1">
        <f t="array" ref="BJ217">IFERROR(INDEX(SETUP!$C$19:$G$121,MATCH((INDEX(PMtbl[[WKst]:[Unit of measure*]],MATCH($A217&amp;$E217&amp;$I217,INDEX(PMtbl[Category]&amp;PMtbl[Each]&amp;PMtbl[Packaging],0,),0),3)),SETUP!$D$19:$D$121,0),5),"")</f>
        <v/>
      </c>
      <c r="BK217" s="543"/>
      <c r="BL217" s="215"/>
      <c r="BO217" s="12">
        <f>IF(N217="",0,IF(SETUP!$E$7="USD",((IF(O217="USD",P217,(P217/'Master Data-C19RM'!$C$2)))),((IF(O217="EUR",P217,(P217*'Master Data-C19RM'!$C$2))))))</f>
        <v>0</v>
      </c>
      <c r="BP217" s="12">
        <f>IF(N217="",0,IF(SETUP!$E$7="USD",((IF(O217="USD",W217,(W217/'Master Data-C19RM'!$D$2)))),((IF(O217="EUR",W217,(W217*'Master Data-C19RM'!$D$2))))))</f>
        <v>0</v>
      </c>
      <c r="BQ217">
        <f>IF(N217="",0,IF(SETUP!$E$7="USD",((IF(O217="USD",AD217,(AD217/'Master Data-C19RM'!$E$2)))),((IF(O217="EUR",AD217,(AD217*'Master Data-C19RM'!$E$2))))))</f>
        <v>0</v>
      </c>
      <c r="BR217">
        <f>IF(N217="",0,IF(SETUP!$E$7="USD",((IF(O217="USD",AK217,(AK217/'Master Data-C19RM'!$F$2)))),((IF(O217="EUR",AK217,(AK217*'Master Data-C19RM'!$F$2))))))</f>
        <v>0</v>
      </c>
      <c r="BS217">
        <f>IF(N217="",0,IF(SETUP!$E$7="USD",((IF(O217="USD",AR217,(AR217/'Master Data-C19RM'!$G$2)))),((IF(O217="EUR",AR217,(AR217*'Master Data-C19RM'!$G$2))))))</f>
        <v>0</v>
      </c>
      <c r="BT217">
        <f>IF(N217="",0,IF(SETUP!$E$7="USD",((IF(O217="USD",AY217,(AY217/'Master Data-C19RM'!$H$2)))),((IF(O217="EUR",AY217,(AY217*'Master Data-C19RM'!$H$2))))))</f>
        <v>0</v>
      </c>
      <c r="BU217" s="12">
        <f t="shared" si="25"/>
        <v>0</v>
      </c>
      <c r="BV217" s="142">
        <f t="shared" si="26"/>
        <v>0</v>
      </c>
    </row>
    <row r="218" spans="1:74" x14ac:dyDescent="0.35">
      <c r="A218" s="1200"/>
      <c r="B218" s="1201"/>
      <c r="C218" s="1201"/>
      <c r="D218" s="1202"/>
      <c r="E218" s="1166"/>
      <c r="F218" s="1166"/>
      <c r="G218" s="1166"/>
      <c r="H218" s="1166"/>
      <c r="I218" s="1166"/>
      <c r="J218" s="1166"/>
      <c r="K218" s="1166"/>
      <c r="L218" s="490" t="str" cm="1">
        <f t="array" ref="L218">IF(A218&lt;&gt;"",IFERROR(INDEX(PMtbl[[WKst]:[Unit of measure*]],MATCH($A$115&amp;$A218&amp;$E218&amp;$I218,INDEX(PMtbl[Sec]&amp;PMtbl[Category]&amp;PMtbl[Each]&amp;PMtbl[Packaging],0,),0),14),""),"")</f>
        <v/>
      </c>
      <c r="M218" s="479" t="str">
        <f>IF(L218="","",INDEX(SETUP!$E$20:$E$122,(MATCH(INDEX(PMsheet!$D:$E,MATCH(A218,PMsheet!E:E,0),1),SETUP!$D$20:$D$122,0))))</f>
        <v/>
      </c>
      <c r="N218" s="491">
        <f>IF($O218="USD",_xlfn.IFNA(VLOOKUP(A218&amp;E218&amp;I218,PMsheet!J:K,2,0),0),(_xlfn.IFNA(VLOOKUP(A218&amp;E218&amp;I218,PMsheet!J:K,2,0),0)*'Master Data-C19RM'!$C$2))</f>
        <v>0</v>
      </c>
      <c r="O218" s="492" t="str">
        <f>IF(L218="", "",SETUP!$E$7)</f>
        <v/>
      </c>
      <c r="P218" s="456">
        <f>IF($O218="USD",_xlfn.IFNA(VLOOKUP($A218&amp;$E218&amp;$I218,PMsheet!$J:$K,2,0),0),(_xlfn.IFNA(VLOOKUP($A218&amp;$E218&amp;$I218,PMsheet!$J:$K,2,0),0)*'Master Data-C19RM'!$C$2))</f>
        <v>0</v>
      </c>
      <c r="Q218" s="441"/>
      <c r="R218" s="441"/>
      <c r="S218" s="441"/>
      <c r="T218" s="441"/>
      <c r="U218" s="481">
        <f t="shared" si="17"/>
        <v>0</v>
      </c>
      <c r="V218" s="483">
        <f>IF(SETUP!$E$7="USD",(U218*(IF(O218="USD",P218,(P218/'Master Data-C19RM'!$C$2)))),(U218*(IF(O218="EUR",P218,(P218*'Master Data-C19RM'!$C$2)))))</f>
        <v>0</v>
      </c>
      <c r="W218" s="444">
        <f>IF($O218="USD",_xlfn.IFNA(VLOOKUP($A218&amp;$E218&amp;$I218,PMsheet!$J:$K,2,0),0),(_xlfn.IFNA(VLOOKUP($A218&amp;$E218&amp;$I218,PMsheet!$J:$K,2,0),0)*'Master Data-C19RM'!$D$2))</f>
        <v>0</v>
      </c>
      <c r="X218" s="441"/>
      <c r="Y218" s="441"/>
      <c r="Z218" s="441"/>
      <c r="AA218" s="441"/>
      <c r="AB218" s="481">
        <f t="shared" si="18"/>
        <v>0</v>
      </c>
      <c r="AC218" s="483">
        <f>IF(SETUP!$E$7="USD",(AB218*(IF(O218="USD",W218,(W218/'Master Data-C19RM'!$D$2)))),(AB218*(IF(O218="EUR",W218,(W218*'Master Data-C19RM'!$D$2)))))</f>
        <v>0</v>
      </c>
      <c r="AD218" s="444">
        <f>IF($O218="USD",_xlfn.IFNA(VLOOKUP($A218&amp;$E218&amp;$I218,PMsheet!$J:$K,2,0),0),(_xlfn.IFNA(VLOOKUP($A218&amp;$E218&amp;$I218,PMsheet!$J:$K,2,0),0)*'Master Data-C19RM'!$E$2))</f>
        <v>0</v>
      </c>
      <c r="AE218" s="441"/>
      <c r="AF218" s="441"/>
      <c r="AG218" s="441"/>
      <c r="AH218" s="441"/>
      <c r="AI218" s="512">
        <f t="shared" si="19"/>
        <v>0</v>
      </c>
      <c r="AJ218" s="513">
        <f>IF(SETUP!$E$7="USD",(AI218*(IF(O218="USD",AD218,(AD218/'Master Data-C19RM'!$E$2)))),(AI218*(IF(O218="EUR",AD218,(AD218*'Master Data-C19RM'!$E$2)))))</f>
        <v>0</v>
      </c>
      <c r="AK218" s="444">
        <f>IF($O218="USD",_xlfn.IFNA(VLOOKUP($A218&amp;$E218&amp;$I218,PMsheet!$J:$K,2,0),0),(_xlfn.IFNA(VLOOKUP($A218&amp;$E218&amp;$I218,PMsheet!$J:$K,2,0),0)*'Master Data-C19RM'!$F$2))</f>
        <v>0</v>
      </c>
      <c r="AL218" s="441"/>
      <c r="AM218" s="441"/>
      <c r="AN218" s="441"/>
      <c r="AO218" s="441"/>
      <c r="AP218" s="512">
        <f t="shared" si="20"/>
        <v>0</v>
      </c>
      <c r="AQ218" s="513">
        <f>IF(SETUP!$E$7="USD",(AP218*(IF(O218="USD",AK218,(AK218/'Master Data-C19RM'!$F$2)))),(AP218*(IF(O218="EUR",AK218,(AK218*'Master Data-C19RM'!$F$2)))))</f>
        <v>0</v>
      </c>
      <c r="AR218" s="924">
        <f>IF($O218="USD",_xlfn.IFNA(VLOOKUP($A218&amp;$E218&amp;$I218,PMsheet!$J:$K,2,0),0),(_xlfn.IFNA(VLOOKUP($A218&amp;$E218&amp;$I218,PMsheet!$J:$K,2,0),0)*'Master Data-C19RM'!$G$2))</f>
        <v>0</v>
      </c>
      <c r="AS218" s="572"/>
      <c r="AT218" s="572"/>
      <c r="AU218" s="572"/>
      <c r="AV218" s="572"/>
      <c r="AW218" s="512">
        <f t="shared" si="24"/>
        <v>0</v>
      </c>
      <c r="AX218" s="513">
        <f>IF(SETUP!$E$7="USD",(AW218*(IF(O218="USD",AR218,(AR218/'Master Data-C19RM'!$G$2)))),(AW218*(IF(O218="EUR",AR218,(AR218*'Master Data-C19RM'!$G$2)))))</f>
        <v>0</v>
      </c>
      <c r="AY218" s="845"/>
      <c r="AZ218" s="846"/>
      <c r="BA218" s="846"/>
      <c r="BB218" s="846"/>
      <c r="BC218" s="846"/>
      <c r="BD218" s="846"/>
      <c r="BE218" s="847"/>
      <c r="BF218" s="512">
        <f>'C19RM 2021-Lab &amp; Other HPS'!$U218+'C19RM 2021-Lab &amp; Other HPS'!$AB218+'C19RM 2021-Lab &amp; Other HPS'!$AP218+'C19RM 2021-Lab &amp; Other HPS'!$AI218+AW218+BD218</f>
        <v>0</v>
      </c>
      <c r="BG218" s="512">
        <f>'C19RM 2021-Lab &amp; Other HPS'!$V218+'C19RM 2021-Lab &amp; Other HPS'!$AC218+'C19RM 2021-Lab &amp; Other HPS'!$AQ218+'C19RM 2021-Lab &amp; Other HPS'!$AJ218+AX218+BE218</f>
        <v>0</v>
      </c>
      <c r="BH218" s="500" t="str" cm="1">
        <f t="array" ref="BH218">IF(A218&lt;&gt;"",IFERROR(INDEX(PMtbl[[WKst]:[Unit of measure*]],MATCH($A$115&amp;$A218&amp;$E218&amp;$I218,INDEX(PMtbl[Sec]&amp;PMtbl[Category]&amp;PMtbl[Each]&amp;PMtbl[Packaging],0,),0),11),""),"")</f>
        <v/>
      </c>
      <c r="BI218" s="819"/>
      <c r="BJ218" s="502" t="str" cm="1">
        <f t="array" ref="BJ218">IFERROR(INDEX(SETUP!$C$19:$G$121,MATCH((INDEX(PMtbl[[WKst]:[Unit of measure*]],MATCH($A218&amp;$E218&amp;$I218,INDEX(PMtbl[Category]&amp;PMtbl[Each]&amp;PMtbl[Packaging],0,),0),3)),SETUP!$D$19:$D$121,0),5),"")</f>
        <v/>
      </c>
      <c r="BK218" s="542"/>
      <c r="BL218" s="214"/>
      <c r="BO218" s="12">
        <f>IF(N218="",0,IF(SETUP!$E$7="USD",((IF(O218="USD",P218,(P218/'Master Data-C19RM'!$C$2)))),((IF(O218="EUR",P218,(P218*'Master Data-C19RM'!$C$2))))))</f>
        <v>0</v>
      </c>
      <c r="BP218" s="12">
        <f>IF(N218="",0,IF(SETUP!$E$7="USD",((IF(O218="USD",W218,(W218/'Master Data-C19RM'!$D$2)))),((IF(O218="EUR",W218,(W218*'Master Data-C19RM'!$D$2))))))</f>
        <v>0</v>
      </c>
      <c r="BQ218">
        <f>IF(N218="",0,IF(SETUP!$E$7="USD",((IF(O218="USD",AD218,(AD218/'Master Data-C19RM'!$E$2)))),((IF(O218="EUR",AD218,(AD218*'Master Data-C19RM'!$E$2))))))</f>
        <v>0</v>
      </c>
      <c r="BR218">
        <f>IF(N218="",0,IF(SETUP!$E$7="USD",((IF(O218="USD",AK218,(AK218/'Master Data-C19RM'!$F$2)))),((IF(O218="EUR",AK218,(AK218*'Master Data-C19RM'!$F$2))))))</f>
        <v>0</v>
      </c>
      <c r="BS218">
        <f>IF(N218="",0,IF(SETUP!$E$7="USD",((IF(O218="USD",AR218,(AR218/'Master Data-C19RM'!$G$2)))),((IF(O218="EUR",AR218,(AR218*'Master Data-C19RM'!$G$2))))))</f>
        <v>0</v>
      </c>
      <c r="BT218">
        <f>IF(N218="",0,IF(SETUP!$E$7="USD",((IF(O218="USD",AY218,(AY218/'Master Data-C19RM'!$H$2)))),((IF(O218="EUR",AY218,(AY218*'Master Data-C19RM'!$H$2))))))</f>
        <v>0</v>
      </c>
      <c r="BU218" s="12">
        <f t="shared" si="25"/>
        <v>0</v>
      </c>
      <c r="BV218" s="142">
        <f t="shared" si="26"/>
        <v>0</v>
      </c>
    </row>
    <row r="219" spans="1:74" x14ac:dyDescent="0.35">
      <c r="A219" s="1192"/>
      <c r="B219" s="1192"/>
      <c r="C219" s="1192"/>
      <c r="D219" s="1192"/>
      <c r="E219" s="1173"/>
      <c r="F219" s="1173"/>
      <c r="G219" s="1173"/>
      <c r="H219" s="1173"/>
      <c r="I219" s="1173"/>
      <c r="J219" s="1173"/>
      <c r="K219" s="1173"/>
      <c r="L219" s="493" t="str" cm="1">
        <f t="array" ref="L219">IF(A219&lt;&gt;"",IFERROR(INDEX(PMtbl[[WKst]:[Unit of measure*]],MATCH($A$115&amp;$A219&amp;$E219&amp;$I219,INDEX(PMtbl[Sec]&amp;PMtbl[Category]&amp;PMtbl[Each]&amp;PMtbl[Packaging],0,),0),14),""),"")</f>
        <v/>
      </c>
      <c r="M219" s="480" t="str">
        <f>IF(L219="","",INDEX(SETUP!$E$20:$E$122,(MATCH(INDEX(PMsheet!$D:$E,MATCH(A219,PMsheet!E:E,0),1),SETUP!$D$20:$D$122,0))))</f>
        <v/>
      </c>
      <c r="N219" s="494">
        <f>IF($O219="USD",_xlfn.IFNA(VLOOKUP(A219&amp;E219&amp;I219,PMsheet!J:K,2,0),0),(_xlfn.IFNA(VLOOKUP(A219&amp;E219&amp;I219,PMsheet!J:K,2,0),0)*'Master Data-C19RM'!$C$2))</f>
        <v>0</v>
      </c>
      <c r="O219" s="495" t="str">
        <f>IF(L219="", "",SETUP!$E$7)</f>
        <v/>
      </c>
      <c r="P219" s="457">
        <f>IF($O219="USD",_xlfn.IFNA(VLOOKUP($A219&amp;$E219&amp;$I219,PMsheet!$J:$K,2,0),0),(_xlfn.IFNA(VLOOKUP($A219&amp;$E219&amp;$I219,PMsheet!$J:$K,2,0),0)*'Master Data-C19RM'!$C$2))</f>
        <v>0</v>
      </c>
      <c r="Q219" s="440"/>
      <c r="R219" s="440"/>
      <c r="S219" s="440"/>
      <c r="T219" s="440"/>
      <c r="U219" s="482">
        <f t="shared" si="17"/>
        <v>0</v>
      </c>
      <c r="V219" s="484">
        <f>IF(SETUP!$E$7="USD",(U219*(IF(O219="USD",P219,(P219/'Master Data-C19RM'!$C$2)))),(U219*(IF(O219="EUR",P219,(P219*'Master Data-C19RM'!$C$2)))))</f>
        <v>0</v>
      </c>
      <c r="W219" s="445">
        <f>IF($O219="USD",_xlfn.IFNA(VLOOKUP($A219&amp;$E219&amp;$I219,PMsheet!$J:$K,2,0),0),(_xlfn.IFNA(VLOOKUP($A219&amp;$E219&amp;$I219,PMsheet!$J:$K,2,0),0)*'Master Data-C19RM'!$D$2))</f>
        <v>0</v>
      </c>
      <c r="X219" s="440"/>
      <c r="Y219" s="440"/>
      <c r="Z219" s="440"/>
      <c r="AA219" s="440"/>
      <c r="AB219" s="482">
        <f t="shared" si="18"/>
        <v>0</v>
      </c>
      <c r="AC219" s="484">
        <f>IF(SETUP!$E$7="USD",(AB219*(IF(O219="USD",W219,(W219/'Master Data-C19RM'!$D$2)))),(AB219*(IF(O219="EUR",W219,(W219*'Master Data-C19RM'!$D$2)))))</f>
        <v>0</v>
      </c>
      <c r="AD219" s="445">
        <f>IF($O219="USD",_xlfn.IFNA(VLOOKUP($A219&amp;$E219&amp;$I219,PMsheet!$J:$K,2,0),0),(_xlfn.IFNA(VLOOKUP($A219&amp;$E219&amp;$I219,PMsheet!$J:$K,2,0),0)*'Master Data-C19RM'!$E$2))</f>
        <v>0</v>
      </c>
      <c r="AE219" s="440"/>
      <c r="AF219" s="440"/>
      <c r="AG219" s="440"/>
      <c r="AH219" s="440"/>
      <c r="AI219" s="514">
        <f t="shared" si="19"/>
        <v>0</v>
      </c>
      <c r="AJ219" s="515">
        <f>IF(SETUP!$E$7="USD",(AI219*(IF(O219="USD",AD219,(AD219/'Master Data-C19RM'!$E$2)))),(AI219*(IF(O219="EUR",AD219,(AD219*'Master Data-C19RM'!$E$2)))))</f>
        <v>0</v>
      </c>
      <c r="AK219" s="445">
        <f>IF($O219="USD",_xlfn.IFNA(VLOOKUP($A219&amp;$E219&amp;$I219,PMsheet!$J:$K,2,0),0),(_xlfn.IFNA(VLOOKUP($A219&amp;$E219&amp;$I219,PMsheet!$J:$K,2,0),0)*'Master Data-C19RM'!$F$2))</f>
        <v>0</v>
      </c>
      <c r="AL219" s="440"/>
      <c r="AM219" s="440"/>
      <c r="AN219" s="440"/>
      <c r="AO219" s="440"/>
      <c r="AP219" s="514">
        <f t="shared" si="20"/>
        <v>0</v>
      </c>
      <c r="AQ219" s="515">
        <f>IF(SETUP!$E$7="USD",(AP219*(IF(O219="USD",AK219,(AK219/'Master Data-C19RM'!$F$2)))),(AP219*(IF(O219="EUR",AK219,(AK219*'Master Data-C19RM'!$F$2)))))</f>
        <v>0</v>
      </c>
      <c r="AR219" s="925">
        <f>IF($O219="USD",_xlfn.IFNA(VLOOKUP($A219&amp;$E219&amp;$I219,PMsheet!$J:$K,2,0),0),(_xlfn.IFNA(VLOOKUP($A219&amp;$E219&amp;$I219,PMsheet!$J:$K,2,0),0)*'Master Data-C19RM'!$G$2))</f>
        <v>0</v>
      </c>
      <c r="AS219" s="926"/>
      <c r="AT219" s="926"/>
      <c r="AU219" s="926"/>
      <c r="AV219" s="926"/>
      <c r="AW219" s="514">
        <f t="shared" si="24"/>
        <v>0</v>
      </c>
      <c r="AX219" s="515">
        <f>IF(SETUP!$E$7="USD",(AW219*(IF(O219="USD",AR219,(AR219/'Master Data-C19RM'!$G$2)))),(AW219*(IF(O219="EUR",AR219,(AR219*'Master Data-C19RM'!$G$2)))))</f>
        <v>0</v>
      </c>
      <c r="AY219" s="845"/>
      <c r="AZ219" s="846"/>
      <c r="BA219" s="846"/>
      <c r="BB219" s="846"/>
      <c r="BC219" s="846"/>
      <c r="BD219" s="846"/>
      <c r="BE219" s="847"/>
      <c r="BF219" s="514">
        <f>'C19RM 2021-Lab &amp; Other HPS'!$U219+'C19RM 2021-Lab &amp; Other HPS'!$AB219+'C19RM 2021-Lab &amp; Other HPS'!$AP219+'C19RM 2021-Lab &amp; Other HPS'!$AI219+AW219+BD219</f>
        <v>0</v>
      </c>
      <c r="BG219" s="514">
        <f>'C19RM 2021-Lab &amp; Other HPS'!$V219+'C19RM 2021-Lab &amp; Other HPS'!$AC219+'C19RM 2021-Lab &amp; Other HPS'!$AQ219+'C19RM 2021-Lab &amp; Other HPS'!$AJ219+AX219+BE219</f>
        <v>0</v>
      </c>
      <c r="BH219" s="522" t="str" cm="1">
        <f t="array" ref="BH219">IF(A219&lt;&gt;"",IFERROR(INDEX(PMtbl[[WKst]:[Unit of measure*]],MATCH($A$115&amp;$A219&amp;$E219&amp;$I219,INDEX(PMtbl[Sec]&amp;PMtbl[Category]&amp;PMtbl[Each]&amp;PMtbl[Packaging],0,),0),11),""),"")</f>
        <v/>
      </c>
      <c r="BI219" s="818"/>
      <c r="BJ219" s="503" t="str" cm="1">
        <f t="array" ref="BJ219">IFERROR(INDEX(SETUP!$C$19:$G$121,MATCH((INDEX(PMtbl[[WKst]:[Unit of measure*]],MATCH($A219&amp;$E219&amp;$I219,INDEX(PMtbl[Category]&amp;PMtbl[Each]&amp;PMtbl[Packaging],0,),0),3)),SETUP!$D$19:$D$121,0),5),"")</f>
        <v/>
      </c>
      <c r="BK219" s="543" t="str" cm="1">
        <f t="array" ref="BK219">IFERROR(IF((INDEX(SETUP!$C$19:$G$121,MATCH((INDEX(PMtbl[[WKst]:[Unit of measure*]],MATCH($A219&amp;$E219&amp;$I219,INDEX(PMtbl[Category]&amp;PMtbl[Each]&amp;PMtbl[Packaging],0,),0),3)),SETUP!$D$19:$D$121,0),4))="Upfront",0,INDEX(SETUP!$C$19:$G$121,MATCH((INDEX(PMtbl[[WKst]:[Unit of measure*]],MATCH($A219&amp;$E219&amp;$I219,INDEX(PMtbl[Category]&amp;PMtbl[Each]&amp;PMtbl[Packaging],0,),0),3)),SETUP!$D$19:$D$121,0),5)),"")</f>
        <v/>
      </c>
      <c r="BL219" s="215" t="str" cm="1">
        <f t="array" ref="BL219">IF(E219&lt;&gt;"",IFERROR(INDEX(PMtbl[[WKst]:[Unit of measure*]],MATCH($A$115&amp;$A219&amp;$E219&amp;$I219,INDEX(PMtbl[Sec]&amp;PMtbl[Category]&amp;PMtbl[Each]&amp;PMtbl[Packaging],0,),0),11),""),"")</f>
        <v/>
      </c>
      <c r="BO219" s="12">
        <f>IF(N219="",0,IF(SETUP!$E$7="USD",((IF(O219="USD",P219,(P219/'Master Data-C19RM'!$C$2)))),((IF(O219="EUR",P219,(P219*'Master Data-C19RM'!$C$2))))))</f>
        <v>0</v>
      </c>
      <c r="BP219" s="12">
        <f>IF(N219="",0,IF(SETUP!$E$7="USD",((IF(O219="USD",W219,(W219/'Master Data-C19RM'!$D$2)))),((IF(O219="EUR",W219,(W219*'Master Data-C19RM'!$D$2))))))</f>
        <v>0</v>
      </c>
      <c r="BQ219">
        <f>IF(N219="",0,IF(SETUP!$E$7="USD",((IF(O219="USD",AD219,(AD219/'Master Data-C19RM'!$E$2)))),((IF(O219="EUR",AD219,(AD219*'Master Data-C19RM'!$E$2))))))</f>
        <v>0</v>
      </c>
      <c r="BR219">
        <f>IF(N219="",0,IF(SETUP!$E$7="USD",((IF(O219="USD",AK219,(AK219/'Master Data-C19RM'!$F$2)))),((IF(O219="EUR",AK219,(AK219*'Master Data-C19RM'!$F$2))))))</f>
        <v>0</v>
      </c>
      <c r="BS219">
        <f>IF(N219="",0,IF(SETUP!$E$7="USD",((IF(O219="USD",AR219,(AR219/'Master Data-C19RM'!$G$2)))),((IF(O219="EUR",AR219,(AR219*'Master Data-C19RM'!$G$2))))))</f>
        <v>0</v>
      </c>
      <c r="BT219">
        <f>IF(N219="",0,IF(SETUP!$E$7="USD",((IF(O219="USD",AY219,(AY219/'Master Data-C19RM'!$H$2)))),((IF(O219="EUR",AY219,(AY219*'Master Data-C19RM'!$H$2))))))</f>
        <v>0</v>
      </c>
      <c r="BU219" s="12">
        <f t="shared" si="15"/>
        <v>0</v>
      </c>
      <c r="BV219" s="142">
        <f t="shared" si="16"/>
        <v>0</v>
      </c>
    </row>
    <row r="220" spans="1:74" ht="15" thickBot="1" x14ac:dyDescent="0.4">
      <c r="A220" s="1180"/>
      <c r="B220" s="1180"/>
      <c r="C220" s="1180"/>
      <c r="D220" s="1180"/>
      <c r="E220" s="1181"/>
      <c r="F220" s="1181"/>
      <c r="G220" s="1181"/>
      <c r="H220" s="1181"/>
      <c r="I220" s="1181"/>
      <c r="J220" s="1181"/>
      <c r="K220" s="1181"/>
      <c r="L220" s="506" t="str" cm="1">
        <f t="array" ref="L220">IF(A220&lt;&gt;"",IFERROR(INDEX(PMtbl[[WKst]:[Unit of measure*]],MATCH($A$115&amp;$A220&amp;$E220&amp;$I220,INDEX(PMtbl[Sec]&amp;PMtbl[Category]&amp;PMtbl[Each]&amp;PMtbl[Packaging],0,),0),14),""),"")</f>
        <v/>
      </c>
      <c r="M220" s="507" t="str">
        <f>IF(L220="","",INDEX(SETUP!$E$20:$E$122,(MATCH(INDEX(PMsheet!$D:$E,MATCH(A220,PMsheet!E:E,0),1),SETUP!$D$20:$D$122,0))))</f>
        <v/>
      </c>
      <c r="N220" s="528">
        <f>IF($O220="USD",_xlfn.IFNA(VLOOKUP(A220&amp;E220&amp;I220,PMsheet!J:K,2,0),0),(_xlfn.IFNA(VLOOKUP(A220&amp;E220&amp;I220,PMsheet!J:K,2,0),0)*'Master Data-C19RM'!$C$2))</f>
        <v>0</v>
      </c>
      <c r="O220" s="509" t="str">
        <f>IF(L220="", "",SETUP!$E$7)</f>
        <v/>
      </c>
      <c r="P220" s="458">
        <f>IF($O220="USD",_xlfn.IFNA(VLOOKUP($A220&amp;$E220&amp;$I220,PMsheet!$J:$K,2,0),0),(_xlfn.IFNA(VLOOKUP($A220&amp;$E220&amp;$I220,PMsheet!$J:$K,2,0),0)*'Master Data-C19RM'!$C$2))</f>
        <v>0</v>
      </c>
      <c r="Q220" s="459"/>
      <c r="R220" s="459"/>
      <c r="S220" s="459"/>
      <c r="T220" s="459"/>
      <c r="U220" s="510">
        <f t="shared" si="17"/>
        <v>0</v>
      </c>
      <c r="V220" s="511">
        <f>IF(SETUP!$E$7="USD",(U220*(IF(O220="USD",P220,(P220/'Master Data-C19RM'!$C$2)))),(U220*(IF(O220="EUR",P220,(P220*'Master Data-C19RM'!$C$2)))))</f>
        <v>0</v>
      </c>
      <c r="W220" s="460">
        <f>IF($O220="USD",_xlfn.IFNA(VLOOKUP($A220&amp;$E220&amp;$I220,PMsheet!$J:$K,2,0),0),(_xlfn.IFNA(VLOOKUP($A220&amp;$E220&amp;$I220,PMsheet!$J:$K,2,0),0)*'Master Data-C19RM'!$D$2))</f>
        <v>0</v>
      </c>
      <c r="X220" s="459"/>
      <c r="Y220" s="459"/>
      <c r="Z220" s="459"/>
      <c r="AA220" s="459"/>
      <c r="AB220" s="510">
        <f t="shared" si="18"/>
        <v>0</v>
      </c>
      <c r="AC220" s="511">
        <f>IF(SETUP!$E$7="USD",(AB220*(IF(O220="USD",W220,(W220/'Master Data-C19RM'!$D$2)))),(AB220*(IF(O220="EUR",W220,(W220*'Master Data-C19RM'!$D$2)))))</f>
        <v>0</v>
      </c>
      <c r="AD220" s="460">
        <f>IF($O220="USD",_xlfn.IFNA(VLOOKUP($A220&amp;$E220&amp;$I220,PMsheet!$J:$K,2,0),0),(_xlfn.IFNA(VLOOKUP($A220&amp;$E220&amp;$I220,PMsheet!$J:$K,2,0),0)*'Master Data-C19RM'!$E$2))</f>
        <v>0</v>
      </c>
      <c r="AE220" s="459"/>
      <c r="AF220" s="459"/>
      <c r="AG220" s="459"/>
      <c r="AH220" s="459"/>
      <c r="AI220" s="516">
        <f t="shared" si="19"/>
        <v>0</v>
      </c>
      <c r="AJ220" s="517">
        <f>IF(SETUP!$E$7="USD",(AI220*(IF(O220="USD",AD220,(AD220/'Master Data-C19RM'!$E$2)))),(AI220*(IF(O220="EUR",AD220,(AD220*'Master Data-C19RM'!$E$2)))))</f>
        <v>0</v>
      </c>
      <c r="AK220" s="460">
        <f>IF($O220="USD",_xlfn.IFNA(VLOOKUP($A220&amp;$E220&amp;$I220,PMsheet!$J:$K,2,0),0),(_xlfn.IFNA(VLOOKUP($A220&amp;$E220&amp;$I220,PMsheet!$J:$K,2,0),0)*'Master Data-C19RM'!$F$2))</f>
        <v>0</v>
      </c>
      <c r="AL220" s="459"/>
      <c r="AM220" s="459"/>
      <c r="AN220" s="459"/>
      <c r="AO220" s="459"/>
      <c r="AP220" s="516">
        <f t="shared" si="20"/>
        <v>0</v>
      </c>
      <c r="AQ220" s="517">
        <f>IF(SETUP!$E$7="USD",(AP220*(IF(O220="USD",AK220,(AK220/'Master Data-C19RM'!$F$2)))),(AP220*(IF(O220="EUR",AK220,(AK220*'Master Data-C19RM'!$F$2)))))</f>
        <v>0</v>
      </c>
      <c r="AR220" s="927">
        <f>IF($O220="USD",_xlfn.IFNA(VLOOKUP($A220&amp;$E220&amp;$I220,PMsheet!$J:$K,2,0),0),(_xlfn.IFNA(VLOOKUP($A220&amp;$E220&amp;$I220,PMsheet!$J:$K,2,0),0)*'Master Data-C19RM'!$G$2))</f>
        <v>0</v>
      </c>
      <c r="AS220" s="840"/>
      <c r="AT220" s="840"/>
      <c r="AU220" s="840"/>
      <c r="AV220" s="840"/>
      <c r="AW220" s="516">
        <f t="shared" si="24"/>
        <v>0</v>
      </c>
      <c r="AX220" s="517">
        <f>IF(SETUP!$E$7="USD",(AW220*(IF(O220="USD",AR220,(AR220/'Master Data-C19RM'!$G$2)))),(AW220*(IF(O220="EUR",AR220,(AR220*'Master Data-C19RM'!$G$2)))))</f>
        <v>0</v>
      </c>
      <c r="AY220" s="848"/>
      <c r="AZ220" s="849"/>
      <c r="BA220" s="849"/>
      <c r="BB220" s="849"/>
      <c r="BC220" s="849"/>
      <c r="BD220" s="849"/>
      <c r="BE220" s="850"/>
      <c r="BF220" s="516">
        <f>'C19RM 2021-Lab &amp; Other HPS'!$U220+'C19RM 2021-Lab &amp; Other HPS'!$AB220+'C19RM 2021-Lab &amp; Other HPS'!$AP220+'C19RM 2021-Lab &amp; Other HPS'!$AI220+AW220+BD220</f>
        <v>0</v>
      </c>
      <c r="BG220" s="516">
        <f>'C19RM 2021-Lab &amp; Other HPS'!$V220+'C19RM 2021-Lab &amp; Other HPS'!$AC220+'C19RM 2021-Lab &amp; Other HPS'!$AQ220+'C19RM 2021-Lab &amp; Other HPS'!$AJ220+AX220+BE220</f>
        <v>0</v>
      </c>
      <c r="BH220" s="524" t="str" cm="1">
        <f t="array" ref="BH220">IF(A220&lt;&gt;"",IFERROR(INDEX(PMtbl[[WKst]:[Unit of measure*]],MATCH($A$115&amp;$A220&amp;$E220&amp;$I220,INDEX(PMtbl[Sec]&amp;PMtbl[Category]&amp;PMtbl[Each]&amp;PMtbl[Packaging],0,),0),11),""),"")</f>
        <v/>
      </c>
      <c r="BI220" s="821"/>
      <c r="BJ220" s="527" t="str" cm="1">
        <f t="array" ref="BJ220">IFERROR(INDEX(SETUP!$C$19:$G$121,MATCH((INDEX(PMtbl[[WKst]:[Unit of measure*]],MATCH($A220&amp;$E220&amp;$I220,INDEX(PMtbl[Category]&amp;PMtbl[Each]&amp;PMtbl[Packaging],0,),0),3)),SETUP!$D$19:$D$121,0),5),"")</f>
        <v/>
      </c>
      <c r="BK220" s="542" t="str" cm="1">
        <f t="array" ref="BK220">IFERROR(IF((INDEX(SETUP!$C$19:$G$121,MATCH((INDEX(PMtbl[[WKst]:[Unit of measure*]],MATCH($A220&amp;$E220&amp;$I220,INDEX(PMtbl[Category]&amp;PMtbl[Each]&amp;PMtbl[Packaging],0,),0),3)),SETUP!$D$19:$D$121,0),4))="Upfront",0,INDEX(SETUP!$C$19:$G$121,MATCH((INDEX(PMtbl[[WKst]:[Unit of measure*]],MATCH($A220&amp;$E220&amp;$I220,INDEX(PMtbl[Category]&amp;PMtbl[Each]&amp;PMtbl[Packaging],0,),0),3)),SETUP!$D$19:$D$121,0),5)),"")</f>
        <v/>
      </c>
      <c r="BL220" s="214" t="str" cm="1">
        <f t="array" ref="BL220">IF(E220&lt;&gt;"",IFERROR(INDEX(PMtbl[[WKst]:[Unit of measure*]],MATCH($A$115&amp;$A220&amp;$E220&amp;$I220,INDEX(PMtbl[Sec]&amp;PMtbl[Category]&amp;PMtbl[Each]&amp;PMtbl[Packaging],0,),0),11),""),"")</f>
        <v/>
      </c>
      <c r="BO220" s="12">
        <f>IF(N220="",0,IF(SETUP!$E$7="USD",((IF(O220="USD",P220,(P220/'Master Data-C19RM'!$C$2)))),((IF(O220="EUR",P220,(P220*'Master Data-C19RM'!$C$2))))))</f>
        <v>0</v>
      </c>
      <c r="BP220" s="12">
        <f>IF(N220="",0,IF(SETUP!$E$7="USD",((IF(O220="USD",W220,(W220/'Master Data-C19RM'!$D$2)))),((IF(O220="EUR",W220,(W220*'Master Data-C19RM'!$D$2))))))</f>
        <v>0</v>
      </c>
      <c r="BQ220">
        <f>IF(N220="",0,IF(SETUP!$E$7="USD",((IF(O220="USD",AD220,(AD220/'Master Data-C19RM'!$E$2)))),((IF(O220="EUR",AD220,(AD220*'Master Data-C19RM'!$E$2))))))</f>
        <v>0</v>
      </c>
      <c r="BR220">
        <f>IF(N220="",0,IF(SETUP!$E$7="USD",((IF(O220="USD",AK220,(AK220/'Master Data-C19RM'!$F$2)))),((IF(O220="EUR",AK220,(AK220*'Master Data-C19RM'!$F$2))))))</f>
        <v>0</v>
      </c>
      <c r="BS220">
        <f>IF(N220="",0,IF(SETUP!$E$7="USD",((IF(O220="USD",AR220,(AR220/'Master Data-C19RM'!$G$2)))),((IF(O220="EUR",AR220,(AR220*'Master Data-C19RM'!$G$2))))))</f>
        <v>0</v>
      </c>
      <c r="BT220">
        <f>IF(N220="",0,IF(SETUP!$E$7="USD",((IF(O220="USD",AY220,(AY220/'Master Data-C19RM'!$H$2)))),((IF(O220="EUR",AY220,(AY220*'Master Data-C19RM'!$H$2))))))</f>
        <v>0</v>
      </c>
      <c r="BU220" s="12">
        <f t="shared" si="15"/>
        <v>0</v>
      </c>
      <c r="BV220" s="142">
        <f t="shared" si="16"/>
        <v>0</v>
      </c>
    </row>
    <row r="221" spans="1:74" ht="15" thickBot="1" x14ac:dyDescent="0.4">
      <c r="C221" s="53" t="s">
        <v>134</v>
      </c>
      <c r="AD221" s="191"/>
      <c r="AK221" s="19"/>
      <c r="AL221" s="19"/>
      <c r="AM221" s="19"/>
      <c r="AN221" s="19"/>
      <c r="AO221" s="19"/>
    </row>
    <row r="222" spans="1:74" ht="24" customHeight="1" thickBot="1" x14ac:dyDescent="0.4">
      <c r="A222" s="1140">
        <v>3</v>
      </c>
      <c r="B222" s="1142" t="s">
        <v>3032</v>
      </c>
      <c r="C222" s="1142"/>
      <c r="D222" s="1134" t="s">
        <v>3194</v>
      </c>
      <c r="E222" s="1134"/>
      <c r="F222" s="1134"/>
      <c r="G222" s="1135"/>
      <c r="H222"/>
      <c r="I222"/>
      <c r="J222"/>
      <c r="K222"/>
      <c r="L222"/>
      <c r="O222" s="1145" t="str">
        <f>CONCATENATE(J7," ",SETUP!E7)</f>
        <v xml:space="preserve">Total Amount in </v>
      </c>
      <c r="P222" s="532" t="s">
        <v>125</v>
      </c>
      <c r="Q222" s="532" t="s">
        <v>126</v>
      </c>
      <c r="R222" s="532" t="s">
        <v>127</v>
      </c>
      <c r="S222" s="532" t="s">
        <v>128</v>
      </c>
      <c r="T222" s="532" t="s">
        <v>661</v>
      </c>
      <c r="U222" s="533" t="s">
        <v>129</v>
      </c>
      <c r="V222" s="17"/>
      <c r="W222" s="17"/>
      <c r="X222" s="17"/>
      <c r="Y222" s="17"/>
      <c r="Z222" s="17"/>
      <c r="AA222" s="17"/>
      <c r="AB222" s="17"/>
      <c r="AC222" s="17"/>
      <c r="AD222" s="191"/>
      <c r="AE222" s="17"/>
      <c r="AF222" s="17"/>
      <c r="AG222" s="17"/>
      <c r="AH222" s="17"/>
      <c r="AI222" s="52"/>
      <c r="AJ222" s="43"/>
      <c r="AK222" s="17"/>
      <c r="AL222" s="17"/>
      <c r="AM222" s="17"/>
      <c r="AN222" s="17"/>
      <c r="AO222" s="17"/>
      <c r="AP222" s="52"/>
      <c r="AQ222" s="43"/>
      <c r="BK222" s="12"/>
    </row>
    <row r="223" spans="1:74" ht="31" customHeight="1" thickBot="1" x14ac:dyDescent="0.4">
      <c r="A223" s="1141"/>
      <c r="B223" s="1143"/>
      <c r="C223" s="1143"/>
      <c r="D223" s="1194"/>
      <c r="E223" s="1194"/>
      <c r="F223" s="1194"/>
      <c r="G223" s="1195"/>
      <c r="H223"/>
      <c r="I223"/>
      <c r="J223"/>
      <c r="K223"/>
      <c r="L223"/>
      <c r="O223" s="1146"/>
      <c r="P223" s="534">
        <f>SUM(V228:V327)</f>
        <v>0</v>
      </c>
      <c r="Q223" s="534">
        <f>SUM(AC228:AC327)</f>
        <v>0</v>
      </c>
      <c r="R223" s="534">
        <f>SUM(AJ228:AJ327)</f>
        <v>0</v>
      </c>
      <c r="S223" s="534">
        <f>SUM(AQ228:AQ327)</f>
        <v>0</v>
      </c>
      <c r="T223" s="534">
        <f>SUM(AX228:AX327)</f>
        <v>0</v>
      </c>
      <c r="U223" s="535">
        <f>SUM(P223:T223)</f>
        <v>0</v>
      </c>
      <c r="V223" s="17"/>
      <c r="W223" s="17"/>
      <c r="X223" s="17"/>
      <c r="Y223" s="17"/>
      <c r="Z223" s="17"/>
      <c r="AA223" s="17"/>
      <c r="AB223" s="17"/>
      <c r="AC223" s="17"/>
      <c r="AD223" s="17"/>
      <c r="AE223" s="17"/>
      <c r="AF223" s="17"/>
      <c r="AG223" s="17"/>
      <c r="AH223" s="17"/>
      <c r="AI223" s="52"/>
      <c r="AJ223" s="43"/>
      <c r="AK223" s="17"/>
      <c r="AL223" s="17"/>
      <c r="AM223" s="17"/>
      <c r="AN223" s="17"/>
      <c r="AO223" s="17"/>
      <c r="AP223" s="52"/>
      <c r="AQ223" s="43"/>
      <c r="BK223" s="12"/>
    </row>
    <row r="224" spans="1:74" ht="218.5" customHeight="1" thickBot="1" x14ac:dyDescent="0.4">
      <c r="A224"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224" s="1148"/>
      <c r="C224" s="1148"/>
      <c r="D224" s="1148"/>
      <c r="E224" s="1148"/>
      <c r="F224" s="1148"/>
      <c r="G224" s="1148"/>
      <c r="H224" s="1148"/>
      <c r="I224" s="1148"/>
      <c r="J224" s="1148"/>
      <c r="K224" s="1148"/>
      <c r="L224" s="1148"/>
      <c r="M224" s="1148"/>
      <c r="N224" s="1148"/>
      <c r="O224" s="1149"/>
      <c r="P224" s="33"/>
      <c r="Q224" s="25"/>
      <c r="R224" s="25"/>
      <c r="S224" s="25"/>
      <c r="T224" s="25"/>
      <c r="U224" s="25"/>
      <c r="V224" s="25"/>
      <c r="W224" s="25"/>
      <c r="X224" s="25"/>
      <c r="Y224" s="25"/>
      <c r="Z224" s="25"/>
      <c r="AA224" s="25"/>
      <c r="AB224" s="25"/>
      <c r="AC224" s="25"/>
      <c r="AD224" s="25"/>
      <c r="AE224" s="25"/>
      <c r="AF224" s="25"/>
      <c r="AG224" s="26"/>
      <c r="AH224" s="26"/>
      <c r="AI224" s="150"/>
      <c r="AJ224" s="26"/>
      <c r="AK224" s="25"/>
      <c r="AL224" s="25"/>
      <c r="AM224" s="25"/>
      <c r="AN224" s="26"/>
      <c r="AO224" s="26"/>
      <c r="AP224" s="150"/>
      <c r="AQ224" s="26"/>
      <c r="BK224" s="12"/>
    </row>
    <row r="225" spans="1:94" s="448" customFormat="1" thickBot="1" x14ac:dyDescent="0.35">
      <c r="A225" s="549"/>
      <c r="B225" s="550"/>
      <c r="C225" s="551"/>
      <c r="D225" s="552"/>
      <c r="E225" s="552"/>
      <c r="F225" s="466"/>
      <c r="G225" s="466"/>
      <c r="H225" s="466"/>
      <c r="I225" s="466"/>
      <c r="J225" s="466"/>
      <c r="K225" s="466"/>
      <c r="L225" s="467"/>
      <c r="M225" s="467"/>
      <c r="N225" s="467"/>
      <c r="O225" s="468"/>
      <c r="P225" s="555" t="s">
        <v>130</v>
      </c>
      <c r="Q225" s="556" t="str">
        <f>Q118</f>
        <v>Jan21 - Mar21</v>
      </c>
      <c r="R225" s="556" t="str">
        <f>R118</f>
        <v>Apr21 - Jun21</v>
      </c>
      <c r="S225" s="556" t="str">
        <f>S118</f>
        <v>Jul21 - Sep21</v>
      </c>
      <c r="T225" s="557" t="str">
        <f>T118</f>
        <v>Oct21 - Dec21</v>
      </c>
      <c r="U225" s="553"/>
      <c r="V225" s="554"/>
      <c r="W225" s="555" t="s">
        <v>130</v>
      </c>
      <c r="X225" s="556" t="str">
        <f>X118</f>
        <v>Jan22 - Mar22</v>
      </c>
      <c r="Y225" s="556" t="str">
        <f>Y118</f>
        <v>Apr22 - Jun22</v>
      </c>
      <c r="Z225" s="556" t="str">
        <f>Z118</f>
        <v>Jul22 - Sep22</v>
      </c>
      <c r="AA225" s="557" t="str">
        <f>AA118</f>
        <v>Oct22 - Dec22</v>
      </c>
      <c r="AB225" s="553"/>
      <c r="AC225" s="554"/>
      <c r="AD225" s="555" t="s">
        <v>130</v>
      </c>
      <c r="AE225" s="556" t="str">
        <f>AE118</f>
        <v>Jan23 - Mar23</v>
      </c>
      <c r="AF225" s="556" t="str">
        <f>AF118</f>
        <v>Apr23 - Jun23</v>
      </c>
      <c r="AG225" s="556" t="str">
        <f>AG118</f>
        <v>Jul23 - Sep23</v>
      </c>
      <c r="AH225" s="557" t="str">
        <f>AH118</f>
        <v>Oct23 - Dec23</v>
      </c>
      <c r="AI225" s="553"/>
      <c r="AJ225" s="554"/>
      <c r="AK225" s="555" t="s">
        <v>130</v>
      </c>
      <c r="AL225" s="556" t="str">
        <f>AL118</f>
        <v>Jan24 - Mar24</v>
      </c>
      <c r="AM225" s="556" t="str">
        <f>AM118</f>
        <v>Apr24 - Jun24</v>
      </c>
      <c r="AN225" s="556" t="str">
        <f>AN118</f>
        <v>Jul24 - Sep24</v>
      </c>
      <c r="AO225" s="557" t="str">
        <f>AO118</f>
        <v>Oct24 - Dec24</v>
      </c>
      <c r="AP225" s="553"/>
      <c r="AQ225" s="554"/>
      <c r="AR225" s="555" t="s">
        <v>130</v>
      </c>
      <c r="AS225" s="838" t="str">
        <f>AS118</f>
        <v>Jan25 - Mar25</v>
      </c>
      <c r="AT225" s="838" t="str">
        <f>AT118</f>
        <v>Apr25 - Jun25</v>
      </c>
      <c r="AU225" s="838" t="str">
        <f>AU118</f>
        <v>Jul25 - Sep25</v>
      </c>
      <c r="AV225" s="880" t="str">
        <f>AV118</f>
        <v>Oct25 - Dec25</v>
      </c>
      <c r="AW225" s="554"/>
      <c r="AX225" s="554"/>
      <c r="AY225" s="555" t="s">
        <v>130</v>
      </c>
      <c r="AZ225" s="879" t="str">
        <f>AZ118</f>
        <v>-</v>
      </c>
      <c r="BA225" s="879" t="str">
        <f t="shared" ref="BA225:BC225" si="27">BA118</f>
        <v>-</v>
      </c>
      <c r="BB225" s="879" t="str">
        <f t="shared" si="27"/>
        <v>-</v>
      </c>
      <c r="BC225" s="880" t="str">
        <f t="shared" si="27"/>
        <v>-</v>
      </c>
      <c r="BD225" s="554"/>
      <c r="BE225" s="554"/>
      <c r="BP225" s="470"/>
      <c r="BQ225" s="470"/>
      <c r="BR225" s="470"/>
      <c r="BS225" s="470"/>
      <c r="BT225" s="470"/>
      <c r="BV225" s="470"/>
      <c r="BW225" s="470"/>
      <c r="BX225" s="470"/>
      <c r="BY225" s="470"/>
      <c r="BZ225" s="470"/>
      <c r="CA225" s="470"/>
      <c r="CB225" s="470"/>
      <c r="CC225" s="470"/>
      <c r="CD225" s="470"/>
      <c r="CE225" s="470"/>
      <c r="CF225" s="470"/>
      <c r="CG225" s="470"/>
      <c r="CH225" s="470"/>
      <c r="CI225" s="470"/>
      <c r="CJ225" s="470"/>
      <c r="CK225" s="470"/>
      <c r="CL225" s="470"/>
      <c r="CM225" s="470"/>
      <c r="CN225" s="470"/>
      <c r="CO225" s="470"/>
      <c r="CP225" s="470"/>
    </row>
    <row r="226" spans="1:94" s="219" customFormat="1" ht="15.75" customHeight="1" thickBot="1" x14ac:dyDescent="0.4">
      <c r="A226" s="1233" t="str">
        <f>A12</f>
        <v>Item Category</v>
      </c>
      <c r="B226" s="1233"/>
      <c r="C226" s="1233"/>
      <c r="D226" s="1233"/>
      <c r="E226" s="1233" t="str">
        <f>E12</f>
        <v>Product Details</v>
      </c>
      <c r="F226" s="1233"/>
      <c r="G226" s="1233"/>
      <c r="H226" s="1233"/>
      <c r="I226" s="1235" t="str">
        <f>I12</f>
        <v>Additional Details</v>
      </c>
      <c r="J226" s="1235"/>
      <c r="K226" s="1235"/>
      <c r="L226" s="1237" t="str">
        <f>L12</f>
        <v>Unit of measure</v>
      </c>
      <c r="M226" s="1239" t="str">
        <f>M12</f>
        <v>Procurement Channel</v>
      </c>
      <c r="N226" s="1239" t="str">
        <f>N12</f>
        <v>Reference Price (In Payment Currency)</v>
      </c>
      <c r="O226" s="1241" t="str">
        <f>O12</f>
        <v>Payment Currency</v>
      </c>
      <c r="P226" s="1205" t="str">
        <f>P12</f>
        <v>2021</v>
      </c>
      <c r="Q226" s="1206"/>
      <c r="R226" s="1206"/>
      <c r="S226" s="1206"/>
      <c r="T226" s="1206"/>
      <c r="U226" s="1206"/>
      <c r="V226" s="1207"/>
      <c r="W226" s="1205" t="str">
        <f>W12</f>
        <v>2022</v>
      </c>
      <c r="X226" s="1206"/>
      <c r="Y226" s="1206"/>
      <c r="Z226" s="1206"/>
      <c r="AA226" s="1206"/>
      <c r="AB226" s="1206"/>
      <c r="AC226" s="1207"/>
      <c r="AD226" s="1205" t="str">
        <f>AD12</f>
        <v>2023</v>
      </c>
      <c r="AE226" s="1206"/>
      <c r="AF226" s="1206"/>
      <c r="AG226" s="1206"/>
      <c r="AH226" s="1206"/>
      <c r="AI226" s="1206"/>
      <c r="AJ226" s="1207"/>
      <c r="AK226" s="1205" t="str">
        <f>AK12</f>
        <v>2024</v>
      </c>
      <c r="AL226" s="1206"/>
      <c r="AM226" s="1206"/>
      <c r="AN226" s="1206"/>
      <c r="AO226" s="1206"/>
      <c r="AP226" s="1206"/>
      <c r="AQ226" s="1207"/>
      <c r="AR226" s="1205" t="str">
        <f>AR12</f>
        <v>2025</v>
      </c>
      <c r="AS226" s="1206"/>
      <c r="AT226" s="1206"/>
      <c r="AU226" s="1206"/>
      <c r="AV226" s="1206"/>
      <c r="AW226" s="1206"/>
      <c r="AX226" s="1207"/>
      <c r="AY226" s="1205" t="str">
        <f>AY12</f>
        <v/>
      </c>
      <c r="AZ226" s="1206"/>
      <c r="BA226" s="1206"/>
      <c r="BB226" s="1206"/>
      <c r="BC226" s="1206"/>
      <c r="BD226" s="1206"/>
      <c r="BE226" s="1207"/>
      <c r="BF226" s="1249" t="str">
        <f>BF12</f>
        <v>Total grant period</v>
      </c>
      <c r="BG226" s="1250"/>
      <c r="BH226" s="1233" t="str">
        <f>BH12</f>
        <v>Cost Input</v>
      </c>
      <c r="BI226" s="1243" t="str">
        <f>BI12</f>
        <v>Comments</v>
      </c>
      <c r="BJ226" s="1245" t="str">
        <f>BJ12</f>
        <v>Delivery Lead Time</v>
      </c>
      <c r="BK226" s="1247" t="e">
        <f>BK12</f>
        <v>#N/A</v>
      </c>
      <c r="BL226" s="558" t="e">
        <f>#REF!</f>
        <v>#REF!</v>
      </c>
      <c r="BP226"/>
      <c r="BQ226"/>
      <c r="BR226"/>
      <c r="BS226"/>
      <c r="BT226"/>
      <c r="BV226"/>
      <c r="BW226"/>
      <c r="BX226"/>
      <c r="BY226"/>
      <c r="BZ226"/>
      <c r="CA226"/>
      <c r="CB226"/>
      <c r="CC226"/>
      <c r="CD226"/>
      <c r="CE226"/>
      <c r="CF226"/>
      <c r="CG226"/>
      <c r="CH226"/>
      <c r="CI226"/>
      <c r="CJ226"/>
      <c r="CK226"/>
      <c r="CL226"/>
      <c r="CM226"/>
      <c r="CN226"/>
      <c r="CO226"/>
      <c r="CP226"/>
    </row>
    <row r="227" spans="1:94" s="822" customFormat="1" ht="46" customHeight="1" thickBot="1" x14ac:dyDescent="0.4">
      <c r="A227" s="1234"/>
      <c r="B227" s="1234"/>
      <c r="C227" s="1234"/>
      <c r="D227" s="1234"/>
      <c r="E227" s="1234"/>
      <c r="F227" s="1234"/>
      <c r="G227" s="1234"/>
      <c r="H227" s="1234"/>
      <c r="I227" s="1236"/>
      <c r="J227" s="1236"/>
      <c r="K227" s="1236"/>
      <c r="L227" s="1238"/>
      <c r="M227" s="1240"/>
      <c r="N227" s="1240"/>
      <c r="O227" s="1242"/>
      <c r="P227" s="583" t="str">
        <f t="shared" ref="P227:V227" si="28">P13</f>
        <v>Y1 Unit cost</v>
      </c>
      <c r="Q227" s="584" t="str">
        <f t="shared" si="28"/>
        <v>Y1 Q1 quantity</v>
      </c>
      <c r="R227" s="584" t="str">
        <f t="shared" si="28"/>
        <v>Y1 Q2 quantity</v>
      </c>
      <c r="S227" s="584" t="str">
        <f t="shared" si="28"/>
        <v>Y1 Q3 quantity</v>
      </c>
      <c r="T227" s="584" t="str">
        <f t="shared" si="28"/>
        <v>Y1 Q4 quantity</v>
      </c>
      <c r="U227" s="584" t="str">
        <f t="shared" si="28"/>
        <v>Y1 Total quantity</v>
      </c>
      <c r="V227" s="585" t="str">
        <f t="shared" si="28"/>
        <v>Y1 Total cost (In Grant Currency -)</v>
      </c>
      <c r="W227" s="583" t="str">
        <f>W13</f>
        <v>Y2 Unit cost</v>
      </c>
      <c r="X227" s="584" t="str">
        <f t="shared" ref="X227:AC227" si="29">X13</f>
        <v>Y2 Q1 quantity</v>
      </c>
      <c r="Y227" s="584" t="str">
        <f t="shared" si="29"/>
        <v>Y2 Q2 quantity</v>
      </c>
      <c r="Z227" s="584" t="str">
        <f t="shared" si="29"/>
        <v>Y2 Q3 quantity</v>
      </c>
      <c r="AA227" s="584" t="str">
        <f t="shared" si="29"/>
        <v>Y2 Q4 quantity</v>
      </c>
      <c r="AB227" s="584" t="str">
        <f t="shared" si="29"/>
        <v>Y2 Total quantity</v>
      </c>
      <c r="AC227" s="585" t="str">
        <f t="shared" si="29"/>
        <v>Y2 Total cost (In Grant Currency -)</v>
      </c>
      <c r="AD227" s="583" t="str">
        <f>AD13</f>
        <v>Y3 Unit cost</v>
      </c>
      <c r="AE227" s="584" t="str">
        <f t="shared" ref="AE227:AJ227" si="30">AE13</f>
        <v>Y3 Q1 quantity</v>
      </c>
      <c r="AF227" s="584" t="str">
        <f t="shared" si="30"/>
        <v>Y3 Q2 quantity</v>
      </c>
      <c r="AG227" s="584" t="str">
        <f t="shared" si="30"/>
        <v>Y3 Q3 quantity</v>
      </c>
      <c r="AH227" s="584" t="str">
        <f t="shared" si="30"/>
        <v>Y3 Q4 quantity</v>
      </c>
      <c r="AI227" s="584" t="str">
        <f t="shared" si="30"/>
        <v>Y3 Total quantity</v>
      </c>
      <c r="AJ227" s="585" t="str">
        <f t="shared" si="30"/>
        <v>Y3 Total cost (In Grant Currency -)</v>
      </c>
      <c r="AK227" s="583" t="str">
        <f>AK13</f>
        <v>Y4 Unit cost</v>
      </c>
      <c r="AL227" s="584" t="str">
        <f t="shared" ref="AL227:BE227" si="31">AL13</f>
        <v>Y4 Q1 quantity</v>
      </c>
      <c r="AM227" s="584" t="str">
        <f t="shared" si="31"/>
        <v>Y4 Q2 quantity</v>
      </c>
      <c r="AN227" s="584" t="str">
        <f t="shared" si="31"/>
        <v>Y4 Q3 quantity</v>
      </c>
      <c r="AO227" s="584" t="str">
        <f t="shared" si="31"/>
        <v>Y4 Q4 quantity</v>
      </c>
      <c r="AP227" s="584" t="str">
        <f t="shared" si="31"/>
        <v>Y4 Total quantity</v>
      </c>
      <c r="AQ227" s="585" t="str">
        <f t="shared" si="31"/>
        <v>Y4 Total cost (In Grant Currency -)</v>
      </c>
      <c r="AR227" s="583" t="str">
        <f t="shared" si="31"/>
        <v>Y5 Unit cost</v>
      </c>
      <c r="AS227" s="584" t="str">
        <f t="shared" si="31"/>
        <v>Y5 Q1 quantity</v>
      </c>
      <c r="AT227" s="584" t="str">
        <f t="shared" si="31"/>
        <v>Y5 Q2 quantity</v>
      </c>
      <c r="AU227" s="584" t="str">
        <f t="shared" si="31"/>
        <v>Y5 Q3 quantity</v>
      </c>
      <c r="AV227" s="584" t="str">
        <f t="shared" si="31"/>
        <v>Y5 Q4 quantity</v>
      </c>
      <c r="AW227" s="584" t="str">
        <f t="shared" si="31"/>
        <v>Y5 Total quantity</v>
      </c>
      <c r="AX227" s="585" t="str">
        <f t="shared" si="31"/>
        <v>Y5 Total cost (In Grant Currency -)</v>
      </c>
      <c r="AY227" s="583" t="str">
        <f t="shared" si="31"/>
        <v>Y6 Unit cost</v>
      </c>
      <c r="AZ227" s="584" t="str">
        <f t="shared" si="31"/>
        <v>Y6 Q1 quantity</v>
      </c>
      <c r="BA227" s="584" t="str">
        <f t="shared" si="31"/>
        <v>Y6 Q2 quantity</v>
      </c>
      <c r="BB227" s="584" t="str">
        <f t="shared" si="31"/>
        <v>Y6 Q3 quantity</v>
      </c>
      <c r="BC227" s="584" t="str">
        <f t="shared" si="31"/>
        <v>Y6 Q4 quantity</v>
      </c>
      <c r="BD227" s="584" t="str">
        <f t="shared" si="31"/>
        <v>Y6 Total quantity</v>
      </c>
      <c r="BE227" s="585" t="str">
        <f t="shared" si="31"/>
        <v>Y6 Total cost (In Grant Currency -)</v>
      </c>
      <c r="BF227" s="835" t="str">
        <f>BF13</f>
        <v>Total quantity</v>
      </c>
      <c r="BG227" s="585" t="str">
        <f>BG13</f>
        <v>Total cost (In Grant Currency -)</v>
      </c>
      <c r="BH227" s="1234"/>
      <c r="BI227" s="1244"/>
      <c r="BJ227" s="1246"/>
      <c r="BK227" s="1248"/>
      <c r="BL227" s="558" t="str">
        <f>BH226</f>
        <v>Cost Input</v>
      </c>
      <c r="BP227"/>
      <c r="BQ227"/>
      <c r="BR227"/>
      <c r="BS227"/>
      <c r="BT227"/>
      <c r="BV227"/>
      <c r="BW227"/>
      <c r="BX227"/>
      <c r="BY227"/>
      <c r="BZ227"/>
      <c r="CA227"/>
      <c r="CB227"/>
      <c r="CC227"/>
      <c r="CD227"/>
      <c r="CE227"/>
      <c r="CF227"/>
      <c r="CG227"/>
      <c r="CH227"/>
      <c r="CI227"/>
      <c r="CJ227"/>
      <c r="CK227"/>
      <c r="CL227"/>
      <c r="CM227"/>
      <c r="CN227"/>
      <c r="CO227"/>
      <c r="CP227"/>
    </row>
    <row r="228" spans="1:94" x14ac:dyDescent="0.35">
      <c r="A228" s="1172"/>
      <c r="B228" s="1172"/>
      <c r="C228" s="1172"/>
      <c r="D228" s="1172"/>
      <c r="E228" s="1173"/>
      <c r="F228" s="1173"/>
      <c r="G228" s="1173"/>
      <c r="H228" s="1173"/>
      <c r="I228" s="1173"/>
      <c r="J228" s="1173"/>
      <c r="K228" s="1173"/>
      <c r="L228" s="487" t="str" cm="1">
        <f t="array" ref="L228">IF(A228&lt;&gt;"",IFERROR(INDEX(PMtbl[[WKst]:[Unit of measure*]],MATCH($A$222&amp;$A228&amp;$E228&amp;$I228,INDEX(PMtbl[Sec]&amp;PMtbl[Category]&amp;PMtbl[Each]&amp;PMtbl[Packaging],0,),0),14),""),"")</f>
        <v/>
      </c>
      <c r="M228" s="478" t="str">
        <f>IF(L228="","",INDEX(SETUP!$E$20:$E$122,(MATCH(INDEX(PMsheet!$D:$E,MATCH(A228,PMsheet!E:E,0),1),SETUP!$D$20:$D$122,0))))</f>
        <v/>
      </c>
      <c r="N228" s="488">
        <f>IF($O228="USD",_xlfn.IFNA(VLOOKUP(A228&amp;E228&amp;I228,PMsheet!J:K,2,0),0),(_xlfn.IFNA(VLOOKUP(A228&amp;E228&amp;I228,PMsheet!J:K,2,0),0)*'Master Data-C19RM'!$C$2))</f>
        <v>0</v>
      </c>
      <c r="O228" s="489" t="str">
        <f>IF(L228="", "",SETUP!$E$7)</f>
        <v/>
      </c>
      <c r="P228" s="442">
        <f>IF($O228="USD",_xlfn.IFNA(VLOOKUP($A228&amp;$E228&amp;$I228,PMsheet!$J:$K,2,0),0),(_xlfn.IFNA(VLOOKUP($A228&amp;$E228&amp;$I228,PMsheet!$J:$K,2,0),0)*'Master Data-C19RM'!$C$2))</f>
        <v>0</v>
      </c>
      <c r="Q228" s="443"/>
      <c r="R228" s="443"/>
      <c r="S228" s="443"/>
      <c r="T228" s="443"/>
      <c r="U228" s="497">
        <f>SUM($Q228:$T228)</f>
        <v>0</v>
      </c>
      <c r="V228" s="498">
        <f>IF(SETUP!$E$7="USD",(U228*(IF(O228="USD",P228,(P228/'Master Data-C19RM'!$C$2)))),(U228*(IF(O228="EUR",P228,(P228*'Master Data-C19RM'!$C$2)))))</f>
        <v>0</v>
      </c>
      <c r="W228" s="442">
        <f>IF($O228="USD",_xlfn.IFNA(VLOOKUP($A228&amp;$E228&amp;$I228,PMsheet!$J:$K,2,0),0),(_xlfn.IFNA(VLOOKUP($A228&amp;$E228&amp;$I228,PMsheet!$J:$K,2,0),0)*'Master Data-C19RM'!$D$2))</f>
        <v>0</v>
      </c>
      <c r="X228" s="443"/>
      <c r="Y228" s="443"/>
      <c r="Z228" s="443"/>
      <c r="AA228" s="443"/>
      <c r="AB228" s="497">
        <f>SUM($X228:$AA228)</f>
        <v>0</v>
      </c>
      <c r="AC228" s="498">
        <f>IF(SETUP!$E$7="USD",(AB228*(IF(O228="USD",W228,(W228/'Master Data-C19RM'!$D$2)))),(AB228*(IF(O228="EUR",W228,(W228*'Master Data-C19RM'!$D$2)))))</f>
        <v>0</v>
      </c>
      <c r="AD228" s="442">
        <f>IF($O228="USD",_xlfn.IFNA(VLOOKUP($A228&amp;$E228&amp;$I228,PMsheet!$J:$K,2,0),0),(_xlfn.IFNA(VLOOKUP($A228&amp;$E228&amp;$I228,PMsheet!$J:$K,2,0),0)*'Master Data-C19RM'!$E$2))</f>
        <v>0</v>
      </c>
      <c r="AE228" s="443"/>
      <c r="AF228" s="443"/>
      <c r="AG228" s="443"/>
      <c r="AH228" s="443"/>
      <c r="AI228" s="529">
        <f>SUM($AE228:$AH228)</f>
        <v>0</v>
      </c>
      <c r="AJ228" s="530">
        <f>IF(SETUP!$E$7="USD",(AI228*(IF(O228="USD",AD228,(AD228/'Master Data-C19RM'!$E$2)))),(AI228*(IF(O228="EUR",AD228,(AD228*'Master Data-C19RM'!$E$2)))))</f>
        <v>0</v>
      </c>
      <c r="AK228" s="442">
        <f>IF($O228="USD",_xlfn.IFNA(VLOOKUP($A228&amp;$E228&amp;$I228,PMsheet!$J:$K,2,0),0),(_xlfn.IFNA(VLOOKUP($A228&amp;$E228&amp;$I228,PMsheet!$J:$K,2,0),0)*'Master Data-C19RM'!$F$2))</f>
        <v>0</v>
      </c>
      <c r="AL228" s="443"/>
      <c r="AM228" s="443"/>
      <c r="AN228" s="443"/>
      <c r="AO228" s="443"/>
      <c r="AP228" s="529">
        <f>SUM($AL228:$AO228)</f>
        <v>0</v>
      </c>
      <c r="AQ228" s="530">
        <f>IF(SETUP!$E$7="USD",(AP228*(IF(O228="USD",AK228,(AK228/'Master Data-C19RM'!$F$2)))),(AP228*(IF(O228="EUR",AK228,(AK228*'Master Data-C19RM'!$F$2)))))</f>
        <v>0</v>
      </c>
      <c r="AR228" s="457">
        <f>IF($O228="USD",_xlfn.IFNA(VLOOKUP($A228&amp;$E228&amp;$I228,PMsheet!$J:$K,2,0),0),(_xlfn.IFNA(VLOOKUP($A228&amp;$E228&amp;$I228,PMsheet!$J:$K,2,0),0)*'Master Data-C19RM'!$G$2))</f>
        <v>0</v>
      </c>
      <c r="AS228" s="926"/>
      <c r="AT228" s="926"/>
      <c r="AU228" s="926"/>
      <c r="AV228" s="926"/>
      <c r="AW228" s="514">
        <f>SUM($AS228:$AV228)</f>
        <v>0</v>
      </c>
      <c r="AX228" s="515">
        <f>IF(SETUP!$E$7="USD",(AW228*(IF(O228="USD",AR228,(AR228/'Master Data-C19RM'!$G$2)))),(AW228*(IF(O228="EUR",AR228,(AR228*'Master Data-C19RM'!$G$2)))))</f>
        <v>0</v>
      </c>
      <c r="AY228" s="845"/>
      <c r="AZ228" s="846"/>
      <c r="BA228" s="846"/>
      <c r="BB228" s="846"/>
      <c r="BC228" s="846"/>
      <c r="BD228" s="846"/>
      <c r="BE228" s="847"/>
      <c r="BF228" s="514">
        <f>'C19RM 2021-Lab &amp; Other HPS'!$U228+'C19RM 2021-Lab &amp; Other HPS'!$AB228+'C19RM 2021-Lab &amp; Other HPS'!$AP228+'C19RM 2021-Lab &amp; Other HPS'!$AI228+AW228+BD228</f>
        <v>0</v>
      </c>
      <c r="BG228" s="514">
        <f>'C19RM 2021-Lab &amp; Other HPS'!$V228+'C19RM 2021-Lab &amp; Other HPS'!$AC228+'C19RM 2021-Lab &amp; Other HPS'!$AQ228+'C19RM 2021-Lab &amp; Other HPS'!$AJ228+AX228+BE228</f>
        <v>0</v>
      </c>
      <c r="BH228" s="559" t="str" cm="1">
        <f t="array" ref="BH228">IF(A228&lt;&gt;"",IFERROR(INDEX(PMtbl[[WKst]:[Unit of measure*]],MATCH($A$222&amp;$A228&amp;$E228&amp;$I228,INDEX(PMtbl[Sec]&amp;PMtbl[Category]&amp;PMtbl[Each]&amp;PMtbl[Packaging],0,),0),11),""),"")</f>
        <v/>
      </c>
      <c r="BI228" s="820"/>
      <c r="BJ228" s="560" t="str" cm="1">
        <f t="array" ref="BJ228">IFERROR(INDEX(SETUP!$C$19:$G$121,MATCH((INDEX(PMtbl[[WKst]:[Unit of measure*]],MATCH($A228&amp;$E228&amp;$I228,INDEX(PMtbl[Category]&amp;PMtbl[Each]&amp;PMtbl[Packaging],0,),0),3)),SETUP!$D$19:$D$121,0),5),"")</f>
        <v/>
      </c>
      <c r="BK228" s="543" t="str" cm="1">
        <f t="array" ref="BK228">IFERROR(IF((INDEX(SETUP!$C$19:$G$121,MATCH((INDEX(PMtbl[[WKst]:[Unit of measure*]],MATCH($A228&amp;$E228&amp;$I228,INDEX(PMtbl[Category]&amp;PMtbl[Each]&amp;PMtbl[Packaging],0,),0),3)),SETUP!$D$19:$D$121,0),4))="Upfront",0,INDEX(SETUP!$C$19:$G$121,MATCH((INDEX(PMtbl[[WKst]:[Unit of measure*]],MATCH($A228&amp;$E228&amp;$I228,INDEX(PMtbl[Category]&amp;PMtbl[Each]&amp;PMtbl[Packaging],0,),0),3)),SETUP!$D$19:$D$121,0),5)),"")</f>
        <v/>
      </c>
      <c r="BL228" s="213" t="str" cm="1">
        <f t="array" ref="BL228">IF(A228&lt;&gt;"",IFERROR(INDEX(PMtbl[[WKst]:[Unit of measure*]],MATCH($A$222&amp;$A228&amp;$E228&amp;$I228,INDEX(PMtbl[Sec]&amp;PMtbl[Category]&amp;PMtbl[Each]&amp;PMtbl[Packaging],0,),0),11),""),"")</f>
        <v/>
      </c>
      <c r="BO228" s="12">
        <f>IF(N228="",0,IF(SETUP!$E$7="USD",((IF(O228="USD",P228,(P228/'Master Data-C19RM'!$C$2)))),((IF(O228="EUR",P228,(P228*'Master Data-C19RM'!$C$2))))))</f>
        <v>0</v>
      </c>
      <c r="BP228" s="12">
        <f>IF(N228="",0,IF(SETUP!$E$7="USD",((IF(O228="USD",W228,(W228/'Master Data-C19RM'!$D$2)))),((IF(O228="EUR",W228,(W228*'Master Data-C19RM'!$D$2))))))</f>
        <v>0</v>
      </c>
      <c r="BQ228">
        <f>IF(N228="",0,IF(SETUP!$E$7="USD",((IF(O228="USD",AD228,(AD228/'Master Data-C19RM'!$E$2)))),((IF(O228="EUR",AD228,(AD228*'Master Data-C19RM'!$E$2))))))</f>
        <v>0</v>
      </c>
      <c r="BR228">
        <f>IF(N228="",0,IF(SETUP!$E$7="USD",((IF(O228="USD",AK228,(AK228/'Master Data-C19RM'!$F$2)))),((IF(O228="EUR",AK228,(AK228*'Master Data-C19RM'!$F$2))))))</f>
        <v>0</v>
      </c>
      <c r="BS228">
        <f>IF(N228="",0,IF(SETUP!$E$7="USD",((IF(O228="USD",AR228,(AR228/'Master Data-C19RM'!$G$2)))),((IF(O228="EUR",AR228,(AR228*'Master Data-C19RM'!$G$2))))))</f>
        <v>0</v>
      </c>
      <c r="BT228">
        <f>IF(N228="",0,IF(SETUP!$E$7="USD",((IF(O228="USD",AY228,(AY228/'Master Data-C19RM'!$H$2)))),((IF(O228="EUR",AY228,(AY228*'Master Data-C19RM'!$H$2))))))</f>
        <v>0</v>
      </c>
      <c r="BU228" s="12">
        <f t="shared" ref="BU228:BU327" si="32">IF(AND(L228="",(COUNTBLANK(A228:K228)=8)),1,0)</f>
        <v>0</v>
      </c>
      <c r="BV228" s="142">
        <f t="shared" ref="BV228:BV327" si="33">BF228</f>
        <v>0</v>
      </c>
    </row>
    <row r="229" spans="1:94" x14ac:dyDescent="0.35">
      <c r="A229" s="1165"/>
      <c r="B229" s="1165"/>
      <c r="C229" s="1165"/>
      <c r="D229" s="1165"/>
      <c r="E229" s="1166"/>
      <c r="F229" s="1166"/>
      <c r="G229" s="1166"/>
      <c r="H229" s="1166"/>
      <c r="I229" s="1166"/>
      <c r="J229" s="1166"/>
      <c r="K229" s="1166"/>
      <c r="L229" s="490" t="str" cm="1">
        <f t="array" ref="L229">IF(A229&lt;&gt;"",IFERROR(INDEX(PMtbl[[WKst]:[Unit of measure*]],MATCH($A$222&amp;$A229&amp;$E229&amp;$I229,INDEX(PMtbl[Sec]&amp;PMtbl[Category]&amp;PMtbl[Each]&amp;PMtbl[Packaging],0,),0),14),""),"")</f>
        <v/>
      </c>
      <c r="M229" s="479" t="str">
        <f>IF(L229="","",INDEX(SETUP!$E$20:$E$122,(MATCH(INDEX(PMsheet!$D:$E,MATCH(A229,PMsheet!E:E,0),1),SETUP!$D$20:$D$122,0))))</f>
        <v/>
      </c>
      <c r="N229" s="491">
        <f>IF($O229="USD",_xlfn.IFNA(VLOOKUP(A229&amp;E229&amp;I229,PMsheet!J:K,2,0),0),(_xlfn.IFNA(VLOOKUP(A229&amp;E229&amp;I229,PMsheet!J:K,2,0),0)*'Master Data-C19RM'!$C$2))</f>
        <v>0</v>
      </c>
      <c r="O229" s="492" t="str">
        <f>IF(L229="", "",SETUP!$E$7)</f>
        <v/>
      </c>
      <c r="P229" s="444">
        <f>IF($O229="USD",_xlfn.IFNA(VLOOKUP($A229&amp;$E229&amp;$I229,PMsheet!$J:$K,2,0),0),(_xlfn.IFNA(VLOOKUP($A229&amp;$E229&amp;$I229,PMsheet!$J:$K,2,0),0)*'Master Data-C19RM'!$C$2))</f>
        <v>0</v>
      </c>
      <c r="Q229" s="441"/>
      <c r="R229" s="441"/>
      <c r="S229" s="441"/>
      <c r="T229" s="441"/>
      <c r="U229" s="481">
        <f t="shared" ref="U229:U327" si="34">SUM($Q229:$T229)</f>
        <v>0</v>
      </c>
      <c r="V229" s="483">
        <f>IF(SETUP!$E$7="USD",(U229*(IF(O229="USD",P229,(P229/'Master Data-C19RM'!$C$2)))),(U229*(IF(O229="EUR",P229,(P229*'Master Data-C19RM'!$C$2)))))</f>
        <v>0</v>
      </c>
      <c r="W229" s="444">
        <f>IF($O229="USD",_xlfn.IFNA(VLOOKUP($A229&amp;$E229&amp;$I229,PMsheet!$J:$K,2,0),0),(_xlfn.IFNA(VLOOKUP($A229&amp;$E229&amp;$I229,PMsheet!$J:$K,2,0),0)*'Master Data-C19RM'!$D$2))</f>
        <v>0</v>
      </c>
      <c r="X229" s="441"/>
      <c r="Y229" s="441"/>
      <c r="Z229" s="441"/>
      <c r="AA229" s="441"/>
      <c r="AB229" s="481">
        <f t="shared" ref="AB229:AB327" si="35">SUM($X229:$AA229)</f>
        <v>0</v>
      </c>
      <c r="AC229" s="483">
        <f>IF(SETUP!$E$7="USD",(AB229*(IF(O229="USD",W229,(W229/'Master Data-C19RM'!$D$2)))),(AB229*(IF(O229="EUR",W229,(W229*'Master Data-C19RM'!$D$2)))))</f>
        <v>0</v>
      </c>
      <c r="AD229" s="444">
        <f>IF($O229="USD",_xlfn.IFNA(VLOOKUP($A229&amp;$E229&amp;$I229,PMsheet!$J:$K,2,0),0),(_xlfn.IFNA(VLOOKUP($A229&amp;$E229&amp;$I229,PMsheet!$J:$K,2,0),0)*'Master Data-C19RM'!$E$2))</f>
        <v>0</v>
      </c>
      <c r="AE229" s="441"/>
      <c r="AF229" s="441"/>
      <c r="AG229" s="441"/>
      <c r="AH229" s="441"/>
      <c r="AI229" s="512">
        <f t="shared" ref="AI229:AI327" si="36">SUM($AE229:$AH229)</f>
        <v>0</v>
      </c>
      <c r="AJ229" s="513">
        <f>IF(SETUP!$E$7="USD",(AI229*(IF(O229="USD",AD229,(AD229/'Master Data-C19RM'!$E$2)))),(AI229*(IF(O229="EUR",AD229,(AD229*'Master Data-C19RM'!$E$2)))))</f>
        <v>0</v>
      </c>
      <c r="AK229" s="444">
        <f>IF($O229="USD",_xlfn.IFNA(VLOOKUP($A229&amp;$E229&amp;$I229,PMsheet!$J:$K,2,0),0),(_xlfn.IFNA(VLOOKUP($A229&amp;$E229&amp;$I229,PMsheet!$J:$K,2,0),0)*'Master Data-C19RM'!$F$2))</f>
        <v>0</v>
      </c>
      <c r="AL229" s="441"/>
      <c r="AM229" s="441"/>
      <c r="AN229" s="441"/>
      <c r="AO229" s="441"/>
      <c r="AP229" s="512">
        <f t="shared" ref="AP229:AP327" si="37">SUM($AL229:$AO229)</f>
        <v>0</v>
      </c>
      <c r="AQ229" s="513">
        <f>IF(SETUP!$E$7="USD",(AP229*(IF(O229="USD",AK229,(AK229/'Master Data-C19RM'!$F$2)))),(AP229*(IF(O229="EUR",AK229,(AK229*'Master Data-C19RM'!$F$2)))))</f>
        <v>0</v>
      </c>
      <c r="AR229" s="456">
        <f>IF($O229="USD",_xlfn.IFNA(VLOOKUP($A229&amp;$E229&amp;$I229,PMsheet!$J:$K,2,0),0),(_xlfn.IFNA(VLOOKUP($A229&amp;$E229&amp;$I229,PMsheet!$J:$K,2,0),0)*'Master Data-C19RM'!$G$2))</f>
        <v>0</v>
      </c>
      <c r="AS229" s="572"/>
      <c r="AT229" s="572"/>
      <c r="AU229" s="572"/>
      <c r="AV229" s="572"/>
      <c r="AW229" s="512">
        <f t="shared" ref="AW229:AW292" si="38">SUM($AS229:$AV229)</f>
        <v>0</v>
      </c>
      <c r="AX229" s="513">
        <f>IF(SETUP!$E$7="USD",(AW229*(IF(O229="USD",AR229,(AR229/'Master Data-C19RM'!$G$2)))),(AW229*(IF(O229="EUR",AR229,(AR229*'Master Data-C19RM'!$G$2)))))</f>
        <v>0</v>
      </c>
      <c r="AY229" s="845"/>
      <c r="AZ229" s="846"/>
      <c r="BA229" s="846"/>
      <c r="BB229" s="846"/>
      <c r="BC229" s="846"/>
      <c r="BD229" s="846"/>
      <c r="BE229" s="847"/>
      <c r="BF229" s="512">
        <f>'C19RM 2021-Lab &amp; Other HPS'!$U229+'C19RM 2021-Lab &amp; Other HPS'!$AB229+'C19RM 2021-Lab &amp; Other HPS'!$AP229+'C19RM 2021-Lab &amp; Other HPS'!$AI229+AW229+BD229</f>
        <v>0</v>
      </c>
      <c r="BG229" s="512">
        <f>'C19RM 2021-Lab &amp; Other HPS'!$V229+'C19RM 2021-Lab &amp; Other HPS'!$AC229+'C19RM 2021-Lab &amp; Other HPS'!$AQ229+'C19RM 2021-Lab &amp; Other HPS'!$AJ229+AX229+BE229</f>
        <v>0</v>
      </c>
      <c r="BH229" s="500" t="str" cm="1">
        <f t="array" ref="BH229">IF(A229&lt;&gt;"",IFERROR(INDEX(PMtbl[[WKst]:[Unit of measure*]],MATCH($A$222&amp;$A229&amp;$E229&amp;$I229,INDEX(PMtbl[Sec]&amp;PMtbl[Category]&amp;PMtbl[Each]&amp;PMtbl[Packaging],0,),0),11),""),"")</f>
        <v/>
      </c>
      <c r="BI229" s="819"/>
      <c r="BJ229" s="502" t="str" cm="1">
        <f t="array" ref="BJ229">IFERROR(INDEX(SETUP!$C$19:$G$121,MATCH((INDEX(PMtbl[[WKst]:[Unit of measure*]],MATCH($A229&amp;$E229&amp;$I229,INDEX(PMtbl[Category]&amp;PMtbl[Each]&amp;PMtbl[Packaging],0,),0),3)),SETUP!$D$19:$D$121,0),5),"")</f>
        <v/>
      </c>
      <c r="BK229" s="542" t="str" cm="1">
        <f t="array" ref="BK229">IFERROR(IF((INDEX(SETUP!$C$19:$G$121,MATCH((INDEX(PMtbl[[WKst]:[Unit of measure*]],MATCH($A229&amp;$E229&amp;$I229,INDEX(PMtbl[Category]&amp;PMtbl[Each]&amp;PMtbl[Packaging],0,),0),3)),SETUP!$D$19:$D$121,0),4))="Upfront",0,INDEX(SETUP!$C$19:$G$121,MATCH((INDEX(PMtbl[[WKst]:[Unit of measure*]],MATCH($A229&amp;$E229&amp;$I229,INDEX(PMtbl[Category]&amp;PMtbl[Each]&amp;PMtbl[Packaging],0,),0),3)),SETUP!$D$19:$D$121,0),5)),"")</f>
        <v/>
      </c>
      <c r="BL229" s="214" t="str" cm="1">
        <f t="array" ref="BL229">IF(A229&lt;&gt;"",IFERROR(INDEX(PMtbl[[WKst]:[Unit of measure*]],MATCH($A$222&amp;$A229&amp;$E229&amp;$I229,INDEX(PMtbl[Sec]&amp;PMtbl[Category]&amp;PMtbl[Each]&amp;PMtbl[Packaging],0,),0),11),""),"")</f>
        <v/>
      </c>
      <c r="BO229" s="12">
        <f>IF(N229="",0,IF(SETUP!$E$7="USD",((IF(O229="USD",P229,(P229/'Master Data-C19RM'!$C$2)))),((IF(O229="EUR",P229,(P229*'Master Data-C19RM'!$C$2))))))</f>
        <v>0</v>
      </c>
      <c r="BP229" s="12">
        <f>IF(N229="",0,IF(SETUP!$E$7="USD",((IF(O229="USD",W229,(W229/'Master Data-C19RM'!$D$2)))),((IF(O229="EUR",W229,(W229*'Master Data-C19RM'!$D$2))))))</f>
        <v>0</v>
      </c>
      <c r="BQ229">
        <f>IF(N229="",0,IF(SETUP!$E$7="USD",((IF(O229="USD",AD229,(AD229/'Master Data-C19RM'!$E$2)))),((IF(O229="EUR",AD229,(AD229*'Master Data-C19RM'!$E$2))))))</f>
        <v>0</v>
      </c>
      <c r="BR229">
        <f>IF(N229="",0,IF(SETUP!$E$7="USD",((IF(O229="USD",AK229,(AK229/'Master Data-C19RM'!$F$2)))),((IF(O229="EUR",AK229,(AK229*'Master Data-C19RM'!$F$2))))))</f>
        <v>0</v>
      </c>
      <c r="BS229">
        <f>IF(N229="",0,IF(SETUP!$E$7="USD",((IF(O229="USD",AR229,(AR229/'Master Data-C19RM'!$G$2)))),((IF(O229="EUR",AR229,(AR229*'Master Data-C19RM'!$G$2))))))</f>
        <v>0</v>
      </c>
      <c r="BT229">
        <f>IF(N229="",0,IF(SETUP!$E$7="USD",((IF(O229="USD",AY229,(AY229/'Master Data-C19RM'!$H$2)))),((IF(O229="EUR",AY229,(AY229*'Master Data-C19RM'!$H$2))))))</f>
        <v>0</v>
      </c>
      <c r="BU229" s="12">
        <f t="shared" si="32"/>
        <v>0</v>
      </c>
      <c r="BV229" s="142">
        <f t="shared" si="33"/>
        <v>0</v>
      </c>
    </row>
    <row r="230" spans="1:94" x14ac:dyDescent="0.35">
      <c r="A230" s="1192"/>
      <c r="B230" s="1192"/>
      <c r="C230" s="1192"/>
      <c r="D230" s="1192"/>
      <c r="E230" s="1173"/>
      <c r="F230" s="1173"/>
      <c r="G230" s="1173"/>
      <c r="H230" s="1173"/>
      <c r="I230" s="1173"/>
      <c r="J230" s="1173"/>
      <c r="K230" s="1173"/>
      <c r="L230" s="493" t="str" cm="1">
        <f t="array" ref="L230">IF(A230&lt;&gt;"",IFERROR(INDEX(PMtbl[[WKst]:[Unit of measure*]],MATCH($A$222&amp;$A230&amp;$E230&amp;$I230,INDEX(PMtbl[Sec]&amp;PMtbl[Category]&amp;PMtbl[Each]&amp;PMtbl[Packaging],0,),0),14),""),"")</f>
        <v/>
      </c>
      <c r="M230" s="480" t="str">
        <f>IF(L230="","",INDEX(SETUP!$E$20:$E$122,(MATCH(INDEX(PMsheet!$D:$E,MATCH(A230,PMsheet!E:E,0),1),SETUP!$D$20:$D$122,0))))</f>
        <v/>
      </c>
      <c r="N230" s="494">
        <f>IF($O230="USD",_xlfn.IFNA(VLOOKUP(A230&amp;E230&amp;I230,PMsheet!J:K,2,0),0),(_xlfn.IFNA(VLOOKUP(A230&amp;E230&amp;I230,PMsheet!J:K,2,0),0)*'Master Data-C19RM'!$C$2))</f>
        <v>0</v>
      </c>
      <c r="O230" s="495" t="str">
        <f>IF(L230="", "",SETUP!$E$7)</f>
        <v/>
      </c>
      <c r="P230" s="445">
        <f>IF($O230="USD",_xlfn.IFNA(VLOOKUP($A230&amp;$E230&amp;$I230,PMsheet!$J:$K,2,0),0),(_xlfn.IFNA(VLOOKUP($A230&amp;$E230&amp;$I230,PMsheet!$J:$K,2,0),0)*'Master Data-C19RM'!$C$2))</f>
        <v>0</v>
      </c>
      <c r="Q230" s="440"/>
      <c r="R230" s="440"/>
      <c r="S230" s="440"/>
      <c r="T230" s="440"/>
      <c r="U230" s="482">
        <f t="shared" si="34"/>
        <v>0</v>
      </c>
      <c r="V230" s="484">
        <f>IF(SETUP!$E$7="USD",(U230*(IF(O230="USD",P230,(P230/'Master Data-C19RM'!$C$2)))),(U230*(IF(O230="EUR",P230,(P230*'Master Data-C19RM'!$C$2)))))</f>
        <v>0</v>
      </c>
      <c r="W230" s="445">
        <f>IF($O230="USD",_xlfn.IFNA(VLOOKUP($A230&amp;$E230&amp;$I230,PMsheet!$J:$K,2,0),0),(_xlfn.IFNA(VLOOKUP($A230&amp;$E230&amp;$I230,PMsheet!$J:$K,2,0),0)*'Master Data-C19RM'!$D$2))</f>
        <v>0</v>
      </c>
      <c r="X230" s="440"/>
      <c r="Y230" s="440"/>
      <c r="Z230" s="440"/>
      <c r="AA230" s="440"/>
      <c r="AB230" s="482">
        <f t="shared" si="35"/>
        <v>0</v>
      </c>
      <c r="AC230" s="484">
        <f>IF(SETUP!$E$7="USD",(AB230*(IF(O230="USD",W230,(W230/'Master Data-C19RM'!$D$2)))),(AB230*(IF(O230="EUR",W230,(W230*'Master Data-C19RM'!$D$2)))))</f>
        <v>0</v>
      </c>
      <c r="AD230" s="445">
        <f>IF($O230="USD",_xlfn.IFNA(VLOOKUP($A230&amp;$E230&amp;$I230,PMsheet!$J:$K,2,0),0),(_xlfn.IFNA(VLOOKUP($A230&amp;$E230&amp;$I230,PMsheet!$J:$K,2,0),0)*'Master Data-C19RM'!$E$2))</f>
        <v>0</v>
      </c>
      <c r="AE230" s="440"/>
      <c r="AF230" s="440"/>
      <c r="AG230" s="440"/>
      <c r="AH230" s="440"/>
      <c r="AI230" s="514">
        <f t="shared" si="36"/>
        <v>0</v>
      </c>
      <c r="AJ230" s="515">
        <f>IF(SETUP!$E$7="USD",(AI230*(IF(O230="USD",AD230,(AD230/'Master Data-C19RM'!$E$2)))),(AI230*(IF(O230="EUR",AD230,(AD230*'Master Data-C19RM'!$E$2)))))</f>
        <v>0</v>
      </c>
      <c r="AK230" s="445">
        <f>IF($O230="USD",_xlfn.IFNA(VLOOKUP($A230&amp;$E230&amp;$I230,PMsheet!$J:$K,2,0),0),(_xlfn.IFNA(VLOOKUP($A230&amp;$E230&amp;$I230,PMsheet!$J:$K,2,0),0)*'Master Data-C19RM'!$F$2))</f>
        <v>0</v>
      </c>
      <c r="AL230" s="440"/>
      <c r="AM230" s="440"/>
      <c r="AN230" s="440"/>
      <c r="AO230" s="440"/>
      <c r="AP230" s="514">
        <f t="shared" si="37"/>
        <v>0</v>
      </c>
      <c r="AQ230" s="515">
        <f>IF(SETUP!$E$7="USD",(AP230*(IF(O230="USD",AK230,(AK230/'Master Data-C19RM'!$F$2)))),(AP230*(IF(O230="EUR",AK230,(AK230*'Master Data-C19RM'!$F$2)))))</f>
        <v>0</v>
      </c>
      <c r="AR230" s="457">
        <f>IF($O230="USD",_xlfn.IFNA(VLOOKUP($A230&amp;$E230&amp;$I230,PMsheet!$J:$K,2,0),0),(_xlfn.IFNA(VLOOKUP($A230&amp;$E230&amp;$I230,PMsheet!$J:$K,2,0),0)*'Master Data-C19RM'!$G$2))</f>
        <v>0</v>
      </c>
      <c r="AS230" s="926"/>
      <c r="AT230" s="926"/>
      <c r="AU230" s="926"/>
      <c r="AV230" s="926"/>
      <c r="AW230" s="514">
        <f t="shared" si="38"/>
        <v>0</v>
      </c>
      <c r="AX230" s="515">
        <f>IF(SETUP!$E$7="USD",(AW230*(IF(O230="USD",AR230,(AR230/'Master Data-C19RM'!$G$2)))),(AW230*(IF(O230="EUR",AR230,(AR230*'Master Data-C19RM'!$G$2)))))</f>
        <v>0</v>
      </c>
      <c r="AY230" s="845"/>
      <c r="AZ230" s="846"/>
      <c r="BA230" s="846"/>
      <c r="BB230" s="846"/>
      <c r="BC230" s="846"/>
      <c r="BD230" s="846"/>
      <c r="BE230" s="847"/>
      <c r="BF230" s="514">
        <f>'C19RM 2021-Lab &amp; Other HPS'!$U230+'C19RM 2021-Lab &amp; Other HPS'!$AB230+'C19RM 2021-Lab &amp; Other HPS'!$AP230+'C19RM 2021-Lab &amp; Other HPS'!$AI230+AW230+BD230</f>
        <v>0</v>
      </c>
      <c r="BG230" s="514">
        <f>'C19RM 2021-Lab &amp; Other HPS'!$V230+'C19RM 2021-Lab &amp; Other HPS'!$AC230+'C19RM 2021-Lab &amp; Other HPS'!$AQ230+'C19RM 2021-Lab &amp; Other HPS'!$AJ230+AX230+BE230</f>
        <v>0</v>
      </c>
      <c r="BH230" s="522" t="str" cm="1">
        <f t="array" ref="BH230">IF(A230&lt;&gt;"",IFERROR(INDEX(PMtbl[[WKst]:[Unit of measure*]],MATCH($A$222&amp;$A230&amp;$E230&amp;$I230,INDEX(PMtbl[Sec]&amp;PMtbl[Category]&amp;PMtbl[Each]&amp;PMtbl[Packaging],0,),0),11),""),"")</f>
        <v/>
      </c>
      <c r="BI230" s="818"/>
      <c r="BJ230" s="503" t="str" cm="1">
        <f t="array" ref="BJ230">IFERROR(INDEX(SETUP!$C$19:$G$121,MATCH((INDEX(PMtbl[[WKst]:[Unit of measure*]],MATCH($A230&amp;$E230&amp;$I230,INDEX(PMtbl[Category]&amp;PMtbl[Each]&amp;PMtbl[Packaging],0,),0),3)),SETUP!$D$19:$D$121,0),5),"")</f>
        <v/>
      </c>
      <c r="BK230" s="543" t="str" cm="1">
        <f t="array" ref="BK230">IFERROR(IF((INDEX(SETUP!$C$19:$G$121,MATCH((INDEX(PMtbl[[WKst]:[Unit of measure*]],MATCH($A230&amp;$E230&amp;$I230,INDEX(PMtbl[Category]&amp;PMtbl[Each]&amp;PMtbl[Packaging],0,),0),3)),SETUP!$D$19:$D$121,0),4))="Upfront",0,INDEX(SETUP!$C$19:$G$121,MATCH((INDEX(PMtbl[[WKst]:[Unit of measure*]],MATCH($A230&amp;$E230&amp;$I230,INDEX(PMtbl[Category]&amp;PMtbl[Each]&amp;PMtbl[Packaging],0,),0),3)),SETUP!$D$19:$D$121,0),5)),"")</f>
        <v/>
      </c>
      <c r="BL230" s="215" t="str" cm="1">
        <f t="array" ref="BL230">IF(A230&lt;&gt;"",IFERROR(INDEX(PMtbl[[WKst]:[Unit of measure*]],MATCH($A$222&amp;$A230&amp;$E230&amp;$I230,INDEX(PMtbl[Sec]&amp;PMtbl[Category]&amp;PMtbl[Each]&amp;PMtbl[Packaging],0,),0),11),""),"")</f>
        <v/>
      </c>
      <c r="BO230" s="12">
        <f>IF(N230="",0,IF(SETUP!$E$7="USD",((IF(O230="USD",P230,(P230/'Master Data-C19RM'!$C$2)))),((IF(O230="EUR",P230,(P230*'Master Data-C19RM'!$C$2))))))</f>
        <v>0</v>
      </c>
      <c r="BP230" s="12">
        <f>IF(N230="",0,IF(SETUP!$E$7="USD",((IF(O230="USD",W230,(W230/'Master Data-C19RM'!$D$2)))),((IF(O230="EUR",W230,(W230*'Master Data-C19RM'!$D$2))))))</f>
        <v>0</v>
      </c>
      <c r="BQ230">
        <f>IF(N230="",0,IF(SETUP!$E$7="USD",((IF(O230="USD",AD230,(AD230/'Master Data-C19RM'!$E$2)))),((IF(O230="EUR",AD230,(AD230*'Master Data-C19RM'!$E$2))))))</f>
        <v>0</v>
      </c>
      <c r="BR230">
        <f>IF(N230="",0,IF(SETUP!$E$7="USD",((IF(O230="USD",AK230,(AK230/'Master Data-C19RM'!$F$2)))),((IF(O230="EUR",AK230,(AK230*'Master Data-C19RM'!$F$2))))))</f>
        <v>0</v>
      </c>
      <c r="BS230">
        <f>IF(N230="",0,IF(SETUP!$E$7="USD",((IF(O230="USD",AR230,(AR230/'Master Data-C19RM'!$G$2)))),((IF(O230="EUR",AR230,(AR230*'Master Data-C19RM'!$G$2))))))</f>
        <v>0</v>
      </c>
      <c r="BT230">
        <f>IF(N230="",0,IF(SETUP!$E$7="USD",((IF(O230="USD",AY230,(AY230/'Master Data-C19RM'!$H$2)))),((IF(O230="EUR",AY230,(AY230*'Master Data-C19RM'!$H$2))))))</f>
        <v>0</v>
      </c>
      <c r="BU230" s="12">
        <f t="shared" si="32"/>
        <v>0</v>
      </c>
      <c r="BV230" s="142">
        <f t="shared" si="33"/>
        <v>0</v>
      </c>
    </row>
    <row r="231" spans="1:94" x14ac:dyDescent="0.35">
      <c r="A231" s="1165"/>
      <c r="B231" s="1165"/>
      <c r="C231" s="1165"/>
      <c r="D231" s="1165"/>
      <c r="E231" s="1166"/>
      <c r="F231" s="1166"/>
      <c r="G231" s="1166"/>
      <c r="H231" s="1166"/>
      <c r="I231" s="1166"/>
      <c r="J231" s="1166"/>
      <c r="K231" s="1166"/>
      <c r="L231" s="490" t="str" cm="1">
        <f t="array" ref="L231">IF(A231&lt;&gt;"",IFERROR(INDEX(PMtbl[[WKst]:[Unit of measure*]],MATCH($A$222&amp;$A231&amp;$E231&amp;$I231,INDEX(PMtbl[Sec]&amp;PMtbl[Category]&amp;PMtbl[Each]&amp;PMtbl[Packaging],0,),0),14),""),"")</f>
        <v/>
      </c>
      <c r="M231" s="479" t="str">
        <f>IF(L231="","",INDEX(SETUP!$E$20:$E$122,(MATCH(INDEX(PMsheet!$D:$E,MATCH(A231,PMsheet!E:E,0),1),SETUP!$D$20:$D$122,0))))</f>
        <v/>
      </c>
      <c r="N231" s="491">
        <f>IF($O231="USD",_xlfn.IFNA(VLOOKUP(A231&amp;E231&amp;I231,PMsheet!J:K,2,0),0),(_xlfn.IFNA(VLOOKUP(A231&amp;E231&amp;I231,PMsheet!J:K,2,0),0)*'Master Data-C19RM'!$C$2))</f>
        <v>0</v>
      </c>
      <c r="O231" s="492" t="str">
        <f>IF(L231="", "",SETUP!$E$7)</f>
        <v/>
      </c>
      <c r="P231" s="444">
        <f>IF($O231="USD",_xlfn.IFNA(VLOOKUP($A231&amp;$E231&amp;$I231,PMsheet!$J:$K,2,0),0),(_xlfn.IFNA(VLOOKUP($A231&amp;$E231&amp;$I231,PMsheet!$J:$K,2,0),0)*'Master Data-C19RM'!$C$2))</f>
        <v>0</v>
      </c>
      <c r="Q231" s="441"/>
      <c r="R231" s="441"/>
      <c r="S231" s="441"/>
      <c r="T231" s="441"/>
      <c r="U231" s="481">
        <f t="shared" si="34"/>
        <v>0</v>
      </c>
      <c r="V231" s="483">
        <f>IF(SETUP!$E$7="USD",(U231*(IF(O231="USD",P231,(P231/'Master Data-C19RM'!$C$2)))),(U231*(IF(O231="EUR",P231,(P231*'Master Data-C19RM'!$C$2)))))</f>
        <v>0</v>
      </c>
      <c r="W231" s="444">
        <f>IF($O231="USD",_xlfn.IFNA(VLOOKUP($A231&amp;$E231&amp;$I231,PMsheet!$J:$K,2,0),0),(_xlfn.IFNA(VLOOKUP($A231&amp;$E231&amp;$I231,PMsheet!$J:$K,2,0),0)*'Master Data-C19RM'!$D$2))</f>
        <v>0</v>
      </c>
      <c r="X231" s="441"/>
      <c r="Y231" s="441"/>
      <c r="Z231" s="441"/>
      <c r="AA231" s="441"/>
      <c r="AB231" s="481">
        <f t="shared" si="35"/>
        <v>0</v>
      </c>
      <c r="AC231" s="483">
        <f>IF(SETUP!$E$7="USD",(AB231*(IF(O231="USD",W231,(W231/'Master Data-C19RM'!$D$2)))),(AB231*(IF(O231="EUR",W231,(W231*'Master Data-C19RM'!$D$2)))))</f>
        <v>0</v>
      </c>
      <c r="AD231" s="444">
        <f>IF($O231="USD",_xlfn.IFNA(VLOOKUP($A231&amp;$E231&amp;$I231,PMsheet!$J:$K,2,0),0),(_xlfn.IFNA(VLOOKUP($A231&amp;$E231&amp;$I231,PMsheet!$J:$K,2,0),0)*'Master Data-C19RM'!$E$2))</f>
        <v>0</v>
      </c>
      <c r="AE231" s="441"/>
      <c r="AF231" s="441"/>
      <c r="AG231" s="441"/>
      <c r="AH231" s="441"/>
      <c r="AI231" s="512">
        <f t="shared" si="36"/>
        <v>0</v>
      </c>
      <c r="AJ231" s="513">
        <f>IF(SETUP!$E$7="USD",(AI231*(IF(O231="USD",AD231,(AD231/'Master Data-C19RM'!$E$2)))),(AI231*(IF(O231="EUR",AD231,(AD231*'Master Data-C19RM'!$E$2)))))</f>
        <v>0</v>
      </c>
      <c r="AK231" s="444">
        <f>IF($O231="USD",_xlfn.IFNA(VLOOKUP($A231&amp;$E231&amp;$I231,PMsheet!$J:$K,2,0),0),(_xlfn.IFNA(VLOOKUP($A231&amp;$E231&amp;$I231,PMsheet!$J:$K,2,0),0)*'Master Data-C19RM'!$F$2))</f>
        <v>0</v>
      </c>
      <c r="AL231" s="441"/>
      <c r="AM231" s="441"/>
      <c r="AN231" s="441"/>
      <c r="AO231" s="441"/>
      <c r="AP231" s="512">
        <f t="shared" si="37"/>
        <v>0</v>
      </c>
      <c r="AQ231" s="513">
        <f>IF(SETUP!$E$7="USD",(AP231*(IF(O231="USD",AK231,(AK231/'Master Data-C19RM'!$F$2)))),(AP231*(IF(O231="EUR",AK231,(AK231*'Master Data-C19RM'!$F$2)))))</f>
        <v>0</v>
      </c>
      <c r="AR231" s="456">
        <f>IF($O231="USD",_xlfn.IFNA(VLOOKUP($A231&amp;$E231&amp;$I231,PMsheet!$J:$K,2,0),0),(_xlfn.IFNA(VLOOKUP($A231&amp;$E231&amp;$I231,PMsheet!$J:$K,2,0),0)*'Master Data-C19RM'!$G$2))</f>
        <v>0</v>
      </c>
      <c r="AS231" s="572"/>
      <c r="AT231" s="572"/>
      <c r="AU231" s="572"/>
      <c r="AV231" s="572"/>
      <c r="AW231" s="512">
        <f t="shared" si="38"/>
        <v>0</v>
      </c>
      <c r="AX231" s="513">
        <f>IF(SETUP!$E$7="USD",(AW231*(IF(O231="USD",AR231,(AR231/'Master Data-C19RM'!$G$2)))),(AW231*(IF(O231="EUR",AR231,(AR231*'Master Data-C19RM'!$G$2)))))</f>
        <v>0</v>
      </c>
      <c r="AY231" s="845"/>
      <c r="AZ231" s="846"/>
      <c r="BA231" s="846"/>
      <c r="BB231" s="846"/>
      <c r="BC231" s="846"/>
      <c r="BD231" s="846"/>
      <c r="BE231" s="847"/>
      <c r="BF231" s="512">
        <f>'C19RM 2021-Lab &amp; Other HPS'!$U231+'C19RM 2021-Lab &amp; Other HPS'!$AB231+'C19RM 2021-Lab &amp; Other HPS'!$AP231+'C19RM 2021-Lab &amp; Other HPS'!$AI231+AW231+BD231</f>
        <v>0</v>
      </c>
      <c r="BG231" s="512">
        <f>'C19RM 2021-Lab &amp; Other HPS'!$V231+'C19RM 2021-Lab &amp; Other HPS'!$AC231+'C19RM 2021-Lab &amp; Other HPS'!$AQ231+'C19RM 2021-Lab &amp; Other HPS'!$AJ231+AX231+BE231</f>
        <v>0</v>
      </c>
      <c r="BH231" s="500" t="str" cm="1">
        <f t="array" ref="BH231">IF(A231&lt;&gt;"",IFERROR(INDEX(PMtbl[[WKst]:[Unit of measure*]],MATCH($A$222&amp;$A231&amp;$E231&amp;$I231,INDEX(PMtbl[Sec]&amp;PMtbl[Category]&amp;PMtbl[Each]&amp;PMtbl[Packaging],0,),0),11),""),"")</f>
        <v/>
      </c>
      <c r="BI231" s="819"/>
      <c r="BJ231" s="502" t="str" cm="1">
        <f t="array" ref="BJ231">IFERROR(INDEX(SETUP!$C$19:$G$121,MATCH((INDEX(PMtbl[[WKst]:[Unit of measure*]],MATCH($A231&amp;$E231&amp;$I231,INDEX(PMtbl[Category]&amp;PMtbl[Each]&amp;PMtbl[Packaging],0,),0),3)),SETUP!$D$19:$D$121,0),5),"")</f>
        <v/>
      </c>
      <c r="BK231" s="542" t="str" cm="1">
        <f t="array" ref="BK231">IFERROR(IF((INDEX(SETUP!$C$19:$G$121,MATCH((INDEX(PMtbl[[WKst]:[Unit of measure*]],MATCH($A231&amp;$E231&amp;$I231,INDEX(PMtbl[Category]&amp;PMtbl[Each]&amp;PMtbl[Packaging],0,),0),3)),SETUP!$D$19:$D$121,0),4))="Upfront",0,INDEX(SETUP!$C$19:$G$121,MATCH((INDEX(PMtbl[[WKst]:[Unit of measure*]],MATCH($A231&amp;$E231&amp;$I231,INDEX(PMtbl[Category]&amp;PMtbl[Each]&amp;PMtbl[Packaging],0,),0),3)),SETUP!$D$19:$D$121,0),5)),"")</f>
        <v/>
      </c>
      <c r="BL231" s="214" t="str" cm="1">
        <f t="array" ref="BL231">IF(A231&lt;&gt;"",IFERROR(INDEX(PMtbl[[WKst]:[Unit of measure*]],MATCH($A$222&amp;$A231&amp;$E231&amp;$I231,INDEX(PMtbl[Sec]&amp;PMtbl[Category]&amp;PMtbl[Each]&amp;PMtbl[Packaging],0,),0),11),""),"")</f>
        <v/>
      </c>
      <c r="BO231" s="12">
        <f>IF(N231="",0,IF(SETUP!$E$7="USD",((IF(O231="USD",P231,(P231/'Master Data-C19RM'!$C$2)))),((IF(O231="EUR",P231,(P231*'Master Data-C19RM'!$C$2))))))</f>
        <v>0</v>
      </c>
      <c r="BP231" s="12">
        <f>IF(N231="",0,IF(SETUP!$E$7="USD",((IF(O231="USD",W231,(W231/'Master Data-C19RM'!$D$2)))),((IF(O231="EUR",W231,(W231*'Master Data-C19RM'!$D$2))))))</f>
        <v>0</v>
      </c>
      <c r="BQ231">
        <f>IF(N231="",0,IF(SETUP!$E$7="USD",((IF(O231="USD",AD231,(AD231/'Master Data-C19RM'!$E$2)))),((IF(O231="EUR",AD231,(AD231*'Master Data-C19RM'!$E$2))))))</f>
        <v>0</v>
      </c>
      <c r="BR231">
        <f>IF(N231="",0,IF(SETUP!$E$7="USD",((IF(O231="USD",AK231,(AK231/'Master Data-C19RM'!$F$2)))),((IF(O231="EUR",AK231,(AK231*'Master Data-C19RM'!$F$2))))))</f>
        <v>0</v>
      </c>
      <c r="BS231">
        <f>IF(N231="",0,IF(SETUP!$E$7="USD",((IF(O231="USD",AR231,(AR231/'Master Data-C19RM'!$G$2)))),((IF(O231="EUR",AR231,(AR231*'Master Data-C19RM'!$G$2))))))</f>
        <v>0</v>
      </c>
      <c r="BT231">
        <f>IF(N231="",0,IF(SETUP!$E$7="USD",((IF(O231="USD",AY231,(AY231/'Master Data-C19RM'!$H$2)))),((IF(O231="EUR",AY231,(AY231*'Master Data-C19RM'!$H$2))))))</f>
        <v>0</v>
      </c>
      <c r="BU231" s="12">
        <f t="shared" si="32"/>
        <v>0</v>
      </c>
      <c r="BV231" s="142">
        <f t="shared" si="33"/>
        <v>0</v>
      </c>
    </row>
    <row r="232" spans="1:94" x14ac:dyDescent="0.35">
      <c r="A232" s="1192"/>
      <c r="B232" s="1192"/>
      <c r="C232" s="1192"/>
      <c r="D232" s="1192"/>
      <c r="E232" s="1173"/>
      <c r="F232" s="1173"/>
      <c r="G232" s="1173"/>
      <c r="H232" s="1173"/>
      <c r="I232" s="1173"/>
      <c r="J232" s="1173"/>
      <c r="K232" s="1173"/>
      <c r="L232" s="493" t="str" cm="1">
        <f t="array" ref="L232">IF(A232&lt;&gt;"",IFERROR(INDEX(PMtbl[[WKst]:[Unit of measure*]],MATCH($A$222&amp;$A232&amp;$E232&amp;$I232,INDEX(PMtbl[Sec]&amp;PMtbl[Category]&amp;PMtbl[Each]&amp;PMtbl[Packaging],0,),0),14),""),"")</f>
        <v/>
      </c>
      <c r="M232" s="480" t="str">
        <f>IF(L232="","",INDEX(SETUP!$E$20:$E$122,(MATCH(INDEX(PMsheet!$D:$E,MATCH(A232,PMsheet!E:E,0),1),SETUP!$D$20:$D$122,0))))</f>
        <v/>
      </c>
      <c r="N232" s="494">
        <f>IF($O232="USD",_xlfn.IFNA(VLOOKUP(A232&amp;E232&amp;I232,PMsheet!J:K,2,0),0),(_xlfn.IFNA(VLOOKUP(A232&amp;E232&amp;I232,PMsheet!J:K,2,0),0)*'Master Data-C19RM'!$C$2))</f>
        <v>0</v>
      </c>
      <c r="O232" s="495" t="str">
        <f>IF(L232="", "",SETUP!$E$7)</f>
        <v/>
      </c>
      <c r="P232" s="445">
        <f>IF($O232="USD",_xlfn.IFNA(VLOOKUP($A232&amp;$E232&amp;$I232,PMsheet!$J:$K,2,0),0),(_xlfn.IFNA(VLOOKUP($A232&amp;$E232&amp;$I232,PMsheet!$J:$K,2,0),0)*'Master Data-C19RM'!$C$2))</f>
        <v>0</v>
      </c>
      <c r="Q232" s="440"/>
      <c r="R232" s="440"/>
      <c r="S232" s="440"/>
      <c r="T232" s="440"/>
      <c r="U232" s="482">
        <f t="shared" si="34"/>
        <v>0</v>
      </c>
      <c r="V232" s="484">
        <f>IF(SETUP!$E$7="USD",(U232*(IF(O232="USD",P232,(P232/'Master Data-C19RM'!$C$2)))),(U232*(IF(O232="EUR",P232,(P232*'Master Data-C19RM'!$C$2)))))</f>
        <v>0</v>
      </c>
      <c r="W232" s="445">
        <f>IF($O232="USD",_xlfn.IFNA(VLOOKUP($A232&amp;$E232&amp;$I232,PMsheet!$J:$K,2,0),0),(_xlfn.IFNA(VLOOKUP($A232&amp;$E232&amp;$I232,PMsheet!$J:$K,2,0),0)*'Master Data-C19RM'!$D$2))</f>
        <v>0</v>
      </c>
      <c r="X232" s="440"/>
      <c r="Y232" s="440"/>
      <c r="Z232" s="440"/>
      <c r="AA232" s="440"/>
      <c r="AB232" s="482">
        <f t="shared" si="35"/>
        <v>0</v>
      </c>
      <c r="AC232" s="484">
        <f>IF(SETUP!$E$7="USD",(AB232*(IF(O232="USD",W232,(W232/'Master Data-C19RM'!$D$2)))),(AB232*(IF(O232="EUR",W232,(W232*'Master Data-C19RM'!$D$2)))))</f>
        <v>0</v>
      </c>
      <c r="AD232" s="445">
        <f>IF($O232="USD",_xlfn.IFNA(VLOOKUP($A232&amp;$E232&amp;$I232,PMsheet!$J:$K,2,0),0),(_xlfn.IFNA(VLOOKUP($A232&amp;$E232&amp;$I232,PMsheet!$J:$K,2,0),0)*'Master Data-C19RM'!$E$2))</f>
        <v>0</v>
      </c>
      <c r="AE232" s="440"/>
      <c r="AF232" s="440"/>
      <c r="AG232" s="440"/>
      <c r="AH232" s="440"/>
      <c r="AI232" s="514">
        <f t="shared" si="36"/>
        <v>0</v>
      </c>
      <c r="AJ232" s="515">
        <f>IF(SETUP!$E$7="USD",(AI232*(IF(O232="USD",AD232,(AD232/'Master Data-C19RM'!$E$2)))),(AI232*(IF(O232="EUR",AD232,(AD232*'Master Data-C19RM'!$E$2)))))</f>
        <v>0</v>
      </c>
      <c r="AK232" s="445">
        <f>IF($O232="USD",_xlfn.IFNA(VLOOKUP($A232&amp;$E232&amp;$I232,PMsheet!$J:$K,2,0),0),(_xlfn.IFNA(VLOOKUP($A232&amp;$E232&amp;$I232,PMsheet!$J:$K,2,0),0)*'Master Data-C19RM'!$F$2))</f>
        <v>0</v>
      </c>
      <c r="AL232" s="440"/>
      <c r="AM232" s="440"/>
      <c r="AN232" s="440"/>
      <c r="AO232" s="440"/>
      <c r="AP232" s="514">
        <f t="shared" si="37"/>
        <v>0</v>
      </c>
      <c r="AQ232" s="515">
        <f>IF(SETUP!$E$7="USD",(AP232*(IF(O232="USD",AK232,(AK232/'Master Data-C19RM'!$F$2)))),(AP232*(IF(O232="EUR",AK232,(AK232*'Master Data-C19RM'!$F$2)))))</f>
        <v>0</v>
      </c>
      <c r="AR232" s="457">
        <f>IF($O232="USD",_xlfn.IFNA(VLOOKUP($A232&amp;$E232&amp;$I232,PMsheet!$J:$K,2,0),0),(_xlfn.IFNA(VLOOKUP($A232&amp;$E232&amp;$I232,PMsheet!$J:$K,2,0),0)*'Master Data-C19RM'!$G$2))</f>
        <v>0</v>
      </c>
      <c r="AS232" s="926"/>
      <c r="AT232" s="926"/>
      <c r="AU232" s="926"/>
      <c r="AV232" s="926"/>
      <c r="AW232" s="514">
        <f t="shared" si="38"/>
        <v>0</v>
      </c>
      <c r="AX232" s="515">
        <f>IF(SETUP!$E$7="USD",(AW232*(IF(O232="USD",AR232,(AR232/'Master Data-C19RM'!$G$2)))),(AW232*(IF(O232="EUR",AR232,(AR232*'Master Data-C19RM'!$G$2)))))</f>
        <v>0</v>
      </c>
      <c r="AY232" s="845"/>
      <c r="AZ232" s="846"/>
      <c r="BA232" s="846"/>
      <c r="BB232" s="846"/>
      <c r="BC232" s="846"/>
      <c r="BD232" s="846"/>
      <c r="BE232" s="847"/>
      <c r="BF232" s="514">
        <f>'C19RM 2021-Lab &amp; Other HPS'!$U232+'C19RM 2021-Lab &amp; Other HPS'!$AB232+'C19RM 2021-Lab &amp; Other HPS'!$AP232+'C19RM 2021-Lab &amp; Other HPS'!$AI232+AW232+BD232</f>
        <v>0</v>
      </c>
      <c r="BG232" s="514">
        <f>'C19RM 2021-Lab &amp; Other HPS'!$V232+'C19RM 2021-Lab &amp; Other HPS'!$AC232+'C19RM 2021-Lab &amp; Other HPS'!$AQ232+'C19RM 2021-Lab &amp; Other HPS'!$AJ232+AX232+BE232</f>
        <v>0</v>
      </c>
      <c r="BH232" s="522" t="str" cm="1">
        <f t="array" ref="BH232">IF(A232&lt;&gt;"",IFERROR(INDEX(PMtbl[[WKst]:[Unit of measure*]],MATCH($A$222&amp;$A232&amp;$E232&amp;$I232,INDEX(PMtbl[Sec]&amp;PMtbl[Category]&amp;PMtbl[Each]&amp;PMtbl[Packaging],0,),0),11),""),"")</f>
        <v/>
      </c>
      <c r="BI232" s="818"/>
      <c r="BJ232" s="503" t="str" cm="1">
        <f t="array" ref="BJ232">IFERROR(INDEX(SETUP!$C$19:$G$121,MATCH((INDEX(PMtbl[[WKst]:[Unit of measure*]],MATCH($A232&amp;$E232&amp;$I232,INDEX(PMtbl[Category]&amp;PMtbl[Each]&amp;PMtbl[Packaging],0,),0),3)),SETUP!$D$19:$D$121,0),5),"")</f>
        <v/>
      </c>
      <c r="BK232" s="543" t="str" cm="1">
        <f t="array" ref="BK232">IFERROR(IF((INDEX(SETUP!$C$19:$G$121,MATCH((INDEX(PMtbl[[WKst]:[Unit of measure*]],MATCH($A232&amp;$E232&amp;$I232,INDEX(PMtbl[Category]&amp;PMtbl[Each]&amp;PMtbl[Packaging],0,),0),3)),SETUP!$D$19:$D$121,0),4))="Upfront",0,INDEX(SETUP!$C$19:$G$121,MATCH((INDEX(PMtbl[[WKst]:[Unit of measure*]],MATCH($A232&amp;$E232&amp;$I232,INDEX(PMtbl[Category]&amp;PMtbl[Each]&amp;PMtbl[Packaging],0,),0),3)),SETUP!$D$19:$D$121,0),5)),"")</f>
        <v/>
      </c>
      <c r="BL232" s="215" t="str" cm="1">
        <f t="array" ref="BL232">IF(A232&lt;&gt;"",IFERROR(INDEX(PMtbl[[WKst]:[Unit of measure*]],MATCH($A$222&amp;$A232&amp;$E232&amp;$I232,INDEX(PMtbl[Sec]&amp;PMtbl[Category]&amp;PMtbl[Each]&amp;PMtbl[Packaging],0,),0),11),""),"")</f>
        <v/>
      </c>
      <c r="BO232" s="12">
        <f>IF(N232="",0,IF(SETUP!$E$7="USD",((IF(O232="USD",P232,(P232/'Master Data-C19RM'!$C$2)))),((IF(O232="EUR",P232,(P232*'Master Data-C19RM'!$C$2))))))</f>
        <v>0</v>
      </c>
      <c r="BP232" s="12">
        <f>IF(N232="",0,IF(SETUP!$E$7="USD",((IF(O232="USD",W232,(W232/'Master Data-C19RM'!$D$2)))),((IF(O232="EUR",W232,(W232*'Master Data-C19RM'!$D$2))))))</f>
        <v>0</v>
      </c>
      <c r="BQ232">
        <f>IF(N232="",0,IF(SETUP!$E$7="USD",((IF(O232="USD",AD232,(AD232/'Master Data-C19RM'!$E$2)))),((IF(O232="EUR",AD232,(AD232*'Master Data-C19RM'!$E$2))))))</f>
        <v>0</v>
      </c>
      <c r="BR232">
        <f>IF(N232="",0,IF(SETUP!$E$7="USD",((IF(O232="USD",AK232,(AK232/'Master Data-C19RM'!$F$2)))),((IF(O232="EUR",AK232,(AK232*'Master Data-C19RM'!$F$2))))))</f>
        <v>0</v>
      </c>
      <c r="BS232">
        <f>IF(N232="",0,IF(SETUP!$E$7="USD",((IF(O232="USD",AR232,(AR232/'Master Data-C19RM'!$G$2)))),((IF(O232="EUR",AR232,(AR232*'Master Data-C19RM'!$G$2))))))</f>
        <v>0</v>
      </c>
      <c r="BT232">
        <f>IF(N232="",0,IF(SETUP!$E$7="USD",((IF(O232="USD",AY232,(AY232/'Master Data-C19RM'!$H$2)))),((IF(O232="EUR",AY232,(AY232*'Master Data-C19RM'!$H$2))))))</f>
        <v>0</v>
      </c>
      <c r="BU232" s="12">
        <f t="shared" si="32"/>
        <v>0</v>
      </c>
      <c r="BV232" s="142">
        <f t="shared" si="33"/>
        <v>0</v>
      </c>
    </row>
    <row r="233" spans="1:94" x14ac:dyDescent="0.35">
      <c r="A233" s="1165"/>
      <c r="B233" s="1165"/>
      <c r="C233" s="1165"/>
      <c r="D233" s="1165"/>
      <c r="E233" s="1166"/>
      <c r="F233" s="1166"/>
      <c r="G233" s="1166"/>
      <c r="H233" s="1166"/>
      <c r="I233" s="1166"/>
      <c r="J233" s="1166"/>
      <c r="K233" s="1166"/>
      <c r="L233" s="490" t="str" cm="1">
        <f t="array" ref="L233">IF(A233&lt;&gt;"",IFERROR(INDEX(PMtbl[[WKst]:[Unit of measure*]],MATCH($A$222&amp;$A233&amp;$E233&amp;$I233,INDEX(PMtbl[Sec]&amp;PMtbl[Category]&amp;PMtbl[Each]&amp;PMtbl[Packaging],0,),0),14),""),"")</f>
        <v/>
      </c>
      <c r="M233" s="479" t="str">
        <f>IF(L233="","",INDEX(SETUP!$E$20:$E$122,(MATCH(INDEX(PMsheet!$D:$E,MATCH(A233,PMsheet!E:E,0),1),SETUP!$D$20:$D$122,0))))</f>
        <v/>
      </c>
      <c r="N233" s="491">
        <f>IF($O233="USD",_xlfn.IFNA(VLOOKUP(A233&amp;E233&amp;I233,PMsheet!J:K,2,0),0),(_xlfn.IFNA(VLOOKUP(A233&amp;E233&amp;I233,PMsheet!J:K,2,0),0)*'Master Data-C19RM'!$C$2))</f>
        <v>0</v>
      </c>
      <c r="O233" s="492" t="str">
        <f>IF(L233="", "",SETUP!$E$7)</f>
        <v/>
      </c>
      <c r="P233" s="444">
        <f>IF($O233="USD",_xlfn.IFNA(VLOOKUP($A233&amp;$E233&amp;$I233,PMsheet!$J:$K,2,0),0),(_xlfn.IFNA(VLOOKUP($A233&amp;$E233&amp;$I233,PMsheet!$J:$K,2,0),0)*'Master Data-C19RM'!$C$2))</f>
        <v>0</v>
      </c>
      <c r="Q233" s="441"/>
      <c r="R233" s="441"/>
      <c r="S233" s="441"/>
      <c r="T233" s="441"/>
      <c r="U233" s="481">
        <f t="shared" si="34"/>
        <v>0</v>
      </c>
      <c r="V233" s="483">
        <f>IF(SETUP!$E$7="USD",(U233*(IF(O233="USD",P233,(P233/'Master Data-C19RM'!$C$2)))),(U233*(IF(O233="EUR",P233,(P233*'Master Data-C19RM'!$C$2)))))</f>
        <v>0</v>
      </c>
      <c r="W233" s="444">
        <f>IF($O233="USD",_xlfn.IFNA(VLOOKUP($A233&amp;$E233&amp;$I233,PMsheet!$J:$K,2,0),0),(_xlfn.IFNA(VLOOKUP($A233&amp;$E233&amp;$I233,PMsheet!$J:$K,2,0),0)*'Master Data-C19RM'!$D$2))</f>
        <v>0</v>
      </c>
      <c r="X233" s="441"/>
      <c r="Y233" s="441"/>
      <c r="Z233" s="441"/>
      <c r="AA233" s="441"/>
      <c r="AB233" s="481">
        <f t="shared" si="35"/>
        <v>0</v>
      </c>
      <c r="AC233" s="483">
        <f>IF(SETUP!$E$7="USD",(AB233*(IF(O233="USD",W233,(W233/'Master Data-C19RM'!$D$2)))),(AB233*(IF(O233="EUR",W233,(W233*'Master Data-C19RM'!$D$2)))))</f>
        <v>0</v>
      </c>
      <c r="AD233" s="444">
        <f>IF($O233="USD",_xlfn.IFNA(VLOOKUP($A233&amp;$E233&amp;$I233,PMsheet!$J:$K,2,0),0),(_xlfn.IFNA(VLOOKUP($A233&amp;$E233&amp;$I233,PMsheet!$J:$K,2,0),0)*'Master Data-C19RM'!$E$2))</f>
        <v>0</v>
      </c>
      <c r="AE233" s="441"/>
      <c r="AF233" s="441"/>
      <c r="AG233" s="441"/>
      <c r="AH233" s="441"/>
      <c r="AI233" s="512">
        <f t="shared" si="36"/>
        <v>0</v>
      </c>
      <c r="AJ233" s="513">
        <f>IF(SETUP!$E$7="USD",(AI233*(IF(O233="USD",AD233,(AD233/'Master Data-C19RM'!$E$2)))),(AI233*(IF(O233="EUR",AD233,(AD233*'Master Data-C19RM'!$E$2)))))</f>
        <v>0</v>
      </c>
      <c r="AK233" s="444">
        <f>IF($O233="USD",_xlfn.IFNA(VLOOKUP($A233&amp;$E233&amp;$I233,PMsheet!$J:$K,2,0),0),(_xlfn.IFNA(VLOOKUP($A233&amp;$E233&amp;$I233,PMsheet!$J:$K,2,0),0)*'Master Data-C19RM'!$F$2))</f>
        <v>0</v>
      </c>
      <c r="AL233" s="441"/>
      <c r="AM233" s="441"/>
      <c r="AN233" s="441"/>
      <c r="AO233" s="441"/>
      <c r="AP233" s="512">
        <f t="shared" si="37"/>
        <v>0</v>
      </c>
      <c r="AQ233" s="513">
        <f>IF(SETUP!$E$7="USD",(AP233*(IF(O233="USD",AK233,(AK233/'Master Data-C19RM'!$F$2)))),(AP233*(IF(O233="EUR",AK233,(AK233*'Master Data-C19RM'!$F$2)))))</f>
        <v>0</v>
      </c>
      <c r="AR233" s="456">
        <f>IF($O233="USD",_xlfn.IFNA(VLOOKUP($A233&amp;$E233&amp;$I233,PMsheet!$J:$K,2,0),0),(_xlfn.IFNA(VLOOKUP($A233&amp;$E233&amp;$I233,PMsheet!$J:$K,2,0),0)*'Master Data-C19RM'!$G$2))</f>
        <v>0</v>
      </c>
      <c r="AS233" s="572"/>
      <c r="AT233" s="572"/>
      <c r="AU233" s="572"/>
      <c r="AV233" s="572"/>
      <c r="AW233" s="512">
        <f t="shared" si="38"/>
        <v>0</v>
      </c>
      <c r="AX233" s="513">
        <f>IF(SETUP!$E$7="USD",(AW233*(IF(O233="USD",AR233,(AR233/'Master Data-C19RM'!$G$2)))),(AW233*(IF(O233="EUR",AR233,(AR233*'Master Data-C19RM'!$G$2)))))</f>
        <v>0</v>
      </c>
      <c r="AY233" s="845"/>
      <c r="AZ233" s="846"/>
      <c r="BA233" s="846"/>
      <c r="BB233" s="846"/>
      <c r="BC233" s="846"/>
      <c r="BD233" s="846"/>
      <c r="BE233" s="847"/>
      <c r="BF233" s="512">
        <f>'C19RM 2021-Lab &amp; Other HPS'!$U233+'C19RM 2021-Lab &amp; Other HPS'!$AB233+'C19RM 2021-Lab &amp; Other HPS'!$AP233+'C19RM 2021-Lab &amp; Other HPS'!$AI233+AW233+BD233</f>
        <v>0</v>
      </c>
      <c r="BG233" s="512">
        <f>'C19RM 2021-Lab &amp; Other HPS'!$V233+'C19RM 2021-Lab &amp; Other HPS'!$AC233+'C19RM 2021-Lab &amp; Other HPS'!$AQ233+'C19RM 2021-Lab &amp; Other HPS'!$AJ233+AX233+BE233</f>
        <v>0</v>
      </c>
      <c r="BH233" s="500" t="str" cm="1">
        <f t="array" ref="BH233">IF(A233&lt;&gt;"",IFERROR(INDEX(PMtbl[[WKst]:[Unit of measure*]],MATCH($A$222&amp;$A233&amp;$E233&amp;$I233,INDEX(PMtbl[Sec]&amp;PMtbl[Category]&amp;PMtbl[Each]&amp;PMtbl[Packaging],0,),0),11),""),"")</f>
        <v/>
      </c>
      <c r="BI233" s="819"/>
      <c r="BJ233" s="502" t="str" cm="1">
        <f t="array" ref="BJ233">IFERROR(INDEX(SETUP!$C$19:$G$121,MATCH((INDEX(PMtbl[[WKst]:[Unit of measure*]],MATCH($A233&amp;$E233&amp;$I233,INDEX(PMtbl[Category]&amp;PMtbl[Each]&amp;PMtbl[Packaging],0,),0),3)),SETUP!$D$19:$D$121,0),5),"")</f>
        <v/>
      </c>
      <c r="BK233" s="542" t="str" cm="1">
        <f t="array" ref="BK233">IFERROR(IF((INDEX(SETUP!$C$19:$G$121,MATCH((INDEX(PMtbl[[WKst]:[Unit of measure*]],MATCH($A233&amp;$E233&amp;$I233,INDEX(PMtbl[Category]&amp;PMtbl[Each]&amp;PMtbl[Packaging],0,),0),3)),SETUP!$D$19:$D$121,0),4))="Upfront",0,INDEX(SETUP!$C$19:$G$121,MATCH((INDEX(PMtbl[[WKst]:[Unit of measure*]],MATCH($A233&amp;$E233&amp;$I233,INDEX(PMtbl[Category]&amp;PMtbl[Each]&amp;PMtbl[Packaging],0,),0),3)),SETUP!$D$19:$D$121,0),5)),"")</f>
        <v/>
      </c>
      <c r="BL233" s="214" t="str" cm="1">
        <f t="array" ref="BL233">IF(A233&lt;&gt;"",IFERROR(INDEX(PMtbl[[WKst]:[Unit of measure*]],MATCH($A$222&amp;$A233&amp;$E233&amp;$I233,INDEX(PMtbl[Sec]&amp;PMtbl[Category]&amp;PMtbl[Each]&amp;PMtbl[Packaging],0,),0),11),""),"")</f>
        <v/>
      </c>
      <c r="BO233" s="12">
        <f>IF(N233="",0,IF(SETUP!$E$7="USD",((IF(O233="USD",P233,(P233/'Master Data-C19RM'!$C$2)))),((IF(O233="EUR",P233,(P233*'Master Data-C19RM'!$C$2))))))</f>
        <v>0</v>
      </c>
      <c r="BP233" s="12">
        <f>IF(N233="",0,IF(SETUP!$E$7="USD",((IF(O233="USD",W233,(W233/'Master Data-C19RM'!$D$2)))),((IF(O233="EUR",W233,(W233*'Master Data-C19RM'!$D$2))))))</f>
        <v>0</v>
      </c>
      <c r="BQ233">
        <f>IF(N233="",0,IF(SETUP!$E$7="USD",((IF(O233="USD",AD233,(AD233/'Master Data-C19RM'!$E$2)))),((IF(O233="EUR",AD233,(AD233*'Master Data-C19RM'!$E$2))))))</f>
        <v>0</v>
      </c>
      <c r="BR233">
        <f>IF(N233="",0,IF(SETUP!$E$7="USD",((IF(O233="USD",AK233,(AK233/'Master Data-C19RM'!$F$2)))),((IF(O233="EUR",AK233,(AK233*'Master Data-C19RM'!$F$2))))))</f>
        <v>0</v>
      </c>
      <c r="BS233">
        <f>IF(N233="",0,IF(SETUP!$E$7="USD",((IF(O233="USD",AR233,(AR233/'Master Data-C19RM'!$G$2)))),((IF(O233="EUR",AR233,(AR233*'Master Data-C19RM'!$G$2))))))</f>
        <v>0</v>
      </c>
      <c r="BT233">
        <f>IF(N233="",0,IF(SETUP!$E$7="USD",((IF(O233="USD",AY233,(AY233/'Master Data-C19RM'!$H$2)))),((IF(O233="EUR",AY233,(AY233*'Master Data-C19RM'!$H$2))))))</f>
        <v>0</v>
      </c>
      <c r="BU233" s="12">
        <f t="shared" si="32"/>
        <v>0</v>
      </c>
      <c r="BV233" s="142">
        <f t="shared" si="33"/>
        <v>0</v>
      </c>
    </row>
    <row r="234" spans="1:94" x14ac:dyDescent="0.35">
      <c r="A234" s="1192"/>
      <c r="B234" s="1192"/>
      <c r="C234" s="1192"/>
      <c r="D234" s="1192"/>
      <c r="E234" s="1173"/>
      <c r="F234" s="1173"/>
      <c r="G234" s="1173"/>
      <c r="H234" s="1173"/>
      <c r="I234" s="1173"/>
      <c r="J234" s="1173"/>
      <c r="K234" s="1173"/>
      <c r="L234" s="493" t="str" cm="1">
        <f t="array" ref="L234">IF(A234&lt;&gt;"",IFERROR(INDEX(PMtbl[[WKst]:[Unit of measure*]],MATCH($A$222&amp;$A234&amp;$E234&amp;$I234,INDEX(PMtbl[Sec]&amp;PMtbl[Category]&amp;PMtbl[Each]&amp;PMtbl[Packaging],0,),0),14),""),"")</f>
        <v/>
      </c>
      <c r="M234" s="480" t="str">
        <f>IF(L234="","",INDEX(SETUP!$E$20:$E$122,(MATCH(INDEX(PMsheet!$D:$E,MATCH(A234,PMsheet!E:E,0),1),SETUP!$D$20:$D$122,0))))</f>
        <v/>
      </c>
      <c r="N234" s="494">
        <f>IF($O234="USD",_xlfn.IFNA(VLOOKUP(A234&amp;E234&amp;I234,PMsheet!J:K,2,0),0),(_xlfn.IFNA(VLOOKUP(A234&amp;E234&amp;I234,PMsheet!J:K,2,0),0)*'Master Data-C19RM'!$C$2))</f>
        <v>0</v>
      </c>
      <c r="O234" s="495" t="str">
        <f>IF(L234="", "",SETUP!$E$7)</f>
        <v/>
      </c>
      <c r="P234" s="445">
        <f>IF($O234="USD",_xlfn.IFNA(VLOOKUP($A234&amp;$E234&amp;$I234,PMsheet!$J:$K,2,0),0),(_xlfn.IFNA(VLOOKUP($A234&amp;$E234&amp;$I234,PMsheet!$J:$K,2,0),0)*'Master Data-C19RM'!$C$2))</f>
        <v>0</v>
      </c>
      <c r="Q234" s="440"/>
      <c r="R234" s="440"/>
      <c r="S234" s="440"/>
      <c r="T234" s="440"/>
      <c r="U234" s="482">
        <f t="shared" si="34"/>
        <v>0</v>
      </c>
      <c r="V234" s="484">
        <f>IF(SETUP!$E$7="USD",(U234*(IF(O234="USD",P234,(P234/'Master Data-C19RM'!$C$2)))),(U234*(IF(O234="EUR",P234,(P234*'Master Data-C19RM'!$C$2)))))</f>
        <v>0</v>
      </c>
      <c r="W234" s="445">
        <f>IF($O234="USD",_xlfn.IFNA(VLOOKUP($A234&amp;$E234&amp;$I234,PMsheet!$J:$K,2,0),0),(_xlfn.IFNA(VLOOKUP($A234&amp;$E234&amp;$I234,PMsheet!$J:$K,2,0),0)*'Master Data-C19RM'!$D$2))</f>
        <v>0</v>
      </c>
      <c r="X234" s="440"/>
      <c r="Y234" s="440"/>
      <c r="Z234" s="440"/>
      <c r="AA234" s="440"/>
      <c r="AB234" s="482">
        <f t="shared" si="35"/>
        <v>0</v>
      </c>
      <c r="AC234" s="484">
        <f>IF(SETUP!$E$7="USD",(AB234*(IF(O234="USD",W234,(W234/'Master Data-C19RM'!$D$2)))),(AB234*(IF(O234="EUR",W234,(W234*'Master Data-C19RM'!$D$2)))))</f>
        <v>0</v>
      </c>
      <c r="AD234" s="445">
        <f>IF($O234="USD",_xlfn.IFNA(VLOOKUP($A234&amp;$E234&amp;$I234,PMsheet!$J:$K,2,0),0),(_xlfn.IFNA(VLOOKUP($A234&amp;$E234&amp;$I234,PMsheet!$J:$K,2,0),0)*'Master Data-C19RM'!$E$2))</f>
        <v>0</v>
      </c>
      <c r="AE234" s="440"/>
      <c r="AF234" s="440"/>
      <c r="AG234" s="440"/>
      <c r="AH234" s="440"/>
      <c r="AI234" s="514">
        <f t="shared" si="36"/>
        <v>0</v>
      </c>
      <c r="AJ234" s="515">
        <f>IF(SETUP!$E$7="USD",(AI234*(IF(O234="USD",AD234,(AD234/'Master Data-C19RM'!$E$2)))),(AI234*(IF(O234="EUR",AD234,(AD234*'Master Data-C19RM'!$E$2)))))</f>
        <v>0</v>
      </c>
      <c r="AK234" s="445">
        <f>IF($O234="USD",_xlfn.IFNA(VLOOKUP($A234&amp;$E234&amp;$I234,PMsheet!$J:$K,2,0),0),(_xlfn.IFNA(VLOOKUP($A234&amp;$E234&amp;$I234,PMsheet!$J:$K,2,0),0)*'Master Data-C19RM'!$F$2))</f>
        <v>0</v>
      </c>
      <c r="AL234" s="440"/>
      <c r="AM234" s="440"/>
      <c r="AN234" s="440"/>
      <c r="AO234" s="440"/>
      <c r="AP234" s="514">
        <f t="shared" si="37"/>
        <v>0</v>
      </c>
      <c r="AQ234" s="515">
        <f>IF(SETUP!$E$7="USD",(AP234*(IF(O234="USD",AK234,(AK234/'Master Data-C19RM'!$F$2)))),(AP234*(IF(O234="EUR",AK234,(AK234*'Master Data-C19RM'!$F$2)))))</f>
        <v>0</v>
      </c>
      <c r="AR234" s="457">
        <f>IF($O234="USD",_xlfn.IFNA(VLOOKUP($A234&amp;$E234&amp;$I234,PMsheet!$J:$K,2,0),0),(_xlfn.IFNA(VLOOKUP($A234&amp;$E234&amp;$I234,PMsheet!$J:$K,2,0),0)*'Master Data-C19RM'!$G$2))</f>
        <v>0</v>
      </c>
      <c r="AS234" s="926"/>
      <c r="AT234" s="926"/>
      <c r="AU234" s="926"/>
      <c r="AV234" s="926"/>
      <c r="AW234" s="514">
        <f t="shared" si="38"/>
        <v>0</v>
      </c>
      <c r="AX234" s="515">
        <f>IF(SETUP!$E$7="USD",(AW234*(IF(O234="USD",AR234,(AR234/'Master Data-C19RM'!$G$2)))),(AW234*(IF(O234="EUR",AR234,(AR234*'Master Data-C19RM'!$G$2)))))</f>
        <v>0</v>
      </c>
      <c r="AY234" s="845"/>
      <c r="AZ234" s="846"/>
      <c r="BA234" s="846"/>
      <c r="BB234" s="846"/>
      <c r="BC234" s="846"/>
      <c r="BD234" s="846"/>
      <c r="BE234" s="847"/>
      <c r="BF234" s="514">
        <f>'C19RM 2021-Lab &amp; Other HPS'!$U234+'C19RM 2021-Lab &amp; Other HPS'!$AB234+'C19RM 2021-Lab &amp; Other HPS'!$AP234+'C19RM 2021-Lab &amp; Other HPS'!$AI234+AW234+BD234</f>
        <v>0</v>
      </c>
      <c r="BG234" s="514">
        <f>'C19RM 2021-Lab &amp; Other HPS'!$V234+'C19RM 2021-Lab &amp; Other HPS'!$AC234+'C19RM 2021-Lab &amp; Other HPS'!$AQ234+'C19RM 2021-Lab &amp; Other HPS'!$AJ234+AX234+BE234</f>
        <v>0</v>
      </c>
      <c r="BH234" s="522" t="str" cm="1">
        <f t="array" ref="BH234">IF(A234&lt;&gt;"",IFERROR(INDEX(PMtbl[[WKst]:[Unit of measure*]],MATCH($A$222&amp;$A234&amp;$E234&amp;$I234,INDEX(PMtbl[Sec]&amp;PMtbl[Category]&amp;PMtbl[Each]&amp;PMtbl[Packaging],0,),0),11),""),"")</f>
        <v/>
      </c>
      <c r="BI234" s="818"/>
      <c r="BJ234" s="503" t="str" cm="1">
        <f t="array" ref="BJ234">IFERROR(INDEX(SETUP!$C$19:$G$121,MATCH((INDEX(PMtbl[[WKst]:[Unit of measure*]],MATCH($A234&amp;$E234&amp;$I234,INDEX(PMtbl[Category]&amp;PMtbl[Each]&amp;PMtbl[Packaging],0,),0),3)),SETUP!$D$19:$D$121,0),5),"")</f>
        <v/>
      </c>
      <c r="BK234" s="543" t="str" cm="1">
        <f t="array" ref="BK234">IFERROR(IF((INDEX(SETUP!$C$19:$G$121,MATCH((INDEX(PMtbl[[WKst]:[Unit of measure*]],MATCH($A234&amp;$E234&amp;$I234,INDEX(PMtbl[Category]&amp;PMtbl[Each]&amp;PMtbl[Packaging],0,),0),3)),SETUP!$D$19:$D$121,0),4))="Upfront",0,INDEX(SETUP!$C$19:$G$121,MATCH((INDEX(PMtbl[[WKst]:[Unit of measure*]],MATCH($A234&amp;$E234&amp;$I234,INDEX(PMtbl[Category]&amp;PMtbl[Each]&amp;PMtbl[Packaging],0,),0),3)),SETUP!$D$19:$D$121,0),5)),"")</f>
        <v/>
      </c>
      <c r="BL234" s="215" t="str" cm="1">
        <f t="array" ref="BL234">IF(A234&lt;&gt;"",IFERROR(INDEX(PMtbl[[WKst]:[Unit of measure*]],MATCH($A$222&amp;$A234&amp;$E234&amp;$I234,INDEX(PMtbl[Sec]&amp;PMtbl[Category]&amp;PMtbl[Each]&amp;PMtbl[Packaging],0,),0),11),""),"")</f>
        <v/>
      </c>
      <c r="BO234" s="12">
        <f>IF(N234="",0,IF(SETUP!$E$7="USD",((IF(O234="USD",P234,(P234/'Master Data-C19RM'!$C$2)))),((IF(O234="EUR",P234,(P234*'Master Data-C19RM'!$C$2))))))</f>
        <v>0</v>
      </c>
      <c r="BP234" s="12">
        <f>IF(N234="",0,IF(SETUP!$E$7="USD",((IF(O234="USD",W234,(W234/'Master Data-C19RM'!$D$2)))),((IF(O234="EUR",W234,(W234*'Master Data-C19RM'!$D$2))))))</f>
        <v>0</v>
      </c>
      <c r="BQ234">
        <f>IF(N234="",0,IF(SETUP!$E$7="USD",((IF(O234="USD",AD234,(AD234/'Master Data-C19RM'!$E$2)))),((IF(O234="EUR",AD234,(AD234*'Master Data-C19RM'!$E$2))))))</f>
        <v>0</v>
      </c>
      <c r="BR234">
        <f>IF(N234="",0,IF(SETUP!$E$7="USD",((IF(O234="USD",AK234,(AK234/'Master Data-C19RM'!$F$2)))),((IF(O234="EUR",AK234,(AK234*'Master Data-C19RM'!$F$2))))))</f>
        <v>0</v>
      </c>
      <c r="BS234">
        <f>IF(N234="",0,IF(SETUP!$E$7="USD",((IF(O234="USD",AR234,(AR234/'Master Data-C19RM'!$G$2)))),((IF(O234="EUR",AR234,(AR234*'Master Data-C19RM'!$G$2))))))</f>
        <v>0</v>
      </c>
      <c r="BT234">
        <f>IF(N234="",0,IF(SETUP!$E$7="USD",((IF(O234="USD",AY234,(AY234/'Master Data-C19RM'!$H$2)))),((IF(O234="EUR",AY234,(AY234*'Master Data-C19RM'!$H$2))))))</f>
        <v>0</v>
      </c>
      <c r="BU234" s="12">
        <f t="shared" si="32"/>
        <v>0</v>
      </c>
      <c r="BV234" s="142">
        <f t="shared" si="33"/>
        <v>0</v>
      </c>
    </row>
    <row r="235" spans="1:94" x14ac:dyDescent="0.35">
      <c r="A235" s="1165"/>
      <c r="B235" s="1165"/>
      <c r="C235" s="1165"/>
      <c r="D235" s="1165"/>
      <c r="E235" s="1166"/>
      <c r="F235" s="1166"/>
      <c r="G235" s="1166"/>
      <c r="H235" s="1166"/>
      <c r="I235" s="1166"/>
      <c r="J235" s="1166"/>
      <c r="K235" s="1166"/>
      <c r="L235" s="490" t="str" cm="1">
        <f t="array" ref="L235">IF(A235&lt;&gt;"",IFERROR(INDEX(PMtbl[[WKst]:[Unit of measure*]],MATCH($A$222&amp;$A235&amp;$E235&amp;$I235,INDEX(PMtbl[Sec]&amp;PMtbl[Category]&amp;PMtbl[Each]&amp;PMtbl[Packaging],0,),0),14),""),"")</f>
        <v/>
      </c>
      <c r="M235" s="479" t="str">
        <f>IF(L235="","",INDEX(SETUP!$E$20:$E$122,(MATCH(INDEX(PMsheet!$D:$E,MATCH(A235,PMsheet!E:E,0),1),SETUP!$D$20:$D$122,0))))</f>
        <v/>
      </c>
      <c r="N235" s="491">
        <f>IF($O235="USD",_xlfn.IFNA(VLOOKUP(A235&amp;E235&amp;I235,PMsheet!J:K,2,0),0),(_xlfn.IFNA(VLOOKUP(A235&amp;E235&amp;I235,PMsheet!J:K,2,0),0)*'Master Data-C19RM'!$C$2))</f>
        <v>0</v>
      </c>
      <c r="O235" s="492" t="str">
        <f>IF(L235="", "",SETUP!$E$7)</f>
        <v/>
      </c>
      <c r="P235" s="444">
        <f>IF($O235="USD",_xlfn.IFNA(VLOOKUP($A235&amp;$E235&amp;$I235,PMsheet!$J:$K,2,0),0),(_xlfn.IFNA(VLOOKUP($A235&amp;$E235&amp;$I235,PMsheet!$J:$K,2,0),0)*'Master Data-C19RM'!$C$2))</f>
        <v>0</v>
      </c>
      <c r="Q235" s="441"/>
      <c r="R235" s="441"/>
      <c r="S235" s="441"/>
      <c r="T235" s="441"/>
      <c r="U235" s="481">
        <f t="shared" si="34"/>
        <v>0</v>
      </c>
      <c r="V235" s="483">
        <f>IF(SETUP!$E$7="USD",(U235*(IF(O235="USD",P235,(P235/'Master Data-C19RM'!$C$2)))),(U235*(IF(O235="EUR",P235,(P235*'Master Data-C19RM'!$C$2)))))</f>
        <v>0</v>
      </c>
      <c r="W235" s="444">
        <f>IF($O235="USD",_xlfn.IFNA(VLOOKUP($A235&amp;$E235&amp;$I235,PMsheet!$J:$K,2,0),0),(_xlfn.IFNA(VLOOKUP($A235&amp;$E235&amp;$I235,PMsheet!$J:$K,2,0),0)*'Master Data-C19RM'!$D$2))</f>
        <v>0</v>
      </c>
      <c r="X235" s="441"/>
      <c r="Y235" s="441"/>
      <c r="Z235" s="441"/>
      <c r="AA235" s="441"/>
      <c r="AB235" s="481">
        <f t="shared" si="35"/>
        <v>0</v>
      </c>
      <c r="AC235" s="483">
        <f>IF(SETUP!$E$7="USD",(AB235*(IF(O235="USD",W235,(W235/'Master Data-C19RM'!$D$2)))),(AB235*(IF(O235="EUR",W235,(W235*'Master Data-C19RM'!$D$2)))))</f>
        <v>0</v>
      </c>
      <c r="AD235" s="444">
        <f>IF($O235="USD",_xlfn.IFNA(VLOOKUP($A235&amp;$E235&amp;$I235,PMsheet!$J:$K,2,0),0),(_xlfn.IFNA(VLOOKUP($A235&amp;$E235&amp;$I235,PMsheet!$J:$K,2,0),0)*'Master Data-C19RM'!$E$2))</f>
        <v>0</v>
      </c>
      <c r="AE235" s="441"/>
      <c r="AF235" s="441"/>
      <c r="AG235" s="441"/>
      <c r="AH235" s="441"/>
      <c r="AI235" s="512">
        <f t="shared" si="36"/>
        <v>0</v>
      </c>
      <c r="AJ235" s="513">
        <f>IF(SETUP!$E$7="USD",(AI235*(IF(O235="USD",AD235,(AD235/'Master Data-C19RM'!$E$2)))),(AI235*(IF(O235="EUR",AD235,(AD235*'Master Data-C19RM'!$E$2)))))</f>
        <v>0</v>
      </c>
      <c r="AK235" s="444">
        <f>IF($O235="USD",_xlfn.IFNA(VLOOKUP($A235&amp;$E235&amp;$I235,PMsheet!$J:$K,2,0),0),(_xlfn.IFNA(VLOOKUP($A235&amp;$E235&amp;$I235,PMsheet!$J:$K,2,0),0)*'Master Data-C19RM'!$F$2))</f>
        <v>0</v>
      </c>
      <c r="AL235" s="441"/>
      <c r="AM235" s="441"/>
      <c r="AN235" s="441"/>
      <c r="AO235" s="441"/>
      <c r="AP235" s="512">
        <f t="shared" si="37"/>
        <v>0</v>
      </c>
      <c r="AQ235" s="513">
        <f>IF(SETUP!$E$7="USD",(AP235*(IF(O235="USD",AK235,(AK235/'Master Data-C19RM'!$F$2)))),(AP235*(IF(O235="EUR",AK235,(AK235*'Master Data-C19RM'!$F$2)))))</f>
        <v>0</v>
      </c>
      <c r="AR235" s="456">
        <f>IF($O235="USD",_xlfn.IFNA(VLOOKUP($A235&amp;$E235&amp;$I235,PMsheet!$J:$K,2,0),0),(_xlfn.IFNA(VLOOKUP($A235&amp;$E235&amp;$I235,PMsheet!$J:$K,2,0),0)*'Master Data-C19RM'!$G$2))</f>
        <v>0</v>
      </c>
      <c r="AS235" s="572"/>
      <c r="AT235" s="572"/>
      <c r="AU235" s="572"/>
      <c r="AV235" s="572"/>
      <c r="AW235" s="512">
        <f t="shared" si="38"/>
        <v>0</v>
      </c>
      <c r="AX235" s="513">
        <f>IF(SETUP!$E$7="USD",(AW235*(IF(O235="USD",AR235,(AR235/'Master Data-C19RM'!$G$2)))),(AW235*(IF(O235="EUR",AR235,(AR235*'Master Data-C19RM'!$G$2)))))</f>
        <v>0</v>
      </c>
      <c r="AY235" s="845"/>
      <c r="AZ235" s="846"/>
      <c r="BA235" s="846"/>
      <c r="BB235" s="846"/>
      <c r="BC235" s="846"/>
      <c r="BD235" s="846"/>
      <c r="BE235" s="847"/>
      <c r="BF235" s="512">
        <f>'C19RM 2021-Lab &amp; Other HPS'!$U235+'C19RM 2021-Lab &amp; Other HPS'!$AB235+'C19RM 2021-Lab &amp; Other HPS'!$AP235+'C19RM 2021-Lab &amp; Other HPS'!$AI235+AW235+BD235</f>
        <v>0</v>
      </c>
      <c r="BG235" s="512">
        <f>'C19RM 2021-Lab &amp; Other HPS'!$V235+'C19RM 2021-Lab &amp; Other HPS'!$AC235+'C19RM 2021-Lab &amp; Other HPS'!$AQ235+'C19RM 2021-Lab &amp; Other HPS'!$AJ235+AX235+BE235</f>
        <v>0</v>
      </c>
      <c r="BH235" s="500" t="str" cm="1">
        <f t="array" ref="BH235">IF(A235&lt;&gt;"",IFERROR(INDEX(PMtbl[[WKst]:[Unit of measure*]],MATCH($A$222&amp;$A235&amp;$E235&amp;$I235,INDEX(PMtbl[Sec]&amp;PMtbl[Category]&amp;PMtbl[Each]&amp;PMtbl[Packaging],0,),0),11),""),"")</f>
        <v/>
      </c>
      <c r="BI235" s="819"/>
      <c r="BJ235" s="502" t="str" cm="1">
        <f t="array" ref="BJ235">IFERROR(INDEX(SETUP!$C$19:$G$121,MATCH((INDEX(PMtbl[[WKst]:[Unit of measure*]],MATCH($A235&amp;$E235&amp;$I235,INDEX(PMtbl[Category]&amp;PMtbl[Each]&amp;PMtbl[Packaging],0,),0),3)),SETUP!$D$19:$D$121,0),5),"")</f>
        <v/>
      </c>
      <c r="BK235" s="542" t="str" cm="1">
        <f t="array" ref="BK235">IFERROR(IF((INDEX(SETUP!$C$19:$G$121,MATCH((INDEX(PMtbl[[WKst]:[Unit of measure*]],MATCH($A235&amp;$E235&amp;$I235,INDEX(PMtbl[Category]&amp;PMtbl[Each]&amp;PMtbl[Packaging],0,),0),3)),SETUP!$D$19:$D$121,0),4))="Upfront",0,INDEX(SETUP!$C$19:$G$121,MATCH((INDEX(PMtbl[[WKst]:[Unit of measure*]],MATCH($A235&amp;$E235&amp;$I235,INDEX(PMtbl[Category]&amp;PMtbl[Each]&amp;PMtbl[Packaging],0,),0),3)),SETUP!$D$19:$D$121,0),5)),"")</f>
        <v/>
      </c>
      <c r="BL235" s="214" t="str" cm="1">
        <f t="array" ref="BL235">IF(A235&lt;&gt;"",IFERROR(INDEX(PMtbl[[WKst]:[Unit of measure*]],MATCH($A$222&amp;$A235&amp;$E235&amp;$I235,INDEX(PMtbl[Sec]&amp;PMtbl[Category]&amp;PMtbl[Each]&amp;PMtbl[Packaging],0,),0),11),""),"")</f>
        <v/>
      </c>
      <c r="BO235" s="12">
        <f>IF(N235="",0,IF(SETUP!$E$7="USD",((IF(O235="USD",P235,(P235/'Master Data-C19RM'!$C$2)))),((IF(O235="EUR",P235,(P235*'Master Data-C19RM'!$C$2))))))</f>
        <v>0</v>
      </c>
      <c r="BP235" s="12">
        <f>IF(N235="",0,IF(SETUP!$E$7="USD",((IF(O235="USD",W235,(W235/'Master Data-C19RM'!$D$2)))),((IF(O235="EUR",W235,(W235*'Master Data-C19RM'!$D$2))))))</f>
        <v>0</v>
      </c>
      <c r="BQ235">
        <f>IF(N235="",0,IF(SETUP!$E$7="USD",((IF(O235="USD",AD235,(AD235/'Master Data-C19RM'!$E$2)))),((IF(O235="EUR",AD235,(AD235*'Master Data-C19RM'!$E$2))))))</f>
        <v>0</v>
      </c>
      <c r="BR235">
        <f>IF(N235="",0,IF(SETUP!$E$7="USD",((IF(O235="USD",AK235,(AK235/'Master Data-C19RM'!$F$2)))),((IF(O235="EUR",AK235,(AK235*'Master Data-C19RM'!$F$2))))))</f>
        <v>0</v>
      </c>
      <c r="BS235">
        <f>IF(N235="",0,IF(SETUP!$E$7="USD",((IF(O235="USD",AR235,(AR235/'Master Data-C19RM'!$G$2)))),((IF(O235="EUR",AR235,(AR235*'Master Data-C19RM'!$G$2))))))</f>
        <v>0</v>
      </c>
      <c r="BT235">
        <f>IF(N235="",0,IF(SETUP!$E$7="USD",((IF(O235="USD",AY235,(AY235/'Master Data-C19RM'!$H$2)))),((IF(O235="EUR",AY235,(AY235*'Master Data-C19RM'!$H$2))))))</f>
        <v>0</v>
      </c>
      <c r="BU235" s="12">
        <f t="shared" si="32"/>
        <v>0</v>
      </c>
      <c r="BV235" s="142">
        <f t="shared" si="33"/>
        <v>0</v>
      </c>
    </row>
    <row r="236" spans="1:94" x14ac:dyDescent="0.35">
      <c r="A236" s="1192"/>
      <c r="B236" s="1192"/>
      <c r="C236" s="1192"/>
      <c r="D236" s="1192"/>
      <c r="E236" s="1173"/>
      <c r="F236" s="1173"/>
      <c r="G236" s="1173"/>
      <c r="H236" s="1173"/>
      <c r="I236" s="1173"/>
      <c r="J236" s="1173"/>
      <c r="K236" s="1173"/>
      <c r="L236" s="493" t="str" cm="1">
        <f t="array" ref="L236">IF(A236&lt;&gt;"",IFERROR(INDEX(PMtbl[[WKst]:[Unit of measure*]],MATCH($A$222&amp;$A236&amp;$E236&amp;$I236,INDEX(PMtbl[Sec]&amp;PMtbl[Category]&amp;PMtbl[Each]&amp;PMtbl[Packaging],0,),0),14),""),"")</f>
        <v/>
      </c>
      <c r="M236" s="480" t="str">
        <f>IF(L236="","",INDEX(SETUP!$E$20:$E$122,(MATCH(INDEX(PMsheet!$D:$E,MATCH(A236,PMsheet!E:E,0),1),SETUP!$D$20:$D$122,0))))</f>
        <v/>
      </c>
      <c r="N236" s="494">
        <f>IF($O236="USD",_xlfn.IFNA(VLOOKUP(A236&amp;E236&amp;I236,PMsheet!J:K,2,0),0),(_xlfn.IFNA(VLOOKUP(A236&amp;E236&amp;I236,PMsheet!J:K,2,0),0)*'Master Data-C19RM'!$C$2))</f>
        <v>0</v>
      </c>
      <c r="O236" s="495" t="str">
        <f>IF(L236="", "",SETUP!$E$7)</f>
        <v/>
      </c>
      <c r="P236" s="445">
        <f>IF($O236="USD",_xlfn.IFNA(VLOOKUP($A236&amp;$E236&amp;$I236,PMsheet!$J:$K,2,0),0),(_xlfn.IFNA(VLOOKUP($A236&amp;$E236&amp;$I236,PMsheet!$J:$K,2,0),0)*'Master Data-C19RM'!$C$2))</f>
        <v>0</v>
      </c>
      <c r="Q236" s="440"/>
      <c r="R236" s="440"/>
      <c r="S236" s="440"/>
      <c r="T236" s="440"/>
      <c r="U236" s="482">
        <f t="shared" si="34"/>
        <v>0</v>
      </c>
      <c r="V236" s="484">
        <f>IF(SETUP!$E$7="USD",(U236*(IF(O236="USD",P236,(P236/'Master Data-C19RM'!$C$2)))),(U236*(IF(O236="EUR",P236,(P236*'Master Data-C19RM'!$C$2)))))</f>
        <v>0</v>
      </c>
      <c r="W236" s="445">
        <f>IF($O236="USD",_xlfn.IFNA(VLOOKUP($A236&amp;$E236&amp;$I236,PMsheet!$J:$K,2,0),0),(_xlfn.IFNA(VLOOKUP($A236&amp;$E236&amp;$I236,PMsheet!$J:$K,2,0),0)*'Master Data-C19RM'!$D$2))</f>
        <v>0</v>
      </c>
      <c r="X236" s="440"/>
      <c r="Y236" s="440"/>
      <c r="Z236" s="440"/>
      <c r="AA236" s="440"/>
      <c r="AB236" s="482">
        <f t="shared" si="35"/>
        <v>0</v>
      </c>
      <c r="AC236" s="484">
        <f>IF(SETUP!$E$7="USD",(AB236*(IF(O236="USD",W236,(W236/'Master Data-C19RM'!$D$2)))),(AB236*(IF(O236="EUR",W236,(W236*'Master Data-C19RM'!$D$2)))))</f>
        <v>0</v>
      </c>
      <c r="AD236" s="445">
        <f>IF($O236="USD",_xlfn.IFNA(VLOOKUP($A236&amp;$E236&amp;$I236,PMsheet!$J:$K,2,0),0),(_xlfn.IFNA(VLOOKUP($A236&amp;$E236&amp;$I236,PMsheet!$J:$K,2,0),0)*'Master Data-C19RM'!$E$2))</f>
        <v>0</v>
      </c>
      <c r="AE236" s="440"/>
      <c r="AF236" s="440"/>
      <c r="AG236" s="440"/>
      <c r="AH236" s="440"/>
      <c r="AI236" s="514">
        <f t="shared" si="36"/>
        <v>0</v>
      </c>
      <c r="AJ236" s="515">
        <f>IF(SETUP!$E$7="USD",(AI236*(IF(O236="USD",AD236,(AD236/'Master Data-C19RM'!$E$2)))),(AI236*(IF(O236="EUR",AD236,(AD236*'Master Data-C19RM'!$E$2)))))</f>
        <v>0</v>
      </c>
      <c r="AK236" s="445">
        <f>IF($O236="USD",_xlfn.IFNA(VLOOKUP($A236&amp;$E236&amp;$I236,PMsheet!$J:$K,2,0),0),(_xlfn.IFNA(VLOOKUP($A236&amp;$E236&amp;$I236,PMsheet!$J:$K,2,0),0)*'Master Data-C19RM'!$F$2))</f>
        <v>0</v>
      </c>
      <c r="AL236" s="440"/>
      <c r="AM236" s="440"/>
      <c r="AN236" s="440"/>
      <c r="AO236" s="440"/>
      <c r="AP236" s="514">
        <f t="shared" si="37"/>
        <v>0</v>
      </c>
      <c r="AQ236" s="515">
        <f>IF(SETUP!$E$7="USD",(AP236*(IF(O236="USD",AK236,(AK236/'Master Data-C19RM'!$F$2)))),(AP236*(IF(O236="EUR",AK236,(AK236*'Master Data-C19RM'!$F$2)))))</f>
        <v>0</v>
      </c>
      <c r="AR236" s="457">
        <f>IF($O236="USD",_xlfn.IFNA(VLOOKUP($A236&amp;$E236&amp;$I236,PMsheet!$J:$K,2,0),0),(_xlfn.IFNA(VLOOKUP($A236&amp;$E236&amp;$I236,PMsheet!$J:$K,2,0),0)*'Master Data-C19RM'!$G$2))</f>
        <v>0</v>
      </c>
      <c r="AS236" s="926"/>
      <c r="AT236" s="926"/>
      <c r="AU236" s="926"/>
      <c r="AV236" s="926"/>
      <c r="AW236" s="514">
        <f t="shared" si="38"/>
        <v>0</v>
      </c>
      <c r="AX236" s="515">
        <f>IF(SETUP!$E$7="USD",(AW236*(IF(O236="USD",AR236,(AR236/'Master Data-C19RM'!$G$2)))),(AW236*(IF(O236="EUR",AR236,(AR236*'Master Data-C19RM'!$G$2)))))</f>
        <v>0</v>
      </c>
      <c r="AY236" s="845"/>
      <c r="AZ236" s="846"/>
      <c r="BA236" s="846"/>
      <c r="BB236" s="846"/>
      <c r="BC236" s="846"/>
      <c r="BD236" s="846"/>
      <c r="BE236" s="847"/>
      <c r="BF236" s="514">
        <f>'C19RM 2021-Lab &amp; Other HPS'!$U236+'C19RM 2021-Lab &amp; Other HPS'!$AB236+'C19RM 2021-Lab &amp; Other HPS'!$AP236+'C19RM 2021-Lab &amp; Other HPS'!$AI236+AW236+BD236</f>
        <v>0</v>
      </c>
      <c r="BG236" s="514">
        <f>'C19RM 2021-Lab &amp; Other HPS'!$V236+'C19RM 2021-Lab &amp; Other HPS'!$AC236+'C19RM 2021-Lab &amp; Other HPS'!$AQ236+'C19RM 2021-Lab &amp; Other HPS'!$AJ236+AX236+BE236</f>
        <v>0</v>
      </c>
      <c r="BH236" s="522" t="str" cm="1">
        <f t="array" ref="BH236">IF(A236&lt;&gt;"",IFERROR(INDEX(PMtbl[[WKst]:[Unit of measure*]],MATCH($A$222&amp;$A236&amp;$E236&amp;$I236,INDEX(PMtbl[Sec]&amp;PMtbl[Category]&amp;PMtbl[Each]&amp;PMtbl[Packaging],0,),0),11),""),"")</f>
        <v/>
      </c>
      <c r="BI236" s="818"/>
      <c r="BJ236" s="503" t="str" cm="1">
        <f t="array" ref="BJ236">IFERROR(INDEX(SETUP!$C$19:$G$121,MATCH((INDEX(PMtbl[[WKst]:[Unit of measure*]],MATCH($A236&amp;$E236&amp;$I236,INDEX(PMtbl[Category]&amp;PMtbl[Each]&amp;PMtbl[Packaging],0,),0),3)),SETUP!$D$19:$D$121,0),5),"")</f>
        <v/>
      </c>
      <c r="BK236" s="543" t="str" cm="1">
        <f t="array" ref="BK236">IFERROR(IF((INDEX(SETUP!$C$19:$G$121,MATCH((INDEX(PMtbl[[WKst]:[Unit of measure*]],MATCH($A236&amp;$E236&amp;$I236,INDEX(PMtbl[Category]&amp;PMtbl[Each]&amp;PMtbl[Packaging],0,),0),3)),SETUP!$D$19:$D$121,0),4))="Upfront",0,INDEX(SETUP!$C$19:$G$121,MATCH((INDEX(PMtbl[[WKst]:[Unit of measure*]],MATCH($A236&amp;$E236&amp;$I236,INDEX(PMtbl[Category]&amp;PMtbl[Each]&amp;PMtbl[Packaging],0,),0),3)),SETUP!$D$19:$D$121,0),5)),"")</f>
        <v/>
      </c>
      <c r="BL236" s="215" t="str" cm="1">
        <f t="array" ref="BL236">IF(A236&lt;&gt;"",IFERROR(INDEX(PMtbl[[WKst]:[Unit of measure*]],MATCH($A$222&amp;$A236&amp;$E236&amp;$I236,INDEX(PMtbl[Sec]&amp;PMtbl[Category]&amp;PMtbl[Each]&amp;PMtbl[Packaging],0,),0),11),""),"")</f>
        <v/>
      </c>
      <c r="BO236" s="12">
        <f>IF(N236="",0,IF(SETUP!$E$7="USD",((IF(O236="USD",P236,(P236/'Master Data-C19RM'!$C$2)))),((IF(O236="EUR",P236,(P236*'Master Data-C19RM'!$C$2))))))</f>
        <v>0</v>
      </c>
      <c r="BP236" s="12">
        <f>IF(N236="",0,IF(SETUP!$E$7="USD",((IF(O236="USD",W236,(W236/'Master Data-C19RM'!$D$2)))),((IF(O236="EUR",W236,(W236*'Master Data-C19RM'!$D$2))))))</f>
        <v>0</v>
      </c>
      <c r="BQ236">
        <f>IF(N236="",0,IF(SETUP!$E$7="USD",((IF(O236="USD",AD236,(AD236/'Master Data-C19RM'!$E$2)))),((IF(O236="EUR",AD236,(AD236*'Master Data-C19RM'!$E$2))))))</f>
        <v>0</v>
      </c>
      <c r="BR236">
        <f>IF(N236="",0,IF(SETUP!$E$7="USD",((IF(O236="USD",AK236,(AK236/'Master Data-C19RM'!$F$2)))),((IF(O236="EUR",AK236,(AK236*'Master Data-C19RM'!$F$2))))))</f>
        <v>0</v>
      </c>
      <c r="BS236">
        <f>IF(N236="",0,IF(SETUP!$E$7="USD",((IF(O236="USD",AR236,(AR236/'Master Data-C19RM'!$G$2)))),((IF(O236="EUR",AR236,(AR236*'Master Data-C19RM'!$G$2))))))</f>
        <v>0</v>
      </c>
      <c r="BT236">
        <f>IF(N236="",0,IF(SETUP!$E$7="USD",((IF(O236="USD",AY236,(AY236/'Master Data-C19RM'!$H$2)))),((IF(O236="EUR",AY236,(AY236*'Master Data-C19RM'!$H$2))))))</f>
        <v>0</v>
      </c>
      <c r="BU236" s="12">
        <f t="shared" si="32"/>
        <v>0</v>
      </c>
      <c r="BV236" s="142">
        <f t="shared" si="33"/>
        <v>0</v>
      </c>
    </row>
    <row r="237" spans="1:94" x14ac:dyDescent="0.35">
      <c r="A237" s="1165"/>
      <c r="B237" s="1165"/>
      <c r="C237" s="1165"/>
      <c r="D237" s="1165"/>
      <c r="E237" s="1166"/>
      <c r="F237" s="1166"/>
      <c r="G237" s="1166"/>
      <c r="H237" s="1166"/>
      <c r="I237" s="1166"/>
      <c r="J237" s="1166"/>
      <c r="K237" s="1166"/>
      <c r="L237" s="490" t="str" cm="1">
        <f t="array" ref="L237">IF(A237&lt;&gt;"",IFERROR(INDEX(PMtbl[[WKst]:[Unit of measure*]],MATCH($A$222&amp;$A237&amp;$E237&amp;$I237,INDEX(PMtbl[Sec]&amp;PMtbl[Category]&amp;PMtbl[Each]&amp;PMtbl[Packaging],0,),0),14),""),"")</f>
        <v/>
      </c>
      <c r="M237" s="479" t="str">
        <f>IF(L237="","",INDEX(SETUP!$E$20:$E$122,(MATCH(INDEX(PMsheet!$D:$E,MATCH(A237,PMsheet!E:E,0),1),SETUP!$D$20:$D$122,0))))</f>
        <v/>
      </c>
      <c r="N237" s="491">
        <f>IF($O237="USD",_xlfn.IFNA(VLOOKUP(A237&amp;E237&amp;I237,PMsheet!J:K,2,0),0),(_xlfn.IFNA(VLOOKUP(A237&amp;E237&amp;I237,PMsheet!J:K,2,0),0)*'Master Data-C19RM'!$C$2))</f>
        <v>0</v>
      </c>
      <c r="O237" s="492" t="str">
        <f>IF(L237="", "",SETUP!$E$7)</f>
        <v/>
      </c>
      <c r="P237" s="444">
        <f>IF($O237="USD",_xlfn.IFNA(VLOOKUP($A237&amp;$E237&amp;$I237,PMsheet!$J:$K,2,0),0),(_xlfn.IFNA(VLOOKUP($A237&amp;$E237&amp;$I237,PMsheet!$J:$K,2,0),0)*'Master Data-C19RM'!$C$2))</f>
        <v>0</v>
      </c>
      <c r="Q237" s="441"/>
      <c r="R237" s="441"/>
      <c r="S237" s="441"/>
      <c r="T237" s="441"/>
      <c r="U237" s="481">
        <f t="shared" si="34"/>
        <v>0</v>
      </c>
      <c r="V237" s="483">
        <f>IF(SETUP!$E$7="USD",(U237*(IF(O237="USD",P237,(P237/'Master Data-C19RM'!$C$2)))),(U237*(IF(O237="EUR",P237,(P237*'Master Data-C19RM'!$C$2)))))</f>
        <v>0</v>
      </c>
      <c r="W237" s="444">
        <f>IF($O237="USD",_xlfn.IFNA(VLOOKUP($A237&amp;$E237&amp;$I237,PMsheet!$J:$K,2,0),0),(_xlfn.IFNA(VLOOKUP($A237&amp;$E237&amp;$I237,PMsheet!$J:$K,2,0),0)*'Master Data-C19RM'!$D$2))</f>
        <v>0</v>
      </c>
      <c r="X237" s="441"/>
      <c r="Y237" s="441"/>
      <c r="Z237" s="441"/>
      <c r="AA237" s="441"/>
      <c r="AB237" s="481">
        <f t="shared" si="35"/>
        <v>0</v>
      </c>
      <c r="AC237" s="483">
        <f>IF(SETUP!$E$7="USD",(AB237*(IF(O237="USD",W237,(W237/'Master Data-C19RM'!$D$2)))),(AB237*(IF(O237="EUR",W237,(W237*'Master Data-C19RM'!$D$2)))))</f>
        <v>0</v>
      </c>
      <c r="AD237" s="444">
        <f>IF($O237="USD",_xlfn.IFNA(VLOOKUP($A237&amp;$E237&amp;$I237,PMsheet!$J:$K,2,0),0),(_xlfn.IFNA(VLOOKUP($A237&amp;$E237&amp;$I237,PMsheet!$J:$K,2,0),0)*'Master Data-C19RM'!$E$2))</f>
        <v>0</v>
      </c>
      <c r="AE237" s="441"/>
      <c r="AF237" s="441"/>
      <c r="AG237" s="441"/>
      <c r="AH237" s="441"/>
      <c r="AI237" s="512">
        <f t="shared" si="36"/>
        <v>0</v>
      </c>
      <c r="AJ237" s="513">
        <f>IF(SETUP!$E$7="USD",(AI237*(IF(O237="USD",AD237,(AD237/'Master Data-C19RM'!$E$2)))),(AI237*(IF(O237="EUR",AD237,(AD237*'Master Data-C19RM'!$E$2)))))</f>
        <v>0</v>
      </c>
      <c r="AK237" s="444">
        <f>IF($O237="USD",_xlfn.IFNA(VLOOKUP($A237&amp;$E237&amp;$I237,PMsheet!$J:$K,2,0),0),(_xlfn.IFNA(VLOOKUP($A237&amp;$E237&amp;$I237,PMsheet!$J:$K,2,0),0)*'Master Data-C19RM'!$F$2))</f>
        <v>0</v>
      </c>
      <c r="AL237" s="441"/>
      <c r="AM237" s="441"/>
      <c r="AN237" s="441"/>
      <c r="AO237" s="441"/>
      <c r="AP237" s="512">
        <f t="shared" si="37"/>
        <v>0</v>
      </c>
      <c r="AQ237" s="513">
        <f>IF(SETUP!$E$7="USD",(AP237*(IF(O237="USD",AK237,(AK237/'Master Data-C19RM'!$F$2)))),(AP237*(IF(O237="EUR",AK237,(AK237*'Master Data-C19RM'!$F$2)))))</f>
        <v>0</v>
      </c>
      <c r="AR237" s="456">
        <f>IF($O237="USD",_xlfn.IFNA(VLOOKUP($A237&amp;$E237&amp;$I237,PMsheet!$J:$K,2,0),0),(_xlfn.IFNA(VLOOKUP($A237&amp;$E237&amp;$I237,PMsheet!$J:$K,2,0),0)*'Master Data-C19RM'!$G$2))</f>
        <v>0</v>
      </c>
      <c r="AS237" s="572"/>
      <c r="AT237" s="572"/>
      <c r="AU237" s="572"/>
      <c r="AV237" s="572"/>
      <c r="AW237" s="512">
        <f t="shared" si="38"/>
        <v>0</v>
      </c>
      <c r="AX237" s="513">
        <f>IF(SETUP!$E$7="USD",(AW237*(IF(O237="USD",AR237,(AR237/'Master Data-C19RM'!$G$2)))),(AW237*(IF(O237="EUR",AR237,(AR237*'Master Data-C19RM'!$G$2)))))</f>
        <v>0</v>
      </c>
      <c r="AY237" s="845"/>
      <c r="AZ237" s="846"/>
      <c r="BA237" s="846"/>
      <c r="BB237" s="846"/>
      <c r="BC237" s="846"/>
      <c r="BD237" s="846"/>
      <c r="BE237" s="847"/>
      <c r="BF237" s="512">
        <f>'C19RM 2021-Lab &amp; Other HPS'!$U237+'C19RM 2021-Lab &amp; Other HPS'!$AB237+'C19RM 2021-Lab &amp; Other HPS'!$AP237+'C19RM 2021-Lab &amp; Other HPS'!$AI237+AW237+BD237</f>
        <v>0</v>
      </c>
      <c r="BG237" s="512">
        <f>'C19RM 2021-Lab &amp; Other HPS'!$V237+'C19RM 2021-Lab &amp; Other HPS'!$AC237+'C19RM 2021-Lab &amp; Other HPS'!$AQ237+'C19RM 2021-Lab &amp; Other HPS'!$AJ237+AX237+BE237</f>
        <v>0</v>
      </c>
      <c r="BH237" s="500" t="str" cm="1">
        <f t="array" ref="BH237">IF(A237&lt;&gt;"",IFERROR(INDEX(PMtbl[[WKst]:[Unit of measure*]],MATCH($A$222&amp;$A237&amp;$E237&amp;$I237,INDEX(PMtbl[Sec]&amp;PMtbl[Category]&amp;PMtbl[Each]&amp;PMtbl[Packaging],0,),0),11),""),"")</f>
        <v/>
      </c>
      <c r="BI237" s="819"/>
      <c r="BJ237" s="526" t="str" cm="1">
        <f t="array" ref="BJ237">IFERROR(INDEX(SETUP!$C$19:$G$121,MATCH((INDEX(PMtbl[[WKst]:[Unit of measure*]],MATCH($A237&amp;$E237&amp;$I237,INDEX(PMtbl[Category]&amp;PMtbl[Each]&amp;PMtbl[Packaging],0,),0),3)),SETUP!$D$19:$D$121,0),5),"")</f>
        <v/>
      </c>
      <c r="BK237" s="544" t="str" cm="1">
        <f t="array" ref="BK237">IFERROR(IF((INDEX(SETUP!$C$19:$G$121,MATCH((INDEX(PMtbl[[WKst]:[Unit of measure*]],MATCH($A237&amp;$E237&amp;$I237,INDEX(PMtbl[Category]&amp;PMtbl[Each]&amp;PMtbl[Packaging],0,),0),3)),SETUP!$D$19:$D$121,0),4))="Upfront",0,INDEX(SETUP!$C$19:$G$121,MATCH((INDEX(PMtbl[[WKst]:[Unit of measure*]],MATCH($A237&amp;$E237&amp;$I237,INDEX(PMtbl[Category]&amp;PMtbl[Each]&amp;PMtbl[Packaging],0,),0),3)),SETUP!$D$19:$D$121,0),5)),"")</f>
        <v/>
      </c>
      <c r="BL237" s="214" t="str" cm="1">
        <f t="array" ref="BL237">IF(A237&lt;&gt;"",IFERROR(INDEX(PMtbl[[WKst]:[Unit of measure*]],MATCH($A$222&amp;$A237&amp;$E237&amp;$I237,INDEX(PMtbl[Sec]&amp;PMtbl[Category]&amp;PMtbl[Each]&amp;PMtbl[Packaging],0,),0),11),""),"")</f>
        <v/>
      </c>
      <c r="BO237" s="12">
        <f>IF(N237="",0,IF(SETUP!$E$7="USD",((IF(O237="USD",P237,(P237/'Master Data-C19RM'!$C$2)))),((IF(O237="EUR",P237,(P237*'Master Data-C19RM'!$C$2))))))</f>
        <v>0</v>
      </c>
      <c r="BP237" s="12">
        <f>IF(N237="",0,IF(SETUP!$E$7="USD",((IF(O237="USD",W237,(W237/'Master Data-C19RM'!$D$2)))),((IF(O237="EUR",W237,(W237*'Master Data-C19RM'!$D$2))))))</f>
        <v>0</v>
      </c>
      <c r="BQ237">
        <f>IF(N237="",0,IF(SETUP!$E$7="USD",((IF(O237="USD",AD237,(AD237/'Master Data-C19RM'!$E$2)))),((IF(O237="EUR",AD237,(AD237*'Master Data-C19RM'!$E$2))))))</f>
        <v>0</v>
      </c>
      <c r="BR237">
        <f>IF(N237="",0,IF(SETUP!$E$7="USD",((IF(O237="USD",AK237,(AK237/'Master Data-C19RM'!$F$2)))),((IF(O237="EUR",AK237,(AK237*'Master Data-C19RM'!$F$2))))))</f>
        <v>0</v>
      </c>
      <c r="BS237">
        <f>IF(N237="",0,IF(SETUP!$E$7="USD",((IF(O237="USD",AR237,(AR237/'Master Data-C19RM'!$G$2)))),((IF(O237="EUR",AR237,(AR237*'Master Data-C19RM'!$G$2))))))</f>
        <v>0</v>
      </c>
      <c r="BT237">
        <f>IF(N237="",0,IF(SETUP!$E$7="USD",((IF(O237="USD",AY237,(AY237/'Master Data-C19RM'!$H$2)))),((IF(O237="EUR",AY237,(AY237*'Master Data-C19RM'!$H$2))))))</f>
        <v>0</v>
      </c>
      <c r="BU237" s="12">
        <f t="shared" si="32"/>
        <v>0</v>
      </c>
      <c r="BV237" s="142">
        <f t="shared" si="33"/>
        <v>0</v>
      </c>
    </row>
    <row r="238" spans="1:94" x14ac:dyDescent="0.35">
      <c r="A238" s="1192"/>
      <c r="B238" s="1192"/>
      <c r="C238" s="1192"/>
      <c r="D238" s="1192"/>
      <c r="E238" s="1173"/>
      <c r="F238" s="1173"/>
      <c r="G238" s="1173"/>
      <c r="H238" s="1173"/>
      <c r="I238" s="1173"/>
      <c r="J238" s="1173"/>
      <c r="K238" s="1173"/>
      <c r="L238" s="493" t="str" cm="1">
        <f t="array" ref="L238">IF(A238&lt;&gt;"",IFERROR(INDEX(PMtbl[[WKst]:[Unit of measure*]],MATCH($A$222&amp;$A238&amp;$E238&amp;$I238,INDEX(PMtbl[Sec]&amp;PMtbl[Category]&amp;PMtbl[Each]&amp;PMtbl[Packaging],0,),0),14),""),"")</f>
        <v/>
      </c>
      <c r="M238" s="480" t="str">
        <f>IF(L238="","",INDEX(SETUP!$E$20:$E$122,(MATCH(INDEX(PMsheet!$D:$E,MATCH(A238,PMsheet!E:E,0),1),SETUP!$D$20:$D$122,0))))</f>
        <v/>
      </c>
      <c r="N238" s="494">
        <f>IF($O238="USD",_xlfn.IFNA(VLOOKUP(A238&amp;E238&amp;I238,PMsheet!J:K,2,0),0),(_xlfn.IFNA(VLOOKUP(A238&amp;E238&amp;I238,PMsheet!J:K,2,0),0)*'Master Data-C19RM'!$C$2))</f>
        <v>0</v>
      </c>
      <c r="O238" s="495" t="str">
        <f>IF(L238="", "",SETUP!$E$7)</f>
        <v/>
      </c>
      <c r="P238" s="445">
        <f>IF($O238="USD",_xlfn.IFNA(VLOOKUP($A238&amp;$E238&amp;$I238,PMsheet!$J:$K,2,0),0),(_xlfn.IFNA(VLOOKUP($A238&amp;$E238&amp;$I238,PMsheet!$J:$K,2,0),0)*'Master Data-C19RM'!$C$2))</f>
        <v>0</v>
      </c>
      <c r="Q238" s="440"/>
      <c r="R238" s="440"/>
      <c r="S238" s="440"/>
      <c r="T238" s="440"/>
      <c r="U238" s="482">
        <f t="shared" si="34"/>
        <v>0</v>
      </c>
      <c r="V238" s="484">
        <f>IF(SETUP!$E$7="USD",(U238*(IF(O238="USD",P238,(P238/'Master Data-C19RM'!$C$2)))),(U238*(IF(O238="EUR",P238,(P238*'Master Data-C19RM'!$C$2)))))</f>
        <v>0</v>
      </c>
      <c r="W238" s="445">
        <f>IF($O238="USD",_xlfn.IFNA(VLOOKUP($A238&amp;$E238&amp;$I238,PMsheet!$J:$K,2,0),0),(_xlfn.IFNA(VLOOKUP($A238&amp;$E238&amp;$I238,PMsheet!$J:$K,2,0),0)*'Master Data-C19RM'!$D$2))</f>
        <v>0</v>
      </c>
      <c r="X238" s="440"/>
      <c r="Y238" s="440"/>
      <c r="Z238" s="440"/>
      <c r="AA238" s="440"/>
      <c r="AB238" s="482">
        <f t="shared" si="35"/>
        <v>0</v>
      </c>
      <c r="AC238" s="484">
        <f>IF(SETUP!$E$7="USD",(AB238*(IF(O238="USD",W238,(W238/'Master Data-C19RM'!$D$2)))),(AB238*(IF(O238="EUR",W238,(W238*'Master Data-C19RM'!$D$2)))))</f>
        <v>0</v>
      </c>
      <c r="AD238" s="445">
        <f>IF($O238="USD",_xlfn.IFNA(VLOOKUP($A238&amp;$E238&amp;$I238,PMsheet!$J:$K,2,0),0),(_xlfn.IFNA(VLOOKUP($A238&amp;$E238&amp;$I238,PMsheet!$J:$K,2,0),0)*'Master Data-C19RM'!$E$2))</f>
        <v>0</v>
      </c>
      <c r="AE238" s="440"/>
      <c r="AF238" s="440"/>
      <c r="AG238" s="440"/>
      <c r="AH238" s="440"/>
      <c r="AI238" s="514">
        <f t="shared" si="36"/>
        <v>0</v>
      </c>
      <c r="AJ238" s="515">
        <f>IF(SETUP!$E$7="USD",(AI238*(IF(O238="USD",AD238,(AD238/'Master Data-C19RM'!$E$2)))),(AI238*(IF(O238="EUR",AD238,(AD238*'Master Data-C19RM'!$E$2)))))</f>
        <v>0</v>
      </c>
      <c r="AK238" s="445">
        <f>IF($O238="USD",_xlfn.IFNA(VLOOKUP($A238&amp;$E238&amp;$I238,PMsheet!$J:$K,2,0),0),(_xlfn.IFNA(VLOOKUP($A238&amp;$E238&amp;$I238,PMsheet!$J:$K,2,0),0)*'Master Data-C19RM'!$F$2))</f>
        <v>0</v>
      </c>
      <c r="AL238" s="440"/>
      <c r="AM238" s="440"/>
      <c r="AN238" s="440"/>
      <c r="AO238" s="440"/>
      <c r="AP238" s="514">
        <f t="shared" si="37"/>
        <v>0</v>
      </c>
      <c r="AQ238" s="515">
        <f>IF(SETUP!$E$7="USD",(AP238*(IF(O238="USD",AK238,(AK238/'Master Data-C19RM'!$F$2)))),(AP238*(IF(O238="EUR",AK238,(AK238*'Master Data-C19RM'!$F$2)))))</f>
        <v>0</v>
      </c>
      <c r="AR238" s="457">
        <f>IF($O238="USD",_xlfn.IFNA(VLOOKUP($A238&amp;$E238&amp;$I238,PMsheet!$J:$K,2,0),0),(_xlfn.IFNA(VLOOKUP($A238&amp;$E238&amp;$I238,PMsheet!$J:$K,2,0),0)*'Master Data-C19RM'!$G$2))</f>
        <v>0</v>
      </c>
      <c r="AS238" s="926"/>
      <c r="AT238" s="926"/>
      <c r="AU238" s="926"/>
      <c r="AV238" s="926"/>
      <c r="AW238" s="514">
        <f t="shared" si="38"/>
        <v>0</v>
      </c>
      <c r="AX238" s="515">
        <f>IF(SETUP!$E$7="USD",(AW238*(IF(O238="USD",AR238,(AR238/'Master Data-C19RM'!$G$2)))),(AW238*(IF(O238="EUR",AR238,(AR238*'Master Data-C19RM'!$G$2)))))</f>
        <v>0</v>
      </c>
      <c r="AY238" s="845"/>
      <c r="AZ238" s="846"/>
      <c r="BA238" s="846"/>
      <c r="BB238" s="846"/>
      <c r="BC238" s="846"/>
      <c r="BD238" s="846"/>
      <c r="BE238" s="847"/>
      <c r="BF238" s="514">
        <f>'C19RM 2021-Lab &amp; Other HPS'!$U238+'C19RM 2021-Lab &amp; Other HPS'!$AB238+'C19RM 2021-Lab &amp; Other HPS'!$AP238+'C19RM 2021-Lab &amp; Other HPS'!$AI238+AW238+BD238</f>
        <v>0</v>
      </c>
      <c r="BG238" s="514">
        <f>'C19RM 2021-Lab &amp; Other HPS'!$V238+'C19RM 2021-Lab &amp; Other HPS'!$AC238+'C19RM 2021-Lab &amp; Other HPS'!$AQ238+'C19RM 2021-Lab &amp; Other HPS'!$AJ238+AX238+BE238</f>
        <v>0</v>
      </c>
      <c r="BH238" s="522" t="str" cm="1">
        <f t="array" ref="BH238">IF(A238&lt;&gt;"",IFERROR(INDEX(PMtbl[[WKst]:[Unit of measure*]],MATCH($A$222&amp;$A238&amp;$E238&amp;$I238,INDEX(PMtbl[Sec]&amp;PMtbl[Category]&amp;PMtbl[Each]&amp;PMtbl[Packaging],0,),0),11),""),"")</f>
        <v/>
      </c>
      <c r="BI238" s="818"/>
      <c r="BJ238" s="503" t="str" cm="1">
        <f t="array" ref="BJ238">IFERROR(INDEX(SETUP!$C$19:$G$121,MATCH((INDEX(PMtbl[[WKst]:[Unit of measure*]],MATCH($A238&amp;$E238&amp;$I238,INDEX(PMtbl[Category]&amp;PMtbl[Each]&amp;PMtbl[Packaging],0,),0),3)),SETUP!$D$19:$D$121,0),5),"")</f>
        <v/>
      </c>
      <c r="BK238" s="543" t="str" cm="1">
        <f t="array" ref="BK238">IFERROR(IF((INDEX(SETUP!$C$19:$G$121,MATCH((INDEX(PMtbl[[WKst]:[Unit of measure*]],MATCH($A238&amp;$E238&amp;$I238,INDEX(PMtbl[Category]&amp;PMtbl[Each]&amp;PMtbl[Packaging],0,),0),3)),SETUP!$D$19:$D$121,0),4))="Upfront",0,INDEX(SETUP!$C$19:$G$121,MATCH((INDEX(PMtbl[[WKst]:[Unit of measure*]],MATCH($A238&amp;$E238&amp;$I238,INDEX(PMtbl[Category]&amp;PMtbl[Each]&amp;PMtbl[Packaging],0,),0),3)),SETUP!$D$19:$D$121,0),5)),"")</f>
        <v/>
      </c>
      <c r="BL238" s="215" t="str" cm="1">
        <f t="array" ref="BL238">IF(A238&lt;&gt;"",IFERROR(INDEX(PMtbl[[WKst]:[Unit of measure*]],MATCH($A$222&amp;$A238&amp;$E238&amp;$I238,INDEX(PMtbl[Sec]&amp;PMtbl[Category]&amp;PMtbl[Each]&amp;PMtbl[Packaging],0,),0),11),""),"")</f>
        <v/>
      </c>
      <c r="BO238" s="12">
        <f>IF(N238="",0,IF(SETUP!$E$7="USD",((IF(O238="USD",P238,(P238/'Master Data-C19RM'!$C$2)))),((IF(O238="EUR",P238,(P238*'Master Data-C19RM'!$C$2))))))</f>
        <v>0</v>
      </c>
      <c r="BP238" s="12">
        <f>IF(N238="",0,IF(SETUP!$E$7="USD",((IF(O238="USD",W238,(W238/'Master Data-C19RM'!$D$2)))),((IF(O238="EUR",W238,(W238*'Master Data-C19RM'!$D$2))))))</f>
        <v>0</v>
      </c>
      <c r="BQ238">
        <f>IF(N238="",0,IF(SETUP!$E$7="USD",((IF(O238="USD",AD238,(AD238/'Master Data-C19RM'!$E$2)))),((IF(O238="EUR",AD238,(AD238*'Master Data-C19RM'!$E$2))))))</f>
        <v>0</v>
      </c>
      <c r="BR238">
        <f>IF(N238="",0,IF(SETUP!$E$7="USD",((IF(O238="USD",AK238,(AK238/'Master Data-C19RM'!$F$2)))),((IF(O238="EUR",AK238,(AK238*'Master Data-C19RM'!$F$2))))))</f>
        <v>0</v>
      </c>
      <c r="BS238">
        <f>IF(N238="",0,IF(SETUP!$E$7="USD",((IF(O238="USD",AR238,(AR238/'Master Data-C19RM'!$G$2)))),((IF(O238="EUR",AR238,(AR238*'Master Data-C19RM'!$G$2))))))</f>
        <v>0</v>
      </c>
      <c r="BT238">
        <f>IF(N238="",0,IF(SETUP!$E$7="USD",((IF(O238="USD",AY238,(AY238/'Master Data-C19RM'!$H$2)))),((IF(O238="EUR",AY238,(AY238*'Master Data-C19RM'!$H$2))))))</f>
        <v>0</v>
      </c>
      <c r="BU238" s="12">
        <f t="shared" si="32"/>
        <v>0</v>
      </c>
      <c r="BV238" s="142">
        <f t="shared" si="33"/>
        <v>0</v>
      </c>
    </row>
    <row r="239" spans="1:94" x14ac:dyDescent="0.35">
      <c r="A239" s="1165"/>
      <c r="B239" s="1165"/>
      <c r="C239" s="1165"/>
      <c r="D239" s="1165"/>
      <c r="E239" s="1166"/>
      <c r="F239" s="1166"/>
      <c r="G239" s="1166"/>
      <c r="H239" s="1166"/>
      <c r="I239" s="1166"/>
      <c r="J239" s="1166"/>
      <c r="K239" s="1166"/>
      <c r="L239" s="490" t="str" cm="1">
        <f t="array" ref="L239">IF(A239&lt;&gt;"",IFERROR(INDEX(PMtbl[[WKst]:[Unit of measure*]],MATCH($A$222&amp;$A239&amp;$E239&amp;$I239,INDEX(PMtbl[Sec]&amp;PMtbl[Category]&amp;PMtbl[Each]&amp;PMtbl[Packaging],0,),0),14),""),"")</f>
        <v/>
      </c>
      <c r="M239" s="479" t="str">
        <f>IF(L239="","",INDEX(SETUP!$E$20:$E$122,(MATCH(INDEX(PMsheet!$D:$E,MATCH(A239,PMsheet!E:E,0),1),SETUP!$D$20:$D$122,0))))</f>
        <v/>
      </c>
      <c r="N239" s="491">
        <f>IF($O239="USD",_xlfn.IFNA(VLOOKUP(A239&amp;E239&amp;I239,PMsheet!J:K,2,0),0),(_xlfn.IFNA(VLOOKUP(A239&amp;E239&amp;I239,PMsheet!J:K,2,0),0)*'Master Data-C19RM'!$C$2))</f>
        <v>0</v>
      </c>
      <c r="O239" s="492" t="str">
        <f>IF(L239="", "",SETUP!$E$7)</f>
        <v/>
      </c>
      <c r="P239" s="444">
        <f>IF($O239="USD",_xlfn.IFNA(VLOOKUP($A239&amp;$E239&amp;$I239,PMsheet!$J:$K,2,0),0),(_xlfn.IFNA(VLOOKUP($A239&amp;$E239&amp;$I239,PMsheet!$J:$K,2,0),0)*'Master Data-C19RM'!$C$2))</f>
        <v>0</v>
      </c>
      <c r="Q239" s="441"/>
      <c r="R239" s="441"/>
      <c r="S239" s="441"/>
      <c r="T239" s="441"/>
      <c r="U239" s="481">
        <f t="shared" si="34"/>
        <v>0</v>
      </c>
      <c r="V239" s="483">
        <f>IF(SETUP!$E$7="USD",(U239*(IF(O239="USD",P239,(P239/'Master Data-C19RM'!$C$2)))),(U239*(IF(O239="EUR",P239,(P239*'Master Data-C19RM'!$C$2)))))</f>
        <v>0</v>
      </c>
      <c r="W239" s="444">
        <f>IF($O239="USD",_xlfn.IFNA(VLOOKUP($A239&amp;$E239&amp;$I239,PMsheet!$J:$K,2,0),0),(_xlfn.IFNA(VLOOKUP($A239&amp;$E239&amp;$I239,PMsheet!$J:$K,2,0),0)*'Master Data-C19RM'!$D$2))</f>
        <v>0</v>
      </c>
      <c r="X239" s="441"/>
      <c r="Y239" s="441"/>
      <c r="Z239" s="441"/>
      <c r="AA239" s="441"/>
      <c r="AB239" s="481">
        <f t="shared" si="35"/>
        <v>0</v>
      </c>
      <c r="AC239" s="483">
        <f>IF(SETUP!$E$7="USD",(AB239*(IF(O239="USD",W239,(W239/'Master Data-C19RM'!$D$2)))),(AB239*(IF(O239="EUR",W239,(W239*'Master Data-C19RM'!$D$2)))))</f>
        <v>0</v>
      </c>
      <c r="AD239" s="444">
        <f>IF($O239="USD",_xlfn.IFNA(VLOOKUP($A239&amp;$E239&amp;$I239,PMsheet!$J:$K,2,0),0),(_xlfn.IFNA(VLOOKUP($A239&amp;$E239&amp;$I239,PMsheet!$J:$K,2,0),0)*'Master Data-C19RM'!$E$2))</f>
        <v>0</v>
      </c>
      <c r="AE239" s="441"/>
      <c r="AF239" s="441"/>
      <c r="AG239" s="441"/>
      <c r="AH239" s="441"/>
      <c r="AI239" s="512">
        <f t="shared" si="36"/>
        <v>0</v>
      </c>
      <c r="AJ239" s="513">
        <f>IF(SETUP!$E$7="USD",(AI239*(IF(O239="USD",AD239,(AD239/'Master Data-C19RM'!$E$2)))),(AI239*(IF(O239="EUR",AD239,(AD239*'Master Data-C19RM'!$E$2)))))</f>
        <v>0</v>
      </c>
      <c r="AK239" s="444">
        <f>IF($O239="USD",_xlfn.IFNA(VLOOKUP($A239&amp;$E239&amp;$I239,PMsheet!$J:$K,2,0),0),(_xlfn.IFNA(VLOOKUP($A239&amp;$E239&amp;$I239,PMsheet!$J:$K,2,0),0)*'Master Data-C19RM'!$F$2))</f>
        <v>0</v>
      </c>
      <c r="AL239" s="441"/>
      <c r="AM239" s="441"/>
      <c r="AN239" s="441"/>
      <c r="AO239" s="441"/>
      <c r="AP239" s="512">
        <f t="shared" si="37"/>
        <v>0</v>
      </c>
      <c r="AQ239" s="513">
        <f>IF(SETUP!$E$7="USD",(AP239*(IF(O239="USD",AK239,(AK239/'Master Data-C19RM'!$F$2)))),(AP239*(IF(O239="EUR",AK239,(AK239*'Master Data-C19RM'!$F$2)))))</f>
        <v>0</v>
      </c>
      <c r="AR239" s="456">
        <f>IF($O239="USD",_xlfn.IFNA(VLOOKUP($A239&amp;$E239&amp;$I239,PMsheet!$J:$K,2,0),0),(_xlfn.IFNA(VLOOKUP($A239&amp;$E239&amp;$I239,PMsheet!$J:$K,2,0),0)*'Master Data-C19RM'!$G$2))</f>
        <v>0</v>
      </c>
      <c r="AS239" s="572"/>
      <c r="AT239" s="572"/>
      <c r="AU239" s="572"/>
      <c r="AV239" s="572"/>
      <c r="AW239" s="512">
        <f t="shared" si="38"/>
        <v>0</v>
      </c>
      <c r="AX239" s="513">
        <f>IF(SETUP!$E$7="USD",(AW239*(IF(O239="USD",AR239,(AR239/'Master Data-C19RM'!$G$2)))),(AW239*(IF(O239="EUR",AR239,(AR239*'Master Data-C19RM'!$G$2)))))</f>
        <v>0</v>
      </c>
      <c r="AY239" s="845"/>
      <c r="AZ239" s="846"/>
      <c r="BA239" s="846"/>
      <c r="BB239" s="846"/>
      <c r="BC239" s="846"/>
      <c r="BD239" s="846"/>
      <c r="BE239" s="847"/>
      <c r="BF239" s="512">
        <f>'C19RM 2021-Lab &amp; Other HPS'!$U239+'C19RM 2021-Lab &amp; Other HPS'!$AB239+'C19RM 2021-Lab &amp; Other HPS'!$AP239+'C19RM 2021-Lab &amp; Other HPS'!$AI239+AW239+BD239</f>
        <v>0</v>
      </c>
      <c r="BG239" s="512">
        <f>'C19RM 2021-Lab &amp; Other HPS'!$V239+'C19RM 2021-Lab &amp; Other HPS'!$AC239+'C19RM 2021-Lab &amp; Other HPS'!$AQ239+'C19RM 2021-Lab &amp; Other HPS'!$AJ239+AX239+BE239</f>
        <v>0</v>
      </c>
      <c r="BH239" s="500" t="str" cm="1">
        <f t="array" ref="BH239">IF(A239&lt;&gt;"",IFERROR(INDEX(PMtbl[[WKst]:[Unit of measure*]],MATCH($A$222&amp;$A239&amp;$E239&amp;$I239,INDEX(PMtbl[Sec]&amp;PMtbl[Category]&amp;PMtbl[Each]&amp;PMtbl[Packaging],0,),0),11),""),"")</f>
        <v/>
      </c>
      <c r="BI239" s="819"/>
      <c r="BJ239" s="526" t="str" cm="1">
        <f t="array" ref="BJ239">IFERROR(INDEX(SETUP!$C$19:$G$121,MATCH((INDEX(PMtbl[[WKst]:[Unit of measure*]],MATCH($A239&amp;$E239&amp;$I239,INDEX(PMtbl[Category]&amp;PMtbl[Each]&amp;PMtbl[Packaging],0,),0),3)),SETUP!$D$19:$D$121,0),5),"")</f>
        <v/>
      </c>
      <c r="BK239" s="544" t="str" cm="1">
        <f t="array" ref="BK239">IFERROR(IF((INDEX(SETUP!$C$19:$G$121,MATCH((INDEX(PMtbl[[WKst]:[Unit of measure*]],MATCH($A239&amp;$E239&amp;$I239,INDEX(PMtbl[Category]&amp;PMtbl[Each]&amp;PMtbl[Packaging],0,),0),3)),SETUP!$D$19:$D$121,0),4))="Upfront",0,INDEX(SETUP!$C$19:$G$121,MATCH((INDEX(PMtbl[[WKst]:[Unit of measure*]],MATCH($A239&amp;$E239&amp;$I239,INDEX(PMtbl[Category]&amp;PMtbl[Each]&amp;PMtbl[Packaging],0,),0),3)),SETUP!$D$19:$D$121,0),5)),"")</f>
        <v/>
      </c>
      <c r="BL239" s="214" t="str" cm="1">
        <f t="array" ref="BL239">IF(A239&lt;&gt;"",IFERROR(INDEX(PMtbl[[WKst]:[Unit of measure*]],MATCH($A$222&amp;$A239&amp;$E239&amp;$I239,INDEX(PMtbl[Sec]&amp;PMtbl[Category]&amp;PMtbl[Each]&amp;PMtbl[Packaging],0,),0),11),""),"")</f>
        <v/>
      </c>
      <c r="BO239" s="12">
        <f>IF(N239="",0,IF(SETUP!$E$7="USD",((IF(O239="USD",P239,(P239/'Master Data-C19RM'!$C$2)))),((IF(O239="EUR",P239,(P239*'Master Data-C19RM'!$C$2))))))</f>
        <v>0</v>
      </c>
      <c r="BP239" s="12">
        <f>IF(N239="",0,IF(SETUP!$E$7="USD",((IF(O239="USD",W239,(W239/'Master Data-C19RM'!$D$2)))),((IF(O239="EUR",W239,(W239*'Master Data-C19RM'!$D$2))))))</f>
        <v>0</v>
      </c>
      <c r="BQ239">
        <f>IF(N239="",0,IF(SETUP!$E$7="USD",((IF(O239="USD",AD239,(AD239/'Master Data-C19RM'!$E$2)))),((IF(O239="EUR",AD239,(AD239*'Master Data-C19RM'!$E$2))))))</f>
        <v>0</v>
      </c>
      <c r="BR239">
        <f>IF(N239="",0,IF(SETUP!$E$7="USD",((IF(O239="USD",AK239,(AK239/'Master Data-C19RM'!$F$2)))),((IF(O239="EUR",AK239,(AK239*'Master Data-C19RM'!$F$2))))))</f>
        <v>0</v>
      </c>
      <c r="BS239">
        <f>IF(N239="",0,IF(SETUP!$E$7="USD",((IF(O239="USD",AR239,(AR239/'Master Data-C19RM'!$G$2)))),((IF(O239="EUR",AR239,(AR239*'Master Data-C19RM'!$G$2))))))</f>
        <v>0</v>
      </c>
      <c r="BT239">
        <f>IF(N239="",0,IF(SETUP!$E$7="USD",((IF(O239="USD",AY239,(AY239/'Master Data-C19RM'!$H$2)))),((IF(O239="EUR",AY239,(AY239*'Master Data-C19RM'!$H$2))))))</f>
        <v>0</v>
      </c>
      <c r="BU239" s="12">
        <f t="shared" si="32"/>
        <v>0</v>
      </c>
      <c r="BV239" s="142">
        <f t="shared" si="33"/>
        <v>0</v>
      </c>
    </row>
    <row r="240" spans="1:94" x14ac:dyDescent="0.35">
      <c r="A240" s="1192"/>
      <c r="B240" s="1192"/>
      <c r="C240" s="1192"/>
      <c r="D240" s="1192"/>
      <c r="E240" s="1173"/>
      <c r="F240" s="1173"/>
      <c r="G240" s="1173"/>
      <c r="H240" s="1173"/>
      <c r="I240" s="1173"/>
      <c r="J240" s="1173"/>
      <c r="K240" s="1173"/>
      <c r="L240" s="493" t="str" cm="1">
        <f t="array" ref="L240">IF(A240&lt;&gt;"",IFERROR(INDEX(PMtbl[[WKst]:[Unit of measure*]],MATCH($A$222&amp;$A240&amp;$E240&amp;$I240,INDEX(PMtbl[Sec]&amp;PMtbl[Category]&amp;PMtbl[Each]&amp;PMtbl[Packaging],0,),0),14),""),"")</f>
        <v/>
      </c>
      <c r="M240" s="480" t="str">
        <f>IF(L240="","",INDEX(SETUP!$E$20:$E$122,(MATCH(INDEX(PMsheet!$D:$E,MATCH(A240,PMsheet!E:E,0),1),SETUP!$D$20:$D$122,0))))</f>
        <v/>
      </c>
      <c r="N240" s="494">
        <f>IF($O240="USD",_xlfn.IFNA(VLOOKUP(A240&amp;E240&amp;I240,PMsheet!J:K,2,0),0),(_xlfn.IFNA(VLOOKUP(A240&amp;E240&amp;I240,PMsheet!J:K,2,0),0)*'Master Data-C19RM'!$C$2))</f>
        <v>0</v>
      </c>
      <c r="O240" s="495" t="str">
        <f>IF(L240="", "",SETUP!$E$7)</f>
        <v/>
      </c>
      <c r="P240" s="445">
        <f>IF($O240="USD",_xlfn.IFNA(VLOOKUP($A240&amp;$E240&amp;$I240,PMsheet!$J:$K,2,0),0),(_xlfn.IFNA(VLOOKUP($A240&amp;$E240&amp;$I240,PMsheet!$J:$K,2,0),0)*'Master Data-C19RM'!$C$2))</f>
        <v>0</v>
      </c>
      <c r="Q240" s="440"/>
      <c r="R240" s="440"/>
      <c r="S240" s="440"/>
      <c r="T240" s="440"/>
      <c r="U240" s="482">
        <f t="shared" si="34"/>
        <v>0</v>
      </c>
      <c r="V240" s="484">
        <f>IF(SETUP!$E$7="USD",(U240*(IF(O240="USD",P240,(P240/'Master Data-C19RM'!$C$2)))),(U240*(IF(O240="EUR",P240,(P240*'Master Data-C19RM'!$C$2)))))</f>
        <v>0</v>
      </c>
      <c r="W240" s="445">
        <f>IF($O240="USD",_xlfn.IFNA(VLOOKUP($A240&amp;$E240&amp;$I240,PMsheet!$J:$K,2,0),0),(_xlfn.IFNA(VLOOKUP($A240&amp;$E240&amp;$I240,PMsheet!$J:$K,2,0),0)*'Master Data-C19RM'!$D$2))</f>
        <v>0</v>
      </c>
      <c r="X240" s="440"/>
      <c r="Y240" s="440"/>
      <c r="Z240" s="440"/>
      <c r="AA240" s="440"/>
      <c r="AB240" s="482">
        <f t="shared" si="35"/>
        <v>0</v>
      </c>
      <c r="AC240" s="484">
        <f>IF(SETUP!$E$7="USD",(AB240*(IF(O240="USD",W240,(W240/'Master Data-C19RM'!$D$2)))),(AB240*(IF(O240="EUR",W240,(W240*'Master Data-C19RM'!$D$2)))))</f>
        <v>0</v>
      </c>
      <c r="AD240" s="445">
        <f>IF($O240="USD",_xlfn.IFNA(VLOOKUP($A240&amp;$E240&amp;$I240,PMsheet!$J:$K,2,0),0),(_xlfn.IFNA(VLOOKUP($A240&amp;$E240&amp;$I240,PMsheet!$J:$K,2,0),0)*'Master Data-C19RM'!$E$2))</f>
        <v>0</v>
      </c>
      <c r="AE240" s="440"/>
      <c r="AF240" s="440"/>
      <c r="AG240" s="440"/>
      <c r="AH240" s="440"/>
      <c r="AI240" s="514">
        <f t="shared" si="36"/>
        <v>0</v>
      </c>
      <c r="AJ240" s="515">
        <f>IF(SETUP!$E$7="USD",(AI240*(IF(O240="USD",AD240,(AD240/'Master Data-C19RM'!$E$2)))),(AI240*(IF(O240="EUR",AD240,(AD240*'Master Data-C19RM'!$E$2)))))</f>
        <v>0</v>
      </c>
      <c r="AK240" s="445">
        <f>IF($O240="USD",_xlfn.IFNA(VLOOKUP($A240&amp;$E240&amp;$I240,PMsheet!$J:$K,2,0),0),(_xlfn.IFNA(VLOOKUP($A240&amp;$E240&amp;$I240,PMsheet!$J:$K,2,0),0)*'Master Data-C19RM'!$F$2))</f>
        <v>0</v>
      </c>
      <c r="AL240" s="440"/>
      <c r="AM240" s="440"/>
      <c r="AN240" s="440"/>
      <c r="AO240" s="440"/>
      <c r="AP240" s="514">
        <f t="shared" si="37"/>
        <v>0</v>
      </c>
      <c r="AQ240" s="515">
        <f>IF(SETUP!$E$7="USD",(AP240*(IF(O240="USD",AK240,(AK240/'Master Data-C19RM'!$F$2)))),(AP240*(IF(O240="EUR",AK240,(AK240*'Master Data-C19RM'!$F$2)))))</f>
        <v>0</v>
      </c>
      <c r="AR240" s="457">
        <f>IF($O240="USD",_xlfn.IFNA(VLOOKUP($A240&amp;$E240&amp;$I240,PMsheet!$J:$K,2,0),0),(_xlfn.IFNA(VLOOKUP($A240&amp;$E240&amp;$I240,PMsheet!$J:$K,2,0),0)*'Master Data-C19RM'!$G$2))</f>
        <v>0</v>
      </c>
      <c r="AS240" s="926"/>
      <c r="AT240" s="926"/>
      <c r="AU240" s="926"/>
      <c r="AV240" s="926"/>
      <c r="AW240" s="514">
        <f t="shared" si="38"/>
        <v>0</v>
      </c>
      <c r="AX240" s="515">
        <f>IF(SETUP!$E$7="USD",(AW240*(IF(O240="USD",AR240,(AR240/'Master Data-C19RM'!$G$2)))),(AW240*(IF(O240="EUR",AR240,(AR240*'Master Data-C19RM'!$G$2)))))</f>
        <v>0</v>
      </c>
      <c r="AY240" s="845"/>
      <c r="AZ240" s="846"/>
      <c r="BA240" s="846"/>
      <c r="BB240" s="846"/>
      <c r="BC240" s="846"/>
      <c r="BD240" s="846"/>
      <c r="BE240" s="847"/>
      <c r="BF240" s="514">
        <f>'C19RM 2021-Lab &amp; Other HPS'!$U240+'C19RM 2021-Lab &amp; Other HPS'!$AB240+'C19RM 2021-Lab &amp; Other HPS'!$AP240+'C19RM 2021-Lab &amp; Other HPS'!$AI240+AW240+BD240</f>
        <v>0</v>
      </c>
      <c r="BG240" s="514">
        <f>'C19RM 2021-Lab &amp; Other HPS'!$V240+'C19RM 2021-Lab &amp; Other HPS'!$AC240+'C19RM 2021-Lab &amp; Other HPS'!$AQ240+'C19RM 2021-Lab &amp; Other HPS'!$AJ240+AX240+BE240</f>
        <v>0</v>
      </c>
      <c r="BH240" s="522" t="str" cm="1">
        <f t="array" ref="BH240">IF(A240&lt;&gt;"",IFERROR(INDEX(PMtbl[[WKst]:[Unit of measure*]],MATCH($A$222&amp;$A240&amp;$E240&amp;$I240,INDEX(PMtbl[Sec]&amp;PMtbl[Category]&amp;PMtbl[Each]&amp;PMtbl[Packaging],0,),0),11),""),"")</f>
        <v/>
      </c>
      <c r="BI240" s="818"/>
      <c r="BJ240" s="503" t="str" cm="1">
        <f t="array" ref="BJ240">IFERROR(INDEX(SETUP!$C$19:$G$121,MATCH((INDEX(PMtbl[[WKst]:[Unit of measure*]],MATCH($A240&amp;$E240&amp;$I240,INDEX(PMtbl[Category]&amp;PMtbl[Each]&amp;PMtbl[Packaging],0,),0),3)),SETUP!$D$19:$D$121,0),5),"")</f>
        <v/>
      </c>
      <c r="BK240" s="543" t="str" cm="1">
        <f t="array" ref="BK240">IFERROR(IF((INDEX(SETUP!$C$19:$G$121,MATCH((INDEX(PMtbl[[WKst]:[Unit of measure*]],MATCH($A240&amp;$E240&amp;$I240,INDEX(PMtbl[Category]&amp;PMtbl[Each]&amp;PMtbl[Packaging],0,),0),3)),SETUP!$D$19:$D$121,0),4))="Upfront",0,INDEX(SETUP!$C$19:$G$121,MATCH((INDEX(PMtbl[[WKst]:[Unit of measure*]],MATCH($A240&amp;$E240&amp;$I240,INDEX(PMtbl[Category]&amp;PMtbl[Each]&amp;PMtbl[Packaging],0,),0),3)),SETUP!$D$19:$D$121,0),5)),"")</f>
        <v/>
      </c>
      <c r="BL240" s="215" t="str" cm="1">
        <f t="array" ref="BL240">IF(A240&lt;&gt;"",IFERROR(INDEX(PMtbl[[WKst]:[Unit of measure*]],MATCH($A$222&amp;$A240&amp;$E240&amp;$I240,INDEX(PMtbl[Sec]&amp;PMtbl[Category]&amp;PMtbl[Each]&amp;PMtbl[Packaging],0,),0),11),""),"")</f>
        <v/>
      </c>
      <c r="BO240" s="12">
        <f>IF(N240="",0,IF(SETUP!$E$7="USD",((IF(O240="USD",P240,(P240/'Master Data-C19RM'!$C$2)))),((IF(O240="EUR",P240,(P240*'Master Data-C19RM'!$C$2))))))</f>
        <v>0</v>
      </c>
      <c r="BP240" s="12">
        <f>IF(N240="",0,IF(SETUP!$E$7="USD",((IF(O240="USD",W240,(W240/'Master Data-C19RM'!$D$2)))),((IF(O240="EUR",W240,(W240*'Master Data-C19RM'!$D$2))))))</f>
        <v>0</v>
      </c>
      <c r="BQ240">
        <f>IF(N240="",0,IF(SETUP!$E$7="USD",((IF(O240="USD",AD240,(AD240/'Master Data-C19RM'!$E$2)))),((IF(O240="EUR",AD240,(AD240*'Master Data-C19RM'!$E$2))))))</f>
        <v>0</v>
      </c>
      <c r="BR240">
        <f>IF(N240="",0,IF(SETUP!$E$7="USD",((IF(O240="USD",AK240,(AK240/'Master Data-C19RM'!$F$2)))),((IF(O240="EUR",AK240,(AK240*'Master Data-C19RM'!$F$2))))))</f>
        <v>0</v>
      </c>
      <c r="BS240">
        <f>IF(N240="",0,IF(SETUP!$E$7="USD",((IF(O240="USD",AR240,(AR240/'Master Data-C19RM'!$G$2)))),((IF(O240="EUR",AR240,(AR240*'Master Data-C19RM'!$G$2))))))</f>
        <v>0</v>
      </c>
      <c r="BT240">
        <f>IF(N240="",0,IF(SETUP!$E$7="USD",((IF(O240="USD",AY240,(AY240/'Master Data-C19RM'!$H$2)))),((IF(O240="EUR",AY240,(AY240*'Master Data-C19RM'!$H$2))))))</f>
        <v>0</v>
      </c>
      <c r="BU240" s="12">
        <f t="shared" si="32"/>
        <v>0</v>
      </c>
      <c r="BV240" s="142">
        <f t="shared" si="33"/>
        <v>0</v>
      </c>
    </row>
    <row r="241" spans="1:74" x14ac:dyDescent="0.35">
      <c r="A241" s="1165"/>
      <c r="B241" s="1165"/>
      <c r="C241" s="1165"/>
      <c r="D241" s="1165"/>
      <c r="E241" s="1166"/>
      <c r="F241" s="1166"/>
      <c r="G241" s="1166"/>
      <c r="H241" s="1166"/>
      <c r="I241" s="1166"/>
      <c r="J241" s="1166"/>
      <c r="K241" s="1166"/>
      <c r="L241" s="490" t="str" cm="1">
        <f t="array" ref="L241">IF(A241&lt;&gt;"",IFERROR(INDEX(PMtbl[[WKst]:[Unit of measure*]],MATCH($A$222&amp;$A241&amp;$E241&amp;$I241,INDEX(PMtbl[Sec]&amp;PMtbl[Category]&amp;PMtbl[Each]&amp;PMtbl[Packaging],0,),0),14),""),"")</f>
        <v/>
      </c>
      <c r="M241" s="479" t="str">
        <f>IF(L241="","",INDEX(SETUP!$E$20:$E$122,(MATCH(INDEX(PMsheet!$D:$E,MATCH(A241,PMsheet!E:E,0),1),SETUP!$D$20:$D$122,0))))</f>
        <v/>
      </c>
      <c r="N241" s="491">
        <f>IF($O241="USD",_xlfn.IFNA(VLOOKUP(A241&amp;E241&amp;I241,PMsheet!J:K,2,0),0),(_xlfn.IFNA(VLOOKUP(A241&amp;E241&amp;I241,PMsheet!J:K,2,0),0)*'Master Data-C19RM'!$C$2))</f>
        <v>0</v>
      </c>
      <c r="O241" s="492" t="str">
        <f>IF(L241="", "",SETUP!$E$7)</f>
        <v/>
      </c>
      <c r="P241" s="444">
        <f>IF($O241="USD",_xlfn.IFNA(VLOOKUP($A241&amp;$E241&amp;$I241,PMsheet!$J:$K,2,0),0),(_xlfn.IFNA(VLOOKUP($A241&amp;$E241&amp;$I241,PMsheet!$J:$K,2,0),0)*'Master Data-C19RM'!$C$2))</f>
        <v>0</v>
      </c>
      <c r="Q241" s="441"/>
      <c r="R241" s="441"/>
      <c r="S241" s="441"/>
      <c r="T241" s="441"/>
      <c r="U241" s="481">
        <f t="shared" si="34"/>
        <v>0</v>
      </c>
      <c r="V241" s="483">
        <f>IF(SETUP!$E$7="USD",(U241*(IF(O241="USD",P241,(P241/'Master Data-C19RM'!$C$2)))),(U241*(IF(O241="EUR",P241,(P241*'Master Data-C19RM'!$C$2)))))</f>
        <v>0</v>
      </c>
      <c r="W241" s="444">
        <f>IF($O241="USD",_xlfn.IFNA(VLOOKUP($A241&amp;$E241&amp;$I241,PMsheet!$J:$K,2,0),0),(_xlfn.IFNA(VLOOKUP($A241&amp;$E241&amp;$I241,PMsheet!$J:$K,2,0),0)*'Master Data-C19RM'!$D$2))</f>
        <v>0</v>
      </c>
      <c r="X241" s="441"/>
      <c r="Y241" s="441"/>
      <c r="Z241" s="441"/>
      <c r="AA241" s="441"/>
      <c r="AB241" s="481">
        <f t="shared" si="35"/>
        <v>0</v>
      </c>
      <c r="AC241" s="483">
        <f>IF(SETUP!$E$7="USD",(AB241*(IF(O241="USD",W241,(W241/'Master Data-C19RM'!$D$2)))),(AB241*(IF(O241="EUR",W241,(W241*'Master Data-C19RM'!$D$2)))))</f>
        <v>0</v>
      </c>
      <c r="AD241" s="444">
        <f>IF($O241="USD",_xlfn.IFNA(VLOOKUP($A241&amp;$E241&amp;$I241,PMsheet!$J:$K,2,0),0),(_xlfn.IFNA(VLOOKUP($A241&amp;$E241&amp;$I241,PMsheet!$J:$K,2,0),0)*'Master Data-C19RM'!$E$2))</f>
        <v>0</v>
      </c>
      <c r="AE241" s="441"/>
      <c r="AF241" s="441"/>
      <c r="AG241" s="441"/>
      <c r="AH241" s="441"/>
      <c r="AI241" s="512">
        <f t="shared" si="36"/>
        <v>0</v>
      </c>
      <c r="AJ241" s="513">
        <f>IF(SETUP!$E$7="USD",(AI241*(IF(O241="USD",AD241,(AD241/'Master Data-C19RM'!$E$2)))),(AI241*(IF(O241="EUR",AD241,(AD241*'Master Data-C19RM'!$E$2)))))</f>
        <v>0</v>
      </c>
      <c r="AK241" s="444">
        <f>IF($O241="USD",_xlfn.IFNA(VLOOKUP($A241&amp;$E241&amp;$I241,PMsheet!$J:$K,2,0),0),(_xlfn.IFNA(VLOOKUP($A241&amp;$E241&amp;$I241,PMsheet!$J:$K,2,0),0)*'Master Data-C19RM'!$F$2))</f>
        <v>0</v>
      </c>
      <c r="AL241" s="441"/>
      <c r="AM241" s="441"/>
      <c r="AN241" s="441"/>
      <c r="AO241" s="441"/>
      <c r="AP241" s="512">
        <f t="shared" si="37"/>
        <v>0</v>
      </c>
      <c r="AQ241" s="513">
        <f>IF(SETUP!$E$7="USD",(AP241*(IF(O241="USD",AK241,(AK241/'Master Data-C19RM'!$F$2)))),(AP241*(IF(O241="EUR",AK241,(AK241*'Master Data-C19RM'!$F$2)))))</f>
        <v>0</v>
      </c>
      <c r="AR241" s="456">
        <f>IF($O241="USD",_xlfn.IFNA(VLOOKUP($A241&amp;$E241&amp;$I241,PMsheet!$J:$K,2,0),0),(_xlfn.IFNA(VLOOKUP($A241&amp;$E241&amp;$I241,PMsheet!$J:$K,2,0),0)*'Master Data-C19RM'!$G$2))</f>
        <v>0</v>
      </c>
      <c r="AS241" s="572"/>
      <c r="AT241" s="572"/>
      <c r="AU241" s="572"/>
      <c r="AV241" s="572"/>
      <c r="AW241" s="512">
        <f t="shared" si="38"/>
        <v>0</v>
      </c>
      <c r="AX241" s="513">
        <f>IF(SETUP!$E$7="USD",(AW241*(IF(O241="USD",AR241,(AR241/'Master Data-C19RM'!$G$2)))),(AW241*(IF(O241="EUR",AR241,(AR241*'Master Data-C19RM'!$G$2)))))</f>
        <v>0</v>
      </c>
      <c r="AY241" s="845"/>
      <c r="AZ241" s="846"/>
      <c r="BA241" s="846"/>
      <c r="BB241" s="846"/>
      <c r="BC241" s="846"/>
      <c r="BD241" s="846"/>
      <c r="BE241" s="847"/>
      <c r="BF241" s="512">
        <f>'C19RM 2021-Lab &amp; Other HPS'!$U241+'C19RM 2021-Lab &amp; Other HPS'!$AB241+'C19RM 2021-Lab &amp; Other HPS'!$AP241+'C19RM 2021-Lab &amp; Other HPS'!$AI241+AW241+BD241</f>
        <v>0</v>
      </c>
      <c r="BG241" s="512">
        <f>'C19RM 2021-Lab &amp; Other HPS'!$V241+'C19RM 2021-Lab &amp; Other HPS'!$AC241+'C19RM 2021-Lab &amp; Other HPS'!$AQ241+'C19RM 2021-Lab &amp; Other HPS'!$AJ241+AX241+BE241</f>
        <v>0</v>
      </c>
      <c r="BH241" s="500" t="str" cm="1">
        <f t="array" ref="BH241">IF(A241&lt;&gt;"",IFERROR(INDEX(PMtbl[[WKst]:[Unit of measure*]],MATCH($A$222&amp;$A241&amp;$E241&amp;$I241,INDEX(PMtbl[Sec]&amp;PMtbl[Category]&amp;PMtbl[Each]&amp;PMtbl[Packaging],0,),0),11),""),"")</f>
        <v/>
      </c>
      <c r="BI241" s="819"/>
      <c r="BJ241" s="502" t="str" cm="1">
        <f t="array" ref="BJ241">IFERROR(INDEX(SETUP!$C$19:$G$121,MATCH((INDEX(PMtbl[[WKst]:[Unit of measure*]],MATCH($A241&amp;$E241&amp;$I241,INDEX(PMtbl[Category]&amp;PMtbl[Each]&amp;PMtbl[Packaging],0,),0),3)),SETUP!$D$19:$D$121,0),5),"")</f>
        <v/>
      </c>
      <c r="BK241" s="542" t="str" cm="1">
        <f t="array" ref="BK241">IFERROR(IF((INDEX(SETUP!$C$19:$G$121,MATCH((INDEX(PMtbl[[WKst]:[Unit of measure*]],MATCH($A241&amp;$E241&amp;$I241,INDEX(PMtbl[Category]&amp;PMtbl[Each]&amp;PMtbl[Packaging],0,),0),3)),SETUP!$D$19:$D$121,0),4))="Upfront",0,INDEX(SETUP!$C$19:$G$121,MATCH((INDEX(PMtbl[[WKst]:[Unit of measure*]],MATCH($A241&amp;$E241&amp;$I241,INDEX(PMtbl[Category]&amp;PMtbl[Each]&amp;PMtbl[Packaging],0,),0),3)),SETUP!$D$19:$D$121,0),5)),"")</f>
        <v/>
      </c>
      <c r="BL241" s="214" t="str" cm="1">
        <f t="array" ref="BL241">IF(A241&lt;&gt;"",IFERROR(INDEX(PMtbl[[WKst]:[Unit of measure*]],MATCH($A$222&amp;$A241&amp;$E241&amp;$I241,INDEX(PMtbl[Sec]&amp;PMtbl[Category]&amp;PMtbl[Each]&amp;PMtbl[Packaging],0,),0),11),""),"")</f>
        <v/>
      </c>
      <c r="BO241" s="12">
        <f>IF(N241="",0,IF(SETUP!$E$7="USD",((IF(O241="USD",P241,(P241/'Master Data-C19RM'!$C$2)))),((IF(O241="EUR",P241,(P241*'Master Data-C19RM'!$C$2))))))</f>
        <v>0</v>
      </c>
      <c r="BP241" s="12">
        <f>IF(N241="",0,IF(SETUP!$E$7="USD",((IF(O241="USD",W241,(W241/'Master Data-C19RM'!$D$2)))),((IF(O241="EUR",W241,(W241*'Master Data-C19RM'!$D$2))))))</f>
        <v>0</v>
      </c>
      <c r="BQ241">
        <f>IF(N241="",0,IF(SETUP!$E$7="USD",((IF(O241="USD",AD241,(AD241/'Master Data-C19RM'!$E$2)))),((IF(O241="EUR",AD241,(AD241*'Master Data-C19RM'!$E$2))))))</f>
        <v>0</v>
      </c>
      <c r="BR241">
        <f>IF(N241="",0,IF(SETUP!$E$7="USD",((IF(O241="USD",AK241,(AK241/'Master Data-C19RM'!$F$2)))),((IF(O241="EUR",AK241,(AK241*'Master Data-C19RM'!$F$2))))))</f>
        <v>0</v>
      </c>
      <c r="BS241">
        <f>IF(N241="",0,IF(SETUP!$E$7="USD",((IF(O241="USD",AR241,(AR241/'Master Data-C19RM'!$G$2)))),((IF(O241="EUR",AR241,(AR241*'Master Data-C19RM'!$G$2))))))</f>
        <v>0</v>
      </c>
      <c r="BT241">
        <f>IF(N241="",0,IF(SETUP!$E$7="USD",((IF(O241="USD",AY241,(AY241/'Master Data-C19RM'!$H$2)))),((IF(O241="EUR",AY241,(AY241*'Master Data-C19RM'!$H$2))))))</f>
        <v>0</v>
      </c>
      <c r="BU241" s="12">
        <f t="shared" si="32"/>
        <v>0</v>
      </c>
      <c r="BV241" s="142">
        <f t="shared" si="33"/>
        <v>0</v>
      </c>
    </row>
    <row r="242" spans="1:74" x14ac:dyDescent="0.35">
      <c r="A242" s="1192"/>
      <c r="B242" s="1192"/>
      <c r="C242" s="1192"/>
      <c r="D242" s="1192"/>
      <c r="E242" s="1173"/>
      <c r="F242" s="1173"/>
      <c r="G242" s="1173"/>
      <c r="H242" s="1173"/>
      <c r="I242" s="1173"/>
      <c r="J242" s="1173"/>
      <c r="K242" s="1173"/>
      <c r="L242" s="493" t="str" cm="1">
        <f t="array" ref="L242">IF(A242&lt;&gt;"",IFERROR(INDEX(PMtbl[[WKst]:[Unit of measure*]],MATCH($A$222&amp;$A242&amp;$E242&amp;$I242,INDEX(PMtbl[Sec]&amp;PMtbl[Category]&amp;PMtbl[Each]&amp;PMtbl[Packaging],0,),0),14),""),"")</f>
        <v/>
      </c>
      <c r="M242" s="480" t="str">
        <f>IF(L242="","",INDEX(SETUP!$E$20:$E$122,(MATCH(INDEX(PMsheet!$D:$E,MATCH(A242,PMsheet!E:E,0),1),SETUP!$D$20:$D$122,0))))</f>
        <v/>
      </c>
      <c r="N242" s="494">
        <f>IF($O242="USD",_xlfn.IFNA(VLOOKUP(A242&amp;E242&amp;I242,PMsheet!J:K,2,0),0),(_xlfn.IFNA(VLOOKUP(A242&amp;E242&amp;I242,PMsheet!J:K,2,0),0)*'Master Data-C19RM'!$C$2))</f>
        <v>0</v>
      </c>
      <c r="O242" s="495" t="str">
        <f>IF(L242="", "",SETUP!$E$7)</f>
        <v/>
      </c>
      <c r="P242" s="445">
        <f>IF($O242="USD",_xlfn.IFNA(VLOOKUP($A242&amp;$E242&amp;$I242,PMsheet!$J:$K,2,0),0),(_xlfn.IFNA(VLOOKUP($A242&amp;$E242&amp;$I242,PMsheet!$J:$K,2,0),0)*'Master Data-C19RM'!$C$2))</f>
        <v>0</v>
      </c>
      <c r="Q242" s="440"/>
      <c r="R242" s="440"/>
      <c r="S242" s="440"/>
      <c r="T242" s="440"/>
      <c r="U242" s="482">
        <f t="shared" si="34"/>
        <v>0</v>
      </c>
      <c r="V242" s="484">
        <f>IF(SETUP!$E$7="USD",(U242*(IF(O242="USD",P242,(P242/'Master Data-C19RM'!$C$2)))),(U242*(IF(O242="EUR",P242,(P242*'Master Data-C19RM'!$C$2)))))</f>
        <v>0</v>
      </c>
      <c r="W242" s="445">
        <f>IF($O242="USD",_xlfn.IFNA(VLOOKUP($A242&amp;$E242&amp;$I242,PMsheet!$J:$K,2,0),0),(_xlfn.IFNA(VLOOKUP($A242&amp;$E242&amp;$I242,PMsheet!$J:$K,2,0),0)*'Master Data-C19RM'!$D$2))</f>
        <v>0</v>
      </c>
      <c r="X242" s="440"/>
      <c r="Y242" s="440"/>
      <c r="Z242" s="440"/>
      <c r="AA242" s="440"/>
      <c r="AB242" s="482">
        <f t="shared" si="35"/>
        <v>0</v>
      </c>
      <c r="AC242" s="484">
        <f>IF(SETUP!$E$7="USD",(AB242*(IF(O242="USD",W242,(W242/'Master Data-C19RM'!$D$2)))),(AB242*(IF(O242="EUR",W242,(W242*'Master Data-C19RM'!$D$2)))))</f>
        <v>0</v>
      </c>
      <c r="AD242" s="445">
        <f>IF($O242="USD",_xlfn.IFNA(VLOOKUP($A242&amp;$E242&amp;$I242,PMsheet!$J:$K,2,0),0),(_xlfn.IFNA(VLOOKUP($A242&amp;$E242&amp;$I242,PMsheet!$J:$K,2,0),0)*'Master Data-C19RM'!$E$2))</f>
        <v>0</v>
      </c>
      <c r="AE242" s="440"/>
      <c r="AF242" s="440"/>
      <c r="AG242" s="440"/>
      <c r="AH242" s="440"/>
      <c r="AI242" s="514">
        <f t="shared" si="36"/>
        <v>0</v>
      </c>
      <c r="AJ242" s="515">
        <f>IF(SETUP!$E$7="USD",(AI242*(IF(O242="USD",AD242,(AD242/'Master Data-C19RM'!$E$2)))),(AI242*(IF(O242="EUR",AD242,(AD242*'Master Data-C19RM'!$E$2)))))</f>
        <v>0</v>
      </c>
      <c r="AK242" s="445">
        <f>IF($O242="USD",_xlfn.IFNA(VLOOKUP($A242&amp;$E242&amp;$I242,PMsheet!$J:$K,2,0),0),(_xlfn.IFNA(VLOOKUP($A242&amp;$E242&amp;$I242,PMsheet!$J:$K,2,0),0)*'Master Data-C19RM'!$F$2))</f>
        <v>0</v>
      </c>
      <c r="AL242" s="440"/>
      <c r="AM242" s="440"/>
      <c r="AN242" s="440"/>
      <c r="AO242" s="440"/>
      <c r="AP242" s="514">
        <f t="shared" si="37"/>
        <v>0</v>
      </c>
      <c r="AQ242" s="515">
        <f>IF(SETUP!$E$7="USD",(AP242*(IF(O242="USD",AK242,(AK242/'Master Data-C19RM'!$F$2)))),(AP242*(IF(O242="EUR",AK242,(AK242*'Master Data-C19RM'!$F$2)))))</f>
        <v>0</v>
      </c>
      <c r="AR242" s="457">
        <f>IF($O242="USD",_xlfn.IFNA(VLOOKUP($A242&amp;$E242&amp;$I242,PMsheet!$J:$K,2,0),0),(_xlfn.IFNA(VLOOKUP($A242&amp;$E242&amp;$I242,PMsheet!$J:$K,2,0),0)*'Master Data-C19RM'!$G$2))</f>
        <v>0</v>
      </c>
      <c r="AS242" s="926"/>
      <c r="AT242" s="926"/>
      <c r="AU242" s="926"/>
      <c r="AV242" s="926"/>
      <c r="AW242" s="514">
        <f t="shared" si="38"/>
        <v>0</v>
      </c>
      <c r="AX242" s="515">
        <f>IF(SETUP!$E$7="USD",(AW242*(IF(O242="USD",AR242,(AR242/'Master Data-C19RM'!$G$2)))),(AW242*(IF(O242="EUR",AR242,(AR242*'Master Data-C19RM'!$G$2)))))</f>
        <v>0</v>
      </c>
      <c r="AY242" s="845"/>
      <c r="AZ242" s="846"/>
      <c r="BA242" s="846"/>
      <c r="BB242" s="846"/>
      <c r="BC242" s="846"/>
      <c r="BD242" s="846"/>
      <c r="BE242" s="847"/>
      <c r="BF242" s="514">
        <f>'C19RM 2021-Lab &amp; Other HPS'!$U242+'C19RM 2021-Lab &amp; Other HPS'!$AB242+'C19RM 2021-Lab &amp; Other HPS'!$AP242+'C19RM 2021-Lab &amp; Other HPS'!$AI242+AW242+BD242</f>
        <v>0</v>
      </c>
      <c r="BG242" s="514">
        <f>'C19RM 2021-Lab &amp; Other HPS'!$V242+'C19RM 2021-Lab &amp; Other HPS'!$AC242+'C19RM 2021-Lab &amp; Other HPS'!$AQ242+'C19RM 2021-Lab &amp; Other HPS'!$AJ242+AX242+BE242</f>
        <v>0</v>
      </c>
      <c r="BH242" s="522" t="str" cm="1">
        <f t="array" ref="BH242">IF(A242&lt;&gt;"",IFERROR(INDEX(PMtbl[[WKst]:[Unit of measure*]],MATCH($A$222&amp;$A242&amp;$E242&amp;$I242,INDEX(PMtbl[Sec]&amp;PMtbl[Category]&amp;PMtbl[Each]&amp;PMtbl[Packaging],0,),0),11),""),"")</f>
        <v/>
      </c>
      <c r="BI242" s="818"/>
      <c r="BJ242" s="503" t="str" cm="1">
        <f t="array" ref="BJ242">IFERROR(INDEX(SETUP!$C$19:$G$121,MATCH((INDEX(PMtbl[[WKst]:[Unit of measure*]],MATCH($A242&amp;$E242&amp;$I242,INDEX(PMtbl[Category]&amp;PMtbl[Each]&amp;PMtbl[Packaging],0,),0),3)),SETUP!$D$19:$D$121,0),5),"")</f>
        <v/>
      </c>
      <c r="BK242" s="543" t="str" cm="1">
        <f t="array" ref="BK242">IFERROR(IF((INDEX(SETUP!$C$19:$G$121,MATCH((INDEX(PMtbl[[WKst]:[Unit of measure*]],MATCH($A242&amp;$E242&amp;$I242,INDEX(PMtbl[Category]&amp;PMtbl[Each]&amp;PMtbl[Packaging],0,),0),3)),SETUP!$D$19:$D$121,0),4))="Upfront",0,INDEX(SETUP!$C$19:$G$121,MATCH((INDEX(PMtbl[[WKst]:[Unit of measure*]],MATCH($A242&amp;$E242&amp;$I242,INDEX(PMtbl[Category]&amp;PMtbl[Each]&amp;PMtbl[Packaging],0,),0),3)),SETUP!$D$19:$D$121,0),5)),"")</f>
        <v/>
      </c>
      <c r="BL242" s="215" t="str" cm="1">
        <f t="array" ref="BL242">IF(A242&lt;&gt;"",IFERROR(INDEX(PMtbl[[WKst]:[Unit of measure*]],MATCH($A$222&amp;$A242&amp;$E242&amp;$I242,INDEX(PMtbl[Sec]&amp;PMtbl[Category]&amp;PMtbl[Each]&amp;PMtbl[Packaging],0,),0),11),""),"")</f>
        <v/>
      </c>
      <c r="BO242" s="12">
        <f>IF(N242="",0,IF(SETUP!$E$7="USD",((IF(O242="USD",P242,(P242/'Master Data-C19RM'!$C$2)))),((IF(O242="EUR",P242,(P242*'Master Data-C19RM'!$C$2))))))</f>
        <v>0</v>
      </c>
      <c r="BP242" s="12">
        <f>IF(N242="",0,IF(SETUP!$E$7="USD",((IF(O242="USD",W242,(W242/'Master Data-C19RM'!$D$2)))),((IF(O242="EUR",W242,(W242*'Master Data-C19RM'!$D$2))))))</f>
        <v>0</v>
      </c>
      <c r="BQ242">
        <f>IF(N242="",0,IF(SETUP!$E$7="USD",((IF(O242="USD",AD242,(AD242/'Master Data-C19RM'!$E$2)))),((IF(O242="EUR",AD242,(AD242*'Master Data-C19RM'!$E$2))))))</f>
        <v>0</v>
      </c>
      <c r="BR242">
        <f>IF(N242="",0,IF(SETUP!$E$7="USD",((IF(O242="USD",AK242,(AK242/'Master Data-C19RM'!$F$2)))),((IF(O242="EUR",AK242,(AK242*'Master Data-C19RM'!$F$2))))))</f>
        <v>0</v>
      </c>
      <c r="BS242">
        <f>IF(N242="",0,IF(SETUP!$E$7="USD",((IF(O242="USD",AR242,(AR242/'Master Data-C19RM'!$G$2)))),((IF(O242="EUR",AR242,(AR242*'Master Data-C19RM'!$G$2))))))</f>
        <v>0</v>
      </c>
      <c r="BT242">
        <f>IF(N242="",0,IF(SETUP!$E$7="USD",((IF(O242="USD",AY242,(AY242/'Master Data-C19RM'!$H$2)))),((IF(O242="EUR",AY242,(AY242*'Master Data-C19RM'!$H$2))))))</f>
        <v>0</v>
      </c>
      <c r="BU242" s="12">
        <f t="shared" si="32"/>
        <v>0</v>
      </c>
      <c r="BV242" s="142">
        <f t="shared" si="33"/>
        <v>0</v>
      </c>
    </row>
    <row r="243" spans="1:74" x14ac:dyDescent="0.35">
      <c r="A243" s="1165"/>
      <c r="B243" s="1165"/>
      <c r="C243" s="1165"/>
      <c r="D243" s="1165"/>
      <c r="E243" s="1166"/>
      <c r="F243" s="1166"/>
      <c r="G243" s="1166"/>
      <c r="H243" s="1166"/>
      <c r="I243" s="1166"/>
      <c r="J243" s="1166"/>
      <c r="K243" s="1166"/>
      <c r="L243" s="490" t="str" cm="1">
        <f t="array" ref="L243">IF(A243&lt;&gt;"",IFERROR(INDEX(PMtbl[[WKst]:[Unit of measure*]],MATCH($A$222&amp;$A243&amp;$E243&amp;$I243,INDEX(PMtbl[Sec]&amp;PMtbl[Category]&amp;PMtbl[Each]&amp;PMtbl[Packaging],0,),0),14),""),"")</f>
        <v/>
      </c>
      <c r="M243" s="479" t="str">
        <f>IF(L243="","",INDEX(SETUP!$E$20:$E$122,(MATCH(INDEX(PMsheet!$D:$E,MATCH(A243,PMsheet!E:E,0),1),SETUP!$D$20:$D$122,0))))</f>
        <v/>
      </c>
      <c r="N243" s="491">
        <f>IF($O243="USD",_xlfn.IFNA(VLOOKUP(A243&amp;E243&amp;I243,PMsheet!J:K,2,0),0),(_xlfn.IFNA(VLOOKUP(A243&amp;E243&amp;I243,PMsheet!J:K,2,0),0)*'Master Data-C19RM'!$C$2))</f>
        <v>0</v>
      </c>
      <c r="O243" s="492" t="str">
        <f>IF(L243="", "",SETUP!$E$7)</f>
        <v/>
      </c>
      <c r="P243" s="444">
        <f>IF($O243="USD",_xlfn.IFNA(VLOOKUP($A243&amp;$E243&amp;$I243,PMsheet!$J:$K,2,0),0),(_xlfn.IFNA(VLOOKUP($A243&amp;$E243&amp;$I243,PMsheet!$J:$K,2,0),0)*'Master Data-C19RM'!$C$2))</f>
        <v>0</v>
      </c>
      <c r="Q243" s="441"/>
      <c r="R243" s="441"/>
      <c r="S243" s="441"/>
      <c r="T243" s="441"/>
      <c r="U243" s="481">
        <f t="shared" si="34"/>
        <v>0</v>
      </c>
      <c r="V243" s="483">
        <f>IF(SETUP!$E$7="USD",(U243*(IF(O243="USD",P243,(P243/'Master Data-C19RM'!$C$2)))),(U243*(IF(O243="EUR",P243,(P243*'Master Data-C19RM'!$C$2)))))</f>
        <v>0</v>
      </c>
      <c r="W243" s="444">
        <f>IF($O243="USD",_xlfn.IFNA(VLOOKUP($A243&amp;$E243&amp;$I243,PMsheet!$J:$K,2,0),0),(_xlfn.IFNA(VLOOKUP($A243&amp;$E243&amp;$I243,PMsheet!$J:$K,2,0),0)*'Master Data-C19RM'!$D$2))</f>
        <v>0</v>
      </c>
      <c r="X243" s="441"/>
      <c r="Y243" s="441"/>
      <c r="Z243" s="441"/>
      <c r="AA243" s="441"/>
      <c r="AB243" s="481">
        <f t="shared" si="35"/>
        <v>0</v>
      </c>
      <c r="AC243" s="483">
        <f>IF(SETUP!$E$7="USD",(AB243*(IF(O243="USD",W243,(W243/'Master Data-C19RM'!$D$2)))),(AB243*(IF(O243="EUR",W243,(W243*'Master Data-C19RM'!$D$2)))))</f>
        <v>0</v>
      </c>
      <c r="AD243" s="444">
        <f>IF($O243="USD",_xlfn.IFNA(VLOOKUP($A243&amp;$E243&amp;$I243,PMsheet!$J:$K,2,0),0),(_xlfn.IFNA(VLOOKUP($A243&amp;$E243&amp;$I243,PMsheet!$J:$K,2,0),0)*'Master Data-C19RM'!$E$2))</f>
        <v>0</v>
      </c>
      <c r="AE243" s="441"/>
      <c r="AF243" s="441"/>
      <c r="AG243" s="441"/>
      <c r="AH243" s="441"/>
      <c r="AI243" s="512">
        <f t="shared" si="36"/>
        <v>0</v>
      </c>
      <c r="AJ243" s="513">
        <f>IF(SETUP!$E$7="USD",(AI243*(IF(O243="USD",AD243,(AD243/'Master Data-C19RM'!$E$2)))),(AI243*(IF(O243="EUR",AD243,(AD243*'Master Data-C19RM'!$E$2)))))</f>
        <v>0</v>
      </c>
      <c r="AK243" s="444">
        <f>IF($O243="USD",_xlfn.IFNA(VLOOKUP($A243&amp;$E243&amp;$I243,PMsheet!$J:$K,2,0),0),(_xlfn.IFNA(VLOOKUP($A243&amp;$E243&amp;$I243,PMsheet!$J:$K,2,0),0)*'Master Data-C19RM'!$F$2))</f>
        <v>0</v>
      </c>
      <c r="AL243" s="441"/>
      <c r="AM243" s="441"/>
      <c r="AN243" s="441"/>
      <c r="AO243" s="441"/>
      <c r="AP243" s="512">
        <f t="shared" si="37"/>
        <v>0</v>
      </c>
      <c r="AQ243" s="513">
        <f>IF(SETUP!$E$7="USD",(AP243*(IF(O243="USD",AK243,(AK243/'Master Data-C19RM'!$F$2)))),(AP243*(IF(O243="EUR",AK243,(AK243*'Master Data-C19RM'!$F$2)))))</f>
        <v>0</v>
      </c>
      <c r="AR243" s="456">
        <f>IF($O243="USD",_xlfn.IFNA(VLOOKUP($A243&amp;$E243&amp;$I243,PMsheet!$J:$K,2,0),0),(_xlfn.IFNA(VLOOKUP($A243&amp;$E243&amp;$I243,PMsheet!$J:$K,2,0),0)*'Master Data-C19RM'!$G$2))</f>
        <v>0</v>
      </c>
      <c r="AS243" s="572"/>
      <c r="AT243" s="572"/>
      <c r="AU243" s="572"/>
      <c r="AV243" s="572"/>
      <c r="AW243" s="512">
        <f t="shared" si="38"/>
        <v>0</v>
      </c>
      <c r="AX243" s="513">
        <f>IF(SETUP!$E$7="USD",(AW243*(IF(O243="USD",AR243,(AR243/'Master Data-C19RM'!$G$2)))),(AW243*(IF(O243="EUR",AR243,(AR243*'Master Data-C19RM'!$G$2)))))</f>
        <v>0</v>
      </c>
      <c r="AY243" s="845"/>
      <c r="AZ243" s="846"/>
      <c r="BA243" s="846"/>
      <c r="BB243" s="846"/>
      <c r="BC243" s="846"/>
      <c r="BD243" s="846"/>
      <c r="BE243" s="847"/>
      <c r="BF243" s="512">
        <f>'C19RM 2021-Lab &amp; Other HPS'!$U243+'C19RM 2021-Lab &amp; Other HPS'!$AB243+'C19RM 2021-Lab &amp; Other HPS'!$AP243+'C19RM 2021-Lab &amp; Other HPS'!$AI243+AW243+BD243</f>
        <v>0</v>
      </c>
      <c r="BG243" s="512">
        <f>'C19RM 2021-Lab &amp; Other HPS'!$V243+'C19RM 2021-Lab &amp; Other HPS'!$AC243+'C19RM 2021-Lab &amp; Other HPS'!$AQ243+'C19RM 2021-Lab &amp; Other HPS'!$AJ243+AX243+BE243</f>
        <v>0</v>
      </c>
      <c r="BH243" s="500" t="str" cm="1">
        <f t="array" ref="BH243">IF(A243&lt;&gt;"",IFERROR(INDEX(PMtbl[[WKst]:[Unit of measure*]],MATCH($A$222&amp;$A243&amp;$E243&amp;$I243,INDEX(PMtbl[Sec]&amp;PMtbl[Category]&amp;PMtbl[Each]&amp;PMtbl[Packaging],0,),0),11),""),"")</f>
        <v/>
      </c>
      <c r="BI243" s="819"/>
      <c r="BJ243" s="502" t="str" cm="1">
        <f t="array" ref="BJ243">IFERROR(INDEX(SETUP!$C$19:$G$121,MATCH((INDEX(PMtbl[[WKst]:[Unit of measure*]],MATCH($A243&amp;$E243&amp;$I243,INDEX(PMtbl[Category]&amp;PMtbl[Each]&amp;PMtbl[Packaging],0,),0),3)),SETUP!$D$19:$D$121,0),5),"")</f>
        <v/>
      </c>
      <c r="BK243" s="542" t="str" cm="1">
        <f t="array" ref="BK243">IFERROR(IF((INDEX(SETUP!$C$19:$G$121,MATCH((INDEX(PMtbl[[WKst]:[Unit of measure*]],MATCH($A243&amp;$E243&amp;$I243,INDEX(PMtbl[Category]&amp;PMtbl[Each]&amp;PMtbl[Packaging],0,),0),3)),SETUP!$D$19:$D$121,0),4))="Upfront",0,INDEX(SETUP!$C$19:$G$121,MATCH((INDEX(PMtbl[[WKst]:[Unit of measure*]],MATCH($A243&amp;$E243&amp;$I243,INDEX(PMtbl[Category]&amp;PMtbl[Each]&amp;PMtbl[Packaging],0,),0),3)),SETUP!$D$19:$D$121,0),5)),"")</f>
        <v/>
      </c>
      <c r="BL243" s="214" t="str" cm="1">
        <f t="array" ref="BL243">IF(A243&lt;&gt;"",IFERROR(INDEX(PMtbl[[WKst]:[Unit of measure*]],MATCH($A$222&amp;$A243&amp;$E243&amp;$I243,INDEX(PMtbl[Sec]&amp;PMtbl[Category]&amp;PMtbl[Each]&amp;PMtbl[Packaging],0,),0),11),""),"")</f>
        <v/>
      </c>
      <c r="BO243" s="12">
        <f>IF(N243="",0,IF(SETUP!$E$7="USD",((IF(O243="USD",P243,(P243/'Master Data-C19RM'!$C$2)))),((IF(O243="EUR",P243,(P243*'Master Data-C19RM'!$C$2))))))</f>
        <v>0</v>
      </c>
      <c r="BP243" s="12">
        <f>IF(N243="",0,IF(SETUP!$E$7="USD",((IF(O243="USD",W243,(W243/'Master Data-C19RM'!$D$2)))),((IF(O243="EUR",W243,(W243*'Master Data-C19RM'!$D$2))))))</f>
        <v>0</v>
      </c>
      <c r="BQ243">
        <f>IF(N243="",0,IF(SETUP!$E$7="USD",((IF(O243="USD",AD243,(AD243/'Master Data-C19RM'!$E$2)))),((IF(O243="EUR",AD243,(AD243*'Master Data-C19RM'!$E$2))))))</f>
        <v>0</v>
      </c>
      <c r="BR243">
        <f>IF(N243="",0,IF(SETUP!$E$7="USD",((IF(O243="USD",AK243,(AK243/'Master Data-C19RM'!$F$2)))),((IF(O243="EUR",AK243,(AK243*'Master Data-C19RM'!$F$2))))))</f>
        <v>0</v>
      </c>
      <c r="BS243">
        <f>IF(N243="",0,IF(SETUP!$E$7="USD",((IF(O243="USD",AR243,(AR243/'Master Data-C19RM'!$G$2)))),((IF(O243="EUR",AR243,(AR243*'Master Data-C19RM'!$G$2))))))</f>
        <v>0</v>
      </c>
      <c r="BT243">
        <f>IF(N243="",0,IF(SETUP!$E$7="USD",((IF(O243="USD",AY243,(AY243/'Master Data-C19RM'!$H$2)))),((IF(O243="EUR",AY243,(AY243*'Master Data-C19RM'!$H$2))))))</f>
        <v>0</v>
      </c>
      <c r="BU243" s="12">
        <f t="shared" si="32"/>
        <v>0</v>
      </c>
      <c r="BV243" s="142">
        <f t="shared" si="33"/>
        <v>0</v>
      </c>
    </row>
    <row r="244" spans="1:74" x14ac:dyDescent="0.35">
      <c r="A244" s="1192"/>
      <c r="B244" s="1192"/>
      <c r="C244" s="1192"/>
      <c r="D244" s="1192"/>
      <c r="E244" s="1173"/>
      <c r="F244" s="1173"/>
      <c r="G244" s="1173"/>
      <c r="H244" s="1173"/>
      <c r="I244" s="1173"/>
      <c r="J244" s="1173"/>
      <c r="K244" s="1173"/>
      <c r="L244" s="493" t="str" cm="1">
        <f t="array" ref="L244">IF(A244&lt;&gt;"",IFERROR(INDEX(PMtbl[[WKst]:[Unit of measure*]],MATCH($A$222&amp;$A244&amp;$E244&amp;$I244,INDEX(PMtbl[Sec]&amp;PMtbl[Category]&amp;PMtbl[Each]&amp;PMtbl[Packaging],0,),0),14),""),"")</f>
        <v/>
      </c>
      <c r="M244" s="480" t="str">
        <f>IF(L244="","",INDEX(SETUP!$E$20:$E$122,(MATCH(INDEX(PMsheet!$D:$E,MATCH(A244,PMsheet!E:E,0),1),SETUP!$D$20:$D$122,0))))</f>
        <v/>
      </c>
      <c r="N244" s="494">
        <f>IF($O244="USD",_xlfn.IFNA(VLOOKUP(A244&amp;E244&amp;I244,PMsheet!J:K,2,0),0),(_xlfn.IFNA(VLOOKUP(A244&amp;E244&amp;I244,PMsheet!J:K,2,0),0)*'Master Data-C19RM'!$C$2))</f>
        <v>0</v>
      </c>
      <c r="O244" s="495" t="str">
        <f>IF(L244="", "",SETUP!$E$7)</f>
        <v/>
      </c>
      <c r="P244" s="445">
        <f>IF($O244="USD",_xlfn.IFNA(VLOOKUP($A244&amp;$E244&amp;$I244,PMsheet!$J:$K,2,0),0),(_xlfn.IFNA(VLOOKUP($A244&amp;$E244&amp;$I244,PMsheet!$J:$K,2,0),0)*'Master Data-C19RM'!$C$2))</f>
        <v>0</v>
      </c>
      <c r="Q244" s="440"/>
      <c r="R244" s="440"/>
      <c r="S244" s="440"/>
      <c r="T244" s="440"/>
      <c r="U244" s="482">
        <f t="shared" si="34"/>
        <v>0</v>
      </c>
      <c r="V244" s="484">
        <f>IF(SETUP!$E$7="USD",(U244*(IF(O244="USD",P244,(P244/'Master Data-C19RM'!$C$2)))),(U244*(IF(O244="EUR",P244,(P244*'Master Data-C19RM'!$C$2)))))</f>
        <v>0</v>
      </c>
      <c r="W244" s="445">
        <f>IF($O244="USD",_xlfn.IFNA(VLOOKUP($A244&amp;$E244&amp;$I244,PMsheet!$J:$K,2,0),0),(_xlfn.IFNA(VLOOKUP($A244&amp;$E244&amp;$I244,PMsheet!$J:$K,2,0),0)*'Master Data-C19RM'!$D$2))</f>
        <v>0</v>
      </c>
      <c r="X244" s="440"/>
      <c r="Y244" s="440"/>
      <c r="Z244" s="440"/>
      <c r="AA244" s="440"/>
      <c r="AB244" s="482">
        <f t="shared" si="35"/>
        <v>0</v>
      </c>
      <c r="AC244" s="484">
        <f>IF(SETUP!$E$7="USD",(AB244*(IF(O244="USD",W244,(W244/'Master Data-C19RM'!$D$2)))),(AB244*(IF(O244="EUR",W244,(W244*'Master Data-C19RM'!$D$2)))))</f>
        <v>0</v>
      </c>
      <c r="AD244" s="445">
        <f>IF($O244="USD",_xlfn.IFNA(VLOOKUP($A244&amp;$E244&amp;$I244,PMsheet!$J:$K,2,0),0),(_xlfn.IFNA(VLOOKUP($A244&amp;$E244&amp;$I244,PMsheet!$J:$K,2,0),0)*'Master Data-C19RM'!$E$2))</f>
        <v>0</v>
      </c>
      <c r="AE244" s="440"/>
      <c r="AF244" s="440"/>
      <c r="AG244" s="440"/>
      <c r="AH244" s="440"/>
      <c r="AI244" s="514">
        <f t="shared" si="36"/>
        <v>0</v>
      </c>
      <c r="AJ244" s="515">
        <f>IF(SETUP!$E$7="USD",(AI244*(IF(O244="USD",AD244,(AD244/'Master Data-C19RM'!$E$2)))),(AI244*(IF(O244="EUR",AD244,(AD244*'Master Data-C19RM'!$E$2)))))</f>
        <v>0</v>
      </c>
      <c r="AK244" s="445">
        <f>IF($O244="USD",_xlfn.IFNA(VLOOKUP($A244&amp;$E244&amp;$I244,PMsheet!$J:$K,2,0),0),(_xlfn.IFNA(VLOOKUP($A244&amp;$E244&amp;$I244,PMsheet!$J:$K,2,0),0)*'Master Data-C19RM'!$F$2))</f>
        <v>0</v>
      </c>
      <c r="AL244" s="440"/>
      <c r="AM244" s="440"/>
      <c r="AN244" s="440"/>
      <c r="AO244" s="440"/>
      <c r="AP244" s="514">
        <f t="shared" si="37"/>
        <v>0</v>
      </c>
      <c r="AQ244" s="515">
        <f>IF(SETUP!$E$7="USD",(AP244*(IF(O244="USD",AK244,(AK244/'Master Data-C19RM'!$F$2)))),(AP244*(IF(O244="EUR",AK244,(AK244*'Master Data-C19RM'!$F$2)))))</f>
        <v>0</v>
      </c>
      <c r="AR244" s="457">
        <f>IF($O244="USD",_xlfn.IFNA(VLOOKUP($A244&amp;$E244&amp;$I244,PMsheet!$J:$K,2,0),0),(_xlfn.IFNA(VLOOKUP($A244&amp;$E244&amp;$I244,PMsheet!$J:$K,2,0),0)*'Master Data-C19RM'!$G$2))</f>
        <v>0</v>
      </c>
      <c r="AS244" s="926"/>
      <c r="AT244" s="926"/>
      <c r="AU244" s="926"/>
      <c r="AV244" s="926"/>
      <c r="AW244" s="514">
        <f t="shared" si="38"/>
        <v>0</v>
      </c>
      <c r="AX244" s="515">
        <f>IF(SETUP!$E$7="USD",(AW244*(IF(O244="USD",AR244,(AR244/'Master Data-C19RM'!$G$2)))),(AW244*(IF(O244="EUR",AR244,(AR244*'Master Data-C19RM'!$G$2)))))</f>
        <v>0</v>
      </c>
      <c r="AY244" s="845"/>
      <c r="AZ244" s="846"/>
      <c r="BA244" s="846"/>
      <c r="BB244" s="846"/>
      <c r="BC244" s="846"/>
      <c r="BD244" s="846"/>
      <c r="BE244" s="847"/>
      <c r="BF244" s="514">
        <f>'C19RM 2021-Lab &amp; Other HPS'!$U244+'C19RM 2021-Lab &amp; Other HPS'!$AB244+'C19RM 2021-Lab &amp; Other HPS'!$AP244+'C19RM 2021-Lab &amp; Other HPS'!$AI244+AW244+BD244</f>
        <v>0</v>
      </c>
      <c r="BG244" s="514">
        <f>'C19RM 2021-Lab &amp; Other HPS'!$V244+'C19RM 2021-Lab &amp; Other HPS'!$AC244+'C19RM 2021-Lab &amp; Other HPS'!$AQ244+'C19RM 2021-Lab &amp; Other HPS'!$AJ244+AX244+BE244</f>
        <v>0</v>
      </c>
      <c r="BH244" s="522" t="str" cm="1">
        <f t="array" ref="BH244">IF(A244&lt;&gt;"",IFERROR(INDEX(PMtbl[[WKst]:[Unit of measure*]],MATCH($A$222&amp;$A244&amp;$E244&amp;$I244,INDEX(PMtbl[Sec]&amp;PMtbl[Category]&amp;PMtbl[Each]&amp;PMtbl[Packaging],0,),0),11),""),"")</f>
        <v/>
      </c>
      <c r="BI244" s="818"/>
      <c r="BJ244" s="503" t="str" cm="1">
        <f t="array" ref="BJ244">IFERROR(INDEX(SETUP!$C$19:$G$121,MATCH((INDEX(PMtbl[[WKst]:[Unit of measure*]],MATCH($A244&amp;$E244&amp;$I244,INDEX(PMtbl[Category]&amp;PMtbl[Each]&amp;PMtbl[Packaging],0,),0),3)),SETUP!$D$19:$D$121,0),5),"")</f>
        <v/>
      </c>
      <c r="BK244" s="543" t="str" cm="1">
        <f t="array" ref="BK244">IFERROR(IF((INDEX(SETUP!$C$19:$G$121,MATCH((INDEX(PMtbl[[WKst]:[Unit of measure*]],MATCH($A244&amp;$E244&amp;$I244,INDEX(PMtbl[Category]&amp;PMtbl[Each]&amp;PMtbl[Packaging],0,),0),3)),SETUP!$D$19:$D$121,0),4))="Upfront",0,INDEX(SETUP!$C$19:$G$121,MATCH((INDEX(PMtbl[[WKst]:[Unit of measure*]],MATCH($A244&amp;$E244&amp;$I244,INDEX(PMtbl[Category]&amp;PMtbl[Each]&amp;PMtbl[Packaging],0,),0),3)),SETUP!$D$19:$D$121,0),5)),"")</f>
        <v/>
      </c>
      <c r="BL244" s="215" t="str" cm="1">
        <f t="array" ref="BL244">IF(A244&lt;&gt;"",IFERROR(INDEX(PMtbl[[WKst]:[Unit of measure*]],MATCH($A$222&amp;$A244&amp;$E244&amp;$I244,INDEX(PMtbl[Sec]&amp;PMtbl[Category]&amp;PMtbl[Each]&amp;PMtbl[Packaging],0,),0),11),""),"")</f>
        <v/>
      </c>
      <c r="BO244" s="12">
        <f>IF(N244="",0,IF(SETUP!$E$7="USD",((IF(O244="USD",P244,(P244/'Master Data-C19RM'!$C$2)))),((IF(O244="EUR",P244,(P244*'Master Data-C19RM'!$C$2))))))</f>
        <v>0</v>
      </c>
      <c r="BP244" s="12">
        <f>IF(N244="",0,IF(SETUP!$E$7="USD",((IF(O244="USD",W244,(W244/'Master Data-C19RM'!$D$2)))),((IF(O244="EUR",W244,(W244*'Master Data-C19RM'!$D$2))))))</f>
        <v>0</v>
      </c>
      <c r="BQ244">
        <f>IF(N244="",0,IF(SETUP!$E$7="USD",((IF(O244="USD",AD244,(AD244/'Master Data-C19RM'!$E$2)))),((IF(O244="EUR",AD244,(AD244*'Master Data-C19RM'!$E$2))))))</f>
        <v>0</v>
      </c>
      <c r="BR244">
        <f>IF(N244="",0,IF(SETUP!$E$7="USD",((IF(O244="USD",AK244,(AK244/'Master Data-C19RM'!$F$2)))),((IF(O244="EUR",AK244,(AK244*'Master Data-C19RM'!$F$2))))))</f>
        <v>0</v>
      </c>
      <c r="BS244">
        <f>IF(N244="",0,IF(SETUP!$E$7="USD",((IF(O244="USD",AR244,(AR244/'Master Data-C19RM'!$G$2)))),((IF(O244="EUR",AR244,(AR244*'Master Data-C19RM'!$G$2))))))</f>
        <v>0</v>
      </c>
      <c r="BT244">
        <f>IF(N244="",0,IF(SETUP!$E$7="USD",((IF(O244="USD",AY244,(AY244/'Master Data-C19RM'!$H$2)))),((IF(O244="EUR",AY244,(AY244*'Master Data-C19RM'!$H$2))))))</f>
        <v>0</v>
      </c>
      <c r="BU244" s="12">
        <f t="shared" si="32"/>
        <v>0</v>
      </c>
      <c r="BV244" s="142">
        <f t="shared" si="33"/>
        <v>0</v>
      </c>
    </row>
    <row r="245" spans="1:74" x14ac:dyDescent="0.35">
      <c r="A245" s="1165"/>
      <c r="B245" s="1165"/>
      <c r="C245" s="1165"/>
      <c r="D245" s="1165"/>
      <c r="E245" s="1166"/>
      <c r="F245" s="1166"/>
      <c r="G245" s="1166"/>
      <c r="H245" s="1166"/>
      <c r="I245" s="1166"/>
      <c r="J245" s="1166"/>
      <c r="K245" s="1166"/>
      <c r="L245" s="490" t="str" cm="1">
        <f t="array" ref="L245">IF(A245&lt;&gt;"",IFERROR(INDEX(PMtbl[[WKst]:[Unit of measure*]],MATCH($A$222&amp;$A245&amp;$E245&amp;$I245,INDEX(PMtbl[Sec]&amp;PMtbl[Category]&amp;PMtbl[Each]&amp;PMtbl[Packaging],0,),0),14),""),"")</f>
        <v/>
      </c>
      <c r="M245" s="479" t="str">
        <f>IF(L245="","",INDEX(SETUP!$E$20:$E$122,(MATCH(INDEX(PMsheet!$D:$E,MATCH(A245,PMsheet!E:E,0),1),SETUP!$D$20:$D$122,0))))</f>
        <v/>
      </c>
      <c r="N245" s="491">
        <f>IF($O245="USD",_xlfn.IFNA(VLOOKUP(A245&amp;E245&amp;I245,PMsheet!J:K,2,0),0),(_xlfn.IFNA(VLOOKUP(A245&amp;E245&amp;I245,PMsheet!J:K,2,0),0)*'Master Data-C19RM'!$C$2))</f>
        <v>0</v>
      </c>
      <c r="O245" s="492" t="str">
        <f>IF(L245="", "",SETUP!$E$7)</f>
        <v/>
      </c>
      <c r="P245" s="444">
        <f>IF($O245="USD",_xlfn.IFNA(VLOOKUP($A245&amp;$E245&amp;$I245,PMsheet!$J:$K,2,0),0),(_xlfn.IFNA(VLOOKUP($A245&amp;$E245&amp;$I245,PMsheet!$J:$K,2,0),0)*'Master Data-C19RM'!$C$2))</f>
        <v>0</v>
      </c>
      <c r="Q245" s="441"/>
      <c r="R245" s="441"/>
      <c r="S245" s="441"/>
      <c r="T245" s="441"/>
      <c r="U245" s="481">
        <f t="shared" si="34"/>
        <v>0</v>
      </c>
      <c r="V245" s="483">
        <f>IF(SETUP!$E$7="USD",(U245*(IF(O245="USD",P245,(P245/'Master Data-C19RM'!$C$2)))),(U245*(IF(O245="EUR",P245,(P245*'Master Data-C19RM'!$C$2)))))</f>
        <v>0</v>
      </c>
      <c r="W245" s="444">
        <f>IF($O245="USD",_xlfn.IFNA(VLOOKUP($A245&amp;$E245&amp;$I245,PMsheet!$J:$K,2,0),0),(_xlfn.IFNA(VLOOKUP($A245&amp;$E245&amp;$I245,PMsheet!$J:$K,2,0),0)*'Master Data-C19RM'!$D$2))</f>
        <v>0</v>
      </c>
      <c r="X245" s="441"/>
      <c r="Y245" s="441"/>
      <c r="Z245" s="441"/>
      <c r="AA245" s="441"/>
      <c r="AB245" s="481">
        <f t="shared" si="35"/>
        <v>0</v>
      </c>
      <c r="AC245" s="483">
        <f>IF(SETUP!$E$7="USD",(AB245*(IF(O245="USD",W245,(W245/'Master Data-C19RM'!$D$2)))),(AB245*(IF(O245="EUR",W245,(W245*'Master Data-C19RM'!$D$2)))))</f>
        <v>0</v>
      </c>
      <c r="AD245" s="444">
        <f>IF($O245="USD",_xlfn.IFNA(VLOOKUP($A245&amp;$E245&amp;$I245,PMsheet!$J:$K,2,0),0),(_xlfn.IFNA(VLOOKUP($A245&amp;$E245&amp;$I245,PMsheet!$J:$K,2,0),0)*'Master Data-C19RM'!$E$2))</f>
        <v>0</v>
      </c>
      <c r="AE245" s="441"/>
      <c r="AF245" s="441"/>
      <c r="AG245" s="441"/>
      <c r="AH245" s="441"/>
      <c r="AI245" s="512">
        <f t="shared" si="36"/>
        <v>0</v>
      </c>
      <c r="AJ245" s="513">
        <f>IF(SETUP!$E$7="USD",(AI245*(IF(O245="USD",AD245,(AD245/'Master Data-C19RM'!$E$2)))),(AI245*(IF(O245="EUR",AD245,(AD245*'Master Data-C19RM'!$E$2)))))</f>
        <v>0</v>
      </c>
      <c r="AK245" s="444">
        <f>IF($O245="USD",_xlfn.IFNA(VLOOKUP($A245&amp;$E245&amp;$I245,PMsheet!$J:$K,2,0),0),(_xlfn.IFNA(VLOOKUP($A245&amp;$E245&amp;$I245,PMsheet!$J:$K,2,0),0)*'Master Data-C19RM'!$F$2))</f>
        <v>0</v>
      </c>
      <c r="AL245" s="441"/>
      <c r="AM245" s="441"/>
      <c r="AN245" s="441"/>
      <c r="AO245" s="441"/>
      <c r="AP245" s="512">
        <f t="shared" si="37"/>
        <v>0</v>
      </c>
      <c r="AQ245" s="513">
        <f>IF(SETUP!$E$7="USD",(AP245*(IF(O245="USD",AK245,(AK245/'Master Data-C19RM'!$F$2)))),(AP245*(IF(O245="EUR",AK245,(AK245*'Master Data-C19RM'!$F$2)))))</f>
        <v>0</v>
      </c>
      <c r="AR245" s="456">
        <f>IF($O245="USD",_xlfn.IFNA(VLOOKUP($A245&amp;$E245&amp;$I245,PMsheet!$J:$K,2,0),0),(_xlfn.IFNA(VLOOKUP($A245&amp;$E245&amp;$I245,PMsheet!$J:$K,2,0),0)*'Master Data-C19RM'!$G$2))</f>
        <v>0</v>
      </c>
      <c r="AS245" s="572"/>
      <c r="AT245" s="572"/>
      <c r="AU245" s="572"/>
      <c r="AV245" s="572"/>
      <c r="AW245" s="512">
        <f t="shared" si="38"/>
        <v>0</v>
      </c>
      <c r="AX245" s="513">
        <f>IF(SETUP!$E$7="USD",(AW245*(IF(O245="USD",AR245,(AR245/'Master Data-C19RM'!$G$2)))),(AW245*(IF(O245="EUR",AR245,(AR245*'Master Data-C19RM'!$G$2)))))</f>
        <v>0</v>
      </c>
      <c r="AY245" s="845"/>
      <c r="AZ245" s="846"/>
      <c r="BA245" s="846"/>
      <c r="BB245" s="846"/>
      <c r="BC245" s="846"/>
      <c r="BD245" s="846"/>
      <c r="BE245" s="847"/>
      <c r="BF245" s="512">
        <f>'C19RM 2021-Lab &amp; Other HPS'!$U245+'C19RM 2021-Lab &amp; Other HPS'!$AB245+'C19RM 2021-Lab &amp; Other HPS'!$AP245+'C19RM 2021-Lab &amp; Other HPS'!$AI245+AW245+BD245</f>
        <v>0</v>
      </c>
      <c r="BG245" s="512">
        <f>'C19RM 2021-Lab &amp; Other HPS'!$V245+'C19RM 2021-Lab &amp; Other HPS'!$AC245+'C19RM 2021-Lab &amp; Other HPS'!$AQ245+'C19RM 2021-Lab &amp; Other HPS'!$AJ245+AX245+BE245</f>
        <v>0</v>
      </c>
      <c r="BH245" s="500" t="str" cm="1">
        <f t="array" ref="BH245">IF(A245&lt;&gt;"",IFERROR(INDEX(PMtbl[[WKst]:[Unit of measure*]],MATCH($A$222&amp;$A245&amp;$E245&amp;$I245,INDEX(PMtbl[Sec]&amp;PMtbl[Category]&amp;PMtbl[Each]&amp;PMtbl[Packaging],0,),0),11),""),"")</f>
        <v/>
      </c>
      <c r="BI245" s="819"/>
      <c r="BJ245" s="502" t="str" cm="1">
        <f t="array" ref="BJ245">IFERROR(INDEX(SETUP!$C$19:$G$121,MATCH((INDEX(PMtbl[[WKst]:[Unit of measure*]],MATCH($A245&amp;$E245&amp;$I245,INDEX(PMtbl[Category]&amp;PMtbl[Each]&amp;PMtbl[Packaging],0,),0),3)),SETUP!$D$19:$D$121,0),5),"")</f>
        <v/>
      </c>
      <c r="BK245" s="542" t="str" cm="1">
        <f t="array" ref="BK245">IFERROR(IF((INDEX(SETUP!$C$19:$G$121,MATCH((INDEX(PMtbl[[WKst]:[Unit of measure*]],MATCH($A245&amp;$E245&amp;$I245,INDEX(PMtbl[Category]&amp;PMtbl[Each]&amp;PMtbl[Packaging],0,),0),3)),SETUP!$D$19:$D$121,0),4))="Upfront",0,INDEX(SETUP!$C$19:$G$121,MATCH((INDEX(PMtbl[[WKst]:[Unit of measure*]],MATCH($A245&amp;$E245&amp;$I245,INDEX(PMtbl[Category]&amp;PMtbl[Each]&amp;PMtbl[Packaging],0,),0),3)),SETUP!$D$19:$D$121,0),5)),"")</f>
        <v/>
      </c>
      <c r="BL245" s="214" t="str" cm="1">
        <f t="array" ref="BL245">IF(A245&lt;&gt;"",IFERROR(INDEX(PMtbl[[WKst]:[Unit of measure*]],MATCH($A$222&amp;$A245&amp;$E245&amp;$I245,INDEX(PMtbl[Sec]&amp;PMtbl[Category]&amp;PMtbl[Each]&amp;PMtbl[Packaging],0,),0),11),""),"")</f>
        <v/>
      </c>
      <c r="BO245" s="12">
        <f>IF(N245="",0,IF(SETUP!$E$7="USD",((IF(O245="USD",P245,(P245/'Master Data-C19RM'!$C$2)))),((IF(O245="EUR",P245,(P245*'Master Data-C19RM'!$C$2))))))</f>
        <v>0</v>
      </c>
      <c r="BP245" s="12">
        <f>IF(N245="",0,IF(SETUP!$E$7="USD",((IF(O245="USD",W245,(W245/'Master Data-C19RM'!$D$2)))),((IF(O245="EUR",W245,(W245*'Master Data-C19RM'!$D$2))))))</f>
        <v>0</v>
      </c>
      <c r="BQ245">
        <f>IF(N245="",0,IF(SETUP!$E$7="USD",((IF(O245="USD",AD245,(AD245/'Master Data-C19RM'!$E$2)))),((IF(O245="EUR",AD245,(AD245*'Master Data-C19RM'!$E$2))))))</f>
        <v>0</v>
      </c>
      <c r="BR245">
        <f>IF(N245="",0,IF(SETUP!$E$7="USD",((IF(O245="USD",AK245,(AK245/'Master Data-C19RM'!$F$2)))),((IF(O245="EUR",AK245,(AK245*'Master Data-C19RM'!$F$2))))))</f>
        <v>0</v>
      </c>
      <c r="BS245">
        <f>IF(N245="",0,IF(SETUP!$E$7="USD",((IF(O245="USD",AR245,(AR245/'Master Data-C19RM'!$G$2)))),((IF(O245="EUR",AR245,(AR245*'Master Data-C19RM'!$G$2))))))</f>
        <v>0</v>
      </c>
      <c r="BT245">
        <f>IF(N245="",0,IF(SETUP!$E$7="USD",((IF(O245="USD",AY245,(AY245/'Master Data-C19RM'!$H$2)))),((IF(O245="EUR",AY245,(AY245*'Master Data-C19RM'!$H$2))))))</f>
        <v>0</v>
      </c>
      <c r="BU245" s="12">
        <f t="shared" si="32"/>
        <v>0</v>
      </c>
      <c r="BV245" s="142">
        <f t="shared" si="33"/>
        <v>0</v>
      </c>
    </row>
    <row r="246" spans="1:74" x14ac:dyDescent="0.35">
      <c r="A246" s="1192"/>
      <c r="B246" s="1192"/>
      <c r="C246" s="1192"/>
      <c r="D246" s="1192"/>
      <c r="E246" s="1173"/>
      <c r="F246" s="1173"/>
      <c r="G246" s="1173"/>
      <c r="H246" s="1173"/>
      <c r="I246" s="1173"/>
      <c r="J246" s="1173"/>
      <c r="K246" s="1173"/>
      <c r="L246" s="493" t="str" cm="1">
        <f t="array" ref="L246">IF(A246&lt;&gt;"",IFERROR(INDEX(PMtbl[[WKst]:[Unit of measure*]],MATCH($A$222&amp;$A246&amp;$E246&amp;$I246,INDEX(PMtbl[Sec]&amp;PMtbl[Category]&amp;PMtbl[Each]&amp;PMtbl[Packaging],0,),0),14),""),"")</f>
        <v/>
      </c>
      <c r="M246" s="480" t="str">
        <f>IF(L246="","",INDEX(SETUP!$E$20:$E$122,(MATCH(INDEX(PMsheet!$D:$E,MATCH(A246,PMsheet!E:E,0),1),SETUP!$D$20:$D$122,0))))</f>
        <v/>
      </c>
      <c r="N246" s="494">
        <f>IF($O246="USD",_xlfn.IFNA(VLOOKUP(A246&amp;E246&amp;I246,PMsheet!J:K,2,0),0),(_xlfn.IFNA(VLOOKUP(A246&amp;E246&amp;I246,PMsheet!J:K,2,0),0)*'Master Data-C19RM'!$C$2))</f>
        <v>0</v>
      </c>
      <c r="O246" s="495" t="str">
        <f>IF(L246="", "",SETUP!$E$7)</f>
        <v/>
      </c>
      <c r="P246" s="445">
        <f>IF($O246="USD",_xlfn.IFNA(VLOOKUP($A246&amp;$E246&amp;$I246,PMsheet!$J:$K,2,0),0),(_xlfn.IFNA(VLOOKUP($A246&amp;$E246&amp;$I246,PMsheet!$J:$K,2,0),0)*'Master Data-C19RM'!$C$2))</f>
        <v>0</v>
      </c>
      <c r="Q246" s="440"/>
      <c r="R246" s="440"/>
      <c r="S246" s="440"/>
      <c r="T246" s="440"/>
      <c r="U246" s="482">
        <f t="shared" si="34"/>
        <v>0</v>
      </c>
      <c r="V246" s="484">
        <f>IF(SETUP!$E$7="USD",(U246*(IF(O246="USD",P246,(P246/'Master Data-C19RM'!$C$2)))),(U246*(IF(O246="EUR",P246,(P246*'Master Data-C19RM'!$C$2)))))</f>
        <v>0</v>
      </c>
      <c r="W246" s="445">
        <f>IF($O246="USD",_xlfn.IFNA(VLOOKUP($A246&amp;$E246&amp;$I246,PMsheet!$J:$K,2,0),0),(_xlfn.IFNA(VLOOKUP($A246&amp;$E246&amp;$I246,PMsheet!$J:$K,2,0),0)*'Master Data-C19RM'!$D$2))</f>
        <v>0</v>
      </c>
      <c r="X246" s="440"/>
      <c r="Y246" s="440"/>
      <c r="Z246" s="440"/>
      <c r="AA246" s="440"/>
      <c r="AB246" s="482">
        <f t="shared" si="35"/>
        <v>0</v>
      </c>
      <c r="AC246" s="484">
        <f>IF(SETUP!$E$7="USD",(AB246*(IF(O246="USD",W246,(W246/'Master Data-C19RM'!$D$2)))),(AB246*(IF(O246="EUR",W246,(W246*'Master Data-C19RM'!$D$2)))))</f>
        <v>0</v>
      </c>
      <c r="AD246" s="445">
        <f>IF($O246="USD",_xlfn.IFNA(VLOOKUP($A246&amp;$E246&amp;$I246,PMsheet!$J:$K,2,0),0),(_xlfn.IFNA(VLOOKUP($A246&amp;$E246&amp;$I246,PMsheet!$J:$K,2,0),0)*'Master Data-C19RM'!$E$2))</f>
        <v>0</v>
      </c>
      <c r="AE246" s="440"/>
      <c r="AF246" s="440"/>
      <c r="AG246" s="440"/>
      <c r="AH246" s="440"/>
      <c r="AI246" s="514">
        <f t="shared" si="36"/>
        <v>0</v>
      </c>
      <c r="AJ246" s="515">
        <f>IF(SETUP!$E$7="USD",(AI246*(IF(O246="USD",AD246,(AD246/'Master Data-C19RM'!$E$2)))),(AI246*(IF(O246="EUR",AD246,(AD246*'Master Data-C19RM'!$E$2)))))</f>
        <v>0</v>
      </c>
      <c r="AK246" s="445">
        <f>IF($O246="USD",_xlfn.IFNA(VLOOKUP($A246&amp;$E246&amp;$I246,PMsheet!$J:$K,2,0),0),(_xlfn.IFNA(VLOOKUP($A246&amp;$E246&amp;$I246,PMsheet!$J:$K,2,0),0)*'Master Data-C19RM'!$F$2))</f>
        <v>0</v>
      </c>
      <c r="AL246" s="440"/>
      <c r="AM246" s="440"/>
      <c r="AN246" s="440"/>
      <c r="AO246" s="440"/>
      <c r="AP246" s="514">
        <f t="shared" si="37"/>
        <v>0</v>
      </c>
      <c r="AQ246" s="515">
        <f>IF(SETUP!$E$7="USD",(AP246*(IF(O246="USD",AK246,(AK246/'Master Data-C19RM'!$F$2)))),(AP246*(IF(O246="EUR",AK246,(AK246*'Master Data-C19RM'!$F$2)))))</f>
        <v>0</v>
      </c>
      <c r="AR246" s="457">
        <f>IF($O246="USD",_xlfn.IFNA(VLOOKUP($A246&amp;$E246&amp;$I246,PMsheet!$J:$K,2,0),0),(_xlfn.IFNA(VLOOKUP($A246&amp;$E246&amp;$I246,PMsheet!$J:$K,2,0),0)*'Master Data-C19RM'!$G$2))</f>
        <v>0</v>
      </c>
      <c r="AS246" s="926"/>
      <c r="AT246" s="926"/>
      <c r="AU246" s="926"/>
      <c r="AV246" s="926"/>
      <c r="AW246" s="514">
        <f t="shared" si="38"/>
        <v>0</v>
      </c>
      <c r="AX246" s="515">
        <f>IF(SETUP!$E$7="USD",(AW246*(IF(O246="USD",AR246,(AR246/'Master Data-C19RM'!$G$2)))),(AW246*(IF(O246="EUR",AR246,(AR246*'Master Data-C19RM'!$G$2)))))</f>
        <v>0</v>
      </c>
      <c r="AY246" s="845"/>
      <c r="AZ246" s="846"/>
      <c r="BA246" s="846"/>
      <c r="BB246" s="846"/>
      <c r="BC246" s="846"/>
      <c r="BD246" s="846"/>
      <c r="BE246" s="847"/>
      <c r="BF246" s="514">
        <f>'C19RM 2021-Lab &amp; Other HPS'!$U246+'C19RM 2021-Lab &amp; Other HPS'!$AB246+'C19RM 2021-Lab &amp; Other HPS'!$AP246+'C19RM 2021-Lab &amp; Other HPS'!$AI246+AW246+BD246</f>
        <v>0</v>
      </c>
      <c r="BG246" s="514">
        <f>'C19RM 2021-Lab &amp; Other HPS'!$V246+'C19RM 2021-Lab &amp; Other HPS'!$AC246+'C19RM 2021-Lab &amp; Other HPS'!$AQ246+'C19RM 2021-Lab &amp; Other HPS'!$AJ246+AX246+BE246</f>
        <v>0</v>
      </c>
      <c r="BH246" s="522" t="str" cm="1">
        <f t="array" ref="BH246">IF(A246&lt;&gt;"",IFERROR(INDEX(PMtbl[[WKst]:[Unit of measure*]],MATCH($A$222&amp;$A246&amp;$E246&amp;$I246,INDEX(PMtbl[Sec]&amp;PMtbl[Category]&amp;PMtbl[Each]&amp;PMtbl[Packaging],0,),0),11),""),"")</f>
        <v/>
      </c>
      <c r="BI246" s="818"/>
      <c r="BJ246" s="503" t="str" cm="1">
        <f t="array" ref="BJ246">IFERROR(INDEX(SETUP!$C$19:$G$121,MATCH((INDEX(PMtbl[[WKst]:[Unit of measure*]],MATCH($A246&amp;$E246&amp;$I246,INDEX(PMtbl[Category]&amp;PMtbl[Each]&amp;PMtbl[Packaging],0,),0),3)),SETUP!$D$19:$D$121,0),5),"")</f>
        <v/>
      </c>
      <c r="BK246" s="543" t="str" cm="1">
        <f t="array" ref="BK246">IFERROR(IF((INDEX(SETUP!$C$19:$G$121,MATCH((INDEX(PMtbl[[WKst]:[Unit of measure*]],MATCH($A246&amp;$E246&amp;$I246,INDEX(PMtbl[Category]&amp;PMtbl[Each]&amp;PMtbl[Packaging],0,),0),3)),SETUP!$D$19:$D$121,0),4))="Upfront",0,INDEX(SETUP!$C$19:$G$121,MATCH((INDEX(PMtbl[[WKst]:[Unit of measure*]],MATCH($A246&amp;$E246&amp;$I246,INDEX(PMtbl[Category]&amp;PMtbl[Each]&amp;PMtbl[Packaging],0,),0),3)),SETUP!$D$19:$D$121,0),5)),"")</f>
        <v/>
      </c>
      <c r="BL246" s="215" t="str" cm="1">
        <f t="array" ref="BL246">IF(A246&lt;&gt;"",IFERROR(INDEX(PMtbl[[WKst]:[Unit of measure*]],MATCH($A$222&amp;$A246&amp;$E246&amp;$I246,INDEX(PMtbl[Sec]&amp;PMtbl[Category]&amp;PMtbl[Each]&amp;PMtbl[Packaging],0,),0),11),""),"")</f>
        <v/>
      </c>
      <c r="BO246" s="12">
        <f>IF(N246="",0,IF(SETUP!$E$7="USD",((IF(O246="USD",P246,(P246/'Master Data-C19RM'!$C$2)))),((IF(O246="EUR",P246,(P246*'Master Data-C19RM'!$C$2))))))</f>
        <v>0</v>
      </c>
      <c r="BP246" s="12">
        <f>IF(N246="",0,IF(SETUP!$E$7="USD",((IF(O246="USD",W246,(W246/'Master Data-C19RM'!$D$2)))),((IF(O246="EUR",W246,(W246*'Master Data-C19RM'!$D$2))))))</f>
        <v>0</v>
      </c>
      <c r="BQ246">
        <f>IF(N246="",0,IF(SETUP!$E$7="USD",((IF(O246="USD",AD246,(AD246/'Master Data-C19RM'!$E$2)))),((IF(O246="EUR",AD246,(AD246*'Master Data-C19RM'!$E$2))))))</f>
        <v>0</v>
      </c>
      <c r="BR246">
        <f>IF(N246="",0,IF(SETUP!$E$7="USD",((IF(O246="USD",AK246,(AK246/'Master Data-C19RM'!$F$2)))),((IF(O246="EUR",AK246,(AK246*'Master Data-C19RM'!$F$2))))))</f>
        <v>0</v>
      </c>
      <c r="BS246">
        <f>IF(N246="",0,IF(SETUP!$E$7="USD",((IF(O246="USD",AR246,(AR246/'Master Data-C19RM'!$G$2)))),((IF(O246="EUR",AR246,(AR246*'Master Data-C19RM'!$G$2))))))</f>
        <v>0</v>
      </c>
      <c r="BT246">
        <f>IF(N246="",0,IF(SETUP!$E$7="USD",((IF(O246="USD",AY246,(AY246/'Master Data-C19RM'!$H$2)))),((IF(O246="EUR",AY246,(AY246*'Master Data-C19RM'!$H$2))))))</f>
        <v>0</v>
      </c>
      <c r="BU246" s="12">
        <f t="shared" si="32"/>
        <v>0</v>
      </c>
      <c r="BV246" s="142">
        <f t="shared" si="33"/>
        <v>0</v>
      </c>
    </row>
    <row r="247" spans="1:74" x14ac:dyDescent="0.35">
      <c r="A247" s="1165"/>
      <c r="B247" s="1165"/>
      <c r="C247" s="1165"/>
      <c r="D247" s="1165"/>
      <c r="E247" s="1166"/>
      <c r="F247" s="1166"/>
      <c r="G247" s="1166"/>
      <c r="H247" s="1166"/>
      <c r="I247" s="1166"/>
      <c r="J247" s="1166"/>
      <c r="K247" s="1166"/>
      <c r="L247" s="490" t="str" cm="1">
        <f t="array" ref="L247">IF(A247&lt;&gt;"",IFERROR(INDEX(PMtbl[[WKst]:[Unit of measure*]],MATCH($A$222&amp;$A247&amp;$E247&amp;$I247,INDEX(PMtbl[Sec]&amp;PMtbl[Category]&amp;PMtbl[Each]&amp;PMtbl[Packaging],0,),0),14),""),"")</f>
        <v/>
      </c>
      <c r="M247" s="479" t="str">
        <f>IF(L247="","",INDEX(SETUP!$E$20:$E$122,(MATCH(INDEX(PMsheet!$D:$E,MATCH(A247,PMsheet!E:E,0),1),SETUP!$D$20:$D$122,0))))</f>
        <v/>
      </c>
      <c r="N247" s="491">
        <f>IF($O247="USD",_xlfn.IFNA(VLOOKUP(A247&amp;E247&amp;I247,PMsheet!J:K,2,0),0),(_xlfn.IFNA(VLOOKUP(A247&amp;E247&amp;I247,PMsheet!J:K,2,0),0)*'Master Data-C19RM'!$C$2))</f>
        <v>0</v>
      </c>
      <c r="O247" s="492" t="str">
        <f>IF(L247="", "",SETUP!$E$7)</f>
        <v/>
      </c>
      <c r="P247" s="444">
        <f>IF($O247="USD",_xlfn.IFNA(VLOOKUP($A247&amp;$E247&amp;$I247,PMsheet!$J:$K,2,0),0),(_xlfn.IFNA(VLOOKUP($A247&amp;$E247&amp;$I247,PMsheet!$J:$K,2,0),0)*'Master Data-C19RM'!$C$2))</f>
        <v>0</v>
      </c>
      <c r="Q247" s="441"/>
      <c r="R247" s="441"/>
      <c r="S247" s="441"/>
      <c r="T247" s="441"/>
      <c r="U247" s="481">
        <f t="shared" si="34"/>
        <v>0</v>
      </c>
      <c r="V247" s="483">
        <f>IF(SETUP!$E$7="USD",(U247*(IF(O247="USD",P247,(P247/'Master Data-C19RM'!$C$2)))),(U247*(IF(O247="EUR",P247,(P247*'Master Data-C19RM'!$C$2)))))</f>
        <v>0</v>
      </c>
      <c r="W247" s="444">
        <f>IF($O247="USD",_xlfn.IFNA(VLOOKUP($A247&amp;$E247&amp;$I247,PMsheet!$J:$K,2,0),0),(_xlfn.IFNA(VLOOKUP($A247&amp;$E247&amp;$I247,PMsheet!$J:$K,2,0),0)*'Master Data-C19RM'!$D$2))</f>
        <v>0</v>
      </c>
      <c r="X247" s="441"/>
      <c r="Y247" s="441"/>
      <c r="Z247" s="441"/>
      <c r="AA247" s="441"/>
      <c r="AB247" s="481">
        <f t="shared" si="35"/>
        <v>0</v>
      </c>
      <c r="AC247" s="483">
        <f>IF(SETUP!$E$7="USD",(AB247*(IF(O247="USD",W247,(W247/'Master Data-C19RM'!$D$2)))),(AB247*(IF(O247="EUR",W247,(W247*'Master Data-C19RM'!$D$2)))))</f>
        <v>0</v>
      </c>
      <c r="AD247" s="444">
        <f>IF($O247="USD",_xlfn.IFNA(VLOOKUP($A247&amp;$E247&amp;$I247,PMsheet!$J:$K,2,0),0),(_xlfn.IFNA(VLOOKUP($A247&amp;$E247&amp;$I247,PMsheet!$J:$K,2,0),0)*'Master Data-C19RM'!$E$2))</f>
        <v>0</v>
      </c>
      <c r="AE247" s="441"/>
      <c r="AF247" s="441"/>
      <c r="AG247" s="441"/>
      <c r="AH247" s="441"/>
      <c r="AI247" s="512">
        <f t="shared" si="36"/>
        <v>0</v>
      </c>
      <c r="AJ247" s="513">
        <f>IF(SETUP!$E$7="USD",(AI247*(IF(O247="USD",AD247,(AD247/'Master Data-C19RM'!$E$2)))),(AI247*(IF(O247="EUR",AD247,(AD247*'Master Data-C19RM'!$E$2)))))</f>
        <v>0</v>
      </c>
      <c r="AK247" s="444">
        <f>IF($O247="USD",_xlfn.IFNA(VLOOKUP($A247&amp;$E247&amp;$I247,PMsheet!$J:$K,2,0),0),(_xlfn.IFNA(VLOOKUP($A247&amp;$E247&amp;$I247,PMsheet!$J:$K,2,0),0)*'Master Data-C19RM'!$F$2))</f>
        <v>0</v>
      </c>
      <c r="AL247" s="441"/>
      <c r="AM247" s="441"/>
      <c r="AN247" s="441"/>
      <c r="AO247" s="441"/>
      <c r="AP247" s="512">
        <f t="shared" si="37"/>
        <v>0</v>
      </c>
      <c r="AQ247" s="513">
        <f>IF(SETUP!$E$7="USD",(AP247*(IF(O247="USD",AK247,(AK247/'Master Data-C19RM'!$F$2)))),(AP247*(IF(O247="EUR",AK247,(AK247*'Master Data-C19RM'!$F$2)))))</f>
        <v>0</v>
      </c>
      <c r="AR247" s="456">
        <f>IF($O247="USD",_xlfn.IFNA(VLOOKUP($A247&amp;$E247&amp;$I247,PMsheet!$J:$K,2,0),0),(_xlfn.IFNA(VLOOKUP($A247&amp;$E247&amp;$I247,PMsheet!$J:$K,2,0),0)*'Master Data-C19RM'!$G$2))</f>
        <v>0</v>
      </c>
      <c r="AS247" s="572"/>
      <c r="AT247" s="572"/>
      <c r="AU247" s="572"/>
      <c r="AV247" s="572"/>
      <c r="AW247" s="512">
        <f t="shared" si="38"/>
        <v>0</v>
      </c>
      <c r="AX247" s="513">
        <f>IF(SETUP!$E$7="USD",(AW247*(IF(O247="USD",AR247,(AR247/'Master Data-C19RM'!$G$2)))),(AW247*(IF(O247="EUR",AR247,(AR247*'Master Data-C19RM'!$G$2)))))</f>
        <v>0</v>
      </c>
      <c r="AY247" s="845"/>
      <c r="AZ247" s="846"/>
      <c r="BA247" s="846"/>
      <c r="BB247" s="846"/>
      <c r="BC247" s="846"/>
      <c r="BD247" s="846"/>
      <c r="BE247" s="847"/>
      <c r="BF247" s="512">
        <f>'C19RM 2021-Lab &amp; Other HPS'!$U247+'C19RM 2021-Lab &amp; Other HPS'!$AB247+'C19RM 2021-Lab &amp; Other HPS'!$AP247+'C19RM 2021-Lab &amp; Other HPS'!$AI247+AW247+BD247</f>
        <v>0</v>
      </c>
      <c r="BG247" s="512">
        <f>'C19RM 2021-Lab &amp; Other HPS'!$V247+'C19RM 2021-Lab &amp; Other HPS'!$AC247+'C19RM 2021-Lab &amp; Other HPS'!$AQ247+'C19RM 2021-Lab &amp; Other HPS'!$AJ247+AX247+BE247</f>
        <v>0</v>
      </c>
      <c r="BH247" s="500" t="str" cm="1">
        <f t="array" ref="BH247">IF(A247&lt;&gt;"",IFERROR(INDEX(PMtbl[[WKst]:[Unit of measure*]],MATCH($A$222&amp;$A247&amp;$E247&amp;$I247,INDEX(PMtbl[Sec]&amp;PMtbl[Category]&amp;PMtbl[Each]&amp;PMtbl[Packaging],0,),0),11),""),"")</f>
        <v/>
      </c>
      <c r="BI247" s="819"/>
      <c r="BJ247" s="526" t="str" cm="1">
        <f t="array" ref="BJ247">IFERROR(INDEX(SETUP!$C$19:$G$121,MATCH((INDEX(PMtbl[[WKst]:[Unit of measure*]],MATCH($A247&amp;$E247&amp;$I247,INDEX(PMtbl[Category]&amp;PMtbl[Each]&amp;PMtbl[Packaging],0,),0),3)),SETUP!$D$19:$D$121,0),5),"")</f>
        <v/>
      </c>
      <c r="BK247" s="544" t="str" cm="1">
        <f t="array" ref="BK247">IFERROR(IF((INDEX(SETUP!$C$19:$G$121,MATCH((INDEX(PMtbl[[WKst]:[Unit of measure*]],MATCH($A247&amp;$E247&amp;$I247,INDEX(PMtbl[Category]&amp;PMtbl[Each]&amp;PMtbl[Packaging],0,),0),3)),SETUP!$D$19:$D$121,0),4))="Upfront",0,INDEX(SETUP!$C$19:$G$121,MATCH((INDEX(PMtbl[[WKst]:[Unit of measure*]],MATCH($A247&amp;$E247&amp;$I247,INDEX(PMtbl[Category]&amp;PMtbl[Each]&amp;PMtbl[Packaging],0,),0),3)),SETUP!$D$19:$D$121,0),5)),"")</f>
        <v/>
      </c>
      <c r="BL247" s="214" t="str" cm="1">
        <f t="array" ref="BL247">IF(A247&lt;&gt;"",IFERROR(INDEX(PMtbl[[WKst]:[Unit of measure*]],MATCH($A$222&amp;$A247&amp;$E247&amp;$I247,INDEX(PMtbl[Sec]&amp;PMtbl[Category]&amp;PMtbl[Each]&amp;PMtbl[Packaging],0,),0),11),""),"")</f>
        <v/>
      </c>
      <c r="BO247" s="12">
        <f>IF(N247="",0,IF(SETUP!$E$7="USD",((IF(O247="USD",P247,(P247/'Master Data-C19RM'!$C$2)))),((IF(O247="EUR",P247,(P247*'Master Data-C19RM'!$C$2))))))</f>
        <v>0</v>
      </c>
      <c r="BP247" s="12">
        <f>IF(N247="",0,IF(SETUP!$E$7="USD",((IF(O247="USD",W247,(W247/'Master Data-C19RM'!$D$2)))),((IF(O247="EUR",W247,(W247*'Master Data-C19RM'!$D$2))))))</f>
        <v>0</v>
      </c>
      <c r="BQ247">
        <f>IF(N247="",0,IF(SETUP!$E$7="USD",((IF(O247="USD",AD247,(AD247/'Master Data-C19RM'!$E$2)))),((IF(O247="EUR",AD247,(AD247*'Master Data-C19RM'!$E$2))))))</f>
        <v>0</v>
      </c>
      <c r="BR247">
        <f>IF(N247="",0,IF(SETUP!$E$7="USD",((IF(O247="USD",AK247,(AK247/'Master Data-C19RM'!$F$2)))),((IF(O247="EUR",AK247,(AK247*'Master Data-C19RM'!$F$2))))))</f>
        <v>0</v>
      </c>
      <c r="BS247">
        <f>IF(N247="",0,IF(SETUP!$E$7="USD",((IF(O247="USD",AR247,(AR247/'Master Data-C19RM'!$G$2)))),((IF(O247="EUR",AR247,(AR247*'Master Data-C19RM'!$G$2))))))</f>
        <v>0</v>
      </c>
      <c r="BT247">
        <f>IF(N247="",0,IF(SETUP!$E$7="USD",((IF(O247="USD",AY247,(AY247/'Master Data-C19RM'!$H$2)))),((IF(O247="EUR",AY247,(AY247*'Master Data-C19RM'!$H$2))))))</f>
        <v>0</v>
      </c>
      <c r="BU247" s="12">
        <f t="shared" si="32"/>
        <v>0</v>
      </c>
      <c r="BV247" s="142">
        <f t="shared" si="33"/>
        <v>0</v>
      </c>
    </row>
    <row r="248" spans="1:74" x14ac:dyDescent="0.35">
      <c r="A248" s="1192"/>
      <c r="B248" s="1192"/>
      <c r="C248" s="1192"/>
      <c r="D248" s="1192"/>
      <c r="E248" s="1173"/>
      <c r="F248" s="1173"/>
      <c r="G248" s="1173"/>
      <c r="H248" s="1173"/>
      <c r="I248" s="1173"/>
      <c r="J248" s="1173"/>
      <c r="K248" s="1173"/>
      <c r="L248" s="493" t="str" cm="1">
        <f t="array" ref="L248">IF(A248&lt;&gt;"",IFERROR(INDEX(PMtbl[[WKst]:[Unit of measure*]],MATCH($A$222&amp;$A248&amp;$E248&amp;$I248,INDEX(PMtbl[Sec]&amp;PMtbl[Category]&amp;PMtbl[Each]&amp;PMtbl[Packaging],0,),0),14),""),"")</f>
        <v/>
      </c>
      <c r="M248" s="480" t="str">
        <f>IF(L248="","",INDEX(SETUP!$E$20:$E$122,(MATCH(INDEX(PMsheet!$D:$E,MATCH(A248,PMsheet!E:E,0),1),SETUP!$D$20:$D$122,0))))</f>
        <v/>
      </c>
      <c r="N248" s="494">
        <f>IF($O248="USD",_xlfn.IFNA(VLOOKUP(A248&amp;E248&amp;I248,PMsheet!J:K,2,0),0),(_xlfn.IFNA(VLOOKUP(A248&amp;E248&amp;I248,PMsheet!J:K,2,0),0)*'Master Data-C19RM'!$C$2))</f>
        <v>0</v>
      </c>
      <c r="O248" s="495" t="str">
        <f>IF(L248="", "",SETUP!$E$7)</f>
        <v/>
      </c>
      <c r="P248" s="445">
        <f>IF($O248="USD",_xlfn.IFNA(VLOOKUP($A248&amp;$E248&amp;$I248,PMsheet!$J:$K,2,0),0),(_xlfn.IFNA(VLOOKUP($A248&amp;$E248&amp;$I248,PMsheet!$J:$K,2,0),0)*'Master Data-C19RM'!$C$2))</f>
        <v>0</v>
      </c>
      <c r="Q248" s="440"/>
      <c r="R248" s="440"/>
      <c r="S248" s="440"/>
      <c r="T248" s="440"/>
      <c r="U248" s="482">
        <f t="shared" si="34"/>
        <v>0</v>
      </c>
      <c r="V248" s="484">
        <f>IF(SETUP!$E$7="USD",(U248*(IF(O248="USD",P248,(P248/'Master Data-C19RM'!$C$2)))),(U248*(IF(O248="EUR",P248,(P248*'Master Data-C19RM'!$C$2)))))</f>
        <v>0</v>
      </c>
      <c r="W248" s="445">
        <f>IF($O248="USD",_xlfn.IFNA(VLOOKUP($A248&amp;$E248&amp;$I248,PMsheet!$J:$K,2,0),0),(_xlfn.IFNA(VLOOKUP($A248&amp;$E248&amp;$I248,PMsheet!$J:$K,2,0),0)*'Master Data-C19RM'!$D$2))</f>
        <v>0</v>
      </c>
      <c r="X248" s="440"/>
      <c r="Y248" s="440"/>
      <c r="Z248" s="440"/>
      <c r="AA248" s="440"/>
      <c r="AB248" s="482">
        <f t="shared" si="35"/>
        <v>0</v>
      </c>
      <c r="AC248" s="484">
        <f>IF(SETUP!$E$7="USD",(AB248*(IF(O248="USD",W248,(W248/'Master Data-C19RM'!$D$2)))),(AB248*(IF(O248="EUR",W248,(W248*'Master Data-C19RM'!$D$2)))))</f>
        <v>0</v>
      </c>
      <c r="AD248" s="445">
        <f>IF($O248="USD",_xlfn.IFNA(VLOOKUP($A248&amp;$E248&amp;$I248,PMsheet!$J:$K,2,0),0),(_xlfn.IFNA(VLOOKUP($A248&amp;$E248&amp;$I248,PMsheet!$J:$K,2,0),0)*'Master Data-C19RM'!$E$2))</f>
        <v>0</v>
      </c>
      <c r="AE248" s="440"/>
      <c r="AF248" s="440"/>
      <c r="AG248" s="440"/>
      <c r="AH248" s="440"/>
      <c r="AI248" s="514">
        <f t="shared" si="36"/>
        <v>0</v>
      </c>
      <c r="AJ248" s="515">
        <f>IF(SETUP!$E$7="USD",(AI248*(IF(O248="USD",AD248,(AD248/'Master Data-C19RM'!$E$2)))),(AI248*(IF(O248="EUR",AD248,(AD248*'Master Data-C19RM'!$E$2)))))</f>
        <v>0</v>
      </c>
      <c r="AK248" s="445">
        <f>IF($O248="USD",_xlfn.IFNA(VLOOKUP($A248&amp;$E248&amp;$I248,PMsheet!$J:$K,2,0),0),(_xlfn.IFNA(VLOOKUP($A248&amp;$E248&amp;$I248,PMsheet!$J:$K,2,0),0)*'Master Data-C19RM'!$F$2))</f>
        <v>0</v>
      </c>
      <c r="AL248" s="440"/>
      <c r="AM248" s="440"/>
      <c r="AN248" s="440"/>
      <c r="AO248" s="440"/>
      <c r="AP248" s="514">
        <f t="shared" si="37"/>
        <v>0</v>
      </c>
      <c r="AQ248" s="515">
        <f>IF(SETUP!$E$7="USD",(AP248*(IF(O248="USD",AK248,(AK248/'Master Data-C19RM'!$F$2)))),(AP248*(IF(O248="EUR",AK248,(AK248*'Master Data-C19RM'!$F$2)))))</f>
        <v>0</v>
      </c>
      <c r="AR248" s="457">
        <f>IF($O248="USD",_xlfn.IFNA(VLOOKUP($A248&amp;$E248&amp;$I248,PMsheet!$J:$K,2,0),0),(_xlfn.IFNA(VLOOKUP($A248&amp;$E248&amp;$I248,PMsheet!$J:$K,2,0),0)*'Master Data-C19RM'!$G$2))</f>
        <v>0</v>
      </c>
      <c r="AS248" s="926"/>
      <c r="AT248" s="926"/>
      <c r="AU248" s="926"/>
      <c r="AV248" s="926"/>
      <c r="AW248" s="514">
        <f t="shared" si="38"/>
        <v>0</v>
      </c>
      <c r="AX248" s="515">
        <f>IF(SETUP!$E$7="USD",(AW248*(IF(O248="USD",AR248,(AR248/'Master Data-C19RM'!$G$2)))),(AW248*(IF(O248="EUR",AR248,(AR248*'Master Data-C19RM'!$G$2)))))</f>
        <v>0</v>
      </c>
      <c r="AY248" s="845"/>
      <c r="AZ248" s="846"/>
      <c r="BA248" s="846"/>
      <c r="BB248" s="846"/>
      <c r="BC248" s="846"/>
      <c r="BD248" s="846"/>
      <c r="BE248" s="847"/>
      <c r="BF248" s="514">
        <f>'C19RM 2021-Lab &amp; Other HPS'!$U248+'C19RM 2021-Lab &amp; Other HPS'!$AB248+'C19RM 2021-Lab &amp; Other HPS'!$AP248+'C19RM 2021-Lab &amp; Other HPS'!$AI248+AW248+BD248</f>
        <v>0</v>
      </c>
      <c r="BG248" s="514">
        <f>'C19RM 2021-Lab &amp; Other HPS'!$V248+'C19RM 2021-Lab &amp; Other HPS'!$AC248+'C19RM 2021-Lab &amp; Other HPS'!$AQ248+'C19RM 2021-Lab &amp; Other HPS'!$AJ248+AX248+BE248</f>
        <v>0</v>
      </c>
      <c r="BH248" s="522" t="str" cm="1">
        <f t="array" ref="BH248">IF(A248&lt;&gt;"",IFERROR(INDEX(PMtbl[[WKst]:[Unit of measure*]],MATCH($A$222&amp;$A248&amp;$E248&amp;$I248,INDEX(PMtbl[Sec]&amp;PMtbl[Category]&amp;PMtbl[Each]&amp;PMtbl[Packaging],0,),0),11),""),"")</f>
        <v/>
      </c>
      <c r="BI248" s="818"/>
      <c r="BJ248" s="503" t="str" cm="1">
        <f t="array" ref="BJ248">IFERROR(INDEX(SETUP!$C$19:$G$121,MATCH((INDEX(PMtbl[[WKst]:[Unit of measure*]],MATCH($A248&amp;$E248&amp;$I248,INDEX(PMtbl[Category]&amp;PMtbl[Each]&amp;PMtbl[Packaging],0,),0),3)),SETUP!$D$19:$D$121,0),5),"")</f>
        <v/>
      </c>
      <c r="BK248" s="543" t="str" cm="1">
        <f t="array" ref="BK248">IFERROR(IF((INDEX(SETUP!$C$19:$G$121,MATCH((INDEX(PMtbl[[WKst]:[Unit of measure*]],MATCH($A248&amp;$E248&amp;$I248,INDEX(PMtbl[Category]&amp;PMtbl[Each]&amp;PMtbl[Packaging],0,),0),3)),SETUP!$D$19:$D$121,0),4))="Upfront",0,INDEX(SETUP!$C$19:$G$121,MATCH((INDEX(PMtbl[[WKst]:[Unit of measure*]],MATCH($A248&amp;$E248&amp;$I248,INDEX(PMtbl[Category]&amp;PMtbl[Each]&amp;PMtbl[Packaging],0,),0),3)),SETUP!$D$19:$D$121,0),5)),"")</f>
        <v/>
      </c>
      <c r="BL248" s="215" t="str" cm="1">
        <f t="array" ref="BL248">IF(A248&lt;&gt;"",IFERROR(INDEX(PMtbl[[WKst]:[Unit of measure*]],MATCH($A$222&amp;$A248&amp;$E248&amp;$I248,INDEX(PMtbl[Sec]&amp;PMtbl[Category]&amp;PMtbl[Each]&amp;PMtbl[Packaging],0,),0),11),""),"")</f>
        <v/>
      </c>
      <c r="BO248" s="12">
        <f>IF(N248="",0,IF(SETUP!$E$7="USD",((IF(O248="USD",P248,(P248/'Master Data-C19RM'!$C$2)))),((IF(O248="EUR",P248,(P248*'Master Data-C19RM'!$C$2))))))</f>
        <v>0</v>
      </c>
      <c r="BP248" s="12">
        <f>IF(N248="",0,IF(SETUP!$E$7="USD",((IF(O248="USD",W248,(W248/'Master Data-C19RM'!$D$2)))),((IF(O248="EUR",W248,(W248*'Master Data-C19RM'!$D$2))))))</f>
        <v>0</v>
      </c>
      <c r="BQ248">
        <f>IF(N248="",0,IF(SETUP!$E$7="USD",((IF(O248="USD",AD248,(AD248/'Master Data-C19RM'!$E$2)))),((IF(O248="EUR",AD248,(AD248*'Master Data-C19RM'!$E$2))))))</f>
        <v>0</v>
      </c>
      <c r="BR248">
        <f>IF(N248="",0,IF(SETUP!$E$7="USD",((IF(O248="USD",AK248,(AK248/'Master Data-C19RM'!$F$2)))),((IF(O248="EUR",AK248,(AK248*'Master Data-C19RM'!$F$2))))))</f>
        <v>0</v>
      </c>
      <c r="BS248">
        <f>IF(N248="",0,IF(SETUP!$E$7="USD",((IF(O248="USD",AR248,(AR248/'Master Data-C19RM'!$G$2)))),((IF(O248="EUR",AR248,(AR248*'Master Data-C19RM'!$G$2))))))</f>
        <v>0</v>
      </c>
      <c r="BT248">
        <f>IF(N248="",0,IF(SETUP!$E$7="USD",((IF(O248="USD",AY248,(AY248/'Master Data-C19RM'!$H$2)))),((IF(O248="EUR",AY248,(AY248*'Master Data-C19RM'!$H$2))))))</f>
        <v>0</v>
      </c>
      <c r="BU248" s="12">
        <f t="shared" si="32"/>
        <v>0</v>
      </c>
      <c r="BV248" s="142">
        <f t="shared" si="33"/>
        <v>0</v>
      </c>
    </row>
    <row r="249" spans="1:74" x14ac:dyDescent="0.35">
      <c r="A249" s="1165"/>
      <c r="B249" s="1165"/>
      <c r="C249" s="1165"/>
      <c r="D249" s="1165"/>
      <c r="E249" s="1166"/>
      <c r="F249" s="1166"/>
      <c r="G249" s="1166"/>
      <c r="H249" s="1166"/>
      <c r="I249" s="1166"/>
      <c r="J249" s="1166"/>
      <c r="K249" s="1166"/>
      <c r="L249" s="490" t="str" cm="1">
        <f t="array" ref="L249">IF(A249&lt;&gt;"",IFERROR(INDEX(PMtbl[[WKst]:[Unit of measure*]],MATCH($A$222&amp;$A249&amp;$E249&amp;$I249,INDEX(PMtbl[Sec]&amp;PMtbl[Category]&amp;PMtbl[Each]&amp;PMtbl[Packaging],0,),0),14),""),"")</f>
        <v/>
      </c>
      <c r="M249" s="479" t="str">
        <f>IF(L249="","",INDEX(SETUP!$E$20:$E$122,(MATCH(INDEX(PMsheet!$D:$E,MATCH(A249,PMsheet!E:E,0),1),SETUP!$D$20:$D$122,0))))</f>
        <v/>
      </c>
      <c r="N249" s="491">
        <f>IF($O249="USD",_xlfn.IFNA(VLOOKUP(A249&amp;E249&amp;I249,PMsheet!J:K,2,0),0),(_xlfn.IFNA(VLOOKUP(A249&amp;E249&amp;I249,PMsheet!J:K,2,0),0)*'Master Data-C19RM'!$C$2))</f>
        <v>0</v>
      </c>
      <c r="O249" s="492" t="str">
        <f>IF(L249="", "",SETUP!$E$7)</f>
        <v/>
      </c>
      <c r="P249" s="444">
        <f>IF($O249="USD",_xlfn.IFNA(VLOOKUP($A249&amp;$E249&amp;$I249,PMsheet!$J:$K,2,0),0),(_xlfn.IFNA(VLOOKUP($A249&amp;$E249&amp;$I249,PMsheet!$J:$K,2,0),0)*'Master Data-C19RM'!$C$2))</f>
        <v>0</v>
      </c>
      <c r="Q249" s="441"/>
      <c r="R249" s="441"/>
      <c r="S249" s="441"/>
      <c r="T249" s="441"/>
      <c r="U249" s="481">
        <f t="shared" si="34"/>
        <v>0</v>
      </c>
      <c r="V249" s="483">
        <f>IF(SETUP!$E$7="USD",(U249*(IF(O249="USD",P249,(P249/'Master Data-C19RM'!$C$2)))),(U249*(IF(O249="EUR",P249,(P249*'Master Data-C19RM'!$C$2)))))</f>
        <v>0</v>
      </c>
      <c r="W249" s="444">
        <f>IF($O249="USD",_xlfn.IFNA(VLOOKUP($A249&amp;$E249&amp;$I249,PMsheet!$J:$K,2,0),0),(_xlfn.IFNA(VLOOKUP($A249&amp;$E249&amp;$I249,PMsheet!$J:$K,2,0),0)*'Master Data-C19RM'!$D$2))</f>
        <v>0</v>
      </c>
      <c r="X249" s="441"/>
      <c r="Y249" s="441"/>
      <c r="Z249" s="441"/>
      <c r="AA249" s="441"/>
      <c r="AB249" s="481">
        <f t="shared" si="35"/>
        <v>0</v>
      </c>
      <c r="AC249" s="483">
        <f>IF(SETUP!$E$7="USD",(AB249*(IF(O249="USD",W249,(W249/'Master Data-C19RM'!$D$2)))),(AB249*(IF(O249="EUR",W249,(W249*'Master Data-C19RM'!$D$2)))))</f>
        <v>0</v>
      </c>
      <c r="AD249" s="444">
        <f>IF($O249="USD",_xlfn.IFNA(VLOOKUP($A249&amp;$E249&amp;$I249,PMsheet!$J:$K,2,0),0),(_xlfn.IFNA(VLOOKUP($A249&amp;$E249&amp;$I249,PMsheet!$J:$K,2,0),0)*'Master Data-C19RM'!$E$2))</f>
        <v>0</v>
      </c>
      <c r="AE249" s="441"/>
      <c r="AF249" s="441"/>
      <c r="AG249" s="441"/>
      <c r="AH249" s="441"/>
      <c r="AI249" s="512">
        <f t="shared" si="36"/>
        <v>0</v>
      </c>
      <c r="AJ249" s="513">
        <f>IF(SETUP!$E$7="USD",(AI249*(IF(O249="USD",AD249,(AD249/'Master Data-C19RM'!$E$2)))),(AI249*(IF(O249="EUR",AD249,(AD249*'Master Data-C19RM'!$E$2)))))</f>
        <v>0</v>
      </c>
      <c r="AK249" s="444">
        <f>IF($O249="USD",_xlfn.IFNA(VLOOKUP($A249&amp;$E249&amp;$I249,PMsheet!$J:$K,2,0),0),(_xlfn.IFNA(VLOOKUP($A249&amp;$E249&amp;$I249,PMsheet!$J:$K,2,0),0)*'Master Data-C19RM'!$F$2))</f>
        <v>0</v>
      </c>
      <c r="AL249" s="441"/>
      <c r="AM249" s="441"/>
      <c r="AN249" s="441"/>
      <c r="AO249" s="441"/>
      <c r="AP249" s="512">
        <f t="shared" si="37"/>
        <v>0</v>
      </c>
      <c r="AQ249" s="513">
        <f>IF(SETUP!$E$7="USD",(AP249*(IF(O249="USD",AK249,(AK249/'Master Data-C19RM'!$F$2)))),(AP249*(IF(O249="EUR",AK249,(AK249*'Master Data-C19RM'!$F$2)))))</f>
        <v>0</v>
      </c>
      <c r="AR249" s="456">
        <f>IF($O249="USD",_xlfn.IFNA(VLOOKUP($A249&amp;$E249&amp;$I249,PMsheet!$J:$K,2,0),0),(_xlfn.IFNA(VLOOKUP($A249&amp;$E249&amp;$I249,PMsheet!$J:$K,2,0),0)*'Master Data-C19RM'!$G$2))</f>
        <v>0</v>
      </c>
      <c r="AS249" s="572"/>
      <c r="AT249" s="572"/>
      <c r="AU249" s="572"/>
      <c r="AV249" s="572"/>
      <c r="AW249" s="512">
        <f t="shared" si="38"/>
        <v>0</v>
      </c>
      <c r="AX249" s="513">
        <f>IF(SETUP!$E$7="USD",(AW249*(IF(O249="USD",AR249,(AR249/'Master Data-C19RM'!$G$2)))),(AW249*(IF(O249="EUR",AR249,(AR249*'Master Data-C19RM'!$G$2)))))</f>
        <v>0</v>
      </c>
      <c r="AY249" s="845"/>
      <c r="AZ249" s="846"/>
      <c r="BA249" s="846"/>
      <c r="BB249" s="846"/>
      <c r="BC249" s="846"/>
      <c r="BD249" s="846"/>
      <c r="BE249" s="847"/>
      <c r="BF249" s="512">
        <f>'C19RM 2021-Lab &amp; Other HPS'!$U249+'C19RM 2021-Lab &amp; Other HPS'!$AB249+'C19RM 2021-Lab &amp; Other HPS'!$AP249+'C19RM 2021-Lab &amp; Other HPS'!$AI249+AW249+BD249</f>
        <v>0</v>
      </c>
      <c r="BG249" s="512">
        <f>'C19RM 2021-Lab &amp; Other HPS'!$V249+'C19RM 2021-Lab &amp; Other HPS'!$AC249+'C19RM 2021-Lab &amp; Other HPS'!$AQ249+'C19RM 2021-Lab &amp; Other HPS'!$AJ249+AX249+BE249</f>
        <v>0</v>
      </c>
      <c r="BH249" s="500" t="str" cm="1">
        <f t="array" ref="BH249">IF(A249&lt;&gt;"",IFERROR(INDEX(PMtbl[[WKst]:[Unit of measure*]],MATCH($A$222&amp;$A249&amp;$E249&amp;$I249,INDEX(PMtbl[Sec]&amp;PMtbl[Category]&amp;PMtbl[Each]&amp;PMtbl[Packaging],0,),0),11),""),"")</f>
        <v/>
      </c>
      <c r="BI249" s="819"/>
      <c r="BJ249" s="526" t="str" cm="1">
        <f t="array" ref="BJ249">IFERROR(INDEX(SETUP!$C$19:$G$121,MATCH((INDEX(PMtbl[[WKst]:[Unit of measure*]],MATCH($A249&amp;$E249&amp;$I249,INDEX(PMtbl[Category]&amp;PMtbl[Each]&amp;PMtbl[Packaging],0,),0),3)),SETUP!$D$19:$D$121,0),5),"")</f>
        <v/>
      </c>
      <c r="BK249" s="544" t="str" cm="1">
        <f t="array" ref="BK249">IFERROR(IF((INDEX(SETUP!$C$19:$G$121,MATCH((INDEX(PMtbl[[WKst]:[Unit of measure*]],MATCH($A249&amp;$E249&amp;$I249,INDEX(PMtbl[Category]&amp;PMtbl[Each]&amp;PMtbl[Packaging],0,),0),3)),SETUP!$D$19:$D$121,0),4))="Upfront",0,INDEX(SETUP!$C$19:$G$121,MATCH((INDEX(PMtbl[[WKst]:[Unit of measure*]],MATCH($A249&amp;$E249&amp;$I249,INDEX(PMtbl[Category]&amp;PMtbl[Each]&amp;PMtbl[Packaging],0,),0),3)),SETUP!$D$19:$D$121,0),5)),"")</f>
        <v/>
      </c>
      <c r="BL249" s="214" t="str" cm="1">
        <f t="array" ref="BL249">IF(A249&lt;&gt;"",IFERROR(INDEX(PMtbl[[WKst]:[Unit of measure*]],MATCH($A$222&amp;$A249&amp;$E249&amp;$I249,INDEX(PMtbl[Sec]&amp;PMtbl[Category]&amp;PMtbl[Each]&amp;PMtbl[Packaging],0,),0),11),""),"")</f>
        <v/>
      </c>
      <c r="BO249" s="12">
        <f>IF(N249="",0,IF(SETUP!$E$7="USD",((IF(O249="USD",P249,(P249/'Master Data-C19RM'!$C$2)))),((IF(O249="EUR",P249,(P249*'Master Data-C19RM'!$C$2))))))</f>
        <v>0</v>
      </c>
      <c r="BP249" s="12">
        <f>IF(N249="",0,IF(SETUP!$E$7="USD",((IF(O249="USD",W249,(W249/'Master Data-C19RM'!$D$2)))),((IF(O249="EUR",W249,(W249*'Master Data-C19RM'!$D$2))))))</f>
        <v>0</v>
      </c>
      <c r="BQ249">
        <f>IF(N249="",0,IF(SETUP!$E$7="USD",((IF(O249="USD",AD249,(AD249/'Master Data-C19RM'!$E$2)))),((IF(O249="EUR",AD249,(AD249*'Master Data-C19RM'!$E$2))))))</f>
        <v>0</v>
      </c>
      <c r="BR249">
        <f>IF(N249="",0,IF(SETUP!$E$7="USD",((IF(O249="USD",AK249,(AK249/'Master Data-C19RM'!$F$2)))),((IF(O249="EUR",AK249,(AK249*'Master Data-C19RM'!$F$2))))))</f>
        <v>0</v>
      </c>
      <c r="BS249">
        <f>IF(N249="",0,IF(SETUP!$E$7="USD",((IF(O249="USD",AR249,(AR249/'Master Data-C19RM'!$G$2)))),((IF(O249="EUR",AR249,(AR249*'Master Data-C19RM'!$G$2))))))</f>
        <v>0</v>
      </c>
      <c r="BT249">
        <f>IF(N249="",0,IF(SETUP!$E$7="USD",((IF(O249="USD",AY249,(AY249/'Master Data-C19RM'!$H$2)))),((IF(O249="EUR",AY249,(AY249*'Master Data-C19RM'!$H$2))))))</f>
        <v>0</v>
      </c>
      <c r="BU249" s="12">
        <f t="shared" si="32"/>
        <v>0</v>
      </c>
      <c r="BV249" s="142">
        <f t="shared" si="33"/>
        <v>0</v>
      </c>
    </row>
    <row r="250" spans="1:74" x14ac:dyDescent="0.35">
      <c r="A250" s="1192"/>
      <c r="B250" s="1192"/>
      <c r="C250" s="1192"/>
      <c r="D250" s="1192"/>
      <c r="E250" s="1173"/>
      <c r="F250" s="1173"/>
      <c r="G250" s="1173"/>
      <c r="H250" s="1173"/>
      <c r="I250" s="1173"/>
      <c r="J250" s="1173"/>
      <c r="K250" s="1173"/>
      <c r="L250" s="493" t="str" cm="1">
        <f t="array" ref="L250">IF(A250&lt;&gt;"",IFERROR(INDEX(PMtbl[[WKst]:[Unit of measure*]],MATCH($A$222&amp;$A250&amp;$E250&amp;$I250,INDEX(PMtbl[Sec]&amp;PMtbl[Category]&amp;PMtbl[Each]&amp;PMtbl[Packaging],0,),0),14),""),"")</f>
        <v/>
      </c>
      <c r="M250" s="480" t="str">
        <f>IF(L250="","",INDEX(SETUP!$E$20:$E$122,(MATCH(INDEX(PMsheet!$D:$E,MATCH(A250,PMsheet!E:E,0),1),SETUP!$D$20:$D$122,0))))</f>
        <v/>
      </c>
      <c r="N250" s="494">
        <f>IF($O250="USD",_xlfn.IFNA(VLOOKUP(A250&amp;E250&amp;I250,PMsheet!J:K,2,0),0),(_xlfn.IFNA(VLOOKUP(A250&amp;E250&amp;I250,PMsheet!J:K,2,0),0)*'Master Data-C19RM'!$C$2))</f>
        <v>0</v>
      </c>
      <c r="O250" s="495" t="str">
        <f>IF(L250="", "",SETUP!$E$7)</f>
        <v/>
      </c>
      <c r="P250" s="445">
        <f>IF($O250="USD",_xlfn.IFNA(VLOOKUP($A250&amp;$E250&amp;$I250,PMsheet!$J:$K,2,0),0),(_xlfn.IFNA(VLOOKUP($A250&amp;$E250&amp;$I250,PMsheet!$J:$K,2,0),0)*'Master Data-C19RM'!$C$2))</f>
        <v>0</v>
      </c>
      <c r="Q250" s="440"/>
      <c r="R250" s="440"/>
      <c r="S250" s="440"/>
      <c r="T250" s="440"/>
      <c r="U250" s="482">
        <f t="shared" si="34"/>
        <v>0</v>
      </c>
      <c r="V250" s="484">
        <f>IF(SETUP!$E$7="USD",(U250*(IF(O250="USD",P250,(P250/'Master Data-C19RM'!$C$2)))),(U250*(IF(O250="EUR",P250,(P250*'Master Data-C19RM'!$C$2)))))</f>
        <v>0</v>
      </c>
      <c r="W250" s="445">
        <f>IF($O250="USD",_xlfn.IFNA(VLOOKUP($A250&amp;$E250&amp;$I250,PMsheet!$J:$K,2,0),0),(_xlfn.IFNA(VLOOKUP($A250&amp;$E250&amp;$I250,PMsheet!$J:$K,2,0),0)*'Master Data-C19RM'!$D$2))</f>
        <v>0</v>
      </c>
      <c r="X250" s="440"/>
      <c r="Y250" s="440"/>
      <c r="Z250" s="440"/>
      <c r="AA250" s="440"/>
      <c r="AB250" s="482">
        <f t="shared" si="35"/>
        <v>0</v>
      </c>
      <c r="AC250" s="484">
        <f>IF(SETUP!$E$7="USD",(AB250*(IF(O250="USD",W250,(W250/'Master Data-C19RM'!$D$2)))),(AB250*(IF(O250="EUR",W250,(W250*'Master Data-C19RM'!$D$2)))))</f>
        <v>0</v>
      </c>
      <c r="AD250" s="445">
        <f>IF($O250="USD",_xlfn.IFNA(VLOOKUP($A250&amp;$E250&amp;$I250,PMsheet!$J:$K,2,0),0),(_xlfn.IFNA(VLOOKUP($A250&amp;$E250&amp;$I250,PMsheet!$J:$K,2,0),0)*'Master Data-C19RM'!$E$2))</f>
        <v>0</v>
      </c>
      <c r="AE250" s="440"/>
      <c r="AF250" s="440"/>
      <c r="AG250" s="440"/>
      <c r="AH250" s="440"/>
      <c r="AI250" s="514">
        <f t="shared" si="36"/>
        <v>0</v>
      </c>
      <c r="AJ250" s="515">
        <f>IF(SETUP!$E$7="USD",(AI250*(IF(O250="USD",AD250,(AD250/'Master Data-C19RM'!$E$2)))),(AI250*(IF(O250="EUR",AD250,(AD250*'Master Data-C19RM'!$E$2)))))</f>
        <v>0</v>
      </c>
      <c r="AK250" s="445">
        <f>IF($O250="USD",_xlfn.IFNA(VLOOKUP($A250&amp;$E250&amp;$I250,PMsheet!$J:$K,2,0),0),(_xlfn.IFNA(VLOOKUP($A250&amp;$E250&amp;$I250,PMsheet!$J:$K,2,0),0)*'Master Data-C19RM'!$F$2))</f>
        <v>0</v>
      </c>
      <c r="AL250" s="440"/>
      <c r="AM250" s="440"/>
      <c r="AN250" s="440"/>
      <c r="AO250" s="440"/>
      <c r="AP250" s="514">
        <f t="shared" si="37"/>
        <v>0</v>
      </c>
      <c r="AQ250" s="515">
        <f>IF(SETUP!$E$7="USD",(AP250*(IF(O250="USD",AK250,(AK250/'Master Data-C19RM'!$F$2)))),(AP250*(IF(O250="EUR",AK250,(AK250*'Master Data-C19RM'!$F$2)))))</f>
        <v>0</v>
      </c>
      <c r="AR250" s="457">
        <f>IF($O250="USD",_xlfn.IFNA(VLOOKUP($A250&amp;$E250&amp;$I250,PMsheet!$J:$K,2,0),0),(_xlfn.IFNA(VLOOKUP($A250&amp;$E250&amp;$I250,PMsheet!$J:$K,2,0),0)*'Master Data-C19RM'!$G$2))</f>
        <v>0</v>
      </c>
      <c r="AS250" s="926"/>
      <c r="AT250" s="926"/>
      <c r="AU250" s="926"/>
      <c r="AV250" s="926"/>
      <c r="AW250" s="514">
        <f t="shared" si="38"/>
        <v>0</v>
      </c>
      <c r="AX250" s="515">
        <f>IF(SETUP!$E$7="USD",(AW250*(IF(O250="USD",AR250,(AR250/'Master Data-C19RM'!$G$2)))),(AW250*(IF(O250="EUR",AR250,(AR250*'Master Data-C19RM'!$G$2)))))</f>
        <v>0</v>
      </c>
      <c r="AY250" s="845"/>
      <c r="AZ250" s="846"/>
      <c r="BA250" s="846"/>
      <c r="BB250" s="846"/>
      <c r="BC250" s="846"/>
      <c r="BD250" s="846"/>
      <c r="BE250" s="847"/>
      <c r="BF250" s="514">
        <f>'C19RM 2021-Lab &amp; Other HPS'!$U250+'C19RM 2021-Lab &amp; Other HPS'!$AB250+'C19RM 2021-Lab &amp; Other HPS'!$AP250+'C19RM 2021-Lab &amp; Other HPS'!$AI250+AW250+BD250</f>
        <v>0</v>
      </c>
      <c r="BG250" s="514">
        <f>'C19RM 2021-Lab &amp; Other HPS'!$V250+'C19RM 2021-Lab &amp; Other HPS'!$AC250+'C19RM 2021-Lab &amp; Other HPS'!$AQ250+'C19RM 2021-Lab &amp; Other HPS'!$AJ250+AX250+BE250</f>
        <v>0</v>
      </c>
      <c r="BH250" s="522" t="str" cm="1">
        <f t="array" ref="BH250">IF(A250&lt;&gt;"",IFERROR(INDEX(PMtbl[[WKst]:[Unit of measure*]],MATCH($A$222&amp;$A250&amp;$E250&amp;$I250,INDEX(PMtbl[Sec]&amp;PMtbl[Category]&amp;PMtbl[Each]&amp;PMtbl[Packaging],0,),0),11),""),"")</f>
        <v/>
      </c>
      <c r="BI250" s="818"/>
      <c r="BJ250" s="503" t="str" cm="1">
        <f t="array" ref="BJ250">IFERROR(INDEX(SETUP!$C$19:$G$121,MATCH((INDEX(PMtbl[[WKst]:[Unit of measure*]],MATCH($A250&amp;$E250&amp;$I250,INDEX(PMtbl[Category]&amp;PMtbl[Each]&amp;PMtbl[Packaging],0,),0),3)),SETUP!$D$19:$D$121,0),5),"")</f>
        <v/>
      </c>
      <c r="BK250" s="543" t="str" cm="1">
        <f t="array" ref="BK250">IFERROR(IF((INDEX(SETUP!$C$19:$G$121,MATCH((INDEX(PMtbl[[WKst]:[Unit of measure*]],MATCH($A250&amp;$E250&amp;$I250,INDEX(PMtbl[Category]&amp;PMtbl[Each]&amp;PMtbl[Packaging],0,),0),3)),SETUP!$D$19:$D$121,0),4))="Upfront",0,INDEX(SETUP!$C$19:$G$121,MATCH((INDEX(PMtbl[[WKst]:[Unit of measure*]],MATCH($A250&amp;$E250&amp;$I250,INDEX(PMtbl[Category]&amp;PMtbl[Each]&amp;PMtbl[Packaging],0,),0),3)),SETUP!$D$19:$D$121,0),5)),"")</f>
        <v/>
      </c>
      <c r="BL250" s="215" t="str" cm="1">
        <f t="array" ref="BL250">IF(A250&lt;&gt;"",IFERROR(INDEX(PMtbl[[WKst]:[Unit of measure*]],MATCH($A$222&amp;$A250&amp;$E250&amp;$I250,INDEX(PMtbl[Sec]&amp;PMtbl[Category]&amp;PMtbl[Each]&amp;PMtbl[Packaging],0,),0),11),""),"")</f>
        <v/>
      </c>
      <c r="BO250" s="12">
        <f>IF(N250="",0,IF(SETUP!$E$7="USD",((IF(O250="USD",P250,(P250/'Master Data-C19RM'!$C$2)))),((IF(O250="EUR",P250,(P250*'Master Data-C19RM'!$C$2))))))</f>
        <v>0</v>
      </c>
      <c r="BP250" s="12">
        <f>IF(N250="",0,IF(SETUP!$E$7="USD",((IF(O250="USD",W250,(W250/'Master Data-C19RM'!$D$2)))),((IF(O250="EUR",W250,(W250*'Master Data-C19RM'!$D$2))))))</f>
        <v>0</v>
      </c>
      <c r="BQ250">
        <f>IF(N250="",0,IF(SETUP!$E$7="USD",((IF(O250="USD",AD250,(AD250/'Master Data-C19RM'!$E$2)))),((IF(O250="EUR",AD250,(AD250*'Master Data-C19RM'!$E$2))))))</f>
        <v>0</v>
      </c>
      <c r="BR250">
        <f>IF(N250="",0,IF(SETUP!$E$7="USD",((IF(O250="USD",AK250,(AK250/'Master Data-C19RM'!$F$2)))),((IF(O250="EUR",AK250,(AK250*'Master Data-C19RM'!$F$2))))))</f>
        <v>0</v>
      </c>
      <c r="BS250">
        <f>IF(N250="",0,IF(SETUP!$E$7="USD",((IF(O250="USD",AR250,(AR250/'Master Data-C19RM'!$G$2)))),((IF(O250="EUR",AR250,(AR250*'Master Data-C19RM'!$G$2))))))</f>
        <v>0</v>
      </c>
      <c r="BT250">
        <f>IF(N250="",0,IF(SETUP!$E$7="USD",((IF(O250="USD",AY250,(AY250/'Master Data-C19RM'!$H$2)))),((IF(O250="EUR",AY250,(AY250*'Master Data-C19RM'!$H$2))))))</f>
        <v>0</v>
      </c>
      <c r="BU250" s="12">
        <f t="shared" si="32"/>
        <v>0</v>
      </c>
      <c r="BV250" s="142">
        <f t="shared" si="33"/>
        <v>0</v>
      </c>
    </row>
    <row r="251" spans="1:74" x14ac:dyDescent="0.35">
      <c r="A251" s="1165"/>
      <c r="B251" s="1165"/>
      <c r="C251" s="1165"/>
      <c r="D251" s="1165"/>
      <c r="E251" s="1166"/>
      <c r="F251" s="1166"/>
      <c r="G251" s="1166"/>
      <c r="H251" s="1166"/>
      <c r="I251" s="1166"/>
      <c r="J251" s="1166"/>
      <c r="K251" s="1166"/>
      <c r="L251" s="490" t="str" cm="1">
        <f t="array" ref="L251">IF(A251&lt;&gt;"",IFERROR(INDEX(PMtbl[[WKst]:[Unit of measure*]],MATCH($A$222&amp;$A251&amp;$E251&amp;$I251,INDEX(PMtbl[Sec]&amp;PMtbl[Category]&amp;PMtbl[Each]&amp;PMtbl[Packaging],0,),0),14),""),"")</f>
        <v/>
      </c>
      <c r="M251" s="479" t="str">
        <f>IF(L251="","",INDEX(SETUP!$E$20:$E$122,(MATCH(INDEX(PMsheet!$D:$E,MATCH(A251,PMsheet!E:E,0),1),SETUP!$D$20:$D$122,0))))</f>
        <v/>
      </c>
      <c r="N251" s="491">
        <f>IF($O251="USD",_xlfn.IFNA(VLOOKUP(A251&amp;E251&amp;I251,PMsheet!J:K,2,0),0),(_xlfn.IFNA(VLOOKUP(A251&amp;E251&amp;I251,PMsheet!J:K,2,0),0)*'Master Data-C19RM'!$C$2))</f>
        <v>0</v>
      </c>
      <c r="O251" s="492" t="str">
        <f>IF(L251="", "",SETUP!$E$7)</f>
        <v/>
      </c>
      <c r="P251" s="444">
        <f>IF($O251="USD",_xlfn.IFNA(VLOOKUP($A251&amp;$E251&amp;$I251,PMsheet!$J:$K,2,0),0),(_xlfn.IFNA(VLOOKUP($A251&amp;$E251&amp;$I251,PMsheet!$J:$K,2,0),0)*'Master Data-C19RM'!$C$2))</f>
        <v>0</v>
      </c>
      <c r="Q251" s="441"/>
      <c r="R251" s="441"/>
      <c r="S251" s="441"/>
      <c r="T251" s="441"/>
      <c r="U251" s="481">
        <f t="shared" si="34"/>
        <v>0</v>
      </c>
      <c r="V251" s="483">
        <f>IF(SETUP!$E$7="USD",(U251*(IF(O251="USD",P251,(P251/'Master Data-C19RM'!$C$2)))),(U251*(IF(O251="EUR",P251,(P251*'Master Data-C19RM'!$C$2)))))</f>
        <v>0</v>
      </c>
      <c r="W251" s="444">
        <f>IF($O251="USD",_xlfn.IFNA(VLOOKUP($A251&amp;$E251&amp;$I251,PMsheet!$J:$K,2,0),0),(_xlfn.IFNA(VLOOKUP($A251&amp;$E251&amp;$I251,PMsheet!$J:$K,2,0),0)*'Master Data-C19RM'!$D$2))</f>
        <v>0</v>
      </c>
      <c r="X251" s="441"/>
      <c r="Y251" s="441"/>
      <c r="Z251" s="441"/>
      <c r="AA251" s="441"/>
      <c r="AB251" s="481">
        <f t="shared" si="35"/>
        <v>0</v>
      </c>
      <c r="AC251" s="483">
        <f>IF(SETUP!$E$7="USD",(AB251*(IF(O251="USD",W251,(W251/'Master Data-C19RM'!$D$2)))),(AB251*(IF(O251="EUR",W251,(W251*'Master Data-C19RM'!$D$2)))))</f>
        <v>0</v>
      </c>
      <c r="AD251" s="444">
        <f>IF($O251="USD",_xlfn.IFNA(VLOOKUP($A251&amp;$E251&amp;$I251,PMsheet!$J:$K,2,0),0),(_xlfn.IFNA(VLOOKUP($A251&amp;$E251&amp;$I251,PMsheet!$J:$K,2,0),0)*'Master Data-C19RM'!$E$2))</f>
        <v>0</v>
      </c>
      <c r="AE251" s="441"/>
      <c r="AF251" s="441"/>
      <c r="AG251" s="441"/>
      <c r="AH251" s="441"/>
      <c r="AI251" s="512">
        <f t="shared" si="36"/>
        <v>0</v>
      </c>
      <c r="AJ251" s="513">
        <f>IF(SETUP!$E$7="USD",(AI251*(IF(O251="USD",AD251,(AD251/'Master Data-C19RM'!$E$2)))),(AI251*(IF(O251="EUR",AD251,(AD251*'Master Data-C19RM'!$E$2)))))</f>
        <v>0</v>
      </c>
      <c r="AK251" s="444">
        <f>IF($O251="USD",_xlfn.IFNA(VLOOKUP($A251&amp;$E251&amp;$I251,PMsheet!$J:$K,2,0),0),(_xlfn.IFNA(VLOOKUP($A251&amp;$E251&amp;$I251,PMsheet!$J:$K,2,0),0)*'Master Data-C19RM'!$F$2))</f>
        <v>0</v>
      </c>
      <c r="AL251" s="441"/>
      <c r="AM251" s="441"/>
      <c r="AN251" s="441"/>
      <c r="AO251" s="441"/>
      <c r="AP251" s="512">
        <f t="shared" si="37"/>
        <v>0</v>
      </c>
      <c r="AQ251" s="513">
        <f>IF(SETUP!$E$7="USD",(AP251*(IF(O251="USD",AK251,(AK251/'Master Data-C19RM'!$F$2)))),(AP251*(IF(O251="EUR",AK251,(AK251*'Master Data-C19RM'!$F$2)))))</f>
        <v>0</v>
      </c>
      <c r="AR251" s="456">
        <f>IF($O251="USD",_xlfn.IFNA(VLOOKUP($A251&amp;$E251&amp;$I251,PMsheet!$J:$K,2,0),0),(_xlfn.IFNA(VLOOKUP($A251&amp;$E251&amp;$I251,PMsheet!$J:$K,2,0),0)*'Master Data-C19RM'!$G$2))</f>
        <v>0</v>
      </c>
      <c r="AS251" s="572"/>
      <c r="AT251" s="572"/>
      <c r="AU251" s="572"/>
      <c r="AV251" s="572"/>
      <c r="AW251" s="512">
        <f t="shared" si="38"/>
        <v>0</v>
      </c>
      <c r="AX251" s="513">
        <f>IF(SETUP!$E$7="USD",(AW251*(IF(O251="USD",AR251,(AR251/'Master Data-C19RM'!$G$2)))),(AW251*(IF(O251="EUR",AR251,(AR251*'Master Data-C19RM'!$G$2)))))</f>
        <v>0</v>
      </c>
      <c r="AY251" s="845"/>
      <c r="AZ251" s="846"/>
      <c r="BA251" s="846"/>
      <c r="BB251" s="846"/>
      <c r="BC251" s="846"/>
      <c r="BD251" s="846"/>
      <c r="BE251" s="847"/>
      <c r="BF251" s="512">
        <f>'C19RM 2021-Lab &amp; Other HPS'!$U251+'C19RM 2021-Lab &amp; Other HPS'!$AB251+'C19RM 2021-Lab &amp; Other HPS'!$AP251+'C19RM 2021-Lab &amp; Other HPS'!$AI251+AW251+BD251</f>
        <v>0</v>
      </c>
      <c r="BG251" s="512">
        <f>'C19RM 2021-Lab &amp; Other HPS'!$V251+'C19RM 2021-Lab &amp; Other HPS'!$AC251+'C19RM 2021-Lab &amp; Other HPS'!$AQ251+'C19RM 2021-Lab &amp; Other HPS'!$AJ251+AX251+BE251</f>
        <v>0</v>
      </c>
      <c r="BH251" s="500" t="str" cm="1">
        <f t="array" ref="BH251">IF(A251&lt;&gt;"",IFERROR(INDEX(PMtbl[[WKst]:[Unit of measure*]],MATCH($A$222&amp;$A251&amp;$E251&amp;$I251,INDEX(PMtbl[Sec]&amp;PMtbl[Category]&amp;PMtbl[Each]&amp;PMtbl[Packaging],0,),0),11),""),"")</f>
        <v/>
      </c>
      <c r="BI251" s="819"/>
      <c r="BJ251" s="526" t="str" cm="1">
        <f t="array" ref="BJ251">IFERROR(INDEX(SETUP!$C$19:$G$121,MATCH((INDEX(PMtbl[[WKst]:[Unit of measure*]],MATCH($A251&amp;$E251&amp;$I251,INDEX(PMtbl[Category]&amp;PMtbl[Each]&amp;PMtbl[Packaging],0,),0),3)),SETUP!$D$19:$D$121,0),5),"")</f>
        <v/>
      </c>
      <c r="BK251" s="544" t="str" cm="1">
        <f t="array" ref="BK251">IFERROR(IF((INDEX(SETUP!$C$19:$G$121,MATCH((INDEX(PMtbl[[WKst]:[Unit of measure*]],MATCH($A251&amp;$E251&amp;$I251,INDEX(PMtbl[Category]&amp;PMtbl[Each]&amp;PMtbl[Packaging],0,),0),3)),SETUP!$D$19:$D$121,0),4))="Upfront",0,INDEX(SETUP!$C$19:$G$121,MATCH((INDEX(PMtbl[[WKst]:[Unit of measure*]],MATCH($A251&amp;$E251&amp;$I251,INDEX(PMtbl[Category]&amp;PMtbl[Each]&amp;PMtbl[Packaging],0,),0),3)),SETUP!$D$19:$D$121,0),5)),"")</f>
        <v/>
      </c>
      <c r="BL251" s="214" t="str" cm="1">
        <f t="array" ref="BL251">IF(A251&lt;&gt;"",IFERROR(INDEX(PMtbl[[WKst]:[Unit of measure*]],MATCH($A$222&amp;$A251&amp;$E251&amp;$I251,INDEX(PMtbl[Sec]&amp;PMtbl[Category]&amp;PMtbl[Each]&amp;PMtbl[Packaging],0,),0),11),""),"")</f>
        <v/>
      </c>
      <c r="BO251" s="12">
        <f>IF(N251="",0,IF(SETUP!$E$7="USD",((IF(O251="USD",P251,(P251/'Master Data-C19RM'!$C$2)))),((IF(O251="EUR",P251,(P251*'Master Data-C19RM'!$C$2))))))</f>
        <v>0</v>
      </c>
      <c r="BP251" s="12">
        <f>IF(N251="",0,IF(SETUP!$E$7="USD",((IF(O251="USD",W251,(W251/'Master Data-C19RM'!$D$2)))),((IF(O251="EUR",W251,(W251*'Master Data-C19RM'!$D$2))))))</f>
        <v>0</v>
      </c>
      <c r="BQ251">
        <f>IF(N251="",0,IF(SETUP!$E$7="USD",((IF(O251="USD",AD251,(AD251/'Master Data-C19RM'!$E$2)))),((IF(O251="EUR",AD251,(AD251*'Master Data-C19RM'!$E$2))))))</f>
        <v>0</v>
      </c>
      <c r="BR251">
        <f>IF(N251="",0,IF(SETUP!$E$7="USD",((IF(O251="USD",AK251,(AK251/'Master Data-C19RM'!$F$2)))),((IF(O251="EUR",AK251,(AK251*'Master Data-C19RM'!$F$2))))))</f>
        <v>0</v>
      </c>
      <c r="BS251">
        <f>IF(N251="",0,IF(SETUP!$E$7="USD",((IF(O251="USD",AR251,(AR251/'Master Data-C19RM'!$G$2)))),((IF(O251="EUR",AR251,(AR251*'Master Data-C19RM'!$G$2))))))</f>
        <v>0</v>
      </c>
      <c r="BT251">
        <f>IF(N251="",0,IF(SETUP!$E$7="USD",((IF(O251="USD",AY251,(AY251/'Master Data-C19RM'!$H$2)))),((IF(O251="EUR",AY251,(AY251*'Master Data-C19RM'!$H$2))))))</f>
        <v>0</v>
      </c>
      <c r="BU251" s="12">
        <f t="shared" si="32"/>
        <v>0</v>
      </c>
      <c r="BV251" s="142">
        <f t="shared" si="33"/>
        <v>0</v>
      </c>
    </row>
    <row r="252" spans="1:74" x14ac:dyDescent="0.35">
      <c r="A252" s="1192"/>
      <c r="B252" s="1192"/>
      <c r="C252" s="1192"/>
      <c r="D252" s="1192"/>
      <c r="E252" s="1173"/>
      <c r="F252" s="1173"/>
      <c r="G252" s="1173"/>
      <c r="H252" s="1173"/>
      <c r="I252" s="1173"/>
      <c r="J252" s="1173"/>
      <c r="K252" s="1173"/>
      <c r="L252" s="493" t="str" cm="1">
        <f t="array" ref="L252">IF(A252&lt;&gt;"",IFERROR(INDEX(PMtbl[[WKst]:[Unit of measure*]],MATCH($A$222&amp;$A252&amp;$E252&amp;$I252,INDEX(PMtbl[Sec]&amp;PMtbl[Category]&amp;PMtbl[Each]&amp;PMtbl[Packaging],0,),0),14),""),"")</f>
        <v/>
      </c>
      <c r="M252" s="480" t="str">
        <f>IF(L252="","",INDEX(SETUP!$E$20:$E$122,(MATCH(INDEX(PMsheet!$D:$E,MATCH(A252,PMsheet!E:E,0),1),SETUP!$D$20:$D$122,0))))</f>
        <v/>
      </c>
      <c r="N252" s="494">
        <f>IF($O252="USD",_xlfn.IFNA(VLOOKUP(A252&amp;E252&amp;I252,PMsheet!J:K,2,0),0),(_xlfn.IFNA(VLOOKUP(A252&amp;E252&amp;I252,PMsheet!J:K,2,0),0)*'Master Data-C19RM'!$C$2))</f>
        <v>0</v>
      </c>
      <c r="O252" s="495" t="str">
        <f>IF(L252="", "",SETUP!$E$7)</f>
        <v/>
      </c>
      <c r="P252" s="445">
        <f>IF($O252="USD",_xlfn.IFNA(VLOOKUP($A252&amp;$E252&amp;$I252,PMsheet!$J:$K,2,0),0),(_xlfn.IFNA(VLOOKUP($A252&amp;$E252&amp;$I252,PMsheet!$J:$K,2,0),0)*'Master Data-C19RM'!$C$2))</f>
        <v>0</v>
      </c>
      <c r="Q252" s="440"/>
      <c r="R252" s="440"/>
      <c r="S252" s="440"/>
      <c r="T252" s="440"/>
      <c r="U252" s="482">
        <f t="shared" si="34"/>
        <v>0</v>
      </c>
      <c r="V252" s="484">
        <f>IF(SETUP!$E$7="USD",(U252*(IF(O252="USD",P252,(P252/'Master Data-C19RM'!$C$2)))),(U252*(IF(O252="EUR",P252,(P252*'Master Data-C19RM'!$C$2)))))</f>
        <v>0</v>
      </c>
      <c r="W252" s="445">
        <f>IF($O252="USD",_xlfn.IFNA(VLOOKUP($A252&amp;$E252&amp;$I252,PMsheet!$J:$K,2,0),0),(_xlfn.IFNA(VLOOKUP($A252&amp;$E252&amp;$I252,PMsheet!$J:$K,2,0),0)*'Master Data-C19RM'!$D$2))</f>
        <v>0</v>
      </c>
      <c r="X252" s="440"/>
      <c r="Y252" s="440"/>
      <c r="Z252" s="440"/>
      <c r="AA252" s="440"/>
      <c r="AB252" s="482">
        <f t="shared" si="35"/>
        <v>0</v>
      </c>
      <c r="AC252" s="484">
        <f>IF(SETUP!$E$7="USD",(AB252*(IF(O252="USD",W252,(W252/'Master Data-C19RM'!$D$2)))),(AB252*(IF(O252="EUR",W252,(W252*'Master Data-C19RM'!$D$2)))))</f>
        <v>0</v>
      </c>
      <c r="AD252" s="445">
        <f>IF($O252="USD",_xlfn.IFNA(VLOOKUP($A252&amp;$E252&amp;$I252,PMsheet!$J:$K,2,0),0),(_xlfn.IFNA(VLOOKUP($A252&amp;$E252&amp;$I252,PMsheet!$J:$K,2,0),0)*'Master Data-C19RM'!$E$2))</f>
        <v>0</v>
      </c>
      <c r="AE252" s="440"/>
      <c r="AF252" s="440"/>
      <c r="AG252" s="440"/>
      <c r="AH252" s="440"/>
      <c r="AI252" s="514">
        <f t="shared" si="36"/>
        <v>0</v>
      </c>
      <c r="AJ252" s="515">
        <f>IF(SETUP!$E$7="USD",(AI252*(IF(O252="USD",AD252,(AD252/'Master Data-C19RM'!$E$2)))),(AI252*(IF(O252="EUR",AD252,(AD252*'Master Data-C19RM'!$E$2)))))</f>
        <v>0</v>
      </c>
      <c r="AK252" s="445">
        <f>IF($O252="USD",_xlfn.IFNA(VLOOKUP($A252&amp;$E252&amp;$I252,PMsheet!$J:$K,2,0),0),(_xlfn.IFNA(VLOOKUP($A252&amp;$E252&amp;$I252,PMsheet!$J:$K,2,0),0)*'Master Data-C19RM'!$F$2))</f>
        <v>0</v>
      </c>
      <c r="AL252" s="440"/>
      <c r="AM252" s="440"/>
      <c r="AN252" s="440"/>
      <c r="AO252" s="440"/>
      <c r="AP252" s="514">
        <f t="shared" si="37"/>
        <v>0</v>
      </c>
      <c r="AQ252" s="515">
        <f>IF(SETUP!$E$7="USD",(AP252*(IF(O252="USD",AK252,(AK252/'Master Data-C19RM'!$F$2)))),(AP252*(IF(O252="EUR",AK252,(AK252*'Master Data-C19RM'!$F$2)))))</f>
        <v>0</v>
      </c>
      <c r="AR252" s="457">
        <f>IF($O252="USD",_xlfn.IFNA(VLOOKUP($A252&amp;$E252&amp;$I252,PMsheet!$J:$K,2,0),0),(_xlfn.IFNA(VLOOKUP($A252&amp;$E252&amp;$I252,PMsheet!$J:$K,2,0),0)*'Master Data-C19RM'!$G$2))</f>
        <v>0</v>
      </c>
      <c r="AS252" s="926"/>
      <c r="AT252" s="926"/>
      <c r="AU252" s="926"/>
      <c r="AV252" s="926"/>
      <c r="AW252" s="514">
        <f t="shared" si="38"/>
        <v>0</v>
      </c>
      <c r="AX252" s="515">
        <f>IF(SETUP!$E$7="USD",(AW252*(IF(O252="USD",AR252,(AR252/'Master Data-C19RM'!$G$2)))),(AW252*(IF(O252="EUR",AR252,(AR252*'Master Data-C19RM'!$G$2)))))</f>
        <v>0</v>
      </c>
      <c r="AY252" s="845"/>
      <c r="AZ252" s="846"/>
      <c r="BA252" s="846"/>
      <c r="BB252" s="846"/>
      <c r="BC252" s="846"/>
      <c r="BD252" s="846"/>
      <c r="BE252" s="847"/>
      <c r="BF252" s="514">
        <f>'C19RM 2021-Lab &amp; Other HPS'!$U252+'C19RM 2021-Lab &amp; Other HPS'!$AB252+'C19RM 2021-Lab &amp; Other HPS'!$AP252+'C19RM 2021-Lab &amp; Other HPS'!$AI252+AW252+BD252</f>
        <v>0</v>
      </c>
      <c r="BG252" s="514">
        <f>'C19RM 2021-Lab &amp; Other HPS'!$V252+'C19RM 2021-Lab &amp; Other HPS'!$AC252+'C19RM 2021-Lab &amp; Other HPS'!$AQ252+'C19RM 2021-Lab &amp; Other HPS'!$AJ252+AX252+BE252</f>
        <v>0</v>
      </c>
      <c r="BH252" s="522" t="str" cm="1">
        <f t="array" ref="BH252">IF(A252&lt;&gt;"",IFERROR(INDEX(PMtbl[[WKst]:[Unit of measure*]],MATCH($A$222&amp;$A252&amp;$E252&amp;$I252,INDEX(PMtbl[Sec]&amp;PMtbl[Category]&amp;PMtbl[Each]&amp;PMtbl[Packaging],0,),0),11),""),"")</f>
        <v/>
      </c>
      <c r="BI252" s="818"/>
      <c r="BJ252" s="503" t="str" cm="1">
        <f t="array" ref="BJ252">IFERROR(INDEX(SETUP!$C$19:$G$121,MATCH((INDEX(PMtbl[[WKst]:[Unit of measure*]],MATCH($A252&amp;$E252&amp;$I252,INDEX(PMtbl[Category]&amp;PMtbl[Each]&amp;PMtbl[Packaging],0,),0),3)),SETUP!$D$19:$D$121,0),5),"")</f>
        <v/>
      </c>
      <c r="BK252" s="543" t="str" cm="1">
        <f t="array" ref="BK252">IFERROR(IF((INDEX(SETUP!$C$19:$G$121,MATCH((INDEX(PMtbl[[WKst]:[Unit of measure*]],MATCH($A252&amp;$E252&amp;$I252,INDEX(PMtbl[Category]&amp;PMtbl[Each]&amp;PMtbl[Packaging],0,),0),3)),SETUP!$D$19:$D$121,0),4))="Upfront",0,INDEX(SETUP!$C$19:$G$121,MATCH((INDEX(PMtbl[[WKst]:[Unit of measure*]],MATCH($A252&amp;$E252&amp;$I252,INDEX(PMtbl[Category]&amp;PMtbl[Each]&amp;PMtbl[Packaging],0,),0),3)),SETUP!$D$19:$D$121,0),5)),"")</f>
        <v/>
      </c>
      <c r="BL252" s="215" t="str" cm="1">
        <f t="array" ref="BL252">IF(A252&lt;&gt;"",IFERROR(INDEX(PMtbl[[WKst]:[Unit of measure*]],MATCH($A$222&amp;$A252&amp;$E252&amp;$I252,INDEX(PMtbl[Sec]&amp;PMtbl[Category]&amp;PMtbl[Each]&amp;PMtbl[Packaging],0,),0),11),""),"")</f>
        <v/>
      </c>
      <c r="BO252" s="12">
        <f>IF(N252="",0,IF(SETUP!$E$7="USD",((IF(O252="USD",P252,(P252/'Master Data-C19RM'!$C$2)))),((IF(O252="EUR",P252,(P252*'Master Data-C19RM'!$C$2))))))</f>
        <v>0</v>
      </c>
      <c r="BP252" s="12">
        <f>IF(N252="",0,IF(SETUP!$E$7="USD",((IF(O252="USD",W252,(W252/'Master Data-C19RM'!$D$2)))),((IF(O252="EUR",W252,(W252*'Master Data-C19RM'!$D$2))))))</f>
        <v>0</v>
      </c>
      <c r="BQ252">
        <f>IF(N252="",0,IF(SETUP!$E$7="USD",((IF(O252="USD",AD252,(AD252/'Master Data-C19RM'!$E$2)))),((IF(O252="EUR",AD252,(AD252*'Master Data-C19RM'!$E$2))))))</f>
        <v>0</v>
      </c>
      <c r="BR252">
        <f>IF(N252="",0,IF(SETUP!$E$7="USD",((IF(O252="USD",AK252,(AK252/'Master Data-C19RM'!$F$2)))),((IF(O252="EUR",AK252,(AK252*'Master Data-C19RM'!$F$2))))))</f>
        <v>0</v>
      </c>
      <c r="BS252">
        <f>IF(N252="",0,IF(SETUP!$E$7="USD",((IF(O252="USD",AR252,(AR252/'Master Data-C19RM'!$G$2)))),((IF(O252="EUR",AR252,(AR252*'Master Data-C19RM'!$G$2))))))</f>
        <v>0</v>
      </c>
      <c r="BT252">
        <f>IF(N252="",0,IF(SETUP!$E$7="USD",((IF(O252="USD",AY252,(AY252/'Master Data-C19RM'!$H$2)))),((IF(O252="EUR",AY252,(AY252*'Master Data-C19RM'!$H$2))))))</f>
        <v>0</v>
      </c>
      <c r="BU252" s="12">
        <f t="shared" si="32"/>
        <v>0</v>
      </c>
      <c r="BV252" s="142">
        <f t="shared" si="33"/>
        <v>0</v>
      </c>
    </row>
    <row r="253" spans="1:74" x14ac:dyDescent="0.35">
      <c r="A253" s="1165"/>
      <c r="B253" s="1165"/>
      <c r="C253" s="1165"/>
      <c r="D253" s="1165"/>
      <c r="E253" s="1166"/>
      <c r="F253" s="1166"/>
      <c r="G253" s="1166"/>
      <c r="H253" s="1166"/>
      <c r="I253" s="1166"/>
      <c r="J253" s="1166"/>
      <c r="K253" s="1166"/>
      <c r="L253" s="490" t="str" cm="1">
        <f t="array" ref="L253">IF(A253&lt;&gt;"",IFERROR(INDEX(PMtbl[[WKst]:[Unit of measure*]],MATCH($A$222&amp;$A253&amp;$E253&amp;$I253,INDEX(PMtbl[Sec]&amp;PMtbl[Category]&amp;PMtbl[Each]&amp;PMtbl[Packaging],0,),0),14),""),"")</f>
        <v/>
      </c>
      <c r="M253" s="479" t="str">
        <f>IF(L253="","",INDEX(SETUP!$E$20:$E$122,(MATCH(INDEX(PMsheet!$D:$E,MATCH(A253,PMsheet!E:E,0),1),SETUP!$D$20:$D$122,0))))</f>
        <v/>
      </c>
      <c r="N253" s="491">
        <f>IF($O253="USD",_xlfn.IFNA(VLOOKUP(A253&amp;E253&amp;I253,PMsheet!J:K,2,0),0),(_xlfn.IFNA(VLOOKUP(A253&amp;E253&amp;I253,PMsheet!J:K,2,0),0)*'Master Data-C19RM'!$C$2))</f>
        <v>0</v>
      </c>
      <c r="O253" s="492" t="str">
        <f>IF(L253="", "",SETUP!$E$7)</f>
        <v/>
      </c>
      <c r="P253" s="444">
        <f>IF($O253="USD",_xlfn.IFNA(VLOOKUP($A253&amp;$E253&amp;$I253,PMsheet!$J:$K,2,0),0),(_xlfn.IFNA(VLOOKUP($A253&amp;$E253&amp;$I253,PMsheet!$J:$K,2,0),0)*'Master Data-C19RM'!$C$2))</f>
        <v>0</v>
      </c>
      <c r="Q253" s="441"/>
      <c r="R253" s="441"/>
      <c r="S253" s="441"/>
      <c r="T253" s="441"/>
      <c r="U253" s="481">
        <f t="shared" si="34"/>
        <v>0</v>
      </c>
      <c r="V253" s="483">
        <f>IF(SETUP!$E$7="USD",(U253*(IF(O253="USD",P253,(P253/'Master Data-C19RM'!$C$2)))),(U253*(IF(O253="EUR",P253,(P253*'Master Data-C19RM'!$C$2)))))</f>
        <v>0</v>
      </c>
      <c r="W253" s="444">
        <f>IF($O253="USD",_xlfn.IFNA(VLOOKUP($A253&amp;$E253&amp;$I253,PMsheet!$J:$K,2,0),0),(_xlfn.IFNA(VLOOKUP($A253&amp;$E253&amp;$I253,PMsheet!$J:$K,2,0),0)*'Master Data-C19RM'!$D$2))</f>
        <v>0</v>
      </c>
      <c r="X253" s="441"/>
      <c r="Y253" s="441"/>
      <c r="Z253" s="441"/>
      <c r="AA253" s="441"/>
      <c r="AB253" s="481">
        <f t="shared" si="35"/>
        <v>0</v>
      </c>
      <c r="AC253" s="483">
        <f>IF(SETUP!$E$7="USD",(AB253*(IF(O253="USD",W253,(W253/'Master Data-C19RM'!$D$2)))),(AB253*(IF(O253="EUR",W253,(W253*'Master Data-C19RM'!$D$2)))))</f>
        <v>0</v>
      </c>
      <c r="AD253" s="444">
        <f>IF($O253="USD",_xlfn.IFNA(VLOOKUP($A253&amp;$E253&amp;$I253,PMsheet!$J:$K,2,0),0),(_xlfn.IFNA(VLOOKUP($A253&amp;$E253&amp;$I253,PMsheet!$J:$K,2,0),0)*'Master Data-C19RM'!$E$2))</f>
        <v>0</v>
      </c>
      <c r="AE253" s="441"/>
      <c r="AF253" s="441"/>
      <c r="AG253" s="441"/>
      <c r="AH253" s="441"/>
      <c r="AI253" s="512">
        <f t="shared" si="36"/>
        <v>0</v>
      </c>
      <c r="AJ253" s="513">
        <f>IF(SETUP!$E$7="USD",(AI253*(IF(O253="USD",AD253,(AD253/'Master Data-C19RM'!$E$2)))),(AI253*(IF(O253="EUR",AD253,(AD253*'Master Data-C19RM'!$E$2)))))</f>
        <v>0</v>
      </c>
      <c r="AK253" s="444">
        <f>IF($O253="USD",_xlfn.IFNA(VLOOKUP($A253&amp;$E253&amp;$I253,PMsheet!$J:$K,2,0),0),(_xlfn.IFNA(VLOOKUP($A253&amp;$E253&amp;$I253,PMsheet!$J:$K,2,0),0)*'Master Data-C19RM'!$F$2))</f>
        <v>0</v>
      </c>
      <c r="AL253" s="441"/>
      <c r="AM253" s="441"/>
      <c r="AN253" s="441"/>
      <c r="AO253" s="441"/>
      <c r="AP253" s="512">
        <f t="shared" si="37"/>
        <v>0</v>
      </c>
      <c r="AQ253" s="513">
        <f>IF(SETUP!$E$7="USD",(AP253*(IF(O253="USD",AK253,(AK253/'Master Data-C19RM'!$F$2)))),(AP253*(IF(O253="EUR",AK253,(AK253*'Master Data-C19RM'!$F$2)))))</f>
        <v>0</v>
      </c>
      <c r="AR253" s="456">
        <f>IF($O253="USD",_xlfn.IFNA(VLOOKUP($A253&amp;$E253&amp;$I253,PMsheet!$J:$K,2,0),0),(_xlfn.IFNA(VLOOKUP($A253&amp;$E253&amp;$I253,PMsheet!$J:$K,2,0),0)*'Master Data-C19RM'!$G$2))</f>
        <v>0</v>
      </c>
      <c r="AS253" s="572"/>
      <c r="AT253" s="572"/>
      <c r="AU253" s="572"/>
      <c r="AV253" s="572"/>
      <c r="AW253" s="512">
        <f t="shared" si="38"/>
        <v>0</v>
      </c>
      <c r="AX253" s="513">
        <f>IF(SETUP!$E$7="USD",(AW253*(IF(O253="USD",AR253,(AR253/'Master Data-C19RM'!$G$2)))),(AW253*(IF(O253="EUR",AR253,(AR253*'Master Data-C19RM'!$G$2)))))</f>
        <v>0</v>
      </c>
      <c r="AY253" s="845"/>
      <c r="AZ253" s="846"/>
      <c r="BA253" s="846"/>
      <c r="BB253" s="846"/>
      <c r="BC253" s="846"/>
      <c r="BD253" s="846"/>
      <c r="BE253" s="847"/>
      <c r="BF253" s="512">
        <f>'C19RM 2021-Lab &amp; Other HPS'!$U253+'C19RM 2021-Lab &amp; Other HPS'!$AB253+'C19RM 2021-Lab &amp; Other HPS'!$AP253+'C19RM 2021-Lab &amp; Other HPS'!$AI253+AW253+BD253</f>
        <v>0</v>
      </c>
      <c r="BG253" s="512">
        <f>'C19RM 2021-Lab &amp; Other HPS'!$V253+'C19RM 2021-Lab &amp; Other HPS'!$AC253+'C19RM 2021-Lab &amp; Other HPS'!$AQ253+'C19RM 2021-Lab &amp; Other HPS'!$AJ253+AX253+BE253</f>
        <v>0</v>
      </c>
      <c r="BH253" s="500" t="str" cm="1">
        <f t="array" ref="BH253">IF(A253&lt;&gt;"",IFERROR(INDEX(PMtbl[[WKst]:[Unit of measure*]],MATCH($A$222&amp;$A253&amp;$E253&amp;$I253,INDEX(PMtbl[Sec]&amp;PMtbl[Category]&amp;PMtbl[Each]&amp;PMtbl[Packaging],0,),0),11),""),"")</f>
        <v/>
      </c>
      <c r="BI253" s="819"/>
      <c r="BJ253" s="502" t="str" cm="1">
        <f t="array" ref="BJ253">IFERROR(INDEX(SETUP!$C$19:$G$121,MATCH((INDEX(PMtbl[[WKst]:[Unit of measure*]],MATCH($A253&amp;$E253&amp;$I253,INDEX(PMtbl[Category]&amp;PMtbl[Each]&amp;PMtbl[Packaging],0,),0),3)),SETUP!$D$19:$D$121,0),5),"")</f>
        <v/>
      </c>
      <c r="BK253" s="542" t="str" cm="1">
        <f t="array" ref="BK253">IFERROR(IF((INDEX(SETUP!$C$19:$G$121,MATCH((INDEX(PMtbl[[WKst]:[Unit of measure*]],MATCH($A253&amp;$E253&amp;$I253,INDEX(PMtbl[Category]&amp;PMtbl[Each]&amp;PMtbl[Packaging],0,),0),3)),SETUP!$D$19:$D$121,0),4))="Upfront",0,INDEX(SETUP!$C$19:$G$121,MATCH((INDEX(PMtbl[[WKst]:[Unit of measure*]],MATCH($A253&amp;$E253&amp;$I253,INDEX(PMtbl[Category]&amp;PMtbl[Each]&amp;PMtbl[Packaging],0,),0),3)),SETUP!$D$19:$D$121,0),5)),"")</f>
        <v/>
      </c>
      <c r="BL253" s="214" t="str" cm="1">
        <f t="array" ref="BL253">IF(A253&lt;&gt;"",IFERROR(INDEX(PMtbl[[WKst]:[Unit of measure*]],MATCH($A$222&amp;$A253&amp;$E253&amp;$I253,INDEX(PMtbl[Sec]&amp;PMtbl[Category]&amp;PMtbl[Each]&amp;PMtbl[Packaging],0,),0),11),""),"")</f>
        <v/>
      </c>
      <c r="BO253" s="12">
        <f>IF(N253="",0,IF(SETUP!$E$7="USD",((IF(O253="USD",P253,(P253/'Master Data-C19RM'!$C$2)))),((IF(O253="EUR",P253,(P253*'Master Data-C19RM'!$C$2))))))</f>
        <v>0</v>
      </c>
      <c r="BP253" s="12">
        <f>IF(N253="",0,IF(SETUP!$E$7="USD",((IF(O253="USD",W253,(W253/'Master Data-C19RM'!$D$2)))),((IF(O253="EUR",W253,(W253*'Master Data-C19RM'!$D$2))))))</f>
        <v>0</v>
      </c>
      <c r="BQ253">
        <f>IF(N253="",0,IF(SETUP!$E$7="USD",((IF(O253="USD",AD253,(AD253/'Master Data-C19RM'!$E$2)))),((IF(O253="EUR",AD253,(AD253*'Master Data-C19RM'!$E$2))))))</f>
        <v>0</v>
      </c>
      <c r="BR253">
        <f>IF(N253="",0,IF(SETUP!$E$7="USD",((IF(O253="USD",AK253,(AK253/'Master Data-C19RM'!$F$2)))),((IF(O253="EUR",AK253,(AK253*'Master Data-C19RM'!$F$2))))))</f>
        <v>0</v>
      </c>
      <c r="BS253">
        <f>IF(N253="",0,IF(SETUP!$E$7="USD",((IF(O253="USD",AR253,(AR253/'Master Data-C19RM'!$G$2)))),((IF(O253="EUR",AR253,(AR253*'Master Data-C19RM'!$G$2))))))</f>
        <v>0</v>
      </c>
      <c r="BT253">
        <f>IF(N253="",0,IF(SETUP!$E$7="USD",((IF(O253="USD",AY253,(AY253/'Master Data-C19RM'!$H$2)))),((IF(O253="EUR",AY253,(AY253*'Master Data-C19RM'!$H$2))))))</f>
        <v>0</v>
      </c>
      <c r="BU253" s="12">
        <f t="shared" si="32"/>
        <v>0</v>
      </c>
      <c r="BV253" s="142">
        <f t="shared" si="33"/>
        <v>0</v>
      </c>
    </row>
    <row r="254" spans="1:74" x14ac:dyDescent="0.35">
      <c r="A254" s="1192"/>
      <c r="B254" s="1192"/>
      <c r="C254" s="1192"/>
      <c r="D254" s="1192"/>
      <c r="E254" s="1173"/>
      <c r="F254" s="1173"/>
      <c r="G254" s="1173"/>
      <c r="H254" s="1173"/>
      <c r="I254" s="1173"/>
      <c r="J254" s="1173"/>
      <c r="K254" s="1173"/>
      <c r="L254" s="493" t="str" cm="1">
        <f t="array" ref="L254">IF(A254&lt;&gt;"",IFERROR(INDEX(PMtbl[[WKst]:[Unit of measure*]],MATCH($A$222&amp;$A254&amp;$E254&amp;$I254,INDEX(PMtbl[Sec]&amp;PMtbl[Category]&amp;PMtbl[Each]&amp;PMtbl[Packaging],0,),0),14),""),"")</f>
        <v/>
      </c>
      <c r="M254" s="480" t="str">
        <f>IF(L254="","",INDEX(SETUP!$E$20:$E$122,(MATCH(INDEX(PMsheet!$D:$E,MATCH(A254,PMsheet!E:E,0),1),SETUP!$D$20:$D$122,0))))</f>
        <v/>
      </c>
      <c r="N254" s="494">
        <f>IF($O254="USD",_xlfn.IFNA(VLOOKUP(A254&amp;E254&amp;I254,PMsheet!J:K,2,0),0),(_xlfn.IFNA(VLOOKUP(A254&amp;E254&amp;I254,PMsheet!J:K,2,0),0)*'Master Data-C19RM'!$C$2))</f>
        <v>0</v>
      </c>
      <c r="O254" s="495" t="str">
        <f>IF(L254="", "",SETUP!$E$7)</f>
        <v/>
      </c>
      <c r="P254" s="445">
        <f>IF($O254="USD",_xlfn.IFNA(VLOOKUP($A254&amp;$E254&amp;$I254,PMsheet!$J:$K,2,0),0),(_xlfn.IFNA(VLOOKUP($A254&amp;$E254&amp;$I254,PMsheet!$J:$K,2,0),0)*'Master Data-C19RM'!$C$2))</f>
        <v>0</v>
      </c>
      <c r="Q254" s="440"/>
      <c r="R254" s="440"/>
      <c r="S254" s="440"/>
      <c r="T254" s="440"/>
      <c r="U254" s="482">
        <f t="shared" si="34"/>
        <v>0</v>
      </c>
      <c r="V254" s="484">
        <f>IF(SETUP!$E$7="USD",(U254*(IF(O254="USD",P254,(P254/'Master Data-C19RM'!$C$2)))),(U254*(IF(O254="EUR",P254,(P254*'Master Data-C19RM'!$C$2)))))</f>
        <v>0</v>
      </c>
      <c r="W254" s="445">
        <f>IF($O254="USD",_xlfn.IFNA(VLOOKUP($A254&amp;$E254&amp;$I254,PMsheet!$J:$K,2,0),0),(_xlfn.IFNA(VLOOKUP($A254&amp;$E254&amp;$I254,PMsheet!$J:$K,2,0),0)*'Master Data-C19RM'!$D$2))</f>
        <v>0</v>
      </c>
      <c r="X254" s="440"/>
      <c r="Y254" s="440"/>
      <c r="Z254" s="440"/>
      <c r="AA254" s="440"/>
      <c r="AB254" s="482">
        <f t="shared" si="35"/>
        <v>0</v>
      </c>
      <c r="AC254" s="484">
        <f>IF(SETUP!$E$7="USD",(AB254*(IF(O254="USD",W254,(W254/'Master Data-C19RM'!$D$2)))),(AB254*(IF(O254="EUR",W254,(W254*'Master Data-C19RM'!$D$2)))))</f>
        <v>0</v>
      </c>
      <c r="AD254" s="445">
        <f>IF($O254="USD",_xlfn.IFNA(VLOOKUP($A254&amp;$E254&amp;$I254,PMsheet!$J:$K,2,0),0),(_xlfn.IFNA(VLOOKUP($A254&amp;$E254&amp;$I254,PMsheet!$J:$K,2,0),0)*'Master Data-C19RM'!$E$2))</f>
        <v>0</v>
      </c>
      <c r="AE254" s="440"/>
      <c r="AF254" s="440"/>
      <c r="AG254" s="440"/>
      <c r="AH254" s="440"/>
      <c r="AI254" s="514">
        <f t="shared" si="36"/>
        <v>0</v>
      </c>
      <c r="AJ254" s="515">
        <f>IF(SETUP!$E$7="USD",(AI254*(IF(O254="USD",AD254,(AD254/'Master Data-C19RM'!$E$2)))),(AI254*(IF(O254="EUR",AD254,(AD254*'Master Data-C19RM'!$E$2)))))</f>
        <v>0</v>
      </c>
      <c r="AK254" s="445">
        <f>IF($O254="USD",_xlfn.IFNA(VLOOKUP($A254&amp;$E254&amp;$I254,PMsheet!$J:$K,2,0),0),(_xlfn.IFNA(VLOOKUP($A254&amp;$E254&amp;$I254,PMsheet!$J:$K,2,0),0)*'Master Data-C19RM'!$F$2))</f>
        <v>0</v>
      </c>
      <c r="AL254" s="440"/>
      <c r="AM254" s="440"/>
      <c r="AN254" s="440"/>
      <c r="AO254" s="440"/>
      <c r="AP254" s="514">
        <f t="shared" si="37"/>
        <v>0</v>
      </c>
      <c r="AQ254" s="515">
        <f>IF(SETUP!$E$7="USD",(AP254*(IF(O254="USD",AK254,(AK254/'Master Data-C19RM'!$F$2)))),(AP254*(IF(O254="EUR",AK254,(AK254*'Master Data-C19RM'!$F$2)))))</f>
        <v>0</v>
      </c>
      <c r="AR254" s="457">
        <f>IF($O254="USD",_xlfn.IFNA(VLOOKUP($A254&amp;$E254&amp;$I254,PMsheet!$J:$K,2,0),0),(_xlfn.IFNA(VLOOKUP($A254&amp;$E254&amp;$I254,PMsheet!$J:$K,2,0),0)*'Master Data-C19RM'!$G$2))</f>
        <v>0</v>
      </c>
      <c r="AS254" s="926"/>
      <c r="AT254" s="926"/>
      <c r="AU254" s="926"/>
      <c r="AV254" s="926"/>
      <c r="AW254" s="514">
        <f t="shared" si="38"/>
        <v>0</v>
      </c>
      <c r="AX254" s="515">
        <f>IF(SETUP!$E$7="USD",(AW254*(IF(O254="USD",AR254,(AR254/'Master Data-C19RM'!$G$2)))),(AW254*(IF(O254="EUR",AR254,(AR254*'Master Data-C19RM'!$G$2)))))</f>
        <v>0</v>
      </c>
      <c r="AY254" s="845"/>
      <c r="AZ254" s="846"/>
      <c r="BA254" s="846"/>
      <c r="BB254" s="846"/>
      <c r="BC254" s="846"/>
      <c r="BD254" s="846"/>
      <c r="BE254" s="847"/>
      <c r="BF254" s="514">
        <f>'C19RM 2021-Lab &amp; Other HPS'!$U254+'C19RM 2021-Lab &amp; Other HPS'!$AB254+'C19RM 2021-Lab &amp; Other HPS'!$AP254+'C19RM 2021-Lab &amp; Other HPS'!$AI254+AW254+BD254</f>
        <v>0</v>
      </c>
      <c r="BG254" s="514">
        <f>'C19RM 2021-Lab &amp; Other HPS'!$V254+'C19RM 2021-Lab &amp; Other HPS'!$AC254+'C19RM 2021-Lab &amp; Other HPS'!$AQ254+'C19RM 2021-Lab &amp; Other HPS'!$AJ254+AX254+BE254</f>
        <v>0</v>
      </c>
      <c r="BH254" s="522" t="str" cm="1">
        <f t="array" ref="BH254">IF(A254&lt;&gt;"",IFERROR(INDEX(PMtbl[[WKst]:[Unit of measure*]],MATCH($A$222&amp;$A254&amp;$E254&amp;$I254,INDEX(PMtbl[Sec]&amp;PMtbl[Category]&amp;PMtbl[Each]&amp;PMtbl[Packaging],0,),0),11),""),"")</f>
        <v/>
      </c>
      <c r="BI254" s="818"/>
      <c r="BJ254" s="503" t="str" cm="1">
        <f t="array" ref="BJ254">IFERROR(INDEX(SETUP!$C$19:$G$121,MATCH((INDEX(PMtbl[[WKst]:[Unit of measure*]],MATCH($A254&amp;$E254&amp;$I254,INDEX(PMtbl[Category]&amp;PMtbl[Each]&amp;PMtbl[Packaging],0,),0),3)),SETUP!$D$19:$D$121,0),5),"")</f>
        <v/>
      </c>
      <c r="BK254" s="543" t="str" cm="1">
        <f t="array" ref="BK254">IFERROR(IF((INDEX(SETUP!$C$19:$G$121,MATCH((INDEX(PMtbl[[WKst]:[Unit of measure*]],MATCH($A254&amp;$E254&amp;$I254,INDEX(PMtbl[Category]&amp;PMtbl[Each]&amp;PMtbl[Packaging],0,),0),3)),SETUP!$D$19:$D$121,0),4))="Upfront",0,INDEX(SETUP!$C$19:$G$121,MATCH((INDEX(PMtbl[[WKst]:[Unit of measure*]],MATCH($A254&amp;$E254&amp;$I254,INDEX(PMtbl[Category]&amp;PMtbl[Each]&amp;PMtbl[Packaging],0,),0),3)),SETUP!$D$19:$D$121,0),5)),"")</f>
        <v/>
      </c>
      <c r="BL254" s="215" t="str" cm="1">
        <f t="array" ref="BL254">IF(A254&lt;&gt;"",IFERROR(INDEX(PMtbl[[WKst]:[Unit of measure*]],MATCH($A$222&amp;$A254&amp;$E254&amp;$I254,INDEX(PMtbl[Sec]&amp;PMtbl[Category]&amp;PMtbl[Each]&amp;PMtbl[Packaging],0,),0),11),""),"")</f>
        <v/>
      </c>
      <c r="BO254" s="12">
        <f>IF(N254="",0,IF(SETUP!$E$7="USD",((IF(O254="USD",P254,(P254/'Master Data-C19RM'!$C$2)))),((IF(O254="EUR",P254,(P254*'Master Data-C19RM'!$C$2))))))</f>
        <v>0</v>
      </c>
      <c r="BP254" s="12">
        <f>IF(N254="",0,IF(SETUP!$E$7="USD",((IF(O254="USD",W254,(W254/'Master Data-C19RM'!$D$2)))),((IF(O254="EUR",W254,(W254*'Master Data-C19RM'!$D$2))))))</f>
        <v>0</v>
      </c>
      <c r="BQ254">
        <f>IF(N254="",0,IF(SETUP!$E$7="USD",((IF(O254="USD",AD254,(AD254/'Master Data-C19RM'!$E$2)))),((IF(O254="EUR",AD254,(AD254*'Master Data-C19RM'!$E$2))))))</f>
        <v>0</v>
      </c>
      <c r="BR254">
        <f>IF(N254="",0,IF(SETUP!$E$7="USD",((IF(O254="USD",AK254,(AK254/'Master Data-C19RM'!$F$2)))),((IF(O254="EUR",AK254,(AK254*'Master Data-C19RM'!$F$2))))))</f>
        <v>0</v>
      </c>
      <c r="BS254">
        <f>IF(N254="",0,IF(SETUP!$E$7="USD",((IF(O254="USD",AR254,(AR254/'Master Data-C19RM'!$G$2)))),((IF(O254="EUR",AR254,(AR254*'Master Data-C19RM'!$G$2))))))</f>
        <v>0</v>
      </c>
      <c r="BT254">
        <f>IF(N254="",0,IF(SETUP!$E$7="USD",((IF(O254="USD",AY254,(AY254/'Master Data-C19RM'!$H$2)))),((IF(O254="EUR",AY254,(AY254*'Master Data-C19RM'!$H$2))))))</f>
        <v>0</v>
      </c>
      <c r="BU254" s="12">
        <f t="shared" si="32"/>
        <v>0</v>
      </c>
      <c r="BV254" s="142">
        <f t="shared" si="33"/>
        <v>0</v>
      </c>
    </row>
    <row r="255" spans="1:74" x14ac:dyDescent="0.35">
      <c r="A255" s="1165"/>
      <c r="B255" s="1165"/>
      <c r="C255" s="1165"/>
      <c r="D255" s="1165"/>
      <c r="E255" s="1166"/>
      <c r="F255" s="1166"/>
      <c r="G255" s="1166"/>
      <c r="H255" s="1166"/>
      <c r="I255" s="1166"/>
      <c r="J255" s="1166"/>
      <c r="K255" s="1166"/>
      <c r="L255" s="490" t="str" cm="1">
        <f t="array" ref="L255">IF(A255&lt;&gt;"",IFERROR(INDEX(PMtbl[[WKst]:[Unit of measure*]],MATCH($A$222&amp;$A255&amp;$E255&amp;$I255,INDEX(PMtbl[Sec]&amp;PMtbl[Category]&amp;PMtbl[Each]&amp;PMtbl[Packaging],0,),0),14),""),"")</f>
        <v/>
      </c>
      <c r="M255" s="479" t="str">
        <f>IF(L255="","",INDEX(SETUP!$E$20:$E$122,(MATCH(INDEX(PMsheet!$D:$E,MATCH(A255,PMsheet!E:E,0),1),SETUP!$D$20:$D$122,0))))</f>
        <v/>
      </c>
      <c r="N255" s="491">
        <f>IF($O255="USD",_xlfn.IFNA(VLOOKUP(A255&amp;E255&amp;I255,PMsheet!J:K,2,0),0),(_xlfn.IFNA(VLOOKUP(A255&amp;E255&amp;I255,PMsheet!J:K,2,0),0)*'Master Data-C19RM'!$C$2))</f>
        <v>0</v>
      </c>
      <c r="O255" s="492" t="str">
        <f>IF(L255="", "",SETUP!$E$7)</f>
        <v/>
      </c>
      <c r="P255" s="444">
        <f>IF($O255="USD",_xlfn.IFNA(VLOOKUP($A255&amp;$E255&amp;$I255,PMsheet!$J:$K,2,0),0),(_xlfn.IFNA(VLOOKUP($A255&amp;$E255&amp;$I255,PMsheet!$J:$K,2,0),0)*'Master Data-C19RM'!$C$2))</f>
        <v>0</v>
      </c>
      <c r="Q255" s="441"/>
      <c r="R255" s="441"/>
      <c r="S255" s="441"/>
      <c r="T255" s="441"/>
      <c r="U255" s="481">
        <f t="shared" si="34"/>
        <v>0</v>
      </c>
      <c r="V255" s="483">
        <f>IF(SETUP!$E$7="USD",(U255*(IF(O255="USD",P255,(P255/'Master Data-C19RM'!$C$2)))),(U255*(IF(O255="EUR",P255,(P255*'Master Data-C19RM'!$C$2)))))</f>
        <v>0</v>
      </c>
      <c r="W255" s="444">
        <f>IF($O255="USD",_xlfn.IFNA(VLOOKUP($A255&amp;$E255&amp;$I255,PMsheet!$J:$K,2,0),0),(_xlfn.IFNA(VLOOKUP($A255&amp;$E255&amp;$I255,PMsheet!$J:$K,2,0),0)*'Master Data-C19RM'!$D$2))</f>
        <v>0</v>
      </c>
      <c r="X255" s="441"/>
      <c r="Y255" s="441"/>
      <c r="Z255" s="441"/>
      <c r="AA255" s="441"/>
      <c r="AB255" s="481">
        <f t="shared" si="35"/>
        <v>0</v>
      </c>
      <c r="AC255" s="483">
        <f>IF(SETUP!$E$7="USD",(AB255*(IF(O255="USD",W255,(W255/'Master Data-C19RM'!$D$2)))),(AB255*(IF(O255="EUR",W255,(W255*'Master Data-C19RM'!$D$2)))))</f>
        <v>0</v>
      </c>
      <c r="AD255" s="444">
        <f>IF($O255="USD",_xlfn.IFNA(VLOOKUP($A255&amp;$E255&amp;$I255,PMsheet!$J:$K,2,0),0),(_xlfn.IFNA(VLOOKUP($A255&amp;$E255&amp;$I255,PMsheet!$J:$K,2,0),0)*'Master Data-C19RM'!$E$2))</f>
        <v>0</v>
      </c>
      <c r="AE255" s="441"/>
      <c r="AF255" s="441"/>
      <c r="AG255" s="441"/>
      <c r="AH255" s="441"/>
      <c r="AI255" s="512">
        <f t="shared" si="36"/>
        <v>0</v>
      </c>
      <c r="AJ255" s="513">
        <f>IF(SETUP!$E$7="USD",(AI255*(IF(O255="USD",AD255,(AD255/'Master Data-C19RM'!$E$2)))),(AI255*(IF(O255="EUR",AD255,(AD255*'Master Data-C19RM'!$E$2)))))</f>
        <v>0</v>
      </c>
      <c r="AK255" s="444">
        <f>IF($O255="USD",_xlfn.IFNA(VLOOKUP($A255&amp;$E255&amp;$I255,PMsheet!$J:$K,2,0),0),(_xlfn.IFNA(VLOOKUP($A255&amp;$E255&amp;$I255,PMsheet!$J:$K,2,0),0)*'Master Data-C19RM'!$F$2))</f>
        <v>0</v>
      </c>
      <c r="AL255" s="441"/>
      <c r="AM255" s="441"/>
      <c r="AN255" s="441"/>
      <c r="AO255" s="441"/>
      <c r="AP255" s="512">
        <f t="shared" si="37"/>
        <v>0</v>
      </c>
      <c r="AQ255" s="513">
        <f>IF(SETUP!$E$7="USD",(AP255*(IF(O255="USD",AK255,(AK255/'Master Data-C19RM'!$F$2)))),(AP255*(IF(O255="EUR",AK255,(AK255*'Master Data-C19RM'!$F$2)))))</f>
        <v>0</v>
      </c>
      <c r="AR255" s="456">
        <f>IF($O255="USD",_xlfn.IFNA(VLOOKUP($A255&amp;$E255&amp;$I255,PMsheet!$J:$K,2,0),0),(_xlfn.IFNA(VLOOKUP($A255&amp;$E255&amp;$I255,PMsheet!$J:$K,2,0),0)*'Master Data-C19RM'!$G$2))</f>
        <v>0</v>
      </c>
      <c r="AS255" s="572"/>
      <c r="AT255" s="572"/>
      <c r="AU255" s="572"/>
      <c r="AV255" s="572"/>
      <c r="AW255" s="512">
        <f t="shared" si="38"/>
        <v>0</v>
      </c>
      <c r="AX255" s="513">
        <f>IF(SETUP!$E$7="USD",(AW255*(IF(O255="USD",AR255,(AR255/'Master Data-C19RM'!$G$2)))),(AW255*(IF(O255="EUR",AR255,(AR255*'Master Data-C19RM'!$G$2)))))</f>
        <v>0</v>
      </c>
      <c r="AY255" s="845"/>
      <c r="AZ255" s="846"/>
      <c r="BA255" s="846"/>
      <c r="BB255" s="846"/>
      <c r="BC255" s="846"/>
      <c r="BD255" s="846"/>
      <c r="BE255" s="847"/>
      <c r="BF255" s="512">
        <f>'C19RM 2021-Lab &amp; Other HPS'!$U255+'C19RM 2021-Lab &amp; Other HPS'!$AB255+'C19RM 2021-Lab &amp; Other HPS'!$AP255+'C19RM 2021-Lab &amp; Other HPS'!$AI255+AW255+BD255</f>
        <v>0</v>
      </c>
      <c r="BG255" s="512">
        <f>'C19RM 2021-Lab &amp; Other HPS'!$V255+'C19RM 2021-Lab &amp; Other HPS'!$AC255+'C19RM 2021-Lab &amp; Other HPS'!$AQ255+'C19RM 2021-Lab &amp; Other HPS'!$AJ255+AX255+BE255</f>
        <v>0</v>
      </c>
      <c r="BH255" s="500" t="str" cm="1">
        <f t="array" ref="BH255">IF(A255&lt;&gt;"",IFERROR(INDEX(PMtbl[[WKst]:[Unit of measure*]],MATCH($A$222&amp;$A255&amp;$E255&amp;$I255,INDEX(PMtbl[Sec]&amp;PMtbl[Category]&amp;PMtbl[Each]&amp;PMtbl[Packaging],0,),0),11),""),"")</f>
        <v/>
      </c>
      <c r="BI255" s="819"/>
      <c r="BJ255" s="502" t="str" cm="1">
        <f t="array" ref="BJ255">IFERROR(INDEX(SETUP!$C$19:$G$121,MATCH((INDEX(PMtbl[[WKst]:[Unit of measure*]],MATCH($A255&amp;$E255&amp;$I255,INDEX(PMtbl[Category]&amp;PMtbl[Each]&amp;PMtbl[Packaging],0,),0),3)),SETUP!$D$19:$D$121,0),5),"")</f>
        <v/>
      </c>
      <c r="BK255" s="542" t="str" cm="1">
        <f t="array" ref="BK255">IFERROR(IF((INDEX(SETUP!$C$19:$G$121,MATCH((INDEX(PMtbl[[WKst]:[Unit of measure*]],MATCH($A255&amp;$E255&amp;$I255,INDEX(PMtbl[Category]&amp;PMtbl[Each]&amp;PMtbl[Packaging],0,),0),3)),SETUP!$D$19:$D$121,0),4))="Upfront",0,INDEX(SETUP!$C$19:$G$121,MATCH((INDEX(PMtbl[[WKst]:[Unit of measure*]],MATCH($A255&amp;$E255&amp;$I255,INDEX(PMtbl[Category]&amp;PMtbl[Each]&amp;PMtbl[Packaging],0,),0),3)),SETUP!$D$19:$D$121,0),5)),"")</f>
        <v/>
      </c>
      <c r="BL255" s="214" t="str" cm="1">
        <f t="array" ref="BL255">IF(A255&lt;&gt;"",IFERROR(INDEX(PMtbl[[WKst]:[Unit of measure*]],MATCH($A$222&amp;$A255&amp;$E255&amp;$I255,INDEX(PMtbl[Sec]&amp;PMtbl[Category]&amp;PMtbl[Each]&amp;PMtbl[Packaging],0,),0),11),""),"")</f>
        <v/>
      </c>
      <c r="BO255" s="12">
        <f>IF(N255="",0,IF(SETUP!$E$7="USD",((IF(O255="USD",P255,(P255/'Master Data-C19RM'!$C$2)))),((IF(O255="EUR",P255,(P255*'Master Data-C19RM'!$C$2))))))</f>
        <v>0</v>
      </c>
      <c r="BP255" s="12">
        <f>IF(N255="",0,IF(SETUP!$E$7="USD",((IF(O255="USD",W255,(W255/'Master Data-C19RM'!$D$2)))),((IF(O255="EUR",W255,(W255*'Master Data-C19RM'!$D$2))))))</f>
        <v>0</v>
      </c>
      <c r="BQ255">
        <f>IF(N255="",0,IF(SETUP!$E$7="USD",((IF(O255="USD",AD255,(AD255/'Master Data-C19RM'!$E$2)))),((IF(O255="EUR",AD255,(AD255*'Master Data-C19RM'!$E$2))))))</f>
        <v>0</v>
      </c>
      <c r="BR255">
        <f>IF(N255="",0,IF(SETUP!$E$7="USD",((IF(O255="USD",AK255,(AK255/'Master Data-C19RM'!$F$2)))),((IF(O255="EUR",AK255,(AK255*'Master Data-C19RM'!$F$2))))))</f>
        <v>0</v>
      </c>
      <c r="BS255">
        <f>IF(N255="",0,IF(SETUP!$E$7="USD",((IF(O255="USD",AR255,(AR255/'Master Data-C19RM'!$G$2)))),((IF(O255="EUR",AR255,(AR255*'Master Data-C19RM'!$G$2))))))</f>
        <v>0</v>
      </c>
      <c r="BT255">
        <f>IF(N255="",0,IF(SETUP!$E$7="USD",((IF(O255="USD",AY255,(AY255/'Master Data-C19RM'!$H$2)))),((IF(O255="EUR",AY255,(AY255*'Master Data-C19RM'!$H$2))))))</f>
        <v>0</v>
      </c>
      <c r="BU255" s="12">
        <f t="shared" si="32"/>
        <v>0</v>
      </c>
      <c r="BV255" s="142">
        <f t="shared" si="33"/>
        <v>0</v>
      </c>
    </row>
    <row r="256" spans="1:74" x14ac:dyDescent="0.35">
      <c r="A256" s="1192"/>
      <c r="B256" s="1192"/>
      <c r="C256" s="1192"/>
      <c r="D256" s="1192"/>
      <c r="E256" s="1173"/>
      <c r="F256" s="1173"/>
      <c r="G256" s="1173"/>
      <c r="H256" s="1173"/>
      <c r="I256" s="1173"/>
      <c r="J256" s="1173"/>
      <c r="K256" s="1173"/>
      <c r="L256" s="493" t="str" cm="1">
        <f t="array" ref="L256">IF(A256&lt;&gt;"",IFERROR(INDEX(PMtbl[[WKst]:[Unit of measure*]],MATCH($A$222&amp;$A256&amp;$E256&amp;$I256,INDEX(PMtbl[Sec]&amp;PMtbl[Category]&amp;PMtbl[Each]&amp;PMtbl[Packaging],0,),0),14),""),"")</f>
        <v/>
      </c>
      <c r="M256" s="480" t="str">
        <f>IF(L256="","",INDEX(SETUP!$E$20:$E$122,(MATCH(INDEX(PMsheet!$D:$E,MATCH(A256,PMsheet!E:E,0),1),SETUP!$D$20:$D$122,0))))</f>
        <v/>
      </c>
      <c r="N256" s="494">
        <f>IF($O256="USD",_xlfn.IFNA(VLOOKUP(A256&amp;E256&amp;I256,PMsheet!J:K,2,0),0),(_xlfn.IFNA(VLOOKUP(A256&amp;E256&amp;I256,PMsheet!J:K,2,0),0)*'Master Data-C19RM'!$C$2))</f>
        <v>0</v>
      </c>
      <c r="O256" s="495" t="str">
        <f>IF(L256="", "",SETUP!$E$7)</f>
        <v/>
      </c>
      <c r="P256" s="445">
        <f>IF($O256="USD",_xlfn.IFNA(VLOOKUP($A256&amp;$E256&amp;$I256,PMsheet!$J:$K,2,0),0),(_xlfn.IFNA(VLOOKUP($A256&amp;$E256&amp;$I256,PMsheet!$J:$K,2,0),0)*'Master Data-C19RM'!$C$2))</f>
        <v>0</v>
      </c>
      <c r="Q256" s="440"/>
      <c r="R256" s="440"/>
      <c r="S256" s="440"/>
      <c r="T256" s="440"/>
      <c r="U256" s="482">
        <f t="shared" si="34"/>
        <v>0</v>
      </c>
      <c r="V256" s="484">
        <f>IF(SETUP!$E$7="USD",(U256*(IF(O256="USD",P256,(P256/'Master Data-C19RM'!$C$2)))),(U256*(IF(O256="EUR",P256,(P256*'Master Data-C19RM'!$C$2)))))</f>
        <v>0</v>
      </c>
      <c r="W256" s="445">
        <f>IF($O256="USD",_xlfn.IFNA(VLOOKUP($A256&amp;$E256&amp;$I256,PMsheet!$J:$K,2,0),0),(_xlfn.IFNA(VLOOKUP($A256&amp;$E256&amp;$I256,PMsheet!$J:$K,2,0),0)*'Master Data-C19RM'!$D$2))</f>
        <v>0</v>
      </c>
      <c r="X256" s="440"/>
      <c r="Y256" s="440"/>
      <c r="Z256" s="440"/>
      <c r="AA256" s="440"/>
      <c r="AB256" s="482">
        <f t="shared" si="35"/>
        <v>0</v>
      </c>
      <c r="AC256" s="484">
        <f>IF(SETUP!$E$7="USD",(AB256*(IF(O256="USD",W256,(W256/'Master Data-C19RM'!$D$2)))),(AB256*(IF(O256="EUR",W256,(W256*'Master Data-C19RM'!$D$2)))))</f>
        <v>0</v>
      </c>
      <c r="AD256" s="445">
        <f>IF($O256="USD",_xlfn.IFNA(VLOOKUP($A256&amp;$E256&amp;$I256,PMsheet!$J:$K,2,0),0),(_xlfn.IFNA(VLOOKUP($A256&amp;$E256&amp;$I256,PMsheet!$J:$K,2,0),0)*'Master Data-C19RM'!$E$2))</f>
        <v>0</v>
      </c>
      <c r="AE256" s="440"/>
      <c r="AF256" s="440"/>
      <c r="AG256" s="440"/>
      <c r="AH256" s="440"/>
      <c r="AI256" s="514">
        <f t="shared" si="36"/>
        <v>0</v>
      </c>
      <c r="AJ256" s="515">
        <f>IF(SETUP!$E$7="USD",(AI256*(IF(O256="USD",AD256,(AD256/'Master Data-C19RM'!$E$2)))),(AI256*(IF(O256="EUR",AD256,(AD256*'Master Data-C19RM'!$E$2)))))</f>
        <v>0</v>
      </c>
      <c r="AK256" s="445">
        <f>IF($O256="USD",_xlfn.IFNA(VLOOKUP($A256&amp;$E256&amp;$I256,PMsheet!$J:$K,2,0),0),(_xlfn.IFNA(VLOOKUP($A256&amp;$E256&amp;$I256,PMsheet!$J:$K,2,0),0)*'Master Data-C19RM'!$F$2))</f>
        <v>0</v>
      </c>
      <c r="AL256" s="440"/>
      <c r="AM256" s="440"/>
      <c r="AN256" s="440"/>
      <c r="AO256" s="440"/>
      <c r="AP256" s="514">
        <f t="shared" si="37"/>
        <v>0</v>
      </c>
      <c r="AQ256" s="515">
        <f>IF(SETUP!$E$7="USD",(AP256*(IF(O256="USD",AK256,(AK256/'Master Data-C19RM'!$F$2)))),(AP256*(IF(O256="EUR",AK256,(AK256*'Master Data-C19RM'!$F$2)))))</f>
        <v>0</v>
      </c>
      <c r="AR256" s="457">
        <f>IF($O256="USD",_xlfn.IFNA(VLOOKUP($A256&amp;$E256&amp;$I256,PMsheet!$J:$K,2,0),0),(_xlfn.IFNA(VLOOKUP($A256&amp;$E256&amp;$I256,PMsheet!$J:$K,2,0),0)*'Master Data-C19RM'!$G$2))</f>
        <v>0</v>
      </c>
      <c r="AS256" s="926"/>
      <c r="AT256" s="926"/>
      <c r="AU256" s="926"/>
      <c r="AV256" s="926"/>
      <c r="AW256" s="514">
        <f t="shared" si="38"/>
        <v>0</v>
      </c>
      <c r="AX256" s="515">
        <f>IF(SETUP!$E$7="USD",(AW256*(IF(O256="USD",AR256,(AR256/'Master Data-C19RM'!$G$2)))),(AW256*(IF(O256="EUR",AR256,(AR256*'Master Data-C19RM'!$G$2)))))</f>
        <v>0</v>
      </c>
      <c r="AY256" s="845"/>
      <c r="AZ256" s="846"/>
      <c r="BA256" s="846"/>
      <c r="BB256" s="846"/>
      <c r="BC256" s="846"/>
      <c r="BD256" s="846"/>
      <c r="BE256" s="847"/>
      <c r="BF256" s="514">
        <f>'C19RM 2021-Lab &amp; Other HPS'!$U256+'C19RM 2021-Lab &amp; Other HPS'!$AB256+'C19RM 2021-Lab &amp; Other HPS'!$AP256+'C19RM 2021-Lab &amp; Other HPS'!$AI256+AW256+BD256</f>
        <v>0</v>
      </c>
      <c r="BG256" s="514">
        <f>'C19RM 2021-Lab &amp; Other HPS'!$V256+'C19RM 2021-Lab &amp; Other HPS'!$AC256+'C19RM 2021-Lab &amp; Other HPS'!$AQ256+'C19RM 2021-Lab &amp; Other HPS'!$AJ256+AX256+BE256</f>
        <v>0</v>
      </c>
      <c r="BH256" s="522" t="str" cm="1">
        <f t="array" ref="BH256">IF(A256&lt;&gt;"",IFERROR(INDEX(PMtbl[[WKst]:[Unit of measure*]],MATCH($A$222&amp;$A256&amp;$E256&amp;$I256,INDEX(PMtbl[Sec]&amp;PMtbl[Category]&amp;PMtbl[Each]&amp;PMtbl[Packaging],0,),0),11),""),"")</f>
        <v/>
      </c>
      <c r="BI256" s="818"/>
      <c r="BJ256" s="503" t="str" cm="1">
        <f t="array" ref="BJ256">IFERROR(INDEX(SETUP!$C$19:$G$121,MATCH((INDEX(PMtbl[[WKst]:[Unit of measure*]],MATCH($A256&amp;$E256&amp;$I256,INDEX(PMtbl[Category]&amp;PMtbl[Each]&amp;PMtbl[Packaging],0,),0),3)),SETUP!$D$19:$D$121,0),5),"")</f>
        <v/>
      </c>
      <c r="BK256" s="543" t="str" cm="1">
        <f t="array" ref="BK256">IFERROR(IF((INDEX(SETUP!$C$19:$G$121,MATCH((INDEX(PMtbl[[WKst]:[Unit of measure*]],MATCH($A256&amp;$E256&amp;$I256,INDEX(PMtbl[Category]&amp;PMtbl[Each]&amp;PMtbl[Packaging],0,),0),3)),SETUP!$D$19:$D$121,0),4))="Upfront",0,INDEX(SETUP!$C$19:$G$121,MATCH((INDEX(PMtbl[[WKst]:[Unit of measure*]],MATCH($A256&amp;$E256&amp;$I256,INDEX(PMtbl[Category]&amp;PMtbl[Each]&amp;PMtbl[Packaging],0,),0),3)),SETUP!$D$19:$D$121,0),5)),"")</f>
        <v/>
      </c>
      <c r="BL256" s="215" t="str" cm="1">
        <f t="array" ref="BL256">IF(A256&lt;&gt;"",IFERROR(INDEX(PMtbl[[WKst]:[Unit of measure*]],MATCH($A$222&amp;$A256&amp;$E256&amp;$I256,INDEX(PMtbl[Sec]&amp;PMtbl[Category]&amp;PMtbl[Each]&amp;PMtbl[Packaging],0,),0),11),""),"")</f>
        <v/>
      </c>
      <c r="BO256" s="12">
        <f>IF(N256="",0,IF(SETUP!$E$7="USD",((IF(O256="USD",P256,(P256/'Master Data-C19RM'!$C$2)))),((IF(O256="EUR",P256,(P256*'Master Data-C19RM'!$C$2))))))</f>
        <v>0</v>
      </c>
      <c r="BP256" s="12">
        <f>IF(N256="",0,IF(SETUP!$E$7="USD",((IF(O256="USD",W256,(W256/'Master Data-C19RM'!$D$2)))),((IF(O256="EUR",W256,(W256*'Master Data-C19RM'!$D$2))))))</f>
        <v>0</v>
      </c>
      <c r="BQ256">
        <f>IF(N256="",0,IF(SETUP!$E$7="USD",((IF(O256="USD",AD256,(AD256/'Master Data-C19RM'!$E$2)))),((IF(O256="EUR",AD256,(AD256*'Master Data-C19RM'!$E$2))))))</f>
        <v>0</v>
      </c>
      <c r="BR256">
        <f>IF(N256="",0,IF(SETUP!$E$7="USD",((IF(O256="USD",AK256,(AK256/'Master Data-C19RM'!$F$2)))),((IF(O256="EUR",AK256,(AK256*'Master Data-C19RM'!$F$2))))))</f>
        <v>0</v>
      </c>
      <c r="BS256">
        <f>IF(N256="",0,IF(SETUP!$E$7="USD",((IF(O256="USD",AR256,(AR256/'Master Data-C19RM'!$G$2)))),((IF(O256="EUR",AR256,(AR256*'Master Data-C19RM'!$G$2))))))</f>
        <v>0</v>
      </c>
      <c r="BT256">
        <f>IF(N256="",0,IF(SETUP!$E$7="USD",((IF(O256="USD",AY256,(AY256/'Master Data-C19RM'!$H$2)))),((IF(O256="EUR",AY256,(AY256*'Master Data-C19RM'!$H$2))))))</f>
        <v>0</v>
      </c>
      <c r="BU256" s="12">
        <f t="shared" si="32"/>
        <v>0</v>
      </c>
      <c r="BV256" s="142">
        <f t="shared" si="33"/>
        <v>0</v>
      </c>
    </row>
    <row r="257" spans="1:74" x14ac:dyDescent="0.35">
      <c r="A257" s="1165"/>
      <c r="B257" s="1165"/>
      <c r="C257" s="1165"/>
      <c r="D257" s="1165"/>
      <c r="E257" s="1166"/>
      <c r="F257" s="1166"/>
      <c r="G257" s="1166"/>
      <c r="H257" s="1166"/>
      <c r="I257" s="1166"/>
      <c r="J257" s="1166"/>
      <c r="K257" s="1166"/>
      <c r="L257" s="490" t="str" cm="1">
        <f t="array" ref="L257">IF(A257&lt;&gt;"",IFERROR(INDEX(PMtbl[[WKst]:[Unit of measure*]],MATCH($A$222&amp;$A257&amp;$E257&amp;$I257,INDEX(PMtbl[Sec]&amp;PMtbl[Category]&amp;PMtbl[Each]&amp;PMtbl[Packaging],0,),0),14),""),"")</f>
        <v/>
      </c>
      <c r="M257" s="479" t="str">
        <f>IF(L257="","",INDEX(SETUP!$E$20:$E$122,(MATCH(INDEX(PMsheet!$D:$E,MATCH(A257,PMsheet!E:E,0),1),SETUP!$D$20:$D$122,0))))</f>
        <v/>
      </c>
      <c r="N257" s="491">
        <f>IF($O257="USD",_xlfn.IFNA(VLOOKUP(A257&amp;E257&amp;I257,PMsheet!J:K,2,0),0),(_xlfn.IFNA(VLOOKUP(A257&amp;E257&amp;I257,PMsheet!J:K,2,0),0)*'Master Data-C19RM'!$C$2))</f>
        <v>0</v>
      </c>
      <c r="O257" s="492" t="str">
        <f>IF(L257="", "",SETUP!$E$7)</f>
        <v/>
      </c>
      <c r="P257" s="444">
        <f>IF($O257="USD",_xlfn.IFNA(VLOOKUP($A257&amp;$E257&amp;$I257,PMsheet!$J:$K,2,0),0),(_xlfn.IFNA(VLOOKUP($A257&amp;$E257&amp;$I257,PMsheet!$J:$K,2,0),0)*'Master Data-C19RM'!$C$2))</f>
        <v>0</v>
      </c>
      <c r="Q257" s="441"/>
      <c r="R257" s="441"/>
      <c r="S257" s="441"/>
      <c r="T257" s="441"/>
      <c r="U257" s="481">
        <f t="shared" si="34"/>
        <v>0</v>
      </c>
      <c r="V257" s="483">
        <f>IF(SETUP!$E$7="USD",(U257*(IF(O257="USD",P257,(P257/'Master Data-C19RM'!$C$2)))),(U257*(IF(O257="EUR",P257,(P257*'Master Data-C19RM'!$C$2)))))</f>
        <v>0</v>
      </c>
      <c r="W257" s="444">
        <f>IF($O257="USD",_xlfn.IFNA(VLOOKUP($A257&amp;$E257&amp;$I257,PMsheet!$J:$K,2,0),0),(_xlfn.IFNA(VLOOKUP($A257&amp;$E257&amp;$I257,PMsheet!$J:$K,2,0),0)*'Master Data-C19RM'!$D$2))</f>
        <v>0</v>
      </c>
      <c r="X257" s="441"/>
      <c r="Y257" s="441"/>
      <c r="Z257" s="441"/>
      <c r="AA257" s="441"/>
      <c r="AB257" s="481">
        <f t="shared" si="35"/>
        <v>0</v>
      </c>
      <c r="AC257" s="483">
        <f>IF(SETUP!$E$7="USD",(AB257*(IF(O257="USD",W257,(W257/'Master Data-C19RM'!$D$2)))),(AB257*(IF(O257="EUR",W257,(W257*'Master Data-C19RM'!$D$2)))))</f>
        <v>0</v>
      </c>
      <c r="AD257" s="444">
        <f>IF($O257="USD",_xlfn.IFNA(VLOOKUP($A257&amp;$E257&amp;$I257,PMsheet!$J:$K,2,0),0),(_xlfn.IFNA(VLOOKUP($A257&amp;$E257&amp;$I257,PMsheet!$J:$K,2,0),0)*'Master Data-C19RM'!$E$2))</f>
        <v>0</v>
      </c>
      <c r="AE257" s="441"/>
      <c r="AF257" s="441"/>
      <c r="AG257" s="441"/>
      <c r="AH257" s="441"/>
      <c r="AI257" s="512">
        <f t="shared" si="36"/>
        <v>0</v>
      </c>
      <c r="AJ257" s="513">
        <f>IF(SETUP!$E$7="USD",(AI257*(IF(O257="USD",AD257,(AD257/'Master Data-C19RM'!$E$2)))),(AI257*(IF(O257="EUR",AD257,(AD257*'Master Data-C19RM'!$E$2)))))</f>
        <v>0</v>
      </c>
      <c r="AK257" s="444">
        <f>IF($O257="USD",_xlfn.IFNA(VLOOKUP($A257&amp;$E257&amp;$I257,PMsheet!$J:$K,2,0),0),(_xlfn.IFNA(VLOOKUP($A257&amp;$E257&amp;$I257,PMsheet!$J:$K,2,0),0)*'Master Data-C19RM'!$F$2))</f>
        <v>0</v>
      </c>
      <c r="AL257" s="441"/>
      <c r="AM257" s="441"/>
      <c r="AN257" s="441"/>
      <c r="AO257" s="441"/>
      <c r="AP257" s="512">
        <f t="shared" si="37"/>
        <v>0</v>
      </c>
      <c r="AQ257" s="513">
        <f>IF(SETUP!$E$7="USD",(AP257*(IF(O257="USD",AK257,(AK257/'Master Data-C19RM'!$F$2)))),(AP257*(IF(O257="EUR",AK257,(AK257*'Master Data-C19RM'!$F$2)))))</f>
        <v>0</v>
      </c>
      <c r="AR257" s="456">
        <f>IF($O257="USD",_xlfn.IFNA(VLOOKUP($A257&amp;$E257&amp;$I257,PMsheet!$J:$K,2,0),0),(_xlfn.IFNA(VLOOKUP($A257&amp;$E257&amp;$I257,PMsheet!$J:$K,2,0),0)*'Master Data-C19RM'!$G$2))</f>
        <v>0</v>
      </c>
      <c r="AS257" s="572"/>
      <c r="AT257" s="572"/>
      <c r="AU257" s="572"/>
      <c r="AV257" s="572"/>
      <c r="AW257" s="512">
        <f t="shared" si="38"/>
        <v>0</v>
      </c>
      <c r="AX257" s="513">
        <f>IF(SETUP!$E$7="USD",(AW257*(IF(O257="USD",AR257,(AR257/'Master Data-C19RM'!$G$2)))),(AW257*(IF(O257="EUR",AR257,(AR257*'Master Data-C19RM'!$G$2)))))</f>
        <v>0</v>
      </c>
      <c r="AY257" s="845"/>
      <c r="AZ257" s="846"/>
      <c r="BA257" s="846"/>
      <c r="BB257" s="846"/>
      <c r="BC257" s="846"/>
      <c r="BD257" s="846"/>
      <c r="BE257" s="847"/>
      <c r="BF257" s="512">
        <f>'C19RM 2021-Lab &amp; Other HPS'!$U257+'C19RM 2021-Lab &amp; Other HPS'!$AB257+'C19RM 2021-Lab &amp; Other HPS'!$AP257+'C19RM 2021-Lab &amp; Other HPS'!$AI257+AW257+BD257</f>
        <v>0</v>
      </c>
      <c r="BG257" s="512">
        <f>'C19RM 2021-Lab &amp; Other HPS'!$V257+'C19RM 2021-Lab &amp; Other HPS'!$AC257+'C19RM 2021-Lab &amp; Other HPS'!$AQ257+'C19RM 2021-Lab &amp; Other HPS'!$AJ257+AX257+BE257</f>
        <v>0</v>
      </c>
      <c r="BH257" s="500" t="str" cm="1">
        <f t="array" ref="BH257">IF(A257&lt;&gt;"",IFERROR(INDEX(PMtbl[[WKst]:[Unit of measure*]],MATCH($A$222&amp;$A257&amp;$E257&amp;$I257,INDEX(PMtbl[Sec]&amp;PMtbl[Category]&amp;PMtbl[Each]&amp;PMtbl[Packaging],0,),0),11),""),"")</f>
        <v/>
      </c>
      <c r="BI257" s="819"/>
      <c r="BJ257" s="526" t="str" cm="1">
        <f t="array" ref="BJ257">IFERROR(INDEX(SETUP!$C$19:$G$121,MATCH((INDEX(PMtbl[[WKst]:[Unit of measure*]],MATCH($A257&amp;$E257&amp;$I257,INDEX(PMtbl[Category]&amp;PMtbl[Each]&amp;PMtbl[Packaging],0,),0),3)),SETUP!$D$19:$D$121,0),5),"")</f>
        <v/>
      </c>
      <c r="BK257" s="544" t="str" cm="1">
        <f t="array" ref="BK257">IFERROR(IF((INDEX(SETUP!$C$19:$G$121,MATCH((INDEX(PMtbl[[WKst]:[Unit of measure*]],MATCH($A257&amp;$E257&amp;$I257,INDEX(PMtbl[Category]&amp;PMtbl[Each]&amp;PMtbl[Packaging],0,),0),3)),SETUP!$D$19:$D$121,0),4))="Upfront",0,INDEX(SETUP!$C$19:$G$121,MATCH((INDEX(PMtbl[[WKst]:[Unit of measure*]],MATCH($A257&amp;$E257&amp;$I257,INDEX(PMtbl[Category]&amp;PMtbl[Each]&amp;PMtbl[Packaging],0,),0),3)),SETUP!$D$19:$D$121,0),5)),"")</f>
        <v/>
      </c>
      <c r="BL257" s="214" t="str" cm="1">
        <f t="array" ref="BL257">IF(A257&lt;&gt;"",IFERROR(INDEX(PMtbl[[WKst]:[Unit of measure*]],MATCH($A$222&amp;$A257&amp;$E257&amp;$I257,INDEX(PMtbl[Sec]&amp;PMtbl[Category]&amp;PMtbl[Each]&amp;PMtbl[Packaging],0,),0),11),""),"")</f>
        <v/>
      </c>
      <c r="BO257" s="12">
        <f>IF(N257="",0,IF(SETUP!$E$7="USD",((IF(O257="USD",P257,(P257/'Master Data-C19RM'!$C$2)))),((IF(O257="EUR",P257,(P257*'Master Data-C19RM'!$C$2))))))</f>
        <v>0</v>
      </c>
      <c r="BP257" s="12">
        <f>IF(N257="",0,IF(SETUP!$E$7="USD",((IF(O257="USD",W257,(W257/'Master Data-C19RM'!$D$2)))),((IF(O257="EUR",W257,(W257*'Master Data-C19RM'!$D$2))))))</f>
        <v>0</v>
      </c>
      <c r="BQ257">
        <f>IF(N257="",0,IF(SETUP!$E$7="USD",((IF(O257="USD",AD257,(AD257/'Master Data-C19RM'!$E$2)))),((IF(O257="EUR",AD257,(AD257*'Master Data-C19RM'!$E$2))))))</f>
        <v>0</v>
      </c>
      <c r="BR257">
        <f>IF(N257="",0,IF(SETUP!$E$7="USD",((IF(O257="USD",AK257,(AK257/'Master Data-C19RM'!$F$2)))),((IF(O257="EUR",AK257,(AK257*'Master Data-C19RM'!$F$2))))))</f>
        <v>0</v>
      </c>
      <c r="BS257">
        <f>IF(N257="",0,IF(SETUP!$E$7="USD",((IF(O257="USD",AR257,(AR257/'Master Data-C19RM'!$G$2)))),((IF(O257="EUR",AR257,(AR257*'Master Data-C19RM'!$G$2))))))</f>
        <v>0</v>
      </c>
      <c r="BT257">
        <f>IF(N257="",0,IF(SETUP!$E$7="USD",((IF(O257="USD",AY257,(AY257/'Master Data-C19RM'!$H$2)))),((IF(O257="EUR",AY257,(AY257*'Master Data-C19RM'!$H$2))))))</f>
        <v>0</v>
      </c>
      <c r="BU257" s="12">
        <f t="shared" si="32"/>
        <v>0</v>
      </c>
      <c r="BV257" s="142">
        <f t="shared" si="33"/>
        <v>0</v>
      </c>
    </row>
    <row r="258" spans="1:74" x14ac:dyDescent="0.35">
      <c r="A258" s="1192"/>
      <c r="B258" s="1192"/>
      <c r="C258" s="1192"/>
      <c r="D258" s="1192"/>
      <c r="E258" s="1173"/>
      <c r="F258" s="1173"/>
      <c r="G258" s="1173"/>
      <c r="H258" s="1173"/>
      <c r="I258" s="1173"/>
      <c r="J258" s="1173"/>
      <c r="K258" s="1173"/>
      <c r="L258" s="493" t="str" cm="1">
        <f t="array" ref="L258">IF(A258&lt;&gt;"",IFERROR(INDEX(PMtbl[[WKst]:[Unit of measure*]],MATCH($A$222&amp;$A258&amp;$E258&amp;$I258,INDEX(PMtbl[Sec]&amp;PMtbl[Category]&amp;PMtbl[Each]&amp;PMtbl[Packaging],0,),0),14),""),"")</f>
        <v/>
      </c>
      <c r="M258" s="480" t="str">
        <f>IF(L258="","",INDEX(SETUP!$E$20:$E$122,(MATCH(INDEX(PMsheet!$D:$E,MATCH(A258,PMsheet!E:E,0),1),SETUP!$D$20:$D$122,0))))</f>
        <v/>
      </c>
      <c r="N258" s="494">
        <f>IF($O258="USD",_xlfn.IFNA(VLOOKUP(A258&amp;E258&amp;I258,PMsheet!J:K,2,0),0),(_xlfn.IFNA(VLOOKUP(A258&amp;E258&amp;I258,PMsheet!J:K,2,0),0)*'Master Data-C19RM'!$C$2))</f>
        <v>0</v>
      </c>
      <c r="O258" s="495" t="str">
        <f>IF(L258="", "",SETUP!$E$7)</f>
        <v/>
      </c>
      <c r="P258" s="445">
        <f>IF($O258="USD",_xlfn.IFNA(VLOOKUP($A258&amp;$E258&amp;$I258,PMsheet!$J:$K,2,0),0),(_xlfn.IFNA(VLOOKUP($A258&amp;$E258&amp;$I258,PMsheet!$J:$K,2,0),0)*'Master Data-C19RM'!$C$2))</f>
        <v>0</v>
      </c>
      <c r="Q258" s="440"/>
      <c r="R258" s="440"/>
      <c r="S258" s="440"/>
      <c r="T258" s="440"/>
      <c r="U258" s="482">
        <f t="shared" si="34"/>
        <v>0</v>
      </c>
      <c r="V258" s="484">
        <f>IF(SETUP!$E$7="USD",(U258*(IF(O258="USD",P258,(P258/'Master Data-C19RM'!$C$2)))),(U258*(IF(O258="EUR",P258,(P258*'Master Data-C19RM'!$C$2)))))</f>
        <v>0</v>
      </c>
      <c r="W258" s="445">
        <f>IF($O258="USD",_xlfn.IFNA(VLOOKUP($A258&amp;$E258&amp;$I258,PMsheet!$J:$K,2,0),0),(_xlfn.IFNA(VLOOKUP($A258&amp;$E258&amp;$I258,PMsheet!$J:$K,2,0),0)*'Master Data-C19RM'!$D$2))</f>
        <v>0</v>
      </c>
      <c r="X258" s="440"/>
      <c r="Y258" s="440"/>
      <c r="Z258" s="440"/>
      <c r="AA258" s="440"/>
      <c r="AB258" s="482">
        <f t="shared" si="35"/>
        <v>0</v>
      </c>
      <c r="AC258" s="484">
        <f>IF(SETUP!$E$7="USD",(AB258*(IF(O258="USD",W258,(W258/'Master Data-C19RM'!$D$2)))),(AB258*(IF(O258="EUR",W258,(W258*'Master Data-C19RM'!$D$2)))))</f>
        <v>0</v>
      </c>
      <c r="AD258" s="445">
        <f>IF($O258="USD",_xlfn.IFNA(VLOOKUP($A258&amp;$E258&amp;$I258,PMsheet!$J:$K,2,0),0),(_xlfn.IFNA(VLOOKUP($A258&amp;$E258&amp;$I258,PMsheet!$J:$K,2,0),0)*'Master Data-C19RM'!$E$2))</f>
        <v>0</v>
      </c>
      <c r="AE258" s="440"/>
      <c r="AF258" s="440"/>
      <c r="AG258" s="440"/>
      <c r="AH258" s="440"/>
      <c r="AI258" s="514">
        <f t="shared" si="36"/>
        <v>0</v>
      </c>
      <c r="AJ258" s="515">
        <f>IF(SETUP!$E$7="USD",(AI258*(IF(O258="USD",AD258,(AD258/'Master Data-C19RM'!$E$2)))),(AI258*(IF(O258="EUR",AD258,(AD258*'Master Data-C19RM'!$E$2)))))</f>
        <v>0</v>
      </c>
      <c r="AK258" s="445">
        <f>IF($O258="USD",_xlfn.IFNA(VLOOKUP($A258&amp;$E258&amp;$I258,PMsheet!$J:$K,2,0),0),(_xlfn.IFNA(VLOOKUP($A258&amp;$E258&amp;$I258,PMsheet!$J:$K,2,0),0)*'Master Data-C19RM'!$F$2))</f>
        <v>0</v>
      </c>
      <c r="AL258" s="440"/>
      <c r="AM258" s="440"/>
      <c r="AN258" s="440"/>
      <c r="AO258" s="440"/>
      <c r="AP258" s="514">
        <f t="shared" si="37"/>
        <v>0</v>
      </c>
      <c r="AQ258" s="515">
        <f>IF(SETUP!$E$7="USD",(AP258*(IF(O258="USD",AK258,(AK258/'Master Data-C19RM'!$F$2)))),(AP258*(IF(O258="EUR",AK258,(AK258*'Master Data-C19RM'!$F$2)))))</f>
        <v>0</v>
      </c>
      <c r="AR258" s="457">
        <f>IF($O258="USD",_xlfn.IFNA(VLOOKUP($A258&amp;$E258&amp;$I258,PMsheet!$J:$K,2,0),0),(_xlfn.IFNA(VLOOKUP($A258&amp;$E258&amp;$I258,PMsheet!$J:$K,2,0),0)*'Master Data-C19RM'!$G$2))</f>
        <v>0</v>
      </c>
      <c r="AS258" s="926"/>
      <c r="AT258" s="926"/>
      <c r="AU258" s="926"/>
      <c r="AV258" s="926"/>
      <c r="AW258" s="514">
        <f t="shared" si="38"/>
        <v>0</v>
      </c>
      <c r="AX258" s="515">
        <f>IF(SETUP!$E$7="USD",(AW258*(IF(O258="USD",AR258,(AR258/'Master Data-C19RM'!$G$2)))),(AW258*(IF(O258="EUR",AR258,(AR258*'Master Data-C19RM'!$G$2)))))</f>
        <v>0</v>
      </c>
      <c r="AY258" s="845"/>
      <c r="AZ258" s="846"/>
      <c r="BA258" s="846"/>
      <c r="BB258" s="846"/>
      <c r="BC258" s="846"/>
      <c r="BD258" s="846"/>
      <c r="BE258" s="847"/>
      <c r="BF258" s="514">
        <f>'C19RM 2021-Lab &amp; Other HPS'!$U258+'C19RM 2021-Lab &amp; Other HPS'!$AB258+'C19RM 2021-Lab &amp; Other HPS'!$AP258+'C19RM 2021-Lab &amp; Other HPS'!$AI258+AW258+BD258</f>
        <v>0</v>
      </c>
      <c r="BG258" s="514">
        <f>'C19RM 2021-Lab &amp; Other HPS'!$V258+'C19RM 2021-Lab &amp; Other HPS'!$AC258+'C19RM 2021-Lab &amp; Other HPS'!$AQ258+'C19RM 2021-Lab &amp; Other HPS'!$AJ258+AX258+BE258</f>
        <v>0</v>
      </c>
      <c r="BH258" s="522" t="str" cm="1">
        <f t="array" ref="BH258">IF(A258&lt;&gt;"",IFERROR(INDEX(PMtbl[[WKst]:[Unit of measure*]],MATCH($A$222&amp;$A258&amp;$E258&amp;$I258,INDEX(PMtbl[Sec]&amp;PMtbl[Category]&amp;PMtbl[Each]&amp;PMtbl[Packaging],0,),0),11),""),"")</f>
        <v/>
      </c>
      <c r="BI258" s="818"/>
      <c r="BJ258" s="503" t="str" cm="1">
        <f t="array" ref="BJ258">IFERROR(INDEX(SETUP!$C$19:$G$121,MATCH((INDEX(PMtbl[[WKst]:[Unit of measure*]],MATCH($A258&amp;$E258&amp;$I258,INDEX(PMtbl[Category]&amp;PMtbl[Each]&amp;PMtbl[Packaging],0,),0),3)),SETUP!$D$19:$D$121,0),5),"")</f>
        <v/>
      </c>
      <c r="BK258" s="543" t="str" cm="1">
        <f t="array" ref="BK258">IFERROR(IF((INDEX(SETUP!$C$19:$G$121,MATCH((INDEX(PMtbl[[WKst]:[Unit of measure*]],MATCH($A258&amp;$E258&amp;$I258,INDEX(PMtbl[Category]&amp;PMtbl[Each]&amp;PMtbl[Packaging],0,),0),3)),SETUP!$D$19:$D$121,0),4))="Upfront",0,INDEX(SETUP!$C$19:$G$121,MATCH((INDEX(PMtbl[[WKst]:[Unit of measure*]],MATCH($A258&amp;$E258&amp;$I258,INDEX(PMtbl[Category]&amp;PMtbl[Each]&amp;PMtbl[Packaging],0,),0),3)),SETUP!$D$19:$D$121,0),5)),"")</f>
        <v/>
      </c>
      <c r="BL258" s="215" t="str" cm="1">
        <f t="array" ref="BL258">IF(A258&lt;&gt;"",IFERROR(INDEX(PMtbl[[WKst]:[Unit of measure*]],MATCH($A$222&amp;$A258&amp;$E258&amp;$I258,INDEX(PMtbl[Sec]&amp;PMtbl[Category]&amp;PMtbl[Each]&amp;PMtbl[Packaging],0,),0),11),""),"")</f>
        <v/>
      </c>
      <c r="BO258" s="12">
        <f>IF(N258="",0,IF(SETUP!$E$7="USD",((IF(O258="USD",P258,(P258/'Master Data-C19RM'!$C$2)))),((IF(O258="EUR",P258,(P258*'Master Data-C19RM'!$C$2))))))</f>
        <v>0</v>
      </c>
      <c r="BP258" s="12">
        <f>IF(N258="",0,IF(SETUP!$E$7="USD",((IF(O258="USD",W258,(W258/'Master Data-C19RM'!$D$2)))),((IF(O258="EUR",W258,(W258*'Master Data-C19RM'!$D$2))))))</f>
        <v>0</v>
      </c>
      <c r="BQ258">
        <f>IF(N258="",0,IF(SETUP!$E$7="USD",((IF(O258="USD",AD258,(AD258/'Master Data-C19RM'!$E$2)))),((IF(O258="EUR",AD258,(AD258*'Master Data-C19RM'!$E$2))))))</f>
        <v>0</v>
      </c>
      <c r="BR258">
        <f>IF(N258="",0,IF(SETUP!$E$7="USD",((IF(O258="USD",AK258,(AK258/'Master Data-C19RM'!$F$2)))),((IF(O258="EUR",AK258,(AK258*'Master Data-C19RM'!$F$2))))))</f>
        <v>0</v>
      </c>
      <c r="BS258">
        <f>IF(N258="",0,IF(SETUP!$E$7="USD",((IF(O258="USD",AR258,(AR258/'Master Data-C19RM'!$G$2)))),((IF(O258="EUR",AR258,(AR258*'Master Data-C19RM'!$G$2))))))</f>
        <v>0</v>
      </c>
      <c r="BT258">
        <f>IF(N258="",0,IF(SETUP!$E$7="USD",((IF(O258="USD",AY258,(AY258/'Master Data-C19RM'!$H$2)))),((IF(O258="EUR",AY258,(AY258*'Master Data-C19RM'!$H$2))))))</f>
        <v>0</v>
      </c>
      <c r="BU258" s="12">
        <f t="shared" si="32"/>
        <v>0</v>
      </c>
      <c r="BV258" s="142">
        <f t="shared" si="33"/>
        <v>0</v>
      </c>
    </row>
    <row r="259" spans="1:74" x14ac:dyDescent="0.35">
      <c r="A259" s="1165"/>
      <c r="B259" s="1165"/>
      <c r="C259" s="1165"/>
      <c r="D259" s="1165"/>
      <c r="E259" s="1166"/>
      <c r="F259" s="1166"/>
      <c r="G259" s="1166"/>
      <c r="H259" s="1166"/>
      <c r="I259" s="1166"/>
      <c r="J259" s="1166"/>
      <c r="K259" s="1166"/>
      <c r="L259" s="490" t="str" cm="1">
        <f t="array" ref="L259">IF(A259&lt;&gt;"",IFERROR(INDEX(PMtbl[[WKst]:[Unit of measure*]],MATCH($A$222&amp;$A259&amp;$E259&amp;$I259,INDEX(PMtbl[Sec]&amp;PMtbl[Category]&amp;PMtbl[Each]&amp;PMtbl[Packaging],0,),0),14),""),"")</f>
        <v/>
      </c>
      <c r="M259" s="479" t="str">
        <f>IF(L259="","",INDEX(SETUP!$E$20:$E$122,(MATCH(INDEX(PMsheet!$D:$E,MATCH(A259,PMsheet!E:E,0),1),SETUP!$D$20:$D$122,0))))</f>
        <v/>
      </c>
      <c r="N259" s="491">
        <f>IF($O259="USD",_xlfn.IFNA(VLOOKUP(A259&amp;E259&amp;I259,PMsheet!J:K,2,0),0),(_xlfn.IFNA(VLOOKUP(A259&amp;E259&amp;I259,PMsheet!J:K,2,0),0)*'Master Data-C19RM'!$C$2))</f>
        <v>0</v>
      </c>
      <c r="O259" s="492" t="str">
        <f>IF(L259="", "",SETUP!$E$7)</f>
        <v/>
      </c>
      <c r="P259" s="444">
        <f>IF($O259="USD",_xlfn.IFNA(VLOOKUP($A259&amp;$E259&amp;$I259,PMsheet!$J:$K,2,0),0),(_xlfn.IFNA(VLOOKUP($A259&amp;$E259&amp;$I259,PMsheet!$J:$K,2,0),0)*'Master Data-C19RM'!$C$2))</f>
        <v>0</v>
      </c>
      <c r="Q259" s="441"/>
      <c r="R259" s="441"/>
      <c r="S259" s="441"/>
      <c r="T259" s="441"/>
      <c r="U259" s="481">
        <f t="shared" si="34"/>
        <v>0</v>
      </c>
      <c r="V259" s="483">
        <f>IF(SETUP!$E$7="USD",(U259*(IF(O259="USD",P259,(P259/'Master Data-C19RM'!$C$2)))),(U259*(IF(O259="EUR",P259,(P259*'Master Data-C19RM'!$C$2)))))</f>
        <v>0</v>
      </c>
      <c r="W259" s="444">
        <f>IF($O259="USD",_xlfn.IFNA(VLOOKUP($A259&amp;$E259&amp;$I259,PMsheet!$J:$K,2,0),0),(_xlfn.IFNA(VLOOKUP($A259&amp;$E259&amp;$I259,PMsheet!$J:$K,2,0),0)*'Master Data-C19RM'!$D$2))</f>
        <v>0</v>
      </c>
      <c r="X259" s="441"/>
      <c r="Y259" s="441"/>
      <c r="Z259" s="441"/>
      <c r="AA259" s="441"/>
      <c r="AB259" s="481">
        <f t="shared" si="35"/>
        <v>0</v>
      </c>
      <c r="AC259" s="483">
        <f>IF(SETUP!$E$7="USD",(AB259*(IF(O259="USD",W259,(W259/'Master Data-C19RM'!$D$2)))),(AB259*(IF(O259="EUR",W259,(W259*'Master Data-C19RM'!$D$2)))))</f>
        <v>0</v>
      </c>
      <c r="AD259" s="444">
        <f>IF($O259="USD",_xlfn.IFNA(VLOOKUP($A259&amp;$E259&amp;$I259,PMsheet!$J:$K,2,0),0),(_xlfn.IFNA(VLOOKUP($A259&amp;$E259&amp;$I259,PMsheet!$J:$K,2,0),0)*'Master Data-C19RM'!$E$2))</f>
        <v>0</v>
      </c>
      <c r="AE259" s="441"/>
      <c r="AF259" s="441"/>
      <c r="AG259" s="441"/>
      <c r="AH259" s="441"/>
      <c r="AI259" s="512">
        <f t="shared" si="36"/>
        <v>0</v>
      </c>
      <c r="AJ259" s="513">
        <f>IF(SETUP!$E$7="USD",(AI259*(IF(O259="USD",AD259,(AD259/'Master Data-C19RM'!$E$2)))),(AI259*(IF(O259="EUR",AD259,(AD259*'Master Data-C19RM'!$E$2)))))</f>
        <v>0</v>
      </c>
      <c r="AK259" s="444">
        <f>IF($O259="USD",_xlfn.IFNA(VLOOKUP($A259&amp;$E259&amp;$I259,PMsheet!$J:$K,2,0),0),(_xlfn.IFNA(VLOOKUP($A259&amp;$E259&amp;$I259,PMsheet!$J:$K,2,0),0)*'Master Data-C19RM'!$F$2))</f>
        <v>0</v>
      </c>
      <c r="AL259" s="441"/>
      <c r="AM259" s="441"/>
      <c r="AN259" s="441"/>
      <c r="AO259" s="441"/>
      <c r="AP259" s="512">
        <f t="shared" si="37"/>
        <v>0</v>
      </c>
      <c r="AQ259" s="513">
        <f>IF(SETUP!$E$7="USD",(AP259*(IF(O259="USD",AK259,(AK259/'Master Data-C19RM'!$F$2)))),(AP259*(IF(O259="EUR",AK259,(AK259*'Master Data-C19RM'!$F$2)))))</f>
        <v>0</v>
      </c>
      <c r="AR259" s="456">
        <f>IF($O259="USD",_xlfn.IFNA(VLOOKUP($A259&amp;$E259&amp;$I259,PMsheet!$J:$K,2,0),0),(_xlfn.IFNA(VLOOKUP($A259&amp;$E259&amp;$I259,PMsheet!$J:$K,2,0),0)*'Master Data-C19RM'!$G$2))</f>
        <v>0</v>
      </c>
      <c r="AS259" s="572"/>
      <c r="AT259" s="572"/>
      <c r="AU259" s="572"/>
      <c r="AV259" s="572"/>
      <c r="AW259" s="512">
        <f t="shared" si="38"/>
        <v>0</v>
      </c>
      <c r="AX259" s="513">
        <f>IF(SETUP!$E$7="USD",(AW259*(IF(O259="USD",AR259,(AR259/'Master Data-C19RM'!$G$2)))),(AW259*(IF(O259="EUR",AR259,(AR259*'Master Data-C19RM'!$G$2)))))</f>
        <v>0</v>
      </c>
      <c r="AY259" s="845"/>
      <c r="AZ259" s="846"/>
      <c r="BA259" s="846"/>
      <c r="BB259" s="846"/>
      <c r="BC259" s="846"/>
      <c r="BD259" s="846"/>
      <c r="BE259" s="847"/>
      <c r="BF259" s="512">
        <f>'C19RM 2021-Lab &amp; Other HPS'!$U259+'C19RM 2021-Lab &amp; Other HPS'!$AB259+'C19RM 2021-Lab &amp; Other HPS'!$AP259+'C19RM 2021-Lab &amp; Other HPS'!$AI259+AW259+BD259</f>
        <v>0</v>
      </c>
      <c r="BG259" s="512">
        <f>'C19RM 2021-Lab &amp; Other HPS'!$V259+'C19RM 2021-Lab &amp; Other HPS'!$AC259+'C19RM 2021-Lab &amp; Other HPS'!$AQ259+'C19RM 2021-Lab &amp; Other HPS'!$AJ259+AX259+BE259</f>
        <v>0</v>
      </c>
      <c r="BH259" s="500" t="str" cm="1">
        <f t="array" ref="BH259">IF(A259&lt;&gt;"",IFERROR(INDEX(PMtbl[[WKst]:[Unit of measure*]],MATCH($A$222&amp;$A259&amp;$E259&amp;$I259,INDEX(PMtbl[Sec]&amp;PMtbl[Category]&amp;PMtbl[Each]&amp;PMtbl[Packaging],0,),0),11),""),"")</f>
        <v/>
      </c>
      <c r="BI259" s="819"/>
      <c r="BJ259" s="502" t="str" cm="1">
        <f t="array" ref="BJ259">IFERROR(INDEX(SETUP!$C$19:$G$121,MATCH((INDEX(PMtbl[[WKst]:[Unit of measure*]],MATCH($A259&amp;$E259&amp;$I259,INDEX(PMtbl[Category]&amp;PMtbl[Each]&amp;PMtbl[Packaging],0,),0),3)),SETUP!$D$19:$D$121,0),5),"")</f>
        <v/>
      </c>
      <c r="BK259" s="542" t="str" cm="1">
        <f t="array" ref="BK259">IFERROR(IF((INDEX(SETUP!$C$19:$G$121,MATCH((INDEX(PMtbl[[WKst]:[Unit of measure*]],MATCH($A259&amp;$E259&amp;$I259,INDEX(PMtbl[Category]&amp;PMtbl[Each]&amp;PMtbl[Packaging],0,),0),3)),SETUP!$D$19:$D$121,0),4))="Upfront",0,INDEX(SETUP!$C$19:$G$121,MATCH((INDEX(PMtbl[[WKst]:[Unit of measure*]],MATCH($A259&amp;$E259&amp;$I259,INDEX(PMtbl[Category]&amp;PMtbl[Each]&amp;PMtbl[Packaging],0,),0),3)),SETUP!$D$19:$D$121,0),5)),"")</f>
        <v/>
      </c>
      <c r="BL259" s="214" t="str" cm="1">
        <f t="array" ref="BL259">IF(A259&lt;&gt;"",IFERROR(INDEX(PMtbl[[WKst]:[Unit of measure*]],MATCH($A$222&amp;$A259&amp;$E259&amp;$I259,INDEX(PMtbl[Sec]&amp;PMtbl[Category]&amp;PMtbl[Each]&amp;PMtbl[Packaging],0,),0),11),""),"")</f>
        <v/>
      </c>
      <c r="BO259" s="12">
        <f>IF(N259="",0,IF(SETUP!$E$7="USD",((IF(O259="USD",P259,(P259/'Master Data-C19RM'!$C$2)))),((IF(O259="EUR",P259,(P259*'Master Data-C19RM'!$C$2))))))</f>
        <v>0</v>
      </c>
      <c r="BP259" s="12">
        <f>IF(N259="",0,IF(SETUP!$E$7="USD",((IF(O259="USD",W259,(W259/'Master Data-C19RM'!$D$2)))),((IF(O259="EUR",W259,(W259*'Master Data-C19RM'!$D$2))))))</f>
        <v>0</v>
      </c>
      <c r="BQ259">
        <f>IF(N259="",0,IF(SETUP!$E$7="USD",((IF(O259="USD",AD259,(AD259/'Master Data-C19RM'!$E$2)))),((IF(O259="EUR",AD259,(AD259*'Master Data-C19RM'!$E$2))))))</f>
        <v>0</v>
      </c>
      <c r="BR259">
        <f>IF(N259="",0,IF(SETUP!$E$7="USD",((IF(O259="USD",AK259,(AK259/'Master Data-C19RM'!$F$2)))),((IF(O259="EUR",AK259,(AK259*'Master Data-C19RM'!$F$2))))))</f>
        <v>0</v>
      </c>
      <c r="BS259">
        <f>IF(N259="",0,IF(SETUP!$E$7="USD",((IF(O259="USD",AR259,(AR259/'Master Data-C19RM'!$G$2)))),((IF(O259="EUR",AR259,(AR259*'Master Data-C19RM'!$G$2))))))</f>
        <v>0</v>
      </c>
      <c r="BT259">
        <f>IF(N259="",0,IF(SETUP!$E$7="USD",((IF(O259="USD",AY259,(AY259/'Master Data-C19RM'!$H$2)))),((IF(O259="EUR",AY259,(AY259*'Master Data-C19RM'!$H$2))))))</f>
        <v>0</v>
      </c>
      <c r="BU259" s="12">
        <f t="shared" si="32"/>
        <v>0</v>
      </c>
      <c r="BV259" s="142">
        <f t="shared" si="33"/>
        <v>0</v>
      </c>
    </row>
    <row r="260" spans="1:74" x14ac:dyDescent="0.35">
      <c r="A260" s="1192"/>
      <c r="B260" s="1192"/>
      <c r="C260" s="1192"/>
      <c r="D260" s="1192"/>
      <c r="E260" s="1173"/>
      <c r="F260" s="1173"/>
      <c r="G260" s="1173"/>
      <c r="H260" s="1173"/>
      <c r="I260" s="1173"/>
      <c r="J260" s="1173"/>
      <c r="K260" s="1173"/>
      <c r="L260" s="493" t="str" cm="1">
        <f t="array" ref="L260">IF(A260&lt;&gt;"",IFERROR(INDEX(PMtbl[[WKst]:[Unit of measure*]],MATCH($A$222&amp;$A260&amp;$E260&amp;$I260,INDEX(PMtbl[Sec]&amp;PMtbl[Category]&amp;PMtbl[Each]&amp;PMtbl[Packaging],0,),0),14),""),"")</f>
        <v/>
      </c>
      <c r="M260" s="480" t="str">
        <f>IF(L260="","",INDEX(SETUP!$E$20:$E$122,(MATCH(INDEX(PMsheet!$D:$E,MATCH(A260,PMsheet!E:E,0),1),SETUP!$D$20:$D$122,0))))</f>
        <v/>
      </c>
      <c r="N260" s="494">
        <f>IF($O260="USD",_xlfn.IFNA(VLOOKUP(A260&amp;E260&amp;I260,PMsheet!J:K,2,0),0),(_xlfn.IFNA(VLOOKUP(A260&amp;E260&amp;I260,PMsheet!J:K,2,0),0)*'Master Data-C19RM'!$C$2))</f>
        <v>0</v>
      </c>
      <c r="O260" s="495" t="str">
        <f>IF(L260="", "",SETUP!$E$7)</f>
        <v/>
      </c>
      <c r="P260" s="445">
        <f>IF($O260="USD",_xlfn.IFNA(VLOOKUP($A260&amp;$E260&amp;$I260,PMsheet!$J:$K,2,0),0),(_xlfn.IFNA(VLOOKUP($A260&amp;$E260&amp;$I260,PMsheet!$J:$K,2,0),0)*'Master Data-C19RM'!$C$2))</f>
        <v>0</v>
      </c>
      <c r="Q260" s="440"/>
      <c r="R260" s="440"/>
      <c r="S260" s="440"/>
      <c r="T260" s="440"/>
      <c r="U260" s="482">
        <f t="shared" si="34"/>
        <v>0</v>
      </c>
      <c r="V260" s="484">
        <f>IF(SETUP!$E$7="USD",(U260*(IF(O260="USD",P260,(P260/'Master Data-C19RM'!$C$2)))),(U260*(IF(O260="EUR",P260,(P260*'Master Data-C19RM'!$C$2)))))</f>
        <v>0</v>
      </c>
      <c r="W260" s="445">
        <f>IF($O260="USD",_xlfn.IFNA(VLOOKUP($A260&amp;$E260&amp;$I260,PMsheet!$J:$K,2,0),0),(_xlfn.IFNA(VLOOKUP($A260&amp;$E260&amp;$I260,PMsheet!$J:$K,2,0),0)*'Master Data-C19RM'!$D$2))</f>
        <v>0</v>
      </c>
      <c r="X260" s="440"/>
      <c r="Y260" s="440"/>
      <c r="Z260" s="440"/>
      <c r="AA260" s="440"/>
      <c r="AB260" s="482">
        <f t="shared" si="35"/>
        <v>0</v>
      </c>
      <c r="AC260" s="484">
        <f>IF(SETUP!$E$7="USD",(AB260*(IF(O260="USD",W260,(W260/'Master Data-C19RM'!$D$2)))),(AB260*(IF(O260="EUR",W260,(W260*'Master Data-C19RM'!$D$2)))))</f>
        <v>0</v>
      </c>
      <c r="AD260" s="445">
        <f>IF($O260="USD",_xlfn.IFNA(VLOOKUP($A260&amp;$E260&amp;$I260,PMsheet!$J:$K,2,0),0),(_xlfn.IFNA(VLOOKUP($A260&amp;$E260&amp;$I260,PMsheet!$J:$K,2,0),0)*'Master Data-C19RM'!$E$2))</f>
        <v>0</v>
      </c>
      <c r="AE260" s="440"/>
      <c r="AF260" s="440"/>
      <c r="AG260" s="440"/>
      <c r="AH260" s="440"/>
      <c r="AI260" s="514">
        <f t="shared" si="36"/>
        <v>0</v>
      </c>
      <c r="AJ260" s="515">
        <f>IF(SETUP!$E$7="USD",(AI260*(IF(O260="USD",AD260,(AD260/'Master Data-C19RM'!$E$2)))),(AI260*(IF(O260="EUR",AD260,(AD260*'Master Data-C19RM'!$E$2)))))</f>
        <v>0</v>
      </c>
      <c r="AK260" s="445">
        <f>IF($O260="USD",_xlfn.IFNA(VLOOKUP($A260&amp;$E260&amp;$I260,PMsheet!$J:$K,2,0),0),(_xlfn.IFNA(VLOOKUP($A260&amp;$E260&amp;$I260,PMsheet!$J:$K,2,0),0)*'Master Data-C19RM'!$F$2))</f>
        <v>0</v>
      </c>
      <c r="AL260" s="440"/>
      <c r="AM260" s="440"/>
      <c r="AN260" s="440"/>
      <c r="AO260" s="440"/>
      <c r="AP260" s="514">
        <f t="shared" si="37"/>
        <v>0</v>
      </c>
      <c r="AQ260" s="515">
        <f>IF(SETUP!$E$7="USD",(AP260*(IF(O260="USD",AK260,(AK260/'Master Data-C19RM'!$F$2)))),(AP260*(IF(O260="EUR",AK260,(AK260*'Master Data-C19RM'!$F$2)))))</f>
        <v>0</v>
      </c>
      <c r="AR260" s="457">
        <f>IF($O260="USD",_xlfn.IFNA(VLOOKUP($A260&amp;$E260&amp;$I260,PMsheet!$J:$K,2,0),0),(_xlfn.IFNA(VLOOKUP($A260&amp;$E260&amp;$I260,PMsheet!$J:$K,2,0),0)*'Master Data-C19RM'!$G$2))</f>
        <v>0</v>
      </c>
      <c r="AS260" s="926"/>
      <c r="AT260" s="926"/>
      <c r="AU260" s="926"/>
      <c r="AV260" s="926"/>
      <c r="AW260" s="514">
        <f t="shared" si="38"/>
        <v>0</v>
      </c>
      <c r="AX260" s="515">
        <f>IF(SETUP!$E$7="USD",(AW260*(IF(O260="USD",AR260,(AR260/'Master Data-C19RM'!$G$2)))),(AW260*(IF(O260="EUR",AR260,(AR260*'Master Data-C19RM'!$G$2)))))</f>
        <v>0</v>
      </c>
      <c r="AY260" s="845"/>
      <c r="AZ260" s="846"/>
      <c r="BA260" s="846"/>
      <c r="BB260" s="846"/>
      <c r="BC260" s="846"/>
      <c r="BD260" s="846"/>
      <c r="BE260" s="847"/>
      <c r="BF260" s="514">
        <f>'C19RM 2021-Lab &amp; Other HPS'!$U260+'C19RM 2021-Lab &amp; Other HPS'!$AB260+'C19RM 2021-Lab &amp; Other HPS'!$AP260+'C19RM 2021-Lab &amp; Other HPS'!$AI260+AW260+BD260</f>
        <v>0</v>
      </c>
      <c r="BG260" s="514">
        <f>'C19RM 2021-Lab &amp; Other HPS'!$V260+'C19RM 2021-Lab &amp; Other HPS'!$AC260+'C19RM 2021-Lab &amp; Other HPS'!$AQ260+'C19RM 2021-Lab &amp; Other HPS'!$AJ260+AX260+BE260</f>
        <v>0</v>
      </c>
      <c r="BH260" s="522" t="str" cm="1">
        <f t="array" ref="BH260">IF(A260&lt;&gt;"",IFERROR(INDEX(PMtbl[[WKst]:[Unit of measure*]],MATCH($A$222&amp;$A260&amp;$E260&amp;$I260,INDEX(PMtbl[Sec]&amp;PMtbl[Category]&amp;PMtbl[Each]&amp;PMtbl[Packaging],0,),0),11),""),"")</f>
        <v/>
      </c>
      <c r="BI260" s="818"/>
      <c r="BJ260" s="503" t="str" cm="1">
        <f t="array" ref="BJ260">IFERROR(INDEX(SETUP!$C$19:$G$121,MATCH((INDEX(PMtbl[[WKst]:[Unit of measure*]],MATCH($A260&amp;$E260&amp;$I260,INDEX(PMtbl[Category]&amp;PMtbl[Each]&amp;PMtbl[Packaging],0,),0),3)),SETUP!$D$19:$D$121,0),5),"")</f>
        <v/>
      </c>
      <c r="BK260" s="543" t="str" cm="1">
        <f t="array" ref="BK260">IFERROR(IF((INDEX(SETUP!$C$19:$G$121,MATCH((INDEX(PMtbl[[WKst]:[Unit of measure*]],MATCH($A260&amp;$E260&amp;$I260,INDEX(PMtbl[Category]&amp;PMtbl[Each]&amp;PMtbl[Packaging],0,),0),3)),SETUP!$D$19:$D$121,0),4))="Upfront",0,INDEX(SETUP!$C$19:$G$121,MATCH((INDEX(PMtbl[[WKst]:[Unit of measure*]],MATCH($A260&amp;$E260&amp;$I260,INDEX(PMtbl[Category]&amp;PMtbl[Each]&amp;PMtbl[Packaging],0,),0),3)),SETUP!$D$19:$D$121,0),5)),"")</f>
        <v/>
      </c>
      <c r="BL260" s="215" t="str" cm="1">
        <f t="array" ref="BL260">IF(A260&lt;&gt;"",IFERROR(INDEX(PMtbl[[WKst]:[Unit of measure*]],MATCH($A$222&amp;$A260&amp;$E260&amp;$I260,INDEX(PMtbl[Sec]&amp;PMtbl[Category]&amp;PMtbl[Each]&amp;PMtbl[Packaging],0,),0),11),""),"")</f>
        <v/>
      </c>
      <c r="BO260" s="12">
        <f>IF(N260="",0,IF(SETUP!$E$7="USD",((IF(O260="USD",P260,(P260/'Master Data-C19RM'!$C$2)))),((IF(O260="EUR",P260,(P260*'Master Data-C19RM'!$C$2))))))</f>
        <v>0</v>
      </c>
      <c r="BP260" s="12">
        <f>IF(N260="",0,IF(SETUP!$E$7="USD",((IF(O260="USD",W260,(W260/'Master Data-C19RM'!$D$2)))),((IF(O260="EUR",W260,(W260*'Master Data-C19RM'!$D$2))))))</f>
        <v>0</v>
      </c>
      <c r="BQ260">
        <f>IF(N260="",0,IF(SETUP!$E$7="USD",((IF(O260="USD",AD260,(AD260/'Master Data-C19RM'!$E$2)))),((IF(O260="EUR",AD260,(AD260*'Master Data-C19RM'!$E$2))))))</f>
        <v>0</v>
      </c>
      <c r="BR260">
        <f>IF(N260="",0,IF(SETUP!$E$7="USD",((IF(O260="USD",AK260,(AK260/'Master Data-C19RM'!$F$2)))),((IF(O260="EUR",AK260,(AK260*'Master Data-C19RM'!$F$2))))))</f>
        <v>0</v>
      </c>
      <c r="BS260">
        <f>IF(N260="",0,IF(SETUP!$E$7="USD",((IF(O260="USD",AR260,(AR260/'Master Data-C19RM'!$G$2)))),((IF(O260="EUR",AR260,(AR260*'Master Data-C19RM'!$G$2))))))</f>
        <v>0</v>
      </c>
      <c r="BT260">
        <f>IF(N260="",0,IF(SETUP!$E$7="USD",((IF(O260="USD",AY260,(AY260/'Master Data-C19RM'!$H$2)))),((IF(O260="EUR",AY260,(AY260*'Master Data-C19RM'!$H$2))))))</f>
        <v>0</v>
      </c>
      <c r="BU260" s="12">
        <f t="shared" si="32"/>
        <v>0</v>
      </c>
      <c r="BV260" s="142">
        <f t="shared" si="33"/>
        <v>0</v>
      </c>
    </row>
    <row r="261" spans="1:74" x14ac:dyDescent="0.35">
      <c r="A261" s="1165"/>
      <c r="B261" s="1165"/>
      <c r="C261" s="1165"/>
      <c r="D261" s="1165"/>
      <c r="E261" s="1166"/>
      <c r="F261" s="1166"/>
      <c r="G261" s="1166"/>
      <c r="H261" s="1166"/>
      <c r="I261" s="1166"/>
      <c r="J261" s="1166"/>
      <c r="K261" s="1166"/>
      <c r="L261" s="490" t="str" cm="1">
        <f t="array" ref="L261">IF(A261&lt;&gt;"",IFERROR(INDEX(PMtbl[[WKst]:[Unit of measure*]],MATCH($A$222&amp;$A261&amp;$E261&amp;$I261,INDEX(PMtbl[Sec]&amp;PMtbl[Category]&amp;PMtbl[Each]&amp;PMtbl[Packaging],0,),0),14),""),"")</f>
        <v/>
      </c>
      <c r="M261" s="479" t="str">
        <f>IF(L261="","",INDEX(SETUP!$E$20:$E$122,(MATCH(INDEX(PMsheet!$D:$E,MATCH(A261,PMsheet!E:E,0),1),SETUP!$D$20:$D$122,0))))</f>
        <v/>
      </c>
      <c r="N261" s="491">
        <f>IF($O261="USD",_xlfn.IFNA(VLOOKUP(A261&amp;E261&amp;I261,PMsheet!J:K,2,0),0),(_xlfn.IFNA(VLOOKUP(A261&amp;E261&amp;I261,PMsheet!J:K,2,0),0)*'Master Data-C19RM'!$C$2))</f>
        <v>0</v>
      </c>
      <c r="O261" s="492" t="str">
        <f>IF(L261="", "",SETUP!$E$7)</f>
        <v/>
      </c>
      <c r="P261" s="444">
        <f>IF($O261="USD",_xlfn.IFNA(VLOOKUP($A261&amp;$E261&amp;$I261,PMsheet!$J:$K,2,0),0),(_xlfn.IFNA(VLOOKUP($A261&amp;$E261&amp;$I261,PMsheet!$J:$K,2,0),0)*'Master Data-C19RM'!$C$2))</f>
        <v>0</v>
      </c>
      <c r="Q261" s="441"/>
      <c r="R261" s="441"/>
      <c r="S261" s="441"/>
      <c r="T261" s="441"/>
      <c r="U261" s="481">
        <f t="shared" si="34"/>
        <v>0</v>
      </c>
      <c r="V261" s="483">
        <f>IF(SETUP!$E$7="USD",(U261*(IF(O261="USD",P261,(P261/'Master Data-C19RM'!$C$2)))),(U261*(IF(O261="EUR",P261,(P261*'Master Data-C19RM'!$C$2)))))</f>
        <v>0</v>
      </c>
      <c r="W261" s="444">
        <f>IF($O261="USD",_xlfn.IFNA(VLOOKUP($A261&amp;$E261&amp;$I261,PMsheet!$J:$K,2,0),0),(_xlfn.IFNA(VLOOKUP($A261&amp;$E261&amp;$I261,PMsheet!$J:$K,2,0),0)*'Master Data-C19RM'!$D$2))</f>
        <v>0</v>
      </c>
      <c r="X261" s="441"/>
      <c r="Y261" s="441"/>
      <c r="Z261" s="441"/>
      <c r="AA261" s="441"/>
      <c r="AB261" s="481">
        <f t="shared" si="35"/>
        <v>0</v>
      </c>
      <c r="AC261" s="483">
        <f>IF(SETUP!$E$7="USD",(AB261*(IF(O261="USD",W261,(W261/'Master Data-C19RM'!$D$2)))),(AB261*(IF(O261="EUR",W261,(W261*'Master Data-C19RM'!$D$2)))))</f>
        <v>0</v>
      </c>
      <c r="AD261" s="444">
        <f>IF($O261="USD",_xlfn.IFNA(VLOOKUP($A261&amp;$E261&amp;$I261,PMsheet!$J:$K,2,0),0),(_xlfn.IFNA(VLOOKUP($A261&amp;$E261&amp;$I261,PMsheet!$J:$K,2,0),0)*'Master Data-C19RM'!$E$2))</f>
        <v>0</v>
      </c>
      <c r="AE261" s="441"/>
      <c r="AF261" s="441"/>
      <c r="AG261" s="441"/>
      <c r="AH261" s="441"/>
      <c r="AI261" s="512">
        <f t="shared" si="36"/>
        <v>0</v>
      </c>
      <c r="AJ261" s="513">
        <f>IF(SETUP!$E$7="USD",(AI261*(IF(O261="USD",AD261,(AD261/'Master Data-C19RM'!$E$2)))),(AI261*(IF(O261="EUR",AD261,(AD261*'Master Data-C19RM'!$E$2)))))</f>
        <v>0</v>
      </c>
      <c r="AK261" s="444">
        <f>IF($O261="USD",_xlfn.IFNA(VLOOKUP($A261&amp;$E261&amp;$I261,PMsheet!$J:$K,2,0),0),(_xlfn.IFNA(VLOOKUP($A261&amp;$E261&amp;$I261,PMsheet!$J:$K,2,0),0)*'Master Data-C19RM'!$F$2))</f>
        <v>0</v>
      </c>
      <c r="AL261" s="441"/>
      <c r="AM261" s="441"/>
      <c r="AN261" s="441"/>
      <c r="AO261" s="441"/>
      <c r="AP261" s="512">
        <f t="shared" si="37"/>
        <v>0</v>
      </c>
      <c r="AQ261" s="513">
        <f>IF(SETUP!$E$7="USD",(AP261*(IF(O261="USD",AK261,(AK261/'Master Data-C19RM'!$F$2)))),(AP261*(IF(O261="EUR",AK261,(AK261*'Master Data-C19RM'!$F$2)))))</f>
        <v>0</v>
      </c>
      <c r="AR261" s="456">
        <f>IF($O261="USD",_xlfn.IFNA(VLOOKUP($A261&amp;$E261&amp;$I261,PMsheet!$J:$K,2,0),0),(_xlfn.IFNA(VLOOKUP($A261&amp;$E261&amp;$I261,PMsheet!$J:$K,2,0),0)*'Master Data-C19RM'!$G$2))</f>
        <v>0</v>
      </c>
      <c r="AS261" s="572"/>
      <c r="AT261" s="572"/>
      <c r="AU261" s="572"/>
      <c r="AV261" s="572"/>
      <c r="AW261" s="512">
        <f t="shared" si="38"/>
        <v>0</v>
      </c>
      <c r="AX261" s="513">
        <f>IF(SETUP!$E$7="USD",(AW261*(IF(O261="USD",AR261,(AR261/'Master Data-C19RM'!$G$2)))),(AW261*(IF(O261="EUR",AR261,(AR261*'Master Data-C19RM'!$G$2)))))</f>
        <v>0</v>
      </c>
      <c r="AY261" s="845"/>
      <c r="AZ261" s="846"/>
      <c r="BA261" s="846"/>
      <c r="BB261" s="846"/>
      <c r="BC261" s="846"/>
      <c r="BD261" s="846"/>
      <c r="BE261" s="847"/>
      <c r="BF261" s="512">
        <f>'C19RM 2021-Lab &amp; Other HPS'!$U261+'C19RM 2021-Lab &amp; Other HPS'!$AB261+'C19RM 2021-Lab &amp; Other HPS'!$AP261+'C19RM 2021-Lab &amp; Other HPS'!$AI261+AW261+BD261</f>
        <v>0</v>
      </c>
      <c r="BG261" s="512">
        <f>'C19RM 2021-Lab &amp; Other HPS'!$V261+'C19RM 2021-Lab &amp; Other HPS'!$AC261+'C19RM 2021-Lab &amp; Other HPS'!$AQ261+'C19RM 2021-Lab &amp; Other HPS'!$AJ261+AX261+BE261</f>
        <v>0</v>
      </c>
      <c r="BH261" s="500" t="str" cm="1">
        <f t="array" ref="BH261">IF(A261&lt;&gt;"",IFERROR(INDEX(PMtbl[[WKst]:[Unit of measure*]],MATCH($A$222&amp;$A261&amp;$E261&amp;$I261,INDEX(PMtbl[Sec]&amp;PMtbl[Category]&amp;PMtbl[Each]&amp;PMtbl[Packaging],0,),0),11),""),"")</f>
        <v/>
      </c>
      <c r="BI261" s="819"/>
      <c r="BJ261" s="502" t="str" cm="1">
        <f t="array" ref="BJ261">IFERROR(INDEX(SETUP!$C$19:$G$121,MATCH((INDEX(PMtbl[[WKst]:[Unit of measure*]],MATCH($A261&amp;$E261&amp;$I261,INDEX(PMtbl[Category]&amp;PMtbl[Each]&amp;PMtbl[Packaging],0,),0),3)),SETUP!$D$19:$D$121,0),5),"")</f>
        <v/>
      </c>
      <c r="BK261" s="542" t="str" cm="1">
        <f t="array" ref="BK261">IFERROR(IF((INDEX(SETUP!$C$19:$G$121,MATCH((INDEX(PMtbl[[WKst]:[Unit of measure*]],MATCH($A261&amp;$E261&amp;$I261,INDEX(PMtbl[Category]&amp;PMtbl[Each]&amp;PMtbl[Packaging],0,),0),3)),SETUP!$D$19:$D$121,0),4))="Upfront",0,INDEX(SETUP!$C$19:$G$121,MATCH((INDEX(PMtbl[[WKst]:[Unit of measure*]],MATCH($A261&amp;$E261&amp;$I261,INDEX(PMtbl[Category]&amp;PMtbl[Each]&amp;PMtbl[Packaging],0,),0),3)),SETUP!$D$19:$D$121,0),5)),"")</f>
        <v/>
      </c>
      <c r="BL261" s="214" t="str" cm="1">
        <f t="array" ref="BL261">IF(A261&lt;&gt;"",IFERROR(INDEX(PMtbl[[WKst]:[Unit of measure*]],MATCH($A$222&amp;$A261&amp;$E261&amp;$I261,INDEX(PMtbl[Sec]&amp;PMtbl[Category]&amp;PMtbl[Each]&amp;PMtbl[Packaging],0,),0),11),""),"")</f>
        <v/>
      </c>
      <c r="BO261" s="12">
        <f>IF(N261="",0,IF(SETUP!$E$7="USD",((IF(O261="USD",P261,(P261/'Master Data-C19RM'!$C$2)))),((IF(O261="EUR",P261,(P261*'Master Data-C19RM'!$C$2))))))</f>
        <v>0</v>
      </c>
      <c r="BP261" s="12">
        <f>IF(N261="",0,IF(SETUP!$E$7="USD",((IF(O261="USD",W261,(W261/'Master Data-C19RM'!$D$2)))),((IF(O261="EUR",W261,(W261*'Master Data-C19RM'!$D$2))))))</f>
        <v>0</v>
      </c>
      <c r="BQ261">
        <f>IF(N261="",0,IF(SETUP!$E$7="USD",((IF(O261="USD",AD261,(AD261/'Master Data-C19RM'!$E$2)))),((IF(O261="EUR",AD261,(AD261*'Master Data-C19RM'!$E$2))))))</f>
        <v>0</v>
      </c>
      <c r="BR261">
        <f>IF(N261="",0,IF(SETUP!$E$7="USD",((IF(O261="USD",AK261,(AK261/'Master Data-C19RM'!$F$2)))),((IF(O261="EUR",AK261,(AK261*'Master Data-C19RM'!$F$2))))))</f>
        <v>0</v>
      </c>
      <c r="BS261">
        <f>IF(N261="",0,IF(SETUP!$E$7="USD",((IF(O261="USD",AR261,(AR261/'Master Data-C19RM'!$G$2)))),((IF(O261="EUR",AR261,(AR261*'Master Data-C19RM'!$G$2))))))</f>
        <v>0</v>
      </c>
      <c r="BT261">
        <f>IF(N261="",0,IF(SETUP!$E$7="USD",((IF(O261="USD",AY261,(AY261/'Master Data-C19RM'!$H$2)))),((IF(O261="EUR",AY261,(AY261*'Master Data-C19RM'!$H$2))))))</f>
        <v>0</v>
      </c>
      <c r="BU261" s="12">
        <f t="shared" si="32"/>
        <v>0</v>
      </c>
      <c r="BV261" s="142">
        <f t="shared" si="33"/>
        <v>0</v>
      </c>
    </row>
    <row r="262" spans="1:74" x14ac:dyDescent="0.35">
      <c r="A262" s="1192"/>
      <c r="B262" s="1192"/>
      <c r="C262" s="1192"/>
      <c r="D262" s="1192"/>
      <c r="E262" s="1173"/>
      <c r="F262" s="1173"/>
      <c r="G262" s="1173"/>
      <c r="H262" s="1173"/>
      <c r="I262" s="1173"/>
      <c r="J262" s="1173"/>
      <c r="K262" s="1173"/>
      <c r="L262" s="493" t="str" cm="1">
        <f t="array" ref="L262">IF(A262&lt;&gt;"",IFERROR(INDEX(PMtbl[[WKst]:[Unit of measure*]],MATCH($A$222&amp;$A262&amp;$E262&amp;$I262,INDEX(PMtbl[Sec]&amp;PMtbl[Category]&amp;PMtbl[Each]&amp;PMtbl[Packaging],0,),0),14),""),"")</f>
        <v/>
      </c>
      <c r="M262" s="480" t="str">
        <f>IF(L262="","",INDEX(SETUP!$E$20:$E$122,(MATCH(INDEX(PMsheet!$D:$E,MATCH(A262,PMsheet!E:E,0),1),SETUP!$D$20:$D$122,0))))</f>
        <v/>
      </c>
      <c r="N262" s="494">
        <f>IF($O262="USD",_xlfn.IFNA(VLOOKUP(A262&amp;E262&amp;I262,PMsheet!J:K,2,0),0),(_xlfn.IFNA(VLOOKUP(A262&amp;E262&amp;I262,PMsheet!J:K,2,0),0)*'Master Data-C19RM'!$C$2))</f>
        <v>0</v>
      </c>
      <c r="O262" s="495" t="str">
        <f>IF(L262="", "",SETUP!$E$7)</f>
        <v/>
      </c>
      <c r="P262" s="445">
        <f>IF($O262="USD",_xlfn.IFNA(VLOOKUP($A262&amp;$E262&amp;$I262,PMsheet!$J:$K,2,0),0),(_xlfn.IFNA(VLOOKUP($A262&amp;$E262&amp;$I262,PMsheet!$J:$K,2,0),0)*'Master Data-C19RM'!$C$2))</f>
        <v>0</v>
      </c>
      <c r="Q262" s="440"/>
      <c r="R262" s="440"/>
      <c r="S262" s="440"/>
      <c r="T262" s="440"/>
      <c r="U262" s="482">
        <f t="shared" si="34"/>
        <v>0</v>
      </c>
      <c r="V262" s="484">
        <f>IF(SETUP!$E$7="USD",(U262*(IF(O262="USD",P262,(P262/'Master Data-C19RM'!$C$2)))),(U262*(IF(O262="EUR",P262,(P262*'Master Data-C19RM'!$C$2)))))</f>
        <v>0</v>
      </c>
      <c r="W262" s="445">
        <f>IF($O262="USD",_xlfn.IFNA(VLOOKUP($A262&amp;$E262&amp;$I262,PMsheet!$J:$K,2,0),0),(_xlfn.IFNA(VLOOKUP($A262&amp;$E262&amp;$I262,PMsheet!$J:$K,2,0),0)*'Master Data-C19RM'!$D$2))</f>
        <v>0</v>
      </c>
      <c r="X262" s="440"/>
      <c r="Y262" s="440"/>
      <c r="Z262" s="440"/>
      <c r="AA262" s="440"/>
      <c r="AB262" s="482">
        <f t="shared" si="35"/>
        <v>0</v>
      </c>
      <c r="AC262" s="484">
        <f>IF(SETUP!$E$7="USD",(AB262*(IF(O262="USD",W262,(W262/'Master Data-C19RM'!$D$2)))),(AB262*(IF(O262="EUR",W262,(W262*'Master Data-C19RM'!$D$2)))))</f>
        <v>0</v>
      </c>
      <c r="AD262" s="445">
        <f>IF($O262="USD",_xlfn.IFNA(VLOOKUP($A262&amp;$E262&amp;$I262,PMsheet!$J:$K,2,0),0),(_xlfn.IFNA(VLOOKUP($A262&amp;$E262&amp;$I262,PMsheet!$J:$K,2,0),0)*'Master Data-C19RM'!$E$2))</f>
        <v>0</v>
      </c>
      <c r="AE262" s="440"/>
      <c r="AF262" s="440"/>
      <c r="AG262" s="440"/>
      <c r="AH262" s="440"/>
      <c r="AI262" s="514">
        <f t="shared" si="36"/>
        <v>0</v>
      </c>
      <c r="AJ262" s="515">
        <f>IF(SETUP!$E$7="USD",(AI262*(IF(O262="USD",AD262,(AD262/'Master Data-C19RM'!$E$2)))),(AI262*(IF(O262="EUR",AD262,(AD262*'Master Data-C19RM'!$E$2)))))</f>
        <v>0</v>
      </c>
      <c r="AK262" s="445">
        <f>IF($O262="USD",_xlfn.IFNA(VLOOKUP($A262&amp;$E262&amp;$I262,PMsheet!$J:$K,2,0),0),(_xlfn.IFNA(VLOOKUP($A262&amp;$E262&amp;$I262,PMsheet!$J:$K,2,0),0)*'Master Data-C19RM'!$F$2))</f>
        <v>0</v>
      </c>
      <c r="AL262" s="440"/>
      <c r="AM262" s="440"/>
      <c r="AN262" s="440"/>
      <c r="AO262" s="440"/>
      <c r="AP262" s="514">
        <f t="shared" si="37"/>
        <v>0</v>
      </c>
      <c r="AQ262" s="515">
        <f>IF(SETUP!$E$7="USD",(AP262*(IF(O262="USD",AK262,(AK262/'Master Data-C19RM'!$F$2)))),(AP262*(IF(O262="EUR",AK262,(AK262*'Master Data-C19RM'!$F$2)))))</f>
        <v>0</v>
      </c>
      <c r="AR262" s="457">
        <f>IF($O262="USD",_xlfn.IFNA(VLOOKUP($A262&amp;$E262&amp;$I262,PMsheet!$J:$K,2,0),0),(_xlfn.IFNA(VLOOKUP($A262&amp;$E262&amp;$I262,PMsheet!$J:$K,2,0),0)*'Master Data-C19RM'!$G$2))</f>
        <v>0</v>
      </c>
      <c r="AS262" s="926"/>
      <c r="AT262" s="926"/>
      <c r="AU262" s="926"/>
      <c r="AV262" s="926"/>
      <c r="AW262" s="514">
        <f t="shared" si="38"/>
        <v>0</v>
      </c>
      <c r="AX262" s="515">
        <f>IF(SETUP!$E$7="USD",(AW262*(IF(O262="USD",AR262,(AR262/'Master Data-C19RM'!$G$2)))),(AW262*(IF(O262="EUR",AR262,(AR262*'Master Data-C19RM'!$G$2)))))</f>
        <v>0</v>
      </c>
      <c r="AY262" s="845"/>
      <c r="AZ262" s="846"/>
      <c r="BA262" s="846"/>
      <c r="BB262" s="846"/>
      <c r="BC262" s="846"/>
      <c r="BD262" s="846"/>
      <c r="BE262" s="847"/>
      <c r="BF262" s="514">
        <f>'C19RM 2021-Lab &amp; Other HPS'!$U262+'C19RM 2021-Lab &amp; Other HPS'!$AB262+'C19RM 2021-Lab &amp; Other HPS'!$AP262+'C19RM 2021-Lab &amp; Other HPS'!$AI262+AW262+BD262</f>
        <v>0</v>
      </c>
      <c r="BG262" s="514">
        <f>'C19RM 2021-Lab &amp; Other HPS'!$V262+'C19RM 2021-Lab &amp; Other HPS'!$AC262+'C19RM 2021-Lab &amp; Other HPS'!$AQ262+'C19RM 2021-Lab &amp; Other HPS'!$AJ262+AX262+BE262</f>
        <v>0</v>
      </c>
      <c r="BH262" s="522" t="str" cm="1">
        <f t="array" ref="BH262">IF(A262&lt;&gt;"",IFERROR(INDEX(PMtbl[[WKst]:[Unit of measure*]],MATCH($A$222&amp;$A262&amp;$E262&amp;$I262,INDEX(PMtbl[Sec]&amp;PMtbl[Category]&amp;PMtbl[Each]&amp;PMtbl[Packaging],0,),0),11),""),"")</f>
        <v/>
      </c>
      <c r="BI262" s="818"/>
      <c r="BJ262" s="503" t="str" cm="1">
        <f t="array" ref="BJ262">IFERROR(INDEX(SETUP!$C$19:$G$121,MATCH((INDEX(PMtbl[[WKst]:[Unit of measure*]],MATCH($A262&amp;$E262&amp;$I262,INDEX(PMtbl[Category]&amp;PMtbl[Each]&amp;PMtbl[Packaging],0,),0),3)),SETUP!$D$19:$D$121,0),5),"")</f>
        <v/>
      </c>
      <c r="BK262" s="543" t="str" cm="1">
        <f t="array" ref="BK262">IFERROR(IF((INDEX(SETUP!$C$19:$G$121,MATCH((INDEX(PMtbl[[WKst]:[Unit of measure*]],MATCH($A262&amp;$E262&amp;$I262,INDEX(PMtbl[Category]&amp;PMtbl[Each]&amp;PMtbl[Packaging],0,),0),3)),SETUP!$D$19:$D$121,0),4))="Upfront",0,INDEX(SETUP!$C$19:$G$121,MATCH((INDEX(PMtbl[[WKst]:[Unit of measure*]],MATCH($A262&amp;$E262&amp;$I262,INDEX(PMtbl[Category]&amp;PMtbl[Each]&amp;PMtbl[Packaging],0,),0),3)),SETUP!$D$19:$D$121,0),5)),"")</f>
        <v/>
      </c>
      <c r="BL262" s="215" t="str" cm="1">
        <f t="array" ref="BL262">IF(A262&lt;&gt;"",IFERROR(INDEX(PMtbl[[WKst]:[Unit of measure*]],MATCH($A$222&amp;$A262&amp;$E262&amp;$I262,INDEX(PMtbl[Sec]&amp;PMtbl[Category]&amp;PMtbl[Each]&amp;PMtbl[Packaging],0,),0),11),""),"")</f>
        <v/>
      </c>
      <c r="BO262" s="12">
        <f>IF(N262="",0,IF(SETUP!$E$7="USD",((IF(O262="USD",P262,(P262/'Master Data-C19RM'!$C$2)))),((IF(O262="EUR",P262,(P262*'Master Data-C19RM'!$C$2))))))</f>
        <v>0</v>
      </c>
      <c r="BP262" s="12">
        <f>IF(N262="",0,IF(SETUP!$E$7="USD",((IF(O262="USD",W262,(W262/'Master Data-C19RM'!$D$2)))),((IF(O262="EUR",W262,(W262*'Master Data-C19RM'!$D$2))))))</f>
        <v>0</v>
      </c>
      <c r="BQ262">
        <f>IF(N262="",0,IF(SETUP!$E$7="USD",((IF(O262="USD",AD262,(AD262/'Master Data-C19RM'!$E$2)))),((IF(O262="EUR",AD262,(AD262*'Master Data-C19RM'!$E$2))))))</f>
        <v>0</v>
      </c>
      <c r="BR262">
        <f>IF(N262="",0,IF(SETUP!$E$7="USD",((IF(O262="USD",AK262,(AK262/'Master Data-C19RM'!$F$2)))),((IF(O262="EUR",AK262,(AK262*'Master Data-C19RM'!$F$2))))))</f>
        <v>0</v>
      </c>
      <c r="BS262">
        <f>IF(N262="",0,IF(SETUP!$E$7="USD",((IF(O262="USD",AR262,(AR262/'Master Data-C19RM'!$G$2)))),((IF(O262="EUR",AR262,(AR262*'Master Data-C19RM'!$G$2))))))</f>
        <v>0</v>
      </c>
      <c r="BT262">
        <f>IF(N262="",0,IF(SETUP!$E$7="USD",((IF(O262="USD",AY262,(AY262/'Master Data-C19RM'!$H$2)))),((IF(O262="EUR",AY262,(AY262*'Master Data-C19RM'!$H$2))))))</f>
        <v>0</v>
      </c>
      <c r="BU262" s="12">
        <f t="shared" si="32"/>
        <v>0</v>
      </c>
      <c r="BV262" s="142">
        <f t="shared" si="33"/>
        <v>0</v>
      </c>
    </row>
    <row r="263" spans="1:74" x14ac:dyDescent="0.35">
      <c r="A263" s="1165"/>
      <c r="B263" s="1165"/>
      <c r="C263" s="1165"/>
      <c r="D263" s="1165"/>
      <c r="E263" s="1166"/>
      <c r="F263" s="1166"/>
      <c r="G263" s="1166"/>
      <c r="H263" s="1166"/>
      <c r="I263" s="1166"/>
      <c r="J263" s="1166"/>
      <c r="K263" s="1166"/>
      <c r="L263" s="490" t="str" cm="1">
        <f t="array" ref="L263">IF(A263&lt;&gt;"",IFERROR(INDEX(PMtbl[[WKst]:[Unit of measure*]],MATCH($A$222&amp;$A263&amp;$E263&amp;$I263,INDEX(PMtbl[Sec]&amp;PMtbl[Category]&amp;PMtbl[Each]&amp;PMtbl[Packaging],0,),0),14),""),"")</f>
        <v/>
      </c>
      <c r="M263" s="479" t="str">
        <f>IF(L263="","",INDEX(SETUP!$E$20:$E$122,(MATCH(INDEX(PMsheet!$D:$E,MATCH(A263,PMsheet!E:E,0),1),SETUP!$D$20:$D$122,0))))</f>
        <v/>
      </c>
      <c r="N263" s="491">
        <f>IF($O263="USD",_xlfn.IFNA(VLOOKUP(A263&amp;E263&amp;I263,PMsheet!J:K,2,0),0),(_xlfn.IFNA(VLOOKUP(A263&amp;E263&amp;I263,PMsheet!J:K,2,0),0)*'Master Data-C19RM'!$C$2))</f>
        <v>0</v>
      </c>
      <c r="O263" s="492" t="str">
        <f>IF(L263="", "",SETUP!$E$7)</f>
        <v/>
      </c>
      <c r="P263" s="444">
        <f>IF($O263="USD",_xlfn.IFNA(VLOOKUP($A263&amp;$E263&amp;$I263,PMsheet!$J:$K,2,0),0),(_xlfn.IFNA(VLOOKUP($A263&amp;$E263&amp;$I263,PMsheet!$J:$K,2,0),0)*'Master Data-C19RM'!$C$2))</f>
        <v>0</v>
      </c>
      <c r="Q263" s="441"/>
      <c r="R263" s="441"/>
      <c r="S263" s="441"/>
      <c r="T263" s="441"/>
      <c r="U263" s="481">
        <f t="shared" si="34"/>
        <v>0</v>
      </c>
      <c r="V263" s="483">
        <f>IF(SETUP!$E$7="USD",(U263*(IF(O263="USD",P263,(P263/'Master Data-C19RM'!$C$2)))),(U263*(IF(O263="EUR",P263,(P263*'Master Data-C19RM'!$C$2)))))</f>
        <v>0</v>
      </c>
      <c r="W263" s="444">
        <f>IF($O263="USD",_xlfn.IFNA(VLOOKUP($A263&amp;$E263&amp;$I263,PMsheet!$J:$K,2,0),0),(_xlfn.IFNA(VLOOKUP($A263&amp;$E263&amp;$I263,PMsheet!$J:$K,2,0),0)*'Master Data-C19RM'!$D$2))</f>
        <v>0</v>
      </c>
      <c r="X263" s="441"/>
      <c r="Y263" s="441"/>
      <c r="Z263" s="441"/>
      <c r="AA263" s="441"/>
      <c r="AB263" s="481">
        <f t="shared" si="35"/>
        <v>0</v>
      </c>
      <c r="AC263" s="483">
        <f>IF(SETUP!$E$7="USD",(AB263*(IF(O263="USD",W263,(W263/'Master Data-C19RM'!$D$2)))),(AB263*(IF(O263="EUR",W263,(W263*'Master Data-C19RM'!$D$2)))))</f>
        <v>0</v>
      </c>
      <c r="AD263" s="444">
        <f>IF($O263="USD",_xlfn.IFNA(VLOOKUP($A263&amp;$E263&amp;$I263,PMsheet!$J:$K,2,0),0),(_xlfn.IFNA(VLOOKUP($A263&amp;$E263&amp;$I263,PMsheet!$J:$K,2,0),0)*'Master Data-C19RM'!$E$2))</f>
        <v>0</v>
      </c>
      <c r="AE263" s="441"/>
      <c r="AF263" s="441"/>
      <c r="AG263" s="441"/>
      <c r="AH263" s="441"/>
      <c r="AI263" s="512">
        <f t="shared" si="36"/>
        <v>0</v>
      </c>
      <c r="AJ263" s="513">
        <f>IF(SETUP!$E$7="USD",(AI263*(IF(O263="USD",AD263,(AD263/'Master Data-C19RM'!$E$2)))),(AI263*(IF(O263="EUR",AD263,(AD263*'Master Data-C19RM'!$E$2)))))</f>
        <v>0</v>
      </c>
      <c r="AK263" s="444">
        <f>IF($O263="USD",_xlfn.IFNA(VLOOKUP($A263&amp;$E263&amp;$I263,PMsheet!$J:$K,2,0),0),(_xlfn.IFNA(VLOOKUP($A263&amp;$E263&amp;$I263,PMsheet!$J:$K,2,0),0)*'Master Data-C19RM'!$F$2))</f>
        <v>0</v>
      </c>
      <c r="AL263" s="441"/>
      <c r="AM263" s="441"/>
      <c r="AN263" s="441"/>
      <c r="AO263" s="441"/>
      <c r="AP263" s="512">
        <f t="shared" si="37"/>
        <v>0</v>
      </c>
      <c r="AQ263" s="513">
        <f>IF(SETUP!$E$7="USD",(AP263*(IF(O263="USD",AK263,(AK263/'Master Data-C19RM'!$F$2)))),(AP263*(IF(O263="EUR",AK263,(AK263*'Master Data-C19RM'!$F$2)))))</f>
        <v>0</v>
      </c>
      <c r="AR263" s="456">
        <f>IF($O263="USD",_xlfn.IFNA(VLOOKUP($A263&amp;$E263&amp;$I263,PMsheet!$J:$K,2,0),0),(_xlfn.IFNA(VLOOKUP($A263&amp;$E263&amp;$I263,PMsheet!$J:$K,2,0),0)*'Master Data-C19RM'!$G$2))</f>
        <v>0</v>
      </c>
      <c r="AS263" s="572"/>
      <c r="AT263" s="572"/>
      <c r="AU263" s="572"/>
      <c r="AV263" s="572"/>
      <c r="AW263" s="512">
        <f t="shared" si="38"/>
        <v>0</v>
      </c>
      <c r="AX263" s="513">
        <f>IF(SETUP!$E$7="USD",(AW263*(IF(O263="USD",AR263,(AR263/'Master Data-C19RM'!$G$2)))),(AW263*(IF(O263="EUR",AR263,(AR263*'Master Data-C19RM'!$G$2)))))</f>
        <v>0</v>
      </c>
      <c r="AY263" s="845"/>
      <c r="AZ263" s="846"/>
      <c r="BA263" s="846"/>
      <c r="BB263" s="846"/>
      <c r="BC263" s="846"/>
      <c r="BD263" s="846"/>
      <c r="BE263" s="847"/>
      <c r="BF263" s="512">
        <f>'C19RM 2021-Lab &amp; Other HPS'!$U263+'C19RM 2021-Lab &amp; Other HPS'!$AB263+'C19RM 2021-Lab &amp; Other HPS'!$AP263+'C19RM 2021-Lab &amp; Other HPS'!$AI263+AW263+BD263</f>
        <v>0</v>
      </c>
      <c r="BG263" s="512">
        <f>'C19RM 2021-Lab &amp; Other HPS'!$V263+'C19RM 2021-Lab &amp; Other HPS'!$AC263+'C19RM 2021-Lab &amp; Other HPS'!$AQ263+'C19RM 2021-Lab &amp; Other HPS'!$AJ263+AX263+BE263</f>
        <v>0</v>
      </c>
      <c r="BH263" s="500" t="str" cm="1">
        <f t="array" ref="BH263">IF(A263&lt;&gt;"",IFERROR(INDEX(PMtbl[[WKst]:[Unit of measure*]],MATCH($A$222&amp;$A263&amp;$E263&amp;$I263,INDEX(PMtbl[Sec]&amp;PMtbl[Category]&amp;PMtbl[Each]&amp;PMtbl[Packaging],0,),0),11),""),"")</f>
        <v/>
      </c>
      <c r="BI263" s="819"/>
      <c r="BJ263" s="502" t="str" cm="1">
        <f t="array" ref="BJ263">IFERROR(INDEX(SETUP!$C$19:$G$121,MATCH((INDEX(PMtbl[[WKst]:[Unit of measure*]],MATCH($A263&amp;$E263&amp;$I263,INDEX(PMtbl[Category]&amp;PMtbl[Each]&amp;PMtbl[Packaging],0,),0),3)),SETUP!$D$19:$D$121,0),5),"")</f>
        <v/>
      </c>
      <c r="BK263" s="542" t="str" cm="1">
        <f t="array" ref="BK263">IFERROR(IF((INDEX(SETUP!$C$19:$G$121,MATCH((INDEX(PMtbl[[WKst]:[Unit of measure*]],MATCH($A263&amp;$E263&amp;$I263,INDEX(PMtbl[Category]&amp;PMtbl[Each]&amp;PMtbl[Packaging],0,),0),3)),SETUP!$D$19:$D$121,0),4))="Upfront",0,INDEX(SETUP!$C$19:$G$121,MATCH((INDEX(PMtbl[[WKst]:[Unit of measure*]],MATCH($A263&amp;$E263&amp;$I263,INDEX(PMtbl[Category]&amp;PMtbl[Each]&amp;PMtbl[Packaging],0,),0),3)),SETUP!$D$19:$D$121,0),5)),"")</f>
        <v/>
      </c>
      <c r="BL263" s="214" t="str" cm="1">
        <f t="array" ref="BL263">IF(A263&lt;&gt;"",IFERROR(INDEX(PMtbl[[WKst]:[Unit of measure*]],MATCH($A$222&amp;$A263&amp;$E263&amp;$I263,INDEX(PMtbl[Sec]&amp;PMtbl[Category]&amp;PMtbl[Each]&amp;PMtbl[Packaging],0,),0),11),""),"")</f>
        <v/>
      </c>
      <c r="BO263" s="12">
        <f>IF(N263="",0,IF(SETUP!$E$7="USD",((IF(O263="USD",P263,(P263/'Master Data-C19RM'!$C$2)))),((IF(O263="EUR",P263,(P263*'Master Data-C19RM'!$C$2))))))</f>
        <v>0</v>
      </c>
      <c r="BP263" s="12">
        <f>IF(N263="",0,IF(SETUP!$E$7="USD",((IF(O263="USD",W263,(W263/'Master Data-C19RM'!$D$2)))),((IF(O263="EUR",W263,(W263*'Master Data-C19RM'!$D$2))))))</f>
        <v>0</v>
      </c>
      <c r="BQ263">
        <f>IF(N263="",0,IF(SETUP!$E$7="USD",((IF(O263="USD",AD263,(AD263/'Master Data-C19RM'!$E$2)))),((IF(O263="EUR",AD263,(AD263*'Master Data-C19RM'!$E$2))))))</f>
        <v>0</v>
      </c>
      <c r="BR263">
        <f>IF(N263="",0,IF(SETUP!$E$7="USD",((IF(O263="USD",AK263,(AK263/'Master Data-C19RM'!$F$2)))),((IF(O263="EUR",AK263,(AK263*'Master Data-C19RM'!$F$2))))))</f>
        <v>0</v>
      </c>
      <c r="BS263">
        <f>IF(N263="",0,IF(SETUP!$E$7="USD",((IF(O263="USD",AR263,(AR263/'Master Data-C19RM'!$G$2)))),((IF(O263="EUR",AR263,(AR263*'Master Data-C19RM'!$G$2))))))</f>
        <v>0</v>
      </c>
      <c r="BT263">
        <f>IF(N263="",0,IF(SETUP!$E$7="USD",((IF(O263="USD",AY263,(AY263/'Master Data-C19RM'!$H$2)))),((IF(O263="EUR",AY263,(AY263*'Master Data-C19RM'!$H$2))))))</f>
        <v>0</v>
      </c>
      <c r="BU263" s="12">
        <f t="shared" si="32"/>
        <v>0</v>
      </c>
      <c r="BV263" s="142">
        <f t="shared" si="33"/>
        <v>0</v>
      </c>
    </row>
    <row r="264" spans="1:74" x14ac:dyDescent="0.35">
      <c r="A264" s="1192"/>
      <c r="B264" s="1192"/>
      <c r="C264" s="1192"/>
      <c r="D264" s="1192"/>
      <c r="E264" s="1173"/>
      <c r="F264" s="1173"/>
      <c r="G264" s="1173"/>
      <c r="H264" s="1173"/>
      <c r="I264" s="1173"/>
      <c r="J264" s="1173"/>
      <c r="K264" s="1173"/>
      <c r="L264" s="493" t="str" cm="1">
        <f t="array" ref="L264">IF(A264&lt;&gt;"",IFERROR(INDEX(PMtbl[[WKst]:[Unit of measure*]],MATCH($A$222&amp;$A264&amp;$E264&amp;$I264,INDEX(PMtbl[Sec]&amp;PMtbl[Category]&amp;PMtbl[Each]&amp;PMtbl[Packaging],0,),0),14),""),"")</f>
        <v/>
      </c>
      <c r="M264" s="480" t="str">
        <f>IF(L264="","",INDEX(SETUP!$E$20:$E$122,(MATCH(INDEX(PMsheet!$D:$E,MATCH(A264,PMsheet!E:E,0),1),SETUP!$D$20:$D$122,0))))</f>
        <v/>
      </c>
      <c r="N264" s="494">
        <f>IF($O264="USD",_xlfn.IFNA(VLOOKUP(A264&amp;E264&amp;I264,PMsheet!J:K,2,0),0),(_xlfn.IFNA(VLOOKUP(A264&amp;E264&amp;I264,PMsheet!J:K,2,0),0)*'Master Data-C19RM'!$C$2))</f>
        <v>0</v>
      </c>
      <c r="O264" s="495" t="str">
        <f>IF(L264="", "",SETUP!$E$7)</f>
        <v/>
      </c>
      <c r="P264" s="445">
        <f>IF($O264="USD",_xlfn.IFNA(VLOOKUP($A264&amp;$E264&amp;$I264,PMsheet!$J:$K,2,0),0),(_xlfn.IFNA(VLOOKUP($A264&amp;$E264&amp;$I264,PMsheet!$J:$K,2,0),0)*'Master Data-C19RM'!$C$2))</f>
        <v>0</v>
      </c>
      <c r="Q264" s="440"/>
      <c r="R264" s="440"/>
      <c r="S264" s="440"/>
      <c r="T264" s="440"/>
      <c r="U264" s="482">
        <f t="shared" si="34"/>
        <v>0</v>
      </c>
      <c r="V264" s="484">
        <f>IF(SETUP!$E$7="USD",(U264*(IF(O264="USD",P264,(P264/'Master Data-C19RM'!$C$2)))),(U264*(IF(O264="EUR",P264,(P264*'Master Data-C19RM'!$C$2)))))</f>
        <v>0</v>
      </c>
      <c r="W264" s="445">
        <f>IF($O264="USD",_xlfn.IFNA(VLOOKUP($A264&amp;$E264&amp;$I264,PMsheet!$J:$K,2,0),0),(_xlfn.IFNA(VLOOKUP($A264&amp;$E264&amp;$I264,PMsheet!$J:$K,2,0),0)*'Master Data-C19RM'!$D$2))</f>
        <v>0</v>
      </c>
      <c r="X264" s="440"/>
      <c r="Y264" s="440"/>
      <c r="Z264" s="440"/>
      <c r="AA264" s="440"/>
      <c r="AB264" s="482">
        <f t="shared" si="35"/>
        <v>0</v>
      </c>
      <c r="AC264" s="484">
        <f>IF(SETUP!$E$7="USD",(AB264*(IF(O264="USD",W264,(W264/'Master Data-C19RM'!$D$2)))),(AB264*(IF(O264="EUR",W264,(W264*'Master Data-C19RM'!$D$2)))))</f>
        <v>0</v>
      </c>
      <c r="AD264" s="445">
        <f>IF($O264="USD",_xlfn.IFNA(VLOOKUP($A264&amp;$E264&amp;$I264,PMsheet!$J:$K,2,0),0),(_xlfn.IFNA(VLOOKUP($A264&amp;$E264&amp;$I264,PMsheet!$J:$K,2,0),0)*'Master Data-C19RM'!$E$2))</f>
        <v>0</v>
      </c>
      <c r="AE264" s="440"/>
      <c r="AF264" s="440"/>
      <c r="AG264" s="440"/>
      <c r="AH264" s="440"/>
      <c r="AI264" s="514">
        <f t="shared" si="36"/>
        <v>0</v>
      </c>
      <c r="AJ264" s="515">
        <f>IF(SETUP!$E$7="USD",(AI264*(IF(O264="USD",AD264,(AD264/'Master Data-C19RM'!$E$2)))),(AI264*(IF(O264="EUR",AD264,(AD264*'Master Data-C19RM'!$E$2)))))</f>
        <v>0</v>
      </c>
      <c r="AK264" s="445">
        <f>IF($O264="USD",_xlfn.IFNA(VLOOKUP($A264&amp;$E264&amp;$I264,PMsheet!$J:$K,2,0),0),(_xlfn.IFNA(VLOOKUP($A264&amp;$E264&amp;$I264,PMsheet!$J:$K,2,0),0)*'Master Data-C19RM'!$F$2))</f>
        <v>0</v>
      </c>
      <c r="AL264" s="440"/>
      <c r="AM264" s="440"/>
      <c r="AN264" s="440"/>
      <c r="AO264" s="440"/>
      <c r="AP264" s="514">
        <f t="shared" si="37"/>
        <v>0</v>
      </c>
      <c r="AQ264" s="515">
        <f>IF(SETUP!$E$7="USD",(AP264*(IF(O264="USD",AK264,(AK264/'Master Data-C19RM'!$F$2)))),(AP264*(IF(O264="EUR",AK264,(AK264*'Master Data-C19RM'!$F$2)))))</f>
        <v>0</v>
      </c>
      <c r="AR264" s="457">
        <f>IF($O264="USD",_xlfn.IFNA(VLOOKUP($A264&amp;$E264&amp;$I264,PMsheet!$J:$K,2,0),0),(_xlfn.IFNA(VLOOKUP($A264&amp;$E264&amp;$I264,PMsheet!$J:$K,2,0),0)*'Master Data-C19RM'!$G$2))</f>
        <v>0</v>
      </c>
      <c r="AS264" s="926"/>
      <c r="AT264" s="926"/>
      <c r="AU264" s="926"/>
      <c r="AV264" s="926"/>
      <c r="AW264" s="514">
        <f t="shared" si="38"/>
        <v>0</v>
      </c>
      <c r="AX264" s="515">
        <f>IF(SETUP!$E$7="USD",(AW264*(IF(O264="USD",AR264,(AR264/'Master Data-C19RM'!$G$2)))),(AW264*(IF(O264="EUR",AR264,(AR264*'Master Data-C19RM'!$G$2)))))</f>
        <v>0</v>
      </c>
      <c r="AY264" s="845"/>
      <c r="AZ264" s="846"/>
      <c r="BA264" s="846"/>
      <c r="BB264" s="846"/>
      <c r="BC264" s="846"/>
      <c r="BD264" s="846"/>
      <c r="BE264" s="847"/>
      <c r="BF264" s="514">
        <f>'C19RM 2021-Lab &amp; Other HPS'!$U264+'C19RM 2021-Lab &amp; Other HPS'!$AB264+'C19RM 2021-Lab &amp; Other HPS'!$AP264+'C19RM 2021-Lab &amp; Other HPS'!$AI264+AW264+BD264</f>
        <v>0</v>
      </c>
      <c r="BG264" s="514">
        <f>'C19RM 2021-Lab &amp; Other HPS'!$V264+'C19RM 2021-Lab &amp; Other HPS'!$AC264+'C19RM 2021-Lab &amp; Other HPS'!$AQ264+'C19RM 2021-Lab &amp; Other HPS'!$AJ264+AX264+BE264</f>
        <v>0</v>
      </c>
      <c r="BH264" s="522" t="str" cm="1">
        <f t="array" ref="BH264">IF(A264&lt;&gt;"",IFERROR(INDEX(PMtbl[[WKst]:[Unit of measure*]],MATCH($A$222&amp;$A264&amp;$E264&amp;$I264,INDEX(PMtbl[Sec]&amp;PMtbl[Category]&amp;PMtbl[Each]&amp;PMtbl[Packaging],0,),0),11),""),"")</f>
        <v/>
      </c>
      <c r="BI264" s="818"/>
      <c r="BJ264" s="503" t="str" cm="1">
        <f t="array" ref="BJ264">IFERROR(INDEX(SETUP!$C$19:$G$121,MATCH((INDEX(PMtbl[[WKst]:[Unit of measure*]],MATCH($A264&amp;$E264&amp;$I264,INDEX(PMtbl[Category]&amp;PMtbl[Each]&amp;PMtbl[Packaging],0,),0),3)),SETUP!$D$19:$D$121,0),5),"")</f>
        <v/>
      </c>
      <c r="BK264" s="543" t="str" cm="1">
        <f t="array" ref="BK264">IFERROR(IF((INDEX(SETUP!$C$19:$G$121,MATCH((INDEX(PMtbl[[WKst]:[Unit of measure*]],MATCH($A264&amp;$E264&amp;$I264,INDEX(PMtbl[Category]&amp;PMtbl[Each]&amp;PMtbl[Packaging],0,),0),3)),SETUP!$D$19:$D$121,0),4))="Upfront",0,INDEX(SETUP!$C$19:$G$121,MATCH((INDEX(PMtbl[[WKst]:[Unit of measure*]],MATCH($A264&amp;$E264&amp;$I264,INDEX(PMtbl[Category]&amp;PMtbl[Each]&amp;PMtbl[Packaging],0,),0),3)),SETUP!$D$19:$D$121,0),5)),"")</f>
        <v/>
      </c>
      <c r="BL264" s="215" t="str" cm="1">
        <f t="array" ref="BL264">IF(A264&lt;&gt;"",IFERROR(INDEX(PMtbl[[WKst]:[Unit of measure*]],MATCH($A$222&amp;$A264&amp;$E264&amp;$I264,INDEX(PMtbl[Sec]&amp;PMtbl[Category]&amp;PMtbl[Each]&amp;PMtbl[Packaging],0,),0),11),""),"")</f>
        <v/>
      </c>
      <c r="BO264" s="12">
        <f>IF(N264="",0,IF(SETUP!$E$7="USD",((IF(O264="USD",P264,(P264/'Master Data-C19RM'!$C$2)))),((IF(O264="EUR",P264,(P264*'Master Data-C19RM'!$C$2))))))</f>
        <v>0</v>
      </c>
      <c r="BP264" s="12">
        <f>IF(N264="",0,IF(SETUP!$E$7="USD",((IF(O264="USD",W264,(W264/'Master Data-C19RM'!$D$2)))),((IF(O264="EUR",W264,(W264*'Master Data-C19RM'!$D$2))))))</f>
        <v>0</v>
      </c>
      <c r="BQ264">
        <f>IF(N264="",0,IF(SETUP!$E$7="USD",((IF(O264="USD",AD264,(AD264/'Master Data-C19RM'!$E$2)))),((IF(O264="EUR",AD264,(AD264*'Master Data-C19RM'!$E$2))))))</f>
        <v>0</v>
      </c>
      <c r="BR264">
        <f>IF(N264="",0,IF(SETUP!$E$7="USD",((IF(O264="USD",AK264,(AK264/'Master Data-C19RM'!$F$2)))),((IF(O264="EUR",AK264,(AK264*'Master Data-C19RM'!$F$2))))))</f>
        <v>0</v>
      </c>
      <c r="BS264">
        <f>IF(N264="",0,IF(SETUP!$E$7="USD",((IF(O264="USD",AR264,(AR264/'Master Data-C19RM'!$G$2)))),((IF(O264="EUR",AR264,(AR264*'Master Data-C19RM'!$G$2))))))</f>
        <v>0</v>
      </c>
      <c r="BT264">
        <f>IF(N264="",0,IF(SETUP!$E$7="USD",((IF(O264="USD",AY264,(AY264/'Master Data-C19RM'!$H$2)))),((IF(O264="EUR",AY264,(AY264*'Master Data-C19RM'!$H$2))))))</f>
        <v>0</v>
      </c>
      <c r="BU264" s="12">
        <f t="shared" si="32"/>
        <v>0</v>
      </c>
      <c r="BV264" s="142">
        <f t="shared" si="33"/>
        <v>0</v>
      </c>
    </row>
    <row r="265" spans="1:74" x14ac:dyDescent="0.35">
      <c r="A265" s="1165"/>
      <c r="B265" s="1165"/>
      <c r="C265" s="1165"/>
      <c r="D265" s="1165"/>
      <c r="E265" s="1166"/>
      <c r="F265" s="1166"/>
      <c r="G265" s="1166"/>
      <c r="H265" s="1166"/>
      <c r="I265" s="1166"/>
      <c r="J265" s="1166"/>
      <c r="K265" s="1166"/>
      <c r="L265" s="490" t="str" cm="1">
        <f t="array" ref="L265">IF(A265&lt;&gt;"",IFERROR(INDEX(PMtbl[[WKst]:[Unit of measure*]],MATCH($A$222&amp;$A265&amp;$E265&amp;$I265,INDEX(PMtbl[Sec]&amp;PMtbl[Category]&amp;PMtbl[Each]&amp;PMtbl[Packaging],0,),0),14),""),"")</f>
        <v/>
      </c>
      <c r="M265" s="479" t="str">
        <f>IF(L265="","",INDEX(SETUP!$E$20:$E$122,(MATCH(INDEX(PMsheet!$D:$E,MATCH(A265,PMsheet!E:E,0),1),SETUP!$D$20:$D$122,0))))</f>
        <v/>
      </c>
      <c r="N265" s="491">
        <f>IF($O265="USD",_xlfn.IFNA(VLOOKUP(A265&amp;E265&amp;I265,PMsheet!J:K,2,0),0),(_xlfn.IFNA(VLOOKUP(A265&amp;E265&amp;I265,PMsheet!J:K,2,0),0)*'Master Data-C19RM'!$C$2))</f>
        <v>0</v>
      </c>
      <c r="O265" s="492" t="str">
        <f>IF(L265="", "",SETUP!$E$7)</f>
        <v/>
      </c>
      <c r="P265" s="444">
        <f>IF($O265="USD",_xlfn.IFNA(VLOOKUP($A265&amp;$E265&amp;$I265,PMsheet!$J:$K,2,0),0),(_xlfn.IFNA(VLOOKUP($A265&amp;$E265&amp;$I265,PMsheet!$J:$K,2,0),0)*'Master Data-C19RM'!$C$2))</f>
        <v>0</v>
      </c>
      <c r="Q265" s="441"/>
      <c r="R265" s="441"/>
      <c r="S265" s="441"/>
      <c r="T265" s="441"/>
      <c r="U265" s="481">
        <f t="shared" si="34"/>
        <v>0</v>
      </c>
      <c r="V265" s="483">
        <f>IF(SETUP!$E$7="USD",(U265*(IF(O265="USD",P265,(P265/'Master Data-C19RM'!$C$2)))),(U265*(IF(O265="EUR",P265,(P265*'Master Data-C19RM'!$C$2)))))</f>
        <v>0</v>
      </c>
      <c r="W265" s="444">
        <f>IF($O265="USD",_xlfn.IFNA(VLOOKUP($A265&amp;$E265&amp;$I265,PMsheet!$J:$K,2,0),0),(_xlfn.IFNA(VLOOKUP($A265&amp;$E265&amp;$I265,PMsheet!$J:$K,2,0),0)*'Master Data-C19RM'!$D$2))</f>
        <v>0</v>
      </c>
      <c r="X265" s="441"/>
      <c r="Y265" s="441"/>
      <c r="Z265" s="441"/>
      <c r="AA265" s="441"/>
      <c r="AB265" s="481">
        <f t="shared" si="35"/>
        <v>0</v>
      </c>
      <c r="AC265" s="483">
        <f>IF(SETUP!$E$7="USD",(AB265*(IF(O265="USD",W265,(W265/'Master Data-C19RM'!$D$2)))),(AB265*(IF(O265="EUR",W265,(W265*'Master Data-C19RM'!$D$2)))))</f>
        <v>0</v>
      </c>
      <c r="AD265" s="444">
        <f>IF($O265="USD",_xlfn.IFNA(VLOOKUP($A265&amp;$E265&amp;$I265,PMsheet!$J:$K,2,0),0),(_xlfn.IFNA(VLOOKUP($A265&amp;$E265&amp;$I265,PMsheet!$J:$K,2,0),0)*'Master Data-C19RM'!$E$2))</f>
        <v>0</v>
      </c>
      <c r="AE265" s="441"/>
      <c r="AF265" s="441"/>
      <c r="AG265" s="441"/>
      <c r="AH265" s="441"/>
      <c r="AI265" s="512">
        <f t="shared" si="36"/>
        <v>0</v>
      </c>
      <c r="AJ265" s="513">
        <f>IF(SETUP!$E$7="USD",(AI265*(IF(O265="USD",AD265,(AD265/'Master Data-C19RM'!$E$2)))),(AI265*(IF(O265="EUR",AD265,(AD265*'Master Data-C19RM'!$E$2)))))</f>
        <v>0</v>
      </c>
      <c r="AK265" s="444">
        <f>IF($O265="USD",_xlfn.IFNA(VLOOKUP($A265&amp;$E265&amp;$I265,PMsheet!$J:$K,2,0),0),(_xlfn.IFNA(VLOOKUP($A265&amp;$E265&amp;$I265,PMsheet!$J:$K,2,0),0)*'Master Data-C19RM'!$F$2))</f>
        <v>0</v>
      </c>
      <c r="AL265" s="441"/>
      <c r="AM265" s="441"/>
      <c r="AN265" s="441"/>
      <c r="AO265" s="441"/>
      <c r="AP265" s="512">
        <f t="shared" si="37"/>
        <v>0</v>
      </c>
      <c r="AQ265" s="513">
        <f>IF(SETUP!$E$7="USD",(AP265*(IF(O265="USD",AK265,(AK265/'Master Data-C19RM'!$F$2)))),(AP265*(IF(O265="EUR",AK265,(AK265*'Master Data-C19RM'!$F$2)))))</f>
        <v>0</v>
      </c>
      <c r="AR265" s="456">
        <f>IF($O265="USD",_xlfn.IFNA(VLOOKUP($A265&amp;$E265&amp;$I265,PMsheet!$J:$K,2,0),0),(_xlfn.IFNA(VLOOKUP($A265&amp;$E265&amp;$I265,PMsheet!$J:$K,2,0),0)*'Master Data-C19RM'!$G$2))</f>
        <v>0</v>
      </c>
      <c r="AS265" s="572"/>
      <c r="AT265" s="572"/>
      <c r="AU265" s="572"/>
      <c r="AV265" s="572"/>
      <c r="AW265" s="512">
        <f t="shared" si="38"/>
        <v>0</v>
      </c>
      <c r="AX265" s="513">
        <f>IF(SETUP!$E$7="USD",(AW265*(IF(O265="USD",AR265,(AR265/'Master Data-C19RM'!$G$2)))),(AW265*(IF(O265="EUR",AR265,(AR265*'Master Data-C19RM'!$G$2)))))</f>
        <v>0</v>
      </c>
      <c r="AY265" s="845"/>
      <c r="AZ265" s="846"/>
      <c r="BA265" s="846"/>
      <c r="BB265" s="846"/>
      <c r="BC265" s="846"/>
      <c r="BD265" s="846"/>
      <c r="BE265" s="847"/>
      <c r="BF265" s="512">
        <f>'C19RM 2021-Lab &amp; Other HPS'!$U265+'C19RM 2021-Lab &amp; Other HPS'!$AB265+'C19RM 2021-Lab &amp; Other HPS'!$AP265+'C19RM 2021-Lab &amp; Other HPS'!$AI265+AW265+BD265</f>
        <v>0</v>
      </c>
      <c r="BG265" s="512">
        <f>'C19RM 2021-Lab &amp; Other HPS'!$V265+'C19RM 2021-Lab &amp; Other HPS'!$AC265+'C19RM 2021-Lab &amp; Other HPS'!$AQ265+'C19RM 2021-Lab &amp; Other HPS'!$AJ265+AX265+BE265</f>
        <v>0</v>
      </c>
      <c r="BH265" s="500" t="str" cm="1">
        <f t="array" ref="BH265">IF(A265&lt;&gt;"",IFERROR(INDEX(PMtbl[[WKst]:[Unit of measure*]],MATCH($A$222&amp;$A265&amp;$E265&amp;$I265,INDEX(PMtbl[Sec]&amp;PMtbl[Category]&amp;PMtbl[Each]&amp;PMtbl[Packaging],0,),0),11),""),"")</f>
        <v/>
      </c>
      <c r="BI265" s="819"/>
      <c r="BJ265" s="502" t="str" cm="1">
        <f t="array" ref="BJ265">IFERROR(INDEX(SETUP!$C$19:$G$121,MATCH((INDEX(PMtbl[[WKst]:[Unit of measure*]],MATCH($A265&amp;$E265&amp;$I265,INDEX(PMtbl[Category]&amp;PMtbl[Each]&amp;PMtbl[Packaging],0,),0),3)),SETUP!$D$19:$D$121,0),5),"")</f>
        <v/>
      </c>
      <c r="BK265" s="542" t="str" cm="1">
        <f t="array" ref="BK265">IFERROR(IF((INDEX(SETUP!$C$19:$G$121,MATCH((INDEX(PMtbl[[WKst]:[Unit of measure*]],MATCH($A265&amp;$E265&amp;$I265,INDEX(PMtbl[Category]&amp;PMtbl[Each]&amp;PMtbl[Packaging],0,),0),3)),SETUP!$D$19:$D$121,0),4))="Upfront",0,INDEX(SETUP!$C$19:$G$121,MATCH((INDEX(PMtbl[[WKst]:[Unit of measure*]],MATCH($A265&amp;$E265&amp;$I265,INDEX(PMtbl[Category]&amp;PMtbl[Each]&amp;PMtbl[Packaging],0,),0),3)),SETUP!$D$19:$D$121,0),5)),"")</f>
        <v/>
      </c>
      <c r="BL265" s="214" t="str" cm="1">
        <f t="array" ref="BL265">IF(A265&lt;&gt;"",IFERROR(INDEX(PMtbl[[WKst]:[Unit of measure*]],MATCH($A$222&amp;$A265&amp;$E265&amp;$I265,INDEX(PMtbl[Sec]&amp;PMtbl[Category]&amp;PMtbl[Each]&amp;PMtbl[Packaging],0,),0),11),""),"")</f>
        <v/>
      </c>
      <c r="BO265" s="12">
        <f>IF(N265="",0,IF(SETUP!$E$7="USD",((IF(O265="USD",P265,(P265/'Master Data-C19RM'!$C$2)))),((IF(O265="EUR",P265,(P265*'Master Data-C19RM'!$C$2))))))</f>
        <v>0</v>
      </c>
      <c r="BP265" s="12">
        <f>IF(N265="",0,IF(SETUP!$E$7="USD",((IF(O265="USD",W265,(W265/'Master Data-C19RM'!$D$2)))),((IF(O265="EUR",W265,(W265*'Master Data-C19RM'!$D$2))))))</f>
        <v>0</v>
      </c>
      <c r="BQ265">
        <f>IF(N265="",0,IF(SETUP!$E$7="USD",((IF(O265="USD",AD265,(AD265/'Master Data-C19RM'!$E$2)))),((IF(O265="EUR",AD265,(AD265*'Master Data-C19RM'!$E$2))))))</f>
        <v>0</v>
      </c>
      <c r="BR265">
        <f>IF(N265="",0,IF(SETUP!$E$7="USD",((IF(O265="USD",AK265,(AK265/'Master Data-C19RM'!$F$2)))),((IF(O265="EUR",AK265,(AK265*'Master Data-C19RM'!$F$2))))))</f>
        <v>0</v>
      </c>
      <c r="BS265">
        <f>IF(N265="",0,IF(SETUP!$E$7="USD",((IF(O265="USD",AR265,(AR265/'Master Data-C19RM'!$G$2)))),((IF(O265="EUR",AR265,(AR265*'Master Data-C19RM'!$G$2))))))</f>
        <v>0</v>
      </c>
      <c r="BT265">
        <f>IF(N265="",0,IF(SETUP!$E$7="USD",((IF(O265="USD",AY265,(AY265/'Master Data-C19RM'!$H$2)))),((IF(O265="EUR",AY265,(AY265*'Master Data-C19RM'!$H$2))))))</f>
        <v>0</v>
      </c>
      <c r="BU265" s="12">
        <f t="shared" si="32"/>
        <v>0</v>
      </c>
      <c r="BV265" s="142">
        <f t="shared" si="33"/>
        <v>0</v>
      </c>
    </row>
    <row r="266" spans="1:74" x14ac:dyDescent="0.35">
      <c r="A266" s="1192"/>
      <c r="B266" s="1192"/>
      <c r="C266" s="1192"/>
      <c r="D266" s="1192"/>
      <c r="E266" s="1173"/>
      <c r="F266" s="1173"/>
      <c r="G266" s="1173"/>
      <c r="H266" s="1173"/>
      <c r="I266" s="1173"/>
      <c r="J266" s="1173"/>
      <c r="K266" s="1173"/>
      <c r="L266" s="493" t="str" cm="1">
        <f t="array" ref="L266">IF(A266&lt;&gt;"",IFERROR(INDEX(PMtbl[[WKst]:[Unit of measure*]],MATCH($A$222&amp;$A266&amp;$E266&amp;$I266,INDEX(PMtbl[Sec]&amp;PMtbl[Category]&amp;PMtbl[Each]&amp;PMtbl[Packaging],0,),0),14),""),"")</f>
        <v/>
      </c>
      <c r="M266" s="480" t="str">
        <f>IF(L266="","",INDEX(SETUP!$E$20:$E$122,(MATCH(INDEX(PMsheet!$D:$E,MATCH(A266,PMsheet!E:E,0),1),SETUP!$D$20:$D$122,0))))</f>
        <v/>
      </c>
      <c r="N266" s="494">
        <f>IF($O266="USD",_xlfn.IFNA(VLOOKUP(A266&amp;E266&amp;I266,PMsheet!J:K,2,0),0),(_xlfn.IFNA(VLOOKUP(A266&amp;E266&amp;I266,PMsheet!J:K,2,0),0)*'Master Data-C19RM'!$C$2))</f>
        <v>0</v>
      </c>
      <c r="O266" s="495" t="str">
        <f>IF(L266="", "",SETUP!$E$7)</f>
        <v/>
      </c>
      <c r="P266" s="445">
        <f>IF($O266="USD",_xlfn.IFNA(VLOOKUP($A266&amp;$E266&amp;$I266,PMsheet!$J:$K,2,0),0),(_xlfn.IFNA(VLOOKUP($A266&amp;$E266&amp;$I266,PMsheet!$J:$K,2,0),0)*'Master Data-C19RM'!$C$2))</f>
        <v>0</v>
      </c>
      <c r="Q266" s="440"/>
      <c r="R266" s="440"/>
      <c r="S266" s="440"/>
      <c r="T266" s="440"/>
      <c r="U266" s="482">
        <f t="shared" si="34"/>
        <v>0</v>
      </c>
      <c r="V266" s="484">
        <f>IF(SETUP!$E$7="USD",(U266*(IF(O266="USD",P266,(P266/'Master Data-C19RM'!$C$2)))),(U266*(IF(O266="EUR",P266,(P266*'Master Data-C19RM'!$C$2)))))</f>
        <v>0</v>
      </c>
      <c r="W266" s="445">
        <f>IF($O266="USD",_xlfn.IFNA(VLOOKUP($A266&amp;$E266&amp;$I266,PMsheet!$J:$K,2,0),0),(_xlfn.IFNA(VLOOKUP($A266&amp;$E266&amp;$I266,PMsheet!$J:$K,2,0),0)*'Master Data-C19RM'!$D$2))</f>
        <v>0</v>
      </c>
      <c r="X266" s="440"/>
      <c r="Y266" s="440"/>
      <c r="Z266" s="440"/>
      <c r="AA266" s="440"/>
      <c r="AB266" s="482">
        <f t="shared" si="35"/>
        <v>0</v>
      </c>
      <c r="AC266" s="484">
        <f>IF(SETUP!$E$7="USD",(AB266*(IF(O266="USD",W266,(W266/'Master Data-C19RM'!$D$2)))),(AB266*(IF(O266="EUR",W266,(W266*'Master Data-C19RM'!$D$2)))))</f>
        <v>0</v>
      </c>
      <c r="AD266" s="445">
        <f>IF($O266="USD",_xlfn.IFNA(VLOOKUP($A266&amp;$E266&amp;$I266,PMsheet!$J:$K,2,0),0),(_xlfn.IFNA(VLOOKUP($A266&amp;$E266&amp;$I266,PMsheet!$J:$K,2,0),0)*'Master Data-C19RM'!$E$2))</f>
        <v>0</v>
      </c>
      <c r="AE266" s="440"/>
      <c r="AF266" s="440"/>
      <c r="AG266" s="440"/>
      <c r="AH266" s="440"/>
      <c r="AI266" s="514">
        <f t="shared" si="36"/>
        <v>0</v>
      </c>
      <c r="AJ266" s="515">
        <f>IF(SETUP!$E$7="USD",(AI266*(IF(O266="USD",AD266,(AD266/'Master Data-C19RM'!$E$2)))),(AI266*(IF(O266="EUR",AD266,(AD266*'Master Data-C19RM'!$E$2)))))</f>
        <v>0</v>
      </c>
      <c r="AK266" s="445">
        <f>IF($O266="USD",_xlfn.IFNA(VLOOKUP($A266&amp;$E266&amp;$I266,PMsheet!$J:$K,2,0),0),(_xlfn.IFNA(VLOOKUP($A266&amp;$E266&amp;$I266,PMsheet!$J:$K,2,0),0)*'Master Data-C19RM'!$F$2))</f>
        <v>0</v>
      </c>
      <c r="AL266" s="440"/>
      <c r="AM266" s="440"/>
      <c r="AN266" s="440"/>
      <c r="AO266" s="440"/>
      <c r="AP266" s="514">
        <f t="shared" si="37"/>
        <v>0</v>
      </c>
      <c r="AQ266" s="515">
        <f>IF(SETUP!$E$7="USD",(AP266*(IF(O266="USD",AK266,(AK266/'Master Data-C19RM'!$F$2)))),(AP266*(IF(O266="EUR",AK266,(AK266*'Master Data-C19RM'!$F$2)))))</f>
        <v>0</v>
      </c>
      <c r="AR266" s="457">
        <f>IF($O266="USD",_xlfn.IFNA(VLOOKUP($A266&amp;$E266&amp;$I266,PMsheet!$J:$K,2,0),0),(_xlfn.IFNA(VLOOKUP($A266&amp;$E266&amp;$I266,PMsheet!$J:$K,2,0),0)*'Master Data-C19RM'!$G$2))</f>
        <v>0</v>
      </c>
      <c r="AS266" s="926"/>
      <c r="AT266" s="926"/>
      <c r="AU266" s="926"/>
      <c r="AV266" s="926"/>
      <c r="AW266" s="514">
        <f t="shared" si="38"/>
        <v>0</v>
      </c>
      <c r="AX266" s="515">
        <f>IF(SETUP!$E$7="USD",(AW266*(IF(O266="USD",AR266,(AR266/'Master Data-C19RM'!$G$2)))),(AW266*(IF(O266="EUR",AR266,(AR266*'Master Data-C19RM'!$G$2)))))</f>
        <v>0</v>
      </c>
      <c r="AY266" s="845"/>
      <c r="AZ266" s="846"/>
      <c r="BA266" s="846"/>
      <c r="BB266" s="846"/>
      <c r="BC266" s="846"/>
      <c r="BD266" s="846"/>
      <c r="BE266" s="847"/>
      <c r="BF266" s="514">
        <f>'C19RM 2021-Lab &amp; Other HPS'!$U266+'C19RM 2021-Lab &amp; Other HPS'!$AB266+'C19RM 2021-Lab &amp; Other HPS'!$AP266+'C19RM 2021-Lab &amp; Other HPS'!$AI266+AW266+BD266</f>
        <v>0</v>
      </c>
      <c r="BG266" s="514">
        <f>'C19RM 2021-Lab &amp; Other HPS'!$V266+'C19RM 2021-Lab &amp; Other HPS'!$AC266+'C19RM 2021-Lab &amp; Other HPS'!$AQ266+'C19RM 2021-Lab &amp; Other HPS'!$AJ266+AX266+BE266</f>
        <v>0</v>
      </c>
      <c r="BH266" s="522" t="str" cm="1">
        <f t="array" ref="BH266">IF(A266&lt;&gt;"",IFERROR(INDEX(PMtbl[[WKst]:[Unit of measure*]],MATCH($A$222&amp;$A266&amp;$E266&amp;$I266,INDEX(PMtbl[Sec]&amp;PMtbl[Category]&amp;PMtbl[Each]&amp;PMtbl[Packaging],0,),0),11),""),"")</f>
        <v/>
      </c>
      <c r="BI266" s="818"/>
      <c r="BJ266" s="503" t="str" cm="1">
        <f t="array" ref="BJ266">IFERROR(INDEX(SETUP!$C$19:$G$121,MATCH((INDEX(PMtbl[[WKst]:[Unit of measure*]],MATCH($A266&amp;$E266&amp;$I266,INDEX(PMtbl[Category]&amp;PMtbl[Each]&amp;PMtbl[Packaging],0,),0),3)),SETUP!$D$19:$D$121,0),5),"")</f>
        <v/>
      </c>
      <c r="BK266" s="543" t="str" cm="1">
        <f t="array" ref="BK266">IFERROR(IF((INDEX(SETUP!$C$19:$G$121,MATCH((INDEX(PMtbl[[WKst]:[Unit of measure*]],MATCH($A266&amp;$E266&amp;$I266,INDEX(PMtbl[Category]&amp;PMtbl[Each]&amp;PMtbl[Packaging],0,),0),3)),SETUP!$D$19:$D$121,0),4))="Upfront",0,INDEX(SETUP!$C$19:$G$121,MATCH((INDEX(PMtbl[[WKst]:[Unit of measure*]],MATCH($A266&amp;$E266&amp;$I266,INDEX(PMtbl[Category]&amp;PMtbl[Each]&amp;PMtbl[Packaging],0,),0),3)),SETUP!$D$19:$D$121,0),5)),"")</f>
        <v/>
      </c>
      <c r="BL266" s="215" t="str" cm="1">
        <f t="array" ref="BL266">IF(A266&lt;&gt;"",IFERROR(INDEX(PMtbl[[WKst]:[Unit of measure*]],MATCH($A$222&amp;$A266&amp;$E266&amp;$I266,INDEX(PMtbl[Sec]&amp;PMtbl[Category]&amp;PMtbl[Each]&amp;PMtbl[Packaging],0,),0),11),""),"")</f>
        <v/>
      </c>
      <c r="BO266" s="12">
        <f>IF(N266="",0,IF(SETUP!$E$7="USD",((IF(O266="USD",P266,(P266/'Master Data-C19RM'!$C$2)))),((IF(O266="EUR",P266,(P266*'Master Data-C19RM'!$C$2))))))</f>
        <v>0</v>
      </c>
      <c r="BP266" s="12">
        <f>IF(N266="",0,IF(SETUP!$E$7="USD",((IF(O266="USD",W266,(W266/'Master Data-C19RM'!$D$2)))),((IF(O266="EUR",W266,(W266*'Master Data-C19RM'!$D$2))))))</f>
        <v>0</v>
      </c>
      <c r="BQ266">
        <f>IF(N266="",0,IF(SETUP!$E$7="USD",((IF(O266="USD",AD266,(AD266/'Master Data-C19RM'!$E$2)))),((IF(O266="EUR",AD266,(AD266*'Master Data-C19RM'!$E$2))))))</f>
        <v>0</v>
      </c>
      <c r="BR266">
        <f>IF(N266="",0,IF(SETUP!$E$7="USD",((IF(O266="USD",AK266,(AK266/'Master Data-C19RM'!$F$2)))),((IF(O266="EUR",AK266,(AK266*'Master Data-C19RM'!$F$2))))))</f>
        <v>0</v>
      </c>
      <c r="BS266">
        <f>IF(N266="",0,IF(SETUP!$E$7="USD",((IF(O266="USD",AR266,(AR266/'Master Data-C19RM'!$G$2)))),((IF(O266="EUR",AR266,(AR266*'Master Data-C19RM'!$G$2))))))</f>
        <v>0</v>
      </c>
      <c r="BT266">
        <f>IF(N266="",0,IF(SETUP!$E$7="USD",((IF(O266="USD",AY266,(AY266/'Master Data-C19RM'!$H$2)))),((IF(O266="EUR",AY266,(AY266*'Master Data-C19RM'!$H$2))))))</f>
        <v>0</v>
      </c>
      <c r="BU266" s="12">
        <f t="shared" si="32"/>
        <v>0</v>
      </c>
      <c r="BV266" s="142">
        <f t="shared" si="33"/>
        <v>0</v>
      </c>
    </row>
    <row r="267" spans="1:74" x14ac:dyDescent="0.35">
      <c r="A267" s="1165"/>
      <c r="B267" s="1165"/>
      <c r="C267" s="1165"/>
      <c r="D267" s="1165"/>
      <c r="E267" s="1166"/>
      <c r="F267" s="1166"/>
      <c r="G267" s="1166"/>
      <c r="H267" s="1166"/>
      <c r="I267" s="1166"/>
      <c r="J267" s="1166"/>
      <c r="K267" s="1166"/>
      <c r="L267" s="490" t="str" cm="1">
        <f t="array" ref="L267">IF(A267&lt;&gt;"",IFERROR(INDEX(PMtbl[[WKst]:[Unit of measure*]],MATCH($A$222&amp;$A267&amp;$E267&amp;$I267,INDEX(PMtbl[Sec]&amp;PMtbl[Category]&amp;PMtbl[Each]&amp;PMtbl[Packaging],0,),0),14),""),"")</f>
        <v/>
      </c>
      <c r="M267" s="479" t="str">
        <f>IF(L267="","",INDEX(SETUP!$E$20:$E$122,(MATCH(INDEX(PMsheet!$D:$E,MATCH(A267,PMsheet!E:E,0),1),SETUP!$D$20:$D$122,0))))</f>
        <v/>
      </c>
      <c r="N267" s="491">
        <f>IF($O267="USD",_xlfn.IFNA(VLOOKUP(A267&amp;E267&amp;I267,PMsheet!J:K,2,0),0),(_xlfn.IFNA(VLOOKUP(A267&amp;E267&amp;I267,PMsheet!J:K,2,0),0)*'Master Data-C19RM'!$C$2))</f>
        <v>0</v>
      </c>
      <c r="O267" s="492" t="str">
        <f>IF(L267="", "",SETUP!$E$7)</f>
        <v/>
      </c>
      <c r="P267" s="444">
        <f>IF($O267="USD",_xlfn.IFNA(VLOOKUP($A267&amp;$E267&amp;$I267,PMsheet!$J:$K,2,0),0),(_xlfn.IFNA(VLOOKUP($A267&amp;$E267&amp;$I267,PMsheet!$J:$K,2,0),0)*'Master Data-C19RM'!$C$2))</f>
        <v>0</v>
      </c>
      <c r="Q267" s="441"/>
      <c r="R267" s="441"/>
      <c r="S267" s="441"/>
      <c r="T267" s="441"/>
      <c r="U267" s="481">
        <f t="shared" si="34"/>
        <v>0</v>
      </c>
      <c r="V267" s="483">
        <f>IF(SETUP!$E$7="USD",(U267*(IF(O267="USD",P267,(P267/'Master Data-C19RM'!$C$2)))),(U267*(IF(O267="EUR",P267,(P267*'Master Data-C19RM'!$C$2)))))</f>
        <v>0</v>
      </c>
      <c r="W267" s="444">
        <f>IF($O267="USD",_xlfn.IFNA(VLOOKUP($A267&amp;$E267&amp;$I267,PMsheet!$J:$K,2,0),0),(_xlfn.IFNA(VLOOKUP($A267&amp;$E267&amp;$I267,PMsheet!$J:$K,2,0),0)*'Master Data-C19RM'!$D$2))</f>
        <v>0</v>
      </c>
      <c r="X267" s="441"/>
      <c r="Y267" s="441"/>
      <c r="Z267" s="441"/>
      <c r="AA267" s="441"/>
      <c r="AB267" s="481">
        <f t="shared" si="35"/>
        <v>0</v>
      </c>
      <c r="AC267" s="483">
        <f>IF(SETUP!$E$7="USD",(AB267*(IF(O267="USD",W267,(W267/'Master Data-C19RM'!$D$2)))),(AB267*(IF(O267="EUR",W267,(W267*'Master Data-C19RM'!$D$2)))))</f>
        <v>0</v>
      </c>
      <c r="AD267" s="444">
        <f>IF($O267="USD",_xlfn.IFNA(VLOOKUP($A267&amp;$E267&amp;$I267,PMsheet!$J:$K,2,0),0),(_xlfn.IFNA(VLOOKUP($A267&amp;$E267&amp;$I267,PMsheet!$J:$K,2,0),0)*'Master Data-C19RM'!$E$2))</f>
        <v>0</v>
      </c>
      <c r="AE267" s="441"/>
      <c r="AF267" s="441"/>
      <c r="AG267" s="441"/>
      <c r="AH267" s="441"/>
      <c r="AI267" s="512">
        <f t="shared" si="36"/>
        <v>0</v>
      </c>
      <c r="AJ267" s="513">
        <f>IF(SETUP!$E$7="USD",(AI267*(IF(O267="USD",AD267,(AD267/'Master Data-C19RM'!$E$2)))),(AI267*(IF(O267="EUR",AD267,(AD267*'Master Data-C19RM'!$E$2)))))</f>
        <v>0</v>
      </c>
      <c r="AK267" s="444">
        <f>IF($O267="USD",_xlfn.IFNA(VLOOKUP($A267&amp;$E267&amp;$I267,PMsheet!$J:$K,2,0),0),(_xlfn.IFNA(VLOOKUP($A267&amp;$E267&amp;$I267,PMsheet!$J:$K,2,0),0)*'Master Data-C19RM'!$F$2))</f>
        <v>0</v>
      </c>
      <c r="AL267" s="441"/>
      <c r="AM267" s="441"/>
      <c r="AN267" s="441"/>
      <c r="AO267" s="441"/>
      <c r="AP267" s="512">
        <f t="shared" si="37"/>
        <v>0</v>
      </c>
      <c r="AQ267" s="513">
        <f>IF(SETUP!$E$7="USD",(AP267*(IF(O267="USD",AK267,(AK267/'Master Data-C19RM'!$F$2)))),(AP267*(IF(O267="EUR",AK267,(AK267*'Master Data-C19RM'!$F$2)))))</f>
        <v>0</v>
      </c>
      <c r="AR267" s="456">
        <f>IF($O267="USD",_xlfn.IFNA(VLOOKUP($A267&amp;$E267&amp;$I267,PMsheet!$J:$K,2,0),0),(_xlfn.IFNA(VLOOKUP($A267&amp;$E267&amp;$I267,PMsheet!$J:$K,2,0),0)*'Master Data-C19RM'!$G$2))</f>
        <v>0</v>
      </c>
      <c r="AS267" s="572"/>
      <c r="AT267" s="572"/>
      <c r="AU267" s="572"/>
      <c r="AV267" s="572"/>
      <c r="AW267" s="512">
        <f t="shared" si="38"/>
        <v>0</v>
      </c>
      <c r="AX267" s="513">
        <f>IF(SETUP!$E$7="USD",(AW267*(IF(O267="USD",AR267,(AR267/'Master Data-C19RM'!$G$2)))),(AW267*(IF(O267="EUR",AR267,(AR267*'Master Data-C19RM'!$G$2)))))</f>
        <v>0</v>
      </c>
      <c r="AY267" s="845"/>
      <c r="AZ267" s="846"/>
      <c r="BA267" s="846"/>
      <c r="BB267" s="846"/>
      <c r="BC267" s="846"/>
      <c r="BD267" s="846"/>
      <c r="BE267" s="847"/>
      <c r="BF267" s="512">
        <f>'C19RM 2021-Lab &amp; Other HPS'!$U267+'C19RM 2021-Lab &amp; Other HPS'!$AB267+'C19RM 2021-Lab &amp; Other HPS'!$AP267+'C19RM 2021-Lab &amp; Other HPS'!$AI267+AW267+BD267</f>
        <v>0</v>
      </c>
      <c r="BG267" s="512">
        <f>'C19RM 2021-Lab &amp; Other HPS'!$V267+'C19RM 2021-Lab &amp; Other HPS'!$AC267+'C19RM 2021-Lab &amp; Other HPS'!$AQ267+'C19RM 2021-Lab &amp; Other HPS'!$AJ267+AX267+BE267</f>
        <v>0</v>
      </c>
      <c r="BH267" s="500" t="str" cm="1">
        <f t="array" ref="BH267">IF(A267&lt;&gt;"",IFERROR(INDEX(PMtbl[[WKst]:[Unit of measure*]],MATCH($A$222&amp;$A267&amp;$E267&amp;$I267,INDEX(PMtbl[Sec]&amp;PMtbl[Category]&amp;PMtbl[Each]&amp;PMtbl[Packaging],0,),0),11),""),"")</f>
        <v/>
      </c>
      <c r="BI267" s="819"/>
      <c r="BJ267" s="502" t="str" cm="1">
        <f t="array" ref="BJ267">IFERROR(INDEX(SETUP!$C$19:$G$121,MATCH((INDEX(PMtbl[[WKst]:[Unit of measure*]],MATCH($A267&amp;$E267&amp;$I267,INDEX(PMtbl[Category]&amp;PMtbl[Each]&amp;PMtbl[Packaging],0,),0),3)),SETUP!$D$19:$D$121,0),5),"")</f>
        <v/>
      </c>
      <c r="BK267" s="542" t="str" cm="1">
        <f t="array" ref="BK267">IFERROR(IF((INDEX(SETUP!$C$19:$G$121,MATCH((INDEX(PMtbl[[WKst]:[Unit of measure*]],MATCH($A267&amp;$E267&amp;$I267,INDEX(PMtbl[Category]&amp;PMtbl[Each]&amp;PMtbl[Packaging],0,),0),3)),SETUP!$D$19:$D$121,0),4))="Upfront",0,INDEX(SETUP!$C$19:$G$121,MATCH((INDEX(PMtbl[[WKst]:[Unit of measure*]],MATCH($A267&amp;$E267&amp;$I267,INDEX(PMtbl[Category]&amp;PMtbl[Each]&amp;PMtbl[Packaging],0,),0),3)),SETUP!$D$19:$D$121,0),5)),"")</f>
        <v/>
      </c>
      <c r="BL267" s="214" t="str" cm="1">
        <f t="array" ref="BL267">IF(A267&lt;&gt;"",IFERROR(INDEX(PMtbl[[WKst]:[Unit of measure*]],MATCH($A$222&amp;$A267&amp;$E267&amp;$I267,INDEX(PMtbl[Sec]&amp;PMtbl[Category]&amp;PMtbl[Each]&amp;PMtbl[Packaging],0,),0),11),""),"")</f>
        <v/>
      </c>
      <c r="BO267" s="12">
        <f>IF(N267="",0,IF(SETUP!$E$7="USD",((IF(O267="USD",P267,(P267/'Master Data-C19RM'!$C$2)))),((IF(O267="EUR",P267,(P267*'Master Data-C19RM'!$C$2))))))</f>
        <v>0</v>
      </c>
      <c r="BP267" s="12">
        <f>IF(N267="",0,IF(SETUP!$E$7="USD",((IF(O267="USD",W267,(W267/'Master Data-C19RM'!$D$2)))),((IF(O267="EUR",W267,(W267*'Master Data-C19RM'!$D$2))))))</f>
        <v>0</v>
      </c>
      <c r="BQ267">
        <f>IF(N267="",0,IF(SETUP!$E$7="USD",((IF(O267="USD",AD267,(AD267/'Master Data-C19RM'!$E$2)))),((IF(O267="EUR",AD267,(AD267*'Master Data-C19RM'!$E$2))))))</f>
        <v>0</v>
      </c>
      <c r="BR267">
        <f>IF(N267="",0,IF(SETUP!$E$7="USD",((IF(O267="USD",AK267,(AK267/'Master Data-C19RM'!$F$2)))),((IF(O267="EUR",AK267,(AK267*'Master Data-C19RM'!$F$2))))))</f>
        <v>0</v>
      </c>
      <c r="BS267">
        <f>IF(N267="",0,IF(SETUP!$E$7="USD",((IF(O267="USD",AR267,(AR267/'Master Data-C19RM'!$G$2)))),((IF(O267="EUR",AR267,(AR267*'Master Data-C19RM'!$G$2))))))</f>
        <v>0</v>
      </c>
      <c r="BT267">
        <f>IF(N267="",0,IF(SETUP!$E$7="USD",((IF(O267="USD",AY267,(AY267/'Master Data-C19RM'!$H$2)))),((IF(O267="EUR",AY267,(AY267*'Master Data-C19RM'!$H$2))))))</f>
        <v>0</v>
      </c>
      <c r="BU267" s="12">
        <f t="shared" si="32"/>
        <v>0</v>
      </c>
      <c r="BV267" s="142">
        <f t="shared" si="33"/>
        <v>0</v>
      </c>
    </row>
    <row r="268" spans="1:74" x14ac:dyDescent="0.35">
      <c r="A268" s="1172"/>
      <c r="B268" s="1172"/>
      <c r="C268" s="1172"/>
      <c r="D268" s="1172"/>
      <c r="E268" s="1173"/>
      <c r="F268" s="1173"/>
      <c r="G268" s="1173"/>
      <c r="H268" s="1173"/>
      <c r="I268" s="1173"/>
      <c r="J268" s="1173"/>
      <c r="K268" s="1173"/>
      <c r="L268" s="493" t="str" cm="1">
        <f t="array" ref="L268">IF(A268&lt;&gt;"",IFERROR(INDEX(PMtbl[[WKst]:[Unit of measure*]],MATCH($A$222&amp;$A268&amp;$E268&amp;$I268,INDEX(PMtbl[Sec]&amp;PMtbl[Category]&amp;PMtbl[Each]&amp;PMtbl[Packaging],0,),0),14),""),"")</f>
        <v/>
      </c>
      <c r="M268" s="480" t="str">
        <f>IF(L268="","",INDEX(SETUP!$E$20:$E$122,(MATCH(INDEX(PMsheet!$D:$E,MATCH(A268,PMsheet!E:E,0),1),SETUP!$D$20:$D$122,0))))</f>
        <v/>
      </c>
      <c r="N268" s="494">
        <f>IF($O268="USD",_xlfn.IFNA(VLOOKUP(A268&amp;E268&amp;I268,PMsheet!J:K,2,0),0),(_xlfn.IFNA(VLOOKUP(A268&amp;E268&amp;I268,PMsheet!J:K,2,0),0)*'Master Data-C19RM'!$C$2))</f>
        <v>0</v>
      </c>
      <c r="O268" s="495" t="str">
        <f>IF(L268="", "",SETUP!$E$7)</f>
        <v/>
      </c>
      <c r="P268" s="445">
        <f>IF($O268="USD",_xlfn.IFNA(VLOOKUP($A268&amp;$E268&amp;$I268,PMsheet!$J:$K,2,0),0),(_xlfn.IFNA(VLOOKUP($A268&amp;$E268&amp;$I268,PMsheet!$J:$K,2,0),0)*'Master Data-C19RM'!$C$2))</f>
        <v>0</v>
      </c>
      <c r="Q268" s="440"/>
      <c r="R268" s="440"/>
      <c r="S268" s="440"/>
      <c r="T268" s="440"/>
      <c r="U268" s="482">
        <f t="shared" si="34"/>
        <v>0</v>
      </c>
      <c r="V268" s="484">
        <f>IF(SETUP!$E$7="USD",(U268*(IF(O268="USD",P268,(P268/'Master Data-C19RM'!$C$2)))),(U268*(IF(O268="EUR",P268,(P268*'Master Data-C19RM'!$C$2)))))</f>
        <v>0</v>
      </c>
      <c r="W268" s="445">
        <f>IF($O268="USD",_xlfn.IFNA(VLOOKUP($A268&amp;$E268&amp;$I268,PMsheet!$J:$K,2,0),0),(_xlfn.IFNA(VLOOKUP($A268&amp;$E268&amp;$I268,PMsheet!$J:$K,2,0),0)*'Master Data-C19RM'!$D$2))</f>
        <v>0</v>
      </c>
      <c r="X268" s="440"/>
      <c r="Y268" s="440"/>
      <c r="Z268" s="440"/>
      <c r="AA268" s="440"/>
      <c r="AB268" s="482">
        <f t="shared" si="35"/>
        <v>0</v>
      </c>
      <c r="AC268" s="484">
        <f>IF(SETUP!$E$7="USD",(AB268*(IF(O268="USD",W268,(W268/'Master Data-C19RM'!$D$2)))),(AB268*(IF(O268="EUR",W268,(W268*'Master Data-C19RM'!$D$2)))))</f>
        <v>0</v>
      </c>
      <c r="AD268" s="445">
        <f>IF($O268="USD",_xlfn.IFNA(VLOOKUP($A268&amp;$E268&amp;$I268,PMsheet!$J:$K,2,0),0),(_xlfn.IFNA(VLOOKUP($A268&amp;$E268&amp;$I268,PMsheet!$J:$K,2,0),0)*'Master Data-C19RM'!$E$2))</f>
        <v>0</v>
      </c>
      <c r="AE268" s="440"/>
      <c r="AF268" s="440"/>
      <c r="AG268" s="440"/>
      <c r="AH268" s="440"/>
      <c r="AI268" s="514">
        <f t="shared" si="36"/>
        <v>0</v>
      </c>
      <c r="AJ268" s="515">
        <f>IF(SETUP!$E$7="USD",(AI268*(IF(O268="USD",AD268,(AD268/'Master Data-C19RM'!$E$2)))),(AI268*(IF(O268="EUR",AD268,(AD268*'Master Data-C19RM'!$E$2)))))</f>
        <v>0</v>
      </c>
      <c r="AK268" s="445">
        <f>IF($O268="USD",_xlfn.IFNA(VLOOKUP($A268&amp;$E268&amp;$I268,PMsheet!$J:$K,2,0),0),(_xlfn.IFNA(VLOOKUP($A268&amp;$E268&amp;$I268,PMsheet!$J:$K,2,0),0)*'Master Data-C19RM'!$F$2))</f>
        <v>0</v>
      </c>
      <c r="AL268" s="440"/>
      <c r="AM268" s="440"/>
      <c r="AN268" s="440"/>
      <c r="AO268" s="440"/>
      <c r="AP268" s="514">
        <f t="shared" si="37"/>
        <v>0</v>
      </c>
      <c r="AQ268" s="515">
        <f>IF(SETUP!$E$7="USD",(AP268*(IF(O268="USD",AK268,(AK268/'Master Data-C19RM'!$F$2)))),(AP268*(IF(O268="EUR",AK268,(AK268*'Master Data-C19RM'!$F$2)))))</f>
        <v>0</v>
      </c>
      <c r="AR268" s="457">
        <f>IF($O268="USD",_xlfn.IFNA(VLOOKUP($A268&amp;$E268&amp;$I268,PMsheet!$J:$K,2,0),0),(_xlfn.IFNA(VLOOKUP($A268&amp;$E268&amp;$I268,PMsheet!$J:$K,2,0),0)*'Master Data-C19RM'!$G$2))</f>
        <v>0</v>
      </c>
      <c r="AS268" s="926"/>
      <c r="AT268" s="926"/>
      <c r="AU268" s="926"/>
      <c r="AV268" s="926"/>
      <c r="AW268" s="514">
        <f t="shared" si="38"/>
        <v>0</v>
      </c>
      <c r="AX268" s="515">
        <f>IF(SETUP!$E$7="USD",(AW268*(IF(O268="USD",AR268,(AR268/'Master Data-C19RM'!$G$2)))),(AW268*(IF(O268="EUR",AR268,(AR268*'Master Data-C19RM'!$G$2)))))</f>
        <v>0</v>
      </c>
      <c r="AY268" s="845"/>
      <c r="AZ268" s="846"/>
      <c r="BA268" s="846"/>
      <c r="BB268" s="846"/>
      <c r="BC268" s="846"/>
      <c r="BD268" s="846"/>
      <c r="BE268" s="847"/>
      <c r="BF268" s="514">
        <f>'C19RM 2021-Lab &amp; Other HPS'!$U268+'C19RM 2021-Lab &amp; Other HPS'!$AB268+'C19RM 2021-Lab &amp; Other HPS'!$AP268+'C19RM 2021-Lab &amp; Other HPS'!$AI268+AW268+BD268</f>
        <v>0</v>
      </c>
      <c r="BG268" s="514">
        <f>'C19RM 2021-Lab &amp; Other HPS'!$V268+'C19RM 2021-Lab &amp; Other HPS'!$AC268+'C19RM 2021-Lab &amp; Other HPS'!$AQ268+'C19RM 2021-Lab &amp; Other HPS'!$AJ268+AX268+BE268</f>
        <v>0</v>
      </c>
      <c r="BH268" s="522" t="str" cm="1">
        <f t="array" ref="BH268">IF(A268&lt;&gt;"",IFERROR(INDEX(PMtbl[[WKst]:[Unit of measure*]],MATCH($A$222&amp;$A268&amp;$E268&amp;$I268,INDEX(PMtbl[Sec]&amp;PMtbl[Category]&amp;PMtbl[Each]&amp;PMtbl[Packaging],0,),0),11),""),"")</f>
        <v/>
      </c>
      <c r="BI268" s="818"/>
      <c r="BJ268" s="503" t="str" cm="1">
        <f t="array" ref="BJ268">IFERROR(INDEX(SETUP!$C$19:$G$121,MATCH((INDEX(PMtbl[[WKst]:[Unit of measure*]],MATCH($A268&amp;$E268&amp;$I268,INDEX(PMtbl[Category]&amp;PMtbl[Each]&amp;PMtbl[Packaging],0,),0),3)),SETUP!$D$19:$D$121,0),5),"")</f>
        <v/>
      </c>
      <c r="BK268" s="543" t="str" cm="1">
        <f t="array" ref="BK268">IFERROR(IF((INDEX(SETUP!$C$19:$G$121,MATCH((INDEX(PMtbl[[WKst]:[Unit of measure*]],MATCH($A268&amp;$E268&amp;$I268,INDEX(PMtbl[Category]&amp;PMtbl[Each]&amp;PMtbl[Packaging],0,),0),3)),SETUP!$D$19:$D$121,0),4))="Upfront",0,INDEX(SETUP!$C$19:$G$121,MATCH((INDEX(PMtbl[[WKst]:[Unit of measure*]],MATCH($A268&amp;$E268&amp;$I268,INDEX(PMtbl[Category]&amp;PMtbl[Each]&amp;PMtbl[Packaging],0,),0),3)),SETUP!$D$19:$D$121,0),5)),"")</f>
        <v/>
      </c>
      <c r="BL268" s="215" t="str" cm="1">
        <f t="array" ref="BL268">IF(A268&lt;&gt;"",IFERROR(INDEX(PMtbl[[WKst]:[Unit of measure*]],MATCH($A$222&amp;$A268&amp;$E268&amp;$I268,INDEX(PMtbl[Sec]&amp;PMtbl[Category]&amp;PMtbl[Each]&amp;PMtbl[Packaging],0,),0),11),""),"")</f>
        <v/>
      </c>
      <c r="BO268" s="12">
        <f>IF(N268="",0,IF(SETUP!$E$7="USD",((IF(O268="USD",P268,(P268/'Master Data-C19RM'!$C$2)))),((IF(O268="EUR",P268,(P268*'Master Data-C19RM'!$C$2))))))</f>
        <v>0</v>
      </c>
      <c r="BP268" s="12">
        <f>IF(N268="",0,IF(SETUP!$E$7="USD",((IF(O268="USD",W268,(W268/'Master Data-C19RM'!$D$2)))),((IF(O268="EUR",W268,(W268*'Master Data-C19RM'!$D$2))))))</f>
        <v>0</v>
      </c>
      <c r="BQ268">
        <f>IF(N268="",0,IF(SETUP!$E$7="USD",((IF(O268="USD",AD268,(AD268/'Master Data-C19RM'!$E$2)))),((IF(O268="EUR",AD268,(AD268*'Master Data-C19RM'!$E$2))))))</f>
        <v>0</v>
      </c>
      <c r="BR268">
        <f>IF(N268="",0,IF(SETUP!$E$7="USD",((IF(O268="USD",AK268,(AK268/'Master Data-C19RM'!$F$2)))),((IF(O268="EUR",AK268,(AK268*'Master Data-C19RM'!$F$2))))))</f>
        <v>0</v>
      </c>
      <c r="BS268">
        <f>IF(N268="",0,IF(SETUP!$E$7="USD",((IF(O268="USD",AR268,(AR268/'Master Data-C19RM'!$G$2)))),((IF(O268="EUR",AR268,(AR268*'Master Data-C19RM'!$G$2))))))</f>
        <v>0</v>
      </c>
      <c r="BT268">
        <f>IF(N268="",0,IF(SETUP!$E$7="USD",((IF(O268="USD",AY268,(AY268/'Master Data-C19RM'!$H$2)))),((IF(O268="EUR",AY268,(AY268*'Master Data-C19RM'!$H$2))))))</f>
        <v>0</v>
      </c>
      <c r="BU268" s="12">
        <f t="shared" si="32"/>
        <v>0</v>
      </c>
      <c r="BV268" s="142">
        <f t="shared" si="33"/>
        <v>0</v>
      </c>
    </row>
    <row r="269" spans="1:74" x14ac:dyDescent="0.35">
      <c r="A269" s="1165"/>
      <c r="B269" s="1165"/>
      <c r="C269" s="1165"/>
      <c r="D269" s="1165"/>
      <c r="E269" s="1166"/>
      <c r="F269" s="1166"/>
      <c r="G269" s="1166"/>
      <c r="H269" s="1166"/>
      <c r="I269" s="1166"/>
      <c r="J269" s="1166"/>
      <c r="K269" s="1166"/>
      <c r="L269" s="490" t="str" cm="1">
        <f t="array" ref="L269">IF(A269&lt;&gt;"",IFERROR(INDEX(PMtbl[[WKst]:[Unit of measure*]],MATCH($A$222&amp;$A269&amp;$E269&amp;$I269,INDEX(PMtbl[Sec]&amp;PMtbl[Category]&amp;PMtbl[Each]&amp;PMtbl[Packaging],0,),0),14),""),"")</f>
        <v/>
      </c>
      <c r="M269" s="479" t="str">
        <f>IF(L269="","",INDEX(SETUP!$E$20:$E$122,(MATCH(INDEX(PMsheet!$D:$E,MATCH(A269,PMsheet!E:E,0),1),SETUP!$D$20:$D$122,0))))</f>
        <v/>
      </c>
      <c r="N269" s="491">
        <f>IF($O269="USD",_xlfn.IFNA(VLOOKUP(A269&amp;E269&amp;I269,PMsheet!J:K,2,0),0),(_xlfn.IFNA(VLOOKUP(A269&amp;E269&amp;I269,PMsheet!J:K,2,0),0)*'Master Data-C19RM'!$C$2))</f>
        <v>0</v>
      </c>
      <c r="O269" s="492" t="str">
        <f>IF(L269="", "",SETUP!$E$7)</f>
        <v/>
      </c>
      <c r="P269" s="444">
        <f>IF($O269="USD",_xlfn.IFNA(VLOOKUP($A269&amp;$E269&amp;$I269,PMsheet!$J:$K,2,0),0),(_xlfn.IFNA(VLOOKUP($A269&amp;$E269&amp;$I269,PMsheet!$J:$K,2,0),0)*'Master Data-C19RM'!$C$2))</f>
        <v>0</v>
      </c>
      <c r="Q269" s="441"/>
      <c r="R269" s="441"/>
      <c r="S269" s="441"/>
      <c r="T269" s="441"/>
      <c r="U269" s="481">
        <f t="shared" si="34"/>
        <v>0</v>
      </c>
      <c r="V269" s="483">
        <f>IF(SETUP!$E$7="USD",(U269*(IF(O269="USD",P269,(P269/'Master Data-C19RM'!$C$2)))),(U269*(IF(O269="EUR",P269,(P269*'Master Data-C19RM'!$C$2)))))</f>
        <v>0</v>
      </c>
      <c r="W269" s="444">
        <f>IF($O269="USD",_xlfn.IFNA(VLOOKUP($A269&amp;$E269&amp;$I269,PMsheet!$J:$K,2,0),0),(_xlfn.IFNA(VLOOKUP($A269&amp;$E269&amp;$I269,PMsheet!$J:$K,2,0),0)*'Master Data-C19RM'!$D$2))</f>
        <v>0</v>
      </c>
      <c r="X269" s="441"/>
      <c r="Y269" s="441"/>
      <c r="Z269" s="441"/>
      <c r="AA269" s="441"/>
      <c r="AB269" s="481">
        <f t="shared" si="35"/>
        <v>0</v>
      </c>
      <c r="AC269" s="483">
        <f>IF(SETUP!$E$7="USD",(AB269*(IF(O269="USD",W269,(W269/'Master Data-C19RM'!$D$2)))),(AB269*(IF(O269="EUR",W269,(W269*'Master Data-C19RM'!$D$2)))))</f>
        <v>0</v>
      </c>
      <c r="AD269" s="444">
        <f>IF($O269="USD",_xlfn.IFNA(VLOOKUP($A269&amp;$E269&amp;$I269,PMsheet!$J:$K,2,0),0),(_xlfn.IFNA(VLOOKUP($A269&amp;$E269&amp;$I269,PMsheet!$J:$K,2,0),0)*'Master Data-C19RM'!$E$2))</f>
        <v>0</v>
      </c>
      <c r="AE269" s="441"/>
      <c r="AF269" s="441"/>
      <c r="AG269" s="441"/>
      <c r="AH269" s="441"/>
      <c r="AI269" s="512">
        <f t="shared" si="36"/>
        <v>0</v>
      </c>
      <c r="AJ269" s="513">
        <f>IF(SETUP!$E$7="USD",(AI269*(IF(O269="USD",AD269,(AD269/'Master Data-C19RM'!$E$2)))),(AI269*(IF(O269="EUR",AD269,(AD269*'Master Data-C19RM'!$E$2)))))</f>
        <v>0</v>
      </c>
      <c r="AK269" s="444">
        <f>IF($O269="USD",_xlfn.IFNA(VLOOKUP($A269&amp;$E269&amp;$I269,PMsheet!$J:$K,2,0),0),(_xlfn.IFNA(VLOOKUP($A269&amp;$E269&amp;$I269,PMsheet!$J:$K,2,0),0)*'Master Data-C19RM'!$F$2))</f>
        <v>0</v>
      </c>
      <c r="AL269" s="441"/>
      <c r="AM269" s="441"/>
      <c r="AN269" s="441"/>
      <c r="AO269" s="441"/>
      <c r="AP269" s="512">
        <f t="shared" si="37"/>
        <v>0</v>
      </c>
      <c r="AQ269" s="513">
        <f>IF(SETUP!$E$7="USD",(AP269*(IF(O269="USD",AK269,(AK269/'Master Data-C19RM'!$F$2)))),(AP269*(IF(O269="EUR",AK269,(AK269*'Master Data-C19RM'!$F$2)))))</f>
        <v>0</v>
      </c>
      <c r="AR269" s="456">
        <f>IF($O269="USD",_xlfn.IFNA(VLOOKUP($A269&amp;$E269&amp;$I269,PMsheet!$J:$K,2,0),0),(_xlfn.IFNA(VLOOKUP($A269&amp;$E269&amp;$I269,PMsheet!$J:$K,2,0),0)*'Master Data-C19RM'!$G$2))</f>
        <v>0</v>
      </c>
      <c r="AS269" s="572"/>
      <c r="AT269" s="572"/>
      <c r="AU269" s="572"/>
      <c r="AV269" s="572"/>
      <c r="AW269" s="512">
        <f t="shared" si="38"/>
        <v>0</v>
      </c>
      <c r="AX269" s="513">
        <f>IF(SETUP!$E$7="USD",(AW269*(IF(O269="USD",AR269,(AR269/'Master Data-C19RM'!$G$2)))),(AW269*(IF(O269="EUR",AR269,(AR269*'Master Data-C19RM'!$G$2)))))</f>
        <v>0</v>
      </c>
      <c r="AY269" s="845"/>
      <c r="AZ269" s="846"/>
      <c r="BA269" s="846"/>
      <c r="BB269" s="846"/>
      <c r="BC269" s="846"/>
      <c r="BD269" s="846"/>
      <c r="BE269" s="847"/>
      <c r="BF269" s="512">
        <f>'C19RM 2021-Lab &amp; Other HPS'!$U269+'C19RM 2021-Lab &amp; Other HPS'!$AB269+'C19RM 2021-Lab &amp; Other HPS'!$AP269+'C19RM 2021-Lab &amp; Other HPS'!$AI269+AW269+BD269</f>
        <v>0</v>
      </c>
      <c r="BG269" s="512">
        <f>'C19RM 2021-Lab &amp; Other HPS'!$V269+'C19RM 2021-Lab &amp; Other HPS'!$AC269+'C19RM 2021-Lab &amp; Other HPS'!$AQ269+'C19RM 2021-Lab &amp; Other HPS'!$AJ269+AX269+BE269</f>
        <v>0</v>
      </c>
      <c r="BH269" s="500" t="str" cm="1">
        <f t="array" ref="BH269">IF(A269&lt;&gt;"",IFERROR(INDEX(PMtbl[[WKst]:[Unit of measure*]],MATCH($A$222&amp;$A269&amp;$E269&amp;$I269,INDEX(PMtbl[Sec]&amp;PMtbl[Category]&amp;PMtbl[Each]&amp;PMtbl[Packaging],0,),0),11),""),"")</f>
        <v/>
      </c>
      <c r="BI269" s="819"/>
      <c r="BJ269" s="502" t="str" cm="1">
        <f t="array" ref="BJ269">IFERROR(INDEX(SETUP!$C$19:$G$121,MATCH((INDEX(PMtbl[[WKst]:[Unit of measure*]],MATCH($A269&amp;$E269&amp;$I269,INDEX(PMtbl[Category]&amp;PMtbl[Each]&amp;PMtbl[Packaging],0,),0),3)),SETUP!$D$19:$D$121,0),5),"")</f>
        <v/>
      </c>
      <c r="BK269" s="542" t="str" cm="1">
        <f t="array" ref="BK269">IFERROR(IF((INDEX(SETUP!$C$19:$G$121,MATCH((INDEX(PMtbl[[WKst]:[Unit of measure*]],MATCH($A269&amp;$E269&amp;$I269,INDEX(PMtbl[Category]&amp;PMtbl[Each]&amp;PMtbl[Packaging],0,),0),3)),SETUP!$D$19:$D$121,0),4))="Upfront",0,INDEX(SETUP!$C$19:$G$121,MATCH((INDEX(PMtbl[[WKst]:[Unit of measure*]],MATCH($A269&amp;$E269&amp;$I269,INDEX(PMtbl[Category]&amp;PMtbl[Each]&amp;PMtbl[Packaging],0,),0),3)),SETUP!$D$19:$D$121,0),5)),"")</f>
        <v/>
      </c>
      <c r="BL269" s="214" t="str" cm="1">
        <f t="array" ref="BL269">IF(A269&lt;&gt;"",IFERROR(INDEX(PMtbl[[WKst]:[Unit of measure*]],MATCH($A$222&amp;$A269&amp;$E269&amp;$I269,INDEX(PMtbl[Sec]&amp;PMtbl[Category]&amp;PMtbl[Each]&amp;PMtbl[Packaging],0,),0),11),""),"")</f>
        <v/>
      </c>
      <c r="BO269" s="12">
        <f>IF(N269="",0,IF(SETUP!$E$7="USD",((IF(O269="USD",P269,(P269/'Master Data-C19RM'!$C$2)))),((IF(O269="EUR",P269,(P269*'Master Data-C19RM'!$C$2))))))</f>
        <v>0</v>
      </c>
      <c r="BP269" s="12">
        <f>IF(N269="",0,IF(SETUP!$E$7="USD",((IF(O269="USD",W269,(W269/'Master Data-C19RM'!$D$2)))),((IF(O269="EUR",W269,(W269*'Master Data-C19RM'!$D$2))))))</f>
        <v>0</v>
      </c>
      <c r="BQ269">
        <f>IF(N269="",0,IF(SETUP!$E$7="USD",((IF(O269="USD",AD269,(AD269/'Master Data-C19RM'!$E$2)))),((IF(O269="EUR",AD269,(AD269*'Master Data-C19RM'!$E$2))))))</f>
        <v>0</v>
      </c>
      <c r="BR269">
        <f>IF(N269="",0,IF(SETUP!$E$7="USD",((IF(O269="USD",AK269,(AK269/'Master Data-C19RM'!$F$2)))),((IF(O269="EUR",AK269,(AK269*'Master Data-C19RM'!$F$2))))))</f>
        <v>0</v>
      </c>
      <c r="BS269">
        <f>IF(N269="",0,IF(SETUP!$E$7="USD",((IF(O269="USD",AR269,(AR269/'Master Data-C19RM'!$G$2)))),((IF(O269="EUR",AR269,(AR269*'Master Data-C19RM'!$G$2))))))</f>
        <v>0</v>
      </c>
      <c r="BT269">
        <f>IF(N269="",0,IF(SETUP!$E$7="USD",((IF(O269="USD",AY269,(AY269/'Master Data-C19RM'!$H$2)))),((IF(O269="EUR",AY269,(AY269*'Master Data-C19RM'!$H$2))))))</f>
        <v>0</v>
      </c>
      <c r="BU269" s="12">
        <f t="shared" si="32"/>
        <v>0</v>
      </c>
      <c r="BV269" s="142">
        <f t="shared" si="33"/>
        <v>0</v>
      </c>
    </row>
    <row r="270" spans="1:74" x14ac:dyDescent="0.35">
      <c r="A270" s="1172"/>
      <c r="B270" s="1172"/>
      <c r="C270" s="1172"/>
      <c r="D270" s="1172"/>
      <c r="E270" s="1173"/>
      <c r="F270" s="1173"/>
      <c r="G270" s="1173"/>
      <c r="H270" s="1173"/>
      <c r="I270" s="1173"/>
      <c r="J270" s="1173"/>
      <c r="K270" s="1173"/>
      <c r="L270" s="493" t="str" cm="1">
        <f t="array" ref="L270">IF(A270&lt;&gt;"",IFERROR(INDEX(PMtbl[[WKst]:[Unit of measure*]],MATCH($A$222&amp;$A270&amp;$E270&amp;$I270,INDEX(PMtbl[Sec]&amp;PMtbl[Category]&amp;PMtbl[Each]&amp;PMtbl[Packaging],0,),0),14),""),"")</f>
        <v/>
      </c>
      <c r="M270" s="480" t="str">
        <f>IF(L270="","",INDEX(SETUP!$E$20:$E$122,(MATCH(INDEX(PMsheet!$D:$E,MATCH(A270,PMsheet!E:E,0),1),SETUP!$D$20:$D$122,0))))</f>
        <v/>
      </c>
      <c r="N270" s="494">
        <f>IF($O270="USD",_xlfn.IFNA(VLOOKUP(A270&amp;E270&amp;I270,PMsheet!J:K,2,0),0),(_xlfn.IFNA(VLOOKUP(A270&amp;E270&amp;I270,PMsheet!J:K,2,0),0)*'Master Data-C19RM'!$C$2))</f>
        <v>0</v>
      </c>
      <c r="O270" s="495" t="str">
        <f>IF(L270="", "",SETUP!$E$7)</f>
        <v/>
      </c>
      <c r="P270" s="445">
        <f>IF($O270="USD",_xlfn.IFNA(VLOOKUP($A270&amp;$E270&amp;$I270,PMsheet!$J:$K,2,0),0),(_xlfn.IFNA(VLOOKUP($A270&amp;$E270&amp;$I270,PMsheet!$J:$K,2,0),0)*'Master Data-C19RM'!$C$2))</f>
        <v>0</v>
      </c>
      <c r="Q270" s="440"/>
      <c r="R270" s="440"/>
      <c r="S270" s="440"/>
      <c r="T270" s="440"/>
      <c r="U270" s="482">
        <f t="shared" si="34"/>
        <v>0</v>
      </c>
      <c r="V270" s="484">
        <f>IF(SETUP!$E$7="USD",(U270*(IF(O270="USD",P270,(P270/'Master Data-C19RM'!$C$2)))),(U270*(IF(O270="EUR",P270,(P270*'Master Data-C19RM'!$C$2)))))</f>
        <v>0</v>
      </c>
      <c r="W270" s="445">
        <f>IF($O270="USD",_xlfn.IFNA(VLOOKUP($A270&amp;$E270&amp;$I270,PMsheet!$J:$K,2,0),0),(_xlfn.IFNA(VLOOKUP($A270&amp;$E270&amp;$I270,PMsheet!$J:$K,2,0),0)*'Master Data-C19RM'!$D$2))</f>
        <v>0</v>
      </c>
      <c r="X270" s="440"/>
      <c r="Y270" s="440"/>
      <c r="Z270" s="440"/>
      <c r="AA270" s="440"/>
      <c r="AB270" s="482">
        <f t="shared" si="35"/>
        <v>0</v>
      </c>
      <c r="AC270" s="484">
        <f>IF(SETUP!$E$7="USD",(AB270*(IF(O270="USD",W270,(W270/'Master Data-C19RM'!$D$2)))),(AB270*(IF(O270="EUR",W270,(W270*'Master Data-C19RM'!$D$2)))))</f>
        <v>0</v>
      </c>
      <c r="AD270" s="445">
        <f>IF($O270="USD",_xlfn.IFNA(VLOOKUP($A270&amp;$E270&amp;$I270,PMsheet!$J:$K,2,0),0),(_xlfn.IFNA(VLOOKUP($A270&amp;$E270&amp;$I270,PMsheet!$J:$K,2,0),0)*'Master Data-C19RM'!$E$2))</f>
        <v>0</v>
      </c>
      <c r="AE270" s="440"/>
      <c r="AF270" s="440"/>
      <c r="AG270" s="440"/>
      <c r="AH270" s="440"/>
      <c r="AI270" s="514">
        <f t="shared" si="36"/>
        <v>0</v>
      </c>
      <c r="AJ270" s="515">
        <f>IF(SETUP!$E$7="USD",(AI270*(IF(O270="USD",AD270,(AD270/'Master Data-C19RM'!$E$2)))),(AI270*(IF(O270="EUR",AD270,(AD270*'Master Data-C19RM'!$E$2)))))</f>
        <v>0</v>
      </c>
      <c r="AK270" s="445">
        <f>IF($O270="USD",_xlfn.IFNA(VLOOKUP($A270&amp;$E270&amp;$I270,PMsheet!$J:$K,2,0),0),(_xlfn.IFNA(VLOOKUP($A270&amp;$E270&amp;$I270,PMsheet!$J:$K,2,0),0)*'Master Data-C19RM'!$F$2))</f>
        <v>0</v>
      </c>
      <c r="AL270" s="440"/>
      <c r="AM270" s="440"/>
      <c r="AN270" s="440"/>
      <c r="AO270" s="440"/>
      <c r="AP270" s="514">
        <f t="shared" si="37"/>
        <v>0</v>
      </c>
      <c r="AQ270" s="515">
        <f>IF(SETUP!$E$7="USD",(AP270*(IF(O270="USD",AK270,(AK270/'Master Data-C19RM'!$F$2)))),(AP270*(IF(O270="EUR",AK270,(AK270*'Master Data-C19RM'!$F$2)))))</f>
        <v>0</v>
      </c>
      <c r="AR270" s="457">
        <f>IF($O270="USD",_xlfn.IFNA(VLOOKUP($A270&amp;$E270&amp;$I270,PMsheet!$J:$K,2,0),0),(_xlfn.IFNA(VLOOKUP($A270&amp;$E270&amp;$I270,PMsheet!$J:$K,2,0),0)*'Master Data-C19RM'!$G$2))</f>
        <v>0</v>
      </c>
      <c r="AS270" s="926"/>
      <c r="AT270" s="926"/>
      <c r="AU270" s="926"/>
      <c r="AV270" s="926"/>
      <c r="AW270" s="514">
        <f t="shared" si="38"/>
        <v>0</v>
      </c>
      <c r="AX270" s="515">
        <f>IF(SETUP!$E$7="USD",(AW270*(IF(O270="USD",AR270,(AR270/'Master Data-C19RM'!$G$2)))),(AW270*(IF(O270="EUR",AR270,(AR270*'Master Data-C19RM'!$G$2)))))</f>
        <v>0</v>
      </c>
      <c r="AY270" s="845"/>
      <c r="AZ270" s="846"/>
      <c r="BA270" s="846"/>
      <c r="BB270" s="846"/>
      <c r="BC270" s="846"/>
      <c r="BD270" s="846"/>
      <c r="BE270" s="847"/>
      <c r="BF270" s="514">
        <f>'C19RM 2021-Lab &amp; Other HPS'!$U270+'C19RM 2021-Lab &amp; Other HPS'!$AB270+'C19RM 2021-Lab &amp; Other HPS'!$AP270+'C19RM 2021-Lab &amp; Other HPS'!$AI270+AW270+BD270</f>
        <v>0</v>
      </c>
      <c r="BG270" s="514">
        <f>'C19RM 2021-Lab &amp; Other HPS'!$V270+'C19RM 2021-Lab &amp; Other HPS'!$AC270+'C19RM 2021-Lab &amp; Other HPS'!$AQ270+'C19RM 2021-Lab &amp; Other HPS'!$AJ270+AX270+BE270</f>
        <v>0</v>
      </c>
      <c r="BH270" s="522" t="str" cm="1">
        <f t="array" ref="BH270">IF(A270&lt;&gt;"",IFERROR(INDEX(PMtbl[[WKst]:[Unit of measure*]],MATCH($A$222&amp;$A270&amp;$E270&amp;$I270,INDEX(PMtbl[Sec]&amp;PMtbl[Category]&amp;PMtbl[Each]&amp;PMtbl[Packaging],0,),0),11),""),"")</f>
        <v/>
      </c>
      <c r="BI270" s="818"/>
      <c r="BJ270" s="503" t="str" cm="1">
        <f t="array" ref="BJ270">IFERROR(INDEX(SETUP!$C$19:$G$121,MATCH((INDEX(PMtbl[[WKst]:[Unit of measure*]],MATCH($A270&amp;$E270&amp;$I270,INDEX(PMtbl[Category]&amp;PMtbl[Each]&amp;PMtbl[Packaging],0,),0),3)),SETUP!$D$19:$D$121,0),5),"")</f>
        <v/>
      </c>
      <c r="BK270" s="543" t="str" cm="1">
        <f t="array" ref="BK270">IFERROR(IF((INDEX(SETUP!$C$19:$G$121,MATCH((INDEX(PMtbl[[WKst]:[Unit of measure*]],MATCH($A270&amp;$E270&amp;$I270,INDEX(PMtbl[Category]&amp;PMtbl[Each]&amp;PMtbl[Packaging],0,),0),3)),SETUP!$D$19:$D$121,0),4))="Upfront",0,INDEX(SETUP!$C$19:$G$121,MATCH((INDEX(PMtbl[[WKst]:[Unit of measure*]],MATCH($A270&amp;$E270&amp;$I270,INDEX(PMtbl[Category]&amp;PMtbl[Each]&amp;PMtbl[Packaging],0,),0),3)),SETUP!$D$19:$D$121,0),5)),"")</f>
        <v/>
      </c>
      <c r="BL270" s="215" t="str" cm="1">
        <f t="array" ref="BL270">IF(A270&lt;&gt;"",IFERROR(INDEX(PMtbl[[WKst]:[Unit of measure*]],MATCH($A$222&amp;$A270&amp;$E270&amp;$I270,INDEX(PMtbl[Sec]&amp;PMtbl[Category]&amp;PMtbl[Each]&amp;PMtbl[Packaging],0,),0),11),""),"")</f>
        <v/>
      </c>
      <c r="BO270" s="12">
        <f>IF(N270="",0,IF(SETUP!$E$7="USD",((IF(O270="USD",P270,(P270/'Master Data-C19RM'!$C$2)))),((IF(O270="EUR",P270,(P270*'Master Data-C19RM'!$C$2))))))</f>
        <v>0</v>
      </c>
      <c r="BP270" s="12">
        <f>IF(N270="",0,IF(SETUP!$E$7="USD",((IF(O270="USD",W270,(W270/'Master Data-C19RM'!$D$2)))),((IF(O270="EUR",W270,(W270*'Master Data-C19RM'!$D$2))))))</f>
        <v>0</v>
      </c>
      <c r="BQ270">
        <f>IF(N270="",0,IF(SETUP!$E$7="USD",((IF(O270="USD",AD270,(AD270/'Master Data-C19RM'!$E$2)))),((IF(O270="EUR",AD270,(AD270*'Master Data-C19RM'!$E$2))))))</f>
        <v>0</v>
      </c>
      <c r="BR270">
        <f>IF(N270="",0,IF(SETUP!$E$7="USD",((IF(O270="USD",AK270,(AK270/'Master Data-C19RM'!$F$2)))),((IF(O270="EUR",AK270,(AK270*'Master Data-C19RM'!$F$2))))))</f>
        <v>0</v>
      </c>
      <c r="BS270">
        <f>IF(N270="",0,IF(SETUP!$E$7="USD",((IF(O270="USD",AR270,(AR270/'Master Data-C19RM'!$G$2)))),((IF(O270="EUR",AR270,(AR270*'Master Data-C19RM'!$G$2))))))</f>
        <v>0</v>
      </c>
      <c r="BT270">
        <f>IF(N270="",0,IF(SETUP!$E$7="USD",((IF(O270="USD",AY270,(AY270/'Master Data-C19RM'!$H$2)))),((IF(O270="EUR",AY270,(AY270*'Master Data-C19RM'!$H$2))))))</f>
        <v>0</v>
      </c>
      <c r="BU270" s="12">
        <f t="shared" si="32"/>
        <v>0</v>
      </c>
      <c r="BV270" s="142">
        <f t="shared" si="33"/>
        <v>0</v>
      </c>
    </row>
    <row r="271" spans="1:74" x14ac:dyDescent="0.35">
      <c r="A271" s="1165"/>
      <c r="B271" s="1165"/>
      <c r="C271" s="1165"/>
      <c r="D271" s="1165"/>
      <c r="E271" s="1166"/>
      <c r="F271" s="1166"/>
      <c r="G271" s="1166"/>
      <c r="H271" s="1166"/>
      <c r="I271" s="1166"/>
      <c r="J271" s="1166"/>
      <c r="K271" s="1166"/>
      <c r="L271" s="490" t="str" cm="1">
        <f t="array" ref="L271">IF(A271&lt;&gt;"",IFERROR(INDEX(PMtbl[[WKst]:[Unit of measure*]],MATCH($A$222&amp;$A271&amp;$E271&amp;$I271,INDEX(PMtbl[Sec]&amp;PMtbl[Category]&amp;PMtbl[Each]&amp;PMtbl[Packaging],0,),0),14),""),"")</f>
        <v/>
      </c>
      <c r="M271" s="479" t="str">
        <f>IF(L271="","",INDEX(SETUP!$E$20:$E$122,(MATCH(INDEX(PMsheet!$D:$E,MATCH(A271,PMsheet!E:E,0),1),SETUP!$D$20:$D$122,0))))</f>
        <v/>
      </c>
      <c r="N271" s="491">
        <f>IF($O271="USD",_xlfn.IFNA(VLOOKUP(A271&amp;E271&amp;I271,PMsheet!J:K,2,0),0),(_xlfn.IFNA(VLOOKUP(A271&amp;E271&amp;I271,PMsheet!J:K,2,0),0)*'Master Data-C19RM'!$C$2))</f>
        <v>0</v>
      </c>
      <c r="O271" s="492" t="str">
        <f>IF(L271="", "",SETUP!$E$7)</f>
        <v/>
      </c>
      <c r="P271" s="444">
        <f>IF($O271="USD",_xlfn.IFNA(VLOOKUP($A271&amp;$E271&amp;$I271,PMsheet!$J:$K,2,0),0),(_xlfn.IFNA(VLOOKUP($A271&amp;$E271&amp;$I271,PMsheet!$J:$K,2,0),0)*'Master Data-C19RM'!$C$2))</f>
        <v>0</v>
      </c>
      <c r="Q271" s="441"/>
      <c r="R271" s="441"/>
      <c r="S271" s="441"/>
      <c r="T271" s="441"/>
      <c r="U271" s="481">
        <f t="shared" si="34"/>
        <v>0</v>
      </c>
      <c r="V271" s="483">
        <f>IF(SETUP!$E$7="USD",(U271*(IF(O271="USD",P271,(P271/'Master Data-C19RM'!$C$2)))),(U271*(IF(O271="EUR",P271,(P271*'Master Data-C19RM'!$C$2)))))</f>
        <v>0</v>
      </c>
      <c r="W271" s="444">
        <f>IF($O271="USD",_xlfn.IFNA(VLOOKUP($A271&amp;$E271&amp;$I271,PMsheet!$J:$K,2,0),0),(_xlfn.IFNA(VLOOKUP($A271&amp;$E271&amp;$I271,PMsheet!$J:$K,2,0),0)*'Master Data-C19RM'!$D$2))</f>
        <v>0</v>
      </c>
      <c r="X271" s="441"/>
      <c r="Y271" s="441"/>
      <c r="Z271" s="441"/>
      <c r="AA271" s="441"/>
      <c r="AB271" s="481">
        <f t="shared" si="35"/>
        <v>0</v>
      </c>
      <c r="AC271" s="483">
        <f>IF(SETUP!$E$7="USD",(AB271*(IF(O271="USD",W271,(W271/'Master Data-C19RM'!$D$2)))),(AB271*(IF(O271="EUR",W271,(W271*'Master Data-C19RM'!$D$2)))))</f>
        <v>0</v>
      </c>
      <c r="AD271" s="444">
        <f>IF($O271="USD",_xlfn.IFNA(VLOOKUP($A271&amp;$E271&amp;$I271,PMsheet!$J:$K,2,0),0),(_xlfn.IFNA(VLOOKUP($A271&amp;$E271&amp;$I271,PMsheet!$J:$K,2,0),0)*'Master Data-C19RM'!$E$2))</f>
        <v>0</v>
      </c>
      <c r="AE271" s="441"/>
      <c r="AF271" s="441"/>
      <c r="AG271" s="441"/>
      <c r="AH271" s="441"/>
      <c r="AI271" s="512">
        <f t="shared" si="36"/>
        <v>0</v>
      </c>
      <c r="AJ271" s="513">
        <f>IF(SETUP!$E$7="USD",(AI271*(IF(O271="USD",AD271,(AD271/'Master Data-C19RM'!$E$2)))),(AI271*(IF(O271="EUR",AD271,(AD271*'Master Data-C19RM'!$E$2)))))</f>
        <v>0</v>
      </c>
      <c r="AK271" s="444">
        <f>IF($O271="USD",_xlfn.IFNA(VLOOKUP($A271&amp;$E271&amp;$I271,PMsheet!$J:$K,2,0),0),(_xlfn.IFNA(VLOOKUP($A271&amp;$E271&amp;$I271,PMsheet!$J:$K,2,0),0)*'Master Data-C19RM'!$F$2))</f>
        <v>0</v>
      </c>
      <c r="AL271" s="441"/>
      <c r="AM271" s="441"/>
      <c r="AN271" s="441"/>
      <c r="AO271" s="441"/>
      <c r="AP271" s="512">
        <f t="shared" si="37"/>
        <v>0</v>
      </c>
      <c r="AQ271" s="513">
        <f>IF(SETUP!$E$7="USD",(AP271*(IF(O271="USD",AK271,(AK271/'Master Data-C19RM'!$F$2)))),(AP271*(IF(O271="EUR",AK271,(AK271*'Master Data-C19RM'!$F$2)))))</f>
        <v>0</v>
      </c>
      <c r="AR271" s="456">
        <f>IF($O271="USD",_xlfn.IFNA(VLOOKUP($A271&amp;$E271&amp;$I271,PMsheet!$J:$K,2,0),0),(_xlfn.IFNA(VLOOKUP($A271&amp;$E271&amp;$I271,PMsheet!$J:$K,2,0),0)*'Master Data-C19RM'!$G$2))</f>
        <v>0</v>
      </c>
      <c r="AS271" s="572"/>
      <c r="AT271" s="572"/>
      <c r="AU271" s="572"/>
      <c r="AV271" s="572"/>
      <c r="AW271" s="512">
        <f t="shared" si="38"/>
        <v>0</v>
      </c>
      <c r="AX271" s="513">
        <f>IF(SETUP!$E$7="USD",(AW271*(IF(O271="USD",AR271,(AR271/'Master Data-C19RM'!$G$2)))),(AW271*(IF(O271="EUR",AR271,(AR271*'Master Data-C19RM'!$G$2)))))</f>
        <v>0</v>
      </c>
      <c r="AY271" s="845"/>
      <c r="AZ271" s="846"/>
      <c r="BA271" s="846"/>
      <c r="BB271" s="846"/>
      <c r="BC271" s="846"/>
      <c r="BD271" s="846"/>
      <c r="BE271" s="847"/>
      <c r="BF271" s="512">
        <f>'C19RM 2021-Lab &amp; Other HPS'!$U271+'C19RM 2021-Lab &amp; Other HPS'!$AB271+'C19RM 2021-Lab &amp; Other HPS'!$AP271+'C19RM 2021-Lab &amp; Other HPS'!$AI271+AW271+BD271</f>
        <v>0</v>
      </c>
      <c r="BG271" s="512">
        <f>'C19RM 2021-Lab &amp; Other HPS'!$V271+'C19RM 2021-Lab &amp; Other HPS'!$AC271+'C19RM 2021-Lab &amp; Other HPS'!$AQ271+'C19RM 2021-Lab &amp; Other HPS'!$AJ271+AX271+BE271</f>
        <v>0</v>
      </c>
      <c r="BH271" s="500" t="str" cm="1">
        <f t="array" ref="BH271">IF(A271&lt;&gt;"",IFERROR(INDEX(PMtbl[[WKst]:[Unit of measure*]],MATCH($A$222&amp;$A271&amp;$E271&amp;$I271,INDEX(PMtbl[Sec]&amp;PMtbl[Category]&amp;PMtbl[Each]&amp;PMtbl[Packaging],0,),0),11),""),"")</f>
        <v/>
      </c>
      <c r="BI271" s="819"/>
      <c r="BJ271" s="502" t="str" cm="1">
        <f t="array" ref="BJ271">IFERROR(INDEX(SETUP!$C$19:$G$121,MATCH((INDEX(PMtbl[[WKst]:[Unit of measure*]],MATCH($A271&amp;$E271&amp;$I271,INDEX(PMtbl[Category]&amp;PMtbl[Each]&amp;PMtbl[Packaging],0,),0),3)),SETUP!$D$19:$D$121,0),5),"")</f>
        <v/>
      </c>
      <c r="BK271" s="542" t="str" cm="1">
        <f t="array" ref="BK271">IFERROR(IF((INDEX(SETUP!$C$19:$G$121,MATCH((INDEX(PMtbl[[WKst]:[Unit of measure*]],MATCH($A271&amp;$E271&amp;$I271,INDEX(PMtbl[Category]&amp;PMtbl[Each]&amp;PMtbl[Packaging],0,),0),3)),SETUP!$D$19:$D$121,0),4))="Upfront",0,INDEX(SETUP!$C$19:$G$121,MATCH((INDEX(PMtbl[[WKst]:[Unit of measure*]],MATCH($A271&amp;$E271&amp;$I271,INDEX(PMtbl[Category]&amp;PMtbl[Each]&amp;PMtbl[Packaging],0,),0),3)),SETUP!$D$19:$D$121,0),5)),"")</f>
        <v/>
      </c>
      <c r="BL271" s="214" t="str" cm="1">
        <f t="array" ref="BL271">IF(A271&lt;&gt;"",IFERROR(INDEX(PMtbl[[WKst]:[Unit of measure*]],MATCH($A$222&amp;$A271&amp;$E271&amp;$I271,INDEX(PMtbl[Sec]&amp;PMtbl[Category]&amp;PMtbl[Each]&amp;PMtbl[Packaging],0,),0),11),""),"")</f>
        <v/>
      </c>
      <c r="BO271" s="12">
        <f>IF(N271="",0,IF(SETUP!$E$7="USD",((IF(O271="USD",P271,(P271/'Master Data-C19RM'!$C$2)))),((IF(O271="EUR",P271,(P271*'Master Data-C19RM'!$C$2))))))</f>
        <v>0</v>
      </c>
      <c r="BP271" s="12">
        <f>IF(N271="",0,IF(SETUP!$E$7="USD",((IF(O271="USD",W271,(W271/'Master Data-C19RM'!$D$2)))),((IF(O271="EUR",W271,(W271*'Master Data-C19RM'!$D$2))))))</f>
        <v>0</v>
      </c>
      <c r="BQ271">
        <f>IF(N271="",0,IF(SETUP!$E$7="USD",((IF(O271="USD",AD271,(AD271/'Master Data-C19RM'!$E$2)))),((IF(O271="EUR",AD271,(AD271*'Master Data-C19RM'!$E$2))))))</f>
        <v>0</v>
      </c>
      <c r="BR271">
        <f>IF(N271="",0,IF(SETUP!$E$7="USD",((IF(O271="USD",AK271,(AK271/'Master Data-C19RM'!$F$2)))),((IF(O271="EUR",AK271,(AK271*'Master Data-C19RM'!$F$2))))))</f>
        <v>0</v>
      </c>
      <c r="BS271">
        <f>IF(N271="",0,IF(SETUP!$E$7="USD",((IF(O271="USD",AR271,(AR271/'Master Data-C19RM'!$G$2)))),((IF(O271="EUR",AR271,(AR271*'Master Data-C19RM'!$G$2))))))</f>
        <v>0</v>
      </c>
      <c r="BT271">
        <f>IF(N271="",0,IF(SETUP!$E$7="USD",((IF(O271="USD",AY271,(AY271/'Master Data-C19RM'!$H$2)))),((IF(O271="EUR",AY271,(AY271*'Master Data-C19RM'!$H$2))))))</f>
        <v>0</v>
      </c>
      <c r="BU271" s="12">
        <f t="shared" si="32"/>
        <v>0</v>
      </c>
      <c r="BV271" s="142">
        <f t="shared" si="33"/>
        <v>0</v>
      </c>
    </row>
    <row r="272" spans="1:74" x14ac:dyDescent="0.35">
      <c r="A272" s="1172"/>
      <c r="B272" s="1172"/>
      <c r="C272" s="1172"/>
      <c r="D272" s="1172"/>
      <c r="E272" s="1173"/>
      <c r="F272" s="1173"/>
      <c r="G272" s="1173"/>
      <c r="H272" s="1173"/>
      <c r="I272" s="1173"/>
      <c r="J272" s="1173"/>
      <c r="K272" s="1173"/>
      <c r="L272" s="493" t="str" cm="1">
        <f t="array" ref="L272">IF(A272&lt;&gt;"",IFERROR(INDEX(PMtbl[[WKst]:[Unit of measure*]],MATCH($A$222&amp;$A272&amp;$E272&amp;$I272,INDEX(PMtbl[Sec]&amp;PMtbl[Category]&amp;PMtbl[Each]&amp;PMtbl[Packaging],0,),0),14),""),"")</f>
        <v/>
      </c>
      <c r="M272" s="480" t="str">
        <f>IF(L272="","",INDEX(SETUP!$E$20:$E$122,(MATCH(INDEX(PMsheet!$D:$E,MATCH(A272,PMsheet!E:E,0),1),SETUP!$D$20:$D$122,0))))</f>
        <v/>
      </c>
      <c r="N272" s="494">
        <f>IF($O272="USD",_xlfn.IFNA(VLOOKUP(A272&amp;E272&amp;I272,PMsheet!J:K,2,0),0),(_xlfn.IFNA(VLOOKUP(A272&amp;E272&amp;I272,PMsheet!J:K,2,0),0)*'Master Data-C19RM'!$C$2))</f>
        <v>0</v>
      </c>
      <c r="O272" s="495" t="str">
        <f>IF(L272="", "",SETUP!$E$7)</f>
        <v/>
      </c>
      <c r="P272" s="445">
        <f>IF($O272="USD",_xlfn.IFNA(VLOOKUP($A272&amp;$E272&amp;$I272,PMsheet!$J:$K,2,0),0),(_xlfn.IFNA(VLOOKUP($A272&amp;$E272&amp;$I272,PMsheet!$J:$K,2,0),0)*'Master Data-C19RM'!$C$2))</f>
        <v>0</v>
      </c>
      <c r="Q272" s="440"/>
      <c r="R272" s="440"/>
      <c r="S272" s="440"/>
      <c r="T272" s="440"/>
      <c r="U272" s="482">
        <f t="shared" si="34"/>
        <v>0</v>
      </c>
      <c r="V272" s="484">
        <f>IF(SETUP!$E$7="USD",(U272*(IF(O272="USD",P272,(P272/'Master Data-C19RM'!$C$2)))),(U272*(IF(O272="EUR",P272,(P272*'Master Data-C19RM'!$C$2)))))</f>
        <v>0</v>
      </c>
      <c r="W272" s="445">
        <f>IF($O272="USD",_xlfn.IFNA(VLOOKUP($A272&amp;$E272&amp;$I272,PMsheet!$J:$K,2,0),0),(_xlfn.IFNA(VLOOKUP($A272&amp;$E272&amp;$I272,PMsheet!$J:$K,2,0),0)*'Master Data-C19RM'!$D$2))</f>
        <v>0</v>
      </c>
      <c r="X272" s="440"/>
      <c r="Y272" s="440"/>
      <c r="Z272" s="440"/>
      <c r="AA272" s="440"/>
      <c r="AB272" s="482">
        <f t="shared" si="35"/>
        <v>0</v>
      </c>
      <c r="AC272" s="484">
        <f>IF(SETUP!$E$7="USD",(AB272*(IF(O272="USD",W272,(W272/'Master Data-C19RM'!$D$2)))),(AB272*(IF(O272="EUR",W272,(W272*'Master Data-C19RM'!$D$2)))))</f>
        <v>0</v>
      </c>
      <c r="AD272" s="445">
        <f>IF($O272="USD",_xlfn.IFNA(VLOOKUP($A272&amp;$E272&amp;$I272,PMsheet!$J:$K,2,0),0),(_xlfn.IFNA(VLOOKUP($A272&amp;$E272&amp;$I272,PMsheet!$J:$K,2,0),0)*'Master Data-C19RM'!$E$2))</f>
        <v>0</v>
      </c>
      <c r="AE272" s="440"/>
      <c r="AF272" s="440"/>
      <c r="AG272" s="440"/>
      <c r="AH272" s="440"/>
      <c r="AI272" s="514">
        <f t="shared" si="36"/>
        <v>0</v>
      </c>
      <c r="AJ272" s="515">
        <f>IF(SETUP!$E$7="USD",(AI272*(IF(O272="USD",AD272,(AD272/'Master Data-C19RM'!$E$2)))),(AI272*(IF(O272="EUR",AD272,(AD272*'Master Data-C19RM'!$E$2)))))</f>
        <v>0</v>
      </c>
      <c r="AK272" s="445">
        <f>IF($O272="USD",_xlfn.IFNA(VLOOKUP($A272&amp;$E272&amp;$I272,PMsheet!$J:$K,2,0),0),(_xlfn.IFNA(VLOOKUP($A272&amp;$E272&amp;$I272,PMsheet!$J:$K,2,0),0)*'Master Data-C19RM'!$F$2))</f>
        <v>0</v>
      </c>
      <c r="AL272" s="440"/>
      <c r="AM272" s="440"/>
      <c r="AN272" s="440"/>
      <c r="AO272" s="440"/>
      <c r="AP272" s="514">
        <f t="shared" si="37"/>
        <v>0</v>
      </c>
      <c r="AQ272" s="515">
        <f>IF(SETUP!$E$7="USD",(AP272*(IF(O272="USD",AK272,(AK272/'Master Data-C19RM'!$F$2)))),(AP272*(IF(O272="EUR",AK272,(AK272*'Master Data-C19RM'!$F$2)))))</f>
        <v>0</v>
      </c>
      <c r="AR272" s="457">
        <f>IF($O272="USD",_xlfn.IFNA(VLOOKUP($A272&amp;$E272&amp;$I272,PMsheet!$J:$K,2,0),0),(_xlfn.IFNA(VLOOKUP($A272&amp;$E272&amp;$I272,PMsheet!$J:$K,2,0),0)*'Master Data-C19RM'!$G$2))</f>
        <v>0</v>
      </c>
      <c r="AS272" s="926"/>
      <c r="AT272" s="926"/>
      <c r="AU272" s="926"/>
      <c r="AV272" s="926"/>
      <c r="AW272" s="514">
        <f t="shared" si="38"/>
        <v>0</v>
      </c>
      <c r="AX272" s="515">
        <f>IF(SETUP!$E$7="USD",(AW272*(IF(O272="USD",AR272,(AR272/'Master Data-C19RM'!$G$2)))),(AW272*(IF(O272="EUR",AR272,(AR272*'Master Data-C19RM'!$G$2)))))</f>
        <v>0</v>
      </c>
      <c r="AY272" s="845"/>
      <c r="AZ272" s="846"/>
      <c r="BA272" s="846"/>
      <c r="BB272" s="846"/>
      <c r="BC272" s="846"/>
      <c r="BD272" s="846"/>
      <c r="BE272" s="847"/>
      <c r="BF272" s="514">
        <f>'C19RM 2021-Lab &amp; Other HPS'!$U272+'C19RM 2021-Lab &amp; Other HPS'!$AB272+'C19RM 2021-Lab &amp; Other HPS'!$AP272+'C19RM 2021-Lab &amp; Other HPS'!$AI272+AW272+BD272</f>
        <v>0</v>
      </c>
      <c r="BG272" s="514">
        <f>'C19RM 2021-Lab &amp; Other HPS'!$V272+'C19RM 2021-Lab &amp; Other HPS'!$AC272+'C19RM 2021-Lab &amp; Other HPS'!$AQ272+'C19RM 2021-Lab &amp; Other HPS'!$AJ272+AX272+BE272</f>
        <v>0</v>
      </c>
      <c r="BH272" s="522" t="str" cm="1">
        <f t="array" ref="BH272">IF(A272&lt;&gt;"",IFERROR(INDEX(PMtbl[[WKst]:[Unit of measure*]],MATCH($A$222&amp;$A272&amp;$E272&amp;$I272,INDEX(PMtbl[Sec]&amp;PMtbl[Category]&amp;PMtbl[Each]&amp;PMtbl[Packaging],0,),0),11),""),"")</f>
        <v/>
      </c>
      <c r="BI272" s="818"/>
      <c r="BJ272" s="503" t="str" cm="1">
        <f t="array" ref="BJ272">IFERROR(INDEX(SETUP!$C$19:$G$121,MATCH((INDEX(PMtbl[[WKst]:[Unit of measure*]],MATCH($A272&amp;$E272&amp;$I272,INDEX(PMtbl[Category]&amp;PMtbl[Each]&amp;PMtbl[Packaging],0,),0),3)),SETUP!$D$19:$D$121,0),5),"")</f>
        <v/>
      </c>
      <c r="BK272" s="543" t="str" cm="1">
        <f t="array" ref="BK272">IFERROR(IF((INDEX(SETUP!$C$19:$G$121,MATCH((INDEX(PMtbl[[WKst]:[Unit of measure*]],MATCH($A272&amp;$E272&amp;$I272,INDEX(PMtbl[Category]&amp;PMtbl[Each]&amp;PMtbl[Packaging],0,),0),3)),SETUP!$D$19:$D$121,0),4))="Upfront",0,INDEX(SETUP!$C$19:$G$121,MATCH((INDEX(PMtbl[[WKst]:[Unit of measure*]],MATCH($A272&amp;$E272&amp;$I272,INDEX(PMtbl[Category]&amp;PMtbl[Each]&amp;PMtbl[Packaging],0,),0),3)),SETUP!$D$19:$D$121,0),5)),"")</f>
        <v/>
      </c>
      <c r="BL272" s="215" t="str" cm="1">
        <f t="array" ref="BL272">IF(A272&lt;&gt;"",IFERROR(INDEX(PMtbl[[WKst]:[Unit of measure*]],MATCH($A$222&amp;$A272&amp;$E272&amp;$I272,INDEX(PMtbl[Sec]&amp;PMtbl[Category]&amp;PMtbl[Each]&amp;PMtbl[Packaging],0,),0),11),""),"")</f>
        <v/>
      </c>
      <c r="BO272" s="12">
        <f>IF(N272="",0,IF(SETUP!$E$7="USD",((IF(O272="USD",P272,(P272/'Master Data-C19RM'!$C$2)))),((IF(O272="EUR",P272,(P272*'Master Data-C19RM'!$C$2))))))</f>
        <v>0</v>
      </c>
      <c r="BP272" s="12">
        <f>IF(N272="",0,IF(SETUP!$E$7="USD",((IF(O272="USD",W272,(W272/'Master Data-C19RM'!$D$2)))),((IF(O272="EUR",W272,(W272*'Master Data-C19RM'!$D$2))))))</f>
        <v>0</v>
      </c>
      <c r="BQ272">
        <f>IF(N272="",0,IF(SETUP!$E$7="USD",((IF(O272="USD",AD272,(AD272/'Master Data-C19RM'!$E$2)))),((IF(O272="EUR",AD272,(AD272*'Master Data-C19RM'!$E$2))))))</f>
        <v>0</v>
      </c>
      <c r="BR272">
        <f>IF(N272="",0,IF(SETUP!$E$7="USD",((IF(O272="USD",AK272,(AK272/'Master Data-C19RM'!$F$2)))),((IF(O272="EUR",AK272,(AK272*'Master Data-C19RM'!$F$2))))))</f>
        <v>0</v>
      </c>
      <c r="BS272">
        <f>IF(N272="",0,IF(SETUP!$E$7="USD",((IF(O272="USD",AR272,(AR272/'Master Data-C19RM'!$G$2)))),((IF(O272="EUR",AR272,(AR272*'Master Data-C19RM'!$G$2))))))</f>
        <v>0</v>
      </c>
      <c r="BT272">
        <f>IF(N272="",0,IF(SETUP!$E$7="USD",((IF(O272="USD",AY272,(AY272/'Master Data-C19RM'!$H$2)))),((IF(O272="EUR",AY272,(AY272*'Master Data-C19RM'!$H$2))))))</f>
        <v>0</v>
      </c>
      <c r="BU272" s="12">
        <f t="shared" si="32"/>
        <v>0</v>
      </c>
      <c r="BV272" s="142">
        <f t="shared" si="33"/>
        <v>0</v>
      </c>
    </row>
    <row r="273" spans="1:74" x14ac:dyDescent="0.35">
      <c r="A273" s="1165"/>
      <c r="B273" s="1165"/>
      <c r="C273" s="1165"/>
      <c r="D273" s="1165"/>
      <c r="E273" s="1166"/>
      <c r="F273" s="1166"/>
      <c r="G273" s="1166"/>
      <c r="H273" s="1166"/>
      <c r="I273" s="1166"/>
      <c r="J273" s="1166"/>
      <c r="K273" s="1166"/>
      <c r="L273" s="490" t="str" cm="1">
        <f t="array" ref="L273">IF(A273&lt;&gt;"",IFERROR(INDEX(PMtbl[[WKst]:[Unit of measure*]],MATCH($A$222&amp;$A273&amp;$E273&amp;$I273,INDEX(PMtbl[Sec]&amp;PMtbl[Category]&amp;PMtbl[Each]&amp;PMtbl[Packaging],0,),0),14),""),"")</f>
        <v/>
      </c>
      <c r="M273" s="479" t="str">
        <f>IF(L273="","",INDEX(SETUP!$E$20:$E$122,(MATCH(INDEX(PMsheet!$D:$E,MATCH(A273,PMsheet!E:E,0),1),SETUP!$D$20:$D$122,0))))</f>
        <v/>
      </c>
      <c r="N273" s="491">
        <f>IF($O273="USD",_xlfn.IFNA(VLOOKUP(A273&amp;E273&amp;I273,PMsheet!J:K,2,0),0),(_xlfn.IFNA(VLOOKUP(A273&amp;E273&amp;I273,PMsheet!J:K,2,0),0)*'Master Data-C19RM'!$C$2))</f>
        <v>0</v>
      </c>
      <c r="O273" s="492" t="str">
        <f>IF(L273="", "",SETUP!$E$7)</f>
        <v/>
      </c>
      <c r="P273" s="444">
        <f>IF($O273="USD",_xlfn.IFNA(VLOOKUP($A273&amp;$E273&amp;$I273,PMsheet!$J:$K,2,0),0),(_xlfn.IFNA(VLOOKUP($A273&amp;$E273&amp;$I273,PMsheet!$J:$K,2,0),0)*'Master Data-C19RM'!$C$2))</f>
        <v>0</v>
      </c>
      <c r="Q273" s="441"/>
      <c r="R273" s="441"/>
      <c r="S273" s="441"/>
      <c r="T273" s="441"/>
      <c r="U273" s="481">
        <f t="shared" si="34"/>
        <v>0</v>
      </c>
      <c r="V273" s="483">
        <f>IF(SETUP!$E$7="USD",(U273*(IF(O273="USD",P273,(P273/'Master Data-C19RM'!$C$2)))),(U273*(IF(O273="EUR",P273,(P273*'Master Data-C19RM'!$C$2)))))</f>
        <v>0</v>
      </c>
      <c r="W273" s="444">
        <f>IF($O273="USD",_xlfn.IFNA(VLOOKUP($A273&amp;$E273&amp;$I273,PMsheet!$J:$K,2,0),0),(_xlfn.IFNA(VLOOKUP($A273&amp;$E273&amp;$I273,PMsheet!$J:$K,2,0),0)*'Master Data-C19RM'!$D$2))</f>
        <v>0</v>
      </c>
      <c r="X273" s="441"/>
      <c r="Y273" s="441"/>
      <c r="Z273" s="441"/>
      <c r="AA273" s="441"/>
      <c r="AB273" s="481">
        <f t="shared" si="35"/>
        <v>0</v>
      </c>
      <c r="AC273" s="483">
        <f>IF(SETUP!$E$7="USD",(AB273*(IF(O273="USD",W273,(W273/'Master Data-C19RM'!$D$2)))),(AB273*(IF(O273="EUR",W273,(W273*'Master Data-C19RM'!$D$2)))))</f>
        <v>0</v>
      </c>
      <c r="AD273" s="444">
        <f>IF($O273="USD",_xlfn.IFNA(VLOOKUP($A273&amp;$E273&amp;$I273,PMsheet!$J:$K,2,0),0),(_xlfn.IFNA(VLOOKUP($A273&amp;$E273&amp;$I273,PMsheet!$J:$K,2,0),0)*'Master Data-C19RM'!$E$2))</f>
        <v>0</v>
      </c>
      <c r="AE273" s="441"/>
      <c r="AF273" s="441"/>
      <c r="AG273" s="441"/>
      <c r="AH273" s="441"/>
      <c r="AI273" s="512">
        <f t="shared" si="36"/>
        <v>0</v>
      </c>
      <c r="AJ273" s="513">
        <f>IF(SETUP!$E$7="USD",(AI273*(IF(O273="USD",AD273,(AD273/'Master Data-C19RM'!$E$2)))),(AI273*(IF(O273="EUR",AD273,(AD273*'Master Data-C19RM'!$E$2)))))</f>
        <v>0</v>
      </c>
      <c r="AK273" s="444">
        <f>IF($O273="USD",_xlfn.IFNA(VLOOKUP($A273&amp;$E273&amp;$I273,PMsheet!$J:$K,2,0),0),(_xlfn.IFNA(VLOOKUP($A273&amp;$E273&amp;$I273,PMsheet!$J:$K,2,0),0)*'Master Data-C19RM'!$F$2))</f>
        <v>0</v>
      </c>
      <c r="AL273" s="441"/>
      <c r="AM273" s="441"/>
      <c r="AN273" s="441"/>
      <c r="AO273" s="441"/>
      <c r="AP273" s="512">
        <f t="shared" si="37"/>
        <v>0</v>
      </c>
      <c r="AQ273" s="513">
        <f>IF(SETUP!$E$7="USD",(AP273*(IF(O273="USD",AK273,(AK273/'Master Data-C19RM'!$F$2)))),(AP273*(IF(O273="EUR",AK273,(AK273*'Master Data-C19RM'!$F$2)))))</f>
        <v>0</v>
      </c>
      <c r="AR273" s="456">
        <f>IF($O273="USD",_xlfn.IFNA(VLOOKUP($A273&amp;$E273&amp;$I273,PMsheet!$J:$K,2,0),0),(_xlfn.IFNA(VLOOKUP($A273&amp;$E273&amp;$I273,PMsheet!$J:$K,2,0),0)*'Master Data-C19RM'!$G$2))</f>
        <v>0</v>
      </c>
      <c r="AS273" s="572"/>
      <c r="AT273" s="572"/>
      <c r="AU273" s="572"/>
      <c r="AV273" s="572"/>
      <c r="AW273" s="512">
        <f t="shared" si="38"/>
        <v>0</v>
      </c>
      <c r="AX273" s="513">
        <f>IF(SETUP!$E$7="USD",(AW273*(IF(O273="USD",AR273,(AR273/'Master Data-C19RM'!$G$2)))),(AW273*(IF(O273="EUR",AR273,(AR273*'Master Data-C19RM'!$G$2)))))</f>
        <v>0</v>
      </c>
      <c r="AY273" s="845"/>
      <c r="AZ273" s="846"/>
      <c r="BA273" s="846"/>
      <c r="BB273" s="846"/>
      <c r="BC273" s="846"/>
      <c r="BD273" s="846"/>
      <c r="BE273" s="847"/>
      <c r="BF273" s="512">
        <f>'C19RM 2021-Lab &amp; Other HPS'!$U273+'C19RM 2021-Lab &amp; Other HPS'!$AB273+'C19RM 2021-Lab &amp; Other HPS'!$AP273+'C19RM 2021-Lab &amp; Other HPS'!$AI273+AW273+BD273</f>
        <v>0</v>
      </c>
      <c r="BG273" s="512">
        <f>'C19RM 2021-Lab &amp; Other HPS'!$V273+'C19RM 2021-Lab &amp; Other HPS'!$AC273+'C19RM 2021-Lab &amp; Other HPS'!$AQ273+'C19RM 2021-Lab &amp; Other HPS'!$AJ273+AX273+BE273</f>
        <v>0</v>
      </c>
      <c r="BH273" s="500" t="str" cm="1">
        <f t="array" ref="BH273">IF(A273&lt;&gt;"",IFERROR(INDEX(PMtbl[[WKst]:[Unit of measure*]],MATCH($A$222&amp;$A273&amp;$E273&amp;$I273,INDEX(PMtbl[Sec]&amp;PMtbl[Category]&amp;PMtbl[Each]&amp;PMtbl[Packaging],0,),0),11),""),"")</f>
        <v/>
      </c>
      <c r="BI273" s="819"/>
      <c r="BJ273" s="502" t="str" cm="1">
        <f t="array" ref="BJ273">IFERROR(INDEX(SETUP!$C$19:$G$121,MATCH((INDEX(PMtbl[[WKst]:[Unit of measure*]],MATCH($A273&amp;$E273&amp;$I273,INDEX(PMtbl[Category]&amp;PMtbl[Each]&amp;PMtbl[Packaging],0,),0),3)),SETUP!$D$19:$D$121,0),5),"")</f>
        <v/>
      </c>
      <c r="BK273" s="542" t="str" cm="1">
        <f t="array" ref="BK273">IFERROR(IF((INDEX(SETUP!$C$19:$G$121,MATCH((INDEX(PMtbl[[WKst]:[Unit of measure*]],MATCH($A273&amp;$E273&amp;$I273,INDEX(PMtbl[Category]&amp;PMtbl[Each]&amp;PMtbl[Packaging],0,),0),3)),SETUP!$D$19:$D$121,0),4))="Upfront",0,INDEX(SETUP!$C$19:$G$121,MATCH((INDEX(PMtbl[[WKst]:[Unit of measure*]],MATCH($A273&amp;$E273&amp;$I273,INDEX(PMtbl[Category]&amp;PMtbl[Each]&amp;PMtbl[Packaging],0,),0),3)),SETUP!$D$19:$D$121,0),5)),"")</f>
        <v/>
      </c>
      <c r="BL273" s="214" t="str" cm="1">
        <f t="array" ref="BL273">IF(A273&lt;&gt;"",IFERROR(INDEX(PMtbl[[WKst]:[Unit of measure*]],MATCH($A$222&amp;$A273&amp;$E273&amp;$I273,INDEX(PMtbl[Sec]&amp;PMtbl[Category]&amp;PMtbl[Each]&amp;PMtbl[Packaging],0,),0),11),""),"")</f>
        <v/>
      </c>
      <c r="BO273" s="12">
        <f>IF(N273="",0,IF(SETUP!$E$7="USD",((IF(O273="USD",P273,(P273/'Master Data-C19RM'!$C$2)))),((IF(O273="EUR",P273,(P273*'Master Data-C19RM'!$C$2))))))</f>
        <v>0</v>
      </c>
      <c r="BP273" s="12">
        <f>IF(N273="",0,IF(SETUP!$E$7="USD",((IF(O273="USD",W273,(W273/'Master Data-C19RM'!$D$2)))),((IF(O273="EUR",W273,(W273*'Master Data-C19RM'!$D$2))))))</f>
        <v>0</v>
      </c>
      <c r="BQ273">
        <f>IF(N273="",0,IF(SETUP!$E$7="USD",((IF(O273="USD",AD273,(AD273/'Master Data-C19RM'!$E$2)))),((IF(O273="EUR",AD273,(AD273*'Master Data-C19RM'!$E$2))))))</f>
        <v>0</v>
      </c>
      <c r="BR273">
        <f>IF(N273="",0,IF(SETUP!$E$7="USD",((IF(O273="USD",AK273,(AK273/'Master Data-C19RM'!$F$2)))),((IF(O273="EUR",AK273,(AK273*'Master Data-C19RM'!$F$2))))))</f>
        <v>0</v>
      </c>
      <c r="BS273">
        <f>IF(N273="",0,IF(SETUP!$E$7="USD",((IF(O273="USD",AR273,(AR273/'Master Data-C19RM'!$G$2)))),((IF(O273="EUR",AR273,(AR273*'Master Data-C19RM'!$G$2))))))</f>
        <v>0</v>
      </c>
      <c r="BT273">
        <f>IF(N273="",0,IF(SETUP!$E$7="USD",((IF(O273="USD",AY273,(AY273/'Master Data-C19RM'!$H$2)))),((IF(O273="EUR",AY273,(AY273*'Master Data-C19RM'!$H$2))))))</f>
        <v>0</v>
      </c>
      <c r="BU273" s="12">
        <f t="shared" si="32"/>
        <v>0</v>
      </c>
      <c r="BV273" s="142">
        <f t="shared" si="33"/>
        <v>0</v>
      </c>
    </row>
    <row r="274" spans="1:74" x14ac:dyDescent="0.35">
      <c r="A274" s="1172"/>
      <c r="B274" s="1172"/>
      <c r="C274" s="1172"/>
      <c r="D274" s="1172"/>
      <c r="E274" s="1173"/>
      <c r="F274" s="1173"/>
      <c r="G274" s="1173"/>
      <c r="H274" s="1173"/>
      <c r="I274" s="1173"/>
      <c r="J274" s="1173"/>
      <c r="K274" s="1173"/>
      <c r="L274" s="493" t="str" cm="1">
        <f t="array" ref="L274">IF(A274&lt;&gt;"",IFERROR(INDEX(PMtbl[[WKst]:[Unit of measure*]],MATCH($A$222&amp;$A274&amp;$E274&amp;$I274,INDEX(PMtbl[Sec]&amp;PMtbl[Category]&amp;PMtbl[Each]&amp;PMtbl[Packaging],0,),0),14),""),"")</f>
        <v/>
      </c>
      <c r="M274" s="480" t="str">
        <f>IF(L274="","",INDEX(SETUP!$E$20:$E$122,(MATCH(INDEX(PMsheet!$D:$E,MATCH(A274,PMsheet!E:E,0),1),SETUP!$D$20:$D$122,0))))</f>
        <v/>
      </c>
      <c r="N274" s="494">
        <f>IF($O274="USD",_xlfn.IFNA(VLOOKUP(A274&amp;E274&amp;I274,PMsheet!J:K,2,0),0),(_xlfn.IFNA(VLOOKUP(A274&amp;E274&amp;I274,PMsheet!J:K,2,0),0)*'Master Data-C19RM'!$C$2))</f>
        <v>0</v>
      </c>
      <c r="O274" s="495" t="str">
        <f>IF(L274="", "",SETUP!$E$7)</f>
        <v/>
      </c>
      <c r="P274" s="445">
        <f>IF($O274="USD",_xlfn.IFNA(VLOOKUP($A274&amp;$E274&amp;$I274,PMsheet!$J:$K,2,0),0),(_xlfn.IFNA(VLOOKUP($A274&amp;$E274&amp;$I274,PMsheet!$J:$K,2,0),0)*'Master Data-C19RM'!$C$2))</f>
        <v>0</v>
      </c>
      <c r="Q274" s="440"/>
      <c r="R274" s="440"/>
      <c r="S274" s="440"/>
      <c r="T274" s="440"/>
      <c r="U274" s="482">
        <f t="shared" si="34"/>
        <v>0</v>
      </c>
      <c r="V274" s="484">
        <f>IF(SETUP!$E$7="USD",(U274*(IF(O274="USD",P274,(P274/'Master Data-C19RM'!$C$2)))),(U274*(IF(O274="EUR",P274,(P274*'Master Data-C19RM'!$C$2)))))</f>
        <v>0</v>
      </c>
      <c r="W274" s="445">
        <f>IF($O274="USD",_xlfn.IFNA(VLOOKUP($A274&amp;$E274&amp;$I274,PMsheet!$J:$K,2,0),0),(_xlfn.IFNA(VLOOKUP($A274&amp;$E274&amp;$I274,PMsheet!$J:$K,2,0),0)*'Master Data-C19RM'!$D$2))</f>
        <v>0</v>
      </c>
      <c r="X274" s="440"/>
      <c r="Y274" s="440"/>
      <c r="Z274" s="440"/>
      <c r="AA274" s="440"/>
      <c r="AB274" s="482">
        <f t="shared" si="35"/>
        <v>0</v>
      </c>
      <c r="AC274" s="484">
        <f>IF(SETUP!$E$7="USD",(AB274*(IF(O274="USD",W274,(W274/'Master Data-C19RM'!$D$2)))),(AB274*(IF(O274="EUR",W274,(W274*'Master Data-C19RM'!$D$2)))))</f>
        <v>0</v>
      </c>
      <c r="AD274" s="445">
        <f>IF($O274="USD",_xlfn.IFNA(VLOOKUP($A274&amp;$E274&amp;$I274,PMsheet!$J:$K,2,0),0),(_xlfn.IFNA(VLOOKUP($A274&amp;$E274&amp;$I274,PMsheet!$J:$K,2,0),0)*'Master Data-C19RM'!$E$2))</f>
        <v>0</v>
      </c>
      <c r="AE274" s="440"/>
      <c r="AF274" s="440"/>
      <c r="AG274" s="440"/>
      <c r="AH274" s="440"/>
      <c r="AI274" s="514">
        <f t="shared" si="36"/>
        <v>0</v>
      </c>
      <c r="AJ274" s="515">
        <f>IF(SETUP!$E$7="USD",(AI274*(IF(O274="USD",AD274,(AD274/'Master Data-C19RM'!$E$2)))),(AI274*(IF(O274="EUR",AD274,(AD274*'Master Data-C19RM'!$E$2)))))</f>
        <v>0</v>
      </c>
      <c r="AK274" s="445">
        <f>IF($O274="USD",_xlfn.IFNA(VLOOKUP($A274&amp;$E274&amp;$I274,PMsheet!$J:$K,2,0),0),(_xlfn.IFNA(VLOOKUP($A274&amp;$E274&amp;$I274,PMsheet!$J:$K,2,0),0)*'Master Data-C19RM'!$F$2))</f>
        <v>0</v>
      </c>
      <c r="AL274" s="440"/>
      <c r="AM274" s="440"/>
      <c r="AN274" s="440"/>
      <c r="AO274" s="440"/>
      <c r="AP274" s="514">
        <f t="shared" si="37"/>
        <v>0</v>
      </c>
      <c r="AQ274" s="515">
        <f>IF(SETUP!$E$7="USD",(AP274*(IF(O274="USD",AK274,(AK274/'Master Data-C19RM'!$F$2)))),(AP274*(IF(O274="EUR",AK274,(AK274*'Master Data-C19RM'!$F$2)))))</f>
        <v>0</v>
      </c>
      <c r="AR274" s="457">
        <f>IF($O274="USD",_xlfn.IFNA(VLOOKUP($A274&amp;$E274&amp;$I274,PMsheet!$J:$K,2,0),0),(_xlfn.IFNA(VLOOKUP($A274&amp;$E274&amp;$I274,PMsheet!$J:$K,2,0),0)*'Master Data-C19RM'!$G$2))</f>
        <v>0</v>
      </c>
      <c r="AS274" s="926"/>
      <c r="AT274" s="926"/>
      <c r="AU274" s="926"/>
      <c r="AV274" s="926"/>
      <c r="AW274" s="514">
        <f t="shared" si="38"/>
        <v>0</v>
      </c>
      <c r="AX274" s="515">
        <f>IF(SETUP!$E$7="USD",(AW274*(IF(O274="USD",AR274,(AR274/'Master Data-C19RM'!$G$2)))),(AW274*(IF(O274="EUR",AR274,(AR274*'Master Data-C19RM'!$G$2)))))</f>
        <v>0</v>
      </c>
      <c r="AY274" s="845"/>
      <c r="AZ274" s="846"/>
      <c r="BA274" s="846"/>
      <c r="BB274" s="846"/>
      <c r="BC274" s="846"/>
      <c r="BD274" s="846"/>
      <c r="BE274" s="847"/>
      <c r="BF274" s="514">
        <f>'C19RM 2021-Lab &amp; Other HPS'!$U274+'C19RM 2021-Lab &amp; Other HPS'!$AB274+'C19RM 2021-Lab &amp; Other HPS'!$AP274+'C19RM 2021-Lab &amp; Other HPS'!$AI274+AW274+BD274</f>
        <v>0</v>
      </c>
      <c r="BG274" s="514">
        <f>'C19RM 2021-Lab &amp; Other HPS'!$V274+'C19RM 2021-Lab &amp; Other HPS'!$AC274+'C19RM 2021-Lab &amp; Other HPS'!$AQ274+'C19RM 2021-Lab &amp; Other HPS'!$AJ274+AX274+BE274</f>
        <v>0</v>
      </c>
      <c r="BH274" s="522" t="str" cm="1">
        <f t="array" ref="BH274">IF(A274&lt;&gt;"",IFERROR(INDEX(PMtbl[[WKst]:[Unit of measure*]],MATCH($A$222&amp;$A274&amp;$E274&amp;$I274,INDEX(PMtbl[Sec]&amp;PMtbl[Category]&amp;PMtbl[Each]&amp;PMtbl[Packaging],0,),0),11),""),"")</f>
        <v/>
      </c>
      <c r="BI274" s="818"/>
      <c r="BJ274" s="503" t="str" cm="1">
        <f t="array" ref="BJ274">IFERROR(INDEX(SETUP!$C$19:$G$121,MATCH((INDEX(PMtbl[[WKst]:[Unit of measure*]],MATCH($A274&amp;$E274&amp;$I274,INDEX(PMtbl[Category]&amp;PMtbl[Each]&amp;PMtbl[Packaging],0,),0),3)),SETUP!$D$19:$D$121,0),5),"")</f>
        <v/>
      </c>
      <c r="BK274" s="543" t="str" cm="1">
        <f t="array" ref="BK274">IFERROR(IF((INDEX(SETUP!$C$19:$G$121,MATCH((INDEX(PMtbl[[WKst]:[Unit of measure*]],MATCH($A274&amp;$E274&amp;$I274,INDEX(PMtbl[Category]&amp;PMtbl[Each]&amp;PMtbl[Packaging],0,),0),3)),SETUP!$D$19:$D$121,0),4))="Upfront",0,INDEX(SETUP!$C$19:$G$121,MATCH((INDEX(PMtbl[[WKst]:[Unit of measure*]],MATCH($A274&amp;$E274&amp;$I274,INDEX(PMtbl[Category]&amp;PMtbl[Each]&amp;PMtbl[Packaging],0,),0),3)),SETUP!$D$19:$D$121,0),5)),"")</f>
        <v/>
      </c>
      <c r="BL274" s="215" t="str" cm="1">
        <f t="array" ref="BL274">IF(A274&lt;&gt;"",IFERROR(INDEX(PMtbl[[WKst]:[Unit of measure*]],MATCH($A$222&amp;$A274&amp;$E274&amp;$I274,INDEX(PMtbl[Sec]&amp;PMtbl[Category]&amp;PMtbl[Each]&amp;PMtbl[Packaging],0,),0),11),""),"")</f>
        <v/>
      </c>
      <c r="BO274" s="12">
        <f>IF(N274="",0,IF(SETUP!$E$7="USD",((IF(O274="USD",P274,(P274/'Master Data-C19RM'!$C$2)))),((IF(O274="EUR",P274,(P274*'Master Data-C19RM'!$C$2))))))</f>
        <v>0</v>
      </c>
      <c r="BP274" s="12">
        <f>IF(N274="",0,IF(SETUP!$E$7="USD",((IF(O274="USD",W274,(W274/'Master Data-C19RM'!$D$2)))),((IF(O274="EUR",W274,(W274*'Master Data-C19RM'!$D$2))))))</f>
        <v>0</v>
      </c>
      <c r="BQ274">
        <f>IF(N274="",0,IF(SETUP!$E$7="USD",((IF(O274="USD",AD274,(AD274/'Master Data-C19RM'!$E$2)))),((IF(O274="EUR",AD274,(AD274*'Master Data-C19RM'!$E$2))))))</f>
        <v>0</v>
      </c>
      <c r="BR274">
        <f>IF(N274="",0,IF(SETUP!$E$7="USD",((IF(O274="USD",AK274,(AK274/'Master Data-C19RM'!$F$2)))),((IF(O274="EUR",AK274,(AK274*'Master Data-C19RM'!$F$2))))))</f>
        <v>0</v>
      </c>
      <c r="BS274">
        <f>IF(N274="",0,IF(SETUP!$E$7="USD",((IF(O274="USD",AR274,(AR274/'Master Data-C19RM'!$G$2)))),((IF(O274="EUR",AR274,(AR274*'Master Data-C19RM'!$G$2))))))</f>
        <v>0</v>
      </c>
      <c r="BT274">
        <f>IF(N274="",0,IF(SETUP!$E$7="USD",((IF(O274="USD",AY274,(AY274/'Master Data-C19RM'!$H$2)))),((IF(O274="EUR",AY274,(AY274*'Master Data-C19RM'!$H$2))))))</f>
        <v>0</v>
      </c>
      <c r="BU274" s="12">
        <f t="shared" si="32"/>
        <v>0</v>
      </c>
      <c r="BV274" s="142">
        <f t="shared" si="33"/>
        <v>0</v>
      </c>
    </row>
    <row r="275" spans="1:74" x14ac:dyDescent="0.35">
      <c r="A275" s="1165"/>
      <c r="B275" s="1165"/>
      <c r="C275" s="1165"/>
      <c r="D275" s="1165"/>
      <c r="E275" s="1166"/>
      <c r="F275" s="1166"/>
      <c r="G275" s="1166"/>
      <c r="H275" s="1166"/>
      <c r="I275" s="1166"/>
      <c r="J275" s="1166"/>
      <c r="K275" s="1166"/>
      <c r="L275" s="490" t="str" cm="1">
        <f t="array" ref="L275">IF(A275&lt;&gt;"",IFERROR(INDEX(PMtbl[[WKst]:[Unit of measure*]],MATCH($A$222&amp;$A275&amp;$E275&amp;$I275,INDEX(PMtbl[Sec]&amp;PMtbl[Category]&amp;PMtbl[Each]&amp;PMtbl[Packaging],0,),0),14),""),"")</f>
        <v/>
      </c>
      <c r="M275" s="479" t="str">
        <f>IF(L275="","",INDEX(SETUP!$E$20:$E$122,(MATCH(INDEX(PMsheet!$D:$E,MATCH(A275,PMsheet!E:E,0),1),SETUP!$D$20:$D$122,0))))</f>
        <v/>
      </c>
      <c r="N275" s="491">
        <f>IF($O275="USD",_xlfn.IFNA(VLOOKUP(A275&amp;E275&amp;I275,PMsheet!J:K,2,0),0),(_xlfn.IFNA(VLOOKUP(A275&amp;E275&amp;I275,PMsheet!J:K,2,0),0)*'Master Data-C19RM'!$C$2))</f>
        <v>0</v>
      </c>
      <c r="O275" s="492" t="str">
        <f>IF(L275="", "",SETUP!$E$7)</f>
        <v/>
      </c>
      <c r="P275" s="444">
        <f>IF($O275="USD",_xlfn.IFNA(VLOOKUP($A275&amp;$E275&amp;$I275,PMsheet!$J:$K,2,0),0),(_xlfn.IFNA(VLOOKUP($A275&amp;$E275&amp;$I275,PMsheet!$J:$K,2,0),0)*'Master Data-C19RM'!$C$2))</f>
        <v>0</v>
      </c>
      <c r="Q275" s="441"/>
      <c r="R275" s="441"/>
      <c r="S275" s="441"/>
      <c r="T275" s="441"/>
      <c r="U275" s="481">
        <f t="shared" si="34"/>
        <v>0</v>
      </c>
      <c r="V275" s="483">
        <f>IF(SETUP!$E$7="USD",(U275*(IF(O275="USD",P275,(P275/'Master Data-C19RM'!$C$2)))),(U275*(IF(O275="EUR",P275,(P275*'Master Data-C19RM'!$C$2)))))</f>
        <v>0</v>
      </c>
      <c r="W275" s="444">
        <f>IF($O275="USD",_xlfn.IFNA(VLOOKUP($A275&amp;$E275&amp;$I275,PMsheet!$J:$K,2,0),0),(_xlfn.IFNA(VLOOKUP($A275&amp;$E275&amp;$I275,PMsheet!$J:$K,2,0),0)*'Master Data-C19RM'!$D$2))</f>
        <v>0</v>
      </c>
      <c r="X275" s="441"/>
      <c r="Y275" s="441"/>
      <c r="Z275" s="441"/>
      <c r="AA275" s="441"/>
      <c r="AB275" s="481">
        <f t="shared" si="35"/>
        <v>0</v>
      </c>
      <c r="AC275" s="483">
        <f>IF(SETUP!$E$7="USD",(AB275*(IF(O275="USD",W275,(W275/'Master Data-C19RM'!$D$2)))),(AB275*(IF(O275="EUR",W275,(W275*'Master Data-C19RM'!$D$2)))))</f>
        <v>0</v>
      </c>
      <c r="AD275" s="444">
        <f>IF($O275="USD",_xlfn.IFNA(VLOOKUP($A275&amp;$E275&amp;$I275,PMsheet!$J:$K,2,0),0),(_xlfn.IFNA(VLOOKUP($A275&amp;$E275&amp;$I275,PMsheet!$J:$K,2,0),0)*'Master Data-C19RM'!$E$2))</f>
        <v>0</v>
      </c>
      <c r="AE275" s="441"/>
      <c r="AF275" s="441"/>
      <c r="AG275" s="441"/>
      <c r="AH275" s="441"/>
      <c r="AI275" s="512">
        <f t="shared" si="36"/>
        <v>0</v>
      </c>
      <c r="AJ275" s="513">
        <f>IF(SETUP!$E$7="USD",(AI275*(IF(O275="USD",AD275,(AD275/'Master Data-C19RM'!$E$2)))),(AI275*(IF(O275="EUR",AD275,(AD275*'Master Data-C19RM'!$E$2)))))</f>
        <v>0</v>
      </c>
      <c r="AK275" s="444">
        <f>IF($O275="USD",_xlfn.IFNA(VLOOKUP($A275&amp;$E275&amp;$I275,PMsheet!$J:$K,2,0),0),(_xlfn.IFNA(VLOOKUP($A275&amp;$E275&amp;$I275,PMsheet!$J:$K,2,0),0)*'Master Data-C19RM'!$F$2))</f>
        <v>0</v>
      </c>
      <c r="AL275" s="441"/>
      <c r="AM275" s="441"/>
      <c r="AN275" s="441"/>
      <c r="AO275" s="441"/>
      <c r="AP275" s="512">
        <f t="shared" si="37"/>
        <v>0</v>
      </c>
      <c r="AQ275" s="513">
        <f>IF(SETUP!$E$7="USD",(AP275*(IF(O275="USD",AK275,(AK275/'Master Data-C19RM'!$F$2)))),(AP275*(IF(O275="EUR",AK275,(AK275*'Master Data-C19RM'!$F$2)))))</f>
        <v>0</v>
      </c>
      <c r="AR275" s="456">
        <f>IF($O275="USD",_xlfn.IFNA(VLOOKUP($A275&amp;$E275&amp;$I275,PMsheet!$J:$K,2,0),0),(_xlfn.IFNA(VLOOKUP($A275&amp;$E275&amp;$I275,PMsheet!$J:$K,2,0),0)*'Master Data-C19RM'!$G$2))</f>
        <v>0</v>
      </c>
      <c r="AS275" s="572"/>
      <c r="AT275" s="572"/>
      <c r="AU275" s="572"/>
      <c r="AV275" s="572"/>
      <c r="AW275" s="512">
        <f t="shared" si="38"/>
        <v>0</v>
      </c>
      <c r="AX275" s="513">
        <f>IF(SETUP!$E$7="USD",(AW275*(IF(O275="USD",AR275,(AR275/'Master Data-C19RM'!$G$2)))),(AW275*(IF(O275="EUR",AR275,(AR275*'Master Data-C19RM'!$G$2)))))</f>
        <v>0</v>
      </c>
      <c r="AY275" s="845"/>
      <c r="AZ275" s="846"/>
      <c r="BA275" s="846"/>
      <c r="BB275" s="846"/>
      <c r="BC275" s="846"/>
      <c r="BD275" s="846"/>
      <c r="BE275" s="847"/>
      <c r="BF275" s="512">
        <f>'C19RM 2021-Lab &amp; Other HPS'!$U275+'C19RM 2021-Lab &amp; Other HPS'!$AB275+'C19RM 2021-Lab &amp; Other HPS'!$AP275+'C19RM 2021-Lab &amp; Other HPS'!$AI275+AW275+BD275</f>
        <v>0</v>
      </c>
      <c r="BG275" s="512">
        <f>'C19RM 2021-Lab &amp; Other HPS'!$V275+'C19RM 2021-Lab &amp; Other HPS'!$AC275+'C19RM 2021-Lab &amp; Other HPS'!$AQ275+'C19RM 2021-Lab &amp; Other HPS'!$AJ275+AX275+BE275</f>
        <v>0</v>
      </c>
      <c r="BH275" s="500" t="str" cm="1">
        <f t="array" ref="BH275">IF(A275&lt;&gt;"",IFERROR(INDEX(PMtbl[[WKst]:[Unit of measure*]],MATCH($A$222&amp;$A275&amp;$E275&amp;$I275,INDEX(PMtbl[Sec]&amp;PMtbl[Category]&amp;PMtbl[Each]&amp;PMtbl[Packaging],0,),0),11),""),"")</f>
        <v/>
      </c>
      <c r="BI275" s="819"/>
      <c r="BJ275" s="502" t="str" cm="1">
        <f t="array" ref="BJ275">IFERROR(INDEX(SETUP!$C$19:$G$121,MATCH((INDEX(PMtbl[[WKst]:[Unit of measure*]],MATCH($A275&amp;$E275&amp;$I275,INDEX(PMtbl[Category]&amp;PMtbl[Each]&amp;PMtbl[Packaging],0,),0),3)),SETUP!$D$19:$D$121,0),5),"")</f>
        <v/>
      </c>
      <c r="BK275" s="542" t="str" cm="1">
        <f t="array" ref="BK275">IFERROR(IF((INDEX(SETUP!$C$19:$G$121,MATCH((INDEX(PMtbl[[WKst]:[Unit of measure*]],MATCH($A275&amp;$E275&amp;$I275,INDEX(PMtbl[Category]&amp;PMtbl[Each]&amp;PMtbl[Packaging],0,),0),3)),SETUP!$D$19:$D$121,0),4))="Upfront",0,INDEX(SETUP!$C$19:$G$121,MATCH((INDEX(PMtbl[[WKst]:[Unit of measure*]],MATCH($A275&amp;$E275&amp;$I275,INDEX(PMtbl[Category]&amp;PMtbl[Each]&amp;PMtbl[Packaging],0,),0),3)),SETUP!$D$19:$D$121,0),5)),"")</f>
        <v/>
      </c>
      <c r="BL275" s="214" t="str" cm="1">
        <f t="array" ref="BL275">IF(A275&lt;&gt;"",IFERROR(INDEX(PMtbl[[WKst]:[Unit of measure*]],MATCH($A$222&amp;$A275&amp;$E275&amp;$I275,INDEX(PMtbl[Sec]&amp;PMtbl[Category]&amp;PMtbl[Each]&amp;PMtbl[Packaging],0,),0),11),""),"")</f>
        <v/>
      </c>
      <c r="BO275" s="12">
        <f>IF(N275="",0,IF(SETUP!$E$7="USD",((IF(O275="USD",P275,(P275/'Master Data-C19RM'!$C$2)))),((IF(O275="EUR",P275,(P275*'Master Data-C19RM'!$C$2))))))</f>
        <v>0</v>
      </c>
      <c r="BP275" s="12">
        <f>IF(N275="",0,IF(SETUP!$E$7="USD",((IF(O275="USD",W275,(W275/'Master Data-C19RM'!$D$2)))),((IF(O275="EUR",W275,(W275*'Master Data-C19RM'!$D$2))))))</f>
        <v>0</v>
      </c>
      <c r="BQ275">
        <f>IF(N275="",0,IF(SETUP!$E$7="USD",((IF(O275="USD",AD275,(AD275/'Master Data-C19RM'!$E$2)))),((IF(O275="EUR",AD275,(AD275*'Master Data-C19RM'!$E$2))))))</f>
        <v>0</v>
      </c>
      <c r="BR275">
        <f>IF(N275="",0,IF(SETUP!$E$7="USD",((IF(O275="USD",AK275,(AK275/'Master Data-C19RM'!$F$2)))),((IF(O275="EUR",AK275,(AK275*'Master Data-C19RM'!$F$2))))))</f>
        <v>0</v>
      </c>
      <c r="BS275">
        <f>IF(N275="",0,IF(SETUP!$E$7="USD",((IF(O275="USD",AR275,(AR275/'Master Data-C19RM'!$G$2)))),((IF(O275="EUR",AR275,(AR275*'Master Data-C19RM'!$G$2))))))</f>
        <v>0</v>
      </c>
      <c r="BT275">
        <f>IF(N275="",0,IF(SETUP!$E$7="USD",((IF(O275="USD",AY275,(AY275/'Master Data-C19RM'!$H$2)))),((IF(O275="EUR",AY275,(AY275*'Master Data-C19RM'!$H$2))))))</f>
        <v>0</v>
      </c>
      <c r="BU275" s="12">
        <f t="shared" si="32"/>
        <v>0</v>
      </c>
      <c r="BV275" s="142">
        <f t="shared" si="33"/>
        <v>0</v>
      </c>
    </row>
    <row r="276" spans="1:74" ht="13" customHeight="1" x14ac:dyDescent="0.35">
      <c r="A276" s="1172"/>
      <c r="B276" s="1172"/>
      <c r="C276" s="1172"/>
      <c r="D276" s="1172"/>
      <c r="E276" s="1173"/>
      <c r="F276" s="1173"/>
      <c r="G276" s="1173"/>
      <c r="H276" s="1173"/>
      <c r="I276" s="1173"/>
      <c r="J276" s="1173"/>
      <c r="K276" s="1173"/>
      <c r="L276" s="493" t="str" cm="1">
        <f t="array" ref="L276">IF(A276&lt;&gt;"",IFERROR(INDEX(PMtbl[[WKst]:[Unit of measure*]],MATCH($A$222&amp;$A276&amp;$E276&amp;$I276,INDEX(PMtbl[Sec]&amp;PMtbl[Category]&amp;PMtbl[Each]&amp;PMtbl[Packaging],0,),0),14),""),"")</f>
        <v/>
      </c>
      <c r="M276" s="480" t="str">
        <f>IF(L276="","",INDEX(SETUP!$E$20:$E$122,(MATCH(INDEX(PMsheet!$D:$E,MATCH(A276,PMsheet!E:E,0),1),SETUP!$D$20:$D$122,0))))</f>
        <v/>
      </c>
      <c r="N276" s="494">
        <f>IF($O276="USD",_xlfn.IFNA(VLOOKUP(A276&amp;E276&amp;I276,PMsheet!J:K,2,0),0),(_xlfn.IFNA(VLOOKUP(A276&amp;E276&amp;I276,PMsheet!J:K,2,0),0)*'Master Data-C19RM'!$C$2))</f>
        <v>0</v>
      </c>
      <c r="O276" s="495" t="str">
        <f>IF(L276="", "",SETUP!$E$7)</f>
        <v/>
      </c>
      <c r="P276" s="445">
        <f>IF($O276="USD",_xlfn.IFNA(VLOOKUP($A276&amp;$E276&amp;$I276,PMsheet!$J:$K,2,0),0),(_xlfn.IFNA(VLOOKUP($A276&amp;$E276&amp;$I276,PMsheet!$J:$K,2,0),0)*'Master Data-C19RM'!$C$2))</f>
        <v>0</v>
      </c>
      <c r="Q276" s="440"/>
      <c r="R276" s="440"/>
      <c r="S276" s="440"/>
      <c r="T276" s="440"/>
      <c r="U276" s="482">
        <f t="shared" si="34"/>
        <v>0</v>
      </c>
      <c r="V276" s="484">
        <f>IF(SETUP!$E$7="USD",(U276*(IF(O276="USD",P276,(P276/'Master Data-C19RM'!$C$2)))),(U276*(IF(O276="EUR",P276,(P276*'Master Data-C19RM'!$C$2)))))</f>
        <v>0</v>
      </c>
      <c r="W276" s="445">
        <f>IF($O276="USD",_xlfn.IFNA(VLOOKUP($A276&amp;$E276&amp;$I276,PMsheet!$J:$K,2,0),0),(_xlfn.IFNA(VLOOKUP($A276&amp;$E276&amp;$I276,PMsheet!$J:$K,2,0),0)*'Master Data-C19RM'!$D$2))</f>
        <v>0</v>
      </c>
      <c r="X276" s="440"/>
      <c r="Y276" s="440"/>
      <c r="Z276" s="440"/>
      <c r="AA276" s="440"/>
      <c r="AB276" s="482">
        <f t="shared" si="35"/>
        <v>0</v>
      </c>
      <c r="AC276" s="484">
        <f>IF(SETUP!$E$7="USD",(AB276*(IF(O276="USD",W276,(W276/'Master Data-C19RM'!$D$2)))),(AB276*(IF(O276="EUR",W276,(W276*'Master Data-C19RM'!$D$2)))))</f>
        <v>0</v>
      </c>
      <c r="AD276" s="445">
        <f>IF($O276="USD",_xlfn.IFNA(VLOOKUP($A276&amp;$E276&amp;$I276,PMsheet!$J:$K,2,0),0),(_xlfn.IFNA(VLOOKUP($A276&amp;$E276&amp;$I276,PMsheet!$J:$K,2,0),0)*'Master Data-C19RM'!$E$2))</f>
        <v>0</v>
      </c>
      <c r="AE276" s="440"/>
      <c r="AF276" s="440"/>
      <c r="AG276" s="440"/>
      <c r="AH276" s="440"/>
      <c r="AI276" s="514">
        <f t="shared" si="36"/>
        <v>0</v>
      </c>
      <c r="AJ276" s="515">
        <f>IF(SETUP!$E$7="USD",(AI276*(IF(O276="USD",AD276,(AD276/'Master Data-C19RM'!$E$2)))),(AI276*(IF(O276="EUR",AD276,(AD276*'Master Data-C19RM'!$E$2)))))</f>
        <v>0</v>
      </c>
      <c r="AK276" s="445">
        <f>IF($O276="USD",_xlfn.IFNA(VLOOKUP($A276&amp;$E276&amp;$I276,PMsheet!$J:$K,2,0),0),(_xlfn.IFNA(VLOOKUP($A276&amp;$E276&amp;$I276,PMsheet!$J:$K,2,0),0)*'Master Data-C19RM'!$F$2))</f>
        <v>0</v>
      </c>
      <c r="AL276" s="440"/>
      <c r="AM276" s="440"/>
      <c r="AN276" s="440"/>
      <c r="AO276" s="440"/>
      <c r="AP276" s="514">
        <f t="shared" si="37"/>
        <v>0</v>
      </c>
      <c r="AQ276" s="515">
        <f>IF(SETUP!$E$7="USD",(AP276*(IF(O276="USD",AK276,(AK276/'Master Data-C19RM'!$F$2)))),(AP276*(IF(O276="EUR",AK276,(AK276*'Master Data-C19RM'!$F$2)))))</f>
        <v>0</v>
      </c>
      <c r="AR276" s="457">
        <f>IF($O276="USD",_xlfn.IFNA(VLOOKUP($A276&amp;$E276&amp;$I276,PMsheet!$J:$K,2,0),0),(_xlfn.IFNA(VLOOKUP($A276&amp;$E276&amp;$I276,PMsheet!$J:$K,2,0),0)*'Master Data-C19RM'!$G$2))</f>
        <v>0</v>
      </c>
      <c r="AS276" s="926"/>
      <c r="AT276" s="926"/>
      <c r="AU276" s="926"/>
      <c r="AV276" s="926"/>
      <c r="AW276" s="514">
        <f t="shared" si="38"/>
        <v>0</v>
      </c>
      <c r="AX276" s="515">
        <f>IF(SETUP!$E$7="USD",(AW276*(IF(O276="USD",AR276,(AR276/'Master Data-C19RM'!$G$2)))),(AW276*(IF(O276="EUR",AR276,(AR276*'Master Data-C19RM'!$G$2)))))</f>
        <v>0</v>
      </c>
      <c r="AY276" s="845"/>
      <c r="AZ276" s="846"/>
      <c r="BA276" s="846"/>
      <c r="BB276" s="846"/>
      <c r="BC276" s="846"/>
      <c r="BD276" s="846"/>
      <c r="BE276" s="847"/>
      <c r="BF276" s="514">
        <f>'C19RM 2021-Lab &amp; Other HPS'!$U276+'C19RM 2021-Lab &amp; Other HPS'!$AB276+'C19RM 2021-Lab &amp; Other HPS'!$AP276+'C19RM 2021-Lab &amp; Other HPS'!$AI276+AW276+BD276</f>
        <v>0</v>
      </c>
      <c r="BG276" s="514">
        <f>'C19RM 2021-Lab &amp; Other HPS'!$V276+'C19RM 2021-Lab &amp; Other HPS'!$AC276+'C19RM 2021-Lab &amp; Other HPS'!$AQ276+'C19RM 2021-Lab &amp; Other HPS'!$AJ276+AX276+BE276</f>
        <v>0</v>
      </c>
      <c r="BH276" s="522" t="str" cm="1">
        <f t="array" ref="BH276">IF(A276&lt;&gt;"",IFERROR(INDEX(PMtbl[[WKst]:[Unit of measure*]],MATCH($A$222&amp;$A276&amp;$E276&amp;$I276,INDEX(PMtbl[Sec]&amp;PMtbl[Category]&amp;PMtbl[Each]&amp;PMtbl[Packaging],0,),0),11),""),"")</f>
        <v/>
      </c>
      <c r="BI276" s="818"/>
      <c r="BJ276" s="503" t="str" cm="1">
        <f t="array" ref="BJ276">IFERROR(INDEX(SETUP!$C$19:$G$121,MATCH((INDEX(PMtbl[[WKst]:[Unit of measure*]],MATCH($A276&amp;$E276&amp;$I276,INDEX(PMtbl[Category]&amp;PMtbl[Each]&amp;PMtbl[Packaging],0,),0),3)),SETUP!$D$19:$D$121,0),5),"")</f>
        <v/>
      </c>
      <c r="BK276" s="543" t="str" cm="1">
        <f t="array" ref="BK276">IFERROR(IF((INDEX(SETUP!$C$19:$G$121,MATCH((INDEX(PMtbl[[WKst]:[Unit of measure*]],MATCH($A276&amp;$E276&amp;$I276,INDEX(PMtbl[Category]&amp;PMtbl[Each]&amp;PMtbl[Packaging],0,),0),3)),SETUP!$D$19:$D$121,0),4))="Upfront",0,INDEX(SETUP!$C$19:$G$121,MATCH((INDEX(PMtbl[[WKst]:[Unit of measure*]],MATCH($A276&amp;$E276&amp;$I276,INDEX(PMtbl[Category]&amp;PMtbl[Each]&amp;PMtbl[Packaging],0,),0),3)),SETUP!$D$19:$D$121,0),5)),"")</f>
        <v/>
      </c>
      <c r="BL276" s="215" t="str" cm="1">
        <f t="array" ref="BL276">IF(A276&lt;&gt;"",IFERROR(INDEX(PMtbl[[WKst]:[Unit of measure*]],MATCH($A$222&amp;$A276&amp;$E276&amp;$I276,INDEX(PMtbl[Sec]&amp;PMtbl[Category]&amp;PMtbl[Each]&amp;PMtbl[Packaging],0,),0),11),""),"")</f>
        <v/>
      </c>
      <c r="BO276" s="12">
        <f>IF(N276="",0,IF(SETUP!$E$7="USD",((IF(O276="USD",P276,(P276/'Master Data-C19RM'!$C$2)))),((IF(O276="EUR",P276,(P276*'Master Data-C19RM'!$C$2))))))</f>
        <v>0</v>
      </c>
      <c r="BP276" s="12">
        <f>IF(N276="",0,IF(SETUP!$E$7="USD",((IF(O276="USD",W276,(W276/'Master Data-C19RM'!$D$2)))),((IF(O276="EUR",W276,(W276*'Master Data-C19RM'!$D$2))))))</f>
        <v>0</v>
      </c>
      <c r="BQ276">
        <f>IF(N276="",0,IF(SETUP!$E$7="USD",((IF(O276="USD",AD276,(AD276/'Master Data-C19RM'!$E$2)))),((IF(O276="EUR",AD276,(AD276*'Master Data-C19RM'!$E$2))))))</f>
        <v>0</v>
      </c>
      <c r="BR276">
        <f>IF(N276="",0,IF(SETUP!$E$7="USD",((IF(O276="USD",AK276,(AK276/'Master Data-C19RM'!$F$2)))),((IF(O276="EUR",AK276,(AK276*'Master Data-C19RM'!$F$2))))))</f>
        <v>0</v>
      </c>
      <c r="BS276">
        <f>IF(N276="",0,IF(SETUP!$E$7="USD",((IF(O276="USD",AR276,(AR276/'Master Data-C19RM'!$G$2)))),((IF(O276="EUR",AR276,(AR276*'Master Data-C19RM'!$G$2))))))</f>
        <v>0</v>
      </c>
      <c r="BT276">
        <f>IF(N276="",0,IF(SETUP!$E$7="USD",((IF(O276="USD",AY276,(AY276/'Master Data-C19RM'!$H$2)))),((IF(O276="EUR",AY276,(AY276*'Master Data-C19RM'!$H$2))))))</f>
        <v>0</v>
      </c>
      <c r="BU276" s="12">
        <f t="shared" si="32"/>
        <v>0</v>
      </c>
      <c r="BV276" s="142">
        <f>BF276</f>
        <v>0</v>
      </c>
    </row>
    <row r="277" spans="1:74" x14ac:dyDescent="0.35">
      <c r="A277" s="1165"/>
      <c r="B277" s="1165"/>
      <c r="C277" s="1165"/>
      <c r="D277" s="1165"/>
      <c r="E277" s="1166"/>
      <c r="F277" s="1166"/>
      <c r="G277" s="1166"/>
      <c r="H277" s="1166"/>
      <c r="I277" s="1166"/>
      <c r="J277" s="1166"/>
      <c r="K277" s="1166"/>
      <c r="L277" s="490" t="str" cm="1">
        <f t="array" ref="L277">IF(A277&lt;&gt;"",IFERROR(INDEX(PMtbl[[WKst]:[Unit of measure*]],MATCH($A$222&amp;$A277&amp;$E277&amp;$I277,INDEX(PMtbl[Sec]&amp;PMtbl[Category]&amp;PMtbl[Each]&amp;PMtbl[Packaging],0,),0),14),""),"")</f>
        <v/>
      </c>
      <c r="M277" s="479" t="str">
        <f>IF(L277="","",INDEX(SETUP!$E$20:$E$122,(MATCH(INDEX(PMsheet!$D:$E,MATCH(A277,PMsheet!E:E,0),1),SETUP!$D$20:$D$122,0))))</f>
        <v/>
      </c>
      <c r="N277" s="491">
        <f>IF($O277="USD",_xlfn.IFNA(VLOOKUP(A277&amp;E277&amp;I277,PMsheet!J:K,2,0),0),(_xlfn.IFNA(VLOOKUP(A277&amp;E277&amp;I277,PMsheet!J:K,2,0),0)*'Master Data-C19RM'!$C$2))</f>
        <v>0</v>
      </c>
      <c r="O277" s="492" t="str">
        <f>IF(L277="", "",SETUP!$E$7)</f>
        <v/>
      </c>
      <c r="P277" s="444">
        <f>IF($O277="USD",_xlfn.IFNA(VLOOKUP($A277&amp;$E277&amp;$I277,PMsheet!$J:$K,2,0),0),(_xlfn.IFNA(VLOOKUP($A277&amp;$E277&amp;$I277,PMsheet!$J:$K,2,0),0)*'Master Data-C19RM'!$C$2))</f>
        <v>0</v>
      </c>
      <c r="Q277" s="441"/>
      <c r="R277" s="441"/>
      <c r="S277" s="441"/>
      <c r="T277" s="441"/>
      <c r="U277" s="481">
        <f t="shared" si="34"/>
        <v>0</v>
      </c>
      <c r="V277" s="483">
        <f>IF(SETUP!$E$7="USD",(U277*(IF(O277="USD",P277,(P277/'Master Data-C19RM'!$C$2)))),(U277*(IF(O277="EUR",P277,(P277*'Master Data-C19RM'!$C$2)))))</f>
        <v>0</v>
      </c>
      <c r="W277" s="444">
        <f>IF($O277="USD",_xlfn.IFNA(VLOOKUP($A277&amp;$E277&amp;$I277,PMsheet!$J:$K,2,0),0),(_xlfn.IFNA(VLOOKUP($A277&amp;$E277&amp;$I277,PMsheet!$J:$K,2,0),0)*'Master Data-C19RM'!$D$2))</f>
        <v>0</v>
      </c>
      <c r="X277" s="441"/>
      <c r="Y277" s="441"/>
      <c r="Z277" s="441"/>
      <c r="AA277" s="441"/>
      <c r="AB277" s="481">
        <f t="shared" si="35"/>
        <v>0</v>
      </c>
      <c r="AC277" s="483">
        <f>IF(SETUP!$E$7="USD",(AB277*(IF(O277="USD",W277,(W277/'Master Data-C19RM'!$D$2)))),(AB277*(IF(O277="EUR",W277,(W277*'Master Data-C19RM'!$D$2)))))</f>
        <v>0</v>
      </c>
      <c r="AD277" s="444">
        <f>IF($O277="USD",_xlfn.IFNA(VLOOKUP($A277&amp;$E277&amp;$I277,PMsheet!$J:$K,2,0),0),(_xlfn.IFNA(VLOOKUP($A277&amp;$E277&amp;$I277,PMsheet!$J:$K,2,0),0)*'Master Data-C19RM'!$E$2))</f>
        <v>0</v>
      </c>
      <c r="AE277" s="441"/>
      <c r="AF277" s="441"/>
      <c r="AG277" s="441"/>
      <c r="AH277" s="441"/>
      <c r="AI277" s="512">
        <f t="shared" si="36"/>
        <v>0</v>
      </c>
      <c r="AJ277" s="513">
        <f>IF(SETUP!$E$7="USD",(AI277*(IF(O277="USD",AD277,(AD277/'Master Data-C19RM'!$E$2)))),(AI277*(IF(O277="EUR",AD277,(AD277*'Master Data-C19RM'!$E$2)))))</f>
        <v>0</v>
      </c>
      <c r="AK277" s="444">
        <f>IF($O277="USD",_xlfn.IFNA(VLOOKUP($A277&amp;$E277&amp;$I277,PMsheet!$J:$K,2,0),0),(_xlfn.IFNA(VLOOKUP($A277&amp;$E277&amp;$I277,PMsheet!$J:$K,2,0),0)*'Master Data-C19RM'!$F$2))</f>
        <v>0</v>
      </c>
      <c r="AL277" s="441"/>
      <c r="AM277" s="441"/>
      <c r="AN277" s="441"/>
      <c r="AO277" s="441"/>
      <c r="AP277" s="512">
        <f t="shared" si="37"/>
        <v>0</v>
      </c>
      <c r="AQ277" s="513">
        <f>IF(SETUP!$E$7="USD",(AP277*(IF(O277="USD",AK277,(AK277/'Master Data-C19RM'!$F$2)))),(AP277*(IF(O277="EUR",AK277,(AK277*'Master Data-C19RM'!$F$2)))))</f>
        <v>0</v>
      </c>
      <c r="AR277" s="456">
        <f>IF($O277="USD",_xlfn.IFNA(VLOOKUP($A277&amp;$E277&amp;$I277,PMsheet!$J:$K,2,0),0),(_xlfn.IFNA(VLOOKUP($A277&amp;$E277&amp;$I277,PMsheet!$J:$K,2,0),0)*'Master Data-C19RM'!$G$2))</f>
        <v>0</v>
      </c>
      <c r="AS277" s="572"/>
      <c r="AT277" s="572"/>
      <c r="AU277" s="572"/>
      <c r="AV277" s="572"/>
      <c r="AW277" s="512">
        <f t="shared" si="38"/>
        <v>0</v>
      </c>
      <c r="AX277" s="513">
        <f>IF(SETUP!$E$7="USD",(AW277*(IF(O277="USD",AR277,(AR277/'Master Data-C19RM'!$G$2)))),(AW277*(IF(O277="EUR",AR277,(AR277*'Master Data-C19RM'!$G$2)))))</f>
        <v>0</v>
      </c>
      <c r="AY277" s="845"/>
      <c r="AZ277" s="846"/>
      <c r="BA277" s="846"/>
      <c r="BB277" s="846"/>
      <c r="BC277" s="846"/>
      <c r="BD277" s="846"/>
      <c r="BE277" s="847"/>
      <c r="BF277" s="512">
        <f>'C19RM 2021-Lab &amp; Other HPS'!$U277+'C19RM 2021-Lab &amp; Other HPS'!$AB277+'C19RM 2021-Lab &amp; Other HPS'!$AP277+'C19RM 2021-Lab &amp; Other HPS'!$AI277+AW277+BD277</f>
        <v>0</v>
      </c>
      <c r="BG277" s="512">
        <f>'C19RM 2021-Lab &amp; Other HPS'!$V277+'C19RM 2021-Lab &amp; Other HPS'!$AC277+'C19RM 2021-Lab &amp; Other HPS'!$AQ277+'C19RM 2021-Lab &amp; Other HPS'!$AJ277+AX277+BE277</f>
        <v>0</v>
      </c>
      <c r="BH277" s="500" t="str" cm="1">
        <f t="array" ref="BH277">IF(A277&lt;&gt;"",IFERROR(INDEX(PMtbl[[WKst]:[Unit of measure*]],MATCH($A$222&amp;$A277&amp;$E277&amp;$I277,INDEX(PMtbl[Sec]&amp;PMtbl[Category]&amp;PMtbl[Each]&amp;PMtbl[Packaging],0,),0),11),""),"")</f>
        <v/>
      </c>
      <c r="BI277" s="819"/>
      <c r="BJ277" s="502" t="str" cm="1">
        <f t="array" ref="BJ277">IFERROR(INDEX(SETUP!$C$19:$G$121,MATCH((INDEX(PMtbl[[WKst]:[Unit of measure*]],MATCH($A277&amp;$E277&amp;$I277,INDEX(PMtbl[Category]&amp;PMtbl[Each]&amp;PMtbl[Packaging],0,),0),3)),SETUP!$D$19:$D$121,0),5),"")</f>
        <v/>
      </c>
      <c r="BK277" s="542"/>
      <c r="BL277" s="214"/>
      <c r="BO277" s="12">
        <f>IF(N277="",0,IF(SETUP!$E$7="USD",((IF(O277="USD",P277,(P277/'Master Data-C19RM'!$C$2)))),((IF(O277="EUR",P277,(P277*'Master Data-C19RM'!$C$2))))))</f>
        <v>0</v>
      </c>
      <c r="BP277" s="12">
        <f>IF(N277="",0,IF(SETUP!$E$7="USD",((IF(O277="USD",W277,(W277/'Master Data-C19RM'!$D$2)))),((IF(O277="EUR",W277,(W277*'Master Data-C19RM'!$D$2))))))</f>
        <v>0</v>
      </c>
      <c r="BQ277">
        <f>IF(N277="",0,IF(SETUP!$E$7="USD",((IF(O277="USD",AD277,(AD277/'Master Data-C19RM'!$E$2)))),((IF(O277="EUR",AD277,(AD277*'Master Data-C19RM'!$E$2))))))</f>
        <v>0</v>
      </c>
      <c r="BR277">
        <f>IF(N277="",0,IF(SETUP!$E$7="USD",((IF(O277="USD",AK277,(AK277/'Master Data-C19RM'!$F$2)))),((IF(O277="EUR",AK277,(AK277*'Master Data-C19RM'!$F$2))))))</f>
        <v>0</v>
      </c>
      <c r="BS277">
        <f>IF(N277="",0,IF(SETUP!$E$7="USD",((IF(O277="USD",AR277,(AR277/'Master Data-C19RM'!$G$2)))),((IF(O277="EUR",AR277,(AR277*'Master Data-C19RM'!$G$2))))))</f>
        <v>0</v>
      </c>
      <c r="BT277">
        <f>IF(N277="",0,IF(SETUP!$E$7="USD",((IF(O277="USD",AY277,(AY277/'Master Data-C19RM'!$H$2)))),((IF(O277="EUR",AY277,(AY277*'Master Data-C19RM'!$H$2))))))</f>
        <v>0</v>
      </c>
      <c r="BU277" s="12">
        <f t="shared" ref="BU277:BU326" si="39">IF(AND(L277="",(COUNTBLANK(A277:K277)=8)),1,0)</f>
        <v>0</v>
      </c>
      <c r="BV277" s="142">
        <f t="shared" ref="BV277:BV326" si="40">BF277</f>
        <v>0</v>
      </c>
    </row>
    <row r="278" spans="1:74" x14ac:dyDescent="0.35">
      <c r="A278" s="1172"/>
      <c r="B278" s="1172"/>
      <c r="C278" s="1172"/>
      <c r="D278" s="1172"/>
      <c r="E278" s="1173"/>
      <c r="F278" s="1173"/>
      <c r="G278" s="1173"/>
      <c r="H278" s="1173"/>
      <c r="I278" s="1173"/>
      <c r="J278" s="1173"/>
      <c r="K278" s="1173"/>
      <c r="L278" s="493" t="str" cm="1">
        <f t="array" ref="L278">IF(A278&lt;&gt;"",IFERROR(INDEX(PMtbl[[WKst]:[Unit of measure*]],MATCH($A$222&amp;$A278&amp;$E278&amp;$I278,INDEX(PMtbl[Sec]&amp;PMtbl[Category]&amp;PMtbl[Each]&amp;PMtbl[Packaging],0,),0),14),""),"")</f>
        <v/>
      </c>
      <c r="M278" s="480" t="str">
        <f>IF(L278="","",INDEX(SETUP!$E$20:$E$122,(MATCH(INDEX(PMsheet!$D:$E,MATCH(A278,PMsheet!E:E,0),1),SETUP!$D$20:$D$122,0))))</f>
        <v/>
      </c>
      <c r="N278" s="494">
        <f>IF($O278="USD",_xlfn.IFNA(VLOOKUP(A278&amp;E278&amp;I278,PMsheet!J:K,2,0),0),(_xlfn.IFNA(VLOOKUP(A278&amp;E278&amp;I278,PMsheet!J:K,2,0),0)*'Master Data-C19RM'!$C$2))</f>
        <v>0</v>
      </c>
      <c r="O278" s="495" t="str">
        <f>IF(L278="", "",SETUP!$E$7)</f>
        <v/>
      </c>
      <c r="P278" s="445">
        <f>IF($O278="USD",_xlfn.IFNA(VLOOKUP($A278&amp;$E278&amp;$I278,PMsheet!$J:$K,2,0),0),(_xlfn.IFNA(VLOOKUP($A278&amp;$E278&amp;$I278,PMsheet!$J:$K,2,0),0)*'Master Data-C19RM'!$C$2))</f>
        <v>0</v>
      </c>
      <c r="Q278" s="440"/>
      <c r="R278" s="440"/>
      <c r="S278" s="440"/>
      <c r="T278" s="440"/>
      <c r="U278" s="482">
        <f t="shared" si="34"/>
        <v>0</v>
      </c>
      <c r="V278" s="484">
        <f>IF(SETUP!$E$7="USD",(U278*(IF(O278="USD",P278,(P278/'Master Data-C19RM'!$C$2)))),(U278*(IF(O278="EUR",P278,(P278*'Master Data-C19RM'!$C$2)))))</f>
        <v>0</v>
      </c>
      <c r="W278" s="445">
        <f>IF($O278="USD",_xlfn.IFNA(VLOOKUP($A278&amp;$E278&amp;$I278,PMsheet!$J:$K,2,0),0),(_xlfn.IFNA(VLOOKUP($A278&amp;$E278&amp;$I278,PMsheet!$J:$K,2,0),0)*'Master Data-C19RM'!$D$2))</f>
        <v>0</v>
      </c>
      <c r="X278" s="440"/>
      <c r="Y278" s="440"/>
      <c r="Z278" s="440"/>
      <c r="AA278" s="440"/>
      <c r="AB278" s="482">
        <f t="shared" si="35"/>
        <v>0</v>
      </c>
      <c r="AC278" s="484">
        <f>IF(SETUP!$E$7="USD",(AB278*(IF(O278="USD",W278,(W278/'Master Data-C19RM'!$D$2)))),(AB278*(IF(O278="EUR",W278,(W278*'Master Data-C19RM'!$D$2)))))</f>
        <v>0</v>
      </c>
      <c r="AD278" s="445">
        <f>IF($O278="USD",_xlfn.IFNA(VLOOKUP($A278&amp;$E278&amp;$I278,PMsheet!$J:$K,2,0),0),(_xlfn.IFNA(VLOOKUP($A278&amp;$E278&amp;$I278,PMsheet!$J:$K,2,0),0)*'Master Data-C19RM'!$E$2))</f>
        <v>0</v>
      </c>
      <c r="AE278" s="440"/>
      <c r="AF278" s="440"/>
      <c r="AG278" s="440"/>
      <c r="AH278" s="440"/>
      <c r="AI278" s="514">
        <f t="shared" si="36"/>
        <v>0</v>
      </c>
      <c r="AJ278" s="515">
        <f>IF(SETUP!$E$7="USD",(AI278*(IF(O278="USD",AD278,(AD278/'Master Data-C19RM'!$E$2)))),(AI278*(IF(O278="EUR",AD278,(AD278*'Master Data-C19RM'!$E$2)))))</f>
        <v>0</v>
      </c>
      <c r="AK278" s="445">
        <f>IF($O278="USD",_xlfn.IFNA(VLOOKUP($A278&amp;$E278&amp;$I278,PMsheet!$J:$K,2,0),0),(_xlfn.IFNA(VLOOKUP($A278&amp;$E278&amp;$I278,PMsheet!$J:$K,2,0),0)*'Master Data-C19RM'!$F$2))</f>
        <v>0</v>
      </c>
      <c r="AL278" s="440"/>
      <c r="AM278" s="440"/>
      <c r="AN278" s="440"/>
      <c r="AO278" s="440"/>
      <c r="AP278" s="514">
        <f t="shared" si="37"/>
        <v>0</v>
      </c>
      <c r="AQ278" s="515">
        <f>IF(SETUP!$E$7="USD",(AP278*(IF(O278="USD",AK278,(AK278/'Master Data-C19RM'!$F$2)))),(AP278*(IF(O278="EUR",AK278,(AK278*'Master Data-C19RM'!$F$2)))))</f>
        <v>0</v>
      </c>
      <c r="AR278" s="457">
        <f>IF($O278="USD",_xlfn.IFNA(VLOOKUP($A278&amp;$E278&amp;$I278,PMsheet!$J:$K,2,0),0),(_xlfn.IFNA(VLOOKUP($A278&amp;$E278&amp;$I278,PMsheet!$J:$K,2,0),0)*'Master Data-C19RM'!$G$2))</f>
        <v>0</v>
      </c>
      <c r="AS278" s="926"/>
      <c r="AT278" s="926"/>
      <c r="AU278" s="926"/>
      <c r="AV278" s="926"/>
      <c r="AW278" s="514">
        <f t="shared" si="38"/>
        <v>0</v>
      </c>
      <c r="AX278" s="515">
        <f>IF(SETUP!$E$7="USD",(AW278*(IF(O278="USD",AR278,(AR278/'Master Data-C19RM'!$G$2)))),(AW278*(IF(O278="EUR",AR278,(AR278*'Master Data-C19RM'!$G$2)))))</f>
        <v>0</v>
      </c>
      <c r="AY278" s="845"/>
      <c r="AZ278" s="846"/>
      <c r="BA278" s="846"/>
      <c r="BB278" s="846"/>
      <c r="BC278" s="846"/>
      <c r="BD278" s="846"/>
      <c r="BE278" s="847"/>
      <c r="BF278" s="514">
        <f>'C19RM 2021-Lab &amp; Other HPS'!$U278+'C19RM 2021-Lab &amp; Other HPS'!$AB278+'C19RM 2021-Lab &amp; Other HPS'!$AP278+'C19RM 2021-Lab &amp; Other HPS'!$AI278+AW278+BD278</f>
        <v>0</v>
      </c>
      <c r="BG278" s="514">
        <f>'C19RM 2021-Lab &amp; Other HPS'!$V278+'C19RM 2021-Lab &amp; Other HPS'!$AC278+'C19RM 2021-Lab &amp; Other HPS'!$AQ278+'C19RM 2021-Lab &amp; Other HPS'!$AJ278+AX278+BE278</f>
        <v>0</v>
      </c>
      <c r="BH278" s="522" t="str" cm="1">
        <f t="array" ref="BH278">IF(A278&lt;&gt;"",IFERROR(INDEX(PMtbl[[WKst]:[Unit of measure*]],MATCH($A$222&amp;$A278&amp;$E278&amp;$I278,INDEX(PMtbl[Sec]&amp;PMtbl[Category]&amp;PMtbl[Each]&amp;PMtbl[Packaging],0,),0),11),""),"")</f>
        <v/>
      </c>
      <c r="BI278" s="818"/>
      <c r="BJ278" s="503" t="str" cm="1">
        <f t="array" ref="BJ278">IFERROR(INDEX(SETUP!$C$19:$G$121,MATCH((INDEX(PMtbl[[WKst]:[Unit of measure*]],MATCH($A278&amp;$E278&amp;$I278,INDEX(PMtbl[Category]&amp;PMtbl[Each]&amp;PMtbl[Packaging],0,),0),3)),SETUP!$D$19:$D$121,0),5),"")</f>
        <v/>
      </c>
      <c r="BK278" s="543"/>
      <c r="BL278" s="215"/>
      <c r="BO278" s="12">
        <f>IF(N278="",0,IF(SETUP!$E$7="USD",((IF(O278="USD",P278,(P278/'Master Data-C19RM'!$C$2)))),((IF(O278="EUR",P278,(P278*'Master Data-C19RM'!$C$2))))))</f>
        <v>0</v>
      </c>
      <c r="BP278" s="12">
        <f>IF(N278="",0,IF(SETUP!$E$7="USD",((IF(O278="USD",W278,(W278/'Master Data-C19RM'!$D$2)))),((IF(O278="EUR",W278,(W278*'Master Data-C19RM'!$D$2))))))</f>
        <v>0</v>
      </c>
      <c r="BQ278">
        <f>IF(N278="",0,IF(SETUP!$E$7="USD",((IF(O278="USD",AD278,(AD278/'Master Data-C19RM'!$E$2)))),((IF(O278="EUR",AD278,(AD278*'Master Data-C19RM'!$E$2))))))</f>
        <v>0</v>
      </c>
      <c r="BR278">
        <f>IF(N278="",0,IF(SETUP!$E$7="USD",((IF(O278="USD",AK278,(AK278/'Master Data-C19RM'!$F$2)))),((IF(O278="EUR",AK278,(AK278*'Master Data-C19RM'!$F$2))))))</f>
        <v>0</v>
      </c>
      <c r="BS278">
        <f>IF(N278="",0,IF(SETUP!$E$7="USD",((IF(O278="USD",AR278,(AR278/'Master Data-C19RM'!$G$2)))),((IF(O278="EUR",AR278,(AR278*'Master Data-C19RM'!$G$2))))))</f>
        <v>0</v>
      </c>
      <c r="BT278">
        <f>IF(N278="",0,IF(SETUP!$E$7="USD",((IF(O278="USD",AY278,(AY278/'Master Data-C19RM'!$H$2)))),((IF(O278="EUR",AY278,(AY278*'Master Data-C19RM'!$H$2))))))</f>
        <v>0</v>
      </c>
      <c r="BU278" s="12">
        <f t="shared" si="39"/>
        <v>0</v>
      </c>
      <c r="BV278" s="142">
        <f t="shared" si="40"/>
        <v>0</v>
      </c>
    </row>
    <row r="279" spans="1:74" x14ac:dyDescent="0.35">
      <c r="A279" s="1165"/>
      <c r="B279" s="1165"/>
      <c r="C279" s="1165"/>
      <c r="D279" s="1165"/>
      <c r="E279" s="1166"/>
      <c r="F279" s="1166"/>
      <c r="G279" s="1166"/>
      <c r="H279" s="1166"/>
      <c r="I279" s="1166"/>
      <c r="J279" s="1166"/>
      <c r="K279" s="1166"/>
      <c r="L279" s="490" t="str" cm="1">
        <f t="array" ref="L279">IF(A279&lt;&gt;"",IFERROR(INDEX(PMtbl[[WKst]:[Unit of measure*]],MATCH($A$222&amp;$A279&amp;$E279&amp;$I279,INDEX(PMtbl[Sec]&amp;PMtbl[Category]&amp;PMtbl[Each]&amp;PMtbl[Packaging],0,),0),14),""),"")</f>
        <v/>
      </c>
      <c r="M279" s="479" t="str">
        <f>IF(L279="","",INDEX(SETUP!$E$20:$E$122,(MATCH(INDEX(PMsheet!$D:$E,MATCH(A279,PMsheet!E:E,0),1),SETUP!$D$20:$D$122,0))))</f>
        <v/>
      </c>
      <c r="N279" s="491">
        <f>IF($O279="USD",_xlfn.IFNA(VLOOKUP(A279&amp;E279&amp;I279,PMsheet!J:K,2,0),0),(_xlfn.IFNA(VLOOKUP(A279&amp;E279&amp;I279,PMsheet!J:K,2,0),0)*'Master Data-C19RM'!$C$2))</f>
        <v>0</v>
      </c>
      <c r="O279" s="492" t="str">
        <f>IF(L279="", "",SETUP!$E$7)</f>
        <v/>
      </c>
      <c r="P279" s="444">
        <f>IF($O279="USD",_xlfn.IFNA(VLOOKUP($A279&amp;$E279&amp;$I279,PMsheet!$J:$K,2,0),0),(_xlfn.IFNA(VLOOKUP($A279&amp;$E279&amp;$I279,PMsheet!$J:$K,2,0),0)*'Master Data-C19RM'!$C$2))</f>
        <v>0</v>
      </c>
      <c r="Q279" s="441"/>
      <c r="R279" s="441"/>
      <c r="S279" s="441"/>
      <c r="T279" s="441"/>
      <c r="U279" s="481">
        <f t="shared" si="34"/>
        <v>0</v>
      </c>
      <c r="V279" s="483">
        <f>IF(SETUP!$E$7="USD",(U279*(IF(O279="USD",P279,(P279/'Master Data-C19RM'!$C$2)))),(U279*(IF(O279="EUR",P279,(P279*'Master Data-C19RM'!$C$2)))))</f>
        <v>0</v>
      </c>
      <c r="W279" s="444">
        <f>IF($O279="USD",_xlfn.IFNA(VLOOKUP($A279&amp;$E279&amp;$I279,PMsheet!$J:$K,2,0),0),(_xlfn.IFNA(VLOOKUP($A279&amp;$E279&amp;$I279,PMsheet!$J:$K,2,0),0)*'Master Data-C19RM'!$D$2))</f>
        <v>0</v>
      </c>
      <c r="X279" s="441"/>
      <c r="Y279" s="441"/>
      <c r="Z279" s="441"/>
      <c r="AA279" s="441"/>
      <c r="AB279" s="481">
        <f t="shared" si="35"/>
        <v>0</v>
      </c>
      <c r="AC279" s="483">
        <f>IF(SETUP!$E$7="USD",(AB279*(IF(O279="USD",W279,(W279/'Master Data-C19RM'!$D$2)))),(AB279*(IF(O279="EUR",W279,(W279*'Master Data-C19RM'!$D$2)))))</f>
        <v>0</v>
      </c>
      <c r="AD279" s="444">
        <f>IF($O279="USD",_xlfn.IFNA(VLOOKUP($A279&amp;$E279&amp;$I279,PMsheet!$J:$K,2,0),0),(_xlfn.IFNA(VLOOKUP($A279&amp;$E279&amp;$I279,PMsheet!$J:$K,2,0),0)*'Master Data-C19RM'!$E$2))</f>
        <v>0</v>
      </c>
      <c r="AE279" s="441"/>
      <c r="AF279" s="441"/>
      <c r="AG279" s="441"/>
      <c r="AH279" s="441"/>
      <c r="AI279" s="512">
        <f t="shared" si="36"/>
        <v>0</v>
      </c>
      <c r="AJ279" s="513">
        <f>IF(SETUP!$E$7="USD",(AI279*(IF(O279="USD",AD279,(AD279/'Master Data-C19RM'!$E$2)))),(AI279*(IF(O279="EUR",AD279,(AD279*'Master Data-C19RM'!$E$2)))))</f>
        <v>0</v>
      </c>
      <c r="AK279" s="444">
        <f>IF($O279="USD",_xlfn.IFNA(VLOOKUP($A279&amp;$E279&amp;$I279,PMsheet!$J:$K,2,0),0),(_xlfn.IFNA(VLOOKUP($A279&amp;$E279&amp;$I279,PMsheet!$J:$K,2,0),0)*'Master Data-C19RM'!$F$2))</f>
        <v>0</v>
      </c>
      <c r="AL279" s="441"/>
      <c r="AM279" s="441"/>
      <c r="AN279" s="441"/>
      <c r="AO279" s="441"/>
      <c r="AP279" s="512">
        <f t="shared" si="37"/>
        <v>0</v>
      </c>
      <c r="AQ279" s="513">
        <f>IF(SETUP!$E$7="USD",(AP279*(IF(O279="USD",AK279,(AK279/'Master Data-C19RM'!$F$2)))),(AP279*(IF(O279="EUR",AK279,(AK279*'Master Data-C19RM'!$F$2)))))</f>
        <v>0</v>
      </c>
      <c r="AR279" s="456">
        <f>IF($O279="USD",_xlfn.IFNA(VLOOKUP($A279&amp;$E279&amp;$I279,PMsheet!$J:$K,2,0),0),(_xlfn.IFNA(VLOOKUP($A279&amp;$E279&amp;$I279,PMsheet!$J:$K,2,0),0)*'Master Data-C19RM'!$G$2))</f>
        <v>0</v>
      </c>
      <c r="AS279" s="572"/>
      <c r="AT279" s="572"/>
      <c r="AU279" s="572"/>
      <c r="AV279" s="572"/>
      <c r="AW279" s="512">
        <f t="shared" si="38"/>
        <v>0</v>
      </c>
      <c r="AX279" s="513">
        <f>IF(SETUP!$E$7="USD",(AW279*(IF(O279="USD",AR279,(AR279/'Master Data-C19RM'!$G$2)))),(AW279*(IF(O279="EUR",AR279,(AR279*'Master Data-C19RM'!$G$2)))))</f>
        <v>0</v>
      </c>
      <c r="AY279" s="845"/>
      <c r="AZ279" s="846"/>
      <c r="BA279" s="846"/>
      <c r="BB279" s="846"/>
      <c r="BC279" s="846"/>
      <c r="BD279" s="846"/>
      <c r="BE279" s="847"/>
      <c r="BF279" s="512">
        <f>'C19RM 2021-Lab &amp; Other HPS'!$U279+'C19RM 2021-Lab &amp; Other HPS'!$AB279+'C19RM 2021-Lab &amp; Other HPS'!$AP279+'C19RM 2021-Lab &amp; Other HPS'!$AI279+AW279+BD279</f>
        <v>0</v>
      </c>
      <c r="BG279" s="512">
        <f>'C19RM 2021-Lab &amp; Other HPS'!$V279+'C19RM 2021-Lab &amp; Other HPS'!$AC279+'C19RM 2021-Lab &amp; Other HPS'!$AQ279+'C19RM 2021-Lab &amp; Other HPS'!$AJ279+AX279+BE279</f>
        <v>0</v>
      </c>
      <c r="BH279" s="500" t="str" cm="1">
        <f t="array" ref="BH279">IF(A279&lt;&gt;"",IFERROR(INDEX(PMtbl[[WKst]:[Unit of measure*]],MATCH($A$222&amp;$A279&amp;$E279&amp;$I279,INDEX(PMtbl[Sec]&amp;PMtbl[Category]&amp;PMtbl[Each]&amp;PMtbl[Packaging],0,),0),11),""),"")</f>
        <v/>
      </c>
      <c r="BI279" s="819"/>
      <c r="BJ279" s="502" t="str" cm="1">
        <f t="array" ref="BJ279">IFERROR(INDEX(SETUP!$C$19:$G$121,MATCH((INDEX(PMtbl[[WKst]:[Unit of measure*]],MATCH($A279&amp;$E279&amp;$I279,INDEX(PMtbl[Category]&amp;PMtbl[Each]&amp;PMtbl[Packaging],0,),0),3)),SETUP!$D$19:$D$121,0),5),"")</f>
        <v/>
      </c>
      <c r="BK279" s="542"/>
      <c r="BL279" s="214"/>
      <c r="BO279" s="12">
        <f>IF(N279="",0,IF(SETUP!$E$7="USD",((IF(O279="USD",P279,(P279/'Master Data-C19RM'!$C$2)))),((IF(O279="EUR",P279,(P279*'Master Data-C19RM'!$C$2))))))</f>
        <v>0</v>
      </c>
      <c r="BP279" s="12">
        <f>IF(N279="",0,IF(SETUP!$E$7="USD",((IF(O279="USD",W279,(W279/'Master Data-C19RM'!$D$2)))),((IF(O279="EUR",W279,(W279*'Master Data-C19RM'!$D$2))))))</f>
        <v>0</v>
      </c>
      <c r="BQ279">
        <f>IF(N279="",0,IF(SETUP!$E$7="USD",((IF(O279="USD",AD279,(AD279/'Master Data-C19RM'!$E$2)))),((IF(O279="EUR",AD279,(AD279*'Master Data-C19RM'!$E$2))))))</f>
        <v>0</v>
      </c>
      <c r="BR279">
        <f>IF(N279="",0,IF(SETUP!$E$7="USD",((IF(O279="USD",AK279,(AK279/'Master Data-C19RM'!$F$2)))),((IF(O279="EUR",AK279,(AK279*'Master Data-C19RM'!$F$2))))))</f>
        <v>0</v>
      </c>
      <c r="BS279">
        <f>IF(N279="",0,IF(SETUP!$E$7="USD",((IF(O279="USD",AR279,(AR279/'Master Data-C19RM'!$G$2)))),((IF(O279="EUR",AR279,(AR279*'Master Data-C19RM'!$G$2))))))</f>
        <v>0</v>
      </c>
      <c r="BT279">
        <f>IF(N279="",0,IF(SETUP!$E$7="USD",((IF(O279="USD",AY279,(AY279/'Master Data-C19RM'!$H$2)))),((IF(O279="EUR",AY279,(AY279*'Master Data-C19RM'!$H$2))))))</f>
        <v>0</v>
      </c>
      <c r="BU279" s="12">
        <f t="shared" si="39"/>
        <v>0</v>
      </c>
      <c r="BV279" s="142">
        <f t="shared" si="40"/>
        <v>0</v>
      </c>
    </row>
    <row r="280" spans="1:74" x14ac:dyDescent="0.35">
      <c r="A280" s="1172"/>
      <c r="B280" s="1172"/>
      <c r="C280" s="1172"/>
      <c r="D280" s="1172"/>
      <c r="E280" s="1173"/>
      <c r="F280" s="1173"/>
      <c r="G280" s="1173"/>
      <c r="H280" s="1173"/>
      <c r="I280" s="1173"/>
      <c r="J280" s="1173"/>
      <c r="K280" s="1173"/>
      <c r="L280" s="493" t="str" cm="1">
        <f t="array" ref="L280">IF(A280&lt;&gt;"",IFERROR(INDEX(PMtbl[[WKst]:[Unit of measure*]],MATCH($A$222&amp;$A280&amp;$E280&amp;$I280,INDEX(PMtbl[Sec]&amp;PMtbl[Category]&amp;PMtbl[Each]&amp;PMtbl[Packaging],0,),0),14),""),"")</f>
        <v/>
      </c>
      <c r="M280" s="480" t="str">
        <f>IF(L280="","",INDEX(SETUP!$E$20:$E$122,(MATCH(INDEX(PMsheet!$D:$E,MATCH(A280,PMsheet!E:E,0),1),SETUP!$D$20:$D$122,0))))</f>
        <v/>
      </c>
      <c r="N280" s="494">
        <f>IF($O280="USD",_xlfn.IFNA(VLOOKUP(A280&amp;E280&amp;I280,PMsheet!J:K,2,0),0),(_xlfn.IFNA(VLOOKUP(A280&amp;E280&amp;I280,PMsheet!J:K,2,0),0)*'Master Data-C19RM'!$C$2))</f>
        <v>0</v>
      </c>
      <c r="O280" s="495" t="str">
        <f>IF(L280="", "",SETUP!$E$7)</f>
        <v/>
      </c>
      <c r="P280" s="445">
        <f>IF($O280="USD",_xlfn.IFNA(VLOOKUP($A280&amp;$E280&amp;$I280,PMsheet!$J:$K,2,0),0),(_xlfn.IFNA(VLOOKUP($A280&amp;$E280&amp;$I280,PMsheet!$J:$K,2,0),0)*'Master Data-C19RM'!$C$2))</f>
        <v>0</v>
      </c>
      <c r="Q280" s="440"/>
      <c r="R280" s="440"/>
      <c r="S280" s="440"/>
      <c r="T280" s="440"/>
      <c r="U280" s="482">
        <f t="shared" si="34"/>
        <v>0</v>
      </c>
      <c r="V280" s="484">
        <f>IF(SETUP!$E$7="USD",(U280*(IF(O280="USD",P280,(P280/'Master Data-C19RM'!$C$2)))),(U280*(IF(O280="EUR",P280,(P280*'Master Data-C19RM'!$C$2)))))</f>
        <v>0</v>
      </c>
      <c r="W280" s="445">
        <f>IF($O280="USD",_xlfn.IFNA(VLOOKUP($A280&amp;$E280&amp;$I280,PMsheet!$J:$K,2,0),0),(_xlfn.IFNA(VLOOKUP($A280&amp;$E280&amp;$I280,PMsheet!$J:$K,2,0),0)*'Master Data-C19RM'!$D$2))</f>
        <v>0</v>
      </c>
      <c r="X280" s="440"/>
      <c r="Y280" s="440"/>
      <c r="Z280" s="440"/>
      <c r="AA280" s="440"/>
      <c r="AB280" s="482">
        <f t="shared" si="35"/>
        <v>0</v>
      </c>
      <c r="AC280" s="484">
        <f>IF(SETUP!$E$7="USD",(AB280*(IF(O280="USD",W280,(W280/'Master Data-C19RM'!$D$2)))),(AB280*(IF(O280="EUR",W280,(W280*'Master Data-C19RM'!$D$2)))))</f>
        <v>0</v>
      </c>
      <c r="AD280" s="445">
        <f>IF($O280="USD",_xlfn.IFNA(VLOOKUP($A280&amp;$E280&amp;$I280,PMsheet!$J:$K,2,0),0),(_xlfn.IFNA(VLOOKUP($A280&amp;$E280&amp;$I280,PMsheet!$J:$K,2,0),0)*'Master Data-C19RM'!$E$2))</f>
        <v>0</v>
      </c>
      <c r="AE280" s="440"/>
      <c r="AF280" s="440"/>
      <c r="AG280" s="440"/>
      <c r="AH280" s="440"/>
      <c r="AI280" s="514">
        <f t="shared" si="36"/>
        <v>0</v>
      </c>
      <c r="AJ280" s="515">
        <f>IF(SETUP!$E$7="USD",(AI280*(IF(O280="USD",AD280,(AD280/'Master Data-C19RM'!$E$2)))),(AI280*(IF(O280="EUR",AD280,(AD280*'Master Data-C19RM'!$E$2)))))</f>
        <v>0</v>
      </c>
      <c r="AK280" s="445">
        <f>IF($O280="USD",_xlfn.IFNA(VLOOKUP($A280&amp;$E280&amp;$I280,PMsheet!$J:$K,2,0),0),(_xlfn.IFNA(VLOOKUP($A280&amp;$E280&amp;$I280,PMsheet!$J:$K,2,0),0)*'Master Data-C19RM'!$F$2))</f>
        <v>0</v>
      </c>
      <c r="AL280" s="440"/>
      <c r="AM280" s="440"/>
      <c r="AN280" s="440"/>
      <c r="AO280" s="440"/>
      <c r="AP280" s="514">
        <f t="shared" si="37"/>
        <v>0</v>
      </c>
      <c r="AQ280" s="515">
        <f>IF(SETUP!$E$7="USD",(AP280*(IF(O280="USD",AK280,(AK280/'Master Data-C19RM'!$F$2)))),(AP280*(IF(O280="EUR",AK280,(AK280*'Master Data-C19RM'!$F$2)))))</f>
        <v>0</v>
      </c>
      <c r="AR280" s="457">
        <f>IF($O280="USD",_xlfn.IFNA(VLOOKUP($A280&amp;$E280&amp;$I280,PMsheet!$J:$K,2,0),0),(_xlfn.IFNA(VLOOKUP($A280&amp;$E280&amp;$I280,PMsheet!$J:$K,2,0),0)*'Master Data-C19RM'!$G$2))</f>
        <v>0</v>
      </c>
      <c r="AS280" s="926"/>
      <c r="AT280" s="926"/>
      <c r="AU280" s="926"/>
      <c r="AV280" s="926"/>
      <c r="AW280" s="514">
        <f t="shared" si="38"/>
        <v>0</v>
      </c>
      <c r="AX280" s="515">
        <f>IF(SETUP!$E$7="USD",(AW280*(IF(O280="USD",AR280,(AR280/'Master Data-C19RM'!$G$2)))),(AW280*(IF(O280="EUR",AR280,(AR280*'Master Data-C19RM'!$G$2)))))</f>
        <v>0</v>
      </c>
      <c r="AY280" s="845"/>
      <c r="AZ280" s="846"/>
      <c r="BA280" s="846"/>
      <c r="BB280" s="846"/>
      <c r="BC280" s="846"/>
      <c r="BD280" s="846"/>
      <c r="BE280" s="847"/>
      <c r="BF280" s="514">
        <f>'C19RM 2021-Lab &amp; Other HPS'!$U280+'C19RM 2021-Lab &amp; Other HPS'!$AB280+'C19RM 2021-Lab &amp; Other HPS'!$AP280+'C19RM 2021-Lab &amp; Other HPS'!$AI280+AW280+BD280</f>
        <v>0</v>
      </c>
      <c r="BG280" s="514">
        <f>'C19RM 2021-Lab &amp; Other HPS'!$V280+'C19RM 2021-Lab &amp; Other HPS'!$AC280+'C19RM 2021-Lab &amp; Other HPS'!$AQ280+'C19RM 2021-Lab &amp; Other HPS'!$AJ280+AX280+BE280</f>
        <v>0</v>
      </c>
      <c r="BH280" s="522" t="str" cm="1">
        <f t="array" ref="BH280">IF(A280&lt;&gt;"",IFERROR(INDEX(PMtbl[[WKst]:[Unit of measure*]],MATCH($A$222&amp;$A280&amp;$E280&amp;$I280,INDEX(PMtbl[Sec]&amp;PMtbl[Category]&amp;PMtbl[Each]&amp;PMtbl[Packaging],0,),0),11),""),"")</f>
        <v/>
      </c>
      <c r="BI280" s="818"/>
      <c r="BJ280" s="503" t="str" cm="1">
        <f t="array" ref="BJ280">IFERROR(INDEX(SETUP!$C$19:$G$121,MATCH((INDEX(PMtbl[[WKst]:[Unit of measure*]],MATCH($A280&amp;$E280&amp;$I280,INDEX(PMtbl[Category]&amp;PMtbl[Each]&amp;PMtbl[Packaging],0,),0),3)),SETUP!$D$19:$D$121,0),5),"")</f>
        <v/>
      </c>
      <c r="BK280" s="543"/>
      <c r="BL280" s="215"/>
      <c r="BO280" s="12">
        <f>IF(N280="",0,IF(SETUP!$E$7="USD",((IF(O280="USD",P280,(P280/'Master Data-C19RM'!$C$2)))),((IF(O280="EUR",P280,(P280*'Master Data-C19RM'!$C$2))))))</f>
        <v>0</v>
      </c>
      <c r="BP280" s="12">
        <f>IF(N280="",0,IF(SETUP!$E$7="USD",((IF(O280="USD",W280,(W280/'Master Data-C19RM'!$D$2)))),((IF(O280="EUR",W280,(W280*'Master Data-C19RM'!$D$2))))))</f>
        <v>0</v>
      </c>
      <c r="BQ280">
        <f>IF(N280="",0,IF(SETUP!$E$7="USD",((IF(O280="USD",AD280,(AD280/'Master Data-C19RM'!$E$2)))),((IF(O280="EUR",AD280,(AD280*'Master Data-C19RM'!$E$2))))))</f>
        <v>0</v>
      </c>
      <c r="BR280">
        <f>IF(N280="",0,IF(SETUP!$E$7="USD",((IF(O280="USD",AK280,(AK280/'Master Data-C19RM'!$F$2)))),((IF(O280="EUR",AK280,(AK280*'Master Data-C19RM'!$F$2))))))</f>
        <v>0</v>
      </c>
      <c r="BS280">
        <f>IF(N280="",0,IF(SETUP!$E$7="USD",((IF(O280="USD",AR280,(AR280/'Master Data-C19RM'!$G$2)))),((IF(O280="EUR",AR280,(AR280*'Master Data-C19RM'!$G$2))))))</f>
        <v>0</v>
      </c>
      <c r="BT280">
        <f>IF(N280="",0,IF(SETUP!$E$7="USD",((IF(O280="USD",AY280,(AY280/'Master Data-C19RM'!$H$2)))),((IF(O280="EUR",AY280,(AY280*'Master Data-C19RM'!$H$2))))))</f>
        <v>0</v>
      </c>
      <c r="BU280" s="12">
        <f t="shared" si="39"/>
        <v>0</v>
      </c>
      <c r="BV280" s="142">
        <f t="shared" si="40"/>
        <v>0</v>
      </c>
    </row>
    <row r="281" spans="1:74" x14ac:dyDescent="0.35">
      <c r="A281" s="1165"/>
      <c r="B281" s="1165"/>
      <c r="C281" s="1165"/>
      <c r="D281" s="1165"/>
      <c r="E281" s="1166"/>
      <c r="F281" s="1166"/>
      <c r="G281" s="1166"/>
      <c r="H281" s="1166"/>
      <c r="I281" s="1166"/>
      <c r="J281" s="1166"/>
      <c r="K281" s="1166"/>
      <c r="L281" s="490" t="str" cm="1">
        <f t="array" ref="L281">IF(A281&lt;&gt;"",IFERROR(INDEX(PMtbl[[WKst]:[Unit of measure*]],MATCH($A$222&amp;$A281&amp;$E281&amp;$I281,INDEX(PMtbl[Sec]&amp;PMtbl[Category]&amp;PMtbl[Each]&amp;PMtbl[Packaging],0,),0),14),""),"")</f>
        <v/>
      </c>
      <c r="M281" s="479" t="str">
        <f>IF(L281="","",INDEX(SETUP!$E$20:$E$122,(MATCH(INDEX(PMsheet!$D:$E,MATCH(A281,PMsheet!E:E,0),1),SETUP!$D$20:$D$122,0))))</f>
        <v/>
      </c>
      <c r="N281" s="491">
        <f>IF($O281="USD",_xlfn.IFNA(VLOOKUP(A281&amp;E281&amp;I281,PMsheet!J:K,2,0),0),(_xlfn.IFNA(VLOOKUP(A281&amp;E281&amp;I281,PMsheet!J:K,2,0),0)*'Master Data-C19RM'!$C$2))</f>
        <v>0</v>
      </c>
      <c r="O281" s="492" t="str">
        <f>IF(L281="", "",SETUP!$E$7)</f>
        <v/>
      </c>
      <c r="P281" s="444">
        <f>IF($O281="USD",_xlfn.IFNA(VLOOKUP($A281&amp;$E281&amp;$I281,PMsheet!$J:$K,2,0),0),(_xlfn.IFNA(VLOOKUP($A281&amp;$E281&amp;$I281,PMsheet!$J:$K,2,0),0)*'Master Data-C19RM'!$C$2))</f>
        <v>0</v>
      </c>
      <c r="Q281" s="441"/>
      <c r="R281" s="441"/>
      <c r="S281" s="441"/>
      <c r="T281" s="441"/>
      <c r="U281" s="481">
        <f t="shared" si="34"/>
        <v>0</v>
      </c>
      <c r="V281" s="483">
        <f>IF(SETUP!$E$7="USD",(U281*(IF(O281="USD",P281,(P281/'Master Data-C19RM'!$C$2)))),(U281*(IF(O281="EUR",P281,(P281*'Master Data-C19RM'!$C$2)))))</f>
        <v>0</v>
      </c>
      <c r="W281" s="444">
        <f>IF($O281="USD",_xlfn.IFNA(VLOOKUP($A281&amp;$E281&amp;$I281,PMsheet!$J:$K,2,0),0),(_xlfn.IFNA(VLOOKUP($A281&amp;$E281&amp;$I281,PMsheet!$J:$K,2,0),0)*'Master Data-C19RM'!$D$2))</f>
        <v>0</v>
      </c>
      <c r="X281" s="441"/>
      <c r="Y281" s="441"/>
      <c r="Z281" s="441"/>
      <c r="AA281" s="441"/>
      <c r="AB281" s="481">
        <f t="shared" si="35"/>
        <v>0</v>
      </c>
      <c r="AC281" s="483">
        <f>IF(SETUP!$E$7="USD",(AB281*(IF(O281="USD",W281,(W281/'Master Data-C19RM'!$D$2)))),(AB281*(IF(O281="EUR",W281,(W281*'Master Data-C19RM'!$D$2)))))</f>
        <v>0</v>
      </c>
      <c r="AD281" s="444">
        <f>IF($O281="USD",_xlfn.IFNA(VLOOKUP($A281&amp;$E281&amp;$I281,PMsheet!$J:$K,2,0),0),(_xlfn.IFNA(VLOOKUP($A281&amp;$E281&amp;$I281,PMsheet!$J:$K,2,0),0)*'Master Data-C19RM'!$E$2))</f>
        <v>0</v>
      </c>
      <c r="AE281" s="441"/>
      <c r="AF281" s="441"/>
      <c r="AG281" s="441"/>
      <c r="AH281" s="441"/>
      <c r="AI281" s="512">
        <f t="shared" si="36"/>
        <v>0</v>
      </c>
      <c r="AJ281" s="513">
        <f>IF(SETUP!$E$7="USD",(AI281*(IF(O281="USD",AD281,(AD281/'Master Data-C19RM'!$E$2)))),(AI281*(IF(O281="EUR",AD281,(AD281*'Master Data-C19RM'!$E$2)))))</f>
        <v>0</v>
      </c>
      <c r="AK281" s="444">
        <f>IF($O281="USD",_xlfn.IFNA(VLOOKUP($A281&amp;$E281&amp;$I281,PMsheet!$J:$K,2,0),0),(_xlfn.IFNA(VLOOKUP($A281&amp;$E281&amp;$I281,PMsheet!$J:$K,2,0),0)*'Master Data-C19RM'!$F$2))</f>
        <v>0</v>
      </c>
      <c r="AL281" s="441"/>
      <c r="AM281" s="441"/>
      <c r="AN281" s="441"/>
      <c r="AO281" s="441"/>
      <c r="AP281" s="512">
        <f t="shared" si="37"/>
        <v>0</v>
      </c>
      <c r="AQ281" s="513">
        <f>IF(SETUP!$E$7="USD",(AP281*(IF(O281="USD",AK281,(AK281/'Master Data-C19RM'!$F$2)))),(AP281*(IF(O281="EUR",AK281,(AK281*'Master Data-C19RM'!$F$2)))))</f>
        <v>0</v>
      </c>
      <c r="AR281" s="456">
        <f>IF($O281="USD",_xlfn.IFNA(VLOOKUP($A281&amp;$E281&amp;$I281,PMsheet!$J:$K,2,0),0),(_xlfn.IFNA(VLOOKUP($A281&amp;$E281&amp;$I281,PMsheet!$J:$K,2,0),0)*'Master Data-C19RM'!$G$2))</f>
        <v>0</v>
      </c>
      <c r="AS281" s="572"/>
      <c r="AT281" s="572"/>
      <c r="AU281" s="572"/>
      <c r="AV281" s="572"/>
      <c r="AW281" s="512">
        <f t="shared" si="38"/>
        <v>0</v>
      </c>
      <c r="AX281" s="513">
        <f>IF(SETUP!$E$7="USD",(AW281*(IF(O281="USD",AR281,(AR281/'Master Data-C19RM'!$G$2)))),(AW281*(IF(O281="EUR",AR281,(AR281*'Master Data-C19RM'!$G$2)))))</f>
        <v>0</v>
      </c>
      <c r="AY281" s="845"/>
      <c r="AZ281" s="846"/>
      <c r="BA281" s="846"/>
      <c r="BB281" s="846"/>
      <c r="BC281" s="846"/>
      <c r="BD281" s="846"/>
      <c r="BE281" s="847"/>
      <c r="BF281" s="512">
        <f>'C19RM 2021-Lab &amp; Other HPS'!$U281+'C19RM 2021-Lab &amp; Other HPS'!$AB281+'C19RM 2021-Lab &amp; Other HPS'!$AP281+'C19RM 2021-Lab &amp; Other HPS'!$AI281+AW281+BD281</f>
        <v>0</v>
      </c>
      <c r="BG281" s="512">
        <f>'C19RM 2021-Lab &amp; Other HPS'!$V281+'C19RM 2021-Lab &amp; Other HPS'!$AC281+'C19RM 2021-Lab &amp; Other HPS'!$AQ281+'C19RM 2021-Lab &amp; Other HPS'!$AJ281+AX281+BE281</f>
        <v>0</v>
      </c>
      <c r="BH281" s="500" t="str" cm="1">
        <f t="array" ref="BH281">IF(A281&lt;&gt;"",IFERROR(INDEX(PMtbl[[WKst]:[Unit of measure*]],MATCH($A$222&amp;$A281&amp;$E281&amp;$I281,INDEX(PMtbl[Sec]&amp;PMtbl[Category]&amp;PMtbl[Each]&amp;PMtbl[Packaging],0,),0),11),""),"")</f>
        <v/>
      </c>
      <c r="BI281" s="819"/>
      <c r="BJ281" s="502" t="str" cm="1">
        <f t="array" ref="BJ281">IFERROR(INDEX(SETUP!$C$19:$G$121,MATCH((INDEX(PMtbl[[WKst]:[Unit of measure*]],MATCH($A281&amp;$E281&amp;$I281,INDEX(PMtbl[Category]&amp;PMtbl[Each]&amp;PMtbl[Packaging],0,),0),3)),SETUP!$D$19:$D$121,0),5),"")</f>
        <v/>
      </c>
      <c r="BK281" s="542"/>
      <c r="BL281" s="214"/>
      <c r="BO281" s="12">
        <f>IF(N281="",0,IF(SETUP!$E$7="USD",((IF(O281="USD",P281,(P281/'Master Data-C19RM'!$C$2)))),((IF(O281="EUR",P281,(P281*'Master Data-C19RM'!$C$2))))))</f>
        <v>0</v>
      </c>
      <c r="BP281" s="12">
        <f>IF(N281="",0,IF(SETUP!$E$7="USD",((IF(O281="USD",W281,(W281/'Master Data-C19RM'!$D$2)))),((IF(O281="EUR",W281,(W281*'Master Data-C19RM'!$D$2))))))</f>
        <v>0</v>
      </c>
      <c r="BQ281">
        <f>IF(N281="",0,IF(SETUP!$E$7="USD",((IF(O281="USD",AD281,(AD281/'Master Data-C19RM'!$E$2)))),((IF(O281="EUR",AD281,(AD281*'Master Data-C19RM'!$E$2))))))</f>
        <v>0</v>
      </c>
      <c r="BR281">
        <f>IF(N281="",0,IF(SETUP!$E$7="USD",((IF(O281="USD",AK281,(AK281/'Master Data-C19RM'!$F$2)))),((IF(O281="EUR",AK281,(AK281*'Master Data-C19RM'!$F$2))))))</f>
        <v>0</v>
      </c>
      <c r="BS281">
        <f>IF(N281="",0,IF(SETUP!$E$7="USD",((IF(O281="USD",AR281,(AR281/'Master Data-C19RM'!$G$2)))),((IF(O281="EUR",AR281,(AR281*'Master Data-C19RM'!$G$2))))))</f>
        <v>0</v>
      </c>
      <c r="BT281">
        <f>IF(N281="",0,IF(SETUP!$E$7="USD",((IF(O281="USD",AY281,(AY281/'Master Data-C19RM'!$H$2)))),((IF(O281="EUR",AY281,(AY281*'Master Data-C19RM'!$H$2))))))</f>
        <v>0</v>
      </c>
      <c r="BU281" s="12">
        <f t="shared" si="39"/>
        <v>0</v>
      </c>
      <c r="BV281" s="142">
        <f t="shared" si="40"/>
        <v>0</v>
      </c>
    </row>
    <row r="282" spans="1:74" x14ac:dyDescent="0.35">
      <c r="A282" s="1172"/>
      <c r="B282" s="1172"/>
      <c r="C282" s="1172"/>
      <c r="D282" s="1172"/>
      <c r="E282" s="1173"/>
      <c r="F282" s="1173"/>
      <c r="G282" s="1173"/>
      <c r="H282" s="1173"/>
      <c r="I282" s="1173"/>
      <c r="J282" s="1173"/>
      <c r="K282" s="1173"/>
      <c r="L282" s="493" t="str" cm="1">
        <f t="array" ref="L282">IF(A282&lt;&gt;"",IFERROR(INDEX(PMtbl[[WKst]:[Unit of measure*]],MATCH($A$222&amp;$A282&amp;$E282&amp;$I282,INDEX(PMtbl[Sec]&amp;PMtbl[Category]&amp;PMtbl[Each]&amp;PMtbl[Packaging],0,),0),14),""),"")</f>
        <v/>
      </c>
      <c r="M282" s="480" t="str">
        <f>IF(L282="","",INDEX(SETUP!$E$20:$E$122,(MATCH(INDEX(PMsheet!$D:$E,MATCH(A282,PMsheet!E:E,0),1),SETUP!$D$20:$D$122,0))))</f>
        <v/>
      </c>
      <c r="N282" s="494">
        <f>IF($O282="USD",_xlfn.IFNA(VLOOKUP(A282&amp;E282&amp;I282,PMsheet!J:K,2,0),0),(_xlfn.IFNA(VLOOKUP(A282&amp;E282&amp;I282,PMsheet!J:K,2,0),0)*'Master Data-C19RM'!$C$2))</f>
        <v>0</v>
      </c>
      <c r="O282" s="495" t="str">
        <f>IF(L282="", "",SETUP!$E$7)</f>
        <v/>
      </c>
      <c r="P282" s="445">
        <f>IF($O282="USD",_xlfn.IFNA(VLOOKUP($A282&amp;$E282&amp;$I282,PMsheet!$J:$K,2,0),0),(_xlfn.IFNA(VLOOKUP($A282&amp;$E282&amp;$I282,PMsheet!$J:$K,2,0),0)*'Master Data-C19RM'!$C$2))</f>
        <v>0</v>
      </c>
      <c r="Q282" s="440"/>
      <c r="R282" s="440"/>
      <c r="S282" s="440"/>
      <c r="T282" s="440"/>
      <c r="U282" s="482">
        <f t="shared" si="34"/>
        <v>0</v>
      </c>
      <c r="V282" s="484">
        <f>IF(SETUP!$E$7="USD",(U282*(IF(O282="USD",P282,(P282/'Master Data-C19RM'!$C$2)))),(U282*(IF(O282="EUR",P282,(P282*'Master Data-C19RM'!$C$2)))))</f>
        <v>0</v>
      </c>
      <c r="W282" s="445">
        <f>IF($O282="USD",_xlfn.IFNA(VLOOKUP($A282&amp;$E282&amp;$I282,PMsheet!$J:$K,2,0),0),(_xlfn.IFNA(VLOOKUP($A282&amp;$E282&amp;$I282,PMsheet!$J:$K,2,0),0)*'Master Data-C19RM'!$D$2))</f>
        <v>0</v>
      </c>
      <c r="X282" s="440"/>
      <c r="Y282" s="440"/>
      <c r="Z282" s="440"/>
      <c r="AA282" s="440"/>
      <c r="AB282" s="482">
        <f t="shared" si="35"/>
        <v>0</v>
      </c>
      <c r="AC282" s="484">
        <f>IF(SETUP!$E$7="USD",(AB282*(IF(O282="USD",W282,(W282/'Master Data-C19RM'!$D$2)))),(AB282*(IF(O282="EUR",W282,(W282*'Master Data-C19RM'!$D$2)))))</f>
        <v>0</v>
      </c>
      <c r="AD282" s="445">
        <f>IF($O282="USD",_xlfn.IFNA(VLOOKUP($A282&amp;$E282&amp;$I282,PMsheet!$J:$K,2,0),0),(_xlfn.IFNA(VLOOKUP($A282&amp;$E282&amp;$I282,PMsheet!$J:$K,2,0),0)*'Master Data-C19RM'!$E$2))</f>
        <v>0</v>
      </c>
      <c r="AE282" s="440"/>
      <c r="AF282" s="440"/>
      <c r="AG282" s="440"/>
      <c r="AH282" s="440"/>
      <c r="AI282" s="514">
        <f t="shared" si="36"/>
        <v>0</v>
      </c>
      <c r="AJ282" s="515">
        <f>IF(SETUP!$E$7="USD",(AI282*(IF(O282="USD",AD282,(AD282/'Master Data-C19RM'!$E$2)))),(AI282*(IF(O282="EUR",AD282,(AD282*'Master Data-C19RM'!$E$2)))))</f>
        <v>0</v>
      </c>
      <c r="AK282" s="445">
        <f>IF($O282="USD",_xlfn.IFNA(VLOOKUP($A282&amp;$E282&amp;$I282,PMsheet!$J:$K,2,0),0),(_xlfn.IFNA(VLOOKUP($A282&amp;$E282&amp;$I282,PMsheet!$J:$K,2,0),0)*'Master Data-C19RM'!$F$2))</f>
        <v>0</v>
      </c>
      <c r="AL282" s="440"/>
      <c r="AM282" s="440"/>
      <c r="AN282" s="440"/>
      <c r="AO282" s="440"/>
      <c r="AP282" s="514">
        <f t="shared" si="37"/>
        <v>0</v>
      </c>
      <c r="AQ282" s="515">
        <f>IF(SETUP!$E$7="USD",(AP282*(IF(O282="USD",AK282,(AK282/'Master Data-C19RM'!$F$2)))),(AP282*(IF(O282="EUR",AK282,(AK282*'Master Data-C19RM'!$F$2)))))</f>
        <v>0</v>
      </c>
      <c r="AR282" s="457">
        <f>IF($O282="USD",_xlfn.IFNA(VLOOKUP($A282&amp;$E282&amp;$I282,PMsheet!$J:$K,2,0),0),(_xlfn.IFNA(VLOOKUP($A282&amp;$E282&amp;$I282,PMsheet!$J:$K,2,0),0)*'Master Data-C19RM'!$G$2))</f>
        <v>0</v>
      </c>
      <c r="AS282" s="926"/>
      <c r="AT282" s="926"/>
      <c r="AU282" s="926"/>
      <c r="AV282" s="926"/>
      <c r="AW282" s="514">
        <f t="shared" si="38"/>
        <v>0</v>
      </c>
      <c r="AX282" s="515">
        <f>IF(SETUP!$E$7="USD",(AW282*(IF(O282="USD",AR282,(AR282/'Master Data-C19RM'!$G$2)))),(AW282*(IF(O282="EUR",AR282,(AR282*'Master Data-C19RM'!$G$2)))))</f>
        <v>0</v>
      </c>
      <c r="AY282" s="845"/>
      <c r="AZ282" s="846"/>
      <c r="BA282" s="846"/>
      <c r="BB282" s="846"/>
      <c r="BC282" s="846"/>
      <c r="BD282" s="846"/>
      <c r="BE282" s="847"/>
      <c r="BF282" s="514">
        <f>'C19RM 2021-Lab &amp; Other HPS'!$U282+'C19RM 2021-Lab &amp; Other HPS'!$AB282+'C19RM 2021-Lab &amp; Other HPS'!$AP282+'C19RM 2021-Lab &amp; Other HPS'!$AI282+AW282+BD282</f>
        <v>0</v>
      </c>
      <c r="BG282" s="514">
        <f>'C19RM 2021-Lab &amp; Other HPS'!$V282+'C19RM 2021-Lab &amp; Other HPS'!$AC282+'C19RM 2021-Lab &amp; Other HPS'!$AQ282+'C19RM 2021-Lab &amp; Other HPS'!$AJ282+AX282+BE282</f>
        <v>0</v>
      </c>
      <c r="BH282" s="522" t="str" cm="1">
        <f t="array" ref="BH282">IF(A282&lt;&gt;"",IFERROR(INDEX(PMtbl[[WKst]:[Unit of measure*]],MATCH($A$222&amp;$A282&amp;$E282&amp;$I282,INDEX(PMtbl[Sec]&amp;PMtbl[Category]&amp;PMtbl[Each]&amp;PMtbl[Packaging],0,),0),11),""),"")</f>
        <v/>
      </c>
      <c r="BI282" s="818"/>
      <c r="BJ282" s="503" t="str" cm="1">
        <f t="array" ref="BJ282">IFERROR(INDEX(SETUP!$C$19:$G$121,MATCH((INDEX(PMtbl[[WKst]:[Unit of measure*]],MATCH($A282&amp;$E282&amp;$I282,INDEX(PMtbl[Category]&amp;PMtbl[Each]&amp;PMtbl[Packaging],0,),0),3)),SETUP!$D$19:$D$121,0),5),"")</f>
        <v/>
      </c>
      <c r="BK282" s="543"/>
      <c r="BL282" s="215"/>
      <c r="BO282" s="12">
        <f>IF(N282="",0,IF(SETUP!$E$7="USD",((IF(O282="USD",P282,(P282/'Master Data-C19RM'!$C$2)))),((IF(O282="EUR",P282,(P282*'Master Data-C19RM'!$C$2))))))</f>
        <v>0</v>
      </c>
      <c r="BP282" s="12">
        <f>IF(N282="",0,IF(SETUP!$E$7="USD",((IF(O282="USD",W282,(W282/'Master Data-C19RM'!$D$2)))),((IF(O282="EUR",W282,(W282*'Master Data-C19RM'!$D$2))))))</f>
        <v>0</v>
      </c>
      <c r="BQ282">
        <f>IF(N282="",0,IF(SETUP!$E$7="USD",((IF(O282="USD",AD282,(AD282/'Master Data-C19RM'!$E$2)))),((IF(O282="EUR",AD282,(AD282*'Master Data-C19RM'!$E$2))))))</f>
        <v>0</v>
      </c>
      <c r="BR282">
        <f>IF(N282="",0,IF(SETUP!$E$7="USD",((IF(O282="USD",AK282,(AK282/'Master Data-C19RM'!$F$2)))),((IF(O282="EUR",AK282,(AK282*'Master Data-C19RM'!$F$2))))))</f>
        <v>0</v>
      </c>
      <c r="BS282">
        <f>IF(N282="",0,IF(SETUP!$E$7="USD",((IF(O282="USD",AR282,(AR282/'Master Data-C19RM'!$G$2)))),((IF(O282="EUR",AR282,(AR282*'Master Data-C19RM'!$G$2))))))</f>
        <v>0</v>
      </c>
      <c r="BT282">
        <f>IF(N282="",0,IF(SETUP!$E$7="USD",((IF(O282="USD",AY282,(AY282/'Master Data-C19RM'!$H$2)))),((IF(O282="EUR",AY282,(AY282*'Master Data-C19RM'!$H$2))))))</f>
        <v>0</v>
      </c>
      <c r="BU282" s="12">
        <f t="shared" si="39"/>
        <v>0</v>
      </c>
      <c r="BV282" s="142">
        <f t="shared" si="40"/>
        <v>0</v>
      </c>
    </row>
    <row r="283" spans="1:74" x14ac:dyDescent="0.35">
      <c r="A283" s="1165"/>
      <c r="B283" s="1165"/>
      <c r="C283" s="1165"/>
      <c r="D283" s="1165"/>
      <c r="E283" s="1166"/>
      <c r="F283" s="1166"/>
      <c r="G283" s="1166"/>
      <c r="H283" s="1166"/>
      <c r="I283" s="1166"/>
      <c r="J283" s="1166"/>
      <c r="K283" s="1166"/>
      <c r="L283" s="490" t="str" cm="1">
        <f t="array" ref="L283">IF(A283&lt;&gt;"",IFERROR(INDEX(PMtbl[[WKst]:[Unit of measure*]],MATCH($A$222&amp;$A283&amp;$E283&amp;$I283,INDEX(PMtbl[Sec]&amp;PMtbl[Category]&amp;PMtbl[Each]&amp;PMtbl[Packaging],0,),0),14),""),"")</f>
        <v/>
      </c>
      <c r="M283" s="479" t="str">
        <f>IF(L283="","",INDEX(SETUP!$E$20:$E$122,(MATCH(INDEX(PMsheet!$D:$E,MATCH(A283,PMsheet!E:E,0),1),SETUP!$D$20:$D$122,0))))</f>
        <v/>
      </c>
      <c r="N283" s="491">
        <f>IF($O283="USD",_xlfn.IFNA(VLOOKUP(A283&amp;E283&amp;I283,PMsheet!J:K,2,0),0),(_xlfn.IFNA(VLOOKUP(A283&amp;E283&amp;I283,PMsheet!J:K,2,0),0)*'Master Data-C19RM'!$C$2))</f>
        <v>0</v>
      </c>
      <c r="O283" s="492" t="str">
        <f>IF(L283="", "",SETUP!$E$7)</f>
        <v/>
      </c>
      <c r="P283" s="444">
        <f>IF($O283="USD",_xlfn.IFNA(VLOOKUP($A283&amp;$E283&amp;$I283,PMsheet!$J:$K,2,0),0),(_xlfn.IFNA(VLOOKUP($A283&amp;$E283&amp;$I283,PMsheet!$J:$K,2,0),0)*'Master Data-C19RM'!$C$2))</f>
        <v>0</v>
      </c>
      <c r="Q283" s="441"/>
      <c r="R283" s="441"/>
      <c r="S283" s="441"/>
      <c r="T283" s="441"/>
      <c r="U283" s="481">
        <f t="shared" si="34"/>
        <v>0</v>
      </c>
      <c r="V283" s="483">
        <f>IF(SETUP!$E$7="USD",(U283*(IF(O283="USD",P283,(P283/'Master Data-C19RM'!$C$2)))),(U283*(IF(O283="EUR",P283,(P283*'Master Data-C19RM'!$C$2)))))</f>
        <v>0</v>
      </c>
      <c r="W283" s="444">
        <f>IF($O283="USD",_xlfn.IFNA(VLOOKUP($A283&amp;$E283&amp;$I283,PMsheet!$J:$K,2,0),0),(_xlfn.IFNA(VLOOKUP($A283&amp;$E283&amp;$I283,PMsheet!$J:$K,2,0),0)*'Master Data-C19RM'!$D$2))</f>
        <v>0</v>
      </c>
      <c r="X283" s="441"/>
      <c r="Y283" s="441"/>
      <c r="Z283" s="441"/>
      <c r="AA283" s="441"/>
      <c r="AB283" s="481">
        <f t="shared" si="35"/>
        <v>0</v>
      </c>
      <c r="AC283" s="483">
        <f>IF(SETUP!$E$7="USD",(AB283*(IF(O283="USD",W283,(W283/'Master Data-C19RM'!$D$2)))),(AB283*(IF(O283="EUR",W283,(W283*'Master Data-C19RM'!$D$2)))))</f>
        <v>0</v>
      </c>
      <c r="AD283" s="444">
        <f>IF($O283="USD",_xlfn.IFNA(VLOOKUP($A283&amp;$E283&amp;$I283,PMsheet!$J:$K,2,0),0),(_xlfn.IFNA(VLOOKUP($A283&amp;$E283&amp;$I283,PMsheet!$J:$K,2,0),0)*'Master Data-C19RM'!$E$2))</f>
        <v>0</v>
      </c>
      <c r="AE283" s="441"/>
      <c r="AF283" s="441"/>
      <c r="AG283" s="441"/>
      <c r="AH283" s="441"/>
      <c r="AI283" s="512">
        <f t="shared" si="36"/>
        <v>0</v>
      </c>
      <c r="AJ283" s="513">
        <f>IF(SETUP!$E$7="USD",(AI283*(IF(O283="USD",AD283,(AD283/'Master Data-C19RM'!$E$2)))),(AI283*(IF(O283="EUR",AD283,(AD283*'Master Data-C19RM'!$E$2)))))</f>
        <v>0</v>
      </c>
      <c r="AK283" s="444">
        <f>IF($O283="USD",_xlfn.IFNA(VLOOKUP($A283&amp;$E283&amp;$I283,PMsheet!$J:$K,2,0),0),(_xlfn.IFNA(VLOOKUP($A283&amp;$E283&amp;$I283,PMsheet!$J:$K,2,0),0)*'Master Data-C19RM'!$F$2))</f>
        <v>0</v>
      </c>
      <c r="AL283" s="441"/>
      <c r="AM283" s="441"/>
      <c r="AN283" s="441"/>
      <c r="AO283" s="441"/>
      <c r="AP283" s="512">
        <f t="shared" si="37"/>
        <v>0</v>
      </c>
      <c r="AQ283" s="513">
        <f>IF(SETUP!$E$7="USD",(AP283*(IF(O283="USD",AK283,(AK283/'Master Data-C19RM'!$F$2)))),(AP283*(IF(O283="EUR",AK283,(AK283*'Master Data-C19RM'!$F$2)))))</f>
        <v>0</v>
      </c>
      <c r="AR283" s="456">
        <f>IF($O283="USD",_xlfn.IFNA(VLOOKUP($A283&amp;$E283&amp;$I283,PMsheet!$J:$K,2,0),0),(_xlfn.IFNA(VLOOKUP($A283&amp;$E283&amp;$I283,PMsheet!$J:$K,2,0),0)*'Master Data-C19RM'!$G$2))</f>
        <v>0</v>
      </c>
      <c r="AS283" s="572"/>
      <c r="AT283" s="572"/>
      <c r="AU283" s="572"/>
      <c r="AV283" s="572"/>
      <c r="AW283" s="512">
        <f t="shared" si="38"/>
        <v>0</v>
      </c>
      <c r="AX283" s="513">
        <f>IF(SETUP!$E$7="USD",(AW283*(IF(O283="USD",AR283,(AR283/'Master Data-C19RM'!$G$2)))),(AW283*(IF(O283="EUR",AR283,(AR283*'Master Data-C19RM'!$G$2)))))</f>
        <v>0</v>
      </c>
      <c r="AY283" s="845"/>
      <c r="AZ283" s="846"/>
      <c r="BA283" s="846"/>
      <c r="BB283" s="846"/>
      <c r="BC283" s="846"/>
      <c r="BD283" s="846"/>
      <c r="BE283" s="847"/>
      <c r="BF283" s="512">
        <f>'C19RM 2021-Lab &amp; Other HPS'!$U283+'C19RM 2021-Lab &amp; Other HPS'!$AB283+'C19RM 2021-Lab &amp; Other HPS'!$AP283+'C19RM 2021-Lab &amp; Other HPS'!$AI283+AW283+BD283</f>
        <v>0</v>
      </c>
      <c r="BG283" s="512">
        <f>'C19RM 2021-Lab &amp; Other HPS'!$V283+'C19RM 2021-Lab &amp; Other HPS'!$AC283+'C19RM 2021-Lab &amp; Other HPS'!$AQ283+'C19RM 2021-Lab &amp; Other HPS'!$AJ283+AX283+BE283</f>
        <v>0</v>
      </c>
      <c r="BH283" s="500" t="str" cm="1">
        <f t="array" ref="BH283">IF(A283&lt;&gt;"",IFERROR(INDEX(PMtbl[[WKst]:[Unit of measure*]],MATCH($A$222&amp;$A283&amp;$E283&amp;$I283,INDEX(PMtbl[Sec]&amp;PMtbl[Category]&amp;PMtbl[Each]&amp;PMtbl[Packaging],0,),0),11),""),"")</f>
        <v/>
      </c>
      <c r="BI283" s="819"/>
      <c r="BJ283" s="502" t="str" cm="1">
        <f t="array" ref="BJ283">IFERROR(INDEX(SETUP!$C$19:$G$121,MATCH((INDEX(PMtbl[[WKst]:[Unit of measure*]],MATCH($A283&amp;$E283&amp;$I283,INDEX(PMtbl[Category]&amp;PMtbl[Each]&amp;PMtbl[Packaging],0,),0),3)),SETUP!$D$19:$D$121,0),5),"")</f>
        <v/>
      </c>
      <c r="BK283" s="542"/>
      <c r="BL283" s="214"/>
      <c r="BO283" s="12">
        <f>IF(N283="",0,IF(SETUP!$E$7="USD",((IF(O283="USD",P283,(P283/'Master Data-C19RM'!$C$2)))),((IF(O283="EUR",P283,(P283*'Master Data-C19RM'!$C$2))))))</f>
        <v>0</v>
      </c>
      <c r="BP283" s="12">
        <f>IF(N283="",0,IF(SETUP!$E$7="USD",((IF(O283="USD",W283,(W283/'Master Data-C19RM'!$D$2)))),((IF(O283="EUR",W283,(W283*'Master Data-C19RM'!$D$2))))))</f>
        <v>0</v>
      </c>
      <c r="BQ283">
        <f>IF(N283="",0,IF(SETUP!$E$7="USD",((IF(O283="USD",AD283,(AD283/'Master Data-C19RM'!$E$2)))),((IF(O283="EUR",AD283,(AD283*'Master Data-C19RM'!$E$2))))))</f>
        <v>0</v>
      </c>
      <c r="BR283">
        <f>IF(N283="",0,IF(SETUP!$E$7="USD",((IF(O283="USD",AK283,(AK283/'Master Data-C19RM'!$F$2)))),((IF(O283="EUR",AK283,(AK283*'Master Data-C19RM'!$F$2))))))</f>
        <v>0</v>
      </c>
      <c r="BS283">
        <f>IF(N283="",0,IF(SETUP!$E$7="USD",((IF(O283="USD",AR283,(AR283/'Master Data-C19RM'!$G$2)))),((IF(O283="EUR",AR283,(AR283*'Master Data-C19RM'!$G$2))))))</f>
        <v>0</v>
      </c>
      <c r="BT283">
        <f>IF(N283="",0,IF(SETUP!$E$7="USD",((IF(O283="USD",AY283,(AY283/'Master Data-C19RM'!$H$2)))),((IF(O283="EUR",AY283,(AY283*'Master Data-C19RM'!$H$2))))))</f>
        <v>0</v>
      </c>
      <c r="BU283" s="12">
        <f t="shared" si="39"/>
        <v>0</v>
      </c>
      <c r="BV283" s="142">
        <f t="shared" si="40"/>
        <v>0</v>
      </c>
    </row>
    <row r="284" spans="1:74" x14ac:dyDescent="0.35">
      <c r="A284" s="1172"/>
      <c r="B284" s="1172"/>
      <c r="C284" s="1172"/>
      <c r="D284" s="1172"/>
      <c r="E284" s="1173"/>
      <c r="F284" s="1173"/>
      <c r="G284" s="1173"/>
      <c r="H284" s="1173"/>
      <c r="I284" s="1173"/>
      <c r="J284" s="1173"/>
      <c r="K284" s="1173"/>
      <c r="L284" s="493" t="str" cm="1">
        <f t="array" ref="L284">IF(A284&lt;&gt;"",IFERROR(INDEX(PMtbl[[WKst]:[Unit of measure*]],MATCH($A$222&amp;$A284&amp;$E284&amp;$I284,INDEX(PMtbl[Sec]&amp;PMtbl[Category]&amp;PMtbl[Each]&amp;PMtbl[Packaging],0,),0),14),""),"")</f>
        <v/>
      </c>
      <c r="M284" s="480" t="str">
        <f>IF(L284="","",INDEX(SETUP!$E$20:$E$122,(MATCH(INDEX(PMsheet!$D:$E,MATCH(A284,PMsheet!E:E,0),1),SETUP!$D$20:$D$122,0))))</f>
        <v/>
      </c>
      <c r="N284" s="494">
        <f>IF($O284="USD",_xlfn.IFNA(VLOOKUP(A284&amp;E284&amp;I284,PMsheet!J:K,2,0),0),(_xlfn.IFNA(VLOOKUP(A284&amp;E284&amp;I284,PMsheet!J:K,2,0),0)*'Master Data-C19RM'!$C$2))</f>
        <v>0</v>
      </c>
      <c r="O284" s="495" t="str">
        <f>IF(L284="", "",SETUP!$E$7)</f>
        <v/>
      </c>
      <c r="P284" s="445">
        <f>IF($O284="USD",_xlfn.IFNA(VLOOKUP($A284&amp;$E284&amp;$I284,PMsheet!$J:$K,2,0),0),(_xlfn.IFNA(VLOOKUP($A284&amp;$E284&amp;$I284,PMsheet!$J:$K,2,0),0)*'Master Data-C19RM'!$C$2))</f>
        <v>0</v>
      </c>
      <c r="Q284" s="440"/>
      <c r="R284" s="440"/>
      <c r="S284" s="440"/>
      <c r="T284" s="440"/>
      <c r="U284" s="482">
        <f t="shared" si="34"/>
        <v>0</v>
      </c>
      <c r="V284" s="484">
        <f>IF(SETUP!$E$7="USD",(U284*(IF(O284="USD",P284,(P284/'Master Data-C19RM'!$C$2)))),(U284*(IF(O284="EUR",P284,(P284*'Master Data-C19RM'!$C$2)))))</f>
        <v>0</v>
      </c>
      <c r="W284" s="445">
        <f>IF($O284="USD",_xlfn.IFNA(VLOOKUP($A284&amp;$E284&amp;$I284,PMsheet!$J:$K,2,0),0),(_xlfn.IFNA(VLOOKUP($A284&amp;$E284&amp;$I284,PMsheet!$J:$K,2,0),0)*'Master Data-C19RM'!$D$2))</f>
        <v>0</v>
      </c>
      <c r="X284" s="440"/>
      <c r="Y284" s="440"/>
      <c r="Z284" s="440"/>
      <c r="AA284" s="440"/>
      <c r="AB284" s="482">
        <f t="shared" si="35"/>
        <v>0</v>
      </c>
      <c r="AC284" s="484">
        <f>IF(SETUP!$E$7="USD",(AB284*(IF(O284="USD",W284,(W284/'Master Data-C19RM'!$D$2)))),(AB284*(IF(O284="EUR",W284,(W284*'Master Data-C19RM'!$D$2)))))</f>
        <v>0</v>
      </c>
      <c r="AD284" s="445">
        <f>IF($O284="USD",_xlfn.IFNA(VLOOKUP($A284&amp;$E284&amp;$I284,PMsheet!$J:$K,2,0),0),(_xlfn.IFNA(VLOOKUP($A284&amp;$E284&amp;$I284,PMsheet!$J:$K,2,0),0)*'Master Data-C19RM'!$E$2))</f>
        <v>0</v>
      </c>
      <c r="AE284" s="440"/>
      <c r="AF284" s="440"/>
      <c r="AG284" s="440"/>
      <c r="AH284" s="440"/>
      <c r="AI284" s="514">
        <f t="shared" si="36"/>
        <v>0</v>
      </c>
      <c r="AJ284" s="515">
        <f>IF(SETUP!$E$7="USD",(AI284*(IF(O284="USD",AD284,(AD284/'Master Data-C19RM'!$E$2)))),(AI284*(IF(O284="EUR",AD284,(AD284*'Master Data-C19RM'!$E$2)))))</f>
        <v>0</v>
      </c>
      <c r="AK284" s="445">
        <f>IF($O284="USD",_xlfn.IFNA(VLOOKUP($A284&amp;$E284&amp;$I284,PMsheet!$J:$K,2,0),0),(_xlfn.IFNA(VLOOKUP($A284&amp;$E284&amp;$I284,PMsheet!$J:$K,2,0),0)*'Master Data-C19RM'!$F$2))</f>
        <v>0</v>
      </c>
      <c r="AL284" s="440"/>
      <c r="AM284" s="440"/>
      <c r="AN284" s="440"/>
      <c r="AO284" s="440"/>
      <c r="AP284" s="514">
        <f t="shared" si="37"/>
        <v>0</v>
      </c>
      <c r="AQ284" s="515">
        <f>IF(SETUP!$E$7="USD",(AP284*(IF(O284="USD",AK284,(AK284/'Master Data-C19RM'!$F$2)))),(AP284*(IF(O284="EUR",AK284,(AK284*'Master Data-C19RM'!$F$2)))))</f>
        <v>0</v>
      </c>
      <c r="AR284" s="457">
        <f>IF($O284="USD",_xlfn.IFNA(VLOOKUP($A284&amp;$E284&amp;$I284,PMsheet!$J:$K,2,0),0),(_xlfn.IFNA(VLOOKUP($A284&amp;$E284&amp;$I284,PMsheet!$J:$K,2,0),0)*'Master Data-C19RM'!$G$2))</f>
        <v>0</v>
      </c>
      <c r="AS284" s="926"/>
      <c r="AT284" s="926"/>
      <c r="AU284" s="926"/>
      <c r="AV284" s="926"/>
      <c r="AW284" s="514">
        <f t="shared" si="38"/>
        <v>0</v>
      </c>
      <c r="AX284" s="515">
        <f>IF(SETUP!$E$7="USD",(AW284*(IF(O284="USD",AR284,(AR284/'Master Data-C19RM'!$G$2)))),(AW284*(IF(O284="EUR",AR284,(AR284*'Master Data-C19RM'!$G$2)))))</f>
        <v>0</v>
      </c>
      <c r="AY284" s="845"/>
      <c r="AZ284" s="846"/>
      <c r="BA284" s="846"/>
      <c r="BB284" s="846"/>
      <c r="BC284" s="846"/>
      <c r="BD284" s="846"/>
      <c r="BE284" s="847"/>
      <c r="BF284" s="514">
        <f>'C19RM 2021-Lab &amp; Other HPS'!$U284+'C19RM 2021-Lab &amp; Other HPS'!$AB284+'C19RM 2021-Lab &amp; Other HPS'!$AP284+'C19RM 2021-Lab &amp; Other HPS'!$AI284+AW284+BD284</f>
        <v>0</v>
      </c>
      <c r="BG284" s="514">
        <f>'C19RM 2021-Lab &amp; Other HPS'!$V284+'C19RM 2021-Lab &amp; Other HPS'!$AC284+'C19RM 2021-Lab &amp; Other HPS'!$AQ284+'C19RM 2021-Lab &amp; Other HPS'!$AJ284+AX284+BE284</f>
        <v>0</v>
      </c>
      <c r="BH284" s="522" t="str" cm="1">
        <f t="array" ref="BH284">IF(A284&lt;&gt;"",IFERROR(INDEX(PMtbl[[WKst]:[Unit of measure*]],MATCH($A$222&amp;$A284&amp;$E284&amp;$I284,INDEX(PMtbl[Sec]&amp;PMtbl[Category]&amp;PMtbl[Each]&amp;PMtbl[Packaging],0,),0),11),""),"")</f>
        <v/>
      </c>
      <c r="BI284" s="818"/>
      <c r="BJ284" s="503" t="str" cm="1">
        <f t="array" ref="BJ284">IFERROR(INDEX(SETUP!$C$19:$G$121,MATCH((INDEX(PMtbl[[WKst]:[Unit of measure*]],MATCH($A284&amp;$E284&amp;$I284,INDEX(PMtbl[Category]&amp;PMtbl[Each]&amp;PMtbl[Packaging],0,),0),3)),SETUP!$D$19:$D$121,0),5),"")</f>
        <v/>
      </c>
      <c r="BK284" s="543"/>
      <c r="BL284" s="215"/>
      <c r="BO284" s="12">
        <f>IF(N284="",0,IF(SETUP!$E$7="USD",((IF(O284="USD",P284,(P284/'Master Data-C19RM'!$C$2)))),((IF(O284="EUR",P284,(P284*'Master Data-C19RM'!$C$2))))))</f>
        <v>0</v>
      </c>
      <c r="BP284" s="12">
        <f>IF(N284="",0,IF(SETUP!$E$7="USD",((IF(O284="USD",W284,(W284/'Master Data-C19RM'!$D$2)))),((IF(O284="EUR",W284,(W284*'Master Data-C19RM'!$D$2))))))</f>
        <v>0</v>
      </c>
      <c r="BQ284">
        <f>IF(N284="",0,IF(SETUP!$E$7="USD",((IF(O284="USD",AD284,(AD284/'Master Data-C19RM'!$E$2)))),((IF(O284="EUR",AD284,(AD284*'Master Data-C19RM'!$E$2))))))</f>
        <v>0</v>
      </c>
      <c r="BR284">
        <f>IF(N284="",0,IF(SETUP!$E$7="USD",((IF(O284="USD",AK284,(AK284/'Master Data-C19RM'!$F$2)))),((IF(O284="EUR",AK284,(AK284*'Master Data-C19RM'!$F$2))))))</f>
        <v>0</v>
      </c>
      <c r="BS284">
        <f>IF(N284="",0,IF(SETUP!$E$7="USD",((IF(O284="USD",AR284,(AR284/'Master Data-C19RM'!$G$2)))),((IF(O284="EUR",AR284,(AR284*'Master Data-C19RM'!$G$2))))))</f>
        <v>0</v>
      </c>
      <c r="BT284">
        <f>IF(N284="",0,IF(SETUP!$E$7="USD",((IF(O284="USD",AY284,(AY284/'Master Data-C19RM'!$H$2)))),((IF(O284="EUR",AY284,(AY284*'Master Data-C19RM'!$H$2))))))</f>
        <v>0</v>
      </c>
      <c r="BU284" s="12">
        <f t="shared" si="39"/>
        <v>0</v>
      </c>
      <c r="BV284" s="142">
        <f t="shared" si="40"/>
        <v>0</v>
      </c>
    </row>
    <row r="285" spans="1:74" x14ac:dyDescent="0.35">
      <c r="A285" s="1165"/>
      <c r="B285" s="1165"/>
      <c r="C285" s="1165"/>
      <c r="D285" s="1165"/>
      <c r="E285" s="1166"/>
      <c r="F285" s="1166"/>
      <c r="G285" s="1166"/>
      <c r="H285" s="1166"/>
      <c r="I285" s="1166"/>
      <c r="J285" s="1166"/>
      <c r="K285" s="1166"/>
      <c r="L285" s="490" t="str" cm="1">
        <f t="array" ref="L285">IF(A285&lt;&gt;"",IFERROR(INDEX(PMtbl[[WKst]:[Unit of measure*]],MATCH($A$222&amp;$A285&amp;$E285&amp;$I285,INDEX(PMtbl[Sec]&amp;PMtbl[Category]&amp;PMtbl[Each]&amp;PMtbl[Packaging],0,),0),14),""),"")</f>
        <v/>
      </c>
      <c r="M285" s="479" t="str">
        <f>IF(L285="","",INDEX(SETUP!$E$20:$E$122,(MATCH(INDEX(PMsheet!$D:$E,MATCH(A285,PMsheet!E:E,0),1),SETUP!$D$20:$D$122,0))))</f>
        <v/>
      </c>
      <c r="N285" s="491">
        <f>IF($O285="USD",_xlfn.IFNA(VLOOKUP(A285&amp;E285&amp;I285,PMsheet!J:K,2,0),0),(_xlfn.IFNA(VLOOKUP(A285&amp;E285&amp;I285,PMsheet!J:K,2,0),0)*'Master Data-C19RM'!$C$2))</f>
        <v>0</v>
      </c>
      <c r="O285" s="492" t="str">
        <f>IF(L285="", "",SETUP!$E$7)</f>
        <v/>
      </c>
      <c r="P285" s="444">
        <f>IF($O285="USD",_xlfn.IFNA(VLOOKUP($A285&amp;$E285&amp;$I285,PMsheet!$J:$K,2,0),0),(_xlfn.IFNA(VLOOKUP($A285&amp;$E285&amp;$I285,PMsheet!$J:$K,2,0),0)*'Master Data-C19RM'!$C$2))</f>
        <v>0</v>
      </c>
      <c r="Q285" s="441"/>
      <c r="R285" s="441"/>
      <c r="S285" s="441"/>
      <c r="T285" s="441"/>
      <c r="U285" s="481">
        <f t="shared" si="34"/>
        <v>0</v>
      </c>
      <c r="V285" s="483">
        <f>IF(SETUP!$E$7="USD",(U285*(IF(O285="USD",P285,(P285/'Master Data-C19RM'!$C$2)))),(U285*(IF(O285="EUR",P285,(P285*'Master Data-C19RM'!$C$2)))))</f>
        <v>0</v>
      </c>
      <c r="W285" s="444">
        <f>IF($O285="USD",_xlfn.IFNA(VLOOKUP($A285&amp;$E285&amp;$I285,PMsheet!$J:$K,2,0),0),(_xlfn.IFNA(VLOOKUP($A285&amp;$E285&amp;$I285,PMsheet!$J:$K,2,0),0)*'Master Data-C19RM'!$D$2))</f>
        <v>0</v>
      </c>
      <c r="X285" s="441"/>
      <c r="Y285" s="441"/>
      <c r="Z285" s="441"/>
      <c r="AA285" s="441"/>
      <c r="AB285" s="481">
        <f t="shared" si="35"/>
        <v>0</v>
      </c>
      <c r="AC285" s="483">
        <f>IF(SETUP!$E$7="USD",(AB285*(IF(O285="USD",W285,(W285/'Master Data-C19RM'!$D$2)))),(AB285*(IF(O285="EUR",W285,(W285*'Master Data-C19RM'!$D$2)))))</f>
        <v>0</v>
      </c>
      <c r="AD285" s="444">
        <f>IF($O285="USD",_xlfn.IFNA(VLOOKUP($A285&amp;$E285&amp;$I285,PMsheet!$J:$K,2,0),0),(_xlfn.IFNA(VLOOKUP($A285&amp;$E285&amp;$I285,PMsheet!$J:$K,2,0),0)*'Master Data-C19RM'!$E$2))</f>
        <v>0</v>
      </c>
      <c r="AE285" s="441"/>
      <c r="AF285" s="441"/>
      <c r="AG285" s="441"/>
      <c r="AH285" s="441"/>
      <c r="AI285" s="512">
        <f t="shared" si="36"/>
        <v>0</v>
      </c>
      <c r="AJ285" s="513">
        <f>IF(SETUP!$E$7="USD",(AI285*(IF(O285="USD",AD285,(AD285/'Master Data-C19RM'!$E$2)))),(AI285*(IF(O285="EUR",AD285,(AD285*'Master Data-C19RM'!$E$2)))))</f>
        <v>0</v>
      </c>
      <c r="AK285" s="444">
        <f>IF($O285="USD",_xlfn.IFNA(VLOOKUP($A285&amp;$E285&amp;$I285,PMsheet!$J:$K,2,0),0),(_xlfn.IFNA(VLOOKUP($A285&amp;$E285&amp;$I285,PMsheet!$J:$K,2,0),0)*'Master Data-C19RM'!$F$2))</f>
        <v>0</v>
      </c>
      <c r="AL285" s="441"/>
      <c r="AM285" s="441"/>
      <c r="AN285" s="441"/>
      <c r="AO285" s="441"/>
      <c r="AP285" s="512">
        <f t="shared" si="37"/>
        <v>0</v>
      </c>
      <c r="AQ285" s="513">
        <f>IF(SETUP!$E$7="USD",(AP285*(IF(O285="USD",AK285,(AK285/'Master Data-C19RM'!$F$2)))),(AP285*(IF(O285="EUR",AK285,(AK285*'Master Data-C19RM'!$F$2)))))</f>
        <v>0</v>
      </c>
      <c r="AR285" s="456">
        <f>IF($O285="USD",_xlfn.IFNA(VLOOKUP($A285&amp;$E285&amp;$I285,PMsheet!$J:$K,2,0),0),(_xlfn.IFNA(VLOOKUP($A285&amp;$E285&amp;$I285,PMsheet!$J:$K,2,0),0)*'Master Data-C19RM'!$G$2))</f>
        <v>0</v>
      </c>
      <c r="AS285" s="572"/>
      <c r="AT285" s="572"/>
      <c r="AU285" s="572"/>
      <c r="AV285" s="572"/>
      <c r="AW285" s="512">
        <f t="shared" si="38"/>
        <v>0</v>
      </c>
      <c r="AX285" s="513">
        <f>IF(SETUP!$E$7="USD",(AW285*(IF(O285="USD",AR285,(AR285/'Master Data-C19RM'!$G$2)))),(AW285*(IF(O285="EUR",AR285,(AR285*'Master Data-C19RM'!$G$2)))))</f>
        <v>0</v>
      </c>
      <c r="AY285" s="845"/>
      <c r="AZ285" s="846"/>
      <c r="BA285" s="846"/>
      <c r="BB285" s="846"/>
      <c r="BC285" s="846"/>
      <c r="BD285" s="846"/>
      <c r="BE285" s="847"/>
      <c r="BF285" s="512">
        <f>'C19RM 2021-Lab &amp; Other HPS'!$U285+'C19RM 2021-Lab &amp; Other HPS'!$AB285+'C19RM 2021-Lab &amp; Other HPS'!$AP285+'C19RM 2021-Lab &amp; Other HPS'!$AI285+AW285+BD285</f>
        <v>0</v>
      </c>
      <c r="BG285" s="512">
        <f>'C19RM 2021-Lab &amp; Other HPS'!$V285+'C19RM 2021-Lab &amp; Other HPS'!$AC285+'C19RM 2021-Lab &amp; Other HPS'!$AQ285+'C19RM 2021-Lab &amp; Other HPS'!$AJ285+AX285+BE285</f>
        <v>0</v>
      </c>
      <c r="BH285" s="500" t="str" cm="1">
        <f t="array" ref="BH285">IF(A285&lt;&gt;"",IFERROR(INDEX(PMtbl[[WKst]:[Unit of measure*]],MATCH($A$222&amp;$A285&amp;$E285&amp;$I285,INDEX(PMtbl[Sec]&amp;PMtbl[Category]&amp;PMtbl[Each]&amp;PMtbl[Packaging],0,),0),11),""),"")</f>
        <v/>
      </c>
      <c r="BI285" s="819"/>
      <c r="BJ285" s="502" t="str" cm="1">
        <f t="array" ref="BJ285">IFERROR(INDEX(SETUP!$C$19:$G$121,MATCH((INDEX(PMtbl[[WKst]:[Unit of measure*]],MATCH($A285&amp;$E285&amp;$I285,INDEX(PMtbl[Category]&amp;PMtbl[Each]&amp;PMtbl[Packaging],0,),0),3)),SETUP!$D$19:$D$121,0),5),"")</f>
        <v/>
      </c>
      <c r="BK285" s="542"/>
      <c r="BL285" s="214"/>
      <c r="BO285" s="12">
        <f>IF(N285="",0,IF(SETUP!$E$7="USD",((IF(O285="USD",P285,(P285/'Master Data-C19RM'!$C$2)))),((IF(O285="EUR",P285,(P285*'Master Data-C19RM'!$C$2))))))</f>
        <v>0</v>
      </c>
      <c r="BP285" s="12">
        <f>IF(N285="",0,IF(SETUP!$E$7="USD",((IF(O285="USD",W285,(W285/'Master Data-C19RM'!$D$2)))),((IF(O285="EUR",W285,(W285*'Master Data-C19RM'!$D$2))))))</f>
        <v>0</v>
      </c>
      <c r="BQ285">
        <f>IF(N285="",0,IF(SETUP!$E$7="USD",((IF(O285="USD",AD285,(AD285/'Master Data-C19RM'!$E$2)))),((IF(O285="EUR",AD285,(AD285*'Master Data-C19RM'!$E$2))))))</f>
        <v>0</v>
      </c>
      <c r="BR285">
        <f>IF(N285="",0,IF(SETUP!$E$7="USD",((IF(O285="USD",AK285,(AK285/'Master Data-C19RM'!$F$2)))),((IF(O285="EUR",AK285,(AK285*'Master Data-C19RM'!$F$2))))))</f>
        <v>0</v>
      </c>
      <c r="BS285">
        <f>IF(N285="",0,IF(SETUP!$E$7="USD",((IF(O285="USD",AR285,(AR285/'Master Data-C19RM'!$G$2)))),((IF(O285="EUR",AR285,(AR285*'Master Data-C19RM'!$G$2))))))</f>
        <v>0</v>
      </c>
      <c r="BT285">
        <f>IF(N285="",0,IF(SETUP!$E$7="USD",((IF(O285="USD",AY285,(AY285/'Master Data-C19RM'!$H$2)))),((IF(O285="EUR",AY285,(AY285*'Master Data-C19RM'!$H$2))))))</f>
        <v>0</v>
      </c>
      <c r="BU285" s="12">
        <f t="shared" si="39"/>
        <v>0</v>
      </c>
      <c r="BV285" s="142">
        <f t="shared" si="40"/>
        <v>0</v>
      </c>
    </row>
    <row r="286" spans="1:74" x14ac:dyDescent="0.35">
      <c r="A286" s="1172"/>
      <c r="B286" s="1172"/>
      <c r="C286" s="1172"/>
      <c r="D286" s="1172"/>
      <c r="E286" s="1173"/>
      <c r="F286" s="1173"/>
      <c r="G286" s="1173"/>
      <c r="H286" s="1173"/>
      <c r="I286" s="1173"/>
      <c r="J286" s="1173"/>
      <c r="K286" s="1173"/>
      <c r="L286" s="493" t="str" cm="1">
        <f t="array" ref="L286">IF(A286&lt;&gt;"",IFERROR(INDEX(PMtbl[[WKst]:[Unit of measure*]],MATCH($A$222&amp;$A286&amp;$E286&amp;$I286,INDEX(PMtbl[Sec]&amp;PMtbl[Category]&amp;PMtbl[Each]&amp;PMtbl[Packaging],0,),0),14),""),"")</f>
        <v/>
      </c>
      <c r="M286" s="480" t="str">
        <f>IF(L286="","",INDEX(SETUP!$E$20:$E$122,(MATCH(INDEX(PMsheet!$D:$E,MATCH(A286,PMsheet!E:E,0),1),SETUP!$D$20:$D$122,0))))</f>
        <v/>
      </c>
      <c r="N286" s="494">
        <f>IF($O286="USD",_xlfn.IFNA(VLOOKUP(A286&amp;E286&amp;I286,PMsheet!J:K,2,0),0),(_xlfn.IFNA(VLOOKUP(A286&amp;E286&amp;I286,PMsheet!J:K,2,0),0)*'Master Data-C19RM'!$C$2))</f>
        <v>0</v>
      </c>
      <c r="O286" s="495" t="str">
        <f>IF(L286="", "",SETUP!$E$7)</f>
        <v/>
      </c>
      <c r="P286" s="445">
        <f>IF($O286="USD",_xlfn.IFNA(VLOOKUP($A286&amp;$E286&amp;$I286,PMsheet!$J:$K,2,0),0),(_xlfn.IFNA(VLOOKUP($A286&amp;$E286&amp;$I286,PMsheet!$J:$K,2,0),0)*'Master Data-C19RM'!$C$2))</f>
        <v>0</v>
      </c>
      <c r="Q286" s="440"/>
      <c r="R286" s="440"/>
      <c r="S286" s="440"/>
      <c r="T286" s="440"/>
      <c r="U286" s="482">
        <f t="shared" si="34"/>
        <v>0</v>
      </c>
      <c r="V286" s="484">
        <f>IF(SETUP!$E$7="USD",(U286*(IF(O286="USD",P286,(P286/'Master Data-C19RM'!$C$2)))),(U286*(IF(O286="EUR",P286,(P286*'Master Data-C19RM'!$C$2)))))</f>
        <v>0</v>
      </c>
      <c r="W286" s="445">
        <f>IF($O286="USD",_xlfn.IFNA(VLOOKUP($A286&amp;$E286&amp;$I286,PMsheet!$J:$K,2,0),0),(_xlfn.IFNA(VLOOKUP($A286&amp;$E286&amp;$I286,PMsheet!$J:$K,2,0),0)*'Master Data-C19RM'!$D$2))</f>
        <v>0</v>
      </c>
      <c r="X286" s="440"/>
      <c r="Y286" s="440"/>
      <c r="Z286" s="440"/>
      <c r="AA286" s="440"/>
      <c r="AB286" s="482">
        <f t="shared" si="35"/>
        <v>0</v>
      </c>
      <c r="AC286" s="484">
        <f>IF(SETUP!$E$7="USD",(AB286*(IF(O286="USD",W286,(W286/'Master Data-C19RM'!$D$2)))),(AB286*(IF(O286="EUR",W286,(W286*'Master Data-C19RM'!$D$2)))))</f>
        <v>0</v>
      </c>
      <c r="AD286" s="445">
        <f>IF($O286="USD",_xlfn.IFNA(VLOOKUP($A286&amp;$E286&amp;$I286,PMsheet!$J:$K,2,0),0),(_xlfn.IFNA(VLOOKUP($A286&amp;$E286&amp;$I286,PMsheet!$J:$K,2,0),0)*'Master Data-C19RM'!$E$2))</f>
        <v>0</v>
      </c>
      <c r="AE286" s="440"/>
      <c r="AF286" s="440"/>
      <c r="AG286" s="440"/>
      <c r="AH286" s="440"/>
      <c r="AI286" s="514">
        <f t="shared" si="36"/>
        <v>0</v>
      </c>
      <c r="AJ286" s="515">
        <f>IF(SETUP!$E$7="USD",(AI286*(IF(O286="USD",AD286,(AD286/'Master Data-C19RM'!$E$2)))),(AI286*(IF(O286="EUR",AD286,(AD286*'Master Data-C19RM'!$E$2)))))</f>
        <v>0</v>
      </c>
      <c r="AK286" s="445">
        <f>IF($O286="USD",_xlfn.IFNA(VLOOKUP($A286&amp;$E286&amp;$I286,PMsheet!$J:$K,2,0),0),(_xlfn.IFNA(VLOOKUP($A286&amp;$E286&amp;$I286,PMsheet!$J:$K,2,0),0)*'Master Data-C19RM'!$F$2))</f>
        <v>0</v>
      </c>
      <c r="AL286" s="440"/>
      <c r="AM286" s="440"/>
      <c r="AN286" s="440"/>
      <c r="AO286" s="440"/>
      <c r="AP286" s="514">
        <f t="shared" si="37"/>
        <v>0</v>
      </c>
      <c r="AQ286" s="515">
        <f>IF(SETUP!$E$7="USD",(AP286*(IF(O286="USD",AK286,(AK286/'Master Data-C19RM'!$F$2)))),(AP286*(IF(O286="EUR",AK286,(AK286*'Master Data-C19RM'!$F$2)))))</f>
        <v>0</v>
      </c>
      <c r="AR286" s="457">
        <f>IF($O286="USD",_xlfn.IFNA(VLOOKUP($A286&amp;$E286&amp;$I286,PMsheet!$J:$K,2,0),0),(_xlfn.IFNA(VLOOKUP($A286&amp;$E286&amp;$I286,PMsheet!$J:$K,2,0),0)*'Master Data-C19RM'!$G$2))</f>
        <v>0</v>
      </c>
      <c r="AS286" s="926"/>
      <c r="AT286" s="926"/>
      <c r="AU286" s="926"/>
      <c r="AV286" s="926"/>
      <c r="AW286" s="514">
        <f t="shared" si="38"/>
        <v>0</v>
      </c>
      <c r="AX286" s="515">
        <f>IF(SETUP!$E$7="USD",(AW286*(IF(O286="USD",AR286,(AR286/'Master Data-C19RM'!$G$2)))),(AW286*(IF(O286="EUR",AR286,(AR286*'Master Data-C19RM'!$G$2)))))</f>
        <v>0</v>
      </c>
      <c r="AY286" s="845"/>
      <c r="AZ286" s="846"/>
      <c r="BA286" s="846"/>
      <c r="BB286" s="846"/>
      <c r="BC286" s="846"/>
      <c r="BD286" s="846"/>
      <c r="BE286" s="847"/>
      <c r="BF286" s="514">
        <f>'C19RM 2021-Lab &amp; Other HPS'!$U286+'C19RM 2021-Lab &amp; Other HPS'!$AB286+'C19RM 2021-Lab &amp; Other HPS'!$AP286+'C19RM 2021-Lab &amp; Other HPS'!$AI286+AW286+BD286</f>
        <v>0</v>
      </c>
      <c r="BG286" s="514">
        <f>'C19RM 2021-Lab &amp; Other HPS'!$V286+'C19RM 2021-Lab &amp; Other HPS'!$AC286+'C19RM 2021-Lab &amp; Other HPS'!$AQ286+'C19RM 2021-Lab &amp; Other HPS'!$AJ286+AX286+BE286</f>
        <v>0</v>
      </c>
      <c r="BH286" s="522" t="str" cm="1">
        <f t="array" ref="BH286">IF(A286&lt;&gt;"",IFERROR(INDEX(PMtbl[[WKst]:[Unit of measure*]],MATCH($A$222&amp;$A286&amp;$E286&amp;$I286,INDEX(PMtbl[Sec]&amp;PMtbl[Category]&amp;PMtbl[Each]&amp;PMtbl[Packaging],0,),0),11),""),"")</f>
        <v/>
      </c>
      <c r="BI286" s="818"/>
      <c r="BJ286" s="503" t="str" cm="1">
        <f t="array" ref="BJ286">IFERROR(INDEX(SETUP!$C$19:$G$121,MATCH((INDEX(PMtbl[[WKst]:[Unit of measure*]],MATCH($A286&amp;$E286&amp;$I286,INDEX(PMtbl[Category]&amp;PMtbl[Each]&amp;PMtbl[Packaging],0,),0),3)),SETUP!$D$19:$D$121,0),5),"")</f>
        <v/>
      </c>
      <c r="BK286" s="543"/>
      <c r="BL286" s="215"/>
      <c r="BO286" s="12">
        <f>IF(N286="",0,IF(SETUP!$E$7="USD",((IF(O286="USD",P286,(P286/'Master Data-C19RM'!$C$2)))),((IF(O286="EUR",P286,(P286*'Master Data-C19RM'!$C$2))))))</f>
        <v>0</v>
      </c>
      <c r="BP286" s="12">
        <f>IF(N286="",0,IF(SETUP!$E$7="USD",((IF(O286="USD",W286,(W286/'Master Data-C19RM'!$D$2)))),((IF(O286="EUR",W286,(W286*'Master Data-C19RM'!$D$2))))))</f>
        <v>0</v>
      </c>
      <c r="BQ286">
        <f>IF(N286="",0,IF(SETUP!$E$7="USD",((IF(O286="USD",AD286,(AD286/'Master Data-C19RM'!$E$2)))),((IF(O286="EUR",AD286,(AD286*'Master Data-C19RM'!$E$2))))))</f>
        <v>0</v>
      </c>
      <c r="BR286">
        <f>IF(N286="",0,IF(SETUP!$E$7="USD",((IF(O286="USD",AK286,(AK286/'Master Data-C19RM'!$F$2)))),((IF(O286="EUR",AK286,(AK286*'Master Data-C19RM'!$F$2))))))</f>
        <v>0</v>
      </c>
      <c r="BS286">
        <f>IF(N286="",0,IF(SETUP!$E$7="USD",((IF(O286="USD",AR286,(AR286/'Master Data-C19RM'!$G$2)))),((IF(O286="EUR",AR286,(AR286*'Master Data-C19RM'!$G$2))))))</f>
        <v>0</v>
      </c>
      <c r="BT286">
        <f>IF(N286="",0,IF(SETUP!$E$7="USD",((IF(O286="USD",AY286,(AY286/'Master Data-C19RM'!$H$2)))),((IF(O286="EUR",AY286,(AY286*'Master Data-C19RM'!$H$2))))))</f>
        <v>0</v>
      </c>
      <c r="BU286" s="12">
        <f t="shared" si="39"/>
        <v>0</v>
      </c>
      <c r="BV286" s="142">
        <f t="shared" si="40"/>
        <v>0</v>
      </c>
    </row>
    <row r="287" spans="1:74" x14ac:dyDescent="0.35">
      <c r="A287" s="1165"/>
      <c r="B287" s="1165"/>
      <c r="C287" s="1165"/>
      <c r="D287" s="1165"/>
      <c r="E287" s="1166"/>
      <c r="F287" s="1166"/>
      <c r="G287" s="1166"/>
      <c r="H287" s="1166"/>
      <c r="I287" s="1166"/>
      <c r="J287" s="1166"/>
      <c r="K287" s="1166"/>
      <c r="L287" s="490" t="str" cm="1">
        <f t="array" ref="L287">IF(A287&lt;&gt;"",IFERROR(INDEX(PMtbl[[WKst]:[Unit of measure*]],MATCH($A$222&amp;$A287&amp;$E287&amp;$I287,INDEX(PMtbl[Sec]&amp;PMtbl[Category]&amp;PMtbl[Each]&amp;PMtbl[Packaging],0,),0),14),""),"")</f>
        <v/>
      </c>
      <c r="M287" s="479" t="str">
        <f>IF(L287="","",INDEX(SETUP!$E$20:$E$122,(MATCH(INDEX(PMsheet!$D:$E,MATCH(A287,PMsheet!E:E,0),1),SETUP!$D$20:$D$122,0))))</f>
        <v/>
      </c>
      <c r="N287" s="491">
        <f>IF($O287="USD",_xlfn.IFNA(VLOOKUP(A287&amp;E287&amp;I287,PMsheet!J:K,2,0),0),(_xlfn.IFNA(VLOOKUP(A287&amp;E287&amp;I287,PMsheet!J:K,2,0),0)*'Master Data-C19RM'!$C$2))</f>
        <v>0</v>
      </c>
      <c r="O287" s="492" t="str">
        <f>IF(L287="", "",SETUP!$E$7)</f>
        <v/>
      </c>
      <c r="P287" s="444">
        <f>IF($O287="USD",_xlfn.IFNA(VLOOKUP($A287&amp;$E287&amp;$I287,PMsheet!$J:$K,2,0),0),(_xlfn.IFNA(VLOOKUP($A287&amp;$E287&amp;$I287,PMsheet!$J:$K,2,0),0)*'Master Data-C19RM'!$C$2))</f>
        <v>0</v>
      </c>
      <c r="Q287" s="441"/>
      <c r="R287" s="441"/>
      <c r="S287" s="441"/>
      <c r="T287" s="441"/>
      <c r="U287" s="481">
        <f t="shared" si="34"/>
        <v>0</v>
      </c>
      <c r="V287" s="483">
        <f>IF(SETUP!$E$7="USD",(U287*(IF(O287="USD",P287,(P287/'Master Data-C19RM'!$C$2)))),(U287*(IF(O287="EUR",P287,(P287*'Master Data-C19RM'!$C$2)))))</f>
        <v>0</v>
      </c>
      <c r="W287" s="444">
        <f>IF($O287="USD",_xlfn.IFNA(VLOOKUP($A287&amp;$E287&amp;$I287,PMsheet!$J:$K,2,0),0),(_xlfn.IFNA(VLOOKUP($A287&amp;$E287&amp;$I287,PMsheet!$J:$K,2,0),0)*'Master Data-C19RM'!$D$2))</f>
        <v>0</v>
      </c>
      <c r="X287" s="441"/>
      <c r="Y287" s="441"/>
      <c r="Z287" s="441"/>
      <c r="AA287" s="441"/>
      <c r="AB287" s="481">
        <f t="shared" si="35"/>
        <v>0</v>
      </c>
      <c r="AC287" s="483">
        <f>IF(SETUP!$E$7="USD",(AB287*(IF(O287="USD",W287,(W287/'Master Data-C19RM'!$D$2)))),(AB287*(IF(O287="EUR",W287,(W287*'Master Data-C19RM'!$D$2)))))</f>
        <v>0</v>
      </c>
      <c r="AD287" s="444">
        <f>IF($O287="USD",_xlfn.IFNA(VLOOKUP($A287&amp;$E287&amp;$I287,PMsheet!$J:$K,2,0),0),(_xlfn.IFNA(VLOOKUP($A287&amp;$E287&amp;$I287,PMsheet!$J:$K,2,0),0)*'Master Data-C19RM'!$E$2))</f>
        <v>0</v>
      </c>
      <c r="AE287" s="441"/>
      <c r="AF287" s="441"/>
      <c r="AG287" s="441"/>
      <c r="AH287" s="441"/>
      <c r="AI287" s="512">
        <f t="shared" si="36"/>
        <v>0</v>
      </c>
      <c r="AJ287" s="513">
        <f>IF(SETUP!$E$7="USD",(AI287*(IF(O287="USD",AD287,(AD287/'Master Data-C19RM'!$E$2)))),(AI287*(IF(O287="EUR",AD287,(AD287*'Master Data-C19RM'!$E$2)))))</f>
        <v>0</v>
      </c>
      <c r="AK287" s="444">
        <f>IF($O287="USD",_xlfn.IFNA(VLOOKUP($A287&amp;$E287&amp;$I287,PMsheet!$J:$K,2,0),0),(_xlfn.IFNA(VLOOKUP($A287&amp;$E287&amp;$I287,PMsheet!$J:$K,2,0),0)*'Master Data-C19RM'!$F$2))</f>
        <v>0</v>
      </c>
      <c r="AL287" s="441"/>
      <c r="AM287" s="441"/>
      <c r="AN287" s="441"/>
      <c r="AO287" s="441"/>
      <c r="AP287" s="512">
        <f t="shared" si="37"/>
        <v>0</v>
      </c>
      <c r="AQ287" s="513">
        <f>IF(SETUP!$E$7="USD",(AP287*(IF(O287="USD",AK287,(AK287/'Master Data-C19RM'!$F$2)))),(AP287*(IF(O287="EUR",AK287,(AK287*'Master Data-C19RM'!$F$2)))))</f>
        <v>0</v>
      </c>
      <c r="AR287" s="456">
        <f>IF($O287="USD",_xlfn.IFNA(VLOOKUP($A287&amp;$E287&amp;$I287,PMsheet!$J:$K,2,0),0),(_xlfn.IFNA(VLOOKUP($A287&amp;$E287&amp;$I287,PMsheet!$J:$K,2,0),0)*'Master Data-C19RM'!$G$2))</f>
        <v>0</v>
      </c>
      <c r="AS287" s="572"/>
      <c r="AT287" s="572"/>
      <c r="AU287" s="572"/>
      <c r="AV287" s="572"/>
      <c r="AW287" s="512">
        <f t="shared" si="38"/>
        <v>0</v>
      </c>
      <c r="AX287" s="513">
        <f>IF(SETUP!$E$7="USD",(AW287*(IF(O287="USD",AR287,(AR287/'Master Data-C19RM'!$G$2)))),(AW287*(IF(O287="EUR",AR287,(AR287*'Master Data-C19RM'!$G$2)))))</f>
        <v>0</v>
      </c>
      <c r="AY287" s="845"/>
      <c r="AZ287" s="846"/>
      <c r="BA287" s="846"/>
      <c r="BB287" s="846"/>
      <c r="BC287" s="846"/>
      <c r="BD287" s="846"/>
      <c r="BE287" s="847"/>
      <c r="BF287" s="512">
        <f>'C19RM 2021-Lab &amp; Other HPS'!$U287+'C19RM 2021-Lab &amp; Other HPS'!$AB287+'C19RM 2021-Lab &amp; Other HPS'!$AP287+'C19RM 2021-Lab &amp; Other HPS'!$AI287+AW287+BD287</f>
        <v>0</v>
      </c>
      <c r="BG287" s="512">
        <f>'C19RM 2021-Lab &amp; Other HPS'!$V287+'C19RM 2021-Lab &amp; Other HPS'!$AC287+'C19RM 2021-Lab &amp; Other HPS'!$AQ287+'C19RM 2021-Lab &amp; Other HPS'!$AJ287+AX287+BE287</f>
        <v>0</v>
      </c>
      <c r="BH287" s="500" t="str" cm="1">
        <f t="array" ref="BH287">IF(A287&lt;&gt;"",IFERROR(INDEX(PMtbl[[WKst]:[Unit of measure*]],MATCH($A$222&amp;$A287&amp;$E287&amp;$I287,INDEX(PMtbl[Sec]&amp;PMtbl[Category]&amp;PMtbl[Each]&amp;PMtbl[Packaging],0,),0),11),""),"")</f>
        <v/>
      </c>
      <c r="BI287" s="819"/>
      <c r="BJ287" s="502" t="str" cm="1">
        <f t="array" ref="BJ287">IFERROR(INDEX(SETUP!$C$19:$G$121,MATCH((INDEX(PMtbl[[WKst]:[Unit of measure*]],MATCH($A287&amp;$E287&amp;$I287,INDEX(PMtbl[Category]&amp;PMtbl[Each]&amp;PMtbl[Packaging],0,),0),3)),SETUP!$D$19:$D$121,0),5),"")</f>
        <v/>
      </c>
      <c r="BK287" s="542"/>
      <c r="BL287" s="214"/>
      <c r="BO287" s="12">
        <f>IF(N287="",0,IF(SETUP!$E$7="USD",((IF(O287="USD",P287,(P287/'Master Data-C19RM'!$C$2)))),((IF(O287="EUR",P287,(P287*'Master Data-C19RM'!$C$2))))))</f>
        <v>0</v>
      </c>
      <c r="BP287" s="12">
        <f>IF(N287="",0,IF(SETUP!$E$7="USD",((IF(O287="USD",W287,(W287/'Master Data-C19RM'!$D$2)))),((IF(O287="EUR",W287,(W287*'Master Data-C19RM'!$D$2))))))</f>
        <v>0</v>
      </c>
      <c r="BQ287">
        <f>IF(N287="",0,IF(SETUP!$E$7="USD",((IF(O287="USD",AD287,(AD287/'Master Data-C19RM'!$E$2)))),((IF(O287="EUR",AD287,(AD287*'Master Data-C19RM'!$E$2))))))</f>
        <v>0</v>
      </c>
      <c r="BR287">
        <f>IF(N287="",0,IF(SETUP!$E$7="USD",((IF(O287="USD",AK287,(AK287/'Master Data-C19RM'!$F$2)))),((IF(O287="EUR",AK287,(AK287*'Master Data-C19RM'!$F$2))))))</f>
        <v>0</v>
      </c>
      <c r="BS287">
        <f>IF(N287="",0,IF(SETUP!$E$7="USD",((IF(O287="USD",AR287,(AR287/'Master Data-C19RM'!$G$2)))),((IF(O287="EUR",AR287,(AR287*'Master Data-C19RM'!$G$2))))))</f>
        <v>0</v>
      </c>
      <c r="BT287">
        <f>IF(N287="",0,IF(SETUP!$E$7="USD",((IF(O287="USD",AY287,(AY287/'Master Data-C19RM'!$H$2)))),((IF(O287="EUR",AY287,(AY287*'Master Data-C19RM'!$H$2))))))</f>
        <v>0</v>
      </c>
      <c r="BU287" s="12">
        <f t="shared" si="39"/>
        <v>0</v>
      </c>
      <c r="BV287" s="142">
        <f t="shared" si="40"/>
        <v>0</v>
      </c>
    </row>
    <row r="288" spans="1:74" x14ac:dyDescent="0.35">
      <c r="A288" s="1172"/>
      <c r="B288" s="1172"/>
      <c r="C288" s="1172"/>
      <c r="D288" s="1172"/>
      <c r="E288" s="1173"/>
      <c r="F288" s="1173"/>
      <c r="G288" s="1173"/>
      <c r="H288" s="1173"/>
      <c r="I288" s="1173"/>
      <c r="J288" s="1173"/>
      <c r="K288" s="1173"/>
      <c r="L288" s="493" t="str" cm="1">
        <f t="array" ref="L288">IF(A288&lt;&gt;"",IFERROR(INDEX(PMtbl[[WKst]:[Unit of measure*]],MATCH($A$222&amp;$A288&amp;$E288&amp;$I288,INDEX(PMtbl[Sec]&amp;PMtbl[Category]&amp;PMtbl[Each]&amp;PMtbl[Packaging],0,),0),14),""),"")</f>
        <v/>
      </c>
      <c r="M288" s="480" t="str">
        <f>IF(L288="","",INDEX(SETUP!$E$20:$E$122,(MATCH(INDEX(PMsheet!$D:$E,MATCH(A288,PMsheet!E:E,0),1),SETUP!$D$20:$D$122,0))))</f>
        <v/>
      </c>
      <c r="N288" s="494">
        <f>IF($O288="USD",_xlfn.IFNA(VLOOKUP(A288&amp;E288&amp;I288,PMsheet!J:K,2,0),0),(_xlfn.IFNA(VLOOKUP(A288&amp;E288&amp;I288,PMsheet!J:K,2,0),0)*'Master Data-C19RM'!$C$2))</f>
        <v>0</v>
      </c>
      <c r="O288" s="495" t="str">
        <f>IF(L288="", "",SETUP!$E$7)</f>
        <v/>
      </c>
      <c r="P288" s="445">
        <f>IF($O288="USD",_xlfn.IFNA(VLOOKUP($A288&amp;$E288&amp;$I288,PMsheet!$J:$K,2,0),0),(_xlfn.IFNA(VLOOKUP($A288&amp;$E288&amp;$I288,PMsheet!$J:$K,2,0),0)*'Master Data-C19RM'!$C$2))</f>
        <v>0</v>
      </c>
      <c r="Q288" s="440"/>
      <c r="R288" s="440"/>
      <c r="S288" s="440"/>
      <c r="T288" s="440"/>
      <c r="U288" s="482">
        <f t="shared" si="34"/>
        <v>0</v>
      </c>
      <c r="V288" s="484">
        <f>IF(SETUP!$E$7="USD",(U288*(IF(O288="USD",P288,(P288/'Master Data-C19RM'!$C$2)))),(U288*(IF(O288="EUR",P288,(P288*'Master Data-C19RM'!$C$2)))))</f>
        <v>0</v>
      </c>
      <c r="W288" s="445">
        <f>IF($O288="USD",_xlfn.IFNA(VLOOKUP($A288&amp;$E288&amp;$I288,PMsheet!$J:$K,2,0),0),(_xlfn.IFNA(VLOOKUP($A288&amp;$E288&amp;$I288,PMsheet!$J:$K,2,0),0)*'Master Data-C19RM'!$D$2))</f>
        <v>0</v>
      </c>
      <c r="X288" s="440"/>
      <c r="Y288" s="440"/>
      <c r="Z288" s="440"/>
      <c r="AA288" s="440"/>
      <c r="AB288" s="482">
        <f t="shared" si="35"/>
        <v>0</v>
      </c>
      <c r="AC288" s="484">
        <f>IF(SETUP!$E$7="USD",(AB288*(IF(O288="USD",W288,(W288/'Master Data-C19RM'!$D$2)))),(AB288*(IF(O288="EUR",W288,(W288*'Master Data-C19RM'!$D$2)))))</f>
        <v>0</v>
      </c>
      <c r="AD288" s="445">
        <f>IF($O288="USD",_xlfn.IFNA(VLOOKUP($A288&amp;$E288&amp;$I288,PMsheet!$J:$K,2,0),0),(_xlfn.IFNA(VLOOKUP($A288&amp;$E288&amp;$I288,PMsheet!$J:$K,2,0),0)*'Master Data-C19RM'!$E$2))</f>
        <v>0</v>
      </c>
      <c r="AE288" s="440"/>
      <c r="AF288" s="440"/>
      <c r="AG288" s="440"/>
      <c r="AH288" s="440"/>
      <c r="AI288" s="514">
        <f t="shared" si="36"/>
        <v>0</v>
      </c>
      <c r="AJ288" s="515">
        <f>IF(SETUP!$E$7="USD",(AI288*(IF(O288="USD",AD288,(AD288/'Master Data-C19RM'!$E$2)))),(AI288*(IF(O288="EUR",AD288,(AD288*'Master Data-C19RM'!$E$2)))))</f>
        <v>0</v>
      </c>
      <c r="AK288" s="445">
        <f>IF($O288="USD",_xlfn.IFNA(VLOOKUP($A288&amp;$E288&amp;$I288,PMsheet!$J:$K,2,0),0),(_xlfn.IFNA(VLOOKUP($A288&amp;$E288&amp;$I288,PMsheet!$J:$K,2,0),0)*'Master Data-C19RM'!$F$2))</f>
        <v>0</v>
      </c>
      <c r="AL288" s="440"/>
      <c r="AM288" s="440"/>
      <c r="AN288" s="440"/>
      <c r="AO288" s="440"/>
      <c r="AP288" s="514">
        <f t="shared" si="37"/>
        <v>0</v>
      </c>
      <c r="AQ288" s="515">
        <f>IF(SETUP!$E$7="USD",(AP288*(IF(O288="USD",AK288,(AK288/'Master Data-C19RM'!$F$2)))),(AP288*(IF(O288="EUR",AK288,(AK288*'Master Data-C19RM'!$F$2)))))</f>
        <v>0</v>
      </c>
      <c r="AR288" s="457">
        <f>IF($O288="USD",_xlfn.IFNA(VLOOKUP($A288&amp;$E288&amp;$I288,PMsheet!$J:$K,2,0),0),(_xlfn.IFNA(VLOOKUP($A288&amp;$E288&amp;$I288,PMsheet!$J:$K,2,0),0)*'Master Data-C19RM'!$G$2))</f>
        <v>0</v>
      </c>
      <c r="AS288" s="926"/>
      <c r="AT288" s="926"/>
      <c r="AU288" s="926"/>
      <c r="AV288" s="926"/>
      <c r="AW288" s="514">
        <f t="shared" si="38"/>
        <v>0</v>
      </c>
      <c r="AX288" s="515">
        <f>IF(SETUP!$E$7="USD",(AW288*(IF(O288="USD",AR288,(AR288/'Master Data-C19RM'!$G$2)))),(AW288*(IF(O288="EUR",AR288,(AR288*'Master Data-C19RM'!$G$2)))))</f>
        <v>0</v>
      </c>
      <c r="AY288" s="845"/>
      <c r="AZ288" s="846"/>
      <c r="BA288" s="846"/>
      <c r="BB288" s="846"/>
      <c r="BC288" s="846"/>
      <c r="BD288" s="846"/>
      <c r="BE288" s="847"/>
      <c r="BF288" s="514">
        <f>'C19RM 2021-Lab &amp; Other HPS'!$U288+'C19RM 2021-Lab &amp; Other HPS'!$AB288+'C19RM 2021-Lab &amp; Other HPS'!$AP288+'C19RM 2021-Lab &amp; Other HPS'!$AI288+AW288+BD288</f>
        <v>0</v>
      </c>
      <c r="BG288" s="514">
        <f>'C19RM 2021-Lab &amp; Other HPS'!$V288+'C19RM 2021-Lab &amp; Other HPS'!$AC288+'C19RM 2021-Lab &amp; Other HPS'!$AQ288+'C19RM 2021-Lab &amp; Other HPS'!$AJ288+AX288+BE288</f>
        <v>0</v>
      </c>
      <c r="BH288" s="522" t="str" cm="1">
        <f t="array" ref="BH288">IF(A288&lt;&gt;"",IFERROR(INDEX(PMtbl[[WKst]:[Unit of measure*]],MATCH($A$222&amp;$A288&amp;$E288&amp;$I288,INDEX(PMtbl[Sec]&amp;PMtbl[Category]&amp;PMtbl[Each]&amp;PMtbl[Packaging],0,),0),11),""),"")</f>
        <v/>
      </c>
      <c r="BI288" s="818"/>
      <c r="BJ288" s="503" t="str" cm="1">
        <f t="array" ref="BJ288">IFERROR(INDEX(SETUP!$C$19:$G$121,MATCH((INDEX(PMtbl[[WKst]:[Unit of measure*]],MATCH($A288&amp;$E288&amp;$I288,INDEX(PMtbl[Category]&amp;PMtbl[Each]&amp;PMtbl[Packaging],0,),0),3)),SETUP!$D$19:$D$121,0),5),"")</f>
        <v/>
      </c>
      <c r="BK288" s="543"/>
      <c r="BL288" s="215"/>
      <c r="BO288" s="12">
        <f>IF(N288="",0,IF(SETUP!$E$7="USD",((IF(O288="USD",P288,(P288/'Master Data-C19RM'!$C$2)))),((IF(O288="EUR",P288,(P288*'Master Data-C19RM'!$C$2))))))</f>
        <v>0</v>
      </c>
      <c r="BP288" s="12">
        <f>IF(N288="",0,IF(SETUP!$E$7="USD",((IF(O288="USD",W288,(W288/'Master Data-C19RM'!$D$2)))),((IF(O288="EUR",W288,(W288*'Master Data-C19RM'!$D$2))))))</f>
        <v>0</v>
      </c>
      <c r="BQ288">
        <f>IF(N288="",0,IF(SETUP!$E$7="USD",((IF(O288="USD",AD288,(AD288/'Master Data-C19RM'!$E$2)))),((IF(O288="EUR",AD288,(AD288*'Master Data-C19RM'!$E$2))))))</f>
        <v>0</v>
      </c>
      <c r="BR288">
        <f>IF(N288="",0,IF(SETUP!$E$7="USD",((IF(O288="USD",AK288,(AK288/'Master Data-C19RM'!$F$2)))),((IF(O288="EUR",AK288,(AK288*'Master Data-C19RM'!$F$2))))))</f>
        <v>0</v>
      </c>
      <c r="BS288">
        <f>IF(N288="",0,IF(SETUP!$E$7="USD",((IF(O288="USD",AR288,(AR288/'Master Data-C19RM'!$G$2)))),((IF(O288="EUR",AR288,(AR288*'Master Data-C19RM'!$G$2))))))</f>
        <v>0</v>
      </c>
      <c r="BT288">
        <f>IF(N288="",0,IF(SETUP!$E$7="USD",((IF(O288="USD",AY288,(AY288/'Master Data-C19RM'!$H$2)))),((IF(O288="EUR",AY288,(AY288*'Master Data-C19RM'!$H$2))))))</f>
        <v>0</v>
      </c>
      <c r="BU288" s="12">
        <f t="shared" si="39"/>
        <v>0</v>
      </c>
      <c r="BV288" s="142">
        <f t="shared" si="40"/>
        <v>0</v>
      </c>
    </row>
    <row r="289" spans="1:74" x14ac:dyDescent="0.35">
      <c r="A289" s="1165"/>
      <c r="B289" s="1165"/>
      <c r="C289" s="1165"/>
      <c r="D289" s="1165"/>
      <c r="E289" s="1166"/>
      <c r="F289" s="1166"/>
      <c r="G289" s="1166"/>
      <c r="H289" s="1166"/>
      <c r="I289" s="1166"/>
      <c r="J289" s="1166"/>
      <c r="K289" s="1166"/>
      <c r="L289" s="490" t="str" cm="1">
        <f t="array" ref="L289">IF(A289&lt;&gt;"",IFERROR(INDEX(PMtbl[[WKst]:[Unit of measure*]],MATCH($A$222&amp;$A289&amp;$E289&amp;$I289,INDEX(PMtbl[Sec]&amp;PMtbl[Category]&amp;PMtbl[Each]&amp;PMtbl[Packaging],0,),0),14),""),"")</f>
        <v/>
      </c>
      <c r="M289" s="479" t="str">
        <f>IF(L289="","",INDEX(SETUP!$E$20:$E$122,(MATCH(INDEX(PMsheet!$D:$E,MATCH(A289,PMsheet!E:E,0),1),SETUP!$D$20:$D$122,0))))</f>
        <v/>
      </c>
      <c r="N289" s="491">
        <f>IF($O289="USD",_xlfn.IFNA(VLOOKUP(A289&amp;E289&amp;I289,PMsheet!J:K,2,0),0),(_xlfn.IFNA(VLOOKUP(A289&amp;E289&amp;I289,PMsheet!J:K,2,0),0)*'Master Data-C19RM'!$C$2))</f>
        <v>0</v>
      </c>
      <c r="O289" s="492" t="str">
        <f>IF(L289="", "",SETUP!$E$7)</f>
        <v/>
      </c>
      <c r="P289" s="444">
        <f>IF($O289="USD",_xlfn.IFNA(VLOOKUP($A289&amp;$E289&amp;$I289,PMsheet!$J:$K,2,0),0),(_xlfn.IFNA(VLOOKUP($A289&amp;$E289&amp;$I289,PMsheet!$J:$K,2,0),0)*'Master Data-C19RM'!$C$2))</f>
        <v>0</v>
      </c>
      <c r="Q289" s="441"/>
      <c r="R289" s="441"/>
      <c r="S289" s="441"/>
      <c r="T289" s="441"/>
      <c r="U289" s="481">
        <f t="shared" si="34"/>
        <v>0</v>
      </c>
      <c r="V289" s="483">
        <f>IF(SETUP!$E$7="USD",(U289*(IF(O289="USD",P289,(P289/'Master Data-C19RM'!$C$2)))),(U289*(IF(O289="EUR",P289,(P289*'Master Data-C19RM'!$C$2)))))</f>
        <v>0</v>
      </c>
      <c r="W289" s="444">
        <f>IF($O289="USD",_xlfn.IFNA(VLOOKUP($A289&amp;$E289&amp;$I289,PMsheet!$J:$K,2,0),0),(_xlfn.IFNA(VLOOKUP($A289&amp;$E289&amp;$I289,PMsheet!$J:$K,2,0),0)*'Master Data-C19RM'!$D$2))</f>
        <v>0</v>
      </c>
      <c r="X289" s="441"/>
      <c r="Y289" s="441"/>
      <c r="Z289" s="441"/>
      <c r="AA289" s="441"/>
      <c r="AB289" s="481">
        <f t="shared" si="35"/>
        <v>0</v>
      </c>
      <c r="AC289" s="483">
        <f>IF(SETUP!$E$7="USD",(AB289*(IF(O289="USD",W289,(W289/'Master Data-C19RM'!$D$2)))),(AB289*(IF(O289="EUR",W289,(W289*'Master Data-C19RM'!$D$2)))))</f>
        <v>0</v>
      </c>
      <c r="AD289" s="444">
        <f>IF($O289="USD",_xlfn.IFNA(VLOOKUP($A289&amp;$E289&amp;$I289,PMsheet!$J:$K,2,0),0),(_xlfn.IFNA(VLOOKUP($A289&amp;$E289&amp;$I289,PMsheet!$J:$K,2,0),0)*'Master Data-C19RM'!$E$2))</f>
        <v>0</v>
      </c>
      <c r="AE289" s="441"/>
      <c r="AF289" s="441"/>
      <c r="AG289" s="441"/>
      <c r="AH289" s="441"/>
      <c r="AI289" s="512">
        <f t="shared" si="36"/>
        <v>0</v>
      </c>
      <c r="AJ289" s="513">
        <f>IF(SETUP!$E$7="USD",(AI289*(IF(O289="USD",AD289,(AD289/'Master Data-C19RM'!$E$2)))),(AI289*(IF(O289="EUR",AD289,(AD289*'Master Data-C19RM'!$E$2)))))</f>
        <v>0</v>
      </c>
      <c r="AK289" s="444">
        <f>IF($O289="USD",_xlfn.IFNA(VLOOKUP($A289&amp;$E289&amp;$I289,PMsheet!$J:$K,2,0),0),(_xlfn.IFNA(VLOOKUP($A289&amp;$E289&amp;$I289,PMsheet!$J:$K,2,0),0)*'Master Data-C19RM'!$F$2))</f>
        <v>0</v>
      </c>
      <c r="AL289" s="441"/>
      <c r="AM289" s="441"/>
      <c r="AN289" s="441"/>
      <c r="AO289" s="441"/>
      <c r="AP289" s="512">
        <f t="shared" si="37"/>
        <v>0</v>
      </c>
      <c r="AQ289" s="513">
        <f>IF(SETUP!$E$7="USD",(AP289*(IF(O289="USD",AK289,(AK289/'Master Data-C19RM'!$F$2)))),(AP289*(IF(O289="EUR",AK289,(AK289*'Master Data-C19RM'!$F$2)))))</f>
        <v>0</v>
      </c>
      <c r="AR289" s="456">
        <f>IF($O289="USD",_xlfn.IFNA(VLOOKUP($A289&amp;$E289&amp;$I289,PMsheet!$J:$K,2,0),0),(_xlfn.IFNA(VLOOKUP($A289&amp;$E289&amp;$I289,PMsheet!$J:$K,2,0),0)*'Master Data-C19RM'!$G$2))</f>
        <v>0</v>
      </c>
      <c r="AS289" s="572"/>
      <c r="AT289" s="572"/>
      <c r="AU289" s="572"/>
      <c r="AV289" s="572"/>
      <c r="AW289" s="512">
        <f t="shared" si="38"/>
        <v>0</v>
      </c>
      <c r="AX289" s="513">
        <f>IF(SETUP!$E$7="USD",(AW289*(IF(O289="USD",AR289,(AR289/'Master Data-C19RM'!$G$2)))),(AW289*(IF(O289="EUR",AR289,(AR289*'Master Data-C19RM'!$G$2)))))</f>
        <v>0</v>
      </c>
      <c r="AY289" s="845"/>
      <c r="AZ289" s="846"/>
      <c r="BA289" s="846"/>
      <c r="BB289" s="846"/>
      <c r="BC289" s="846"/>
      <c r="BD289" s="846"/>
      <c r="BE289" s="847"/>
      <c r="BF289" s="512">
        <f>'C19RM 2021-Lab &amp; Other HPS'!$U289+'C19RM 2021-Lab &amp; Other HPS'!$AB289+'C19RM 2021-Lab &amp; Other HPS'!$AP289+'C19RM 2021-Lab &amp; Other HPS'!$AI289+AW289+BD289</f>
        <v>0</v>
      </c>
      <c r="BG289" s="512">
        <f>'C19RM 2021-Lab &amp; Other HPS'!$V289+'C19RM 2021-Lab &amp; Other HPS'!$AC289+'C19RM 2021-Lab &amp; Other HPS'!$AQ289+'C19RM 2021-Lab &amp; Other HPS'!$AJ289+AX289+BE289</f>
        <v>0</v>
      </c>
      <c r="BH289" s="500" t="str" cm="1">
        <f t="array" ref="BH289">IF(A289&lt;&gt;"",IFERROR(INDEX(PMtbl[[WKst]:[Unit of measure*]],MATCH($A$222&amp;$A289&amp;$E289&amp;$I289,INDEX(PMtbl[Sec]&amp;PMtbl[Category]&amp;PMtbl[Each]&amp;PMtbl[Packaging],0,),0),11),""),"")</f>
        <v/>
      </c>
      <c r="BI289" s="819"/>
      <c r="BJ289" s="502" t="str" cm="1">
        <f t="array" ref="BJ289">IFERROR(INDEX(SETUP!$C$19:$G$121,MATCH((INDEX(PMtbl[[WKst]:[Unit of measure*]],MATCH($A289&amp;$E289&amp;$I289,INDEX(PMtbl[Category]&amp;PMtbl[Each]&amp;PMtbl[Packaging],0,),0),3)),SETUP!$D$19:$D$121,0),5),"")</f>
        <v/>
      </c>
      <c r="BK289" s="542"/>
      <c r="BL289" s="214"/>
      <c r="BO289" s="12">
        <f>IF(N289="",0,IF(SETUP!$E$7="USD",((IF(O289="USD",P289,(P289/'Master Data-C19RM'!$C$2)))),((IF(O289="EUR",P289,(P289*'Master Data-C19RM'!$C$2))))))</f>
        <v>0</v>
      </c>
      <c r="BP289" s="12">
        <f>IF(N289="",0,IF(SETUP!$E$7="USD",((IF(O289="USD",W289,(W289/'Master Data-C19RM'!$D$2)))),((IF(O289="EUR",W289,(W289*'Master Data-C19RM'!$D$2))))))</f>
        <v>0</v>
      </c>
      <c r="BQ289">
        <f>IF(N289="",0,IF(SETUP!$E$7="USD",((IF(O289="USD",AD289,(AD289/'Master Data-C19RM'!$E$2)))),((IF(O289="EUR",AD289,(AD289*'Master Data-C19RM'!$E$2))))))</f>
        <v>0</v>
      </c>
      <c r="BR289">
        <f>IF(N289="",0,IF(SETUP!$E$7="USD",((IF(O289="USD",AK289,(AK289/'Master Data-C19RM'!$F$2)))),((IF(O289="EUR",AK289,(AK289*'Master Data-C19RM'!$F$2))))))</f>
        <v>0</v>
      </c>
      <c r="BS289">
        <f>IF(N289="",0,IF(SETUP!$E$7="USD",((IF(O289="USD",AR289,(AR289/'Master Data-C19RM'!$G$2)))),((IF(O289="EUR",AR289,(AR289*'Master Data-C19RM'!$G$2))))))</f>
        <v>0</v>
      </c>
      <c r="BT289">
        <f>IF(N289="",0,IF(SETUP!$E$7="USD",((IF(O289="USD",AY289,(AY289/'Master Data-C19RM'!$H$2)))),((IF(O289="EUR",AY289,(AY289*'Master Data-C19RM'!$H$2))))))</f>
        <v>0</v>
      </c>
      <c r="BU289" s="12">
        <f t="shared" si="39"/>
        <v>0</v>
      </c>
      <c r="BV289" s="142">
        <f t="shared" si="40"/>
        <v>0</v>
      </c>
    </row>
    <row r="290" spans="1:74" x14ac:dyDescent="0.35">
      <c r="A290" s="1172"/>
      <c r="B290" s="1172"/>
      <c r="C290" s="1172"/>
      <c r="D290" s="1172"/>
      <c r="E290" s="1173"/>
      <c r="F290" s="1173"/>
      <c r="G290" s="1173"/>
      <c r="H290" s="1173"/>
      <c r="I290" s="1173"/>
      <c r="J290" s="1173"/>
      <c r="K290" s="1173"/>
      <c r="L290" s="493" t="str" cm="1">
        <f t="array" ref="L290">IF(A290&lt;&gt;"",IFERROR(INDEX(PMtbl[[WKst]:[Unit of measure*]],MATCH($A$222&amp;$A290&amp;$E290&amp;$I290,INDEX(PMtbl[Sec]&amp;PMtbl[Category]&amp;PMtbl[Each]&amp;PMtbl[Packaging],0,),0),14),""),"")</f>
        <v/>
      </c>
      <c r="M290" s="480" t="str">
        <f>IF(L290="","",INDEX(SETUP!$E$20:$E$122,(MATCH(INDEX(PMsheet!$D:$E,MATCH(A290,PMsheet!E:E,0),1),SETUP!$D$20:$D$122,0))))</f>
        <v/>
      </c>
      <c r="N290" s="494">
        <f>IF($O290="USD",_xlfn.IFNA(VLOOKUP(A290&amp;E290&amp;I290,PMsheet!J:K,2,0),0),(_xlfn.IFNA(VLOOKUP(A290&amp;E290&amp;I290,PMsheet!J:K,2,0),0)*'Master Data-C19RM'!$C$2))</f>
        <v>0</v>
      </c>
      <c r="O290" s="495" t="str">
        <f>IF(L290="", "",SETUP!$E$7)</f>
        <v/>
      </c>
      <c r="P290" s="445">
        <f>IF($O290="USD",_xlfn.IFNA(VLOOKUP($A290&amp;$E290&amp;$I290,PMsheet!$J:$K,2,0),0),(_xlfn.IFNA(VLOOKUP($A290&amp;$E290&amp;$I290,PMsheet!$J:$K,2,0),0)*'Master Data-C19RM'!$C$2))</f>
        <v>0</v>
      </c>
      <c r="Q290" s="440"/>
      <c r="R290" s="440"/>
      <c r="S290" s="440"/>
      <c r="T290" s="440"/>
      <c r="U290" s="482">
        <f t="shared" si="34"/>
        <v>0</v>
      </c>
      <c r="V290" s="484">
        <f>IF(SETUP!$E$7="USD",(U290*(IF(O290="USD",P290,(P290/'Master Data-C19RM'!$C$2)))),(U290*(IF(O290="EUR",P290,(P290*'Master Data-C19RM'!$C$2)))))</f>
        <v>0</v>
      </c>
      <c r="W290" s="445">
        <f>IF($O290="USD",_xlfn.IFNA(VLOOKUP($A290&amp;$E290&amp;$I290,PMsheet!$J:$K,2,0),0),(_xlfn.IFNA(VLOOKUP($A290&amp;$E290&amp;$I290,PMsheet!$J:$K,2,0),0)*'Master Data-C19RM'!$D$2))</f>
        <v>0</v>
      </c>
      <c r="X290" s="440"/>
      <c r="Y290" s="440"/>
      <c r="Z290" s="440"/>
      <c r="AA290" s="440"/>
      <c r="AB290" s="482">
        <f t="shared" si="35"/>
        <v>0</v>
      </c>
      <c r="AC290" s="484">
        <f>IF(SETUP!$E$7="USD",(AB290*(IF(O290="USD",W290,(W290/'Master Data-C19RM'!$D$2)))),(AB290*(IF(O290="EUR",W290,(W290*'Master Data-C19RM'!$D$2)))))</f>
        <v>0</v>
      </c>
      <c r="AD290" s="445">
        <f>IF($O290="USD",_xlfn.IFNA(VLOOKUP($A290&amp;$E290&amp;$I290,PMsheet!$J:$K,2,0),0),(_xlfn.IFNA(VLOOKUP($A290&amp;$E290&amp;$I290,PMsheet!$J:$K,2,0),0)*'Master Data-C19RM'!$E$2))</f>
        <v>0</v>
      </c>
      <c r="AE290" s="440"/>
      <c r="AF290" s="440"/>
      <c r="AG290" s="440"/>
      <c r="AH290" s="440"/>
      <c r="AI290" s="514">
        <f t="shared" si="36"/>
        <v>0</v>
      </c>
      <c r="AJ290" s="515">
        <f>IF(SETUP!$E$7="USD",(AI290*(IF(O290="USD",AD290,(AD290/'Master Data-C19RM'!$E$2)))),(AI290*(IF(O290="EUR",AD290,(AD290*'Master Data-C19RM'!$E$2)))))</f>
        <v>0</v>
      </c>
      <c r="AK290" s="445">
        <f>IF($O290="USD",_xlfn.IFNA(VLOOKUP($A290&amp;$E290&amp;$I290,PMsheet!$J:$K,2,0),0),(_xlfn.IFNA(VLOOKUP($A290&amp;$E290&amp;$I290,PMsheet!$J:$K,2,0),0)*'Master Data-C19RM'!$F$2))</f>
        <v>0</v>
      </c>
      <c r="AL290" s="440"/>
      <c r="AM290" s="440"/>
      <c r="AN290" s="440"/>
      <c r="AO290" s="440"/>
      <c r="AP290" s="514">
        <f t="shared" si="37"/>
        <v>0</v>
      </c>
      <c r="AQ290" s="515">
        <f>IF(SETUP!$E$7="USD",(AP290*(IF(O290="USD",AK290,(AK290/'Master Data-C19RM'!$F$2)))),(AP290*(IF(O290="EUR",AK290,(AK290*'Master Data-C19RM'!$F$2)))))</f>
        <v>0</v>
      </c>
      <c r="AR290" s="457">
        <f>IF($O290="USD",_xlfn.IFNA(VLOOKUP($A290&amp;$E290&amp;$I290,PMsheet!$J:$K,2,0),0),(_xlfn.IFNA(VLOOKUP($A290&amp;$E290&amp;$I290,PMsheet!$J:$K,2,0),0)*'Master Data-C19RM'!$G$2))</f>
        <v>0</v>
      </c>
      <c r="AS290" s="926"/>
      <c r="AT290" s="926"/>
      <c r="AU290" s="926"/>
      <c r="AV290" s="926"/>
      <c r="AW290" s="514">
        <f t="shared" si="38"/>
        <v>0</v>
      </c>
      <c r="AX290" s="515">
        <f>IF(SETUP!$E$7="USD",(AW290*(IF(O290="USD",AR290,(AR290/'Master Data-C19RM'!$G$2)))),(AW290*(IF(O290="EUR",AR290,(AR290*'Master Data-C19RM'!$G$2)))))</f>
        <v>0</v>
      </c>
      <c r="AY290" s="845"/>
      <c r="AZ290" s="846"/>
      <c r="BA290" s="846"/>
      <c r="BB290" s="846"/>
      <c r="BC290" s="846"/>
      <c r="BD290" s="846"/>
      <c r="BE290" s="847"/>
      <c r="BF290" s="514">
        <f>'C19RM 2021-Lab &amp; Other HPS'!$U290+'C19RM 2021-Lab &amp; Other HPS'!$AB290+'C19RM 2021-Lab &amp; Other HPS'!$AP290+'C19RM 2021-Lab &amp; Other HPS'!$AI290+AW290+BD290</f>
        <v>0</v>
      </c>
      <c r="BG290" s="514">
        <f>'C19RM 2021-Lab &amp; Other HPS'!$V290+'C19RM 2021-Lab &amp; Other HPS'!$AC290+'C19RM 2021-Lab &amp; Other HPS'!$AQ290+'C19RM 2021-Lab &amp; Other HPS'!$AJ290+AX290+BE290</f>
        <v>0</v>
      </c>
      <c r="BH290" s="522" t="str" cm="1">
        <f t="array" ref="BH290">IF(A290&lt;&gt;"",IFERROR(INDEX(PMtbl[[WKst]:[Unit of measure*]],MATCH($A$222&amp;$A290&amp;$E290&amp;$I290,INDEX(PMtbl[Sec]&amp;PMtbl[Category]&amp;PMtbl[Each]&amp;PMtbl[Packaging],0,),0),11),""),"")</f>
        <v/>
      </c>
      <c r="BI290" s="818"/>
      <c r="BJ290" s="503" t="str" cm="1">
        <f t="array" ref="BJ290">IFERROR(INDEX(SETUP!$C$19:$G$121,MATCH((INDEX(PMtbl[[WKst]:[Unit of measure*]],MATCH($A290&amp;$E290&amp;$I290,INDEX(PMtbl[Category]&amp;PMtbl[Each]&amp;PMtbl[Packaging],0,),0),3)),SETUP!$D$19:$D$121,0),5),"")</f>
        <v/>
      </c>
      <c r="BK290" s="543"/>
      <c r="BL290" s="215"/>
      <c r="BO290" s="12">
        <f>IF(N290="",0,IF(SETUP!$E$7="USD",((IF(O290="USD",P290,(P290/'Master Data-C19RM'!$C$2)))),((IF(O290="EUR",P290,(P290*'Master Data-C19RM'!$C$2))))))</f>
        <v>0</v>
      </c>
      <c r="BP290" s="12">
        <f>IF(N290="",0,IF(SETUP!$E$7="USD",((IF(O290="USD",W290,(W290/'Master Data-C19RM'!$D$2)))),((IF(O290="EUR",W290,(W290*'Master Data-C19RM'!$D$2))))))</f>
        <v>0</v>
      </c>
      <c r="BQ290">
        <f>IF(N290="",0,IF(SETUP!$E$7="USD",((IF(O290="USD",AD290,(AD290/'Master Data-C19RM'!$E$2)))),((IF(O290="EUR",AD290,(AD290*'Master Data-C19RM'!$E$2))))))</f>
        <v>0</v>
      </c>
      <c r="BR290">
        <f>IF(N290="",0,IF(SETUP!$E$7="USD",((IF(O290="USD",AK290,(AK290/'Master Data-C19RM'!$F$2)))),((IF(O290="EUR",AK290,(AK290*'Master Data-C19RM'!$F$2))))))</f>
        <v>0</v>
      </c>
      <c r="BS290">
        <f>IF(N290="",0,IF(SETUP!$E$7="USD",((IF(O290="USD",AR290,(AR290/'Master Data-C19RM'!$G$2)))),((IF(O290="EUR",AR290,(AR290*'Master Data-C19RM'!$G$2))))))</f>
        <v>0</v>
      </c>
      <c r="BT290">
        <f>IF(N290="",0,IF(SETUP!$E$7="USD",((IF(O290="USD",AY290,(AY290/'Master Data-C19RM'!$H$2)))),((IF(O290="EUR",AY290,(AY290*'Master Data-C19RM'!$H$2))))))</f>
        <v>0</v>
      </c>
      <c r="BU290" s="12">
        <f t="shared" si="39"/>
        <v>0</v>
      </c>
      <c r="BV290" s="142">
        <f t="shared" si="40"/>
        <v>0</v>
      </c>
    </row>
    <row r="291" spans="1:74" x14ac:dyDescent="0.35">
      <c r="A291" s="1165"/>
      <c r="B291" s="1165"/>
      <c r="C291" s="1165"/>
      <c r="D291" s="1165"/>
      <c r="E291" s="1166"/>
      <c r="F291" s="1166"/>
      <c r="G291" s="1166"/>
      <c r="H291" s="1166"/>
      <c r="I291" s="1166"/>
      <c r="J291" s="1166"/>
      <c r="K291" s="1166"/>
      <c r="L291" s="490" t="str" cm="1">
        <f t="array" ref="L291">IF(A291&lt;&gt;"",IFERROR(INDEX(PMtbl[[WKst]:[Unit of measure*]],MATCH($A$222&amp;$A291&amp;$E291&amp;$I291,INDEX(PMtbl[Sec]&amp;PMtbl[Category]&amp;PMtbl[Each]&amp;PMtbl[Packaging],0,),0),14),""),"")</f>
        <v/>
      </c>
      <c r="M291" s="479" t="str">
        <f>IF(L291="","",INDEX(SETUP!$E$20:$E$122,(MATCH(INDEX(PMsheet!$D:$E,MATCH(A291,PMsheet!E:E,0),1),SETUP!$D$20:$D$122,0))))</f>
        <v/>
      </c>
      <c r="N291" s="491">
        <f>IF($O291="USD",_xlfn.IFNA(VLOOKUP(A291&amp;E291&amp;I291,PMsheet!J:K,2,0),0),(_xlfn.IFNA(VLOOKUP(A291&amp;E291&amp;I291,PMsheet!J:K,2,0),0)*'Master Data-C19RM'!$C$2))</f>
        <v>0</v>
      </c>
      <c r="O291" s="492" t="str">
        <f>IF(L291="", "",SETUP!$E$7)</f>
        <v/>
      </c>
      <c r="P291" s="444">
        <f>IF($O291="USD",_xlfn.IFNA(VLOOKUP($A291&amp;$E291&amp;$I291,PMsheet!$J:$K,2,0),0),(_xlfn.IFNA(VLOOKUP($A291&amp;$E291&amp;$I291,PMsheet!$J:$K,2,0),0)*'Master Data-C19RM'!$C$2))</f>
        <v>0</v>
      </c>
      <c r="Q291" s="441"/>
      <c r="R291" s="441"/>
      <c r="S291" s="441"/>
      <c r="T291" s="441"/>
      <c r="U291" s="481">
        <f t="shared" si="34"/>
        <v>0</v>
      </c>
      <c r="V291" s="483">
        <f>IF(SETUP!$E$7="USD",(U291*(IF(O291="USD",P291,(P291/'Master Data-C19RM'!$C$2)))),(U291*(IF(O291="EUR",P291,(P291*'Master Data-C19RM'!$C$2)))))</f>
        <v>0</v>
      </c>
      <c r="W291" s="444">
        <f>IF($O291="USD",_xlfn.IFNA(VLOOKUP($A291&amp;$E291&amp;$I291,PMsheet!$J:$K,2,0),0),(_xlfn.IFNA(VLOOKUP($A291&amp;$E291&amp;$I291,PMsheet!$J:$K,2,0),0)*'Master Data-C19RM'!$D$2))</f>
        <v>0</v>
      </c>
      <c r="X291" s="441"/>
      <c r="Y291" s="441"/>
      <c r="Z291" s="441"/>
      <c r="AA291" s="441"/>
      <c r="AB291" s="481">
        <f t="shared" si="35"/>
        <v>0</v>
      </c>
      <c r="AC291" s="483">
        <f>IF(SETUP!$E$7="USD",(AB291*(IF(O291="USD",W291,(W291/'Master Data-C19RM'!$D$2)))),(AB291*(IF(O291="EUR",W291,(W291*'Master Data-C19RM'!$D$2)))))</f>
        <v>0</v>
      </c>
      <c r="AD291" s="444">
        <f>IF($O291="USD",_xlfn.IFNA(VLOOKUP($A291&amp;$E291&amp;$I291,PMsheet!$J:$K,2,0),0),(_xlfn.IFNA(VLOOKUP($A291&amp;$E291&amp;$I291,PMsheet!$J:$K,2,0),0)*'Master Data-C19RM'!$E$2))</f>
        <v>0</v>
      </c>
      <c r="AE291" s="441"/>
      <c r="AF291" s="441"/>
      <c r="AG291" s="441"/>
      <c r="AH291" s="441"/>
      <c r="AI291" s="512">
        <f t="shared" si="36"/>
        <v>0</v>
      </c>
      <c r="AJ291" s="513">
        <f>IF(SETUP!$E$7="USD",(AI291*(IF(O291="USD",AD291,(AD291/'Master Data-C19RM'!$E$2)))),(AI291*(IF(O291="EUR",AD291,(AD291*'Master Data-C19RM'!$E$2)))))</f>
        <v>0</v>
      </c>
      <c r="AK291" s="444">
        <f>IF($O291="USD",_xlfn.IFNA(VLOOKUP($A291&amp;$E291&amp;$I291,PMsheet!$J:$K,2,0),0),(_xlfn.IFNA(VLOOKUP($A291&amp;$E291&amp;$I291,PMsheet!$J:$K,2,0),0)*'Master Data-C19RM'!$F$2))</f>
        <v>0</v>
      </c>
      <c r="AL291" s="441"/>
      <c r="AM291" s="441"/>
      <c r="AN291" s="441"/>
      <c r="AO291" s="441"/>
      <c r="AP291" s="512">
        <f t="shared" si="37"/>
        <v>0</v>
      </c>
      <c r="AQ291" s="513">
        <f>IF(SETUP!$E$7="USD",(AP291*(IF(O291="USD",AK291,(AK291/'Master Data-C19RM'!$F$2)))),(AP291*(IF(O291="EUR",AK291,(AK291*'Master Data-C19RM'!$F$2)))))</f>
        <v>0</v>
      </c>
      <c r="AR291" s="456">
        <f>IF($O291="USD",_xlfn.IFNA(VLOOKUP($A291&amp;$E291&amp;$I291,PMsheet!$J:$K,2,0),0),(_xlfn.IFNA(VLOOKUP($A291&amp;$E291&amp;$I291,PMsheet!$J:$K,2,0),0)*'Master Data-C19RM'!$G$2))</f>
        <v>0</v>
      </c>
      <c r="AS291" s="572"/>
      <c r="AT291" s="572"/>
      <c r="AU291" s="572"/>
      <c r="AV291" s="572"/>
      <c r="AW291" s="512">
        <f t="shared" si="38"/>
        <v>0</v>
      </c>
      <c r="AX291" s="513">
        <f>IF(SETUP!$E$7="USD",(AW291*(IF(O291="USD",AR291,(AR291/'Master Data-C19RM'!$G$2)))),(AW291*(IF(O291="EUR",AR291,(AR291*'Master Data-C19RM'!$G$2)))))</f>
        <v>0</v>
      </c>
      <c r="AY291" s="845"/>
      <c r="AZ291" s="846"/>
      <c r="BA291" s="846"/>
      <c r="BB291" s="846"/>
      <c r="BC291" s="846"/>
      <c r="BD291" s="846"/>
      <c r="BE291" s="847"/>
      <c r="BF291" s="512">
        <f>'C19RM 2021-Lab &amp; Other HPS'!$U291+'C19RM 2021-Lab &amp; Other HPS'!$AB291+'C19RM 2021-Lab &amp; Other HPS'!$AP291+'C19RM 2021-Lab &amp; Other HPS'!$AI291+AW291+BD291</f>
        <v>0</v>
      </c>
      <c r="BG291" s="512">
        <f>'C19RM 2021-Lab &amp; Other HPS'!$V291+'C19RM 2021-Lab &amp; Other HPS'!$AC291+'C19RM 2021-Lab &amp; Other HPS'!$AQ291+'C19RM 2021-Lab &amp; Other HPS'!$AJ291+AX291+BE291</f>
        <v>0</v>
      </c>
      <c r="BH291" s="500" t="str" cm="1">
        <f t="array" ref="BH291">IF(A291&lt;&gt;"",IFERROR(INDEX(PMtbl[[WKst]:[Unit of measure*]],MATCH($A$222&amp;$A291&amp;$E291&amp;$I291,INDEX(PMtbl[Sec]&amp;PMtbl[Category]&amp;PMtbl[Each]&amp;PMtbl[Packaging],0,),0),11),""),"")</f>
        <v/>
      </c>
      <c r="BI291" s="819"/>
      <c r="BJ291" s="502" t="str" cm="1">
        <f t="array" ref="BJ291">IFERROR(INDEX(SETUP!$C$19:$G$121,MATCH((INDEX(PMtbl[[WKst]:[Unit of measure*]],MATCH($A291&amp;$E291&amp;$I291,INDEX(PMtbl[Category]&amp;PMtbl[Each]&amp;PMtbl[Packaging],0,),0),3)),SETUP!$D$19:$D$121,0),5),"")</f>
        <v/>
      </c>
      <c r="BK291" s="542"/>
      <c r="BL291" s="214"/>
      <c r="BO291" s="12">
        <f>IF(N291="",0,IF(SETUP!$E$7="USD",((IF(O291="USD",P291,(P291/'Master Data-C19RM'!$C$2)))),((IF(O291="EUR",P291,(P291*'Master Data-C19RM'!$C$2))))))</f>
        <v>0</v>
      </c>
      <c r="BP291" s="12">
        <f>IF(N291="",0,IF(SETUP!$E$7="USD",((IF(O291="USD",W291,(W291/'Master Data-C19RM'!$D$2)))),((IF(O291="EUR",W291,(W291*'Master Data-C19RM'!$D$2))))))</f>
        <v>0</v>
      </c>
      <c r="BQ291">
        <f>IF(N291="",0,IF(SETUP!$E$7="USD",((IF(O291="USD",AD291,(AD291/'Master Data-C19RM'!$E$2)))),((IF(O291="EUR",AD291,(AD291*'Master Data-C19RM'!$E$2))))))</f>
        <v>0</v>
      </c>
      <c r="BR291">
        <f>IF(N291="",0,IF(SETUP!$E$7="USD",((IF(O291="USD",AK291,(AK291/'Master Data-C19RM'!$F$2)))),((IF(O291="EUR",AK291,(AK291*'Master Data-C19RM'!$F$2))))))</f>
        <v>0</v>
      </c>
      <c r="BS291">
        <f>IF(N291="",0,IF(SETUP!$E$7="USD",((IF(O291="USD",AR291,(AR291/'Master Data-C19RM'!$G$2)))),((IF(O291="EUR",AR291,(AR291*'Master Data-C19RM'!$G$2))))))</f>
        <v>0</v>
      </c>
      <c r="BT291">
        <f>IF(N291="",0,IF(SETUP!$E$7="USD",((IF(O291="USD",AY291,(AY291/'Master Data-C19RM'!$H$2)))),((IF(O291="EUR",AY291,(AY291*'Master Data-C19RM'!$H$2))))))</f>
        <v>0</v>
      </c>
      <c r="BU291" s="12">
        <f t="shared" si="39"/>
        <v>0</v>
      </c>
      <c r="BV291" s="142">
        <f t="shared" si="40"/>
        <v>0</v>
      </c>
    </row>
    <row r="292" spans="1:74" x14ac:dyDescent="0.35">
      <c r="A292" s="1172"/>
      <c r="B292" s="1172"/>
      <c r="C292" s="1172"/>
      <c r="D292" s="1172"/>
      <c r="E292" s="1173"/>
      <c r="F292" s="1173"/>
      <c r="G292" s="1173"/>
      <c r="H292" s="1173"/>
      <c r="I292" s="1173"/>
      <c r="J292" s="1173"/>
      <c r="K292" s="1173"/>
      <c r="L292" s="493" t="str" cm="1">
        <f t="array" ref="L292">IF(A292&lt;&gt;"",IFERROR(INDEX(PMtbl[[WKst]:[Unit of measure*]],MATCH($A$222&amp;$A292&amp;$E292&amp;$I292,INDEX(PMtbl[Sec]&amp;PMtbl[Category]&amp;PMtbl[Each]&amp;PMtbl[Packaging],0,),0),14),""),"")</f>
        <v/>
      </c>
      <c r="M292" s="480" t="str">
        <f>IF(L292="","",INDEX(SETUP!$E$20:$E$122,(MATCH(INDEX(PMsheet!$D:$E,MATCH(A292,PMsheet!E:E,0),1),SETUP!$D$20:$D$122,0))))</f>
        <v/>
      </c>
      <c r="N292" s="494">
        <f>IF($O292="USD",_xlfn.IFNA(VLOOKUP(A292&amp;E292&amp;I292,PMsheet!J:K,2,0),0),(_xlfn.IFNA(VLOOKUP(A292&amp;E292&amp;I292,PMsheet!J:K,2,0),0)*'Master Data-C19RM'!$C$2))</f>
        <v>0</v>
      </c>
      <c r="O292" s="495" t="str">
        <f>IF(L292="", "",SETUP!$E$7)</f>
        <v/>
      </c>
      <c r="P292" s="445">
        <f>IF($O292="USD",_xlfn.IFNA(VLOOKUP($A292&amp;$E292&amp;$I292,PMsheet!$J:$K,2,0),0),(_xlfn.IFNA(VLOOKUP($A292&amp;$E292&amp;$I292,PMsheet!$J:$K,2,0),0)*'Master Data-C19RM'!$C$2))</f>
        <v>0</v>
      </c>
      <c r="Q292" s="440"/>
      <c r="R292" s="440"/>
      <c r="S292" s="440"/>
      <c r="T292" s="440"/>
      <c r="U292" s="482">
        <f t="shared" si="34"/>
        <v>0</v>
      </c>
      <c r="V292" s="484">
        <f>IF(SETUP!$E$7="USD",(U292*(IF(O292="USD",P292,(P292/'Master Data-C19RM'!$C$2)))),(U292*(IF(O292="EUR",P292,(P292*'Master Data-C19RM'!$C$2)))))</f>
        <v>0</v>
      </c>
      <c r="W292" s="445">
        <f>IF($O292="USD",_xlfn.IFNA(VLOOKUP($A292&amp;$E292&amp;$I292,PMsheet!$J:$K,2,0),0),(_xlfn.IFNA(VLOOKUP($A292&amp;$E292&amp;$I292,PMsheet!$J:$K,2,0),0)*'Master Data-C19RM'!$D$2))</f>
        <v>0</v>
      </c>
      <c r="X292" s="440"/>
      <c r="Y292" s="440"/>
      <c r="Z292" s="440"/>
      <c r="AA292" s="440"/>
      <c r="AB292" s="482">
        <f t="shared" si="35"/>
        <v>0</v>
      </c>
      <c r="AC292" s="484">
        <f>IF(SETUP!$E$7="USD",(AB292*(IF(O292="USD",W292,(W292/'Master Data-C19RM'!$D$2)))),(AB292*(IF(O292="EUR",W292,(W292*'Master Data-C19RM'!$D$2)))))</f>
        <v>0</v>
      </c>
      <c r="AD292" s="445">
        <f>IF($O292="USD",_xlfn.IFNA(VLOOKUP($A292&amp;$E292&amp;$I292,PMsheet!$J:$K,2,0),0),(_xlfn.IFNA(VLOOKUP($A292&amp;$E292&amp;$I292,PMsheet!$J:$K,2,0),0)*'Master Data-C19RM'!$E$2))</f>
        <v>0</v>
      </c>
      <c r="AE292" s="440"/>
      <c r="AF292" s="440"/>
      <c r="AG292" s="440"/>
      <c r="AH292" s="440"/>
      <c r="AI292" s="514">
        <f t="shared" si="36"/>
        <v>0</v>
      </c>
      <c r="AJ292" s="515">
        <f>IF(SETUP!$E$7="USD",(AI292*(IF(O292="USD",AD292,(AD292/'Master Data-C19RM'!$E$2)))),(AI292*(IF(O292="EUR",AD292,(AD292*'Master Data-C19RM'!$E$2)))))</f>
        <v>0</v>
      </c>
      <c r="AK292" s="445">
        <f>IF($O292="USD",_xlfn.IFNA(VLOOKUP($A292&amp;$E292&amp;$I292,PMsheet!$J:$K,2,0),0),(_xlfn.IFNA(VLOOKUP($A292&amp;$E292&amp;$I292,PMsheet!$J:$K,2,0),0)*'Master Data-C19RM'!$F$2))</f>
        <v>0</v>
      </c>
      <c r="AL292" s="440"/>
      <c r="AM292" s="440"/>
      <c r="AN292" s="440"/>
      <c r="AO292" s="440"/>
      <c r="AP292" s="514">
        <f t="shared" si="37"/>
        <v>0</v>
      </c>
      <c r="AQ292" s="515">
        <f>IF(SETUP!$E$7="USD",(AP292*(IF(O292="USD",AK292,(AK292/'Master Data-C19RM'!$F$2)))),(AP292*(IF(O292="EUR",AK292,(AK292*'Master Data-C19RM'!$F$2)))))</f>
        <v>0</v>
      </c>
      <c r="AR292" s="457">
        <f>IF($O292="USD",_xlfn.IFNA(VLOOKUP($A292&amp;$E292&amp;$I292,PMsheet!$J:$K,2,0),0),(_xlfn.IFNA(VLOOKUP($A292&amp;$E292&amp;$I292,PMsheet!$J:$K,2,0),0)*'Master Data-C19RM'!$G$2))</f>
        <v>0</v>
      </c>
      <c r="AS292" s="926"/>
      <c r="AT292" s="926"/>
      <c r="AU292" s="926"/>
      <c r="AV292" s="926"/>
      <c r="AW292" s="514">
        <f t="shared" si="38"/>
        <v>0</v>
      </c>
      <c r="AX292" s="515">
        <f>IF(SETUP!$E$7="USD",(AW292*(IF(O292="USD",AR292,(AR292/'Master Data-C19RM'!$G$2)))),(AW292*(IF(O292="EUR",AR292,(AR292*'Master Data-C19RM'!$G$2)))))</f>
        <v>0</v>
      </c>
      <c r="AY292" s="845"/>
      <c r="AZ292" s="846"/>
      <c r="BA292" s="846"/>
      <c r="BB292" s="846"/>
      <c r="BC292" s="846"/>
      <c r="BD292" s="846"/>
      <c r="BE292" s="847"/>
      <c r="BF292" s="514">
        <f>'C19RM 2021-Lab &amp; Other HPS'!$U292+'C19RM 2021-Lab &amp; Other HPS'!$AB292+'C19RM 2021-Lab &amp; Other HPS'!$AP292+'C19RM 2021-Lab &amp; Other HPS'!$AI292+AW292+BD292</f>
        <v>0</v>
      </c>
      <c r="BG292" s="514">
        <f>'C19RM 2021-Lab &amp; Other HPS'!$V292+'C19RM 2021-Lab &amp; Other HPS'!$AC292+'C19RM 2021-Lab &amp; Other HPS'!$AQ292+'C19RM 2021-Lab &amp; Other HPS'!$AJ292+AX292+BE292</f>
        <v>0</v>
      </c>
      <c r="BH292" s="522" t="str" cm="1">
        <f t="array" ref="BH292">IF(A292&lt;&gt;"",IFERROR(INDEX(PMtbl[[WKst]:[Unit of measure*]],MATCH($A$222&amp;$A292&amp;$E292&amp;$I292,INDEX(PMtbl[Sec]&amp;PMtbl[Category]&amp;PMtbl[Each]&amp;PMtbl[Packaging],0,),0),11),""),"")</f>
        <v/>
      </c>
      <c r="BI292" s="818"/>
      <c r="BJ292" s="503" t="str" cm="1">
        <f t="array" ref="BJ292">IFERROR(INDEX(SETUP!$C$19:$G$121,MATCH((INDEX(PMtbl[[WKst]:[Unit of measure*]],MATCH($A292&amp;$E292&amp;$I292,INDEX(PMtbl[Category]&amp;PMtbl[Each]&amp;PMtbl[Packaging],0,),0),3)),SETUP!$D$19:$D$121,0),5),"")</f>
        <v/>
      </c>
      <c r="BK292" s="543"/>
      <c r="BL292" s="215"/>
      <c r="BO292" s="12">
        <f>IF(N292="",0,IF(SETUP!$E$7="USD",((IF(O292="USD",P292,(P292/'Master Data-C19RM'!$C$2)))),((IF(O292="EUR",P292,(P292*'Master Data-C19RM'!$C$2))))))</f>
        <v>0</v>
      </c>
      <c r="BP292" s="12">
        <f>IF(N292="",0,IF(SETUP!$E$7="USD",((IF(O292="USD",W292,(W292/'Master Data-C19RM'!$D$2)))),((IF(O292="EUR",W292,(W292*'Master Data-C19RM'!$D$2))))))</f>
        <v>0</v>
      </c>
      <c r="BQ292">
        <f>IF(N292="",0,IF(SETUP!$E$7="USD",((IF(O292="USD",AD292,(AD292/'Master Data-C19RM'!$E$2)))),((IF(O292="EUR",AD292,(AD292*'Master Data-C19RM'!$E$2))))))</f>
        <v>0</v>
      </c>
      <c r="BR292">
        <f>IF(N292="",0,IF(SETUP!$E$7="USD",((IF(O292="USD",AK292,(AK292/'Master Data-C19RM'!$F$2)))),((IF(O292="EUR",AK292,(AK292*'Master Data-C19RM'!$F$2))))))</f>
        <v>0</v>
      </c>
      <c r="BS292">
        <f>IF(N292="",0,IF(SETUP!$E$7="USD",((IF(O292="USD",AR292,(AR292/'Master Data-C19RM'!$G$2)))),((IF(O292="EUR",AR292,(AR292*'Master Data-C19RM'!$G$2))))))</f>
        <v>0</v>
      </c>
      <c r="BT292">
        <f>IF(N292="",0,IF(SETUP!$E$7="USD",((IF(O292="USD",AY292,(AY292/'Master Data-C19RM'!$H$2)))),((IF(O292="EUR",AY292,(AY292*'Master Data-C19RM'!$H$2))))))</f>
        <v>0</v>
      </c>
      <c r="BU292" s="12">
        <f t="shared" si="39"/>
        <v>0</v>
      </c>
      <c r="BV292" s="142">
        <f t="shared" si="40"/>
        <v>0</v>
      </c>
    </row>
    <row r="293" spans="1:74" x14ac:dyDescent="0.35">
      <c r="A293" s="1165"/>
      <c r="B293" s="1165"/>
      <c r="C293" s="1165"/>
      <c r="D293" s="1165"/>
      <c r="E293" s="1166"/>
      <c r="F293" s="1166"/>
      <c r="G293" s="1166"/>
      <c r="H293" s="1166"/>
      <c r="I293" s="1166"/>
      <c r="J293" s="1166"/>
      <c r="K293" s="1166"/>
      <c r="L293" s="490" t="str" cm="1">
        <f t="array" ref="L293">IF(A293&lt;&gt;"",IFERROR(INDEX(PMtbl[[WKst]:[Unit of measure*]],MATCH($A$222&amp;$A293&amp;$E293&amp;$I293,INDEX(PMtbl[Sec]&amp;PMtbl[Category]&amp;PMtbl[Each]&amp;PMtbl[Packaging],0,),0),14),""),"")</f>
        <v/>
      </c>
      <c r="M293" s="479" t="str">
        <f>IF(L293="","",INDEX(SETUP!$E$20:$E$122,(MATCH(INDEX(PMsheet!$D:$E,MATCH(A293,PMsheet!E:E,0),1),SETUP!$D$20:$D$122,0))))</f>
        <v/>
      </c>
      <c r="N293" s="491">
        <f>IF($O293="USD",_xlfn.IFNA(VLOOKUP(A293&amp;E293&amp;I293,PMsheet!J:K,2,0),0),(_xlfn.IFNA(VLOOKUP(A293&amp;E293&amp;I293,PMsheet!J:K,2,0),0)*'Master Data-C19RM'!$C$2))</f>
        <v>0</v>
      </c>
      <c r="O293" s="492" t="str">
        <f>IF(L293="", "",SETUP!$E$7)</f>
        <v/>
      </c>
      <c r="P293" s="444">
        <f>IF($O293="USD",_xlfn.IFNA(VLOOKUP($A293&amp;$E293&amp;$I293,PMsheet!$J:$K,2,0),0),(_xlfn.IFNA(VLOOKUP($A293&amp;$E293&amp;$I293,PMsheet!$J:$K,2,0),0)*'Master Data-C19RM'!$C$2))</f>
        <v>0</v>
      </c>
      <c r="Q293" s="441"/>
      <c r="R293" s="441"/>
      <c r="S293" s="441"/>
      <c r="T293" s="441"/>
      <c r="U293" s="481">
        <f t="shared" si="34"/>
        <v>0</v>
      </c>
      <c r="V293" s="483">
        <f>IF(SETUP!$E$7="USD",(U293*(IF(O293="USD",P293,(P293/'Master Data-C19RM'!$C$2)))),(U293*(IF(O293="EUR",P293,(P293*'Master Data-C19RM'!$C$2)))))</f>
        <v>0</v>
      </c>
      <c r="W293" s="444">
        <f>IF($O293="USD",_xlfn.IFNA(VLOOKUP($A293&amp;$E293&amp;$I293,PMsheet!$J:$K,2,0),0),(_xlfn.IFNA(VLOOKUP($A293&amp;$E293&amp;$I293,PMsheet!$J:$K,2,0),0)*'Master Data-C19RM'!$D$2))</f>
        <v>0</v>
      </c>
      <c r="X293" s="441"/>
      <c r="Y293" s="441"/>
      <c r="Z293" s="441"/>
      <c r="AA293" s="441"/>
      <c r="AB293" s="481">
        <f t="shared" si="35"/>
        <v>0</v>
      </c>
      <c r="AC293" s="483">
        <f>IF(SETUP!$E$7="USD",(AB293*(IF(O293="USD",W293,(W293/'Master Data-C19RM'!$D$2)))),(AB293*(IF(O293="EUR",W293,(W293*'Master Data-C19RM'!$D$2)))))</f>
        <v>0</v>
      </c>
      <c r="AD293" s="444">
        <f>IF($O293="USD",_xlfn.IFNA(VLOOKUP($A293&amp;$E293&amp;$I293,PMsheet!$J:$K,2,0),0),(_xlfn.IFNA(VLOOKUP($A293&amp;$E293&amp;$I293,PMsheet!$J:$K,2,0),0)*'Master Data-C19RM'!$E$2))</f>
        <v>0</v>
      </c>
      <c r="AE293" s="441"/>
      <c r="AF293" s="441"/>
      <c r="AG293" s="441"/>
      <c r="AH293" s="441"/>
      <c r="AI293" s="512">
        <f t="shared" si="36"/>
        <v>0</v>
      </c>
      <c r="AJ293" s="513">
        <f>IF(SETUP!$E$7="USD",(AI293*(IF(O293="USD",AD293,(AD293/'Master Data-C19RM'!$E$2)))),(AI293*(IF(O293="EUR",AD293,(AD293*'Master Data-C19RM'!$E$2)))))</f>
        <v>0</v>
      </c>
      <c r="AK293" s="444">
        <f>IF($O293="USD",_xlfn.IFNA(VLOOKUP($A293&amp;$E293&amp;$I293,PMsheet!$J:$K,2,0),0),(_xlfn.IFNA(VLOOKUP($A293&amp;$E293&amp;$I293,PMsheet!$J:$K,2,0),0)*'Master Data-C19RM'!$F$2))</f>
        <v>0</v>
      </c>
      <c r="AL293" s="441"/>
      <c r="AM293" s="441"/>
      <c r="AN293" s="441"/>
      <c r="AO293" s="441"/>
      <c r="AP293" s="512">
        <f t="shared" si="37"/>
        <v>0</v>
      </c>
      <c r="AQ293" s="513">
        <f>IF(SETUP!$E$7="USD",(AP293*(IF(O293="USD",AK293,(AK293/'Master Data-C19RM'!$F$2)))),(AP293*(IF(O293="EUR",AK293,(AK293*'Master Data-C19RM'!$F$2)))))</f>
        <v>0</v>
      </c>
      <c r="AR293" s="456">
        <f>IF($O293="USD",_xlfn.IFNA(VLOOKUP($A293&amp;$E293&amp;$I293,PMsheet!$J:$K,2,0),0),(_xlfn.IFNA(VLOOKUP($A293&amp;$E293&amp;$I293,PMsheet!$J:$K,2,0),0)*'Master Data-C19RM'!$G$2))</f>
        <v>0</v>
      </c>
      <c r="AS293" s="572"/>
      <c r="AT293" s="572"/>
      <c r="AU293" s="572"/>
      <c r="AV293" s="572"/>
      <c r="AW293" s="512">
        <f t="shared" ref="AW293:AW327" si="41">SUM($AS293:$AV293)</f>
        <v>0</v>
      </c>
      <c r="AX293" s="513">
        <f>IF(SETUP!$E$7="USD",(AW293*(IF(O293="USD",AR293,(AR293/'Master Data-C19RM'!$G$2)))),(AW293*(IF(O293="EUR",AR293,(AR293*'Master Data-C19RM'!$G$2)))))</f>
        <v>0</v>
      </c>
      <c r="AY293" s="845"/>
      <c r="AZ293" s="846"/>
      <c r="BA293" s="846"/>
      <c r="BB293" s="846"/>
      <c r="BC293" s="846"/>
      <c r="BD293" s="846"/>
      <c r="BE293" s="847"/>
      <c r="BF293" s="512">
        <f>'C19RM 2021-Lab &amp; Other HPS'!$U293+'C19RM 2021-Lab &amp; Other HPS'!$AB293+'C19RM 2021-Lab &amp; Other HPS'!$AP293+'C19RM 2021-Lab &amp; Other HPS'!$AI293+AW293+BD293</f>
        <v>0</v>
      </c>
      <c r="BG293" s="512">
        <f>'C19RM 2021-Lab &amp; Other HPS'!$V293+'C19RM 2021-Lab &amp; Other HPS'!$AC293+'C19RM 2021-Lab &amp; Other HPS'!$AQ293+'C19RM 2021-Lab &amp; Other HPS'!$AJ293+AX293+BE293</f>
        <v>0</v>
      </c>
      <c r="BH293" s="500" t="str" cm="1">
        <f t="array" ref="BH293">IF(A293&lt;&gt;"",IFERROR(INDEX(PMtbl[[WKst]:[Unit of measure*]],MATCH($A$222&amp;$A293&amp;$E293&amp;$I293,INDEX(PMtbl[Sec]&amp;PMtbl[Category]&amp;PMtbl[Each]&amp;PMtbl[Packaging],0,),0),11),""),"")</f>
        <v/>
      </c>
      <c r="BI293" s="819"/>
      <c r="BJ293" s="502" t="str" cm="1">
        <f t="array" ref="BJ293">IFERROR(INDEX(SETUP!$C$19:$G$121,MATCH((INDEX(PMtbl[[WKst]:[Unit of measure*]],MATCH($A293&amp;$E293&amp;$I293,INDEX(PMtbl[Category]&amp;PMtbl[Each]&amp;PMtbl[Packaging],0,),0),3)),SETUP!$D$19:$D$121,0),5),"")</f>
        <v/>
      </c>
      <c r="BK293" s="542"/>
      <c r="BL293" s="214"/>
      <c r="BO293" s="12">
        <f>IF(N293="",0,IF(SETUP!$E$7="USD",((IF(O293="USD",P293,(P293/'Master Data-C19RM'!$C$2)))),((IF(O293="EUR",P293,(P293*'Master Data-C19RM'!$C$2))))))</f>
        <v>0</v>
      </c>
      <c r="BP293" s="12">
        <f>IF(N293="",0,IF(SETUP!$E$7="USD",((IF(O293="USD",W293,(W293/'Master Data-C19RM'!$D$2)))),((IF(O293="EUR",W293,(W293*'Master Data-C19RM'!$D$2))))))</f>
        <v>0</v>
      </c>
      <c r="BQ293">
        <f>IF(N293="",0,IF(SETUP!$E$7="USD",((IF(O293="USD",AD293,(AD293/'Master Data-C19RM'!$E$2)))),((IF(O293="EUR",AD293,(AD293*'Master Data-C19RM'!$E$2))))))</f>
        <v>0</v>
      </c>
      <c r="BR293">
        <f>IF(N293="",0,IF(SETUP!$E$7="USD",((IF(O293="USD",AK293,(AK293/'Master Data-C19RM'!$F$2)))),((IF(O293="EUR",AK293,(AK293*'Master Data-C19RM'!$F$2))))))</f>
        <v>0</v>
      </c>
      <c r="BS293">
        <f>IF(N293="",0,IF(SETUP!$E$7="USD",((IF(O293="USD",AR293,(AR293/'Master Data-C19RM'!$G$2)))),((IF(O293="EUR",AR293,(AR293*'Master Data-C19RM'!$G$2))))))</f>
        <v>0</v>
      </c>
      <c r="BT293">
        <f>IF(N293="",0,IF(SETUP!$E$7="USD",((IF(O293="USD",AY293,(AY293/'Master Data-C19RM'!$H$2)))),((IF(O293="EUR",AY293,(AY293*'Master Data-C19RM'!$H$2))))))</f>
        <v>0</v>
      </c>
      <c r="BU293" s="12">
        <f t="shared" si="39"/>
        <v>0</v>
      </c>
      <c r="BV293" s="142">
        <f t="shared" si="40"/>
        <v>0</v>
      </c>
    </row>
    <row r="294" spans="1:74" x14ac:dyDescent="0.35">
      <c r="A294" s="1172"/>
      <c r="B294" s="1172"/>
      <c r="C294" s="1172"/>
      <c r="D294" s="1172"/>
      <c r="E294" s="1173"/>
      <c r="F294" s="1173"/>
      <c r="G294" s="1173"/>
      <c r="H294" s="1173"/>
      <c r="I294" s="1173"/>
      <c r="J294" s="1173"/>
      <c r="K294" s="1173"/>
      <c r="L294" s="493" t="str" cm="1">
        <f t="array" ref="L294">IF(A294&lt;&gt;"",IFERROR(INDEX(PMtbl[[WKst]:[Unit of measure*]],MATCH($A$222&amp;$A294&amp;$E294&amp;$I294,INDEX(PMtbl[Sec]&amp;PMtbl[Category]&amp;PMtbl[Each]&amp;PMtbl[Packaging],0,),0),14),""),"")</f>
        <v/>
      </c>
      <c r="M294" s="480" t="str">
        <f>IF(L294="","",INDEX(SETUP!$E$20:$E$122,(MATCH(INDEX(PMsheet!$D:$E,MATCH(A294,PMsheet!E:E,0),1),SETUP!$D$20:$D$122,0))))</f>
        <v/>
      </c>
      <c r="N294" s="494">
        <f>IF($O294="USD",_xlfn.IFNA(VLOOKUP(A294&amp;E294&amp;I294,PMsheet!J:K,2,0),0),(_xlfn.IFNA(VLOOKUP(A294&amp;E294&amp;I294,PMsheet!J:K,2,0),0)*'Master Data-C19RM'!$C$2))</f>
        <v>0</v>
      </c>
      <c r="O294" s="495" t="str">
        <f>IF(L294="", "",SETUP!$E$7)</f>
        <v/>
      </c>
      <c r="P294" s="445">
        <f>IF($O294="USD",_xlfn.IFNA(VLOOKUP($A294&amp;$E294&amp;$I294,PMsheet!$J:$K,2,0),0),(_xlfn.IFNA(VLOOKUP($A294&amp;$E294&amp;$I294,PMsheet!$J:$K,2,0),0)*'Master Data-C19RM'!$C$2))</f>
        <v>0</v>
      </c>
      <c r="Q294" s="440"/>
      <c r="R294" s="440"/>
      <c r="S294" s="440"/>
      <c r="T294" s="440"/>
      <c r="U294" s="482">
        <f t="shared" si="34"/>
        <v>0</v>
      </c>
      <c r="V294" s="484">
        <f>IF(SETUP!$E$7="USD",(U294*(IF(O294="USD",P294,(P294/'Master Data-C19RM'!$C$2)))),(U294*(IF(O294="EUR",P294,(P294*'Master Data-C19RM'!$C$2)))))</f>
        <v>0</v>
      </c>
      <c r="W294" s="445">
        <f>IF($O294="USD",_xlfn.IFNA(VLOOKUP($A294&amp;$E294&amp;$I294,PMsheet!$J:$K,2,0),0),(_xlfn.IFNA(VLOOKUP($A294&amp;$E294&amp;$I294,PMsheet!$J:$K,2,0),0)*'Master Data-C19RM'!$D$2))</f>
        <v>0</v>
      </c>
      <c r="X294" s="440"/>
      <c r="Y294" s="440"/>
      <c r="Z294" s="440"/>
      <c r="AA294" s="440"/>
      <c r="AB294" s="482">
        <f t="shared" si="35"/>
        <v>0</v>
      </c>
      <c r="AC294" s="484">
        <f>IF(SETUP!$E$7="USD",(AB294*(IF(O294="USD",W294,(W294/'Master Data-C19RM'!$D$2)))),(AB294*(IF(O294="EUR",W294,(W294*'Master Data-C19RM'!$D$2)))))</f>
        <v>0</v>
      </c>
      <c r="AD294" s="445">
        <f>IF($O294="USD",_xlfn.IFNA(VLOOKUP($A294&amp;$E294&amp;$I294,PMsheet!$J:$K,2,0),0),(_xlfn.IFNA(VLOOKUP($A294&amp;$E294&amp;$I294,PMsheet!$J:$K,2,0),0)*'Master Data-C19RM'!$E$2))</f>
        <v>0</v>
      </c>
      <c r="AE294" s="440"/>
      <c r="AF294" s="440"/>
      <c r="AG294" s="440"/>
      <c r="AH294" s="440"/>
      <c r="AI294" s="514">
        <f t="shared" si="36"/>
        <v>0</v>
      </c>
      <c r="AJ294" s="515">
        <f>IF(SETUP!$E$7="USD",(AI294*(IF(O294="USD",AD294,(AD294/'Master Data-C19RM'!$E$2)))),(AI294*(IF(O294="EUR",AD294,(AD294*'Master Data-C19RM'!$E$2)))))</f>
        <v>0</v>
      </c>
      <c r="AK294" s="445">
        <f>IF($O294="USD",_xlfn.IFNA(VLOOKUP($A294&amp;$E294&amp;$I294,PMsheet!$J:$K,2,0),0),(_xlfn.IFNA(VLOOKUP($A294&amp;$E294&amp;$I294,PMsheet!$J:$K,2,0),0)*'Master Data-C19RM'!$F$2))</f>
        <v>0</v>
      </c>
      <c r="AL294" s="440"/>
      <c r="AM294" s="440"/>
      <c r="AN294" s="440"/>
      <c r="AO294" s="440"/>
      <c r="AP294" s="514">
        <f t="shared" si="37"/>
        <v>0</v>
      </c>
      <c r="AQ294" s="515">
        <f>IF(SETUP!$E$7="USD",(AP294*(IF(O294="USD",AK294,(AK294/'Master Data-C19RM'!$F$2)))),(AP294*(IF(O294="EUR",AK294,(AK294*'Master Data-C19RM'!$F$2)))))</f>
        <v>0</v>
      </c>
      <c r="AR294" s="457">
        <f>IF($O294="USD",_xlfn.IFNA(VLOOKUP($A294&amp;$E294&amp;$I294,PMsheet!$J:$K,2,0),0),(_xlfn.IFNA(VLOOKUP($A294&amp;$E294&amp;$I294,PMsheet!$J:$K,2,0),0)*'Master Data-C19RM'!$G$2))</f>
        <v>0</v>
      </c>
      <c r="AS294" s="926"/>
      <c r="AT294" s="926"/>
      <c r="AU294" s="926"/>
      <c r="AV294" s="926"/>
      <c r="AW294" s="514">
        <f t="shared" si="41"/>
        <v>0</v>
      </c>
      <c r="AX294" s="515">
        <f>IF(SETUP!$E$7="USD",(AW294*(IF(O294="USD",AR294,(AR294/'Master Data-C19RM'!$G$2)))),(AW294*(IF(O294="EUR",AR294,(AR294*'Master Data-C19RM'!$G$2)))))</f>
        <v>0</v>
      </c>
      <c r="AY294" s="845"/>
      <c r="AZ294" s="846"/>
      <c r="BA294" s="846"/>
      <c r="BB294" s="846"/>
      <c r="BC294" s="846"/>
      <c r="BD294" s="846"/>
      <c r="BE294" s="847"/>
      <c r="BF294" s="514">
        <f>'C19RM 2021-Lab &amp; Other HPS'!$U294+'C19RM 2021-Lab &amp; Other HPS'!$AB294+'C19RM 2021-Lab &amp; Other HPS'!$AP294+'C19RM 2021-Lab &amp; Other HPS'!$AI294+AW294+BD294</f>
        <v>0</v>
      </c>
      <c r="BG294" s="514">
        <f>'C19RM 2021-Lab &amp; Other HPS'!$V294+'C19RM 2021-Lab &amp; Other HPS'!$AC294+'C19RM 2021-Lab &amp; Other HPS'!$AQ294+'C19RM 2021-Lab &amp; Other HPS'!$AJ294+AX294+BE294</f>
        <v>0</v>
      </c>
      <c r="BH294" s="522" t="str" cm="1">
        <f t="array" ref="BH294">IF(A294&lt;&gt;"",IFERROR(INDEX(PMtbl[[WKst]:[Unit of measure*]],MATCH($A$222&amp;$A294&amp;$E294&amp;$I294,INDEX(PMtbl[Sec]&amp;PMtbl[Category]&amp;PMtbl[Each]&amp;PMtbl[Packaging],0,),0),11),""),"")</f>
        <v/>
      </c>
      <c r="BI294" s="818"/>
      <c r="BJ294" s="503" t="str" cm="1">
        <f t="array" ref="BJ294">IFERROR(INDEX(SETUP!$C$19:$G$121,MATCH((INDEX(PMtbl[[WKst]:[Unit of measure*]],MATCH($A294&amp;$E294&amp;$I294,INDEX(PMtbl[Category]&amp;PMtbl[Each]&amp;PMtbl[Packaging],0,),0),3)),SETUP!$D$19:$D$121,0),5),"")</f>
        <v/>
      </c>
      <c r="BK294" s="543"/>
      <c r="BL294" s="215"/>
      <c r="BO294" s="12">
        <f>IF(N294="",0,IF(SETUP!$E$7="USD",((IF(O294="USD",P294,(P294/'Master Data-C19RM'!$C$2)))),((IF(O294="EUR",P294,(P294*'Master Data-C19RM'!$C$2))))))</f>
        <v>0</v>
      </c>
      <c r="BP294" s="12">
        <f>IF(N294="",0,IF(SETUP!$E$7="USD",((IF(O294="USD",W294,(W294/'Master Data-C19RM'!$D$2)))),((IF(O294="EUR",W294,(W294*'Master Data-C19RM'!$D$2))))))</f>
        <v>0</v>
      </c>
      <c r="BQ294">
        <f>IF(N294="",0,IF(SETUP!$E$7="USD",((IF(O294="USD",AD294,(AD294/'Master Data-C19RM'!$E$2)))),((IF(O294="EUR",AD294,(AD294*'Master Data-C19RM'!$E$2))))))</f>
        <v>0</v>
      </c>
      <c r="BR294">
        <f>IF(N294="",0,IF(SETUP!$E$7="USD",((IF(O294="USD",AK294,(AK294/'Master Data-C19RM'!$F$2)))),((IF(O294="EUR",AK294,(AK294*'Master Data-C19RM'!$F$2))))))</f>
        <v>0</v>
      </c>
      <c r="BS294">
        <f>IF(N294="",0,IF(SETUP!$E$7="USD",((IF(O294="USD",AR294,(AR294/'Master Data-C19RM'!$G$2)))),((IF(O294="EUR",AR294,(AR294*'Master Data-C19RM'!$G$2))))))</f>
        <v>0</v>
      </c>
      <c r="BT294">
        <f>IF(N294="",0,IF(SETUP!$E$7="USD",((IF(O294="USD",AY294,(AY294/'Master Data-C19RM'!$H$2)))),((IF(O294="EUR",AY294,(AY294*'Master Data-C19RM'!$H$2))))))</f>
        <v>0</v>
      </c>
      <c r="BU294" s="12">
        <f t="shared" si="39"/>
        <v>0</v>
      </c>
      <c r="BV294" s="142">
        <f t="shared" si="40"/>
        <v>0</v>
      </c>
    </row>
    <row r="295" spans="1:74" x14ac:dyDescent="0.35">
      <c r="A295" s="1165"/>
      <c r="B295" s="1165"/>
      <c r="C295" s="1165"/>
      <c r="D295" s="1165"/>
      <c r="E295" s="1166"/>
      <c r="F295" s="1166"/>
      <c r="G295" s="1166"/>
      <c r="H295" s="1166"/>
      <c r="I295" s="1166"/>
      <c r="J295" s="1166"/>
      <c r="K295" s="1166"/>
      <c r="L295" s="490" t="str" cm="1">
        <f t="array" ref="L295">IF(A295&lt;&gt;"",IFERROR(INDEX(PMtbl[[WKst]:[Unit of measure*]],MATCH($A$222&amp;$A295&amp;$E295&amp;$I295,INDEX(PMtbl[Sec]&amp;PMtbl[Category]&amp;PMtbl[Each]&amp;PMtbl[Packaging],0,),0),14),""),"")</f>
        <v/>
      </c>
      <c r="M295" s="479" t="str">
        <f>IF(L295="","",INDEX(SETUP!$E$20:$E$122,(MATCH(INDEX(PMsheet!$D:$E,MATCH(A295,PMsheet!E:E,0),1),SETUP!$D$20:$D$122,0))))</f>
        <v/>
      </c>
      <c r="N295" s="491">
        <f>IF($O295="USD",_xlfn.IFNA(VLOOKUP(A295&amp;E295&amp;I295,PMsheet!J:K,2,0),0),(_xlfn.IFNA(VLOOKUP(A295&amp;E295&amp;I295,PMsheet!J:K,2,0),0)*'Master Data-C19RM'!$C$2))</f>
        <v>0</v>
      </c>
      <c r="O295" s="492" t="str">
        <f>IF(L295="", "",SETUP!$E$7)</f>
        <v/>
      </c>
      <c r="P295" s="444">
        <f>IF($O295="USD",_xlfn.IFNA(VLOOKUP($A295&amp;$E295&amp;$I295,PMsheet!$J:$K,2,0),0),(_xlfn.IFNA(VLOOKUP($A295&amp;$E295&amp;$I295,PMsheet!$J:$K,2,0),0)*'Master Data-C19RM'!$C$2))</f>
        <v>0</v>
      </c>
      <c r="Q295" s="441"/>
      <c r="R295" s="441"/>
      <c r="S295" s="441"/>
      <c r="T295" s="441"/>
      <c r="U295" s="481">
        <f t="shared" si="34"/>
        <v>0</v>
      </c>
      <c r="V295" s="483">
        <f>IF(SETUP!$E$7="USD",(U295*(IF(O295="USD",P295,(P295/'Master Data-C19RM'!$C$2)))),(U295*(IF(O295="EUR",P295,(P295*'Master Data-C19RM'!$C$2)))))</f>
        <v>0</v>
      </c>
      <c r="W295" s="444">
        <f>IF($O295="USD",_xlfn.IFNA(VLOOKUP($A295&amp;$E295&amp;$I295,PMsheet!$J:$K,2,0),0),(_xlfn.IFNA(VLOOKUP($A295&amp;$E295&amp;$I295,PMsheet!$J:$K,2,0),0)*'Master Data-C19RM'!$D$2))</f>
        <v>0</v>
      </c>
      <c r="X295" s="441"/>
      <c r="Y295" s="441"/>
      <c r="Z295" s="441"/>
      <c r="AA295" s="441"/>
      <c r="AB295" s="481">
        <f t="shared" si="35"/>
        <v>0</v>
      </c>
      <c r="AC295" s="483">
        <f>IF(SETUP!$E$7="USD",(AB295*(IF(O295="USD",W295,(W295/'Master Data-C19RM'!$D$2)))),(AB295*(IF(O295="EUR",W295,(W295*'Master Data-C19RM'!$D$2)))))</f>
        <v>0</v>
      </c>
      <c r="AD295" s="444">
        <f>IF($O295="USD",_xlfn.IFNA(VLOOKUP($A295&amp;$E295&amp;$I295,PMsheet!$J:$K,2,0),0),(_xlfn.IFNA(VLOOKUP($A295&amp;$E295&amp;$I295,PMsheet!$J:$K,2,0),0)*'Master Data-C19RM'!$E$2))</f>
        <v>0</v>
      </c>
      <c r="AE295" s="441"/>
      <c r="AF295" s="441"/>
      <c r="AG295" s="441"/>
      <c r="AH295" s="441"/>
      <c r="AI295" s="512">
        <f t="shared" si="36"/>
        <v>0</v>
      </c>
      <c r="AJ295" s="513">
        <f>IF(SETUP!$E$7="USD",(AI295*(IF(O295="USD",AD295,(AD295/'Master Data-C19RM'!$E$2)))),(AI295*(IF(O295="EUR",AD295,(AD295*'Master Data-C19RM'!$E$2)))))</f>
        <v>0</v>
      </c>
      <c r="AK295" s="444">
        <f>IF($O295="USD",_xlfn.IFNA(VLOOKUP($A295&amp;$E295&amp;$I295,PMsheet!$J:$K,2,0),0),(_xlfn.IFNA(VLOOKUP($A295&amp;$E295&amp;$I295,PMsheet!$J:$K,2,0),0)*'Master Data-C19RM'!$F$2))</f>
        <v>0</v>
      </c>
      <c r="AL295" s="441"/>
      <c r="AM295" s="441"/>
      <c r="AN295" s="441"/>
      <c r="AO295" s="441"/>
      <c r="AP295" s="512">
        <f t="shared" si="37"/>
        <v>0</v>
      </c>
      <c r="AQ295" s="513">
        <f>IF(SETUP!$E$7="USD",(AP295*(IF(O295="USD",AK295,(AK295/'Master Data-C19RM'!$F$2)))),(AP295*(IF(O295="EUR",AK295,(AK295*'Master Data-C19RM'!$F$2)))))</f>
        <v>0</v>
      </c>
      <c r="AR295" s="456">
        <f>IF($O295="USD",_xlfn.IFNA(VLOOKUP($A295&amp;$E295&amp;$I295,PMsheet!$J:$K,2,0),0),(_xlfn.IFNA(VLOOKUP($A295&amp;$E295&amp;$I295,PMsheet!$J:$K,2,0),0)*'Master Data-C19RM'!$G$2))</f>
        <v>0</v>
      </c>
      <c r="AS295" s="572"/>
      <c r="AT295" s="572"/>
      <c r="AU295" s="572"/>
      <c r="AV295" s="572"/>
      <c r="AW295" s="512">
        <f t="shared" si="41"/>
        <v>0</v>
      </c>
      <c r="AX295" s="513">
        <f>IF(SETUP!$E$7="USD",(AW295*(IF(O295="USD",AR295,(AR295/'Master Data-C19RM'!$G$2)))),(AW295*(IF(O295="EUR",AR295,(AR295*'Master Data-C19RM'!$G$2)))))</f>
        <v>0</v>
      </c>
      <c r="AY295" s="845"/>
      <c r="AZ295" s="846"/>
      <c r="BA295" s="846"/>
      <c r="BB295" s="846"/>
      <c r="BC295" s="846"/>
      <c r="BD295" s="846"/>
      <c r="BE295" s="847"/>
      <c r="BF295" s="512">
        <f>'C19RM 2021-Lab &amp; Other HPS'!$U295+'C19RM 2021-Lab &amp; Other HPS'!$AB295+'C19RM 2021-Lab &amp; Other HPS'!$AP295+'C19RM 2021-Lab &amp; Other HPS'!$AI295+AW295+BD295</f>
        <v>0</v>
      </c>
      <c r="BG295" s="512">
        <f>'C19RM 2021-Lab &amp; Other HPS'!$V295+'C19RM 2021-Lab &amp; Other HPS'!$AC295+'C19RM 2021-Lab &amp; Other HPS'!$AQ295+'C19RM 2021-Lab &amp; Other HPS'!$AJ295+AX295+BE295</f>
        <v>0</v>
      </c>
      <c r="BH295" s="500" t="str" cm="1">
        <f t="array" ref="BH295">IF(A295&lt;&gt;"",IFERROR(INDEX(PMtbl[[WKst]:[Unit of measure*]],MATCH($A$222&amp;$A295&amp;$E295&amp;$I295,INDEX(PMtbl[Sec]&amp;PMtbl[Category]&amp;PMtbl[Each]&amp;PMtbl[Packaging],0,),0),11),""),"")</f>
        <v/>
      </c>
      <c r="BI295" s="819"/>
      <c r="BJ295" s="502" t="str" cm="1">
        <f t="array" ref="BJ295">IFERROR(INDEX(SETUP!$C$19:$G$121,MATCH((INDEX(PMtbl[[WKst]:[Unit of measure*]],MATCH($A295&amp;$E295&amp;$I295,INDEX(PMtbl[Category]&amp;PMtbl[Each]&amp;PMtbl[Packaging],0,),0),3)),SETUP!$D$19:$D$121,0),5),"")</f>
        <v/>
      </c>
      <c r="BK295" s="542"/>
      <c r="BL295" s="214"/>
      <c r="BO295" s="12">
        <f>IF(N295="",0,IF(SETUP!$E$7="USD",((IF(O295="USD",P295,(P295/'Master Data-C19RM'!$C$2)))),((IF(O295="EUR",P295,(P295*'Master Data-C19RM'!$C$2))))))</f>
        <v>0</v>
      </c>
      <c r="BP295" s="12">
        <f>IF(N295="",0,IF(SETUP!$E$7="USD",((IF(O295="USD",W295,(W295/'Master Data-C19RM'!$D$2)))),((IF(O295="EUR",W295,(W295*'Master Data-C19RM'!$D$2))))))</f>
        <v>0</v>
      </c>
      <c r="BQ295">
        <f>IF(N295="",0,IF(SETUP!$E$7="USD",((IF(O295="USD",AD295,(AD295/'Master Data-C19RM'!$E$2)))),((IF(O295="EUR",AD295,(AD295*'Master Data-C19RM'!$E$2))))))</f>
        <v>0</v>
      </c>
      <c r="BR295">
        <f>IF(N295="",0,IF(SETUP!$E$7="USD",((IF(O295="USD",AK295,(AK295/'Master Data-C19RM'!$F$2)))),((IF(O295="EUR",AK295,(AK295*'Master Data-C19RM'!$F$2))))))</f>
        <v>0</v>
      </c>
      <c r="BS295">
        <f>IF(N295="",0,IF(SETUP!$E$7="USD",((IF(O295="USD",AR295,(AR295/'Master Data-C19RM'!$G$2)))),((IF(O295="EUR",AR295,(AR295*'Master Data-C19RM'!$G$2))))))</f>
        <v>0</v>
      </c>
      <c r="BT295">
        <f>IF(N295="",0,IF(SETUP!$E$7="USD",((IF(O295="USD",AY295,(AY295/'Master Data-C19RM'!$H$2)))),((IF(O295="EUR",AY295,(AY295*'Master Data-C19RM'!$H$2))))))</f>
        <v>0</v>
      </c>
      <c r="BU295" s="12">
        <f t="shared" si="39"/>
        <v>0</v>
      </c>
      <c r="BV295" s="142">
        <f t="shared" si="40"/>
        <v>0</v>
      </c>
    </row>
    <row r="296" spans="1:74" x14ac:dyDescent="0.35">
      <c r="A296" s="1172"/>
      <c r="B296" s="1172"/>
      <c r="C296" s="1172"/>
      <c r="D296" s="1172"/>
      <c r="E296" s="1173"/>
      <c r="F296" s="1173"/>
      <c r="G296" s="1173"/>
      <c r="H296" s="1173"/>
      <c r="I296" s="1173"/>
      <c r="J296" s="1173"/>
      <c r="K296" s="1173"/>
      <c r="L296" s="493" t="str" cm="1">
        <f t="array" ref="L296">IF(A296&lt;&gt;"",IFERROR(INDEX(PMtbl[[WKst]:[Unit of measure*]],MATCH($A$222&amp;$A296&amp;$E296&amp;$I296,INDEX(PMtbl[Sec]&amp;PMtbl[Category]&amp;PMtbl[Each]&amp;PMtbl[Packaging],0,),0),14),""),"")</f>
        <v/>
      </c>
      <c r="M296" s="480" t="str">
        <f>IF(L296="","",INDEX(SETUP!$E$20:$E$122,(MATCH(INDEX(PMsheet!$D:$E,MATCH(A296,PMsheet!E:E,0),1),SETUP!$D$20:$D$122,0))))</f>
        <v/>
      </c>
      <c r="N296" s="494">
        <f>IF($O296="USD",_xlfn.IFNA(VLOOKUP(A296&amp;E296&amp;I296,PMsheet!J:K,2,0),0),(_xlfn.IFNA(VLOOKUP(A296&amp;E296&amp;I296,PMsheet!J:K,2,0),0)*'Master Data-C19RM'!$C$2))</f>
        <v>0</v>
      </c>
      <c r="O296" s="495" t="str">
        <f>IF(L296="", "",SETUP!$E$7)</f>
        <v/>
      </c>
      <c r="P296" s="445">
        <f>IF($O296="USD",_xlfn.IFNA(VLOOKUP($A296&amp;$E296&amp;$I296,PMsheet!$J:$K,2,0),0),(_xlfn.IFNA(VLOOKUP($A296&amp;$E296&amp;$I296,PMsheet!$J:$K,2,0),0)*'Master Data-C19RM'!$C$2))</f>
        <v>0</v>
      </c>
      <c r="Q296" s="440"/>
      <c r="R296" s="440"/>
      <c r="S296" s="440"/>
      <c r="T296" s="440"/>
      <c r="U296" s="482">
        <f t="shared" si="34"/>
        <v>0</v>
      </c>
      <c r="V296" s="484">
        <f>IF(SETUP!$E$7="USD",(U296*(IF(O296="USD",P296,(P296/'Master Data-C19RM'!$C$2)))),(U296*(IF(O296="EUR",P296,(P296*'Master Data-C19RM'!$C$2)))))</f>
        <v>0</v>
      </c>
      <c r="W296" s="445">
        <f>IF($O296="USD",_xlfn.IFNA(VLOOKUP($A296&amp;$E296&amp;$I296,PMsheet!$J:$K,2,0),0),(_xlfn.IFNA(VLOOKUP($A296&amp;$E296&amp;$I296,PMsheet!$J:$K,2,0),0)*'Master Data-C19RM'!$D$2))</f>
        <v>0</v>
      </c>
      <c r="X296" s="440"/>
      <c r="Y296" s="440"/>
      <c r="Z296" s="440"/>
      <c r="AA296" s="440"/>
      <c r="AB296" s="482">
        <f t="shared" si="35"/>
        <v>0</v>
      </c>
      <c r="AC296" s="484">
        <f>IF(SETUP!$E$7="USD",(AB296*(IF(O296="USD",W296,(W296/'Master Data-C19RM'!$D$2)))),(AB296*(IF(O296="EUR",W296,(W296*'Master Data-C19RM'!$D$2)))))</f>
        <v>0</v>
      </c>
      <c r="AD296" s="445">
        <f>IF($O296="USD",_xlfn.IFNA(VLOOKUP($A296&amp;$E296&amp;$I296,PMsheet!$J:$K,2,0),0),(_xlfn.IFNA(VLOOKUP($A296&amp;$E296&amp;$I296,PMsheet!$J:$K,2,0),0)*'Master Data-C19RM'!$E$2))</f>
        <v>0</v>
      </c>
      <c r="AE296" s="440"/>
      <c r="AF296" s="440"/>
      <c r="AG296" s="440"/>
      <c r="AH296" s="440"/>
      <c r="AI296" s="514">
        <f t="shared" si="36"/>
        <v>0</v>
      </c>
      <c r="AJ296" s="515">
        <f>IF(SETUP!$E$7="USD",(AI296*(IF(O296="USD",AD296,(AD296/'Master Data-C19RM'!$E$2)))),(AI296*(IF(O296="EUR",AD296,(AD296*'Master Data-C19RM'!$E$2)))))</f>
        <v>0</v>
      </c>
      <c r="AK296" s="445">
        <f>IF($O296="USD",_xlfn.IFNA(VLOOKUP($A296&amp;$E296&amp;$I296,PMsheet!$J:$K,2,0),0),(_xlfn.IFNA(VLOOKUP($A296&amp;$E296&amp;$I296,PMsheet!$J:$K,2,0),0)*'Master Data-C19RM'!$F$2))</f>
        <v>0</v>
      </c>
      <c r="AL296" s="440"/>
      <c r="AM296" s="440"/>
      <c r="AN296" s="440"/>
      <c r="AO296" s="440"/>
      <c r="AP296" s="514">
        <f t="shared" si="37"/>
        <v>0</v>
      </c>
      <c r="AQ296" s="515">
        <f>IF(SETUP!$E$7="USD",(AP296*(IF(O296="USD",AK296,(AK296/'Master Data-C19RM'!$F$2)))),(AP296*(IF(O296="EUR",AK296,(AK296*'Master Data-C19RM'!$F$2)))))</f>
        <v>0</v>
      </c>
      <c r="AR296" s="457">
        <f>IF($O296="USD",_xlfn.IFNA(VLOOKUP($A296&amp;$E296&amp;$I296,PMsheet!$J:$K,2,0),0),(_xlfn.IFNA(VLOOKUP($A296&amp;$E296&amp;$I296,PMsheet!$J:$K,2,0),0)*'Master Data-C19RM'!$G$2))</f>
        <v>0</v>
      </c>
      <c r="AS296" s="926"/>
      <c r="AT296" s="926"/>
      <c r="AU296" s="926"/>
      <c r="AV296" s="926"/>
      <c r="AW296" s="514">
        <f t="shared" si="41"/>
        <v>0</v>
      </c>
      <c r="AX296" s="515">
        <f>IF(SETUP!$E$7="USD",(AW296*(IF(O296="USD",AR296,(AR296/'Master Data-C19RM'!$G$2)))),(AW296*(IF(O296="EUR",AR296,(AR296*'Master Data-C19RM'!$G$2)))))</f>
        <v>0</v>
      </c>
      <c r="AY296" s="845"/>
      <c r="AZ296" s="846"/>
      <c r="BA296" s="846"/>
      <c r="BB296" s="846"/>
      <c r="BC296" s="846"/>
      <c r="BD296" s="846"/>
      <c r="BE296" s="847"/>
      <c r="BF296" s="514">
        <f>'C19RM 2021-Lab &amp; Other HPS'!$U296+'C19RM 2021-Lab &amp; Other HPS'!$AB296+'C19RM 2021-Lab &amp; Other HPS'!$AP296+'C19RM 2021-Lab &amp; Other HPS'!$AI296+AW296+BD296</f>
        <v>0</v>
      </c>
      <c r="BG296" s="514">
        <f>'C19RM 2021-Lab &amp; Other HPS'!$V296+'C19RM 2021-Lab &amp; Other HPS'!$AC296+'C19RM 2021-Lab &amp; Other HPS'!$AQ296+'C19RM 2021-Lab &amp; Other HPS'!$AJ296+AX296+BE296</f>
        <v>0</v>
      </c>
      <c r="BH296" s="522" t="str" cm="1">
        <f t="array" ref="BH296">IF(A296&lt;&gt;"",IFERROR(INDEX(PMtbl[[WKst]:[Unit of measure*]],MATCH($A$222&amp;$A296&amp;$E296&amp;$I296,INDEX(PMtbl[Sec]&amp;PMtbl[Category]&amp;PMtbl[Each]&amp;PMtbl[Packaging],0,),0),11),""),"")</f>
        <v/>
      </c>
      <c r="BI296" s="818"/>
      <c r="BJ296" s="503" t="str" cm="1">
        <f t="array" ref="BJ296">IFERROR(INDEX(SETUP!$C$19:$G$121,MATCH((INDEX(PMtbl[[WKst]:[Unit of measure*]],MATCH($A296&amp;$E296&amp;$I296,INDEX(PMtbl[Category]&amp;PMtbl[Each]&amp;PMtbl[Packaging],0,),0),3)),SETUP!$D$19:$D$121,0),5),"")</f>
        <v/>
      </c>
      <c r="BK296" s="543"/>
      <c r="BL296" s="215"/>
      <c r="BO296" s="12">
        <f>IF(N296="",0,IF(SETUP!$E$7="USD",((IF(O296="USD",P296,(P296/'Master Data-C19RM'!$C$2)))),((IF(O296="EUR",P296,(P296*'Master Data-C19RM'!$C$2))))))</f>
        <v>0</v>
      </c>
      <c r="BP296" s="12">
        <f>IF(N296="",0,IF(SETUP!$E$7="USD",((IF(O296="USD",W296,(W296/'Master Data-C19RM'!$D$2)))),((IF(O296="EUR",W296,(W296*'Master Data-C19RM'!$D$2))))))</f>
        <v>0</v>
      </c>
      <c r="BQ296">
        <f>IF(N296="",0,IF(SETUP!$E$7="USD",((IF(O296="USD",AD296,(AD296/'Master Data-C19RM'!$E$2)))),((IF(O296="EUR",AD296,(AD296*'Master Data-C19RM'!$E$2))))))</f>
        <v>0</v>
      </c>
      <c r="BR296">
        <f>IF(N296="",0,IF(SETUP!$E$7="USD",((IF(O296="USD",AK296,(AK296/'Master Data-C19RM'!$F$2)))),((IF(O296="EUR",AK296,(AK296*'Master Data-C19RM'!$F$2))))))</f>
        <v>0</v>
      </c>
      <c r="BS296">
        <f>IF(N296="",0,IF(SETUP!$E$7="USD",((IF(O296="USD",AR296,(AR296/'Master Data-C19RM'!$G$2)))),((IF(O296="EUR",AR296,(AR296*'Master Data-C19RM'!$G$2))))))</f>
        <v>0</v>
      </c>
      <c r="BT296">
        <f>IF(N296="",0,IF(SETUP!$E$7="USD",((IF(O296="USD",AY296,(AY296/'Master Data-C19RM'!$H$2)))),((IF(O296="EUR",AY296,(AY296*'Master Data-C19RM'!$H$2))))))</f>
        <v>0</v>
      </c>
      <c r="BU296" s="12">
        <f t="shared" si="39"/>
        <v>0</v>
      </c>
      <c r="BV296" s="142">
        <f t="shared" si="40"/>
        <v>0</v>
      </c>
    </row>
    <row r="297" spans="1:74" x14ac:dyDescent="0.35">
      <c r="A297" s="1165"/>
      <c r="B297" s="1165"/>
      <c r="C297" s="1165"/>
      <c r="D297" s="1165"/>
      <c r="E297" s="1166"/>
      <c r="F297" s="1166"/>
      <c r="G297" s="1166"/>
      <c r="H297" s="1166"/>
      <c r="I297" s="1166"/>
      <c r="J297" s="1166"/>
      <c r="K297" s="1166"/>
      <c r="L297" s="490" t="str" cm="1">
        <f t="array" ref="L297">IF(A297&lt;&gt;"",IFERROR(INDEX(PMtbl[[WKst]:[Unit of measure*]],MATCH($A$222&amp;$A297&amp;$E297&amp;$I297,INDEX(PMtbl[Sec]&amp;PMtbl[Category]&amp;PMtbl[Each]&amp;PMtbl[Packaging],0,),0),14),""),"")</f>
        <v/>
      </c>
      <c r="M297" s="479" t="str">
        <f>IF(L297="","",INDEX(SETUP!$E$20:$E$122,(MATCH(INDEX(PMsheet!$D:$E,MATCH(A297,PMsheet!E:E,0),1),SETUP!$D$20:$D$122,0))))</f>
        <v/>
      </c>
      <c r="N297" s="491">
        <f>IF($O297="USD",_xlfn.IFNA(VLOOKUP(A297&amp;E297&amp;I297,PMsheet!J:K,2,0),0),(_xlfn.IFNA(VLOOKUP(A297&amp;E297&amp;I297,PMsheet!J:K,2,0),0)*'Master Data-C19RM'!$C$2))</f>
        <v>0</v>
      </c>
      <c r="O297" s="492" t="str">
        <f>IF(L297="", "",SETUP!$E$7)</f>
        <v/>
      </c>
      <c r="P297" s="444">
        <f>IF($O297="USD",_xlfn.IFNA(VLOOKUP($A297&amp;$E297&amp;$I297,PMsheet!$J:$K,2,0),0),(_xlfn.IFNA(VLOOKUP($A297&amp;$E297&amp;$I297,PMsheet!$J:$K,2,0),0)*'Master Data-C19RM'!$C$2))</f>
        <v>0</v>
      </c>
      <c r="Q297" s="441"/>
      <c r="R297" s="441"/>
      <c r="S297" s="441"/>
      <c r="T297" s="441"/>
      <c r="U297" s="481">
        <f t="shared" si="34"/>
        <v>0</v>
      </c>
      <c r="V297" s="483">
        <f>IF(SETUP!$E$7="USD",(U297*(IF(O297="USD",P297,(P297/'Master Data-C19RM'!$C$2)))),(U297*(IF(O297="EUR",P297,(P297*'Master Data-C19RM'!$C$2)))))</f>
        <v>0</v>
      </c>
      <c r="W297" s="444">
        <f>IF($O297="USD",_xlfn.IFNA(VLOOKUP($A297&amp;$E297&amp;$I297,PMsheet!$J:$K,2,0),0),(_xlfn.IFNA(VLOOKUP($A297&amp;$E297&amp;$I297,PMsheet!$J:$K,2,0),0)*'Master Data-C19RM'!$D$2))</f>
        <v>0</v>
      </c>
      <c r="X297" s="441"/>
      <c r="Y297" s="441"/>
      <c r="Z297" s="441"/>
      <c r="AA297" s="441"/>
      <c r="AB297" s="481">
        <f t="shared" si="35"/>
        <v>0</v>
      </c>
      <c r="AC297" s="483">
        <f>IF(SETUP!$E$7="USD",(AB297*(IF(O297="USD",W297,(W297/'Master Data-C19RM'!$D$2)))),(AB297*(IF(O297="EUR",W297,(W297*'Master Data-C19RM'!$D$2)))))</f>
        <v>0</v>
      </c>
      <c r="AD297" s="444">
        <f>IF($O297="USD",_xlfn.IFNA(VLOOKUP($A297&amp;$E297&amp;$I297,PMsheet!$J:$K,2,0),0),(_xlfn.IFNA(VLOOKUP($A297&amp;$E297&amp;$I297,PMsheet!$J:$K,2,0),0)*'Master Data-C19RM'!$E$2))</f>
        <v>0</v>
      </c>
      <c r="AE297" s="441"/>
      <c r="AF297" s="441"/>
      <c r="AG297" s="441"/>
      <c r="AH297" s="441"/>
      <c r="AI297" s="512">
        <f t="shared" si="36"/>
        <v>0</v>
      </c>
      <c r="AJ297" s="513">
        <f>IF(SETUP!$E$7="USD",(AI297*(IF(O297="USD",AD297,(AD297/'Master Data-C19RM'!$E$2)))),(AI297*(IF(O297="EUR",AD297,(AD297*'Master Data-C19RM'!$E$2)))))</f>
        <v>0</v>
      </c>
      <c r="AK297" s="444">
        <f>IF($O297="USD",_xlfn.IFNA(VLOOKUP($A297&amp;$E297&amp;$I297,PMsheet!$J:$K,2,0),0),(_xlfn.IFNA(VLOOKUP($A297&amp;$E297&amp;$I297,PMsheet!$J:$K,2,0),0)*'Master Data-C19RM'!$F$2))</f>
        <v>0</v>
      </c>
      <c r="AL297" s="441"/>
      <c r="AM297" s="441"/>
      <c r="AN297" s="441"/>
      <c r="AO297" s="441"/>
      <c r="AP297" s="512">
        <f t="shared" si="37"/>
        <v>0</v>
      </c>
      <c r="AQ297" s="513">
        <f>IF(SETUP!$E$7="USD",(AP297*(IF(O297="USD",AK297,(AK297/'Master Data-C19RM'!$F$2)))),(AP297*(IF(O297="EUR",AK297,(AK297*'Master Data-C19RM'!$F$2)))))</f>
        <v>0</v>
      </c>
      <c r="AR297" s="456">
        <f>IF($O297="USD",_xlfn.IFNA(VLOOKUP($A297&amp;$E297&amp;$I297,PMsheet!$J:$K,2,0),0),(_xlfn.IFNA(VLOOKUP($A297&amp;$E297&amp;$I297,PMsheet!$J:$K,2,0),0)*'Master Data-C19RM'!$G$2))</f>
        <v>0</v>
      </c>
      <c r="AS297" s="572"/>
      <c r="AT297" s="572"/>
      <c r="AU297" s="572"/>
      <c r="AV297" s="572"/>
      <c r="AW297" s="512">
        <f t="shared" si="41"/>
        <v>0</v>
      </c>
      <c r="AX297" s="513">
        <f>IF(SETUP!$E$7="USD",(AW297*(IF(O297="USD",AR297,(AR297/'Master Data-C19RM'!$G$2)))),(AW297*(IF(O297="EUR",AR297,(AR297*'Master Data-C19RM'!$G$2)))))</f>
        <v>0</v>
      </c>
      <c r="AY297" s="845"/>
      <c r="AZ297" s="846"/>
      <c r="BA297" s="846"/>
      <c r="BB297" s="846"/>
      <c r="BC297" s="846"/>
      <c r="BD297" s="846"/>
      <c r="BE297" s="847"/>
      <c r="BF297" s="512">
        <f>'C19RM 2021-Lab &amp; Other HPS'!$U297+'C19RM 2021-Lab &amp; Other HPS'!$AB297+'C19RM 2021-Lab &amp; Other HPS'!$AP297+'C19RM 2021-Lab &amp; Other HPS'!$AI297+AW297+BD297</f>
        <v>0</v>
      </c>
      <c r="BG297" s="512">
        <f>'C19RM 2021-Lab &amp; Other HPS'!$V297+'C19RM 2021-Lab &amp; Other HPS'!$AC297+'C19RM 2021-Lab &amp; Other HPS'!$AQ297+'C19RM 2021-Lab &amp; Other HPS'!$AJ297+AX297+BE297</f>
        <v>0</v>
      </c>
      <c r="BH297" s="500" t="str" cm="1">
        <f t="array" ref="BH297">IF(A297&lt;&gt;"",IFERROR(INDEX(PMtbl[[WKst]:[Unit of measure*]],MATCH($A$222&amp;$A297&amp;$E297&amp;$I297,INDEX(PMtbl[Sec]&amp;PMtbl[Category]&amp;PMtbl[Each]&amp;PMtbl[Packaging],0,),0),11),""),"")</f>
        <v/>
      </c>
      <c r="BI297" s="819"/>
      <c r="BJ297" s="502" t="str" cm="1">
        <f t="array" ref="BJ297">IFERROR(INDEX(SETUP!$C$19:$G$121,MATCH((INDEX(PMtbl[[WKst]:[Unit of measure*]],MATCH($A297&amp;$E297&amp;$I297,INDEX(PMtbl[Category]&amp;PMtbl[Each]&amp;PMtbl[Packaging],0,),0),3)),SETUP!$D$19:$D$121,0),5),"")</f>
        <v/>
      </c>
      <c r="BK297" s="542"/>
      <c r="BL297" s="214"/>
      <c r="BO297" s="12">
        <f>IF(N297="",0,IF(SETUP!$E$7="USD",((IF(O297="USD",P297,(P297/'Master Data-C19RM'!$C$2)))),((IF(O297="EUR",P297,(P297*'Master Data-C19RM'!$C$2))))))</f>
        <v>0</v>
      </c>
      <c r="BP297" s="12">
        <f>IF(N297="",0,IF(SETUP!$E$7="USD",((IF(O297="USD",W297,(W297/'Master Data-C19RM'!$D$2)))),((IF(O297="EUR",W297,(W297*'Master Data-C19RM'!$D$2))))))</f>
        <v>0</v>
      </c>
      <c r="BQ297">
        <f>IF(N297="",0,IF(SETUP!$E$7="USD",((IF(O297="USD",AD297,(AD297/'Master Data-C19RM'!$E$2)))),((IF(O297="EUR",AD297,(AD297*'Master Data-C19RM'!$E$2))))))</f>
        <v>0</v>
      </c>
      <c r="BR297">
        <f>IF(N297="",0,IF(SETUP!$E$7="USD",((IF(O297="USD",AK297,(AK297/'Master Data-C19RM'!$F$2)))),((IF(O297="EUR",AK297,(AK297*'Master Data-C19RM'!$F$2))))))</f>
        <v>0</v>
      </c>
      <c r="BS297">
        <f>IF(N297="",0,IF(SETUP!$E$7="USD",((IF(O297="USD",AR297,(AR297/'Master Data-C19RM'!$G$2)))),((IF(O297="EUR",AR297,(AR297*'Master Data-C19RM'!$G$2))))))</f>
        <v>0</v>
      </c>
      <c r="BT297">
        <f>IF(N297="",0,IF(SETUP!$E$7="USD",((IF(O297="USD",AY297,(AY297/'Master Data-C19RM'!$H$2)))),((IF(O297="EUR",AY297,(AY297*'Master Data-C19RM'!$H$2))))))</f>
        <v>0</v>
      </c>
      <c r="BU297" s="12">
        <f t="shared" si="39"/>
        <v>0</v>
      </c>
      <c r="BV297" s="142">
        <f t="shared" si="40"/>
        <v>0</v>
      </c>
    </row>
    <row r="298" spans="1:74" x14ac:dyDescent="0.35">
      <c r="A298" s="1172"/>
      <c r="B298" s="1172"/>
      <c r="C298" s="1172"/>
      <c r="D298" s="1172"/>
      <c r="E298" s="1173"/>
      <c r="F298" s="1173"/>
      <c r="G298" s="1173"/>
      <c r="H298" s="1173"/>
      <c r="I298" s="1173"/>
      <c r="J298" s="1173"/>
      <c r="K298" s="1173"/>
      <c r="L298" s="493" t="str" cm="1">
        <f t="array" ref="L298">IF(A298&lt;&gt;"",IFERROR(INDEX(PMtbl[[WKst]:[Unit of measure*]],MATCH($A$222&amp;$A298&amp;$E298&amp;$I298,INDEX(PMtbl[Sec]&amp;PMtbl[Category]&amp;PMtbl[Each]&amp;PMtbl[Packaging],0,),0),14),""),"")</f>
        <v/>
      </c>
      <c r="M298" s="480" t="str">
        <f>IF(L298="","",INDEX(SETUP!$E$20:$E$122,(MATCH(INDEX(PMsheet!$D:$E,MATCH(A298,PMsheet!E:E,0),1),SETUP!$D$20:$D$122,0))))</f>
        <v/>
      </c>
      <c r="N298" s="494">
        <f>IF($O298="USD",_xlfn.IFNA(VLOOKUP(A298&amp;E298&amp;I298,PMsheet!J:K,2,0),0),(_xlfn.IFNA(VLOOKUP(A298&amp;E298&amp;I298,PMsheet!J:K,2,0),0)*'Master Data-C19RM'!$C$2))</f>
        <v>0</v>
      </c>
      <c r="O298" s="495" t="str">
        <f>IF(L298="", "",SETUP!$E$7)</f>
        <v/>
      </c>
      <c r="P298" s="445">
        <f>IF($O298="USD",_xlfn.IFNA(VLOOKUP($A298&amp;$E298&amp;$I298,PMsheet!$J:$K,2,0),0),(_xlfn.IFNA(VLOOKUP($A298&amp;$E298&amp;$I298,PMsheet!$J:$K,2,0),0)*'Master Data-C19RM'!$C$2))</f>
        <v>0</v>
      </c>
      <c r="Q298" s="440"/>
      <c r="R298" s="440"/>
      <c r="S298" s="440"/>
      <c r="T298" s="440"/>
      <c r="U298" s="482">
        <f t="shared" si="34"/>
        <v>0</v>
      </c>
      <c r="V298" s="484">
        <f>IF(SETUP!$E$7="USD",(U298*(IF(O298="USD",P298,(P298/'Master Data-C19RM'!$C$2)))),(U298*(IF(O298="EUR",P298,(P298*'Master Data-C19RM'!$C$2)))))</f>
        <v>0</v>
      </c>
      <c r="W298" s="445">
        <f>IF($O298="USD",_xlfn.IFNA(VLOOKUP($A298&amp;$E298&amp;$I298,PMsheet!$J:$K,2,0),0),(_xlfn.IFNA(VLOOKUP($A298&amp;$E298&amp;$I298,PMsheet!$J:$K,2,0),0)*'Master Data-C19RM'!$D$2))</f>
        <v>0</v>
      </c>
      <c r="X298" s="440"/>
      <c r="Y298" s="440"/>
      <c r="Z298" s="440"/>
      <c r="AA298" s="440"/>
      <c r="AB298" s="482">
        <f t="shared" si="35"/>
        <v>0</v>
      </c>
      <c r="AC298" s="484">
        <f>IF(SETUP!$E$7="USD",(AB298*(IF(O298="USD",W298,(W298/'Master Data-C19RM'!$D$2)))),(AB298*(IF(O298="EUR",W298,(W298*'Master Data-C19RM'!$D$2)))))</f>
        <v>0</v>
      </c>
      <c r="AD298" s="445">
        <f>IF($O298="USD",_xlfn.IFNA(VLOOKUP($A298&amp;$E298&amp;$I298,PMsheet!$J:$K,2,0),0),(_xlfn.IFNA(VLOOKUP($A298&amp;$E298&amp;$I298,PMsheet!$J:$K,2,0),0)*'Master Data-C19RM'!$E$2))</f>
        <v>0</v>
      </c>
      <c r="AE298" s="440"/>
      <c r="AF298" s="440"/>
      <c r="AG298" s="440"/>
      <c r="AH298" s="440"/>
      <c r="AI298" s="514">
        <f t="shared" si="36"/>
        <v>0</v>
      </c>
      <c r="AJ298" s="515">
        <f>IF(SETUP!$E$7="USD",(AI298*(IF(O298="USD",AD298,(AD298/'Master Data-C19RM'!$E$2)))),(AI298*(IF(O298="EUR",AD298,(AD298*'Master Data-C19RM'!$E$2)))))</f>
        <v>0</v>
      </c>
      <c r="AK298" s="445">
        <f>IF($O298="USD",_xlfn.IFNA(VLOOKUP($A298&amp;$E298&amp;$I298,PMsheet!$J:$K,2,0),0),(_xlfn.IFNA(VLOOKUP($A298&amp;$E298&amp;$I298,PMsheet!$J:$K,2,0),0)*'Master Data-C19RM'!$F$2))</f>
        <v>0</v>
      </c>
      <c r="AL298" s="440"/>
      <c r="AM298" s="440"/>
      <c r="AN298" s="440"/>
      <c r="AO298" s="440"/>
      <c r="AP298" s="514">
        <f t="shared" si="37"/>
        <v>0</v>
      </c>
      <c r="AQ298" s="515">
        <f>IF(SETUP!$E$7="USD",(AP298*(IF(O298="USD",AK298,(AK298/'Master Data-C19RM'!$F$2)))),(AP298*(IF(O298="EUR",AK298,(AK298*'Master Data-C19RM'!$F$2)))))</f>
        <v>0</v>
      </c>
      <c r="AR298" s="457">
        <f>IF($O298="USD",_xlfn.IFNA(VLOOKUP($A298&amp;$E298&amp;$I298,PMsheet!$J:$K,2,0),0),(_xlfn.IFNA(VLOOKUP($A298&amp;$E298&amp;$I298,PMsheet!$J:$K,2,0),0)*'Master Data-C19RM'!$G$2))</f>
        <v>0</v>
      </c>
      <c r="AS298" s="926"/>
      <c r="AT298" s="926"/>
      <c r="AU298" s="926"/>
      <c r="AV298" s="926"/>
      <c r="AW298" s="514">
        <f t="shared" si="41"/>
        <v>0</v>
      </c>
      <c r="AX298" s="515">
        <f>IF(SETUP!$E$7="USD",(AW298*(IF(O298="USD",AR298,(AR298/'Master Data-C19RM'!$G$2)))),(AW298*(IF(O298="EUR",AR298,(AR298*'Master Data-C19RM'!$G$2)))))</f>
        <v>0</v>
      </c>
      <c r="AY298" s="845"/>
      <c r="AZ298" s="846"/>
      <c r="BA298" s="846"/>
      <c r="BB298" s="846"/>
      <c r="BC298" s="846"/>
      <c r="BD298" s="846"/>
      <c r="BE298" s="847"/>
      <c r="BF298" s="514">
        <f>'C19RM 2021-Lab &amp; Other HPS'!$U298+'C19RM 2021-Lab &amp; Other HPS'!$AB298+'C19RM 2021-Lab &amp; Other HPS'!$AP298+'C19RM 2021-Lab &amp; Other HPS'!$AI298+AW298+BD298</f>
        <v>0</v>
      </c>
      <c r="BG298" s="514">
        <f>'C19RM 2021-Lab &amp; Other HPS'!$V298+'C19RM 2021-Lab &amp; Other HPS'!$AC298+'C19RM 2021-Lab &amp; Other HPS'!$AQ298+'C19RM 2021-Lab &amp; Other HPS'!$AJ298+AX298+BE298</f>
        <v>0</v>
      </c>
      <c r="BH298" s="522" t="str" cm="1">
        <f t="array" ref="BH298">IF(A298&lt;&gt;"",IFERROR(INDEX(PMtbl[[WKst]:[Unit of measure*]],MATCH($A$222&amp;$A298&amp;$E298&amp;$I298,INDEX(PMtbl[Sec]&amp;PMtbl[Category]&amp;PMtbl[Each]&amp;PMtbl[Packaging],0,),0),11),""),"")</f>
        <v/>
      </c>
      <c r="BI298" s="818"/>
      <c r="BJ298" s="503" t="str" cm="1">
        <f t="array" ref="BJ298">IFERROR(INDEX(SETUP!$C$19:$G$121,MATCH((INDEX(PMtbl[[WKst]:[Unit of measure*]],MATCH($A298&amp;$E298&amp;$I298,INDEX(PMtbl[Category]&amp;PMtbl[Each]&amp;PMtbl[Packaging],0,),0),3)),SETUP!$D$19:$D$121,0),5),"")</f>
        <v/>
      </c>
      <c r="BK298" s="543"/>
      <c r="BL298" s="215"/>
      <c r="BO298" s="12">
        <f>IF(N298="",0,IF(SETUP!$E$7="USD",((IF(O298="USD",P298,(P298/'Master Data-C19RM'!$C$2)))),((IF(O298="EUR",P298,(P298*'Master Data-C19RM'!$C$2))))))</f>
        <v>0</v>
      </c>
      <c r="BP298" s="12">
        <f>IF(N298="",0,IF(SETUP!$E$7="USD",((IF(O298="USD",W298,(W298/'Master Data-C19RM'!$D$2)))),((IF(O298="EUR",W298,(W298*'Master Data-C19RM'!$D$2))))))</f>
        <v>0</v>
      </c>
      <c r="BQ298">
        <f>IF(N298="",0,IF(SETUP!$E$7="USD",((IF(O298="USD",AD298,(AD298/'Master Data-C19RM'!$E$2)))),((IF(O298="EUR",AD298,(AD298*'Master Data-C19RM'!$E$2))))))</f>
        <v>0</v>
      </c>
      <c r="BR298">
        <f>IF(N298="",0,IF(SETUP!$E$7="USD",((IF(O298="USD",AK298,(AK298/'Master Data-C19RM'!$F$2)))),((IF(O298="EUR",AK298,(AK298*'Master Data-C19RM'!$F$2))))))</f>
        <v>0</v>
      </c>
      <c r="BS298">
        <f>IF(N298="",0,IF(SETUP!$E$7="USD",((IF(O298="USD",AR298,(AR298/'Master Data-C19RM'!$G$2)))),((IF(O298="EUR",AR298,(AR298*'Master Data-C19RM'!$G$2))))))</f>
        <v>0</v>
      </c>
      <c r="BT298">
        <f>IF(N298="",0,IF(SETUP!$E$7="USD",((IF(O298="USD",AY298,(AY298/'Master Data-C19RM'!$H$2)))),((IF(O298="EUR",AY298,(AY298*'Master Data-C19RM'!$H$2))))))</f>
        <v>0</v>
      </c>
      <c r="BU298" s="12">
        <f t="shared" si="39"/>
        <v>0</v>
      </c>
      <c r="BV298" s="142">
        <f t="shared" si="40"/>
        <v>0</v>
      </c>
    </row>
    <row r="299" spans="1:74" x14ac:dyDescent="0.35">
      <c r="A299" s="1165"/>
      <c r="B299" s="1165"/>
      <c r="C299" s="1165"/>
      <c r="D299" s="1165"/>
      <c r="E299" s="1166"/>
      <c r="F299" s="1166"/>
      <c r="G299" s="1166"/>
      <c r="H299" s="1166"/>
      <c r="I299" s="1166"/>
      <c r="J299" s="1166"/>
      <c r="K299" s="1166"/>
      <c r="L299" s="490" t="str" cm="1">
        <f t="array" ref="L299">IF(A299&lt;&gt;"",IFERROR(INDEX(PMtbl[[WKst]:[Unit of measure*]],MATCH($A$222&amp;$A299&amp;$E299&amp;$I299,INDEX(PMtbl[Sec]&amp;PMtbl[Category]&amp;PMtbl[Each]&amp;PMtbl[Packaging],0,),0),14),""),"")</f>
        <v/>
      </c>
      <c r="M299" s="479" t="str">
        <f>IF(L299="","",INDEX(SETUP!$E$20:$E$122,(MATCH(INDEX(PMsheet!$D:$E,MATCH(A299,PMsheet!E:E,0),1),SETUP!$D$20:$D$122,0))))</f>
        <v/>
      </c>
      <c r="N299" s="491">
        <f>IF($O299="USD",_xlfn.IFNA(VLOOKUP(A299&amp;E299&amp;I299,PMsheet!J:K,2,0),0),(_xlfn.IFNA(VLOOKUP(A299&amp;E299&amp;I299,PMsheet!J:K,2,0),0)*'Master Data-C19RM'!$C$2))</f>
        <v>0</v>
      </c>
      <c r="O299" s="492" t="str">
        <f>IF(L299="", "",SETUP!$E$7)</f>
        <v/>
      </c>
      <c r="P299" s="444">
        <f>IF($O299="USD",_xlfn.IFNA(VLOOKUP($A299&amp;$E299&amp;$I299,PMsheet!$J:$K,2,0),0),(_xlfn.IFNA(VLOOKUP($A299&amp;$E299&amp;$I299,PMsheet!$J:$K,2,0),0)*'Master Data-C19RM'!$C$2))</f>
        <v>0</v>
      </c>
      <c r="Q299" s="441"/>
      <c r="R299" s="441"/>
      <c r="S299" s="441"/>
      <c r="T299" s="441"/>
      <c r="U299" s="481">
        <f t="shared" si="34"/>
        <v>0</v>
      </c>
      <c r="V299" s="483">
        <f>IF(SETUP!$E$7="USD",(U299*(IF(O299="USD",P299,(P299/'Master Data-C19RM'!$C$2)))),(U299*(IF(O299="EUR",P299,(P299*'Master Data-C19RM'!$C$2)))))</f>
        <v>0</v>
      </c>
      <c r="W299" s="444">
        <f>IF($O299="USD",_xlfn.IFNA(VLOOKUP($A299&amp;$E299&amp;$I299,PMsheet!$J:$K,2,0),0),(_xlfn.IFNA(VLOOKUP($A299&amp;$E299&amp;$I299,PMsheet!$J:$K,2,0),0)*'Master Data-C19RM'!$D$2))</f>
        <v>0</v>
      </c>
      <c r="X299" s="441"/>
      <c r="Y299" s="441"/>
      <c r="Z299" s="441"/>
      <c r="AA299" s="441"/>
      <c r="AB299" s="481">
        <f t="shared" si="35"/>
        <v>0</v>
      </c>
      <c r="AC299" s="483">
        <f>IF(SETUP!$E$7="USD",(AB299*(IF(O299="USD",W299,(W299/'Master Data-C19RM'!$D$2)))),(AB299*(IF(O299="EUR",W299,(W299*'Master Data-C19RM'!$D$2)))))</f>
        <v>0</v>
      </c>
      <c r="AD299" s="444">
        <f>IF($O299="USD",_xlfn.IFNA(VLOOKUP($A299&amp;$E299&amp;$I299,PMsheet!$J:$K,2,0),0),(_xlfn.IFNA(VLOOKUP($A299&amp;$E299&amp;$I299,PMsheet!$J:$K,2,0),0)*'Master Data-C19RM'!$E$2))</f>
        <v>0</v>
      </c>
      <c r="AE299" s="441"/>
      <c r="AF299" s="441"/>
      <c r="AG299" s="441"/>
      <c r="AH299" s="441"/>
      <c r="AI299" s="512">
        <f t="shared" si="36"/>
        <v>0</v>
      </c>
      <c r="AJ299" s="513">
        <f>IF(SETUP!$E$7="USD",(AI299*(IF(O299="USD",AD299,(AD299/'Master Data-C19RM'!$E$2)))),(AI299*(IF(O299="EUR",AD299,(AD299*'Master Data-C19RM'!$E$2)))))</f>
        <v>0</v>
      </c>
      <c r="AK299" s="444">
        <f>IF($O299="USD",_xlfn.IFNA(VLOOKUP($A299&amp;$E299&amp;$I299,PMsheet!$J:$K,2,0),0),(_xlfn.IFNA(VLOOKUP($A299&amp;$E299&amp;$I299,PMsheet!$J:$K,2,0),0)*'Master Data-C19RM'!$F$2))</f>
        <v>0</v>
      </c>
      <c r="AL299" s="441"/>
      <c r="AM299" s="441"/>
      <c r="AN299" s="441"/>
      <c r="AO299" s="441"/>
      <c r="AP299" s="512">
        <f t="shared" si="37"/>
        <v>0</v>
      </c>
      <c r="AQ299" s="513">
        <f>IF(SETUP!$E$7="USD",(AP299*(IF(O299="USD",AK299,(AK299/'Master Data-C19RM'!$F$2)))),(AP299*(IF(O299="EUR",AK299,(AK299*'Master Data-C19RM'!$F$2)))))</f>
        <v>0</v>
      </c>
      <c r="AR299" s="456">
        <f>IF($O299="USD",_xlfn.IFNA(VLOOKUP($A299&amp;$E299&amp;$I299,PMsheet!$J:$K,2,0),0),(_xlfn.IFNA(VLOOKUP($A299&amp;$E299&amp;$I299,PMsheet!$J:$K,2,0),0)*'Master Data-C19RM'!$G$2))</f>
        <v>0</v>
      </c>
      <c r="AS299" s="572"/>
      <c r="AT299" s="572"/>
      <c r="AU299" s="572"/>
      <c r="AV299" s="572"/>
      <c r="AW299" s="512">
        <f t="shared" si="41"/>
        <v>0</v>
      </c>
      <c r="AX299" s="513">
        <f>IF(SETUP!$E$7="USD",(AW299*(IF(O299="USD",AR299,(AR299/'Master Data-C19RM'!$G$2)))),(AW299*(IF(O299="EUR",AR299,(AR299*'Master Data-C19RM'!$G$2)))))</f>
        <v>0</v>
      </c>
      <c r="AY299" s="845"/>
      <c r="AZ299" s="846"/>
      <c r="BA299" s="846"/>
      <c r="BB299" s="846"/>
      <c r="BC299" s="846"/>
      <c r="BD299" s="846"/>
      <c r="BE299" s="847"/>
      <c r="BF299" s="512">
        <f>'C19RM 2021-Lab &amp; Other HPS'!$U299+'C19RM 2021-Lab &amp; Other HPS'!$AB299+'C19RM 2021-Lab &amp; Other HPS'!$AP299+'C19RM 2021-Lab &amp; Other HPS'!$AI299+AW299+BD299</f>
        <v>0</v>
      </c>
      <c r="BG299" s="512">
        <f>'C19RM 2021-Lab &amp; Other HPS'!$V299+'C19RM 2021-Lab &amp; Other HPS'!$AC299+'C19RM 2021-Lab &amp; Other HPS'!$AQ299+'C19RM 2021-Lab &amp; Other HPS'!$AJ299+AX299+BE299</f>
        <v>0</v>
      </c>
      <c r="BH299" s="500" t="str" cm="1">
        <f t="array" ref="BH299">IF(A299&lt;&gt;"",IFERROR(INDEX(PMtbl[[WKst]:[Unit of measure*]],MATCH($A$222&amp;$A299&amp;$E299&amp;$I299,INDEX(PMtbl[Sec]&amp;PMtbl[Category]&amp;PMtbl[Each]&amp;PMtbl[Packaging],0,),0),11),""),"")</f>
        <v/>
      </c>
      <c r="BI299" s="819"/>
      <c r="BJ299" s="502" t="str" cm="1">
        <f t="array" ref="BJ299">IFERROR(INDEX(SETUP!$C$19:$G$121,MATCH((INDEX(PMtbl[[WKst]:[Unit of measure*]],MATCH($A299&amp;$E299&amp;$I299,INDEX(PMtbl[Category]&amp;PMtbl[Each]&amp;PMtbl[Packaging],0,),0),3)),SETUP!$D$19:$D$121,0),5),"")</f>
        <v/>
      </c>
      <c r="BK299" s="542"/>
      <c r="BL299" s="214"/>
      <c r="BO299" s="12">
        <f>IF(N299="",0,IF(SETUP!$E$7="USD",((IF(O299="USD",P299,(P299/'Master Data-C19RM'!$C$2)))),((IF(O299="EUR",P299,(P299*'Master Data-C19RM'!$C$2))))))</f>
        <v>0</v>
      </c>
      <c r="BP299" s="12">
        <f>IF(N299="",0,IF(SETUP!$E$7="USD",((IF(O299="USD",W299,(W299/'Master Data-C19RM'!$D$2)))),((IF(O299="EUR",W299,(W299*'Master Data-C19RM'!$D$2))))))</f>
        <v>0</v>
      </c>
      <c r="BQ299">
        <f>IF(N299="",0,IF(SETUP!$E$7="USD",((IF(O299="USD",AD299,(AD299/'Master Data-C19RM'!$E$2)))),((IF(O299="EUR",AD299,(AD299*'Master Data-C19RM'!$E$2))))))</f>
        <v>0</v>
      </c>
      <c r="BR299">
        <f>IF(N299="",0,IF(SETUP!$E$7="USD",((IF(O299="USD",AK299,(AK299/'Master Data-C19RM'!$F$2)))),((IF(O299="EUR",AK299,(AK299*'Master Data-C19RM'!$F$2))))))</f>
        <v>0</v>
      </c>
      <c r="BS299">
        <f>IF(N299="",0,IF(SETUP!$E$7="USD",((IF(O299="USD",AR299,(AR299/'Master Data-C19RM'!$G$2)))),((IF(O299="EUR",AR299,(AR299*'Master Data-C19RM'!$G$2))))))</f>
        <v>0</v>
      </c>
      <c r="BT299">
        <f>IF(N299="",0,IF(SETUP!$E$7="USD",((IF(O299="USD",AY299,(AY299/'Master Data-C19RM'!$H$2)))),((IF(O299="EUR",AY299,(AY299*'Master Data-C19RM'!$H$2))))))</f>
        <v>0</v>
      </c>
      <c r="BU299" s="12">
        <f t="shared" si="39"/>
        <v>0</v>
      </c>
      <c r="BV299" s="142">
        <f t="shared" si="40"/>
        <v>0</v>
      </c>
    </row>
    <row r="300" spans="1:74" x14ac:dyDescent="0.35">
      <c r="A300" s="1172"/>
      <c r="B300" s="1172"/>
      <c r="C300" s="1172"/>
      <c r="D300" s="1172"/>
      <c r="E300" s="1173"/>
      <c r="F300" s="1173"/>
      <c r="G300" s="1173"/>
      <c r="H300" s="1173"/>
      <c r="I300" s="1173"/>
      <c r="J300" s="1173"/>
      <c r="K300" s="1173"/>
      <c r="L300" s="493" t="str" cm="1">
        <f t="array" ref="L300">IF(A300&lt;&gt;"",IFERROR(INDEX(PMtbl[[WKst]:[Unit of measure*]],MATCH($A$222&amp;$A300&amp;$E300&amp;$I300,INDEX(PMtbl[Sec]&amp;PMtbl[Category]&amp;PMtbl[Each]&amp;PMtbl[Packaging],0,),0),14),""),"")</f>
        <v/>
      </c>
      <c r="M300" s="480" t="str">
        <f>IF(L300="","",INDEX(SETUP!$E$20:$E$122,(MATCH(INDEX(PMsheet!$D:$E,MATCH(A300,PMsheet!E:E,0),1),SETUP!$D$20:$D$122,0))))</f>
        <v/>
      </c>
      <c r="N300" s="494">
        <f>IF($O300="USD",_xlfn.IFNA(VLOOKUP(A300&amp;E300&amp;I300,PMsheet!J:K,2,0),0),(_xlfn.IFNA(VLOOKUP(A300&amp;E300&amp;I300,PMsheet!J:K,2,0),0)*'Master Data-C19RM'!$C$2))</f>
        <v>0</v>
      </c>
      <c r="O300" s="495" t="str">
        <f>IF(L300="", "",SETUP!$E$7)</f>
        <v/>
      </c>
      <c r="P300" s="445">
        <f>IF($O300="USD",_xlfn.IFNA(VLOOKUP($A300&amp;$E300&amp;$I300,PMsheet!$J:$K,2,0),0),(_xlfn.IFNA(VLOOKUP($A300&amp;$E300&amp;$I300,PMsheet!$J:$K,2,0),0)*'Master Data-C19RM'!$C$2))</f>
        <v>0</v>
      </c>
      <c r="Q300" s="440"/>
      <c r="R300" s="440"/>
      <c r="S300" s="440"/>
      <c r="T300" s="440"/>
      <c r="U300" s="482">
        <f t="shared" si="34"/>
        <v>0</v>
      </c>
      <c r="V300" s="484">
        <f>IF(SETUP!$E$7="USD",(U300*(IF(O300="USD",P300,(P300/'Master Data-C19RM'!$C$2)))),(U300*(IF(O300="EUR",P300,(P300*'Master Data-C19RM'!$C$2)))))</f>
        <v>0</v>
      </c>
      <c r="W300" s="445">
        <f>IF($O300="USD",_xlfn.IFNA(VLOOKUP($A300&amp;$E300&amp;$I300,PMsheet!$J:$K,2,0),0),(_xlfn.IFNA(VLOOKUP($A300&amp;$E300&amp;$I300,PMsheet!$J:$K,2,0),0)*'Master Data-C19RM'!$D$2))</f>
        <v>0</v>
      </c>
      <c r="X300" s="440"/>
      <c r="Y300" s="440"/>
      <c r="Z300" s="440"/>
      <c r="AA300" s="440"/>
      <c r="AB300" s="482">
        <f t="shared" si="35"/>
        <v>0</v>
      </c>
      <c r="AC300" s="484">
        <f>IF(SETUP!$E$7="USD",(AB300*(IF(O300="USD",W300,(W300/'Master Data-C19RM'!$D$2)))),(AB300*(IF(O300="EUR",W300,(W300*'Master Data-C19RM'!$D$2)))))</f>
        <v>0</v>
      </c>
      <c r="AD300" s="445">
        <f>IF($O300="USD",_xlfn.IFNA(VLOOKUP($A300&amp;$E300&amp;$I300,PMsheet!$J:$K,2,0),0),(_xlfn.IFNA(VLOOKUP($A300&amp;$E300&amp;$I300,PMsheet!$J:$K,2,0),0)*'Master Data-C19RM'!$E$2))</f>
        <v>0</v>
      </c>
      <c r="AE300" s="440"/>
      <c r="AF300" s="440"/>
      <c r="AG300" s="440"/>
      <c r="AH300" s="440"/>
      <c r="AI300" s="514">
        <f t="shared" si="36"/>
        <v>0</v>
      </c>
      <c r="AJ300" s="515">
        <f>IF(SETUP!$E$7="USD",(AI300*(IF(O300="USD",AD300,(AD300/'Master Data-C19RM'!$E$2)))),(AI300*(IF(O300="EUR",AD300,(AD300*'Master Data-C19RM'!$E$2)))))</f>
        <v>0</v>
      </c>
      <c r="AK300" s="445">
        <f>IF($O300="USD",_xlfn.IFNA(VLOOKUP($A300&amp;$E300&amp;$I300,PMsheet!$J:$K,2,0),0),(_xlfn.IFNA(VLOOKUP($A300&amp;$E300&amp;$I300,PMsheet!$J:$K,2,0),0)*'Master Data-C19RM'!$F$2))</f>
        <v>0</v>
      </c>
      <c r="AL300" s="440"/>
      <c r="AM300" s="440"/>
      <c r="AN300" s="440"/>
      <c r="AO300" s="440"/>
      <c r="AP300" s="514">
        <f t="shared" si="37"/>
        <v>0</v>
      </c>
      <c r="AQ300" s="515">
        <f>IF(SETUP!$E$7="USD",(AP300*(IF(O300="USD",AK300,(AK300/'Master Data-C19RM'!$F$2)))),(AP300*(IF(O300="EUR",AK300,(AK300*'Master Data-C19RM'!$F$2)))))</f>
        <v>0</v>
      </c>
      <c r="AR300" s="457">
        <f>IF($O300="USD",_xlfn.IFNA(VLOOKUP($A300&amp;$E300&amp;$I300,PMsheet!$J:$K,2,0),0),(_xlfn.IFNA(VLOOKUP($A300&amp;$E300&amp;$I300,PMsheet!$J:$K,2,0),0)*'Master Data-C19RM'!$G$2))</f>
        <v>0</v>
      </c>
      <c r="AS300" s="926"/>
      <c r="AT300" s="926"/>
      <c r="AU300" s="926"/>
      <c r="AV300" s="926"/>
      <c r="AW300" s="514">
        <f t="shared" si="41"/>
        <v>0</v>
      </c>
      <c r="AX300" s="515">
        <f>IF(SETUP!$E$7="USD",(AW300*(IF(O300="USD",AR300,(AR300/'Master Data-C19RM'!$G$2)))),(AW300*(IF(O300="EUR",AR300,(AR300*'Master Data-C19RM'!$G$2)))))</f>
        <v>0</v>
      </c>
      <c r="AY300" s="845"/>
      <c r="AZ300" s="846"/>
      <c r="BA300" s="846"/>
      <c r="BB300" s="846"/>
      <c r="BC300" s="846"/>
      <c r="BD300" s="846"/>
      <c r="BE300" s="847"/>
      <c r="BF300" s="514">
        <f>'C19RM 2021-Lab &amp; Other HPS'!$U300+'C19RM 2021-Lab &amp; Other HPS'!$AB300+'C19RM 2021-Lab &amp; Other HPS'!$AP300+'C19RM 2021-Lab &amp; Other HPS'!$AI300+AW300+BD300</f>
        <v>0</v>
      </c>
      <c r="BG300" s="514">
        <f>'C19RM 2021-Lab &amp; Other HPS'!$V300+'C19RM 2021-Lab &amp; Other HPS'!$AC300+'C19RM 2021-Lab &amp; Other HPS'!$AQ300+'C19RM 2021-Lab &amp; Other HPS'!$AJ300+AX300+BE300</f>
        <v>0</v>
      </c>
      <c r="BH300" s="522" t="str" cm="1">
        <f t="array" ref="BH300">IF(A300&lt;&gt;"",IFERROR(INDEX(PMtbl[[WKst]:[Unit of measure*]],MATCH($A$222&amp;$A300&amp;$E300&amp;$I300,INDEX(PMtbl[Sec]&amp;PMtbl[Category]&amp;PMtbl[Each]&amp;PMtbl[Packaging],0,),0),11),""),"")</f>
        <v/>
      </c>
      <c r="BI300" s="818"/>
      <c r="BJ300" s="503" t="str" cm="1">
        <f t="array" ref="BJ300">IFERROR(INDEX(SETUP!$C$19:$G$121,MATCH((INDEX(PMtbl[[WKst]:[Unit of measure*]],MATCH($A300&amp;$E300&amp;$I300,INDEX(PMtbl[Category]&amp;PMtbl[Each]&amp;PMtbl[Packaging],0,),0),3)),SETUP!$D$19:$D$121,0),5),"")</f>
        <v/>
      </c>
      <c r="BK300" s="543"/>
      <c r="BL300" s="215"/>
      <c r="BO300" s="12">
        <f>IF(N300="",0,IF(SETUP!$E$7="USD",((IF(O300="USD",P300,(P300/'Master Data-C19RM'!$C$2)))),((IF(O300="EUR",P300,(P300*'Master Data-C19RM'!$C$2))))))</f>
        <v>0</v>
      </c>
      <c r="BP300" s="12">
        <f>IF(N300="",0,IF(SETUP!$E$7="USD",((IF(O300="USD",W300,(W300/'Master Data-C19RM'!$D$2)))),((IF(O300="EUR",W300,(W300*'Master Data-C19RM'!$D$2))))))</f>
        <v>0</v>
      </c>
      <c r="BQ300">
        <f>IF(N300="",0,IF(SETUP!$E$7="USD",((IF(O300="USD",AD300,(AD300/'Master Data-C19RM'!$E$2)))),((IF(O300="EUR",AD300,(AD300*'Master Data-C19RM'!$E$2))))))</f>
        <v>0</v>
      </c>
      <c r="BR300">
        <f>IF(N300="",0,IF(SETUP!$E$7="USD",((IF(O300="USD",AK300,(AK300/'Master Data-C19RM'!$F$2)))),((IF(O300="EUR",AK300,(AK300*'Master Data-C19RM'!$F$2))))))</f>
        <v>0</v>
      </c>
      <c r="BS300">
        <f>IF(N300="",0,IF(SETUP!$E$7="USD",((IF(O300="USD",AR300,(AR300/'Master Data-C19RM'!$G$2)))),((IF(O300="EUR",AR300,(AR300*'Master Data-C19RM'!$G$2))))))</f>
        <v>0</v>
      </c>
      <c r="BT300">
        <f>IF(N300="",0,IF(SETUP!$E$7="USD",((IF(O300="USD",AY300,(AY300/'Master Data-C19RM'!$H$2)))),((IF(O300="EUR",AY300,(AY300*'Master Data-C19RM'!$H$2))))))</f>
        <v>0</v>
      </c>
      <c r="BU300" s="12">
        <f t="shared" si="39"/>
        <v>0</v>
      </c>
      <c r="BV300" s="142">
        <f t="shared" si="40"/>
        <v>0</v>
      </c>
    </row>
    <row r="301" spans="1:74" x14ac:dyDescent="0.35">
      <c r="A301" s="1165"/>
      <c r="B301" s="1165"/>
      <c r="C301" s="1165"/>
      <c r="D301" s="1165"/>
      <c r="E301" s="1166"/>
      <c r="F301" s="1166"/>
      <c r="G301" s="1166"/>
      <c r="H301" s="1166"/>
      <c r="I301" s="1166"/>
      <c r="J301" s="1166"/>
      <c r="K301" s="1166"/>
      <c r="L301" s="490" t="str" cm="1">
        <f t="array" ref="L301">IF(A301&lt;&gt;"",IFERROR(INDEX(PMtbl[[WKst]:[Unit of measure*]],MATCH($A$222&amp;$A301&amp;$E301&amp;$I301,INDEX(PMtbl[Sec]&amp;PMtbl[Category]&amp;PMtbl[Each]&amp;PMtbl[Packaging],0,),0),14),""),"")</f>
        <v/>
      </c>
      <c r="M301" s="479" t="str">
        <f>IF(L301="","",INDEX(SETUP!$E$20:$E$122,(MATCH(INDEX(PMsheet!$D:$E,MATCH(A301,PMsheet!E:E,0),1),SETUP!$D$20:$D$122,0))))</f>
        <v/>
      </c>
      <c r="N301" s="491">
        <f>IF($O301="USD",_xlfn.IFNA(VLOOKUP(A301&amp;E301&amp;I301,PMsheet!J:K,2,0),0),(_xlfn.IFNA(VLOOKUP(A301&amp;E301&amp;I301,PMsheet!J:K,2,0),0)*'Master Data-C19RM'!$C$2))</f>
        <v>0</v>
      </c>
      <c r="O301" s="492" t="str">
        <f>IF(L301="", "",SETUP!$E$7)</f>
        <v/>
      </c>
      <c r="P301" s="444">
        <f>IF($O301="USD",_xlfn.IFNA(VLOOKUP($A301&amp;$E301&amp;$I301,PMsheet!$J:$K,2,0),0),(_xlfn.IFNA(VLOOKUP($A301&amp;$E301&amp;$I301,PMsheet!$J:$K,2,0),0)*'Master Data-C19RM'!$C$2))</f>
        <v>0</v>
      </c>
      <c r="Q301" s="441"/>
      <c r="R301" s="441"/>
      <c r="S301" s="441"/>
      <c r="T301" s="441"/>
      <c r="U301" s="481">
        <f t="shared" si="34"/>
        <v>0</v>
      </c>
      <c r="V301" s="483">
        <f>IF(SETUP!$E$7="USD",(U301*(IF(O301="USD",P301,(P301/'Master Data-C19RM'!$C$2)))),(U301*(IF(O301="EUR",P301,(P301*'Master Data-C19RM'!$C$2)))))</f>
        <v>0</v>
      </c>
      <c r="W301" s="444">
        <f>IF($O301="USD",_xlfn.IFNA(VLOOKUP($A301&amp;$E301&amp;$I301,PMsheet!$J:$K,2,0),0),(_xlfn.IFNA(VLOOKUP($A301&amp;$E301&amp;$I301,PMsheet!$J:$K,2,0),0)*'Master Data-C19RM'!$D$2))</f>
        <v>0</v>
      </c>
      <c r="X301" s="441"/>
      <c r="Y301" s="441"/>
      <c r="Z301" s="441"/>
      <c r="AA301" s="441"/>
      <c r="AB301" s="481">
        <f t="shared" si="35"/>
        <v>0</v>
      </c>
      <c r="AC301" s="483">
        <f>IF(SETUP!$E$7="USD",(AB301*(IF(O301="USD",W301,(W301/'Master Data-C19RM'!$D$2)))),(AB301*(IF(O301="EUR",W301,(W301*'Master Data-C19RM'!$D$2)))))</f>
        <v>0</v>
      </c>
      <c r="AD301" s="444">
        <f>IF($O301="USD",_xlfn.IFNA(VLOOKUP($A301&amp;$E301&amp;$I301,PMsheet!$J:$K,2,0),0),(_xlfn.IFNA(VLOOKUP($A301&amp;$E301&amp;$I301,PMsheet!$J:$K,2,0),0)*'Master Data-C19RM'!$E$2))</f>
        <v>0</v>
      </c>
      <c r="AE301" s="441"/>
      <c r="AF301" s="441"/>
      <c r="AG301" s="441"/>
      <c r="AH301" s="441"/>
      <c r="AI301" s="512">
        <f t="shared" si="36"/>
        <v>0</v>
      </c>
      <c r="AJ301" s="513">
        <f>IF(SETUP!$E$7="USD",(AI301*(IF(O301="USD",AD301,(AD301/'Master Data-C19RM'!$E$2)))),(AI301*(IF(O301="EUR",AD301,(AD301*'Master Data-C19RM'!$E$2)))))</f>
        <v>0</v>
      </c>
      <c r="AK301" s="444">
        <f>IF($O301="USD",_xlfn.IFNA(VLOOKUP($A301&amp;$E301&amp;$I301,PMsheet!$J:$K,2,0),0),(_xlfn.IFNA(VLOOKUP($A301&amp;$E301&amp;$I301,PMsheet!$J:$K,2,0),0)*'Master Data-C19RM'!$F$2))</f>
        <v>0</v>
      </c>
      <c r="AL301" s="441"/>
      <c r="AM301" s="441"/>
      <c r="AN301" s="441"/>
      <c r="AO301" s="441"/>
      <c r="AP301" s="512">
        <f t="shared" si="37"/>
        <v>0</v>
      </c>
      <c r="AQ301" s="513">
        <f>IF(SETUP!$E$7="USD",(AP301*(IF(O301="USD",AK301,(AK301/'Master Data-C19RM'!$F$2)))),(AP301*(IF(O301="EUR",AK301,(AK301*'Master Data-C19RM'!$F$2)))))</f>
        <v>0</v>
      </c>
      <c r="AR301" s="456">
        <f>IF($O301="USD",_xlfn.IFNA(VLOOKUP($A301&amp;$E301&amp;$I301,PMsheet!$J:$K,2,0),0),(_xlfn.IFNA(VLOOKUP($A301&amp;$E301&amp;$I301,PMsheet!$J:$K,2,0),0)*'Master Data-C19RM'!$G$2))</f>
        <v>0</v>
      </c>
      <c r="AS301" s="572"/>
      <c r="AT301" s="572"/>
      <c r="AU301" s="572"/>
      <c r="AV301" s="572"/>
      <c r="AW301" s="512">
        <f t="shared" si="41"/>
        <v>0</v>
      </c>
      <c r="AX301" s="513">
        <f>IF(SETUP!$E$7="USD",(AW301*(IF(O301="USD",AR301,(AR301/'Master Data-C19RM'!$G$2)))),(AW301*(IF(O301="EUR",AR301,(AR301*'Master Data-C19RM'!$G$2)))))</f>
        <v>0</v>
      </c>
      <c r="AY301" s="845"/>
      <c r="AZ301" s="846"/>
      <c r="BA301" s="846"/>
      <c r="BB301" s="846"/>
      <c r="BC301" s="846"/>
      <c r="BD301" s="846"/>
      <c r="BE301" s="847"/>
      <c r="BF301" s="512">
        <f>'C19RM 2021-Lab &amp; Other HPS'!$U301+'C19RM 2021-Lab &amp; Other HPS'!$AB301+'C19RM 2021-Lab &amp; Other HPS'!$AP301+'C19RM 2021-Lab &amp; Other HPS'!$AI301+AW301+BD301</f>
        <v>0</v>
      </c>
      <c r="BG301" s="512">
        <f>'C19RM 2021-Lab &amp; Other HPS'!$V301+'C19RM 2021-Lab &amp; Other HPS'!$AC301+'C19RM 2021-Lab &amp; Other HPS'!$AQ301+'C19RM 2021-Lab &amp; Other HPS'!$AJ301+AX301+BE301</f>
        <v>0</v>
      </c>
      <c r="BH301" s="500" t="str" cm="1">
        <f t="array" ref="BH301">IF(A301&lt;&gt;"",IFERROR(INDEX(PMtbl[[WKst]:[Unit of measure*]],MATCH($A$222&amp;$A301&amp;$E301&amp;$I301,INDEX(PMtbl[Sec]&amp;PMtbl[Category]&amp;PMtbl[Each]&amp;PMtbl[Packaging],0,),0),11),""),"")</f>
        <v/>
      </c>
      <c r="BI301" s="819"/>
      <c r="BJ301" s="502" t="str" cm="1">
        <f t="array" ref="BJ301">IFERROR(INDEX(SETUP!$C$19:$G$121,MATCH((INDEX(PMtbl[[WKst]:[Unit of measure*]],MATCH($A301&amp;$E301&amp;$I301,INDEX(PMtbl[Category]&amp;PMtbl[Each]&amp;PMtbl[Packaging],0,),0),3)),SETUP!$D$19:$D$121,0),5),"")</f>
        <v/>
      </c>
      <c r="BK301" s="542"/>
      <c r="BL301" s="214"/>
      <c r="BO301" s="12">
        <f>IF(N301="",0,IF(SETUP!$E$7="USD",((IF(O301="USD",P301,(P301/'Master Data-C19RM'!$C$2)))),((IF(O301="EUR",P301,(P301*'Master Data-C19RM'!$C$2))))))</f>
        <v>0</v>
      </c>
      <c r="BP301" s="12">
        <f>IF(N301="",0,IF(SETUP!$E$7="USD",((IF(O301="USD",W301,(W301/'Master Data-C19RM'!$D$2)))),((IF(O301="EUR",W301,(W301*'Master Data-C19RM'!$D$2))))))</f>
        <v>0</v>
      </c>
      <c r="BQ301">
        <f>IF(N301="",0,IF(SETUP!$E$7="USD",((IF(O301="USD",AD301,(AD301/'Master Data-C19RM'!$E$2)))),((IF(O301="EUR",AD301,(AD301*'Master Data-C19RM'!$E$2))))))</f>
        <v>0</v>
      </c>
      <c r="BR301">
        <f>IF(N301="",0,IF(SETUP!$E$7="USD",((IF(O301="USD",AK301,(AK301/'Master Data-C19RM'!$F$2)))),((IF(O301="EUR",AK301,(AK301*'Master Data-C19RM'!$F$2))))))</f>
        <v>0</v>
      </c>
      <c r="BS301">
        <f>IF(N301="",0,IF(SETUP!$E$7="USD",((IF(O301="USD",AR301,(AR301/'Master Data-C19RM'!$G$2)))),((IF(O301="EUR",AR301,(AR301*'Master Data-C19RM'!$G$2))))))</f>
        <v>0</v>
      </c>
      <c r="BT301">
        <f>IF(N301="",0,IF(SETUP!$E$7="USD",((IF(O301="USD",AY301,(AY301/'Master Data-C19RM'!$H$2)))),((IF(O301="EUR",AY301,(AY301*'Master Data-C19RM'!$H$2))))))</f>
        <v>0</v>
      </c>
      <c r="BU301" s="12">
        <f t="shared" si="39"/>
        <v>0</v>
      </c>
      <c r="BV301" s="142">
        <f t="shared" si="40"/>
        <v>0</v>
      </c>
    </row>
    <row r="302" spans="1:74" x14ac:dyDescent="0.35">
      <c r="A302" s="1172"/>
      <c r="B302" s="1172"/>
      <c r="C302" s="1172"/>
      <c r="D302" s="1172"/>
      <c r="E302" s="1173"/>
      <c r="F302" s="1173"/>
      <c r="G302" s="1173"/>
      <c r="H302" s="1173"/>
      <c r="I302" s="1173"/>
      <c r="J302" s="1173"/>
      <c r="K302" s="1173"/>
      <c r="L302" s="493" t="str" cm="1">
        <f t="array" ref="L302">IF(A302&lt;&gt;"",IFERROR(INDEX(PMtbl[[WKst]:[Unit of measure*]],MATCH($A$222&amp;$A302&amp;$E302&amp;$I302,INDEX(PMtbl[Sec]&amp;PMtbl[Category]&amp;PMtbl[Each]&amp;PMtbl[Packaging],0,),0),14),""),"")</f>
        <v/>
      </c>
      <c r="M302" s="480" t="str">
        <f>IF(L302="","",INDEX(SETUP!$E$20:$E$122,(MATCH(INDEX(PMsheet!$D:$E,MATCH(A302,PMsheet!E:E,0),1),SETUP!$D$20:$D$122,0))))</f>
        <v/>
      </c>
      <c r="N302" s="494">
        <f>IF($O302="USD",_xlfn.IFNA(VLOOKUP(A302&amp;E302&amp;I302,PMsheet!J:K,2,0),0),(_xlfn.IFNA(VLOOKUP(A302&amp;E302&amp;I302,PMsheet!J:K,2,0),0)*'Master Data-C19RM'!$C$2))</f>
        <v>0</v>
      </c>
      <c r="O302" s="495" t="str">
        <f>IF(L302="", "",SETUP!$E$7)</f>
        <v/>
      </c>
      <c r="P302" s="445">
        <f>IF($O302="USD",_xlfn.IFNA(VLOOKUP($A302&amp;$E302&amp;$I302,PMsheet!$J:$K,2,0),0),(_xlfn.IFNA(VLOOKUP($A302&amp;$E302&amp;$I302,PMsheet!$J:$K,2,0),0)*'Master Data-C19RM'!$C$2))</f>
        <v>0</v>
      </c>
      <c r="Q302" s="440"/>
      <c r="R302" s="440"/>
      <c r="S302" s="440"/>
      <c r="T302" s="440"/>
      <c r="U302" s="482">
        <f t="shared" si="34"/>
        <v>0</v>
      </c>
      <c r="V302" s="484">
        <f>IF(SETUP!$E$7="USD",(U302*(IF(O302="USD",P302,(P302/'Master Data-C19RM'!$C$2)))),(U302*(IF(O302="EUR",P302,(P302*'Master Data-C19RM'!$C$2)))))</f>
        <v>0</v>
      </c>
      <c r="W302" s="445">
        <f>IF($O302="USD",_xlfn.IFNA(VLOOKUP($A302&amp;$E302&amp;$I302,PMsheet!$J:$K,2,0),0),(_xlfn.IFNA(VLOOKUP($A302&amp;$E302&amp;$I302,PMsheet!$J:$K,2,0),0)*'Master Data-C19RM'!$D$2))</f>
        <v>0</v>
      </c>
      <c r="X302" s="440"/>
      <c r="Y302" s="440"/>
      <c r="Z302" s="440"/>
      <c r="AA302" s="440"/>
      <c r="AB302" s="482">
        <f t="shared" si="35"/>
        <v>0</v>
      </c>
      <c r="AC302" s="484">
        <f>IF(SETUP!$E$7="USD",(AB302*(IF(O302="USD",W302,(W302/'Master Data-C19RM'!$D$2)))),(AB302*(IF(O302="EUR",W302,(W302*'Master Data-C19RM'!$D$2)))))</f>
        <v>0</v>
      </c>
      <c r="AD302" s="445">
        <f>IF($O302="USD",_xlfn.IFNA(VLOOKUP($A302&amp;$E302&amp;$I302,PMsheet!$J:$K,2,0),0),(_xlfn.IFNA(VLOOKUP($A302&amp;$E302&amp;$I302,PMsheet!$J:$K,2,0),0)*'Master Data-C19RM'!$E$2))</f>
        <v>0</v>
      </c>
      <c r="AE302" s="440"/>
      <c r="AF302" s="440"/>
      <c r="AG302" s="440"/>
      <c r="AH302" s="440"/>
      <c r="AI302" s="514">
        <f t="shared" si="36"/>
        <v>0</v>
      </c>
      <c r="AJ302" s="515">
        <f>IF(SETUP!$E$7="USD",(AI302*(IF(O302="USD",AD302,(AD302/'Master Data-C19RM'!$E$2)))),(AI302*(IF(O302="EUR",AD302,(AD302*'Master Data-C19RM'!$E$2)))))</f>
        <v>0</v>
      </c>
      <c r="AK302" s="445">
        <f>IF($O302="USD",_xlfn.IFNA(VLOOKUP($A302&amp;$E302&amp;$I302,PMsheet!$J:$K,2,0),0),(_xlfn.IFNA(VLOOKUP($A302&amp;$E302&amp;$I302,PMsheet!$J:$K,2,0),0)*'Master Data-C19RM'!$F$2))</f>
        <v>0</v>
      </c>
      <c r="AL302" s="440"/>
      <c r="AM302" s="440"/>
      <c r="AN302" s="440"/>
      <c r="AO302" s="440"/>
      <c r="AP302" s="514">
        <f t="shared" si="37"/>
        <v>0</v>
      </c>
      <c r="AQ302" s="515">
        <f>IF(SETUP!$E$7="USD",(AP302*(IF(O302="USD",AK302,(AK302/'Master Data-C19RM'!$F$2)))),(AP302*(IF(O302="EUR",AK302,(AK302*'Master Data-C19RM'!$F$2)))))</f>
        <v>0</v>
      </c>
      <c r="AR302" s="457">
        <f>IF($O302="USD",_xlfn.IFNA(VLOOKUP($A302&amp;$E302&amp;$I302,PMsheet!$J:$K,2,0),0),(_xlfn.IFNA(VLOOKUP($A302&amp;$E302&amp;$I302,PMsheet!$J:$K,2,0),0)*'Master Data-C19RM'!$G$2))</f>
        <v>0</v>
      </c>
      <c r="AS302" s="926"/>
      <c r="AT302" s="926"/>
      <c r="AU302" s="926"/>
      <c r="AV302" s="926"/>
      <c r="AW302" s="514">
        <f t="shared" si="41"/>
        <v>0</v>
      </c>
      <c r="AX302" s="515">
        <f>IF(SETUP!$E$7="USD",(AW302*(IF(O302="USD",AR302,(AR302/'Master Data-C19RM'!$G$2)))),(AW302*(IF(O302="EUR",AR302,(AR302*'Master Data-C19RM'!$G$2)))))</f>
        <v>0</v>
      </c>
      <c r="AY302" s="845"/>
      <c r="AZ302" s="846"/>
      <c r="BA302" s="846"/>
      <c r="BB302" s="846"/>
      <c r="BC302" s="846"/>
      <c r="BD302" s="846"/>
      <c r="BE302" s="847"/>
      <c r="BF302" s="514">
        <f>'C19RM 2021-Lab &amp; Other HPS'!$U302+'C19RM 2021-Lab &amp; Other HPS'!$AB302+'C19RM 2021-Lab &amp; Other HPS'!$AP302+'C19RM 2021-Lab &amp; Other HPS'!$AI302+AW302+BD302</f>
        <v>0</v>
      </c>
      <c r="BG302" s="514">
        <f>'C19RM 2021-Lab &amp; Other HPS'!$V302+'C19RM 2021-Lab &amp; Other HPS'!$AC302+'C19RM 2021-Lab &amp; Other HPS'!$AQ302+'C19RM 2021-Lab &amp; Other HPS'!$AJ302+AX302+BE302</f>
        <v>0</v>
      </c>
      <c r="BH302" s="522" t="str" cm="1">
        <f t="array" ref="BH302">IF(A302&lt;&gt;"",IFERROR(INDEX(PMtbl[[WKst]:[Unit of measure*]],MATCH($A$222&amp;$A302&amp;$E302&amp;$I302,INDEX(PMtbl[Sec]&amp;PMtbl[Category]&amp;PMtbl[Each]&amp;PMtbl[Packaging],0,),0),11),""),"")</f>
        <v/>
      </c>
      <c r="BI302" s="818"/>
      <c r="BJ302" s="503" t="str" cm="1">
        <f t="array" ref="BJ302">IFERROR(INDEX(SETUP!$C$19:$G$121,MATCH((INDEX(PMtbl[[WKst]:[Unit of measure*]],MATCH($A302&amp;$E302&amp;$I302,INDEX(PMtbl[Category]&amp;PMtbl[Each]&amp;PMtbl[Packaging],0,),0),3)),SETUP!$D$19:$D$121,0),5),"")</f>
        <v/>
      </c>
      <c r="BK302" s="543"/>
      <c r="BL302" s="215"/>
      <c r="BO302" s="12">
        <f>IF(N302="",0,IF(SETUP!$E$7="USD",((IF(O302="USD",P302,(P302/'Master Data-C19RM'!$C$2)))),((IF(O302="EUR",P302,(P302*'Master Data-C19RM'!$C$2))))))</f>
        <v>0</v>
      </c>
      <c r="BP302" s="12">
        <f>IF(N302="",0,IF(SETUP!$E$7="USD",((IF(O302="USD",W302,(W302/'Master Data-C19RM'!$D$2)))),((IF(O302="EUR",W302,(W302*'Master Data-C19RM'!$D$2))))))</f>
        <v>0</v>
      </c>
      <c r="BQ302">
        <f>IF(N302="",0,IF(SETUP!$E$7="USD",((IF(O302="USD",AD302,(AD302/'Master Data-C19RM'!$E$2)))),((IF(O302="EUR",AD302,(AD302*'Master Data-C19RM'!$E$2))))))</f>
        <v>0</v>
      </c>
      <c r="BR302">
        <f>IF(N302="",0,IF(SETUP!$E$7="USD",((IF(O302="USD",AK302,(AK302/'Master Data-C19RM'!$F$2)))),((IF(O302="EUR",AK302,(AK302*'Master Data-C19RM'!$F$2))))))</f>
        <v>0</v>
      </c>
      <c r="BS302">
        <f>IF(N302="",0,IF(SETUP!$E$7="USD",((IF(O302="USD",AR302,(AR302/'Master Data-C19RM'!$G$2)))),((IF(O302="EUR",AR302,(AR302*'Master Data-C19RM'!$G$2))))))</f>
        <v>0</v>
      </c>
      <c r="BT302">
        <f>IF(N302="",0,IF(SETUP!$E$7="USD",((IF(O302="USD",AY302,(AY302/'Master Data-C19RM'!$H$2)))),((IF(O302="EUR",AY302,(AY302*'Master Data-C19RM'!$H$2))))))</f>
        <v>0</v>
      </c>
      <c r="BU302" s="12">
        <f t="shared" si="39"/>
        <v>0</v>
      </c>
      <c r="BV302" s="142">
        <f t="shared" si="40"/>
        <v>0</v>
      </c>
    </row>
    <row r="303" spans="1:74" x14ac:dyDescent="0.35">
      <c r="A303" s="1165"/>
      <c r="B303" s="1165"/>
      <c r="C303" s="1165"/>
      <c r="D303" s="1165"/>
      <c r="E303" s="1166"/>
      <c r="F303" s="1166"/>
      <c r="G303" s="1166"/>
      <c r="H303" s="1166"/>
      <c r="I303" s="1166"/>
      <c r="J303" s="1166"/>
      <c r="K303" s="1166"/>
      <c r="L303" s="490" t="str" cm="1">
        <f t="array" ref="L303">IF(A303&lt;&gt;"",IFERROR(INDEX(PMtbl[[WKst]:[Unit of measure*]],MATCH($A$222&amp;$A303&amp;$E303&amp;$I303,INDEX(PMtbl[Sec]&amp;PMtbl[Category]&amp;PMtbl[Each]&amp;PMtbl[Packaging],0,),0),14),""),"")</f>
        <v/>
      </c>
      <c r="M303" s="479" t="str">
        <f>IF(L303="","",INDEX(SETUP!$E$20:$E$122,(MATCH(INDEX(PMsheet!$D:$E,MATCH(A303,PMsheet!E:E,0),1),SETUP!$D$20:$D$122,0))))</f>
        <v/>
      </c>
      <c r="N303" s="491">
        <f>IF($O303="USD",_xlfn.IFNA(VLOOKUP(A303&amp;E303&amp;I303,PMsheet!J:K,2,0),0),(_xlfn.IFNA(VLOOKUP(A303&amp;E303&amp;I303,PMsheet!J:K,2,0),0)*'Master Data-C19RM'!$C$2))</f>
        <v>0</v>
      </c>
      <c r="O303" s="492" t="str">
        <f>IF(L303="", "",SETUP!$E$7)</f>
        <v/>
      </c>
      <c r="P303" s="444">
        <f>IF($O303="USD",_xlfn.IFNA(VLOOKUP($A303&amp;$E303&amp;$I303,PMsheet!$J:$K,2,0),0),(_xlfn.IFNA(VLOOKUP($A303&amp;$E303&amp;$I303,PMsheet!$J:$K,2,0),0)*'Master Data-C19RM'!$C$2))</f>
        <v>0</v>
      </c>
      <c r="Q303" s="441"/>
      <c r="R303" s="441"/>
      <c r="S303" s="441"/>
      <c r="T303" s="441"/>
      <c r="U303" s="481">
        <f t="shared" si="34"/>
        <v>0</v>
      </c>
      <c r="V303" s="483">
        <f>IF(SETUP!$E$7="USD",(U303*(IF(O303="USD",P303,(P303/'Master Data-C19RM'!$C$2)))),(U303*(IF(O303="EUR",P303,(P303*'Master Data-C19RM'!$C$2)))))</f>
        <v>0</v>
      </c>
      <c r="W303" s="444">
        <f>IF($O303="USD",_xlfn.IFNA(VLOOKUP($A303&amp;$E303&amp;$I303,PMsheet!$J:$K,2,0),0),(_xlfn.IFNA(VLOOKUP($A303&amp;$E303&amp;$I303,PMsheet!$J:$K,2,0),0)*'Master Data-C19RM'!$D$2))</f>
        <v>0</v>
      </c>
      <c r="X303" s="441"/>
      <c r="Y303" s="441"/>
      <c r="Z303" s="441"/>
      <c r="AA303" s="441"/>
      <c r="AB303" s="481">
        <f t="shared" si="35"/>
        <v>0</v>
      </c>
      <c r="AC303" s="483">
        <f>IF(SETUP!$E$7="USD",(AB303*(IF(O303="USD",W303,(W303/'Master Data-C19RM'!$D$2)))),(AB303*(IF(O303="EUR",W303,(W303*'Master Data-C19RM'!$D$2)))))</f>
        <v>0</v>
      </c>
      <c r="AD303" s="444">
        <f>IF($O303="USD",_xlfn.IFNA(VLOOKUP($A303&amp;$E303&amp;$I303,PMsheet!$J:$K,2,0),0),(_xlfn.IFNA(VLOOKUP($A303&amp;$E303&amp;$I303,PMsheet!$J:$K,2,0),0)*'Master Data-C19RM'!$E$2))</f>
        <v>0</v>
      </c>
      <c r="AE303" s="441"/>
      <c r="AF303" s="441"/>
      <c r="AG303" s="441"/>
      <c r="AH303" s="441"/>
      <c r="AI303" s="512">
        <f t="shared" si="36"/>
        <v>0</v>
      </c>
      <c r="AJ303" s="513">
        <f>IF(SETUP!$E$7="USD",(AI303*(IF(O303="USD",AD303,(AD303/'Master Data-C19RM'!$E$2)))),(AI303*(IF(O303="EUR",AD303,(AD303*'Master Data-C19RM'!$E$2)))))</f>
        <v>0</v>
      </c>
      <c r="AK303" s="444">
        <f>IF($O303="USD",_xlfn.IFNA(VLOOKUP($A303&amp;$E303&amp;$I303,PMsheet!$J:$K,2,0),0),(_xlfn.IFNA(VLOOKUP($A303&amp;$E303&amp;$I303,PMsheet!$J:$K,2,0),0)*'Master Data-C19RM'!$F$2))</f>
        <v>0</v>
      </c>
      <c r="AL303" s="441"/>
      <c r="AM303" s="441"/>
      <c r="AN303" s="441"/>
      <c r="AO303" s="441"/>
      <c r="AP303" s="512">
        <f t="shared" si="37"/>
        <v>0</v>
      </c>
      <c r="AQ303" s="513">
        <f>IF(SETUP!$E$7="USD",(AP303*(IF(O303="USD",AK303,(AK303/'Master Data-C19RM'!$F$2)))),(AP303*(IF(O303="EUR",AK303,(AK303*'Master Data-C19RM'!$F$2)))))</f>
        <v>0</v>
      </c>
      <c r="AR303" s="456">
        <f>IF($O303="USD",_xlfn.IFNA(VLOOKUP($A303&amp;$E303&amp;$I303,PMsheet!$J:$K,2,0),0),(_xlfn.IFNA(VLOOKUP($A303&amp;$E303&amp;$I303,PMsheet!$J:$K,2,0),0)*'Master Data-C19RM'!$G$2))</f>
        <v>0</v>
      </c>
      <c r="AS303" s="572"/>
      <c r="AT303" s="572"/>
      <c r="AU303" s="572"/>
      <c r="AV303" s="572"/>
      <c r="AW303" s="512">
        <f t="shared" si="41"/>
        <v>0</v>
      </c>
      <c r="AX303" s="513">
        <f>IF(SETUP!$E$7="USD",(AW303*(IF(O303="USD",AR303,(AR303/'Master Data-C19RM'!$G$2)))),(AW303*(IF(O303="EUR",AR303,(AR303*'Master Data-C19RM'!$G$2)))))</f>
        <v>0</v>
      </c>
      <c r="AY303" s="845"/>
      <c r="AZ303" s="846"/>
      <c r="BA303" s="846"/>
      <c r="BB303" s="846"/>
      <c r="BC303" s="846"/>
      <c r="BD303" s="846"/>
      <c r="BE303" s="847"/>
      <c r="BF303" s="512">
        <f>'C19RM 2021-Lab &amp; Other HPS'!$U303+'C19RM 2021-Lab &amp; Other HPS'!$AB303+'C19RM 2021-Lab &amp; Other HPS'!$AP303+'C19RM 2021-Lab &amp; Other HPS'!$AI303+AW303+BD303</f>
        <v>0</v>
      </c>
      <c r="BG303" s="512">
        <f>'C19RM 2021-Lab &amp; Other HPS'!$V303+'C19RM 2021-Lab &amp; Other HPS'!$AC303+'C19RM 2021-Lab &amp; Other HPS'!$AQ303+'C19RM 2021-Lab &amp; Other HPS'!$AJ303+AX303+BE303</f>
        <v>0</v>
      </c>
      <c r="BH303" s="500" t="str" cm="1">
        <f t="array" ref="BH303">IF(A303&lt;&gt;"",IFERROR(INDEX(PMtbl[[WKst]:[Unit of measure*]],MATCH($A$222&amp;$A303&amp;$E303&amp;$I303,INDEX(PMtbl[Sec]&amp;PMtbl[Category]&amp;PMtbl[Each]&amp;PMtbl[Packaging],0,),0),11),""),"")</f>
        <v/>
      </c>
      <c r="BI303" s="819"/>
      <c r="BJ303" s="502" t="str" cm="1">
        <f t="array" ref="BJ303">IFERROR(INDEX(SETUP!$C$19:$G$121,MATCH((INDEX(PMtbl[[WKst]:[Unit of measure*]],MATCH($A303&amp;$E303&amp;$I303,INDEX(PMtbl[Category]&amp;PMtbl[Each]&amp;PMtbl[Packaging],0,),0),3)),SETUP!$D$19:$D$121,0),5),"")</f>
        <v/>
      </c>
      <c r="BK303" s="542"/>
      <c r="BL303" s="214"/>
      <c r="BO303" s="12">
        <f>IF(N303="",0,IF(SETUP!$E$7="USD",((IF(O303="USD",P303,(P303/'Master Data-C19RM'!$C$2)))),((IF(O303="EUR",P303,(P303*'Master Data-C19RM'!$C$2))))))</f>
        <v>0</v>
      </c>
      <c r="BP303" s="12">
        <f>IF(N303="",0,IF(SETUP!$E$7="USD",((IF(O303="USD",W303,(W303/'Master Data-C19RM'!$D$2)))),((IF(O303="EUR",W303,(W303*'Master Data-C19RM'!$D$2))))))</f>
        <v>0</v>
      </c>
      <c r="BQ303">
        <f>IF(N303="",0,IF(SETUP!$E$7="USD",((IF(O303="USD",AD303,(AD303/'Master Data-C19RM'!$E$2)))),((IF(O303="EUR",AD303,(AD303*'Master Data-C19RM'!$E$2))))))</f>
        <v>0</v>
      </c>
      <c r="BR303">
        <f>IF(N303="",0,IF(SETUP!$E$7="USD",((IF(O303="USD",AK303,(AK303/'Master Data-C19RM'!$F$2)))),((IF(O303="EUR",AK303,(AK303*'Master Data-C19RM'!$F$2))))))</f>
        <v>0</v>
      </c>
      <c r="BS303">
        <f>IF(N303="",0,IF(SETUP!$E$7="USD",((IF(O303="USD",AR303,(AR303/'Master Data-C19RM'!$G$2)))),((IF(O303="EUR",AR303,(AR303*'Master Data-C19RM'!$G$2))))))</f>
        <v>0</v>
      </c>
      <c r="BT303">
        <f>IF(N303="",0,IF(SETUP!$E$7="USD",((IF(O303="USD",AY303,(AY303/'Master Data-C19RM'!$H$2)))),((IF(O303="EUR",AY303,(AY303*'Master Data-C19RM'!$H$2))))))</f>
        <v>0</v>
      </c>
      <c r="BU303" s="12">
        <f t="shared" si="39"/>
        <v>0</v>
      </c>
      <c r="BV303" s="142">
        <f t="shared" si="40"/>
        <v>0</v>
      </c>
    </row>
    <row r="304" spans="1:74" x14ac:dyDescent="0.35">
      <c r="A304" s="1172"/>
      <c r="B304" s="1172"/>
      <c r="C304" s="1172"/>
      <c r="D304" s="1172"/>
      <c r="E304" s="1173"/>
      <c r="F304" s="1173"/>
      <c r="G304" s="1173"/>
      <c r="H304" s="1173"/>
      <c r="I304" s="1173"/>
      <c r="J304" s="1173"/>
      <c r="K304" s="1173"/>
      <c r="L304" s="493" t="str" cm="1">
        <f t="array" ref="L304">IF(A304&lt;&gt;"",IFERROR(INDEX(PMtbl[[WKst]:[Unit of measure*]],MATCH($A$222&amp;$A304&amp;$E304&amp;$I304,INDEX(PMtbl[Sec]&amp;PMtbl[Category]&amp;PMtbl[Each]&amp;PMtbl[Packaging],0,),0),14),""),"")</f>
        <v/>
      </c>
      <c r="M304" s="480" t="str">
        <f>IF(L304="","",INDEX(SETUP!$E$20:$E$122,(MATCH(INDEX(PMsheet!$D:$E,MATCH(A304,PMsheet!E:E,0),1),SETUP!$D$20:$D$122,0))))</f>
        <v/>
      </c>
      <c r="N304" s="494">
        <f>IF($O304="USD",_xlfn.IFNA(VLOOKUP(A304&amp;E304&amp;I304,PMsheet!J:K,2,0),0),(_xlfn.IFNA(VLOOKUP(A304&amp;E304&amp;I304,PMsheet!J:K,2,0),0)*'Master Data-C19RM'!$C$2))</f>
        <v>0</v>
      </c>
      <c r="O304" s="495" t="str">
        <f>IF(L304="", "",SETUP!$E$7)</f>
        <v/>
      </c>
      <c r="P304" s="445">
        <f>IF($O304="USD",_xlfn.IFNA(VLOOKUP($A304&amp;$E304&amp;$I304,PMsheet!$J:$K,2,0),0),(_xlfn.IFNA(VLOOKUP($A304&amp;$E304&amp;$I304,PMsheet!$J:$K,2,0),0)*'Master Data-C19RM'!$C$2))</f>
        <v>0</v>
      </c>
      <c r="Q304" s="440"/>
      <c r="R304" s="440"/>
      <c r="S304" s="440"/>
      <c r="T304" s="440"/>
      <c r="U304" s="482">
        <f t="shared" si="34"/>
        <v>0</v>
      </c>
      <c r="V304" s="484">
        <f>IF(SETUP!$E$7="USD",(U304*(IF(O304="USD",P304,(P304/'Master Data-C19RM'!$C$2)))),(U304*(IF(O304="EUR",P304,(P304*'Master Data-C19RM'!$C$2)))))</f>
        <v>0</v>
      </c>
      <c r="W304" s="445">
        <f>IF($O304="USD",_xlfn.IFNA(VLOOKUP($A304&amp;$E304&amp;$I304,PMsheet!$J:$K,2,0),0),(_xlfn.IFNA(VLOOKUP($A304&amp;$E304&amp;$I304,PMsheet!$J:$K,2,0),0)*'Master Data-C19RM'!$D$2))</f>
        <v>0</v>
      </c>
      <c r="X304" s="440"/>
      <c r="Y304" s="440"/>
      <c r="Z304" s="440"/>
      <c r="AA304" s="440"/>
      <c r="AB304" s="482">
        <f t="shared" si="35"/>
        <v>0</v>
      </c>
      <c r="AC304" s="484">
        <f>IF(SETUP!$E$7="USD",(AB304*(IF(O304="USD",W304,(W304/'Master Data-C19RM'!$D$2)))),(AB304*(IF(O304="EUR",W304,(W304*'Master Data-C19RM'!$D$2)))))</f>
        <v>0</v>
      </c>
      <c r="AD304" s="445">
        <f>IF($O304="USD",_xlfn.IFNA(VLOOKUP($A304&amp;$E304&amp;$I304,PMsheet!$J:$K,2,0),0),(_xlfn.IFNA(VLOOKUP($A304&amp;$E304&amp;$I304,PMsheet!$J:$K,2,0),0)*'Master Data-C19RM'!$E$2))</f>
        <v>0</v>
      </c>
      <c r="AE304" s="440"/>
      <c r="AF304" s="440"/>
      <c r="AG304" s="440"/>
      <c r="AH304" s="440"/>
      <c r="AI304" s="514">
        <f t="shared" si="36"/>
        <v>0</v>
      </c>
      <c r="AJ304" s="515">
        <f>IF(SETUP!$E$7="USD",(AI304*(IF(O304="USD",AD304,(AD304/'Master Data-C19RM'!$E$2)))),(AI304*(IF(O304="EUR",AD304,(AD304*'Master Data-C19RM'!$E$2)))))</f>
        <v>0</v>
      </c>
      <c r="AK304" s="445">
        <f>IF($O304="USD",_xlfn.IFNA(VLOOKUP($A304&amp;$E304&amp;$I304,PMsheet!$J:$K,2,0),0),(_xlfn.IFNA(VLOOKUP($A304&amp;$E304&amp;$I304,PMsheet!$J:$K,2,0),0)*'Master Data-C19RM'!$F$2))</f>
        <v>0</v>
      </c>
      <c r="AL304" s="440"/>
      <c r="AM304" s="440"/>
      <c r="AN304" s="440"/>
      <c r="AO304" s="440"/>
      <c r="AP304" s="514">
        <f t="shared" si="37"/>
        <v>0</v>
      </c>
      <c r="AQ304" s="515">
        <f>IF(SETUP!$E$7="USD",(AP304*(IF(O304="USD",AK304,(AK304/'Master Data-C19RM'!$F$2)))),(AP304*(IF(O304="EUR",AK304,(AK304*'Master Data-C19RM'!$F$2)))))</f>
        <v>0</v>
      </c>
      <c r="AR304" s="457">
        <f>IF($O304="USD",_xlfn.IFNA(VLOOKUP($A304&amp;$E304&amp;$I304,PMsheet!$J:$K,2,0),0),(_xlfn.IFNA(VLOOKUP($A304&amp;$E304&amp;$I304,PMsheet!$J:$K,2,0),0)*'Master Data-C19RM'!$G$2))</f>
        <v>0</v>
      </c>
      <c r="AS304" s="926"/>
      <c r="AT304" s="926"/>
      <c r="AU304" s="926"/>
      <c r="AV304" s="926"/>
      <c r="AW304" s="514">
        <f t="shared" si="41"/>
        <v>0</v>
      </c>
      <c r="AX304" s="515">
        <f>IF(SETUP!$E$7="USD",(AW304*(IF(O304="USD",AR304,(AR304/'Master Data-C19RM'!$G$2)))),(AW304*(IF(O304="EUR",AR304,(AR304*'Master Data-C19RM'!$G$2)))))</f>
        <v>0</v>
      </c>
      <c r="AY304" s="845"/>
      <c r="AZ304" s="846"/>
      <c r="BA304" s="846"/>
      <c r="BB304" s="846"/>
      <c r="BC304" s="846"/>
      <c r="BD304" s="846"/>
      <c r="BE304" s="847"/>
      <c r="BF304" s="514">
        <f>'C19RM 2021-Lab &amp; Other HPS'!$U304+'C19RM 2021-Lab &amp; Other HPS'!$AB304+'C19RM 2021-Lab &amp; Other HPS'!$AP304+'C19RM 2021-Lab &amp; Other HPS'!$AI304+AW304+BD304</f>
        <v>0</v>
      </c>
      <c r="BG304" s="514">
        <f>'C19RM 2021-Lab &amp; Other HPS'!$V304+'C19RM 2021-Lab &amp; Other HPS'!$AC304+'C19RM 2021-Lab &amp; Other HPS'!$AQ304+'C19RM 2021-Lab &amp; Other HPS'!$AJ304+AX304+BE304</f>
        <v>0</v>
      </c>
      <c r="BH304" s="522" t="str" cm="1">
        <f t="array" ref="BH304">IF(A304&lt;&gt;"",IFERROR(INDEX(PMtbl[[WKst]:[Unit of measure*]],MATCH($A$222&amp;$A304&amp;$E304&amp;$I304,INDEX(PMtbl[Sec]&amp;PMtbl[Category]&amp;PMtbl[Each]&amp;PMtbl[Packaging],0,),0),11),""),"")</f>
        <v/>
      </c>
      <c r="BI304" s="818"/>
      <c r="BJ304" s="503" t="str" cm="1">
        <f t="array" ref="BJ304">IFERROR(INDEX(SETUP!$C$19:$G$121,MATCH((INDEX(PMtbl[[WKst]:[Unit of measure*]],MATCH($A304&amp;$E304&amp;$I304,INDEX(PMtbl[Category]&amp;PMtbl[Each]&amp;PMtbl[Packaging],0,),0),3)),SETUP!$D$19:$D$121,0),5),"")</f>
        <v/>
      </c>
      <c r="BK304" s="543"/>
      <c r="BL304" s="215"/>
      <c r="BO304" s="12">
        <f>IF(N304="",0,IF(SETUP!$E$7="USD",((IF(O304="USD",P304,(P304/'Master Data-C19RM'!$C$2)))),((IF(O304="EUR",P304,(P304*'Master Data-C19RM'!$C$2))))))</f>
        <v>0</v>
      </c>
      <c r="BP304" s="12">
        <f>IF(N304="",0,IF(SETUP!$E$7="USD",((IF(O304="USD",W304,(W304/'Master Data-C19RM'!$D$2)))),((IF(O304="EUR",W304,(W304*'Master Data-C19RM'!$D$2))))))</f>
        <v>0</v>
      </c>
      <c r="BQ304">
        <f>IF(N304="",0,IF(SETUP!$E$7="USD",((IF(O304="USD",AD304,(AD304/'Master Data-C19RM'!$E$2)))),((IF(O304="EUR",AD304,(AD304*'Master Data-C19RM'!$E$2))))))</f>
        <v>0</v>
      </c>
      <c r="BR304">
        <f>IF(N304="",0,IF(SETUP!$E$7="USD",((IF(O304="USD",AK304,(AK304/'Master Data-C19RM'!$F$2)))),((IF(O304="EUR",AK304,(AK304*'Master Data-C19RM'!$F$2))))))</f>
        <v>0</v>
      </c>
      <c r="BS304">
        <f>IF(N304="",0,IF(SETUP!$E$7="USD",((IF(O304="USD",AR304,(AR304/'Master Data-C19RM'!$G$2)))),((IF(O304="EUR",AR304,(AR304*'Master Data-C19RM'!$G$2))))))</f>
        <v>0</v>
      </c>
      <c r="BT304">
        <f>IF(N304="",0,IF(SETUP!$E$7="USD",((IF(O304="USD",AY304,(AY304/'Master Data-C19RM'!$H$2)))),((IF(O304="EUR",AY304,(AY304*'Master Data-C19RM'!$H$2))))))</f>
        <v>0</v>
      </c>
      <c r="BU304" s="12">
        <f t="shared" si="39"/>
        <v>0</v>
      </c>
      <c r="BV304" s="142">
        <f t="shared" si="40"/>
        <v>0</v>
      </c>
    </row>
    <row r="305" spans="1:74" x14ac:dyDescent="0.35">
      <c r="A305" s="1165"/>
      <c r="B305" s="1165"/>
      <c r="C305" s="1165"/>
      <c r="D305" s="1165"/>
      <c r="E305" s="1166"/>
      <c r="F305" s="1166"/>
      <c r="G305" s="1166"/>
      <c r="H305" s="1166"/>
      <c r="I305" s="1166"/>
      <c r="J305" s="1166"/>
      <c r="K305" s="1166"/>
      <c r="L305" s="490" t="str" cm="1">
        <f t="array" ref="L305">IF(A305&lt;&gt;"",IFERROR(INDEX(PMtbl[[WKst]:[Unit of measure*]],MATCH($A$222&amp;$A305&amp;$E305&amp;$I305,INDEX(PMtbl[Sec]&amp;PMtbl[Category]&amp;PMtbl[Each]&amp;PMtbl[Packaging],0,),0),14),""),"")</f>
        <v/>
      </c>
      <c r="M305" s="479" t="str">
        <f>IF(L305="","",INDEX(SETUP!$E$20:$E$122,(MATCH(INDEX(PMsheet!$D:$E,MATCH(A305,PMsheet!E:E,0),1),SETUP!$D$20:$D$122,0))))</f>
        <v/>
      </c>
      <c r="N305" s="491">
        <f>IF($O305="USD",_xlfn.IFNA(VLOOKUP(A305&amp;E305&amp;I305,PMsheet!J:K,2,0),0),(_xlfn.IFNA(VLOOKUP(A305&amp;E305&amp;I305,PMsheet!J:K,2,0),0)*'Master Data-C19RM'!$C$2))</f>
        <v>0</v>
      </c>
      <c r="O305" s="492" t="str">
        <f>IF(L305="", "",SETUP!$E$7)</f>
        <v/>
      </c>
      <c r="P305" s="444">
        <f>IF($O305="USD",_xlfn.IFNA(VLOOKUP($A305&amp;$E305&amp;$I305,PMsheet!$J:$K,2,0),0),(_xlfn.IFNA(VLOOKUP($A305&amp;$E305&amp;$I305,PMsheet!$J:$K,2,0),0)*'Master Data-C19RM'!$C$2))</f>
        <v>0</v>
      </c>
      <c r="Q305" s="441"/>
      <c r="R305" s="441"/>
      <c r="S305" s="441"/>
      <c r="T305" s="441"/>
      <c r="U305" s="481">
        <f t="shared" si="34"/>
        <v>0</v>
      </c>
      <c r="V305" s="483">
        <f>IF(SETUP!$E$7="USD",(U305*(IF(O305="USD",P305,(P305/'Master Data-C19RM'!$C$2)))),(U305*(IF(O305="EUR",P305,(P305*'Master Data-C19RM'!$C$2)))))</f>
        <v>0</v>
      </c>
      <c r="W305" s="444">
        <f>IF($O305="USD",_xlfn.IFNA(VLOOKUP($A305&amp;$E305&amp;$I305,PMsheet!$J:$K,2,0),0),(_xlfn.IFNA(VLOOKUP($A305&amp;$E305&amp;$I305,PMsheet!$J:$K,2,0),0)*'Master Data-C19RM'!$D$2))</f>
        <v>0</v>
      </c>
      <c r="X305" s="441"/>
      <c r="Y305" s="441"/>
      <c r="Z305" s="441"/>
      <c r="AA305" s="441"/>
      <c r="AB305" s="481">
        <f t="shared" si="35"/>
        <v>0</v>
      </c>
      <c r="AC305" s="483">
        <f>IF(SETUP!$E$7="USD",(AB305*(IF(O305="USD",W305,(W305/'Master Data-C19RM'!$D$2)))),(AB305*(IF(O305="EUR",W305,(W305*'Master Data-C19RM'!$D$2)))))</f>
        <v>0</v>
      </c>
      <c r="AD305" s="444">
        <f>IF($O305="USD",_xlfn.IFNA(VLOOKUP($A305&amp;$E305&amp;$I305,PMsheet!$J:$K,2,0),0),(_xlfn.IFNA(VLOOKUP($A305&amp;$E305&amp;$I305,PMsheet!$J:$K,2,0),0)*'Master Data-C19RM'!$E$2))</f>
        <v>0</v>
      </c>
      <c r="AE305" s="441"/>
      <c r="AF305" s="441"/>
      <c r="AG305" s="441"/>
      <c r="AH305" s="441"/>
      <c r="AI305" s="512">
        <f t="shared" si="36"/>
        <v>0</v>
      </c>
      <c r="AJ305" s="513">
        <f>IF(SETUP!$E$7="USD",(AI305*(IF(O305="USD",AD305,(AD305/'Master Data-C19RM'!$E$2)))),(AI305*(IF(O305="EUR",AD305,(AD305*'Master Data-C19RM'!$E$2)))))</f>
        <v>0</v>
      </c>
      <c r="AK305" s="444">
        <f>IF($O305="USD",_xlfn.IFNA(VLOOKUP($A305&amp;$E305&amp;$I305,PMsheet!$J:$K,2,0),0),(_xlfn.IFNA(VLOOKUP($A305&amp;$E305&amp;$I305,PMsheet!$J:$K,2,0),0)*'Master Data-C19RM'!$F$2))</f>
        <v>0</v>
      </c>
      <c r="AL305" s="441"/>
      <c r="AM305" s="441"/>
      <c r="AN305" s="441"/>
      <c r="AO305" s="441"/>
      <c r="AP305" s="512">
        <f t="shared" si="37"/>
        <v>0</v>
      </c>
      <c r="AQ305" s="513">
        <f>IF(SETUP!$E$7="USD",(AP305*(IF(O305="USD",AK305,(AK305/'Master Data-C19RM'!$F$2)))),(AP305*(IF(O305="EUR",AK305,(AK305*'Master Data-C19RM'!$F$2)))))</f>
        <v>0</v>
      </c>
      <c r="AR305" s="456">
        <f>IF($O305="USD",_xlfn.IFNA(VLOOKUP($A305&amp;$E305&amp;$I305,PMsheet!$J:$K,2,0),0),(_xlfn.IFNA(VLOOKUP($A305&amp;$E305&amp;$I305,PMsheet!$J:$K,2,0),0)*'Master Data-C19RM'!$G$2))</f>
        <v>0</v>
      </c>
      <c r="AS305" s="572"/>
      <c r="AT305" s="572"/>
      <c r="AU305" s="572"/>
      <c r="AV305" s="572"/>
      <c r="AW305" s="512">
        <f t="shared" si="41"/>
        <v>0</v>
      </c>
      <c r="AX305" s="513">
        <f>IF(SETUP!$E$7="USD",(AW305*(IF(O305="USD",AR305,(AR305/'Master Data-C19RM'!$G$2)))),(AW305*(IF(O305="EUR",AR305,(AR305*'Master Data-C19RM'!$G$2)))))</f>
        <v>0</v>
      </c>
      <c r="AY305" s="845"/>
      <c r="AZ305" s="846"/>
      <c r="BA305" s="846"/>
      <c r="BB305" s="846"/>
      <c r="BC305" s="846"/>
      <c r="BD305" s="846"/>
      <c r="BE305" s="847"/>
      <c r="BF305" s="512">
        <f>'C19RM 2021-Lab &amp; Other HPS'!$U305+'C19RM 2021-Lab &amp; Other HPS'!$AB305+'C19RM 2021-Lab &amp; Other HPS'!$AP305+'C19RM 2021-Lab &amp; Other HPS'!$AI305+AW305+BD305</f>
        <v>0</v>
      </c>
      <c r="BG305" s="512">
        <f>'C19RM 2021-Lab &amp; Other HPS'!$V305+'C19RM 2021-Lab &amp; Other HPS'!$AC305+'C19RM 2021-Lab &amp; Other HPS'!$AQ305+'C19RM 2021-Lab &amp; Other HPS'!$AJ305+AX305+BE305</f>
        <v>0</v>
      </c>
      <c r="BH305" s="500" t="str" cm="1">
        <f t="array" ref="BH305">IF(A305&lt;&gt;"",IFERROR(INDEX(PMtbl[[WKst]:[Unit of measure*]],MATCH($A$222&amp;$A305&amp;$E305&amp;$I305,INDEX(PMtbl[Sec]&amp;PMtbl[Category]&amp;PMtbl[Each]&amp;PMtbl[Packaging],0,),0),11),""),"")</f>
        <v/>
      </c>
      <c r="BI305" s="819"/>
      <c r="BJ305" s="502" t="str" cm="1">
        <f t="array" ref="BJ305">IFERROR(INDEX(SETUP!$C$19:$G$121,MATCH((INDEX(PMtbl[[WKst]:[Unit of measure*]],MATCH($A305&amp;$E305&amp;$I305,INDEX(PMtbl[Category]&amp;PMtbl[Each]&amp;PMtbl[Packaging],0,),0),3)),SETUP!$D$19:$D$121,0),5),"")</f>
        <v/>
      </c>
      <c r="BK305" s="542"/>
      <c r="BL305" s="214"/>
      <c r="BO305" s="12">
        <f>IF(N305="",0,IF(SETUP!$E$7="USD",((IF(O305="USD",P305,(P305/'Master Data-C19RM'!$C$2)))),((IF(O305="EUR",P305,(P305*'Master Data-C19RM'!$C$2))))))</f>
        <v>0</v>
      </c>
      <c r="BP305" s="12">
        <f>IF(N305="",0,IF(SETUP!$E$7="USD",((IF(O305="USD",W305,(W305/'Master Data-C19RM'!$D$2)))),((IF(O305="EUR",W305,(W305*'Master Data-C19RM'!$D$2))))))</f>
        <v>0</v>
      </c>
      <c r="BQ305">
        <f>IF(N305="",0,IF(SETUP!$E$7="USD",((IF(O305="USD",AD305,(AD305/'Master Data-C19RM'!$E$2)))),((IF(O305="EUR",AD305,(AD305*'Master Data-C19RM'!$E$2))))))</f>
        <v>0</v>
      </c>
      <c r="BR305">
        <f>IF(N305="",0,IF(SETUP!$E$7="USD",((IF(O305="USD",AK305,(AK305/'Master Data-C19RM'!$F$2)))),((IF(O305="EUR",AK305,(AK305*'Master Data-C19RM'!$F$2))))))</f>
        <v>0</v>
      </c>
      <c r="BS305">
        <f>IF(N305="",0,IF(SETUP!$E$7="USD",((IF(O305="USD",AR305,(AR305/'Master Data-C19RM'!$G$2)))),((IF(O305="EUR",AR305,(AR305*'Master Data-C19RM'!$G$2))))))</f>
        <v>0</v>
      </c>
      <c r="BT305">
        <f>IF(N305="",0,IF(SETUP!$E$7="USD",((IF(O305="USD",AY305,(AY305/'Master Data-C19RM'!$H$2)))),((IF(O305="EUR",AY305,(AY305*'Master Data-C19RM'!$H$2))))))</f>
        <v>0</v>
      </c>
      <c r="BU305" s="12">
        <f t="shared" si="39"/>
        <v>0</v>
      </c>
      <c r="BV305" s="142">
        <f t="shared" si="40"/>
        <v>0</v>
      </c>
    </row>
    <row r="306" spans="1:74" x14ac:dyDescent="0.35">
      <c r="A306" s="1172"/>
      <c r="B306" s="1172"/>
      <c r="C306" s="1172"/>
      <c r="D306" s="1172"/>
      <c r="E306" s="1173"/>
      <c r="F306" s="1173"/>
      <c r="G306" s="1173"/>
      <c r="H306" s="1173"/>
      <c r="I306" s="1173"/>
      <c r="J306" s="1173"/>
      <c r="K306" s="1173"/>
      <c r="L306" s="493" t="str" cm="1">
        <f t="array" ref="L306">IF(A306&lt;&gt;"",IFERROR(INDEX(PMtbl[[WKst]:[Unit of measure*]],MATCH($A$222&amp;$A306&amp;$E306&amp;$I306,INDEX(PMtbl[Sec]&amp;PMtbl[Category]&amp;PMtbl[Each]&amp;PMtbl[Packaging],0,),0),14),""),"")</f>
        <v/>
      </c>
      <c r="M306" s="480" t="str">
        <f>IF(L306="","",INDEX(SETUP!$E$20:$E$122,(MATCH(INDEX(PMsheet!$D:$E,MATCH(A306,PMsheet!E:E,0),1),SETUP!$D$20:$D$122,0))))</f>
        <v/>
      </c>
      <c r="N306" s="494">
        <f>IF($O306="USD",_xlfn.IFNA(VLOOKUP(A306&amp;E306&amp;I306,PMsheet!J:K,2,0),0),(_xlfn.IFNA(VLOOKUP(A306&amp;E306&amp;I306,PMsheet!J:K,2,0),0)*'Master Data-C19RM'!$C$2))</f>
        <v>0</v>
      </c>
      <c r="O306" s="495" t="str">
        <f>IF(L306="", "",SETUP!$E$7)</f>
        <v/>
      </c>
      <c r="P306" s="445">
        <f>IF($O306="USD",_xlfn.IFNA(VLOOKUP($A306&amp;$E306&amp;$I306,PMsheet!$J:$K,2,0),0),(_xlfn.IFNA(VLOOKUP($A306&amp;$E306&amp;$I306,PMsheet!$J:$K,2,0),0)*'Master Data-C19RM'!$C$2))</f>
        <v>0</v>
      </c>
      <c r="Q306" s="440"/>
      <c r="R306" s="440"/>
      <c r="S306" s="440"/>
      <c r="T306" s="440"/>
      <c r="U306" s="482">
        <f t="shared" si="34"/>
        <v>0</v>
      </c>
      <c r="V306" s="484">
        <f>IF(SETUP!$E$7="USD",(U306*(IF(O306="USD",P306,(P306/'Master Data-C19RM'!$C$2)))),(U306*(IF(O306="EUR",P306,(P306*'Master Data-C19RM'!$C$2)))))</f>
        <v>0</v>
      </c>
      <c r="W306" s="445">
        <f>IF($O306="USD",_xlfn.IFNA(VLOOKUP($A306&amp;$E306&amp;$I306,PMsheet!$J:$K,2,0),0),(_xlfn.IFNA(VLOOKUP($A306&amp;$E306&amp;$I306,PMsheet!$J:$K,2,0),0)*'Master Data-C19RM'!$D$2))</f>
        <v>0</v>
      </c>
      <c r="X306" s="440"/>
      <c r="Y306" s="440"/>
      <c r="Z306" s="440"/>
      <c r="AA306" s="440"/>
      <c r="AB306" s="482">
        <f t="shared" si="35"/>
        <v>0</v>
      </c>
      <c r="AC306" s="484">
        <f>IF(SETUP!$E$7="USD",(AB306*(IF(O306="USD",W306,(W306/'Master Data-C19RM'!$D$2)))),(AB306*(IF(O306="EUR",W306,(W306*'Master Data-C19RM'!$D$2)))))</f>
        <v>0</v>
      </c>
      <c r="AD306" s="445">
        <f>IF($O306="USD",_xlfn.IFNA(VLOOKUP($A306&amp;$E306&amp;$I306,PMsheet!$J:$K,2,0),0),(_xlfn.IFNA(VLOOKUP($A306&amp;$E306&amp;$I306,PMsheet!$J:$K,2,0),0)*'Master Data-C19RM'!$E$2))</f>
        <v>0</v>
      </c>
      <c r="AE306" s="440"/>
      <c r="AF306" s="440"/>
      <c r="AG306" s="440"/>
      <c r="AH306" s="440"/>
      <c r="AI306" s="514">
        <f t="shared" si="36"/>
        <v>0</v>
      </c>
      <c r="AJ306" s="515">
        <f>IF(SETUP!$E$7="USD",(AI306*(IF(O306="USD",AD306,(AD306/'Master Data-C19RM'!$E$2)))),(AI306*(IF(O306="EUR",AD306,(AD306*'Master Data-C19RM'!$E$2)))))</f>
        <v>0</v>
      </c>
      <c r="AK306" s="445">
        <f>IF($O306="USD",_xlfn.IFNA(VLOOKUP($A306&amp;$E306&amp;$I306,PMsheet!$J:$K,2,0),0),(_xlfn.IFNA(VLOOKUP($A306&amp;$E306&amp;$I306,PMsheet!$J:$K,2,0),0)*'Master Data-C19RM'!$F$2))</f>
        <v>0</v>
      </c>
      <c r="AL306" s="440"/>
      <c r="AM306" s="440"/>
      <c r="AN306" s="440"/>
      <c r="AO306" s="440"/>
      <c r="AP306" s="514">
        <f t="shared" si="37"/>
        <v>0</v>
      </c>
      <c r="AQ306" s="515">
        <f>IF(SETUP!$E$7="USD",(AP306*(IF(O306="USD",AK306,(AK306/'Master Data-C19RM'!$F$2)))),(AP306*(IF(O306="EUR",AK306,(AK306*'Master Data-C19RM'!$F$2)))))</f>
        <v>0</v>
      </c>
      <c r="AR306" s="457">
        <f>IF($O306="USD",_xlfn.IFNA(VLOOKUP($A306&amp;$E306&amp;$I306,PMsheet!$J:$K,2,0),0),(_xlfn.IFNA(VLOOKUP($A306&amp;$E306&amp;$I306,PMsheet!$J:$K,2,0),0)*'Master Data-C19RM'!$G$2))</f>
        <v>0</v>
      </c>
      <c r="AS306" s="926"/>
      <c r="AT306" s="926"/>
      <c r="AU306" s="926"/>
      <c r="AV306" s="926"/>
      <c r="AW306" s="514">
        <f t="shared" si="41"/>
        <v>0</v>
      </c>
      <c r="AX306" s="515">
        <f>IF(SETUP!$E$7="USD",(AW306*(IF(O306="USD",AR306,(AR306/'Master Data-C19RM'!$G$2)))),(AW306*(IF(O306="EUR",AR306,(AR306*'Master Data-C19RM'!$G$2)))))</f>
        <v>0</v>
      </c>
      <c r="AY306" s="845"/>
      <c r="AZ306" s="846"/>
      <c r="BA306" s="846"/>
      <c r="BB306" s="846"/>
      <c r="BC306" s="846"/>
      <c r="BD306" s="846"/>
      <c r="BE306" s="847"/>
      <c r="BF306" s="514">
        <f>'C19RM 2021-Lab &amp; Other HPS'!$U306+'C19RM 2021-Lab &amp; Other HPS'!$AB306+'C19RM 2021-Lab &amp; Other HPS'!$AP306+'C19RM 2021-Lab &amp; Other HPS'!$AI306+AW306+BD306</f>
        <v>0</v>
      </c>
      <c r="BG306" s="514">
        <f>'C19RM 2021-Lab &amp; Other HPS'!$V306+'C19RM 2021-Lab &amp; Other HPS'!$AC306+'C19RM 2021-Lab &amp; Other HPS'!$AQ306+'C19RM 2021-Lab &amp; Other HPS'!$AJ306+AX306+BE306</f>
        <v>0</v>
      </c>
      <c r="BH306" s="522" t="str" cm="1">
        <f t="array" ref="BH306">IF(A306&lt;&gt;"",IFERROR(INDEX(PMtbl[[WKst]:[Unit of measure*]],MATCH($A$222&amp;$A306&amp;$E306&amp;$I306,INDEX(PMtbl[Sec]&amp;PMtbl[Category]&amp;PMtbl[Each]&amp;PMtbl[Packaging],0,),0),11),""),"")</f>
        <v/>
      </c>
      <c r="BI306" s="818"/>
      <c r="BJ306" s="503" t="str" cm="1">
        <f t="array" ref="BJ306">IFERROR(INDEX(SETUP!$C$19:$G$121,MATCH((INDEX(PMtbl[[WKst]:[Unit of measure*]],MATCH($A306&amp;$E306&amp;$I306,INDEX(PMtbl[Category]&amp;PMtbl[Each]&amp;PMtbl[Packaging],0,),0),3)),SETUP!$D$19:$D$121,0),5),"")</f>
        <v/>
      </c>
      <c r="BK306" s="543"/>
      <c r="BL306" s="215"/>
      <c r="BO306" s="12">
        <f>IF(N306="",0,IF(SETUP!$E$7="USD",((IF(O306="USD",P306,(P306/'Master Data-C19RM'!$C$2)))),((IF(O306="EUR",P306,(P306*'Master Data-C19RM'!$C$2))))))</f>
        <v>0</v>
      </c>
      <c r="BP306" s="12">
        <f>IF(N306="",0,IF(SETUP!$E$7="USD",((IF(O306="USD",W306,(W306/'Master Data-C19RM'!$D$2)))),((IF(O306="EUR",W306,(W306*'Master Data-C19RM'!$D$2))))))</f>
        <v>0</v>
      </c>
      <c r="BQ306">
        <f>IF(N306="",0,IF(SETUP!$E$7="USD",((IF(O306="USD",AD306,(AD306/'Master Data-C19RM'!$E$2)))),((IF(O306="EUR",AD306,(AD306*'Master Data-C19RM'!$E$2))))))</f>
        <v>0</v>
      </c>
      <c r="BR306">
        <f>IF(N306="",0,IF(SETUP!$E$7="USD",((IF(O306="USD",AK306,(AK306/'Master Data-C19RM'!$F$2)))),((IF(O306="EUR",AK306,(AK306*'Master Data-C19RM'!$F$2))))))</f>
        <v>0</v>
      </c>
      <c r="BS306">
        <f>IF(N306="",0,IF(SETUP!$E$7="USD",((IF(O306="USD",AR306,(AR306/'Master Data-C19RM'!$G$2)))),((IF(O306="EUR",AR306,(AR306*'Master Data-C19RM'!$G$2))))))</f>
        <v>0</v>
      </c>
      <c r="BT306">
        <f>IF(N306="",0,IF(SETUP!$E$7="USD",((IF(O306="USD",AY306,(AY306/'Master Data-C19RM'!$H$2)))),((IF(O306="EUR",AY306,(AY306*'Master Data-C19RM'!$H$2))))))</f>
        <v>0</v>
      </c>
      <c r="BU306" s="12">
        <f t="shared" si="39"/>
        <v>0</v>
      </c>
      <c r="BV306" s="142">
        <f t="shared" si="40"/>
        <v>0</v>
      </c>
    </row>
    <row r="307" spans="1:74" x14ac:dyDescent="0.35">
      <c r="A307" s="1165"/>
      <c r="B307" s="1165"/>
      <c r="C307" s="1165"/>
      <c r="D307" s="1165"/>
      <c r="E307" s="1166"/>
      <c r="F307" s="1166"/>
      <c r="G307" s="1166"/>
      <c r="H307" s="1166"/>
      <c r="I307" s="1166"/>
      <c r="J307" s="1166"/>
      <c r="K307" s="1166"/>
      <c r="L307" s="490" t="str" cm="1">
        <f t="array" ref="L307">IF(A307&lt;&gt;"",IFERROR(INDEX(PMtbl[[WKst]:[Unit of measure*]],MATCH($A$222&amp;$A307&amp;$E307&amp;$I307,INDEX(PMtbl[Sec]&amp;PMtbl[Category]&amp;PMtbl[Each]&amp;PMtbl[Packaging],0,),0),14),""),"")</f>
        <v/>
      </c>
      <c r="M307" s="479" t="str">
        <f>IF(L307="","",INDEX(SETUP!$E$20:$E$122,(MATCH(INDEX(PMsheet!$D:$E,MATCH(A307,PMsheet!E:E,0),1),SETUP!$D$20:$D$122,0))))</f>
        <v/>
      </c>
      <c r="N307" s="491">
        <f>IF($O307="USD",_xlfn.IFNA(VLOOKUP(A307&amp;E307&amp;I307,PMsheet!J:K,2,0),0),(_xlfn.IFNA(VLOOKUP(A307&amp;E307&amp;I307,PMsheet!J:K,2,0),0)*'Master Data-C19RM'!$C$2))</f>
        <v>0</v>
      </c>
      <c r="O307" s="492" t="str">
        <f>IF(L307="", "",SETUP!$E$7)</f>
        <v/>
      </c>
      <c r="P307" s="444">
        <f>IF($O307="USD",_xlfn.IFNA(VLOOKUP($A307&amp;$E307&amp;$I307,PMsheet!$J:$K,2,0),0),(_xlfn.IFNA(VLOOKUP($A307&amp;$E307&amp;$I307,PMsheet!$J:$K,2,0),0)*'Master Data-C19RM'!$C$2))</f>
        <v>0</v>
      </c>
      <c r="Q307" s="441"/>
      <c r="R307" s="441"/>
      <c r="S307" s="441"/>
      <c r="T307" s="441"/>
      <c r="U307" s="481">
        <f t="shared" si="34"/>
        <v>0</v>
      </c>
      <c r="V307" s="483">
        <f>IF(SETUP!$E$7="USD",(U307*(IF(O307="USD",P307,(P307/'Master Data-C19RM'!$C$2)))),(U307*(IF(O307="EUR",P307,(P307*'Master Data-C19RM'!$C$2)))))</f>
        <v>0</v>
      </c>
      <c r="W307" s="444">
        <f>IF($O307="USD",_xlfn.IFNA(VLOOKUP($A307&amp;$E307&amp;$I307,PMsheet!$J:$K,2,0),0),(_xlfn.IFNA(VLOOKUP($A307&amp;$E307&amp;$I307,PMsheet!$J:$K,2,0),0)*'Master Data-C19RM'!$D$2))</f>
        <v>0</v>
      </c>
      <c r="X307" s="441"/>
      <c r="Y307" s="441"/>
      <c r="Z307" s="441"/>
      <c r="AA307" s="441"/>
      <c r="AB307" s="481">
        <f t="shared" si="35"/>
        <v>0</v>
      </c>
      <c r="AC307" s="483">
        <f>IF(SETUP!$E$7="USD",(AB307*(IF(O307="USD",W307,(W307/'Master Data-C19RM'!$D$2)))),(AB307*(IF(O307="EUR",W307,(W307*'Master Data-C19RM'!$D$2)))))</f>
        <v>0</v>
      </c>
      <c r="AD307" s="444">
        <f>IF($O307="USD",_xlfn.IFNA(VLOOKUP($A307&amp;$E307&amp;$I307,PMsheet!$J:$K,2,0),0),(_xlfn.IFNA(VLOOKUP($A307&amp;$E307&amp;$I307,PMsheet!$J:$K,2,0),0)*'Master Data-C19RM'!$E$2))</f>
        <v>0</v>
      </c>
      <c r="AE307" s="441"/>
      <c r="AF307" s="441"/>
      <c r="AG307" s="441"/>
      <c r="AH307" s="441"/>
      <c r="AI307" s="512">
        <f t="shared" si="36"/>
        <v>0</v>
      </c>
      <c r="AJ307" s="513">
        <f>IF(SETUP!$E$7="USD",(AI307*(IF(O307="USD",AD307,(AD307/'Master Data-C19RM'!$E$2)))),(AI307*(IF(O307="EUR",AD307,(AD307*'Master Data-C19RM'!$E$2)))))</f>
        <v>0</v>
      </c>
      <c r="AK307" s="444">
        <f>IF($O307="USD",_xlfn.IFNA(VLOOKUP($A307&amp;$E307&amp;$I307,PMsheet!$J:$K,2,0),0),(_xlfn.IFNA(VLOOKUP($A307&amp;$E307&amp;$I307,PMsheet!$J:$K,2,0),0)*'Master Data-C19RM'!$F$2))</f>
        <v>0</v>
      </c>
      <c r="AL307" s="441"/>
      <c r="AM307" s="441"/>
      <c r="AN307" s="441"/>
      <c r="AO307" s="441"/>
      <c r="AP307" s="512">
        <f t="shared" si="37"/>
        <v>0</v>
      </c>
      <c r="AQ307" s="513">
        <f>IF(SETUP!$E$7="USD",(AP307*(IF(O307="USD",AK307,(AK307/'Master Data-C19RM'!$F$2)))),(AP307*(IF(O307="EUR",AK307,(AK307*'Master Data-C19RM'!$F$2)))))</f>
        <v>0</v>
      </c>
      <c r="AR307" s="456">
        <f>IF($O307="USD",_xlfn.IFNA(VLOOKUP($A307&amp;$E307&amp;$I307,PMsheet!$J:$K,2,0),0),(_xlfn.IFNA(VLOOKUP($A307&amp;$E307&amp;$I307,PMsheet!$J:$K,2,0),0)*'Master Data-C19RM'!$G$2))</f>
        <v>0</v>
      </c>
      <c r="AS307" s="572"/>
      <c r="AT307" s="572"/>
      <c r="AU307" s="572"/>
      <c r="AV307" s="572"/>
      <c r="AW307" s="512">
        <f t="shared" si="41"/>
        <v>0</v>
      </c>
      <c r="AX307" s="513">
        <f>IF(SETUP!$E$7="USD",(AW307*(IF(O307="USD",AR307,(AR307/'Master Data-C19RM'!$G$2)))),(AW307*(IF(O307="EUR",AR307,(AR307*'Master Data-C19RM'!$G$2)))))</f>
        <v>0</v>
      </c>
      <c r="AY307" s="845"/>
      <c r="AZ307" s="846"/>
      <c r="BA307" s="846"/>
      <c r="BB307" s="846"/>
      <c r="BC307" s="846"/>
      <c r="BD307" s="846"/>
      <c r="BE307" s="847"/>
      <c r="BF307" s="512">
        <f>'C19RM 2021-Lab &amp; Other HPS'!$U307+'C19RM 2021-Lab &amp; Other HPS'!$AB307+'C19RM 2021-Lab &amp; Other HPS'!$AP307+'C19RM 2021-Lab &amp; Other HPS'!$AI307+AW307+BD307</f>
        <v>0</v>
      </c>
      <c r="BG307" s="512">
        <f>'C19RM 2021-Lab &amp; Other HPS'!$V307+'C19RM 2021-Lab &amp; Other HPS'!$AC307+'C19RM 2021-Lab &amp; Other HPS'!$AQ307+'C19RM 2021-Lab &amp; Other HPS'!$AJ307+AX307+BE307</f>
        <v>0</v>
      </c>
      <c r="BH307" s="500" t="str" cm="1">
        <f t="array" ref="BH307">IF(A307&lt;&gt;"",IFERROR(INDEX(PMtbl[[WKst]:[Unit of measure*]],MATCH($A$222&amp;$A307&amp;$E307&amp;$I307,INDEX(PMtbl[Sec]&amp;PMtbl[Category]&amp;PMtbl[Each]&amp;PMtbl[Packaging],0,),0),11),""),"")</f>
        <v/>
      </c>
      <c r="BI307" s="819"/>
      <c r="BJ307" s="502" t="str" cm="1">
        <f t="array" ref="BJ307">IFERROR(INDEX(SETUP!$C$19:$G$121,MATCH((INDEX(PMtbl[[WKst]:[Unit of measure*]],MATCH($A307&amp;$E307&amp;$I307,INDEX(PMtbl[Category]&amp;PMtbl[Each]&amp;PMtbl[Packaging],0,),0),3)),SETUP!$D$19:$D$121,0),5),"")</f>
        <v/>
      </c>
      <c r="BK307" s="542"/>
      <c r="BL307" s="214"/>
      <c r="BO307" s="12">
        <f>IF(N307="",0,IF(SETUP!$E$7="USD",((IF(O307="USD",P307,(P307/'Master Data-C19RM'!$C$2)))),((IF(O307="EUR",P307,(P307*'Master Data-C19RM'!$C$2))))))</f>
        <v>0</v>
      </c>
      <c r="BP307" s="12">
        <f>IF(N307="",0,IF(SETUP!$E$7="USD",((IF(O307="USD",W307,(W307/'Master Data-C19RM'!$D$2)))),((IF(O307="EUR",W307,(W307*'Master Data-C19RM'!$D$2))))))</f>
        <v>0</v>
      </c>
      <c r="BQ307">
        <f>IF(N307="",0,IF(SETUP!$E$7="USD",((IF(O307="USD",AD307,(AD307/'Master Data-C19RM'!$E$2)))),((IF(O307="EUR",AD307,(AD307*'Master Data-C19RM'!$E$2))))))</f>
        <v>0</v>
      </c>
      <c r="BR307">
        <f>IF(N307="",0,IF(SETUP!$E$7="USD",((IF(O307="USD",AK307,(AK307/'Master Data-C19RM'!$F$2)))),((IF(O307="EUR",AK307,(AK307*'Master Data-C19RM'!$F$2))))))</f>
        <v>0</v>
      </c>
      <c r="BS307">
        <f>IF(N307="",0,IF(SETUP!$E$7="USD",((IF(O307="USD",AR307,(AR307/'Master Data-C19RM'!$G$2)))),((IF(O307="EUR",AR307,(AR307*'Master Data-C19RM'!$G$2))))))</f>
        <v>0</v>
      </c>
      <c r="BT307">
        <f>IF(N307="",0,IF(SETUP!$E$7="USD",((IF(O307="USD",AY307,(AY307/'Master Data-C19RM'!$H$2)))),((IF(O307="EUR",AY307,(AY307*'Master Data-C19RM'!$H$2))))))</f>
        <v>0</v>
      </c>
      <c r="BU307" s="12">
        <f t="shared" si="39"/>
        <v>0</v>
      </c>
      <c r="BV307" s="142">
        <f t="shared" si="40"/>
        <v>0</v>
      </c>
    </row>
    <row r="308" spans="1:74" x14ac:dyDescent="0.35">
      <c r="A308" s="1172"/>
      <c r="B308" s="1172"/>
      <c r="C308" s="1172"/>
      <c r="D308" s="1172"/>
      <c r="E308" s="1173"/>
      <c r="F308" s="1173"/>
      <c r="G308" s="1173"/>
      <c r="H308" s="1173"/>
      <c r="I308" s="1173"/>
      <c r="J308" s="1173"/>
      <c r="K308" s="1173"/>
      <c r="L308" s="493" t="str" cm="1">
        <f t="array" ref="L308">IF(A308&lt;&gt;"",IFERROR(INDEX(PMtbl[[WKst]:[Unit of measure*]],MATCH($A$222&amp;$A308&amp;$E308&amp;$I308,INDEX(PMtbl[Sec]&amp;PMtbl[Category]&amp;PMtbl[Each]&amp;PMtbl[Packaging],0,),0),14),""),"")</f>
        <v/>
      </c>
      <c r="M308" s="480" t="str">
        <f>IF(L308="","",INDEX(SETUP!$E$20:$E$122,(MATCH(INDEX(PMsheet!$D:$E,MATCH(A308,PMsheet!E:E,0),1),SETUP!$D$20:$D$122,0))))</f>
        <v/>
      </c>
      <c r="N308" s="494">
        <f>IF($O308="USD",_xlfn.IFNA(VLOOKUP(A308&amp;E308&amp;I308,PMsheet!J:K,2,0),0),(_xlfn.IFNA(VLOOKUP(A308&amp;E308&amp;I308,PMsheet!J:K,2,0),0)*'Master Data-C19RM'!$C$2))</f>
        <v>0</v>
      </c>
      <c r="O308" s="495" t="str">
        <f>IF(L308="", "",SETUP!$E$7)</f>
        <v/>
      </c>
      <c r="P308" s="445">
        <f>IF($O308="USD",_xlfn.IFNA(VLOOKUP($A308&amp;$E308&amp;$I308,PMsheet!$J:$K,2,0),0),(_xlfn.IFNA(VLOOKUP($A308&amp;$E308&amp;$I308,PMsheet!$J:$K,2,0),0)*'Master Data-C19RM'!$C$2))</f>
        <v>0</v>
      </c>
      <c r="Q308" s="440"/>
      <c r="R308" s="440"/>
      <c r="S308" s="440"/>
      <c r="T308" s="440"/>
      <c r="U308" s="482">
        <f t="shared" si="34"/>
        <v>0</v>
      </c>
      <c r="V308" s="484">
        <f>IF(SETUP!$E$7="USD",(U308*(IF(O308="USD",P308,(P308/'Master Data-C19RM'!$C$2)))),(U308*(IF(O308="EUR",P308,(P308*'Master Data-C19RM'!$C$2)))))</f>
        <v>0</v>
      </c>
      <c r="W308" s="445">
        <f>IF($O308="USD",_xlfn.IFNA(VLOOKUP($A308&amp;$E308&amp;$I308,PMsheet!$J:$K,2,0),0),(_xlfn.IFNA(VLOOKUP($A308&amp;$E308&amp;$I308,PMsheet!$J:$K,2,0),0)*'Master Data-C19RM'!$D$2))</f>
        <v>0</v>
      </c>
      <c r="X308" s="440"/>
      <c r="Y308" s="440"/>
      <c r="Z308" s="440"/>
      <c r="AA308" s="440"/>
      <c r="AB308" s="482">
        <f t="shared" si="35"/>
        <v>0</v>
      </c>
      <c r="AC308" s="484">
        <f>IF(SETUP!$E$7="USD",(AB308*(IF(O308="USD",W308,(W308/'Master Data-C19RM'!$D$2)))),(AB308*(IF(O308="EUR",W308,(W308*'Master Data-C19RM'!$D$2)))))</f>
        <v>0</v>
      </c>
      <c r="AD308" s="445">
        <f>IF($O308="USD",_xlfn.IFNA(VLOOKUP($A308&amp;$E308&amp;$I308,PMsheet!$J:$K,2,0),0),(_xlfn.IFNA(VLOOKUP($A308&amp;$E308&amp;$I308,PMsheet!$J:$K,2,0),0)*'Master Data-C19RM'!$E$2))</f>
        <v>0</v>
      </c>
      <c r="AE308" s="440"/>
      <c r="AF308" s="440"/>
      <c r="AG308" s="440"/>
      <c r="AH308" s="440"/>
      <c r="AI308" s="514">
        <f t="shared" si="36"/>
        <v>0</v>
      </c>
      <c r="AJ308" s="515">
        <f>IF(SETUP!$E$7="USD",(AI308*(IF(O308="USD",AD308,(AD308/'Master Data-C19RM'!$E$2)))),(AI308*(IF(O308="EUR",AD308,(AD308*'Master Data-C19RM'!$E$2)))))</f>
        <v>0</v>
      </c>
      <c r="AK308" s="445">
        <f>IF($O308="USD",_xlfn.IFNA(VLOOKUP($A308&amp;$E308&amp;$I308,PMsheet!$J:$K,2,0),0),(_xlfn.IFNA(VLOOKUP($A308&amp;$E308&amp;$I308,PMsheet!$J:$K,2,0),0)*'Master Data-C19RM'!$F$2))</f>
        <v>0</v>
      </c>
      <c r="AL308" s="440"/>
      <c r="AM308" s="440"/>
      <c r="AN308" s="440"/>
      <c r="AO308" s="440"/>
      <c r="AP308" s="514">
        <f t="shared" si="37"/>
        <v>0</v>
      </c>
      <c r="AQ308" s="515">
        <f>IF(SETUP!$E$7="USD",(AP308*(IF(O308="USD",AK308,(AK308/'Master Data-C19RM'!$F$2)))),(AP308*(IF(O308="EUR",AK308,(AK308*'Master Data-C19RM'!$F$2)))))</f>
        <v>0</v>
      </c>
      <c r="AR308" s="457">
        <f>IF($O308="USD",_xlfn.IFNA(VLOOKUP($A308&amp;$E308&amp;$I308,PMsheet!$J:$K,2,0),0),(_xlfn.IFNA(VLOOKUP($A308&amp;$E308&amp;$I308,PMsheet!$J:$K,2,0),0)*'Master Data-C19RM'!$G$2))</f>
        <v>0</v>
      </c>
      <c r="AS308" s="926"/>
      <c r="AT308" s="926"/>
      <c r="AU308" s="926"/>
      <c r="AV308" s="926"/>
      <c r="AW308" s="514">
        <f t="shared" si="41"/>
        <v>0</v>
      </c>
      <c r="AX308" s="515">
        <f>IF(SETUP!$E$7="USD",(AW308*(IF(O308="USD",AR308,(AR308/'Master Data-C19RM'!$G$2)))),(AW308*(IF(O308="EUR",AR308,(AR308*'Master Data-C19RM'!$G$2)))))</f>
        <v>0</v>
      </c>
      <c r="AY308" s="845"/>
      <c r="AZ308" s="846"/>
      <c r="BA308" s="846"/>
      <c r="BB308" s="846"/>
      <c r="BC308" s="846"/>
      <c r="BD308" s="846"/>
      <c r="BE308" s="847"/>
      <c r="BF308" s="514">
        <f>'C19RM 2021-Lab &amp; Other HPS'!$U308+'C19RM 2021-Lab &amp; Other HPS'!$AB308+'C19RM 2021-Lab &amp; Other HPS'!$AP308+'C19RM 2021-Lab &amp; Other HPS'!$AI308+AW308+BD308</f>
        <v>0</v>
      </c>
      <c r="BG308" s="514">
        <f>'C19RM 2021-Lab &amp; Other HPS'!$V308+'C19RM 2021-Lab &amp; Other HPS'!$AC308+'C19RM 2021-Lab &amp; Other HPS'!$AQ308+'C19RM 2021-Lab &amp; Other HPS'!$AJ308+AX308+BE308</f>
        <v>0</v>
      </c>
      <c r="BH308" s="522" t="str" cm="1">
        <f t="array" ref="BH308">IF(A308&lt;&gt;"",IFERROR(INDEX(PMtbl[[WKst]:[Unit of measure*]],MATCH($A$222&amp;$A308&amp;$E308&amp;$I308,INDEX(PMtbl[Sec]&amp;PMtbl[Category]&amp;PMtbl[Each]&amp;PMtbl[Packaging],0,),0),11),""),"")</f>
        <v/>
      </c>
      <c r="BI308" s="818"/>
      <c r="BJ308" s="503" t="str" cm="1">
        <f t="array" ref="BJ308">IFERROR(INDEX(SETUP!$C$19:$G$121,MATCH((INDEX(PMtbl[[WKst]:[Unit of measure*]],MATCH($A308&amp;$E308&amp;$I308,INDEX(PMtbl[Category]&amp;PMtbl[Each]&amp;PMtbl[Packaging],0,),0),3)),SETUP!$D$19:$D$121,0),5),"")</f>
        <v/>
      </c>
      <c r="BK308" s="543"/>
      <c r="BL308" s="215"/>
      <c r="BO308" s="12">
        <f>IF(N308="",0,IF(SETUP!$E$7="USD",((IF(O308="USD",P308,(P308/'Master Data-C19RM'!$C$2)))),((IF(O308="EUR",P308,(P308*'Master Data-C19RM'!$C$2))))))</f>
        <v>0</v>
      </c>
      <c r="BP308" s="12">
        <f>IF(N308="",0,IF(SETUP!$E$7="USD",((IF(O308="USD",W308,(W308/'Master Data-C19RM'!$D$2)))),((IF(O308="EUR",W308,(W308*'Master Data-C19RM'!$D$2))))))</f>
        <v>0</v>
      </c>
      <c r="BQ308">
        <f>IF(N308="",0,IF(SETUP!$E$7="USD",((IF(O308="USD",AD308,(AD308/'Master Data-C19RM'!$E$2)))),((IF(O308="EUR",AD308,(AD308*'Master Data-C19RM'!$E$2))))))</f>
        <v>0</v>
      </c>
      <c r="BR308">
        <f>IF(N308="",0,IF(SETUP!$E$7="USD",((IF(O308="USD",AK308,(AK308/'Master Data-C19RM'!$F$2)))),((IF(O308="EUR",AK308,(AK308*'Master Data-C19RM'!$F$2))))))</f>
        <v>0</v>
      </c>
      <c r="BS308">
        <f>IF(N308="",0,IF(SETUP!$E$7="USD",((IF(O308="USD",AR308,(AR308/'Master Data-C19RM'!$G$2)))),((IF(O308="EUR",AR308,(AR308*'Master Data-C19RM'!$G$2))))))</f>
        <v>0</v>
      </c>
      <c r="BT308">
        <f>IF(N308="",0,IF(SETUP!$E$7="USD",((IF(O308="USD",AY308,(AY308/'Master Data-C19RM'!$H$2)))),((IF(O308="EUR",AY308,(AY308*'Master Data-C19RM'!$H$2))))))</f>
        <v>0</v>
      </c>
      <c r="BU308" s="12">
        <f t="shared" si="39"/>
        <v>0</v>
      </c>
      <c r="BV308" s="142">
        <f t="shared" si="40"/>
        <v>0</v>
      </c>
    </row>
    <row r="309" spans="1:74" x14ac:dyDescent="0.35">
      <c r="A309" s="1165"/>
      <c r="B309" s="1165"/>
      <c r="C309" s="1165"/>
      <c r="D309" s="1165"/>
      <c r="E309" s="1166"/>
      <c r="F309" s="1166"/>
      <c r="G309" s="1166"/>
      <c r="H309" s="1166"/>
      <c r="I309" s="1166"/>
      <c r="J309" s="1166"/>
      <c r="K309" s="1166"/>
      <c r="L309" s="490" t="str" cm="1">
        <f t="array" ref="L309">IF(A309&lt;&gt;"",IFERROR(INDEX(PMtbl[[WKst]:[Unit of measure*]],MATCH($A$222&amp;$A309&amp;$E309&amp;$I309,INDEX(PMtbl[Sec]&amp;PMtbl[Category]&amp;PMtbl[Each]&amp;PMtbl[Packaging],0,),0),14),""),"")</f>
        <v/>
      </c>
      <c r="M309" s="479" t="str">
        <f>IF(L309="","",INDEX(SETUP!$E$20:$E$122,(MATCH(INDEX(PMsheet!$D:$E,MATCH(A309,PMsheet!E:E,0),1),SETUP!$D$20:$D$122,0))))</f>
        <v/>
      </c>
      <c r="N309" s="491">
        <f>IF($O309="USD",_xlfn.IFNA(VLOOKUP(A309&amp;E309&amp;I309,PMsheet!J:K,2,0),0),(_xlfn.IFNA(VLOOKUP(A309&amp;E309&amp;I309,PMsheet!J:K,2,0),0)*'Master Data-C19RM'!$C$2))</f>
        <v>0</v>
      </c>
      <c r="O309" s="492" t="str">
        <f>IF(L309="", "",SETUP!$E$7)</f>
        <v/>
      </c>
      <c r="P309" s="444">
        <f>IF($O309="USD",_xlfn.IFNA(VLOOKUP($A309&amp;$E309&amp;$I309,PMsheet!$J:$K,2,0),0),(_xlfn.IFNA(VLOOKUP($A309&amp;$E309&amp;$I309,PMsheet!$J:$K,2,0),0)*'Master Data-C19RM'!$C$2))</f>
        <v>0</v>
      </c>
      <c r="Q309" s="441"/>
      <c r="R309" s="441"/>
      <c r="S309" s="441"/>
      <c r="T309" s="441"/>
      <c r="U309" s="481">
        <f t="shared" si="34"/>
        <v>0</v>
      </c>
      <c r="V309" s="483">
        <f>IF(SETUP!$E$7="USD",(U309*(IF(O309="USD",P309,(P309/'Master Data-C19RM'!$C$2)))),(U309*(IF(O309="EUR",P309,(P309*'Master Data-C19RM'!$C$2)))))</f>
        <v>0</v>
      </c>
      <c r="W309" s="444">
        <f>IF($O309="USD",_xlfn.IFNA(VLOOKUP($A309&amp;$E309&amp;$I309,PMsheet!$J:$K,2,0),0),(_xlfn.IFNA(VLOOKUP($A309&amp;$E309&amp;$I309,PMsheet!$J:$K,2,0),0)*'Master Data-C19RM'!$D$2))</f>
        <v>0</v>
      </c>
      <c r="X309" s="441"/>
      <c r="Y309" s="441"/>
      <c r="Z309" s="441"/>
      <c r="AA309" s="441"/>
      <c r="AB309" s="481">
        <f t="shared" si="35"/>
        <v>0</v>
      </c>
      <c r="AC309" s="483">
        <f>IF(SETUP!$E$7="USD",(AB309*(IF(O309="USD",W309,(W309/'Master Data-C19RM'!$D$2)))),(AB309*(IF(O309="EUR",W309,(W309*'Master Data-C19RM'!$D$2)))))</f>
        <v>0</v>
      </c>
      <c r="AD309" s="444">
        <f>IF($O309="USD",_xlfn.IFNA(VLOOKUP($A309&amp;$E309&amp;$I309,PMsheet!$J:$K,2,0),0),(_xlfn.IFNA(VLOOKUP($A309&amp;$E309&amp;$I309,PMsheet!$J:$K,2,0),0)*'Master Data-C19RM'!$E$2))</f>
        <v>0</v>
      </c>
      <c r="AE309" s="441"/>
      <c r="AF309" s="441"/>
      <c r="AG309" s="441"/>
      <c r="AH309" s="441"/>
      <c r="AI309" s="512">
        <f t="shared" si="36"/>
        <v>0</v>
      </c>
      <c r="AJ309" s="513">
        <f>IF(SETUP!$E$7="USD",(AI309*(IF(O309="USD",AD309,(AD309/'Master Data-C19RM'!$E$2)))),(AI309*(IF(O309="EUR",AD309,(AD309*'Master Data-C19RM'!$E$2)))))</f>
        <v>0</v>
      </c>
      <c r="AK309" s="444">
        <f>IF($O309="USD",_xlfn.IFNA(VLOOKUP($A309&amp;$E309&amp;$I309,PMsheet!$J:$K,2,0),0),(_xlfn.IFNA(VLOOKUP($A309&amp;$E309&amp;$I309,PMsheet!$J:$K,2,0),0)*'Master Data-C19RM'!$F$2))</f>
        <v>0</v>
      </c>
      <c r="AL309" s="441"/>
      <c r="AM309" s="441"/>
      <c r="AN309" s="441"/>
      <c r="AO309" s="441"/>
      <c r="AP309" s="512">
        <f t="shared" si="37"/>
        <v>0</v>
      </c>
      <c r="AQ309" s="513">
        <f>IF(SETUP!$E$7="USD",(AP309*(IF(O309="USD",AK309,(AK309/'Master Data-C19RM'!$F$2)))),(AP309*(IF(O309="EUR",AK309,(AK309*'Master Data-C19RM'!$F$2)))))</f>
        <v>0</v>
      </c>
      <c r="AR309" s="456">
        <f>IF($O309="USD",_xlfn.IFNA(VLOOKUP($A309&amp;$E309&amp;$I309,PMsheet!$J:$K,2,0),0),(_xlfn.IFNA(VLOOKUP($A309&amp;$E309&amp;$I309,PMsheet!$J:$K,2,0),0)*'Master Data-C19RM'!$G$2))</f>
        <v>0</v>
      </c>
      <c r="AS309" s="572"/>
      <c r="AT309" s="572"/>
      <c r="AU309" s="572"/>
      <c r="AV309" s="572"/>
      <c r="AW309" s="512">
        <f t="shared" si="41"/>
        <v>0</v>
      </c>
      <c r="AX309" s="513">
        <f>IF(SETUP!$E$7="USD",(AW309*(IF(O309="USD",AR309,(AR309/'Master Data-C19RM'!$G$2)))),(AW309*(IF(O309="EUR",AR309,(AR309*'Master Data-C19RM'!$G$2)))))</f>
        <v>0</v>
      </c>
      <c r="AY309" s="845"/>
      <c r="AZ309" s="846"/>
      <c r="BA309" s="846"/>
      <c r="BB309" s="846"/>
      <c r="BC309" s="846"/>
      <c r="BD309" s="846"/>
      <c r="BE309" s="847"/>
      <c r="BF309" s="512">
        <f>'C19RM 2021-Lab &amp; Other HPS'!$U309+'C19RM 2021-Lab &amp; Other HPS'!$AB309+'C19RM 2021-Lab &amp; Other HPS'!$AP309+'C19RM 2021-Lab &amp; Other HPS'!$AI309+AW309+BD309</f>
        <v>0</v>
      </c>
      <c r="BG309" s="512">
        <f>'C19RM 2021-Lab &amp; Other HPS'!$V309+'C19RM 2021-Lab &amp; Other HPS'!$AC309+'C19RM 2021-Lab &amp; Other HPS'!$AQ309+'C19RM 2021-Lab &amp; Other HPS'!$AJ309+AX309+BE309</f>
        <v>0</v>
      </c>
      <c r="BH309" s="500" t="str" cm="1">
        <f t="array" ref="BH309">IF(A309&lt;&gt;"",IFERROR(INDEX(PMtbl[[WKst]:[Unit of measure*]],MATCH($A$222&amp;$A309&amp;$E309&amp;$I309,INDEX(PMtbl[Sec]&amp;PMtbl[Category]&amp;PMtbl[Each]&amp;PMtbl[Packaging],0,),0),11),""),"")</f>
        <v/>
      </c>
      <c r="BI309" s="819"/>
      <c r="BJ309" s="502" t="str" cm="1">
        <f t="array" ref="BJ309">IFERROR(INDEX(SETUP!$C$19:$G$121,MATCH((INDEX(PMtbl[[WKst]:[Unit of measure*]],MATCH($A309&amp;$E309&amp;$I309,INDEX(PMtbl[Category]&amp;PMtbl[Each]&amp;PMtbl[Packaging],0,),0),3)),SETUP!$D$19:$D$121,0),5),"")</f>
        <v/>
      </c>
      <c r="BK309" s="542"/>
      <c r="BL309" s="214"/>
      <c r="BO309" s="12">
        <f>IF(N309="",0,IF(SETUP!$E$7="USD",((IF(O309="USD",P309,(P309/'Master Data-C19RM'!$C$2)))),((IF(O309="EUR",P309,(P309*'Master Data-C19RM'!$C$2))))))</f>
        <v>0</v>
      </c>
      <c r="BP309" s="12">
        <f>IF(N309="",0,IF(SETUP!$E$7="USD",((IF(O309="USD",W309,(W309/'Master Data-C19RM'!$D$2)))),((IF(O309="EUR",W309,(W309*'Master Data-C19RM'!$D$2))))))</f>
        <v>0</v>
      </c>
      <c r="BQ309">
        <f>IF(N309="",0,IF(SETUP!$E$7="USD",((IF(O309="USD",AD309,(AD309/'Master Data-C19RM'!$E$2)))),((IF(O309="EUR",AD309,(AD309*'Master Data-C19RM'!$E$2))))))</f>
        <v>0</v>
      </c>
      <c r="BR309">
        <f>IF(N309="",0,IF(SETUP!$E$7="USD",((IF(O309="USD",AK309,(AK309/'Master Data-C19RM'!$F$2)))),((IF(O309="EUR",AK309,(AK309*'Master Data-C19RM'!$F$2))))))</f>
        <v>0</v>
      </c>
      <c r="BS309">
        <f>IF(N309="",0,IF(SETUP!$E$7="USD",((IF(O309="USD",AR309,(AR309/'Master Data-C19RM'!$G$2)))),((IF(O309="EUR",AR309,(AR309*'Master Data-C19RM'!$G$2))))))</f>
        <v>0</v>
      </c>
      <c r="BT309">
        <f>IF(N309="",0,IF(SETUP!$E$7="USD",((IF(O309="USD",AY309,(AY309/'Master Data-C19RM'!$H$2)))),((IF(O309="EUR",AY309,(AY309*'Master Data-C19RM'!$H$2))))))</f>
        <v>0</v>
      </c>
      <c r="BU309" s="12">
        <f t="shared" si="39"/>
        <v>0</v>
      </c>
      <c r="BV309" s="142">
        <f t="shared" si="40"/>
        <v>0</v>
      </c>
    </row>
    <row r="310" spans="1:74" x14ac:dyDescent="0.35">
      <c r="A310" s="1172"/>
      <c r="B310" s="1172"/>
      <c r="C310" s="1172"/>
      <c r="D310" s="1172"/>
      <c r="E310" s="1173"/>
      <c r="F310" s="1173"/>
      <c r="G310" s="1173"/>
      <c r="H310" s="1173"/>
      <c r="I310" s="1173"/>
      <c r="J310" s="1173"/>
      <c r="K310" s="1173"/>
      <c r="L310" s="493" t="str" cm="1">
        <f t="array" ref="L310">IF(A310&lt;&gt;"",IFERROR(INDEX(PMtbl[[WKst]:[Unit of measure*]],MATCH($A$222&amp;$A310&amp;$E310&amp;$I310,INDEX(PMtbl[Sec]&amp;PMtbl[Category]&amp;PMtbl[Each]&amp;PMtbl[Packaging],0,),0),14),""),"")</f>
        <v/>
      </c>
      <c r="M310" s="480" t="str">
        <f>IF(L310="","",INDEX(SETUP!$E$20:$E$122,(MATCH(INDEX(PMsheet!$D:$E,MATCH(A310,PMsheet!E:E,0),1),SETUP!$D$20:$D$122,0))))</f>
        <v/>
      </c>
      <c r="N310" s="494">
        <f>IF($O310="USD",_xlfn.IFNA(VLOOKUP(A310&amp;E310&amp;I310,PMsheet!J:K,2,0),0),(_xlfn.IFNA(VLOOKUP(A310&amp;E310&amp;I310,PMsheet!J:K,2,0),0)*'Master Data-C19RM'!$C$2))</f>
        <v>0</v>
      </c>
      <c r="O310" s="495" t="str">
        <f>IF(L310="", "",SETUP!$E$7)</f>
        <v/>
      </c>
      <c r="P310" s="445">
        <f>IF($O310="USD",_xlfn.IFNA(VLOOKUP($A310&amp;$E310&amp;$I310,PMsheet!$J:$K,2,0),0),(_xlfn.IFNA(VLOOKUP($A310&amp;$E310&amp;$I310,PMsheet!$J:$K,2,0),0)*'Master Data-C19RM'!$C$2))</f>
        <v>0</v>
      </c>
      <c r="Q310" s="440"/>
      <c r="R310" s="440"/>
      <c r="S310" s="440"/>
      <c r="T310" s="440"/>
      <c r="U310" s="482">
        <f t="shared" si="34"/>
        <v>0</v>
      </c>
      <c r="V310" s="484">
        <f>IF(SETUP!$E$7="USD",(U310*(IF(O310="USD",P310,(P310/'Master Data-C19RM'!$C$2)))),(U310*(IF(O310="EUR",P310,(P310*'Master Data-C19RM'!$C$2)))))</f>
        <v>0</v>
      </c>
      <c r="W310" s="445">
        <f>IF($O310="USD",_xlfn.IFNA(VLOOKUP($A310&amp;$E310&amp;$I310,PMsheet!$J:$K,2,0),0),(_xlfn.IFNA(VLOOKUP($A310&amp;$E310&amp;$I310,PMsheet!$J:$K,2,0),0)*'Master Data-C19RM'!$D$2))</f>
        <v>0</v>
      </c>
      <c r="X310" s="440"/>
      <c r="Y310" s="440"/>
      <c r="Z310" s="440"/>
      <c r="AA310" s="440"/>
      <c r="AB310" s="482">
        <f t="shared" si="35"/>
        <v>0</v>
      </c>
      <c r="AC310" s="484">
        <f>IF(SETUP!$E$7="USD",(AB310*(IF(O310="USD",W310,(W310/'Master Data-C19RM'!$D$2)))),(AB310*(IF(O310="EUR",W310,(W310*'Master Data-C19RM'!$D$2)))))</f>
        <v>0</v>
      </c>
      <c r="AD310" s="445">
        <f>IF($O310="USD",_xlfn.IFNA(VLOOKUP($A310&amp;$E310&amp;$I310,PMsheet!$J:$K,2,0),0),(_xlfn.IFNA(VLOOKUP($A310&amp;$E310&amp;$I310,PMsheet!$J:$K,2,0),0)*'Master Data-C19RM'!$E$2))</f>
        <v>0</v>
      </c>
      <c r="AE310" s="440"/>
      <c r="AF310" s="440"/>
      <c r="AG310" s="440"/>
      <c r="AH310" s="440"/>
      <c r="AI310" s="514">
        <f t="shared" si="36"/>
        <v>0</v>
      </c>
      <c r="AJ310" s="515">
        <f>IF(SETUP!$E$7="USD",(AI310*(IF(O310="USD",AD310,(AD310/'Master Data-C19RM'!$E$2)))),(AI310*(IF(O310="EUR",AD310,(AD310*'Master Data-C19RM'!$E$2)))))</f>
        <v>0</v>
      </c>
      <c r="AK310" s="445">
        <f>IF($O310="USD",_xlfn.IFNA(VLOOKUP($A310&amp;$E310&amp;$I310,PMsheet!$J:$K,2,0),0),(_xlfn.IFNA(VLOOKUP($A310&amp;$E310&amp;$I310,PMsheet!$J:$K,2,0),0)*'Master Data-C19RM'!$F$2))</f>
        <v>0</v>
      </c>
      <c r="AL310" s="440"/>
      <c r="AM310" s="440"/>
      <c r="AN310" s="440"/>
      <c r="AO310" s="440"/>
      <c r="AP310" s="514">
        <f t="shared" si="37"/>
        <v>0</v>
      </c>
      <c r="AQ310" s="515">
        <f>IF(SETUP!$E$7="USD",(AP310*(IF(O310="USD",AK310,(AK310/'Master Data-C19RM'!$F$2)))),(AP310*(IF(O310="EUR",AK310,(AK310*'Master Data-C19RM'!$F$2)))))</f>
        <v>0</v>
      </c>
      <c r="AR310" s="457">
        <f>IF($O310="USD",_xlfn.IFNA(VLOOKUP($A310&amp;$E310&amp;$I310,PMsheet!$J:$K,2,0),0),(_xlfn.IFNA(VLOOKUP($A310&amp;$E310&amp;$I310,PMsheet!$J:$K,2,0),0)*'Master Data-C19RM'!$G$2))</f>
        <v>0</v>
      </c>
      <c r="AS310" s="926"/>
      <c r="AT310" s="926"/>
      <c r="AU310" s="926"/>
      <c r="AV310" s="926"/>
      <c r="AW310" s="514">
        <f t="shared" si="41"/>
        <v>0</v>
      </c>
      <c r="AX310" s="515">
        <f>IF(SETUP!$E$7="USD",(AW310*(IF(O310="USD",AR310,(AR310/'Master Data-C19RM'!$G$2)))),(AW310*(IF(O310="EUR",AR310,(AR310*'Master Data-C19RM'!$G$2)))))</f>
        <v>0</v>
      </c>
      <c r="AY310" s="845"/>
      <c r="AZ310" s="846"/>
      <c r="BA310" s="846"/>
      <c r="BB310" s="846"/>
      <c r="BC310" s="846"/>
      <c r="BD310" s="846"/>
      <c r="BE310" s="847"/>
      <c r="BF310" s="514">
        <f>'C19RM 2021-Lab &amp; Other HPS'!$U310+'C19RM 2021-Lab &amp; Other HPS'!$AB310+'C19RM 2021-Lab &amp; Other HPS'!$AP310+'C19RM 2021-Lab &amp; Other HPS'!$AI310+AW310+BD310</f>
        <v>0</v>
      </c>
      <c r="BG310" s="514">
        <f>'C19RM 2021-Lab &amp; Other HPS'!$V310+'C19RM 2021-Lab &amp; Other HPS'!$AC310+'C19RM 2021-Lab &amp; Other HPS'!$AQ310+'C19RM 2021-Lab &amp; Other HPS'!$AJ310+AX310+BE310</f>
        <v>0</v>
      </c>
      <c r="BH310" s="522" t="str" cm="1">
        <f t="array" ref="BH310">IF(A310&lt;&gt;"",IFERROR(INDEX(PMtbl[[WKst]:[Unit of measure*]],MATCH($A$222&amp;$A310&amp;$E310&amp;$I310,INDEX(PMtbl[Sec]&amp;PMtbl[Category]&amp;PMtbl[Each]&amp;PMtbl[Packaging],0,),0),11),""),"")</f>
        <v/>
      </c>
      <c r="BI310" s="818"/>
      <c r="BJ310" s="503" t="str" cm="1">
        <f t="array" ref="BJ310">IFERROR(INDEX(SETUP!$C$19:$G$121,MATCH((INDEX(PMtbl[[WKst]:[Unit of measure*]],MATCH($A310&amp;$E310&amp;$I310,INDEX(PMtbl[Category]&amp;PMtbl[Each]&amp;PMtbl[Packaging],0,),0),3)),SETUP!$D$19:$D$121,0),5),"")</f>
        <v/>
      </c>
      <c r="BK310" s="543"/>
      <c r="BL310" s="215"/>
      <c r="BO310" s="12">
        <f>IF(N310="",0,IF(SETUP!$E$7="USD",((IF(O310="USD",P310,(P310/'Master Data-C19RM'!$C$2)))),((IF(O310="EUR",P310,(P310*'Master Data-C19RM'!$C$2))))))</f>
        <v>0</v>
      </c>
      <c r="BP310" s="12">
        <f>IF(N310="",0,IF(SETUP!$E$7="USD",((IF(O310="USD",W310,(W310/'Master Data-C19RM'!$D$2)))),((IF(O310="EUR",W310,(W310*'Master Data-C19RM'!$D$2))))))</f>
        <v>0</v>
      </c>
      <c r="BQ310">
        <f>IF(N310="",0,IF(SETUP!$E$7="USD",((IF(O310="USD",AD310,(AD310/'Master Data-C19RM'!$E$2)))),((IF(O310="EUR",AD310,(AD310*'Master Data-C19RM'!$E$2))))))</f>
        <v>0</v>
      </c>
      <c r="BR310">
        <f>IF(N310="",0,IF(SETUP!$E$7="USD",((IF(O310="USD",AK310,(AK310/'Master Data-C19RM'!$F$2)))),((IF(O310="EUR",AK310,(AK310*'Master Data-C19RM'!$F$2))))))</f>
        <v>0</v>
      </c>
      <c r="BS310">
        <f>IF(N310="",0,IF(SETUP!$E$7="USD",((IF(O310="USD",AR310,(AR310/'Master Data-C19RM'!$G$2)))),((IF(O310="EUR",AR310,(AR310*'Master Data-C19RM'!$G$2))))))</f>
        <v>0</v>
      </c>
      <c r="BT310">
        <f>IF(N310="",0,IF(SETUP!$E$7="USD",((IF(O310="USD",AY310,(AY310/'Master Data-C19RM'!$H$2)))),((IF(O310="EUR",AY310,(AY310*'Master Data-C19RM'!$H$2))))))</f>
        <v>0</v>
      </c>
      <c r="BU310" s="12">
        <f t="shared" si="39"/>
        <v>0</v>
      </c>
      <c r="BV310" s="142">
        <f t="shared" si="40"/>
        <v>0</v>
      </c>
    </row>
    <row r="311" spans="1:74" x14ac:dyDescent="0.35">
      <c r="A311" s="1165"/>
      <c r="B311" s="1165"/>
      <c r="C311" s="1165"/>
      <c r="D311" s="1165"/>
      <c r="E311" s="1166"/>
      <c r="F311" s="1166"/>
      <c r="G311" s="1166"/>
      <c r="H311" s="1166"/>
      <c r="I311" s="1166"/>
      <c r="J311" s="1166"/>
      <c r="K311" s="1166"/>
      <c r="L311" s="490" t="str" cm="1">
        <f t="array" ref="L311">IF(A311&lt;&gt;"",IFERROR(INDEX(PMtbl[[WKst]:[Unit of measure*]],MATCH($A$222&amp;$A311&amp;$E311&amp;$I311,INDEX(PMtbl[Sec]&amp;PMtbl[Category]&amp;PMtbl[Each]&amp;PMtbl[Packaging],0,),0),14),""),"")</f>
        <v/>
      </c>
      <c r="M311" s="479" t="str">
        <f>IF(L311="","",INDEX(SETUP!$E$20:$E$122,(MATCH(INDEX(PMsheet!$D:$E,MATCH(A311,PMsheet!E:E,0),1),SETUP!$D$20:$D$122,0))))</f>
        <v/>
      </c>
      <c r="N311" s="491">
        <f>IF($O311="USD",_xlfn.IFNA(VLOOKUP(A311&amp;E311&amp;I311,PMsheet!J:K,2,0),0),(_xlfn.IFNA(VLOOKUP(A311&amp;E311&amp;I311,PMsheet!J:K,2,0),0)*'Master Data-C19RM'!$C$2))</f>
        <v>0</v>
      </c>
      <c r="O311" s="492" t="str">
        <f>IF(L311="", "",SETUP!$E$7)</f>
        <v/>
      </c>
      <c r="P311" s="444">
        <f>IF($O311="USD",_xlfn.IFNA(VLOOKUP($A311&amp;$E311&amp;$I311,PMsheet!$J:$K,2,0),0),(_xlfn.IFNA(VLOOKUP($A311&amp;$E311&amp;$I311,PMsheet!$J:$K,2,0),0)*'Master Data-C19RM'!$C$2))</f>
        <v>0</v>
      </c>
      <c r="Q311" s="441"/>
      <c r="R311" s="441"/>
      <c r="S311" s="441"/>
      <c r="T311" s="441"/>
      <c r="U311" s="481">
        <f t="shared" si="34"/>
        <v>0</v>
      </c>
      <c r="V311" s="483">
        <f>IF(SETUP!$E$7="USD",(U311*(IF(O311="USD",P311,(P311/'Master Data-C19RM'!$C$2)))),(U311*(IF(O311="EUR",P311,(P311*'Master Data-C19RM'!$C$2)))))</f>
        <v>0</v>
      </c>
      <c r="W311" s="444">
        <f>IF($O311="USD",_xlfn.IFNA(VLOOKUP($A311&amp;$E311&amp;$I311,PMsheet!$J:$K,2,0),0),(_xlfn.IFNA(VLOOKUP($A311&amp;$E311&amp;$I311,PMsheet!$J:$K,2,0),0)*'Master Data-C19RM'!$D$2))</f>
        <v>0</v>
      </c>
      <c r="X311" s="441"/>
      <c r="Y311" s="441"/>
      <c r="Z311" s="441"/>
      <c r="AA311" s="441"/>
      <c r="AB311" s="481">
        <f t="shared" si="35"/>
        <v>0</v>
      </c>
      <c r="AC311" s="483">
        <f>IF(SETUP!$E$7="USD",(AB311*(IF(O311="USD",W311,(W311/'Master Data-C19RM'!$D$2)))),(AB311*(IF(O311="EUR",W311,(W311*'Master Data-C19RM'!$D$2)))))</f>
        <v>0</v>
      </c>
      <c r="AD311" s="444">
        <f>IF($O311="USD",_xlfn.IFNA(VLOOKUP($A311&amp;$E311&amp;$I311,PMsheet!$J:$K,2,0),0),(_xlfn.IFNA(VLOOKUP($A311&amp;$E311&amp;$I311,PMsheet!$J:$K,2,0),0)*'Master Data-C19RM'!$E$2))</f>
        <v>0</v>
      </c>
      <c r="AE311" s="441"/>
      <c r="AF311" s="441"/>
      <c r="AG311" s="441"/>
      <c r="AH311" s="441"/>
      <c r="AI311" s="512">
        <f t="shared" si="36"/>
        <v>0</v>
      </c>
      <c r="AJ311" s="513">
        <f>IF(SETUP!$E$7="USD",(AI311*(IF(O311="USD",AD311,(AD311/'Master Data-C19RM'!$E$2)))),(AI311*(IF(O311="EUR",AD311,(AD311*'Master Data-C19RM'!$E$2)))))</f>
        <v>0</v>
      </c>
      <c r="AK311" s="444">
        <f>IF($O311="USD",_xlfn.IFNA(VLOOKUP($A311&amp;$E311&amp;$I311,PMsheet!$J:$K,2,0),0),(_xlfn.IFNA(VLOOKUP($A311&amp;$E311&amp;$I311,PMsheet!$J:$K,2,0),0)*'Master Data-C19RM'!$F$2))</f>
        <v>0</v>
      </c>
      <c r="AL311" s="441"/>
      <c r="AM311" s="441"/>
      <c r="AN311" s="441"/>
      <c r="AO311" s="441"/>
      <c r="AP311" s="512">
        <f t="shared" si="37"/>
        <v>0</v>
      </c>
      <c r="AQ311" s="513">
        <f>IF(SETUP!$E$7="USD",(AP311*(IF(O311="USD",AK311,(AK311/'Master Data-C19RM'!$F$2)))),(AP311*(IF(O311="EUR",AK311,(AK311*'Master Data-C19RM'!$F$2)))))</f>
        <v>0</v>
      </c>
      <c r="AR311" s="456">
        <f>IF($O311="USD",_xlfn.IFNA(VLOOKUP($A311&amp;$E311&amp;$I311,PMsheet!$J:$K,2,0),0),(_xlfn.IFNA(VLOOKUP($A311&amp;$E311&amp;$I311,PMsheet!$J:$K,2,0),0)*'Master Data-C19RM'!$G$2))</f>
        <v>0</v>
      </c>
      <c r="AS311" s="572"/>
      <c r="AT311" s="572"/>
      <c r="AU311" s="572"/>
      <c r="AV311" s="572"/>
      <c r="AW311" s="512">
        <f t="shared" si="41"/>
        <v>0</v>
      </c>
      <c r="AX311" s="513">
        <f>IF(SETUP!$E$7="USD",(AW311*(IF(O311="USD",AR311,(AR311/'Master Data-C19RM'!$G$2)))),(AW311*(IF(O311="EUR",AR311,(AR311*'Master Data-C19RM'!$G$2)))))</f>
        <v>0</v>
      </c>
      <c r="AY311" s="845"/>
      <c r="AZ311" s="846"/>
      <c r="BA311" s="846"/>
      <c r="BB311" s="846"/>
      <c r="BC311" s="846"/>
      <c r="BD311" s="846"/>
      <c r="BE311" s="847"/>
      <c r="BF311" s="512">
        <f>'C19RM 2021-Lab &amp; Other HPS'!$U311+'C19RM 2021-Lab &amp; Other HPS'!$AB311+'C19RM 2021-Lab &amp; Other HPS'!$AP311+'C19RM 2021-Lab &amp; Other HPS'!$AI311+AW311+BD311</f>
        <v>0</v>
      </c>
      <c r="BG311" s="512">
        <f>'C19RM 2021-Lab &amp; Other HPS'!$V311+'C19RM 2021-Lab &amp; Other HPS'!$AC311+'C19RM 2021-Lab &amp; Other HPS'!$AQ311+'C19RM 2021-Lab &amp; Other HPS'!$AJ311+AX311+BE311</f>
        <v>0</v>
      </c>
      <c r="BH311" s="500" t="str" cm="1">
        <f t="array" ref="BH311">IF(A311&lt;&gt;"",IFERROR(INDEX(PMtbl[[WKst]:[Unit of measure*]],MATCH($A$222&amp;$A311&amp;$E311&amp;$I311,INDEX(PMtbl[Sec]&amp;PMtbl[Category]&amp;PMtbl[Each]&amp;PMtbl[Packaging],0,),0),11),""),"")</f>
        <v/>
      </c>
      <c r="BI311" s="819"/>
      <c r="BJ311" s="502" t="str" cm="1">
        <f t="array" ref="BJ311">IFERROR(INDEX(SETUP!$C$19:$G$121,MATCH((INDEX(PMtbl[[WKst]:[Unit of measure*]],MATCH($A311&amp;$E311&amp;$I311,INDEX(PMtbl[Category]&amp;PMtbl[Each]&amp;PMtbl[Packaging],0,),0),3)),SETUP!$D$19:$D$121,0),5),"")</f>
        <v/>
      </c>
      <c r="BK311" s="542"/>
      <c r="BL311" s="214"/>
      <c r="BO311" s="12">
        <f>IF(N311="",0,IF(SETUP!$E$7="USD",((IF(O311="USD",P311,(P311/'Master Data-C19RM'!$C$2)))),((IF(O311="EUR",P311,(P311*'Master Data-C19RM'!$C$2))))))</f>
        <v>0</v>
      </c>
      <c r="BP311" s="12">
        <f>IF(N311="",0,IF(SETUP!$E$7="USD",((IF(O311="USD",W311,(W311/'Master Data-C19RM'!$D$2)))),((IF(O311="EUR",W311,(W311*'Master Data-C19RM'!$D$2))))))</f>
        <v>0</v>
      </c>
      <c r="BQ311">
        <f>IF(N311="",0,IF(SETUP!$E$7="USD",((IF(O311="USD",AD311,(AD311/'Master Data-C19RM'!$E$2)))),((IF(O311="EUR",AD311,(AD311*'Master Data-C19RM'!$E$2))))))</f>
        <v>0</v>
      </c>
      <c r="BR311">
        <f>IF(N311="",0,IF(SETUP!$E$7="USD",((IF(O311="USD",AK311,(AK311/'Master Data-C19RM'!$F$2)))),((IF(O311="EUR",AK311,(AK311*'Master Data-C19RM'!$F$2))))))</f>
        <v>0</v>
      </c>
      <c r="BS311">
        <f>IF(N311="",0,IF(SETUP!$E$7="USD",((IF(O311="USD",AR311,(AR311/'Master Data-C19RM'!$G$2)))),((IF(O311="EUR",AR311,(AR311*'Master Data-C19RM'!$G$2))))))</f>
        <v>0</v>
      </c>
      <c r="BT311">
        <f>IF(N311="",0,IF(SETUP!$E$7="USD",((IF(O311="USD",AY311,(AY311/'Master Data-C19RM'!$H$2)))),((IF(O311="EUR",AY311,(AY311*'Master Data-C19RM'!$H$2))))))</f>
        <v>0</v>
      </c>
      <c r="BU311" s="12">
        <f t="shared" si="39"/>
        <v>0</v>
      </c>
      <c r="BV311" s="142">
        <f t="shared" si="40"/>
        <v>0</v>
      </c>
    </row>
    <row r="312" spans="1:74" x14ac:dyDescent="0.35">
      <c r="A312" s="1172"/>
      <c r="B312" s="1172"/>
      <c r="C312" s="1172"/>
      <c r="D312" s="1172"/>
      <c r="E312" s="1173"/>
      <c r="F312" s="1173"/>
      <c r="G312" s="1173"/>
      <c r="H312" s="1173"/>
      <c r="I312" s="1173"/>
      <c r="J312" s="1173"/>
      <c r="K312" s="1173"/>
      <c r="L312" s="493" t="str" cm="1">
        <f t="array" ref="L312">IF(A312&lt;&gt;"",IFERROR(INDEX(PMtbl[[WKst]:[Unit of measure*]],MATCH($A$222&amp;$A312&amp;$E312&amp;$I312,INDEX(PMtbl[Sec]&amp;PMtbl[Category]&amp;PMtbl[Each]&amp;PMtbl[Packaging],0,),0),14),""),"")</f>
        <v/>
      </c>
      <c r="M312" s="480" t="str">
        <f>IF(L312="","",INDEX(SETUP!$E$20:$E$122,(MATCH(INDEX(PMsheet!$D:$E,MATCH(A312,PMsheet!E:E,0),1),SETUP!$D$20:$D$122,0))))</f>
        <v/>
      </c>
      <c r="N312" s="494">
        <f>IF($O312="USD",_xlfn.IFNA(VLOOKUP(A312&amp;E312&amp;I312,PMsheet!J:K,2,0),0),(_xlfn.IFNA(VLOOKUP(A312&amp;E312&amp;I312,PMsheet!J:K,2,0),0)*'Master Data-C19RM'!$C$2))</f>
        <v>0</v>
      </c>
      <c r="O312" s="495" t="str">
        <f>IF(L312="", "",SETUP!$E$7)</f>
        <v/>
      </c>
      <c r="P312" s="445">
        <f>IF($O312="USD",_xlfn.IFNA(VLOOKUP($A312&amp;$E312&amp;$I312,PMsheet!$J:$K,2,0),0),(_xlfn.IFNA(VLOOKUP($A312&amp;$E312&amp;$I312,PMsheet!$J:$K,2,0),0)*'Master Data-C19RM'!$C$2))</f>
        <v>0</v>
      </c>
      <c r="Q312" s="440"/>
      <c r="R312" s="440"/>
      <c r="S312" s="440"/>
      <c r="T312" s="440"/>
      <c r="U312" s="482">
        <f t="shared" si="34"/>
        <v>0</v>
      </c>
      <c r="V312" s="484">
        <f>IF(SETUP!$E$7="USD",(U312*(IF(O312="USD",P312,(P312/'Master Data-C19RM'!$C$2)))),(U312*(IF(O312="EUR",P312,(P312*'Master Data-C19RM'!$C$2)))))</f>
        <v>0</v>
      </c>
      <c r="W312" s="445">
        <f>IF($O312="USD",_xlfn.IFNA(VLOOKUP($A312&amp;$E312&amp;$I312,PMsheet!$J:$K,2,0),0),(_xlfn.IFNA(VLOOKUP($A312&amp;$E312&amp;$I312,PMsheet!$J:$K,2,0),0)*'Master Data-C19RM'!$D$2))</f>
        <v>0</v>
      </c>
      <c r="X312" s="440"/>
      <c r="Y312" s="440"/>
      <c r="Z312" s="440"/>
      <c r="AA312" s="440"/>
      <c r="AB312" s="482">
        <f t="shared" si="35"/>
        <v>0</v>
      </c>
      <c r="AC312" s="484">
        <f>IF(SETUP!$E$7="USD",(AB312*(IF(O312="USD",W312,(W312/'Master Data-C19RM'!$D$2)))),(AB312*(IF(O312="EUR",W312,(W312*'Master Data-C19RM'!$D$2)))))</f>
        <v>0</v>
      </c>
      <c r="AD312" s="445">
        <f>IF($O312="USD",_xlfn.IFNA(VLOOKUP($A312&amp;$E312&amp;$I312,PMsheet!$J:$K,2,0),0),(_xlfn.IFNA(VLOOKUP($A312&amp;$E312&amp;$I312,PMsheet!$J:$K,2,0),0)*'Master Data-C19RM'!$E$2))</f>
        <v>0</v>
      </c>
      <c r="AE312" s="440"/>
      <c r="AF312" s="440"/>
      <c r="AG312" s="440"/>
      <c r="AH312" s="440"/>
      <c r="AI312" s="514">
        <f t="shared" si="36"/>
        <v>0</v>
      </c>
      <c r="AJ312" s="515">
        <f>IF(SETUP!$E$7="USD",(AI312*(IF(O312="USD",AD312,(AD312/'Master Data-C19RM'!$E$2)))),(AI312*(IF(O312="EUR",AD312,(AD312*'Master Data-C19RM'!$E$2)))))</f>
        <v>0</v>
      </c>
      <c r="AK312" s="445">
        <f>IF($O312="USD",_xlfn.IFNA(VLOOKUP($A312&amp;$E312&amp;$I312,PMsheet!$J:$K,2,0),0),(_xlfn.IFNA(VLOOKUP($A312&amp;$E312&amp;$I312,PMsheet!$J:$K,2,0),0)*'Master Data-C19RM'!$F$2))</f>
        <v>0</v>
      </c>
      <c r="AL312" s="440"/>
      <c r="AM312" s="440"/>
      <c r="AN312" s="440"/>
      <c r="AO312" s="440"/>
      <c r="AP312" s="514">
        <f t="shared" si="37"/>
        <v>0</v>
      </c>
      <c r="AQ312" s="515">
        <f>IF(SETUP!$E$7="USD",(AP312*(IF(O312="USD",AK312,(AK312/'Master Data-C19RM'!$F$2)))),(AP312*(IF(O312="EUR",AK312,(AK312*'Master Data-C19RM'!$F$2)))))</f>
        <v>0</v>
      </c>
      <c r="AR312" s="457">
        <f>IF($O312="USD",_xlfn.IFNA(VLOOKUP($A312&amp;$E312&amp;$I312,PMsheet!$J:$K,2,0),0),(_xlfn.IFNA(VLOOKUP($A312&amp;$E312&amp;$I312,PMsheet!$J:$K,2,0),0)*'Master Data-C19RM'!$G$2))</f>
        <v>0</v>
      </c>
      <c r="AS312" s="926"/>
      <c r="AT312" s="926"/>
      <c r="AU312" s="926"/>
      <c r="AV312" s="926"/>
      <c r="AW312" s="514">
        <f t="shared" si="41"/>
        <v>0</v>
      </c>
      <c r="AX312" s="515">
        <f>IF(SETUP!$E$7="USD",(AW312*(IF(O312="USD",AR312,(AR312/'Master Data-C19RM'!$G$2)))),(AW312*(IF(O312="EUR",AR312,(AR312*'Master Data-C19RM'!$G$2)))))</f>
        <v>0</v>
      </c>
      <c r="AY312" s="845"/>
      <c r="AZ312" s="846"/>
      <c r="BA312" s="846"/>
      <c r="BB312" s="846"/>
      <c r="BC312" s="846"/>
      <c r="BD312" s="846"/>
      <c r="BE312" s="847"/>
      <c r="BF312" s="514">
        <f>'C19RM 2021-Lab &amp; Other HPS'!$U312+'C19RM 2021-Lab &amp; Other HPS'!$AB312+'C19RM 2021-Lab &amp; Other HPS'!$AP312+'C19RM 2021-Lab &amp; Other HPS'!$AI312+AW312+BD312</f>
        <v>0</v>
      </c>
      <c r="BG312" s="514">
        <f>'C19RM 2021-Lab &amp; Other HPS'!$V312+'C19RM 2021-Lab &amp; Other HPS'!$AC312+'C19RM 2021-Lab &amp; Other HPS'!$AQ312+'C19RM 2021-Lab &amp; Other HPS'!$AJ312+AX312+BE312</f>
        <v>0</v>
      </c>
      <c r="BH312" s="522" t="str" cm="1">
        <f t="array" ref="BH312">IF(A312&lt;&gt;"",IFERROR(INDEX(PMtbl[[WKst]:[Unit of measure*]],MATCH($A$222&amp;$A312&amp;$E312&amp;$I312,INDEX(PMtbl[Sec]&amp;PMtbl[Category]&amp;PMtbl[Each]&amp;PMtbl[Packaging],0,),0),11),""),"")</f>
        <v/>
      </c>
      <c r="BI312" s="818"/>
      <c r="BJ312" s="503" t="str" cm="1">
        <f t="array" ref="BJ312">IFERROR(INDEX(SETUP!$C$19:$G$121,MATCH((INDEX(PMtbl[[WKst]:[Unit of measure*]],MATCH($A312&amp;$E312&amp;$I312,INDEX(PMtbl[Category]&amp;PMtbl[Each]&amp;PMtbl[Packaging],0,),0),3)),SETUP!$D$19:$D$121,0),5),"")</f>
        <v/>
      </c>
      <c r="BK312" s="543"/>
      <c r="BL312" s="215"/>
      <c r="BO312" s="12">
        <f>IF(N312="",0,IF(SETUP!$E$7="USD",((IF(O312="USD",P312,(P312/'Master Data-C19RM'!$C$2)))),((IF(O312="EUR",P312,(P312*'Master Data-C19RM'!$C$2))))))</f>
        <v>0</v>
      </c>
      <c r="BP312" s="12">
        <f>IF(N312="",0,IF(SETUP!$E$7="USD",((IF(O312="USD",W312,(W312/'Master Data-C19RM'!$D$2)))),((IF(O312="EUR",W312,(W312*'Master Data-C19RM'!$D$2))))))</f>
        <v>0</v>
      </c>
      <c r="BQ312">
        <f>IF(N312="",0,IF(SETUP!$E$7="USD",((IF(O312="USD",AD312,(AD312/'Master Data-C19RM'!$E$2)))),((IF(O312="EUR",AD312,(AD312*'Master Data-C19RM'!$E$2))))))</f>
        <v>0</v>
      </c>
      <c r="BR312">
        <f>IF(N312="",0,IF(SETUP!$E$7="USD",((IF(O312="USD",AK312,(AK312/'Master Data-C19RM'!$F$2)))),((IF(O312="EUR",AK312,(AK312*'Master Data-C19RM'!$F$2))))))</f>
        <v>0</v>
      </c>
      <c r="BS312">
        <f>IF(N312="",0,IF(SETUP!$E$7="USD",((IF(O312="USD",AR312,(AR312/'Master Data-C19RM'!$G$2)))),((IF(O312="EUR",AR312,(AR312*'Master Data-C19RM'!$G$2))))))</f>
        <v>0</v>
      </c>
      <c r="BT312">
        <f>IF(N312="",0,IF(SETUP!$E$7="USD",((IF(O312="USD",AY312,(AY312/'Master Data-C19RM'!$H$2)))),((IF(O312="EUR",AY312,(AY312*'Master Data-C19RM'!$H$2))))))</f>
        <v>0</v>
      </c>
      <c r="BU312" s="12">
        <f t="shared" si="39"/>
        <v>0</v>
      </c>
      <c r="BV312" s="142">
        <f t="shared" si="40"/>
        <v>0</v>
      </c>
    </row>
    <row r="313" spans="1:74" x14ac:dyDescent="0.35">
      <c r="A313" s="1165"/>
      <c r="B313" s="1165"/>
      <c r="C313" s="1165"/>
      <c r="D313" s="1165"/>
      <c r="E313" s="1166"/>
      <c r="F313" s="1166"/>
      <c r="G313" s="1166"/>
      <c r="H313" s="1166"/>
      <c r="I313" s="1166"/>
      <c r="J313" s="1166"/>
      <c r="K313" s="1166"/>
      <c r="L313" s="490" t="str" cm="1">
        <f t="array" ref="L313">IF(A313&lt;&gt;"",IFERROR(INDEX(PMtbl[[WKst]:[Unit of measure*]],MATCH($A$222&amp;$A313&amp;$E313&amp;$I313,INDEX(PMtbl[Sec]&amp;PMtbl[Category]&amp;PMtbl[Each]&amp;PMtbl[Packaging],0,),0),14),""),"")</f>
        <v/>
      </c>
      <c r="M313" s="479" t="str">
        <f>IF(L313="","",INDEX(SETUP!$E$20:$E$122,(MATCH(INDEX(PMsheet!$D:$E,MATCH(A313,PMsheet!E:E,0),1),SETUP!$D$20:$D$122,0))))</f>
        <v/>
      </c>
      <c r="N313" s="491">
        <f>IF($O313="USD",_xlfn.IFNA(VLOOKUP(A313&amp;E313&amp;I313,PMsheet!J:K,2,0),0),(_xlfn.IFNA(VLOOKUP(A313&amp;E313&amp;I313,PMsheet!J:K,2,0),0)*'Master Data-C19RM'!$C$2))</f>
        <v>0</v>
      </c>
      <c r="O313" s="492" t="str">
        <f>IF(L313="", "",SETUP!$E$7)</f>
        <v/>
      </c>
      <c r="P313" s="444">
        <f>IF($O313="USD",_xlfn.IFNA(VLOOKUP($A313&amp;$E313&amp;$I313,PMsheet!$J:$K,2,0),0),(_xlfn.IFNA(VLOOKUP($A313&amp;$E313&amp;$I313,PMsheet!$J:$K,2,0),0)*'Master Data-C19RM'!$C$2))</f>
        <v>0</v>
      </c>
      <c r="Q313" s="441"/>
      <c r="R313" s="441"/>
      <c r="S313" s="441"/>
      <c r="T313" s="441"/>
      <c r="U313" s="481">
        <f t="shared" si="34"/>
        <v>0</v>
      </c>
      <c r="V313" s="483">
        <f>IF(SETUP!$E$7="USD",(U313*(IF(O313="USD",P313,(P313/'Master Data-C19RM'!$C$2)))),(U313*(IF(O313="EUR",P313,(P313*'Master Data-C19RM'!$C$2)))))</f>
        <v>0</v>
      </c>
      <c r="W313" s="444">
        <f>IF($O313="USD",_xlfn.IFNA(VLOOKUP($A313&amp;$E313&amp;$I313,PMsheet!$J:$K,2,0),0),(_xlfn.IFNA(VLOOKUP($A313&amp;$E313&amp;$I313,PMsheet!$J:$K,2,0),0)*'Master Data-C19RM'!$D$2))</f>
        <v>0</v>
      </c>
      <c r="X313" s="441"/>
      <c r="Y313" s="441"/>
      <c r="Z313" s="441"/>
      <c r="AA313" s="441"/>
      <c r="AB313" s="481">
        <f t="shared" si="35"/>
        <v>0</v>
      </c>
      <c r="AC313" s="483">
        <f>IF(SETUP!$E$7="USD",(AB313*(IF(O313="USD",W313,(W313/'Master Data-C19RM'!$D$2)))),(AB313*(IF(O313="EUR",W313,(W313*'Master Data-C19RM'!$D$2)))))</f>
        <v>0</v>
      </c>
      <c r="AD313" s="444">
        <f>IF($O313="USD",_xlfn.IFNA(VLOOKUP($A313&amp;$E313&amp;$I313,PMsheet!$J:$K,2,0),0),(_xlfn.IFNA(VLOOKUP($A313&amp;$E313&amp;$I313,PMsheet!$J:$K,2,0),0)*'Master Data-C19RM'!$E$2))</f>
        <v>0</v>
      </c>
      <c r="AE313" s="441"/>
      <c r="AF313" s="441"/>
      <c r="AG313" s="441"/>
      <c r="AH313" s="441"/>
      <c r="AI313" s="512">
        <f t="shared" si="36"/>
        <v>0</v>
      </c>
      <c r="AJ313" s="513">
        <f>IF(SETUP!$E$7="USD",(AI313*(IF(O313="USD",AD313,(AD313/'Master Data-C19RM'!$E$2)))),(AI313*(IF(O313="EUR",AD313,(AD313*'Master Data-C19RM'!$E$2)))))</f>
        <v>0</v>
      </c>
      <c r="AK313" s="444">
        <f>IF($O313="USD",_xlfn.IFNA(VLOOKUP($A313&amp;$E313&amp;$I313,PMsheet!$J:$K,2,0),0),(_xlfn.IFNA(VLOOKUP($A313&amp;$E313&amp;$I313,PMsheet!$J:$K,2,0),0)*'Master Data-C19RM'!$F$2))</f>
        <v>0</v>
      </c>
      <c r="AL313" s="441"/>
      <c r="AM313" s="441"/>
      <c r="AN313" s="441"/>
      <c r="AO313" s="441"/>
      <c r="AP313" s="512">
        <f t="shared" si="37"/>
        <v>0</v>
      </c>
      <c r="AQ313" s="513">
        <f>IF(SETUP!$E$7="USD",(AP313*(IF(O313="USD",AK313,(AK313/'Master Data-C19RM'!$F$2)))),(AP313*(IF(O313="EUR",AK313,(AK313*'Master Data-C19RM'!$F$2)))))</f>
        <v>0</v>
      </c>
      <c r="AR313" s="456">
        <f>IF($O313="USD",_xlfn.IFNA(VLOOKUP($A313&amp;$E313&amp;$I313,PMsheet!$J:$K,2,0),0),(_xlfn.IFNA(VLOOKUP($A313&amp;$E313&amp;$I313,PMsheet!$J:$K,2,0),0)*'Master Data-C19RM'!$G$2))</f>
        <v>0</v>
      </c>
      <c r="AS313" s="572"/>
      <c r="AT313" s="572"/>
      <c r="AU313" s="572"/>
      <c r="AV313" s="572"/>
      <c r="AW313" s="512">
        <f t="shared" si="41"/>
        <v>0</v>
      </c>
      <c r="AX313" s="513">
        <f>IF(SETUP!$E$7="USD",(AW313*(IF(O313="USD",AR313,(AR313/'Master Data-C19RM'!$G$2)))),(AW313*(IF(O313="EUR",AR313,(AR313*'Master Data-C19RM'!$G$2)))))</f>
        <v>0</v>
      </c>
      <c r="AY313" s="845"/>
      <c r="AZ313" s="846"/>
      <c r="BA313" s="846"/>
      <c r="BB313" s="846"/>
      <c r="BC313" s="846"/>
      <c r="BD313" s="846"/>
      <c r="BE313" s="847"/>
      <c r="BF313" s="512">
        <f>'C19RM 2021-Lab &amp; Other HPS'!$U313+'C19RM 2021-Lab &amp; Other HPS'!$AB313+'C19RM 2021-Lab &amp; Other HPS'!$AP313+'C19RM 2021-Lab &amp; Other HPS'!$AI313+AW313+BD313</f>
        <v>0</v>
      </c>
      <c r="BG313" s="512">
        <f>'C19RM 2021-Lab &amp; Other HPS'!$V313+'C19RM 2021-Lab &amp; Other HPS'!$AC313+'C19RM 2021-Lab &amp; Other HPS'!$AQ313+'C19RM 2021-Lab &amp; Other HPS'!$AJ313+AX313+BE313</f>
        <v>0</v>
      </c>
      <c r="BH313" s="500" t="str" cm="1">
        <f t="array" ref="BH313">IF(A313&lt;&gt;"",IFERROR(INDEX(PMtbl[[WKst]:[Unit of measure*]],MATCH($A$222&amp;$A313&amp;$E313&amp;$I313,INDEX(PMtbl[Sec]&amp;PMtbl[Category]&amp;PMtbl[Each]&amp;PMtbl[Packaging],0,),0),11),""),"")</f>
        <v/>
      </c>
      <c r="BI313" s="819"/>
      <c r="BJ313" s="502" t="str" cm="1">
        <f t="array" ref="BJ313">IFERROR(INDEX(SETUP!$C$19:$G$121,MATCH((INDEX(PMtbl[[WKst]:[Unit of measure*]],MATCH($A313&amp;$E313&amp;$I313,INDEX(PMtbl[Category]&amp;PMtbl[Each]&amp;PMtbl[Packaging],0,),0),3)),SETUP!$D$19:$D$121,0),5),"")</f>
        <v/>
      </c>
      <c r="BK313" s="542"/>
      <c r="BL313" s="214"/>
      <c r="BO313" s="12">
        <f>IF(N313="",0,IF(SETUP!$E$7="USD",((IF(O313="USD",P313,(P313/'Master Data-C19RM'!$C$2)))),((IF(O313="EUR",P313,(P313*'Master Data-C19RM'!$C$2))))))</f>
        <v>0</v>
      </c>
      <c r="BP313" s="12">
        <f>IF(N313="",0,IF(SETUP!$E$7="USD",((IF(O313="USD",W313,(W313/'Master Data-C19RM'!$D$2)))),((IF(O313="EUR",W313,(W313*'Master Data-C19RM'!$D$2))))))</f>
        <v>0</v>
      </c>
      <c r="BQ313">
        <f>IF(N313="",0,IF(SETUP!$E$7="USD",((IF(O313="USD",AD313,(AD313/'Master Data-C19RM'!$E$2)))),((IF(O313="EUR",AD313,(AD313*'Master Data-C19RM'!$E$2))))))</f>
        <v>0</v>
      </c>
      <c r="BR313">
        <f>IF(N313="",0,IF(SETUP!$E$7="USD",((IF(O313="USD",AK313,(AK313/'Master Data-C19RM'!$F$2)))),((IF(O313="EUR",AK313,(AK313*'Master Data-C19RM'!$F$2))))))</f>
        <v>0</v>
      </c>
      <c r="BS313">
        <f>IF(N313="",0,IF(SETUP!$E$7="USD",((IF(O313="USD",AR313,(AR313/'Master Data-C19RM'!$G$2)))),((IF(O313="EUR",AR313,(AR313*'Master Data-C19RM'!$G$2))))))</f>
        <v>0</v>
      </c>
      <c r="BT313">
        <f>IF(N313="",0,IF(SETUP!$E$7="USD",((IF(O313="USD",AY313,(AY313/'Master Data-C19RM'!$H$2)))),((IF(O313="EUR",AY313,(AY313*'Master Data-C19RM'!$H$2))))))</f>
        <v>0</v>
      </c>
      <c r="BU313" s="12">
        <f t="shared" si="39"/>
        <v>0</v>
      </c>
      <c r="BV313" s="142">
        <f t="shared" si="40"/>
        <v>0</v>
      </c>
    </row>
    <row r="314" spans="1:74" x14ac:dyDescent="0.35">
      <c r="A314" s="1172"/>
      <c r="B314" s="1172"/>
      <c r="C314" s="1172"/>
      <c r="D314" s="1172"/>
      <c r="E314" s="1173"/>
      <c r="F314" s="1173"/>
      <c r="G314" s="1173"/>
      <c r="H314" s="1173"/>
      <c r="I314" s="1173"/>
      <c r="J314" s="1173"/>
      <c r="K314" s="1173"/>
      <c r="L314" s="493" t="str" cm="1">
        <f t="array" ref="L314">IF(A314&lt;&gt;"",IFERROR(INDEX(PMtbl[[WKst]:[Unit of measure*]],MATCH($A$222&amp;$A314&amp;$E314&amp;$I314,INDEX(PMtbl[Sec]&amp;PMtbl[Category]&amp;PMtbl[Each]&amp;PMtbl[Packaging],0,),0),14),""),"")</f>
        <v/>
      </c>
      <c r="M314" s="480" t="str">
        <f>IF(L314="","",INDEX(SETUP!$E$20:$E$122,(MATCH(INDEX(PMsheet!$D:$E,MATCH(A314,PMsheet!E:E,0),1),SETUP!$D$20:$D$122,0))))</f>
        <v/>
      </c>
      <c r="N314" s="494">
        <f>IF($O314="USD",_xlfn.IFNA(VLOOKUP(A314&amp;E314&amp;I314,PMsheet!J:K,2,0),0),(_xlfn.IFNA(VLOOKUP(A314&amp;E314&amp;I314,PMsheet!J:K,2,0),0)*'Master Data-C19RM'!$C$2))</f>
        <v>0</v>
      </c>
      <c r="O314" s="495" t="str">
        <f>IF(L314="", "",SETUP!$E$7)</f>
        <v/>
      </c>
      <c r="P314" s="445">
        <f>IF($O314="USD",_xlfn.IFNA(VLOOKUP($A314&amp;$E314&amp;$I314,PMsheet!$J:$K,2,0),0),(_xlfn.IFNA(VLOOKUP($A314&amp;$E314&amp;$I314,PMsheet!$J:$K,2,0),0)*'Master Data-C19RM'!$C$2))</f>
        <v>0</v>
      </c>
      <c r="Q314" s="440"/>
      <c r="R314" s="440"/>
      <c r="S314" s="440"/>
      <c r="T314" s="440"/>
      <c r="U314" s="482">
        <f t="shared" si="34"/>
        <v>0</v>
      </c>
      <c r="V314" s="484">
        <f>IF(SETUP!$E$7="USD",(U314*(IF(O314="USD",P314,(P314/'Master Data-C19RM'!$C$2)))),(U314*(IF(O314="EUR",P314,(P314*'Master Data-C19RM'!$C$2)))))</f>
        <v>0</v>
      </c>
      <c r="W314" s="445">
        <f>IF($O314="USD",_xlfn.IFNA(VLOOKUP($A314&amp;$E314&amp;$I314,PMsheet!$J:$K,2,0),0),(_xlfn.IFNA(VLOOKUP($A314&amp;$E314&amp;$I314,PMsheet!$J:$K,2,0),0)*'Master Data-C19RM'!$D$2))</f>
        <v>0</v>
      </c>
      <c r="X314" s="440"/>
      <c r="Y314" s="440"/>
      <c r="Z314" s="440"/>
      <c r="AA314" s="440"/>
      <c r="AB314" s="482">
        <f t="shared" si="35"/>
        <v>0</v>
      </c>
      <c r="AC314" s="484">
        <f>IF(SETUP!$E$7="USD",(AB314*(IF(O314="USD",W314,(W314/'Master Data-C19RM'!$D$2)))),(AB314*(IF(O314="EUR",W314,(W314*'Master Data-C19RM'!$D$2)))))</f>
        <v>0</v>
      </c>
      <c r="AD314" s="445">
        <f>IF($O314="USD",_xlfn.IFNA(VLOOKUP($A314&amp;$E314&amp;$I314,PMsheet!$J:$K,2,0),0),(_xlfn.IFNA(VLOOKUP($A314&amp;$E314&amp;$I314,PMsheet!$J:$K,2,0),0)*'Master Data-C19RM'!$E$2))</f>
        <v>0</v>
      </c>
      <c r="AE314" s="440"/>
      <c r="AF314" s="440"/>
      <c r="AG314" s="440"/>
      <c r="AH314" s="440"/>
      <c r="AI314" s="514">
        <f t="shared" si="36"/>
        <v>0</v>
      </c>
      <c r="AJ314" s="515">
        <f>IF(SETUP!$E$7="USD",(AI314*(IF(O314="USD",AD314,(AD314/'Master Data-C19RM'!$E$2)))),(AI314*(IF(O314="EUR",AD314,(AD314*'Master Data-C19RM'!$E$2)))))</f>
        <v>0</v>
      </c>
      <c r="AK314" s="445">
        <f>IF($O314="USD",_xlfn.IFNA(VLOOKUP($A314&amp;$E314&amp;$I314,PMsheet!$J:$K,2,0),0),(_xlfn.IFNA(VLOOKUP($A314&amp;$E314&amp;$I314,PMsheet!$J:$K,2,0),0)*'Master Data-C19RM'!$F$2))</f>
        <v>0</v>
      </c>
      <c r="AL314" s="440"/>
      <c r="AM314" s="440"/>
      <c r="AN314" s="440"/>
      <c r="AO314" s="440"/>
      <c r="AP314" s="514">
        <f t="shared" si="37"/>
        <v>0</v>
      </c>
      <c r="AQ314" s="515">
        <f>IF(SETUP!$E$7="USD",(AP314*(IF(O314="USD",AK314,(AK314/'Master Data-C19RM'!$F$2)))),(AP314*(IF(O314="EUR",AK314,(AK314*'Master Data-C19RM'!$F$2)))))</f>
        <v>0</v>
      </c>
      <c r="AR314" s="457">
        <f>IF($O314="USD",_xlfn.IFNA(VLOOKUP($A314&amp;$E314&amp;$I314,PMsheet!$J:$K,2,0),0),(_xlfn.IFNA(VLOOKUP($A314&amp;$E314&amp;$I314,PMsheet!$J:$K,2,0),0)*'Master Data-C19RM'!$G$2))</f>
        <v>0</v>
      </c>
      <c r="AS314" s="926"/>
      <c r="AT314" s="926"/>
      <c r="AU314" s="926"/>
      <c r="AV314" s="926"/>
      <c r="AW314" s="514">
        <f t="shared" si="41"/>
        <v>0</v>
      </c>
      <c r="AX314" s="515">
        <f>IF(SETUP!$E$7="USD",(AW314*(IF(O314="USD",AR314,(AR314/'Master Data-C19RM'!$G$2)))),(AW314*(IF(O314="EUR",AR314,(AR314*'Master Data-C19RM'!$G$2)))))</f>
        <v>0</v>
      </c>
      <c r="AY314" s="845"/>
      <c r="AZ314" s="846"/>
      <c r="BA314" s="846"/>
      <c r="BB314" s="846"/>
      <c r="BC314" s="846"/>
      <c r="BD314" s="846"/>
      <c r="BE314" s="847"/>
      <c r="BF314" s="514">
        <f>'C19RM 2021-Lab &amp; Other HPS'!$U314+'C19RM 2021-Lab &amp; Other HPS'!$AB314+'C19RM 2021-Lab &amp; Other HPS'!$AP314+'C19RM 2021-Lab &amp; Other HPS'!$AI314+AW314+BD314</f>
        <v>0</v>
      </c>
      <c r="BG314" s="514">
        <f>'C19RM 2021-Lab &amp; Other HPS'!$V314+'C19RM 2021-Lab &amp; Other HPS'!$AC314+'C19RM 2021-Lab &amp; Other HPS'!$AQ314+'C19RM 2021-Lab &amp; Other HPS'!$AJ314+AX314+BE314</f>
        <v>0</v>
      </c>
      <c r="BH314" s="522" t="str" cm="1">
        <f t="array" ref="BH314">IF(A314&lt;&gt;"",IFERROR(INDEX(PMtbl[[WKst]:[Unit of measure*]],MATCH($A$222&amp;$A314&amp;$E314&amp;$I314,INDEX(PMtbl[Sec]&amp;PMtbl[Category]&amp;PMtbl[Each]&amp;PMtbl[Packaging],0,),0),11),""),"")</f>
        <v/>
      </c>
      <c r="BI314" s="818"/>
      <c r="BJ314" s="503" t="str" cm="1">
        <f t="array" ref="BJ314">IFERROR(INDEX(SETUP!$C$19:$G$121,MATCH((INDEX(PMtbl[[WKst]:[Unit of measure*]],MATCH($A314&amp;$E314&amp;$I314,INDEX(PMtbl[Category]&amp;PMtbl[Each]&amp;PMtbl[Packaging],0,),0),3)),SETUP!$D$19:$D$121,0),5),"")</f>
        <v/>
      </c>
      <c r="BK314" s="543"/>
      <c r="BL314" s="215"/>
      <c r="BO314" s="12">
        <f>IF(N314="",0,IF(SETUP!$E$7="USD",((IF(O314="USD",P314,(P314/'Master Data-C19RM'!$C$2)))),((IF(O314="EUR",P314,(P314*'Master Data-C19RM'!$C$2))))))</f>
        <v>0</v>
      </c>
      <c r="BP314" s="12">
        <f>IF(N314="",0,IF(SETUP!$E$7="USD",((IF(O314="USD",W314,(W314/'Master Data-C19RM'!$D$2)))),((IF(O314="EUR",W314,(W314*'Master Data-C19RM'!$D$2))))))</f>
        <v>0</v>
      </c>
      <c r="BQ314">
        <f>IF(N314="",0,IF(SETUP!$E$7="USD",((IF(O314="USD",AD314,(AD314/'Master Data-C19RM'!$E$2)))),((IF(O314="EUR",AD314,(AD314*'Master Data-C19RM'!$E$2))))))</f>
        <v>0</v>
      </c>
      <c r="BR314">
        <f>IF(N314="",0,IF(SETUP!$E$7="USD",((IF(O314="USD",AK314,(AK314/'Master Data-C19RM'!$F$2)))),((IF(O314="EUR",AK314,(AK314*'Master Data-C19RM'!$F$2))))))</f>
        <v>0</v>
      </c>
      <c r="BS314">
        <f>IF(N314="",0,IF(SETUP!$E$7="USD",((IF(O314="USD",AR314,(AR314/'Master Data-C19RM'!$G$2)))),((IF(O314="EUR",AR314,(AR314*'Master Data-C19RM'!$G$2))))))</f>
        <v>0</v>
      </c>
      <c r="BT314">
        <f>IF(N314="",0,IF(SETUP!$E$7="USD",((IF(O314="USD",AY314,(AY314/'Master Data-C19RM'!$H$2)))),((IF(O314="EUR",AY314,(AY314*'Master Data-C19RM'!$H$2))))))</f>
        <v>0</v>
      </c>
      <c r="BU314" s="12">
        <f t="shared" si="39"/>
        <v>0</v>
      </c>
      <c r="BV314" s="142">
        <f t="shared" si="40"/>
        <v>0</v>
      </c>
    </row>
    <row r="315" spans="1:74" x14ac:dyDescent="0.35">
      <c r="A315" s="1165"/>
      <c r="B315" s="1165"/>
      <c r="C315" s="1165"/>
      <c r="D315" s="1165"/>
      <c r="E315" s="1166"/>
      <c r="F315" s="1166"/>
      <c r="G315" s="1166"/>
      <c r="H315" s="1166"/>
      <c r="I315" s="1166"/>
      <c r="J315" s="1166"/>
      <c r="K315" s="1166"/>
      <c r="L315" s="490" t="str" cm="1">
        <f t="array" ref="L315">IF(A315&lt;&gt;"",IFERROR(INDEX(PMtbl[[WKst]:[Unit of measure*]],MATCH($A$222&amp;$A315&amp;$E315&amp;$I315,INDEX(PMtbl[Sec]&amp;PMtbl[Category]&amp;PMtbl[Each]&amp;PMtbl[Packaging],0,),0),14),""),"")</f>
        <v/>
      </c>
      <c r="M315" s="479" t="str">
        <f>IF(L315="","",INDEX(SETUP!$E$20:$E$122,(MATCH(INDEX(PMsheet!$D:$E,MATCH(A315,PMsheet!E:E,0),1),SETUP!$D$20:$D$122,0))))</f>
        <v/>
      </c>
      <c r="N315" s="491">
        <f>IF($O315="USD",_xlfn.IFNA(VLOOKUP(A315&amp;E315&amp;I315,PMsheet!J:K,2,0),0),(_xlfn.IFNA(VLOOKUP(A315&amp;E315&amp;I315,PMsheet!J:K,2,0),0)*'Master Data-C19RM'!$C$2))</f>
        <v>0</v>
      </c>
      <c r="O315" s="492" t="str">
        <f>IF(L315="", "",SETUP!$E$7)</f>
        <v/>
      </c>
      <c r="P315" s="444">
        <f>IF($O315="USD",_xlfn.IFNA(VLOOKUP($A315&amp;$E315&amp;$I315,PMsheet!$J:$K,2,0),0),(_xlfn.IFNA(VLOOKUP($A315&amp;$E315&amp;$I315,PMsheet!$J:$K,2,0),0)*'Master Data-C19RM'!$C$2))</f>
        <v>0</v>
      </c>
      <c r="Q315" s="441"/>
      <c r="R315" s="441"/>
      <c r="S315" s="441"/>
      <c r="T315" s="441"/>
      <c r="U315" s="481">
        <f t="shared" si="34"/>
        <v>0</v>
      </c>
      <c r="V315" s="483">
        <f>IF(SETUP!$E$7="USD",(U315*(IF(O315="USD",P315,(P315/'Master Data-C19RM'!$C$2)))),(U315*(IF(O315="EUR",P315,(P315*'Master Data-C19RM'!$C$2)))))</f>
        <v>0</v>
      </c>
      <c r="W315" s="444">
        <f>IF($O315="USD",_xlfn.IFNA(VLOOKUP($A315&amp;$E315&amp;$I315,PMsheet!$J:$K,2,0),0),(_xlfn.IFNA(VLOOKUP($A315&amp;$E315&amp;$I315,PMsheet!$J:$K,2,0),0)*'Master Data-C19RM'!$D$2))</f>
        <v>0</v>
      </c>
      <c r="X315" s="441"/>
      <c r="Y315" s="441"/>
      <c r="Z315" s="441"/>
      <c r="AA315" s="441"/>
      <c r="AB315" s="481">
        <f t="shared" si="35"/>
        <v>0</v>
      </c>
      <c r="AC315" s="483">
        <f>IF(SETUP!$E$7="USD",(AB315*(IF(O315="USD",W315,(W315/'Master Data-C19RM'!$D$2)))),(AB315*(IF(O315="EUR",W315,(W315*'Master Data-C19RM'!$D$2)))))</f>
        <v>0</v>
      </c>
      <c r="AD315" s="444">
        <f>IF($O315="USD",_xlfn.IFNA(VLOOKUP($A315&amp;$E315&amp;$I315,PMsheet!$J:$K,2,0),0),(_xlfn.IFNA(VLOOKUP($A315&amp;$E315&amp;$I315,PMsheet!$J:$K,2,0),0)*'Master Data-C19RM'!$E$2))</f>
        <v>0</v>
      </c>
      <c r="AE315" s="441"/>
      <c r="AF315" s="441"/>
      <c r="AG315" s="441"/>
      <c r="AH315" s="441"/>
      <c r="AI315" s="512">
        <f t="shared" si="36"/>
        <v>0</v>
      </c>
      <c r="AJ315" s="513">
        <f>IF(SETUP!$E$7="USD",(AI315*(IF(O315="USD",AD315,(AD315/'Master Data-C19RM'!$E$2)))),(AI315*(IF(O315="EUR",AD315,(AD315*'Master Data-C19RM'!$E$2)))))</f>
        <v>0</v>
      </c>
      <c r="AK315" s="444">
        <f>IF($O315="USD",_xlfn.IFNA(VLOOKUP($A315&amp;$E315&amp;$I315,PMsheet!$J:$K,2,0),0),(_xlfn.IFNA(VLOOKUP($A315&amp;$E315&amp;$I315,PMsheet!$J:$K,2,0),0)*'Master Data-C19RM'!$F$2))</f>
        <v>0</v>
      </c>
      <c r="AL315" s="441"/>
      <c r="AM315" s="441"/>
      <c r="AN315" s="441"/>
      <c r="AO315" s="441"/>
      <c r="AP315" s="512">
        <f t="shared" si="37"/>
        <v>0</v>
      </c>
      <c r="AQ315" s="513">
        <f>IF(SETUP!$E$7="USD",(AP315*(IF(O315="USD",AK315,(AK315/'Master Data-C19RM'!$F$2)))),(AP315*(IF(O315="EUR",AK315,(AK315*'Master Data-C19RM'!$F$2)))))</f>
        <v>0</v>
      </c>
      <c r="AR315" s="456">
        <f>IF($O315="USD",_xlfn.IFNA(VLOOKUP($A315&amp;$E315&amp;$I315,PMsheet!$J:$K,2,0),0),(_xlfn.IFNA(VLOOKUP($A315&amp;$E315&amp;$I315,PMsheet!$J:$K,2,0),0)*'Master Data-C19RM'!$G$2))</f>
        <v>0</v>
      </c>
      <c r="AS315" s="572"/>
      <c r="AT315" s="572"/>
      <c r="AU315" s="572"/>
      <c r="AV315" s="572"/>
      <c r="AW315" s="512">
        <f t="shared" si="41"/>
        <v>0</v>
      </c>
      <c r="AX315" s="513">
        <f>IF(SETUP!$E$7="USD",(AW315*(IF(O315="USD",AR315,(AR315/'Master Data-C19RM'!$G$2)))),(AW315*(IF(O315="EUR",AR315,(AR315*'Master Data-C19RM'!$G$2)))))</f>
        <v>0</v>
      </c>
      <c r="AY315" s="845"/>
      <c r="AZ315" s="846"/>
      <c r="BA315" s="846"/>
      <c r="BB315" s="846"/>
      <c r="BC315" s="846"/>
      <c r="BD315" s="846"/>
      <c r="BE315" s="847"/>
      <c r="BF315" s="512">
        <f>'C19RM 2021-Lab &amp; Other HPS'!$U315+'C19RM 2021-Lab &amp; Other HPS'!$AB315+'C19RM 2021-Lab &amp; Other HPS'!$AP315+'C19RM 2021-Lab &amp; Other HPS'!$AI315+AW315+BD315</f>
        <v>0</v>
      </c>
      <c r="BG315" s="512">
        <f>'C19RM 2021-Lab &amp; Other HPS'!$V315+'C19RM 2021-Lab &amp; Other HPS'!$AC315+'C19RM 2021-Lab &amp; Other HPS'!$AQ315+'C19RM 2021-Lab &amp; Other HPS'!$AJ315+AX315+BE315</f>
        <v>0</v>
      </c>
      <c r="BH315" s="500" t="str" cm="1">
        <f t="array" ref="BH315">IF(A315&lt;&gt;"",IFERROR(INDEX(PMtbl[[WKst]:[Unit of measure*]],MATCH($A$222&amp;$A315&amp;$E315&amp;$I315,INDEX(PMtbl[Sec]&amp;PMtbl[Category]&amp;PMtbl[Each]&amp;PMtbl[Packaging],0,),0),11),""),"")</f>
        <v/>
      </c>
      <c r="BI315" s="819"/>
      <c r="BJ315" s="502" t="str" cm="1">
        <f t="array" ref="BJ315">IFERROR(INDEX(SETUP!$C$19:$G$121,MATCH((INDEX(PMtbl[[WKst]:[Unit of measure*]],MATCH($A315&amp;$E315&amp;$I315,INDEX(PMtbl[Category]&amp;PMtbl[Each]&amp;PMtbl[Packaging],0,),0),3)),SETUP!$D$19:$D$121,0),5),"")</f>
        <v/>
      </c>
      <c r="BK315" s="542"/>
      <c r="BL315" s="214"/>
      <c r="BO315" s="12">
        <f>IF(N315="",0,IF(SETUP!$E$7="USD",((IF(O315="USD",P315,(P315/'Master Data-C19RM'!$C$2)))),((IF(O315="EUR",P315,(P315*'Master Data-C19RM'!$C$2))))))</f>
        <v>0</v>
      </c>
      <c r="BP315" s="12">
        <f>IF(N315="",0,IF(SETUP!$E$7="USD",((IF(O315="USD",W315,(W315/'Master Data-C19RM'!$D$2)))),((IF(O315="EUR",W315,(W315*'Master Data-C19RM'!$D$2))))))</f>
        <v>0</v>
      </c>
      <c r="BQ315">
        <f>IF(N315="",0,IF(SETUP!$E$7="USD",((IF(O315="USD",AD315,(AD315/'Master Data-C19RM'!$E$2)))),((IF(O315="EUR",AD315,(AD315*'Master Data-C19RM'!$E$2))))))</f>
        <v>0</v>
      </c>
      <c r="BR315">
        <f>IF(N315="",0,IF(SETUP!$E$7="USD",((IF(O315="USD",AK315,(AK315/'Master Data-C19RM'!$F$2)))),((IF(O315="EUR",AK315,(AK315*'Master Data-C19RM'!$F$2))))))</f>
        <v>0</v>
      </c>
      <c r="BS315">
        <f>IF(N315="",0,IF(SETUP!$E$7="USD",((IF(O315="USD",AR315,(AR315/'Master Data-C19RM'!$G$2)))),((IF(O315="EUR",AR315,(AR315*'Master Data-C19RM'!$G$2))))))</f>
        <v>0</v>
      </c>
      <c r="BT315">
        <f>IF(N315="",0,IF(SETUP!$E$7="USD",((IF(O315="USD",AY315,(AY315/'Master Data-C19RM'!$H$2)))),((IF(O315="EUR",AY315,(AY315*'Master Data-C19RM'!$H$2))))))</f>
        <v>0</v>
      </c>
      <c r="BU315" s="12">
        <f t="shared" si="39"/>
        <v>0</v>
      </c>
      <c r="BV315" s="142">
        <f t="shared" si="40"/>
        <v>0</v>
      </c>
    </row>
    <row r="316" spans="1:74" x14ac:dyDescent="0.35">
      <c r="A316" s="1172"/>
      <c r="B316" s="1172"/>
      <c r="C316" s="1172"/>
      <c r="D316" s="1172"/>
      <c r="E316" s="1173"/>
      <c r="F316" s="1173"/>
      <c r="G316" s="1173"/>
      <c r="H316" s="1173"/>
      <c r="I316" s="1173"/>
      <c r="J316" s="1173"/>
      <c r="K316" s="1173"/>
      <c r="L316" s="493" t="str" cm="1">
        <f t="array" ref="L316">IF(A316&lt;&gt;"",IFERROR(INDEX(PMtbl[[WKst]:[Unit of measure*]],MATCH($A$222&amp;$A316&amp;$E316&amp;$I316,INDEX(PMtbl[Sec]&amp;PMtbl[Category]&amp;PMtbl[Each]&amp;PMtbl[Packaging],0,),0),14),""),"")</f>
        <v/>
      </c>
      <c r="M316" s="480" t="str">
        <f>IF(L316="","",INDEX(SETUP!$E$20:$E$122,(MATCH(INDEX(PMsheet!$D:$E,MATCH(A316,PMsheet!E:E,0),1),SETUP!$D$20:$D$122,0))))</f>
        <v/>
      </c>
      <c r="N316" s="494">
        <f>IF($O316="USD",_xlfn.IFNA(VLOOKUP(A316&amp;E316&amp;I316,PMsheet!J:K,2,0),0),(_xlfn.IFNA(VLOOKUP(A316&amp;E316&amp;I316,PMsheet!J:K,2,0),0)*'Master Data-C19RM'!$C$2))</f>
        <v>0</v>
      </c>
      <c r="O316" s="495" t="str">
        <f>IF(L316="", "",SETUP!$E$7)</f>
        <v/>
      </c>
      <c r="P316" s="445">
        <f>IF($O316="USD",_xlfn.IFNA(VLOOKUP($A316&amp;$E316&amp;$I316,PMsheet!$J:$K,2,0),0),(_xlfn.IFNA(VLOOKUP($A316&amp;$E316&amp;$I316,PMsheet!$J:$K,2,0),0)*'Master Data-C19RM'!$C$2))</f>
        <v>0</v>
      </c>
      <c r="Q316" s="440"/>
      <c r="R316" s="440"/>
      <c r="S316" s="440"/>
      <c r="T316" s="440"/>
      <c r="U316" s="482">
        <f t="shared" si="34"/>
        <v>0</v>
      </c>
      <c r="V316" s="484">
        <f>IF(SETUP!$E$7="USD",(U316*(IF(O316="USD",P316,(P316/'Master Data-C19RM'!$C$2)))),(U316*(IF(O316="EUR",P316,(P316*'Master Data-C19RM'!$C$2)))))</f>
        <v>0</v>
      </c>
      <c r="W316" s="445">
        <f>IF($O316="USD",_xlfn.IFNA(VLOOKUP($A316&amp;$E316&amp;$I316,PMsheet!$J:$K,2,0),0),(_xlfn.IFNA(VLOOKUP($A316&amp;$E316&amp;$I316,PMsheet!$J:$K,2,0),0)*'Master Data-C19RM'!$D$2))</f>
        <v>0</v>
      </c>
      <c r="X316" s="440"/>
      <c r="Y316" s="440"/>
      <c r="Z316" s="440"/>
      <c r="AA316" s="440"/>
      <c r="AB316" s="482">
        <f t="shared" si="35"/>
        <v>0</v>
      </c>
      <c r="AC316" s="484">
        <f>IF(SETUP!$E$7="USD",(AB316*(IF(O316="USD",W316,(W316/'Master Data-C19RM'!$D$2)))),(AB316*(IF(O316="EUR",W316,(W316*'Master Data-C19RM'!$D$2)))))</f>
        <v>0</v>
      </c>
      <c r="AD316" s="445">
        <f>IF($O316="USD",_xlfn.IFNA(VLOOKUP($A316&amp;$E316&amp;$I316,PMsheet!$J:$K,2,0),0),(_xlfn.IFNA(VLOOKUP($A316&amp;$E316&amp;$I316,PMsheet!$J:$K,2,0),0)*'Master Data-C19RM'!$E$2))</f>
        <v>0</v>
      </c>
      <c r="AE316" s="440"/>
      <c r="AF316" s="440"/>
      <c r="AG316" s="440"/>
      <c r="AH316" s="440"/>
      <c r="AI316" s="514">
        <f t="shared" si="36"/>
        <v>0</v>
      </c>
      <c r="AJ316" s="515">
        <f>IF(SETUP!$E$7="USD",(AI316*(IF(O316="USD",AD316,(AD316/'Master Data-C19RM'!$E$2)))),(AI316*(IF(O316="EUR",AD316,(AD316*'Master Data-C19RM'!$E$2)))))</f>
        <v>0</v>
      </c>
      <c r="AK316" s="445">
        <f>IF($O316="USD",_xlfn.IFNA(VLOOKUP($A316&amp;$E316&amp;$I316,PMsheet!$J:$K,2,0),0),(_xlfn.IFNA(VLOOKUP($A316&amp;$E316&amp;$I316,PMsheet!$J:$K,2,0),0)*'Master Data-C19RM'!$F$2))</f>
        <v>0</v>
      </c>
      <c r="AL316" s="440"/>
      <c r="AM316" s="440"/>
      <c r="AN316" s="440"/>
      <c r="AO316" s="440"/>
      <c r="AP316" s="514">
        <f t="shared" si="37"/>
        <v>0</v>
      </c>
      <c r="AQ316" s="515">
        <f>IF(SETUP!$E$7="USD",(AP316*(IF(O316="USD",AK316,(AK316/'Master Data-C19RM'!$F$2)))),(AP316*(IF(O316="EUR",AK316,(AK316*'Master Data-C19RM'!$F$2)))))</f>
        <v>0</v>
      </c>
      <c r="AR316" s="457">
        <f>IF($O316="USD",_xlfn.IFNA(VLOOKUP($A316&amp;$E316&amp;$I316,PMsheet!$J:$K,2,0),0),(_xlfn.IFNA(VLOOKUP($A316&amp;$E316&amp;$I316,PMsheet!$J:$K,2,0),0)*'Master Data-C19RM'!$G$2))</f>
        <v>0</v>
      </c>
      <c r="AS316" s="926"/>
      <c r="AT316" s="926"/>
      <c r="AU316" s="926"/>
      <c r="AV316" s="926"/>
      <c r="AW316" s="514">
        <f t="shared" si="41"/>
        <v>0</v>
      </c>
      <c r="AX316" s="515">
        <f>IF(SETUP!$E$7="USD",(AW316*(IF(O316="USD",AR316,(AR316/'Master Data-C19RM'!$G$2)))),(AW316*(IF(O316="EUR",AR316,(AR316*'Master Data-C19RM'!$G$2)))))</f>
        <v>0</v>
      </c>
      <c r="AY316" s="845"/>
      <c r="AZ316" s="846"/>
      <c r="BA316" s="846"/>
      <c r="BB316" s="846"/>
      <c r="BC316" s="846"/>
      <c r="BD316" s="846"/>
      <c r="BE316" s="847"/>
      <c r="BF316" s="514">
        <f>'C19RM 2021-Lab &amp; Other HPS'!$U316+'C19RM 2021-Lab &amp; Other HPS'!$AB316+'C19RM 2021-Lab &amp; Other HPS'!$AP316+'C19RM 2021-Lab &amp; Other HPS'!$AI316+AW316+BD316</f>
        <v>0</v>
      </c>
      <c r="BG316" s="514">
        <f>'C19RM 2021-Lab &amp; Other HPS'!$V316+'C19RM 2021-Lab &amp; Other HPS'!$AC316+'C19RM 2021-Lab &amp; Other HPS'!$AQ316+'C19RM 2021-Lab &amp; Other HPS'!$AJ316+AX316+BE316</f>
        <v>0</v>
      </c>
      <c r="BH316" s="522" t="str" cm="1">
        <f t="array" ref="BH316">IF(A316&lt;&gt;"",IFERROR(INDEX(PMtbl[[WKst]:[Unit of measure*]],MATCH($A$222&amp;$A316&amp;$E316&amp;$I316,INDEX(PMtbl[Sec]&amp;PMtbl[Category]&amp;PMtbl[Each]&amp;PMtbl[Packaging],0,),0),11),""),"")</f>
        <v/>
      </c>
      <c r="BI316" s="818"/>
      <c r="BJ316" s="503" t="str" cm="1">
        <f t="array" ref="BJ316">IFERROR(INDEX(SETUP!$C$19:$G$121,MATCH((INDEX(PMtbl[[WKst]:[Unit of measure*]],MATCH($A316&amp;$E316&amp;$I316,INDEX(PMtbl[Category]&amp;PMtbl[Each]&amp;PMtbl[Packaging],0,),0),3)),SETUP!$D$19:$D$121,0),5),"")</f>
        <v/>
      </c>
      <c r="BK316" s="543"/>
      <c r="BL316" s="215"/>
      <c r="BO316" s="12">
        <f>IF(N316="",0,IF(SETUP!$E$7="USD",((IF(O316="USD",P316,(P316/'Master Data-C19RM'!$C$2)))),((IF(O316="EUR",P316,(P316*'Master Data-C19RM'!$C$2))))))</f>
        <v>0</v>
      </c>
      <c r="BP316" s="12">
        <f>IF(N316="",0,IF(SETUP!$E$7="USD",((IF(O316="USD",W316,(W316/'Master Data-C19RM'!$D$2)))),((IF(O316="EUR",W316,(W316*'Master Data-C19RM'!$D$2))))))</f>
        <v>0</v>
      </c>
      <c r="BQ316">
        <f>IF(N316="",0,IF(SETUP!$E$7="USD",((IF(O316="USD",AD316,(AD316/'Master Data-C19RM'!$E$2)))),((IF(O316="EUR",AD316,(AD316*'Master Data-C19RM'!$E$2))))))</f>
        <v>0</v>
      </c>
      <c r="BR316">
        <f>IF(N316="",0,IF(SETUP!$E$7="USD",((IF(O316="USD",AK316,(AK316/'Master Data-C19RM'!$F$2)))),((IF(O316="EUR",AK316,(AK316*'Master Data-C19RM'!$F$2))))))</f>
        <v>0</v>
      </c>
      <c r="BS316">
        <f>IF(N316="",0,IF(SETUP!$E$7="USD",((IF(O316="USD",AR316,(AR316/'Master Data-C19RM'!$G$2)))),((IF(O316="EUR",AR316,(AR316*'Master Data-C19RM'!$G$2))))))</f>
        <v>0</v>
      </c>
      <c r="BT316">
        <f>IF(N316="",0,IF(SETUP!$E$7="USD",((IF(O316="USD",AY316,(AY316/'Master Data-C19RM'!$H$2)))),((IF(O316="EUR",AY316,(AY316*'Master Data-C19RM'!$H$2))))))</f>
        <v>0</v>
      </c>
      <c r="BU316" s="12">
        <f t="shared" si="39"/>
        <v>0</v>
      </c>
      <c r="BV316" s="142">
        <f t="shared" si="40"/>
        <v>0</v>
      </c>
    </row>
    <row r="317" spans="1:74" x14ac:dyDescent="0.35">
      <c r="A317" s="1165"/>
      <c r="B317" s="1165"/>
      <c r="C317" s="1165"/>
      <c r="D317" s="1165"/>
      <c r="E317" s="1166"/>
      <c r="F317" s="1166"/>
      <c r="G317" s="1166"/>
      <c r="H317" s="1166"/>
      <c r="I317" s="1166"/>
      <c r="J317" s="1166"/>
      <c r="K317" s="1166"/>
      <c r="L317" s="490" t="str" cm="1">
        <f t="array" ref="L317">IF(A317&lt;&gt;"",IFERROR(INDEX(PMtbl[[WKst]:[Unit of measure*]],MATCH($A$222&amp;$A317&amp;$E317&amp;$I317,INDEX(PMtbl[Sec]&amp;PMtbl[Category]&amp;PMtbl[Each]&amp;PMtbl[Packaging],0,),0),14),""),"")</f>
        <v/>
      </c>
      <c r="M317" s="479" t="str">
        <f>IF(L317="","",INDEX(SETUP!$E$20:$E$122,(MATCH(INDEX(PMsheet!$D:$E,MATCH(A317,PMsheet!E:E,0),1),SETUP!$D$20:$D$122,0))))</f>
        <v/>
      </c>
      <c r="N317" s="491">
        <f>IF($O317="USD",_xlfn.IFNA(VLOOKUP(A317&amp;E317&amp;I317,PMsheet!J:K,2,0),0),(_xlfn.IFNA(VLOOKUP(A317&amp;E317&amp;I317,PMsheet!J:K,2,0),0)*'Master Data-C19RM'!$C$2))</f>
        <v>0</v>
      </c>
      <c r="O317" s="492" t="str">
        <f>IF(L317="", "",SETUP!$E$7)</f>
        <v/>
      </c>
      <c r="P317" s="444">
        <f>IF($O317="USD",_xlfn.IFNA(VLOOKUP($A317&amp;$E317&amp;$I317,PMsheet!$J:$K,2,0),0),(_xlfn.IFNA(VLOOKUP($A317&amp;$E317&amp;$I317,PMsheet!$J:$K,2,0),0)*'Master Data-C19RM'!$C$2))</f>
        <v>0</v>
      </c>
      <c r="Q317" s="441"/>
      <c r="R317" s="441"/>
      <c r="S317" s="441"/>
      <c r="T317" s="441"/>
      <c r="U317" s="481">
        <f t="shared" si="34"/>
        <v>0</v>
      </c>
      <c r="V317" s="483">
        <f>IF(SETUP!$E$7="USD",(U317*(IF(O317="USD",P317,(P317/'Master Data-C19RM'!$C$2)))),(U317*(IF(O317="EUR",P317,(P317*'Master Data-C19RM'!$C$2)))))</f>
        <v>0</v>
      </c>
      <c r="W317" s="444">
        <f>IF($O317="USD",_xlfn.IFNA(VLOOKUP($A317&amp;$E317&amp;$I317,PMsheet!$J:$K,2,0),0),(_xlfn.IFNA(VLOOKUP($A317&amp;$E317&amp;$I317,PMsheet!$J:$K,2,0),0)*'Master Data-C19RM'!$D$2))</f>
        <v>0</v>
      </c>
      <c r="X317" s="441"/>
      <c r="Y317" s="441"/>
      <c r="Z317" s="441"/>
      <c r="AA317" s="441"/>
      <c r="AB317" s="481">
        <f t="shared" si="35"/>
        <v>0</v>
      </c>
      <c r="AC317" s="483">
        <f>IF(SETUP!$E$7="USD",(AB317*(IF(O317="USD",W317,(W317/'Master Data-C19RM'!$D$2)))),(AB317*(IF(O317="EUR",W317,(W317*'Master Data-C19RM'!$D$2)))))</f>
        <v>0</v>
      </c>
      <c r="AD317" s="444">
        <f>IF($O317="USD",_xlfn.IFNA(VLOOKUP($A317&amp;$E317&amp;$I317,PMsheet!$J:$K,2,0),0),(_xlfn.IFNA(VLOOKUP($A317&amp;$E317&amp;$I317,PMsheet!$J:$K,2,0),0)*'Master Data-C19RM'!$E$2))</f>
        <v>0</v>
      </c>
      <c r="AE317" s="441"/>
      <c r="AF317" s="441"/>
      <c r="AG317" s="441"/>
      <c r="AH317" s="441"/>
      <c r="AI317" s="512">
        <f t="shared" si="36"/>
        <v>0</v>
      </c>
      <c r="AJ317" s="513">
        <f>IF(SETUP!$E$7="USD",(AI317*(IF(O317="USD",AD317,(AD317/'Master Data-C19RM'!$E$2)))),(AI317*(IF(O317="EUR",AD317,(AD317*'Master Data-C19RM'!$E$2)))))</f>
        <v>0</v>
      </c>
      <c r="AK317" s="444">
        <f>IF($O317="USD",_xlfn.IFNA(VLOOKUP($A317&amp;$E317&amp;$I317,PMsheet!$J:$K,2,0),0),(_xlfn.IFNA(VLOOKUP($A317&amp;$E317&amp;$I317,PMsheet!$J:$K,2,0),0)*'Master Data-C19RM'!$F$2))</f>
        <v>0</v>
      </c>
      <c r="AL317" s="441"/>
      <c r="AM317" s="441"/>
      <c r="AN317" s="441"/>
      <c r="AO317" s="441"/>
      <c r="AP317" s="512">
        <f t="shared" si="37"/>
        <v>0</v>
      </c>
      <c r="AQ317" s="513">
        <f>IF(SETUP!$E$7="USD",(AP317*(IF(O317="USD",AK317,(AK317/'Master Data-C19RM'!$F$2)))),(AP317*(IF(O317="EUR",AK317,(AK317*'Master Data-C19RM'!$F$2)))))</f>
        <v>0</v>
      </c>
      <c r="AR317" s="456">
        <f>IF($O317="USD",_xlfn.IFNA(VLOOKUP($A317&amp;$E317&amp;$I317,PMsheet!$J:$K,2,0),0),(_xlfn.IFNA(VLOOKUP($A317&amp;$E317&amp;$I317,PMsheet!$J:$K,2,0),0)*'Master Data-C19RM'!$G$2))</f>
        <v>0</v>
      </c>
      <c r="AS317" s="572"/>
      <c r="AT317" s="572"/>
      <c r="AU317" s="572"/>
      <c r="AV317" s="572"/>
      <c r="AW317" s="512">
        <f t="shared" si="41"/>
        <v>0</v>
      </c>
      <c r="AX317" s="513">
        <f>IF(SETUP!$E$7="USD",(AW317*(IF(O317="USD",AR317,(AR317/'Master Data-C19RM'!$G$2)))),(AW317*(IF(O317="EUR",AR317,(AR317*'Master Data-C19RM'!$G$2)))))</f>
        <v>0</v>
      </c>
      <c r="AY317" s="845"/>
      <c r="AZ317" s="846"/>
      <c r="BA317" s="846"/>
      <c r="BB317" s="846"/>
      <c r="BC317" s="846"/>
      <c r="BD317" s="846"/>
      <c r="BE317" s="847"/>
      <c r="BF317" s="512">
        <f>'C19RM 2021-Lab &amp; Other HPS'!$U317+'C19RM 2021-Lab &amp; Other HPS'!$AB317+'C19RM 2021-Lab &amp; Other HPS'!$AP317+'C19RM 2021-Lab &amp; Other HPS'!$AI317+AW317+BD317</f>
        <v>0</v>
      </c>
      <c r="BG317" s="512">
        <f>'C19RM 2021-Lab &amp; Other HPS'!$V317+'C19RM 2021-Lab &amp; Other HPS'!$AC317+'C19RM 2021-Lab &amp; Other HPS'!$AQ317+'C19RM 2021-Lab &amp; Other HPS'!$AJ317+AX317+BE317</f>
        <v>0</v>
      </c>
      <c r="BH317" s="500" t="str" cm="1">
        <f t="array" ref="BH317">IF(A317&lt;&gt;"",IFERROR(INDEX(PMtbl[[WKst]:[Unit of measure*]],MATCH($A$222&amp;$A317&amp;$E317&amp;$I317,INDEX(PMtbl[Sec]&amp;PMtbl[Category]&amp;PMtbl[Each]&amp;PMtbl[Packaging],0,),0),11),""),"")</f>
        <v/>
      </c>
      <c r="BI317" s="819"/>
      <c r="BJ317" s="502" t="str" cm="1">
        <f t="array" ref="BJ317">IFERROR(INDEX(SETUP!$C$19:$G$121,MATCH((INDEX(PMtbl[[WKst]:[Unit of measure*]],MATCH($A317&amp;$E317&amp;$I317,INDEX(PMtbl[Category]&amp;PMtbl[Each]&amp;PMtbl[Packaging],0,),0),3)),SETUP!$D$19:$D$121,0),5),"")</f>
        <v/>
      </c>
      <c r="BK317" s="542"/>
      <c r="BL317" s="214"/>
      <c r="BO317" s="12">
        <f>IF(N317="",0,IF(SETUP!$E$7="USD",((IF(O317="USD",P317,(P317/'Master Data-C19RM'!$C$2)))),((IF(O317="EUR",P317,(P317*'Master Data-C19RM'!$C$2))))))</f>
        <v>0</v>
      </c>
      <c r="BP317" s="12">
        <f>IF(N317="",0,IF(SETUP!$E$7="USD",((IF(O317="USD",W317,(W317/'Master Data-C19RM'!$D$2)))),((IF(O317="EUR",W317,(W317*'Master Data-C19RM'!$D$2))))))</f>
        <v>0</v>
      </c>
      <c r="BQ317">
        <f>IF(N317="",0,IF(SETUP!$E$7="USD",((IF(O317="USD",AD317,(AD317/'Master Data-C19RM'!$E$2)))),((IF(O317="EUR",AD317,(AD317*'Master Data-C19RM'!$E$2))))))</f>
        <v>0</v>
      </c>
      <c r="BR317">
        <f>IF(N317="",0,IF(SETUP!$E$7="USD",((IF(O317="USD",AK317,(AK317/'Master Data-C19RM'!$F$2)))),((IF(O317="EUR",AK317,(AK317*'Master Data-C19RM'!$F$2))))))</f>
        <v>0</v>
      </c>
      <c r="BS317">
        <f>IF(N317="",0,IF(SETUP!$E$7="USD",((IF(O317="USD",AR317,(AR317/'Master Data-C19RM'!$G$2)))),((IF(O317="EUR",AR317,(AR317*'Master Data-C19RM'!$G$2))))))</f>
        <v>0</v>
      </c>
      <c r="BT317">
        <f>IF(N317="",0,IF(SETUP!$E$7="USD",((IF(O317="USD",AY317,(AY317/'Master Data-C19RM'!$H$2)))),((IF(O317="EUR",AY317,(AY317*'Master Data-C19RM'!$H$2))))))</f>
        <v>0</v>
      </c>
      <c r="BU317" s="12">
        <f t="shared" si="39"/>
        <v>0</v>
      </c>
      <c r="BV317" s="142">
        <f t="shared" si="40"/>
        <v>0</v>
      </c>
    </row>
    <row r="318" spans="1:74" x14ac:dyDescent="0.35">
      <c r="A318" s="1172"/>
      <c r="B318" s="1172"/>
      <c r="C318" s="1172"/>
      <c r="D318" s="1172"/>
      <c r="E318" s="1173"/>
      <c r="F318" s="1173"/>
      <c r="G318" s="1173"/>
      <c r="H318" s="1173"/>
      <c r="I318" s="1173"/>
      <c r="J318" s="1173"/>
      <c r="K318" s="1173"/>
      <c r="L318" s="493" t="str" cm="1">
        <f t="array" ref="L318">IF(A318&lt;&gt;"",IFERROR(INDEX(PMtbl[[WKst]:[Unit of measure*]],MATCH($A$222&amp;$A318&amp;$E318&amp;$I318,INDEX(PMtbl[Sec]&amp;PMtbl[Category]&amp;PMtbl[Each]&amp;PMtbl[Packaging],0,),0),14),""),"")</f>
        <v/>
      </c>
      <c r="M318" s="480" t="str">
        <f>IF(L318="","",INDEX(SETUP!$E$20:$E$122,(MATCH(INDEX(PMsheet!$D:$E,MATCH(A318,PMsheet!E:E,0),1),SETUP!$D$20:$D$122,0))))</f>
        <v/>
      </c>
      <c r="N318" s="494">
        <f>IF($O318="USD",_xlfn.IFNA(VLOOKUP(A318&amp;E318&amp;I318,PMsheet!J:K,2,0),0),(_xlfn.IFNA(VLOOKUP(A318&amp;E318&amp;I318,PMsheet!J:K,2,0),0)*'Master Data-C19RM'!$C$2))</f>
        <v>0</v>
      </c>
      <c r="O318" s="495" t="str">
        <f>IF(L318="", "",SETUP!$E$7)</f>
        <v/>
      </c>
      <c r="P318" s="445">
        <f>IF($O318="USD",_xlfn.IFNA(VLOOKUP($A318&amp;$E318&amp;$I318,PMsheet!$J:$K,2,0),0),(_xlfn.IFNA(VLOOKUP($A318&amp;$E318&amp;$I318,PMsheet!$J:$K,2,0),0)*'Master Data-C19RM'!$C$2))</f>
        <v>0</v>
      </c>
      <c r="Q318" s="440"/>
      <c r="R318" s="440"/>
      <c r="S318" s="440"/>
      <c r="T318" s="440"/>
      <c r="U318" s="482">
        <f t="shared" si="34"/>
        <v>0</v>
      </c>
      <c r="V318" s="484">
        <f>IF(SETUP!$E$7="USD",(U318*(IF(O318="USD",P318,(P318/'Master Data-C19RM'!$C$2)))),(U318*(IF(O318="EUR",P318,(P318*'Master Data-C19RM'!$C$2)))))</f>
        <v>0</v>
      </c>
      <c r="W318" s="445">
        <f>IF($O318="USD",_xlfn.IFNA(VLOOKUP($A318&amp;$E318&amp;$I318,PMsheet!$J:$K,2,0),0),(_xlfn.IFNA(VLOOKUP($A318&amp;$E318&amp;$I318,PMsheet!$J:$K,2,0),0)*'Master Data-C19RM'!$D$2))</f>
        <v>0</v>
      </c>
      <c r="X318" s="440"/>
      <c r="Y318" s="440"/>
      <c r="Z318" s="440"/>
      <c r="AA318" s="440"/>
      <c r="AB318" s="482">
        <f t="shared" si="35"/>
        <v>0</v>
      </c>
      <c r="AC318" s="484">
        <f>IF(SETUP!$E$7="USD",(AB318*(IF(O318="USD",W318,(W318/'Master Data-C19RM'!$D$2)))),(AB318*(IF(O318="EUR",W318,(W318*'Master Data-C19RM'!$D$2)))))</f>
        <v>0</v>
      </c>
      <c r="AD318" s="445">
        <f>IF($O318="USD",_xlfn.IFNA(VLOOKUP($A318&amp;$E318&amp;$I318,PMsheet!$J:$K,2,0),0),(_xlfn.IFNA(VLOOKUP($A318&amp;$E318&amp;$I318,PMsheet!$J:$K,2,0),0)*'Master Data-C19RM'!$E$2))</f>
        <v>0</v>
      </c>
      <c r="AE318" s="440"/>
      <c r="AF318" s="440"/>
      <c r="AG318" s="440"/>
      <c r="AH318" s="440"/>
      <c r="AI318" s="514">
        <f t="shared" si="36"/>
        <v>0</v>
      </c>
      <c r="AJ318" s="515">
        <f>IF(SETUP!$E$7="USD",(AI318*(IF(O318="USD",AD318,(AD318/'Master Data-C19RM'!$E$2)))),(AI318*(IF(O318="EUR",AD318,(AD318*'Master Data-C19RM'!$E$2)))))</f>
        <v>0</v>
      </c>
      <c r="AK318" s="445">
        <f>IF($O318="USD",_xlfn.IFNA(VLOOKUP($A318&amp;$E318&amp;$I318,PMsheet!$J:$K,2,0),0),(_xlfn.IFNA(VLOOKUP($A318&amp;$E318&amp;$I318,PMsheet!$J:$K,2,0),0)*'Master Data-C19RM'!$F$2))</f>
        <v>0</v>
      </c>
      <c r="AL318" s="440"/>
      <c r="AM318" s="440"/>
      <c r="AN318" s="440"/>
      <c r="AO318" s="440"/>
      <c r="AP318" s="514">
        <f t="shared" si="37"/>
        <v>0</v>
      </c>
      <c r="AQ318" s="515">
        <f>IF(SETUP!$E$7="USD",(AP318*(IF(O318="USD",AK318,(AK318/'Master Data-C19RM'!$F$2)))),(AP318*(IF(O318="EUR",AK318,(AK318*'Master Data-C19RM'!$F$2)))))</f>
        <v>0</v>
      </c>
      <c r="AR318" s="457">
        <f>IF($O318="USD",_xlfn.IFNA(VLOOKUP($A318&amp;$E318&amp;$I318,PMsheet!$J:$K,2,0),0),(_xlfn.IFNA(VLOOKUP($A318&amp;$E318&amp;$I318,PMsheet!$J:$K,2,0),0)*'Master Data-C19RM'!$G$2))</f>
        <v>0</v>
      </c>
      <c r="AS318" s="926"/>
      <c r="AT318" s="926"/>
      <c r="AU318" s="926"/>
      <c r="AV318" s="926"/>
      <c r="AW318" s="514">
        <f t="shared" si="41"/>
        <v>0</v>
      </c>
      <c r="AX318" s="515">
        <f>IF(SETUP!$E$7="USD",(AW318*(IF(O318="USD",AR318,(AR318/'Master Data-C19RM'!$G$2)))),(AW318*(IF(O318="EUR",AR318,(AR318*'Master Data-C19RM'!$G$2)))))</f>
        <v>0</v>
      </c>
      <c r="AY318" s="845"/>
      <c r="AZ318" s="846"/>
      <c r="BA318" s="846"/>
      <c r="BB318" s="846"/>
      <c r="BC318" s="846"/>
      <c r="BD318" s="846"/>
      <c r="BE318" s="847"/>
      <c r="BF318" s="514">
        <f>'C19RM 2021-Lab &amp; Other HPS'!$U318+'C19RM 2021-Lab &amp; Other HPS'!$AB318+'C19RM 2021-Lab &amp; Other HPS'!$AP318+'C19RM 2021-Lab &amp; Other HPS'!$AI318+AW318+BD318</f>
        <v>0</v>
      </c>
      <c r="BG318" s="514">
        <f>'C19RM 2021-Lab &amp; Other HPS'!$V318+'C19RM 2021-Lab &amp; Other HPS'!$AC318+'C19RM 2021-Lab &amp; Other HPS'!$AQ318+'C19RM 2021-Lab &amp; Other HPS'!$AJ318+AX318+BE318</f>
        <v>0</v>
      </c>
      <c r="BH318" s="522" t="str" cm="1">
        <f t="array" ref="BH318">IF(A318&lt;&gt;"",IFERROR(INDEX(PMtbl[[WKst]:[Unit of measure*]],MATCH($A$222&amp;$A318&amp;$E318&amp;$I318,INDEX(PMtbl[Sec]&amp;PMtbl[Category]&amp;PMtbl[Each]&amp;PMtbl[Packaging],0,),0),11),""),"")</f>
        <v/>
      </c>
      <c r="BI318" s="818"/>
      <c r="BJ318" s="503" t="str" cm="1">
        <f t="array" ref="BJ318">IFERROR(INDEX(SETUP!$C$19:$G$121,MATCH((INDEX(PMtbl[[WKst]:[Unit of measure*]],MATCH($A318&amp;$E318&amp;$I318,INDEX(PMtbl[Category]&amp;PMtbl[Each]&amp;PMtbl[Packaging],0,),0),3)),SETUP!$D$19:$D$121,0),5),"")</f>
        <v/>
      </c>
      <c r="BK318" s="543"/>
      <c r="BL318" s="215"/>
      <c r="BO318" s="12">
        <f>IF(N318="",0,IF(SETUP!$E$7="USD",((IF(O318="USD",P318,(P318/'Master Data-C19RM'!$C$2)))),((IF(O318="EUR",P318,(P318*'Master Data-C19RM'!$C$2))))))</f>
        <v>0</v>
      </c>
      <c r="BP318" s="12">
        <f>IF(N318="",0,IF(SETUP!$E$7="USD",((IF(O318="USD",W318,(W318/'Master Data-C19RM'!$D$2)))),((IF(O318="EUR",W318,(W318*'Master Data-C19RM'!$D$2))))))</f>
        <v>0</v>
      </c>
      <c r="BQ318">
        <f>IF(N318="",0,IF(SETUP!$E$7="USD",((IF(O318="USD",AD318,(AD318/'Master Data-C19RM'!$E$2)))),((IF(O318="EUR",AD318,(AD318*'Master Data-C19RM'!$E$2))))))</f>
        <v>0</v>
      </c>
      <c r="BR318">
        <f>IF(N318="",0,IF(SETUP!$E$7="USD",((IF(O318="USD",AK318,(AK318/'Master Data-C19RM'!$F$2)))),((IF(O318="EUR",AK318,(AK318*'Master Data-C19RM'!$F$2))))))</f>
        <v>0</v>
      </c>
      <c r="BS318">
        <f>IF(N318="",0,IF(SETUP!$E$7="USD",((IF(O318="USD",AR318,(AR318/'Master Data-C19RM'!$G$2)))),((IF(O318="EUR",AR318,(AR318*'Master Data-C19RM'!$G$2))))))</f>
        <v>0</v>
      </c>
      <c r="BT318">
        <f>IF(N318="",0,IF(SETUP!$E$7="USD",((IF(O318="USD",AY318,(AY318/'Master Data-C19RM'!$H$2)))),((IF(O318="EUR",AY318,(AY318*'Master Data-C19RM'!$H$2))))))</f>
        <v>0</v>
      </c>
      <c r="BU318" s="12">
        <f t="shared" si="39"/>
        <v>0</v>
      </c>
      <c r="BV318" s="142">
        <f t="shared" si="40"/>
        <v>0</v>
      </c>
    </row>
    <row r="319" spans="1:74" x14ac:dyDescent="0.35">
      <c r="A319" s="1165"/>
      <c r="B319" s="1165"/>
      <c r="C319" s="1165"/>
      <c r="D319" s="1165"/>
      <c r="E319" s="1166"/>
      <c r="F319" s="1166"/>
      <c r="G319" s="1166"/>
      <c r="H319" s="1166"/>
      <c r="I319" s="1166"/>
      <c r="J319" s="1166"/>
      <c r="K319" s="1166"/>
      <c r="L319" s="490" t="str" cm="1">
        <f t="array" ref="L319">IF(A319&lt;&gt;"",IFERROR(INDEX(PMtbl[[WKst]:[Unit of measure*]],MATCH($A$222&amp;$A319&amp;$E319&amp;$I319,INDEX(PMtbl[Sec]&amp;PMtbl[Category]&amp;PMtbl[Each]&amp;PMtbl[Packaging],0,),0),14),""),"")</f>
        <v/>
      </c>
      <c r="M319" s="479" t="str">
        <f>IF(L319="","",INDEX(SETUP!$E$20:$E$122,(MATCH(INDEX(PMsheet!$D:$E,MATCH(A319,PMsheet!E:E,0),1),SETUP!$D$20:$D$122,0))))</f>
        <v/>
      </c>
      <c r="N319" s="491">
        <f>IF($O319="USD",_xlfn.IFNA(VLOOKUP(A319&amp;E319&amp;I319,PMsheet!J:K,2,0),0),(_xlfn.IFNA(VLOOKUP(A319&amp;E319&amp;I319,PMsheet!J:K,2,0),0)*'Master Data-C19RM'!$C$2))</f>
        <v>0</v>
      </c>
      <c r="O319" s="492" t="str">
        <f>IF(L319="", "",SETUP!$E$7)</f>
        <v/>
      </c>
      <c r="P319" s="444">
        <f>IF($O319="USD",_xlfn.IFNA(VLOOKUP($A319&amp;$E319&amp;$I319,PMsheet!$J:$K,2,0),0),(_xlfn.IFNA(VLOOKUP($A319&amp;$E319&amp;$I319,PMsheet!$J:$K,2,0),0)*'Master Data-C19RM'!$C$2))</f>
        <v>0</v>
      </c>
      <c r="Q319" s="441"/>
      <c r="R319" s="441"/>
      <c r="S319" s="441"/>
      <c r="T319" s="441"/>
      <c r="U319" s="481">
        <f t="shared" si="34"/>
        <v>0</v>
      </c>
      <c r="V319" s="483">
        <f>IF(SETUP!$E$7="USD",(U319*(IF(O319="USD",P319,(P319/'Master Data-C19RM'!$C$2)))),(U319*(IF(O319="EUR",P319,(P319*'Master Data-C19RM'!$C$2)))))</f>
        <v>0</v>
      </c>
      <c r="W319" s="444">
        <f>IF($O319="USD",_xlfn.IFNA(VLOOKUP($A319&amp;$E319&amp;$I319,PMsheet!$J:$K,2,0),0),(_xlfn.IFNA(VLOOKUP($A319&amp;$E319&amp;$I319,PMsheet!$J:$K,2,0),0)*'Master Data-C19RM'!$D$2))</f>
        <v>0</v>
      </c>
      <c r="X319" s="441"/>
      <c r="Y319" s="441"/>
      <c r="Z319" s="441"/>
      <c r="AA319" s="441"/>
      <c r="AB319" s="481">
        <f t="shared" si="35"/>
        <v>0</v>
      </c>
      <c r="AC319" s="483">
        <f>IF(SETUP!$E$7="USD",(AB319*(IF(O319="USD",W319,(W319/'Master Data-C19RM'!$D$2)))),(AB319*(IF(O319="EUR",W319,(W319*'Master Data-C19RM'!$D$2)))))</f>
        <v>0</v>
      </c>
      <c r="AD319" s="444">
        <f>IF($O319="USD",_xlfn.IFNA(VLOOKUP($A319&amp;$E319&amp;$I319,PMsheet!$J:$K,2,0),0),(_xlfn.IFNA(VLOOKUP($A319&amp;$E319&amp;$I319,PMsheet!$J:$K,2,0),0)*'Master Data-C19RM'!$E$2))</f>
        <v>0</v>
      </c>
      <c r="AE319" s="441"/>
      <c r="AF319" s="441"/>
      <c r="AG319" s="441"/>
      <c r="AH319" s="441"/>
      <c r="AI319" s="512">
        <f t="shared" si="36"/>
        <v>0</v>
      </c>
      <c r="AJ319" s="513">
        <f>IF(SETUP!$E$7="USD",(AI319*(IF(O319="USD",AD319,(AD319/'Master Data-C19RM'!$E$2)))),(AI319*(IF(O319="EUR",AD319,(AD319*'Master Data-C19RM'!$E$2)))))</f>
        <v>0</v>
      </c>
      <c r="AK319" s="444">
        <f>IF($O319="USD",_xlfn.IFNA(VLOOKUP($A319&amp;$E319&amp;$I319,PMsheet!$J:$K,2,0),0),(_xlfn.IFNA(VLOOKUP($A319&amp;$E319&amp;$I319,PMsheet!$J:$K,2,0),0)*'Master Data-C19RM'!$F$2))</f>
        <v>0</v>
      </c>
      <c r="AL319" s="441"/>
      <c r="AM319" s="441"/>
      <c r="AN319" s="441"/>
      <c r="AO319" s="441"/>
      <c r="AP319" s="512">
        <f t="shared" si="37"/>
        <v>0</v>
      </c>
      <c r="AQ319" s="513">
        <f>IF(SETUP!$E$7="USD",(AP319*(IF(O319="USD",AK319,(AK319/'Master Data-C19RM'!$F$2)))),(AP319*(IF(O319="EUR",AK319,(AK319*'Master Data-C19RM'!$F$2)))))</f>
        <v>0</v>
      </c>
      <c r="AR319" s="456">
        <f>IF($O319="USD",_xlfn.IFNA(VLOOKUP($A319&amp;$E319&amp;$I319,PMsheet!$J:$K,2,0),0),(_xlfn.IFNA(VLOOKUP($A319&amp;$E319&amp;$I319,PMsheet!$J:$K,2,0),0)*'Master Data-C19RM'!$G$2))</f>
        <v>0</v>
      </c>
      <c r="AS319" s="572"/>
      <c r="AT319" s="572"/>
      <c r="AU319" s="572"/>
      <c r="AV319" s="572"/>
      <c r="AW319" s="512">
        <f t="shared" si="41"/>
        <v>0</v>
      </c>
      <c r="AX319" s="513">
        <f>IF(SETUP!$E$7="USD",(AW319*(IF(O319="USD",AR319,(AR319/'Master Data-C19RM'!$G$2)))),(AW319*(IF(O319="EUR",AR319,(AR319*'Master Data-C19RM'!$G$2)))))</f>
        <v>0</v>
      </c>
      <c r="AY319" s="845"/>
      <c r="AZ319" s="846"/>
      <c r="BA319" s="846"/>
      <c r="BB319" s="846"/>
      <c r="BC319" s="846"/>
      <c r="BD319" s="846"/>
      <c r="BE319" s="847"/>
      <c r="BF319" s="512">
        <f>'C19RM 2021-Lab &amp; Other HPS'!$U319+'C19RM 2021-Lab &amp; Other HPS'!$AB319+'C19RM 2021-Lab &amp; Other HPS'!$AP319+'C19RM 2021-Lab &amp; Other HPS'!$AI319+AW319+BD319</f>
        <v>0</v>
      </c>
      <c r="BG319" s="512">
        <f>'C19RM 2021-Lab &amp; Other HPS'!$V319+'C19RM 2021-Lab &amp; Other HPS'!$AC319+'C19RM 2021-Lab &amp; Other HPS'!$AQ319+'C19RM 2021-Lab &amp; Other HPS'!$AJ319+AX319+BE319</f>
        <v>0</v>
      </c>
      <c r="BH319" s="500" t="str" cm="1">
        <f t="array" ref="BH319">IF(A319&lt;&gt;"",IFERROR(INDEX(PMtbl[[WKst]:[Unit of measure*]],MATCH($A$222&amp;$A319&amp;$E319&amp;$I319,INDEX(PMtbl[Sec]&amp;PMtbl[Category]&amp;PMtbl[Each]&amp;PMtbl[Packaging],0,),0),11),""),"")</f>
        <v/>
      </c>
      <c r="BI319" s="819"/>
      <c r="BJ319" s="502" t="str" cm="1">
        <f t="array" ref="BJ319">IFERROR(INDEX(SETUP!$C$19:$G$121,MATCH((INDEX(PMtbl[[WKst]:[Unit of measure*]],MATCH($A319&amp;$E319&amp;$I319,INDEX(PMtbl[Category]&amp;PMtbl[Each]&amp;PMtbl[Packaging],0,),0),3)),SETUP!$D$19:$D$121,0),5),"")</f>
        <v/>
      </c>
      <c r="BK319" s="542"/>
      <c r="BL319" s="214"/>
      <c r="BO319" s="12">
        <f>IF(N319="",0,IF(SETUP!$E$7="USD",((IF(O319="USD",P319,(P319/'Master Data-C19RM'!$C$2)))),((IF(O319="EUR",P319,(P319*'Master Data-C19RM'!$C$2))))))</f>
        <v>0</v>
      </c>
      <c r="BP319" s="12">
        <f>IF(N319="",0,IF(SETUP!$E$7="USD",((IF(O319="USD",W319,(W319/'Master Data-C19RM'!$D$2)))),((IF(O319="EUR",W319,(W319*'Master Data-C19RM'!$D$2))))))</f>
        <v>0</v>
      </c>
      <c r="BQ319">
        <f>IF(N319="",0,IF(SETUP!$E$7="USD",((IF(O319="USD",AD319,(AD319/'Master Data-C19RM'!$E$2)))),((IF(O319="EUR",AD319,(AD319*'Master Data-C19RM'!$E$2))))))</f>
        <v>0</v>
      </c>
      <c r="BR319">
        <f>IF(N319="",0,IF(SETUP!$E$7="USD",((IF(O319="USD",AK319,(AK319/'Master Data-C19RM'!$F$2)))),((IF(O319="EUR",AK319,(AK319*'Master Data-C19RM'!$F$2))))))</f>
        <v>0</v>
      </c>
      <c r="BS319">
        <f>IF(N319="",0,IF(SETUP!$E$7="USD",((IF(O319="USD",AR319,(AR319/'Master Data-C19RM'!$G$2)))),((IF(O319="EUR",AR319,(AR319*'Master Data-C19RM'!$G$2))))))</f>
        <v>0</v>
      </c>
      <c r="BT319">
        <f>IF(N319="",0,IF(SETUP!$E$7="USD",((IF(O319="USD",AY319,(AY319/'Master Data-C19RM'!$H$2)))),((IF(O319="EUR",AY319,(AY319*'Master Data-C19RM'!$H$2))))))</f>
        <v>0</v>
      </c>
      <c r="BU319" s="12">
        <f t="shared" si="39"/>
        <v>0</v>
      </c>
      <c r="BV319" s="142">
        <f t="shared" si="40"/>
        <v>0</v>
      </c>
    </row>
    <row r="320" spans="1:74" x14ac:dyDescent="0.35">
      <c r="A320" s="1172"/>
      <c r="B320" s="1172"/>
      <c r="C320" s="1172"/>
      <c r="D320" s="1172"/>
      <c r="E320" s="1173"/>
      <c r="F320" s="1173"/>
      <c r="G320" s="1173"/>
      <c r="H320" s="1173"/>
      <c r="I320" s="1173"/>
      <c r="J320" s="1173"/>
      <c r="K320" s="1173"/>
      <c r="L320" s="493" t="str" cm="1">
        <f t="array" ref="L320">IF(A320&lt;&gt;"",IFERROR(INDEX(PMtbl[[WKst]:[Unit of measure*]],MATCH($A$222&amp;$A320&amp;$E320&amp;$I320,INDEX(PMtbl[Sec]&amp;PMtbl[Category]&amp;PMtbl[Each]&amp;PMtbl[Packaging],0,),0),14),""),"")</f>
        <v/>
      </c>
      <c r="M320" s="480" t="str">
        <f>IF(L320="","",INDEX(SETUP!$E$20:$E$122,(MATCH(INDEX(PMsheet!$D:$E,MATCH(A320,PMsheet!E:E,0),1),SETUP!$D$20:$D$122,0))))</f>
        <v/>
      </c>
      <c r="N320" s="494">
        <f>IF($O320="USD",_xlfn.IFNA(VLOOKUP(A320&amp;E320&amp;I320,PMsheet!J:K,2,0),0),(_xlfn.IFNA(VLOOKUP(A320&amp;E320&amp;I320,PMsheet!J:K,2,0),0)*'Master Data-C19RM'!$C$2))</f>
        <v>0</v>
      </c>
      <c r="O320" s="495" t="str">
        <f>IF(L320="", "",SETUP!$E$7)</f>
        <v/>
      </c>
      <c r="P320" s="445">
        <f>IF($O320="USD",_xlfn.IFNA(VLOOKUP($A320&amp;$E320&amp;$I320,PMsheet!$J:$K,2,0),0),(_xlfn.IFNA(VLOOKUP($A320&amp;$E320&amp;$I320,PMsheet!$J:$K,2,0),0)*'Master Data-C19RM'!$C$2))</f>
        <v>0</v>
      </c>
      <c r="Q320" s="440"/>
      <c r="R320" s="440"/>
      <c r="S320" s="440"/>
      <c r="T320" s="440"/>
      <c r="U320" s="482">
        <f t="shared" si="34"/>
        <v>0</v>
      </c>
      <c r="V320" s="484">
        <f>IF(SETUP!$E$7="USD",(U320*(IF(O320="USD",P320,(P320/'Master Data-C19RM'!$C$2)))),(U320*(IF(O320="EUR",P320,(P320*'Master Data-C19RM'!$C$2)))))</f>
        <v>0</v>
      </c>
      <c r="W320" s="445">
        <f>IF($O320="USD",_xlfn.IFNA(VLOOKUP($A320&amp;$E320&amp;$I320,PMsheet!$J:$K,2,0),0),(_xlfn.IFNA(VLOOKUP($A320&amp;$E320&amp;$I320,PMsheet!$J:$K,2,0),0)*'Master Data-C19RM'!$D$2))</f>
        <v>0</v>
      </c>
      <c r="X320" s="440"/>
      <c r="Y320" s="440"/>
      <c r="Z320" s="440"/>
      <c r="AA320" s="440"/>
      <c r="AB320" s="482">
        <f t="shared" si="35"/>
        <v>0</v>
      </c>
      <c r="AC320" s="484">
        <f>IF(SETUP!$E$7="USD",(AB320*(IF(O320="USD",W320,(W320/'Master Data-C19RM'!$D$2)))),(AB320*(IF(O320="EUR",W320,(W320*'Master Data-C19RM'!$D$2)))))</f>
        <v>0</v>
      </c>
      <c r="AD320" s="445">
        <f>IF($O320="USD",_xlfn.IFNA(VLOOKUP($A320&amp;$E320&amp;$I320,PMsheet!$J:$K,2,0),0),(_xlfn.IFNA(VLOOKUP($A320&amp;$E320&amp;$I320,PMsheet!$J:$K,2,0),0)*'Master Data-C19RM'!$E$2))</f>
        <v>0</v>
      </c>
      <c r="AE320" s="440"/>
      <c r="AF320" s="440"/>
      <c r="AG320" s="440"/>
      <c r="AH320" s="440"/>
      <c r="AI320" s="514">
        <f t="shared" si="36"/>
        <v>0</v>
      </c>
      <c r="AJ320" s="515">
        <f>IF(SETUP!$E$7="USD",(AI320*(IF(O320="USD",AD320,(AD320/'Master Data-C19RM'!$E$2)))),(AI320*(IF(O320="EUR",AD320,(AD320*'Master Data-C19RM'!$E$2)))))</f>
        <v>0</v>
      </c>
      <c r="AK320" s="445">
        <f>IF($O320="USD",_xlfn.IFNA(VLOOKUP($A320&amp;$E320&amp;$I320,PMsheet!$J:$K,2,0),0),(_xlfn.IFNA(VLOOKUP($A320&amp;$E320&amp;$I320,PMsheet!$J:$K,2,0),0)*'Master Data-C19RM'!$F$2))</f>
        <v>0</v>
      </c>
      <c r="AL320" s="440"/>
      <c r="AM320" s="440"/>
      <c r="AN320" s="440"/>
      <c r="AO320" s="440"/>
      <c r="AP320" s="514">
        <f t="shared" si="37"/>
        <v>0</v>
      </c>
      <c r="AQ320" s="515">
        <f>IF(SETUP!$E$7="USD",(AP320*(IF(O320="USD",AK320,(AK320/'Master Data-C19RM'!$F$2)))),(AP320*(IF(O320="EUR",AK320,(AK320*'Master Data-C19RM'!$F$2)))))</f>
        <v>0</v>
      </c>
      <c r="AR320" s="457">
        <f>IF($O320="USD",_xlfn.IFNA(VLOOKUP($A320&amp;$E320&amp;$I320,PMsheet!$J:$K,2,0),0),(_xlfn.IFNA(VLOOKUP($A320&amp;$E320&amp;$I320,PMsheet!$J:$K,2,0),0)*'Master Data-C19RM'!$G$2))</f>
        <v>0</v>
      </c>
      <c r="AS320" s="926"/>
      <c r="AT320" s="926"/>
      <c r="AU320" s="926"/>
      <c r="AV320" s="926"/>
      <c r="AW320" s="514">
        <f t="shared" si="41"/>
        <v>0</v>
      </c>
      <c r="AX320" s="515">
        <f>IF(SETUP!$E$7="USD",(AW320*(IF(O320="USD",AR320,(AR320/'Master Data-C19RM'!$G$2)))),(AW320*(IF(O320="EUR",AR320,(AR320*'Master Data-C19RM'!$G$2)))))</f>
        <v>0</v>
      </c>
      <c r="AY320" s="845"/>
      <c r="AZ320" s="846"/>
      <c r="BA320" s="846"/>
      <c r="BB320" s="846"/>
      <c r="BC320" s="846"/>
      <c r="BD320" s="846"/>
      <c r="BE320" s="847"/>
      <c r="BF320" s="514">
        <f>'C19RM 2021-Lab &amp; Other HPS'!$U320+'C19RM 2021-Lab &amp; Other HPS'!$AB320+'C19RM 2021-Lab &amp; Other HPS'!$AP320+'C19RM 2021-Lab &amp; Other HPS'!$AI320+AW320+BD320</f>
        <v>0</v>
      </c>
      <c r="BG320" s="514">
        <f>'C19RM 2021-Lab &amp; Other HPS'!$V320+'C19RM 2021-Lab &amp; Other HPS'!$AC320+'C19RM 2021-Lab &amp; Other HPS'!$AQ320+'C19RM 2021-Lab &amp; Other HPS'!$AJ320+AX320+BE320</f>
        <v>0</v>
      </c>
      <c r="BH320" s="522" t="str" cm="1">
        <f t="array" ref="BH320">IF(A320&lt;&gt;"",IFERROR(INDEX(PMtbl[[WKst]:[Unit of measure*]],MATCH($A$222&amp;$A320&amp;$E320&amp;$I320,INDEX(PMtbl[Sec]&amp;PMtbl[Category]&amp;PMtbl[Each]&amp;PMtbl[Packaging],0,),0),11),""),"")</f>
        <v/>
      </c>
      <c r="BI320" s="818"/>
      <c r="BJ320" s="503" t="str" cm="1">
        <f t="array" ref="BJ320">IFERROR(INDEX(SETUP!$C$19:$G$121,MATCH((INDEX(PMtbl[[WKst]:[Unit of measure*]],MATCH($A320&amp;$E320&amp;$I320,INDEX(PMtbl[Category]&amp;PMtbl[Each]&amp;PMtbl[Packaging],0,),0),3)),SETUP!$D$19:$D$121,0),5),"")</f>
        <v/>
      </c>
      <c r="BK320" s="543"/>
      <c r="BL320" s="215"/>
      <c r="BO320" s="12">
        <f>IF(N320="",0,IF(SETUP!$E$7="USD",((IF(O320="USD",P320,(P320/'Master Data-C19RM'!$C$2)))),((IF(O320="EUR",P320,(P320*'Master Data-C19RM'!$C$2))))))</f>
        <v>0</v>
      </c>
      <c r="BP320" s="12">
        <f>IF(N320="",0,IF(SETUP!$E$7="USD",((IF(O320="USD",W320,(W320/'Master Data-C19RM'!$D$2)))),((IF(O320="EUR",W320,(W320*'Master Data-C19RM'!$D$2))))))</f>
        <v>0</v>
      </c>
      <c r="BQ320">
        <f>IF(N320="",0,IF(SETUP!$E$7="USD",((IF(O320="USD",AD320,(AD320/'Master Data-C19RM'!$E$2)))),((IF(O320="EUR",AD320,(AD320*'Master Data-C19RM'!$E$2))))))</f>
        <v>0</v>
      </c>
      <c r="BR320">
        <f>IF(N320="",0,IF(SETUP!$E$7="USD",((IF(O320="USD",AK320,(AK320/'Master Data-C19RM'!$F$2)))),((IF(O320="EUR",AK320,(AK320*'Master Data-C19RM'!$F$2))))))</f>
        <v>0</v>
      </c>
      <c r="BS320">
        <f>IF(N320="",0,IF(SETUP!$E$7="USD",((IF(O320="USD",AR320,(AR320/'Master Data-C19RM'!$G$2)))),((IF(O320="EUR",AR320,(AR320*'Master Data-C19RM'!$G$2))))))</f>
        <v>0</v>
      </c>
      <c r="BT320">
        <f>IF(N320="",0,IF(SETUP!$E$7="USD",((IF(O320="USD",AY320,(AY320/'Master Data-C19RM'!$H$2)))),((IF(O320="EUR",AY320,(AY320*'Master Data-C19RM'!$H$2))))))</f>
        <v>0</v>
      </c>
      <c r="BU320" s="12">
        <f t="shared" si="39"/>
        <v>0</v>
      </c>
      <c r="BV320" s="142">
        <f t="shared" si="40"/>
        <v>0</v>
      </c>
    </row>
    <row r="321" spans="1:94" x14ac:dyDescent="0.35">
      <c r="A321" s="1165"/>
      <c r="B321" s="1165"/>
      <c r="C321" s="1165"/>
      <c r="D321" s="1165"/>
      <c r="E321" s="1166"/>
      <c r="F321" s="1166"/>
      <c r="G321" s="1166"/>
      <c r="H321" s="1166"/>
      <c r="I321" s="1166"/>
      <c r="J321" s="1166"/>
      <c r="K321" s="1166"/>
      <c r="L321" s="490" t="str" cm="1">
        <f t="array" ref="L321">IF(A321&lt;&gt;"",IFERROR(INDEX(PMtbl[[WKst]:[Unit of measure*]],MATCH($A$222&amp;$A321&amp;$E321&amp;$I321,INDEX(PMtbl[Sec]&amp;PMtbl[Category]&amp;PMtbl[Each]&amp;PMtbl[Packaging],0,),0),14),""),"")</f>
        <v/>
      </c>
      <c r="M321" s="479" t="str">
        <f>IF(L321="","",INDEX(SETUP!$E$20:$E$122,(MATCH(INDEX(PMsheet!$D:$E,MATCH(A321,PMsheet!E:E,0),1),SETUP!$D$20:$D$122,0))))</f>
        <v/>
      </c>
      <c r="N321" s="491">
        <f>IF($O321="USD",_xlfn.IFNA(VLOOKUP(A321&amp;E321&amp;I321,PMsheet!J:K,2,0),0),(_xlfn.IFNA(VLOOKUP(A321&amp;E321&amp;I321,PMsheet!J:K,2,0),0)*'Master Data-C19RM'!$C$2))</f>
        <v>0</v>
      </c>
      <c r="O321" s="492" t="str">
        <f>IF(L321="", "",SETUP!$E$7)</f>
        <v/>
      </c>
      <c r="P321" s="444">
        <f>IF($O321="USD",_xlfn.IFNA(VLOOKUP($A321&amp;$E321&amp;$I321,PMsheet!$J:$K,2,0),0),(_xlfn.IFNA(VLOOKUP($A321&amp;$E321&amp;$I321,PMsheet!$J:$K,2,0),0)*'Master Data-C19RM'!$C$2))</f>
        <v>0</v>
      </c>
      <c r="Q321" s="441"/>
      <c r="R321" s="441"/>
      <c r="S321" s="441"/>
      <c r="T321" s="441"/>
      <c r="U321" s="481">
        <f t="shared" si="34"/>
        <v>0</v>
      </c>
      <c r="V321" s="483">
        <f>IF(SETUP!$E$7="USD",(U321*(IF(O321="USD",P321,(P321/'Master Data-C19RM'!$C$2)))),(U321*(IF(O321="EUR",P321,(P321*'Master Data-C19RM'!$C$2)))))</f>
        <v>0</v>
      </c>
      <c r="W321" s="444">
        <f>IF($O321="USD",_xlfn.IFNA(VLOOKUP($A321&amp;$E321&amp;$I321,PMsheet!$J:$K,2,0),0),(_xlfn.IFNA(VLOOKUP($A321&amp;$E321&amp;$I321,PMsheet!$J:$K,2,0),0)*'Master Data-C19RM'!$D$2))</f>
        <v>0</v>
      </c>
      <c r="X321" s="441"/>
      <c r="Y321" s="441"/>
      <c r="Z321" s="441"/>
      <c r="AA321" s="441"/>
      <c r="AB321" s="481">
        <f t="shared" si="35"/>
        <v>0</v>
      </c>
      <c r="AC321" s="483">
        <f>IF(SETUP!$E$7="USD",(AB321*(IF(O321="USD",W321,(W321/'Master Data-C19RM'!$D$2)))),(AB321*(IF(O321="EUR",W321,(W321*'Master Data-C19RM'!$D$2)))))</f>
        <v>0</v>
      </c>
      <c r="AD321" s="444">
        <f>IF($O321="USD",_xlfn.IFNA(VLOOKUP($A321&amp;$E321&amp;$I321,PMsheet!$J:$K,2,0),0),(_xlfn.IFNA(VLOOKUP($A321&amp;$E321&amp;$I321,PMsheet!$J:$K,2,0),0)*'Master Data-C19RM'!$E$2))</f>
        <v>0</v>
      </c>
      <c r="AE321" s="441"/>
      <c r="AF321" s="441"/>
      <c r="AG321" s="441"/>
      <c r="AH321" s="441"/>
      <c r="AI321" s="512">
        <f t="shared" si="36"/>
        <v>0</v>
      </c>
      <c r="AJ321" s="513">
        <f>IF(SETUP!$E$7="USD",(AI321*(IF(O321="USD",AD321,(AD321/'Master Data-C19RM'!$E$2)))),(AI321*(IF(O321="EUR",AD321,(AD321*'Master Data-C19RM'!$E$2)))))</f>
        <v>0</v>
      </c>
      <c r="AK321" s="444">
        <f>IF($O321="USD",_xlfn.IFNA(VLOOKUP($A321&amp;$E321&amp;$I321,PMsheet!$J:$K,2,0),0),(_xlfn.IFNA(VLOOKUP($A321&amp;$E321&amp;$I321,PMsheet!$J:$K,2,0),0)*'Master Data-C19RM'!$F$2))</f>
        <v>0</v>
      </c>
      <c r="AL321" s="441"/>
      <c r="AM321" s="441"/>
      <c r="AN321" s="441"/>
      <c r="AO321" s="441"/>
      <c r="AP321" s="512">
        <f t="shared" si="37"/>
        <v>0</v>
      </c>
      <c r="AQ321" s="513">
        <f>IF(SETUP!$E$7="USD",(AP321*(IF(O321="USD",AK321,(AK321/'Master Data-C19RM'!$F$2)))),(AP321*(IF(O321="EUR",AK321,(AK321*'Master Data-C19RM'!$F$2)))))</f>
        <v>0</v>
      </c>
      <c r="AR321" s="456">
        <f>IF($O321="USD",_xlfn.IFNA(VLOOKUP($A321&amp;$E321&amp;$I321,PMsheet!$J:$K,2,0),0),(_xlfn.IFNA(VLOOKUP($A321&amp;$E321&amp;$I321,PMsheet!$J:$K,2,0),0)*'Master Data-C19RM'!$G$2))</f>
        <v>0</v>
      </c>
      <c r="AS321" s="572"/>
      <c r="AT321" s="572"/>
      <c r="AU321" s="572"/>
      <c r="AV321" s="572"/>
      <c r="AW321" s="512">
        <f t="shared" si="41"/>
        <v>0</v>
      </c>
      <c r="AX321" s="513">
        <f>IF(SETUP!$E$7="USD",(AW321*(IF(O321="USD",AR321,(AR321/'Master Data-C19RM'!$G$2)))),(AW321*(IF(O321="EUR",AR321,(AR321*'Master Data-C19RM'!$G$2)))))</f>
        <v>0</v>
      </c>
      <c r="AY321" s="845"/>
      <c r="AZ321" s="846"/>
      <c r="BA321" s="846"/>
      <c r="BB321" s="846"/>
      <c r="BC321" s="846"/>
      <c r="BD321" s="846"/>
      <c r="BE321" s="847"/>
      <c r="BF321" s="512">
        <f>'C19RM 2021-Lab &amp; Other HPS'!$U321+'C19RM 2021-Lab &amp; Other HPS'!$AB321+'C19RM 2021-Lab &amp; Other HPS'!$AP321+'C19RM 2021-Lab &amp; Other HPS'!$AI321+AW321+BD321</f>
        <v>0</v>
      </c>
      <c r="BG321" s="512">
        <f>'C19RM 2021-Lab &amp; Other HPS'!$V321+'C19RM 2021-Lab &amp; Other HPS'!$AC321+'C19RM 2021-Lab &amp; Other HPS'!$AQ321+'C19RM 2021-Lab &amp; Other HPS'!$AJ321+AX321+BE321</f>
        <v>0</v>
      </c>
      <c r="BH321" s="500" t="str" cm="1">
        <f t="array" ref="BH321">IF(A321&lt;&gt;"",IFERROR(INDEX(PMtbl[[WKst]:[Unit of measure*]],MATCH($A$222&amp;$A321&amp;$E321&amp;$I321,INDEX(PMtbl[Sec]&amp;PMtbl[Category]&amp;PMtbl[Each]&amp;PMtbl[Packaging],0,),0),11),""),"")</f>
        <v/>
      </c>
      <c r="BI321" s="819"/>
      <c r="BJ321" s="502" t="str" cm="1">
        <f t="array" ref="BJ321">IFERROR(INDEX(SETUP!$C$19:$G$121,MATCH((INDEX(PMtbl[[WKst]:[Unit of measure*]],MATCH($A321&amp;$E321&amp;$I321,INDEX(PMtbl[Category]&amp;PMtbl[Each]&amp;PMtbl[Packaging],0,),0),3)),SETUP!$D$19:$D$121,0),5),"")</f>
        <v/>
      </c>
      <c r="BK321" s="542"/>
      <c r="BL321" s="214"/>
      <c r="BO321" s="12">
        <f>IF(N321="",0,IF(SETUP!$E$7="USD",((IF(O321="USD",P321,(P321/'Master Data-C19RM'!$C$2)))),((IF(O321="EUR",P321,(P321*'Master Data-C19RM'!$C$2))))))</f>
        <v>0</v>
      </c>
      <c r="BP321" s="12">
        <f>IF(N321="",0,IF(SETUP!$E$7="USD",((IF(O321="USD",W321,(W321/'Master Data-C19RM'!$D$2)))),((IF(O321="EUR",W321,(W321*'Master Data-C19RM'!$D$2))))))</f>
        <v>0</v>
      </c>
      <c r="BQ321">
        <f>IF(N321="",0,IF(SETUP!$E$7="USD",((IF(O321="USD",AD321,(AD321/'Master Data-C19RM'!$E$2)))),((IF(O321="EUR",AD321,(AD321*'Master Data-C19RM'!$E$2))))))</f>
        <v>0</v>
      </c>
      <c r="BR321">
        <f>IF(N321="",0,IF(SETUP!$E$7="USD",((IF(O321="USD",AK321,(AK321/'Master Data-C19RM'!$F$2)))),((IF(O321="EUR",AK321,(AK321*'Master Data-C19RM'!$F$2))))))</f>
        <v>0</v>
      </c>
      <c r="BS321">
        <f>IF(N321="",0,IF(SETUP!$E$7="USD",((IF(O321="USD",AR321,(AR321/'Master Data-C19RM'!$G$2)))),((IF(O321="EUR",AR321,(AR321*'Master Data-C19RM'!$G$2))))))</f>
        <v>0</v>
      </c>
      <c r="BT321">
        <f>IF(N321="",0,IF(SETUP!$E$7="USD",((IF(O321="USD",AY321,(AY321/'Master Data-C19RM'!$H$2)))),((IF(O321="EUR",AY321,(AY321*'Master Data-C19RM'!$H$2))))))</f>
        <v>0</v>
      </c>
      <c r="BU321" s="12">
        <f t="shared" si="39"/>
        <v>0</v>
      </c>
      <c r="BV321" s="142">
        <f t="shared" si="40"/>
        <v>0</v>
      </c>
    </row>
    <row r="322" spans="1:94" x14ac:dyDescent="0.35">
      <c r="A322" s="1172"/>
      <c r="B322" s="1172"/>
      <c r="C322" s="1172"/>
      <c r="D322" s="1172"/>
      <c r="E322" s="1173"/>
      <c r="F322" s="1173"/>
      <c r="G322" s="1173"/>
      <c r="H322" s="1173"/>
      <c r="I322" s="1173"/>
      <c r="J322" s="1173"/>
      <c r="K322" s="1173"/>
      <c r="L322" s="493" t="str" cm="1">
        <f t="array" ref="L322">IF(A322&lt;&gt;"",IFERROR(INDEX(PMtbl[[WKst]:[Unit of measure*]],MATCH($A$222&amp;$A322&amp;$E322&amp;$I322,INDEX(PMtbl[Sec]&amp;PMtbl[Category]&amp;PMtbl[Each]&amp;PMtbl[Packaging],0,),0),14),""),"")</f>
        <v/>
      </c>
      <c r="M322" s="480" t="str">
        <f>IF(L322="","",INDEX(SETUP!$E$20:$E$122,(MATCH(INDEX(PMsheet!$D:$E,MATCH(A322,PMsheet!E:E,0),1),SETUP!$D$20:$D$122,0))))</f>
        <v/>
      </c>
      <c r="N322" s="494">
        <f>IF($O322="USD",_xlfn.IFNA(VLOOKUP(A322&amp;E322&amp;I322,PMsheet!J:K,2,0),0),(_xlfn.IFNA(VLOOKUP(A322&amp;E322&amp;I322,PMsheet!J:K,2,0),0)*'Master Data-C19RM'!$C$2))</f>
        <v>0</v>
      </c>
      <c r="O322" s="495" t="str">
        <f>IF(L322="", "",SETUP!$E$7)</f>
        <v/>
      </c>
      <c r="P322" s="445">
        <f>IF($O322="USD",_xlfn.IFNA(VLOOKUP($A322&amp;$E322&amp;$I322,PMsheet!$J:$K,2,0),0),(_xlfn.IFNA(VLOOKUP($A322&amp;$E322&amp;$I322,PMsheet!$J:$K,2,0),0)*'Master Data-C19RM'!$C$2))</f>
        <v>0</v>
      </c>
      <c r="Q322" s="440"/>
      <c r="R322" s="440"/>
      <c r="S322" s="440"/>
      <c r="T322" s="440"/>
      <c r="U322" s="482">
        <f t="shared" si="34"/>
        <v>0</v>
      </c>
      <c r="V322" s="484">
        <f>IF(SETUP!$E$7="USD",(U322*(IF(O322="USD",P322,(P322/'Master Data-C19RM'!$C$2)))),(U322*(IF(O322="EUR",P322,(P322*'Master Data-C19RM'!$C$2)))))</f>
        <v>0</v>
      </c>
      <c r="W322" s="445">
        <f>IF($O322="USD",_xlfn.IFNA(VLOOKUP($A322&amp;$E322&amp;$I322,PMsheet!$J:$K,2,0),0),(_xlfn.IFNA(VLOOKUP($A322&amp;$E322&amp;$I322,PMsheet!$J:$K,2,0),0)*'Master Data-C19RM'!$D$2))</f>
        <v>0</v>
      </c>
      <c r="X322" s="440"/>
      <c r="Y322" s="440"/>
      <c r="Z322" s="440"/>
      <c r="AA322" s="440"/>
      <c r="AB322" s="482">
        <f t="shared" si="35"/>
        <v>0</v>
      </c>
      <c r="AC322" s="484">
        <f>IF(SETUP!$E$7="USD",(AB322*(IF(O322="USD",W322,(W322/'Master Data-C19RM'!$D$2)))),(AB322*(IF(O322="EUR",W322,(W322*'Master Data-C19RM'!$D$2)))))</f>
        <v>0</v>
      </c>
      <c r="AD322" s="445">
        <f>IF($O322="USD",_xlfn.IFNA(VLOOKUP($A322&amp;$E322&amp;$I322,PMsheet!$J:$K,2,0),0),(_xlfn.IFNA(VLOOKUP($A322&amp;$E322&amp;$I322,PMsheet!$J:$K,2,0),0)*'Master Data-C19RM'!$E$2))</f>
        <v>0</v>
      </c>
      <c r="AE322" s="440"/>
      <c r="AF322" s="440"/>
      <c r="AG322" s="440"/>
      <c r="AH322" s="440"/>
      <c r="AI322" s="514">
        <f t="shared" si="36"/>
        <v>0</v>
      </c>
      <c r="AJ322" s="515">
        <f>IF(SETUP!$E$7="USD",(AI322*(IF(O322="USD",AD322,(AD322/'Master Data-C19RM'!$E$2)))),(AI322*(IF(O322="EUR",AD322,(AD322*'Master Data-C19RM'!$E$2)))))</f>
        <v>0</v>
      </c>
      <c r="AK322" s="445">
        <f>IF($O322="USD",_xlfn.IFNA(VLOOKUP($A322&amp;$E322&amp;$I322,PMsheet!$J:$K,2,0),0),(_xlfn.IFNA(VLOOKUP($A322&amp;$E322&amp;$I322,PMsheet!$J:$K,2,0),0)*'Master Data-C19RM'!$F$2))</f>
        <v>0</v>
      </c>
      <c r="AL322" s="440"/>
      <c r="AM322" s="440"/>
      <c r="AN322" s="440"/>
      <c r="AO322" s="440"/>
      <c r="AP322" s="514">
        <f t="shared" si="37"/>
        <v>0</v>
      </c>
      <c r="AQ322" s="515">
        <f>IF(SETUP!$E$7="USD",(AP322*(IF(O322="USD",AK322,(AK322/'Master Data-C19RM'!$F$2)))),(AP322*(IF(O322="EUR",AK322,(AK322*'Master Data-C19RM'!$F$2)))))</f>
        <v>0</v>
      </c>
      <c r="AR322" s="457">
        <f>IF($O322="USD",_xlfn.IFNA(VLOOKUP($A322&amp;$E322&amp;$I322,PMsheet!$J:$K,2,0),0),(_xlfn.IFNA(VLOOKUP($A322&amp;$E322&amp;$I322,PMsheet!$J:$K,2,0),0)*'Master Data-C19RM'!$G$2))</f>
        <v>0</v>
      </c>
      <c r="AS322" s="926"/>
      <c r="AT322" s="926"/>
      <c r="AU322" s="926"/>
      <c r="AV322" s="926"/>
      <c r="AW322" s="514">
        <f t="shared" si="41"/>
        <v>0</v>
      </c>
      <c r="AX322" s="515">
        <f>IF(SETUP!$E$7="USD",(AW322*(IF(O322="USD",AR322,(AR322/'Master Data-C19RM'!$G$2)))),(AW322*(IF(O322="EUR",AR322,(AR322*'Master Data-C19RM'!$G$2)))))</f>
        <v>0</v>
      </c>
      <c r="AY322" s="845"/>
      <c r="AZ322" s="846"/>
      <c r="BA322" s="846"/>
      <c r="BB322" s="846"/>
      <c r="BC322" s="846"/>
      <c r="BD322" s="846"/>
      <c r="BE322" s="847"/>
      <c r="BF322" s="514">
        <f>'C19RM 2021-Lab &amp; Other HPS'!$U322+'C19RM 2021-Lab &amp; Other HPS'!$AB322+'C19RM 2021-Lab &amp; Other HPS'!$AP322+'C19RM 2021-Lab &amp; Other HPS'!$AI322+AW322+BD322</f>
        <v>0</v>
      </c>
      <c r="BG322" s="514">
        <f>'C19RM 2021-Lab &amp; Other HPS'!$V322+'C19RM 2021-Lab &amp; Other HPS'!$AC322+'C19RM 2021-Lab &amp; Other HPS'!$AQ322+'C19RM 2021-Lab &amp; Other HPS'!$AJ322+AX322+BE322</f>
        <v>0</v>
      </c>
      <c r="BH322" s="522" t="str" cm="1">
        <f t="array" ref="BH322">IF(A322&lt;&gt;"",IFERROR(INDEX(PMtbl[[WKst]:[Unit of measure*]],MATCH($A$222&amp;$A322&amp;$E322&amp;$I322,INDEX(PMtbl[Sec]&amp;PMtbl[Category]&amp;PMtbl[Each]&amp;PMtbl[Packaging],0,),0),11),""),"")</f>
        <v/>
      </c>
      <c r="BI322" s="818"/>
      <c r="BJ322" s="503" t="str" cm="1">
        <f t="array" ref="BJ322">IFERROR(INDEX(SETUP!$C$19:$G$121,MATCH((INDEX(PMtbl[[WKst]:[Unit of measure*]],MATCH($A322&amp;$E322&amp;$I322,INDEX(PMtbl[Category]&amp;PMtbl[Each]&amp;PMtbl[Packaging],0,),0),3)),SETUP!$D$19:$D$121,0),5),"")</f>
        <v/>
      </c>
      <c r="BK322" s="543"/>
      <c r="BL322" s="215"/>
      <c r="BO322" s="12">
        <f>IF(N322="",0,IF(SETUP!$E$7="USD",((IF(O322="USD",P322,(P322/'Master Data-C19RM'!$C$2)))),((IF(O322="EUR",P322,(P322*'Master Data-C19RM'!$C$2))))))</f>
        <v>0</v>
      </c>
      <c r="BP322" s="12">
        <f>IF(N322="",0,IF(SETUP!$E$7="USD",((IF(O322="USD",W322,(W322/'Master Data-C19RM'!$D$2)))),((IF(O322="EUR",W322,(W322*'Master Data-C19RM'!$D$2))))))</f>
        <v>0</v>
      </c>
      <c r="BQ322">
        <f>IF(N322="",0,IF(SETUP!$E$7="USD",((IF(O322="USD",AD322,(AD322/'Master Data-C19RM'!$E$2)))),((IF(O322="EUR",AD322,(AD322*'Master Data-C19RM'!$E$2))))))</f>
        <v>0</v>
      </c>
      <c r="BR322">
        <f>IF(N322="",0,IF(SETUP!$E$7="USD",((IF(O322="USD",AK322,(AK322/'Master Data-C19RM'!$F$2)))),((IF(O322="EUR",AK322,(AK322*'Master Data-C19RM'!$F$2))))))</f>
        <v>0</v>
      </c>
      <c r="BS322">
        <f>IF(N322="",0,IF(SETUP!$E$7="USD",((IF(O322="USD",AR322,(AR322/'Master Data-C19RM'!$G$2)))),((IF(O322="EUR",AR322,(AR322*'Master Data-C19RM'!$G$2))))))</f>
        <v>0</v>
      </c>
      <c r="BT322">
        <f>IF(N322="",0,IF(SETUP!$E$7="USD",((IF(O322="USD",AY322,(AY322/'Master Data-C19RM'!$H$2)))),((IF(O322="EUR",AY322,(AY322*'Master Data-C19RM'!$H$2))))))</f>
        <v>0</v>
      </c>
      <c r="BU322" s="12">
        <f t="shared" si="39"/>
        <v>0</v>
      </c>
      <c r="BV322" s="142">
        <f t="shared" si="40"/>
        <v>0</v>
      </c>
    </row>
    <row r="323" spans="1:94" x14ac:dyDescent="0.35">
      <c r="A323" s="1165"/>
      <c r="B323" s="1165"/>
      <c r="C323" s="1165"/>
      <c r="D323" s="1165"/>
      <c r="E323" s="1166"/>
      <c r="F323" s="1166"/>
      <c r="G323" s="1166"/>
      <c r="H323" s="1166"/>
      <c r="I323" s="1166"/>
      <c r="J323" s="1166"/>
      <c r="K323" s="1166"/>
      <c r="L323" s="490" t="str" cm="1">
        <f t="array" ref="L323">IF(A323&lt;&gt;"",IFERROR(INDEX(PMtbl[[WKst]:[Unit of measure*]],MATCH($A$222&amp;$A323&amp;$E323&amp;$I323,INDEX(PMtbl[Sec]&amp;PMtbl[Category]&amp;PMtbl[Each]&amp;PMtbl[Packaging],0,),0),14),""),"")</f>
        <v/>
      </c>
      <c r="M323" s="479" t="str">
        <f>IF(L323="","",INDEX(SETUP!$E$20:$E$122,(MATCH(INDEX(PMsheet!$D:$E,MATCH(A323,PMsheet!E:E,0),1),SETUP!$D$20:$D$122,0))))</f>
        <v/>
      </c>
      <c r="N323" s="491">
        <f>IF($O323="USD",_xlfn.IFNA(VLOOKUP(A323&amp;E323&amp;I323,PMsheet!J:K,2,0),0),(_xlfn.IFNA(VLOOKUP(A323&amp;E323&amp;I323,PMsheet!J:K,2,0),0)*'Master Data-C19RM'!$C$2))</f>
        <v>0</v>
      </c>
      <c r="O323" s="492" t="str">
        <f>IF(L323="", "",SETUP!$E$7)</f>
        <v/>
      </c>
      <c r="P323" s="444">
        <f>IF($O323="USD",_xlfn.IFNA(VLOOKUP($A323&amp;$E323&amp;$I323,PMsheet!$J:$K,2,0),0),(_xlfn.IFNA(VLOOKUP($A323&amp;$E323&amp;$I323,PMsheet!$J:$K,2,0),0)*'Master Data-C19RM'!$C$2))</f>
        <v>0</v>
      </c>
      <c r="Q323" s="441"/>
      <c r="R323" s="441"/>
      <c r="S323" s="441"/>
      <c r="T323" s="441"/>
      <c r="U323" s="481">
        <f t="shared" si="34"/>
        <v>0</v>
      </c>
      <c r="V323" s="483">
        <f>IF(SETUP!$E$7="USD",(U323*(IF(O323="USD",P323,(P323/'Master Data-C19RM'!$C$2)))),(U323*(IF(O323="EUR",P323,(P323*'Master Data-C19RM'!$C$2)))))</f>
        <v>0</v>
      </c>
      <c r="W323" s="444">
        <f>IF($O323="USD",_xlfn.IFNA(VLOOKUP($A323&amp;$E323&amp;$I323,PMsheet!$J:$K,2,0),0),(_xlfn.IFNA(VLOOKUP($A323&amp;$E323&amp;$I323,PMsheet!$J:$K,2,0),0)*'Master Data-C19RM'!$D$2))</f>
        <v>0</v>
      </c>
      <c r="X323" s="441"/>
      <c r="Y323" s="441"/>
      <c r="Z323" s="441"/>
      <c r="AA323" s="441"/>
      <c r="AB323" s="481">
        <f t="shared" si="35"/>
        <v>0</v>
      </c>
      <c r="AC323" s="483">
        <f>IF(SETUP!$E$7="USD",(AB323*(IF(O323="USD",W323,(W323/'Master Data-C19RM'!$D$2)))),(AB323*(IF(O323="EUR",W323,(W323*'Master Data-C19RM'!$D$2)))))</f>
        <v>0</v>
      </c>
      <c r="AD323" s="444">
        <f>IF($O323="USD",_xlfn.IFNA(VLOOKUP($A323&amp;$E323&amp;$I323,PMsheet!$J:$K,2,0),0),(_xlfn.IFNA(VLOOKUP($A323&amp;$E323&amp;$I323,PMsheet!$J:$K,2,0),0)*'Master Data-C19RM'!$E$2))</f>
        <v>0</v>
      </c>
      <c r="AE323" s="441"/>
      <c r="AF323" s="441"/>
      <c r="AG323" s="441"/>
      <c r="AH323" s="441"/>
      <c r="AI323" s="512">
        <f t="shared" si="36"/>
        <v>0</v>
      </c>
      <c r="AJ323" s="513">
        <f>IF(SETUP!$E$7="USD",(AI323*(IF(O323="USD",AD323,(AD323/'Master Data-C19RM'!$E$2)))),(AI323*(IF(O323="EUR",AD323,(AD323*'Master Data-C19RM'!$E$2)))))</f>
        <v>0</v>
      </c>
      <c r="AK323" s="444">
        <f>IF($O323="USD",_xlfn.IFNA(VLOOKUP($A323&amp;$E323&amp;$I323,PMsheet!$J:$K,2,0),0),(_xlfn.IFNA(VLOOKUP($A323&amp;$E323&amp;$I323,PMsheet!$J:$K,2,0),0)*'Master Data-C19RM'!$F$2))</f>
        <v>0</v>
      </c>
      <c r="AL323" s="441"/>
      <c r="AM323" s="441"/>
      <c r="AN323" s="441"/>
      <c r="AO323" s="441"/>
      <c r="AP323" s="512">
        <f t="shared" si="37"/>
        <v>0</v>
      </c>
      <c r="AQ323" s="513">
        <f>IF(SETUP!$E$7="USD",(AP323*(IF(O323="USD",AK323,(AK323/'Master Data-C19RM'!$F$2)))),(AP323*(IF(O323="EUR",AK323,(AK323*'Master Data-C19RM'!$F$2)))))</f>
        <v>0</v>
      </c>
      <c r="AR323" s="456">
        <f>IF($O323="USD",_xlfn.IFNA(VLOOKUP($A323&amp;$E323&amp;$I323,PMsheet!$J:$K,2,0),0),(_xlfn.IFNA(VLOOKUP($A323&amp;$E323&amp;$I323,PMsheet!$J:$K,2,0),0)*'Master Data-C19RM'!$G$2))</f>
        <v>0</v>
      </c>
      <c r="AS323" s="572"/>
      <c r="AT323" s="572"/>
      <c r="AU323" s="572"/>
      <c r="AV323" s="572"/>
      <c r="AW323" s="512">
        <f t="shared" si="41"/>
        <v>0</v>
      </c>
      <c r="AX323" s="513">
        <f>IF(SETUP!$E$7="USD",(AW323*(IF(O323="USD",AR323,(AR323/'Master Data-C19RM'!$G$2)))),(AW323*(IF(O323="EUR",AR323,(AR323*'Master Data-C19RM'!$G$2)))))</f>
        <v>0</v>
      </c>
      <c r="AY323" s="845"/>
      <c r="AZ323" s="846"/>
      <c r="BA323" s="846"/>
      <c r="BB323" s="846"/>
      <c r="BC323" s="846"/>
      <c r="BD323" s="846"/>
      <c r="BE323" s="847"/>
      <c r="BF323" s="512">
        <f>'C19RM 2021-Lab &amp; Other HPS'!$U323+'C19RM 2021-Lab &amp; Other HPS'!$AB323+'C19RM 2021-Lab &amp; Other HPS'!$AP323+'C19RM 2021-Lab &amp; Other HPS'!$AI323+AW323+BD323</f>
        <v>0</v>
      </c>
      <c r="BG323" s="512">
        <f>'C19RM 2021-Lab &amp; Other HPS'!$V323+'C19RM 2021-Lab &amp; Other HPS'!$AC323+'C19RM 2021-Lab &amp; Other HPS'!$AQ323+'C19RM 2021-Lab &amp; Other HPS'!$AJ323+AX323+BE323</f>
        <v>0</v>
      </c>
      <c r="BH323" s="500" t="str" cm="1">
        <f t="array" ref="BH323">IF(A323&lt;&gt;"",IFERROR(INDEX(PMtbl[[WKst]:[Unit of measure*]],MATCH($A$222&amp;$A323&amp;$E323&amp;$I323,INDEX(PMtbl[Sec]&amp;PMtbl[Category]&amp;PMtbl[Each]&amp;PMtbl[Packaging],0,),0),11),""),"")</f>
        <v/>
      </c>
      <c r="BI323" s="819"/>
      <c r="BJ323" s="502" t="str" cm="1">
        <f t="array" ref="BJ323">IFERROR(INDEX(SETUP!$C$19:$G$121,MATCH((INDEX(PMtbl[[WKst]:[Unit of measure*]],MATCH($A323&amp;$E323&amp;$I323,INDEX(PMtbl[Category]&amp;PMtbl[Each]&amp;PMtbl[Packaging],0,),0),3)),SETUP!$D$19:$D$121,0),5),"")</f>
        <v/>
      </c>
      <c r="BK323" s="542"/>
      <c r="BL323" s="214"/>
      <c r="BO323" s="12">
        <f>IF(N323="",0,IF(SETUP!$E$7="USD",((IF(O323="USD",P323,(P323/'Master Data-C19RM'!$C$2)))),((IF(O323="EUR",P323,(P323*'Master Data-C19RM'!$C$2))))))</f>
        <v>0</v>
      </c>
      <c r="BP323" s="12">
        <f>IF(N323="",0,IF(SETUP!$E$7="USD",((IF(O323="USD",W323,(W323/'Master Data-C19RM'!$D$2)))),((IF(O323="EUR",W323,(W323*'Master Data-C19RM'!$D$2))))))</f>
        <v>0</v>
      </c>
      <c r="BQ323">
        <f>IF(N323="",0,IF(SETUP!$E$7="USD",((IF(O323="USD",AD323,(AD323/'Master Data-C19RM'!$E$2)))),((IF(O323="EUR",AD323,(AD323*'Master Data-C19RM'!$E$2))))))</f>
        <v>0</v>
      </c>
      <c r="BR323">
        <f>IF(N323="",0,IF(SETUP!$E$7="USD",((IF(O323="USD",AK323,(AK323/'Master Data-C19RM'!$F$2)))),((IF(O323="EUR",AK323,(AK323*'Master Data-C19RM'!$F$2))))))</f>
        <v>0</v>
      </c>
      <c r="BS323">
        <f>IF(N323="",0,IF(SETUP!$E$7="USD",((IF(O323="USD",AR323,(AR323/'Master Data-C19RM'!$G$2)))),((IF(O323="EUR",AR323,(AR323*'Master Data-C19RM'!$G$2))))))</f>
        <v>0</v>
      </c>
      <c r="BT323">
        <f>IF(N323="",0,IF(SETUP!$E$7="USD",((IF(O323="USD",AY323,(AY323/'Master Data-C19RM'!$H$2)))),((IF(O323="EUR",AY323,(AY323*'Master Data-C19RM'!$H$2))))))</f>
        <v>0</v>
      </c>
      <c r="BU323" s="12">
        <f t="shared" si="39"/>
        <v>0</v>
      </c>
      <c r="BV323" s="142">
        <f t="shared" si="40"/>
        <v>0</v>
      </c>
    </row>
    <row r="324" spans="1:94" x14ac:dyDescent="0.35">
      <c r="A324" s="1172"/>
      <c r="B324" s="1172"/>
      <c r="C324" s="1172"/>
      <c r="D324" s="1172"/>
      <c r="E324" s="1173"/>
      <c r="F324" s="1173"/>
      <c r="G324" s="1173"/>
      <c r="H324" s="1173"/>
      <c r="I324" s="1173"/>
      <c r="J324" s="1173"/>
      <c r="K324" s="1173"/>
      <c r="L324" s="493" t="str" cm="1">
        <f t="array" ref="L324">IF(A324&lt;&gt;"",IFERROR(INDEX(PMtbl[[WKst]:[Unit of measure*]],MATCH($A$222&amp;$A324&amp;$E324&amp;$I324,INDEX(PMtbl[Sec]&amp;PMtbl[Category]&amp;PMtbl[Each]&amp;PMtbl[Packaging],0,),0),14),""),"")</f>
        <v/>
      </c>
      <c r="M324" s="480" t="str">
        <f>IF(L324="","",INDEX(SETUP!$E$20:$E$122,(MATCH(INDEX(PMsheet!$D:$E,MATCH(A324,PMsheet!E:E,0),1),SETUP!$D$20:$D$122,0))))</f>
        <v/>
      </c>
      <c r="N324" s="494">
        <f>IF($O324="USD",_xlfn.IFNA(VLOOKUP(A324&amp;E324&amp;I324,PMsheet!J:K,2,0),0),(_xlfn.IFNA(VLOOKUP(A324&amp;E324&amp;I324,PMsheet!J:K,2,0),0)*'Master Data-C19RM'!$C$2))</f>
        <v>0</v>
      </c>
      <c r="O324" s="495" t="str">
        <f>IF(L324="", "",SETUP!$E$7)</f>
        <v/>
      </c>
      <c r="P324" s="445">
        <f>IF($O324="USD",_xlfn.IFNA(VLOOKUP($A324&amp;$E324&amp;$I324,PMsheet!$J:$K,2,0),0),(_xlfn.IFNA(VLOOKUP($A324&amp;$E324&amp;$I324,PMsheet!$J:$K,2,0),0)*'Master Data-C19RM'!$C$2))</f>
        <v>0</v>
      </c>
      <c r="Q324" s="440"/>
      <c r="R324" s="440"/>
      <c r="S324" s="440"/>
      <c r="T324" s="440"/>
      <c r="U324" s="482">
        <f t="shared" si="34"/>
        <v>0</v>
      </c>
      <c r="V324" s="484">
        <f>IF(SETUP!$E$7="USD",(U324*(IF(O324="USD",P324,(P324/'Master Data-C19RM'!$C$2)))),(U324*(IF(O324="EUR",P324,(P324*'Master Data-C19RM'!$C$2)))))</f>
        <v>0</v>
      </c>
      <c r="W324" s="445">
        <f>IF($O324="USD",_xlfn.IFNA(VLOOKUP($A324&amp;$E324&amp;$I324,PMsheet!$J:$K,2,0),0),(_xlfn.IFNA(VLOOKUP($A324&amp;$E324&amp;$I324,PMsheet!$J:$K,2,0),0)*'Master Data-C19RM'!$D$2))</f>
        <v>0</v>
      </c>
      <c r="X324" s="440"/>
      <c r="Y324" s="440"/>
      <c r="Z324" s="440"/>
      <c r="AA324" s="440"/>
      <c r="AB324" s="482">
        <f t="shared" si="35"/>
        <v>0</v>
      </c>
      <c r="AC324" s="484">
        <f>IF(SETUP!$E$7="USD",(AB324*(IF(O324="USD",W324,(W324/'Master Data-C19RM'!$D$2)))),(AB324*(IF(O324="EUR",W324,(W324*'Master Data-C19RM'!$D$2)))))</f>
        <v>0</v>
      </c>
      <c r="AD324" s="445">
        <f>IF($O324="USD",_xlfn.IFNA(VLOOKUP($A324&amp;$E324&amp;$I324,PMsheet!$J:$K,2,0),0),(_xlfn.IFNA(VLOOKUP($A324&amp;$E324&amp;$I324,PMsheet!$J:$K,2,0),0)*'Master Data-C19RM'!$E$2))</f>
        <v>0</v>
      </c>
      <c r="AE324" s="440"/>
      <c r="AF324" s="440"/>
      <c r="AG324" s="440"/>
      <c r="AH324" s="440"/>
      <c r="AI324" s="514">
        <f t="shared" si="36"/>
        <v>0</v>
      </c>
      <c r="AJ324" s="515">
        <f>IF(SETUP!$E$7="USD",(AI324*(IF(O324="USD",AD324,(AD324/'Master Data-C19RM'!$E$2)))),(AI324*(IF(O324="EUR",AD324,(AD324*'Master Data-C19RM'!$E$2)))))</f>
        <v>0</v>
      </c>
      <c r="AK324" s="445">
        <f>IF($O324="USD",_xlfn.IFNA(VLOOKUP($A324&amp;$E324&amp;$I324,PMsheet!$J:$K,2,0),0),(_xlfn.IFNA(VLOOKUP($A324&amp;$E324&amp;$I324,PMsheet!$J:$K,2,0),0)*'Master Data-C19RM'!$F$2))</f>
        <v>0</v>
      </c>
      <c r="AL324" s="440"/>
      <c r="AM324" s="440"/>
      <c r="AN324" s="440"/>
      <c r="AO324" s="440"/>
      <c r="AP324" s="514">
        <f t="shared" si="37"/>
        <v>0</v>
      </c>
      <c r="AQ324" s="515">
        <f>IF(SETUP!$E$7="USD",(AP324*(IF(O324="USD",AK324,(AK324/'Master Data-C19RM'!$F$2)))),(AP324*(IF(O324="EUR",AK324,(AK324*'Master Data-C19RM'!$F$2)))))</f>
        <v>0</v>
      </c>
      <c r="AR324" s="457">
        <f>IF($O324="USD",_xlfn.IFNA(VLOOKUP($A324&amp;$E324&amp;$I324,PMsheet!$J:$K,2,0),0),(_xlfn.IFNA(VLOOKUP($A324&amp;$E324&amp;$I324,PMsheet!$J:$K,2,0),0)*'Master Data-C19RM'!$G$2))</f>
        <v>0</v>
      </c>
      <c r="AS324" s="926"/>
      <c r="AT324" s="926"/>
      <c r="AU324" s="926"/>
      <c r="AV324" s="926"/>
      <c r="AW324" s="514">
        <f t="shared" si="41"/>
        <v>0</v>
      </c>
      <c r="AX324" s="515">
        <f>IF(SETUP!$E$7="USD",(AW324*(IF(O324="USD",AR324,(AR324/'Master Data-C19RM'!$G$2)))),(AW324*(IF(O324="EUR",AR324,(AR324*'Master Data-C19RM'!$G$2)))))</f>
        <v>0</v>
      </c>
      <c r="AY324" s="845"/>
      <c r="AZ324" s="846"/>
      <c r="BA324" s="846"/>
      <c r="BB324" s="846"/>
      <c r="BC324" s="846"/>
      <c r="BD324" s="846"/>
      <c r="BE324" s="847"/>
      <c r="BF324" s="514">
        <f>'C19RM 2021-Lab &amp; Other HPS'!$U324+'C19RM 2021-Lab &amp; Other HPS'!$AB324+'C19RM 2021-Lab &amp; Other HPS'!$AP324+'C19RM 2021-Lab &amp; Other HPS'!$AI324+AW324+BD324</f>
        <v>0</v>
      </c>
      <c r="BG324" s="514">
        <f>'C19RM 2021-Lab &amp; Other HPS'!$V324+'C19RM 2021-Lab &amp; Other HPS'!$AC324+'C19RM 2021-Lab &amp; Other HPS'!$AQ324+'C19RM 2021-Lab &amp; Other HPS'!$AJ324+AX324+BE324</f>
        <v>0</v>
      </c>
      <c r="BH324" s="522" t="str" cm="1">
        <f t="array" ref="BH324">IF(A324&lt;&gt;"",IFERROR(INDEX(PMtbl[[WKst]:[Unit of measure*]],MATCH($A$222&amp;$A324&amp;$E324&amp;$I324,INDEX(PMtbl[Sec]&amp;PMtbl[Category]&amp;PMtbl[Each]&amp;PMtbl[Packaging],0,),0),11),""),"")</f>
        <v/>
      </c>
      <c r="BI324" s="818"/>
      <c r="BJ324" s="503" t="str" cm="1">
        <f t="array" ref="BJ324">IFERROR(INDEX(SETUP!$C$19:$G$121,MATCH((INDEX(PMtbl[[WKst]:[Unit of measure*]],MATCH($A324&amp;$E324&amp;$I324,INDEX(PMtbl[Category]&amp;PMtbl[Each]&amp;PMtbl[Packaging],0,),0),3)),SETUP!$D$19:$D$121,0),5),"")</f>
        <v/>
      </c>
      <c r="BK324" s="543"/>
      <c r="BL324" s="215"/>
      <c r="BO324" s="12">
        <f>IF(N324="",0,IF(SETUP!$E$7="USD",((IF(O324="USD",P324,(P324/'Master Data-C19RM'!$C$2)))),((IF(O324="EUR",P324,(P324*'Master Data-C19RM'!$C$2))))))</f>
        <v>0</v>
      </c>
      <c r="BP324" s="12">
        <f>IF(N324="",0,IF(SETUP!$E$7="USD",((IF(O324="USD",W324,(W324/'Master Data-C19RM'!$D$2)))),((IF(O324="EUR",W324,(W324*'Master Data-C19RM'!$D$2))))))</f>
        <v>0</v>
      </c>
      <c r="BQ324">
        <f>IF(N324="",0,IF(SETUP!$E$7="USD",((IF(O324="USD",AD324,(AD324/'Master Data-C19RM'!$E$2)))),((IF(O324="EUR",AD324,(AD324*'Master Data-C19RM'!$E$2))))))</f>
        <v>0</v>
      </c>
      <c r="BR324">
        <f>IF(N324="",0,IF(SETUP!$E$7="USD",((IF(O324="USD",AK324,(AK324/'Master Data-C19RM'!$F$2)))),((IF(O324="EUR",AK324,(AK324*'Master Data-C19RM'!$F$2))))))</f>
        <v>0</v>
      </c>
      <c r="BS324">
        <f>IF(N324="",0,IF(SETUP!$E$7="USD",((IF(O324="USD",AR324,(AR324/'Master Data-C19RM'!$G$2)))),((IF(O324="EUR",AR324,(AR324*'Master Data-C19RM'!$G$2))))))</f>
        <v>0</v>
      </c>
      <c r="BT324">
        <f>IF(N324="",0,IF(SETUP!$E$7="USD",((IF(O324="USD",AY324,(AY324/'Master Data-C19RM'!$H$2)))),((IF(O324="EUR",AY324,(AY324*'Master Data-C19RM'!$H$2))))))</f>
        <v>0</v>
      </c>
      <c r="BU324" s="12">
        <f t="shared" si="39"/>
        <v>0</v>
      </c>
      <c r="BV324" s="142">
        <f t="shared" si="40"/>
        <v>0</v>
      </c>
    </row>
    <row r="325" spans="1:94" x14ac:dyDescent="0.35">
      <c r="A325" s="1165"/>
      <c r="B325" s="1165"/>
      <c r="C325" s="1165"/>
      <c r="D325" s="1165"/>
      <c r="E325" s="1166"/>
      <c r="F325" s="1166"/>
      <c r="G325" s="1166"/>
      <c r="H325" s="1166"/>
      <c r="I325" s="1166"/>
      <c r="J325" s="1166"/>
      <c r="K325" s="1166"/>
      <c r="L325" s="490" t="str" cm="1">
        <f t="array" ref="L325">IF(A325&lt;&gt;"",IFERROR(INDEX(PMtbl[[WKst]:[Unit of measure*]],MATCH($A$222&amp;$A325&amp;$E325&amp;$I325,INDEX(PMtbl[Sec]&amp;PMtbl[Category]&amp;PMtbl[Each]&amp;PMtbl[Packaging],0,),0),14),""),"")</f>
        <v/>
      </c>
      <c r="M325" s="479" t="str">
        <f>IF(L325="","",INDEX(SETUP!$E$20:$E$122,(MATCH(INDEX(PMsheet!$D:$E,MATCH(A325,PMsheet!E:E,0),1),SETUP!$D$20:$D$122,0))))</f>
        <v/>
      </c>
      <c r="N325" s="491">
        <f>IF($O325="USD",_xlfn.IFNA(VLOOKUP(A325&amp;E325&amp;I325,PMsheet!J:K,2,0),0),(_xlfn.IFNA(VLOOKUP(A325&amp;E325&amp;I325,PMsheet!J:K,2,0),0)*'Master Data-C19RM'!$C$2))</f>
        <v>0</v>
      </c>
      <c r="O325" s="492" t="str">
        <f>IF(L325="", "",SETUP!$E$7)</f>
        <v/>
      </c>
      <c r="P325" s="444">
        <f>IF($O325="USD",_xlfn.IFNA(VLOOKUP($A325&amp;$E325&amp;$I325,PMsheet!$J:$K,2,0),0),(_xlfn.IFNA(VLOOKUP($A325&amp;$E325&amp;$I325,PMsheet!$J:$K,2,0),0)*'Master Data-C19RM'!$C$2))</f>
        <v>0</v>
      </c>
      <c r="Q325" s="441"/>
      <c r="R325" s="441"/>
      <c r="S325" s="441"/>
      <c r="T325" s="441"/>
      <c r="U325" s="481">
        <f t="shared" si="34"/>
        <v>0</v>
      </c>
      <c r="V325" s="483">
        <f>IF(SETUP!$E$7="USD",(U325*(IF(O325="USD",P325,(P325/'Master Data-C19RM'!$C$2)))),(U325*(IF(O325="EUR",P325,(P325*'Master Data-C19RM'!$C$2)))))</f>
        <v>0</v>
      </c>
      <c r="W325" s="444">
        <f>IF($O325="USD",_xlfn.IFNA(VLOOKUP($A325&amp;$E325&amp;$I325,PMsheet!$J:$K,2,0),0),(_xlfn.IFNA(VLOOKUP($A325&amp;$E325&amp;$I325,PMsheet!$J:$K,2,0),0)*'Master Data-C19RM'!$D$2))</f>
        <v>0</v>
      </c>
      <c r="X325" s="441"/>
      <c r="Y325" s="441"/>
      <c r="Z325" s="441"/>
      <c r="AA325" s="441"/>
      <c r="AB325" s="481">
        <f t="shared" si="35"/>
        <v>0</v>
      </c>
      <c r="AC325" s="483">
        <f>IF(SETUP!$E$7="USD",(AB325*(IF(O325="USD",W325,(W325/'Master Data-C19RM'!$D$2)))),(AB325*(IF(O325="EUR",W325,(W325*'Master Data-C19RM'!$D$2)))))</f>
        <v>0</v>
      </c>
      <c r="AD325" s="444">
        <f>IF($O325="USD",_xlfn.IFNA(VLOOKUP($A325&amp;$E325&amp;$I325,PMsheet!$J:$K,2,0),0),(_xlfn.IFNA(VLOOKUP($A325&amp;$E325&amp;$I325,PMsheet!$J:$K,2,0),0)*'Master Data-C19RM'!$E$2))</f>
        <v>0</v>
      </c>
      <c r="AE325" s="441"/>
      <c r="AF325" s="441"/>
      <c r="AG325" s="441"/>
      <c r="AH325" s="441"/>
      <c r="AI325" s="512">
        <f t="shared" si="36"/>
        <v>0</v>
      </c>
      <c r="AJ325" s="513">
        <f>IF(SETUP!$E$7="USD",(AI325*(IF(O325="USD",AD325,(AD325/'Master Data-C19RM'!$E$2)))),(AI325*(IF(O325="EUR",AD325,(AD325*'Master Data-C19RM'!$E$2)))))</f>
        <v>0</v>
      </c>
      <c r="AK325" s="444">
        <f>IF($O325="USD",_xlfn.IFNA(VLOOKUP($A325&amp;$E325&amp;$I325,PMsheet!$J:$K,2,0),0),(_xlfn.IFNA(VLOOKUP($A325&amp;$E325&amp;$I325,PMsheet!$J:$K,2,0),0)*'Master Data-C19RM'!$F$2))</f>
        <v>0</v>
      </c>
      <c r="AL325" s="441"/>
      <c r="AM325" s="441"/>
      <c r="AN325" s="441"/>
      <c r="AO325" s="441"/>
      <c r="AP325" s="512">
        <f t="shared" si="37"/>
        <v>0</v>
      </c>
      <c r="AQ325" s="513">
        <f>IF(SETUP!$E$7="USD",(AP325*(IF(O325="USD",AK325,(AK325/'Master Data-C19RM'!$F$2)))),(AP325*(IF(O325="EUR",AK325,(AK325*'Master Data-C19RM'!$F$2)))))</f>
        <v>0</v>
      </c>
      <c r="AR325" s="456">
        <f>IF($O325="USD",_xlfn.IFNA(VLOOKUP($A325&amp;$E325&amp;$I325,PMsheet!$J:$K,2,0),0),(_xlfn.IFNA(VLOOKUP($A325&amp;$E325&amp;$I325,PMsheet!$J:$K,2,0),0)*'Master Data-C19RM'!$G$2))</f>
        <v>0</v>
      </c>
      <c r="AS325" s="572"/>
      <c r="AT325" s="572"/>
      <c r="AU325" s="572"/>
      <c r="AV325" s="572"/>
      <c r="AW325" s="512">
        <f t="shared" si="41"/>
        <v>0</v>
      </c>
      <c r="AX325" s="513">
        <f>IF(SETUP!$E$7="USD",(AW325*(IF(O325="USD",AR325,(AR325/'Master Data-C19RM'!$G$2)))),(AW325*(IF(O325="EUR",AR325,(AR325*'Master Data-C19RM'!$G$2)))))</f>
        <v>0</v>
      </c>
      <c r="AY325" s="845"/>
      <c r="AZ325" s="846"/>
      <c r="BA325" s="846"/>
      <c r="BB325" s="846"/>
      <c r="BC325" s="846"/>
      <c r="BD325" s="846"/>
      <c r="BE325" s="847"/>
      <c r="BF325" s="512">
        <f>'C19RM 2021-Lab &amp; Other HPS'!$U325+'C19RM 2021-Lab &amp; Other HPS'!$AB325+'C19RM 2021-Lab &amp; Other HPS'!$AP325+'C19RM 2021-Lab &amp; Other HPS'!$AI325+AW325+BD325</f>
        <v>0</v>
      </c>
      <c r="BG325" s="512">
        <f>'C19RM 2021-Lab &amp; Other HPS'!$V325+'C19RM 2021-Lab &amp; Other HPS'!$AC325+'C19RM 2021-Lab &amp; Other HPS'!$AQ325+'C19RM 2021-Lab &amp; Other HPS'!$AJ325+AX325+BE325</f>
        <v>0</v>
      </c>
      <c r="BH325" s="500" t="str" cm="1">
        <f t="array" ref="BH325">IF(A325&lt;&gt;"",IFERROR(INDEX(PMtbl[[WKst]:[Unit of measure*]],MATCH($A$222&amp;$A325&amp;$E325&amp;$I325,INDEX(PMtbl[Sec]&amp;PMtbl[Category]&amp;PMtbl[Each]&amp;PMtbl[Packaging],0,),0),11),""),"")</f>
        <v/>
      </c>
      <c r="BI325" s="819"/>
      <c r="BJ325" s="502" t="str" cm="1">
        <f t="array" ref="BJ325">IFERROR(INDEX(SETUP!$C$19:$G$121,MATCH((INDEX(PMtbl[[WKst]:[Unit of measure*]],MATCH($A325&amp;$E325&amp;$I325,INDEX(PMtbl[Category]&amp;PMtbl[Each]&amp;PMtbl[Packaging],0,),0),3)),SETUP!$D$19:$D$121,0),5),"")</f>
        <v/>
      </c>
      <c r="BK325" s="542"/>
      <c r="BL325" s="214"/>
      <c r="BO325" s="12">
        <f>IF(N325="",0,IF(SETUP!$E$7="USD",((IF(O325="USD",P325,(P325/'Master Data-C19RM'!$C$2)))),((IF(O325="EUR",P325,(P325*'Master Data-C19RM'!$C$2))))))</f>
        <v>0</v>
      </c>
      <c r="BP325" s="12">
        <f>IF(N325="",0,IF(SETUP!$E$7="USD",((IF(O325="USD",W325,(W325/'Master Data-C19RM'!$D$2)))),((IF(O325="EUR",W325,(W325*'Master Data-C19RM'!$D$2))))))</f>
        <v>0</v>
      </c>
      <c r="BQ325">
        <f>IF(N325="",0,IF(SETUP!$E$7="USD",((IF(O325="USD",AD325,(AD325/'Master Data-C19RM'!$E$2)))),((IF(O325="EUR",AD325,(AD325*'Master Data-C19RM'!$E$2))))))</f>
        <v>0</v>
      </c>
      <c r="BR325">
        <f>IF(N325="",0,IF(SETUP!$E$7="USD",((IF(O325="USD",AK325,(AK325/'Master Data-C19RM'!$F$2)))),((IF(O325="EUR",AK325,(AK325*'Master Data-C19RM'!$F$2))))))</f>
        <v>0</v>
      </c>
      <c r="BS325">
        <f>IF(N325="",0,IF(SETUP!$E$7="USD",((IF(O325="USD",AR325,(AR325/'Master Data-C19RM'!$G$2)))),((IF(O325="EUR",AR325,(AR325*'Master Data-C19RM'!$G$2))))))</f>
        <v>0</v>
      </c>
      <c r="BT325">
        <f>IF(N325="",0,IF(SETUP!$E$7="USD",((IF(O325="USD",AY325,(AY325/'Master Data-C19RM'!$H$2)))),((IF(O325="EUR",AY325,(AY325*'Master Data-C19RM'!$H$2))))))</f>
        <v>0</v>
      </c>
      <c r="BU325" s="12">
        <f t="shared" si="39"/>
        <v>0</v>
      </c>
      <c r="BV325" s="142">
        <f t="shared" si="40"/>
        <v>0</v>
      </c>
    </row>
    <row r="326" spans="1:94" x14ac:dyDescent="0.35">
      <c r="A326" s="1172"/>
      <c r="B326" s="1172"/>
      <c r="C326" s="1172"/>
      <c r="D326" s="1172"/>
      <c r="E326" s="1173"/>
      <c r="F326" s="1173"/>
      <c r="G326" s="1173"/>
      <c r="H326" s="1173"/>
      <c r="I326" s="1173"/>
      <c r="J326" s="1173"/>
      <c r="K326" s="1173"/>
      <c r="L326" s="493" t="str" cm="1">
        <f t="array" ref="L326">IF(A326&lt;&gt;"",IFERROR(INDEX(PMtbl[[WKst]:[Unit of measure*]],MATCH($A$222&amp;$A326&amp;$E326&amp;$I326,INDEX(PMtbl[Sec]&amp;PMtbl[Category]&amp;PMtbl[Each]&amp;PMtbl[Packaging],0,),0),14),""),"")</f>
        <v/>
      </c>
      <c r="M326" s="480" t="str">
        <f>IF(L326="","",INDEX(SETUP!$E$20:$E$122,(MATCH(INDEX(PMsheet!$D:$E,MATCH(A326,PMsheet!E:E,0),1),SETUP!$D$20:$D$122,0))))</f>
        <v/>
      </c>
      <c r="N326" s="494">
        <f>IF($O326="USD",_xlfn.IFNA(VLOOKUP(A326&amp;E326&amp;I326,PMsheet!J:K,2,0),0),(_xlfn.IFNA(VLOOKUP(A326&amp;E326&amp;I326,PMsheet!J:K,2,0),0)*'Master Data-C19RM'!$C$2))</f>
        <v>0</v>
      </c>
      <c r="O326" s="495" t="str">
        <f>IF(L326="", "",SETUP!$E$7)</f>
        <v/>
      </c>
      <c r="P326" s="445">
        <f>IF($O326="USD",_xlfn.IFNA(VLOOKUP($A326&amp;$E326&amp;$I326,PMsheet!$J:$K,2,0),0),(_xlfn.IFNA(VLOOKUP($A326&amp;$E326&amp;$I326,PMsheet!$J:$K,2,0),0)*'Master Data-C19RM'!$C$2))</f>
        <v>0</v>
      </c>
      <c r="Q326" s="440"/>
      <c r="R326" s="440"/>
      <c r="S326" s="440"/>
      <c r="T326" s="440"/>
      <c r="U326" s="482">
        <f t="shared" si="34"/>
        <v>0</v>
      </c>
      <c r="V326" s="484">
        <f>IF(SETUP!$E$7="USD",(U326*(IF(O326="USD",P326,(P326/'Master Data-C19RM'!$C$2)))),(U326*(IF(O326="EUR",P326,(P326*'Master Data-C19RM'!$C$2)))))</f>
        <v>0</v>
      </c>
      <c r="W326" s="445">
        <f>IF($O326="USD",_xlfn.IFNA(VLOOKUP($A326&amp;$E326&amp;$I326,PMsheet!$J:$K,2,0),0),(_xlfn.IFNA(VLOOKUP($A326&amp;$E326&amp;$I326,PMsheet!$J:$K,2,0),0)*'Master Data-C19RM'!$D$2))</f>
        <v>0</v>
      </c>
      <c r="X326" s="440"/>
      <c r="Y326" s="440"/>
      <c r="Z326" s="440"/>
      <c r="AA326" s="440"/>
      <c r="AB326" s="482">
        <f t="shared" si="35"/>
        <v>0</v>
      </c>
      <c r="AC326" s="484">
        <f>IF(SETUP!$E$7="USD",(AB326*(IF(O326="USD",W326,(W326/'Master Data-C19RM'!$D$2)))),(AB326*(IF(O326="EUR",W326,(W326*'Master Data-C19RM'!$D$2)))))</f>
        <v>0</v>
      </c>
      <c r="AD326" s="445">
        <f>IF($O326="USD",_xlfn.IFNA(VLOOKUP($A326&amp;$E326&amp;$I326,PMsheet!$J:$K,2,0),0),(_xlfn.IFNA(VLOOKUP($A326&amp;$E326&amp;$I326,PMsheet!$J:$K,2,0),0)*'Master Data-C19RM'!$E$2))</f>
        <v>0</v>
      </c>
      <c r="AE326" s="440"/>
      <c r="AF326" s="440"/>
      <c r="AG326" s="440"/>
      <c r="AH326" s="440"/>
      <c r="AI326" s="514">
        <f t="shared" si="36"/>
        <v>0</v>
      </c>
      <c r="AJ326" s="515">
        <f>IF(SETUP!$E$7="USD",(AI326*(IF(O326="USD",AD326,(AD326/'Master Data-C19RM'!$E$2)))),(AI326*(IF(O326="EUR",AD326,(AD326*'Master Data-C19RM'!$E$2)))))</f>
        <v>0</v>
      </c>
      <c r="AK326" s="445">
        <f>IF($O326="USD",_xlfn.IFNA(VLOOKUP($A326&amp;$E326&amp;$I326,PMsheet!$J:$K,2,0),0),(_xlfn.IFNA(VLOOKUP($A326&amp;$E326&amp;$I326,PMsheet!$J:$K,2,0),0)*'Master Data-C19RM'!$F$2))</f>
        <v>0</v>
      </c>
      <c r="AL326" s="440"/>
      <c r="AM326" s="440"/>
      <c r="AN326" s="440"/>
      <c r="AO326" s="440"/>
      <c r="AP326" s="514">
        <f t="shared" si="37"/>
        <v>0</v>
      </c>
      <c r="AQ326" s="515">
        <f>IF(SETUP!$E$7="USD",(AP326*(IF(O326="USD",AK326,(AK326/'Master Data-C19RM'!$F$2)))),(AP326*(IF(O326="EUR",AK326,(AK326*'Master Data-C19RM'!$F$2)))))</f>
        <v>0</v>
      </c>
      <c r="AR326" s="457">
        <f>IF($O326="USD",_xlfn.IFNA(VLOOKUP($A326&amp;$E326&amp;$I326,PMsheet!$J:$K,2,0),0),(_xlfn.IFNA(VLOOKUP($A326&amp;$E326&amp;$I326,PMsheet!$J:$K,2,0),0)*'Master Data-C19RM'!$G$2))</f>
        <v>0</v>
      </c>
      <c r="AS326" s="926"/>
      <c r="AT326" s="926"/>
      <c r="AU326" s="926"/>
      <c r="AV326" s="926"/>
      <c r="AW326" s="514">
        <f t="shared" si="41"/>
        <v>0</v>
      </c>
      <c r="AX326" s="515">
        <f>IF(SETUP!$E$7="USD",(AW326*(IF(O326="USD",AR326,(AR326/'Master Data-C19RM'!$G$2)))),(AW326*(IF(O326="EUR",AR326,(AR326*'Master Data-C19RM'!$G$2)))))</f>
        <v>0</v>
      </c>
      <c r="AY326" s="845"/>
      <c r="AZ326" s="846"/>
      <c r="BA326" s="846"/>
      <c r="BB326" s="846"/>
      <c r="BC326" s="846"/>
      <c r="BD326" s="846"/>
      <c r="BE326" s="847"/>
      <c r="BF326" s="514">
        <f>'C19RM 2021-Lab &amp; Other HPS'!$U326+'C19RM 2021-Lab &amp; Other HPS'!$AB326+'C19RM 2021-Lab &amp; Other HPS'!$AP326+'C19RM 2021-Lab &amp; Other HPS'!$AI326+AW326+BD326</f>
        <v>0</v>
      </c>
      <c r="BG326" s="515">
        <f>'C19RM 2021-Lab &amp; Other HPS'!$V326+'C19RM 2021-Lab &amp; Other HPS'!$AC326+'C19RM 2021-Lab &amp; Other HPS'!$AQ326+'C19RM 2021-Lab &amp; Other HPS'!$AJ326+AX326+BE326</f>
        <v>0</v>
      </c>
      <c r="BH326" s="522" t="str" cm="1">
        <f t="array" ref="BH326">IF(A326&lt;&gt;"",IFERROR(INDEX(PMtbl[[WKst]:[Unit of measure*]],MATCH($A$222&amp;$A326&amp;$E326&amp;$I326,INDEX(PMtbl[Sec]&amp;PMtbl[Category]&amp;PMtbl[Each]&amp;PMtbl[Packaging],0,),0),11),""),"")</f>
        <v/>
      </c>
      <c r="BI326" s="818"/>
      <c r="BJ326" s="503" t="str" cm="1">
        <f t="array" ref="BJ326">IFERROR(INDEX(SETUP!$C$19:$G$121,MATCH((INDEX(PMtbl[[WKst]:[Unit of measure*]],MATCH($A326&amp;$E326&amp;$I326,INDEX(PMtbl[Category]&amp;PMtbl[Each]&amp;PMtbl[Packaging],0,),0),3)),SETUP!$D$19:$D$121,0),5),"")</f>
        <v/>
      </c>
      <c r="BK326" s="543"/>
      <c r="BL326" s="215"/>
      <c r="BO326" s="12">
        <f>IF(N326="",0,IF(SETUP!$E$7="USD",((IF(O326="USD",P326,(P326/'Master Data-C19RM'!$C$2)))),((IF(O326="EUR",P326,(P326*'Master Data-C19RM'!$C$2))))))</f>
        <v>0</v>
      </c>
      <c r="BP326" s="12">
        <f>IF(N326="",0,IF(SETUP!$E$7="USD",((IF(O326="USD",W326,(W326/'Master Data-C19RM'!$D$2)))),((IF(O326="EUR",W326,(W326*'Master Data-C19RM'!$D$2))))))</f>
        <v>0</v>
      </c>
      <c r="BQ326">
        <f>IF(N326="",0,IF(SETUP!$E$7="USD",((IF(O326="USD",AD326,(AD326/'Master Data-C19RM'!$E$2)))),((IF(O326="EUR",AD326,(AD326*'Master Data-C19RM'!$E$2))))))</f>
        <v>0</v>
      </c>
      <c r="BR326">
        <f>IF(N326="",0,IF(SETUP!$E$7="USD",((IF(O326="USD",AK326,(AK326/'Master Data-C19RM'!$F$2)))),((IF(O326="EUR",AK326,(AK326*'Master Data-C19RM'!$F$2))))))</f>
        <v>0</v>
      </c>
      <c r="BS326">
        <f>IF(N326="",0,IF(SETUP!$E$7="USD",((IF(O326="USD",AR326,(AR326/'Master Data-C19RM'!$G$2)))),((IF(O326="EUR",AR326,(AR326*'Master Data-C19RM'!$G$2))))))</f>
        <v>0</v>
      </c>
      <c r="BT326">
        <f>IF(N326="",0,IF(SETUP!$E$7="USD",((IF(O326="USD",AY326,(AY326/'Master Data-C19RM'!$H$2)))),((IF(O326="EUR",AY326,(AY326*'Master Data-C19RM'!$H$2))))))</f>
        <v>0</v>
      </c>
      <c r="BU326" s="12">
        <f t="shared" si="39"/>
        <v>0</v>
      </c>
      <c r="BV326" s="142">
        <f t="shared" si="40"/>
        <v>0</v>
      </c>
    </row>
    <row r="327" spans="1:94" ht="15" thickBot="1" x14ac:dyDescent="0.4">
      <c r="A327" s="1180"/>
      <c r="B327" s="1180"/>
      <c r="C327" s="1180"/>
      <c r="D327" s="1180"/>
      <c r="E327" s="1181"/>
      <c r="F327" s="1181"/>
      <c r="G327" s="1181"/>
      <c r="H327" s="1181"/>
      <c r="I327" s="1181"/>
      <c r="J327" s="1181"/>
      <c r="K327" s="1181"/>
      <c r="L327" s="506" t="str" cm="1">
        <f t="array" ref="L327">IF(A327&lt;&gt;"",IFERROR(INDEX(PMtbl[[WKst]:[Unit of measure*]],MATCH($A$222&amp;$A327&amp;$E327&amp;$I327,INDEX(PMtbl[Sec]&amp;PMtbl[Category]&amp;PMtbl[Each]&amp;PMtbl[Packaging],0,),0),14),""),"")</f>
        <v/>
      </c>
      <c r="M327" s="507" t="str">
        <f>IF(L327="","",INDEX(SETUP!$E$20:$E$122,(MATCH(INDEX(PMsheet!$D:$E,MATCH(A327,PMsheet!E:E,0),1),SETUP!$D$20:$D$122,0))))</f>
        <v/>
      </c>
      <c r="N327" s="528">
        <f>IF($O327="USD",_xlfn.IFNA(VLOOKUP(A327&amp;E327&amp;I327,PMsheet!J:K,2,0),0),(_xlfn.IFNA(VLOOKUP(A327&amp;E327&amp;I327,PMsheet!J:K,2,0),0)*'Master Data-C19RM'!$C$2))</f>
        <v>0</v>
      </c>
      <c r="O327" s="509" t="str">
        <f>IF(L327="", "",SETUP!$E$7)</f>
        <v/>
      </c>
      <c r="P327" s="460">
        <f>IF($O327="USD",_xlfn.IFNA(VLOOKUP($A327&amp;$E327&amp;$I327,PMsheet!$J:$K,2,0),0),(_xlfn.IFNA(VLOOKUP($A327&amp;$E327&amp;$I327,PMsheet!$J:$K,2,0),0)*'Master Data-C19RM'!$C$2))</f>
        <v>0</v>
      </c>
      <c r="Q327" s="459"/>
      <c r="R327" s="459"/>
      <c r="S327" s="459"/>
      <c r="T327" s="459"/>
      <c r="U327" s="510">
        <f t="shared" si="34"/>
        <v>0</v>
      </c>
      <c r="V327" s="511">
        <f>IF(SETUP!$E$7="USD",(U327*(IF(O327="USD",P327,(P327/'Master Data-C19RM'!$C$2)))),(U327*(IF(O327="EUR",P327,(P327*'Master Data-C19RM'!$C$2)))))</f>
        <v>0</v>
      </c>
      <c r="W327" s="460">
        <f>IF($O327="USD",_xlfn.IFNA(VLOOKUP($A327&amp;$E327&amp;$I327,PMsheet!$J:$K,2,0),0),(_xlfn.IFNA(VLOOKUP($A327&amp;$E327&amp;$I327,PMsheet!$J:$K,2,0),0)*'Master Data-C19RM'!$D$2))</f>
        <v>0</v>
      </c>
      <c r="X327" s="459"/>
      <c r="Y327" s="459"/>
      <c r="Z327" s="459"/>
      <c r="AA327" s="459"/>
      <c r="AB327" s="510">
        <f t="shared" si="35"/>
        <v>0</v>
      </c>
      <c r="AC327" s="511">
        <f>IF(SETUP!$E$7="USD",(AB327*(IF(O327="USD",W327,(W327/'Master Data-C19RM'!$D$2)))),(AB327*(IF(O327="EUR",W327,(W327*'Master Data-C19RM'!$D$2)))))</f>
        <v>0</v>
      </c>
      <c r="AD327" s="460">
        <f>IF($O327="USD",_xlfn.IFNA(VLOOKUP($A327&amp;$E327&amp;$I327,PMsheet!$J:$K,2,0),0),(_xlfn.IFNA(VLOOKUP($A327&amp;$E327&amp;$I327,PMsheet!$J:$K,2,0),0)*'Master Data-C19RM'!$E$2))</f>
        <v>0</v>
      </c>
      <c r="AE327" s="459"/>
      <c r="AF327" s="459"/>
      <c r="AG327" s="459"/>
      <c r="AH327" s="459"/>
      <c r="AI327" s="516">
        <f t="shared" si="36"/>
        <v>0</v>
      </c>
      <c r="AJ327" s="517">
        <f>IF(SETUP!$E$7="USD",(AI327*(IF(O327="USD",AD327,(AD327/'Master Data-C19RM'!$E$2)))),(AI327*(IF(O327="EUR",AD327,(AD327*'Master Data-C19RM'!$E$2)))))</f>
        <v>0</v>
      </c>
      <c r="AK327" s="460">
        <f>IF($O327="USD",_xlfn.IFNA(VLOOKUP($A327&amp;$E327&amp;$I327,PMsheet!$J:$K,2,0),0),(_xlfn.IFNA(VLOOKUP($A327&amp;$E327&amp;$I327,PMsheet!$J:$K,2,0),0)*'Master Data-C19RM'!$F$2))</f>
        <v>0</v>
      </c>
      <c r="AL327" s="459"/>
      <c r="AM327" s="459"/>
      <c r="AN327" s="459"/>
      <c r="AO327" s="459"/>
      <c r="AP327" s="516">
        <f t="shared" si="37"/>
        <v>0</v>
      </c>
      <c r="AQ327" s="517">
        <f>IF(SETUP!$E$7="USD",(AP327*(IF(O327="USD",AK327,(AK327/'Master Data-C19RM'!$F$2)))),(AP327*(IF(O327="EUR",AK327,(AK327*'Master Data-C19RM'!$F$2)))))</f>
        <v>0</v>
      </c>
      <c r="AR327" s="458">
        <f>IF($O327="USD",_xlfn.IFNA(VLOOKUP($A327&amp;$E327&amp;$I327,PMsheet!$J:$K,2,0),0),(_xlfn.IFNA(VLOOKUP($A327&amp;$E327&amp;$I327,PMsheet!$J:$K,2,0),0)*'Master Data-C19RM'!$G$2))</f>
        <v>0</v>
      </c>
      <c r="AS327" s="840"/>
      <c r="AT327" s="840"/>
      <c r="AU327" s="840"/>
      <c r="AV327" s="840"/>
      <c r="AW327" s="516">
        <f t="shared" si="41"/>
        <v>0</v>
      </c>
      <c r="AX327" s="517">
        <f>IF(SETUP!$E$7="USD",(AW327*(IF(O327="USD",AR327,(AR327/'Master Data-C19RM'!$G$2)))),(AW327*(IF(O327="EUR",AR327,(AR327*'Master Data-C19RM'!$G$2)))))</f>
        <v>0</v>
      </c>
      <c r="AY327" s="848"/>
      <c r="AZ327" s="849"/>
      <c r="BA327" s="849"/>
      <c r="BB327" s="849"/>
      <c r="BC327" s="849"/>
      <c r="BD327" s="849"/>
      <c r="BE327" s="850"/>
      <c r="BF327" s="516">
        <f>'C19RM 2021-Lab &amp; Other HPS'!$U327+'C19RM 2021-Lab &amp; Other HPS'!$AB327+'C19RM 2021-Lab &amp; Other HPS'!$AP327+'C19RM 2021-Lab &amp; Other HPS'!$AI327+AW327+BD327</f>
        <v>0</v>
      </c>
      <c r="BG327" s="517">
        <f>'C19RM 2021-Lab &amp; Other HPS'!$V327+'C19RM 2021-Lab &amp; Other HPS'!$AC327+'C19RM 2021-Lab &amp; Other HPS'!$AQ327+'C19RM 2021-Lab &amp; Other HPS'!$AJ327+AX327+BE327</f>
        <v>0</v>
      </c>
      <c r="BH327" s="524" t="str" cm="1">
        <f t="array" ref="BH327">IF(A327&lt;&gt;"",IFERROR(INDEX(PMtbl[[WKst]:[Unit of measure*]],MATCH($A$222&amp;$A327&amp;$E327&amp;$I327,INDEX(PMtbl[Sec]&amp;PMtbl[Category]&amp;PMtbl[Each]&amp;PMtbl[Packaging],0,),0),11),""),"")</f>
        <v/>
      </c>
      <c r="BI327" s="821"/>
      <c r="BJ327" s="527" t="str" cm="1">
        <f t="array" ref="BJ327">IFERROR(INDEX(SETUP!$C$19:$G$121,MATCH((INDEX(PMtbl[[WKst]:[Unit of measure*]],MATCH($A327&amp;$E327&amp;$I327,INDEX(PMtbl[Category]&amp;PMtbl[Each]&amp;PMtbl[Packaging],0,),0),3)),SETUP!$D$19:$D$121,0),5),"")</f>
        <v/>
      </c>
      <c r="BK327" s="545" t="str" cm="1">
        <f t="array" ref="BK327">IFERROR(IF((INDEX(SETUP!$C$19:$G$121,MATCH((INDEX(PMtbl[[WKst]:[Unit of measure*]],MATCH($A327&amp;$E327&amp;$I327,INDEX(PMtbl[Category]&amp;PMtbl[Each]&amp;PMtbl[Packaging],0,),0),3)),SETUP!$D$19:$D$121,0),4))="Upfront",0,INDEX(SETUP!$C$19:$G$121,MATCH((INDEX(PMtbl[[WKst]:[Unit of measure*]],MATCH($A327&amp;$E327&amp;$I327,INDEX(PMtbl[Category]&amp;PMtbl[Each]&amp;PMtbl[Packaging],0,),0),3)),SETUP!$D$19:$D$121,0),5)),"")</f>
        <v/>
      </c>
      <c r="BL327" s="216" t="str" cm="1">
        <f t="array" ref="BL327">IF(A327&lt;&gt;"",IFERROR(INDEX(PMtbl[[WKst]:[Unit of measure*]],MATCH($A$222&amp;$A327&amp;$E327&amp;$I327,INDEX(PMtbl[Sec]&amp;PMtbl[Category]&amp;PMtbl[Each]&amp;PMtbl[Packaging],0,),0),11),""),"")</f>
        <v/>
      </c>
      <c r="BO327" s="12">
        <f>IF(N327="",0,IF(SETUP!$E$7="USD",((IF(O327="USD",P327,(P327/'Master Data-C19RM'!$C$2)))),((IF(O327="EUR",P327,(P327*'Master Data-C19RM'!$C$2))))))</f>
        <v>0</v>
      </c>
      <c r="BP327" s="12">
        <f>IF(N327="",0,IF(SETUP!$E$7="USD",((IF(O327="USD",W327,(W327/'Master Data-C19RM'!$D$2)))),((IF(O327="EUR",W327,(W327*'Master Data-C19RM'!$D$2))))))</f>
        <v>0</v>
      </c>
      <c r="BQ327">
        <f>IF(N327="",0,IF(SETUP!$E$7="USD",((IF(O327="USD",AD327,(AD327/'Master Data-C19RM'!$E$2)))),((IF(O327="EUR",AD327,(AD327*'Master Data-C19RM'!$E$2))))))</f>
        <v>0</v>
      </c>
      <c r="BR327">
        <f>IF(N327="",0,IF(SETUP!$E$7="USD",((IF(O327="USD",AK327,(AK327/'Master Data-C19RM'!$F$2)))),((IF(O327="EUR",AK327,(AK327*'Master Data-C19RM'!$F$2))))))</f>
        <v>0</v>
      </c>
      <c r="BS327">
        <f>IF(N327="",0,IF(SETUP!$E$7="USD",((IF(O327="USD",AR327,(AR327/'Master Data-C19RM'!$G$2)))),((IF(O327="EUR",AR327,(AR327*'Master Data-C19RM'!$G$2))))))</f>
        <v>0</v>
      </c>
      <c r="BT327">
        <f>IF(N327="",0,IF(SETUP!$E$7="USD",((IF(O327="USD",AY327,(AY327/'Master Data-C19RM'!$H$2)))),((IF(O327="EUR",AY327,(AY327*'Master Data-C19RM'!$H$2))))))</f>
        <v>0</v>
      </c>
      <c r="BU327" s="12">
        <f t="shared" si="32"/>
        <v>0</v>
      </c>
      <c r="BV327" s="142">
        <f t="shared" si="33"/>
        <v>0</v>
      </c>
    </row>
    <row r="328" spans="1:94" x14ac:dyDescent="0.35">
      <c r="C328" s="53"/>
    </row>
    <row r="329" spans="1:94" ht="15" thickBot="1" x14ac:dyDescent="0.4"/>
    <row r="330" spans="1:94" ht="22" customHeight="1" thickBot="1" x14ac:dyDescent="0.4">
      <c r="A330" s="1140">
        <v>4</v>
      </c>
      <c r="B330" s="1142" t="s">
        <v>3033</v>
      </c>
      <c r="C330" s="1142"/>
      <c r="D330" s="1134" t="s">
        <v>3195</v>
      </c>
      <c r="E330" s="1134"/>
      <c r="F330" s="1134"/>
      <c r="G330" s="1135"/>
      <c r="H330"/>
      <c r="I330"/>
      <c r="J330"/>
      <c r="K330"/>
      <c r="L330"/>
      <c r="O330" s="1145" t="str">
        <f>CONCATENATE(J7," ",SETUP!E7)</f>
        <v xml:space="preserve">Total Amount in </v>
      </c>
      <c r="P330" s="532" t="s">
        <v>125</v>
      </c>
      <c r="Q330" s="532" t="s">
        <v>126</v>
      </c>
      <c r="R330" s="532" t="s">
        <v>127</v>
      </c>
      <c r="S330" s="532" t="s">
        <v>128</v>
      </c>
      <c r="T330" s="532" t="s">
        <v>661</v>
      </c>
      <c r="U330" s="533" t="s">
        <v>129</v>
      </c>
      <c r="V330" s="17"/>
      <c r="W330" s="17"/>
      <c r="X330" s="17"/>
      <c r="Y330" s="17"/>
      <c r="Z330" s="17"/>
      <c r="AA330" s="17"/>
      <c r="AB330" s="17"/>
      <c r="AC330" s="17"/>
      <c r="AD330" s="17"/>
      <c r="AE330" s="17"/>
      <c r="AF330" s="17"/>
      <c r="AG330" s="17"/>
      <c r="AH330" s="17"/>
      <c r="AI330" s="52"/>
      <c r="AJ330" s="43"/>
      <c r="AK330" s="17"/>
      <c r="AL330" s="17"/>
      <c r="AM330" s="17"/>
      <c r="AN330" s="17"/>
      <c r="AO330" s="17"/>
      <c r="AP330" s="52"/>
      <c r="AQ330" s="43"/>
      <c r="BK330" s="12"/>
    </row>
    <row r="331" spans="1:94" ht="37" customHeight="1" thickBot="1" x14ac:dyDescent="0.4">
      <c r="A331" s="1141"/>
      <c r="B331" s="1143"/>
      <c r="C331" s="1143"/>
      <c r="D331" s="894"/>
      <c r="E331" s="1194"/>
      <c r="F331" s="1194"/>
      <c r="G331" s="1195"/>
      <c r="H331"/>
      <c r="I331"/>
      <c r="J331"/>
      <c r="K331"/>
      <c r="L331"/>
      <c r="O331" s="1146"/>
      <c r="P331" s="534">
        <f>SUM(V336:V435)</f>
        <v>0</v>
      </c>
      <c r="Q331" s="534">
        <f>SUM(AC336:AC435)</f>
        <v>0</v>
      </c>
      <c r="R331" s="534">
        <f>SUM(AJ336:AJ435)</f>
        <v>0</v>
      </c>
      <c r="S331" s="534">
        <f>SUM(AQ336:AQ435)</f>
        <v>0</v>
      </c>
      <c r="T331" s="534">
        <f>SUM(AX336:AX435)</f>
        <v>0</v>
      </c>
      <c r="U331" s="535">
        <f>SUM(P331:T331)</f>
        <v>0</v>
      </c>
      <c r="V331" s="17"/>
      <c r="W331" s="17"/>
      <c r="X331" s="17"/>
      <c r="Y331" s="17"/>
      <c r="Z331" s="17"/>
      <c r="AA331" s="17"/>
      <c r="AB331" s="17"/>
      <c r="AC331" s="17"/>
      <c r="AD331" s="17"/>
      <c r="AE331" s="17"/>
      <c r="AF331" s="17"/>
      <c r="AG331" s="17"/>
      <c r="AH331" s="17"/>
      <c r="AI331" s="52"/>
      <c r="AJ331" s="43"/>
      <c r="AK331" s="17"/>
      <c r="AL331" s="17"/>
      <c r="AM331" s="17"/>
      <c r="AN331" s="17"/>
      <c r="AO331" s="17"/>
      <c r="AP331" s="52"/>
      <c r="AQ331" s="43"/>
      <c r="BK331" s="12"/>
    </row>
    <row r="332" spans="1:94" ht="216.5" customHeight="1" thickBot="1" x14ac:dyDescent="0.4">
      <c r="A332"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332" s="1148"/>
      <c r="C332" s="1148"/>
      <c r="D332" s="1148"/>
      <c r="E332" s="1148"/>
      <c r="F332" s="1148"/>
      <c r="G332" s="1148"/>
      <c r="H332" s="1148"/>
      <c r="I332" s="1148"/>
      <c r="J332" s="1148"/>
      <c r="K332" s="1148"/>
      <c r="L332" s="1148"/>
      <c r="M332" s="1148"/>
      <c r="N332" s="1148"/>
      <c r="O332" s="1149"/>
      <c r="P332" s="164"/>
      <c r="Q332" s="25"/>
      <c r="R332" s="25"/>
      <c r="S332" s="25"/>
      <c r="T332" s="25"/>
      <c r="U332" s="25"/>
      <c r="V332" s="25"/>
      <c r="W332" s="25"/>
      <c r="X332" s="25"/>
      <c r="Y332" s="25"/>
      <c r="Z332" s="25"/>
      <c r="AA332" s="25"/>
      <c r="AB332" s="25"/>
      <c r="AC332" s="25"/>
      <c r="AD332" s="25"/>
      <c r="AE332" s="25"/>
      <c r="AF332" s="25"/>
      <c r="AG332" s="26"/>
      <c r="AH332" s="26"/>
      <c r="AI332" s="150"/>
      <c r="AJ332" s="26"/>
      <c r="AK332" s="25"/>
      <c r="AL332" s="25"/>
      <c r="AM332" s="25"/>
      <c r="AN332" s="26"/>
      <c r="AO332" s="26"/>
      <c r="AP332" s="150"/>
      <c r="AQ332" s="26"/>
      <c r="BK332" s="12"/>
    </row>
    <row r="333" spans="1:94" s="455" customFormat="1" thickBot="1" x14ac:dyDescent="0.35">
      <c r="A333" s="464"/>
      <c r="B333" s="472"/>
      <c r="C333" s="465"/>
      <c r="D333" s="473"/>
      <c r="E333" s="473"/>
      <c r="F333" s="474"/>
      <c r="G333" s="474"/>
      <c r="H333" s="474"/>
      <c r="I333" s="474"/>
      <c r="J333" s="474"/>
      <c r="K333" s="474"/>
      <c r="L333" s="475"/>
      <c r="M333" s="475"/>
      <c r="N333" s="475"/>
      <c r="O333" s="476"/>
      <c r="P333" s="434" t="s">
        <v>130</v>
      </c>
      <c r="Q333" s="435" t="str">
        <f>Q225</f>
        <v>Jan21 - Mar21</v>
      </c>
      <c r="R333" s="435" t="str">
        <f>R225</f>
        <v>Apr21 - Jun21</v>
      </c>
      <c r="S333" s="435" t="str">
        <f>S225</f>
        <v>Jul21 - Sep21</v>
      </c>
      <c r="T333" s="436" t="str">
        <f>T225</f>
        <v>Oct21 - Dec21</v>
      </c>
      <c r="U333" s="446"/>
      <c r="V333" s="447"/>
      <c r="W333" s="434" t="s">
        <v>130</v>
      </c>
      <c r="X333" s="435" t="str">
        <f>X225</f>
        <v>Jan22 - Mar22</v>
      </c>
      <c r="Y333" s="435" t="str">
        <f>Y225</f>
        <v>Apr22 - Jun22</v>
      </c>
      <c r="Z333" s="435" t="str">
        <f>Z225</f>
        <v>Jul22 - Sep22</v>
      </c>
      <c r="AA333" s="436" t="str">
        <f>AA225</f>
        <v>Oct22 - Dec22</v>
      </c>
      <c r="AB333" s="446"/>
      <c r="AC333" s="447"/>
      <c r="AD333" s="434" t="s">
        <v>130</v>
      </c>
      <c r="AE333" s="435" t="str">
        <f>AE225</f>
        <v>Jan23 - Mar23</v>
      </c>
      <c r="AF333" s="435" t="str">
        <f>AF225</f>
        <v>Apr23 - Jun23</v>
      </c>
      <c r="AG333" s="435" t="str">
        <f>AG225</f>
        <v>Jul23 - Sep23</v>
      </c>
      <c r="AH333" s="436" t="str">
        <f>AH225</f>
        <v>Oct23 - Dec23</v>
      </c>
      <c r="AI333" s="446"/>
      <c r="AJ333" s="447"/>
      <c r="AK333" s="434" t="s">
        <v>130</v>
      </c>
      <c r="AL333" s="435" t="str">
        <f>AL225</f>
        <v>Jan24 - Mar24</v>
      </c>
      <c r="AM333" s="435" t="str">
        <f>AM225</f>
        <v>Apr24 - Jun24</v>
      </c>
      <c r="AN333" s="435" t="str">
        <f>AN225</f>
        <v>Jul24 - Sep24</v>
      </c>
      <c r="AO333" s="436" t="str">
        <f>AO225</f>
        <v>Oct24 - Dec24</v>
      </c>
      <c r="AP333" s="446"/>
      <c r="AQ333" s="447"/>
      <c r="AR333" s="434" t="s">
        <v>130</v>
      </c>
      <c r="AS333" s="823" t="str">
        <f>AS225</f>
        <v>Jan25 - Mar25</v>
      </c>
      <c r="AT333" s="823" t="str">
        <f>AT225</f>
        <v>Apr25 - Jun25</v>
      </c>
      <c r="AU333" s="823" t="str">
        <f>AU225</f>
        <v>Jul25 - Sep25</v>
      </c>
      <c r="AV333" s="817" t="str">
        <f>AV225</f>
        <v>Oct25 - Dec25</v>
      </c>
      <c r="AW333" s="447"/>
      <c r="AX333" s="447"/>
      <c r="AY333" s="434" t="s">
        <v>130</v>
      </c>
      <c r="AZ333" s="816" t="str">
        <f>AZ225</f>
        <v>-</v>
      </c>
      <c r="BA333" s="816" t="str">
        <f t="shared" ref="BA333:BC333" si="42">BA225</f>
        <v>-</v>
      </c>
      <c r="BB333" s="816" t="str">
        <f t="shared" si="42"/>
        <v>-</v>
      </c>
      <c r="BC333" s="817" t="str">
        <f t="shared" si="42"/>
        <v>-</v>
      </c>
      <c r="BD333" s="447"/>
      <c r="BE333" s="447"/>
      <c r="BP333" s="477"/>
      <c r="BQ333" s="477"/>
      <c r="BR333" s="477"/>
      <c r="BS333" s="477"/>
      <c r="BT333" s="477"/>
      <c r="BV333" s="477"/>
      <c r="BW333" s="477"/>
      <c r="BX333" s="477"/>
      <c r="BY333" s="477"/>
      <c r="BZ333" s="477"/>
      <c r="CA333" s="477"/>
      <c r="CB333" s="477"/>
      <c r="CC333" s="477"/>
      <c r="CD333" s="477"/>
      <c r="CE333" s="477"/>
      <c r="CF333" s="477"/>
      <c r="CG333" s="477"/>
      <c r="CH333" s="477"/>
      <c r="CI333" s="477"/>
      <c r="CJ333" s="477"/>
      <c r="CK333" s="477"/>
      <c r="CL333" s="477"/>
      <c r="CM333" s="477"/>
      <c r="CN333" s="477"/>
      <c r="CO333" s="477"/>
      <c r="CP333" s="477"/>
    </row>
    <row r="334" spans="1:94" s="538" customFormat="1" ht="15.75" customHeight="1" thickBot="1" x14ac:dyDescent="0.35">
      <c r="A334" s="1174" t="str">
        <f>A119</f>
        <v>Item Category</v>
      </c>
      <c r="B334" s="1174"/>
      <c r="C334" s="1174"/>
      <c r="D334" s="1174"/>
      <c r="E334" s="1174" t="str">
        <f>E119</f>
        <v>Product Details</v>
      </c>
      <c r="F334" s="1174"/>
      <c r="G334" s="1174"/>
      <c r="H334" s="1174"/>
      <c r="I334" s="1170" t="str">
        <f>I119</f>
        <v>Additional Details</v>
      </c>
      <c r="J334" s="1170"/>
      <c r="K334" s="1170"/>
      <c r="L334" s="1156" t="str">
        <f>L119</f>
        <v>Unit of measure</v>
      </c>
      <c r="M334" s="1157" t="str">
        <f>M119</f>
        <v>Procurement Channel</v>
      </c>
      <c r="N334" s="1157" t="str">
        <f>N119</f>
        <v>Reference Price (In Payment Currency)</v>
      </c>
      <c r="O334" s="1158" t="str">
        <f>O119</f>
        <v>Payment Currency</v>
      </c>
      <c r="P334" s="1167" t="str">
        <f>P119</f>
        <v>2021</v>
      </c>
      <c r="Q334" s="1168"/>
      <c r="R334" s="1168"/>
      <c r="S334" s="1168"/>
      <c r="T334" s="1168"/>
      <c r="U334" s="1168"/>
      <c r="V334" s="1169"/>
      <c r="W334" s="1167" t="str">
        <f>W119</f>
        <v>2022</v>
      </c>
      <c r="X334" s="1168"/>
      <c r="Y334" s="1168"/>
      <c r="Z334" s="1168"/>
      <c r="AA334" s="1168"/>
      <c r="AB334" s="1168"/>
      <c r="AC334" s="1169"/>
      <c r="AD334" s="1167" t="str">
        <f>AD119</f>
        <v>2023</v>
      </c>
      <c r="AE334" s="1168"/>
      <c r="AF334" s="1168"/>
      <c r="AG334" s="1168"/>
      <c r="AH334" s="1168"/>
      <c r="AI334" s="1168"/>
      <c r="AJ334" s="1169"/>
      <c r="AK334" s="1167" t="str">
        <f>AK119</f>
        <v>2024</v>
      </c>
      <c r="AL334" s="1168"/>
      <c r="AM334" s="1168"/>
      <c r="AN334" s="1168"/>
      <c r="AO334" s="1168"/>
      <c r="AP334" s="1168"/>
      <c r="AQ334" s="1169"/>
      <c r="AR334" s="1167" t="str">
        <f>AR119</f>
        <v>2025</v>
      </c>
      <c r="AS334" s="1168"/>
      <c r="AT334" s="1168"/>
      <c r="AU334" s="1168"/>
      <c r="AV334" s="1168"/>
      <c r="AW334" s="1168"/>
      <c r="AX334" s="1169"/>
      <c r="AY334" s="1167" t="str">
        <f>AY119</f>
        <v/>
      </c>
      <c r="AZ334" s="1168"/>
      <c r="BA334" s="1168"/>
      <c r="BB334" s="1168"/>
      <c r="BC334" s="1168"/>
      <c r="BD334" s="1168"/>
      <c r="BE334" s="1169"/>
      <c r="BF334" s="1252" t="str">
        <f>BF119</f>
        <v>Total grant period</v>
      </c>
      <c r="BG334" s="1253"/>
      <c r="BH334" s="1174" t="str">
        <f>BH12</f>
        <v>Cost Input</v>
      </c>
      <c r="BI334" s="1228" t="str">
        <f>BI119</f>
        <v>Comments</v>
      </c>
      <c r="BJ334" s="1230" t="str">
        <f>BJ119</f>
        <v>Delivery Lead Time</v>
      </c>
      <c r="BK334" s="1251" t="e">
        <f>BK119</f>
        <v>#N/A</v>
      </c>
      <c r="BL334" s="566" t="e">
        <f>#REF!</f>
        <v>#REF!</v>
      </c>
      <c r="BP334" s="470"/>
      <c r="BQ334" s="470"/>
      <c r="BR334" s="470"/>
      <c r="BS334" s="470"/>
      <c r="BT334" s="470"/>
      <c r="BU334" s="448"/>
      <c r="BV334" s="470"/>
      <c r="BW334" s="470"/>
      <c r="BX334" s="470"/>
      <c r="BY334" s="470"/>
      <c r="BZ334" s="470"/>
      <c r="CA334" s="470"/>
      <c r="CB334" s="470"/>
      <c r="CC334" s="470"/>
      <c r="CD334" s="470"/>
      <c r="CE334" s="470"/>
      <c r="CF334" s="470"/>
      <c r="CG334" s="470"/>
      <c r="CH334" s="470"/>
      <c r="CI334" s="470"/>
      <c r="CJ334" s="470"/>
      <c r="CK334" s="470"/>
      <c r="CL334" s="470"/>
      <c r="CM334" s="470"/>
      <c r="CN334" s="470"/>
      <c r="CO334" s="470"/>
      <c r="CP334" s="470"/>
    </row>
    <row r="335" spans="1:94" s="539" customFormat="1" ht="40" customHeight="1" thickBot="1" x14ac:dyDescent="0.35">
      <c r="A335" s="1175"/>
      <c r="B335" s="1175"/>
      <c r="C335" s="1175"/>
      <c r="D335" s="1175"/>
      <c r="E335" s="1175"/>
      <c r="F335" s="1175"/>
      <c r="G335" s="1175"/>
      <c r="H335" s="1175"/>
      <c r="I335" s="1171"/>
      <c r="J335" s="1171"/>
      <c r="K335" s="1171"/>
      <c r="L335" s="1159"/>
      <c r="M335" s="1160"/>
      <c r="N335" s="1160"/>
      <c r="O335" s="1161"/>
      <c r="P335" s="449" t="str">
        <f t="shared" ref="P335:BE335" si="43">P13</f>
        <v>Y1 Unit cost</v>
      </c>
      <c r="Q335" s="450" t="str">
        <f t="shared" si="43"/>
        <v>Y1 Q1 quantity</v>
      </c>
      <c r="R335" s="450" t="str">
        <f t="shared" si="43"/>
        <v>Y1 Q2 quantity</v>
      </c>
      <c r="S335" s="450" t="str">
        <f t="shared" si="43"/>
        <v>Y1 Q3 quantity</v>
      </c>
      <c r="T335" s="450" t="str">
        <f t="shared" si="43"/>
        <v>Y1 Q4 quantity</v>
      </c>
      <c r="U335" s="450" t="str">
        <f t="shared" si="43"/>
        <v>Y1 Total quantity</v>
      </c>
      <c r="V335" s="451" t="str">
        <f t="shared" si="43"/>
        <v>Y1 Total cost (In Grant Currency -)</v>
      </c>
      <c r="W335" s="449" t="str">
        <f t="shared" si="43"/>
        <v>Y2 Unit cost</v>
      </c>
      <c r="X335" s="450" t="str">
        <f t="shared" si="43"/>
        <v>Y2 Q1 quantity</v>
      </c>
      <c r="Y335" s="450" t="str">
        <f t="shared" si="43"/>
        <v>Y2 Q2 quantity</v>
      </c>
      <c r="Z335" s="450" t="str">
        <f t="shared" si="43"/>
        <v>Y2 Q3 quantity</v>
      </c>
      <c r="AA335" s="450" t="str">
        <f t="shared" si="43"/>
        <v>Y2 Q4 quantity</v>
      </c>
      <c r="AB335" s="450" t="str">
        <f t="shared" si="43"/>
        <v>Y2 Total quantity</v>
      </c>
      <c r="AC335" s="451" t="str">
        <f t="shared" si="43"/>
        <v>Y2 Total cost (In Grant Currency -)</v>
      </c>
      <c r="AD335" s="449" t="str">
        <f t="shared" si="43"/>
        <v>Y3 Unit cost</v>
      </c>
      <c r="AE335" s="450" t="str">
        <f t="shared" si="43"/>
        <v>Y3 Q1 quantity</v>
      </c>
      <c r="AF335" s="450" t="str">
        <f t="shared" si="43"/>
        <v>Y3 Q2 quantity</v>
      </c>
      <c r="AG335" s="450" t="str">
        <f t="shared" si="43"/>
        <v>Y3 Q3 quantity</v>
      </c>
      <c r="AH335" s="450" t="str">
        <f t="shared" si="43"/>
        <v>Y3 Q4 quantity</v>
      </c>
      <c r="AI335" s="450" t="str">
        <f t="shared" si="43"/>
        <v>Y3 Total quantity</v>
      </c>
      <c r="AJ335" s="451" t="str">
        <f t="shared" si="43"/>
        <v>Y3 Total cost (In Grant Currency -)</v>
      </c>
      <c r="AK335" s="449" t="str">
        <f t="shared" si="43"/>
        <v>Y4 Unit cost</v>
      </c>
      <c r="AL335" s="450" t="str">
        <f t="shared" si="43"/>
        <v>Y4 Q1 quantity</v>
      </c>
      <c r="AM335" s="450" t="str">
        <f t="shared" si="43"/>
        <v>Y4 Q2 quantity</v>
      </c>
      <c r="AN335" s="450" t="str">
        <f t="shared" si="43"/>
        <v>Y4 Q3 quantity</v>
      </c>
      <c r="AO335" s="450" t="str">
        <f t="shared" si="43"/>
        <v>Y4 Q4 quantity</v>
      </c>
      <c r="AP335" s="450" t="str">
        <f t="shared" si="43"/>
        <v>Y4 Total quantity</v>
      </c>
      <c r="AQ335" s="451" t="str">
        <f t="shared" si="43"/>
        <v>Y4 Total cost (In Grant Currency -)</v>
      </c>
      <c r="AR335" s="450" t="str">
        <f t="shared" si="43"/>
        <v>Y5 Unit cost</v>
      </c>
      <c r="AS335" s="450" t="str">
        <f t="shared" si="43"/>
        <v>Y5 Q1 quantity</v>
      </c>
      <c r="AT335" s="450" t="str">
        <f t="shared" si="43"/>
        <v>Y5 Q2 quantity</v>
      </c>
      <c r="AU335" s="450" t="str">
        <f t="shared" si="43"/>
        <v>Y5 Q3 quantity</v>
      </c>
      <c r="AV335" s="450" t="str">
        <f t="shared" si="43"/>
        <v>Y5 Q4 quantity</v>
      </c>
      <c r="AW335" s="450" t="str">
        <f t="shared" si="43"/>
        <v>Y5 Total quantity</v>
      </c>
      <c r="AX335" s="450" t="str">
        <f t="shared" si="43"/>
        <v>Y5 Total cost (In Grant Currency -)</v>
      </c>
      <c r="AY335" s="449" t="str">
        <f t="shared" si="43"/>
        <v>Y6 Unit cost</v>
      </c>
      <c r="AZ335" s="450" t="str">
        <f t="shared" si="43"/>
        <v>Y6 Q1 quantity</v>
      </c>
      <c r="BA335" s="450" t="str">
        <f t="shared" si="43"/>
        <v>Y6 Q2 quantity</v>
      </c>
      <c r="BB335" s="450" t="str">
        <f t="shared" si="43"/>
        <v>Y6 Q3 quantity</v>
      </c>
      <c r="BC335" s="450" t="str">
        <f t="shared" si="43"/>
        <v>Y6 Q4 quantity</v>
      </c>
      <c r="BD335" s="450" t="str">
        <f t="shared" si="43"/>
        <v>Y6 Total quantity</v>
      </c>
      <c r="BE335" s="451" t="str">
        <f t="shared" si="43"/>
        <v>Y6 Total cost (In Grant Currency -)</v>
      </c>
      <c r="BF335" s="461" t="str">
        <f>BF13</f>
        <v>Total quantity</v>
      </c>
      <c r="BG335" s="451" t="str">
        <f>BG13</f>
        <v>Total cost (In Grant Currency -)</v>
      </c>
      <c r="BH335" s="1175"/>
      <c r="BI335" s="1229"/>
      <c r="BJ335" s="1231"/>
      <c r="BK335" s="1251"/>
      <c r="BL335" s="566" t="str">
        <f>BH334</f>
        <v>Cost Input</v>
      </c>
      <c r="BP335" s="470"/>
      <c r="BQ335" s="470"/>
      <c r="BR335" s="470"/>
      <c r="BS335" s="470"/>
      <c r="BT335" s="470"/>
      <c r="BU335" s="448"/>
      <c r="BV335" s="470"/>
      <c r="BW335" s="470"/>
      <c r="BX335" s="470"/>
      <c r="BY335" s="470"/>
      <c r="BZ335" s="470"/>
      <c r="CA335" s="470"/>
      <c r="CB335" s="470"/>
      <c r="CC335" s="470"/>
      <c r="CD335" s="470"/>
      <c r="CE335" s="470"/>
      <c r="CF335" s="470"/>
      <c r="CG335" s="470"/>
      <c r="CH335" s="470"/>
      <c r="CI335" s="470"/>
      <c r="CJ335" s="470"/>
      <c r="CK335" s="470"/>
      <c r="CL335" s="470"/>
      <c r="CM335" s="470"/>
      <c r="CN335" s="470"/>
      <c r="CO335" s="470"/>
      <c r="CP335" s="470"/>
    </row>
    <row r="336" spans="1:94" s="448" customFormat="1" ht="14" x14ac:dyDescent="0.3">
      <c r="A336" s="1178"/>
      <c r="B336" s="1178"/>
      <c r="C336" s="1178"/>
      <c r="D336" s="1178"/>
      <c r="E336" s="1179"/>
      <c r="F336" s="1179"/>
      <c r="G336" s="1179"/>
      <c r="H336" s="1179"/>
      <c r="I336" s="1179"/>
      <c r="J336" s="1179"/>
      <c r="K336" s="1179"/>
      <c r="L336" s="487" t="str" cm="1">
        <f t="array" ref="L336">IF(A336&lt;&gt;"",IFERROR(INDEX(PMtbl[[WKst]:[Unit of measure*]],MATCH($A$330&amp;$A336&amp;$E336&amp;$I336,INDEX(PMtbl[Sec]&amp;PMtbl[Category]&amp;PMtbl[Each]&amp;PMtbl[Packaging],0,),0),14),""),"")</f>
        <v/>
      </c>
      <c r="M336" s="478" t="str">
        <f>IF(L336="","",INDEX(SETUP!$E$20:$E$122,(MATCH(INDEX(PMsheet!$D:$E,MATCH(A336,PMsheet!E:E,0),1),SETUP!$D$20:$D$122,0))))</f>
        <v/>
      </c>
      <c r="N336" s="488">
        <f>IF($O336="USD",_xlfn.IFNA(VLOOKUP(A336&amp;E336&amp;I336,PMsheet!J:K,2,0),0),(_xlfn.IFNA(VLOOKUP(A336&amp;E336&amp;I336,PMsheet!J:K,2,0),0)*'Master Data-C19RM'!$C$2))</f>
        <v>0</v>
      </c>
      <c r="O336" s="489" t="str">
        <f>IF(L336="", "",SETUP!$E$7)</f>
        <v/>
      </c>
      <c r="P336" s="1027">
        <f>IF($O336="USD",_xlfn.IFNA(VLOOKUP($A336&amp;$E336&amp;$I336,PMsheet!$J:$K,2,0),0),(_xlfn.IFNA(VLOOKUP($A336&amp;$E336&amp;$I336,PMsheet!$J:$K,2,0),0)*'Master Data-C19RM'!$C$2))</f>
        <v>0</v>
      </c>
      <c r="Q336" s="443"/>
      <c r="R336" s="443"/>
      <c r="S336" s="443"/>
      <c r="T336" s="443"/>
      <c r="U336" s="497">
        <f t="shared" ref="U336:U435" si="44">SUM($Q336:$T336)</f>
        <v>0</v>
      </c>
      <c r="V336" s="498">
        <f>IF(SETUP!$E$7="USD",(U336*(IF(O336="USD",P336,(P336/'Master Data-C19RM'!$C$2)))),(U336*(IF(O336="EUR",P336,(P336*'Master Data-C19RM'!$C$2)))))</f>
        <v>0</v>
      </c>
      <c r="W336" s="442">
        <f>IF($O336="USD",_xlfn.IFNA(VLOOKUP($A336&amp;$E336&amp;$I336,PMsheet!$J:$K,2,0),0),(_xlfn.IFNA(VLOOKUP($A336&amp;$E336&amp;$I336,PMsheet!$J:$K,2,0),0)*'Master Data-C19RM'!$D$2))</f>
        <v>0</v>
      </c>
      <c r="X336" s="443"/>
      <c r="Y336" s="443"/>
      <c r="Z336" s="443"/>
      <c r="AA336" s="443"/>
      <c r="AB336" s="497">
        <f>SUM($X336:$AA336)</f>
        <v>0</v>
      </c>
      <c r="AC336" s="498">
        <f>IF(SETUP!$E$7="USD",(AB336*(IF(O336="USD",W336,(W336/'Master Data-C19RM'!$D$2)))),(AB336*(IF(O336="EUR",W336,(W336*'Master Data-C19RM'!$D$2)))))</f>
        <v>0</v>
      </c>
      <c r="AD336" s="442">
        <f>IF($O336="USD",_xlfn.IFNA(VLOOKUP($A336&amp;$E336&amp;$I336,PMsheet!$J:$K,2,0),0),(_xlfn.IFNA(VLOOKUP($A336&amp;$E336&amp;$I336,PMsheet!$J:$K,2,0),0)*'Master Data-C19RM'!$E$2))</f>
        <v>0</v>
      </c>
      <c r="AE336" s="443"/>
      <c r="AF336" s="443"/>
      <c r="AG336" s="443"/>
      <c r="AH336" s="443"/>
      <c r="AI336" s="529">
        <f>SUM($AE336:$AH336)</f>
        <v>0</v>
      </c>
      <c r="AJ336" s="530">
        <f>IF(SETUP!$E$7="USD",(AI336*(IF(O336="USD",AD336,(AD336/'Master Data-C19RM'!$E$2)))),(AI336*(IF(O336="EUR",AD336,(AD336*'Master Data-C19RM'!$E$2)))))</f>
        <v>0</v>
      </c>
      <c r="AK336" s="442">
        <f>IF($O336="USD",_xlfn.IFNA(VLOOKUP($A336&amp;$E336&amp;$I336,PMsheet!$J:$K,2,0),0),(_xlfn.IFNA(VLOOKUP($A336&amp;$E336&amp;$I336,PMsheet!$J:$K,2,0),0)*'Master Data-C19RM'!$F$2))</f>
        <v>0</v>
      </c>
      <c r="AL336" s="443"/>
      <c r="AM336" s="443"/>
      <c r="AN336" s="443"/>
      <c r="AO336" s="443"/>
      <c r="AP336" s="529">
        <f>SUM($AL336:$AO336)</f>
        <v>0</v>
      </c>
      <c r="AQ336" s="530">
        <f>IF(SETUP!$E$7="USD",(AP336*(IF(O336="USD",AK336,(AK336/'Master Data-C19RM'!$F$2)))),(AP336*(IF(O336="EUR",AK336,(AK336*'Master Data-C19RM'!$F$2)))))</f>
        <v>0</v>
      </c>
      <c r="AR336" s="928">
        <f>IF($O336="USD",_xlfn.IFNA(VLOOKUP($A336&amp;$E336&amp;$I336,PMsheet!$J:$K,2,0),0),(_xlfn.IFNA(VLOOKUP($A336&amp;$E336&amp;$I336,PMsheet!$J:$K,2,0),0)*'Master Data-C19RM'!$G$2))</f>
        <v>0</v>
      </c>
      <c r="AS336" s="929"/>
      <c r="AT336" s="929"/>
      <c r="AU336" s="929"/>
      <c r="AV336" s="929"/>
      <c r="AW336" s="529">
        <f>SUM($AS336:$AV336)</f>
        <v>0</v>
      </c>
      <c r="AX336" s="529">
        <f>IF(SETUP!$E$7="USD",(AW336*(IF(O336="USD",AR336,(AR336/'Master Data-C19RM'!$G$2)))),(AW336*(IF(O336="EUR",AR336,(AR336*'Master Data-C19RM'!$G$2)))))</f>
        <v>0</v>
      </c>
      <c r="AY336" s="855"/>
      <c r="AZ336" s="856"/>
      <c r="BA336" s="856"/>
      <c r="BB336" s="856"/>
      <c r="BC336" s="856"/>
      <c r="BD336" s="856"/>
      <c r="BE336" s="857"/>
      <c r="BF336" s="531">
        <f>'C19RM 2021-Lab &amp; Other HPS'!$U336+'C19RM 2021-Lab &amp; Other HPS'!$AB336+'C19RM 2021-Lab &amp; Other HPS'!$AP336+'C19RM 2021-Lab &amp; Other HPS'!$AI336+AW336+BD336</f>
        <v>0</v>
      </c>
      <c r="BG336" s="530">
        <f>'C19RM 2021-Lab &amp; Other HPS'!$V336+'C19RM 2021-Lab &amp; Other HPS'!$AC336+'C19RM 2021-Lab &amp; Other HPS'!$AQ336+'C19RM 2021-Lab &amp; Other HPS'!$AJ336+AX336+BE336</f>
        <v>0</v>
      </c>
      <c r="BH336" s="522" t="str" cm="1">
        <f t="array" ref="BH336">IF(A336&lt;&gt;"",IFERROR(INDEX(PMtbl[[WKst]:[Unit of measure*]],MATCH($A$330&amp;$A336&amp;$E336&amp;$I336,INDEX(PMtbl[Sec]&amp;PMtbl[Category]&amp;PMtbl[Each]&amp;PMtbl[Packaging],0,),0),11),""),"")</f>
        <v/>
      </c>
      <c r="BI336" s="818"/>
      <c r="BJ336" s="503" t="str" cm="1">
        <f t="array" ref="BJ336">IFERROR(INDEX(SETUP!$C$19:$G$121,MATCH((INDEX(PMtbl[[WKst]:[Unit of measure*]],MATCH($A336&amp;$E336&amp;$I336,INDEX(PMtbl[Category]&amp;PMtbl[Each]&amp;PMtbl[Packaging],0,),0),3)),SETUP!$D$19:$D$121,0),5),"")</f>
        <v/>
      </c>
      <c r="BK336" s="567" t="str" cm="1">
        <f t="array" ref="BK336">IFERROR(IF((INDEX(SETUP!$C$19:$G$121,MATCH((INDEX(PMtbl[[WKst]:[Unit of measure*]],MATCH($A336&amp;$E336&amp;$I336,INDEX(PMtbl[Category]&amp;PMtbl[Each]&amp;PMtbl[Packaging],0,),0),3)),SETUP!$D$19:$D$121,0),4))="Upfront",0,INDEX(SETUP!$C$19:$G$121,MATCH((INDEX(PMtbl[[WKst]:[Unit of measure*]],MATCH($A336&amp;$E336&amp;$I336,INDEX(PMtbl[Category]&amp;PMtbl[Each]&amp;PMtbl[Packaging],0,),0),3)),SETUP!$D$19:$D$121,0),5)),"")</f>
        <v/>
      </c>
      <c r="BL336" s="561" t="str" cm="1">
        <f t="array" ref="BL336">IF(E336&lt;&gt;"",IFERROR(INDEX(PMtbl[[WKst]:[Unit of measure*]],MATCH($A$330&amp;$A336&amp;$E336&amp;$I336,INDEX(PMtbl[Sec]&amp;PMtbl[Category]&amp;PMtbl[Each]&amp;PMtbl[Packaging],0,),0),11),""),"")</f>
        <v/>
      </c>
      <c r="BO336" s="448">
        <f>IF(N336="",0,IF(SETUP!$E$7="USD",((IF(O336="USD",P336,(P336/'Master Data-C19RM'!$C$2)))),((IF(O336="EUR",P336,(P336*'Master Data-C19RM'!$C$2))))))</f>
        <v>0</v>
      </c>
      <c r="BP336" s="448">
        <f>IF(N336="",0,IF(SETUP!$E$7="USD",((IF(O336="USD",W336,(W336/'Master Data-C19RM'!$D$2)))),((IF(O336="EUR",W336,(W336*'Master Data-C19RM'!$D$2))))))</f>
        <v>0</v>
      </c>
      <c r="BQ336" s="470">
        <f>IF(N336="",0,IF(SETUP!$E$7="USD",((IF(O336="USD",AD336,(AD336/'Master Data-C19RM'!$E$2)))),((IF(O336="EUR",AD336,(AD336*'Master Data-C19RM'!$E$2))))))</f>
        <v>0</v>
      </c>
      <c r="BR336" s="470">
        <f>IF(N336="",0,IF(SETUP!$E$7="USD",((IF(O336="USD",AK336,(AK336/'Master Data-C19RM'!$F$2)))),((IF(O336="EUR",AK336,(AK336*'Master Data-C19RM'!$F$2))))))</f>
        <v>0</v>
      </c>
      <c r="BS336" s="470">
        <f>IF(N336="",0,IF(SETUP!$E$7="USD",((IF(O336="USD",AR336,(AR336/'Master Data-C19RM'!$G$2)))),((IF(O336="EUR",AR336,(AR336*'Master Data-C19RM'!$G$2))))))</f>
        <v>0</v>
      </c>
      <c r="BT336" s="470">
        <f>IF(N336="",0,IF(SETUP!$E$7="USD",((IF(O336="USD",AY336,(AY336/'Master Data-C19RM'!$H$2)))),((IF(O336="EUR",AY336,(AY336*'Master Data-C19RM'!$H$2))))))</f>
        <v>0</v>
      </c>
      <c r="BU336" s="448">
        <f t="shared" ref="BU336:BU435" si="45">IF(AND(L336="",(COUNTBLANK(A336:K336)=8)),1,0)</f>
        <v>0</v>
      </c>
      <c r="BV336" s="562">
        <f t="shared" ref="BV336:BV435" si="46">BF336</f>
        <v>0</v>
      </c>
      <c r="BW336" s="470"/>
      <c r="BX336" s="470"/>
      <c r="BY336" s="470"/>
      <c r="BZ336" s="470"/>
      <c r="CA336" s="470"/>
      <c r="CB336" s="470"/>
      <c r="CC336" s="470"/>
      <c r="CD336" s="470"/>
      <c r="CE336" s="470"/>
      <c r="CF336" s="470"/>
      <c r="CG336" s="470"/>
      <c r="CH336" s="470"/>
      <c r="CI336" s="470"/>
      <c r="CJ336" s="470"/>
      <c r="CK336" s="470"/>
      <c r="CL336" s="470"/>
      <c r="CM336" s="470"/>
      <c r="CN336" s="470"/>
      <c r="CO336" s="470"/>
      <c r="CP336" s="470"/>
    </row>
    <row r="337" spans="1:94" s="448" customFormat="1" ht="14" x14ac:dyDescent="0.3">
      <c r="A337" s="1165"/>
      <c r="B337" s="1165"/>
      <c r="C337" s="1165"/>
      <c r="D337" s="1165"/>
      <c r="E337" s="1166"/>
      <c r="F337" s="1166"/>
      <c r="G337" s="1166"/>
      <c r="H337" s="1166"/>
      <c r="I337" s="1166"/>
      <c r="J337" s="1166"/>
      <c r="K337" s="1166"/>
      <c r="L337" s="490" t="str" cm="1">
        <f t="array" ref="L337">IF(A337&lt;&gt;"",IFERROR(INDEX(PMtbl[[WKst]:[Unit of measure*]],MATCH($A$330&amp;$A337&amp;$E337&amp;$I337,INDEX(PMtbl[Sec]&amp;PMtbl[Category]&amp;PMtbl[Each]&amp;PMtbl[Packaging],0,),0),14),""),"")</f>
        <v/>
      </c>
      <c r="M337" s="479" t="str">
        <f>IF(L337="","",INDEX(SETUP!$E$20:$E$122,(MATCH(INDEX(PMsheet!$D:$E,MATCH(A337,PMsheet!E:E,0),1),SETUP!$D$20:$D$122,0))))</f>
        <v/>
      </c>
      <c r="N337" s="491">
        <f>IF($O337="USD",_xlfn.IFNA(VLOOKUP(A337&amp;E337&amp;I337,PMsheet!J:K,2,0),0),(_xlfn.IFNA(VLOOKUP(A337&amp;E337&amp;I337,PMsheet!J:K,2,0),0)*'Master Data-C19RM'!$C$2))</f>
        <v>0</v>
      </c>
      <c r="O337" s="492" t="str">
        <f>IF(L337="", "",SETUP!$E$7)</f>
        <v/>
      </c>
      <c r="P337" s="444">
        <f>IF($O337="USD",_xlfn.IFNA(VLOOKUP($A337&amp;$E337&amp;$I337,PMsheet!$J:$K,2,0),0),(_xlfn.IFNA(VLOOKUP($A337&amp;$E337&amp;$I337,PMsheet!$J:$K,2,0),0)*'Master Data-C19RM'!$C$2))</f>
        <v>0</v>
      </c>
      <c r="Q337" s="441"/>
      <c r="R337" s="441"/>
      <c r="S337" s="441"/>
      <c r="T337" s="441"/>
      <c r="U337" s="481">
        <f t="shared" si="44"/>
        <v>0</v>
      </c>
      <c r="V337" s="483">
        <f>IF(SETUP!$E$7="USD",(U337*(IF(O337="USD",P337,(P337/'Master Data-C19RM'!$C$2)))),(U337*(IF(O337="EUR",P337,(P337*'Master Data-C19RM'!$C$2)))))</f>
        <v>0</v>
      </c>
      <c r="W337" s="444">
        <f>IF($O337="USD",_xlfn.IFNA(VLOOKUP($A337&amp;$E337&amp;$I337,PMsheet!$J:$K,2,0),0),(_xlfn.IFNA(VLOOKUP($A337&amp;$E337&amp;$I337,PMsheet!$J:$K,2,0),0)*'Master Data-C19RM'!$D$2))</f>
        <v>0</v>
      </c>
      <c r="X337" s="441"/>
      <c r="Y337" s="441"/>
      <c r="Z337" s="441"/>
      <c r="AA337" s="441"/>
      <c r="AB337" s="481">
        <f t="shared" ref="AB337:AB435" si="47">SUM($X337:$AA337)</f>
        <v>0</v>
      </c>
      <c r="AC337" s="483">
        <f>IF(SETUP!$E$7="USD",(AB337*(IF(O337="USD",W337,(W337/'Master Data-C19RM'!$D$2)))),(AB337*(IF(O337="EUR",W337,(W337*'Master Data-C19RM'!$D$2)))))</f>
        <v>0</v>
      </c>
      <c r="AD337" s="444">
        <f>IF($O337="USD",_xlfn.IFNA(VLOOKUP($A337&amp;$E337&amp;$I337,PMsheet!$J:$K,2,0),0),(_xlfn.IFNA(VLOOKUP($A337&amp;$E337&amp;$I337,PMsheet!$J:$K,2,0),0)*'Master Data-C19RM'!$E$2))</f>
        <v>0</v>
      </c>
      <c r="AE337" s="441"/>
      <c r="AF337" s="441"/>
      <c r="AG337" s="441"/>
      <c r="AH337" s="441"/>
      <c r="AI337" s="512">
        <f t="shared" ref="AI337:AI435" si="48">SUM($AE337:$AH337)</f>
        <v>0</v>
      </c>
      <c r="AJ337" s="513">
        <f>IF(SETUP!$E$7="USD",(AI337*(IF(O337="USD",AD337,(AD337/'Master Data-C19RM'!$E$2)))),(AI337*(IF(O337="EUR",AD337,(AD337*'Master Data-C19RM'!$E$2)))))</f>
        <v>0</v>
      </c>
      <c r="AK337" s="444">
        <f>IF($O337="USD",_xlfn.IFNA(VLOOKUP($A337&amp;$E337&amp;$I337,PMsheet!$J:$K,2,0),0),(_xlfn.IFNA(VLOOKUP($A337&amp;$E337&amp;$I337,PMsheet!$J:$K,2,0),0)*'Master Data-C19RM'!$F$2))</f>
        <v>0</v>
      </c>
      <c r="AL337" s="441"/>
      <c r="AM337" s="441"/>
      <c r="AN337" s="441"/>
      <c r="AO337" s="441"/>
      <c r="AP337" s="512">
        <f t="shared" ref="AP337:AP435" si="49">SUM($AL337:$AO337)</f>
        <v>0</v>
      </c>
      <c r="AQ337" s="513">
        <f>IF(SETUP!$E$7="USD",(AP337*(IF(O337="USD",AK337,(AK337/'Master Data-C19RM'!$F$2)))),(AP337*(IF(O337="EUR",AK337,(AK337*'Master Data-C19RM'!$F$2)))))</f>
        <v>0</v>
      </c>
      <c r="AR337" s="924">
        <f>IF($O337="USD",_xlfn.IFNA(VLOOKUP($A337&amp;$E337&amp;$I337,PMsheet!$J:$K,2,0),0),(_xlfn.IFNA(VLOOKUP($A337&amp;$E337&amp;$I337,PMsheet!$J:$K,2,0),0)*'Master Data-C19RM'!$G$2))</f>
        <v>0</v>
      </c>
      <c r="AS337" s="572"/>
      <c r="AT337" s="572"/>
      <c r="AU337" s="572"/>
      <c r="AV337" s="572"/>
      <c r="AW337" s="512">
        <f t="shared" ref="AW337:AW400" si="50">SUM($AS337:$AV337)</f>
        <v>0</v>
      </c>
      <c r="AX337" s="512">
        <f>IF(SETUP!$E$7="USD",(AW337*(IF(O337="USD",AR337,(AR337/'Master Data-C19RM'!$G$2)))),(AW337*(IF(O337="EUR",AR337,(AR337*'Master Data-C19RM'!$G$2)))))</f>
        <v>0</v>
      </c>
      <c r="AY337" s="845"/>
      <c r="AZ337" s="846"/>
      <c r="BA337" s="846"/>
      <c r="BB337" s="846"/>
      <c r="BC337" s="846"/>
      <c r="BD337" s="846"/>
      <c r="BE337" s="847"/>
      <c r="BF337" s="520">
        <f>'C19RM 2021-Lab &amp; Other HPS'!$U337+'C19RM 2021-Lab &amp; Other HPS'!$AB337+'C19RM 2021-Lab &amp; Other HPS'!$AP337+'C19RM 2021-Lab &amp; Other HPS'!$AI337+AW337+BD337</f>
        <v>0</v>
      </c>
      <c r="BG337" s="513">
        <f>'C19RM 2021-Lab &amp; Other HPS'!$V337+'C19RM 2021-Lab &amp; Other HPS'!$AC337+'C19RM 2021-Lab &amp; Other HPS'!$AQ337+'C19RM 2021-Lab &amp; Other HPS'!$AJ337+AX337+BE337</f>
        <v>0</v>
      </c>
      <c r="BH337" s="500" t="str" cm="1">
        <f t="array" ref="BH337">IF(A337&lt;&gt;"",IFERROR(INDEX(PMtbl[[WKst]:[Unit of measure*]],MATCH($A$330&amp;$A337&amp;$E337&amp;$I337,INDEX(PMtbl[Sec]&amp;PMtbl[Category]&amp;PMtbl[Each]&amp;PMtbl[Packaging],0,),0),11),""),"")</f>
        <v/>
      </c>
      <c r="BI337" s="819"/>
      <c r="BJ337" s="502" t="str" cm="1">
        <f t="array" ref="BJ337">IFERROR(INDEX(SETUP!$C$19:$G$121,MATCH((INDEX(PMtbl[[WKst]:[Unit of measure*]],MATCH($A337&amp;$E337&amp;$I337,INDEX(PMtbl[Category]&amp;PMtbl[Each]&amp;PMtbl[Packaging],0,),0),3)),SETUP!$D$19:$D$121,0),5),"")</f>
        <v/>
      </c>
      <c r="BK337" s="568" t="str" cm="1">
        <f t="array" ref="BK337">IFERROR(IF((INDEX(SETUP!$C$19:$G$121,MATCH((INDEX(PMtbl[[WKst]:[Unit of measure*]],MATCH($A337&amp;$E337&amp;$I337,INDEX(PMtbl[Category]&amp;PMtbl[Each]&amp;PMtbl[Packaging],0,),0),3)),SETUP!$D$19:$D$121,0),4))="Upfront",0,INDEX(SETUP!$C$19:$G$121,MATCH((INDEX(PMtbl[[WKst]:[Unit of measure*]],MATCH($A337&amp;$E337&amp;$I337,INDEX(PMtbl[Category]&amp;PMtbl[Each]&amp;PMtbl[Packaging],0,),0),3)),SETUP!$D$19:$D$121,0),5)),"")</f>
        <v/>
      </c>
      <c r="BL337" s="563" t="str" cm="1">
        <f t="array" ref="BL337">IF(E337&lt;&gt;"",IFERROR(INDEX(PMtbl[[WKst]:[Unit of measure*]],MATCH($A$330&amp;$A337&amp;$E337&amp;$I337,INDEX(PMtbl[Sec]&amp;PMtbl[Category]&amp;PMtbl[Each]&amp;PMtbl[Packaging],0,),0),11),""),"")</f>
        <v/>
      </c>
      <c r="BO337" s="448">
        <f>IF(N337="",0,IF(SETUP!$E$7="USD",((IF(O337="USD",P337,(P337/'Master Data-C19RM'!$C$2)))),((IF(O337="EUR",P337,(P337*'Master Data-C19RM'!$C$2))))))</f>
        <v>0</v>
      </c>
      <c r="BP337" s="448">
        <f>IF(N337="",0,IF(SETUP!$E$7="USD",((IF(O337="USD",W337,(W337/'Master Data-C19RM'!$D$2)))),((IF(O337="EUR",W337,(W337*'Master Data-C19RM'!$D$2))))))</f>
        <v>0</v>
      </c>
      <c r="BQ337" s="470">
        <f>IF(N337="",0,IF(SETUP!$E$7="USD",((IF(O337="USD",AD337,(AD337/'Master Data-C19RM'!$E$2)))),((IF(O337="EUR",AD337,(AD337*'Master Data-C19RM'!$E$2))))))</f>
        <v>0</v>
      </c>
      <c r="BR337" s="470">
        <f>IF(N337="",0,IF(SETUP!$E$7="USD",((IF(O337="USD",AK337,(AK337/'Master Data-C19RM'!$F$2)))),((IF(O337="EUR",AK337,(AK337*'Master Data-C19RM'!$F$2))))))</f>
        <v>0</v>
      </c>
      <c r="BS337" s="470">
        <f>IF(N337="",0,IF(SETUP!$E$7="USD",((IF(O337="USD",AR337,(AR337/'Master Data-C19RM'!$G$2)))),((IF(O337="EUR",AR337,(AR337*'Master Data-C19RM'!$G$2))))))</f>
        <v>0</v>
      </c>
      <c r="BT337" s="470">
        <f>IF(N337="",0,IF(SETUP!$E$7="USD",((IF(O337="USD",AY337,(AY337/'Master Data-C19RM'!$H$2)))),((IF(O337="EUR",AY337,(AY337*'Master Data-C19RM'!$H$2))))))</f>
        <v>0</v>
      </c>
      <c r="BU337" s="448">
        <f t="shared" si="45"/>
        <v>0</v>
      </c>
      <c r="BV337" s="562">
        <f t="shared" si="46"/>
        <v>0</v>
      </c>
      <c r="BW337" s="470"/>
      <c r="BX337" s="470"/>
      <c r="BY337" s="470"/>
      <c r="BZ337" s="470"/>
      <c r="CA337" s="470"/>
      <c r="CB337" s="470"/>
      <c r="CC337" s="470"/>
      <c r="CD337" s="470"/>
      <c r="CE337" s="470"/>
      <c r="CF337" s="470"/>
      <c r="CG337" s="470"/>
      <c r="CH337" s="470"/>
      <c r="CI337" s="470"/>
      <c r="CJ337" s="470"/>
      <c r="CK337" s="470"/>
      <c r="CL337" s="470"/>
      <c r="CM337" s="470"/>
      <c r="CN337" s="470"/>
      <c r="CO337" s="470"/>
      <c r="CP337" s="470"/>
    </row>
    <row r="338" spans="1:94" s="448" customFormat="1" ht="14" x14ac:dyDescent="0.3">
      <c r="A338" s="1192"/>
      <c r="B338" s="1192"/>
      <c r="C338" s="1192"/>
      <c r="D338" s="1192"/>
      <c r="E338" s="1173"/>
      <c r="F338" s="1173"/>
      <c r="G338" s="1173"/>
      <c r="H338" s="1173"/>
      <c r="I338" s="1173"/>
      <c r="J338" s="1173"/>
      <c r="K338" s="1173"/>
      <c r="L338" s="493" t="str" cm="1">
        <f t="array" ref="L338">IF(A338&lt;&gt;"",IFERROR(INDEX(PMtbl[[WKst]:[Unit of measure*]],MATCH($A$330&amp;$A338&amp;$E338&amp;$I338,INDEX(PMtbl[Sec]&amp;PMtbl[Category]&amp;PMtbl[Each]&amp;PMtbl[Packaging],0,),0),14),""),"")</f>
        <v/>
      </c>
      <c r="M338" s="480" t="str">
        <f>IF(L338="","",INDEX(SETUP!$E$20:$E$122,(MATCH(INDEX(PMsheet!$D:$E,MATCH(A338,PMsheet!E:E,0),1),SETUP!$D$20:$D$122,0))))</f>
        <v/>
      </c>
      <c r="N338" s="494">
        <f>IF($O338="USD",_xlfn.IFNA(VLOOKUP(A338&amp;E338&amp;I338,PMsheet!J:K,2,0),0),(_xlfn.IFNA(VLOOKUP(A338&amp;E338&amp;I338,PMsheet!J:K,2,0),0)*'Master Data-C19RM'!$C$2))</f>
        <v>0</v>
      </c>
      <c r="O338" s="495" t="str">
        <f>IF(L338="", "",SETUP!$E$7)</f>
        <v/>
      </c>
      <c r="P338" s="445">
        <f>IF($O338="USD",_xlfn.IFNA(VLOOKUP($A338&amp;$E338&amp;$I338,PMsheet!$J:$K,2,0),0),(_xlfn.IFNA(VLOOKUP($A338&amp;$E338&amp;$I338,PMsheet!$J:$K,2,0),0)*'Master Data-C19RM'!$C$2))</f>
        <v>0</v>
      </c>
      <c r="Q338" s="440"/>
      <c r="R338" s="440"/>
      <c r="S338" s="440"/>
      <c r="T338" s="440"/>
      <c r="U338" s="482">
        <f t="shared" si="44"/>
        <v>0</v>
      </c>
      <c r="V338" s="484">
        <f>IF(SETUP!$E$7="USD",(U338*(IF(O338="USD",P338,(P338/'Master Data-C19RM'!$C$2)))),(U338*(IF(O338="EUR",P338,(P338*'Master Data-C19RM'!$C$2)))))</f>
        <v>0</v>
      </c>
      <c r="W338" s="445">
        <f>IF($O338="USD",_xlfn.IFNA(VLOOKUP($A338&amp;$E338&amp;$I338,PMsheet!$J:$K,2,0),0),(_xlfn.IFNA(VLOOKUP($A338&amp;$E338&amp;$I338,PMsheet!$J:$K,2,0),0)*'Master Data-C19RM'!$D$2))</f>
        <v>0</v>
      </c>
      <c r="X338" s="440"/>
      <c r="Y338" s="440"/>
      <c r="Z338" s="440"/>
      <c r="AA338" s="440"/>
      <c r="AB338" s="482">
        <f t="shared" si="47"/>
        <v>0</v>
      </c>
      <c r="AC338" s="484">
        <f>IF(SETUP!$E$7="USD",(AB338*(IF(O338="USD",W338,(W338/'Master Data-C19RM'!$D$2)))),(AB338*(IF(O338="EUR",W338,(W338*'Master Data-C19RM'!$D$2)))))</f>
        <v>0</v>
      </c>
      <c r="AD338" s="445">
        <f>IF($O338="USD",_xlfn.IFNA(VLOOKUP($A338&amp;$E338&amp;$I338,PMsheet!$J:$K,2,0),0),(_xlfn.IFNA(VLOOKUP($A338&amp;$E338&amp;$I338,PMsheet!$J:$K,2,0),0)*'Master Data-C19RM'!$E$2))</f>
        <v>0</v>
      </c>
      <c r="AE338" s="440"/>
      <c r="AF338" s="440"/>
      <c r="AG338" s="440"/>
      <c r="AH338" s="440"/>
      <c r="AI338" s="514">
        <f t="shared" si="48"/>
        <v>0</v>
      </c>
      <c r="AJ338" s="515">
        <f>IF(SETUP!$E$7="USD",(AI338*(IF(O338="USD",AD338,(AD338/'Master Data-C19RM'!$E$2)))),(AI338*(IF(O338="EUR",AD338,(AD338*'Master Data-C19RM'!$E$2)))))</f>
        <v>0</v>
      </c>
      <c r="AK338" s="445">
        <f>IF($O338="USD",_xlfn.IFNA(VLOOKUP($A338&amp;$E338&amp;$I338,PMsheet!$J:$K,2,0),0),(_xlfn.IFNA(VLOOKUP($A338&amp;$E338&amp;$I338,PMsheet!$J:$K,2,0),0)*'Master Data-C19RM'!$F$2))</f>
        <v>0</v>
      </c>
      <c r="AL338" s="440"/>
      <c r="AM338" s="440"/>
      <c r="AN338" s="440"/>
      <c r="AO338" s="440"/>
      <c r="AP338" s="514">
        <f t="shared" si="49"/>
        <v>0</v>
      </c>
      <c r="AQ338" s="515">
        <f>IF(SETUP!$E$7="USD",(AP338*(IF(O338="USD",AK338,(AK338/'Master Data-C19RM'!$F$2)))),(AP338*(IF(O338="EUR",AK338,(AK338*'Master Data-C19RM'!$F$2)))))</f>
        <v>0</v>
      </c>
      <c r="AR338" s="925">
        <f>IF($O338="USD",_xlfn.IFNA(VLOOKUP($A338&amp;$E338&amp;$I338,PMsheet!$J:$K,2,0),0),(_xlfn.IFNA(VLOOKUP($A338&amp;$E338&amp;$I338,PMsheet!$J:$K,2,0),0)*'Master Data-C19RM'!$G$2))</f>
        <v>0</v>
      </c>
      <c r="AS338" s="926"/>
      <c r="AT338" s="926"/>
      <c r="AU338" s="926"/>
      <c r="AV338" s="926"/>
      <c r="AW338" s="514">
        <f t="shared" si="50"/>
        <v>0</v>
      </c>
      <c r="AX338" s="514">
        <f>IF(SETUP!$E$7="USD",(AW338*(IF(O338="USD",AR338,(AR338/'Master Data-C19RM'!$G$2)))),(AW338*(IF(O338="EUR",AR338,(AR338*'Master Data-C19RM'!$G$2)))))</f>
        <v>0</v>
      </c>
      <c r="AY338" s="845"/>
      <c r="AZ338" s="846"/>
      <c r="BA338" s="846"/>
      <c r="BB338" s="846"/>
      <c r="BC338" s="846"/>
      <c r="BD338" s="846"/>
      <c r="BE338" s="847"/>
      <c r="BF338" s="521">
        <f>'C19RM 2021-Lab &amp; Other HPS'!$U338+'C19RM 2021-Lab &amp; Other HPS'!$AB338+'C19RM 2021-Lab &amp; Other HPS'!$AP338+'C19RM 2021-Lab &amp; Other HPS'!$AI338+AW338+BD338</f>
        <v>0</v>
      </c>
      <c r="BG338" s="515">
        <f>'C19RM 2021-Lab &amp; Other HPS'!$V338+'C19RM 2021-Lab &amp; Other HPS'!$AC338+'C19RM 2021-Lab &amp; Other HPS'!$AQ338+'C19RM 2021-Lab &amp; Other HPS'!$AJ338+AX338+BE338</f>
        <v>0</v>
      </c>
      <c r="BH338" s="522" t="str" cm="1">
        <f t="array" ref="BH338">IF(A338&lt;&gt;"",IFERROR(INDEX(PMtbl[[WKst]:[Unit of measure*]],MATCH($A$330&amp;$A338&amp;$E338&amp;$I338,INDEX(PMtbl[Sec]&amp;PMtbl[Category]&amp;PMtbl[Each]&amp;PMtbl[Packaging],0,),0),11),""),"")</f>
        <v/>
      </c>
      <c r="BI338" s="818"/>
      <c r="BJ338" s="503" t="str" cm="1">
        <f t="array" ref="BJ338">IFERROR(INDEX(SETUP!$C$19:$G$121,MATCH((INDEX(PMtbl[[WKst]:[Unit of measure*]],MATCH($A338&amp;$E338&amp;$I338,INDEX(PMtbl[Category]&amp;PMtbl[Each]&amp;PMtbl[Packaging],0,),0),3)),SETUP!$D$19:$D$121,0),5),"")</f>
        <v/>
      </c>
      <c r="BK338" s="569" t="str" cm="1">
        <f t="array" ref="BK338">IFERROR(IF((INDEX(SETUP!$C$19:$G$121,MATCH((INDEX(PMtbl[[WKst]:[Unit of measure*]],MATCH($A338&amp;$E338&amp;$I338,INDEX(PMtbl[Category]&amp;PMtbl[Each]&amp;PMtbl[Packaging],0,),0),3)),SETUP!$D$19:$D$121,0),4))="Upfront",0,INDEX(SETUP!$C$19:$G$121,MATCH((INDEX(PMtbl[[WKst]:[Unit of measure*]],MATCH($A338&amp;$E338&amp;$I338,INDEX(PMtbl[Category]&amp;PMtbl[Each]&amp;PMtbl[Packaging],0,),0),3)),SETUP!$D$19:$D$121,0),5)),"")</f>
        <v/>
      </c>
      <c r="BL338" s="564" t="str" cm="1">
        <f t="array" ref="BL338">IF(E338&lt;&gt;"",IFERROR(INDEX(PMtbl[[WKst]:[Unit of measure*]],MATCH($A$330&amp;$A338&amp;$E338&amp;$I338,INDEX(PMtbl[Sec]&amp;PMtbl[Category]&amp;PMtbl[Each]&amp;PMtbl[Packaging],0,),0),11),""),"")</f>
        <v/>
      </c>
      <c r="BO338" s="448">
        <f>IF(N338="",0,IF(SETUP!$E$7="USD",((IF(O338="USD",P338,(P338/'Master Data-C19RM'!$C$2)))),((IF(O338="EUR",P338,(P338*'Master Data-C19RM'!$C$2))))))</f>
        <v>0</v>
      </c>
      <c r="BP338" s="448">
        <f>IF(N338="",0,IF(SETUP!$E$7="USD",((IF(O338="USD",W338,(W338/'Master Data-C19RM'!$D$2)))),((IF(O338="EUR",W338,(W338*'Master Data-C19RM'!$D$2))))))</f>
        <v>0</v>
      </c>
      <c r="BQ338" s="470">
        <f>IF(N338="",0,IF(SETUP!$E$7="USD",((IF(O338="USD",AD338,(AD338/'Master Data-C19RM'!$E$2)))),((IF(O338="EUR",AD338,(AD338*'Master Data-C19RM'!$E$2))))))</f>
        <v>0</v>
      </c>
      <c r="BR338" s="470">
        <f>IF(N338="",0,IF(SETUP!$E$7="USD",((IF(O338="USD",AK338,(AK338/'Master Data-C19RM'!$F$2)))),((IF(O338="EUR",AK338,(AK338*'Master Data-C19RM'!$F$2))))))</f>
        <v>0</v>
      </c>
      <c r="BS338" s="470">
        <f>IF(N338="",0,IF(SETUP!$E$7="USD",((IF(O338="USD",AR338,(AR338/'Master Data-C19RM'!$G$2)))),((IF(O338="EUR",AR338,(AR338*'Master Data-C19RM'!$G$2))))))</f>
        <v>0</v>
      </c>
      <c r="BT338" s="470">
        <f>IF(N338="",0,IF(SETUP!$E$7="USD",((IF(O338="USD",AY338,(AY338/'Master Data-C19RM'!$H$2)))),((IF(O338="EUR",AY338,(AY338*'Master Data-C19RM'!$H$2))))))</f>
        <v>0</v>
      </c>
      <c r="BU338" s="448">
        <f t="shared" si="45"/>
        <v>0</v>
      </c>
      <c r="BV338" s="562">
        <f t="shared" si="46"/>
        <v>0</v>
      </c>
      <c r="BW338" s="470"/>
      <c r="BX338" s="470"/>
      <c r="BY338" s="470"/>
      <c r="BZ338" s="470"/>
      <c r="CA338" s="470"/>
      <c r="CB338" s="470"/>
      <c r="CC338" s="470"/>
      <c r="CD338" s="470"/>
      <c r="CE338" s="470"/>
      <c r="CF338" s="470"/>
      <c r="CG338" s="470"/>
      <c r="CH338" s="470"/>
      <c r="CI338" s="470"/>
      <c r="CJ338" s="470"/>
      <c r="CK338" s="470"/>
      <c r="CL338" s="470"/>
      <c r="CM338" s="470"/>
      <c r="CN338" s="470"/>
      <c r="CO338" s="470"/>
      <c r="CP338" s="470"/>
    </row>
    <row r="339" spans="1:94" s="448" customFormat="1" ht="14" x14ac:dyDescent="0.3">
      <c r="A339" s="1165"/>
      <c r="B339" s="1165"/>
      <c r="C339" s="1165"/>
      <c r="D339" s="1165"/>
      <c r="E339" s="1166"/>
      <c r="F339" s="1166"/>
      <c r="G339" s="1166"/>
      <c r="H339" s="1166"/>
      <c r="I339" s="1166"/>
      <c r="J339" s="1166"/>
      <c r="K339" s="1166"/>
      <c r="L339" s="490" t="str" cm="1">
        <f t="array" ref="L339">IF(A339&lt;&gt;"",IFERROR(INDEX(PMtbl[[WKst]:[Unit of measure*]],MATCH($A$330&amp;$A339&amp;$E339&amp;$I339,INDEX(PMtbl[Sec]&amp;PMtbl[Category]&amp;PMtbl[Each]&amp;PMtbl[Packaging],0,),0),14),""),"")</f>
        <v/>
      </c>
      <c r="M339" s="479" t="str">
        <f>IF(L339="","",INDEX(SETUP!$E$20:$E$122,(MATCH(INDEX(PMsheet!$D:$E,MATCH(A339,PMsheet!E:E,0),1),SETUP!$D$20:$D$122,0))))</f>
        <v/>
      </c>
      <c r="N339" s="491">
        <f>IF($O339="USD",_xlfn.IFNA(VLOOKUP(A339&amp;E339&amp;I339,PMsheet!J:K,2,0),0),(_xlfn.IFNA(VLOOKUP(A339&amp;E339&amp;I339,PMsheet!J:K,2,0),0)*'Master Data-C19RM'!$C$2))</f>
        <v>0</v>
      </c>
      <c r="O339" s="492" t="str">
        <f>IF(L339="", "",SETUP!$E$7)</f>
        <v/>
      </c>
      <c r="P339" s="444">
        <f>IF($O339="USD",_xlfn.IFNA(VLOOKUP($A339&amp;$E339&amp;$I339,PMsheet!$J:$K,2,0),0),(_xlfn.IFNA(VLOOKUP($A339&amp;$E339&amp;$I339,PMsheet!$J:$K,2,0),0)*'Master Data-C19RM'!$C$2))</f>
        <v>0</v>
      </c>
      <c r="Q339" s="441"/>
      <c r="R339" s="441"/>
      <c r="S339" s="441"/>
      <c r="T339" s="441"/>
      <c r="U339" s="481">
        <f t="shared" si="44"/>
        <v>0</v>
      </c>
      <c r="V339" s="483">
        <f>IF(SETUP!$E$7="USD",(U339*(IF(O339="USD",P339,(P339/'Master Data-C19RM'!$C$2)))),(U339*(IF(O339="EUR",P339,(P339*'Master Data-C19RM'!$C$2)))))</f>
        <v>0</v>
      </c>
      <c r="W339" s="444">
        <f>IF($O339="USD",_xlfn.IFNA(VLOOKUP($A339&amp;$E339&amp;$I339,PMsheet!$J:$K,2,0),0),(_xlfn.IFNA(VLOOKUP($A339&amp;$E339&amp;$I339,PMsheet!$J:$K,2,0),0)*'Master Data-C19RM'!$D$2))</f>
        <v>0</v>
      </c>
      <c r="X339" s="441"/>
      <c r="Y339" s="441"/>
      <c r="Z339" s="441"/>
      <c r="AA339" s="441"/>
      <c r="AB339" s="481">
        <f t="shared" si="47"/>
        <v>0</v>
      </c>
      <c r="AC339" s="483">
        <f>IF(SETUP!$E$7="USD",(AB339*(IF(O339="USD",W339,(W339/'Master Data-C19RM'!$D$2)))),(AB339*(IF(O339="EUR",W339,(W339*'Master Data-C19RM'!$D$2)))))</f>
        <v>0</v>
      </c>
      <c r="AD339" s="444">
        <f>IF($O339="USD",_xlfn.IFNA(VLOOKUP($A339&amp;$E339&amp;$I339,PMsheet!$J:$K,2,0),0),(_xlfn.IFNA(VLOOKUP($A339&amp;$E339&amp;$I339,PMsheet!$J:$K,2,0),0)*'Master Data-C19RM'!$E$2))</f>
        <v>0</v>
      </c>
      <c r="AE339" s="441"/>
      <c r="AF339" s="441"/>
      <c r="AG339" s="441"/>
      <c r="AH339" s="441"/>
      <c r="AI339" s="512">
        <f t="shared" si="48"/>
        <v>0</v>
      </c>
      <c r="AJ339" s="513">
        <f>IF(SETUP!$E$7="USD",(AI339*(IF(O339="USD",AD339,(AD339/'Master Data-C19RM'!$E$2)))),(AI339*(IF(O339="EUR",AD339,(AD339*'Master Data-C19RM'!$E$2)))))</f>
        <v>0</v>
      </c>
      <c r="AK339" s="444">
        <f>IF($O339="USD",_xlfn.IFNA(VLOOKUP($A339&amp;$E339&amp;$I339,PMsheet!$J:$K,2,0),0),(_xlfn.IFNA(VLOOKUP($A339&amp;$E339&amp;$I339,PMsheet!$J:$K,2,0),0)*'Master Data-C19RM'!$F$2))</f>
        <v>0</v>
      </c>
      <c r="AL339" s="441"/>
      <c r="AM339" s="441"/>
      <c r="AN339" s="441"/>
      <c r="AO339" s="441"/>
      <c r="AP339" s="512">
        <f t="shared" si="49"/>
        <v>0</v>
      </c>
      <c r="AQ339" s="513">
        <f>IF(SETUP!$E$7="USD",(AP339*(IF(O339="USD",AK339,(AK339/'Master Data-C19RM'!$F$2)))),(AP339*(IF(O339="EUR",AK339,(AK339*'Master Data-C19RM'!$F$2)))))</f>
        <v>0</v>
      </c>
      <c r="AR339" s="924">
        <f>IF($O339="USD",_xlfn.IFNA(VLOOKUP($A339&amp;$E339&amp;$I339,PMsheet!$J:$K,2,0),0),(_xlfn.IFNA(VLOOKUP($A339&amp;$E339&amp;$I339,PMsheet!$J:$K,2,0),0)*'Master Data-C19RM'!$G$2))</f>
        <v>0</v>
      </c>
      <c r="AS339" s="572"/>
      <c r="AT339" s="572"/>
      <c r="AU339" s="572"/>
      <c r="AV339" s="572"/>
      <c r="AW339" s="512">
        <f t="shared" si="50"/>
        <v>0</v>
      </c>
      <c r="AX339" s="512">
        <f>IF(SETUP!$E$7="USD",(AW339*(IF(O339="USD",AR339,(AR339/'Master Data-C19RM'!$G$2)))),(AW339*(IF(O339="EUR",AR339,(AR339*'Master Data-C19RM'!$G$2)))))</f>
        <v>0</v>
      </c>
      <c r="AY339" s="845"/>
      <c r="AZ339" s="846"/>
      <c r="BA339" s="846"/>
      <c r="BB339" s="846"/>
      <c r="BC339" s="846"/>
      <c r="BD339" s="846"/>
      <c r="BE339" s="847"/>
      <c r="BF339" s="520">
        <f>'C19RM 2021-Lab &amp; Other HPS'!$U339+'C19RM 2021-Lab &amp; Other HPS'!$AB339+'C19RM 2021-Lab &amp; Other HPS'!$AP339+'C19RM 2021-Lab &amp; Other HPS'!$AI339+AW339+BD339</f>
        <v>0</v>
      </c>
      <c r="BG339" s="513">
        <f>'C19RM 2021-Lab &amp; Other HPS'!$V339+'C19RM 2021-Lab &amp; Other HPS'!$AC339+'C19RM 2021-Lab &amp; Other HPS'!$AQ339+'C19RM 2021-Lab &amp; Other HPS'!$AJ339+AX339+BE339</f>
        <v>0</v>
      </c>
      <c r="BH339" s="500" t="str" cm="1">
        <f t="array" ref="BH339">IF(A339&lt;&gt;"",IFERROR(INDEX(PMtbl[[WKst]:[Unit of measure*]],MATCH($A$330&amp;$A339&amp;$E339&amp;$I339,INDEX(PMtbl[Sec]&amp;PMtbl[Category]&amp;PMtbl[Each]&amp;PMtbl[Packaging],0,),0),11),""),"")</f>
        <v/>
      </c>
      <c r="BI339" s="819"/>
      <c r="BJ339" s="502" t="str" cm="1">
        <f t="array" ref="BJ339">IFERROR(INDEX(SETUP!$C$19:$G$121,MATCH((INDEX(PMtbl[[WKst]:[Unit of measure*]],MATCH($A339&amp;$E339&amp;$I339,INDEX(PMtbl[Category]&amp;PMtbl[Each]&amp;PMtbl[Packaging],0,),0),3)),SETUP!$D$19:$D$121,0),5),"")</f>
        <v/>
      </c>
      <c r="BK339" s="568" t="str" cm="1">
        <f t="array" ref="BK339">IFERROR(IF((INDEX(SETUP!$C$19:$G$121,MATCH((INDEX(PMtbl[[WKst]:[Unit of measure*]],MATCH($A339&amp;$E339&amp;$I339,INDEX(PMtbl[Category]&amp;PMtbl[Each]&amp;PMtbl[Packaging],0,),0),3)),SETUP!$D$19:$D$121,0),4))="Upfront",0,INDEX(SETUP!$C$19:$G$121,MATCH((INDEX(PMtbl[[WKst]:[Unit of measure*]],MATCH($A339&amp;$E339&amp;$I339,INDEX(PMtbl[Category]&amp;PMtbl[Each]&amp;PMtbl[Packaging],0,),0),3)),SETUP!$D$19:$D$121,0),5)),"")</f>
        <v/>
      </c>
      <c r="BL339" s="563" t="str" cm="1">
        <f t="array" ref="BL339">IF(E339&lt;&gt;"",IFERROR(INDEX(PMtbl[[WKst]:[Unit of measure*]],MATCH($A$330&amp;$A339&amp;$E339&amp;$I339,INDEX(PMtbl[Sec]&amp;PMtbl[Category]&amp;PMtbl[Each]&amp;PMtbl[Packaging],0,),0),11),""),"")</f>
        <v/>
      </c>
      <c r="BO339" s="448">
        <f>IF(N339="",0,IF(SETUP!$E$7="USD",((IF(O339="USD",P339,(P339/'Master Data-C19RM'!$C$2)))),((IF(O339="EUR",P339,(P339*'Master Data-C19RM'!$C$2))))))</f>
        <v>0</v>
      </c>
      <c r="BP339" s="448">
        <f>IF(N339="",0,IF(SETUP!$E$7="USD",((IF(O339="USD",W339,(W339/'Master Data-C19RM'!$D$2)))),((IF(O339="EUR",W339,(W339*'Master Data-C19RM'!$D$2))))))</f>
        <v>0</v>
      </c>
      <c r="BQ339" s="470">
        <f>IF(N339="",0,IF(SETUP!$E$7="USD",((IF(O339="USD",AD339,(AD339/'Master Data-C19RM'!$E$2)))),((IF(O339="EUR",AD339,(AD339*'Master Data-C19RM'!$E$2))))))</f>
        <v>0</v>
      </c>
      <c r="BR339" s="470">
        <f>IF(N339="",0,IF(SETUP!$E$7="USD",((IF(O339="USD",AK339,(AK339/'Master Data-C19RM'!$F$2)))),((IF(O339="EUR",AK339,(AK339*'Master Data-C19RM'!$F$2))))))</f>
        <v>0</v>
      </c>
      <c r="BS339" s="470">
        <f>IF(N339="",0,IF(SETUP!$E$7="USD",((IF(O339="USD",AR339,(AR339/'Master Data-C19RM'!$G$2)))),((IF(O339="EUR",AR339,(AR339*'Master Data-C19RM'!$G$2))))))</f>
        <v>0</v>
      </c>
      <c r="BT339" s="470">
        <f>IF(N339="",0,IF(SETUP!$E$7="USD",((IF(O339="USD",AY339,(AY339/'Master Data-C19RM'!$H$2)))),((IF(O339="EUR",AY339,(AY339*'Master Data-C19RM'!$H$2))))))</f>
        <v>0</v>
      </c>
      <c r="BU339" s="448">
        <f t="shared" si="45"/>
        <v>0</v>
      </c>
      <c r="BV339" s="562">
        <f t="shared" si="46"/>
        <v>0</v>
      </c>
      <c r="BW339" s="470"/>
      <c r="BX339" s="470"/>
      <c r="BY339" s="470"/>
      <c r="BZ339" s="470"/>
      <c r="CA339" s="470"/>
      <c r="CB339" s="470"/>
      <c r="CC339" s="470"/>
      <c r="CD339" s="470"/>
      <c r="CE339" s="470"/>
      <c r="CF339" s="470"/>
      <c r="CG339" s="470"/>
      <c r="CH339" s="470"/>
      <c r="CI339" s="470"/>
      <c r="CJ339" s="470"/>
      <c r="CK339" s="470"/>
      <c r="CL339" s="470"/>
      <c r="CM339" s="470"/>
      <c r="CN339" s="470"/>
      <c r="CO339" s="470"/>
      <c r="CP339" s="470"/>
    </row>
    <row r="340" spans="1:94" s="448" customFormat="1" ht="14" x14ac:dyDescent="0.3">
      <c r="A340" s="1192"/>
      <c r="B340" s="1192"/>
      <c r="C340" s="1192"/>
      <c r="D340" s="1192"/>
      <c r="E340" s="1173"/>
      <c r="F340" s="1173"/>
      <c r="G340" s="1173"/>
      <c r="H340" s="1173"/>
      <c r="I340" s="1173"/>
      <c r="J340" s="1173"/>
      <c r="K340" s="1173"/>
      <c r="L340" s="493" t="str" cm="1">
        <f t="array" ref="L340">IF(A340&lt;&gt;"",IFERROR(INDEX(PMtbl[[WKst]:[Unit of measure*]],MATCH($A$330&amp;$A340&amp;$E340&amp;$I340,INDEX(PMtbl[Sec]&amp;PMtbl[Category]&amp;PMtbl[Each]&amp;PMtbl[Packaging],0,),0),14),""),"")</f>
        <v/>
      </c>
      <c r="M340" s="480" t="str">
        <f>IF(L340="","",INDEX(SETUP!$E$20:$E$122,(MATCH(INDEX(PMsheet!$D:$E,MATCH(A340,PMsheet!E:E,0),1),SETUP!$D$20:$D$122,0))))</f>
        <v/>
      </c>
      <c r="N340" s="494">
        <f>IF($O340="USD",_xlfn.IFNA(VLOOKUP(A340&amp;E340&amp;I340,PMsheet!J:K,2,0),0),(_xlfn.IFNA(VLOOKUP(A340&amp;E340&amp;I340,PMsheet!J:K,2,0),0)*'Master Data-C19RM'!$C$2))</f>
        <v>0</v>
      </c>
      <c r="O340" s="495" t="str">
        <f>IF(L340="", "",SETUP!$E$7)</f>
        <v/>
      </c>
      <c r="P340" s="445">
        <f>IF($O340="USD",_xlfn.IFNA(VLOOKUP($A340&amp;$E340&amp;$I340,PMsheet!$J:$K,2,0),0),(_xlfn.IFNA(VLOOKUP($A340&amp;$E340&amp;$I340,PMsheet!$J:$K,2,0),0)*'Master Data-C19RM'!$C$2))</f>
        <v>0</v>
      </c>
      <c r="Q340" s="440"/>
      <c r="R340" s="440"/>
      <c r="S340" s="440"/>
      <c r="T340" s="440"/>
      <c r="U340" s="482">
        <f t="shared" si="44"/>
        <v>0</v>
      </c>
      <c r="V340" s="484">
        <f>IF(SETUP!$E$7="USD",(U340*(IF(O340="USD",P340,(P340/'Master Data-C19RM'!$C$2)))),(U340*(IF(O340="EUR",P340,(P340*'Master Data-C19RM'!$C$2)))))</f>
        <v>0</v>
      </c>
      <c r="W340" s="445">
        <f>IF($O340="USD",_xlfn.IFNA(VLOOKUP($A340&amp;$E340&amp;$I340,PMsheet!$J:$K,2,0),0),(_xlfn.IFNA(VLOOKUP($A340&amp;$E340&amp;$I340,PMsheet!$J:$K,2,0),0)*'Master Data-C19RM'!$D$2))</f>
        <v>0</v>
      </c>
      <c r="X340" s="440"/>
      <c r="Y340" s="440"/>
      <c r="Z340" s="440"/>
      <c r="AA340" s="440"/>
      <c r="AB340" s="482">
        <f t="shared" si="47"/>
        <v>0</v>
      </c>
      <c r="AC340" s="484">
        <f>IF(SETUP!$E$7="USD",(AB340*(IF(O340="USD",W340,(W340/'Master Data-C19RM'!$D$2)))),(AB340*(IF(O340="EUR",W340,(W340*'Master Data-C19RM'!$D$2)))))</f>
        <v>0</v>
      </c>
      <c r="AD340" s="445">
        <f>IF($O340="USD",_xlfn.IFNA(VLOOKUP($A340&amp;$E340&amp;$I340,PMsheet!$J:$K,2,0),0),(_xlfn.IFNA(VLOOKUP($A340&amp;$E340&amp;$I340,PMsheet!$J:$K,2,0),0)*'Master Data-C19RM'!$E$2))</f>
        <v>0</v>
      </c>
      <c r="AE340" s="440"/>
      <c r="AF340" s="440"/>
      <c r="AG340" s="440"/>
      <c r="AH340" s="440"/>
      <c r="AI340" s="514">
        <f t="shared" si="48"/>
        <v>0</v>
      </c>
      <c r="AJ340" s="515">
        <f>IF(SETUP!$E$7="USD",(AI340*(IF(O340="USD",AD340,(AD340/'Master Data-C19RM'!$E$2)))),(AI340*(IF(O340="EUR",AD340,(AD340*'Master Data-C19RM'!$E$2)))))</f>
        <v>0</v>
      </c>
      <c r="AK340" s="445">
        <f>IF($O340="USD",_xlfn.IFNA(VLOOKUP($A340&amp;$E340&amp;$I340,PMsheet!$J:$K,2,0),0),(_xlfn.IFNA(VLOOKUP($A340&amp;$E340&amp;$I340,PMsheet!$J:$K,2,0),0)*'Master Data-C19RM'!$F$2))</f>
        <v>0</v>
      </c>
      <c r="AL340" s="440"/>
      <c r="AM340" s="440"/>
      <c r="AN340" s="440"/>
      <c r="AO340" s="440"/>
      <c r="AP340" s="514">
        <f t="shared" si="49"/>
        <v>0</v>
      </c>
      <c r="AQ340" s="515">
        <f>IF(SETUP!$E$7="USD",(AP340*(IF(O340="USD",AK340,(AK340/'Master Data-C19RM'!$F$2)))),(AP340*(IF(O340="EUR",AK340,(AK340*'Master Data-C19RM'!$F$2)))))</f>
        <v>0</v>
      </c>
      <c r="AR340" s="925">
        <f>IF($O340="USD",_xlfn.IFNA(VLOOKUP($A340&amp;$E340&amp;$I340,PMsheet!$J:$K,2,0),0),(_xlfn.IFNA(VLOOKUP($A340&amp;$E340&amp;$I340,PMsheet!$J:$K,2,0),0)*'Master Data-C19RM'!$G$2))</f>
        <v>0</v>
      </c>
      <c r="AS340" s="926"/>
      <c r="AT340" s="926"/>
      <c r="AU340" s="926"/>
      <c r="AV340" s="926"/>
      <c r="AW340" s="514">
        <f t="shared" si="50"/>
        <v>0</v>
      </c>
      <c r="AX340" s="514">
        <f>IF(SETUP!$E$7="USD",(AW340*(IF(O340="USD",AR340,(AR340/'Master Data-C19RM'!$G$2)))),(AW340*(IF(O340="EUR",AR340,(AR340*'Master Data-C19RM'!$G$2)))))</f>
        <v>0</v>
      </c>
      <c r="AY340" s="845"/>
      <c r="AZ340" s="846"/>
      <c r="BA340" s="846"/>
      <c r="BB340" s="846"/>
      <c r="BC340" s="846"/>
      <c r="BD340" s="846"/>
      <c r="BE340" s="847"/>
      <c r="BF340" s="521">
        <f>'C19RM 2021-Lab &amp; Other HPS'!$U340+'C19RM 2021-Lab &amp; Other HPS'!$AB340+'C19RM 2021-Lab &amp; Other HPS'!$AP340+'C19RM 2021-Lab &amp; Other HPS'!$AI340+AW340+BD340</f>
        <v>0</v>
      </c>
      <c r="BG340" s="515">
        <f>'C19RM 2021-Lab &amp; Other HPS'!$V340+'C19RM 2021-Lab &amp; Other HPS'!$AC340+'C19RM 2021-Lab &amp; Other HPS'!$AQ340+'C19RM 2021-Lab &amp; Other HPS'!$AJ340+AX340+BE340</f>
        <v>0</v>
      </c>
      <c r="BH340" s="522" t="str" cm="1">
        <f t="array" ref="BH340">IF(A340&lt;&gt;"",IFERROR(INDEX(PMtbl[[WKst]:[Unit of measure*]],MATCH($A$330&amp;$A340&amp;$E340&amp;$I340,INDEX(PMtbl[Sec]&amp;PMtbl[Category]&amp;PMtbl[Each]&amp;PMtbl[Packaging],0,),0),11),""),"")</f>
        <v/>
      </c>
      <c r="BI340" s="818"/>
      <c r="BJ340" s="503" t="str" cm="1">
        <f t="array" ref="BJ340">IFERROR(INDEX(SETUP!$C$19:$G$121,MATCH((INDEX(PMtbl[[WKst]:[Unit of measure*]],MATCH($A340&amp;$E340&amp;$I340,INDEX(PMtbl[Category]&amp;PMtbl[Each]&amp;PMtbl[Packaging],0,),0),3)),SETUP!$D$19:$D$121,0),5),"")</f>
        <v/>
      </c>
      <c r="BK340" s="569" t="str" cm="1">
        <f t="array" ref="BK340">IFERROR(IF((INDEX(SETUP!$C$19:$G$121,MATCH((INDEX(PMtbl[[WKst]:[Unit of measure*]],MATCH($A340&amp;$E340&amp;$I340,INDEX(PMtbl[Category]&amp;PMtbl[Each]&amp;PMtbl[Packaging],0,),0),3)),SETUP!$D$19:$D$121,0),4))="Upfront",0,INDEX(SETUP!$C$19:$G$121,MATCH((INDEX(PMtbl[[WKst]:[Unit of measure*]],MATCH($A340&amp;$E340&amp;$I340,INDEX(PMtbl[Category]&amp;PMtbl[Each]&amp;PMtbl[Packaging],0,),0),3)),SETUP!$D$19:$D$121,0),5)),"")</f>
        <v/>
      </c>
      <c r="BL340" s="564" t="str" cm="1">
        <f t="array" ref="BL340">IF(E340&lt;&gt;"",IFERROR(INDEX(PMtbl[[WKst]:[Unit of measure*]],MATCH($A$330&amp;$A340&amp;$E340&amp;$I340,INDEX(PMtbl[Sec]&amp;PMtbl[Category]&amp;PMtbl[Each]&amp;PMtbl[Packaging],0,),0),11),""),"")</f>
        <v/>
      </c>
      <c r="BO340" s="448">
        <f>IF(N340="",0,IF(SETUP!$E$7="USD",((IF(O340="USD",P340,(P340/'Master Data-C19RM'!$C$2)))),((IF(O340="EUR",P340,(P340*'Master Data-C19RM'!$C$2))))))</f>
        <v>0</v>
      </c>
      <c r="BP340" s="448">
        <f>IF(N340="",0,IF(SETUP!$E$7="USD",((IF(O340="USD",W340,(W340/'Master Data-C19RM'!$D$2)))),((IF(O340="EUR",W340,(W340*'Master Data-C19RM'!$D$2))))))</f>
        <v>0</v>
      </c>
      <c r="BQ340" s="470">
        <f>IF(N340="",0,IF(SETUP!$E$7="USD",((IF(O340="USD",AD340,(AD340/'Master Data-C19RM'!$E$2)))),((IF(O340="EUR",AD340,(AD340*'Master Data-C19RM'!$E$2))))))</f>
        <v>0</v>
      </c>
      <c r="BR340" s="470">
        <f>IF(N340="",0,IF(SETUP!$E$7="USD",((IF(O340="USD",AK340,(AK340/'Master Data-C19RM'!$F$2)))),((IF(O340="EUR",AK340,(AK340*'Master Data-C19RM'!$F$2))))))</f>
        <v>0</v>
      </c>
      <c r="BS340" s="470">
        <f>IF(N340="",0,IF(SETUP!$E$7="USD",((IF(O340="USD",AR340,(AR340/'Master Data-C19RM'!$G$2)))),((IF(O340="EUR",AR340,(AR340*'Master Data-C19RM'!$G$2))))))</f>
        <v>0</v>
      </c>
      <c r="BT340" s="470">
        <f>IF(N340="",0,IF(SETUP!$E$7="USD",((IF(O340="USD",AY340,(AY340/'Master Data-C19RM'!$H$2)))),((IF(O340="EUR",AY340,(AY340*'Master Data-C19RM'!$H$2))))))</f>
        <v>0</v>
      </c>
      <c r="BU340" s="448">
        <f t="shared" si="45"/>
        <v>0</v>
      </c>
      <c r="BV340" s="562">
        <f t="shared" si="46"/>
        <v>0</v>
      </c>
      <c r="BW340" s="470"/>
      <c r="BX340" s="470"/>
      <c r="BY340" s="470"/>
      <c r="BZ340" s="470"/>
      <c r="CA340" s="470"/>
      <c r="CB340" s="470"/>
      <c r="CC340" s="470"/>
      <c r="CD340" s="470"/>
      <c r="CE340" s="470"/>
      <c r="CF340" s="470"/>
      <c r="CG340" s="470"/>
      <c r="CH340" s="470"/>
      <c r="CI340" s="470"/>
      <c r="CJ340" s="470"/>
      <c r="CK340" s="470"/>
      <c r="CL340" s="470"/>
      <c r="CM340" s="470"/>
      <c r="CN340" s="470"/>
      <c r="CO340" s="470"/>
      <c r="CP340" s="470"/>
    </row>
    <row r="341" spans="1:94" s="448" customFormat="1" ht="14" x14ac:dyDescent="0.3">
      <c r="A341" s="1165"/>
      <c r="B341" s="1165"/>
      <c r="C341" s="1165"/>
      <c r="D341" s="1165"/>
      <c r="E341" s="1166"/>
      <c r="F341" s="1166"/>
      <c r="G341" s="1166"/>
      <c r="H341" s="1166"/>
      <c r="I341" s="1166"/>
      <c r="J341" s="1166"/>
      <c r="K341" s="1166"/>
      <c r="L341" s="490" t="str" cm="1">
        <f t="array" ref="L341">IF(A341&lt;&gt;"",IFERROR(INDEX(PMtbl[[WKst]:[Unit of measure*]],MATCH($A$330&amp;$A341&amp;$E341&amp;$I341,INDEX(PMtbl[Sec]&amp;PMtbl[Category]&amp;PMtbl[Each]&amp;PMtbl[Packaging],0,),0),14),""),"")</f>
        <v/>
      </c>
      <c r="M341" s="479" t="str">
        <f>IF(L341="","",INDEX(SETUP!$E$20:$E$122,(MATCH(INDEX(PMsheet!$D:$E,MATCH(A341,PMsheet!E:E,0),1),SETUP!$D$20:$D$122,0))))</f>
        <v/>
      </c>
      <c r="N341" s="491">
        <f>IF($O341="USD",_xlfn.IFNA(VLOOKUP(A341&amp;E341&amp;I341,PMsheet!J:K,2,0),0),(_xlfn.IFNA(VLOOKUP(A341&amp;E341&amp;I341,PMsheet!J:K,2,0),0)*'Master Data-C19RM'!$C$2))</f>
        <v>0</v>
      </c>
      <c r="O341" s="492" t="str">
        <f>IF(L341="", "",SETUP!$E$7)</f>
        <v/>
      </c>
      <c r="P341" s="444">
        <f>IF($O341="USD",_xlfn.IFNA(VLOOKUP($A341&amp;$E341&amp;$I341,PMsheet!$J:$K,2,0),0),(_xlfn.IFNA(VLOOKUP($A341&amp;$E341&amp;$I341,PMsheet!$J:$K,2,0),0)*'Master Data-C19RM'!$C$2))</f>
        <v>0</v>
      </c>
      <c r="Q341" s="441"/>
      <c r="R341" s="441"/>
      <c r="S341" s="441"/>
      <c r="T341" s="441"/>
      <c r="U341" s="481">
        <f t="shared" si="44"/>
        <v>0</v>
      </c>
      <c r="V341" s="483">
        <f>IF(SETUP!$E$7="USD",(U341*(IF(O341="USD",P341,(P341/'Master Data-C19RM'!$C$2)))),(U341*(IF(O341="EUR",P341,(P341*'Master Data-C19RM'!$C$2)))))</f>
        <v>0</v>
      </c>
      <c r="W341" s="444">
        <f>IF($O341="USD",_xlfn.IFNA(VLOOKUP($A341&amp;$E341&amp;$I341,PMsheet!$J:$K,2,0),0),(_xlfn.IFNA(VLOOKUP($A341&amp;$E341&amp;$I341,PMsheet!$J:$K,2,0),0)*'Master Data-C19RM'!$D$2))</f>
        <v>0</v>
      </c>
      <c r="X341" s="441"/>
      <c r="Y341" s="441"/>
      <c r="Z341" s="441"/>
      <c r="AA341" s="441"/>
      <c r="AB341" s="481">
        <f t="shared" si="47"/>
        <v>0</v>
      </c>
      <c r="AC341" s="483">
        <f>IF(SETUP!$E$7="USD",(AB341*(IF(O341="USD",W341,(W341/'Master Data-C19RM'!$D$2)))),(AB341*(IF(O341="EUR",W341,(W341*'Master Data-C19RM'!$D$2)))))</f>
        <v>0</v>
      </c>
      <c r="AD341" s="444">
        <f>IF($O341="USD",_xlfn.IFNA(VLOOKUP($A341&amp;$E341&amp;$I341,PMsheet!$J:$K,2,0),0),(_xlfn.IFNA(VLOOKUP($A341&amp;$E341&amp;$I341,PMsheet!$J:$K,2,0),0)*'Master Data-C19RM'!$E$2))</f>
        <v>0</v>
      </c>
      <c r="AE341" s="441"/>
      <c r="AF341" s="441"/>
      <c r="AG341" s="441"/>
      <c r="AH341" s="441"/>
      <c r="AI341" s="512">
        <f t="shared" si="48"/>
        <v>0</v>
      </c>
      <c r="AJ341" s="513">
        <f>IF(SETUP!$E$7="USD",(AI341*(IF(O341="USD",AD341,(AD341/'Master Data-C19RM'!$E$2)))),(AI341*(IF(O341="EUR",AD341,(AD341*'Master Data-C19RM'!$E$2)))))</f>
        <v>0</v>
      </c>
      <c r="AK341" s="444">
        <f>IF($O341="USD",_xlfn.IFNA(VLOOKUP($A341&amp;$E341&amp;$I341,PMsheet!$J:$K,2,0),0),(_xlfn.IFNA(VLOOKUP($A341&amp;$E341&amp;$I341,PMsheet!$J:$K,2,0),0)*'Master Data-C19RM'!$F$2))</f>
        <v>0</v>
      </c>
      <c r="AL341" s="441"/>
      <c r="AM341" s="441"/>
      <c r="AN341" s="441"/>
      <c r="AO341" s="441"/>
      <c r="AP341" s="512">
        <f t="shared" si="49"/>
        <v>0</v>
      </c>
      <c r="AQ341" s="513">
        <f>IF(SETUP!$E$7="USD",(AP341*(IF(O341="USD",AK341,(AK341/'Master Data-C19RM'!$F$2)))),(AP341*(IF(O341="EUR",AK341,(AK341*'Master Data-C19RM'!$F$2)))))</f>
        <v>0</v>
      </c>
      <c r="AR341" s="924">
        <f>IF($O341="USD",_xlfn.IFNA(VLOOKUP($A341&amp;$E341&amp;$I341,PMsheet!$J:$K,2,0),0),(_xlfn.IFNA(VLOOKUP($A341&amp;$E341&amp;$I341,PMsheet!$J:$K,2,0),0)*'Master Data-C19RM'!$G$2))</f>
        <v>0</v>
      </c>
      <c r="AS341" s="572"/>
      <c r="AT341" s="572"/>
      <c r="AU341" s="572"/>
      <c r="AV341" s="572"/>
      <c r="AW341" s="512">
        <f t="shared" si="50"/>
        <v>0</v>
      </c>
      <c r="AX341" s="512">
        <f>IF(SETUP!$E$7="USD",(AW341*(IF(O341="USD",AR341,(AR341/'Master Data-C19RM'!$G$2)))),(AW341*(IF(O341="EUR",AR341,(AR341*'Master Data-C19RM'!$G$2)))))</f>
        <v>0</v>
      </c>
      <c r="AY341" s="845"/>
      <c r="AZ341" s="846"/>
      <c r="BA341" s="846"/>
      <c r="BB341" s="846"/>
      <c r="BC341" s="846"/>
      <c r="BD341" s="846"/>
      <c r="BE341" s="847"/>
      <c r="BF341" s="520">
        <f>'C19RM 2021-Lab &amp; Other HPS'!$U341+'C19RM 2021-Lab &amp; Other HPS'!$AB341+'C19RM 2021-Lab &amp; Other HPS'!$AP341+'C19RM 2021-Lab &amp; Other HPS'!$AI341+AW341+BD341</f>
        <v>0</v>
      </c>
      <c r="BG341" s="513">
        <f>'C19RM 2021-Lab &amp; Other HPS'!$V341+'C19RM 2021-Lab &amp; Other HPS'!$AC341+'C19RM 2021-Lab &amp; Other HPS'!$AQ341+'C19RM 2021-Lab &amp; Other HPS'!$AJ341+AX341+BE341</f>
        <v>0</v>
      </c>
      <c r="BH341" s="500" t="str" cm="1">
        <f t="array" ref="BH341">IF(A341&lt;&gt;"",IFERROR(INDEX(PMtbl[[WKst]:[Unit of measure*]],MATCH($A$330&amp;$A341&amp;$E341&amp;$I341,INDEX(PMtbl[Sec]&amp;PMtbl[Category]&amp;PMtbl[Each]&amp;PMtbl[Packaging],0,),0),11),""),"")</f>
        <v/>
      </c>
      <c r="BI341" s="819"/>
      <c r="BJ341" s="502" t="str" cm="1">
        <f t="array" ref="BJ341">IFERROR(INDEX(SETUP!$C$19:$G$121,MATCH((INDEX(PMtbl[[WKst]:[Unit of measure*]],MATCH($A341&amp;$E341&amp;$I341,INDEX(PMtbl[Category]&amp;PMtbl[Each]&amp;PMtbl[Packaging],0,),0),3)),SETUP!$D$19:$D$121,0),5),"")</f>
        <v/>
      </c>
      <c r="BK341" s="568" t="str" cm="1">
        <f t="array" ref="BK341">IFERROR(IF((INDEX(SETUP!$C$19:$G$121,MATCH((INDEX(PMtbl[[WKst]:[Unit of measure*]],MATCH($A341&amp;$E341&amp;$I341,INDEX(PMtbl[Category]&amp;PMtbl[Each]&amp;PMtbl[Packaging],0,),0),3)),SETUP!$D$19:$D$121,0),4))="Upfront",0,INDEX(SETUP!$C$19:$G$121,MATCH((INDEX(PMtbl[[WKst]:[Unit of measure*]],MATCH($A341&amp;$E341&amp;$I341,INDEX(PMtbl[Category]&amp;PMtbl[Each]&amp;PMtbl[Packaging],0,),0),3)),SETUP!$D$19:$D$121,0),5)),"")</f>
        <v/>
      </c>
      <c r="BL341" s="563" t="str" cm="1">
        <f t="array" ref="BL341">IF(E341&lt;&gt;"",IFERROR(INDEX(PMtbl[[WKst]:[Unit of measure*]],MATCH($A$330&amp;$A341&amp;$E341&amp;$I341,INDEX(PMtbl[Sec]&amp;PMtbl[Category]&amp;PMtbl[Each]&amp;PMtbl[Packaging],0,),0),11),""),"")</f>
        <v/>
      </c>
      <c r="BO341" s="448">
        <f>IF(N341="",0,IF(SETUP!$E$7="USD",((IF(O341="USD",P341,(P341/'Master Data-C19RM'!$C$2)))),((IF(O341="EUR",P341,(P341*'Master Data-C19RM'!$C$2))))))</f>
        <v>0</v>
      </c>
      <c r="BP341" s="448">
        <f>IF(N341="",0,IF(SETUP!$E$7="USD",((IF(O341="USD",W341,(W341/'Master Data-C19RM'!$D$2)))),((IF(O341="EUR",W341,(W341*'Master Data-C19RM'!$D$2))))))</f>
        <v>0</v>
      </c>
      <c r="BQ341" s="470">
        <f>IF(N341="",0,IF(SETUP!$E$7="USD",((IF(O341="USD",AD341,(AD341/'Master Data-C19RM'!$E$2)))),((IF(O341="EUR",AD341,(AD341*'Master Data-C19RM'!$E$2))))))</f>
        <v>0</v>
      </c>
      <c r="BR341" s="470">
        <f>IF(N341="",0,IF(SETUP!$E$7="USD",((IF(O341="USD",AK341,(AK341/'Master Data-C19RM'!$F$2)))),((IF(O341="EUR",AK341,(AK341*'Master Data-C19RM'!$F$2))))))</f>
        <v>0</v>
      </c>
      <c r="BS341" s="470">
        <f>IF(N341="",0,IF(SETUP!$E$7="USD",((IF(O341="USD",AR341,(AR341/'Master Data-C19RM'!$G$2)))),((IF(O341="EUR",AR341,(AR341*'Master Data-C19RM'!$G$2))))))</f>
        <v>0</v>
      </c>
      <c r="BT341" s="470">
        <f>IF(N341="",0,IF(SETUP!$E$7="USD",((IF(O341="USD",AY341,(AY341/'Master Data-C19RM'!$H$2)))),((IF(O341="EUR",AY341,(AY341*'Master Data-C19RM'!$H$2))))))</f>
        <v>0</v>
      </c>
      <c r="BU341" s="448">
        <f t="shared" si="45"/>
        <v>0</v>
      </c>
      <c r="BV341" s="562">
        <f t="shared" si="46"/>
        <v>0</v>
      </c>
      <c r="BW341" s="470"/>
      <c r="BX341" s="470"/>
      <c r="BY341" s="470"/>
      <c r="BZ341" s="470"/>
      <c r="CA341" s="470"/>
      <c r="CB341" s="470"/>
      <c r="CC341" s="470"/>
      <c r="CD341" s="470"/>
      <c r="CE341" s="470"/>
      <c r="CF341" s="470"/>
      <c r="CG341" s="470"/>
      <c r="CH341" s="470"/>
      <c r="CI341" s="470"/>
      <c r="CJ341" s="470"/>
      <c r="CK341" s="470"/>
      <c r="CL341" s="470"/>
      <c r="CM341" s="470"/>
      <c r="CN341" s="470"/>
      <c r="CO341" s="470"/>
      <c r="CP341" s="470"/>
    </row>
    <row r="342" spans="1:94" s="448" customFormat="1" ht="14" x14ac:dyDescent="0.3">
      <c r="A342" s="1192"/>
      <c r="B342" s="1192"/>
      <c r="C342" s="1192"/>
      <c r="D342" s="1192"/>
      <c r="E342" s="1173"/>
      <c r="F342" s="1173"/>
      <c r="G342" s="1173"/>
      <c r="H342" s="1173"/>
      <c r="I342" s="1173"/>
      <c r="J342" s="1173"/>
      <c r="K342" s="1173"/>
      <c r="L342" s="493" t="str" cm="1">
        <f t="array" ref="L342">IF(A342&lt;&gt;"",IFERROR(INDEX(PMtbl[[WKst]:[Unit of measure*]],MATCH($A$330&amp;$A342&amp;$E342&amp;$I342,INDEX(PMtbl[Sec]&amp;PMtbl[Category]&amp;PMtbl[Each]&amp;PMtbl[Packaging],0,),0),14),""),"")</f>
        <v/>
      </c>
      <c r="M342" s="480" t="str">
        <f>IF(L342="","",INDEX(SETUP!$E$20:$E$122,(MATCH(INDEX(PMsheet!$D:$E,MATCH(A342,PMsheet!E:E,0),1),SETUP!$D$20:$D$122,0))))</f>
        <v/>
      </c>
      <c r="N342" s="494">
        <f>IF($O342="USD",_xlfn.IFNA(VLOOKUP(A342&amp;E342&amp;I342,PMsheet!J:K,2,0),0),(_xlfn.IFNA(VLOOKUP(A342&amp;E342&amp;I342,PMsheet!J:K,2,0),0)*'Master Data-C19RM'!$C$2))</f>
        <v>0</v>
      </c>
      <c r="O342" s="495" t="str">
        <f>IF(L342="", "",SETUP!$E$7)</f>
        <v/>
      </c>
      <c r="P342" s="445">
        <f>IF($O342="USD",_xlfn.IFNA(VLOOKUP($A342&amp;$E342&amp;$I342,PMsheet!$J:$K,2,0),0),(_xlfn.IFNA(VLOOKUP($A342&amp;$E342&amp;$I342,PMsheet!$J:$K,2,0),0)*'Master Data-C19RM'!$C$2))</f>
        <v>0</v>
      </c>
      <c r="Q342" s="440"/>
      <c r="R342" s="440"/>
      <c r="S342" s="440"/>
      <c r="T342" s="440"/>
      <c r="U342" s="482">
        <f t="shared" si="44"/>
        <v>0</v>
      </c>
      <c r="V342" s="484">
        <f>IF(SETUP!$E$7="USD",(U342*(IF(O342="USD",P342,(P342/'Master Data-C19RM'!$C$2)))),(U342*(IF(O342="EUR",P342,(P342*'Master Data-C19RM'!$C$2)))))</f>
        <v>0</v>
      </c>
      <c r="W342" s="445">
        <f>IF($O342="USD",_xlfn.IFNA(VLOOKUP($A342&amp;$E342&amp;$I342,PMsheet!$J:$K,2,0),0),(_xlfn.IFNA(VLOOKUP($A342&amp;$E342&amp;$I342,PMsheet!$J:$K,2,0),0)*'Master Data-C19RM'!$D$2))</f>
        <v>0</v>
      </c>
      <c r="X342" s="440"/>
      <c r="Y342" s="440"/>
      <c r="Z342" s="440"/>
      <c r="AA342" s="440"/>
      <c r="AB342" s="482">
        <f t="shared" si="47"/>
        <v>0</v>
      </c>
      <c r="AC342" s="484">
        <f>IF(SETUP!$E$7="USD",(AB342*(IF(O342="USD",W342,(W342/'Master Data-C19RM'!$D$2)))),(AB342*(IF(O342="EUR",W342,(W342*'Master Data-C19RM'!$D$2)))))</f>
        <v>0</v>
      </c>
      <c r="AD342" s="445">
        <f>IF($O342="USD",_xlfn.IFNA(VLOOKUP($A342&amp;$E342&amp;$I342,PMsheet!$J:$K,2,0),0),(_xlfn.IFNA(VLOOKUP($A342&amp;$E342&amp;$I342,PMsheet!$J:$K,2,0),0)*'Master Data-C19RM'!$E$2))</f>
        <v>0</v>
      </c>
      <c r="AE342" s="440"/>
      <c r="AF342" s="440"/>
      <c r="AG342" s="440"/>
      <c r="AH342" s="440"/>
      <c r="AI342" s="514">
        <f t="shared" si="48"/>
        <v>0</v>
      </c>
      <c r="AJ342" s="515">
        <f>IF(SETUP!$E$7="USD",(AI342*(IF(O342="USD",AD342,(AD342/'Master Data-C19RM'!$E$2)))),(AI342*(IF(O342="EUR",AD342,(AD342*'Master Data-C19RM'!$E$2)))))</f>
        <v>0</v>
      </c>
      <c r="AK342" s="445">
        <f>IF($O342="USD",_xlfn.IFNA(VLOOKUP($A342&amp;$E342&amp;$I342,PMsheet!$J:$K,2,0),0),(_xlfn.IFNA(VLOOKUP($A342&amp;$E342&amp;$I342,PMsheet!$J:$K,2,0),0)*'Master Data-C19RM'!$F$2))</f>
        <v>0</v>
      </c>
      <c r="AL342" s="440"/>
      <c r="AM342" s="440"/>
      <c r="AN342" s="440"/>
      <c r="AO342" s="440"/>
      <c r="AP342" s="514">
        <f t="shared" si="49"/>
        <v>0</v>
      </c>
      <c r="AQ342" s="515">
        <f>IF(SETUP!$E$7="USD",(AP342*(IF(O342="USD",AK342,(AK342/'Master Data-C19RM'!$F$2)))),(AP342*(IF(O342="EUR",AK342,(AK342*'Master Data-C19RM'!$F$2)))))</f>
        <v>0</v>
      </c>
      <c r="AR342" s="925">
        <f>IF($O342="USD",_xlfn.IFNA(VLOOKUP($A342&amp;$E342&amp;$I342,PMsheet!$J:$K,2,0),0),(_xlfn.IFNA(VLOOKUP($A342&amp;$E342&amp;$I342,PMsheet!$J:$K,2,0),0)*'Master Data-C19RM'!$G$2))</f>
        <v>0</v>
      </c>
      <c r="AS342" s="926"/>
      <c r="AT342" s="926"/>
      <c r="AU342" s="926"/>
      <c r="AV342" s="926"/>
      <c r="AW342" s="514">
        <f t="shared" si="50"/>
        <v>0</v>
      </c>
      <c r="AX342" s="514">
        <f>IF(SETUP!$E$7="USD",(AW342*(IF(O342="USD",AR342,(AR342/'Master Data-C19RM'!$G$2)))),(AW342*(IF(O342="EUR",AR342,(AR342*'Master Data-C19RM'!$G$2)))))</f>
        <v>0</v>
      </c>
      <c r="AY342" s="845"/>
      <c r="AZ342" s="846"/>
      <c r="BA342" s="846"/>
      <c r="BB342" s="846"/>
      <c r="BC342" s="846"/>
      <c r="BD342" s="846"/>
      <c r="BE342" s="847"/>
      <c r="BF342" s="521">
        <f>'C19RM 2021-Lab &amp; Other HPS'!$U342+'C19RM 2021-Lab &amp; Other HPS'!$AB342+'C19RM 2021-Lab &amp; Other HPS'!$AP342+'C19RM 2021-Lab &amp; Other HPS'!$AI342+AW342+BD342</f>
        <v>0</v>
      </c>
      <c r="BG342" s="515">
        <f>'C19RM 2021-Lab &amp; Other HPS'!$V342+'C19RM 2021-Lab &amp; Other HPS'!$AC342+'C19RM 2021-Lab &amp; Other HPS'!$AQ342+'C19RM 2021-Lab &amp; Other HPS'!$AJ342+AX342+BE342</f>
        <v>0</v>
      </c>
      <c r="BH342" s="522" t="str" cm="1">
        <f t="array" ref="BH342">IF(A342&lt;&gt;"",IFERROR(INDEX(PMtbl[[WKst]:[Unit of measure*]],MATCH($A$330&amp;$A342&amp;$E342&amp;$I342,INDEX(PMtbl[Sec]&amp;PMtbl[Category]&amp;PMtbl[Each]&amp;PMtbl[Packaging],0,),0),11),""),"")</f>
        <v/>
      </c>
      <c r="BI342" s="818"/>
      <c r="BJ342" s="503" t="str" cm="1">
        <f t="array" ref="BJ342">IFERROR(INDEX(SETUP!$C$19:$G$121,MATCH((INDEX(PMtbl[[WKst]:[Unit of measure*]],MATCH($A342&amp;$E342&amp;$I342,INDEX(PMtbl[Category]&amp;PMtbl[Each]&amp;PMtbl[Packaging],0,),0),3)),SETUP!$D$19:$D$121,0),5),"")</f>
        <v/>
      </c>
      <c r="BK342" s="569" t="str" cm="1">
        <f t="array" ref="BK342">IFERROR(IF((INDEX(SETUP!$C$19:$G$121,MATCH((INDEX(PMtbl[[WKst]:[Unit of measure*]],MATCH($A342&amp;$E342&amp;$I342,INDEX(PMtbl[Category]&amp;PMtbl[Each]&amp;PMtbl[Packaging],0,),0),3)),SETUP!$D$19:$D$121,0),4))="Upfront",0,INDEX(SETUP!$C$19:$G$121,MATCH((INDEX(PMtbl[[WKst]:[Unit of measure*]],MATCH($A342&amp;$E342&amp;$I342,INDEX(PMtbl[Category]&amp;PMtbl[Each]&amp;PMtbl[Packaging],0,),0),3)),SETUP!$D$19:$D$121,0),5)),"")</f>
        <v/>
      </c>
      <c r="BL342" s="564" t="str" cm="1">
        <f t="array" ref="BL342">IF(E342&lt;&gt;"",IFERROR(INDEX(PMtbl[[WKst]:[Unit of measure*]],MATCH($A$330&amp;$A342&amp;$E342&amp;$I342,INDEX(PMtbl[Sec]&amp;PMtbl[Category]&amp;PMtbl[Each]&amp;PMtbl[Packaging],0,),0),11),""),"")</f>
        <v/>
      </c>
      <c r="BO342" s="448">
        <f>IF(N342="",0,IF(SETUP!$E$7="USD",((IF(O342="USD",P342,(P342/'Master Data-C19RM'!$C$2)))),((IF(O342="EUR",P342,(P342*'Master Data-C19RM'!$C$2))))))</f>
        <v>0</v>
      </c>
      <c r="BP342" s="448">
        <f>IF(N342="",0,IF(SETUP!$E$7="USD",((IF(O342="USD",W342,(W342/'Master Data-C19RM'!$D$2)))),((IF(O342="EUR",W342,(W342*'Master Data-C19RM'!$D$2))))))</f>
        <v>0</v>
      </c>
      <c r="BQ342" s="470">
        <f>IF(N342="",0,IF(SETUP!$E$7="USD",((IF(O342="USD",AD342,(AD342/'Master Data-C19RM'!$E$2)))),((IF(O342="EUR",AD342,(AD342*'Master Data-C19RM'!$E$2))))))</f>
        <v>0</v>
      </c>
      <c r="BR342" s="470">
        <f>IF(N342="",0,IF(SETUP!$E$7="USD",((IF(O342="USD",AK342,(AK342/'Master Data-C19RM'!$F$2)))),((IF(O342="EUR",AK342,(AK342*'Master Data-C19RM'!$F$2))))))</f>
        <v>0</v>
      </c>
      <c r="BS342" s="470">
        <f>IF(N342="",0,IF(SETUP!$E$7="USD",((IF(O342="USD",AR342,(AR342/'Master Data-C19RM'!$G$2)))),((IF(O342="EUR",AR342,(AR342*'Master Data-C19RM'!$G$2))))))</f>
        <v>0</v>
      </c>
      <c r="BT342" s="470">
        <f>IF(N342="",0,IF(SETUP!$E$7="USD",((IF(O342="USD",AY342,(AY342/'Master Data-C19RM'!$H$2)))),((IF(O342="EUR",AY342,(AY342*'Master Data-C19RM'!$H$2))))))</f>
        <v>0</v>
      </c>
      <c r="BU342" s="448">
        <f t="shared" si="45"/>
        <v>0</v>
      </c>
      <c r="BV342" s="562">
        <f t="shared" si="46"/>
        <v>0</v>
      </c>
      <c r="BW342" s="470"/>
      <c r="BX342" s="470"/>
      <c r="BY342" s="470"/>
      <c r="BZ342" s="470"/>
      <c r="CA342" s="470"/>
      <c r="CB342" s="470"/>
      <c r="CC342" s="470"/>
      <c r="CD342" s="470"/>
      <c r="CE342" s="470"/>
      <c r="CF342" s="470"/>
      <c r="CG342" s="470"/>
      <c r="CH342" s="470"/>
      <c r="CI342" s="470"/>
      <c r="CJ342" s="470"/>
      <c r="CK342" s="470"/>
      <c r="CL342" s="470"/>
      <c r="CM342" s="470"/>
      <c r="CN342" s="470"/>
      <c r="CO342" s="470"/>
      <c r="CP342" s="470"/>
    </row>
    <row r="343" spans="1:94" s="448" customFormat="1" ht="14" x14ac:dyDescent="0.3">
      <c r="A343" s="1165"/>
      <c r="B343" s="1165"/>
      <c r="C343" s="1165"/>
      <c r="D343" s="1165"/>
      <c r="E343" s="1166"/>
      <c r="F343" s="1166"/>
      <c r="G343" s="1166"/>
      <c r="H343" s="1166"/>
      <c r="I343" s="1166"/>
      <c r="J343" s="1166"/>
      <c r="K343" s="1166"/>
      <c r="L343" s="490" t="str" cm="1">
        <f t="array" ref="L343">IF(A343&lt;&gt;"",IFERROR(INDEX(PMtbl[[WKst]:[Unit of measure*]],MATCH($A$330&amp;$A343&amp;$E343&amp;$I343,INDEX(PMtbl[Sec]&amp;PMtbl[Category]&amp;PMtbl[Each]&amp;PMtbl[Packaging],0,),0),14),""),"")</f>
        <v/>
      </c>
      <c r="M343" s="479" t="str">
        <f>IF(L343="","",INDEX(SETUP!$E$20:$E$122,(MATCH(INDEX(PMsheet!$D:$E,MATCH(A343,PMsheet!E:E,0),1),SETUP!$D$20:$D$122,0))))</f>
        <v/>
      </c>
      <c r="N343" s="491">
        <f>IF($O343="USD",_xlfn.IFNA(VLOOKUP(A343&amp;E343&amp;I343,PMsheet!J:K,2,0),0),(_xlfn.IFNA(VLOOKUP(A343&amp;E343&amp;I343,PMsheet!J:K,2,0),0)*'Master Data-C19RM'!$C$2))</f>
        <v>0</v>
      </c>
      <c r="O343" s="492" t="str">
        <f>IF(L343="", "",SETUP!$E$7)</f>
        <v/>
      </c>
      <c r="P343" s="444">
        <f>IF($O343="USD",_xlfn.IFNA(VLOOKUP($A343&amp;$E343&amp;$I343,PMsheet!$J:$K,2,0),0),(_xlfn.IFNA(VLOOKUP($A343&amp;$E343&amp;$I343,PMsheet!$J:$K,2,0),0)*'Master Data-C19RM'!$C$2))</f>
        <v>0</v>
      </c>
      <c r="Q343" s="441"/>
      <c r="R343" s="441"/>
      <c r="S343" s="441"/>
      <c r="T343" s="441"/>
      <c r="U343" s="481">
        <f t="shared" si="44"/>
        <v>0</v>
      </c>
      <c r="V343" s="483">
        <f>IF(SETUP!$E$7="USD",(U343*(IF(O343="USD",P343,(P343/'Master Data-C19RM'!$C$2)))),(U343*(IF(O343="EUR",P343,(P343*'Master Data-C19RM'!$C$2)))))</f>
        <v>0</v>
      </c>
      <c r="W343" s="444">
        <f>IF($O343="USD",_xlfn.IFNA(VLOOKUP($A343&amp;$E343&amp;$I343,PMsheet!$J:$K,2,0),0),(_xlfn.IFNA(VLOOKUP($A343&amp;$E343&amp;$I343,PMsheet!$J:$K,2,0),0)*'Master Data-C19RM'!$D$2))</f>
        <v>0</v>
      </c>
      <c r="X343" s="441"/>
      <c r="Y343" s="441"/>
      <c r="Z343" s="441"/>
      <c r="AA343" s="441"/>
      <c r="AB343" s="481">
        <f t="shared" si="47"/>
        <v>0</v>
      </c>
      <c r="AC343" s="483">
        <f>IF(SETUP!$E$7="USD",(AB343*(IF(O343="USD",W343,(W343/'Master Data-C19RM'!$D$2)))),(AB343*(IF(O343="EUR",W343,(W343*'Master Data-C19RM'!$D$2)))))</f>
        <v>0</v>
      </c>
      <c r="AD343" s="444">
        <f>IF($O343="USD",_xlfn.IFNA(VLOOKUP($A343&amp;$E343&amp;$I343,PMsheet!$J:$K,2,0),0),(_xlfn.IFNA(VLOOKUP($A343&amp;$E343&amp;$I343,PMsheet!$J:$K,2,0),0)*'Master Data-C19RM'!$E$2))</f>
        <v>0</v>
      </c>
      <c r="AE343" s="441"/>
      <c r="AF343" s="441"/>
      <c r="AG343" s="441"/>
      <c r="AH343" s="441"/>
      <c r="AI343" s="512">
        <f t="shared" si="48"/>
        <v>0</v>
      </c>
      <c r="AJ343" s="513">
        <f>IF(SETUP!$E$7="USD",(AI343*(IF(O343="USD",AD343,(AD343/'Master Data-C19RM'!$E$2)))),(AI343*(IF(O343="EUR",AD343,(AD343*'Master Data-C19RM'!$E$2)))))</f>
        <v>0</v>
      </c>
      <c r="AK343" s="444">
        <f>IF($O343="USD",_xlfn.IFNA(VLOOKUP($A343&amp;$E343&amp;$I343,PMsheet!$J:$K,2,0),0),(_xlfn.IFNA(VLOOKUP($A343&amp;$E343&amp;$I343,PMsheet!$J:$K,2,0),0)*'Master Data-C19RM'!$F$2))</f>
        <v>0</v>
      </c>
      <c r="AL343" s="441"/>
      <c r="AM343" s="441"/>
      <c r="AN343" s="441"/>
      <c r="AO343" s="441"/>
      <c r="AP343" s="512">
        <f t="shared" si="49"/>
        <v>0</v>
      </c>
      <c r="AQ343" s="513">
        <f>IF(SETUP!$E$7="USD",(AP343*(IF(O343="USD",AK343,(AK343/'Master Data-C19RM'!$F$2)))),(AP343*(IF(O343="EUR",AK343,(AK343*'Master Data-C19RM'!$F$2)))))</f>
        <v>0</v>
      </c>
      <c r="AR343" s="924">
        <f>IF($O343="USD",_xlfn.IFNA(VLOOKUP($A343&amp;$E343&amp;$I343,PMsheet!$J:$K,2,0),0),(_xlfn.IFNA(VLOOKUP($A343&amp;$E343&amp;$I343,PMsheet!$J:$K,2,0),0)*'Master Data-C19RM'!$G$2))</f>
        <v>0</v>
      </c>
      <c r="AS343" s="572"/>
      <c r="AT343" s="572"/>
      <c r="AU343" s="572"/>
      <c r="AV343" s="572"/>
      <c r="AW343" s="512">
        <f t="shared" si="50"/>
        <v>0</v>
      </c>
      <c r="AX343" s="512">
        <f>IF(SETUP!$E$7="USD",(AW343*(IF(O343="USD",AR343,(AR343/'Master Data-C19RM'!$G$2)))),(AW343*(IF(O343="EUR",AR343,(AR343*'Master Data-C19RM'!$G$2)))))</f>
        <v>0</v>
      </c>
      <c r="AY343" s="845"/>
      <c r="AZ343" s="846"/>
      <c r="BA343" s="846"/>
      <c r="BB343" s="846"/>
      <c r="BC343" s="846"/>
      <c r="BD343" s="846"/>
      <c r="BE343" s="847"/>
      <c r="BF343" s="520">
        <f>'C19RM 2021-Lab &amp; Other HPS'!$U343+'C19RM 2021-Lab &amp; Other HPS'!$AB343+'C19RM 2021-Lab &amp; Other HPS'!$AP343+'C19RM 2021-Lab &amp; Other HPS'!$AI343+AW343+BD343</f>
        <v>0</v>
      </c>
      <c r="BG343" s="513">
        <f>'C19RM 2021-Lab &amp; Other HPS'!$V343+'C19RM 2021-Lab &amp; Other HPS'!$AC343+'C19RM 2021-Lab &amp; Other HPS'!$AQ343+'C19RM 2021-Lab &amp; Other HPS'!$AJ343+AX343+BE343</f>
        <v>0</v>
      </c>
      <c r="BH343" s="500" t="str" cm="1">
        <f t="array" ref="BH343">IF(A343&lt;&gt;"",IFERROR(INDEX(PMtbl[[WKst]:[Unit of measure*]],MATCH($A$330&amp;$A343&amp;$E343&amp;$I343,INDEX(PMtbl[Sec]&amp;PMtbl[Category]&amp;PMtbl[Each]&amp;PMtbl[Packaging],0,),0),11),""),"")</f>
        <v/>
      </c>
      <c r="BI343" s="819"/>
      <c r="BJ343" s="502" t="str" cm="1">
        <f t="array" ref="BJ343">IFERROR(INDEX(SETUP!$C$19:$G$121,MATCH((INDEX(PMtbl[[WKst]:[Unit of measure*]],MATCH($A343&amp;$E343&amp;$I343,INDEX(PMtbl[Category]&amp;PMtbl[Each]&amp;PMtbl[Packaging],0,),0),3)),SETUP!$D$19:$D$121,0),5),"")</f>
        <v/>
      </c>
      <c r="BK343" s="568" t="str" cm="1">
        <f t="array" ref="BK343">IFERROR(IF((INDEX(SETUP!$C$19:$G$121,MATCH((INDEX(PMtbl[[WKst]:[Unit of measure*]],MATCH($A343&amp;$E343&amp;$I343,INDEX(PMtbl[Category]&amp;PMtbl[Each]&amp;PMtbl[Packaging],0,),0),3)),SETUP!$D$19:$D$121,0),4))="Upfront",0,INDEX(SETUP!$C$19:$G$121,MATCH((INDEX(PMtbl[[WKst]:[Unit of measure*]],MATCH($A343&amp;$E343&amp;$I343,INDEX(PMtbl[Category]&amp;PMtbl[Each]&amp;PMtbl[Packaging],0,),0),3)),SETUP!$D$19:$D$121,0),5)),"")</f>
        <v/>
      </c>
      <c r="BL343" s="563" t="str" cm="1">
        <f t="array" ref="BL343">IF(E343&lt;&gt;"",IFERROR(INDEX(PMtbl[[WKst]:[Unit of measure*]],MATCH($A$330&amp;$A343&amp;$E343&amp;$I343,INDEX(PMtbl[Sec]&amp;PMtbl[Category]&amp;PMtbl[Each]&amp;PMtbl[Packaging],0,),0),11),""),"")</f>
        <v/>
      </c>
      <c r="BO343" s="448">
        <f>IF(N343="",0,IF(SETUP!$E$7="USD",((IF(O343="USD",P343,(P343/'Master Data-C19RM'!$C$2)))),((IF(O343="EUR",P343,(P343*'Master Data-C19RM'!$C$2))))))</f>
        <v>0</v>
      </c>
      <c r="BP343" s="448">
        <f>IF(N343="",0,IF(SETUP!$E$7="USD",((IF(O343="USD",W343,(W343/'Master Data-C19RM'!$D$2)))),((IF(O343="EUR",W343,(W343*'Master Data-C19RM'!$D$2))))))</f>
        <v>0</v>
      </c>
      <c r="BQ343" s="470">
        <f>IF(N343="",0,IF(SETUP!$E$7="USD",((IF(O343="USD",AD343,(AD343/'Master Data-C19RM'!$E$2)))),((IF(O343="EUR",AD343,(AD343*'Master Data-C19RM'!$E$2))))))</f>
        <v>0</v>
      </c>
      <c r="BR343" s="470">
        <f>IF(N343="",0,IF(SETUP!$E$7="USD",((IF(O343="USD",AK343,(AK343/'Master Data-C19RM'!$F$2)))),((IF(O343="EUR",AK343,(AK343*'Master Data-C19RM'!$F$2))))))</f>
        <v>0</v>
      </c>
      <c r="BS343" s="470">
        <f>IF(N343="",0,IF(SETUP!$E$7="USD",((IF(O343="USD",AR343,(AR343/'Master Data-C19RM'!$G$2)))),((IF(O343="EUR",AR343,(AR343*'Master Data-C19RM'!$G$2))))))</f>
        <v>0</v>
      </c>
      <c r="BT343" s="470">
        <f>IF(N343="",0,IF(SETUP!$E$7="USD",((IF(O343="USD",AY343,(AY343/'Master Data-C19RM'!$H$2)))),((IF(O343="EUR",AY343,(AY343*'Master Data-C19RM'!$H$2))))))</f>
        <v>0</v>
      </c>
      <c r="BU343" s="448">
        <f t="shared" si="45"/>
        <v>0</v>
      </c>
      <c r="BV343" s="562">
        <f t="shared" si="46"/>
        <v>0</v>
      </c>
      <c r="BW343" s="470"/>
      <c r="BX343" s="470"/>
      <c r="BY343" s="470"/>
      <c r="BZ343" s="470"/>
      <c r="CA343" s="470"/>
      <c r="CB343" s="470"/>
      <c r="CC343" s="470"/>
      <c r="CD343" s="470"/>
      <c r="CE343" s="470"/>
      <c r="CF343" s="470"/>
      <c r="CG343" s="470"/>
      <c r="CH343" s="470"/>
      <c r="CI343" s="470"/>
      <c r="CJ343" s="470"/>
      <c r="CK343" s="470"/>
      <c r="CL343" s="470"/>
      <c r="CM343" s="470"/>
      <c r="CN343" s="470"/>
      <c r="CO343" s="470"/>
      <c r="CP343" s="470"/>
    </row>
    <row r="344" spans="1:94" s="448" customFormat="1" ht="14" x14ac:dyDescent="0.3">
      <c r="A344" s="1192"/>
      <c r="B344" s="1192"/>
      <c r="C344" s="1192"/>
      <c r="D344" s="1192"/>
      <c r="E344" s="1173"/>
      <c r="F344" s="1173"/>
      <c r="G344" s="1173"/>
      <c r="H344" s="1173"/>
      <c r="I344" s="1173"/>
      <c r="J344" s="1173"/>
      <c r="K344" s="1173"/>
      <c r="L344" s="493" t="str" cm="1">
        <f t="array" ref="L344">IF(A344&lt;&gt;"",IFERROR(INDEX(PMtbl[[WKst]:[Unit of measure*]],MATCH($A$330&amp;$A344&amp;$E344&amp;$I344,INDEX(PMtbl[Sec]&amp;PMtbl[Category]&amp;PMtbl[Each]&amp;PMtbl[Packaging],0,),0),14),""),"")</f>
        <v/>
      </c>
      <c r="M344" s="480" t="str">
        <f>IF(L344="","",INDEX(SETUP!$E$20:$E$122,(MATCH(INDEX(PMsheet!$D:$E,MATCH(A344,PMsheet!E:E,0),1),SETUP!$D$20:$D$122,0))))</f>
        <v/>
      </c>
      <c r="N344" s="494">
        <f>IF($O344="USD",_xlfn.IFNA(VLOOKUP(A344&amp;E344&amp;I344,PMsheet!J:K,2,0),0),(_xlfn.IFNA(VLOOKUP(A344&amp;E344&amp;I344,PMsheet!J:K,2,0),0)*'Master Data-C19RM'!$C$2))</f>
        <v>0</v>
      </c>
      <c r="O344" s="495" t="str">
        <f>IF(L344="", "",SETUP!$E$7)</f>
        <v/>
      </c>
      <c r="P344" s="445">
        <f>IF($O344="USD",_xlfn.IFNA(VLOOKUP($A344&amp;$E344&amp;$I344,PMsheet!$J:$K,2,0),0),(_xlfn.IFNA(VLOOKUP($A344&amp;$E344&amp;$I344,PMsheet!$J:$K,2,0),0)*'Master Data-C19RM'!$C$2))</f>
        <v>0</v>
      </c>
      <c r="Q344" s="440"/>
      <c r="R344" s="440"/>
      <c r="S344" s="440"/>
      <c r="T344" s="440"/>
      <c r="U344" s="482">
        <f t="shared" si="44"/>
        <v>0</v>
      </c>
      <c r="V344" s="484">
        <f>IF(SETUP!$E$7="USD",(U344*(IF(O344="USD",P344,(P344/'Master Data-C19RM'!$C$2)))),(U344*(IF(O344="EUR",P344,(P344*'Master Data-C19RM'!$C$2)))))</f>
        <v>0</v>
      </c>
      <c r="W344" s="445">
        <f>IF($O344="USD",_xlfn.IFNA(VLOOKUP($A344&amp;$E344&amp;$I344,PMsheet!$J:$K,2,0),0),(_xlfn.IFNA(VLOOKUP($A344&amp;$E344&amp;$I344,PMsheet!$J:$K,2,0),0)*'Master Data-C19RM'!$D$2))</f>
        <v>0</v>
      </c>
      <c r="X344" s="440"/>
      <c r="Y344" s="440"/>
      <c r="Z344" s="440"/>
      <c r="AA344" s="440"/>
      <c r="AB344" s="482">
        <f t="shared" si="47"/>
        <v>0</v>
      </c>
      <c r="AC344" s="484">
        <f>IF(SETUP!$E$7="USD",(AB344*(IF(O344="USD",W344,(W344/'Master Data-C19RM'!$D$2)))),(AB344*(IF(O344="EUR",W344,(W344*'Master Data-C19RM'!$D$2)))))</f>
        <v>0</v>
      </c>
      <c r="AD344" s="445">
        <f>IF($O344="USD",_xlfn.IFNA(VLOOKUP($A344&amp;$E344&amp;$I344,PMsheet!$J:$K,2,0),0),(_xlfn.IFNA(VLOOKUP($A344&amp;$E344&amp;$I344,PMsheet!$J:$K,2,0),0)*'Master Data-C19RM'!$E$2))</f>
        <v>0</v>
      </c>
      <c r="AE344" s="440"/>
      <c r="AF344" s="440"/>
      <c r="AG344" s="440"/>
      <c r="AH344" s="440"/>
      <c r="AI344" s="514">
        <f t="shared" si="48"/>
        <v>0</v>
      </c>
      <c r="AJ344" s="515">
        <f>IF(SETUP!$E$7="USD",(AI344*(IF(O344="USD",AD344,(AD344/'Master Data-C19RM'!$E$2)))),(AI344*(IF(O344="EUR",AD344,(AD344*'Master Data-C19RM'!$E$2)))))</f>
        <v>0</v>
      </c>
      <c r="AK344" s="445">
        <f>IF($O344="USD",_xlfn.IFNA(VLOOKUP($A344&amp;$E344&amp;$I344,PMsheet!$J:$K,2,0),0),(_xlfn.IFNA(VLOOKUP($A344&amp;$E344&amp;$I344,PMsheet!$J:$K,2,0),0)*'Master Data-C19RM'!$F$2))</f>
        <v>0</v>
      </c>
      <c r="AL344" s="440"/>
      <c r="AM344" s="440"/>
      <c r="AN344" s="440"/>
      <c r="AO344" s="440"/>
      <c r="AP344" s="514">
        <f t="shared" si="49"/>
        <v>0</v>
      </c>
      <c r="AQ344" s="515">
        <f>IF(SETUP!$E$7="USD",(AP344*(IF(O344="USD",AK344,(AK344/'Master Data-C19RM'!$F$2)))),(AP344*(IF(O344="EUR",AK344,(AK344*'Master Data-C19RM'!$F$2)))))</f>
        <v>0</v>
      </c>
      <c r="AR344" s="925">
        <f>IF($O344="USD",_xlfn.IFNA(VLOOKUP($A344&amp;$E344&amp;$I344,PMsheet!$J:$K,2,0),0),(_xlfn.IFNA(VLOOKUP($A344&amp;$E344&amp;$I344,PMsheet!$J:$K,2,0),0)*'Master Data-C19RM'!$G$2))</f>
        <v>0</v>
      </c>
      <c r="AS344" s="926"/>
      <c r="AT344" s="926"/>
      <c r="AU344" s="926"/>
      <c r="AV344" s="926"/>
      <c r="AW344" s="514">
        <f t="shared" si="50"/>
        <v>0</v>
      </c>
      <c r="AX344" s="514">
        <f>IF(SETUP!$E$7="USD",(AW344*(IF(O344="USD",AR344,(AR344/'Master Data-C19RM'!$G$2)))),(AW344*(IF(O344="EUR",AR344,(AR344*'Master Data-C19RM'!$G$2)))))</f>
        <v>0</v>
      </c>
      <c r="AY344" s="845"/>
      <c r="AZ344" s="846"/>
      <c r="BA344" s="846"/>
      <c r="BB344" s="846"/>
      <c r="BC344" s="846"/>
      <c r="BD344" s="846"/>
      <c r="BE344" s="847"/>
      <c r="BF344" s="521">
        <f>'C19RM 2021-Lab &amp; Other HPS'!$U344+'C19RM 2021-Lab &amp; Other HPS'!$AB344+'C19RM 2021-Lab &amp; Other HPS'!$AP344+'C19RM 2021-Lab &amp; Other HPS'!$AI344+AW344+BD344</f>
        <v>0</v>
      </c>
      <c r="BG344" s="515">
        <f>'C19RM 2021-Lab &amp; Other HPS'!$V344+'C19RM 2021-Lab &amp; Other HPS'!$AC344+'C19RM 2021-Lab &amp; Other HPS'!$AQ344+'C19RM 2021-Lab &amp; Other HPS'!$AJ344+AX344+BE344</f>
        <v>0</v>
      </c>
      <c r="BH344" s="522" t="str" cm="1">
        <f t="array" ref="BH344">IF(A344&lt;&gt;"",IFERROR(INDEX(PMtbl[[WKst]:[Unit of measure*]],MATCH($A$330&amp;$A344&amp;$E344&amp;$I344,INDEX(PMtbl[Sec]&amp;PMtbl[Category]&amp;PMtbl[Each]&amp;PMtbl[Packaging],0,),0),11),""),"")</f>
        <v/>
      </c>
      <c r="BI344" s="818"/>
      <c r="BJ344" s="503" t="str" cm="1">
        <f t="array" ref="BJ344">IFERROR(INDEX(SETUP!$C$19:$G$121,MATCH((INDEX(PMtbl[[WKst]:[Unit of measure*]],MATCH($A344&amp;$E344&amp;$I344,INDEX(PMtbl[Category]&amp;PMtbl[Each]&amp;PMtbl[Packaging],0,),0),3)),SETUP!$D$19:$D$121,0),5),"")</f>
        <v/>
      </c>
      <c r="BK344" s="569" t="str" cm="1">
        <f t="array" ref="BK344">IFERROR(IF((INDEX(SETUP!$C$19:$G$121,MATCH((INDEX(PMtbl[[WKst]:[Unit of measure*]],MATCH($A344&amp;$E344&amp;$I344,INDEX(PMtbl[Category]&amp;PMtbl[Each]&amp;PMtbl[Packaging],0,),0),3)),SETUP!$D$19:$D$121,0),4))="Upfront",0,INDEX(SETUP!$C$19:$G$121,MATCH((INDEX(PMtbl[[WKst]:[Unit of measure*]],MATCH($A344&amp;$E344&amp;$I344,INDEX(PMtbl[Category]&amp;PMtbl[Each]&amp;PMtbl[Packaging],0,),0),3)),SETUP!$D$19:$D$121,0),5)),"")</f>
        <v/>
      </c>
      <c r="BL344" s="564" t="str" cm="1">
        <f t="array" ref="BL344">IF(E344&lt;&gt;"",IFERROR(INDEX(PMtbl[[WKst]:[Unit of measure*]],MATCH($A$330&amp;$A344&amp;$E344&amp;$I344,INDEX(PMtbl[Sec]&amp;PMtbl[Category]&amp;PMtbl[Each]&amp;PMtbl[Packaging],0,),0),11),""),"")</f>
        <v/>
      </c>
      <c r="BO344" s="448">
        <f>IF(N344="",0,IF(SETUP!$E$7="USD",((IF(O344="USD",P344,(P344/'Master Data-C19RM'!$C$2)))),((IF(O344="EUR",P344,(P344*'Master Data-C19RM'!$C$2))))))</f>
        <v>0</v>
      </c>
      <c r="BP344" s="448">
        <f>IF(N344="",0,IF(SETUP!$E$7="USD",((IF(O344="USD",W344,(W344/'Master Data-C19RM'!$D$2)))),((IF(O344="EUR",W344,(W344*'Master Data-C19RM'!$D$2))))))</f>
        <v>0</v>
      </c>
      <c r="BQ344" s="470">
        <f>IF(N344="",0,IF(SETUP!$E$7="USD",((IF(O344="USD",AD344,(AD344/'Master Data-C19RM'!$E$2)))),((IF(O344="EUR",AD344,(AD344*'Master Data-C19RM'!$E$2))))))</f>
        <v>0</v>
      </c>
      <c r="BR344" s="470">
        <f>IF(N344="",0,IF(SETUP!$E$7="USD",((IF(O344="USD",AK344,(AK344/'Master Data-C19RM'!$F$2)))),((IF(O344="EUR",AK344,(AK344*'Master Data-C19RM'!$F$2))))))</f>
        <v>0</v>
      </c>
      <c r="BS344" s="470">
        <f>IF(N344="",0,IF(SETUP!$E$7="USD",((IF(O344="USD",AR344,(AR344/'Master Data-C19RM'!$G$2)))),((IF(O344="EUR",AR344,(AR344*'Master Data-C19RM'!$G$2))))))</f>
        <v>0</v>
      </c>
      <c r="BT344" s="470">
        <f>IF(N344="",0,IF(SETUP!$E$7="USD",((IF(O344="USD",AY344,(AY344/'Master Data-C19RM'!$H$2)))),((IF(O344="EUR",AY344,(AY344*'Master Data-C19RM'!$H$2))))))</f>
        <v>0</v>
      </c>
      <c r="BU344" s="448">
        <f t="shared" si="45"/>
        <v>0</v>
      </c>
      <c r="BV344" s="562">
        <f t="shared" si="46"/>
        <v>0</v>
      </c>
      <c r="BW344" s="470"/>
      <c r="BX344" s="470"/>
      <c r="BY344" s="470"/>
      <c r="BZ344" s="470"/>
      <c r="CA344" s="470"/>
      <c r="CB344" s="470"/>
      <c r="CC344" s="470"/>
      <c r="CD344" s="470"/>
      <c r="CE344" s="470"/>
      <c r="CF344" s="470"/>
      <c r="CG344" s="470"/>
      <c r="CH344" s="470"/>
      <c r="CI344" s="470"/>
      <c r="CJ344" s="470"/>
      <c r="CK344" s="470"/>
      <c r="CL344" s="470"/>
      <c r="CM344" s="470"/>
      <c r="CN344" s="470"/>
      <c r="CO344" s="470"/>
      <c r="CP344" s="470"/>
    </row>
    <row r="345" spans="1:94" s="448" customFormat="1" ht="14" x14ac:dyDescent="0.3">
      <c r="A345" s="1165"/>
      <c r="B345" s="1165"/>
      <c r="C345" s="1165"/>
      <c r="D345" s="1165"/>
      <c r="E345" s="1166"/>
      <c r="F345" s="1166"/>
      <c r="G345" s="1166"/>
      <c r="H345" s="1166"/>
      <c r="I345" s="1166"/>
      <c r="J345" s="1166"/>
      <c r="K345" s="1166"/>
      <c r="L345" s="490" t="str" cm="1">
        <f t="array" ref="L345">IF(A345&lt;&gt;"",IFERROR(INDEX(PMtbl[[WKst]:[Unit of measure*]],MATCH($A$330&amp;$A345&amp;$E345&amp;$I345,INDEX(PMtbl[Sec]&amp;PMtbl[Category]&amp;PMtbl[Each]&amp;PMtbl[Packaging],0,),0),14),""),"")</f>
        <v/>
      </c>
      <c r="M345" s="479" t="str">
        <f>IF(L345="","",INDEX(SETUP!$E$20:$E$122,(MATCH(INDEX(PMsheet!$D:$E,MATCH(A345,PMsheet!E:E,0),1),SETUP!$D$20:$D$122,0))))</f>
        <v/>
      </c>
      <c r="N345" s="491">
        <f>IF($O345="USD",_xlfn.IFNA(VLOOKUP(A345&amp;E345&amp;I345,PMsheet!J:K,2,0),0),(_xlfn.IFNA(VLOOKUP(A345&amp;E345&amp;I345,PMsheet!J:K,2,0),0)*'Master Data-C19RM'!$C$2))</f>
        <v>0</v>
      </c>
      <c r="O345" s="492" t="str">
        <f>IF(L345="", "",SETUP!$E$7)</f>
        <v/>
      </c>
      <c r="P345" s="444">
        <f>IF($O345="USD",_xlfn.IFNA(VLOOKUP($A345&amp;$E345&amp;$I345,PMsheet!$J:$K,2,0),0),(_xlfn.IFNA(VLOOKUP($A345&amp;$E345&amp;$I345,PMsheet!$J:$K,2,0),0)*'Master Data-C19RM'!$C$2))</f>
        <v>0</v>
      </c>
      <c r="Q345" s="441"/>
      <c r="R345" s="441"/>
      <c r="S345" s="441"/>
      <c r="T345" s="441"/>
      <c r="U345" s="481">
        <f t="shared" si="44"/>
        <v>0</v>
      </c>
      <c r="V345" s="483">
        <f>IF(SETUP!$E$7="USD",(U345*(IF(O345="USD",P345,(P345/'Master Data-C19RM'!$C$2)))),(U345*(IF(O345="EUR",P345,(P345*'Master Data-C19RM'!$C$2)))))</f>
        <v>0</v>
      </c>
      <c r="W345" s="444">
        <f>IF($O345="USD",_xlfn.IFNA(VLOOKUP($A345&amp;$E345&amp;$I345,PMsheet!$J:$K,2,0),0),(_xlfn.IFNA(VLOOKUP($A345&amp;$E345&amp;$I345,PMsheet!$J:$K,2,0),0)*'Master Data-C19RM'!$D$2))</f>
        <v>0</v>
      </c>
      <c r="X345" s="441"/>
      <c r="Y345" s="441"/>
      <c r="Z345" s="441"/>
      <c r="AA345" s="441"/>
      <c r="AB345" s="481">
        <f t="shared" si="47"/>
        <v>0</v>
      </c>
      <c r="AC345" s="483">
        <f>IF(SETUP!$E$7="USD",(AB345*(IF(O345="USD",W345,(W345/'Master Data-C19RM'!$D$2)))),(AB345*(IF(O345="EUR",W345,(W345*'Master Data-C19RM'!$D$2)))))</f>
        <v>0</v>
      </c>
      <c r="AD345" s="444">
        <f>IF($O345="USD",_xlfn.IFNA(VLOOKUP($A345&amp;$E345&amp;$I345,PMsheet!$J:$K,2,0),0),(_xlfn.IFNA(VLOOKUP($A345&amp;$E345&amp;$I345,PMsheet!$J:$K,2,0),0)*'Master Data-C19RM'!$E$2))</f>
        <v>0</v>
      </c>
      <c r="AE345" s="441"/>
      <c r="AF345" s="441"/>
      <c r="AG345" s="441"/>
      <c r="AH345" s="441"/>
      <c r="AI345" s="512">
        <f t="shared" si="48"/>
        <v>0</v>
      </c>
      <c r="AJ345" s="513">
        <f>IF(SETUP!$E$7="USD",(AI345*(IF(O345="USD",AD345,(AD345/'Master Data-C19RM'!$E$2)))),(AI345*(IF(O345="EUR",AD345,(AD345*'Master Data-C19RM'!$E$2)))))</f>
        <v>0</v>
      </c>
      <c r="AK345" s="444">
        <f>IF($O345="USD",_xlfn.IFNA(VLOOKUP($A345&amp;$E345&amp;$I345,PMsheet!$J:$K,2,0),0),(_xlfn.IFNA(VLOOKUP($A345&amp;$E345&amp;$I345,PMsheet!$J:$K,2,0),0)*'Master Data-C19RM'!$F$2))</f>
        <v>0</v>
      </c>
      <c r="AL345" s="441"/>
      <c r="AM345" s="441"/>
      <c r="AN345" s="441"/>
      <c r="AO345" s="441"/>
      <c r="AP345" s="512">
        <f t="shared" si="49"/>
        <v>0</v>
      </c>
      <c r="AQ345" s="513">
        <f>IF(SETUP!$E$7="USD",(AP345*(IF(O345="USD",AK345,(AK345/'Master Data-C19RM'!$F$2)))),(AP345*(IF(O345="EUR",AK345,(AK345*'Master Data-C19RM'!$F$2)))))</f>
        <v>0</v>
      </c>
      <c r="AR345" s="924">
        <f>IF($O345="USD",_xlfn.IFNA(VLOOKUP($A345&amp;$E345&amp;$I345,PMsheet!$J:$K,2,0),0),(_xlfn.IFNA(VLOOKUP($A345&amp;$E345&amp;$I345,PMsheet!$J:$K,2,0),0)*'Master Data-C19RM'!$G$2))</f>
        <v>0</v>
      </c>
      <c r="AS345" s="572"/>
      <c r="AT345" s="572"/>
      <c r="AU345" s="572"/>
      <c r="AV345" s="572"/>
      <c r="AW345" s="512">
        <f t="shared" si="50"/>
        <v>0</v>
      </c>
      <c r="AX345" s="512">
        <f>IF(SETUP!$E$7="USD",(AW345*(IF(O345="USD",AR345,(AR345/'Master Data-C19RM'!$G$2)))),(AW345*(IF(O345="EUR",AR345,(AR345*'Master Data-C19RM'!$G$2)))))</f>
        <v>0</v>
      </c>
      <c r="AY345" s="845"/>
      <c r="AZ345" s="846"/>
      <c r="BA345" s="846"/>
      <c r="BB345" s="846"/>
      <c r="BC345" s="846"/>
      <c r="BD345" s="846"/>
      <c r="BE345" s="847"/>
      <c r="BF345" s="520">
        <f>'C19RM 2021-Lab &amp; Other HPS'!$U345+'C19RM 2021-Lab &amp; Other HPS'!$AB345+'C19RM 2021-Lab &amp; Other HPS'!$AP345+'C19RM 2021-Lab &amp; Other HPS'!$AI345+AW345+BD345</f>
        <v>0</v>
      </c>
      <c r="BG345" s="513">
        <f>'C19RM 2021-Lab &amp; Other HPS'!$V345+'C19RM 2021-Lab &amp; Other HPS'!$AC345+'C19RM 2021-Lab &amp; Other HPS'!$AQ345+'C19RM 2021-Lab &amp; Other HPS'!$AJ345+AX345+BE345</f>
        <v>0</v>
      </c>
      <c r="BH345" s="500" t="str" cm="1">
        <f t="array" ref="BH345">IF(A345&lt;&gt;"",IFERROR(INDEX(PMtbl[[WKst]:[Unit of measure*]],MATCH($A$330&amp;$A345&amp;$E345&amp;$I345,INDEX(PMtbl[Sec]&amp;PMtbl[Category]&amp;PMtbl[Each]&amp;PMtbl[Packaging],0,),0),11),""),"")</f>
        <v/>
      </c>
      <c r="BI345" s="819"/>
      <c r="BJ345" s="502" t="str" cm="1">
        <f t="array" ref="BJ345">IFERROR(INDEX(SETUP!$C$19:$G$121,MATCH((INDEX(PMtbl[[WKst]:[Unit of measure*]],MATCH($A345&amp;$E345&amp;$I345,INDEX(PMtbl[Category]&amp;PMtbl[Each]&amp;PMtbl[Packaging],0,),0),3)),SETUP!$D$19:$D$121,0),5),"")</f>
        <v/>
      </c>
      <c r="BK345" s="570" t="str" cm="1">
        <f t="array" ref="BK345">IFERROR(IF((INDEX(SETUP!$C$19:$G$121,MATCH((INDEX(PMtbl[[WKst]:[Unit of measure*]],MATCH($A345&amp;$E345&amp;$I345,INDEX(PMtbl[Category]&amp;PMtbl[Each]&amp;PMtbl[Packaging],0,),0),3)),SETUP!$D$19:$D$121,0),4))="Upfront",0,INDEX(SETUP!$C$19:$G$121,MATCH((INDEX(PMtbl[[WKst]:[Unit of measure*]],MATCH($A345&amp;$E345&amp;$I345,INDEX(PMtbl[Category]&amp;PMtbl[Each]&amp;PMtbl[Packaging],0,),0),3)),SETUP!$D$19:$D$121,0),5)),"")</f>
        <v/>
      </c>
      <c r="BL345" s="563" t="str" cm="1">
        <f t="array" ref="BL345">IF(E345&lt;&gt;"",IFERROR(INDEX(PMtbl[[WKst]:[Unit of measure*]],MATCH($A$330&amp;$A345&amp;$E345&amp;$I345,INDEX(PMtbl[Sec]&amp;PMtbl[Category]&amp;PMtbl[Each]&amp;PMtbl[Packaging],0,),0),11),""),"")</f>
        <v/>
      </c>
      <c r="BO345" s="448">
        <f>IF(N345="",0,IF(SETUP!$E$7="USD",((IF(O345="USD",P345,(P345/'Master Data-C19RM'!$C$2)))),((IF(O345="EUR",P345,(P345*'Master Data-C19RM'!$C$2))))))</f>
        <v>0</v>
      </c>
      <c r="BP345" s="448">
        <f>IF(N345="",0,IF(SETUP!$E$7="USD",((IF(O345="USD",W345,(W345/'Master Data-C19RM'!$D$2)))),((IF(O345="EUR",W345,(W345*'Master Data-C19RM'!$D$2))))))</f>
        <v>0</v>
      </c>
      <c r="BQ345" s="470">
        <f>IF(N345="",0,IF(SETUP!$E$7="USD",((IF(O345="USD",AD345,(AD345/'Master Data-C19RM'!$E$2)))),((IF(O345="EUR",AD345,(AD345*'Master Data-C19RM'!$E$2))))))</f>
        <v>0</v>
      </c>
      <c r="BR345" s="470">
        <f>IF(N345="",0,IF(SETUP!$E$7="USD",((IF(O345="USD",AK345,(AK345/'Master Data-C19RM'!$F$2)))),((IF(O345="EUR",AK345,(AK345*'Master Data-C19RM'!$F$2))))))</f>
        <v>0</v>
      </c>
      <c r="BS345" s="470">
        <f>IF(N345="",0,IF(SETUP!$E$7="USD",((IF(O345="USD",AR345,(AR345/'Master Data-C19RM'!$G$2)))),((IF(O345="EUR",AR345,(AR345*'Master Data-C19RM'!$G$2))))))</f>
        <v>0</v>
      </c>
      <c r="BT345" s="470">
        <f>IF(N345="",0,IF(SETUP!$E$7="USD",((IF(O345="USD",AY345,(AY345/'Master Data-C19RM'!$H$2)))),((IF(O345="EUR",AY345,(AY345*'Master Data-C19RM'!$H$2))))))</f>
        <v>0</v>
      </c>
      <c r="BU345" s="448">
        <f t="shared" si="45"/>
        <v>0</v>
      </c>
      <c r="BV345" s="562">
        <f t="shared" si="46"/>
        <v>0</v>
      </c>
      <c r="BW345" s="470"/>
      <c r="BX345" s="470"/>
      <c r="BY345" s="470"/>
      <c r="BZ345" s="470"/>
      <c r="CA345" s="470"/>
      <c r="CB345" s="470"/>
      <c r="CC345" s="470"/>
      <c r="CD345" s="470"/>
      <c r="CE345" s="470"/>
      <c r="CF345" s="470"/>
      <c r="CG345" s="470"/>
      <c r="CH345" s="470"/>
      <c r="CI345" s="470"/>
      <c r="CJ345" s="470"/>
      <c r="CK345" s="470"/>
      <c r="CL345" s="470"/>
      <c r="CM345" s="470"/>
      <c r="CN345" s="470"/>
      <c r="CO345" s="470"/>
      <c r="CP345" s="470"/>
    </row>
    <row r="346" spans="1:94" s="448" customFormat="1" ht="14" x14ac:dyDescent="0.3">
      <c r="A346" s="1192"/>
      <c r="B346" s="1192"/>
      <c r="C346" s="1192"/>
      <c r="D346" s="1192"/>
      <c r="E346" s="1173"/>
      <c r="F346" s="1173"/>
      <c r="G346" s="1173"/>
      <c r="H346" s="1173"/>
      <c r="I346" s="1173"/>
      <c r="J346" s="1173"/>
      <c r="K346" s="1173"/>
      <c r="L346" s="493" t="str" cm="1">
        <f t="array" ref="L346">IF(A346&lt;&gt;"",IFERROR(INDEX(PMtbl[[WKst]:[Unit of measure*]],MATCH($A$330&amp;$A346&amp;$E346&amp;$I346,INDEX(PMtbl[Sec]&amp;PMtbl[Category]&amp;PMtbl[Each]&amp;PMtbl[Packaging],0,),0),14),""),"")</f>
        <v/>
      </c>
      <c r="M346" s="480" t="str">
        <f>IF(L346="","",INDEX(SETUP!$E$20:$E$122,(MATCH(INDEX(PMsheet!$D:$E,MATCH(A346,PMsheet!E:E,0),1),SETUP!$D$20:$D$122,0))))</f>
        <v/>
      </c>
      <c r="N346" s="494">
        <f>IF($O346="USD",_xlfn.IFNA(VLOOKUP(A346&amp;E346&amp;I346,PMsheet!J:K,2,0),0),(_xlfn.IFNA(VLOOKUP(A346&amp;E346&amp;I346,PMsheet!J:K,2,0),0)*'Master Data-C19RM'!$C$2))</f>
        <v>0</v>
      </c>
      <c r="O346" s="495" t="str">
        <f>IF(L346="", "",SETUP!$E$7)</f>
        <v/>
      </c>
      <c r="P346" s="445">
        <f>IF($O346="USD",_xlfn.IFNA(VLOOKUP($A346&amp;$E346&amp;$I346,PMsheet!$J:$K,2,0),0),(_xlfn.IFNA(VLOOKUP($A346&amp;$E346&amp;$I346,PMsheet!$J:$K,2,0),0)*'Master Data-C19RM'!$C$2))</f>
        <v>0</v>
      </c>
      <c r="Q346" s="440"/>
      <c r="R346" s="440"/>
      <c r="S346" s="440"/>
      <c r="T346" s="440"/>
      <c r="U346" s="482">
        <f t="shared" si="44"/>
        <v>0</v>
      </c>
      <c r="V346" s="484">
        <f>IF(SETUP!$E$7="USD",(U346*(IF(O346="USD",P346,(P346/'Master Data-C19RM'!$C$2)))),(U346*(IF(O346="EUR",P346,(P346*'Master Data-C19RM'!$C$2)))))</f>
        <v>0</v>
      </c>
      <c r="W346" s="445">
        <f>IF($O346="USD",_xlfn.IFNA(VLOOKUP($A346&amp;$E346&amp;$I346,PMsheet!$J:$K,2,0),0),(_xlfn.IFNA(VLOOKUP($A346&amp;$E346&amp;$I346,PMsheet!$J:$K,2,0),0)*'Master Data-C19RM'!$D$2))</f>
        <v>0</v>
      </c>
      <c r="X346" s="440"/>
      <c r="Y346" s="440"/>
      <c r="Z346" s="440"/>
      <c r="AA346" s="440"/>
      <c r="AB346" s="482">
        <f t="shared" si="47"/>
        <v>0</v>
      </c>
      <c r="AC346" s="484">
        <f>IF(SETUP!$E$7="USD",(AB346*(IF(O346="USD",W346,(W346/'Master Data-C19RM'!$D$2)))),(AB346*(IF(O346="EUR",W346,(W346*'Master Data-C19RM'!$D$2)))))</f>
        <v>0</v>
      </c>
      <c r="AD346" s="445">
        <f>IF($O346="USD",_xlfn.IFNA(VLOOKUP($A346&amp;$E346&amp;$I346,PMsheet!$J:$K,2,0),0),(_xlfn.IFNA(VLOOKUP($A346&amp;$E346&amp;$I346,PMsheet!$J:$K,2,0),0)*'Master Data-C19RM'!$E$2))</f>
        <v>0</v>
      </c>
      <c r="AE346" s="440"/>
      <c r="AF346" s="440"/>
      <c r="AG346" s="440"/>
      <c r="AH346" s="440"/>
      <c r="AI346" s="514">
        <f t="shared" si="48"/>
        <v>0</v>
      </c>
      <c r="AJ346" s="515">
        <f>IF(SETUP!$E$7="USD",(AI346*(IF(O346="USD",AD346,(AD346/'Master Data-C19RM'!$E$2)))),(AI346*(IF(O346="EUR",AD346,(AD346*'Master Data-C19RM'!$E$2)))))</f>
        <v>0</v>
      </c>
      <c r="AK346" s="445">
        <f>IF($O346="USD",_xlfn.IFNA(VLOOKUP($A346&amp;$E346&amp;$I346,PMsheet!$J:$K,2,0),0),(_xlfn.IFNA(VLOOKUP($A346&amp;$E346&amp;$I346,PMsheet!$J:$K,2,0),0)*'Master Data-C19RM'!$F$2))</f>
        <v>0</v>
      </c>
      <c r="AL346" s="440"/>
      <c r="AM346" s="440"/>
      <c r="AN346" s="440"/>
      <c r="AO346" s="440"/>
      <c r="AP346" s="514">
        <f t="shared" si="49"/>
        <v>0</v>
      </c>
      <c r="AQ346" s="515">
        <f>IF(SETUP!$E$7="USD",(AP346*(IF(O346="USD",AK346,(AK346/'Master Data-C19RM'!$F$2)))),(AP346*(IF(O346="EUR",AK346,(AK346*'Master Data-C19RM'!$F$2)))))</f>
        <v>0</v>
      </c>
      <c r="AR346" s="925">
        <f>IF($O346="USD",_xlfn.IFNA(VLOOKUP($A346&amp;$E346&amp;$I346,PMsheet!$J:$K,2,0),0),(_xlfn.IFNA(VLOOKUP($A346&amp;$E346&amp;$I346,PMsheet!$J:$K,2,0),0)*'Master Data-C19RM'!$G$2))</f>
        <v>0</v>
      </c>
      <c r="AS346" s="926"/>
      <c r="AT346" s="926"/>
      <c r="AU346" s="926"/>
      <c r="AV346" s="926"/>
      <c r="AW346" s="514">
        <f t="shared" si="50"/>
        <v>0</v>
      </c>
      <c r="AX346" s="514">
        <f>IF(SETUP!$E$7="USD",(AW346*(IF(O346="USD",AR346,(AR346/'Master Data-C19RM'!$G$2)))),(AW346*(IF(O346="EUR",AR346,(AR346*'Master Data-C19RM'!$G$2)))))</f>
        <v>0</v>
      </c>
      <c r="AY346" s="845"/>
      <c r="AZ346" s="846"/>
      <c r="BA346" s="846"/>
      <c r="BB346" s="846"/>
      <c r="BC346" s="846"/>
      <c r="BD346" s="846"/>
      <c r="BE346" s="847"/>
      <c r="BF346" s="521">
        <f>'C19RM 2021-Lab &amp; Other HPS'!$U346+'C19RM 2021-Lab &amp; Other HPS'!$AB346+'C19RM 2021-Lab &amp; Other HPS'!$AP346+'C19RM 2021-Lab &amp; Other HPS'!$AI346+AW346+BD346</f>
        <v>0</v>
      </c>
      <c r="BG346" s="515">
        <f>'C19RM 2021-Lab &amp; Other HPS'!$V346+'C19RM 2021-Lab &amp; Other HPS'!$AC346+'C19RM 2021-Lab &amp; Other HPS'!$AQ346+'C19RM 2021-Lab &amp; Other HPS'!$AJ346+AX346+BE346</f>
        <v>0</v>
      </c>
      <c r="BH346" s="522" t="str" cm="1">
        <f t="array" ref="BH346">IF(A346&lt;&gt;"",IFERROR(INDEX(PMtbl[[WKst]:[Unit of measure*]],MATCH($A$330&amp;$A346&amp;$E346&amp;$I346,INDEX(PMtbl[Sec]&amp;PMtbl[Category]&amp;PMtbl[Each]&amp;PMtbl[Packaging],0,),0),11),""),"")</f>
        <v/>
      </c>
      <c r="BI346" s="818"/>
      <c r="BJ346" s="503" t="str" cm="1">
        <f t="array" ref="BJ346">IFERROR(INDEX(SETUP!$C$19:$G$121,MATCH((INDEX(PMtbl[[WKst]:[Unit of measure*]],MATCH($A346&amp;$E346&amp;$I346,INDEX(PMtbl[Category]&amp;PMtbl[Each]&amp;PMtbl[Packaging],0,),0),3)),SETUP!$D$19:$D$121,0),5),"")</f>
        <v/>
      </c>
      <c r="BK346" s="569" t="str" cm="1">
        <f t="array" ref="BK346">IFERROR(IF((INDEX(SETUP!$C$19:$G$121,MATCH((INDEX(PMtbl[[WKst]:[Unit of measure*]],MATCH($A346&amp;$E346&amp;$I346,INDEX(PMtbl[Category]&amp;PMtbl[Each]&amp;PMtbl[Packaging],0,),0),3)),SETUP!$D$19:$D$121,0),4))="Upfront",0,INDEX(SETUP!$C$19:$G$121,MATCH((INDEX(PMtbl[[WKst]:[Unit of measure*]],MATCH($A346&amp;$E346&amp;$I346,INDEX(PMtbl[Category]&amp;PMtbl[Each]&amp;PMtbl[Packaging],0,),0),3)),SETUP!$D$19:$D$121,0),5)),"")</f>
        <v/>
      </c>
      <c r="BL346" s="564" t="str" cm="1">
        <f t="array" ref="BL346">IF(E346&lt;&gt;"",IFERROR(INDEX(PMtbl[[WKst]:[Unit of measure*]],MATCH($A$330&amp;$A346&amp;$E346&amp;$I346,INDEX(PMtbl[Sec]&amp;PMtbl[Category]&amp;PMtbl[Each]&amp;PMtbl[Packaging],0,),0),11),""),"")</f>
        <v/>
      </c>
      <c r="BO346" s="448">
        <f>IF(N346="",0,IF(SETUP!$E$7="USD",((IF(O346="USD",P346,(P346/'Master Data-C19RM'!$C$2)))),((IF(O346="EUR",P346,(P346*'Master Data-C19RM'!$C$2))))))</f>
        <v>0</v>
      </c>
      <c r="BP346" s="448">
        <f>IF(N346="",0,IF(SETUP!$E$7="USD",((IF(O346="USD",W346,(W346/'Master Data-C19RM'!$D$2)))),((IF(O346="EUR",W346,(W346*'Master Data-C19RM'!$D$2))))))</f>
        <v>0</v>
      </c>
      <c r="BQ346" s="470">
        <f>IF(N346="",0,IF(SETUP!$E$7="USD",((IF(O346="USD",AD346,(AD346/'Master Data-C19RM'!$E$2)))),((IF(O346="EUR",AD346,(AD346*'Master Data-C19RM'!$E$2))))))</f>
        <v>0</v>
      </c>
      <c r="BR346" s="470">
        <f>IF(N346="",0,IF(SETUP!$E$7="USD",((IF(O346="USD",AK346,(AK346/'Master Data-C19RM'!$F$2)))),((IF(O346="EUR",AK346,(AK346*'Master Data-C19RM'!$F$2))))))</f>
        <v>0</v>
      </c>
      <c r="BS346" s="470">
        <f>IF(N346="",0,IF(SETUP!$E$7="USD",((IF(O346="USD",AR346,(AR346/'Master Data-C19RM'!$G$2)))),((IF(O346="EUR",AR346,(AR346*'Master Data-C19RM'!$G$2))))))</f>
        <v>0</v>
      </c>
      <c r="BT346" s="470">
        <f>IF(N346="",0,IF(SETUP!$E$7="USD",((IF(O346="USD",AY346,(AY346/'Master Data-C19RM'!$H$2)))),((IF(O346="EUR",AY346,(AY346*'Master Data-C19RM'!$H$2))))))</f>
        <v>0</v>
      </c>
      <c r="BU346" s="448">
        <f t="shared" si="45"/>
        <v>0</v>
      </c>
      <c r="BV346" s="562">
        <f t="shared" si="46"/>
        <v>0</v>
      </c>
      <c r="BW346" s="470"/>
      <c r="BX346" s="470"/>
      <c r="BY346" s="470"/>
      <c r="BZ346" s="470"/>
      <c r="CA346" s="470"/>
      <c r="CB346" s="470"/>
      <c r="CC346" s="470"/>
      <c r="CD346" s="470"/>
      <c r="CE346" s="470"/>
      <c r="CF346" s="470"/>
      <c r="CG346" s="470"/>
      <c r="CH346" s="470"/>
      <c r="CI346" s="470"/>
      <c r="CJ346" s="470"/>
      <c r="CK346" s="470"/>
      <c r="CL346" s="470"/>
      <c r="CM346" s="470"/>
      <c r="CN346" s="470"/>
      <c r="CO346" s="470"/>
      <c r="CP346" s="470"/>
    </row>
    <row r="347" spans="1:94" s="448" customFormat="1" ht="14" x14ac:dyDescent="0.3">
      <c r="A347" s="1165"/>
      <c r="B347" s="1165"/>
      <c r="C347" s="1165"/>
      <c r="D347" s="1165"/>
      <c r="E347" s="1166"/>
      <c r="F347" s="1166"/>
      <c r="G347" s="1166"/>
      <c r="H347" s="1166"/>
      <c r="I347" s="1166"/>
      <c r="J347" s="1166"/>
      <c r="K347" s="1166"/>
      <c r="L347" s="490" t="str" cm="1">
        <f t="array" ref="L347">IF(A347&lt;&gt;"",IFERROR(INDEX(PMtbl[[WKst]:[Unit of measure*]],MATCH($A$330&amp;$A347&amp;$E347&amp;$I347,INDEX(PMtbl[Sec]&amp;PMtbl[Category]&amp;PMtbl[Each]&amp;PMtbl[Packaging],0,),0),14),""),"")</f>
        <v/>
      </c>
      <c r="M347" s="479" t="str">
        <f>IF(L347="","",INDEX(SETUP!$E$20:$E$122,(MATCH(INDEX(PMsheet!$D:$E,MATCH(A347,PMsheet!E:E,0),1),SETUP!$D$20:$D$122,0))))</f>
        <v/>
      </c>
      <c r="N347" s="491">
        <f>IF($O347="USD",_xlfn.IFNA(VLOOKUP(A347&amp;E347&amp;I347,PMsheet!J:K,2,0),0),(_xlfn.IFNA(VLOOKUP(A347&amp;E347&amp;I347,PMsheet!J:K,2,0),0)*'Master Data-C19RM'!$C$2))</f>
        <v>0</v>
      </c>
      <c r="O347" s="492" t="str">
        <f>IF(L347="", "",SETUP!$E$7)</f>
        <v/>
      </c>
      <c r="P347" s="444">
        <f>IF($O347="USD",_xlfn.IFNA(VLOOKUP($A347&amp;$E347&amp;$I347,PMsheet!$J:$K,2,0),0),(_xlfn.IFNA(VLOOKUP($A347&amp;$E347&amp;$I347,PMsheet!$J:$K,2,0),0)*'Master Data-C19RM'!$C$2))</f>
        <v>0</v>
      </c>
      <c r="Q347" s="441"/>
      <c r="R347" s="441"/>
      <c r="S347" s="441"/>
      <c r="T347" s="441"/>
      <c r="U347" s="481">
        <f t="shared" si="44"/>
        <v>0</v>
      </c>
      <c r="V347" s="483">
        <f>IF(SETUP!$E$7="USD",(U347*(IF(O347="USD",P347,(P347/'Master Data-C19RM'!$C$2)))),(U347*(IF(O347="EUR",P347,(P347*'Master Data-C19RM'!$C$2)))))</f>
        <v>0</v>
      </c>
      <c r="W347" s="444">
        <f>IF($O347="USD",_xlfn.IFNA(VLOOKUP($A347&amp;$E347&amp;$I347,PMsheet!$J:$K,2,0),0),(_xlfn.IFNA(VLOOKUP($A347&amp;$E347&amp;$I347,PMsheet!$J:$K,2,0),0)*'Master Data-C19RM'!$D$2))</f>
        <v>0</v>
      </c>
      <c r="X347" s="441"/>
      <c r="Y347" s="441"/>
      <c r="Z347" s="441"/>
      <c r="AA347" s="441"/>
      <c r="AB347" s="481">
        <f t="shared" si="47"/>
        <v>0</v>
      </c>
      <c r="AC347" s="483">
        <f>IF(SETUP!$E$7="USD",(AB347*(IF(O347="USD",W347,(W347/'Master Data-C19RM'!$D$2)))),(AB347*(IF(O347="EUR",W347,(W347*'Master Data-C19RM'!$D$2)))))</f>
        <v>0</v>
      </c>
      <c r="AD347" s="444">
        <f>IF($O347="USD",_xlfn.IFNA(VLOOKUP($A347&amp;$E347&amp;$I347,PMsheet!$J:$K,2,0),0),(_xlfn.IFNA(VLOOKUP($A347&amp;$E347&amp;$I347,PMsheet!$J:$K,2,0),0)*'Master Data-C19RM'!$E$2))</f>
        <v>0</v>
      </c>
      <c r="AE347" s="441"/>
      <c r="AF347" s="441"/>
      <c r="AG347" s="441"/>
      <c r="AH347" s="441"/>
      <c r="AI347" s="512">
        <f t="shared" si="48"/>
        <v>0</v>
      </c>
      <c r="AJ347" s="513">
        <f>IF(SETUP!$E$7="USD",(AI347*(IF(O347="USD",AD347,(AD347/'Master Data-C19RM'!$E$2)))),(AI347*(IF(O347="EUR",AD347,(AD347*'Master Data-C19RM'!$E$2)))))</f>
        <v>0</v>
      </c>
      <c r="AK347" s="444">
        <f>IF($O347="USD",_xlfn.IFNA(VLOOKUP($A347&amp;$E347&amp;$I347,PMsheet!$J:$K,2,0),0),(_xlfn.IFNA(VLOOKUP($A347&amp;$E347&amp;$I347,PMsheet!$J:$K,2,0),0)*'Master Data-C19RM'!$F$2))</f>
        <v>0</v>
      </c>
      <c r="AL347" s="441"/>
      <c r="AM347" s="441"/>
      <c r="AN347" s="441"/>
      <c r="AO347" s="441"/>
      <c r="AP347" s="512">
        <f t="shared" si="49"/>
        <v>0</v>
      </c>
      <c r="AQ347" s="513">
        <f>IF(SETUP!$E$7="USD",(AP347*(IF(O347="USD",AK347,(AK347/'Master Data-C19RM'!$F$2)))),(AP347*(IF(O347="EUR",AK347,(AK347*'Master Data-C19RM'!$F$2)))))</f>
        <v>0</v>
      </c>
      <c r="AR347" s="924">
        <f>IF($O347="USD",_xlfn.IFNA(VLOOKUP($A347&amp;$E347&amp;$I347,PMsheet!$J:$K,2,0),0),(_xlfn.IFNA(VLOOKUP($A347&amp;$E347&amp;$I347,PMsheet!$J:$K,2,0),0)*'Master Data-C19RM'!$G$2))</f>
        <v>0</v>
      </c>
      <c r="AS347" s="572"/>
      <c r="AT347" s="572"/>
      <c r="AU347" s="572"/>
      <c r="AV347" s="572"/>
      <c r="AW347" s="512">
        <f t="shared" si="50"/>
        <v>0</v>
      </c>
      <c r="AX347" s="512">
        <f>IF(SETUP!$E$7="USD",(AW347*(IF(O347="USD",AR347,(AR347/'Master Data-C19RM'!$G$2)))),(AW347*(IF(O347="EUR",AR347,(AR347*'Master Data-C19RM'!$G$2)))))</f>
        <v>0</v>
      </c>
      <c r="AY347" s="845"/>
      <c r="AZ347" s="846"/>
      <c r="BA347" s="846"/>
      <c r="BB347" s="846"/>
      <c r="BC347" s="846"/>
      <c r="BD347" s="846"/>
      <c r="BE347" s="847"/>
      <c r="BF347" s="520">
        <f>'C19RM 2021-Lab &amp; Other HPS'!$U347+'C19RM 2021-Lab &amp; Other HPS'!$AB347+'C19RM 2021-Lab &amp; Other HPS'!$AP347+'C19RM 2021-Lab &amp; Other HPS'!$AI347+AW347+BD347</f>
        <v>0</v>
      </c>
      <c r="BG347" s="513">
        <f>'C19RM 2021-Lab &amp; Other HPS'!$V347+'C19RM 2021-Lab &amp; Other HPS'!$AC347+'C19RM 2021-Lab &amp; Other HPS'!$AQ347+'C19RM 2021-Lab &amp; Other HPS'!$AJ347+AX347+BE347</f>
        <v>0</v>
      </c>
      <c r="BH347" s="500" t="str" cm="1">
        <f t="array" ref="BH347">IF(A347&lt;&gt;"",IFERROR(INDEX(PMtbl[[WKst]:[Unit of measure*]],MATCH($A$330&amp;$A347&amp;$E347&amp;$I347,INDEX(PMtbl[Sec]&amp;PMtbl[Category]&amp;PMtbl[Each]&amp;PMtbl[Packaging],0,),0),11),""),"")</f>
        <v/>
      </c>
      <c r="BI347" s="819"/>
      <c r="BJ347" s="502" t="str" cm="1">
        <f t="array" ref="BJ347">IFERROR(INDEX(SETUP!$C$19:$G$121,MATCH((INDEX(PMtbl[[WKst]:[Unit of measure*]],MATCH($A347&amp;$E347&amp;$I347,INDEX(PMtbl[Category]&amp;PMtbl[Each]&amp;PMtbl[Packaging],0,),0),3)),SETUP!$D$19:$D$121,0),5),"")</f>
        <v/>
      </c>
      <c r="BK347" s="570" t="str" cm="1">
        <f t="array" ref="BK347">IFERROR(IF((INDEX(SETUP!$C$19:$G$121,MATCH((INDEX(PMtbl[[WKst]:[Unit of measure*]],MATCH($A347&amp;$E347&amp;$I347,INDEX(PMtbl[Category]&amp;PMtbl[Each]&amp;PMtbl[Packaging],0,),0),3)),SETUP!$D$19:$D$121,0),4))="Upfront",0,INDEX(SETUP!$C$19:$G$121,MATCH((INDEX(PMtbl[[WKst]:[Unit of measure*]],MATCH($A347&amp;$E347&amp;$I347,INDEX(PMtbl[Category]&amp;PMtbl[Each]&amp;PMtbl[Packaging],0,),0),3)),SETUP!$D$19:$D$121,0),5)),"")</f>
        <v/>
      </c>
      <c r="BL347" s="563" t="str" cm="1">
        <f t="array" ref="BL347">IF(E347&lt;&gt;"",IFERROR(INDEX(PMtbl[[WKst]:[Unit of measure*]],MATCH($A$330&amp;$A347&amp;$E347&amp;$I347,INDEX(PMtbl[Sec]&amp;PMtbl[Category]&amp;PMtbl[Each]&amp;PMtbl[Packaging],0,),0),11),""),"")</f>
        <v/>
      </c>
      <c r="BO347" s="448">
        <f>IF(N347="",0,IF(SETUP!$E$7="USD",((IF(O347="USD",P347,(P347/'Master Data-C19RM'!$C$2)))),((IF(O347="EUR",P347,(P347*'Master Data-C19RM'!$C$2))))))</f>
        <v>0</v>
      </c>
      <c r="BP347" s="448">
        <f>IF(N347="",0,IF(SETUP!$E$7="USD",((IF(O347="USD",W347,(W347/'Master Data-C19RM'!$D$2)))),((IF(O347="EUR",W347,(W347*'Master Data-C19RM'!$D$2))))))</f>
        <v>0</v>
      </c>
      <c r="BQ347" s="470">
        <f>IF(N347="",0,IF(SETUP!$E$7="USD",((IF(O347="USD",AD347,(AD347/'Master Data-C19RM'!$E$2)))),((IF(O347="EUR",AD347,(AD347*'Master Data-C19RM'!$E$2))))))</f>
        <v>0</v>
      </c>
      <c r="BR347" s="470">
        <f>IF(N347="",0,IF(SETUP!$E$7="USD",((IF(O347="USD",AK347,(AK347/'Master Data-C19RM'!$F$2)))),((IF(O347="EUR",AK347,(AK347*'Master Data-C19RM'!$F$2))))))</f>
        <v>0</v>
      </c>
      <c r="BS347" s="470">
        <f>IF(N347="",0,IF(SETUP!$E$7="USD",((IF(O347="USD",AR347,(AR347/'Master Data-C19RM'!$G$2)))),((IF(O347="EUR",AR347,(AR347*'Master Data-C19RM'!$G$2))))))</f>
        <v>0</v>
      </c>
      <c r="BT347" s="470">
        <f>IF(N347="",0,IF(SETUP!$E$7="USD",((IF(O347="USD",AY347,(AY347/'Master Data-C19RM'!$H$2)))),((IF(O347="EUR",AY347,(AY347*'Master Data-C19RM'!$H$2))))))</f>
        <v>0</v>
      </c>
      <c r="BU347" s="448">
        <f t="shared" si="45"/>
        <v>0</v>
      </c>
      <c r="BV347" s="562">
        <f t="shared" si="46"/>
        <v>0</v>
      </c>
      <c r="BW347" s="470"/>
      <c r="BX347" s="470"/>
      <c r="BY347" s="470"/>
      <c r="BZ347" s="470"/>
      <c r="CA347" s="470"/>
      <c r="CB347" s="470"/>
      <c r="CC347" s="470"/>
      <c r="CD347" s="470"/>
      <c r="CE347" s="470"/>
      <c r="CF347" s="470"/>
      <c r="CG347" s="470"/>
      <c r="CH347" s="470"/>
      <c r="CI347" s="470"/>
      <c r="CJ347" s="470"/>
      <c r="CK347" s="470"/>
      <c r="CL347" s="470"/>
      <c r="CM347" s="470"/>
      <c r="CN347" s="470"/>
      <c r="CO347" s="470"/>
      <c r="CP347" s="470"/>
    </row>
    <row r="348" spans="1:94" s="448" customFormat="1" ht="14" x14ac:dyDescent="0.3">
      <c r="A348" s="1192"/>
      <c r="B348" s="1192"/>
      <c r="C348" s="1192"/>
      <c r="D348" s="1192"/>
      <c r="E348" s="1173"/>
      <c r="F348" s="1173"/>
      <c r="G348" s="1173"/>
      <c r="H348" s="1173"/>
      <c r="I348" s="1173"/>
      <c r="J348" s="1173"/>
      <c r="K348" s="1173"/>
      <c r="L348" s="493" t="str" cm="1">
        <f t="array" ref="L348">IF(A348&lt;&gt;"",IFERROR(INDEX(PMtbl[[WKst]:[Unit of measure*]],MATCH($A$330&amp;$A348&amp;$E348&amp;$I348,INDEX(PMtbl[Sec]&amp;PMtbl[Category]&amp;PMtbl[Each]&amp;PMtbl[Packaging],0,),0),14),""),"")</f>
        <v/>
      </c>
      <c r="M348" s="480" t="str">
        <f>IF(L348="","",INDEX(SETUP!$E$20:$E$122,(MATCH(INDEX(PMsheet!$D:$E,MATCH(A348,PMsheet!E:E,0),1),SETUP!$D$20:$D$122,0))))</f>
        <v/>
      </c>
      <c r="N348" s="494">
        <f>IF($O348="USD",_xlfn.IFNA(VLOOKUP(A348&amp;E348&amp;I348,PMsheet!J:K,2,0),0),(_xlfn.IFNA(VLOOKUP(A348&amp;E348&amp;I348,PMsheet!J:K,2,0),0)*'Master Data-C19RM'!$C$2))</f>
        <v>0</v>
      </c>
      <c r="O348" s="495" t="str">
        <f>IF(L348="", "",SETUP!$E$7)</f>
        <v/>
      </c>
      <c r="P348" s="445">
        <f>IF($O348="USD",_xlfn.IFNA(VLOOKUP($A348&amp;$E348&amp;$I348,PMsheet!$J:$K,2,0),0),(_xlfn.IFNA(VLOOKUP($A348&amp;$E348&amp;$I348,PMsheet!$J:$K,2,0),0)*'Master Data-C19RM'!$C$2))</f>
        <v>0</v>
      </c>
      <c r="Q348" s="440"/>
      <c r="R348" s="440"/>
      <c r="S348" s="440"/>
      <c r="T348" s="440"/>
      <c r="U348" s="482">
        <f t="shared" si="44"/>
        <v>0</v>
      </c>
      <c r="V348" s="484">
        <f>IF(SETUP!$E$7="USD",(U348*(IF(O348="USD",P348,(P348/'Master Data-C19RM'!$C$2)))),(U348*(IF(O348="EUR",P348,(P348*'Master Data-C19RM'!$C$2)))))</f>
        <v>0</v>
      </c>
      <c r="W348" s="445">
        <f>IF($O348="USD",_xlfn.IFNA(VLOOKUP($A348&amp;$E348&amp;$I348,PMsheet!$J:$K,2,0),0),(_xlfn.IFNA(VLOOKUP($A348&amp;$E348&amp;$I348,PMsheet!$J:$K,2,0),0)*'Master Data-C19RM'!$D$2))</f>
        <v>0</v>
      </c>
      <c r="X348" s="440"/>
      <c r="Y348" s="440"/>
      <c r="Z348" s="440"/>
      <c r="AA348" s="440"/>
      <c r="AB348" s="482">
        <f t="shared" si="47"/>
        <v>0</v>
      </c>
      <c r="AC348" s="484">
        <f>IF(SETUP!$E$7="USD",(AB348*(IF(O348="USD",W348,(W348/'Master Data-C19RM'!$D$2)))),(AB348*(IF(O348="EUR",W348,(W348*'Master Data-C19RM'!$D$2)))))</f>
        <v>0</v>
      </c>
      <c r="AD348" s="445">
        <f>IF($O348="USD",_xlfn.IFNA(VLOOKUP($A348&amp;$E348&amp;$I348,PMsheet!$J:$K,2,0),0),(_xlfn.IFNA(VLOOKUP($A348&amp;$E348&amp;$I348,PMsheet!$J:$K,2,0),0)*'Master Data-C19RM'!$E$2))</f>
        <v>0</v>
      </c>
      <c r="AE348" s="440"/>
      <c r="AF348" s="440"/>
      <c r="AG348" s="440"/>
      <c r="AH348" s="440"/>
      <c r="AI348" s="514">
        <f t="shared" si="48"/>
        <v>0</v>
      </c>
      <c r="AJ348" s="515">
        <f>IF(SETUP!$E$7="USD",(AI348*(IF(O348="USD",AD348,(AD348/'Master Data-C19RM'!$E$2)))),(AI348*(IF(O348="EUR",AD348,(AD348*'Master Data-C19RM'!$E$2)))))</f>
        <v>0</v>
      </c>
      <c r="AK348" s="445">
        <f>IF($O348="USD",_xlfn.IFNA(VLOOKUP($A348&amp;$E348&amp;$I348,PMsheet!$J:$K,2,0),0),(_xlfn.IFNA(VLOOKUP($A348&amp;$E348&amp;$I348,PMsheet!$J:$K,2,0),0)*'Master Data-C19RM'!$F$2))</f>
        <v>0</v>
      </c>
      <c r="AL348" s="440"/>
      <c r="AM348" s="440"/>
      <c r="AN348" s="440"/>
      <c r="AO348" s="440"/>
      <c r="AP348" s="514">
        <f t="shared" si="49"/>
        <v>0</v>
      </c>
      <c r="AQ348" s="515">
        <f>IF(SETUP!$E$7="USD",(AP348*(IF(O348="USD",AK348,(AK348/'Master Data-C19RM'!$F$2)))),(AP348*(IF(O348="EUR",AK348,(AK348*'Master Data-C19RM'!$F$2)))))</f>
        <v>0</v>
      </c>
      <c r="AR348" s="925">
        <f>IF($O348="USD",_xlfn.IFNA(VLOOKUP($A348&amp;$E348&amp;$I348,PMsheet!$J:$K,2,0),0),(_xlfn.IFNA(VLOOKUP($A348&amp;$E348&amp;$I348,PMsheet!$J:$K,2,0),0)*'Master Data-C19RM'!$G$2))</f>
        <v>0</v>
      </c>
      <c r="AS348" s="926"/>
      <c r="AT348" s="926"/>
      <c r="AU348" s="926"/>
      <c r="AV348" s="926"/>
      <c r="AW348" s="514">
        <f t="shared" si="50"/>
        <v>0</v>
      </c>
      <c r="AX348" s="514">
        <f>IF(SETUP!$E$7="USD",(AW348*(IF(O348="USD",AR348,(AR348/'Master Data-C19RM'!$G$2)))),(AW348*(IF(O348="EUR",AR348,(AR348*'Master Data-C19RM'!$G$2)))))</f>
        <v>0</v>
      </c>
      <c r="AY348" s="845"/>
      <c r="AZ348" s="846"/>
      <c r="BA348" s="846"/>
      <c r="BB348" s="846"/>
      <c r="BC348" s="846"/>
      <c r="BD348" s="846"/>
      <c r="BE348" s="847"/>
      <c r="BF348" s="521">
        <f>'C19RM 2021-Lab &amp; Other HPS'!$U348+'C19RM 2021-Lab &amp; Other HPS'!$AB348+'C19RM 2021-Lab &amp; Other HPS'!$AP348+'C19RM 2021-Lab &amp; Other HPS'!$AI348+AW348+BD348</f>
        <v>0</v>
      </c>
      <c r="BG348" s="515">
        <f>'C19RM 2021-Lab &amp; Other HPS'!$V348+'C19RM 2021-Lab &amp; Other HPS'!$AC348+'C19RM 2021-Lab &amp; Other HPS'!$AQ348+'C19RM 2021-Lab &amp; Other HPS'!$AJ348+AX348+BE348</f>
        <v>0</v>
      </c>
      <c r="BH348" s="522" t="str" cm="1">
        <f t="array" ref="BH348">IF(A348&lt;&gt;"",IFERROR(INDEX(PMtbl[[WKst]:[Unit of measure*]],MATCH($A$330&amp;$A348&amp;$E348&amp;$I348,INDEX(PMtbl[Sec]&amp;PMtbl[Category]&amp;PMtbl[Each]&amp;PMtbl[Packaging],0,),0),11),""),"")</f>
        <v/>
      </c>
      <c r="BI348" s="818"/>
      <c r="BJ348" s="503" t="str" cm="1">
        <f t="array" ref="BJ348">IFERROR(INDEX(SETUP!$C$19:$G$121,MATCH((INDEX(PMtbl[[WKst]:[Unit of measure*]],MATCH($A348&amp;$E348&amp;$I348,INDEX(PMtbl[Category]&amp;PMtbl[Each]&amp;PMtbl[Packaging],0,),0),3)),SETUP!$D$19:$D$121,0),5),"")</f>
        <v/>
      </c>
      <c r="BK348" s="569" t="str" cm="1">
        <f t="array" ref="BK348">IFERROR(IF((INDEX(SETUP!$C$19:$G$121,MATCH((INDEX(PMtbl[[WKst]:[Unit of measure*]],MATCH($A348&amp;$E348&amp;$I348,INDEX(PMtbl[Category]&amp;PMtbl[Each]&amp;PMtbl[Packaging],0,),0),3)),SETUP!$D$19:$D$121,0),4))="Upfront",0,INDEX(SETUP!$C$19:$G$121,MATCH((INDEX(PMtbl[[WKst]:[Unit of measure*]],MATCH($A348&amp;$E348&amp;$I348,INDEX(PMtbl[Category]&amp;PMtbl[Each]&amp;PMtbl[Packaging],0,),0),3)),SETUP!$D$19:$D$121,0),5)),"")</f>
        <v/>
      </c>
      <c r="BL348" s="564" t="str" cm="1">
        <f t="array" ref="BL348">IF(E348&lt;&gt;"",IFERROR(INDEX(PMtbl[[WKst]:[Unit of measure*]],MATCH($A$330&amp;$A348&amp;$E348&amp;$I348,INDEX(PMtbl[Sec]&amp;PMtbl[Category]&amp;PMtbl[Each]&amp;PMtbl[Packaging],0,),0),11),""),"")</f>
        <v/>
      </c>
      <c r="BO348" s="448">
        <f>IF(N348="",0,IF(SETUP!$E$7="USD",((IF(O348="USD",P348,(P348/'Master Data-C19RM'!$C$2)))),((IF(O348="EUR",P348,(P348*'Master Data-C19RM'!$C$2))))))</f>
        <v>0</v>
      </c>
      <c r="BP348" s="448">
        <f>IF(N348="",0,IF(SETUP!$E$7="USD",((IF(O348="USD",W348,(W348/'Master Data-C19RM'!$D$2)))),((IF(O348="EUR",W348,(W348*'Master Data-C19RM'!$D$2))))))</f>
        <v>0</v>
      </c>
      <c r="BQ348" s="470">
        <f>IF(N348="",0,IF(SETUP!$E$7="USD",((IF(O348="USD",AD348,(AD348/'Master Data-C19RM'!$E$2)))),((IF(O348="EUR",AD348,(AD348*'Master Data-C19RM'!$E$2))))))</f>
        <v>0</v>
      </c>
      <c r="BR348" s="470">
        <f>IF(N348="",0,IF(SETUP!$E$7="USD",((IF(O348="USD",AK348,(AK348/'Master Data-C19RM'!$F$2)))),((IF(O348="EUR",AK348,(AK348*'Master Data-C19RM'!$F$2))))))</f>
        <v>0</v>
      </c>
      <c r="BS348" s="470">
        <f>IF(N348="",0,IF(SETUP!$E$7="USD",((IF(O348="USD",AR348,(AR348/'Master Data-C19RM'!$G$2)))),((IF(O348="EUR",AR348,(AR348*'Master Data-C19RM'!$G$2))))))</f>
        <v>0</v>
      </c>
      <c r="BT348" s="470">
        <f>IF(N348="",0,IF(SETUP!$E$7="USD",((IF(O348="USD",AY348,(AY348/'Master Data-C19RM'!$H$2)))),((IF(O348="EUR",AY348,(AY348*'Master Data-C19RM'!$H$2))))))</f>
        <v>0</v>
      </c>
      <c r="BU348" s="448">
        <f t="shared" si="45"/>
        <v>0</v>
      </c>
      <c r="BV348" s="562">
        <f t="shared" si="46"/>
        <v>0</v>
      </c>
      <c r="BW348" s="470"/>
      <c r="BX348" s="470"/>
      <c r="BY348" s="470"/>
      <c r="BZ348" s="470"/>
      <c r="CA348" s="470"/>
      <c r="CB348" s="470"/>
      <c r="CC348" s="470"/>
      <c r="CD348" s="470"/>
      <c r="CE348" s="470"/>
      <c r="CF348" s="470"/>
      <c r="CG348" s="470"/>
      <c r="CH348" s="470"/>
      <c r="CI348" s="470"/>
      <c r="CJ348" s="470"/>
      <c r="CK348" s="470"/>
      <c r="CL348" s="470"/>
      <c r="CM348" s="470"/>
      <c r="CN348" s="470"/>
      <c r="CO348" s="470"/>
      <c r="CP348" s="470"/>
    </row>
    <row r="349" spans="1:94" s="448" customFormat="1" ht="14" x14ac:dyDescent="0.3">
      <c r="A349" s="1165"/>
      <c r="B349" s="1165"/>
      <c r="C349" s="1165"/>
      <c r="D349" s="1165"/>
      <c r="E349" s="1166"/>
      <c r="F349" s="1166"/>
      <c r="G349" s="1166"/>
      <c r="H349" s="1166"/>
      <c r="I349" s="1166"/>
      <c r="J349" s="1166"/>
      <c r="K349" s="1166"/>
      <c r="L349" s="490" t="str" cm="1">
        <f t="array" ref="L349">IF(A349&lt;&gt;"",IFERROR(INDEX(PMtbl[[WKst]:[Unit of measure*]],MATCH($A$330&amp;$A349&amp;$E349&amp;$I349,INDEX(PMtbl[Sec]&amp;PMtbl[Category]&amp;PMtbl[Each]&amp;PMtbl[Packaging],0,),0),14),""),"")</f>
        <v/>
      </c>
      <c r="M349" s="479" t="str">
        <f>IF(L349="","",INDEX(SETUP!$E$20:$E$122,(MATCH(INDEX(PMsheet!$D:$E,MATCH(A349,PMsheet!E:E,0),1),SETUP!$D$20:$D$122,0))))</f>
        <v/>
      </c>
      <c r="N349" s="491">
        <f>IF($O349="USD",_xlfn.IFNA(VLOOKUP(A349&amp;E349&amp;I349,PMsheet!J:K,2,0),0),(_xlfn.IFNA(VLOOKUP(A349&amp;E349&amp;I349,PMsheet!J:K,2,0),0)*'Master Data-C19RM'!$C$2))</f>
        <v>0</v>
      </c>
      <c r="O349" s="492" t="str">
        <f>IF(L349="", "",SETUP!$E$7)</f>
        <v/>
      </c>
      <c r="P349" s="444">
        <f>IF($O349="USD",_xlfn.IFNA(VLOOKUP($A349&amp;$E349&amp;$I349,PMsheet!$J:$K,2,0),0),(_xlfn.IFNA(VLOOKUP($A349&amp;$E349&amp;$I349,PMsheet!$J:$K,2,0),0)*'Master Data-C19RM'!$C$2))</f>
        <v>0</v>
      </c>
      <c r="Q349" s="441"/>
      <c r="R349" s="441"/>
      <c r="S349" s="441"/>
      <c r="T349" s="441"/>
      <c r="U349" s="481">
        <f t="shared" si="44"/>
        <v>0</v>
      </c>
      <c r="V349" s="483">
        <f>IF(SETUP!$E$7="USD",(U349*(IF(O349="USD",P349,(P349/'Master Data-C19RM'!$C$2)))),(U349*(IF(O349="EUR",P349,(P349*'Master Data-C19RM'!$C$2)))))</f>
        <v>0</v>
      </c>
      <c r="W349" s="444">
        <f>IF($O349="USD",_xlfn.IFNA(VLOOKUP($A349&amp;$E349&amp;$I349,PMsheet!$J:$K,2,0),0),(_xlfn.IFNA(VLOOKUP($A349&amp;$E349&amp;$I349,PMsheet!$J:$K,2,0),0)*'Master Data-C19RM'!$D$2))</f>
        <v>0</v>
      </c>
      <c r="X349" s="441"/>
      <c r="Y349" s="441"/>
      <c r="Z349" s="441"/>
      <c r="AA349" s="441"/>
      <c r="AB349" s="481">
        <f t="shared" si="47"/>
        <v>0</v>
      </c>
      <c r="AC349" s="483">
        <f>IF(SETUP!$E$7="USD",(AB349*(IF(O349="USD",W349,(W349/'Master Data-C19RM'!$D$2)))),(AB349*(IF(O349="EUR",W349,(W349*'Master Data-C19RM'!$D$2)))))</f>
        <v>0</v>
      </c>
      <c r="AD349" s="444">
        <f>IF($O349="USD",_xlfn.IFNA(VLOOKUP($A349&amp;$E349&amp;$I349,PMsheet!$J:$K,2,0),0),(_xlfn.IFNA(VLOOKUP($A349&amp;$E349&amp;$I349,PMsheet!$J:$K,2,0),0)*'Master Data-C19RM'!$E$2))</f>
        <v>0</v>
      </c>
      <c r="AE349" s="441"/>
      <c r="AF349" s="441"/>
      <c r="AG349" s="441"/>
      <c r="AH349" s="441"/>
      <c r="AI349" s="512">
        <f t="shared" si="48"/>
        <v>0</v>
      </c>
      <c r="AJ349" s="513">
        <f>IF(SETUP!$E$7="USD",(AI349*(IF(O349="USD",AD349,(AD349/'Master Data-C19RM'!$E$2)))),(AI349*(IF(O349="EUR",AD349,(AD349*'Master Data-C19RM'!$E$2)))))</f>
        <v>0</v>
      </c>
      <c r="AK349" s="444">
        <f>IF($O349="USD",_xlfn.IFNA(VLOOKUP($A349&amp;$E349&amp;$I349,PMsheet!$J:$K,2,0),0),(_xlfn.IFNA(VLOOKUP($A349&amp;$E349&amp;$I349,PMsheet!$J:$K,2,0),0)*'Master Data-C19RM'!$F$2))</f>
        <v>0</v>
      </c>
      <c r="AL349" s="441"/>
      <c r="AM349" s="441"/>
      <c r="AN349" s="441"/>
      <c r="AO349" s="441"/>
      <c r="AP349" s="512">
        <f t="shared" si="49"/>
        <v>0</v>
      </c>
      <c r="AQ349" s="513">
        <f>IF(SETUP!$E$7="USD",(AP349*(IF(O349="USD",AK349,(AK349/'Master Data-C19RM'!$F$2)))),(AP349*(IF(O349="EUR",AK349,(AK349*'Master Data-C19RM'!$F$2)))))</f>
        <v>0</v>
      </c>
      <c r="AR349" s="924">
        <f>IF($O349="USD",_xlfn.IFNA(VLOOKUP($A349&amp;$E349&amp;$I349,PMsheet!$J:$K,2,0),0),(_xlfn.IFNA(VLOOKUP($A349&amp;$E349&amp;$I349,PMsheet!$J:$K,2,0),0)*'Master Data-C19RM'!$G$2))</f>
        <v>0</v>
      </c>
      <c r="AS349" s="572"/>
      <c r="AT349" s="572"/>
      <c r="AU349" s="572"/>
      <c r="AV349" s="572"/>
      <c r="AW349" s="512">
        <f t="shared" si="50"/>
        <v>0</v>
      </c>
      <c r="AX349" s="512">
        <f>IF(SETUP!$E$7="USD",(AW349*(IF(O349="USD",AR349,(AR349/'Master Data-C19RM'!$G$2)))),(AW349*(IF(O349="EUR",AR349,(AR349*'Master Data-C19RM'!$G$2)))))</f>
        <v>0</v>
      </c>
      <c r="AY349" s="845"/>
      <c r="AZ349" s="846"/>
      <c r="BA349" s="846"/>
      <c r="BB349" s="846"/>
      <c r="BC349" s="846"/>
      <c r="BD349" s="846"/>
      <c r="BE349" s="847"/>
      <c r="BF349" s="520">
        <f>'C19RM 2021-Lab &amp; Other HPS'!$U349+'C19RM 2021-Lab &amp; Other HPS'!$AB349+'C19RM 2021-Lab &amp; Other HPS'!$AP349+'C19RM 2021-Lab &amp; Other HPS'!$AI349+AW349+BD349</f>
        <v>0</v>
      </c>
      <c r="BG349" s="513">
        <f>'C19RM 2021-Lab &amp; Other HPS'!$V349+'C19RM 2021-Lab &amp; Other HPS'!$AC349+'C19RM 2021-Lab &amp; Other HPS'!$AQ349+'C19RM 2021-Lab &amp; Other HPS'!$AJ349+AX349+BE349</f>
        <v>0</v>
      </c>
      <c r="BH349" s="500" t="str" cm="1">
        <f t="array" ref="BH349">IF(A349&lt;&gt;"",IFERROR(INDEX(PMtbl[[WKst]:[Unit of measure*]],MATCH($A$330&amp;$A349&amp;$E349&amp;$I349,INDEX(PMtbl[Sec]&amp;PMtbl[Category]&amp;PMtbl[Each]&amp;PMtbl[Packaging],0,),0),11),""),"")</f>
        <v/>
      </c>
      <c r="BI349" s="819"/>
      <c r="BJ349" s="502" t="str" cm="1">
        <f t="array" ref="BJ349">IFERROR(INDEX(SETUP!$C$19:$G$121,MATCH((INDEX(PMtbl[[WKst]:[Unit of measure*]],MATCH($A349&amp;$E349&amp;$I349,INDEX(PMtbl[Category]&amp;PMtbl[Each]&amp;PMtbl[Packaging],0,),0),3)),SETUP!$D$19:$D$121,0),5),"")</f>
        <v/>
      </c>
      <c r="BK349" s="568" t="str" cm="1">
        <f t="array" ref="BK349">IFERROR(IF((INDEX(SETUP!$C$19:$G$121,MATCH((INDEX(PMtbl[[WKst]:[Unit of measure*]],MATCH($A349&amp;$E349&amp;$I349,INDEX(PMtbl[Category]&amp;PMtbl[Each]&amp;PMtbl[Packaging],0,),0),3)),SETUP!$D$19:$D$121,0),4))="Upfront",0,INDEX(SETUP!$C$19:$G$121,MATCH((INDEX(PMtbl[[WKst]:[Unit of measure*]],MATCH($A349&amp;$E349&amp;$I349,INDEX(PMtbl[Category]&amp;PMtbl[Each]&amp;PMtbl[Packaging],0,),0),3)),SETUP!$D$19:$D$121,0),5)),"")</f>
        <v/>
      </c>
      <c r="BL349" s="563" t="str" cm="1">
        <f t="array" ref="BL349">IF(E349&lt;&gt;"",IFERROR(INDEX(PMtbl[[WKst]:[Unit of measure*]],MATCH($A$330&amp;$A349&amp;$E349&amp;$I349,INDEX(PMtbl[Sec]&amp;PMtbl[Category]&amp;PMtbl[Each]&amp;PMtbl[Packaging],0,),0),11),""),"")</f>
        <v/>
      </c>
      <c r="BO349" s="448">
        <f>IF(N349="",0,IF(SETUP!$E$7="USD",((IF(O349="USD",P349,(P349/'Master Data-C19RM'!$C$2)))),((IF(O349="EUR",P349,(P349*'Master Data-C19RM'!$C$2))))))</f>
        <v>0</v>
      </c>
      <c r="BP349" s="448">
        <f>IF(N349="",0,IF(SETUP!$E$7="USD",((IF(O349="USD",W349,(W349/'Master Data-C19RM'!$D$2)))),((IF(O349="EUR",W349,(W349*'Master Data-C19RM'!$D$2))))))</f>
        <v>0</v>
      </c>
      <c r="BQ349" s="470">
        <f>IF(N349="",0,IF(SETUP!$E$7="USD",((IF(O349="USD",AD349,(AD349/'Master Data-C19RM'!$E$2)))),((IF(O349="EUR",AD349,(AD349*'Master Data-C19RM'!$E$2))))))</f>
        <v>0</v>
      </c>
      <c r="BR349" s="470">
        <f>IF(N349="",0,IF(SETUP!$E$7="USD",((IF(O349="USD",AK349,(AK349/'Master Data-C19RM'!$F$2)))),((IF(O349="EUR",AK349,(AK349*'Master Data-C19RM'!$F$2))))))</f>
        <v>0</v>
      </c>
      <c r="BS349" s="470">
        <f>IF(N349="",0,IF(SETUP!$E$7="USD",((IF(O349="USD",AR349,(AR349/'Master Data-C19RM'!$G$2)))),((IF(O349="EUR",AR349,(AR349*'Master Data-C19RM'!$G$2))))))</f>
        <v>0</v>
      </c>
      <c r="BT349" s="470">
        <f>IF(N349="",0,IF(SETUP!$E$7="USD",((IF(O349="USD",AY349,(AY349/'Master Data-C19RM'!$H$2)))),((IF(O349="EUR",AY349,(AY349*'Master Data-C19RM'!$H$2))))))</f>
        <v>0</v>
      </c>
      <c r="BU349" s="448">
        <f t="shared" si="45"/>
        <v>0</v>
      </c>
      <c r="BV349" s="562">
        <f t="shared" si="46"/>
        <v>0</v>
      </c>
      <c r="BW349" s="470"/>
      <c r="BX349" s="470"/>
      <c r="BY349" s="470"/>
      <c r="BZ349" s="470"/>
      <c r="CA349" s="470"/>
      <c r="CB349" s="470"/>
      <c r="CC349" s="470"/>
      <c r="CD349" s="470"/>
      <c r="CE349" s="470"/>
      <c r="CF349" s="470"/>
      <c r="CG349" s="470"/>
      <c r="CH349" s="470"/>
      <c r="CI349" s="470"/>
      <c r="CJ349" s="470"/>
      <c r="CK349" s="470"/>
      <c r="CL349" s="470"/>
      <c r="CM349" s="470"/>
      <c r="CN349" s="470"/>
      <c r="CO349" s="470"/>
      <c r="CP349" s="470"/>
    </row>
    <row r="350" spans="1:94" s="448" customFormat="1" ht="14" x14ac:dyDescent="0.3">
      <c r="A350" s="1192"/>
      <c r="B350" s="1192"/>
      <c r="C350" s="1192"/>
      <c r="D350" s="1192"/>
      <c r="E350" s="1173"/>
      <c r="F350" s="1173"/>
      <c r="G350" s="1173"/>
      <c r="H350" s="1173"/>
      <c r="I350" s="1173"/>
      <c r="J350" s="1173"/>
      <c r="K350" s="1173"/>
      <c r="L350" s="493" t="str" cm="1">
        <f t="array" ref="L350">IF(A350&lt;&gt;"",IFERROR(INDEX(PMtbl[[WKst]:[Unit of measure*]],MATCH($A$330&amp;$A350&amp;$E350&amp;$I350,INDEX(PMtbl[Sec]&amp;PMtbl[Category]&amp;PMtbl[Each]&amp;PMtbl[Packaging],0,),0),14),""),"")</f>
        <v/>
      </c>
      <c r="M350" s="480" t="str">
        <f>IF(L350="","",INDEX(SETUP!$E$20:$E$122,(MATCH(INDEX(PMsheet!$D:$E,MATCH(A350,PMsheet!E:E,0),1),SETUP!$D$20:$D$122,0))))</f>
        <v/>
      </c>
      <c r="N350" s="494">
        <f>IF($O350="USD",_xlfn.IFNA(VLOOKUP(A350&amp;E350&amp;I350,PMsheet!J:K,2,0),0),(_xlfn.IFNA(VLOOKUP(A350&amp;E350&amp;I350,PMsheet!J:K,2,0),0)*'Master Data-C19RM'!$C$2))</f>
        <v>0</v>
      </c>
      <c r="O350" s="495" t="str">
        <f>IF(L350="", "",SETUP!$E$7)</f>
        <v/>
      </c>
      <c r="P350" s="445">
        <f>IF($O350="USD",_xlfn.IFNA(VLOOKUP($A350&amp;$E350&amp;$I350,PMsheet!$J:$K,2,0),0),(_xlfn.IFNA(VLOOKUP($A350&amp;$E350&amp;$I350,PMsheet!$J:$K,2,0),0)*'Master Data-C19RM'!$C$2))</f>
        <v>0</v>
      </c>
      <c r="Q350" s="440"/>
      <c r="R350" s="440"/>
      <c r="S350" s="440"/>
      <c r="T350" s="440"/>
      <c r="U350" s="482">
        <f t="shared" si="44"/>
        <v>0</v>
      </c>
      <c r="V350" s="484">
        <f>IF(SETUP!$E$7="USD",(U350*(IF(O350="USD",P350,(P350/'Master Data-C19RM'!$C$2)))),(U350*(IF(O350="EUR",P350,(P350*'Master Data-C19RM'!$C$2)))))</f>
        <v>0</v>
      </c>
      <c r="W350" s="445">
        <f>IF($O350="USD",_xlfn.IFNA(VLOOKUP($A350&amp;$E350&amp;$I350,PMsheet!$J:$K,2,0),0),(_xlfn.IFNA(VLOOKUP($A350&amp;$E350&amp;$I350,PMsheet!$J:$K,2,0),0)*'Master Data-C19RM'!$D$2))</f>
        <v>0</v>
      </c>
      <c r="X350" s="440"/>
      <c r="Y350" s="440"/>
      <c r="Z350" s="440"/>
      <c r="AA350" s="440"/>
      <c r="AB350" s="482">
        <f t="shared" si="47"/>
        <v>0</v>
      </c>
      <c r="AC350" s="484">
        <f>IF(SETUP!$E$7="USD",(AB350*(IF(O350="USD",W350,(W350/'Master Data-C19RM'!$D$2)))),(AB350*(IF(O350="EUR",W350,(W350*'Master Data-C19RM'!$D$2)))))</f>
        <v>0</v>
      </c>
      <c r="AD350" s="445">
        <f>IF($O350="USD",_xlfn.IFNA(VLOOKUP($A350&amp;$E350&amp;$I350,PMsheet!$J:$K,2,0),0),(_xlfn.IFNA(VLOOKUP($A350&amp;$E350&amp;$I350,PMsheet!$J:$K,2,0),0)*'Master Data-C19RM'!$E$2))</f>
        <v>0</v>
      </c>
      <c r="AE350" s="440"/>
      <c r="AF350" s="440"/>
      <c r="AG350" s="440"/>
      <c r="AH350" s="440"/>
      <c r="AI350" s="514">
        <f t="shared" si="48"/>
        <v>0</v>
      </c>
      <c r="AJ350" s="515">
        <f>IF(SETUP!$E$7="USD",(AI350*(IF(O350="USD",AD350,(AD350/'Master Data-C19RM'!$E$2)))),(AI350*(IF(O350="EUR",AD350,(AD350*'Master Data-C19RM'!$E$2)))))</f>
        <v>0</v>
      </c>
      <c r="AK350" s="445">
        <f>IF($O350="USD",_xlfn.IFNA(VLOOKUP($A350&amp;$E350&amp;$I350,PMsheet!$J:$K,2,0),0),(_xlfn.IFNA(VLOOKUP($A350&amp;$E350&amp;$I350,PMsheet!$J:$K,2,0),0)*'Master Data-C19RM'!$F$2))</f>
        <v>0</v>
      </c>
      <c r="AL350" s="440"/>
      <c r="AM350" s="440"/>
      <c r="AN350" s="440"/>
      <c r="AO350" s="440"/>
      <c r="AP350" s="514">
        <f t="shared" si="49"/>
        <v>0</v>
      </c>
      <c r="AQ350" s="515">
        <f>IF(SETUP!$E$7="USD",(AP350*(IF(O350="USD",AK350,(AK350/'Master Data-C19RM'!$F$2)))),(AP350*(IF(O350="EUR",AK350,(AK350*'Master Data-C19RM'!$F$2)))))</f>
        <v>0</v>
      </c>
      <c r="AR350" s="925">
        <f>IF($O350="USD",_xlfn.IFNA(VLOOKUP($A350&amp;$E350&amp;$I350,PMsheet!$J:$K,2,0),0),(_xlfn.IFNA(VLOOKUP($A350&amp;$E350&amp;$I350,PMsheet!$J:$K,2,0),0)*'Master Data-C19RM'!$G$2))</f>
        <v>0</v>
      </c>
      <c r="AS350" s="926"/>
      <c r="AT350" s="926"/>
      <c r="AU350" s="926"/>
      <c r="AV350" s="926"/>
      <c r="AW350" s="514">
        <f t="shared" si="50"/>
        <v>0</v>
      </c>
      <c r="AX350" s="514">
        <f>IF(SETUP!$E$7="USD",(AW350*(IF(O350="USD",AR350,(AR350/'Master Data-C19RM'!$G$2)))),(AW350*(IF(O350="EUR",AR350,(AR350*'Master Data-C19RM'!$G$2)))))</f>
        <v>0</v>
      </c>
      <c r="AY350" s="845"/>
      <c r="AZ350" s="846"/>
      <c r="BA350" s="846"/>
      <c r="BB350" s="846"/>
      <c r="BC350" s="846"/>
      <c r="BD350" s="846"/>
      <c r="BE350" s="847"/>
      <c r="BF350" s="521">
        <f>'C19RM 2021-Lab &amp; Other HPS'!$U350+'C19RM 2021-Lab &amp; Other HPS'!$AB350+'C19RM 2021-Lab &amp; Other HPS'!$AP350+'C19RM 2021-Lab &amp; Other HPS'!$AI350+AW350+BD350</f>
        <v>0</v>
      </c>
      <c r="BG350" s="515">
        <f>'C19RM 2021-Lab &amp; Other HPS'!$V350+'C19RM 2021-Lab &amp; Other HPS'!$AC350+'C19RM 2021-Lab &amp; Other HPS'!$AQ350+'C19RM 2021-Lab &amp; Other HPS'!$AJ350+AX350+BE350</f>
        <v>0</v>
      </c>
      <c r="BH350" s="522" t="str" cm="1">
        <f t="array" ref="BH350">IF(A350&lt;&gt;"",IFERROR(INDEX(PMtbl[[WKst]:[Unit of measure*]],MATCH($A$330&amp;$A350&amp;$E350&amp;$I350,INDEX(PMtbl[Sec]&amp;PMtbl[Category]&amp;PMtbl[Each]&amp;PMtbl[Packaging],0,),0),11),""),"")</f>
        <v/>
      </c>
      <c r="BI350" s="818"/>
      <c r="BJ350" s="503" t="str" cm="1">
        <f t="array" ref="BJ350">IFERROR(INDEX(SETUP!$C$19:$G$121,MATCH((INDEX(PMtbl[[WKst]:[Unit of measure*]],MATCH($A350&amp;$E350&amp;$I350,INDEX(PMtbl[Category]&amp;PMtbl[Each]&amp;PMtbl[Packaging],0,),0),3)),SETUP!$D$19:$D$121,0),5),"")</f>
        <v/>
      </c>
      <c r="BK350" s="569" t="str" cm="1">
        <f t="array" ref="BK350">IFERROR(IF((INDEX(SETUP!$C$19:$G$121,MATCH((INDEX(PMtbl[[WKst]:[Unit of measure*]],MATCH($A350&amp;$E350&amp;$I350,INDEX(PMtbl[Category]&amp;PMtbl[Each]&amp;PMtbl[Packaging],0,),0),3)),SETUP!$D$19:$D$121,0),4))="Upfront",0,INDEX(SETUP!$C$19:$G$121,MATCH((INDEX(PMtbl[[WKst]:[Unit of measure*]],MATCH($A350&amp;$E350&amp;$I350,INDEX(PMtbl[Category]&amp;PMtbl[Each]&amp;PMtbl[Packaging],0,),0),3)),SETUP!$D$19:$D$121,0),5)),"")</f>
        <v/>
      </c>
      <c r="BL350" s="564" t="str" cm="1">
        <f t="array" ref="BL350">IF(E350&lt;&gt;"",IFERROR(INDEX(PMtbl[[WKst]:[Unit of measure*]],MATCH($A$330&amp;$A350&amp;$E350&amp;$I350,INDEX(PMtbl[Sec]&amp;PMtbl[Category]&amp;PMtbl[Each]&amp;PMtbl[Packaging],0,),0),11),""),"")</f>
        <v/>
      </c>
      <c r="BO350" s="448">
        <f>IF(N350="",0,IF(SETUP!$E$7="USD",((IF(O350="USD",P350,(P350/'Master Data-C19RM'!$C$2)))),((IF(O350="EUR",P350,(P350*'Master Data-C19RM'!$C$2))))))</f>
        <v>0</v>
      </c>
      <c r="BP350" s="448">
        <f>IF(N350="",0,IF(SETUP!$E$7="USD",((IF(O350="USD",W350,(W350/'Master Data-C19RM'!$D$2)))),((IF(O350="EUR",W350,(W350*'Master Data-C19RM'!$D$2))))))</f>
        <v>0</v>
      </c>
      <c r="BQ350" s="470">
        <f>IF(N350="",0,IF(SETUP!$E$7="USD",((IF(O350="USD",AD350,(AD350/'Master Data-C19RM'!$E$2)))),((IF(O350="EUR",AD350,(AD350*'Master Data-C19RM'!$E$2))))))</f>
        <v>0</v>
      </c>
      <c r="BR350" s="470">
        <f>IF(N350="",0,IF(SETUP!$E$7="USD",((IF(O350="USD",AK350,(AK350/'Master Data-C19RM'!$F$2)))),((IF(O350="EUR",AK350,(AK350*'Master Data-C19RM'!$F$2))))))</f>
        <v>0</v>
      </c>
      <c r="BS350" s="470">
        <f>IF(N350="",0,IF(SETUP!$E$7="USD",((IF(O350="USD",AR350,(AR350/'Master Data-C19RM'!$G$2)))),((IF(O350="EUR",AR350,(AR350*'Master Data-C19RM'!$G$2))))))</f>
        <v>0</v>
      </c>
      <c r="BT350" s="470">
        <f>IF(N350="",0,IF(SETUP!$E$7="USD",((IF(O350="USD",AY350,(AY350/'Master Data-C19RM'!$H$2)))),((IF(O350="EUR",AY350,(AY350*'Master Data-C19RM'!$H$2))))))</f>
        <v>0</v>
      </c>
      <c r="BU350" s="448">
        <f t="shared" si="45"/>
        <v>0</v>
      </c>
      <c r="BV350" s="562">
        <f t="shared" si="46"/>
        <v>0</v>
      </c>
      <c r="BW350" s="470"/>
      <c r="BX350" s="470"/>
      <c r="BY350" s="470"/>
      <c r="BZ350" s="470"/>
      <c r="CA350" s="470"/>
      <c r="CB350" s="470"/>
      <c r="CC350" s="470"/>
      <c r="CD350" s="470"/>
      <c r="CE350" s="470"/>
      <c r="CF350" s="470"/>
      <c r="CG350" s="470"/>
      <c r="CH350" s="470"/>
      <c r="CI350" s="470"/>
      <c r="CJ350" s="470"/>
      <c r="CK350" s="470"/>
      <c r="CL350" s="470"/>
      <c r="CM350" s="470"/>
      <c r="CN350" s="470"/>
      <c r="CO350" s="470"/>
      <c r="CP350" s="470"/>
    </row>
    <row r="351" spans="1:94" s="448" customFormat="1" ht="14" x14ac:dyDescent="0.3">
      <c r="A351" s="1165"/>
      <c r="B351" s="1165"/>
      <c r="C351" s="1165"/>
      <c r="D351" s="1165"/>
      <c r="E351" s="1166"/>
      <c r="F351" s="1166"/>
      <c r="G351" s="1166"/>
      <c r="H351" s="1166"/>
      <c r="I351" s="1166"/>
      <c r="J351" s="1166"/>
      <c r="K351" s="1166"/>
      <c r="L351" s="490" t="str" cm="1">
        <f t="array" ref="L351">IF(A351&lt;&gt;"",IFERROR(INDEX(PMtbl[[WKst]:[Unit of measure*]],MATCH($A$330&amp;$A351&amp;$E351&amp;$I351,INDEX(PMtbl[Sec]&amp;PMtbl[Category]&amp;PMtbl[Each]&amp;PMtbl[Packaging],0,),0),14),""),"")</f>
        <v/>
      </c>
      <c r="M351" s="479" t="str">
        <f>IF(L351="","",INDEX(SETUP!$E$20:$E$122,(MATCH(INDEX(PMsheet!$D:$E,MATCH(A351,PMsheet!E:E,0),1),SETUP!$D$20:$D$122,0))))</f>
        <v/>
      </c>
      <c r="N351" s="491">
        <f>IF($O351="USD",_xlfn.IFNA(VLOOKUP(A351&amp;E351&amp;I351,PMsheet!J:K,2,0),0),(_xlfn.IFNA(VLOOKUP(A351&amp;E351&amp;I351,PMsheet!J:K,2,0),0)*'Master Data-C19RM'!$C$2))</f>
        <v>0</v>
      </c>
      <c r="O351" s="492" t="str">
        <f>IF(L351="", "",SETUP!$E$7)</f>
        <v/>
      </c>
      <c r="P351" s="444">
        <f>IF($O351="USD",_xlfn.IFNA(VLOOKUP($A351&amp;$E351&amp;$I351,PMsheet!$J:$K,2,0),0),(_xlfn.IFNA(VLOOKUP($A351&amp;$E351&amp;$I351,PMsheet!$J:$K,2,0),0)*'Master Data-C19RM'!$C$2))</f>
        <v>0</v>
      </c>
      <c r="Q351" s="441"/>
      <c r="R351" s="441"/>
      <c r="S351" s="441"/>
      <c r="T351" s="441"/>
      <c r="U351" s="481">
        <f t="shared" si="44"/>
        <v>0</v>
      </c>
      <c r="V351" s="483">
        <f>IF(SETUP!$E$7="USD",(U351*(IF(O351="USD",P351,(P351/'Master Data-C19RM'!$C$2)))),(U351*(IF(O351="EUR",P351,(P351*'Master Data-C19RM'!$C$2)))))</f>
        <v>0</v>
      </c>
      <c r="W351" s="444">
        <f>IF($O351="USD",_xlfn.IFNA(VLOOKUP($A351&amp;$E351&amp;$I351,PMsheet!$J:$K,2,0),0),(_xlfn.IFNA(VLOOKUP($A351&amp;$E351&amp;$I351,PMsheet!$J:$K,2,0),0)*'Master Data-C19RM'!$D$2))</f>
        <v>0</v>
      </c>
      <c r="X351" s="441"/>
      <c r="Y351" s="441"/>
      <c r="Z351" s="441"/>
      <c r="AA351" s="441"/>
      <c r="AB351" s="481">
        <f t="shared" si="47"/>
        <v>0</v>
      </c>
      <c r="AC351" s="483">
        <f>IF(SETUP!$E$7="USD",(AB351*(IF(O351="USD",W351,(W351/'Master Data-C19RM'!$D$2)))),(AB351*(IF(O351="EUR",W351,(W351*'Master Data-C19RM'!$D$2)))))</f>
        <v>0</v>
      </c>
      <c r="AD351" s="444">
        <f>IF($O351="USD",_xlfn.IFNA(VLOOKUP($A351&amp;$E351&amp;$I351,PMsheet!$J:$K,2,0),0),(_xlfn.IFNA(VLOOKUP($A351&amp;$E351&amp;$I351,PMsheet!$J:$K,2,0),0)*'Master Data-C19RM'!$E$2))</f>
        <v>0</v>
      </c>
      <c r="AE351" s="441"/>
      <c r="AF351" s="441"/>
      <c r="AG351" s="441"/>
      <c r="AH351" s="441"/>
      <c r="AI351" s="512">
        <f t="shared" si="48"/>
        <v>0</v>
      </c>
      <c r="AJ351" s="513">
        <f>IF(SETUP!$E$7="USD",(AI351*(IF(O351="USD",AD351,(AD351/'Master Data-C19RM'!$E$2)))),(AI351*(IF(O351="EUR",AD351,(AD351*'Master Data-C19RM'!$E$2)))))</f>
        <v>0</v>
      </c>
      <c r="AK351" s="444">
        <f>IF($O351="USD",_xlfn.IFNA(VLOOKUP($A351&amp;$E351&amp;$I351,PMsheet!$J:$K,2,0),0),(_xlfn.IFNA(VLOOKUP($A351&amp;$E351&amp;$I351,PMsheet!$J:$K,2,0),0)*'Master Data-C19RM'!$F$2))</f>
        <v>0</v>
      </c>
      <c r="AL351" s="441"/>
      <c r="AM351" s="441"/>
      <c r="AN351" s="441"/>
      <c r="AO351" s="441"/>
      <c r="AP351" s="512">
        <f t="shared" si="49"/>
        <v>0</v>
      </c>
      <c r="AQ351" s="513">
        <f>IF(SETUP!$E$7="USD",(AP351*(IF(O351="USD",AK351,(AK351/'Master Data-C19RM'!$F$2)))),(AP351*(IF(O351="EUR",AK351,(AK351*'Master Data-C19RM'!$F$2)))))</f>
        <v>0</v>
      </c>
      <c r="AR351" s="924">
        <f>IF($O351="USD",_xlfn.IFNA(VLOOKUP($A351&amp;$E351&amp;$I351,PMsheet!$J:$K,2,0),0),(_xlfn.IFNA(VLOOKUP($A351&amp;$E351&amp;$I351,PMsheet!$J:$K,2,0),0)*'Master Data-C19RM'!$G$2))</f>
        <v>0</v>
      </c>
      <c r="AS351" s="572"/>
      <c r="AT351" s="572"/>
      <c r="AU351" s="572"/>
      <c r="AV351" s="572"/>
      <c r="AW351" s="512">
        <f t="shared" si="50"/>
        <v>0</v>
      </c>
      <c r="AX351" s="512">
        <f>IF(SETUP!$E$7="USD",(AW351*(IF(O351="USD",AR351,(AR351/'Master Data-C19RM'!$G$2)))),(AW351*(IF(O351="EUR",AR351,(AR351*'Master Data-C19RM'!$G$2)))))</f>
        <v>0</v>
      </c>
      <c r="AY351" s="845"/>
      <c r="AZ351" s="846"/>
      <c r="BA351" s="846"/>
      <c r="BB351" s="846"/>
      <c r="BC351" s="846"/>
      <c r="BD351" s="846"/>
      <c r="BE351" s="847"/>
      <c r="BF351" s="520">
        <f>'C19RM 2021-Lab &amp; Other HPS'!$U351+'C19RM 2021-Lab &amp; Other HPS'!$AB351+'C19RM 2021-Lab &amp; Other HPS'!$AP351+'C19RM 2021-Lab &amp; Other HPS'!$AI351+AW351+BD351</f>
        <v>0</v>
      </c>
      <c r="BG351" s="513">
        <f>'C19RM 2021-Lab &amp; Other HPS'!$V351+'C19RM 2021-Lab &amp; Other HPS'!$AC351+'C19RM 2021-Lab &amp; Other HPS'!$AQ351+'C19RM 2021-Lab &amp; Other HPS'!$AJ351+AX351+BE351</f>
        <v>0</v>
      </c>
      <c r="BH351" s="500" t="str" cm="1">
        <f t="array" ref="BH351">IF(A351&lt;&gt;"",IFERROR(INDEX(PMtbl[[WKst]:[Unit of measure*]],MATCH($A$330&amp;$A351&amp;$E351&amp;$I351,INDEX(PMtbl[Sec]&amp;PMtbl[Category]&amp;PMtbl[Each]&amp;PMtbl[Packaging],0,),0),11),""),"")</f>
        <v/>
      </c>
      <c r="BI351" s="819"/>
      <c r="BJ351" s="502" t="str" cm="1">
        <f t="array" ref="BJ351">IFERROR(INDEX(SETUP!$C$19:$G$121,MATCH((INDEX(PMtbl[[WKst]:[Unit of measure*]],MATCH($A351&amp;$E351&amp;$I351,INDEX(PMtbl[Category]&amp;PMtbl[Each]&amp;PMtbl[Packaging],0,),0),3)),SETUP!$D$19:$D$121,0),5),"")</f>
        <v/>
      </c>
      <c r="BK351" s="568" t="str" cm="1">
        <f t="array" ref="BK351">IFERROR(IF((INDEX(SETUP!$C$19:$G$121,MATCH((INDEX(PMtbl[[WKst]:[Unit of measure*]],MATCH($A351&amp;$E351&amp;$I351,INDEX(PMtbl[Category]&amp;PMtbl[Each]&amp;PMtbl[Packaging],0,),0),3)),SETUP!$D$19:$D$121,0),4))="Upfront",0,INDEX(SETUP!$C$19:$G$121,MATCH((INDEX(PMtbl[[WKst]:[Unit of measure*]],MATCH($A351&amp;$E351&amp;$I351,INDEX(PMtbl[Category]&amp;PMtbl[Each]&amp;PMtbl[Packaging],0,),0),3)),SETUP!$D$19:$D$121,0),5)),"")</f>
        <v/>
      </c>
      <c r="BL351" s="563" t="str" cm="1">
        <f t="array" ref="BL351">IF(E351&lt;&gt;"",IFERROR(INDEX(PMtbl[[WKst]:[Unit of measure*]],MATCH($A$330&amp;$A351&amp;$E351&amp;$I351,INDEX(PMtbl[Sec]&amp;PMtbl[Category]&amp;PMtbl[Each]&amp;PMtbl[Packaging],0,),0),11),""),"")</f>
        <v/>
      </c>
      <c r="BO351" s="448">
        <f>IF(N351="",0,IF(SETUP!$E$7="USD",((IF(O351="USD",P351,(P351/'Master Data-C19RM'!$C$2)))),((IF(O351="EUR",P351,(P351*'Master Data-C19RM'!$C$2))))))</f>
        <v>0</v>
      </c>
      <c r="BP351" s="448">
        <f>IF(N351="",0,IF(SETUP!$E$7="USD",((IF(O351="USD",W351,(W351/'Master Data-C19RM'!$D$2)))),((IF(O351="EUR",W351,(W351*'Master Data-C19RM'!$D$2))))))</f>
        <v>0</v>
      </c>
      <c r="BQ351" s="470">
        <f>IF(N351="",0,IF(SETUP!$E$7="USD",((IF(O351="USD",AD351,(AD351/'Master Data-C19RM'!$E$2)))),((IF(O351="EUR",AD351,(AD351*'Master Data-C19RM'!$E$2))))))</f>
        <v>0</v>
      </c>
      <c r="BR351" s="470">
        <f>IF(N351="",0,IF(SETUP!$E$7="USD",((IF(O351="USD",AK351,(AK351/'Master Data-C19RM'!$F$2)))),((IF(O351="EUR",AK351,(AK351*'Master Data-C19RM'!$F$2))))))</f>
        <v>0</v>
      </c>
      <c r="BS351" s="470">
        <f>IF(N351="",0,IF(SETUP!$E$7="USD",((IF(O351="USD",AR351,(AR351/'Master Data-C19RM'!$G$2)))),((IF(O351="EUR",AR351,(AR351*'Master Data-C19RM'!$G$2))))))</f>
        <v>0</v>
      </c>
      <c r="BT351" s="470">
        <f>IF(N351="",0,IF(SETUP!$E$7="USD",((IF(O351="USD",AY351,(AY351/'Master Data-C19RM'!$H$2)))),((IF(O351="EUR",AY351,(AY351*'Master Data-C19RM'!$H$2))))))</f>
        <v>0</v>
      </c>
      <c r="BU351" s="448">
        <f t="shared" si="45"/>
        <v>0</v>
      </c>
      <c r="BV351" s="562">
        <f t="shared" si="46"/>
        <v>0</v>
      </c>
      <c r="BW351" s="470"/>
      <c r="BX351" s="470"/>
      <c r="BY351" s="470"/>
      <c r="BZ351" s="470"/>
      <c r="CA351" s="470"/>
      <c r="CB351" s="470"/>
      <c r="CC351" s="470"/>
      <c r="CD351" s="470"/>
      <c r="CE351" s="470"/>
      <c r="CF351" s="470"/>
      <c r="CG351" s="470"/>
      <c r="CH351" s="470"/>
      <c r="CI351" s="470"/>
      <c r="CJ351" s="470"/>
      <c r="CK351" s="470"/>
      <c r="CL351" s="470"/>
      <c r="CM351" s="470"/>
      <c r="CN351" s="470"/>
      <c r="CO351" s="470"/>
      <c r="CP351" s="470"/>
    </row>
    <row r="352" spans="1:94" s="448" customFormat="1" ht="14" x14ac:dyDescent="0.3">
      <c r="A352" s="1192"/>
      <c r="B352" s="1192"/>
      <c r="C352" s="1192"/>
      <c r="D352" s="1192"/>
      <c r="E352" s="1173"/>
      <c r="F352" s="1173"/>
      <c r="G352" s="1173"/>
      <c r="H352" s="1173"/>
      <c r="I352" s="1173"/>
      <c r="J352" s="1173"/>
      <c r="K352" s="1173"/>
      <c r="L352" s="493" t="str" cm="1">
        <f t="array" ref="L352">IF(A352&lt;&gt;"",IFERROR(INDEX(PMtbl[[WKst]:[Unit of measure*]],MATCH($A$330&amp;$A352&amp;$E352&amp;$I352,INDEX(PMtbl[Sec]&amp;PMtbl[Category]&amp;PMtbl[Each]&amp;PMtbl[Packaging],0,),0),14),""),"")</f>
        <v/>
      </c>
      <c r="M352" s="480" t="str">
        <f>IF(L352="","",INDEX(SETUP!$E$20:$E$122,(MATCH(INDEX(PMsheet!$D:$E,MATCH(A352,PMsheet!E:E,0),1),SETUP!$D$20:$D$122,0))))</f>
        <v/>
      </c>
      <c r="N352" s="494">
        <f>IF($O352="USD",_xlfn.IFNA(VLOOKUP(A352&amp;E352&amp;I352,PMsheet!J:K,2,0),0),(_xlfn.IFNA(VLOOKUP(A352&amp;E352&amp;I352,PMsheet!J:K,2,0),0)*'Master Data-C19RM'!$C$2))</f>
        <v>0</v>
      </c>
      <c r="O352" s="495" t="str">
        <f>IF(L352="", "",SETUP!$E$7)</f>
        <v/>
      </c>
      <c r="P352" s="445">
        <f>IF($O352="USD",_xlfn.IFNA(VLOOKUP($A352&amp;$E352&amp;$I352,PMsheet!$J:$K,2,0),0),(_xlfn.IFNA(VLOOKUP($A352&amp;$E352&amp;$I352,PMsheet!$J:$K,2,0),0)*'Master Data-C19RM'!$C$2))</f>
        <v>0</v>
      </c>
      <c r="Q352" s="440"/>
      <c r="R352" s="440"/>
      <c r="S352" s="440"/>
      <c r="T352" s="440"/>
      <c r="U352" s="482">
        <f t="shared" si="44"/>
        <v>0</v>
      </c>
      <c r="V352" s="484">
        <f>IF(SETUP!$E$7="USD",(U352*(IF(O352="USD",P352,(P352/'Master Data-C19RM'!$C$2)))),(U352*(IF(O352="EUR",P352,(P352*'Master Data-C19RM'!$C$2)))))</f>
        <v>0</v>
      </c>
      <c r="W352" s="445">
        <f>IF($O352="USD",_xlfn.IFNA(VLOOKUP($A352&amp;$E352&amp;$I352,PMsheet!$J:$K,2,0),0),(_xlfn.IFNA(VLOOKUP($A352&amp;$E352&amp;$I352,PMsheet!$J:$K,2,0),0)*'Master Data-C19RM'!$D$2))</f>
        <v>0</v>
      </c>
      <c r="X352" s="440"/>
      <c r="Y352" s="440"/>
      <c r="Z352" s="440"/>
      <c r="AA352" s="440"/>
      <c r="AB352" s="482">
        <f t="shared" si="47"/>
        <v>0</v>
      </c>
      <c r="AC352" s="484">
        <f>IF(SETUP!$E$7="USD",(AB352*(IF(O352="USD",W352,(W352/'Master Data-C19RM'!$D$2)))),(AB352*(IF(O352="EUR",W352,(W352*'Master Data-C19RM'!$D$2)))))</f>
        <v>0</v>
      </c>
      <c r="AD352" s="445">
        <f>IF($O352="USD",_xlfn.IFNA(VLOOKUP($A352&amp;$E352&amp;$I352,PMsheet!$J:$K,2,0),0),(_xlfn.IFNA(VLOOKUP($A352&amp;$E352&amp;$I352,PMsheet!$J:$K,2,0),0)*'Master Data-C19RM'!$E$2))</f>
        <v>0</v>
      </c>
      <c r="AE352" s="440"/>
      <c r="AF352" s="440"/>
      <c r="AG352" s="440"/>
      <c r="AH352" s="440"/>
      <c r="AI352" s="514">
        <f t="shared" si="48"/>
        <v>0</v>
      </c>
      <c r="AJ352" s="515">
        <f>IF(SETUP!$E$7="USD",(AI352*(IF(O352="USD",AD352,(AD352/'Master Data-C19RM'!$E$2)))),(AI352*(IF(O352="EUR",AD352,(AD352*'Master Data-C19RM'!$E$2)))))</f>
        <v>0</v>
      </c>
      <c r="AK352" s="445">
        <f>IF($O352="USD",_xlfn.IFNA(VLOOKUP($A352&amp;$E352&amp;$I352,PMsheet!$J:$K,2,0),0),(_xlfn.IFNA(VLOOKUP($A352&amp;$E352&amp;$I352,PMsheet!$J:$K,2,0),0)*'Master Data-C19RM'!$F$2))</f>
        <v>0</v>
      </c>
      <c r="AL352" s="440"/>
      <c r="AM352" s="440"/>
      <c r="AN352" s="440"/>
      <c r="AO352" s="440"/>
      <c r="AP352" s="514">
        <f t="shared" si="49"/>
        <v>0</v>
      </c>
      <c r="AQ352" s="515">
        <f>IF(SETUP!$E$7="USD",(AP352*(IF(O352="USD",AK352,(AK352/'Master Data-C19RM'!$F$2)))),(AP352*(IF(O352="EUR",AK352,(AK352*'Master Data-C19RM'!$F$2)))))</f>
        <v>0</v>
      </c>
      <c r="AR352" s="925">
        <f>IF($O352="USD",_xlfn.IFNA(VLOOKUP($A352&amp;$E352&amp;$I352,PMsheet!$J:$K,2,0),0),(_xlfn.IFNA(VLOOKUP($A352&amp;$E352&amp;$I352,PMsheet!$J:$K,2,0),0)*'Master Data-C19RM'!$G$2))</f>
        <v>0</v>
      </c>
      <c r="AS352" s="926"/>
      <c r="AT352" s="926"/>
      <c r="AU352" s="926"/>
      <c r="AV352" s="926"/>
      <c r="AW352" s="514">
        <f t="shared" si="50"/>
        <v>0</v>
      </c>
      <c r="AX352" s="514">
        <f>IF(SETUP!$E$7="USD",(AW352*(IF(O352="USD",AR352,(AR352/'Master Data-C19RM'!$G$2)))),(AW352*(IF(O352="EUR",AR352,(AR352*'Master Data-C19RM'!$G$2)))))</f>
        <v>0</v>
      </c>
      <c r="AY352" s="845"/>
      <c r="AZ352" s="846"/>
      <c r="BA352" s="846"/>
      <c r="BB352" s="846"/>
      <c r="BC352" s="846"/>
      <c r="BD352" s="846"/>
      <c r="BE352" s="847"/>
      <c r="BF352" s="521">
        <f>'C19RM 2021-Lab &amp; Other HPS'!$U352+'C19RM 2021-Lab &amp; Other HPS'!$AB352+'C19RM 2021-Lab &amp; Other HPS'!$AP352+'C19RM 2021-Lab &amp; Other HPS'!$AI352+AW352+BD352</f>
        <v>0</v>
      </c>
      <c r="BG352" s="515">
        <f>'C19RM 2021-Lab &amp; Other HPS'!$V352+'C19RM 2021-Lab &amp; Other HPS'!$AC352+'C19RM 2021-Lab &amp; Other HPS'!$AQ352+'C19RM 2021-Lab &amp; Other HPS'!$AJ352+AX352+BE352</f>
        <v>0</v>
      </c>
      <c r="BH352" s="522" t="str" cm="1">
        <f t="array" ref="BH352">IF(A352&lt;&gt;"",IFERROR(INDEX(PMtbl[[WKst]:[Unit of measure*]],MATCH($A$330&amp;$A352&amp;$E352&amp;$I352,INDEX(PMtbl[Sec]&amp;PMtbl[Category]&amp;PMtbl[Each]&amp;PMtbl[Packaging],0,),0),11),""),"")</f>
        <v/>
      </c>
      <c r="BI352" s="818"/>
      <c r="BJ352" s="503" t="str" cm="1">
        <f t="array" ref="BJ352">IFERROR(INDEX(SETUP!$C$19:$G$121,MATCH((INDEX(PMtbl[[WKst]:[Unit of measure*]],MATCH($A352&amp;$E352&amp;$I352,INDEX(PMtbl[Category]&amp;PMtbl[Each]&amp;PMtbl[Packaging],0,),0),3)),SETUP!$D$19:$D$121,0),5),"")</f>
        <v/>
      </c>
      <c r="BK352" s="569" t="str" cm="1">
        <f t="array" ref="BK352">IFERROR(IF((INDEX(SETUP!$C$19:$G$121,MATCH((INDEX(PMtbl[[WKst]:[Unit of measure*]],MATCH($A352&amp;$E352&amp;$I352,INDEX(PMtbl[Category]&amp;PMtbl[Each]&amp;PMtbl[Packaging],0,),0),3)),SETUP!$D$19:$D$121,0),4))="Upfront",0,INDEX(SETUP!$C$19:$G$121,MATCH((INDEX(PMtbl[[WKst]:[Unit of measure*]],MATCH($A352&amp;$E352&amp;$I352,INDEX(PMtbl[Category]&amp;PMtbl[Each]&amp;PMtbl[Packaging],0,),0),3)),SETUP!$D$19:$D$121,0),5)),"")</f>
        <v/>
      </c>
      <c r="BL352" s="564" t="str" cm="1">
        <f t="array" ref="BL352">IF(E352&lt;&gt;"",IFERROR(INDEX(PMtbl[[WKst]:[Unit of measure*]],MATCH($A$330&amp;$A352&amp;$E352&amp;$I352,INDEX(PMtbl[Sec]&amp;PMtbl[Category]&amp;PMtbl[Each]&amp;PMtbl[Packaging],0,),0),11),""),"")</f>
        <v/>
      </c>
      <c r="BO352" s="448">
        <f>IF(N352="",0,IF(SETUP!$E$7="USD",((IF(O352="USD",P352,(P352/'Master Data-C19RM'!$C$2)))),((IF(O352="EUR",P352,(P352*'Master Data-C19RM'!$C$2))))))</f>
        <v>0</v>
      </c>
      <c r="BP352" s="448">
        <f>IF(N352="",0,IF(SETUP!$E$7="USD",((IF(O352="USD",W352,(W352/'Master Data-C19RM'!$D$2)))),((IF(O352="EUR",W352,(W352*'Master Data-C19RM'!$D$2))))))</f>
        <v>0</v>
      </c>
      <c r="BQ352" s="470">
        <f>IF(N352="",0,IF(SETUP!$E$7="USD",((IF(O352="USD",AD352,(AD352/'Master Data-C19RM'!$E$2)))),((IF(O352="EUR",AD352,(AD352*'Master Data-C19RM'!$E$2))))))</f>
        <v>0</v>
      </c>
      <c r="BR352" s="470">
        <f>IF(N352="",0,IF(SETUP!$E$7="USD",((IF(O352="USD",AK352,(AK352/'Master Data-C19RM'!$F$2)))),((IF(O352="EUR",AK352,(AK352*'Master Data-C19RM'!$F$2))))))</f>
        <v>0</v>
      </c>
      <c r="BS352" s="470">
        <f>IF(N352="",0,IF(SETUP!$E$7="USD",((IF(O352="USD",AR352,(AR352/'Master Data-C19RM'!$G$2)))),((IF(O352="EUR",AR352,(AR352*'Master Data-C19RM'!$G$2))))))</f>
        <v>0</v>
      </c>
      <c r="BT352" s="470">
        <f>IF(N352="",0,IF(SETUP!$E$7="USD",((IF(O352="USD",AY352,(AY352/'Master Data-C19RM'!$H$2)))),((IF(O352="EUR",AY352,(AY352*'Master Data-C19RM'!$H$2))))))</f>
        <v>0</v>
      </c>
      <c r="BU352" s="448">
        <f t="shared" si="45"/>
        <v>0</v>
      </c>
      <c r="BV352" s="562">
        <f t="shared" si="46"/>
        <v>0</v>
      </c>
      <c r="BW352" s="470"/>
      <c r="BX352" s="470"/>
      <c r="BY352" s="470"/>
      <c r="BZ352" s="470"/>
      <c r="CA352" s="470"/>
      <c r="CB352" s="470"/>
      <c r="CC352" s="470"/>
      <c r="CD352" s="470"/>
      <c r="CE352" s="470"/>
      <c r="CF352" s="470"/>
      <c r="CG352" s="470"/>
      <c r="CH352" s="470"/>
      <c r="CI352" s="470"/>
      <c r="CJ352" s="470"/>
      <c r="CK352" s="470"/>
      <c r="CL352" s="470"/>
      <c r="CM352" s="470"/>
      <c r="CN352" s="470"/>
      <c r="CO352" s="470"/>
      <c r="CP352" s="470"/>
    </row>
    <row r="353" spans="1:94" s="448" customFormat="1" ht="14" x14ac:dyDescent="0.3">
      <c r="A353" s="1165"/>
      <c r="B353" s="1165"/>
      <c r="C353" s="1165"/>
      <c r="D353" s="1165"/>
      <c r="E353" s="1166"/>
      <c r="F353" s="1166"/>
      <c r="G353" s="1166"/>
      <c r="H353" s="1166"/>
      <c r="I353" s="1166"/>
      <c r="J353" s="1166"/>
      <c r="K353" s="1166"/>
      <c r="L353" s="490" t="str" cm="1">
        <f t="array" ref="L353">IF(A353&lt;&gt;"",IFERROR(INDEX(PMtbl[[WKst]:[Unit of measure*]],MATCH($A$330&amp;$A353&amp;$E353&amp;$I353,INDEX(PMtbl[Sec]&amp;PMtbl[Category]&amp;PMtbl[Each]&amp;PMtbl[Packaging],0,),0),14),""),"")</f>
        <v/>
      </c>
      <c r="M353" s="479" t="str">
        <f>IF(L353="","",INDEX(SETUP!$E$20:$E$122,(MATCH(INDEX(PMsheet!$D:$E,MATCH(A353,PMsheet!E:E,0),1),SETUP!$D$20:$D$122,0))))</f>
        <v/>
      </c>
      <c r="N353" s="491">
        <f>IF($O353="USD",_xlfn.IFNA(VLOOKUP(A353&amp;E353&amp;I353,PMsheet!J:K,2,0),0),(_xlfn.IFNA(VLOOKUP(A353&amp;E353&amp;I353,PMsheet!J:K,2,0),0)*'Master Data-C19RM'!$C$2))</f>
        <v>0</v>
      </c>
      <c r="O353" s="492" t="str">
        <f>IF(L353="", "",SETUP!$E$7)</f>
        <v/>
      </c>
      <c r="P353" s="444">
        <f>IF($O353="USD",_xlfn.IFNA(VLOOKUP($A353&amp;$E353&amp;$I353,PMsheet!$J:$K,2,0),0),(_xlfn.IFNA(VLOOKUP($A353&amp;$E353&amp;$I353,PMsheet!$J:$K,2,0),0)*'Master Data-C19RM'!$C$2))</f>
        <v>0</v>
      </c>
      <c r="Q353" s="441"/>
      <c r="R353" s="441"/>
      <c r="S353" s="441"/>
      <c r="T353" s="441"/>
      <c r="U353" s="481">
        <f t="shared" si="44"/>
        <v>0</v>
      </c>
      <c r="V353" s="483">
        <f>IF(SETUP!$E$7="USD",(U353*(IF(O353="USD",P353,(P353/'Master Data-C19RM'!$C$2)))),(U353*(IF(O353="EUR",P353,(P353*'Master Data-C19RM'!$C$2)))))</f>
        <v>0</v>
      </c>
      <c r="W353" s="444">
        <f>IF($O353="USD",_xlfn.IFNA(VLOOKUP($A353&amp;$E353&amp;$I353,PMsheet!$J:$K,2,0),0),(_xlfn.IFNA(VLOOKUP($A353&amp;$E353&amp;$I353,PMsheet!$J:$K,2,0),0)*'Master Data-C19RM'!$D$2))</f>
        <v>0</v>
      </c>
      <c r="X353" s="441"/>
      <c r="Y353" s="441"/>
      <c r="Z353" s="441"/>
      <c r="AA353" s="441"/>
      <c r="AB353" s="481">
        <f t="shared" si="47"/>
        <v>0</v>
      </c>
      <c r="AC353" s="483">
        <f>IF(SETUP!$E$7="USD",(AB353*(IF(O353="USD",W353,(W353/'Master Data-C19RM'!$D$2)))),(AB353*(IF(O353="EUR",W353,(W353*'Master Data-C19RM'!$D$2)))))</f>
        <v>0</v>
      </c>
      <c r="AD353" s="444">
        <f>IF($O353="USD",_xlfn.IFNA(VLOOKUP($A353&amp;$E353&amp;$I353,PMsheet!$J:$K,2,0),0),(_xlfn.IFNA(VLOOKUP($A353&amp;$E353&amp;$I353,PMsheet!$J:$K,2,0),0)*'Master Data-C19RM'!$E$2))</f>
        <v>0</v>
      </c>
      <c r="AE353" s="441"/>
      <c r="AF353" s="441"/>
      <c r="AG353" s="441"/>
      <c r="AH353" s="441"/>
      <c r="AI353" s="512">
        <f t="shared" si="48"/>
        <v>0</v>
      </c>
      <c r="AJ353" s="513">
        <f>IF(SETUP!$E$7="USD",(AI353*(IF(O353="USD",AD353,(AD353/'Master Data-C19RM'!$E$2)))),(AI353*(IF(O353="EUR",AD353,(AD353*'Master Data-C19RM'!$E$2)))))</f>
        <v>0</v>
      </c>
      <c r="AK353" s="444">
        <f>IF($O353="USD",_xlfn.IFNA(VLOOKUP($A353&amp;$E353&amp;$I353,PMsheet!$J:$K,2,0),0),(_xlfn.IFNA(VLOOKUP($A353&amp;$E353&amp;$I353,PMsheet!$J:$K,2,0),0)*'Master Data-C19RM'!$F$2))</f>
        <v>0</v>
      </c>
      <c r="AL353" s="441"/>
      <c r="AM353" s="441"/>
      <c r="AN353" s="441"/>
      <c r="AO353" s="441"/>
      <c r="AP353" s="512">
        <f t="shared" si="49"/>
        <v>0</v>
      </c>
      <c r="AQ353" s="513">
        <f>IF(SETUP!$E$7="USD",(AP353*(IF(O353="USD",AK353,(AK353/'Master Data-C19RM'!$F$2)))),(AP353*(IF(O353="EUR",AK353,(AK353*'Master Data-C19RM'!$F$2)))))</f>
        <v>0</v>
      </c>
      <c r="AR353" s="924">
        <f>IF($O353="USD",_xlfn.IFNA(VLOOKUP($A353&amp;$E353&amp;$I353,PMsheet!$J:$K,2,0),0),(_xlfn.IFNA(VLOOKUP($A353&amp;$E353&amp;$I353,PMsheet!$J:$K,2,0),0)*'Master Data-C19RM'!$G$2))</f>
        <v>0</v>
      </c>
      <c r="AS353" s="572"/>
      <c r="AT353" s="572"/>
      <c r="AU353" s="572"/>
      <c r="AV353" s="572"/>
      <c r="AW353" s="512">
        <f t="shared" si="50"/>
        <v>0</v>
      </c>
      <c r="AX353" s="512">
        <f>IF(SETUP!$E$7="USD",(AW353*(IF(O353="USD",AR353,(AR353/'Master Data-C19RM'!$G$2)))),(AW353*(IF(O353="EUR",AR353,(AR353*'Master Data-C19RM'!$G$2)))))</f>
        <v>0</v>
      </c>
      <c r="AY353" s="845"/>
      <c r="AZ353" s="846"/>
      <c r="BA353" s="846"/>
      <c r="BB353" s="846"/>
      <c r="BC353" s="846"/>
      <c r="BD353" s="846"/>
      <c r="BE353" s="847"/>
      <c r="BF353" s="520">
        <f>'C19RM 2021-Lab &amp; Other HPS'!$U353+'C19RM 2021-Lab &amp; Other HPS'!$AB353+'C19RM 2021-Lab &amp; Other HPS'!$AP353+'C19RM 2021-Lab &amp; Other HPS'!$AI353+AW353+BD353</f>
        <v>0</v>
      </c>
      <c r="BG353" s="513">
        <f>'C19RM 2021-Lab &amp; Other HPS'!$V353+'C19RM 2021-Lab &amp; Other HPS'!$AC353+'C19RM 2021-Lab &amp; Other HPS'!$AQ353+'C19RM 2021-Lab &amp; Other HPS'!$AJ353+AX353+BE353</f>
        <v>0</v>
      </c>
      <c r="BH353" s="500" t="str" cm="1">
        <f t="array" ref="BH353">IF(A353&lt;&gt;"",IFERROR(INDEX(PMtbl[[WKst]:[Unit of measure*]],MATCH($A$330&amp;$A353&amp;$E353&amp;$I353,INDEX(PMtbl[Sec]&amp;PMtbl[Category]&amp;PMtbl[Each]&amp;PMtbl[Packaging],0,),0),11),""),"")</f>
        <v/>
      </c>
      <c r="BI353" s="819"/>
      <c r="BJ353" s="502" t="str" cm="1">
        <f t="array" ref="BJ353">IFERROR(INDEX(SETUP!$C$19:$G$121,MATCH((INDEX(PMtbl[[WKst]:[Unit of measure*]],MATCH($A353&amp;$E353&amp;$I353,INDEX(PMtbl[Category]&amp;PMtbl[Each]&amp;PMtbl[Packaging],0,),0),3)),SETUP!$D$19:$D$121,0),5),"")</f>
        <v/>
      </c>
      <c r="BK353" s="568" t="str" cm="1">
        <f t="array" ref="BK353">IFERROR(IF((INDEX(SETUP!$C$19:$G$121,MATCH((INDEX(PMtbl[[WKst]:[Unit of measure*]],MATCH($A353&amp;$E353&amp;$I353,INDEX(PMtbl[Category]&amp;PMtbl[Each]&amp;PMtbl[Packaging],0,),0),3)),SETUP!$D$19:$D$121,0),4))="Upfront",0,INDEX(SETUP!$C$19:$G$121,MATCH((INDEX(PMtbl[[WKst]:[Unit of measure*]],MATCH($A353&amp;$E353&amp;$I353,INDEX(PMtbl[Category]&amp;PMtbl[Each]&amp;PMtbl[Packaging],0,),0),3)),SETUP!$D$19:$D$121,0),5)),"")</f>
        <v/>
      </c>
      <c r="BL353" s="563" t="str" cm="1">
        <f t="array" ref="BL353">IF(E353&lt;&gt;"",IFERROR(INDEX(PMtbl[[WKst]:[Unit of measure*]],MATCH($A$330&amp;$A353&amp;$E353&amp;$I353,INDEX(PMtbl[Sec]&amp;PMtbl[Category]&amp;PMtbl[Each]&amp;PMtbl[Packaging],0,),0),11),""),"")</f>
        <v/>
      </c>
      <c r="BO353" s="448">
        <f>IF(N353="",0,IF(SETUP!$E$7="USD",((IF(O353="USD",P353,(P353/'Master Data-C19RM'!$C$2)))),((IF(O353="EUR",P353,(P353*'Master Data-C19RM'!$C$2))))))</f>
        <v>0</v>
      </c>
      <c r="BP353" s="448">
        <f>IF(N353="",0,IF(SETUP!$E$7="USD",((IF(O353="USD",W353,(W353/'Master Data-C19RM'!$D$2)))),((IF(O353="EUR",W353,(W353*'Master Data-C19RM'!$D$2))))))</f>
        <v>0</v>
      </c>
      <c r="BQ353" s="470">
        <f>IF(N353="",0,IF(SETUP!$E$7="USD",((IF(O353="USD",AD353,(AD353/'Master Data-C19RM'!$E$2)))),((IF(O353="EUR",AD353,(AD353*'Master Data-C19RM'!$E$2))))))</f>
        <v>0</v>
      </c>
      <c r="BR353" s="470">
        <f>IF(N353="",0,IF(SETUP!$E$7="USD",((IF(O353="USD",AK353,(AK353/'Master Data-C19RM'!$F$2)))),((IF(O353="EUR",AK353,(AK353*'Master Data-C19RM'!$F$2))))))</f>
        <v>0</v>
      </c>
      <c r="BS353" s="470">
        <f>IF(N353="",0,IF(SETUP!$E$7="USD",((IF(O353="USD",AR353,(AR353/'Master Data-C19RM'!$G$2)))),((IF(O353="EUR",AR353,(AR353*'Master Data-C19RM'!$G$2))))))</f>
        <v>0</v>
      </c>
      <c r="BT353" s="470">
        <f>IF(N353="",0,IF(SETUP!$E$7="USD",((IF(O353="USD",AY353,(AY353/'Master Data-C19RM'!$H$2)))),((IF(O353="EUR",AY353,(AY353*'Master Data-C19RM'!$H$2))))))</f>
        <v>0</v>
      </c>
      <c r="BU353" s="448">
        <f t="shared" si="45"/>
        <v>0</v>
      </c>
      <c r="BV353" s="562">
        <f t="shared" si="46"/>
        <v>0</v>
      </c>
      <c r="BW353" s="470"/>
      <c r="BX353" s="470"/>
      <c r="BY353" s="470"/>
      <c r="BZ353" s="470"/>
      <c r="CA353" s="470"/>
      <c r="CB353" s="470"/>
      <c r="CC353" s="470"/>
      <c r="CD353" s="470"/>
      <c r="CE353" s="470"/>
      <c r="CF353" s="470"/>
      <c r="CG353" s="470"/>
      <c r="CH353" s="470"/>
      <c r="CI353" s="470"/>
      <c r="CJ353" s="470"/>
      <c r="CK353" s="470"/>
      <c r="CL353" s="470"/>
      <c r="CM353" s="470"/>
      <c r="CN353" s="470"/>
      <c r="CO353" s="470"/>
      <c r="CP353" s="470"/>
    </row>
    <row r="354" spans="1:94" s="448" customFormat="1" ht="14" x14ac:dyDescent="0.3">
      <c r="A354" s="1192"/>
      <c r="B354" s="1192"/>
      <c r="C354" s="1192"/>
      <c r="D354" s="1192"/>
      <c r="E354" s="1173"/>
      <c r="F354" s="1173"/>
      <c r="G354" s="1173"/>
      <c r="H354" s="1173"/>
      <c r="I354" s="1173"/>
      <c r="J354" s="1173"/>
      <c r="K354" s="1173"/>
      <c r="L354" s="493" t="str" cm="1">
        <f t="array" ref="L354">IF(A354&lt;&gt;"",IFERROR(INDEX(PMtbl[[WKst]:[Unit of measure*]],MATCH($A$330&amp;$A354&amp;$E354&amp;$I354,INDEX(PMtbl[Sec]&amp;PMtbl[Category]&amp;PMtbl[Each]&amp;PMtbl[Packaging],0,),0),14),""),"")</f>
        <v/>
      </c>
      <c r="M354" s="480" t="str">
        <f>IF(L354="","",INDEX(SETUP!$E$20:$E$122,(MATCH(INDEX(PMsheet!$D:$E,MATCH(A354,PMsheet!E:E,0),1),SETUP!$D$20:$D$122,0))))</f>
        <v/>
      </c>
      <c r="N354" s="494">
        <f>IF($O354="USD",_xlfn.IFNA(VLOOKUP(A354&amp;E354&amp;I354,PMsheet!J:K,2,0),0),(_xlfn.IFNA(VLOOKUP(A354&amp;E354&amp;I354,PMsheet!J:K,2,0),0)*'Master Data-C19RM'!$C$2))</f>
        <v>0</v>
      </c>
      <c r="O354" s="495" t="str">
        <f>IF(L354="", "",SETUP!$E$7)</f>
        <v/>
      </c>
      <c r="P354" s="445">
        <f>IF($O354="USD",_xlfn.IFNA(VLOOKUP($A354&amp;$E354&amp;$I354,PMsheet!$J:$K,2,0),0),(_xlfn.IFNA(VLOOKUP($A354&amp;$E354&amp;$I354,PMsheet!$J:$K,2,0),0)*'Master Data-C19RM'!$C$2))</f>
        <v>0</v>
      </c>
      <c r="Q354" s="440"/>
      <c r="R354" s="440"/>
      <c r="S354" s="440"/>
      <c r="T354" s="440"/>
      <c r="U354" s="482">
        <f t="shared" si="44"/>
        <v>0</v>
      </c>
      <c r="V354" s="484">
        <f>IF(SETUP!$E$7="USD",(U354*(IF(O354="USD",P354,(P354/'Master Data-C19RM'!$C$2)))),(U354*(IF(O354="EUR",P354,(P354*'Master Data-C19RM'!$C$2)))))</f>
        <v>0</v>
      </c>
      <c r="W354" s="445">
        <f>IF($O354="USD",_xlfn.IFNA(VLOOKUP($A354&amp;$E354&amp;$I354,PMsheet!$J:$K,2,0),0),(_xlfn.IFNA(VLOOKUP($A354&amp;$E354&amp;$I354,PMsheet!$J:$K,2,0),0)*'Master Data-C19RM'!$D$2))</f>
        <v>0</v>
      </c>
      <c r="X354" s="440"/>
      <c r="Y354" s="440"/>
      <c r="Z354" s="440"/>
      <c r="AA354" s="440"/>
      <c r="AB354" s="482">
        <f t="shared" si="47"/>
        <v>0</v>
      </c>
      <c r="AC354" s="484">
        <f>IF(SETUP!$E$7="USD",(AB354*(IF(O354="USD",W354,(W354/'Master Data-C19RM'!$D$2)))),(AB354*(IF(O354="EUR",W354,(W354*'Master Data-C19RM'!$D$2)))))</f>
        <v>0</v>
      </c>
      <c r="AD354" s="445">
        <f>IF($O354="USD",_xlfn.IFNA(VLOOKUP($A354&amp;$E354&amp;$I354,PMsheet!$J:$K,2,0),0),(_xlfn.IFNA(VLOOKUP($A354&amp;$E354&amp;$I354,PMsheet!$J:$K,2,0),0)*'Master Data-C19RM'!$E$2))</f>
        <v>0</v>
      </c>
      <c r="AE354" s="440"/>
      <c r="AF354" s="440"/>
      <c r="AG354" s="440"/>
      <c r="AH354" s="440"/>
      <c r="AI354" s="514">
        <f t="shared" si="48"/>
        <v>0</v>
      </c>
      <c r="AJ354" s="515">
        <f>IF(SETUP!$E$7="USD",(AI354*(IF(O354="USD",AD354,(AD354/'Master Data-C19RM'!$E$2)))),(AI354*(IF(O354="EUR",AD354,(AD354*'Master Data-C19RM'!$E$2)))))</f>
        <v>0</v>
      </c>
      <c r="AK354" s="445">
        <f>IF($O354="USD",_xlfn.IFNA(VLOOKUP($A354&amp;$E354&amp;$I354,PMsheet!$J:$K,2,0),0),(_xlfn.IFNA(VLOOKUP($A354&amp;$E354&amp;$I354,PMsheet!$J:$K,2,0),0)*'Master Data-C19RM'!$F$2))</f>
        <v>0</v>
      </c>
      <c r="AL354" s="440"/>
      <c r="AM354" s="440"/>
      <c r="AN354" s="440"/>
      <c r="AO354" s="440"/>
      <c r="AP354" s="514">
        <f t="shared" si="49"/>
        <v>0</v>
      </c>
      <c r="AQ354" s="515">
        <f>IF(SETUP!$E$7="USD",(AP354*(IF(O354="USD",AK354,(AK354/'Master Data-C19RM'!$F$2)))),(AP354*(IF(O354="EUR",AK354,(AK354*'Master Data-C19RM'!$F$2)))))</f>
        <v>0</v>
      </c>
      <c r="AR354" s="925">
        <f>IF($O354="USD",_xlfn.IFNA(VLOOKUP($A354&amp;$E354&amp;$I354,PMsheet!$J:$K,2,0),0),(_xlfn.IFNA(VLOOKUP($A354&amp;$E354&amp;$I354,PMsheet!$J:$K,2,0),0)*'Master Data-C19RM'!$G$2))</f>
        <v>0</v>
      </c>
      <c r="AS354" s="926"/>
      <c r="AT354" s="926"/>
      <c r="AU354" s="926"/>
      <c r="AV354" s="926"/>
      <c r="AW354" s="514">
        <f t="shared" si="50"/>
        <v>0</v>
      </c>
      <c r="AX354" s="514">
        <f>IF(SETUP!$E$7="USD",(AW354*(IF(O354="USD",AR354,(AR354/'Master Data-C19RM'!$G$2)))),(AW354*(IF(O354="EUR",AR354,(AR354*'Master Data-C19RM'!$G$2)))))</f>
        <v>0</v>
      </c>
      <c r="AY354" s="845"/>
      <c r="AZ354" s="846"/>
      <c r="BA354" s="846"/>
      <c r="BB354" s="846"/>
      <c r="BC354" s="846"/>
      <c r="BD354" s="846"/>
      <c r="BE354" s="847"/>
      <c r="BF354" s="521">
        <f>'C19RM 2021-Lab &amp; Other HPS'!$U354+'C19RM 2021-Lab &amp; Other HPS'!$AB354+'C19RM 2021-Lab &amp; Other HPS'!$AP354+'C19RM 2021-Lab &amp; Other HPS'!$AI354+AW354+BD354</f>
        <v>0</v>
      </c>
      <c r="BG354" s="515">
        <f>'C19RM 2021-Lab &amp; Other HPS'!$V354+'C19RM 2021-Lab &amp; Other HPS'!$AC354+'C19RM 2021-Lab &amp; Other HPS'!$AQ354+'C19RM 2021-Lab &amp; Other HPS'!$AJ354+AX354+BE354</f>
        <v>0</v>
      </c>
      <c r="BH354" s="522" t="str" cm="1">
        <f t="array" ref="BH354">IF(A354&lt;&gt;"",IFERROR(INDEX(PMtbl[[WKst]:[Unit of measure*]],MATCH($A$330&amp;$A354&amp;$E354&amp;$I354,INDEX(PMtbl[Sec]&amp;PMtbl[Category]&amp;PMtbl[Each]&amp;PMtbl[Packaging],0,),0),11),""),"")</f>
        <v/>
      </c>
      <c r="BI354" s="818"/>
      <c r="BJ354" s="503" t="str" cm="1">
        <f t="array" ref="BJ354">IFERROR(INDEX(SETUP!$C$19:$G$121,MATCH((INDEX(PMtbl[[WKst]:[Unit of measure*]],MATCH($A354&amp;$E354&amp;$I354,INDEX(PMtbl[Category]&amp;PMtbl[Each]&amp;PMtbl[Packaging],0,),0),3)),SETUP!$D$19:$D$121,0),5),"")</f>
        <v/>
      </c>
      <c r="BK354" s="569" t="str" cm="1">
        <f t="array" ref="BK354">IFERROR(IF((INDEX(SETUP!$C$19:$G$121,MATCH((INDEX(PMtbl[[WKst]:[Unit of measure*]],MATCH($A354&amp;$E354&amp;$I354,INDEX(PMtbl[Category]&amp;PMtbl[Each]&amp;PMtbl[Packaging],0,),0),3)),SETUP!$D$19:$D$121,0),4))="Upfront",0,INDEX(SETUP!$C$19:$G$121,MATCH((INDEX(PMtbl[[WKst]:[Unit of measure*]],MATCH($A354&amp;$E354&amp;$I354,INDEX(PMtbl[Category]&amp;PMtbl[Each]&amp;PMtbl[Packaging],0,),0),3)),SETUP!$D$19:$D$121,0),5)),"")</f>
        <v/>
      </c>
      <c r="BL354" s="564" t="str" cm="1">
        <f t="array" ref="BL354">IF(E354&lt;&gt;"",IFERROR(INDEX(PMtbl[[WKst]:[Unit of measure*]],MATCH($A$330&amp;$A354&amp;$E354&amp;$I354,INDEX(PMtbl[Sec]&amp;PMtbl[Category]&amp;PMtbl[Each]&amp;PMtbl[Packaging],0,),0),11),""),"")</f>
        <v/>
      </c>
      <c r="BO354" s="448">
        <f>IF(N354="",0,IF(SETUP!$E$7="USD",((IF(O354="USD",P354,(P354/'Master Data-C19RM'!$C$2)))),((IF(O354="EUR",P354,(P354*'Master Data-C19RM'!$C$2))))))</f>
        <v>0</v>
      </c>
      <c r="BP354" s="448">
        <f>IF(N354="",0,IF(SETUP!$E$7="USD",((IF(O354="USD",W354,(W354/'Master Data-C19RM'!$D$2)))),((IF(O354="EUR",W354,(W354*'Master Data-C19RM'!$D$2))))))</f>
        <v>0</v>
      </c>
      <c r="BQ354" s="470">
        <f>IF(N354="",0,IF(SETUP!$E$7="USD",((IF(O354="USD",AD354,(AD354/'Master Data-C19RM'!$E$2)))),((IF(O354="EUR",AD354,(AD354*'Master Data-C19RM'!$E$2))))))</f>
        <v>0</v>
      </c>
      <c r="BR354" s="470">
        <f>IF(N354="",0,IF(SETUP!$E$7="USD",((IF(O354="USD",AK354,(AK354/'Master Data-C19RM'!$F$2)))),((IF(O354="EUR",AK354,(AK354*'Master Data-C19RM'!$F$2))))))</f>
        <v>0</v>
      </c>
      <c r="BS354" s="470">
        <f>IF(N354="",0,IF(SETUP!$E$7="USD",((IF(O354="USD",AR354,(AR354/'Master Data-C19RM'!$G$2)))),((IF(O354="EUR",AR354,(AR354*'Master Data-C19RM'!$G$2))))))</f>
        <v>0</v>
      </c>
      <c r="BT354" s="470">
        <f>IF(N354="",0,IF(SETUP!$E$7="USD",((IF(O354="USD",AY354,(AY354/'Master Data-C19RM'!$H$2)))),((IF(O354="EUR",AY354,(AY354*'Master Data-C19RM'!$H$2))))))</f>
        <v>0</v>
      </c>
      <c r="BU354" s="448">
        <f t="shared" si="45"/>
        <v>0</v>
      </c>
      <c r="BV354" s="562">
        <f t="shared" si="46"/>
        <v>0</v>
      </c>
      <c r="BW354" s="470"/>
      <c r="BX354" s="470"/>
      <c r="BY354" s="470"/>
      <c r="BZ354" s="470"/>
      <c r="CA354" s="470"/>
      <c r="CB354" s="470"/>
      <c r="CC354" s="470"/>
      <c r="CD354" s="470"/>
      <c r="CE354" s="470"/>
      <c r="CF354" s="470"/>
      <c r="CG354" s="470"/>
      <c r="CH354" s="470"/>
      <c r="CI354" s="470"/>
      <c r="CJ354" s="470"/>
      <c r="CK354" s="470"/>
      <c r="CL354" s="470"/>
      <c r="CM354" s="470"/>
      <c r="CN354" s="470"/>
      <c r="CO354" s="470"/>
      <c r="CP354" s="470"/>
    </row>
    <row r="355" spans="1:94" s="448" customFormat="1" ht="14" x14ac:dyDescent="0.3">
      <c r="A355" s="1165"/>
      <c r="B355" s="1165"/>
      <c r="C355" s="1165"/>
      <c r="D355" s="1165"/>
      <c r="E355" s="1166"/>
      <c r="F355" s="1166"/>
      <c r="G355" s="1166"/>
      <c r="H355" s="1166"/>
      <c r="I355" s="1166"/>
      <c r="J355" s="1166"/>
      <c r="K355" s="1166"/>
      <c r="L355" s="490" t="str" cm="1">
        <f t="array" ref="L355">IF(A355&lt;&gt;"",IFERROR(INDEX(PMtbl[[WKst]:[Unit of measure*]],MATCH($A$330&amp;$A355&amp;$E355&amp;$I355,INDEX(PMtbl[Sec]&amp;PMtbl[Category]&amp;PMtbl[Each]&amp;PMtbl[Packaging],0,),0),14),""),"")</f>
        <v/>
      </c>
      <c r="M355" s="479" t="str">
        <f>IF(L355="","",INDEX(SETUP!$E$20:$E$122,(MATCH(INDEX(PMsheet!$D:$E,MATCH(A355,PMsheet!E:E,0),1),SETUP!$D$20:$D$122,0))))</f>
        <v/>
      </c>
      <c r="N355" s="491">
        <f>IF($O355="USD",_xlfn.IFNA(VLOOKUP(A355&amp;E355&amp;I355,PMsheet!J:K,2,0),0),(_xlfn.IFNA(VLOOKUP(A355&amp;E355&amp;I355,PMsheet!J:K,2,0),0)*'Master Data-C19RM'!$C$2))</f>
        <v>0</v>
      </c>
      <c r="O355" s="492" t="str">
        <f>IF(L355="", "",SETUP!$E$7)</f>
        <v/>
      </c>
      <c r="P355" s="444">
        <f>IF($O355="USD",_xlfn.IFNA(VLOOKUP($A355&amp;$E355&amp;$I355,PMsheet!$J:$K,2,0),0),(_xlfn.IFNA(VLOOKUP($A355&amp;$E355&amp;$I355,PMsheet!$J:$K,2,0),0)*'Master Data-C19RM'!$C$2))</f>
        <v>0</v>
      </c>
      <c r="Q355" s="441"/>
      <c r="R355" s="441"/>
      <c r="S355" s="441"/>
      <c r="T355" s="441"/>
      <c r="U355" s="481">
        <f t="shared" si="44"/>
        <v>0</v>
      </c>
      <c r="V355" s="483">
        <f>IF(SETUP!$E$7="USD",(U355*(IF(O355="USD",P355,(P355/'Master Data-C19RM'!$C$2)))),(U355*(IF(O355="EUR",P355,(P355*'Master Data-C19RM'!$C$2)))))</f>
        <v>0</v>
      </c>
      <c r="W355" s="444">
        <f>IF($O355="USD",_xlfn.IFNA(VLOOKUP($A355&amp;$E355&amp;$I355,PMsheet!$J:$K,2,0),0),(_xlfn.IFNA(VLOOKUP($A355&amp;$E355&amp;$I355,PMsheet!$J:$K,2,0),0)*'Master Data-C19RM'!$D$2))</f>
        <v>0</v>
      </c>
      <c r="X355" s="441"/>
      <c r="Y355" s="441"/>
      <c r="Z355" s="441"/>
      <c r="AA355" s="441"/>
      <c r="AB355" s="481">
        <f t="shared" si="47"/>
        <v>0</v>
      </c>
      <c r="AC355" s="483">
        <f>IF(SETUP!$E$7="USD",(AB355*(IF(O355="USD",W355,(W355/'Master Data-C19RM'!$D$2)))),(AB355*(IF(O355="EUR",W355,(W355*'Master Data-C19RM'!$D$2)))))</f>
        <v>0</v>
      </c>
      <c r="AD355" s="444">
        <f>IF($O355="USD",_xlfn.IFNA(VLOOKUP($A355&amp;$E355&amp;$I355,PMsheet!$J:$K,2,0),0),(_xlfn.IFNA(VLOOKUP($A355&amp;$E355&amp;$I355,PMsheet!$J:$K,2,0),0)*'Master Data-C19RM'!$E$2))</f>
        <v>0</v>
      </c>
      <c r="AE355" s="441"/>
      <c r="AF355" s="441"/>
      <c r="AG355" s="441"/>
      <c r="AH355" s="441"/>
      <c r="AI355" s="512">
        <f t="shared" si="48"/>
        <v>0</v>
      </c>
      <c r="AJ355" s="513">
        <f>IF(SETUP!$E$7="USD",(AI355*(IF(O355="USD",AD355,(AD355/'Master Data-C19RM'!$E$2)))),(AI355*(IF(O355="EUR",AD355,(AD355*'Master Data-C19RM'!$E$2)))))</f>
        <v>0</v>
      </c>
      <c r="AK355" s="444">
        <f>IF($O355="USD",_xlfn.IFNA(VLOOKUP($A355&amp;$E355&amp;$I355,PMsheet!$J:$K,2,0),0),(_xlfn.IFNA(VLOOKUP($A355&amp;$E355&amp;$I355,PMsheet!$J:$K,2,0),0)*'Master Data-C19RM'!$F$2))</f>
        <v>0</v>
      </c>
      <c r="AL355" s="441"/>
      <c r="AM355" s="441"/>
      <c r="AN355" s="441"/>
      <c r="AO355" s="441"/>
      <c r="AP355" s="512">
        <f t="shared" si="49"/>
        <v>0</v>
      </c>
      <c r="AQ355" s="513">
        <f>IF(SETUP!$E$7="USD",(AP355*(IF(O355="USD",AK355,(AK355/'Master Data-C19RM'!$F$2)))),(AP355*(IF(O355="EUR",AK355,(AK355*'Master Data-C19RM'!$F$2)))))</f>
        <v>0</v>
      </c>
      <c r="AR355" s="924">
        <f>IF($O355="USD",_xlfn.IFNA(VLOOKUP($A355&amp;$E355&amp;$I355,PMsheet!$J:$K,2,0),0),(_xlfn.IFNA(VLOOKUP($A355&amp;$E355&amp;$I355,PMsheet!$J:$K,2,0),0)*'Master Data-C19RM'!$G$2))</f>
        <v>0</v>
      </c>
      <c r="AS355" s="572"/>
      <c r="AT355" s="572"/>
      <c r="AU355" s="572"/>
      <c r="AV355" s="572"/>
      <c r="AW355" s="512">
        <f t="shared" si="50"/>
        <v>0</v>
      </c>
      <c r="AX355" s="512">
        <f>IF(SETUP!$E$7="USD",(AW355*(IF(O355="USD",AR355,(AR355/'Master Data-C19RM'!$G$2)))),(AW355*(IF(O355="EUR",AR355,(AR355*'Master Data-C19RM'!$G$2)))))</f>
        <v>0</v>
      </c>
      <c r="AY355" s="845"/>
      <c r="AZ355" s="846"/>
      <c r="BA355" s="846"/>
      <c r="BB355" s="846"/>
      <c r="BC355" s="846"/>
      <c r="BD355" s="846"/>
      <c r="BE355" s="847"/>
      <c r="BF355" s="520">
        <f>'C19RM 2021-Lab &amp; Other HPS'!$U355+'C19RM 2021-Lab &amp; Other HPS'!$AB355+'C19RM 2021-Lab &amp; Other HPS'!$AP355+'C19RM 2021-Lab &amp; Other HPS'!$AI355+AW355+BD355</f>
        <v>0</v>
      </c>
      <c r="BG355" s="513">
        <f>'C19RM 2021-Lab &amp; Other HPS'!$V355+'C19RM 2021-Lab &amp; Other HPS'!$AC355+'C19RM 2021-Lab &amp; Other HPS'!$AQ355+'C19RM 2021-Lab &amp; Other HPS'!$AJ355+AX355+BE355</f>
        <v>0</v>
      </c>
      <c r="BH355" s="500" t="str" cm="1">
        <f t="array" ref="BH355">IF(A355&lt;&gt;"",IFERROR(INDEX(PMtbl[[WKst]:[Unit of measure*]],MATCH($A$330&amp;$A355&amp;$E355&amp;$I355,INDEX(PMtbl[Sec]&amp;PMtbl[Category]&amp;PMtbl[Each]&amp;PMtbl[Packaging],0,),0),11),""),"")</f>
        <v/>
      </c>
      <c r="BI355" s="819"/>
      <c r="BJ355" s="502" t="str" cm="1">
        <f t="array" ref="BJ355">IFERROR(INDEX(SETUP!$C$19:$G$121,MATCH((INDEX(PMtbl[[WKst]:[Unit of measure*]],MATCH($A355&amp;$E355&amp;$I355,INDEX(PMtbl[Category]&amp;PMtbl[Each]&amp;PMtbl[Packaging],0,),0),3)),SETUP!$D$19:$D$121,0),5),"")</f>
        <v/>
      </c>
      <c r="BK355" s="570" t="str" cm="1">
        <f t="array" ref="BK355">IFERROR(IF((INDEX(SETUP!$C$19:$G$121,MATCH((INDEX(PMtbl[[WKst]:[Unit of measure*]],MATCH($A355&amp;$E355&amp;$I355,INDEX(PMtbl[Category]&amp;PMtbl[Each]&amp;PMtbl[Packaging],0,),0),3)),SETUP!$D$19:$D$121,0),4))="Upfront",0,INDEX(SETUP!$C$19:$G$121,MATCH((INDEX(PMtbl[[WKst]:[Unit of measure*]],MATCH($A355&amp;$E355&amp;$I355,INDEX(PMtbl[Category]&amp;PMtbl[Each]&amp;PMtbl[Packaging],0,),0),3)),SETUP!$D$19:$D$121,0),5)),"")</f>
        <v/>
      </c>
      <c r="BL355" s="563" t="str" cm="1">
        <f t="array" ref="BL355">IF(E355&lt;&gt;"",IFERROR(INDEX(PMtbl[[WKst]:[Unit of measure*]],MATCH($A$330&amp;$A355&amp;$E355&amp;$I355,INDEX(PMtbl[Sec]&amp;PMtbl[Category]&amp;PMtbl[Each]&amp;PMtbl[Packaging],0,),0),11),""),"")</f>
        <v/>
      </c>
      <c r="BO355" s="448">
        <f>IF(N355="",0,IF(SETUP!$E$7="USD",((IF(O355="USD",P355,(P355/'Master Data-C19RM'!$C$2)))),((IF(O355="EUR",P355,(P355*'Master Data-C19RM'!$C$2))))))</f>
        <v>0</v>
      </c>
      <c r="BP355" s="448">
        <f>IF(N355="",0,IF(SETUP!$E$7="USD",((IF(O355="USD",W355,(W355/'Master Data-C19RM'!$D$2)))),((IF(O355="EUR",W355,(W355*'Master Data-C19RM'!$D$2))))))</f>
        <v>0</v>
      </c>
      <c r="BQ355" s="470">
        <f>IF(N355="",0,IF(SETUP!$E$7="USD",((IF(O355="USD",AD355,(AD355/'Master Data-C19RM'!$E$2)))),((IF(O355="EUR",AD355,(AD355*'Master Data-C19RM'!$E$2))))))</f>
        <v>0</v>
      </c>
      <c r="BR355" s="470">
        <f>IF(N355="",0,IF(SETUP!$E$7="USD",((IF(O355="USD",AK355,(AK355/'Master Data-C19RM'!$F$2)))),((IF(O355="EUR",AK355,(AK355*'Master Data-C19RM'!$F$2))))))</f>
        <v>0</v>
      </c>
      <c r="BS355" s="470">
        <f>IF(N355="",0,IF(SETUP!$E$7="USD",((IF(O355="USD",AR355,(AR355/'Master Data-C19RM'!$G$2)))),((IF(O355="EUR",AR355,(AR355*'Master Data-C19RM'!$G$2))))))</f>
        <v>0</v>
      </c>
      <c r="BT355" s="470">
        <f>IF(N355="",0,IF(SETUP!$E$7="USD",((IF(O355="USD",AY355,(AY355/'Master Data-C19RM'!$H$2)))),((IF(O355="EUR",AY355,(AY355*'Master Data-C19RM'!$H$2))))))</f>
        <v>0</v>
      </c>
      <c r="BU355" s="448">
        <f t="shared" si="45"/>
        <v>0</v>
      </c>
      <c r="BV355" s="562">
        <f t="shared" si="46"/>
        <v>0</v>
      </c>
      <c r="BW355" s="470"/>
      <c r="BX355" s="470"/>
      <c r="BY355" s="470"/>
      <c r="BZ355" s="470"/>
      <c r="CA355" s="470"/>
      <c r="CB355" s="470"/>
      <c r="CC355" s="470"/>
      <c r="CD355" s="470"/>
      <c r="CE355" s="470"/>
      <c r="CF355" s="470"/>
      <c r="CG355" s="470"/>
      <c r="CH355" s="470"/>
      <c r="CI355" s="470"/>
      <c r="CJ355" s="470"/>
      <c r="CK355" s="470"/>
      <c r="CL355" s="470"/>
      <c r="CM355" s="470"/>
      <c r="CN355" s="470"/>
      <c r="CO355" s="470"/>
      <c r="CP355" s="470"/>
    </row>
    <row r="356" spans="1:94" s="448" customFormat="1" ht="14" x14ac:dyDescent="0.3">
      <c r="A356" s="1192"/>
      <c r="B356" s="1192"/>
      <c r="C356" s="1192"/>
      <c r="D356" s="1192"/>
      <c r="E356" s="1173"/>
      <c r="F356" s="1173"/>
      <c r="G356" s="1173"/>
      <c r="H356" s="1173"/>
      <c r="I356" s="1173"/>
      <c r="J356" s="1173"/>
      <c r="K356" s="1173"/>
      <c r="L356" s="493" t="str" cm="1">
        <f t="array" ref="L356">IF(A356&lt;&gt;"",IFERROR(INDEX(PMtbl[[WKst]:[Unit of measure*]],MATCH($A$330&amp;$A356&amp;$E356&amp;$I356,INDEX(PMtbl[Sec]&amp;PMtbl[Category]&amp;PMtbl[Each]&amp;PMtbl[Packaging],0,),0),14),""),"")</f>
        <v/>
      </c>
      <c r="M356" s="480" t="str">
        <f>IF(L356="","",INDEX(SETUP!$E$20:$E$122,(MATCH(INDEX(PMsheet!$D:$E,MATCH(A356,PMsheet!E:E,0),1),SETUP!$D$20:$D$122,0))))</f>
        <v/>
      </c>
      <c r="N356" s="494">
        <f>IF($O356="USD",_xlfn.IFNA(VLOOKUP(A356&amp;E356&amp;I356,PMsheet!J:K,2,0),0),(_xlfn.IFNA(VLOOKUP(A356&amp;E356&amp;I356,PMsheet!J:K,2,0),0)*'Master Data-C19RM'!$C$2))</f>
        <v>0</v>
      </c>
      <c r="O356" s="495" t="str">
        <f>IF(L356="", "",SETUP!$E$7)</f>
        <v/>
      </c>
      <c r="P356" s="445">
        <f>IF($O356="USD",_xlfn.IFNA(VLOOKUP($A356&amp;$E356&amp;$I356,PMsheet!$J:$K,2,0),0),(_xlfn.IFNA(VLOOKUP($A356&amp;$E356&amp;$I356,PMsheet!$J:$K,2,0),0)*'Master Data-C19RM'!$C$2))</f>
        <v>0</v>
      </c>
      <c r="Q356" s="440"/>
      <c r="R356" s="440"/>
      <c r="S356" s="440"/>
      <c r="T356" s="440"/>
      <c r="U356" s="482">
        <f t="shared" si="44"/>
        <v>0</v>
      </c>
      <c r="V356" s="484">
        <f>IF(SETUP!$E$7="USD",(U356*(IF(O356="USD",P356,(P356/'Master Data-C19RM'!$C$2)))),(U356*(IF(O356="EUR",P356,(P356*'Master Data-C19RM'!$C$2)))))</f>
        <v>0</v>
      </c>
      <c r="W356" s="445">
        <f>IF($O356="USD",_xlfn.IFNA(VLOOKUP($A356&amp;$E356&amp;$I356,PMsheet!$J:$K,2,0),0),(_xlfn.IFNA(VLOOKUP($A356&amp;$E356&amp;$I356,PMsheet!$J:$K,2,0),0)*'Master Data-C19RM'!$D$2))</f>
        <v>0</v>
      </c>
      <c r="X356" s="440"/>
      <c r="Y356" s="440"/>
      <c r="Z356" s="440"/>
      <c r="AA356" s="440"/>
      <c r="AB356" s="482">
        <f t="shared" si="47"/>
        <v>0</v>
      </c>
      <c r="AC356" s="484">
        <f>IF(SETUP!$E$7="USD",(AB356*(IF(O356="USD",W356,(W356/'Master Data-C19RM'!$D$2)))),(AB356*(IF(O356="EUR",W356,(W356*'Master Data-C19RM'!$D$2)))))</f>
        <v>0</v>
      </c>
      <c r="AD356" s="445">
        <f>IF($O356="USD",_xlfn.IFNA(VLOOKUP($A356&amp;$E356&amp;$I356,PMsheet!$J:$K,2,0),0),(_xlfn.IFNA(VLOOKUP($A356&amp;$E356&amp;$I356,PMsheet!$J:$K,2,0),0)*'Master Data-C19RM'!$E$2))</f>
        <v>0</v>
      </c>
      <c r="AE356" s="440"/>
      <c r="AF356" s="440"/>
      <c r="AG356" s="440"/>
      <c r="AH356" s="440"/>
      <c r="AI356" s="514">
        <f t="shared" si="48"/>
        <v>0</v>
      </c>
      <c r="AJ356" s="515">
        <f>IF(SETUP!$E$7="USD",(AI356*(IF(O356="USD",AD356,(AD356/'Master Data-C19RM'!$E$2)))),(AI356*(IF(O356="EUR",AD356,(AD356*'Master Data-C19RM'!$E$2)))))</f>
        <v>0</v>
      </c>
      <c r="AK356" s="445">
        <f>IF($O356="USD",_xlfn.IFNA(VLOOKUP($A356&amp;$E356&amp;$I356,PMsheet!$J:$K,2,0),0),(_xlfn.IFNA(VLOOKUP($A356&amp;$E356&amp;$I356,PMsheet!$J:$K,2,0),0)*'Master Data-C19RM'!$F$2))</f>
        <v>0</v>
      </c>
      <c r="AL356" s="440"/>
      <c r="AM356" s="440"/>
      <c r="AN356" s="440"/>
      <c r="AO356" s="440"/>
      <c r="AP356" s="514">
        <f t="shared" si="49"/>
        <v>0</v>
      </c>
      <c r="AQ356" s="515">
        <f>IF(SETUP!$E$7="USD",(AP356*(IF(O356="USD",AK356,(AK356/'Master Data-C19RM'!$F$2)))),(AP356*(IF(O356="EUR",AK356,(AK356*'Master Data-C19RM'!$F$2)))))</f>
        <v>0</v>
      </c>
      <c r="AR356" s="925">
        <f>IF($O356="USD",_xlfn.IFNA(VLOOKUP($A356&amp;$E356&amp;$I356,PMsheet!$J:$K,2,0),0),(_xlfn.IFNA(VLOOKUP($A356&amp;$E356&amp;$I356,PMsheet!$J:$K,2,0),0)*'Master Data-C19RM'!$G$2))</f>
        <v>0</v>
      </c>
      <c r="AS356" s="926"/>
      <c r="AT356" s="926"/>
      <c r="AU356" s="926"/>
      <c r="AV356" s="926"/>
      <c r="AW356" s="514">
        <f t="shared" si="50"/>
        <v>0</v>
      </c>
      <c r="AX356" s="514">
        <f>IF(SETUP!$E$7="USD",(AW356*(IF(O356="USD",AR356,(AR356/'Master Data-C19RM'!$G$2)))),(AW356*(IF(O356="EUR",AR356,(AR356*'Master Data-C19RM'!$G$2)))))</f>
        <v>0</v>
      </c>
      <c r="AY356" s="845"/>
      <c r="AZ356" s="846"/>
      <c r="BA356" s="846"/>
      <c r="BB356" s="846"/>
      <c r="BC356" s="846"/>
      <c r="BD356" s="846"/>
      <c r="BE356" s="847"/>
      <c r="BF356" s="521">
        <f>'C19RM 2021-Lab &amp; Other HPS'!$U356+'C19RM 2021-Lab &amp; Other HPS'!$AB356+'C19RM 2021-Lab &amp; Other HPS'!$AP356+'C19RM 2021-Lab &amp; Other HPS'!$AI356+AW356+BD356</f>
        <v>0</v>
      </c>
      <c r="BG356" s="515">
        <f>'C19RM 2021-Lab &amp; Other HPS'!$V356+'C19RM 2021-Lab &amp; Other HPS'!$AC356+'C19RM 2021-Lab &amp; Other HPS'!$AQ356+'C19RM 2021-Lab &amp; Other HPS'!$AJ356+AX356+BE356</f>
        <v>0</v>
      </c>
      <c r="BH356" s="522" t="str" cm="1">
        <f t="array" ref="BH356">IF(A356&lt;&gt;"",IFERROR(INDEX(PMtbl[[WKst]:[Unit of measure*]],MATCH($A$330&amp;$A356&amp;$E356&amp;$I356,INDEX(PMtbl[Sec]&amp;PMtbl[Category]&amp;PMtbl[Each]&amp;PMtbl[Packaging],0,),0),11),""),"")</f>
        <v/>
      </c>
      <c r="BI356" s="818"/>
      <c r="BJ356" s="503" t="str" cm="1">
        <f t="array" ref="BJ356">IFERROR(INDEX(SETUP!$C$19:$G$121,MATCH((INDEX(PMtbl[[WKst]:[Unit of measure*]],MATCH($A356&amp;$E356&amp;$I356,INDEX(PMtbl[Category]&amp;PMtbl[Each]&amp;PMtbl[Packaging],0,),0),3)),SETUP!$D$19:$D$121,0),5),"")</f>
        <v/>
      </c>
      <c r="BK356" s="569" t="str" cm="1">
        <f t="array" ref="BK356">IFERROR(IF((INDEX(SETUP!$C$19:$G$121,MATCH((INDEX(PMtbl[[WKst]:[Unit of measure*]],MATCH($A356&amp;$E356&amp;$I356,INDEX(PMtbl[Category]&amp;PMtbl[Each]&amp;PMtbl[Packaging],0,),0),3)),SETUP!$D$19:$D$121,0),4))="Upfront",0,INDEX(SETUP!$C$19:$G$121,MATCH((INDEX(PMtbl[[WKst]:[Unit of measure*]],MATCH($A356&amp;$E356&amp;$I356,INDEX(PMtbl[Category]&amp;PMtbl[Each]&amp;PMtbl[Packaging],0,),0),3)),SETUP!$D$19:$D$121,0),5)),"")</f>
        <v/>
      </c>
      <c r="BL356" s="564" t="str" cm="1">
        <f t="array" ref="BL356">IF(E356&lt;&gt;"",IFERROR(INDEX(PMtbl[[WKst]:[Unit of measure*]],MATCH($A$330&amp;$A356&amp;$E356&amp;$I356,INDEX(PMtbl[Sec]&amp;PMtbl[Category]&amp;PMtbl[Each]&amp;PMtbl[Packaging],0,),0),11),""),"")</f>
        <v/>
      </c>
      <c r="BO356" s="448">
        <f>IF(N356="",0,IF(SETUP!$E$7="USD",((IF(O356="USD",P356,(P356/'Master Data-C19RM'!$C$2)))),((IF(O356="EUR",P356,(P356*'Master Data-C19RM'!$C$2))))))</f>
        <v>0</v>
      </c>
      <c r="BP356" s="448">
        <f>IF(N356="",0,IF(SETUP!$E$7="USD",((IF(O356="USD",W356,(W356/'Master Data-C19RM'!$D$2)))),((IF(O356="EUR",W356,(W356*'Master Data-C19RM'!$D$2))))))</f>
        <v>0</v>
      </c>
      <c r="BQ356" s="470">
        <f>IF(N356="",0,IF(SETUP!$E$7="USD",((IF(O356="USD",AD356,(AD356/'Master Data-C19RM'!$E$2)))),((IF(O356="EUR",AD356,(AD356*'Master Data-C19RM'!$E$2))))))</f>
        <v>0</v>
      </c>
      <c r="BR356" s="470">
        <f>IF(N356="",0,IF(SETUP!$E$7="USD",((IF(O356="USD",AK356,(AK356/'Master Data-C19RM'!$F$2)))),((IF(O356="EUR",AK356,(AK356*'Master Data-C19RM'!$F$2))))))</f>
        <v>0</v>
      </c>
      <c r="BS356" s="470">
        <f>IF(N356="",0,IF(SETUP!$E$7="USD",((IF(O356="USD",AR356,(AR356/'Master Data-C19RM'!$G$2)))),((IF(O356="EUR",AR356,(AR356*'Master Data-C19RM'!$G$2))))))</f>
        <v>0</v>
      </c>
      <c r="BT356" s="470">
        <f>IF(N356="",0,IF(SETUP!$E$7="USD",((IF(O356="USD",AY356,(AY356/'Master Data-C19RM'!$H$2)))),((IF(O356="EUR",AY356,(AY356*'Master Data-C19RM'!$H$2))))))</f>
        <v>0</v>
      </c>
      <c r="BU356" s="448">
        <f t="shared" si="45"/>
        <v>0</v>
      </c>
      <c r="BV356" s="562">
        <f t="shared" si="46"/>
        <v>0</v>
      </c>
      <c r="BW356" s="470"/>
      <c r="BX356" s="470"/>
      <c r="BY356" s="470"/>
      <c r="BZ356" s="470"/>
      <c r="CA356" s="470"/>
      <c r="CB356" s="470"/>
      <c r="CC356" s="470"/>
      <c r="CD356" s="470"/>
      <c r="CE356" s="470"/>
      <c r="CF356" s="470"/>
      <c r="CG356" s="470"/>
      <c r="CH356" s="470"/>
      <c r="CI356" s="470"/>
      <c r="CJ356" s="470"/>
      <c r="CK356" s="470"/>
      <c r="CL356" s="470"/>
      <c r="CM356" s="470"/>
      <c r="CN356" s="470"/>
      <c r="CO356" s="470"/>
      <c r="CP356" s="470"/>
    </row>
    <row r="357" spans="1:94" s="448" customFormat="1" ht="14" x14ac:dyDescent="0.3">
      <c r="A357" s="1165"/>
      <c r="B357" s="1165"/>
      <c r="C357" s="1165"/>
      <c r="D357" s="1165"/>
      <c r="E357" s="1166"/>
      <c r="F357" s="1166"/>
      <c r="G357" s="1166"/>
      <c r="H357" s="1166"/>
      <c r="I357" s="1166"/>
      <c r="J357" s="1166"/>
      <c r="K357" s="1166"/>
      <c r="L357" s="490" t="str" cm="1">
        <f t="array" ref="L357">IF(A357&lt;&gt;"",IFERROR(INDEX(PMtbl[[WKst]:[Unit of measure*]],MATCH($A$330&amp;$A357&amp;$E357&amp;$I357,INDEX(PMtbl[Sec]&amp;PMtbl[Category]&amp;PMtbl[Each]&amp;PMtbl[Packaging],0,),0),14),""),"")</f>
        <v/>
      </c>
      <c r="M357" s="479" t="str">
        <f>IF(L357="","",INDEX(SETUP!$E$20:$E$122,(MATCH(INDEX(PMsheet!$D:$E,MATCH(A357,PMsheet!E:E,0),1),SETUP!$D$20:$D$122,0))))</f>
        <v/>
      </c>
      <c r="N357" s="491">
        <f>IF($O357="USD",_xlfn.IFNA(VLOOKUP(A357&amp;E357&amp;I357,PMsheet!J:K,2,0),0),(_xlfn.IFNA(VLOOKUP(A357&amp;E357&amp;I357,PMsheet!J:K,2,0),0)*'Master Data-C19RM'!$C$2))</f>
        <v>0</v>
      </c>
      <c r="O357" s="492" t="str">
        <f>IF(L357="", "",SETUP!$E$7)</f>
        <v/>
      </c>
      <c r="P357" s="444">
        <f>IF($O357="USD",_xlfn.IFNA(VLOOKUP($A357&amp;$E357&amp;$I357,PMsheet!$J:$K,2,0),0),(_xlfn.IFNA(VLOOKUP($A357&amp;$E357&amp;$I357,PMsheet!$J:$K,2,0),0)*'Master Data-C19RM'!$C$2))</f>
        <v>0</v>
      </c>
      <c r="Q357" s="441"/>
      <c r="R357" s="441"/>
      <c r="S357" s="441"/>
      <c r="T357" s="441"/>
      <c r="U357" s="481">
        <f t="shared" si="44"/>
        <v>0</v>
      </c>
      <c r="V357" s="483">
        <f>IF(SETUP!$E$7="USD",(U357*(IF(O357="USD",P357,(P357/'Master Data-C19RM'!$C$2)))),(U357*(IF(O357="EUR",P357,(P357*'Master Data-C19RM'!$C$2)))))</f>
        <v>0</v>
      </c>
      <c r="W357" s="444">
        <f>IF($O357="USD",_xlfn.IFNA(VLOOKUP($A357&amp;$E357&amp;$I357,PMsheet!$J:$K,2,0),0),(_xlfn.IFNA(VLOOKUP($A357&amp;$E357&amp;$I357,PMsheet!$J:$K,2,0),0)*'Master Data-C19RM'!$D$2))</f>
        <v>0</v>
      </c>
      <c r="X357" s="441"/>
      <c r="Y357" s="441"/>
      <c r="Z357" s="441"/>
      <c r="AA357" s="441"/>
      <c r="AB357" s="481">
        <f t="shared" si="47"/>
        <v>0</v>
      </c>
      <c r="AC357" s="483">
        <f>IF(SETUP!$E$7="USD",(AB357*(IF(O357="USD",W357,(W357/'Master Data-C19RM'!$D$2)))),(AB357*(IF(O357="EUR",W357,(W357*'Master Data-C19RM'!$D$2)))))</f>
        <v>0</v>
      </c>
      <c r="AD357" s="444">
        <f>IF($O357="USD",_xlfn.IFNA(VLOOKUP($A357&amp;$E357&amp;$I357,PMsheet!$J:$K,2,0),0),(_xlfn.IFNA(VLOOKUP($A357&amp;$E357&amp;$I357,PMsheet!$J:$K,2,0),0)*'Master Data-C19RM'!$E$2))</f>
        <v>0</v>
      </c>
      <c r="AE357" s="441"/>
      <c r="AF357" s="441"/>
      <c r="AG357" s="441"/>
      <c r="AH357" s="441"/>
      <c r="AI357" s="512">
        <f t="shared" si="48"/>
        <v>0</v>
      </c>
      <c r="AJ357" s="513">
        <f>IF(SETUP!$E$7="USD",(AI357*(IF(O357="USD",AD357,(AD357/'Master Data-C19RM'!$E$2)))),(AI357*(IF(O357="EUR",AD357,(AD357*'Master Data-C19RM'!$E$2)))))</f>
        <v>0</v>
      </c>
      <c r="AK357" s="444">
        <f>IF($O357="USD",_xlfn.IFNA(VLOOKUP($A357&amp;$E357&amp;$I357,PMsheet!$J:$K,2,0),0),(_xlfn.IFNA(VLOOKUP($A357&amp;$E357&amp;$I357,PMsheet!$J:$K,2,0),0)*'Master Data-C19RM'!$F$2))</f>
        <v>0</v>
      </c>
      <c r="AL357" s="441"/>
      <c r="AM357" s="441"/>
      <c r="AN357" s="441"/>
      <c r="AO357" s="441"/>
      <c r="AP357" s="512">
        <f t="shared" si="49"/>
        <v>0</v>
      </c>
      <c r="AQ357" s="513">
        <f>IF(SETUP!$E$7="USD",(AP357*(IF(O357="USD",AK357,(AK357/'Master Data-C19RM'!$F$2)))),(AP357*(IF(O357="EUR",AK357,(AK357*'Master Data-C19RM'!$F$2)))))</f>
        <v>0</v>
      </c>
      <c r="AR357" s="924">
        <f>IF($O357="USD",_xlfn.IFNA(VLOOKUP($A357&amp;$E357&amp;$I357,PMsheet!$J:$K,2,0),0),(_xlfn.IFNA(VLOOKUP($A357&amp;$E357&amp;$I357,PMsheet!$J:$K,2,0),0)*'Master Data-C19RM'!$G$2))</f>
        <v>0</v>
      </c>
      <c r="AS357" s="572"/>
      <c r="AT357" s="572"/>
      <c r="AU357" s="572"/>
      <c r="AV357" s="572"/>
      <c r="AW357" s="512">
        <f t="shared" si="50"/>
        <v>0</v>
      </c>
      <c r="AX357" s="512">
        <f>IF(SETUP!$E$7="USD",(AW357*(IF(O357="USD",AR357,(AR357/'Master Data-C19RM'!$G$2)))),(AW357*(IF(O357="EUR",AR357,(AR357*'Master Data-C19RM'!$G$2)))))</f>
        <v>0</v>
      </c>
      <c r="AY357" s="845"/>
      <c r="AZ357" s="846"/>
      <c r="BA357" s="846"/>
      <c r="BB357" s="846"/>
      <c r="BC357" s="846"/>
      <c r="BD357" s="846"/>
      <c r="BE357" s="847"/>
      <c r="BF357" s="520">
        <f>'C19RM 2021-Lab &amp; Other HPS'!$U357+'C19RM 2021-Lab &amp; Other HPS'!$AB357+'C19RM 2021-Lab &amp; Other HPS'!$AP357+'C19RM 2021-Lab &amp; Other HPS'!$AI357+AW357+BD357</f>
        <v>0</v>
      </c>
      <c r="BG357" s="513">
        <f>'C19RM 2021-Lab &amp; Other HPS'!$V357+'C19RM 2021-Lab &amp; Other HPS'!$AC357+'C19RM 2021-Lab &amp; Other HPS'!$AQ357+'C19RM 2021-Lab &amp; Other HPS'!$AJ357+AX357+BE357</f>
        <v>0</v>
      </c>
      <c r="BH357" s="500" t="str" cm="1">
        <f t="array" ref="BH357">IF(A357&lt;&gt;"",IFERROR(INDEX(PMtbl[[WKst]:[Unit of measure*]],MATCH($A$330&amp;$A357&amp;$E357&amp;$I357,INDEX(PMtbl[Sec]&amp;PMtbl[Category]&amp;PMtbl[Each]&amp;PMtbl[Packaging],0,),0),11),""),"")</f>
        <v/>
      </c>
      <c r="BI357" s="819"/>
      <c r="BJ357" s="502" t="str" cm="1">
        <f t="array" ref="BJ357">IFERROR(INDEX(SETUP!$C$19:$G$121,MATCH((INDEX(PMtbl[[WKst]:[Unit of measure*]],MATCH($A357&amp;$E357&amp;$I357,INDEX(PMtbl[Category]&amp;PMtbl[Each]&amp;PMtbl[Packaging],0,),0),3)),SETUP!$D$19:$D$121,0),5),"")</f>
        <v/>
      </c>
      <c r="BK357" s="570" t="str" cm="1">
        <f t="array" ref="BK357">IFERROR(IF((INDEX(SETUP!$C$19:$G$121,MATCH((INDEX(PMtbl[[WKst]:[Unit of measure*]],MATCH($A357&amp;$E357&amp;$I357,INDEX(PMtbl[Category]&amp;PMtbl[Each]&amp;PMtbl[Packaging],0,),0),3)),SETUP!$D$19:$D$121,0),4))="Upfront",0,INDEX(SETUP!$C$19:$G$121,MATCH((INDEX(PMtbl[[WKst]:[Unit of measure*]],MATCH($A357&amp;$E357&amp;$I357,INDEX(PMtbl[Category]&amp;PMtbl[Each]&amp;PMtbl[Packaging],0,),0),3)),SETUP!$D$19:$D$121,0),5)),"")</f>
        <v/>
      </c>
      <c r="BL357" s="563" t="str" cm="1">
        <f t="array" ref="BL357">IF(E357&lt;&gt;"",IFERROR(INDEX(PMtbl[[WKst]:[Unit of measure*]],MATCH($A$330&amp;$A357&amp;$E357&amp;$I357,INDEX(PMtbl[Sec]&amp;PMtbl[Category]&amp;PMtbl[Each]&amp;PMtbl[Packaging],0,),0),11),""),"")</f>
        <v/>
      </c>
      <c r="BO357" s="448">
        <f>IF(N357="",0,IF(SETUP!$E$7="USD",((IF(O357="USD",P357,(P357/'Master Data-C19RM'!$C$2)))),((IF(O357="EUR",P357,(P357*'Master Data-C19RM'!$C$2))))))</f>
        <v>0</v>
      </c>
      <c r="BP357" s="448">
        <f>IF(N357="",0,IF(SETUP!$E$7="USD",((IF(O357="USD",W357,(W357/'Master Data-C19RM'!$D$2)))),((IF(O357="EUR",W357,(W357*'Master Data-C19RM'!$D$2))))))</f>
        <v>0</v>
      </c>
      <c r="BQ357" s="470">
        <f>IF(N357="",0,IF(SETUP!$E$7="USD",((IF(O357="USD",AD357,(AD357/'Master Data-C19RM'!$E$2)))),((IF(O357="EUR",AD357,(AD357*'Master Data-C19RM'!$E$2))))))</f>
        <v>0</v>
      </c>
      <c r="BR357" s="470">
        <f>IF(N357="",0,IF(SETUP!$E$7="USD",((IF(O357="USD",AK357,(AK357/'Master Data-C19RM'!$F$2)))),((IF(O357="EUR",AK357,(AK357*'Master Data-C19RM'!$F$2))))))</f>
        <v>0</v>
      </c>
      <c r="BS357" s="470">
        <f>IF(N357="",0,IF(SETUP!$E$7="USD",((IF(O357="USD",AR357,(AR357/'Master Data-C19RM'!$G$2)))),((IF(O357="EUR",AR357,(AR357*'Master Data-C19RM'!$G$2))))))</f>
        <v>0</v>
      </c>
      <c r="BT357" s="470">
        <f>IF(N357="",0,IF(SETUP!$E$7="USD",((IF(O357="USD",AY357,(AY357/'Master Data-C19RM'!$H$2)))),((IF(O357="EUR",AY357,(AY357*'Master Data-C19RM'!$H$2))))))</f>
        <v>0</v>
      </c>
      <c r="BU357" s="448">
        <f t="shared" si="45"/>
        <v>0</v>
      </c>
      <c r="BV357" s="562">
        <f t="shared" si="46"/>
        <v>0</v>
      </c>
      <c r="BW357" s="470"/>
      <c r="BX357" s="470"/>
      <c r="BY357" s="470"/>
      <c r="BZ357" s="470"/>
      <c r="CA357" s="470"/>
      <c r="CB357" s="470"/>
      <c r="CC357" s="470"/>
      <c r="CD357" s="470"/>
      <c r="CE357" s="470"/>
      <c r="CF357" s="470"/>
      <c r="CG357" s="470"/>
      <c r="CH357" s="470"/>
      <c r="CI357" s="470"/>
      <c r="CJ357" s="470"/>
      <c r="CK357" s="470"/>
      <c r="CL357" s="470"/>
      <c r="CM357" s="470"/>
      <c r="CN357" s="470"/>
      <c r="CO357" s="470"/>
      <c r="CP357" s="470"/>
    </row>
    <row r="358" spans="1:94" s="448" customFormat="1" ht="14" x14ac:dyDescent="0.3">
      <c r="A358" s="1192"/>
      <c r="B358" s="1192"/>
      <c r="C358" s="1192"/>
      <c r="D358" s="1192"/>
      <c r="E358" s="1173"/>
      <c r="F358" s="1173"/>
      <c r="G358" s="1173"/>
      <c r="H358" s="1173"/>
      <c r="I358" s="1173"/>
      <c r="J358" s="1173"/>
      <c r="K358" s="1173"/>
      <c r="L358" s="493" t="str" cm="1">
        <f t="array" ref="L358">IF(A358&lt;&gt;"",IFERROR(INDEX(PMtbl[[WKst]:[Unit of measure*]],MATCH($A$330&amp;$A358&amp;$E358&amp;$I358,INDEX(PMtbl[Sec]&amp;PMtbl[Category]&amp;PMtbl[Each]&amp;PMtbl[Packaging],0,),0),14),""),"")</f>
        <v/>
      </c>
      <c r="M358" s="480" t="str">
        <f>IF(L358="","",INDEX(SETUP!$E$20:$E$122,(MATCH(INDEX(PMsheet!$D:$E,MATCH(A358,PMsheet!E:E,0),1),SETUP!$D$20:$D$122,0))))</f>
        <v/>
      </c>
      <c r="N358" s="494">
        <f>IF($O358="USD",_xlfn.IFNA(VLOOKUP(A358&amp;E358&amp;I358,PMsheet!J:K,2,0),0),(_xlfn.IFNA(VLOOKUP(A358&amp;E358&amp;I358,PMsheet!J:K,2,0),0)*'Master Data-C19RM'!$C$2))</f>
        <v>0</v>
      </c>
      <c r="O358" s="495" t="str">
        <f>IF(L358="", "",SETUP!$E$7)</f>
        <v/>
      </c>
      <c r="P358" s="445">
        <f>IF($O358="USD",_xlfn.IFNA(VLOOKUP($A358&amp;$E358&amp;$I358,PMsheet!$J:$K,2,0),0),(_xlfn.IFNA(VLOOKUP($A358&amp;$E358&amp;$I358,PMsheet!$J:$K,2,0),0)*'Master Data-C19RM'!$C$2))</f>
        <v>0</v>
      </c>
      <c r="Q358" s="440"/>
      <c r="R358" s="440"/>
      <c r="S358" s="440"/>
      <c r="T358" s="440"/>
      <c r="U358" s="482">
        <f t="shared" si="44"/>
        <v>0</v>
      </c>
      <c r="V358" s="484">
        <f>IF(SETUP!$E$7="USD",(U358*(IF(O358="USD",P358,(P358/'Master Data-C19RM'!$C$2)))),(U358*(IF(O358="EUR",P358,(P358*'Master Data-C19RM'!$C$2)))))</f>
        <v>0</v>
      </c>
      <c r="W358" s="445">
        <f>IF($O358="USD",_xlfn.IFNA(VLOOKUP($A358&amp;$E358&amp;$I358,PMsheet!$J:$K,2,0),0),(_xlfn.IFNA(VLOOKUP($A358&amp;$E358&amp;$I358,PMsheet!$J:$K,2,0),0)*'Master Data-C19RM'!$D$2))</f>
        <v>0</v>
      </c>
      <c r="X358" s="440"/>
      <c r="Y358" s="440"/>
      <c r="Z358" s="440"/>
      <c r="AA358" s="440"/>
      <c r="AB358" s="482">
        <f t="shared" si="47"/>
        <v>0</v>
      </c>
      <c r="AC358" s="484">
        <f>IF(SETUP!$E$7="USD",(AB358*(IF(O358="USD",W358,(W358/'Master Data-C19RM'!$D$2)))),(AB358*(IF(O358="EUR",W358,(W358*'Master Data-C19RM'!$D$2)))))</f>
        <v>0</v>
      </c>
      <c r="AD358" s="445">
        <f>IF($O358="USD",_xlfn.IFNA(VLOOKUP($A358&amp;$E358&amp;$I358,PMsheet!$J:$K,2,0),0),(_xlfn.IFNA(VLOOKUP($A358&amp;$E358&amp;$I358,PMsheet!$J:$K,2,0),0)*'Master Data-C19RM'!$E$2))</f>
        <v>0</v>
      </c>
      <c r="AE358" s="440"/>
      <c r="AF358" s="440"/>
      <c r="AG358" s="440"/>
      <c r="AH358" s="440"/>
      <c r="AI358" s="514">
        <f t="shared" si="48"/>
        <v>0</v>
      </c>
      <c r="AJ358" s="515">
        <f>IF(SETUP!$E$7="USD",(AI358*(IF(O358="USD",AD358,(AD358/'Master Data-C19RM'!$E$2)))),(AI358*(IF(O358="EUR",AD358,(AD358*'Master Data-C19RM'!$E$2)))))</f>
        <v>0</v>
      </c>
      <c r="AK358" s="445">
        <f>IF($O358="USD",_xlfn.IFNA(VLOOKUP($A358&amp;$E358&amp;$I358,PMsheet!$J:$K,2,0),0),(_xlfn.IFNA(VLOOKUP($A358&amp;$E358&amp;$I358,PMsheet!$J:$K,2,0),0)*'Master Data-C19RM'!$F$2))</f>
        <v>0</v>
      </c>
      <c r="AL358" s="440"/>
      <c r="AM358" s="440"/>
      <c r="AN358" s="440"/>
      <c r="AO358" s="440"/>
      <c r="AP358" s="514">
        <f t="shared" si="49"/>
        <v>0</v>
      </c>
      <c r="AQ358" s="515">
        <f>IF(SETUP!$E$7="USD",(AP358*(IF(O358="USD",AK358,(AK358/'Master Data-C19RM'!$F$2)))),(AP358*(IF(O358="EUR",AK358,(AK358*'Master Data-C19RM'!$F$2)))))</f>
        <v>0</v>
      </c>
      <c r="AR358" s="925">
        <f>IF($O358="USD",_xlfn.IFNA(VLOOKUP($A358&amp;$E358&amp;$I358,PMsheet!$J:$K,2,0),0),(_xlfn.IFNA(VLOOKUP($A358&amp;$E358&amp;$I358,PMsheet!$J:$K,2,0),0)*'Master Data-C19RM'!$G$2))</f>
        <v>0</v>
      </c>
      <c r="AS358" s="926"/>
      <c r="AT358" s="926"/>
      <c r="AU358" s="926"/>
      <c r="AV358" s="926"/>
      <c r="AW358" s="514">
        <f t="shared" si="50"/>
        <v>0</v>
      </c>
      <c r="AX358" s="514">
        <f>IF(SETUP!$E$7="USD",(AW358*(IF(O358="USD",AR358,(AR358/'Master Data-C19RM'!$G$2)))),(AW358*(IF(O358="EUR",AR358,(AR358*'Master Data-C19RM'!$G$2)))))</f>
        <v>0</v>
      </c>
      <c r="AY358" s="845"/>
      <c r="AZ358" s="846"/>
      <c r="BA358" s="846"/>
      <c r="BB358" s="846"/>
      <c r="BC358" s="846"/>
      <c r="BD358" s="846"/>
      <c r="BE358" s="847"/>
      <c r="BF358" s="521">
        <f>'C19RM 2021-Lab &amp; Other HPS'!$U358+'C19RM 2021-Lab &amp; Other HPS'!$AB358+'C19RM 2021-Lab &amp; Other HPS'!$AP358+'C19RM 2021-Lab &amp; Other HPS'!$AI358+AW358+BD358</f>
        <v>0</v>
      </c>
      <c r="BG358" s="515">
        <f>'C19RM 2021-Lab &amp; Other HPS'!$V358+'C19RM 2021-Lab &amp; Other HPS'!$AC358+'C19RM 2021-Lab &amp; Other HPS'!$AQ358+'C19RM 2021-Lab &amp; Other HPS'!$AJ358+AX358+BE358</f>
        <v>0</v>
      </c>
      <c r="BH358" s="522" t="str" cm="1">
        <f t="array" ref="BH358">IF(A358&lt;&gt;"",IFERROR(INDEX(PMtbl[[WKst]:[Unit of measure*]],MATCH($A$330&amp;$A358&amp;$E358&amp;$I358,INDEX(PMtbl[Sec]&amp;PMtbl[Category]&amp;PMtbl[Each]&amp;PMtbl[Packaging],0,),0),11),""),"")</f>
        <v/>
      </c>
      <c r="BI358" s="818"/>
      <c r="BJ358" s="503" t="str" cm="1">
        <f t="array" ref="BJ358">IFERROR(INDEX(SETUP!$C$19:$G$121,MATCH((INDEX(PMtbl[[WKst]:[Unit of measure*]],MATCH($A358&amp;$E358&amp;$I358,INDEX(PMtbl[Category]&amp;PMtbl[Each]&amp;PMtbl[Packaging],0,),0),3)),SETUP!$D$19:$D$121,0),5),"")</f>
        <v/>
      </c>
      <c r="BK358" s="569" t="str" cm="1">
        <f t="array" ref="BK358">IFERROR(IF((INDEX(SETUP!$C$19:$G$121,MATCH((INDEX(PMtbl[[WKst]:[Unit of measure*]],MATCH($A358&amp;$E358&amp;$I358,INDEX(PMtbl[Category]&amp;PMtbl[Each]&amp;PMtbl[Packaging],0,),0),3)),SETUP!$D$19:$D$121,0),4))="Upfront",0,INDEX(SETUP!$C$19:$G$121,MATCH((INDEX(PMtbl[[WKst]:[Unit of measure*]],MATCH($A358&amp;$E358&amp;$I358,INDEX(PMtbl[Category]&amp;PMtbl[Each]&amp;PMtbl[Packaging],0,),0),3)),SETUP!$D$19:$D$121,0),5)),"")</f>
        <v/>
      </c>
      <c r="BL358" s="564" t="str" cm="1">
        <f t="array" ref="BL358">IF(E358&lt;&gt;"",IFERROR(INDEX(PMtbl[[WKst]:[Unit of measure*]],MATCH($A$330&amp;$A358&amp;$E358&amp;$I358,INDEX(PMtbl[Sec]&amp;PMtbl[Category]&amp;PMtbl[Each]&amp;PMtbl[Packaging],0,),0),11),""),"")</f>
        <v/>
      </c>
      <c r="BO358" s="448">
        <f>IF(N358="",0,IF(SETUP!$E$7="USD",((IF(O358="USD",P358,(P358/'Master Data-C19RM'!$C$2)))),((IF(O358="EUR",P358,(P358*'Master Data-C19RM'!$C$2))))))</f>
        <v>0</v>
      </c>
      <c r="BP358" s="448">
        <f>IF(N358="",0,IF(SETUP!$E$7="USD",((IF(O358="USD",W358,(W358/'Master Data-C19RM'!$D$2)))),((IF(O358="EUR",W358,(W358*'Master Data-C19RM'!$D$2))))))</f>
        <v>0</v>
      </c>
      <c r="BQ358" s="470">
        <f>IF(N358="",0,IF(SETUP!$E$7="USD",((IF(O358="USD",AD358,(AD358/'Master Data-C19RM'!$E$2)))),((IF(O358="EUR",AD358,(AD358*'Master Data-C19RM'!$E$2))))))</f>
        <v>0</v>
      </c>
      <c r="BR358" s="470">
        <f>IF(N358="",0,IF(SETUP!$E$7="USD",((IF(O358="USD",AK358,(AK358/'Master Data-C19RM'!$F$2)))),((IF(O358="EUR",AK358,(AK358*'Master Data-C19RM'!$F$2))))))</f>
        <v>0</v>
      </c>
      <c r="BS358" s="470">
        <f>IF(N358="",0,IF(SETUP!$E$7="USD",((IF(O358="USD",AR358,(AR358/'Master Data-C19RM'!$G$2)))),((IF(O358="EUR",AR358,(AR358*'Master Data-C19RM'!$G$2))))))</f>
        <v>0</v>
      </c>
      <c r="BT358" s="470">
        <f>IF(N358="",0,IF(SETUP!$E$7="USD",((IF(O358="USD",AY358,(AY358/'Master Data-C19RM'!$H$2)))),((IF(O358="EUR",AY358,(AY358*'Master Data-C19RM'!$H$2))))))</f>
        <v>0</v>
      </c>
      <c r="BU358" s="448">
        <f t="shared" si="45"/>
        <v>0</v>
      </c>
      <c r="BV358" s="562">
        <f t="shared" si="46"/>
        <v>0</v>
      </c>
      <c r="BW358" s="470"/>
      <c r="BX358" s="470"/>
      <c r="BY358" s="470"/>
      <c r="BZ358" s="470"/>
      <c r="CA358" s="470"/>
      <c r="CB358" s="470"/>
      <c r="CC358" s="470"/>
      <c r="CD358" s="470"/>
      <c r="CE358" s="470"/>
      <c r="CF358" s="470"/>
      <c r="CG358" s="470"/>
      <c r="CH358" s="470"/>
      <c r="CI358" s="470"/>
      <c r="CJ358" s="470"/>
      <c r="CK358" s="470"/>
      <c r="CL358" s="470"/>
      <c r="CM358" s="470"/>
      <c r="CN358" s="470"/>
      <c r="CO358" s="470"/>
      <c r="CP358" s="470"/>
    </row>
    <row r="359" spans="1:94" s="448" customFormat="1" ht="14" x14ac:dyDescent="0.3">
      <c r="A359" s="1165"/>
      <c r="B359" s="1165"/>
      <c r="C359" s="1165"/>
      <c r="D359" s="1165"/>
      <c r="E359" s="1166"/>
      <c r="F359" s="1166"/>
      <c r="G359" s="1166"/>
      <c r="H359" s="1166"/>
      <c r="I359" s="1166"/>
      <c r="J359" s="1166"/>
      <c r="K359" s="1166"/>
      <c r="L359" s="490" t="str" cm="1">
        <f t="array" ref="L359">IF(A359&lt;&gt;"",IFERROR(INDEX(PMtbl[[WKst]:[Unit of measure*]],MATCH($A$330&amp;$A359&amp;$E359&amp;$I359,INDEX(PMtbl[Sec]&amp;PMtbl[Category]&amp;PMtbl[Each]&amp;PMtbl[Packaging],0,),0),14),""),"")</f>
        <v/>
      </c>
      <c r="M359" s="479" t="str">
        <f>IF(L359="","",INDEX(SETUP!$E$20:$E$122,(MATCH(INDEX(PMsheet!$D:$E,MATCH(A359,PMsheet!E:E,0),1),SETUP!$D$20:$D$122,0))))</f>
        <v/>
      </c>
      <c r="N359" s="491">
        <f>IF($O359="USD",_xlfn.IFNA(VLOOKUP(A359&amp;E359&amp;I359,PMsheet!J:K,2,0),0),(_xlfn.IFNA(VLOOKUP(A359&amp;E359&amp;I359,PMsheet!J:K,2,0),0)*'Master Data-C19RM'!$C$2))</f>
        <v>0</v>
      </c>
      <c r="O359" s="492" t="str">
        <f>IF(L359="", "",SETUP!$E$7)</f>
        <v/>
      </c>
      <c r="P359" s="444">
        <f>IF($O359="USD",_xlfn.IFNA(VLOOKUP($A359&amp;$E359&amp;$I359,PMsheet!$J:$K,2,0),0),(_xlfn.IFNA(VLOOKUP($A359&amp;$E359&amp;$I359,PMsheet!$J:$K,2,0),0)*'Master Data-C19RM'!$C$2))</f>
        <v>0</v>
      </c>
      <c r="Q359" s="441"/>
      <c r="R359" s="441"/>
      <c r="S359" s="441"/>
      <c r="T359" s="441"/>
      <c r="U359" s="481">
        <f t="shared" si="44"/>
        <v>0</v>
      </c>
      <c r="V359" s="483">
        <f>IF(SETUP!$E$7="USD",(U359*(IF(O359="USD",P359,(P359/'Master Data-C19RM'!$C$2)))),(U359*(IF(O359="EUR",P359,(P359*'Master Data-C19RM'!$C$2)))))</f>
        <v>0</v>
      </c>
      <c r="W359" s="444">
        <f>IF($O359="USD",_xlfn.IFNA(VLOOKUP($A359&amp;$E359&amp;$I359,PMsheet!$J:$K,2,0),0),(_xlfn.IFNA(VLOOKUP($A359&amp;$E359&amp;$I359,PMsheet!$J:$K,2,0),0)*'Master Data-C19RM'!$D$2))</f>
        <v>0</v>
      </c>
      <c r="X359" s="441"/>
      <c r="Y359" s="441"/>
      <c r="Z359" s="441"/>
      <c r="AA359" s="441"/>
      <c r="AB359" s="481">
        <f t="shared" si="47"/>
        <v>0</v>
      </c>
      <c r="AC359" s="483">
        <f>IF(SETUP!$E$7="USD",(AB359*(IF(O359="USD",W359,(W359/'Master Data-C19RM'!$D$2)))),(AB359*(IF(O359="EUR",W359,(W359*'Master Data-C19RM'!$D$2)))))</f>
        <v>0</v>
      </c>
      <c r="AD359" s="444">
        <f>IF($O359="USD",_xlfn.IFNA(VLOOKUP($A359&amp;$E359&amp;$I359,PMsheet!$J:$K,2,0),0),(_xlfn.IFNA(VLOOKUP($A359&amp;$E359&amp;$I359,PMsheet!$J:$K,2,0),0)*'Master Data-C19RM'!$E$2))</f>
        <v>0</v>
      </c>
      <c r="AE359" s="441"/>
      <c r="AF359" s="441"/>
      <c r="AG359" s="441"/>
      <c r="AH359" s="441"/>
      <c r="AI359" s="512">
        <f t="shared" si="48"/>
        <v>0</v>
      </c>
      <c r="AJ359" s="513">
        <f>IF(SETUP!$E$7="USD",(AI359*(IF(O359="USD",AD359,(AD359/'Master Data-C19RM'!$E$2)))),(AI359*(IF(O359="EUR",AD359,(AD359*'Master Data-C19RM'!$E$2)))))</f>
        <v>0</v>
      </c>
      <c r="AK359" s="444">
        <f>IF($O359="USD",_xlfn.IFNA(VLOOKUP($A359&amp;$E359&amp;$I359,PMsheet!$J:$K,2,0),0),(_xlfn.IFNA(VLOOKUP($A359&amp;$E359&amp;$I359,PMsheet!$J:$K,2,0),0)*'Master Data-C19RM'!$F$2))</f>
        <v>0</v>
      </c>
      <c r="AL359" s="441"/>
      <c r="AM359" s="441"/>
      <c r="AN359" s="441"/>
      <c r="AO359" s="441"/>
      <c r="AP359" s="512">
        <f t="shared" si="49"/>
        <v>0</v>
      </c>
      <c r="AQ359" s="513">
        <f>IF(SETUP!$E$7="USD",(AP359*(IF(O359="USD",AK359,(AK359/'Master Data-C19RM'!$F$2)))),(AP359*(IF(O359="EUR",AK359,(AK359*'Master Data-C19RM'!$F$2)))))</f>
        <v>0</v>
      </c>
      <c r="AR359" s="924">
        <f>IF($O359="USD",_xlfn.IFNA(VLOOKUP($A359&amp;$E359&amp;$I359,PMsheet!$J:$K,2,0),0),(_xlfn.IFNA(VLOOKUP($A359&amp;$E359&amp;$I359,PMsheet!$J:$K,2,0),0)*'Master Data-C19RM'!$G$2))</f>
        <v>0</v>
      </c>
      <c r="AS359" s="572"/>
      <c r="AT359" s="572"/>
      <c r="AU359" s="572"/>
      <c r="AV359" s="572"/>
      <c r="AW359" s="512">
        <f t="shared" si="50"/>
        <v>0</v>
      </c>
      <c r="AX359" s="512">
        <f>IF(SETUP!$E$7="USD",(AW359*(IF(O359="USD",AR359,(AR359/'Master Data-C19RM'!$G$2)))),(AW359*(IF(O359="EUR",AR359,(AR359*'Master Data-C19RM'!$G$2)))))</f>
        <v>0</v>
      </c>
      <c r="AY359" s="845"/>
      <c r="AZ359" s="846"/>
      <c r="BA359" s="846"/>
      <c r="BB359" s="846"/>
      <c r="BC359" s="846"/>
      <c r="BD359" s="846"/>
      <c r="BE359" s="847"/>
      <c r="BF359" s="520">
        <f>'C19RM 2021-Lab &amp; Other HPS'!$U359+'C19RM 2021-Lab &amp; Other HPS'!$AB359+'C19RM 2021-Lab &amp; Other HPS'!$AP359+'C19RM 2021-Lab &amp; Other HPS'!$AI359+AW359+BD359</f>
        <v>0</v>
      </c>
      <c r="BG359" s="513">
        <f>'C19RM 2021-Lab &amp; Other HPS'!$V359+'C19RM 2021-Lab &amp; Other HPS'!$AC359+'C19RM 2021-Lab &amp; Other HPS'!$AQ359+'C19RM 2021-Lab &amp; Other HPS'!$AJ359+AX359+BE359</f>
        <v>0</v>
      </c>
      <c r="BH359" s="500" t="str" cm="1">
        <f t="array" ref="BH359">IF(A359&lt;&gt;"",IFERROR(INDEX(PMtbl[[WKst]:[Unit of measure*]],MATCH($A$330&amp;$A359&amp;$E359&amp;$I359,INDEX(PMtbl[Sec]&amp;PMtbl[Category]&amp;PMtbl[Each]&amp;PMtbl[Packaging],0,),0),11),""),"")</f>
        <v/>
      </c>
      <c r="BI359" s="819"/>
      <c r="BJ359" s="502" t="str" cm="1">
        <f t="array" ref="BJ359">IFERROR(INDEX(SETUP!$C$19:$G$121,MATCH((INDEX(PMtbl[[WKst]:[Unit of measure*]],MATCH($A359&amp;$E359&amp;$I359,INDEX(PMtbl[Category]&amp;PMtbl[Each]&amp;PMtbl[Packaging],0,),0),3)),SETUP!$D$19:$D$121,0),5),"")</f>
        <v/>
      </c>
      <c r="BK359" s="570" t="str" cm="1">
        <f t="array" ref="BK359">IFERROR(IF((INDEX(SETUP!$C$19:$G$121,MATCH((INDEX(PMtbl[[WKst]:[Unit of measure*]],MATCH($A359&amp;$E359&amp;$I359,INDEX(PMtbl[Category]&amp;PMtbl[Each]&amp;PMtbl[Packaging],0,),0),3)),SETUP!$D$19:$D$121,0),4))="Upfront",0,INDEX(SETUP!$C$19:$G$121,MATCH((INDEX(PMtbl[[WKst]:[Unit of measure*]],MATCH($A359&amp;$E359&amp;$I359,INDEX(PMtbl[Category]&amp;PMtbl[Each]&amp;PMtbl[Packaging],0,),0),3)),SETUP!$D$19:$D$121,0),5)),"")</f>
        <v/>
      </c>
      <c r="BL359" s="563" t="str" cm="1">
        <f t="array" ref="BL359">IF(E359&lt;&gt;"",IFERROR(INDEX(PMtbl[[WKst]:[Unit of measure*]],MATCH($A$330&amp;$A359&amp;$E359&amp;$I359,INDEX(PMtbl[Sec]&amp;PMtbl[Category]&amp;PMtbl[Each]&amp;PMtbl[Packaging],0,),0),11),""),"")</f>
        <v/>
      </c>
      <c r="BO359" s="448">
        <f>IF(N359="",0,IF(SETUP!$E$7="USD",((IF(O359="USD",P359,(P359/'Master Data-C19RM'!$C$2)))),((IF(O359="EUR",P359,(P359*'Master Data-C19RM'!$C$2))))))</f>
        <v>0</v>
      </c>
      <c r="BP359" s="448">
        <f>IF(N359="",0,IF(SETUP!$E$7="USD",((IF(O359="USD",W359,(W359/'Master Data-C19RM'!$D$2)))),((IF(O359="EUR",W359,(W359*'Master Data-C19RM'!$D$2))))))</f>
        <v>0</v>
      </c>
      <c r="BQ359" s="470">
        <f>IF(N359="",0,IF(SETUP!$E$7="USD",((IF(O359="USD",AD359,(AD359/'Master Data-C19RM'!$E$2)))),((IF(O359="EUR",AD359,(AD359*'Master Data-C19RM'!$E$2))))))</f>
        <v>0</v>
      </c>
      <c r="BR359" s="470">
        <f>IF(N359="",0,IF(SETUP!$E$7="USD",((IF(O359="USD",AK359,(AK359/'Master Data-C19RM'!$F$2)))),((IF(O359="EUR",AK359,(AK359*'Master Data-C19RM'!$F$2))))))</f>
        <v>0</v>
      </c>
      <c r="BS359" s="470">
        <f>IF(N359="",0,IF(SETUP!$E$7="USD",((IF(O359="USD",AR359,(AR359/'Master Data-C19RM'!$G$2)))),((IF(O359="EUR",AR359,(AR359*'Master Data-C19RM'!$G$2))))))</f>
        <v>0</v>
      </c>
      <c r="BT359" s="470">
        <f>IF(N359="",0,IF(SETUP!$E$7="USD",((IF(O359="USD",AY359,(AY359/'Master Data-C19RM'!$H$2)))),((IF(O359="EUR",AY359,(AY359*'Master Data-C19RM'!$H$2))))))</f>
        <v>0</v>
      </c>
      <c r="BU359" s="448">
        <f t="shared" si="45"/>
        <v>0</v>
      </c>
      <c r="BV359" s="562">
        <f t="shared" si="46"/>
        <v>0</v>
      </c>
      <c r="BW359" s="470"/>
      <c r="BX359" s="470"/>
      <c r="BY359" s="470"/>
      <c r="BZ359" s="470"/>
      <c r="CA359" s="470"/>
      <c r="CB359" s="470"/>
      <c r="CC359" s="470"/>
      <c r="CD359" s="470"/>
      <c r="CE359" s="470"/>
      <c r="CF359" s="470"/>
      <c r="CG359" s="470"/>
      <c r="CH359" s="470"/>
      <c r="CI359" s="470"/>
      <c r="CJ359" s="470"/>
      <c r="CK359" s="470"/>
      <c r="CL359" s="470"/>
      <c r="CM359" s="470"/>
      <c r="CN359" s="470"/>
      <c r="CO359" s="470"/>
      <c r="CP359" s="470"/>
    </row>
    <row r="360" spans="1:94" s="448" customFormat="1" ht="14" x14ac:dyDescent="0.3">
      <c r="A360" s="1192"/>
      <c r="B360" s="1192"/>
      <c r="C360" s="1192"/>
      <c r="D360" s="1192"/>
      <c r="E360" s="1173"/>
      <c r="F360" s="1173"/>
      <c r="G360" s="1173"/>
      <c r="H360" s="1173"/>
      <c r="I360" s="1173"/>
      <c r="J360" s="1173"/>
      <c r="K360" s="1173"/>
      <c r="L360" s="493" t="str" cm="1">
        <f t="array" ref="L360">IF(A360&lt;&gt;"",IFERROR(INDEX(PMtbl[[WKst]:[Unit of measure*]],MATCH($A$330&amp;$A360&amp;$E360&amp;$I360,INDEX(PMtbl[Sec]&amp;PMtbl[Category]&amp;PMtbl[Each]&amp;PMtbl[Packaging],0,),0),14),""),"")</f>
        <v/>
      </c>
      <c r="M360" s="480" t="str">
        <f>IF(L360="","",INDEX(SETUP!$E$20:$E$122,(MATCH(INDEX(PMsheet!$D:$E,MATCH(A360,PMsheet!E:E,0),1),SETUP!$D$20:$D$122,0))))</f>
        <v/>
      </c>
      <c r="N360" s="494">
        <f>IF($O360="USD",_xlfn.IFNA(VLOOKUP(A360&amp;E360&amp;I360,PMsheet!J:K,2,0),0),(_xlfn.IFNA(VLOOKUP(A360&amp;E360&amp;I360,PMsheet!J:K,2,0),0)*'Master Data-C19RM'!$C$2))</f>
        <v>0</v>
      </c>
      <c r="O360" s="495" t="str">
        <f>IF(L360="", "",SETUP!$E$7)</f>
        <v/>
      </c>
      <c r="P360" s="445">
        <f>IF($O360="USD",_xlfn.IFNA(VLOOKUP($A360&amp;$E360&amp;$I360,PMsheet!$J:$K,2,0),0),(_xlfn.IFNA(VLOOKUP($A360&amp;$E360&amp;$I360,PMsheet!$J:$K,2,0),0)*'Master Data-C19RM'!$C$2))</f>
        <v>0</v>
      </c>
      <c r="Q360" s="440"/>
      <c r="R360" s="440"/>
      <c r="S360" s="440"/>
      <c r="T360" s="440"/>
      <c r="U360" s="482">
        <f t="shared" si="44"/>
        <v>0</v>
      </c>
      <c r="V360" s="484">
        <f>IF(SETUP!$E$7="USD",(U360*(IF(O360="USD",P360,(P360/'Master Data-C19RM'!$C$2)))),(U360*(IF(O360="EUR",P360,(P360*'Master Data-C19RM'!$C$2)))))</f>
        <v>0</v>
      </c>
      <c r="W360" s="445">
        <f>IF($O360="USD",_xlfn.IFNA(VLOOKUP($A360&amp;$E360&amp;$I360,PMsheet!$J:$K,2,0),0),(_xlfn.IFNA(VLOOKUP($A360&amp;$E360&amp;$I360,PMsheet!$J:$K,2,0),0)*'Master Data-C19RM'!$D$2))</f>
        <v>0</v>
      </c>
      <c r="X360" s="440"/>
      <c r="Y360" s="440"/>
      <c r="Z360" s="440"/>
      <c r="AA360" s="440"/>
      <c r="AB360" s="482">
        <f t="shared" si="47"/>
        <v>0</v>
      </c>
      <c r="AC360" s="484">
        <f>IF(SETUP!$E$7="USD",(AB360*(IF(O360="USD",W360,(W360/'Master Data-C19RM'!$D$2)))),(AB360*(IF(O360="EUR",W360,(W360*'Master Data-C19RM'!$D$2)))))</f>
        <v>0</v>
      </c>
      <c r="AD360" s="445">
        <f>IF($O360="USD",_xlfn.IFNA(VLOOKUP($A360&amp;$E360&amp;$I360,PMsheet!$J:$K,2,0),0),(_xlfn.IFNA(VLOOKUP($A360&amp;$E360&amp;$I360,PMsheet!$J:$K,2,0),0)*'Master Data-C19RM'!$E$2))</f>
        <v>0</v>
      </c>
      <c r="AE360" s="440"/>
      <c r="AF360" s="440"/>
      <c r="AG360" s="440"/>
      <c r="AH360" s="440"/>
      <c r="AI360" s="514">
        <f t="shared" si="48"/>
        <v>0</v>
      </c>
      <c r="AJ360" s="515">
        <f>IF(SETUP!$E$7="USD",(AI360*(IF(O360="USD",AD360,(AD360/'Master Data-C19RM'!$E$2)))),(AI360*(IF(O360="EUR",AD360,(AD360*'Master Data-C19RM'!$E$2)))))</f>
        <v>0</v>
      </c>
      <c r="AK360" s="445">
        <f>IF($O360="USD",_xlfn.IFNA(VLOOKUP($A360&amp;$E360&amp;$I360,PMsheet!$J:$K,2,0),0),(_xlfn.IFNA(VLOOKUP($A360&amp;$E360&amp;$I360,PMsheet!$J:$K,2,0),0)*'Master Data-C19RM'!$F$2))</f>
        <v>0</v>
      </c>
      <c r="AL360" s="440"/>
      <c r="AM360" s="440"/>
      <c r="AN360" s="440"/>
      <c r="AO360" s="440"/>
      <c r="AP360" s="514">
        <f t="shared" si="49"/>
        <v>0</v>
      </c>
      <c r="AQ360" s="515">
        <f>IF(SETUP!$E$7="USD",(AP360*(IF(O360="USD",AK360,(AK360/'Master Data-C19RM'!$F$2)))),(AP360*(IF(O360="EUR",AK360,(AK360*'Master Data-C19RM'!$F$2)))))</f>
        <v>0</v>
      </c>
      <c r="AR360" s="925">
        <f>IF($O360="USD",_xlfn.IFNA(VLOOKUP($A360&amp;$E360&amp;$I360,PMsheet!$J:$K,2,0),0),(_xlfn.IFNA(VLOOKUP($A360&amp;$E360&amp;$I360,PMsheet!$J:$K,2,0),0)*'Master Data-C19RM'!$G$2))</f>
        <v>0</v>
      </c>
      <c r="AS360" s="926"/>
      <c r="AT360" s="926"/>
      <c r="AU360" s="926"/>
      <c r="AV360" s="926"/>
      <c r="AW360" s="514">
        <f t="shared" si="50"/>
        <v>0</v>
      </c>
      <c r="AX360" s="514">
        <f>IF(SETUP!$E$7="USD",(AW360*(IF(O360="USD",AR360,(AR360/'Master Data-C19RM'!$G$2)))),(AW360*(IF(O360="EUR",AR360,(AR360*'Master Data-C19RM'!$G$2)))))</f>
        <v>0</v>
      </c>
      <c r="AY360" s="845"/>
      <c r="AZ360" s="846"/>
      <c r="BA360" s="846"/>
      <c r="BB360" s="846"/>
      <c r="BC360" s="846"/>
      <c r="BD360" s="846"/>
      <c r="BE360" s="847"/>
      <c r="BF360" s="521">
        <f>'C19RM 2021-Lab &amp; Other HPS'!$U360+'C19RM 2021-Lab &amp; Other HPS'!$AB360+'C19RM 2021-Lab &amp; Other HPS'!$AP360+'C19RM 2021-Lab &amp; Other HPS'!$AI360+AW360+BD360</f>
        <v>0</v>
      </c>
      <c r="BG360" s="515">
        <f>'C19RM 2021-Lab &amp; Other HPS'!$V360+'C19RM 2021-Lab &amp; Other HPS'!$AC360+'C19RM 2021-Lab &amp; Other HPS'!$AQ360+'C19RM 2021-Lab &amp; Other HPS'!$AJ360+AX360+BE360</f>
        <v>0</v>
      </c>
      <c r="BH360" s="522" t="str" cm="1">
        <f t="array" ref="BH360">IF(A360&lt;&gt;"",IFERROR(INDEX(PMtbl[[WKst]:[Unit of measure*]],MATCH($A$330&amp;$A360&amp;$E360&amp;$I360,INDEX(PMtbl[Sec]&amp;PMtbl[Category]&amp;PMtbl[Each]&amp;PMtbl[Packaging],0,),0),11),""),"")</f>
        <v/>
      </c>
      <c r="BI360" s="818"/>
      <c r="BJ360" s="503" t="str" cm="1">
        <f t="array" ref="BJ360">IFERROR(INDEX(SETUP!$C$19:$G$121,MATCH((INDEX(PMtbl[[WKst]:[Unit of measure*]],MATCH($A360&amp;$E360&amp;$I360,INDEX(PMtbl[Category]&amp;PMtbl[Each]&amp;PMtbl[Packaging],0,),0),3)),SETUP!$D$19:$D$121,0),5),"")</f>
        <v/>
      </c>
      <c r="BK360" s="569" t="str" cm="1">
        <f t="array" ref="BK360">IFERROR(IF((INDEX(SETUP!$C$19:$G$121,MATCH((INDEX(PMtbl[[WKst]:[Unit of measure*]],MATCH($A360&amp;$E360&amp;$I360,INDEX(PMtbl[Category]&amp;PMtbl[Each]&amp;PMtbl[Packaging],0,),0),3)),SETUP!$D$19:$D$121,0),4))="Upfront",0,INDEX(SETUP!$C$19:$G$121,MATCH((INDEX(PMtbl[[WKst]:[Unit of measure*]],MATCH($A360&amp;$E360&amp;$I360,INDEX(PMtbl[Category]&amp;PMtbl[Each]&amp;PMtbl[Packaging],0,),0),3)),SETUP!$D$19:$D$121,0),5)),"")</f>
        <v/>
      </c>
      <c r="BL360" s="564" t="str" cm="1">
        <f t="array" ref="BL360">IF(E360&lt;&gt;"",IFERROR(INDEX(PMtbl[[WKst]:[Unit of measure*]],MATCH($A$330&amp;$A360&amp;$E360&amp;$I360,INDEX(PMtbl[Sec]&amp;PMtbl[Category]&amp;PMtbl[Each]&amp;PMtbl[Packaging],0,),0),11),""),"")</f>
        <v/>
      </c>
      <c r="BO360" s="448">
        <f>IF(N360="",0,IF(SETUP!$E$7="USD",((IF(O360="USD",P360,(P360/'Master Data-C19RM'!$C$2)))),((IF(O360="EUR",P360,(P360*'Master Data-C19RM'!$C$2))))))</f>
        <v>0</v>
      </c>
      <c r="BP360" s="448">
        <f>IF(N360="",0,IF(SETUP!$E$7="USD",((IF(O360="USD",W360,(W360/'Master Data-C19RM'!$D$2)))),((IF(O360="EUR",W360,(W360*'Master Data-C19RM'!$D$2))))))</f>
        <v>0</v>
      </c>
      <c r="BQ360" s="470">
        <f>IF(N360="",0,IF(SETUP!$E$7="USD",((IF(O360="USD",AD360,(AD360/'Master Data-C19RM'!$E$2)))),((IF(O360="EUR",AD360,(AD360*'Master Data-C19RM'!$E$2))))))</f>
        <v>0</v>
      </c>
      <c r="BR360" s="470">
        <f>IF(N360="",0,IF(SETUP!$E$7="USD",((IF(O360="USD",AK360,(AK360/'Master Data-C19RM'!$F$2)))),((IF(O360="EUR",AK360,(AK360*'Master Data-C19RM'!$F$2))))))</f>
        <v>0</v>
      </c>
      <c r="BS360" s="470">
        <f>IF(N360="",0,IF(SETUP!$E$7="USD",((IF(O360="USD",AR360,(AR360/'Master Data-C19RM'!$G$2)))),((IF(O360="EUR",AR360,(AR360*'Master Data-C19RM'!$G$2))))))</f>
        <v>0</v>
      </c>
      <c r="BT360" s="470">
        <f>IF(N360="",0,IF(SETUP!$E$7="USD",((IF(O360="USD",AY360,(AY360/'Master Data-C19RM'!$H$2)))),((IF(O360="EUR",AY360,(AY360*'Master Data-C19RM'!$H$2))))))</f>
        <v>0</v>
      </c>
      <c r="BU360" s="448">
        <f t="shared" si="45"/>
        <v>0</v>
      </c>
      <c r="BV360" s="562">
        <f t="shared" si="46"/>
        <v>0</v>
      </c>
      <c r="BW360" s="470"/>
      <c r="BX360" s="470"/>
      <c r="BY360" s="470"/>
      <c r="BZ360" s="470"/>
      <c r="CA360" s="470"/>
      <c r="CB360" s="470"/>
      <c r="CC360" s="470"/>
      <c r="CD360" s="470"/>
      <c r="CE360" s="470"/>
      <c r="CF360" s="470"/>
      <c r="CG360" s="470"/>
      <c r="CH360" s="470"/>
      <c r="CI360" s="470"/>
      <c r="CJ360" s="470"/>
      <c r="CK360" s="470"/>
      <c r="CL360" s="470"/>
      <c r="CM360" s="470"/>
      <c r="CN360" s="470"/>
      <c r="CO360" s="470"/>
      <c r="CP360" s="470"/>
    </row>
    <row r="361" spans="1:94" s="448" customFormat="1" ht="14" x14ac:dyDescent="0.3">
      <c r="A361" s="1165"/>
      <c r="B361" s="1165"/>
      <c r="C361" s="1165"/>
      <c r="D361" s="1165"/>
      <c r="E361" s="1166"/>
      <c r="F361" s="1166"/>
      <c r="G361" s="1166"/>
      <c r="H361" s="1166"/>
      <c r="I361" s="1166"/>
      <c r="J361" s="1166"/>
      <c r="K361" s="1166"/>
      <c r="L361" s="490" t="str" cm="1">
        <f t="array" ref="L361">IF(A361&lt;&gt;"",IFERROR(INDEX(PMtbl[[WKst]:[Unit of measure*]],MATCH($A$330&amp;$A361&amp;$E361&amp;$I361,INDEX(PMtbl[Sec]&amp;PMtbl[Category]&amp;PMtbl[Each]&amp;PMtbl[Packaging],0,),0),14),""),"")</f>
        <v/>
      </c>
      <c r="M361" s="479" t="str">
        <f>IF(L361="","",INDEX(SETUP!$E$20:$E$122,(MATCH(INDEX(PMsheet!$D:$E,MATCH(A361,PMsheet!E:E,0),1),SETUP!$D$20:$D$122,0))))</f>
        <v/>
      </c>
      <c r="N361" s="491">
        <f>IF($O361="USD",_xlfn.IFNA(VLOOKUP(A361&amp;E361&amp;I361,PMsheet!J:K,2,0),0),(_xlfn.IFNA(VLOOKUP(A361&amp;E361&amp;I361,PMsheet!J:K,2,0),0)*'Master Data-C19RM'!$C$2))</f>
        <v>0</v>
      </c>
      <c r="O361" s="492" t="str">
        <f>IF(L361="", "",SETUP!$E$7)</f>
        <v/>
      </c>
      <c r="P361" s="444">
        <f>IF($O361="USD",_xlfn.IFNA(VLOOKUP($A361&amp;$E361&amp;$I361,PMsheet!$J:$K,2,0),0),(_xlfn.IFNA(VLOOKUP($A361&amp;$E361&amp;$I361,PMsheet!$J:$K,2,0),0)*'Master Data-C19RM'!$C$2))</f>
        <v>0</v>
      </c>
      <c r="Q361" s="441"/>
      <c r="R361" s="441"/>
      <c r="S361" s="441"/>
      <c r="T361" s="441"/>
      <c r="U361" s="481">
        <f t="shared" si="44"/>
        <v>0</v>
      </c>
      <c r="V361" s="483">
        <f>IF(SETUP!$E$7="USD",(U361*(IF(O361="USD",P361,(P361/'Master Data-C19RM'!$C$2)))),(U361*(IF(O361="EUR",P361,(P361*'Master Data-C19RM'!$C$2)))))</f>
        <v>0</v>
      </c>
      <c r="W361" s="444">
        <f>IF($O361="USD",_xlfn.IFNA(VLOOKUP($A361&amp;$E361&amp;$I361,PMsheet!$J:$K,2,0),0),(_xlfn.IFNA(VLOOKUP($A361&amp;$E361&amp;$I361,PMsheet!$J:$K,2,0),0)*'Master Data-C19RM'!$D$2))</f>
        <v>0</v>
      </c>
      <c r="X361" s="441"/>
      <c r="Y361" s="441"/>
      <c r="Z361" s="441"/>
      <c r="AA361" s="441"/>
      <c r="AB361" s="481">
        <f t="shared" si="47"/>
        <v>0</v>
      </c>
      <c r="AC361" s="483">
        <f>IF(SETUP!$E$7="USD",(AB361*(IF(O361="USD",W361,(W361/'Master Data-C19RM'!$D$2)))),(AB361*(IF(O361="EUR",W361,(W361*'Master Data-C19RM'!$D$2)))))</f>
        <v>0</v>
      </c>
      <c r="AD361" s="444">
        <f>IF($O361="USD",_xlfn.IFNA(VLOOKUP($A361&amp;$E361&amp;$I361,PMsheet!$J:$K,2,0),0),(_xlfn.IFNA(VLOOKUP($A361&amp;$E361&amp;$I361,PMsheet!$J:$K,2,0),0)*'Master Data-C19RM'!$E$2))</f>
        <v>0</v>
      </c>
      <c r="AE361" s="441"/>
      <c r="AF361" s="441"/>
      <c r="AG361" s="441"/>
      <c r="AH361" s="441"/>
      <c r="AI361" s="512">
        <f t="shared" si="48"/>
        <v>0</v>
      </c>
      <c r="AJ361" s="513">
        <f>IF(SETUP!$E$7="USD",(AI361*(IF(O361="USD",AD361,(AD361/'Master Data-C19RM'!$E$2)))),(AI361*(IF(O361="EUR",AD361,(AD361*'Master Data-C19RM'!$E$2)))))</f>
        <v>0</v>
      </c>
      <c r="AK361" s="444">
        <f>IF($O361="USD",_xlfn.IFNA(VLOOKUP($A361&amp;$E361&amp;$I361,PMsheet!$J:$K,2,0),0),(_xlfn.IFNA(VLOOKUP($A361&amp;$E361&amp;$I361,PMsheet!$J:$K,2,0),0)*'Master Data-C19RM'!$F$2))</f>
        <v>0</v>
      </c>
      <c r="AL361" s="441"/>
      <c r="AM361" s="441"/>
      <c r="AN361" s="441"/>
      <c r="AO361" s="441"/>
      <c r="AP361" s="512">
        <f t="shared" si="49"/>
        <v>0</v>
      </c>
      <c r="AQ361" s="513">
        <f>IF(SETUP!$E$7="USD",(AP361*(IF(O361="USD",AK361,(AK361/'Master Data-C19RM'!$F$2)))),(AP361*(IF(O361="EUR",AK361,(AK361*'Master Data-C19RM'!$F$2)))))</f>
        <v>0</v>
      </c>
      <c r="AR361" s="924">
        <f>IF($O361="USD",_xlfn.IFNA(VLOOKUP($A361&amp;$E361&amp;$I361,PMsheet!$J:$K,2,0),0),(_xlfn.IFNA(VLOOKUP($A361&amp;$E361&amp;$I361,PMsheet!$J:$K,2,0),0)*'Master Data-C19RM'!$G$2))</f>
        <v>0</v>
      </c>
      <c r="AS361" s="572"/>
      <c r="AT361" s="572"/>
      <c r="AU361" s="572"/>
      <c r="AV361" s="572"/>
      <c r="AW361" s="512">
        <f t="shared" si="50"/>
        <v>0</v>
      </c>
      <c r="AX361" s="512">
        <f>IF(SETUP!$E$7="USD",(AW361*(IF(O361="USD",AR361,(AR361/'Master Data-C19RM'!$G$2)))),(AW361*(IF(O361="EUR",AR361,(AR361*'Master Data-C19RM'!$G$2)))))</f>
        <v>0</v>
      </c>
      <c r="AY361" s="845"/>
      <c r="AZ361" s="846"/>
      <c r="BA361" s="846"/>
      <c r="BB361" s="846"/>
      <c r="BC361" s="846"/>
      <c r="BD361" s="846"/>
      <c r="BE361" s="847"/>
      <c r="BF361" s="520">
        <f>'C19RM 2021-Lab &amp; Other HPS'!$U361+'C19RM 2021-Lab &amp; Other HPS'!$AB361+'C19RM 2021-Lab &amp; Other HPS'!$AP361+'C19RM 2021-Lab &amp; Other HPS'!$AI361+AW361+BD361</f>
        <v>0</v>
      </c>
      <c r="BG361" s="513">
        <f>'C19RM 2021-Lab &amp; Other HPS'!$V361+'C19RM 2021-Lab &amp; Other HPS'!$AC361+'C19RM 2021-Lab &amp; Other HPS'!$AQ361+'C19RM 2021-Lab &amp; Other HPS'!$AJ361+AX361+BE361</f>
        <v>0</v>
      </c>
      <c r="BH361" s="500" t="str" cm="1">
        <f t="array" ref="BH361">IF(A361&lt;&gt;"",IFERROR(INDEX(PMtbl[[WKst]:[Unit of measure*]],MATCH($A$330&amp;$A361&amp;$E361&amp;$I361,INDEX(PMtbl[Sec]&amp;PMtbl[Category]&amp;PMtbl[Each]&amp;PMtbl[Packaging],0,),0),11),""),"")</f>
        <v/>
      </c>
      <c r="BI361" s="819"/>
      <c r="BJ361" s="502" t="str" cm="1">
        <f t="array" ref="BJ361">IFERROR(INDEX(SETUP!$C$19:$G$121,MATCH((INDEX(PMtbl[[WKst]:[Unit of measure*]],MATCH($A361&amp;$E361&amp;$I361,INDEX(PMtbl[Category]&amp;PMtbl[Each]&amp;PMtbl[Packaging],0,),0),3)),SETUP!$D$19:$D$121,0),5),"")</f>
        <v/>
      </c>
      <c r="BK361" s="568" t="str" cm="1">
        <f t="array" ref="BK361">IFERROR(IF((INDEX(SETUP!$C$19:$G$121,MATCH((INDEX(PMtbl[[WKst]:[Unit of measure*]],MATCH($A361&amp;$E361&amp;$I361,INDEX(PMtbl[Category]&amp;PMtbl[Each]&amp;PMtbl[Packaging],0,),0),3)),SETUP!$D$19:$D$121,0),4))="Upfront",0,INDEX(SETUP!$C$19:$G$121,MATCH((INDEX(PMtbl[[WKst]:[Unit of measure*]],MATCH($A361&amp;$E361&amp;$I361,INDEX(PMtbl[Category]&amp;PMtbl[Each]&amp;PMtbl[Packaging],0,),0),3)),SETUP!$D$19:$D$121,0),5)),"")</f>
        <v/>
      </c>
      <c r="BL361" s="563" t="str" cm="1">
        <f t="array" ref="BL361">IF(E361&lt;&gt;"",IFERROR(INDEX(PMtbl[[WKst]:[Unit of measure*]],MATCH($A$330&amp;$A361&amp;$E361&amp;$I361,INDEX(PMtbl[Sec]&amp;PMtbl[Category]&amp;PMtbl[Each]&amp;PMtbl[Packaging],0,),0),11),""),"")</f>
        <v/>
      </c>
      <c r="BO361" s="448">
        <f>IF(N361="",0,IF(SETUP!$E$7="USD",((IF(O361="USD",P361,(P361/'Master Data-C19RM'!$C$2)))),((IF(O361="EUR",P361,(P361*'Master Data-C19RM'!$C$2))))))</f>
        <v>0</v>
      </c>
      <c r="BP361" s="448">
        <f>IF(N361="",0,IF(SETUP!$E$7="USD",((IF(O361="USD",W361,(W361/'Master Data-C19RM'!$D$2)))),((IF(O361="EUR",W361,(W361*'Master Data-C19RM'!$D$2))))))</f>
        <v>0</v>
      </c>
      <c r="BQ361" s="470">
        <f>IF(N361="",0,IF(SETUP!$E$7="USD",((IF(O361="USD",AD361,(AD361/'Master Data-C19RM'!$E$2)))),((IF(O361="EUR",AD361,(AD361*'Master Data-C19RM'!$E$2))))))</f>
        <v>0</v>
      </c>
      <c r="BR361" s="470">
        <f>IF(N361="",0,IF(SETUP!$E$7="USD",((IF(O361="USD",AK361,(AK361/'Master Data-C19RM'!$F$2)))),((IF(O361="EUR",AK361,(AK361*'Master Data-C19RM'!$F$2))))))</f>
        <v>0</v>
      </c>
      <c r="BS361" s="470">
        <f>IF(N361="",0,IF(SETUP!$E$7="USD",((IF(O361="USD",AR361,(AR361/'Master Data-C19RM'!$G$2)))),((IF(O361="EUR",AR361,(AR361*'Master Data-C19RM'!$G$2))))))</f>
        <v>0</v>
      </c>
      <c r="BT361" s="470">
        <f>IF(N361="",0,IF(SETUP!$E$7="USD",((IF(O361="USD",AY361,(AY361/'Master Data-C19RM'!$H$2)))),((IF(O361="EUR",AY361,(AY361*'Master Data-C19RM'!$H$2))))))</f>
        <v>0</v>
      </c>
      <c r="BU361" s="448">
        <f t="shared" si="45"/>
        <v>0</v>
      </c>
      <c r="BV361" s="562">
        <f t="shared" si="46"/>
        <v>0</v>
      </c>
      <c r="BW361" s="470"/>
      <c r="BX361" s="470"/>
      <c r="BY361" s="470"/>
      <c r="BZ361" s="470"/>
      <c r="CA361" s="470"/>
      <c r="CB361" s="470"/>
      <c r="CC361" s="470"/>
      <c r="CD361" s="470"/>
      <c r="CE361" s="470"/>
      <c r="CF361" s="470"/>
      <c r="CG361" s="470"/>
      <c r="CH361" s="470"/>
      <c r="CI361" s="470"/>
      <c r="CJ361" s="470"/>
      <c r="CK361" s="470"/>
      <c r="CL361" s="470"/>
      <c r="CM361" s="470"/>
      <c r="CN361" s="470"/>
      <c r="CO361" s="470"/>
      <c r="CP361" s="470"/>
    </row>
    <row r="362" spans="1:94" s="448" customFormat="1" ht="14" x14ac:dyDescent="0.3">
      <c r="A362" s="1192"/>
      <c r="B362" s="1192"/>
      <c r="C362" s="1192"/>
      <c r="D362" s="1192"/>
      <c r="E362" s="1173"/>
      <c r="F362" s="1173"/>
      <c r="G362" s="1173"/>
      <c r="H362" s="1173"/>
      <c r="I362" s="1173"/>
      <c r="J362" s="1173"/>
      <c r="K362" s="1173"/>
      <c r="L362" s="493" t="str" cm="1">
        <f t="array" ref="L362">IF(A362&lt;&gt;"",IFERROR(INDEX(PMtbl[[WKst]:[Unit of measure*]],MATCH($A$330&amp;$A362&amp;$E362&amp;$I362,INDEX(PMtbl[Sec]&amp;PMtbl[Category]&amp;PMtbl[Each]&amp;PMtbl[Packaging],0,),0),14),""),"")</f>
        <v/>
      </c>
      <c r="M362" s="480" t="str">
        <f>IF(L362="","",INDEX(SETUP!$E$20:$E$122,(MATCH(INDEX(PMsheet!$D:$E,MATCH(A362,PMsheet!E:E,0),1),SETUP!$D$20:$D$122,0))))</f>
        <v/>
      </c>
      <c r="N362" s="494">
        <f>IF($O362="USD",_xlfn.IFNA(VLOOKUP(A362&amp;E362&amp;I362,PMsheet!J:K,2,0),0),(_xlfn.IFNA(VLOOKUP(A362&amp;E362&amp;I362,PMsheet!J:K,2,0),0)*'Master Data-C19RM'!$C$2))</f>
        <v>0</v>
      </c>
      <c r="O362" s="495" t="str">
        <f>IF(L362="", "",SETUP!$E$7)</f>
        <v/>
      </c>
      <c r="P362" s="445">
        <f>IF($O362="USD",_xlfn.IFNA(VLOOKUP($A362&amp;$E362&amp;$I362,PMsheet!$J:$K,2,0),0),(_xlfn.IFNA(VLOOKUP($A362&amp;$E362&amp;$I362,PMsheet!$J:$K,2,0),0)*'Master Data-C19RM'!$C$2))</f>
        <v>0</v>
      </c>
      <c r="Q362" s="440"/>
      <c r="R362" s="440"/>
      <c r="S362" s="440"/>
      <c r="T362" s="440"/>
      <c r="U362" s="482">
        <f t="shared" si="44"/>
        <v>0</v>
      </c>
      <c r="V362" s="484">
        <f>IF(SETUP!$E$7="USD",(U362*(IF(O362="USD",P362,(P362/'Master Data-C19RM'!$C$2)))),(U362*(IF(O362="EUR",P362,(P362*'Master Data-C19RM'!$C$2)))))</f>
        <v>0</v>
      </c>
      <c r="W362" s="445">
        <f>IF($O362="USD",_xlfn.IFNA(VLOOKUP($A362&amp;$E362&amp;$I362,PMsheet!$J:$K,2,0),0),(_xlfn.IFNA(VLOOKUP($A362&amp;$E362&amp;$I362,PMsheet!$J:$K,2,0),0)*'Master Data-C19RM'!$D$2))</f>
        <v>0</v>
      </c>
      <c r="X362" s="440"/>
      <c r="Y362" s="440"/>
      <c r="Z362" s="440"/>
      <c r="AA362" s="440"/>
      <c r="AB362" s="482">
        <f t="shared" si="47"/>
        <v>0</v>
      </c>
      <c r="AC362" s="484">
        <f>IF(SETUP!$E$7="USD",(AB362*(IF(O362="USD",W362,(W362/'Master Data-C19RM'!$D$2)))),(AB362*(IF(O362="EUR",W362,(W362*'Master Data-C19RM'!$D$2)))))</f>
        <v>0</v>
      </c>
      <c r="AD362" s="445">
        <f>IF($O362="USD",_xlfn.IFNA(VLOOKUP($A362&amp;$E362&amp;$I362,PMsheet!$J:$K,2,0),0),(_xlfn.IFNA(VLOOKUP($A362&amp;$E362&amp;$I362,PMsheet!$J:$K,2,0),0)*'Master Data-C19RM'!$E$2))</f>
        <v>0</v>
      </c>
      <c r="AE362" s="440"/>
      <c r="AF362" s="440"/>
      <c r="AG362" s="440"/>
      <c r="AH362" s="440"/>
      <c r="AI362" s="514">
        <f t="shared" si="48"/>
        <v>0</v>
      </c>
      <c r="AJ362" s="515">
        <f>IF(SETUP!$E$7="USD",(AI362*(IF(O362="USD",AD362,(AD362/'Master Data-C19RM'!$E$2)))),(AI362*(IF(O362="EUR",AD362,(AD362*'Master Data-C19RM'!$E$2)))))</f>
        <v>0</v>
      </c>
      <c r="AK362" s="445">
        <f>IF($O362="USD",_xlfn.IFNA(VLOOKUP($A362&amp;$E362&amp;$I362,PMsheet!$J:$K,2,0),0),(_xlfn.IFNA(VLOOKUP($A362&amp;$E362&amp;$I362,PMsheet!$J:$K,2,0),0)*'Master Data-C19RM'!$F$2))</f>
        <v>0</v>
      </c>
      <c r="AL362" s="440"/>
      <c r="AM362" s="440"/>
      <c r="AN362" s="440"/>
      <c r="AO362" s="440"/>
      <c r="AP362" s="514">
        <f t="shared" si="49"/>
        <v>0</v>
      </c>
      <c r="AQ362" s="515">
        <f>IF(SETUP!$E$7="USD",(AP362*(IF(O362="USD",AK362,(AK362/'Master Data-C19RM'!$F$2)))),(AP362*(IF(O362="EUR",AK362,(AK362*'Master Data-C19RM'!$F$2)))))</f>
        <v>0</v>
      </c>
      <c r="AR362" s="925">
        <f>IF($O362="USD",_xlfn.IFNA(VLOOKUP($A362&amp;$E362&amp;$I362,PMsheet!$J:$K,2,0),0),(_xlfn.IFNA(VLOOKUP($A362&amp;$E362&amp;$I362,PMsheet!$J:$K,2,0),0)*'Master Data-C19RM'!$G$2))</f>
        <v>0</v>
      </c>
      <c r="AS362" s="926"/>
      <c r="AT362" s="926"/>
      <c r="AU362" s="926"/>
      <c r="AV362" s="926"/>
      <c r="AW362" s="514">
        <f t="shared" si="50"/>
        <v>0</v>
      </c>
      <c r="AX362" s="514">
        <f>IF(SETUP!$E$7="USD",(AW362*(IF(O362="USD",AR362,(AR362/'Master Data-C19RM'!$G$2)))),(AW362*(IF(O362="EUR",AR362,(AR362*'Master Data-C19RM'!$G$2)))))</f>
        <v>0</v>
      </c>
      <c r="AY362" s="845"/>
      <c r="AZ362" s="846"/>
      <c r="BA362" s="846"/>
      <c r="BB362" s="846"/>
      <c r="BC362" s="846"/>
      <c r="BD362" s="846"/>
      <c r="BE362" s="847"/>
      <c r="BF362" s="521">
        <f>'C19RM 2021-Lab &amp; Other HPS'!$U362+'C19RM 2021-Lab &amp; Other HPS'!$AB362+'C19RM 2021-Lab &amp; Other HPS'!$AP362+'C19RM 2021-Lab &amp; Other HPS'!$AI362+AW362+BD362</f>
        <v>0</v>
      </c>
      <c r="BG362" s="515">
        <f>'C19RM 2021-Lab &amp; Other HPS'!$V362+'C19RM 2021-Lab &amp; Other HPS'!$AC362+'C19RM 2021-Lab &amp; Other HPS'!$AQ362+'C19RM 2021-Lab &amp; Other HPS'!$AJ362+AX362+BE362</f>
        <v>0</v>
      </c>
      <c r="BH362" s="522" t="str" cm="1">
        <f t="array" ref="BH362">IF(A362&lt;&gt;"",IFERROR(INDEX(PMtbl[[WKst]:[Unit of measure*]],MATCH($A$330&amp;$A362&amp;$E362&amp;$I362,INDEX(PMtbl[Sec]&amp;PMtbl[Category]&amp;PMtbl[Each]&amp;PMtbl[Packaging],0,),0),11),""),"")</f>
        <v/>
      </c>
      <c r="BI362" s="818"/>
      <c r="BJ362" s="503" t="str" cm="1">
        <f t="array" ref="BJ362">IFERROR(INDEX(SETUP!$C$19:$G$121,MATCH((INDEX(PMtbl[[WKst]:[Unit of measure*]],MATCH($A362&amp;$E362&amp;$I362,INDEX(PMtbl[Category]&amp;PMtbl[Each]&amp;PMtbl[Packaging],0,),0),3)),SETUP!$D$19:$D$121,0),5),"")</f>
        <v/>
      </c>
      <c r="BK362" s="569" t="str" cm="1">
        <f t="array" ref="BK362">IFERROR(IF((INDEX(SETUP!$C$19:$G$121,MATCH((INDEX(PMtbl[[WKst]:[Unit of measure*]],MATCH($A362&amp;$E362&amp;$I362,INDEX(PMtbl[Category]&amp;PMtbl[Each]&amp;PMtbl[Packaging],0,),0),3)),SETUP!$D$19:$D$121,0),4))="Upfront",0,INDEX(SETUP!$C$19:$G$121,MATCH((INDEX(PMtbl[[WKst]:[Unit of measure*]],MATCH($A362&amp;$E362&amp;$I362,INDEX(PMtbl[Category]&amp;PMtbl[Each]&amp;PMtbl[Packaging],0,),0),3)),SETUP!$D$19:$D$121,0),5)),"")</f>
        <v/>
      </c>
      <c r="BL362" s="564" t="str" cm="1">
        <f t="array" ref="BL362">IF(E362&lt;&gt;"",IFERROR(INDEX(PMtbl[[WKst]:[Unit of measure*]],MATCH($A$330&amp;$A362&amp;$E362&amp;$I362,INDEX(PMtbl[Sec]&amp;PMtbl[Category]&amp;PMtbl[Each]&amp;PMtbl[Packaging],0,),0),11),""),"")</f>
        <v/>
      </c>
      <c r="BO362" s="448">
        <f>IF(N362="",0,IF(SETUP!$E$7="USD",((IF(O362="USD",P362,(P362/'Master Data-C19RM'!$C$2)))),((IF(O362="EUR",P362,(P362*'Master Data-C19RM'!$C$2))))))</f>
        <v>0</v>
      </c>
      <c r="BP362" s="448">
        <f>IF(N362="",0,IF(SETUP!$E$7="USD",((IF(O362="USD",W362,(W362/'Master Data-C19RM'!$D$2)))),((IF(O362="EUR",W362,(W362*'Master Data-C19RM'!$D$2))))))</f>
        <v>0</v>
      </c>
      <c r="BQ362" s="470">
        <f>IF(N362="",0,IF(SETUP!$E$7="USD",((IF(O362="USD",AD362,(AD362/'Master Data-C19RM'!$E$2)))),((IF(O362="EUR",AD362,(AD362*'Master Data-C19RM'!$E$2))))))</f>
        <v>0</v>
      </c>
      <c r="BR362" s="470">
        <f>IF(N362="",0,IF(SETUP!$E$7="USD",((IF(O362="USD",AK362,(AK362/'Master Data-C19RM'!$F$2)))),((IF(O362="EUR",AK362,(AK362*'Master Data-C19RM'!$F$2))))))</f>
        <v>0</v>
      </c>
      <c r="BS362" s="470">
        <f>IF(N362="",0,IF(SETUP!$E$7="USD",((IF(O362="USD",AR362,(AR362/'Master Data-C19RM'!$G$2)))),((IF(O362="EUR",AR362,(AR362*'Master Data-C19RM'!$G$2))))))</f>
        <v>0</v>
      </c>
      <c r="BT362" s="470">
        <f>IF(N362="",0,IF(SETUP!$E$7="USD",((IF(O362="USD",AY362,(AY362/'Master Data-C19RM'!$H$2)))),((IF(O362="EUR",AY362,(AY362*'Master Data-C19RM'!$H$2))))))</f>
        <v>0</v>
      </c>
      <c r="BU362" s="448">
        <f t="shared" si="45"/>
        <v>0</v>
      </c>
      <c r="BV362" s="562">
        <f t="shared" si="46"/>
        <v>0</v>
      </c>
      <c r="BW362" s="470"/>
      <c r="BX362" s="470"/>
      <c r="BY362" s="470"/>
      <c r="BZ362" s="470"/>
      <c r="CA362" s="470"/>
      <c r="CB362" s="470"/>
      <c r="CC362" s="470"/>
      <c r="CD362" s="470"/>
      <c r="CE362" s="470"/>
      <c r="CF362" s="470"/>
      <c r="CG362" s="470"/>
      <c r="CH362" s="470"/>
      <c r="CI362" s="470"/>
      <c r="CJ362" s="470"/>
      <c r="CK362" s="470"/>
      <c r="CL362" s="470"/>
      <c r="CM362" s="470"/>
      <c r="CN362" s="470"/>
      <c r="CO362" s="470"/>
      <c r="CP362" s="470"/>
    </row>
    <row r="363" spans="1:94" s="448" customFormat="1" ht="14" x14ac:dyDescent="0.3">
      <c r="A363" s="1165"/>
      <c r="B363" s="1165"/>
      <c r="C363" s="1165"/>
      <c r="D363" s="1165"/>
      <c r="E363" s="1166"/>
      <c r="F363" s="1166"/>
      <c r="G363" s="1166"/>
      <c r="H363" s="1166"/>
      <c r="I363" s="1166"/>
      <c r="J363" s="1166"/>
      <c r="K363" s="1166"/>
      <c r="L363" s="490" t="str" cm="1">
        <f t="array" ref="L363">IF(A363&lt;&gt;"",IFERROR(INDEX(PMtbl[[WKst]:[Unit of measure*]],MATCH($A$330&amp;$A363&amp;$E363&amp;$I363,INDEX(PMtbl[Sec]&amp;PMtbl[Category]&amp;PMtbl[Each]&amp;PMtbl[Packaging],0,),0),14),""),"")</f>
        <v/>
      </c>
      <c r="M363" s="479" t="str">
        <f>IF(L363="","",INDEX(SETUP!$E$20:$E$122,(MATCH(INDEX(PMsheet!$D:$E,MATCH(A363,PMsheet!E:E,0),1),SETUP!$D$20:$D$122,0))))</f>
        <v/>
      </c>
      <c r="N363" s="491">
        <f>IF($O363="USD",_xlfn.IFNA(VLOOKUP(A363&amp;E363&amp;I363,PMsheet!J:K,2,0),0),(_xlfn.IFNA(VLOOKUP(A363&amp;E363&amp;I363,PMsheet!J:K,2,0),0)*'Master Data-C19RM'!$C$2))</f>
        <v>0</v>
      </c>
      <c r="O363" s="492" t="str">
        <f>IF(L363="", "",SETUP!$E$7)</f>
        <v/>
      </c>
      <c r="P363" s="444">
        <f>IF($O363="USD",_xlfn.IFNA(VLOOKUP($A363&amp;$E363&amp;$I363,PMsheet!$J:$K,2,0),0),(_xlfn.IFNA(VLOOKUP($A363&amp;$E363&amp;$I363,PMsheet!$J:$K,2,0),0)*'Master Data-C19RM'!$C$2))</f>
        <v>0</v>
      </c>
      <c r="Q363" s="441"/>
      <c r="R363" s="441"/>
      <c r="S363" s="441"/>
      <c r="T363" s="441"/>
      <c r="U363" s="481">
        <f t="shared" si="44"/>
        <v>0</v>
      </c>
      <c r="V363" s="483">
        <f>IF(SETUP!$E$7="USD",(U363*(IF(O363="USD",P363,(P363/'Master Data-C19RM'!$C$2)))),(U363*(IF(O363="EUR",P363,(P363*'Master Data-C19RM'!$C$2)))))</f>
        <v>0</v>
      </c>
      <c r="W363" s="444">
        <f>IF($O363="USD",_xlfn.IFNA(VLOOKUP($A363&amp;$E363&amp;$I363,PMsheet!$J:$K,2,0),0),(_xlfn.IFNA(VLOOKUP($A363&amp;$E363&amp;$I363,PMsheet!$J:$K,2,0),0)*'Master Data-C19RM'!$D$2))</f>
        <v>0</v>
      </c>
      <c r="X363" s="441"/>
      <c r="Y363" s="441"/>
      <c r="Z363" s="441"/>
      <c r="AA363" s="441"/>
      <c r="AB363" s="481">
        <f t="shared" si="47"/>
        <v>0</v>
      </c>
      <c r="AC363" s="483">
        <f>IF(SETUP!$E$7="USD",(AB363*(IF(O363="USD",W363,(W363/'Master Data-C19RM'!$D$2)))),(AB363*(IF(O363="EUR",W363,(W363*'Master Data-C19RM'!$D$2)))))</f>
        <v>0</v>
      </c>
      <c r="AD363" s="444">
        <f>IF($O363="USD",_xlfn.IFNA(VLOOKUP($A363&amp;$E363&amp;$I363,PMsheet!$J:$K,2,0),0),(_xlfn.IFNA(VLOOKUP($A363&amp;$E363&amp;$I363,PMsheet!$J:$K,2,0),0)*'Master Data-C19RM'!$E$2))</f>
        <v>0</v>
      </c>
      <c r="AE363" s="441"/>
      <c r="AF363" s="441"/>
      <c r="AG363" s="441"/>
      <c r="AH363" s="441"/>
      <c r="AI363" s="512">
        <f t="shared" si="48"/>
        <v>0</v>
      </c>
      <c r="AJ363" s="513">
        <f>IF(SETUP!$E$7="USD",(AI363*(IF(O363="USD",AD363,(AD363/'Master Data-C19RM'!$E$2)))),(AI363*(IF(O363="EUR",AD363,(AD363*'Master Data-C19RM'!$E$2)))))</f>
        <v>0</v>
      </c>
      <c r="AK363" s="444">
        <f>IF($O363="USD",_xlfn.IFNA(VLOOKUP($A363&amp;$E363&amp;$I363,PMsheet!$J:$K,2,0),0),(_xlfn.IFNA(VLOOKUP($A363&amp;$E363&amp;$I363,PMsheet!$J:$K,2,0),0)*'Master Data-C19RM'!$F$2))</f>
        <v>0</v>
      </c>
      <c r="AL363" s="441"/>
      <c r="AM363" s="441"/>
      <c r="AN363" s="441"/>
      <c r="AO363" s="441"/>
      <c r="AP363" s="512">
        <f t="shared" si="49"/>
        <v>0</v>
      </c>
      <c r="AQ363" s="513">
        <f>IF(SETUP!$E$7="USD",(AP363*(IF(O363="USD",AK363,(AK363/'Master Data-C19RM'!$F$2)))),(AP363*(IF(O363="EUR",AK363,(AK363*'Master Data-C19RM'!$F$2)))))</f>
        <v>0</v>
      </c>
      <c r="AR363" s="924">
        <f>IF($O363="USD",_xlfn.IFNA(VLOOKUP($A363&amp;$E363&amp;$I363,PMsheet!$J:$K,2,0),0),(_xlfn.IFNA(VLOOKUP($A363&amp;$E363&amp;$I363,PMsheet!$J:$K,2,0),0)*'Master Data-C19RM'!$G$2))</f>
        <v>0</v>
      </c>
      <c r="AS363" s="572"/>
      <c r="AT363" s="572"/>
      <c r="AU363" s="572"/>
      <c r="AV363" s="572"/>
      <c r="AW363" s="512">
        <f t="shared" si="50"/>
        <v>0</v>
      </c>
      <c r="AX363" s="512">
        <f>IF(SETUP!$E$7="USD",(AW363*(IF(O363="USD",AR363,(AR363/'Master Data-C19RM'!$G$2)))),(AW363*(IF(O363="EUR",AR363,(AR363*'Master Data-C19RM'!$G$2)))))</f>
        <v>0</v>
      </c>
      <c r="AY363" s="845"/>
      <c r="AZ363" s="846"/>
      <c r="BA363" s="846"/>
      <c r="BB363" s="846"/>
      <c r="BC363" s="846"/>
      <c r="BD363" s="846"/>
      <c r="BE363" s="847"/>
      <c r="BF363" s="520">
        <f>'C19RM 2021-Lab &amp; Other HPS'!$U363+'C19RM 2021-Lab &amp; Other HPS'!$AB363+'C19RM 2021-Lab &amp; Other HPS'!$AP363+'C19RM 2021-Lab &amp; Other HPS'!$AI363+AW363+BD363</f>
        <v>0</v>
      </c>
      <c r="BG363" s="513">
        <f>'C19RM 2021-Lab &amp; Other HPS'!$V363+'C19RM 2021-Lab &amp; Other HPS'!$AC363+'C19RM 2021-Lab &amp; Other HPS'!$AQ363+'C19RM 2021-Lab &amp; Other HPS'!$AJ363+AX363+BE363</f>
        <v>0</v>
      </c>
      <c r="BH363" s="500" t="str" cm="1">
        <f t="array" ref="BH363">IF(A363&lt;&gt;"",IFERROR(INDEX(PMtbl[[WKst]:[Unit of measure*]],MATCH($A$330&amp;$A363&amp;$E363&amp;$I363,INDEX(PMtbl[Sec]&amp;PMtbl[Category]&amp;PMtbl[Each]&amp;PMtbl[Packaging],0,),0),11),""),"")</f>
        <v/>
      </c>
      <c r="BI363" s="819"/>
      <c r="BJ363" s="502" t="str" cm="1">
        <f t="array" ref="BJ363">IFERROR(INDEX(SETUP!$C$19:$G$121,MATCH((INDEX(PMtbl[[WKst]:[Unit of measure*]],MATCH($A363&amp;$E363&amp;$I363,INDEX(PMtbl[Category]&amp;PMtbl[Each]&amp;PMtbl[Packaging],0,),0),3)),SETUP!$D$19:$D$121,0),5),"")</f>
        <v/>
      </c>
      <c r="BK363" s="568" t="str" cm="1">
        <f t="array" ref="BK363">IFERROR(IF((INDEX(SETUP!$C$19:$G$121,MATCH((INDEX(PMtbl[[WKst]:[Unit of measure*]],MATCH($A363&amp;$E363&amp;$I363,INDEX(PMtbl[Category]&amp;PMtbl[Each]&amp;PMtbl[Packaging],0,),0),3)),SETUP!$D$19:$D$121,0),4))="Upfront",0,INDEX(SETUP!$C$19:$G$121,MATCH((INDEX(PMtbl[[WKst]:[Unit of measure*]],MATCH($A363&amp;$E363&amp;$I363,INDEX(PMtbl[Category]&amp;PMtbl[Each]&amp;PMtbl[Packaging],0,),0),3)),SETUP!$D$19:$D$121,0),5)),"")</f>
        <v/>
      </c>
      <c r="BL363" s="563" t="str" cm="1">
        <f t="array" ref="BL363">IF(E363&lt;&gt;"",IFERROR(INDEX(PMtbl[[WKst]:[Unit of measure*]],MATCH($A$330&amp;$A363&amp;$E363&amp;$I363,INDEX(PMtbl[Sec]&amp;PMtbl[Category]&amp;PMtbl[Each]&amp;PMtbl[Packaging],0,),0),11),""),"")</f>
        <v/>
      </c>
      <c r="BO363" s="448">
        <f>IF(N363="",0,IF(SETUP!$E$7="USD",((IF(O363="USD",P363,(P363/'Master Data-C19RM'!$C$2)))),((IF(O363="EUR",P363,(P363*'Master Data-C19RM'!$C$2))))))</f>
        <v>0</v>
      </c>
      <c r="BP363" s="448">
        <f>IF(N363="",0,IF(SETUP!$E$7="USD",((IF(O363="USD",W363,(W363/'Master Data-C19RM'!$D$2)))),((IF(O363="EUR",W363,(W363*'Master Data-C19RM'!$D$2))))))</f>
        <v>0</v>
      </c>
      <c r="BQ363" s="470">
        <f>IF(N363="",0,IF(SETUP!$E$7="USD",((IF(O363="USD",AD363,(AD363/'Master Data-C19RM'!$E$2)))),((IF(O363="EUR",AD363,(AD363*'Master Data-C19RM'!$E$2))))))</f>
        <v>0</v>
      </c>
      <c r="BR363" s="470">
        <f>IF(N363="",0,IF(SETUP!$E$7="USD",((IF(O363="USD",AK363,(AK363/'Master Data-C19RM'!$F$2)))),((IF(O363="EUR",AK363,(AK363*'Master Data-C19RM'!$F$2))))))</f>
        <v>0</v>
      </c>
      <c r="BS363" s="470">
        <f>IF(N363="",0,IF(SETUP!$E$7="USD",((IF(O363="USD",AR363,(AR363/'Master Data-C19RM'!$G$2)))),((IF(O363="EUR",AR363,(AR363*'Master Data-C19RM'!$G$2))))))</f>
        <v>0</v>
      </c>
      <c r="BT363" s="470">
        <f>IF(N363="",0,IF(SETUP!$E$7="USD",((IF(O363="USD",AY363,(AY363/'Master Data-C19RM'!$H$2)))),((IF(O363="EUR",AY363,(AY363*'Master Data-C19RM'!$H$2))))))</f>
        <v>0</v>
      </c>
      <c r="BU363" s="448">
        <f t="shared" si="45"/>
        <v>0</v>
      </c>
      <c r="BV363" s="562">
        <f t="shared" si="46"/>
        <v>0</v>
      </c>
      <c r="BW363" s="470"/>
      <c r="BX363" s="470"/>
      <c r="BY363" s="470"/>
      <c r="BZ363" s="470"/>
      <c r="CA363" s="470"/>
      <c r="CB363" s="470"/>
      <c r="CC363" s="470"/>
      <c r="CD363" s="470"/>
      <c r="CE363" s="470"/>
      <c r="CF363" s="470"/>
      <c r="CG363" s="470"/>
      <c r="CH363" s="470"/>
      <c r="CI363" s="470"/>
      <c r="CJ363" s="470"/>
      <c r="CK363" s="470"/>
      <c r="CL363" s="470"/>
      <c r="CM363" s="470"/>
      <c r="CN363" s="470"/>
      <c r="CO363" s="470"/>
      <c r="CP363" s="470"/>
    </row>
    <row r="364" spans="1:94" s="448" customFormat="1" ht="14" x14ac:dyDescent="0.3">
      <c r="A364" s="1192"/>
      <c r="B364" s="1192"/>
      <c r="C364" s="1192"/>
      <c r="D364" s="1192"/>
      <c r="E364" s="1173"/>
      <c r="F364" s="1173"/>
      <c r="G364" s="1173"/>
      <c r="H364" s="1173"/>
      <c r="I364" s="1173"/>
      <c r="J364" s="1173"/>
      <c r="K364" s="1173"/>
      <c r="L364" s="493" t="str" cm="1">
        <f t="array" ref="L364">IF(A364&lt;&gt;"",IFERROR(INDEX(PMtbl[[WKst]:[Unit of measure*]],MATCH($A$330&amp;$A364&amp;$E364&amp;$I364,INDEX(PMtbl[Sec]&amp;PMtbl[Category]&amp;PMtbl[Each]&amp;PMtbl[Packaging],0,),0),14),""),"")</f>
        <v/>
      </c>
      <c r="M364" s="480" t="str">
        <f>IF(L364="","",INDEX(SETUP!$E$20:$E$122,(MATCH(INDEX(PMsheet!$D:$E,MATCH(A364,PMsheet!E:E,0),1),SETUP!$D$20:$D$122,0))))</f>
        <v/>
      </c>
      <c r="N364" s="494">
        <f>IF($O364="USD",_xlfn.IFNA(VLOOKUP(A364&amp;E364&amp;I364,PMsheet!J:K,2,0),0),(_xlfn.IFNA(VLOOKUP(A364&amp;E364&amp;I364,PMsheet!J:K,2,0),0)*'Master Data-C19RM'!$C$2))</f>
        <v>0</v>
      </c>
      <c r="O364" s="495" t="str">
        <f>IF(L364="", "",SETUP!$E$7)</f>
        <v/>
      </c>
      <c r="P364" s="445">
        <f>IF($O364="USD",_xlfn.IFNA(VLOOKUP($A364&amp;$E364&amp;$I364,PMsheet!$J:$K,2,0),0),(_xlfn.IFNA(VLOOKUP($A364&amp;$E364&amp;$I364,PMsheet!$J:$K,2,0),0)*'Master Data-C19RM'!$C$2))</f>
        <v>0</v>
      </c>
      <c r="Q364" s="440"/>
      <c r="R364" s="440"/>
      <c r="S364" s="440"/>
      <c r="T364" s="440"/>
      <c r="U364" s="482">
        <f t="shared" si="44"/>
        <v>0</v>
      </c>
      <c r="V364" s="484">
        <f>IF(SETUP!$E$7="USD",(U364*(IF(O364="USD",P364,(P364/'Master Data-C19RM'!$C$2)))),(U364*(IF(O364="EUR",P364,(P364*'Master Data-C19RM'!$C$2)))))</f>
        <v>0</v>
      </c>
      <c r="W364" s="445">
        <f>IF($O364="USD",_xlfn.IFNA(VLOOKUP($A364&amp;$E364&amp;$I364,PMsheet!$J:$K,2,0),0),(_xlfn.IFNA(VLOOKUP($A364&amp;$E364&amp;$I364,PMsheet!$J:$K,2,0),0)*'Master Data-C19RM'!$D$2))</f>
        <v>0</v>
      </c>
      <c r="X364" s="440"/>
      <c r="Y364" s="440"/>
      <c r="Z364" s="440"/>
      <c r="AA364" s="440"/>
      <c r="AB364" s="482">
        <f t="shared" si="47"/>
        <v>0</v>
      </c>
      <c r="AC364" s="484">
        <f>IF(SETUP!$E$7="USD",(AB364*(IF(O364="USD",W364,(W364/'Master Data-C19RM'!$D$2)))),(AB364*(IF(O364="EUR",W364,(W364*'Master Data-C19RM'!$D$2)))))</f>
        <v>0</v>
      </c>
      <c r="AD364" s="445">
        <f>IF($O364="USD",_xlfn.IFNA(VLOOKUP($A364&amp;$E364&amp;$I364,PMsheet!$J:$K,2,0),0),(_xlfn.IFNA(VLOOKUP($A364&amp;$E364&amp;$I364,PMsheet!$J:$K,2,0),0)*'Master Data-C19RM'!$E$2))</f>
        <v>0</v>
      </c>
      <c r="AE364" s="440"/>
      <c r="AF364" s="440"/>
      <c r="AG364" s="440"/>
      <c r="AH364" s="440"/>
      <c r="AI364" s="514">
        <f t="shared" si="48"/>
        <v>0</v>
      </c>
      <c r="AJ364" s="515">
        <f>IF(SETUP!$E$7="USD",(AI364*(IF(O364="USD",AD364,(AD364/'Master Data-C19RM'!$E$2)))),(AI364*(IF(O364="EUR",AD364,(AD364*'Master Data-C19RM'!$E$2)))))</f>
        <v>0</v>
      </c>
      <c r="AK364" s="445">
        <f>IF($O364="USD",_xlfn.IFNA(VLOOKUP($A364&amp;$E364&amp;$I364,PMsheet!$J:$K,2,0),0),(_xlfn.IFNA(VLOOKUP($A364&amp;$E364&amp;$I364,PMsheet!$J:$K,2,0),0)*'Master Data-C19RM'!$F$2))</f>
        <v>0</v>
      </c>
      <c r="AL364" s="440"/>
      <c r="AM364" s="440"/>
      <c r="AN364" s="440"/>
      <c r="AO364" s="440"/>
      <c r="AP364" s="514">
        <f t="shared" si="49"/>
        <v>0</v>
      </c>
      <c r="AQ364" s="515">
        <f>IF(SETUP!$E$7="USD",(AP364*(IF(O364="USD",AK364,(AK364/'Master Data-C19RM'!$F$2)))),(AP364*(IF(O364="EUR",AK364,(AK364*'Master Data-C19RM'!$F$2)))))</f>
        <v>0</v>
      </c>
      <c r="AR364" s="925">
        <f>IF($O364="USD",_xlfn.IFNA(VLOOKUP($A364&amp;$E364&amp;$I364,PMsheet!$J:$K,2,0),0),(_xlfn.IFNA(VLOOKUP($A364&amp;$E364&amp;$I364,PMsheet!$J:$K,2,0),0)*'Master Data-C19RM'!$G$2))</f>
        <v>0</v>
      </c>
      <c r="AS364" s="926"/>
      <c r="AT364" s="926"/>
      <c r="AU364" s="926"/>
      <c r="AV364" s="926"/>
      <c r="AW364" s="514">
        <f t="shared" si="50"/>
        <v>0</v>
      </c>
      <c r="AX364" s="514">
        <f>IF(SETUP!$E$7="USD",(AW364*(IF(O364="USD",AR364,(AR364/'Master Data-C19RM'!$G$2)))),(AW364*(IF(O364="EUR",AR364,(AR364*'Master Data-C19RM'!$G$2)))))</f>
        <v>0</v>
      </c>
      <c r="AY364" s="845"/>
      <c r="AZ364" s="846"/>
      <c r="BA364" s="846"/>
      <c r="BB364" s="846"/>
      <c r="BC364" s="846"/>
      <c r="BD364" s="846"/>
      <c r="BE364" s="847"/>
      <c r="BF364" s="521">
        <f>'C19RM 2021-Lab &amp; Other HPS'!$U364+'C19RM 2021-Lab &amp; Other HPS'!$AB364+'C19RM 2021-Lab &amp; Other HPS'!$AP364+'C19RM 2021-Lab &amp; Other HPS'!$AI364+AW364+BD364</f>
        <v>0</v>
      </c>
      <c r="BG364" s="515">
        <f>'C19RM 2021-Lab &amp; Other HPS'!$V364+'C19RM 2021-Lab &amp; Other HPS'!$AC364+'C19RM 2021-Lab &amp; Other HPS'!$AQ364+'C19RM 2021-Lab &amp; Other HPS'!$AJ364+AX364+BE364</f>
        <v>0</v>
      </c>
      <c r="BH364" s="522" t="str" cm="1">
        <f t="array" ref="BH364">IF(A364&lt;&gt;"",IFERROR(INDEX(PMtbl[[WKst]:[Unit of measure*]],MATCH($A$330&amp;$A364&amp;$E364&amp;$I364,INDEX(PMtbl[Sec]&amp;PMtbl[Category]&amp;PMtbl[Each]&amp;PMtbl[Packaging],0,),0),11),""),"")</f>
        <v/>
      </c>
      <c r="BI364" s="818"/>
      <c r="BJ364" s="503" t="str" cm="1">
        <f t="array" ref="BJ364">IFERROR(INDEX(SETUP!$C$19:$G$121,MATCH((INDEX(PMtbl[[WKst]:[Unit of measure*]],MATCH($A364&amp;$E364&amp;$I364,INDEX(PMtbl[Category]&amp;PMtbl[Each]&amp;PMtbl[Packaging],0,),0),3)),SETUP!$D$19:$D$121,0),5),"")</f>
        <v/>
      </c>
      <c r="BK364" s="569" t="str" cm="1">
        <f t="array" ref="BK364">IFERROR(IF((INDEX(SETUP!$C$19:$G$121,MATCH((INDEX(PMtbl[[WKst]:[Unit of measure*]],MATCH($A364&amp;$E364&amp;$I364,INDEX(PMtbl[Category]&amp;PMtbl[Each]&amp;PMtbl[Packaging],0,),0),3)),SETUP!$D$19:$D$121,0),4))="Upfront",0,INDEX(SETUP!$C$19:$G$121,MATCH((INDEX(PMtbl[[WKst]:[Unit of measure*]],MATCH($A364&amp;$E364&amp;$I364,INDEX(PMtbl[Category]&amp;PMtbl[Each]&amp;PMtbl[Packaging],0,),0),3)),SETUP!$D$19:$D$121,0),5)),"")</f>
        <v/>
      </c>
      <c r="BL364" s="564" t="str" cm="1">
        <f t="array" ref="BL364">IF(E364&lt;&gt;"",IFERROR(INDEX(PMtbl[[WKst]:[Unit of measure*]],MATCH($A$330&amp;$A364&amp;$E364&amp;$I364,INDEX(PMtbl[Sec]&amp;PMtbl[Category]&amp;PMtbl[Each]&amp;PMtbl[Packaging],0,),0),11),""),"")</f>
        <v/>
      </c>
      <c r="BO364" s="448">
        <f>IF(N364="",0,IF(SETUP!$E$7="USD",((IF(O364="USD",P364,(P364/'Master Data-C19RM'!$C$2)))),((IF(O364="EUR",P364,(P364*'Master Data-C19RM'!$C$2))))))</f>
        <v>0</v>
      </c>
      <c r="BP364" s="448">
        <f>IF(N364="",0,IF(SETUP!$E$7="USD",((IF(O364="USD",W364,(W364/'Master Data-C19RM'!$D$2)))),((IF(O364="EUR",W364,(W364*'Master Data-C19RM'!$D$2))))))</f>
        <v>0</v>
      </c>
      <c r="BQ364" s="470">
        <f>IF(N364="",0,IF(SETUP!$E$7="USD",((IF(O364="USD",AD364,(AD364/'Master Data-C19RM'!$E$2)))),((IF(O364="EUR",AD364,(AD364*'Master Data-C19RM'!$E$2))))))</f>
        <v>0</v>
      </c>
      <c r="BR364" s="470">
        <f>IF(N364="",0,IF(SETUP!$E$7="USD",((IF(O364="USD",AK364,(AK364/'Master Data-C19RM'!$F$2)))),((IF(O364="EUR",AK364,(AK364*'Master Data-C19RM'!$F$2))))))</f>
        <v>0</v>
      </c>
      <c r="BS364" s="470">
        <f>IF(N364="",0,IF(SETUP!$E$7="USD",((IF(O364="USD",AR364,(AR364/'Master Data-C19RM'!$G$2)))),((IF(O364="EUR",AR364,(AR364*'Master Data-C19RM'!$G$2))))))</f>
        <v>0</v>
      </c>
      <c r="BT364" s="470">
        <f>IF(N364="",0,IF(SETUP!$E$7="USD",((IF(O364="USD",AY364,(AY364/'Master Data-C19RM'!$H$2)))),((IF(O364="EUR",AY364,(AY364*'Master Data-C19RM'!$H$2))))))</f>
        <v>0</v>
      </c>
      <c r="BU364" s="448">
        <f t="shared" si="45"/>
        <v>0</v>
      </c>
      <c r="BV364" s="562">
        <f t="shared" si="46"/>
        <v>0</v>
      </c>
      <c r="BW364" s="470"/>
      <c r="BX364" s="470"/>
      <c r="BY364" s="470"/>
      <c r="BZ364" s="470"/>
      <c r="CA364" s="470"/>
      <c r="CB364" s="470"/>
      <c r="CC364" s="470"/>
      <c r="CD364" s="470"/>
      <c r="CE364" s="470"/>
      <c r="CF364" s="470"/>
      <c r="CG364" s="470"/>
      <c r="CH364" s="470"/>
      <c r="CI364" s="470"/>
      <c r="CJ364" s="470"/>
      <c r="CK364" s="470"/>
      <c r="CL364" s="470"/>
      <c r="CM364" s="470"/>
      <c r="CN364" s="470"/>
      <c r="CO364" s="470"/>
      <c r="CP364" s="470"/>
    </row>
    <row r="365" spans="1:94" s="448" customFormat="1" ht="14" x14ac:dyDescent="0.3">
      <c r="A365" s="1165"/>
      <c r="B365" s="1165"/>
      <c r="C365" s="1165"/>
      <c r="D365" s="1165"/>
      <c r="E365" s="1166"/>
      <c r="F365" s="1166"/>
      <c r="G365" s="1166"/>
      <c r="H365" s="1166"/>
      <c r="I365" s="1166"/>
      <c r="J365" s="1166"/>
      <c r="K365" s="1166"/>
      <c r="L365" s="490" t="str" cm="1">
        <f t="array" ref="L365">IF(A365&lt;&gt;"",IFERROR(INDEX(PMtbl[[WKst]:[Unit of measure*]],MATCH($A$330&amp;$A365&amp;$E365&amp;$I365,INDEX(PMtbl[Sec]&amp;PMtbl[Category]&amp;PMtbl[Each]&amp;PMtbl[Packaging],0,),0),14),""),"")</f>
        <v/>
      </c>
      <c r="M365" s="479" t="str">
        <f>IF(L365="","",INDEX(SETUP!$E$20:$E$122,(MATCH(INDEX(PMsheet!$D:$E,MATCH(A365,PMsheet!E:E,0),1),SETUP!$D$20:$D$122,0))))</f>
        <v/>
      </c>
      <c r="N365" s="491">
        <f>IF($O365="USD",_xlfn.IFNA(VLOOKUP(A365&amp;E365&amp;I365,PMsheet!J:K,2,0),0),(_xlfn.IFNA(VLOOKUP(A365&amp;E365&amp;I365,PMsheet!J:K,2,0),0)*'Master Data-C19RM'!$C$2))</f>
        <v>0</v>
      </c>
      <c r="O365" s="492" t="str">
        <f>IF(L365="", "",SETUP!$E$7)</f>
        <v/>
      </c>
      <c r="P365" s="444">
        <f>IF($O365="USD",_xlfn.IFNA(VLOOKUP($A365&amp;$E365&amp;$I365,PMsheet!$J:$K,2,0),0),(_xlfn.IFNA(VLOOKUP($A365&amp;$E365&amp;$I365,PMsheet!$J:$K,2,0),0)*'Master Data-C19RM'!$C$2))</f>
        <v>0</v>
      </c>
      <c r="Q365" s="441"/>
      <c r="R365" s="441"/>
      <c r="S365" s="441"/>
      <c r="T365" s="441"/>
      <c r="U365" s="481">
        <f t="shared" si="44"/>
        <v>0</v>
      </c>
      <c r="V365" s="483">
        <f>IF(SETUP!$E$7="USD",(U365*(IF(O365="USD",P365,(P365/'Master Data-C19RM'!$C$2)))),(U365*(IF(O365="EUR",P365,(P365*'Master Data-C19RM'!$C$2)))))</f>
        <v>0</v>
      </c>
      <c r="W365" s="444">
        <f>IF($O365="USD",_xlfn.IFNA(VLOOKUP($A365&amp;$E365&amp;$I365,PMsheet!$J:$K,2,0),0),(_xlfn.IFNA(VLOOKUP($A365&amp;$E365&amp;$I365,PMsheet!$J:$K,2,0),0)*'Master Data-C19RM'!$D$2))</f>
        <v>0</v>
      </c>
      <c r="X365" s="441"/>
      <c r="Y365" s="441"/>
      <c r="Z365" s="441"/>
      <c r="AA365" s="441"/>
      <c r="AB365" s="481">
        <f t="shared" si="47"/>
        <v>0</v>
      </c>
      <c r="AC365" s="483">
        <f>IF(SETUP!$E$7="USD",(AB365*(IF(O365="USD",W365,(W365/'Master Data-C19RM'!$D$2)))),(AB365*(IF(O365="EUR",W365,(W365*'Master Data-C19RM'!$D$2)))))</f>
        <v>0</v>
      </c>
      <c r="AD365" s="444">
        <f>IF($O365="USD",_xlfn.IFNA(VLOOKUP($A365&amp;$E365&amp;$I365,PMsheet!$J:$K,2,0),0),(_xlfn.IFNA(VLOOKUP($A365&amp;$E365&amp;$I365,PMsheet!$J:$K,2,0),0)*'Master Data-C19RM'!$E$2))</f>
        <v>0</v>
      </c>
      <c r="AE365" s="441"/>
      <c r="AF365" s="441"/>
      <c r="AG365" s="441"/>
      <c r="AH365" s="441"/>
      <c r="AI365" s="512">
        <f t="shared" si="48"/>
        <v>0</v>
      </c>
      <c r="AJ365" s="513">
        <f>IF(SETUP!$E$7="USD",(AI365*(IF(O365="USD",AD365,(AD365/'Master Data-C19RM'!$E$2)))),(AI365*(IF(O365="EUR",AD365,(AD365*'Master Data-C19RM'!$E$2)))))</f>
        <v>0</v>
      </c>
      <c r="AK365" s="444">
        <f>IF($O365="USD",_xlfn.IFNA(VLOOKUP($A365&amp;$E365&amp;$I365,PMsheet!$J:$K,2,0),0),(_xlfn.IFNA(VLOOKUP($A365&amp;$E365&amp;$I365,PMsheet!$J:$K,2,0),0)*'Master Data-C19RM'!$F$2))</f>
        <v>0</v>
      </c>
      <c r="AL365" s="441"/>
      <c r="AM365" s="441"/>
      <c r="AN365" s="441"/>
      <c r="AO365" s="441"/>
      <c r="AP365" s="512">
        <f t="shared" si="49"/>
        <v>0</v>
      </c>
      <c r="AQ365" s="513">
        <f>IF(SETUP!$E$7="USD",(AP365*(IF(O365="USD",AK365,(AK365/'Master Data-C19RM'!$F$2)))),(AP365*(IF(O365="EUR",AK365,(AK365*'Master Data-C19RM'!$F$2)))))</f>
        <v>0</v>
      </c>
      <c r="AR365" s="924">
        <f>IF($O365="USD",_xlfn.IFNA(VLOOKUP($A365&amp;$E365&amp;$I365,PMsheet!$J:$K,2,0),0),(_xlfn.IFNA(VLOOKUP($A365&amp;$E365&amp;$I365,PMsheet!$J:$K,2,0),0)*'Master Data-C19RM'!$G$2))</f>
        <v>0</v>
      </c>
      <c r="AS365" s="572"/>
      <c r="AT365" s="572"/>
      <c r="AU365" s="572"/>
      <c r="AV365" s="572"/>
      <c r="AW365" s="512">
        <f t="shared" si="50"/>
        <v>0</v>
      </c>
      <c r="AX365" s="512">
        <f>IF(SETUP!$E$7="USD",(AW365*(IF(O365="USD",AR365,(AR365/'Master Data-C19RM'!$G$2)))),(AW365*(IF(O365="EUR",AR365,(AR365*'Master Data-C19RM'!$G$2)))))</f>
        <v>0</v>
      </c>
      <c r="AY365" s="845"/>
      <c r="AZ365" s="846"/>
      <c r="BA365" s="846"/>
      <c r="BB365" s="846"/>
      <c r="BC365" s="846"/>
      <c r="BD365" s="846"/>
      <c r="BE365" s="847"/>
      <c r="BF365" s="520">
        <f>'C19RM 2021-Lab &amp; Other HPS'!$U365+'C19RM 2021-Lab &amp; Other HPS'!$AB365+'C19RM 2021-Lab &amp; Other HPS'!$AP365+'C19RM 2021-Lab &amp; Other HPS'!$AI365+AW365+BD365</f>
        <v>0</v>
      </c>
      <c r="BG365" s="513">
        <f>'C19RM 2021-Lab &amp; Other HPS'!$V365+'C19RM 2021-Lab &amp; Other HPS'!$AC365+'C19RM 2021-Lab &amp; Other HPS'!$AQ365+'C19RM 2021-Lab &amp; Other HPS'!$AJ365+AX365+BE365</f>
        <v>0</v>
      </c>
      <c r="BH365" s="500" t="str" cm="1">
        <f t="array" ref="BH365">IF(A365&lt;&gt;"",IFERROR(INDEX(PMtbl[[WKst]:[Unit of measure*]],MATCH($A$330&amp;$A365&amp;$E365&amp;$I365,INDEX(PMtbl[Sec]&amp;PMtbl[Category]&amp;PMtbl[Each]&amp;PMtbl[Packaging],0,),0),11),""),"")</f>
        <v/>
      </c>
      <c r="BI365" s="819"/>
      <c r="BJ365" s="502" t="str" cm="1">
        <f t="array" ref="BJ365">IFERROR(INDEX(SETUP!$C$19:$G$121,MATCH((INDEX(PMtbl[[WKst]:[Unit of measure*]],MATCH($A365&amp;$E365&amp;$I365,INDEX(PMtbl[Category]&amp;PMtbl[Each]&amp;PMtbl[Packaging],0,),0),3)),SETUP!$D$19:$D$121,0),5),"")</f>
        <v/>
      </c>
      <c r="BK365" s="570" t="str" cm="1">
        <f t="array" ref="BK365">IFERROR(IF((INDEX(SETUP!$C$19:$G$121,MATCH((INDEX(PMtbl[[WKst]:[Unit of measure*]],MATCH($A365&amp;$E365&amp;$I365,INDEX(PMtbl[Category]&amp;PMtbl[Each]&amp;PMtbl[Packaging],0,),0),3)),SETUP!$D$19:$D$121,0),4))="Upfront",0,INDEX(SETUP!$C$19:$G$121,MATCH((INDEX(PMtbl[[WKst]:[Unit of measure*]],MATCH($A365&amp;$E365&amp;$I365,INDEX(PMtbl[Category]&amp;PMtbl[Each]&amp;PMtbl[Packaging],0,),0),3)),SETUP!$D$19:$D$121,0),5)),"")</f>
        <v/>
      </c>
      <c r="BL365" s="563" t="str" cm="1">
        <f t="array" ref="BL365">IF(E365&lt;&gt;"",IFERROR(INDEX(PMtbl[[WKst]:[Unit of measure*]],MATCH($A$330&amp;$A365&amp;$E365&amp;$I365,INDEX(PMtbl[Sec]&amp;PMtbl[Category]&amp;PMtbl[Each]&amp;PMtbl[Packaging],0,),0),11),""),"")</f>
        <v/>
      </c>
      <c r="BO365" s="448">
        <f>IF(N365="",0,IF(SETUP!$E$7="USD",((IF(O365="USD",P365,(P365/'Master Data-C19RM'!$C$2)))),((IF(O365="EUR",P365,(P365*'Master Data-C19RM'!$C$2))))))</f>
        <v>0</v>
      </c>
      <c r="BP365" s="448">
        <f>IF(N365="",0,IF(SETUP!$E$7="USD",((IF(O365="USD",W365,(W365/'Master Data-C19RM'!$D$2)))),((IF(O365="EUR",W365,(W365*'Master Data-C19RM'!$D$2))))))</f>
        <v>0</v>
      </c>
      <c r="BQ365" s="470">
        <f>IF(N365="",0,IF(SETUP!$E$7="USD",((IF(O365="USD",AD365,(AD365/'Master Data-C19RM'!$E$2)))),((IF(O365="EUR",AD365,(AD365*'Master Data-C19RM'!$E$2))))))</f>
        <v>0</v>
      </c>
      <c r="BR365" s="470">
        <f>IF(N365="",0,IF(SETUP!$E$7="USD",((IF(O365="USD",AK365,(AK365/'Master Data-C19RM'!$F$2)))),((IF(O365="EUR",AK365,(AK365*'Master Data-C19RM'!$F$2))))))</f>
        <v>0</v>
      </c>
      <c r="BS365" s="470">
        <f>IF(N365="",0,IF(SETUP!$E$7="USD",((IF(O365="USD",AR365,(AR365/'Master Data-C19RM'!$G$2)))),((IF(O365="EUR",AR365,(AR365*'Master Data-C19RM'!$G$2))))))</f>
        <v>0</v>
      </c>
      <c r="BT365" s="470">
        <f>IF(N365="",0,IF(SETUP!$E$7="USD",((IF(O365="USD",AY365,(AY365/'Master Data-C19RM'!$H$2)))),((IF(O365="EUR",AY365,(AY365*'Master Data-C19RM'!$H$2))))))</f>
        <v>0</v>
      </c>
      <c r="BU365" s="448">
        <f t="shared" si="45"/>
        <v>0</v>
      </c>
      <c r="BV365" s="562">
        <f t="shared" si="46"/>
        <v>0</v>
      </c>
      <c r="BW365" s="470"/>
      <c r="BX365" s="470"/>
      <c r="BY365" s="470"/>
      <c r="BZ365" s="470"/>
      <c r="CA365" s="470"/>
      <c r="CB365" s="470"/>
      <c r="CC365" s="470"/>
      <c r="CD365" s="470"/>
      <c r="CE365" s="470"/>
      <c r="CF365" s="470"/>
      <c r="CG365" s="470"/>
      <c r="CH365" s="470"/>
      <c r="CI365" s="470"/>
      <c r="CJ365" s="470"/>
      <c r="CK365" s="470"/>
      <c r="CL365" s="470"/>
      <c r="CM365" s="470"/>
      <c r="CN365" s="470"/>
      <c r="CO365" s="470"/>
      <c r="CP365" s="470"/>
    </row>
    <row r="366" spans="1:94" s="448" customFormat="1" ht="14" x14ac:dyDescent="0.3">
      <c r="A366" s="1192"/>
      <c r="B366" s="1192"/>
      <c r="C366" s="1192"/>
      <c r="D366" s="1192"/>
      <c r="E366" s="1173"/>
      <c r="F366" s="1173"/>
      <c r="G366" s="1173"/>
      <c r="H366" s="1173"/>
      <c r="I366" s="1173"/>
      <c r="J366" s="1173"/>
      <c r="K366" s="1173"/>
      <c r="L366" s="493" t="str" cm="1">
        <f t="array" ref="L366">IF(A366&lt;&gt;"",IFERROR(INDEX(PMtbl[[WKst]:[Unit of measure*]],MATCH($A$330&amp;$A366&amp;$E366&amp;$I366,INDEX(PMtbl[Sec]&amp;PMtbl[Category]&amp;PMtbl[Each]&amp;PMtbl[Packaging],0,),0),14),""),"")</f>
        <v/>
      </c>
      <c r="M366" s="480" t="str">
        <f>IF(L366="","",INDEX(SETUP!$E$20:$E$122,(MATCH(INDEX(PMsheet!$D:$E,MATCH(A366,PMsheet!E:E,0),1),SETUP!$D$20:$D$122,0))))</f>
        <v/>
      </c>
      <c r="N366" s="494">
        <f>IF($O366="USD",_xlfn.IFNA(VLOOKUP(A366&amp;E366&amp;I366,PMsheet!J:K,2,0),0),(_xlfn.IFNA(VLOOKUP(A366&amp;E366&amp;I366,PMsheet!J:K,2,0),0)*'Master Data-C19RM'!$C$2))</f>
        <v>0</v>
      </c>
      <c r="O366" s="495" t="str">
        <f>IF(L366="", "",SETUP!$E$7)</f>
        <v/>
      </c>
      <c r="P366" s="445">
        <f>IF($O366="USD",_xlfn.IFNA(VLOOKUP($A366&amp;$E366&amp;$I366,PMsheet!$J:$K,2,0),0),(_xlfn.IFNA(VLOOKUP($A366&amp;$E366&amp;$I366,PMsheet!$J:$K,2,0),0)*'Master Data-C19RM'!$C$2))</f>
        <v>0</v>
      </c>
      <c r="Q366" s="440"/>
      <c r="R366" s="440"/>
      <c r="S366" s="440"/>
      <c r="T366" s="440"/>
      <c r="U366" s="482">
        <f t="shared" si="44"/>
        <v>0</v>
      </c>
      <c r="V366" s="484">
        <f>IF(SETUP!$E$7="USD",(U366*(IF(O366="USD",P366,(P366/'Master Data-C19RM'!$C$2)))),(U366*(IF(O366="EUR",P366,(P366*'Master Data-C19RM'!$C$2)))))</f>
        <v>0</v>
      </c>
      <c r="W366" s="445">
        <f>IF($O366="USD",_xlfn.IFNA(VLOOKUP($A366&amp;$E366&amp;$I366,PMsheet!$J:$K,2,0),0),(_xlfn.IFNA(VLOOKUP($A366&amp;$E366&amp;$I366,PMsheet!$J:$K,2,0),0)*'Master Data-C19RM'!$D$2))</f>
        <v>0</v>
      </c>
      <c r="X366" s="440"/>
      <c r="Y366" s="440"/>
      <c r="Z366" s="440"/>
      <c r="AA366" s="440"/>
      <c r="AB366" s="482">
        <f t="shared" si="47"/>
        <v>0</v>
      </c>
      <c r="AC366" s="484">
        <f>IF(SETUP!$E$7="USD",(AB366*(IF(O366="USD",W366,(W366/'Master Data-C19RM'!$D$2)))),(AB366*(IF(O366="EUR",W366,(W366*'Master Data-C19RM'!$D$2)))))</f>
        <v>0</v>
      </c>
      <c r="AD366" s="445">
        <f>IF($O366="USD",_xlfn.IFNA(VLOOKUP($A366&amp;$E366&amp;$I366,PMsheet!$J:$K,2,0),0),(_xlfn.IFNA(VLOOKUP($A366&amp;$E366&amp;$I366,PMsheet!$J:$K,2,0),0)*'Master Data-C19RM'!$E$2))</f>
        <v>0</v>
      </c>
      <c r="AE366" s="440"/>
      <c r="AF366" s="440"/>
      <c r="AG366" s="440"/>
      <c r="AH366" s="440"/>
      <c r="AI366" s="514">
        <f t="shared" si="48"/>
        <v>0</v>
      </c>
      <c r="AJ366" s="515">
        <f>IF(SETUP!$E$7="USD",(AI366*(IF(O366="USD",AD366,(AD366/'Master Data-C19RM'!$E$2)))),(AI366*(IF(O366="EUR",AD366,(AD366*'Master Data-C19RM'!$E$2)))))</f>
        <v>0</v>
      </c>
      <c r="AK366" s="445">
        <f>IF($O366="USD",_xlfn.IFNA(VLOOKUP($A366&amp;$E366&amp;$I366,PMsheet!$J:$K,2,0),0),(_xlfn.IFNA(VLOOKUP($A366&amp;$E366&amp;$I366,PMsheet!$J:$K,2,0),0)*'Master Data-C19RM'!$F$2))</f>
        <v>0</v>
      </c>
      <c r="AL366" s="440"/>
      <c r="AM366" s="440"/>
      <c r="AN366" s="440"/>
      <c r="AO366" s="440"/>
      <c r="AP366" s="514">
        <f t="shared" si="49"/>
        <v>0</v>
      </c>
      <c r="AQ366" s="515">
        <f>IF(SETUP!$E$7="USD",(AP366*(IF(O366="USD",AK366,(AK366/'Master Data-C19RM'!$F$2)))),(AP366*(IF(O366="EUR",AK366,(AK366*'Master Data-C19RM'!$F$2)))))</f>
        <v>0</v>
      </c>
      <c r="AR366" s="925">
        <f>IF($O366="USD",_xlfn.IFNA(VLOOKUP($A366&amp;$E366&amp;$I366,PMsheet!$J:$K,2,0),0),(_xlfn.IFNA(VLOOKUP($A366&amp;$E366&amp;$I366,PMsheet!$J:$K,2,0),0)*'Master Data-C19RM'!$G$2))</f>
        <v>0</v>
      </c>
      <c r="AS366" s="926"/>
      <c r="AT366" s="926"/>
      <c r="AU366" s="926"/>
      <c r="AV366" s="926"/>
      <c r="AW366" s="514">
        <f t="shared" si="50"/>
        <v>0</v>
      </c>
      <c r="AX366" s="514">
        <f>IF(SETUP!$E$7="USD",(AW366*(IF(O366="USD",AR366,(AR366/'Master Data-C19RM'!$G$2)))),(AW366*(IF(O366="EUR",AR366,(AR366*'Master Data-C19RM'!$G$2)))))</f>
        <v>0</v>
      </c>
      <c r="AY366" s="845"/>
      <c r="AZ366" s="846"/>
      <c r="BA366" s="846"/>
      <c r="BB366" s="846"/>
      <c r="BC366" s="846"/>
      <c r="BD366" s="846"/>
      <c r="BE366" s="847"/>
      <c r="BF366" s="521">
        <f>'C19RM 2021-Lab &amp; Other HPS'!$U366+'C19RM 2021-Lab &amp; Other HPS'!$AB366+'C19RM 2021-Lab &amp; Other HPS'!$AP366+'C19RM 2021-Lab &amp; Other HPS'!$AI366+AW366+BD366</f>
        <v>0</v>
      </c>
      <c r="BG366" s="515">
        <f>'C19RM 2021-Lab &amp; Other HPS'!$V366+'C19RM 2021-Lab &amp; Other HPS'!$AC366+'C19RM 2021-Lab &amp; Other HPS'!$AQ366+'C19RM 2021-Lab &amp; Other HPS'!$AJ366+AX366+BE366</f>
        <v>0</v>
      </c>
      <c r="BH366" s="522" t="str" cm="1">
        <f t="array" ref="BH366">IF(A366&lt;&gt;"",IFERROR(INDEX(PMtbl[[WKst]:[Unit of measure*]],MATCH($A$330&amp;$A366&amp;$E366&amp;$I366,INDEX(PMtbl[Sec]&amp;PMtbl[Category]&amp;PMtbl[Each]&amp;PMtbl[Packaging],0,),0),11),""),"")</f>
        <v/>
      </c>
      <c r="BI366" s="818"/>
      <c r="BJ366" s="503" t="str" cm="1">
        <f t="array" ref="BJ366">IFERROR(INDEX(SETUP!$C$19:$G$121,MATCH((INDEX(PMtbl[[WKst]:[Unit of measure*]],MATCH($A366&amp;$E366&amp;$I366,INDEX(PMtbl[Category]&amp;PMtbl[Each]&amp;PMtbl[Packaging],0,),0),3)),SETUP!$D$19:$D$121,0),5),"")</f>
        <v/>
      </c>
      <c r="BK366" s="569" t="str" cm="1">
        <f t="array" ref="BK366">IFERROR(IF((INDEX(SETUP!$C$19:$G$121,MATCH((INDEX(PMtbl[[WKst]:[Unit of measure*]],MATCH($A366&amp;$E366&amp;$I366,INDEX(PMtbl[Category]&amp;PMtbl[Each]&amp;PMtbl[Packaging],0,),0),3)),SETUP!$D$19:$D$121,0),4))="Upfront",0,INDEX(SETUP!$C$19:$G$121,MATCH((INDEX(PMtbl[[WKst]:[Unit of measure*]],MATCH($A366&amp;$E366&amp;$I366,INDEX(PMtbl[Category]&amp;PMtbl[Each]&amp;PMtbl[Packaging],0,),0),3)),SETUP!$D$19:$D$121,0),5)),"")</f>
        <v/>
      </c>
      <c r="BL366" s="564" t="str" cm="1">
        <f t="array" ref="BL366">IF(E366&lt;&gt;"",IFERROR(INDEX(PMtbl[[WKst]:[Unit of measure*]],MATCH($A$330&amp;$A366&amp;$E366&amp;$I366,INDEX(PMtbl[Sec]&amp;PMtbl[Category]&amp;PMtbl[Each]&amp;PMtbl[Packaging],0,),0),11),""),"")</f>
        <v/>
      </c>
      <c r="BO366" s="448">
        <f>IF(N366="",0,IF(SETUP!$E$7="USD",((IF(O366="USD",P366,(P366/'Master Data-C19RM'!$C$2)))),((IF(O366="EUR",P366,(P366*'Master Data-C19RM'!$C$2))))))</f>
        <v>0</v>
      </c>
      <c r="BP366" s="448">
        <f>IF(N366="",0,IF(SETUP!$E$7="USD",((IF(O366="USD",W366,(W366/'Master Data-C19RM'!$D$2)))),((IF(O366="EUR",W366,(W366*'Master Data-C19RM'!$D$2))))))</f>
        <v>0</v>
      </c>
      <c r="BQ366" s="470">
        <f>IF(N366="",0,IF(SETUP!$E$7="USD",((IF(O366="USD",AD366,(AD366/'Master Data-C19RM'!$E$2)))),((IF(O366="EUR",AD366,(AD366*'Master Data-C19RM'!$E$2))))))</f>
        <v>0</v>
      </c>
      <c r="BR366" s="470">
        <f>IF(N366="",0,IF(SETUP!$E$7="USD",((IF(O366="USD",AK366,(AK366/'Master Data-C19RM'!$F$2)))),((IF(O366="EUR",AK366,(AK366*'Master Data-C19RM'!$F$2))))))</f>
        <v>0</v>
      </c>
      <c r="BS366" s="470">
        <f>IF(N366="",0,IF(SETUP!$E$7="USD",((IF(O366="USD",AR366,(AR366/'Master Data-C19RM'!$G$2)))),((IF(O366="EUR",AR366,(AR366*'Master Data-C19RM'!$G$2))))))</f>
        <v>0</v>
      </c>
      <c r="BT366" s="470">
        <f>IF(N366="",0,IF(SETUP!$E$7="USD",((IF(O366="USD",AY366,(AY366/'Master Data-C19RM'!$H$2)))),((IF(O366="EUR",AY366,(AY366*'Master Data-C19RM'!$H$2))))))</f>
        <v>0</v>
      </c>
      <c r="BU366" s="448">
        <f t="shared" si="45"/>
        <v>0</v>
      </c>
      <c r="BV366" s="562">
        <f t="shared" si="46"/>
        <v>0</v>
      </c>
      <c r="BW366" s="470"/>
      <c r="BX366" s="470"/>
      <c r="BY366" s="470"/>
      <c r="BZ366" s="470"/>
      <c r="CA366" s="470"/>
      <c r="CB366" s="470"/>
      <c r="CC366" s="470"/>
      <c r="CD366" s="470"/>
      <c r="CE366" s="470"/>
      <c r="CF366" s="470"/>
      <c r="CG366" s="470"/>
      <c r="CH366" s="470"/>
      <c r="CI366" s="470"/>
      <c r="CJ366" s="470"/>
      <c r="CK366" s="470"/>
      <c r="CL366" s="470"/>
      <c r="CM366" s="470"/>
      <c r="CN366" s="470"/>
      <c r="CO366" s="470"/>
      <c r="CP366" s="470"/>
    </row>
    <row r="367" spans="1:94" s="448" customFormat="1" ht="14" x14ac:dyDescent="0.3">
      <c r="A367" s="1165"/>
      <c r="B367" s="1165"/>
      <c r="C367" s="1165"/>
      <c r="D367" s="1165"/>
      <c r="E367" s="1166"/>
      <c r="F367" s="1166"/>
      <c r="G367" s="1166"/>
      <c r="H367" s="1166"/>
      <c r="I367" s="1166"/>
      <c r="J367" s="1166"/>
      <c r="K367" s="1166"/>
      <c r="L367" s="490" t="str" cm="1">
        <f t="array" ref="L367">IF(A367&lt;&gt;"",IFERROR(INDEX(PMtbl[[WKst]:[Unit of measure*]],MATCH($A$330&amp;$A367&amp;$E367&amp;$I367,INDEX(PMtbl[Sec]&amp;PMtbl[Category]&amp;PMtbl[Each]&amp;PMtbl[Packaging],0,),0),14),""),"")</f>
        <v/>
      </c>
      <c r="M367" s="479" t="str">
        <f>IF(L367="","",INDEX(SETUP!$E$20:$E$122,(MATCH(INDEX(PMsheet!$D:$E,MATCH(A367,PMsheet!E:E,0),1),SETUP!$D$20:$D$122,0))))</f>
        <v/>
      </c>
      <c r="N367" s="491">
        <f>IF($O367="USD",_xlfn.IFNA(VLOOKUP(A367&amp;E367&amp;I367,PMsheet!J:K,2,0),0),(_xlfn.IFNA(VLOOKUP(A367&amp;E367&amp;I367,PMsheet!J:K,2,0),0)*'Master Data-C19RM'!$C$2))</f>
        <v>0</v>
      </c>
      <c r="O367" s="492" t="str">
        <f>IF(L367="", "",SETUP!$E$7)</f>
        <v/>
      </c>
      <c r="P367" s="444">
        <f>IF($O367="USD",_xlfn.IFNA(VLOOKUP($A367&amp;$E367&amp;$I367,PMsheet!$J:$K,2,0),0),(_xlfn.IFNA(VLOOKUP($A367&amp;$E367&amp;$I367,PMsheet!$J:$K,2,0),0)*'Master Data-C19RM'!$C$2))</f>
        <v>0</v>
      </c>
      <c r="Q367" s="441"/>
      <c r="R367" s="441"/>
      <c r="S367" s="441"/>
      <c r="T367" s="441"/>
      <c r="U367" s="481">
        <f t="shared" si="44"/>
        <v>0</v>
      </c>
      <c r="V367" s="483">
        <f>IF(SETUP!$E$7="USD",(U367*(IF(O367="USD",P367,(P367/'Master Data-C19RM'!$C$2)))),(U367*(IF(O367="EUR",P367,(P367*'Master Data-C19RM'!$C$2)))))</f>
        <v>0</v>
      </c>
      <c r="W367" s="444">
        <f>IF($O367="USD",_xlfn.IFNA(VLOOKUP($A367&amp;$E367&amp;$I367,PMsheet!$J:$K,2,0),0),(_xlfn.IFNA(VLOOKUP($A367&amp;$E367&amp;$I367,PMsheet!$J:$K,2,0),0)*'Master Data-C19RM'!$D$2))</f>
        <v>0</v>
      </c>
      <c r="X367" s="441"/>
      <c r="Y367" s="441"/>
      <c r="Z367" s="441"/>
      <c r="AA367" s="441"/>
      <c r="AB367" s="481">
        <f t="shared" si="47"/>
        <v>0</v>
      </c>
      <c r="AC367" s="483">
        <f>IF(SETUP!$E$7="USD",(AB367*(IF(O367="USD",W367,(W367/'Master Data-C19RM'!$D$2)))),(AB367*(IF(O367="EUR",W367,(W367*'Master Data-C19RM'!$D$2)))))</f>
        <v>0</v>
      </c>
      <c r="AD367" s="444">
        <f>IF($O367="USD",_xlfn.IFNA(VLOOKUP($A367&amp;$E367&amp;$I367,PMsheet!$J:$K,2,0),0),(_xlfn.IFNA(VLOOKUP($A367&amp;$E367&amp;$I367,PMsheet!$J:$K,2,0),0)*'Master Data-C19RM'!$E$2))</f>
        <v>0</v>
      </c>
      <c r="AE367" s="441"/>
      <c r="AF367" s="441"/>
      <c r="AG367" s="441"/>
      <c r="AH367" s="441"/>
      <c r="AI367" s="512">
        <f t="shared" si="48"/>
        <v>0</v>
      </c>
      <c r="AJ367" s="513">
        <f>IF(SETUP!$E$7="USD",(AI367*(IF(O367="USD",AD367,(AD367/'Master Data-C19RM'!$E$2)))),(AI367*(IF(O367="EUR",AD367,(AD367*'Master Data-C19RM'!$E$2)))))</f>
        <v>0</v>
      </c>
      <c r="AK367" s="444">
        <f>IF($O367="USD",_xlfn.IFNA(VLOOKUP($A367&amp;$E367&amp;$I367,PMsheet!$J:$K,2,0),0),(_xlfn.IFNA(VLOOKUP($A367&amp;$E367&amp;$I367,PMsheet!$J:$K,2,0),0)*'Master Data-C19RM'!$F$2))</f>
        <v>0</v>
      </c>
      <c r="AL367" s="441"/>
      <c r="AM367" s="441"/>
      <c r="AN367" s="441"/>
      <c r="AO367" s="441"/>
      <c r="AP367" s="512">
        <f t="shared" si="49"/>
        <v>0</v>
      </c>
      <c r="AQ367" s="513">
        <f>IF(SETUP!$E$7="USD",(AP367*(IF(O367="USD",AK367,(AK367/'Master Data-C19RM'!$F$2)))),(AP367*(IF(O367="EUR",AK367,(AK367*'Master Data-C19RM'!$F$2)))))</f>
        <v>0</v>
      </c>
      <c r="AR367" s="924">
        <f>IF($O367="USD",_xlfn.IFNA(VLOOKUP($A367&amp;$E367&amp;$I367,PMsheet!$J:$K,2,0),0),(_xlfn.IFNA(VLOOKUP($A367&amp;$E367&amp;$I367,PMsheet!$J:$K,2,0),0)*'Master Data-C19RM'!$G$2))</f>
        <v>0</v>
      </c>
      <c r="AS367" s="572"/>
      <c r="AT367" s="572"/>
      <c r="AU367" s="572"/>
      <c r="AV367" s="572"/>
      <c r="AW367" s="512">
        <f t="shared" si="50"/>
        <v>0</v>
      </c>
      <c r="AX367" s="512">
        <f>IF(SETUP!$E$7="USD",(AW367*(IF(O367="USD",AR367,(AR367/'Master Data-C19RM'!$G$2)))),(AW367*(IF(O367="EUR",AR367,(AR367*'Master Data-C19RM'!$G$2)))))</f>
        <v>0</v>
      </c>
      <c r="AY367" s="845"/>
      <c r="AZ367" s="846"/>
      <c r="BA367" s="846"/>
      <c r="BB367" s="846"/>
      <c r="BC367" s="846"/>
      <c r="BD367" s="846"/>
      <c r="BE367" s="847"/>
      <c r="BF367" s="520">
        <f>'C19RM 2021-Lab &amp; Other HPS'!$U367+'C19RM 2021-Lab &amp; Other HPS'!$AB367+'C19RM 2021-Lab &amp; Other HPS'!$AP367+'C19RM 2021-Lab &amp; Other HPS'!$AI367+AW367+BD367</f>
        <v>0</v>
      </c>
      <c r="BG367" s="513">
        <f>'C19RM 2021-Lab &amp; Other HPS'!$V367+'C19RM 2021-Lab &amp; Other HPS'!$AC367+'C19RM 2021-Lab &amp; Other HPS'!$AQ367+'C19RM 2021-Lab &amp; Other HPS'!$AJ367+AX367+BE367</f>
        <v>0</v>
      </c>
      <c r="BH367" s="500" t="str" cm="1">
        <f t="array" ref="BH367">IF(A367&lt;&gt;"",IFERROR(INDEX(PMtbl[[WKst]:[Unit of measure*]],MATCH($A$330&amp;$A367&amp;$E367&amp;$I367,INDEX(PMtbl[Sec]&amp;PMtbl[Category]&amp;PMtbl[Each]&amp;PMtbl[Packaging],0,),0),11),""),"")</f>
        <v/>
      </c>
      <c r="BI367" s="819"/>
      <c r="BJ367" s="502" t="str" cm="1">
        <f t="array" ref="BJ367">IFERROR(INDEX(SETUP!$C$19:$G$121,MATCH((INDEX(PMtbl[[WKst]:[Unit of measure*]],MATCH($A367&amp;$E367&amp;$I367,INDEX(PMtbl[Category]&amp;PMtbl[Each]&amp;PMtbl[Packaging],0,),0),3)),SETUP!$D$19:$D$121,0),5),"")</f>
        <v/>
      </c>
      <c r="BK367" s="570" t="str" cm="1">
        <f t="array" ref="BK367">IFERROR(IF((INDEX(SETUP!$C$19:$G$121,MATCH((INDEX(PMtbl[[WKst]:[Unit of measure*]],MATCH($A367&amp;$E367&amp;$I367,INDEX(PMtbl[Category]&amp;PMtbl[Each]&amp;PMtbl[Packaging],0,),0),3)),SETUP!$D$19:$D$121,0),4))="Upfront",0,INDEX(SETUP!$C$19:$G$121,MATCH((INDEX(PMtbl[[WKst]:[Unit of measure*]],MATCH($A367&amp;$E367&amp;$I367,INDEX(PMtbl[Category]&amp;PMtbl[Each]&amp;PMtbl[Packaging],0,),0),3)),SETUP!$D$19:$D$121,0),5)),"")</f>
        <v/>
      </c>
      <c r="BL367" s="563" t="str" cm="1">
        <f t="array" ref="BL367">IF(E367&lt;&gt;"",IFERROR(INDEX(PMtbl[[WKst]:[Unit of measure*]],MATCH($A$330&amp;$A367&amp;$E367&amp;$I367,INDEX(PMtbl[Sec]&amp;PMtbl[Category]&amp;PMtbl[Each]&amp;PMtbl[Packaging],0,),0),11),""),"")</f>
        <v/>
      </c>
      <c r="BO367" s="448">
        <f>IF(N367="",0,IF(SETUP!$E$7="USD",((IF(O367="USD",P367,(P367/'Master Data-C19RM'!$C$2)))),((IF(O367="EUR",P367,(P367*'Master Data-C19RM'!$C$2))))))</f>
        <v>0</v>
      </c>
      <c r="BP367" s="448">
        <f>IF(N367="",0,IF(SETUP!$E$7="USD",((IF(O367="USD",W367,(W367/'Master Data-C19RM'!$D$2)))),((IF(O367="EUR",W367,(W367*'Master Data-C19RM'!$D$2))))))</f>
        <v>0</v>
      </c>
      <c r="BQ367" s="470">
        <f>IF(N367="",0,IF(SETUP!$E$7="USD",((IF(O367="USD",AD367,(AD367/'Master Data-C19RM'!$E$2)))),((IF(O367="EUR",AD367,(AD367*'Master Data-C19RM'!$E$2))))))</f>
        <v>0</v>
      </c>
      <c r="BR367" s="470">
        <f>IF(N367="",0,IF(SETUP!$E$7="USD",((IF(O367="USD",AK367,(AK367/'Master Data-C19RM'!$F$2)))),((IF(O367="EUR",AK367,(AK367*'Master Data-C19RM'!$F$2))))))</f>
        <v>0</v>
      </c>
      <c r="BS367" s="470">
        <f>IF(N367="",0,IF(SETUP!$E$7="USD",((IF(O367="USD",AR367,(AR367/'Master Data-C19RM'!$G$2)))),((IF(O367="EUR",AR367,(AR367*'Master Data-C19RM'!$G$2))))))</f>
        <v>0</v>
      </c>
      <c r="BT367" s="470">
        <f>IF(N367="",0,IF(SETUP!$E$7="USD",((IF(O367="USD",AY367,(AY367/'Master Data-C19RM'!$H$2)))),((IF(O367="EUR",AY367,(AY367*'Master Data-C19RM'!$H$2))))))</f>
        <v>0</v>
      </c>
      <c r="BU367" s="448">
        <f t="shared" si="45"/>
        <v>0</v>
      </c>
      <c r="BV367" s="562">
        <f t="shared" si="46"/>
        <v>0</v>
      </c>
      <c r="BW367" s="470"/>
      <c r="BX367" s="470"/>
      <c r="BY367" s="470"/>
      <c r="BZ367" s="470"/>
      <c r="CA367" s="470"/>
      <c r="CB367" s="470"/>
      <c r="CC367" s="470"/>
      <c r="CD367" s="470"/>
      <c r="CE367" s="470"/>
      <c r="CF367" s="470"/>
      <c r="CG367" s="470"/>
      <c r="CH367" s="470"/>
      <c r="CI367" s="470"/>
      <c r="CJ367" s="470"/>
      <c r="CK367" s="470"/>
      <c r="CL367" s="470"/>
      <c r="CM367" s="470"/>
      <c r="CN367" s="470"/>
      <c r="CO367" s="470"/>
      <c r="CP367" s="470"/>
    </row>
    <row r="368" spans="1:94" s="448" customFormat="1" ht="14" x14ac:dyDescent="0.3">
      <c r="A368" s="1192"/>
      <c r="B368" s="1192"/>
      <c r="C368" s="1192"/>
      <c r="D368" s="1192"/>
      <c r="E368" s="1173"/>
      <c r="F368" s="1173"/>
      <c r="G368" s="1173"/>
      <c r="H368" s="1173"/>
      <c r="I368" s="1173"/>
      <c r="J368" s="1173"/>
      <c r="K368" s="1173"/>
      <c r="L368" s="493" t="str" cm="1">
        <f t="array" ref="L368">IF(A368&lt;&gt;"",IFERROR(INDEX(PMtbl[[WKst]:[Unit of measure*]],MATCH($A$330&amp;$A368&amp;$E368&amp;$I368,INDEX(PMtbl[Sec]&amp;PMtbl[Category]&amp;PMtbl[Each]&amp;PMtbl[Packaging],0,),0),14),""),"")</f>
        <v/>
      </c>
      <c r="M368" s="480" t="str">
        <f>IF(L368="","",INDEX(SETUP!$E$20:$E$122,(MATCH(INDEX(PMsheet!$D:$E,MATCH(A368,PMsheet!E:E,0),1),SETUP!$D$20:$D$122,0))))</f>
        <v/>
      </c>
      <c r="N368" s="494">
        <f>IF($O368="USD",_xlfn.IFNA(VLOOKUP(A368&amp;E368&amp;I368,PMsheet!J:K,2,0),0),(_xlfn.IFNA(VLOOKUP(A368&amp;E368&amp;I368,PMsheet!J:K,2,0),0)*'Master Data-C19RM'!$C$2))</f>
        <v>0</v>
      </c>
      <c r="O368" s="495" t="str">
        <f>IF(L368="", "",SETUP!$E$7)</f>
        <v/>
      </c>
      <c r="P368" s="445">
        <f>IF($O368="USD",_xlfn.IFNA(VLOOKUP($A368&amp;$E368&amp;$I368,PMsheet!$J:$K,2,0),0),(_xlfn.IFNA(VLOOKUP($A368&amp;$E368&amp;$I368,PMsheet!$J:$K,2,0),0)*'Master Data-C19RM'!$C$2))</f>
        <v>0</v>
      </c>
      <c r="Q368" s="440"/>
      <c r="R368" s="440"/>
      <c r="S368" s="440"/>
      <c r="T368" s="440"/>
      <c r="U368" s="482">
        <f t="shared" si="44"/>
        <v>0</v>
      </c>
      <c r="V368" s="484">
        <f>IF(SETUP!$E$7="USD",(U368*(IF(O368="USD",P368,(P368/'Master Data-C19RM'!$C$2)))),(U368*(IF(O368="EUR",P368,(P368*'Master Data-C19RM'!$C$2)))))</f>
        <v>0</v>
      </c>
      <c r="W368" s="445">
        <f>IF($O368="USD",_xlfn.IFNA(VLOOKUP($A368&amp;$E368&amp;$I368,PMsheet!$J:$K,2,0),0),(_xlfn.IFNA(VLOOKUP($A368&amp;$E368&amp;$I368,PMsheet!$J:$K,2,0),0)*'Master Data-C19RM'!$D$2))</f>
        <v>0</v>
      </c>
      <c r="X368" s="440"/>
      <c r="Y368" s="440"/>
      <c r="Z368" s="440"/>
      <c r="AA368" s="440"/>
      <c r="AB368" s="482">
        <f t="shared" si="47"/>
        <v>0</v>
      </c>
      <c r="AC368" s="484">
        <f>IF(SETUP!$E$7="USD",(AB368*(IF(O368="USD",W368,(W368/'Master Data-C19RM'!$D$2)))),(AB368*(IF(O368="EUR",W368,(W368*'Master Data-C19RM'!$D$2)))))</f>
        <v>0</v>
      </c>
      <c r="AD368" s="445">
        <f>IF($O368="USD",_xlfn.IFNA(VLOOKUP($A368&amp;$E368&amp;$I368,PMsheet!$J:$K,2,0),0),(_xlfn.IFNA(VLOOKUP($A368&amp;$E368&amp;$I368,PMsheet!$J:$K,2,0),0)*'Master Data-C19RM'!$E$2))</f>
        <v>0</v>
      </c>
      <c r="AE368" s="440"/>
      <c r="AF368" s="440"/>
      <c r="AG368" s="440"/>
      <c r="AH368" s="440"/>
      <c r="AI368" s="514">
        <f t="shared" si="48"/>
        <v>0</v>
      </c>
      <c r="AJ368" s="515">
        <f>IF(SETUP!$E$7="USD",(AI368*(IF(O368="USD",AD368,(AD368/'Master Data-C19RM'!$E$2)))),(AI368*(IF(O368="EUR",AD368,(AD368*'Master Data-C19RM'!$E$2)))))</f>
        <v>0</v>
      </c>
      <c r="AK368" s="445">
        <f>IF($O368="USD",_xlfn.IFNA(VLOOKUP($A368&amp;$E368&amp;$I368,PMsheet!$J:$K,2,0),0),(_xlfn.IFNA(VLOOKUP($A368&amp;$E368&amp;$I368,PMsheet!$J:$K,2,0),0)*'Master Data-C19RM'!$F$2))</f>
        <v>0</v>
      </c>
      <c r="AL368" s="440"/>
      <c r="AM368" s="440"/>
      <c r="AN368" s="440"/>
      <c r="AO368" s="440"/>
      <c r="AP368" s="514">
        <f t="shared" si="49"/>
        <v>0</v>
      </c>
      <c r="AQ368" s="515">
        <f>IF(SETUP!$E$7="USD",(AP368*(IF(O368="USD",AK368,(AK368/'Master Data-C19RM'!$F$2)))),(AP368*(IF(O368="EUR",AK368,(AK368*'Master Data-C19RM'!$F$2)))))</f>
        <v>0</v>
      </c>
      <c r="AR368" s="925">
        <f>IF($O368="USD",_xlfn.IFNA(VLOOKUP($A368&amp;$E368&amp;$I368,PMsheet!$J:$K,2,0),0),(_xlfn.IFNA(VLOOKUP($A368&amp;$E368&amp;$I368,PMsheet!$J:$K,2,0),0)*'Master Data-C19RM'!$G$2))</f>
        <v>0</v>
      </c>
      <c r="AS368" s="926"/>
      <c r="AT368" s="926"/>
      <c r="AU368" s="926"/>
      <c r="AV368" s="926"/>
      <c r="AW368" s="514">
        <f t="shared" si="50"/>
        <v>0</v>
      </c>
      <c r="AX368" s="514">
        <f>IF(SETUP!$E$7="USD",(AW368*(IF(O368="USD",AR368,(AR368/'Master Data-C19RM'!$G$2)))),(AW368*(IF(O368="EUR",AR368,(AR368*'Master Data-C19RM'!$G$2)))))</f>
        <v>0</v>
      </c>
      <c r="AY368" s="845"/>
      <c r="AZ368" s="846"/>
      <c r="BA368" s="846"/>
      <c r="BB368" s="846"/>
      <c r="BC368" s="846"/>
      <c r="BD368" s="846"/>
      <c r="BE368" s="847"/>
      <c r="BF368" s="521">
        <f>'C19RM 2021-Lab &amp; Other HPS'!$U368+'C19RM 2021-Lab &amp; Other HPS'!$AB368+'C19RM 2021-Lab &amp; Other HPS'!$AP368+'C19RM 2021-Lab &amp; Other HPS'!$AI368+AW368+BD368</f>
        <v>0</v>
      </c>
      <c r="BG368" s="515">
        <f>'C19RM 2021-Lab &amp; Other HPS'!$V368+'C19RM 2021-Lab &amp; Other HPS'!$AC368+'C19RM 2021-Lab &amp; Other HPS'!$AQ368+'C19RM 2021-Lab &amp; Other HPS'!$AJ368+AX368+BE368</f>
        <v>0</v>
      </c>
      <c r="BH368" s="522" t="str" cm="1">
        <f t="array" ref="BH368">IF(A368&lt;&gt;"",IFERROR(INDEX(PMtbl[[WKst]:[Unit of measure*]],MATCH($A$330&amp;$A368&amp;$E368&amp;$I368,INDEX(PMtbl[Sec]&amp;PMtbl[Category]&amp;PMtbl[Each]&amp;PMtbl[Packaging],0,),0),11),""),"")</f>
        <v/>
      </c>
      <c r="BI368" s="818"/>
      <c r="BJ368" s="503" t="str" cm="1">
        <f t="array" ref="BJ368">IFERROR(INDEX(SETUP!$C$19:$G$121,MATCH((INDEX(PMtbl[[WKst]:[Unit of measure*]],MATCH($A368&amp;$E368&amp;$I368,INDEX(PMtbl[Category]&amp;PMtbl[Each]&amp;PMtbl[Packaging],0,),0),3)),SETUP!$D$19:$D$121,0),5),"")</f>
        <v/>
      </c>
      <c r="BK368" s="569" t="str" cm="1">
        <f t="array" ref="BK368">IFERROR(IF((INDEX(SETUP!$C$19:$G$121,MATCH((INDEX(PMtbl[[WKst]:[Unit of measure*]],MATCH($A368&amp;$E368&amp;$I368,INDEX(PMtbl[Category]&amp;PMtbl[Each]&amp;PMtbl[Packaging],0,),0),3)),SETUP!$D$19:$D$121,0),4))="Upfront",0,INDEX(SETUP!$C$19:$G$121,MATCH((INDEX(PMtbl[[WKst]:[Unit of measure*]],MATCH($A368&amp;$E368&amp;$I368,INDEX(PMtbl[Category]&amp;PMtbl[Each]&amp;PMtbl[Packaging],0,),0),3)),SETUP!$D$19:$D$121,0),5)),"")</f>
        <v/>
      </c>
      <c r="BL368" s="564" t="str" cm="1">
        <f t="array" ref="BL368">IF(E368&lt;&gt;"",IFERROR(INDEX(PMtbl[[WKst]:[Unit of measure*]],MATCH($A$330&amp;$A368&amp;$E368&amp;$I368,INDEX(PMtbl[Sec]&amp;PMtbl[Category]&amp;PMtbl[Each]&amp;PMtbl[Packaging],0,),0),11),""),"")</f>
        <v/>
      </c>
      <c r="BO368" s="448">
        <f>IF(N368="",0,IF(SETUP!$E$7="USD",((IF(O368="USD",P368,(P368/'Master Data-C19RM'!$C$2)))),((IF(O368="EUR",P368,(P368*'Master Data-C19RM'!$C$2))))))</f>
        <v>0</v>
      </c>
      <c r="BP368" s="448">
        <f>IF(N368="",0,IF(SETUP!$E$7="USD",((IF(O368="USD",W368,(W368/'Master Data-C19RM'!$D$2)))),((IF(O368="EUR",W368,(W368*'Master Data-C19RM'!$D$2))))))</f>
        <v>0</v>
      </c>
      <c r="BQ368" s="470">
        <f>IF(N368="",0,IF(SETUP!$E$7="USD",((IF(O368="USD",AD368,(AD368/'Master Data-C19RM'!$E$2)))),((IF(O368="EUR",AD368,(AD368*'Master Data-C19RM'!$E$2))))))</f>
        <v>0</v>
      </c>
      <c r="BR368" s="470">
        <f>IF(N368="",0,IF(SETUP!$E$7="USD",((IF(O368="USD",AK368,(AK368/'Master Data-C19RM'!$F$2)))),((IF(O368="EUR",AK368,(AK368*'Master Data-C19RM'!$F$2))))))</f>
        <v>0</v>
      </c>
      <c r="BS368" s="470">
        <f>IF(N368="",0,IF(SETUP!$E$7="USD",((IF(O368="USD",AR368,(AR368/'Master Data-C19RM'!$G$2)))),((IF(O368="EUR",AR368,(AR368*'Master Data-C19RM'!$G$2))))))</f>
        <v>0</v>
      </c>
      <c r="BT368" s="470">
        <f>IF(N368="",0,IF(SETUP!$E$7="USD",((IF(O368="USD",AY368,(AY368/'Master Data-C19RM'!$H$2)))),((IF(O368="EUR",AY368,(AY368*'Master Data-C19RM'!$H$2))))))</f>
        <v>0</v>
      </c>
      <c r="BU368" s="448">
        <f t="shared" si="45"/>
        <v>0</v>
      </c>
      <c r="BV368" s="562">
        <f t="shared" si="46"/>
        <v>0</v>
      </c>
      <c r="BW368" s="470"/>
      <c r="BX368" s="470"/>
      <c r="BY368" s="470"/>
      <c r="BZ368" s="470"/>
      <c r="CA368" s="470"/>
      <c r="CB368" s="470"/>
      <c r="CC368" s="470"/>
      <c r="CD368" s="470"/>
      <c r="CE368" s="470"/>
      <c r="CF368" s="470"/>
      <c r="CG368" s="470"/>
      <c r="CH368" s="470"/>
      <c r="CI368" s="470"/>
      <c r="CJ368" s="470"/>
      <c r="CK368" s="470"/>
      <c r="CL368" s="470"/>
      <c r="CM368" s="470"/>
      <c r="CN368" s="470"/>
      <c r="CO368" s="470"/>
      <c r="CP368" s="470"/>
    </row>
    <row r="369" spans="1:94" s="448" customFormat="1" ht="14" x14ac:dyDescent="0.3">
      <c r="A369" s="1165"/>
      <c r="B369" s="1165"/>
      <c r="C369" s="1165"/>
      <c r="D369" s="1165"/>
      <c r="E369" s="1166"/>
      <c r="F369" s="1166"/>
      <c r="G369" s="1166"/>
      <c r="H369" s="1166"/>
      <c r="I369" s="1166"/>
      <c r="J369" s="1166"/>
      <c r="K369" s="1166"/>
      <c r="L369" s="490" t="str" cm="1">
        <f t="array" ref="L369">IF(A369&lt;&gt;"",IFERROR(INDEX(PMtbl[[WKst]:[Unit of measure*]],MATCH($A$330&amp;$A369&amp;$E369&amp;$I369,INDEX(PMtbl[Sec]&amp;PMtbl[Category]&amp;PMtbl[Each]&amp;PMtbl[Packaging],0,),0),14),""),"")</f>
        <v/>
      </c>
      <c r="M369" s="479" t="str">
        <f>IF(L369="","",INDEX(SETUP!$E$20:$E$122,(MATCH(INDEX(PMsheet!$D:$E,MATCH(A369,PMsheet!E:E,0),1),SETUP!$D$20:$D$122,0))))</f>
        <v/>
      </c>
      <c r="N369" s="491">
        <f>IF($O369="USD",_xlfn.IFNA(VLOOKUP(A369&amp;E369&amp;I369,PMsheet!J:K,2,0),0),(_xlfn.IFNA(VLOOKUP(A369&amp;E369&amp;I369,PMsheet!J:K,2,0),0)*'Master Data-C19RM'!$C$2))</f>
        <v>0</v>
      </c>
      <c r="O369" s="492" t="str">
        <f>IF(L369="", "",SETUP!$E$7)</f>
        <v/>
      </c>
      <c r="P369" s="444">
        <f>IF($O369="USD",_xlfn.IFNA(VLOOKUP($A369&amp;$E369&amp;$I369,PMsheet!$J:$K,2,0),0),(_xlfn.IFNA(VLOOKUP($A369&amp;$E369&amp;$I369,PMsheet!$J:$K,2,0),0)*'Master Data-C19RM'!$C$2))</f>
        <v>0</v>
      </c>
      <c r="Q369" s="441"/>
      <c r="R369" s="441"/>
      <c r="S369" s="441"/>
      <c r="T369" s="441"/>
      <c r="U369" s="481">
        <f t="shared" si="44"/>
        <v>0</v>
      </c>
      <c r="V369" s="483">
        <f>IF(SETUP!$E$7="USD",(U369*(IF(O369="USD",P369,(P369/'Master Data-C19RM'!$C$2)))),(U369*(IF(O369="EUR",P369,(P369*'Master Data-C19RM'!$C$2)))))</f>
        <v>0</v>
      </c>
      <c r="W369" s="444">
        <f>IF($O369="USD",_xlfn.IFNA(VLOOKUP($A369&amp;$E369&amp;$I369,PMsheet!$J:$K,2,0),0),(_xlfn.IFNA(VLOOKUP($A369&amp;$E369&amp;$I369,PMsheet!$J:$K,2,0),0)*'Master Data-C19RM'!$D$2))</f>
        <v>0</v>
      </c>
      <c r="X369" s="441"/>
      <c r="Y369" s="441"/>
      <c r="Z369" s="441"/>
      <c r="AA369" s="441"/>
      <c r="AB369" s="481">
        <f t="shared" si="47"/>
        <v>0</v>
      </c>
      <c r="AC369" s="483">
        <f>IF(SETUP!$E$7="USD",(AB369*(IF(O369="USD",W369,(W369/'Master Data-C19RM'!$D$2)))),(AB369*(IF(O369="EUR",W369,(W369*'Master Data-C19RM'!$D$2)))))</f>
        <v>0</v>
      </c>
      <c r="AD369" s="444">
        <f>IF($O369="USD",_xlfn.IFNA(VLOOKUP($A369&amp;$E369&amp;$I369,PMsheet!$J:$K,2,0),0),(_xlfn.IFNA(VLOOKUP($A369&amp;$E369&amp;$I369,PMsheet!$J:$K,2,0),0)*'Master Data-C19RM'!$E$2))</f>
        <v>0</v>
      </c>
      <c r="AE369" s="441"/>
      <c r="AF369" s="441"/>
      <c r="AG369" s="441"/>
      <c r="AH369" s="441"/>
      <c r="AI369" s="512">
        <f t="shared" si="48"/>
        <v>0</v>
      </c>
      <c r="AJ369" s="513">
        <f>IF(SETUP!$E$7="USD",(AI369*(IF(O369="USD",AD369,(AD369/'Master Data-C19RM'!$E$2)))),(AI369*(IF(O369="EUR",AD369,(AD369*'Master Data-C19RM'!$E$2)))))</f>
        <v>0</v>
      </c>
      <c r="AK369" s="444">
        <f>IF($O369="USD",_xlfn.IFNA(VLOOKUP($A369&amp;$E369&amp;$I369,PMsheet!$J:$K,2,0),0),(_xlfn.IFNA(VLOOKUP($A369&amp;$E369&amp;$I369,PMsheet!$J:$K,2,0),0)*'Master Data-C19RM'!$F$2))</f>
        <v>0</v>
      </c>
      <c r="AL369" s="441"/>
      <c r="AM369" s="441"/>
      <c r="AN369" s="441"/>
      <c r="AO369" s="441"/>
      <c r="AP369" s="512">
        <f t="shared" si="49"/>
        <v>0</v>
      </c>
      <c r="AQ369" s="513">
        <f>IF(SETUP!$E$7="USD",(AP369*(IF(O369="USD",AK369,(AK369/'Master Data-C19RM'!$F$2)))),(AP369*(IF(O369="EUR",AK369,(AK369*'Master Data-C19RM'!$F$2)))))</f>
        <v>0</v>
      </c>
      <c r="AR369" s="924">
        <f>IF($O369="USD",_xlfn.IFNA(VLOOKUP($A369&amp;$E369&amp;$I369,PMsheet!$J:$K,2,0),0),(_xlfn.IFNA(VLOOKUP($A369&amp;$E369&amp;$I369,PMsheet!$J:$K,2,0),0)*'Master Data-C19RM'!$G$2))</f>
        <v>0</v>
      </c>
      <c r="AS369" s="572"/>
      <c r="AT369" s="572"/>
      <c r="AU369" s="572"/>
      <c r="AV369" s="572"/>
      <c r="AW369" s="512">
        <f t="shared" si="50"/>
        <v>0</v>
      </c>
      <c r="AX369" s="512">
        <f>IF(SETUP!$E$7="USD",(AW369*(IF(O369="USD",AR369,(AR369/'Master Data-C19RM'!$G$2)))),(AW369*(IF(O369="EUR",AR369,(AR369*'Master Data-C19RM'!$G$2)))))</f>
        <v>0</v>
      </c>
      <c r="AY369" s="845"/>
      <c r="AZ369" s="846"/>
      <c r="BA369" s="846"/>
      <c r="BB369" s="846"/>
      <c r="BC369" s="846"/>
      <c r="BD369" s="846"/>
      <c r="BE369" s="847"/>
      <c r="BF369" s="520">
        <f>'C19RM 2021-Lab &amp; Other HPS'!$U369+'C19RM 2021-Lab &amp; Other HPS'!$AB369+'C19RM 2021-Lab &amp; Other HPS'!$AP369+'C19RM 2021-Lab &amp; Other HPS'!$AI369+AW369+BD369</f>
        <v>0</v>
      </c>
      <c r="BG369" s="513">
        <f>'C19RM 2021-Lab &amp; Other HPS'!$V369+'C19RM 2021-Lab &amp; Other HPS'!$AC369+'C19RM 2021-Lab &amp; Other HPS'!$AQ369+'C19RM 2021-Lab &amp; Other HPS'!$AJ369+AX369+BE369</f>
        <v>0</v>
      </c>
      <c r="BH369" s="500" t="str" cm="1">
        <f t="array" ref="BH369">IF(A369&lt;&gt;"",IFERROR(INDEX(PMtbl[[WKst]:[Unit of measure*]],MATCH($A$330&amp;$A369&amp;$E369&amp;$I369,INDEX(PMtbl[Sec]&amp;PMtbl[Category]&amp;PMtbl[Each]&amp;PMtbl[Packaging],0,),0),11),""),"")</f>
        <v/>
      </c>
      <c r="BI369" s="819"/>
      <c r="BJ369" s="502" t="str" cm="1">
        <f t="array" ref="BJ369">IFERROR(INDEX(SETUP!$C$19:$G$121,MATCH((INDEX(PMtbl[[WKst]:[Unit of measure*]],MATCH($A369&amp;$E369&amp;$I369,INDEX(PMtbl[Category]&amp;PMtbl[Each]&amp;PMtbl[Packaging],0,),0),3)),SETUP!$D$19:$D$121,0),5),"")</f>
        <v/>
      </c>
      <c r="BK369" s="570" t="str" cm="1">
        <f t="array" ref="BK369">IFERROR(IF((INDEX(SETUP!$C$19:$G$121,MATCH((INDEX(PMtbl[[WKst]:[Unit of measure*]],MATCH($A369&amp;$E369&amp;$I369,INDEX(PMtbl[Category]&amp;PMtbl[Each]&amp;PMtbl[Packaging],0,),0),3)),SETUP!$D$19:$D$121,0),4))="Upfront",0,INDEX(SETUP!$C$19:$G$121,MATCH((INDEX(PMtbl[[WKst]:[Unit of measure*]],MATCH($A369&amp;$E369&amp;$I369,INDEX(PMtbl[Category]&amp;PMtbl[Each]&amp;PMtbl[Packaging],0,),0),3)),SETUP!$D$19:$D$121,0),5)),"")</f>
        <v/>
      </c>
      <c r="BL369" s="563" t="str" cm="1">
        <f t="array" ref="BL369">IF(E369&lt;&gt;"",IFERROR(INDEX(PMtbl[[WKst]:[Unit of measure*]],MATCH($A$330&amp;$A369&amp;$E369&amp;$I369,INDEX(PMtbl[Sec]&amp;PMtbl[Category]&amp;PMtbl[Each]&amp;PMtbl[Packaging],0,),0),11),""),"")</f>
        <v/>
      </c>
      <c r="BO369" s="448">
        <f>IF(N369="",0,IF(SETUP!$E$7="USD",((IF(O369="USD",P369,(P369/'Master Data-C19RM'!$C$2)))),((IF(O369="EUR",P369,(P369*'Master Data-C19RM'!$C$2))))))</f>
        <v>0</v>
      </c>
      <c r="BP369" s="448">
        <f>IF(N369="",0,IF(SETUP!$E$7="USD",((IF(O369="USD",W369,(W369/'Master Data-C19RM'!$D$2)))),((IF(O369="EUR",W369,(W369*'Master Data-C19RM'!$D$2))))))</f>
        <v>0</v>
      </c>
      <c r="BQ369" s="470">
        <f>IF(N369="",0,IF(SETUP!$E$7="USD",((IF(O369="USD",AD369,(AD369/'Master Data-C19RM'!$E$2)))),((IF(O369="EUR",AD369,(AD369*'Master Data-C19RM'!$E$2))))))</f>
        <v>0</v>
      </c>
      <c r="BR369" s="470">
        <f>IF(N369="",0,IF(SETUP!$E$7="USD",((IF(O369="USD",AK369,(AK369/'Master Data-C19RM'!$F$2)))),((IF(O369="EUR",AK369,(AK369*'Master Data-C19RM'!$F$2))))))</f>
        <v>0</v>
      </c>
      <c r="BS369" s="470">
        <f>IF(N369="",0,IF(SETUP!$E$7="USD",((IF(O369="USD",AR369,(AR369/'Master Data-C19RM'!$G$2)))),((IF(O369="EUR",AR369,(AR369*'Master Data-C19RM'!$G$2))))))</f>
        <v>0</v>
      </c>
      <c r="BT369" s="470">
        <f>IF(N369="",0,IF(SETUP!$E$7="USD",((IF(O369="USD",AY369,(AY369/'Master Data-C19RM'!$H$2)))),((IF(O369="EUR",AY369,(AY369*'Master Data-C19RM'!$H$2))))))</f>
        <v>0</v>
      </c>
      <c r="BU369" s="448">
        <f t="shared" si="45"/>
        <v>0</v>
      </c>
      <c r="BV369" s="562">
        <f t="shared" si="46"/>
        <v>0</v>
      </c>
      <c r="BW369" s="470"/>
      <c r="BX369" s="470"/>
      <c r="BY369" s="470"/>
      <c r="BZ369" s="470"/>
      <c r="CA369" s="470"/>
      <c r="CB369" s="470"/>
      <c r="CC369" s="470"/>
      <c r="CD369" s="470"/>
      <c r="CE369" s="470"/>
      <c r="CF369" s="470"/>
      <c r="CG369" s="470"/>
      <c r="CH369" s="470"/>
      <c r="CI369" s="470"/>
      <c r="CJ369" s="470"/>
      <c r="CK369" s="470"/>
      <c r="CL369" s="470"/>
      <c r="CM369" s="470"/>
      <c r="CN369" s="470"/>
      <c r="CO369" s="470"/>
      <c r="CP369" s="470"/>
    </row>
    <row r="370" spans="1:94" s="448" customFormat="1" ht="14" x14ac:dyDescent="0.3">
      <c r="A370" s="1192"/>
      <c r="B370" s="1192"/>
      <c r="C370" s="1192"/>
      <c r="D370" s="1192"/>
      <c r="E370" s="1173"/>
      <c r="F370" s="1173"/>
      <c r="G370" s="1173"/>
      <c r="H370" s="1173"/>
      <c r="I370" s="1173"/>
      <c r="J370" s="1173"/>
      <c r="K370" s="1173"/>
      <c r="L370" s="493" t="str" cm="1">
        <f t="array" ref="L370">IF(A370&lt;&gt;"",IFERROR(INDEX(PMtbl[[WKst]:[Unit of measure*]],MATCH($A$330&amp;$A370&amp;$E370&amp;$I370,INDEX(PMtbl[Sec]&amp;PMtbl[Category]&amp;PMtbl[Each]&amp;PMtbl[Packaging],0,),0),14),""),"")</f>
        <v/>
      </c>
      <c r="M370" s="480" t="str">
        <f>IF(L370="","",INDEX(SETUP!$E$20:$E$122,(MATCH(INDEX(PMsheet!$D:$E,MATCH(A370,PMsheet!E:E,0),1),SETUP!$D$20:$D$122,0))))</f>
        <v/>
      </c>
      <c r="N370" s="494">
        <f>IF($O370="USD",_xlfn.IFNA(VLOOKUP(A370&amp;E370&amp;I370,PMsheet!J:K,2,0),0),(_xlfn.IFNA(VLOOKUP(A370&amp;E370&amp;I370,PMsheet!J:K,2,0),0)*'Master Data-C19RM'!$C$2))</f>
        <v>0</v>
      </c>
      <c r="O370" s="495" t="str">
        <f>IF(L370="", "",SETUP!$E$7)</f>
        <v/>
      </c>
      <c r="P370" s="445">
        <f>IF($O370="USD",_xlfn.IFNA(VLOOKUP($A370&amp;$E370&amp;$I370,PMsheet!$J:$K,2,0),0),(_xlfn.IFNA(VLOOKUP($A370&amp;$E370&amp;$I370,PMsheet!$J:$K,2,0),0)*'Master Data-C19RM'!$C$2))</f>
        <v>0</v>
      </c>
      <c r="Q370" s="440"/>
      <c r="R370" s="440"/>
      <c r="S370" s="440"/>
      <c r="T370" s="440"/>
      <c r="U370" s="482">
        <f t="shared" si="44"/>
        <v>0</v>
      </c>
      <c r="V370" s="484">
        <f>IF(SETUP!$E$7="USD",(U370*(IF(O370="USD",P370,(P370/'Master Data-C19RM'!$C$2)))),(U370*(IF(O370="EUR",P370,(P370*'Master Data-C19RM'!$C$2)))))</f>
        <v>0</v>
      </c>
      <c r="W370" s="445">
        <f>IF($O370="USD",_xlfn.IFNA(VLOOKUP($A370&amp;$E370&amp;$I370,PMsheet!$J:$K,2,0),0),(_xlfn.IFNA(VLOOKUP($A370&amp;$E370&amp;$I370,PMsheet!$J:$K,2,0),0)*'Master Data-C19RM'!$D$2))</f>
        <v>0</v>
      </c>
      <c r="X370" s="440"/>
      <c r="Y370" s="440"/>
      <c r="Z370" s="440"/>
      <c r="AA370" s="440"/>
      <c r="AB370" s="482">
        <f t="shared" si="47"/>
        <v>0</v>
      </c>
      <c r="AC370" s="484">
        <f>IF(SETUP!$E$7="USD",(AB370*(IF(O370="USD",W370,(W370/'Master Data-C19RM'!$D$2)))),(AB370*(IF(O370="EUR",W370,(W370*'Master Data-C19RM'!$D$2)))))</f>
        <v>0</v>
      </c>
      <c r="AD370" s="445">
        <f>IF($O370="USD",_xlfn.IFNA(VLOOKUP($A370&amp;$E370&amp;$I370,PMsheet!$J:$K,2,0),0),(_xlfn.IFNA(VLOOKUP($A370&amp;$E370&amp;$I370,PMsheet!$J:$K,2,0),0)*'Master Data-C19RM'!$E$2))</f>
        <v>0</v>
      </c>
      <c r="AE370" s="440"/>
      <c r="AF370" s="440"/>
      <c r="AG370" s="440"/>
      <c r="AH370" s="440"/>
      <c r="AI370" s="514">
        <f t="shared" si="48"/>
        <v>0</v>
      </c>
      <c r="AJ370" s="515">
        <f>IF(SETUP!$E$7="USD",(AI370*(IF(O370="USD",AD370,(AD370/'Master Data-C19RM'!$E$2)))),(AI370*(IF(O370="EUR",AD370,(AD370*'Master Data-C19RM'!$E$2)))))</f>
        <v>0</v>
      </c>
      <c r="AK370" s="445">
        <f>IF($O370="USD",_xlfn.IFNA(VLOOKUP($A370&amp;$E370&amp;$I370,PMsheet!$J:$K,2,0),0),(_xlfn.IFNA(VLOOKUP($A370&amp;$E370&amp;$I370,PMsheet!$J:$K,2,0),0)*'Master Data-C19RM'!$F$2))</f>
        <v>0</v>
      </c>
      <c r="AL370" s="440"/>
      <c r="AM370" s="440"/>
      <c r="AN370" s="440"/>
      <c r="AO370" s="440"/>
      <c r="AP370" s="514">
        <f t="shared" si="49"/>
        <v>0</v>
      </c>
      <c r="AQ370" s="515">
        <f>IF(SETUP!$E$7="USD",(AP370*(IF(O370="USD",AK370,(AK370/'Master Data-C19RM'!$F$2)))),(AP370*(IF(O370="EUR",AK370,(AK370*'Master Data-C19RM'!$F$2)))))</f>
        <v>0</v>
      </c>
      <c r="AR370" s="925">
        <f>IF($O370="USD",_xlfn.IFNA(VLOOKUP($A370&amp;$E370&amp;$I370,PMsheet!$J:$K,2,0),0),(_xlfn.IFNA(VLOOKUP($A370&amp;$E370&amp;$I370,PMsheet!$J:$K,2,0),0)*'Master Data-C19RM'!$G$2))</f>
        <v>0</v>
      </c>
      <c r="AS370" s="926"/>
      <c r="AT370" s="926"/>
      <c r="AU370" s="926"/>
      <c r="AV370" s="926"/>
      <c r="AW370" s="514">
        <f t="shared" si="50"/>
        <v>0</v>
      </c>
      <c r="AX370" s="514">
        <f>IF(SETUP!$E$7="USD",(AW370*(IF(O370="USD",AR370,(AR370/'Master Data-C19RM'!$G$2)))),(AW370*(IF(O370="EUR",AR370,(AR370*'Master Data-C19RM'!$G$2)))))</f>
        <v>0</v>
      </c>
      <c r="AY370" s="845"/>
      <c r="AZ370" s="846"/>
      <c r="BA370" s="846"/>
      <c r="BB370" s="846"/>
      <c r="BC370" s="846"/>
      <c r="BD370" s="846"/>
      <c r="BE370" s="847"/>
      <c r="BF370" s="521">
        <f>'C19RM 2021-Lab &amp; Other HPS'!$U370+'C19RM 2021-Lab &amp; Other HPS'!$AB370+'C19RM 2021-Lab &amp; Other HPS'!$AP370+'C19RM 2021-Lab &amp; Other HPS'!$AI370+AW370+BD370</f>
        <v>0</v>
      </c>
      <c r="BG370" s="515">
        <f>'C19RM 2021-Lab &amp; Other HPS'!$V370+'C19RM 2021-Lab &amp; Other HPS'!$AC370+'C19RM 2021-Lab &amp; Other HPS'!$AQ370+'C19RM 2021-Lab &amp; Other HPS'!$AJ370+AX370+BE370</f>
        <v>0</v>
      </c>
      <c r="BH370" s="522" t="str" cm="1">
        <f t="array" ref="BH370">IF(A370&lt;&gt;"",IFERROR(INDEX(PMtbl[[WKst]:[Unit of measure*]],MATCH($A$330&amp;$A370&amp;$E370&amp;$I370,INDEX(PMtbl[Sec]&amp;PMtbl[Category]&amp;PMtbl[Each]&amp;PMtbl[Packaging],0,),0),11),""),"")</f>
        <v/>
      </c>
      <c r="BI370" s="818"/>
      <c r="BJ370" s="503" t="str" cm="1">
        <f t="array" ref="BJ370">IFERROR(INDEX(SETUP!$C$19:$G$121,MATCH((INDEX(PMtbl[[WKst]:[Unit of measure*]],MATCH($A370&amp;$E370&amp;$I370,INDEX(PMtbl[Category]&amp;PMtbl[Each]&amp;PMtbl[Packaging],0,),0),3)),SETUP!$D$19:$D$121,0),5),"")</f>
        <v/>
      </c>
      <c r="BK370" s="569" t="str" cm="1">
        <f t="array" ref="BK370">IFERROR(IF((INDEX(SETUP!$C$19:$G$121,MATCH((INDEX(PMtbl[[WKst]:[Unit of measure*]],MATCH($A370&amp;$E370&amp;$I370,INDEX(PMtbl[Category]&amp;PMtbl[Each]&amp;PMtbl[Packaging],0,),0),3)),SETUP!$D$19:$D$121,0),4))="Upfront",0,INDEX(SETUP!$C$19:$G$121,MATCH((INDEX(PMtbl[[WKst]:[Unit of measure*]],MATCH($A370&amp;$E370&amp;$I370,INDEX(PMtbl[Category]&amp;PMtbl[Each]&amp;PMtbl[Packaging],0,),0),3)),SETUP!$D$19:$D$121,0),5)),"")</f>
        <v/>
      </c>
      <c r="BL370" s="564" t="str" cm="1">
        <f t="array" ref="BL370">IF(E370&lt;&gt;"",IFERROR(INDEX(PMtbl[[WKst]:[Unit of measure*]],MATCH($A$330&amp;$A370&amp;$E370&amp;$I370,INDEX(PMtbl[Sec]&amp;PMtbl[Category]&amp;PMtbl[Each]&amp;PMtbl[Packaging],0,),0),11),""),"")</f>
        <v/>
      </c>
      <c r="BO370" s="448">
        <f>IF(N370="",0,IF(SETUP!$E$7="USD",((IF(O370="USD",P370,(P370/'Master Data-C19RM'!$C$2)))),((IF(O370="EUR",P370,(P370*'Master Data-C19RM'!$C$2))))))</f>
        <v>0</v>
      </c>
      <c r="BP370" s="448">
        <f>IF(N370="",0,IF(SETUP!$E$7="USD",((IF(O370="USD",W370,(W370/'Master Data-C19RM'!$D$2)))),((IF(O370="EUR",W370,(W370*'Master Data-C19RM'!$D$2))))))</f>
        <v>0</v>
      </c>
      <c r="BQ370" s="470">
        <f>IF(N370="",0,IF(SETUP!$E$7="USD",((IF(O370="USD",AD370,(AD370/'Master Data-C19RM'!$E$2)))),((IF(O370="EUR",AD370,(AD370*'Master Data-C19RM'!$E$2))))))</f>
        <v>0</v>
      </c>
      <c r="BR370" s="470">
        <f>IF(N370="",0,IF(SETUP!$E$7="USD",((IF(O370="USD",AK370,(AK370/'Master Data-C19RM'!$F$2)))),((IF(O370="EUR",AK370,(AK370*'Master Data-C19RM'!$F$2))))))</f>
        <v>0</v>
      </c>
      <c r="BS370" s="470">
        <f>IF(N370="",0,IF(SETUP!$E$7="USD",((IF(O370="USD",AR370,(AR370/'Master Data-C19RM'!$G$2)))),((IF(O370="EUR",AR370,(AR370*'Master Data-C19RM'!$G$2))))))</f>
        <v>0</v>
      </c>
      <c r="BT370" s="470">
        <f>IF(N370="",0,IF(SETUP!$E$7="USD",((IF(O370="USD",AY370,(AY370/'Master Data-C19RM'!$H$2)))),((IF(O370="EUR",AY370,(AY370*'Master Data-C19RM'!$H$2))))))</f>
        <v>0</v>
      </c>
      <c r="BU370" s="448">
        <f t="shared" si="45"/>
        <v>0</v>
      </c>
      <c r="BV370" s="562">
        <f t="shared" si="46"/>
        <v>0</v>
      </c>
      <c r="BW370" s="470"/>
      <c r="BX370" s="470"/>
      <c r="BY370" s="470"/>
      <c r="BZ370" s="470"/>
      <c r="CA370" s="470"/>
      <c r="CB370" s="470"/>
      <c r="CC370" s="470"/>
      <c r="CD370" s="470"/>
      <c r="CE370" s="470"/>
      <c r="CF370" s="470"/>
      <c r="CG370" s="470"/>
      <c r="CH370" s="470"/>
      <c r="CI370" s="470"/>
      <c r="CJ370" s="470"/>
      <c r="CK370" s="470"/>
      <c r="CL370" s="470"/>
      <c r="CM370" s="470"/>
      <c r="CN370" s="470"/>
      <c r="CO370" s="470"/>
      <c r="CP370" s="470"/>
    </row>
    <row r="371" spans="1:94" s="448" customFormat="1" ht="14" x14ac:dyDescent="0.3">
      <c r="A371" s="1165"/>
      <c r="B371" s="1165"/>
      <c r="C371" s="1165"/>
      <c r="D371" s="1165"/>
      <c r="E371" s="1166"/>
      <c r="F371" s="1166"/>
      <c r="G371" s="1166"/>
      <c r="H371" s="1166"/>
      <c r="I371" s="1166"/>
      <c r="J371" s="1166"/>
      <c r="K371" s="1166"/>
      <c r="L371" s="490" t="str" cm="1">
        <f t="array" ref="L371">IF(A371&lt;&gt;"",IFERROR(INDEX(PMtbl[[WKst]:[Unit of measure*]],MATCH($A$330&amp;$A371&amp;$E371&amp;$I371,INDEX(PMtbl[Sec]&amp;PMtbl[Category]&amp;PMtbl[Each]&amp;PMtbl[Packaging],0,),0),14),""),"")</f>
        <v/>
      </c>
      <c r="M371" s="479" t="str">
        <f>IF(L371="","",INDEX(SETUP!$E$20:$E$122,(MATCH(INDEX(PMsheet!$D:$E,MATCH(A371,PMsheet!E:E,0),1),SETUP!$D$20:$D$122,0))))</f>
        <v/>
      </c>
      <c r="N371" s="491">
        <f>IF($O371="USD",_xlfn.IFNA(VLOOKUP(A371&amp;E371&amp;I371,PMsheet!J:K,2,0),0),(_xlfn.IFNA(VLOOKUP(A371&amp;E371&amp;I371,PMsheet!J:K,2,0),0)*'Master Data-C19RM'!$C$2))</f>
        <v>0</v>
      </c>
      <c r="O371" s="492" t="str">
        <f>IF(L371="", "",SETUP!$E$7)</f>
        <v/>
      </c>
      <c r="P371" s="444">
        <f>IF($O371="USD",_xlfn.IFNA(VLOOKUP($A371&amp;$E371&amp;$I371,PMsheet!$J:$K,2,0),0),(_xlfn.IFNA(VLOOKUP($A371&amp;$E371&amp;$I371,PMsheet!$J:$K,2,0),0)*'Master Data-C19RM'!$C$2))</f>
        <v>0</v>
      </c>
      <c r="Q371" s="441"/>
      <c r="R371" s="441"/>
      <c r="S371" s="441"/>
      <c r="T371" s="441"/>
      <c r="U371" s="481">
        <f t="shared" si="44"/>
        <v>0</v>
      </c>
      <c r="V371" s="483">
        <f>IF(SETUP!$E$7="USD",(U371*(IF(O371="USD",P371,(P371/'Master Data-C19RM'!$C$2)))),(U371*(IF(O371="EUR",P371,(P371*'Master Data-C19RM'!$C$2)))))</f>
        <v>0</v>
      </c>
      <c r="W371" s="444">
        <f>IF($O371="USD",_xlfn.IFNA(VLOOKUP($A371&amp;$E371&amp;$I371,PMsheet!$J:$K,2,0),0),(_xlfn.IFNA(VLOOKUP($A371&amp;$E371&amp;$I371,PMsheet!$J:$K,2,0),0)*'Master Data-C19RM'!$D$2))</f>
        <v>0</v>
      </c>
      <c r="X371" s="441"/>
      <c r="Y371" s="441"/>
      <c r="Z371" s="441"/>
      <c r="AA371" s="441"/>
      <c r="AB371" s="481">
        <f t="shared" si="47"/>
        <v>0</v>
      </c>
      <c r="AC371" s="483">
        <f>IF(SETUP!$E$7="USD",(AB371*(IF(O371="USD",W371,(W371/'Master Data-C19RM'!$D$2)))),(AB371*(IF(O371="EUR",W371,(W371*'Master Data-C19RM'!$D$2)))))</f>
        <v>0</v>
      </c>
      <c r="AD371" s="444">
        <f>IF($O371="USD",_xlfn.IFNA(VLOOKUP($A371&amp;$E371&amp;$I371,PMsheet!$J:$K,2,0),0),(_xlfn.IFNA(VLOOKUP($A371&amp;$E371&amp;$I371,PMsheet!$J:$K,2,0),0)*'Master Data-C19RM'!$E$2))</f>
        <v>0</v>
      </c>
      <c r="AE371" s="441"/>
      <c r="AF371" s="441"/>
      <c r="AG371" s="441"/>
      <c r="AH371" s="441"/>
      <c r="AI371" s="512">
        <f t="shared" si="48"/>
        <v>0</v>
      </c>
      <c r="AJ371" s="513">
        <f>IF(SETUP!$E$7="USD",(AI371*(IF(O371="USD",AD371,(AD371/'Master Data-C19RM'!$E$2)))),(AI371*(IF(O371="EUR",AD371,(AD371*'Master Data-C19RM'!$E$2)))))</f>
        <v>0</v>
      </c>
      <c r="AK371" s="444">
        <f>IF($O371="USD",_xlfn.IFNA(VLOOKUP($A371&amp;$E371&amp;$I371,PMsheet!$J:$K,2,0),0),(_xlfn.IFNA(VLOOKUP($A371&amp;$E371&amp;$I371,PMsheet!$J:$K,2,0),0)*'Master Data-C19RM'!$F$2))</f>
        <v>0</v>
      </c>
      <c r="AL371" s="441"/>
      <c r="AM371" s="441"/>
      <c r="AN371" s="441"/>
      <c r="AO371" s="441"/>
      <c r="AP371" s="512">
        <f t="shared" si="49"/>
        <v>0</v>
      </c>
      <c r="AQ371" s="513">
        <f>IF(SETUP!$E$7="USD",(AP371*(IF(O371="USD",AK371,(AK371/'Master Data-C19RM'!$F$2)))),(AP371*(IF(O371="EUR",AK371,(AK371*'Master Data-C19RM'!$F$2)))))</f>
        <v>0</v>
      </c>
      <c r="AR371" s="924">
        <f>IF($O371="USD",_xlfn.IFNA(VLOOKUP($A371&amp;$E371&amp;$I371,PMsheet!$J:$K,2,0),0),(_xlfn.IFNA(VLOOKUP($A371&amp;$E371&amp;$I371,PMsheet!$J:$K,2,0),0)*'Master Data-C19RM'!$G$2))</f>
        <v>0</v>
      </c>
      <c r="AS371" s="572"/>
      <c r="AT371" s="572"/>
      <c r="AU371" s="572"/>
      <c r="AV371" s="572"/>
      <c r="AW371" s="512">
        <f t="shared" si="50"/>
        <v>0</v>
      </c>
      <c r="AX371" s="512">
        <f>IF(SETUP!$E$7="USD",(AW371*(IF(O371="USD",AR371,(AR371/'Master Data-C19RM'!$G$2)))),(AW371*(IF(O371="EUR",AR371,(AR371*'Master Data-C19RM'!$G$2)))))</f>
        <v>0</v>
      </c>
      <c r="AY371" s="845"/>
      <c r="AZ371" s="846"/>
      <c r="BA371" s="846"/>
      <c r="BB371" s="846"/>
      <c r="BC371" s="846"/>
      <c r="BD371" s="846"/>
      <c r="BE371" s="847"/>
      <c r="BF371" s="520">
        <f>'C19RM 2021-Lab &amp; Other HPS'!$U371+'C19RM 2021-Lab &amp; Other HPS'!$AB371+'C19RM 2021-Lab &amp; Other HPS'!$AP371+'C19RM 2021-Lab &amp; Other HPS'!$AI371+AW371+BD371</f>
        <v>0</v>
      </c>
      <c r="BG371" s="513">
        <f>'C19RM 2021-Lab &amp; Other HPS'!$V371+'C19RM 2021-Lab &amp; Other HPS'!$AC371+'C19RM 2021-Lab &amp; Other HPS'!$AQ371+'C19RM 2021-Lab &amp; Other HPS'!$AJ371+AX371+BE371</f>
        <v>0</v>
      </c>
      <c r="BH371" s="500" t="str" cm="1">
        <f t="array" ref="BH371">IF(A371&lt;&gt;"",IFERROR(INDEX(PMtbl[[WKst]:[Unit of measure*]],MATCH($A$330&amp;$A371&amp;$E371&amp;$I371,INDEX(PMtbl[Sec]&amp;PMtbl[Category]&amp;PMtbl[Each]&amp;PMtbl[Packaging],0,),0),11),""),"")</f>
        <v/>
      </c>
      <c r="BI371" s="819"/>
      <c r="BJ371" s="502" t="str" cm="1">
        <f t="array" ref="BJ371">IFERROR(INDEX(SETUP!$C$19:$G$121,MATCH((INDEX(PMtbl[[WKst]:[Unit of measure*]],MATCH($A371&amp;$E371&amp;$I371,INDEX(PMtbl[Category]&amp;PMtbl[Each]&amp;PMtbl[Packaging],0,),0),3)),SETUP!$D$19:$D$121,0),5),"")</f>
        <v/>
      </c>
      <c r="BK371" s="568" t="str" cm="1">
        <f t="array" ref="BK371">IFERROR(IF((INDEX(SETUP!$C$19:$G$121,MATCH((INDEX(PMtbl[[WKst]:[Unit of measure*]],MATCH($A371&amp;$E371&amp;$I371,INDEX(PMtbl[Category]&amp;PMtbl[Each]&amp;PMtbl[Packaging],0,),0),3)),SETUP!$D$19:$D$121,0),4))="Upfront",0,INDEX(SETUP!$C$19:$G$121,MATCH((INDEX(PMtbl[[WKst]:[Unit of measure*]],MATCH($A371&amp;$E371&amp;$I371,INDEX(PMtbl[Category]&amp;PMtbl[Each]&amp;PMtbl[Packaging],0,),0),3)),SETUP!$D$19:$D$121,0),5)),"")</f>
        <v/>
      </c>
      <c r="BL371" s="563" t="str" cm="1">
        <f t="array" ref="BL371">IF(E371&lt;&gt;"",IFERROR(INDEX(PMtbl[[WKst]:[Unit of measure*]],MATCH($A$330&amp;$A371&amp;$E371&amp;$I371,INDEX(PMtbl[Sec]&amp;PMtbl[Category]&amp;PMtbl[Each]&amp;PMtbl[Packaging],0,),0),11),""),"")</f>
        <v/>
      </c>
      <c r="BO371" s="448">
        <f>IF(N371="",0,IF(SETUP!$E$7="USD",((IF(O371="USD",P371,(P371/'Master Data-C19RM'!$C$2)))),((IF(O371="EUR",P371,(P371*'Master Data-C19RM'!$C$2))))))</f>
        <v>0</v>
      </c>
      <c r="BP371" s="448">
        <f>IF(N371="",0,IF(SETUP!$E$7="USD",((IF(O371="USD",W371,(W371/'Master Data-C19RM'!$D$2)))),((IF(O371="EUR",W371,(W371*'Master Data-C19RM'!$D$2))))))</f>
        <v>0</v>
      </c>
      <c r="BQ371" s="470">
        <f>IF(N371="",0,IF(SETUP!$E$7="USD",((IF(O371="USD",AD371,(AD371/'Master Data-C19RM'!$E$2)))),((IF(O371="EUR",AD371,(AD371*'Master Data-C19RM'!$E$2))))))</f>
        <v>0</v>
      </c>
      <c r="BR371" s="470">
        <f>IF(N371="",0,IF(SETUP!$E$7="USD",((IF(O371="USD",AK371,(AK371/'Master Data-C19RM'!$F$2)))),((IF(O371="EUR",AK371,(AK371*'Master Data-C19RM'!$F$2))))))</f>
        <v>0</v>
      </c>
      <c r="BS371" s="470">
        <f>IF(N371="",0,IF(SETUP!$E$7="USD",((IF(O371="USD",AR371,(AR371/'Master Data-C19RM'!$G$2)))),((IF(O371="EUR",AR371,(AR371*'Master Data-C19RM'!$G$2))))))</f>
        <v>0</v>
      </c>
      <c r="BT371" s="470">
        <f>IF(N371="",0,IF(SETUP!$E$7="USD",((IF(O371="USD",AY371,(AY371/'Master Data-C19RM'!$H$2)))),((IF(O371="EUR",AY371,(AY371*'Master Data-C19RM'!$H$2))))))</f>
        <v>0</v>
      </c>
      <c r="BU371" s="448">
        <f t="shared" si="45"/>
        <v>0</v>
      </c>
      <c r="BV371" s="562">
        <f t="shared" si="46"/>
        <v>0</v>
      </c>
      <c r="BW371" s="470"/>
      <c r="BX371" s="470"/>
      <c r="BY371" s="470"/>
      <c r="BZ371" s="470"/>
      <c r="CA371" s="470"/>
      <c r="CB371" s="470"/>
      <c r="CC371" s="470"/>
      <c r="CD371" s="470"/>
      <c r="CE371" s="470"/>
      <c r="CF371" s="470"/>
      <c r="CG371" s="470"/>
      <c r="CH371" s="470"/>
      <c r="CI371" s="470"/>
      <c r="CJ371" s="470"/>
      <c r="CK371" s="470"/>
      <c r="CL371" s="470"/>
      <c r="CM371" s="470"/>
      <c r="CN371" s="470"/>
      <c r="CO371" s="470"/>
      <c r="CP371" s="470"/>
    </row>
    <row r="372" spans="1:94" s="448" customFormat="1" ht="14" x14ac:dyDescent="0.3">
      <c r="A372" s="1192"/>
      <c r="B372" s="1192"/>
      <c r="C372" s="1192"/>
      <c r="D372" s="1192"/>
      <c r="E372" s="1173"/>
      <c r="F372" s="1173"/>
      <c r="G372" s="1173"/>
      <c r="H372" s="1173"/>
      <c r="I372" s="1173"/>
      <c r="J372" s="1173"/>
      <c r="K372" s="1173"/>
      <c r="L372" s="493" t="str" cm="1">
        <f t="array" ref="L372">IF(A372&lt;&gt;"",IFERROR(INDEX(PMtbl[[WKst]:[Unit of measure*]],MATCH($A$330&amp;$A372&amp;$E372&amp;$I372,INDEX(PMtbl[Sec]&amp;PMtbl[Category]&amp;PMtbl[Each]&amp;PMtbl[Packaging],0,),0),14),""),"")</f>
        <v/>
      </c>
      <c r="M372" s="480" t="str">
        <f>IF(L372="","",INDEX(SETUP!$E$20:$E$122,(MATCH(INDEX(PMsheet!$D:$E,MATCH(A372,PMsheet!E:E,0),1),SETUP!$D$20:$D$122,0))))</f>
        <v/>
      </c>
      <c r="N372" s="494">
        <f>IF($O372="USD",_xlfn.IFNA(VLOOKUP(A372&amp;E372&amp;I372,PMsheet!J:K,2,0),0),(_xlfn.IFNA(VLOOKUP(A372&amp;E372&amp;I372,PMsheet!J:K,2,0),0)*'Master Data-C19RM'!$C$2))</f>
        <v>0</v>
      </c>
      <c r="O372" s="495" t="str">
        <f>IF(L372="", "",SETUP!$E$7)</f>
        <v/>
      </c>
      <c r="P372" s="445">
        <f>IF($O372="USD",_xlfn.IFNA(VLOOKUP($A372&amp;$E372&amp;$I372,PMsheet!$J:$K,2,0),0),(_xlfn.IFNA(VLOOKUP($A372&amp;$E372&amp;$I372,PMsheet!$J:$K,2,0),0)*'Master Data-C19RM'!$C$2))</f>
        <v>0</v>
      </c>
      <c r="Q372" s="440"/>
      <c r="R372" s="440"/>
      <c r="S372" s="440"/>
      <c r="T372" s="440"/>
      <c r="U372" s="482">
        <f t="shared" si="44"/>
        <v>0</v>
      </c>
      <c r="V372" s="484">
        <f>IF(SETUP!$E$7="USD",(U372*(IF(O372="USD",P372,(P372/'Master Data-C19RM'!$C$2)))),(U372*(IF(O372="EUR",P372,(P372*'Master Data-C19RM'!$C$2)))))</f>
        <v>0</v>
      </c>
      <c r="W372" s="445">
        <f>IF($O372="USD",_xlfn.IFNA(VLOOKUP($A372&amp;$E372&amp;$I372,PMsheet!$J:$K,2,0),0),(_xlfn.IFNA(VLOOKUP($A372&amp;$E372&amp;$I372,PMsheet!$J:$K,2,0),0)*'Master Data-C19RM'!$D$2))</f>
        <v>0</v>
      </c>
      <c r="X372" s="440"/>
      <c r="Y372" s="440"/>
      <c r="Z372" s="440"/>
      <c r="AA372" s="440"/>
      <c r="AB372" s="482">
        <f t="shared" si="47"/>
        <v>0</v>
      </c>
      <c r="AC372" s="484">
        <f>IF(SETUP!$E$7="USD",(AB372*(IF(O372="USD",W372,(W372/'Master Data-C19RM'!$D$2)))),(AB372*(IF(O372="EUR",W372,(W372*'Master Data-C19RM'!$D$2)))))</f>
        <v>0</v>
      </c>
      <c r="AD372" s="445">
        <f>IF($O372="USD",_xlfn.IFNA(VLOOKUP($A372&amp;$E372&amp;$I372,PMsheet!$J:$K,2,0),0),(_xlfn.IFNA(VLOOKUP($A372&amp;$E372&amp;$I372,PMsheet!$J:$K,2,0),0)*'Master Data-C19RM'!$E$2))</f>
        <v>0</v>
      </c>
      <c r="AE372" s="440"/>
      <c r="AF372" s="440"/>
      <c r="AG372" s="440"/>
      <c r="AH372" s="440"/>
      <c r="AI372" s="514">
        <f t="shared" si="48"/>
        <v>0</v>
      </c>
      <c r="AJ372" s="515">
        <f>IF(SETUP!$E$7="USD",(AI372*(IF(O372="USD",AD372,(AD372/'Master Data-C19RM'!$E$2)))),(AI372*(IF(O372="EUR",AD372,(AD372*'Master Data-C19RM'!$E$2)))))</f>
        <v>0</v>
      </c>
      <c r="AK372" s="445">
        <f>IF($O372="USD",_xlfn.IFNA(VLOOKUP($A372&amp;$E372&amp;$I372,PMsheet!$J:$K,2,0),0),(_xlfn.IFNA(VLOOKUP($A372&amp;$E372&amp;$I372,PMsheet!$J:$K,2,0),0)*'Master Data-C19RM'!$F$2))</f>
        <v>0</v>
      </c>
      <c r="AL372" s="440"/>
      <c r="AM372" s="440"/>
      <c r="AN372" s="440"/>
      <c r="AO372" s="440"/>
      <c r="AP372" s="514">
        <f t="shared" si="49"/>
        <v>0</v>
      </c>
      <c r="AQ372" s="515">
        <f>IF(SETUP!$E$7="USD",(AP372*(IF(O372="USD",AK372,(AK372/'Master Data-C19RM'!$F$2)))),(AP372*(IF(O372="EUR",AK372,(AK372*'Master Data-C19RM'!$F$2)))))</f>
        <v>0</v>
      </c>
      <c r="AR372" s="925">
        <f>IF($O372="USD",_xlfn.IFNA(VLOOKUP($A372&amp;$E372&amp;$I372,PMsheet!$J:$K,2,0),0),(_xlfn.IFNA(VLOOKUP($A372&amp;$E372&amp;$I372,PMsheet!$J:$K,2,0),0)*'Master Data-C19RM'!$G$2))</f>
        <v>0</v>
      </c>
      <c r="AS372" s="926"/>
      <c r="AT372" s="926"/>
      <c r="AU372" s="926"/>
      <c r="AV372" s="926"/>
      <c r="AW372" s="514">
        <f t="shared" si="50"/>
        <v>0</v>
      </c>
      <c r="AX372" s="514">
        <f>IF(SETUP!$E$7="USD",(AW372*(IF(O372="USD",AR372,(AR372/'Master Data-C19RM'!$G$2)))),(AW372*(IF(O372="EUR",AR372,(AR372*'Master Data-C19RM'!$G$2)))))</f>
        <v>0</v>
      </c>
      <c r="AY372" s="845"/>
      <c r="AZ372" s="846"/>
      <c r="BA372" s="846"/>
      <c r="BB372" s="846"/>
      <c r="BC372" s="846"/>
      <c r="BD372" s="846"/>
      <c r="BE372" s="847"/>
      <c r="BF372" s="521">
        <f>'C19RM 2021-Lab &amp; Other HPS'!$U372+'C19RM 2021-Lab &amp; Other HPS'!$AB372+'C19RM 2021-Lab &amp; Other HPS'!$AP372+'C19RM 2021-Lab &amp; Other HPS'!$AI372+AW372+BD372</f>
        <v>0</v>
      </c>
      <c r="BG372" s="515">
        <f>'C19RM 2021-Lab &amp; Other HPS'!$V372+'C19RM 2021-Lab &amp; Other HPS'!$AC372+'C19RM 2021-Lab &amp; Other HPS'!$AQ372+'C19RM 2021-Lab &amp; Other HPS'!$AJ372+AX372+BE372</f>
        <v>0</v>
      </c>
      <c r="BH372" s="522" t="str" cm="1">
        <f t="array" ref="BH372">IF(A372&lt;&gt;"",IFERROR(INDEX(PMtbl[[WKst]:[Unit of measure*]],MATCH($A$330&amp;$A372&amp;$E372&amp;$I372,INDEX(PMtbl[Sec]&amp;PMtbl[Category]&amp;PMtbl[Each]&amp;PMtbl[Packaging],0,),0),11),""),"")</f>
        <v/>
      </c>
      <c r="BI372" s="818"/>
      <c r="BJ372" s="503" t="str" cm="1">
        <f t="array" ref="BJ372">IFERROR(INDEX(SETUP!$C$19:$G$121,MATCH((INDEX(PMtbl[[WKst]:[Unit of measure*]],MATCH($A372&amp;$E372&amp;$I372,INDEX(PMtbl[Category]&amp;PMtbl[Each]&amp;PMtbl[Packaging],0,),0),3)),SETUP!$D$19:$D$121,0),5),"")</f>
        <v/>
      </c>
      <c r="BK372" s="569" t="str" cm="1">
        <f t="array" ref="BK372">IFERROR(IF((INDEX(SETUP!$C$19:$G$121,MATCH((INDEX(PMtbl[[WKst]:[Unit of measure*]],MATCH($A372&amp;$E372&amp;$I372,INDEX(PMtbl[Category]&amp;PMtbl[Each]&amp;PMtbl[Packaging],0,),0),3)),SETUP!$D$19:$D$121,0),4))="Upfront",0,INDEX(SETUP!$C$19:$G$121,MATCH((INDEX(PMtbl[[WKst]:[Unit of measure*]],MATCH($A372&amp;$E372&amp;$I372,INDEX(PMtbl[Category]&amp;PMtbl[Each]&amp;PMtbl[Packaging],0,),0),3)),SETUP!$D$19:$D$121,0),5)),"")</f>
        <v/>
      </c>
      <c r="BL372" s="564" t="str" cm="1">
        <f t="array" ref="BL372">IF(E372&lt;&gt;"",IFERROR(INDEX(PMtbl[[WKst]:[Unit of measure*]],MATCH($A$330&amp;$A372&amp;$E372&amp;$I372,INDEX(PMtbl[Sec]&amp;PMtbl[Category]&amp;PMtbl[Each]&amp;PMtbl[Packaging],0,),0),11),""),"")</f>
        <v/>
      </c>
      <c r="BO372" s="448">
        <f>IF(N372="",0,IF(SETUP!$E$7="USD",((IF(O372="USD",P372,(P372/'Master Data-C19RM'!$C$2)))),((IF(O372="EUR",P372,(P372*'Master Data-C19RM'!$C$2))))))</f>
        <v>0</v>
      </c>
      <c r="BP372" s="448">
        <f>IF(N372="",0,IF(SETUP!$E$7="USD",((IF(O372="USD",W372,(W372/'Master Data-C19RM'!$D$2)))),((IF(O372="EUR",W372,(W372*'Master Data-C19RM'!$D$2))))))</f>
        <v>0</v>
      </c>
      <c r="BQ372" s="470">
        <f>IF(N372="",0,IF(SETUP!$E$7="USD",((IF(O372="USD",AD372,(AD372/'Master Data-C19RM'!$E$2)))),((IF(O372="EUR",AD372,(AD372*'Master Data-C19RM'!$E$2))))))</f>
        <v>0</v>
      </c>
      <c r="BR372" s="470">
        <f>IF(N372="",0,IF(SETUP!$E$7="USD",((IF(O372="USD",AK372,(AK372/'Master Data-C19RM'!$F$2)))),((IF(O372="EUR",AK372,(AK372*'Master Data-C19RM'!$F$2))))))</f>
        <v>0</v>
      </c>
      <c r="BS372" s="470">
        <f>IF(N372="",0,IF(SETUP!$E$7="USD",((IF(O372="USD",AR372,(AR372/'Master Data-C19RM'!$G$2)))),((IF(O372="EUR",AR372,(AR372*'Master Data-C19RM'!$G$2))))))</f>
        <v>0</v>
      </c>
      <c r="BT372" s="470">
        <f>IF(N372="",0,IF(SETUP!$E$7="USD",((IF(O372="USD",AY372,(AY372/'Master Data-C19RM'!$H$2)))),((IF(O372="EUR",AY372,(AY372*'Master Data-C19RM'!$H$2))))))</f>
        <v>0</v>
      </c>
      <c r="BU372" s="448">
        <f t="shared" si="45"/>
        <v>0</v>
      </c>
      <c r="BV372" s="562">
        <f t="shared" si="46"/>
        <v>0</v>
      </c>
      <c r="BW372" s="470"/>
      <c r="BX372" s="470"/>
      <c r="BY372" s="470"/>
      <c r="BZ372" s="470"/>
      <c r="CA372" s="470"/>
      <c r="CB372" s="470"/>
      <c r="CC372" s="470"/>
      <c r="CD372" s="470"/>
      <c r="CE372" s="470"/>
      <c r="CF372" s="470"/>
      <c r="CG372" s="470"/>
      <c r="CH372" s="470"/>
      <c r="CI372" s="470"/>
      <c r="CJ372" s="470"/>
      <c r="CK372" s="470"/>
      <c r="CL372" s="470"/>
      <c r="CM372" s="470"/>
      <c r="CN372" s="470"/>
      <c r="CO372" s="470"/>
      <c r="CP372" s="470"/>
    </row>
    <row r="373" spans="1:94" s="448" customFormat="1" ht="14" x14ac:dyDescent="0.3">
      <c r="A373" s="1165"/>
      <c r="B373" s="1165"/>
      <c r="C373" s="1165"/>
      <c r="D373" s="1165"/>
      <c r="E373" s="1166"/>
      <c r="F373" s="1166"/>
      <c r="G373" s="1166"/>
      <c r="H373" s="1166"/>
      <c r="I373" s="1166"/>
      <c r="J373" s="1166"/>
      <c r="K373" s="1166"/>
      <c r="L373" s="490" t="str" cm="1">
        <f t="array" ref="L373">IF(A373&lt;&gt;"",IFERROR(INDEX(PMtbl[[WKst]:[Unit of measure*]],MATCH($A$330&amp;$A373&amp;$E373&amp;$I373,INDEX(PMtbl[Sec]&amp;PMtbl[Category]&amp;PMtbl[Each]&amp;PMtbl[Packaging],0,),0),14),""),"")</f>
        <v/>
      </c>
      <c r="M373" s="479" t="str">
        <f>IF(L373="","",INDEX(SETUP!$E$20:$E$122,(MATCH(INDEX(PMsheet!$D:$E,MATCH(A373,PMsheet!E:E,0),1),SETUP!$D$20:$D$122,0))))</f>
        <v/>
      </c>
      <c r="N373" s="491">
        <f>IF($O373="USD",_xlfn.IFNA(VLOOKUP(A373&amp;E373&amp;I373,PMsheet!J:K,2,0),0),(_xlfn.IFNA(VLOOKUP(A373&amp;E373&amp;I373,PMsheet!J:K,2,0),0)*'Master Data-C19RM'!$C$2))</f>
        <v>0</v>
      </c>
      <c r="O373" s="492" t="str">
        <f>IF(L373="", "",SETUP!$E$7)</f>
        <v/>
      </c>
      <c r="P373" s="444">
        <f>IF($O373="USD",_xlfn.IFNA(VLOOKUP($A373&amp;$E373&amp;$I373,PMsheet!$J:$K,2,0),0),(_xlfn.IFNA(VLOOKUP($A373&amp;$E373&amp;$I373,PMsheet!$J:$K,2,0),0)*'Master Data-C19RM'!$C$2))</f>
        <v>0</v>
      </c>
      <c r="Q373" s="441"/>
      <c r="R373" s="441"/>
      <c r="S373" s="441"/>
      <c r="T373" s="441"/>
      <c r="U373" s="481">
        <f t="shared" si="44"/>
        <v>0</v>
      </c>
      <c r="V373" s="483">
        <f>IF(SETUP!$E$7="USD",(U373*(IF(O373="USD",P373,(P373/'Master Data-C19RM'!$C$2)))),(U373*(IF(O373="EUR",P373,(P373*'Master Data-C19RM'!$C$2)))))</f>
        <v>0</v>
      </c>
      <c r="W373" s="444">
        <f>IF($O373="USD",_xlfn.IFNA(VLOOKUP($A373&amp;$E373&amp;$I373,PMsheet!$J:$K,2,0),0),(_xlfn.IFNA(VLOOKUP($A373&amp;$E373&amp;$I373,PMsheet!$J:$K,2,0),0)*'Master Data-C19RM'!$D$2))</f>
        <v>0</v>
      </c>
      <c r="X373" s="441"/>
      <c r="Y373" s="441"/>
      <c r="Z373" s="441"/>
      <c r="AA373" s="441"/>
      <c r="AB373" s="481">
        <f t="shared" si="47"/>
        <v>0</v>
      </c>
      <c r="AC373" s="483">
        <f>IF(SETUP!$E$7="USD",(AB373*(IF(O373="USD",W373,(W373/'Master Data-C19RM'!$D$2)))),(AB373*(IF(O373="EUR",W373,(W373*'Master Data-C19RM'!$D$2)))))</f>
        <v>0</v>
      </c>
      <c r="AD373" s="444">
        <f>IF($O373="USD",_xlfn.IFNA(VLOOKUP($A373&amp;$E373&amp;$I373,PMsheet!$J:$K,2,0),0),(_xlfn.IFNA(VLOOKUP($A373&amp;$E373&amp;$I373,PMsheet!$J:$K,2,0),0)*'Master Data-C19RM'!$E$2))</f>
        <v>0</v>
      </c>
      <c r="AE373" s="441"/>
      <c r="AF373" s="441"/>
      <c r="AG373" s="441"/>
      <c r="AH373" s="441"/>
      <c r="AI373" s="512">
        <f t="shared" si="48"/>
        <v>0</v>
      </c>
      <c r="AJ373" s="513">
        <f>IF(SETUP!$E$7="USD",(AI373*(IF(O373="USD",AD373,(AD373/'Master Data-C19RM'!$E$2)))),(AI373*(IF(O373="EUR",AD373,(AD373*'Master Data-C19RM'!$E$2)))))</f>
        <v>0</v>
      </c>
      <c r="AK373" s="444">
        <f>IF($O373="USD",_xlfn.IFNA(VLOOKUP($A373&amp;$E373&amp;$I373,PMsheet!$J:$K,2,0),0),(_xlfn.IFNA(VLOOKUP($A373&amp;$E373&amp;$I373,PMsheet!$J:$K,2,0),0)*'Master Data-C19RM'!$F$2))</f>
        <v>0</v>
      </c>
      <c r="AL373" s="441"/>
      <c r="AM373" s="441"/>
      <c r="AN373" s="441"/>
      <c r="AO373" s="441"/>
      <c r="AP373" s="512">
        <f t="shared" si="49"/>
        <v>0</v>
      </c>
      <c r="AQ373" s="513">
        <f>IF(SETUP!$E$7="USD",(AP373*(IF(O373="USD",AK373,(AK373/'Master Data-C19RM'!$F$2)))),(AP373*(IF(O373="EUR",AK373,(AK373*'Master Data-C19RM'!$F$2)))))</f>
        <v>0</v>
      </c>
      <c r="AR373" s="924">
        <f>IF($O373="USD",_xlfn.IFNA(VLOOKUP($A373&amp;$E373&amp;$I373,PMsheet!$J:$K,2,0),0),(_xlfn.IFNA(VLOOKUP($A373&amp;$E373&amp;$I373,PMsheet!$J:$K,2,0),0)*'Master Data-C19RM'!$G$2))</f>
        <v>0</v>
      </c>
      <c r="AS373" s="572"/>
      <c r="AT373" s="572"/>
      <c r="AU373" s="572"/>
      <c r="AV373" s="572"/>
      <c r="AW373" s="512">
        <f t="shared" si="50"/>
        <v>0</v>
      </c>
      <c r="AX373" s="512">
        <f>IF(SETUP!$E$7="USD",(AW373*(IF(O373="USD",AR373,(AR373/'Master Data-C19RM'!$G$2)))),(AW373*(IF(O373="EUR",AR373,(AR373*'Master Data-C19RM'!$G$2)))))</f>
        <v>0</v>
      </c>
      <c r="AY373" s="845"/>
      <c r="AZ373" s="846"/>
      <c r="BA373" s="846"/>
      <c r="BB373" s="846"/>
      <c r="BC373" s="846"/>
      <c r="BD373" s="846"/>
      <c r="BE373" s="847"/>
      <c r="BF373" s="520">
        <f>'C19RM 2021-Lab &amp; Other HPS'!$U373+'C19RM 2021-Lab &amp; Other HPS'!$AB373+'C19RM 2021-Lab &amp; Other HPS'!$AP373+'C19RM 2021-Lab &amp; Other HPS'!$AI373+AW373+BD373</f>
        <v>0</v>
      </c>
      <c r="BG373" s="513">
        <f>'C19RM 2021-Lab &amp; Other HPS'!$V373+'C19RM 2021-Lab &amp; Other HPS'!$AC373+'C19RM 2021-Lab &amp; Other HPS'!$AQ373+'C19RM 2021-Lab &amp; Other HPS'!$AJ373+AX373+BE373</f>
        <v>0</v>
      </c>
      <c r="BH373" s="500" t="str" cm="1">
        <f t="array" ref="BH373">IF(A373&lt;&gt;"",IFERROR(INDEX(PMtbl[[WKst]:[Unit of measure*]],MATCH($A$330&amp;$A373&amp;$E373&amp;$I373,INDEX(PMtbl[Sec]&amp;PMtbl[Category]&amp;PMtbl[Each]&amp;PMtbl[Packaging],0,),0),11),""),"")</f>
        <v/>
      </c>
      <c r="BI373" s="819"/>
      <c r="BJ373" s="502" t="str" cm="1">
        <f t="array" ref="BJ373">IFERROR(INDEX(SETUP!$C$19:$G$121,MATCH((INDEX(PMtbl[[WKst]:[Unit of measure*]],MATCH($A373&amp;$E373&amp;$I373,INDEX(PMtbl[Category]&amp;PMtbl[Each]&amp;PMtbl[Packaging],0,),0),3)),SETUP!$D$19:$D$121,0),5),"")</f>
        <v/>
      </c>
      <c r="BK373" s="568" t="str" cm="1">
        <f t="array" ref="BK373">IFERROR(IF((INDEX(SETUP!$C$19:$G$121,MATCH((INDEX(PMtbl[[WKst]:[Unit of measure*]],MATCH($A373&amp;$E373&amp;$I373,INDEX(PMtbl[Category]&amp;PMtbl[Each]&amp;PMtbl[Packaging],0,),0),3)),SETUP!$D$19:$D$121,0),4))="Upfront",0,INDEX(SETUP!$C$19:$G$121,MATCH((INDEX(PMtbl[[WKst]:[Unit of measure*]],MATCH($A373&amp;$E373&amp;$I373,INDEX(PMtbl[Category]&amp;PMtbl[Each]&amp;PMtbl[Packaging],0,),0),3)),SETUP!$D$19:$D$121,0),5)),"")</f>
        <v/>
      </c>
      <c r="BL373" s="563" t="str" cm="1">
        <f t="array" ref="BL373">IF(E373&lt;&gt;"",IFERROR(INDEX(PMtbl[[WKst]:[Unit of measure*]],MATCH($A$330&amp;$A373&amp;$E373&amp;$I373,INDEX(PMtbl[Sec]&amp;PMtbl[Category]&amp;PMtbl[Each]&amp;PMtbl[Packaging],0,),0),11),""),"")</f>
        <v/>
      </c>
      <c r="BO373" s="448">
        <f>IF(N373="",0,IF(SETUP!$E$7="USD",((IF(O373="USD",P373,(P373/'Master Data-C19RM'!$C$2)))),((IF(O373="EUR",P373,(P373*'Master Data-C19RM'!$C$2))))))</f>
        <v>0</v>
      </c>
      <c r="BP373" s="448">
        <f>IF(N373="",0,IF(SETUP!$E$7="USD",((IF(O373="USD",W373,(W373/'Master Data-C19RM'!$D$2)))),((IF(O373="EUR",W373,(W373*'Master Data-C19RM'!$D$2))))))</f>
        <v>0</v>
      </c>
      <c r="BQ373" s="470">
        <f>IF(N373="",0,IF(SETUP!$E$7="USD",((IF(O373="USD",AD373,(AD373/'Master Data-C19RM'!$E$2)))),((IF(O373="EUR",AD373,(AD373*'Master Data-C19RM'!$E$2))))))</f>
        <v>0</v>
      </c>
      <c r="BR373" s="470">
        <f>IF(N373="",0,IF(SETUP!$E$7="USD",((IF(O373="USD",AK373,(AK373/'Master Data-C19RM'!$F$2)))),((IF(O373="EUR",AK373,(AK373*'Master Data-C19RM'!$F$2))))))</f>
        <v>0</v>
      </c>
      <c r="BS373" s="470">
        <f>IF(N373="",0,IF(SETUP!$E$7="USD",((IF(O373="USD",AR373,(AR373/'Master Data-C19RM'!$G$2)))),((IF(O373="EUR",AR373,(AR373*'Master Data-C19RM'!$G$2))))))</f>
        <v>0</v>
      </c>
      <c r="BT373" s="470">
        <f>IF(N373="",0,IF(SETUP!$E$7="USD",((IF(O373="USD",AY373,(AY373/'Master Data-C19RM'!$H$2)))),((IF(O373="EUR",AY373,(AY373*'Master Data-C19RM'!$H$2))))))</f>
        <v>0</v>
      </c>
      <c r="BU373" s="448">
        <f t="shared" si="45"/>
        <v>0</v>
      </c>
      <c r="BV373" s="562">
        <f t="shared" si="46"/>
        <v>0</v>
      </c>
      <c r="BW373" s="470"/>
      <c r="BX373" s="470"/>
      <c r="BY373" s="470"/>
      <c r="BZ373" s="470"/>
      <c r="CA373" s="470"/>
      <c r="CB373" s="470"/>
      <c r="CC373" s="470"/>
      <c r="CD373" s="470"/>
      <c r="CE373" s="470"/>
      <c r="CF373" s="470"/>
      <c r="CG373" s="470"/>
      <c r="CH373" s="470"/>
      <c r="CI373" s="470"/>
      <c r="CJ373" s="470"/>
      <c r="CK373" s="470"/>
      <c r="CL373" s="470"/>
      <c r="CM373" s="470"/>
      <c r="CN373" s="470"/>
      <c r="CO373" s="470"/>
      <c r="CP373" s="470"/>
    </row>
    <row r="374" spans="1:94" s="448" customFormat="1" ht="14" x14ac:dyDescent="0.3">
      <c r="A374" s="1192"/>
      <c r="B374" s="1192"/>
      <c r="C374" s="1192"/>
      <c r="D374" s="1192"/>
      <c r="E374" s="1173"/>
      <c r="F374" s="1173"/>
      <c r="G374" s="1173"/>
      <c r="H374" s="1173"/>
      <c r="I374" s="1173"/>
      <c r="J374" s="1173"/>
      <c r="K374" s="1173"/>
      <c r="L374" s="493" t="str" cm="1">
        <f t="array" ref="L374">IF(A374&lt;&gt;"",IFERROR(INDEX(PMtbl[[WKst]:[Unit of measure*]],MATCH($A$330&amp;$A374&amp;$E374&amp;$I374,INDEX(PMtbl[Sec]&amp;PMtbl[Category]&amp;PMtbl[Each]&amp;PMtbl[Packaging],0,),0),14),""),"")</f>
        <v/>
      </c>
      <c r="M374" s="480" t="str">
        <f>IF(L374="","",INDEX(SETUP!$E$20:$E$122,(MATCH(INDEX(PMsheet!$D:$E,MATCH(A374,PMsheet!E:E,0),1),SETUP!$D$20:$D$122,0))))</f>
        <v/>
      </c>
      <c r="N374" s="494">
        <f>IF($O374="USD",_xlfn.IFNA(VLOOKUP(A374&amp;E374&amp;I374,PMsheet!J:K,2,0),0),(_xlfn.IFNA(VLOOKUP(A374&amp;E374&amp;I374,PMsheet!J:K,2,0),0)*'Master Data-C19RM'!$C$2))</f>
        <v>0</v>
      </c>
      <c r="O374" s="495" t="str">
        <f>IF(L374="", "",SETUP!$E$7)</f>
        <v/>
      </c>
      <c r="P374" s="445">
        <f>IF($O374="USD",_xlfn.IFNA(VLOOKUP($A374&amp;$E374&amp;$I374,PMsheet!$J:$K,2,0),0),(_xlfn.IFNA(VLOOKUP($A374&amp;$E374&amp;$I374,PMsheet!$J:$K,2,0),0)*'Master Data-C19RM'!$C$2))</f>
        <v>0</v>
      </c>
      <c r="Q374" s="440"/>
      <c r="R374" s="440"/>
      <c r="S374" s="440"/>
      <c r="T374" s="440"/>
      <c r="U374" s="482">
        <f t="shared" si="44"/>
        <v>0</v>
      </c>
      <c r="V374" s="484">
        <f>IF(SETUP!$E$7="USD",(U374*(IF(O374="USD",P374,(P374/'Master Data-C19RM'!$C$2)))),(U374*(IF(O374="EUR",P374,(P374*'Master Data-C19RM'!$C$2)))))</f>
        <v>0</v>
      </c>
      <c r="W374" s="445">
        <f>IF($O374="USD",_xlfn.IFNA(VLOOKUP($A374&amp;$E374&amp;$I374,PMsheet!$J:$K,2,0),0),(_xlfn.IFNA(VLOOKUP($A374&amp;$E374&amp;$I374,PMsheet!$J:$K,2,0),0)*'Master Data-C19RM'!$D$2))</f>
        <v>0</v>
      </c>
      <c r="X374" s="440"/>
      <c r="Y374" s="440"/>
      <c r="Z374" s="440"/>
      <c r="AA374" s="440"/>
      <c r="AB374" s="482">
        <f t="shared" si="47"/>
        <v>0</v>
      </c>
      <c r="AC374" s="484">
        <f>IF(SETUP!$E$7="USD",(AB374*(IF(O374="USD",W374,(W374/'Master Data-C19RM'!$D$2)))),(AB374*(IF(O374="EUR",W374,(W374*'Master Data-C19RM'!$D$2)))))</f>
        <v>0</v>
      </c>
      <c r="AD374" s="445">
        <f>IF($O374="USD",_xlfn.IFNA(VLOOKUP($A374&amp;$E374&amp;$I374,PMsheet!$J:$K,2,0),0),(_xlfn.IFNA(VLOOKUP($A374&amp;$E374&amp;$I374,PMsheet!$J:$K,2,0),0)*'Master Data-C19RM'!$E$2))</f>
        <v>0</v>
      </c>
      <c r="AE374" s="440"/>
      <c r="AF374" s="440"/>
      <c r="AG374" s="440"/>
      <c r="AH374" s="440"/>
      <c r="AI374" s="514">
        <f t="shared" si="48"/>
        <v>0</v>
      </c>
      <c r="AJ374" s="515">
        <f>IF(SETUP!$E$7="USD",(AI374*(IF(O374="USD",AD374,(AD374/'Master Data-C19RM'!$E$2)))),(AI374*(IF(O374="EUR",AD374,(AD374*'Master Data-C19RM'!$E$2)))))</f>
        <v>0</v>
      </c>
      <c r="AK374" s="445">
        <f>IF($O374="USD",_xlfn.IFNA(VLOOKUP($A374&amp;$E374&amp;$I374,PMsheet!$J:$K,2,0),0),(_xlfn.IFNA(VLOOKUP($A374&amp;$E374&amp;$I374,PMsheet!$J:$K,2,0),0)*'Master Data-C19RM'!$F$2))</f>
        <v>0</v>
      </c>
      <c r="AL374" s="440"/>
      <c r="AM374" s="440"/>
      <c r="AN374" s="440"/>
      <c r="AO374" s="440"/>
      <c r="AP374" s="514">
        <f t="shared" si="49"/>
        <v>0</v>
      </c>
      <c r="AQ374" s="515">
        <f>IF(SETUP!$E$7="USD",(AP374*(IF(O374="USD",AK374,(AK374/'Master Data-C19RM'!$F$2)))),(AP374*(IF(O374="EUR",AK374,(AK374*'Master Data-C19RM'!$F$2)))))</f>
        <v>0</v>
      </c>
      <c r="AR374" s="925">
        <f>IF($O374="USD",_xlfn.IFNA(VLOOKUP($A374&amp;$E374&amp;$I374,PMsheet!$J:$K,2,0),0),(_xlfn.IFNA(VLOOKUP($A374&amp;$E374&amp;$I374,PMsheet!$J:$K,2,0),0)*'Master Data-C19RM'!$G$2))</f>
        <v>0</v>
      </c>
      <c r="AS374" s="926"/>
      <c r="AT374" s="926"/>
      <c r="AU374" s="926"/>
      <c r="AV374" s="926"/>
      <c r="AW374" s="514">
        <f t="shared" si="50"/>
        <v>0</v>
      </c>
      <c r="AX374" s="514">
        <f>IF(SETUP!$E$7="USD",(AW374*(IF(O374="USD",AR374,(AR374/'Master Data-C19RM'!$G$2)))),(AW374*(IF(O374="EUR",AR374,(AR374*'Master Data-C19RM'!$G$2)))))</f>
        <v>0</v>
      </c>
      <c r="AY374" s="845"/>
      <c r="AZ374" s="846"/>
      <c r="BA374" s="846"/>
      <c r="BB374" s="846"/>
      <c r="BC374" s="846"/>
      <c r="BD374" s="846"/>
      <c r="BE374" s="847"/>
      <c r="BF374" s="521">
        <f>'C19RM 2021-Lab &amp; Other HPS'!$U374+'C19RM 2021-Lab &amp; Other HPS'!$AB374+'C19RM 2021-Lab &amp; Other HPS'!$AP374+'C19RM 2021-Lab &amp; Other HPS'!$AI374+AW374+BD374</f>
        <v>0</v>
      </c>
      <c r="BG374" s="515">
        <f>'C19RM 2021-Lab &amp; Other HPS'!$V374+'C19RM 2021-Lab &amp; Other HPS'!$AC374+'C19RM 2021-Lab &amp; Other HPS'!$AQ374+'C19RM 2021-Lab &amp; Other HPS'!$AJ374+AX374+BE374</f>
        <v>0</v>
      </c>
      <c r="BH374" s="522" t="str" cm="1">
        <f t="array" ref="BH374">IF(A374&lt;&gt;"",IFERROR(INDEX(PMtbl[[WKst]:[Unit of measure*]],MATCH($A$330&amp;$A374&amp;$E374&amp;$I374,INDEX(PMtbl[Sec]&amp;PMtbl[Category]&amp;PMtbl[Each]&amp;PMtbl[Packaging],0,),0),11),""),"")</f>
        <v/>
      </c>
      <c r="BI374" s="818"/>
      <c r="BJ374" s="503" t="str" cm="1">
        <f t="array" ref="BJ374">IFERROR(INDEX(SETUP!$C$19:$G$121,MATCH((INDEX(PMtbl[[WKst]:[Unit of measure*]],MATCH($A374&amp;$E374&amp;$I374,INDEX(PMtbl[Category]&amp;PMtbl[Each]&amp;PMtbl[Packaging],0,),0),3)),SETUP!$D$19:$D$121,0),5),"")</f>
        <v/>
      </c>
      <c r="BK374" s="569" t="str" cm="1">
        <f t="array" ref="BK374">IFERROR(IF((INDEX(SETUP!$C$19:$G$121,MATCH((INDEX(PMtbl[[WKst]:[Unit of measure*]],MATCH($A374&amp;$E374&amp;$I374,INDEX(PMtbl[Category]&amp;PMtbl[Each]&amp;PMtbl[Packaging],0,),0),3)),SETUP!$D$19:$D$121,0),4))="Upfront",0,INDEX(SETUP!$C$19:$G$121,MATCH((INDEX(PMtbl[[WKst]:[Unit of measure*]],MATCH($A374&amp;$E374&amp;$I374,INDEX(PMtbl[Category]&amp;PMtbl[Each]&amp;PMtbl[Packaging],0,),0),3)),SETUP!$D$19:$D$121,0),5)),"")</f>
        <v/>
      </c>
      <c r="BL374" s="564" t="str" cm="1">
        <f t="array" ref="BL374">IF(E374&lt;&gt;"",IFERROR(INDEX(PMtbl[[WKst]:[Unit of measure*]],MATCH($A$330&amp;$A374&amp;$E374&amp;$I374,INDEX(PMtbl[Sec]&amp;PMtbl[Category]&amp;PMtbl[Each]&amp;PMtbl[Packaging],0,),0),11),""),"")</f>
        <v/>
      </c>
      <c r="BO374" s="448">
        <f>IF(N374="",0,IF(SETUP!$E$7="USD",((IF(O374="USD",P374,(P374/'Master Data-C19RM'!$C$2)))),((IF(O374="EUR",P374,(P374*'Master Data-C19RM'!$C$2))))))</f>
        <v>0</v>
      </c>
      <c r="BP374" s="448">
        <f>IF(N374="",0,IF(SETUP!$E$7="USD",((IF(O374="USD",W374,(W374/'Master Data-C19RM'!$D$2)))),((IF(O374="EUR",W374,(W374*'Master Data-C19RM'!$D$2))))))</f>
        <v>0</v>
      </c>
      <c r="BQ374" s="470">
        <f>IF(N374="",0,IF(SETUP!$E$7="USD",((IF(O374="USD",AD374,(AD374/'Master Data-C19RM'!$E$2)))),((IF(O374="EUR",AD374,(AD374*'Master Data-C19RM'!$E$2))))))</f>
        <v>0</v>
      </c>
      <c r="BR374" s="470">
        <f>IF(N374="",0,IF(SETUP!$E$7="USD",((IF(O374="USD",AK374,(AK374/'Master Data-C19RM'!$F$2)))),((IF(O374="EUR",AK374,(AK374*'Master Data-C19RM'!$F$2))))))</f>
        <v>0</v>
      </c>
      <c r="BS374" s="470">
        <f>IF(N374="",0,IF(SETUP!$E$7="USD",((IF(O374="USD",AR374,(AR374/'Master Data-C19RM'!$G$2)))),((IF(O374="EUR",AR374,(AR374*'Master Data-C19RM'!$G$2))))))</f>
        <v>0</v>
      </c>
      <c r="BT374" s="470">
        <f>IF(N374="",0,IF(SETUP!$E$7="USD",((IF(O374="USD",AY374,(AY374/'Master Data-C19RM'!$H$2)))),((IF(O374="EUR",AY374,(AY374*'Master Data-C19RM'!$H$2))))))</f>
        <v>0</v>
      </c>
      <c r="BU374" s="448">
        <f t="shared" si="45"/>
        <v>0</v>
      </c>
      <c r="BV374" s="562">
        <f t="shared" si="46"/>
        <v>0</v>
      </c>
      <c r="BW374" s="470"/>
      <c r="BX374" s="470"/>
      <c r="BY374" s="470"/>
      <c r="BZ374" s="470"/>
      <c r="CA374" s="470"/>
      <c r="CB374" s="470"/>
      <c r="CC374" s="470"/>
      <c r="CD374" s="470"/>
      <c r="CE374" s="470"/>
      <c r="CF374" s="470"/>
      <c r="CG374" s="470"/>
      <c r="CH374" s="470"/>
      <c r="CI374" s="470"/>
      <c r="CJ374" s="470"/>
      <c r="CK374" s="470"/>
      <c r="CL374" s="470"/>
      <c r="CM374" s="470"/>
      <c r="CN374" s="470"/>
      <c r="CO374" s="470"/>
      <c r="CP374" s="470"/>
    </row>
    <row r="375" spans="1:94" s="448" customFormat="1" ht="14" x14ac:dyDescent="0.3">
      <c r="A375" s="1165"/>
      <c r="B375" s="1165"/>
      <c r="C375" s="1165"/>
      <c r="D375" s="1165"/>
      <c r="E375" s="1166"/>
      <c r="F375" s="1166"/>
      <c r="G375" s="1166"/>
      <c r="H375" s="1166"/>
      <c r="I375" s="1166"/>
      <c r="J375" s="1166"/>
      <c r="K375" s="1166"/>
      <c r="L375" s="490" t="str" cm="1">
        <f t="array" ref="L375">IF(A375&lt;&gt;"",IFERROR(INDEX(PMtbl[[WKst]:[Unit of measure*]],MATCH($A$330&amp;$A375&amp;$E375&amp;$I375,INDEX(PMtbl[Sec]&amp;PMtbl[Category]&amp;PMtbl[Each]&amp;PMtbl[Packaging],0,),0),14),""),"")</f>
        <v/>
      </c>
      <c r="M375" s="479" t="str">
        <f>IF(L375="","",INDEX(SETUP!$E$20:$E$122,(MATCH(INDEX(PMsheet!$D:$E,MATCH(A375,PMsheet!E:E,0),1),SETUP!$D$20:$D$122,0))))</f>
        <v/>
      </c>
      <c r="N375" s="491">
        <f>IF($O375="USD",_xlfn.IFNA(VLOOKUP(A375&amp;E375&amp;I375,PMsheet!J:K,2,0),0),(_xlfn.IFNA(VLOOKUP(A375&amp;E375&amp;I375,PMsheet!J:K,2,0),0)*'Master Data-C19RM'!$C$2))</f>
        <v>0</v>
      </c>
      <c r="O375" s="492" t="str">
        <f>IF(L375="", "",SETUP!$E$7)</f>
        <v/>
      </c>
      <c r="P375" s="444">
        <f>IF($O375="USD",_xlfn.IFNA(VLOOKUP($A375&amp;$E375&amp;$I375,PMsheet!$J:$K,2,0),0),(_xlfn.IFNA(VLOOKUP($A375&amp;$E375&amp;$I375,PMsheet!$J:$K,2,0),0)*'Master Data-C19RM'!$C$2))</f>
        <v>0</v>
      </c>
      <c r="Q375" s="441"/>
      <c r="R375" s="441"/>
      <c r="S375" s="441"/>
      <c r="T375" s="441"/>
      <c r="U375" s="481">
        <f t="shared" si="44"/>
        <v>0</v>
      </c>
      <c r="V375" s="483">
        <f>IF(SETUP!$E$7="USD",(U375*(IF(O375="USD",P375,(P375/'Master Data-C19RM'!$C$2)))),(U375*(IF(O375="EUR",P375,(P375*'Master Data-C19RM'!$C$2)))))</f>
        <v>0</v>
      </c>
      <c r="W375" s="444">
        <f>IF($O375="USD",_xlfn.IFNA(VLOOKUP($A375&amp;$E375&amp;$I375,PMsheet!$J:$K,2,0),0),(_xlfn.IFNA(VLOOKUP($A375&amp;$E375&amp;$I375,PMsheet!$J:$K,2,0),0)*'Master Data-C19RM'!$D$2))</f>
        <v>0</v>
      </c>
      <c r="X375" s="441"/>
      <c r="Y375" s="441"/>
      <c r="Z375" s="441"/>
      <c r="AA375" s="441"/>
      <c r="AB375" s="481">
        <f t="shared" si="47"/>
        <v>0</v>
      </c>
      <c r="AC375" s="483">
        <f>IF(SETUP!$E$7="USD",(AB375*(IF(O375="USD",W375,(W375/'Master Data-C19RM'!$D$2)))),(AB375*(IF(O375="EUR",W375,(W375*'Master Data-C19RM'!$D$2)))))</f>
        <v>0</v>
      </c>
      <c r="AD375" s="444">
        <f>IF($O375="USD",_xlfn.IFNA(VLOOKUP($A375&amp;$E375&amp;$I375,PMsheet!$J:$K,2,0),0),(_xlfn.IFNA(VLOOKUP($A375&amp;$E375&amp;$I375,PMsheet!$J:$K,2,0),0)*'Master Data-C19RM'!$E$2))</f>
        <v>0</v>
      </c>
      <c r="AE375" s="441"/>
      <c r="AF375" s="441"/>
      <c r="AG375" s="441"/>
      <c r="AH375" s="441"/>
      <c r="AI375" s="512">
        <f t="shared" si="48"/>
        <v>0</v>
      </c>
      <c r="AJ375" s="513">
        <f>IF(SETUP!$E$7="USD",(AI375*(IF(O375="USD",AD375,(AD375/'Master Data-C19RM'!$E$2)))),(AI375*(IF(O375="EUR",AD375,(AD375*'Master Data-C19RM'!$E$2)))))</f>
        <v>0</v>
      </c>
      <c r="AK375" s="444">
        <f>IF($O375="USD",_xlfn.IFNA(VLOOKUP($A375&amp;$E375&amp;$I375,PMsheet!$J:$K,2,0),0),(_xlfn.IFNA(VLOOKUP($A375&amp;$E375&amp;$I375,PMsheet!$J:$K,2,0),0)*'Master Data-C19RM'!$F$2))</f>
        <v>0</v>
      </c>
      <c r="AL375" s="441"/>
      <c r="AM375" s="441"/>
      <c r="AN375" s="441"/>
      <c r="AO375" s="441"/>
      <c r="AP375" s="512">
        <f t="shared" si="49"/>
        <v>0</v>
      </c>
      <c r="AQ375" s="513">
        <f>IF(SETUP!$E$7="USD",(AP375*(IF(O375="USD",AK375,(AK375/'Master Data-C19RM'!$F$2)))),(AP375*(IF(O375="EUR",AK375,(AK375*'Master Data-C19RM'!$F$2)))))</f>
        <v>0</v>
      </c>
      <c r="AR375" s="924">
        <f>IF($O375="USD",_xlfn.IFNA(VLOOKUP($A375&amp;$E375&amp;$I375,PMsheet!$J:$K,2,0),0),(_xlfn.IFNA(VLOOKUP($A375&amp;$E375&amp;$I375,PMsheet!$J:$K,2,0),0)*'Master Data-C19RM'!$G$2))</f>
        <v>0</v>
      </c>
      <c r="AS375" s="572"/>
      <c r="AT375" s="572"/>
      <c r="AU375" s="572"/>
      <c r="AV375" s="572"/>
      <c r="AW375" s="512">
        <f t="shared" si="50"/>
        <v>0</v>
      </c>
      <c r="AX375" s="512">
        <f>IF(SETUP!$E$7="USD",(AW375*(IF(O375="USD",AR375,(AR375/'Master Data-C19RM'!$G$2)))),(AW375*(IF(O375="EUR",AR375,(AR375*'Master Data-C19RM'!$G$2)))))</f>
        <v>0</v>
      </c>
      <c r="AY375" s="845"/>
      <c r="AZ375" s="846"/>
      <c r="BA375" s="846"/>
      <c r="BB375" s="846"/>
      <c r="BC375" s="846"/>
      <c r="BD375" s="846"/>
      <c r="BE375" s="847"/>
      <c r="BF375" s="520">
        <f>'C19RM 2021-Lab &amp; Other HPS'!$U375+'C19RM 2021-Lab &amp; Other HPS'!$AB375+'C19RM 2021-Lab &amp; Other HPS'!$AP375+'C19RM 2021-Lab &amp; Other HPS'!$AI375+AW375+BD375</f>
        <v>0</v>
      </c>
      <c r="BG375" s="513">
        <f>'C19RM 2021-Lab &amp; Other HPS'!$V375+'C19RM 2021-Lab &amp; Other HPS'!$AC375+'C19RM 2021-Lab &amp; Other HPS'!$AQ375+'C19RM 2021-Lab &amp; Other HPS'!$AJ375+AX375+BE375</f>
        <v>0</v>
      </c>
      <c r="BH375" s="500" t="str" cm="1">
        <f t="array" ref="BH375">IF(A375&lt;&gt;"",IFERROR(INDEX(PMtbl[[WKst]:[Unit of measure*]],MATCH($A$330&amp;$A375&amp;$E375&amp;$I375,INDEX(PMtbl[Sec]&amp;PMtbl[Category]&amp;PMtbl[Each]&amp;PMtbl[Packaging],0,),0),11),""),"")</f>
        <v/>
      </c>
      <c r="BI375" s="819"/>
      <c r="BJ375" s="502" t="str" cm="1">
        <f t="array" ref="BJ375">IFERROR(INDEX(SETUP!$C$19:$G$121,MATCH((INDEX(PMtbl[[WKst]:[Unit of measure*]],MATCH($A375&amp;$E375&amp;$I375,INDEX(PMtbl[Category]&amp;PMtbl[Each]&amp;PMtbl[Packaging],0,),0),3)),SETUP!$D$19:$D$121,0),5),"")</f>
        <v/>
      </c>
      <c r="BK375" s="570" t="str" cm="1">
        <f t="array" ref="BK375">IFERROR(IF((INDEX(SETUP!$C$19:$G$121,MATCH((INDEX(PMtbl[[WKst]:[Unit of measure*]],MATCH($A375&amp;$E375&amp;$I375,INDEX(PMtbl[Category]&amp;PMtbl[Each]&amp;PMtbl[Packaging],0,),0),3)),SETUP!$D$19:$D$121,0),4))="Upfront",0,INDEX(SETUP!$C$19:$G$121,MATCH((INDEX(PMtbl[[WKst]:[Unit of measure*]],MATCH($A375&amp;$E375&amp;$I375,INDEX(PMtbl[Category]&amp;PMtbl[Each]&amp;PMtbl[Packaging],0,),0),3)),SETUP!$D$19:$D$121,0),5)),"")</f>
        <v/>
      </c>
      <c r="BL375" s="563" t="str" cm="1">
        <f t="array" ref="BL375">IF(E375&lt;&gt;"",IFERROR(INDEX(PMtbl[[WKst]:[Unit of measure*]],MATCH($A$330&amp;$A375&amp;$E375&amp;$I375,INDEX(PMtbl[Sec]&amp;PMtbl[Category]&amp;PMtbl[Each]&amp;PMtbl[Packaging],0,),0),11),""),"")</f>
        <v/>
      </c>
      <c r="BO375" s="448">
        <f>IF(N375="",0,IF(SETUP!$E$7="USD",((IF(O375="USD",P375,(P375/'Master Data-C19RM'!$C$2)))),((IF(O375="EUR",P375,(P375*'Master Data-C19RM'!$C$2))))))</f>
        <v>0</v>
      </c>
      <c r="BP375" s="448">
        <f>IF(N375="",0,IF(SETUP!$E$7="USD",((IF(O375="USD",W375,(W375/'Master Data-C19RM'!$D$2)))),((IF(O375="EUR",W375,(W375*'Master Data-C19RM'!$D$2))))))</f>
        <v>0</v>
      </c>
      <c r="BQ375" s="470">
        <f>IF(N375="",0,IF(SETUP!$E$7="USD",((IF(O375="USD",AD375,(AD375/'Master Data-C19RM'!$E$2)))),((IF(O375="EUR",AD375,(AD375*'Master Data-C19RM'!$E$2))))))</f>
        <v>0</v>
      </c>
      <c r="BR375" s="470">
        <f>IF(N375="",0,IF(SETUP!$E$7="USD",((IF(O375="USD",AK375,(AK375/'Master Data-C19RM'!$F$2)))),((IF(O375="EUR",AK375,(AK375*'Master Data-C19RM'!$F$2))))))</f>
        <v>0</v>
      </c>
      <c r="BS375" s="470">
        <f>IF(N375="",0,IF(SETUP!$E$7="USD",((IF(O375="USD",AR375,(AR375/'Master Data-C19RM'!$G$2)))),((IF(O375="EUR",AR375,(AR375*'Master Data-C19RM'!$G$2))))))</f>
        <v>0</v>
      </c>
      <c r="BT375" s="470">
        <f>IF(N375="",0,IF(SETUP!$E$7="USD",((IF(O375="USD",AY375,(AY375/'Master Data-C19RM'!$H$2)))),((IF(O375="EUR",AY375,(AY375*'Master Data-C19RM'!$H$2))))))</f>
        <v>0</v>
      </c>
      <c r="BU375" s="448">
        <f t="shared" si="45"/>
        <v>0</v>
      </c>
      <c r="BV375" s="562">
        <f t="shared" si="46"/>
        <v>0</v>
      </c>
      <c r="BW375" s="470"/>
      <c r="BX375" s="470"/>
      <c r="BY375" s="470"/>
      <c r="BZ375" s="470"/>
      <c r="CA375" s="470"/>
      <c r="CB375" s="470"/>
      <c r="CC375" s="470"/>
      <c r="CD375" s="470"/>
      <c r="CE375" s="470"/>
      <c r="CF375" s="470"/>
      <c r="CG375" s="470"/>
      <c r="CH375" s="470"/>
      <c r="CI375" s="470"/>
      <c r="CJ375" s="470"/>
      <c r="CK375" s="470"/>
      <c r="CL375" s="470"/>
      <c r="CM375" s="470"/>
      <c r="CN375" s="470"/>
      <c r="CO375" s="470"/>
      <c r="CP375" s="470"/>
    </row>
    <row r="376" spans="1:94" s="448" customFormat="1" ht="14" x14ac:dyDescent="0.3">
      <c r="A376" s="1172"/>
      <c r="B376" s="1172"/>
      <c r="C376" s="1172"/>
      <c r="D376" s="1172"/>
      <c r="E376" s="1173"/>
      <c r="F376" s="1173"/>
      <c r="G376" s="1173"/>
      <c r="H376" s="1173"/>
      <c r="I376" s="1173"/>
      <c r="J376" s="1173"/>
      <c r="K376" s="1173"/>
      <c r="L376" s="493" t="str" cm="1">
        <f t="array" ref="L376">IF(A376&lt;&gt;"",IFERROR(INDEX(PMtbl[[WKst]:[Unit of measure*]],MATCH($A$330&amp;$A376&amp;$E376&amp;$I376,INDEX(PMtbl[Sec]&amp;PMtbl[Category]&amp;PMtbl[Each]&amp;PMtbl[Packaging],0,),0),14),""),"")</f>
        <v/>
      </c>
      <c r="M376" s="480" t="str">
        <f>IF(L376="","",INDEX(SETUP!$E$20:$E$122,(MATCH(INDEX(PMsheet!$D:$E,MATCH(A376,PMsheet!E:E,0),1),SETUP!$D$20:$D$122,0))))</f>
        <v/>
      </c>
      <c r="N376" s="494">
        <f>IF($O376="USD",_xlfn.IFNA(VLOOKUP(A376&amp;E376&amp;I376,PMsheet!J:K,2,0),0),(_xlfn.IFNA(VLOOKUP(A376&amp;E376&amp;I376,PMsheet!J:K,2,0),0)*'Master Data-C19RM'!$C$2))</f>
        <v>0</v>
      </c>
      <c r="O376" s="495" t="str">
        <f>IF(L376="", "",SETUP!$E$7)</f>
        <v/>
      </c>
      <c r="P376" s="445">
        <f>IF($O376="USD",_xlfn.IFNA(VLOOKUP($A376&amp;$E376&amp;$I376,PMsheet!$J:$K,2,0),0),(_xlfn.IFNA(VLOOKUP($A376&amp;$E376&amp;$I376,PMsheet!$J:$K,2,0),0)*'Master Data-C19RM'!$C$2))</f>
        <v>0</v>
      </c>
      <c r="Q376" s="440"/>
      <c r="R376" s="440"/>
      <c r="S376" s="440"/>
      <c r="T376" s="440"/>
      <c r="U376" s="482">
        <f t="shared" si="44"/>
        <v>0</v>
      </c>
      <c r="V376" s="484">
        <f>IF(SETUP!$E$7="USD",(U376*(IF(O376="USD",P376,(P376/'Master Data-C19RM'!$C$2)))),(U376*(IF(O376="EUR",P376,(P376*'Master Data-C19RM'!$C$2)))))</f>
        <v>0</v>
      </c>
      <c r="W376" s="445">
        <f>IF($O376="USD",_xlfn.IFNA(VLOOKUP($A376&amp;$E376&amp;$I376,PMsheet!$J:$K,2,0),0),(_xlfn.IFNA(VLOOKUP($A376&amp;$E376&amp;$I376,PMsheet!$J:$K,2,0),0)*'Master Data-C19RM'!$D$2))</f>
        <v>0</v>
      </c>
      <c r="X376" s="440"/>
      <c r="Y376" s="440"/>
      <c r="Z376" s="440"/>
      <c r="AA376" s="440"/>
      <c r="AB376" s="482">
        <f t="shared" si="47"/>
        <v>0</v>
      </c>
      <c r="AC376" s="484">
        <f>IF(SETUP!$E$7="USD",(AB376*(IF(O376="USD",W376,(W376/'Master Data-C19RM'!$D$2)))),(AB376*(IF(O376="EUR",W376,(W376*'Master Data-C19RM'!$D$2)))))</f>
        <v>0</v>
      </c>
      <c r="AD376" s="445">
        <f>IF($O376="USD",_xlfn.IFNA(VLOOKUP($A376&amp;$E376&amp;$I376,PMsheet!$J:$K,2,0),0),(_xlfn.IFNA(VLOOKUP($A376&amp;$E376&amp;$I376,PMsheet!$J:$K,2,0),0)*'Master Data-C19RM'!$E$2))</f>
        <v>0</v>
      </c>
      <c r="AE376" s="440"/>
      <c r="AF376" s="440"/>
      <c r="AG376" s="440"/>
      <c r="AH376" s="440"/>
      <c r="AI376" s="514">
        <f t="shared" si="48"/>
        <v>0</v>
      </c>
      <c r="AJ376" s="515">
        <f>IF(SETUP!$E$7="USD",(AI376*(IF(O376="USD",AD376,(AD376/'Master Data-C19RM'!$E$2)))),(AI376*(IF(O376="EUR",AD376,(AD376*'Master Data-C19RM'!$E$2)))))</f>
        <v>0</v>
      </c>
      <c r="AK376" s="445">
        <f>IF($O376="USD",_xlfn.IFNA(VLOOKUP($A376&amp;$E376&amp;$I376,PMsheet!$J:$K,2,0),0),(_xlfn.IFNA(VLOOKUP($A376&amp;$E376&amp;$I376,PMsheet!$J:$K,2,0),0)*'Master Data-C19RM'!$F$2))</f>
        <v>0</v>
      </c>
      <c r="AL376" s="440"/>
      <c r="AM376" s="440"/>
      <c r="AN376" s="440"/>
      <c r="AO376" s="440"/>
      <c r="AP376" s="514">
        <f t="shared" si="49"/>
        <v>0</v>
      </c>
      <c r="AQ376" s="515">
        <f>IF(SETUP!$E$7="USD",(AP376*(IF(O376="USD",AK376,(AK376/'Master Data-C19RM'!$F$2)))),(AP376*(IF(O376="EUR",AK376,(AK376*'Master Data-C19RM'!$F$2)))))</f>
        <v>0</v>
      </c>
      <c r="AR376" s="925">
        <f>IF($O376="USD",_xlfn.IFNA(VLOOKUP($A376&amp;$E376&amp;$I376,PMsheet!$J:$K,2,0),0),(_xlfn.IFNA(VLOOKUP($A376&amp;$E376&amp;$I376,PMsheet!$J:$K,2,0),0)*'Master Data-C19RM'!$G$2))</f>
        <v>0</v>
      </c>
      <c r="AS376" s="926"/>
      <c r="AT376" s="926"/>
      <c r="AU376" s="926"/>
      <c r="AV376" s="926"/>
      <c r="AW376" s="514">
        <f t="shared" si="50"/>
        <v>0</v>
      </c>
      <c r="AX376" s="514">
        <f>IF(SETUP!$E$7="USD",(AW376*(IF(O376="USD",AR376,(AR376/'Master Data-C19RM'!$G$2)))),(AW376*(IF(O376="EUR",AR376,(AR376*'Master Data-C19RM'!$G$2)))))</f>
        <v>0</v>
      </c>
      <c r="AY376" s="845"/>
      <c r="AZ376" s="846"/>
      <c r="BA376" s="846"/>
      <c r="BB376" s="846"/>
      <c r="BC376" s="846"/>
      <c r="BD376" s="846"/>
      <c r="BE376" s="847"/>
      <c r="BF376" s="521">
        <f>'C19RM 2021-Lab &amp; Other HPS'!$U376+'C19RM 2021-Lab &amp; Other HPS'!$AB376+'C19RM 2021-Lab &amp; Other HPS'!$AP376+'C19RM 2021-Lab &amp; Other HPS'!$AI376+AW376+BD376</f>
        <v>0</v>
      </c>
      <c r="BG376" s="515">
        <f>'C19RM 2021-Lab &amp; Other HPS'!$V376+'C19RM 2021-Lab &amp; Other HPS'!$AC376+'C19RM 2021-Lab &amp; Other HPS'!$AQ376+'C19RM 2021-Lab &amp; Other HPS'!$AJ376+AX376+BE376</f>
        <v>0</v>
      </c>
      <c r="BH376" s="522" t="str" cm="1">
        <f t="array" ref="BH376">IF(A376&lt;&gt;"",IFERROR(INDEX(PMtbl[[WKst]:[Unit of measure*]],MATCH($A$330&amp;$A376&amp;$E376&amp;$I376,INDEX(PMtbl[Sec]&amp;PMtbl[Category]&amp;PMtbl[Each]&amp;PMtbl[Packaging],0,),0),11),""),"")</f>
        <v/>
      </c>
      <c r="BI376" s="818"/>
      <c r="BJ376" s="503" t="str" cm="1">
        <f t="array" ref="BJ376">IFERROR(INDEX(SETUP!$C$19:$G$121,MATCH((INDEX(PMtbl[[WKst]:[Unit of measure*]],MATCH($A376&amp;$E376&amp;$I376,INDEX(PMtbl[Category]&amp;PMtbl[Each]&amp;PMtbl[Packaging],0,),0),3)),SETUP!$D$19:$D$121,0),5),"")</f>
        <v/>
      </c>
      <c r="BK376" s="569" t="str" cm="1">
        <f t="array" ref="BK376">IFERROR(IF((INDEX(SETUP!$C$19:$G$121,MATCH((INDEX(PMtbl[[WKst]:[Unit of measure*]],MATCH($A376&amp;$E376&amp;$I376,INDEX(PMtbl[Category]&amp;PMtbl[Each]&amp;PMtbl[Packaging],0,),0),3)),SETUP!$D$19:$D$121,0),4))="Upfront",0,INDEX(SETUP!$C$19:$G$121,MATCH((INDEX(PMtbl[[WKst]:[Unit of measure*]],MATCH($A376&amp;$E376&amp;$I376,INDEX(PMtbl[Category]&amp;PMtbl[Each]&amp;PMtbl[Packaging],0,),0),3)),SETUP!$D$19:$D$121,0),5)),"")</f>
        <v/>
      </c>
      <c r="BL376" s="564" t="str" cm="1">
        <f t="array" ref="BL376">IF(E376&lt;&gt;"",IFERROR(INDEX(PMtbl[[WKst]:[Unit of measure*]],MATCH($A$330&amp;$A376&amp;$E376&amp;$I376,INDEX(PMtbl[Sec]&amp;PMtbl[Category]&amp;PMtbl[Each]&amp;PMtbl[Packaging],0,),0),11),""),"")</f>
        <v/>
      </c>
      <c r="BO376" s="448">
        <f>IF(N376="",0,IF(SETUP!$E$7="USD",((IF(O376="USD",P376,(P376/'Master Data-C19RM'!$C$2)))),((IF(O376="EUR",P376,(P376*'Master Data-C19RM'!$C$2))))))</f>
        <v>0</v>
      </c>
      <c r="BP376" s="448">
        <f>IF(N376="",0,IF(SETUP!$E$7="USD",((IF(O376="USD",W376,(W376/'Master Data-C19RM'!$D$2)))),((IF(O376="EUR",W376,(W376*'Master Data-C19RM'!$D$2))))))</f>
        <v>0</v>
      </c>
      <c r="BQ376" s="470">
        <f>IF(N376="",0,IF(SETUP!$E$7="USD",((IF(O376="USD",AD376,(AD376/'Master Data-C19RM'!$E$2)))),((IF(O376="EUR",AD376,(AD376*'Master Data-C19RM'!$E$2))))))</f>
        <v>0</v>
      </c>
      <c r="BR376" s="470">
        <f>IF(N376="",0,IF(SETUP!$E$7="USD",((IF(O376="USD",AK376,(AK376/'Master Data-C19RM'!$F$2)))),((IF(O376="EUR",AK376,(AK376*'Master Data-C19RM'!$F$2))))))</f>
        <v>0</v>
      </c>
      <c r="BS376" s="470">
        <f>IF(N376="",0,IF(SETUP!$E$7="USD",((IF(O376="USD",AR376,(AR376/'Master Data-C19RM'!$G$2)))),((IF(O376="EUR",AR376,(AR376*'Master Data-C19RM'!$G$2))))))</f>
        <v>0</v>
      </c>
      <c r="BT376" s="470">
        <f>IF(N376="",0,IF(SETUP!$E$7="USD",((IF(O376="USD",AY376,(AY376/'Master Data-C19RM'!$H$2)))),((IF(O376="EUR",AY376,(AY376*'Master Data-C19RM'!$H$2))))))</f>
        <v>0</v>
      </c>
      <c r="BU376" s="448">
        <f t="shared" si="45"/>
        <v>0</v>
      </c>
      <c r="BV376" s="562">
        <f t="shared" si="46"/>
        <v>0</v>
      </c>
      <c r="BW376" s="470"/>
      <c r="BX376" s="470"/>
      <c r="BY376" s="470"/>
      <c r="BZ376" s="470"/>
      <c r="CA376" s="470"/>
      <c r="CB376" s="470"/>
      <c r="CC376" s="470"/>
      <c r="CD376" s="470"/>
      <c r="CE376" s="470"/>
      <c r="CF376" s="470"/>
      <c r="CG376" s="470"/>
      <c r="CH376" s="470"/>
      <c r="CI376" s="470"/>
      <c r="CJ376" s="470"/>
      <c r="CK376" s="470"/>
      <c r="CL376" s="470"/>
      <c r="CM376" s="470"/>
      <c r="CN376" s="470"/>
      <c r="CO376" s="470"/>
      <c r="CP376" s="470"/>
    </row>
    <row r="377" spans="1:94" s="448" customFormat="1" ht="14" x14ac:dyDescent="0.3">
      <c r="A377" s="1165"/>
      <c r="B377" s="1165"/>
      <c r="C377" s="1165"/>
      <c r="D377" s="1165"/>
      <c r="E377" s="1166"/>
      <c r="F377" s="1166"/>
      <c r="G377" s="1166"/>
      <c r="H377" s="1166"/>
      <c r="I377" s="1166"/>
      <c r="J377" s="1166"/>
      <c r="K377" s="1166"/>
      <c r="L377" s="490" t="str" cm="1">
        <f t="array" ref="L377">IF(A377&lt;&gt;"",IFERROR(INDEX(PMtbl[[WKst]:[Unit of measure*]],MATCH($A$330&amp;$A377&amp;$E377&amp;$I377,INDEX(PMtbl[Sec]&amp;PMtbl[Category]&amp;PMtbl[Each]&amp;PMtbl[Packaging],0,),0),14),""),"")</f>
        <v/>
      </c>
      <c r="M377" s="479" t="str">
        <f>IF(L377="","",INDEX(SETUP!$E$20:$E$122,(MATCH(INDEX(PMsheet!$D:$E,MATCH(A377,PMsheet!E:E,0),1),SETUP!$D$20:$D$122,0))))</f>
        <v/>
      </c>
      <c r="N377" s="491">
        <f>IF($O377="USD",_xlfn.IFNA(VLOOKUP(A377&amp;E377&amp;I377,PMsheet!J:K,2,0),0),(_xlfn.IFNA(VLOOKUP(A377&amp;E377&amp;I377,PMsheet!J:K,2,0),0)*'Master Data-C19RM'!$C$2))</f>
        <v>0</v>
      </c>
      <c r="O377" s="492" t="str">
        <f>IF(L377="", "",SETUP!$E$7)</f>
        <v/>
      </c>
      <c r="P377" s="444">
        <f>IF($O377="USD",_xlfn.IFNA(VLOOKUP($A377&amp;$E377&amp;$I377,PMsheet!$J:$K,2,0),0),(_xlfn.IFNA(VLOOKUP($A377&amp;$E377&amp;$I377,PMsheet!$J:$K,2,0),0)*'Master Data-C19RM'!$C$2))</f>
        <v>0</v>
      </c>
      <c r="Q377" s="441"/>
      <c r="R377" s="441"/>
      <c r="S377" s="441"/>
      <c r="T377" s="441"/>
      <c r="U377" s="481">
        <f t="shared" si="44"/>
        <v>0</v>
      </c>
      <c r="V377" s="483">
        <f>IF(SETUP!$E$7="USD",(U377*(IF(O377="USD",P377,(P377/'Master Data-C19RM'!$C$2)))),(U377*(IF(O377="EUR",P377,(P377*'Master Data-C19RM'!$C$2)))))</f>
        <v>0</v>
      </c>
      <c r="W377" s="444">
        <f>IF($O377="USD",_xlfn.IFNA(VLOOKUP($A377&amp;$E377&amp;$I377,PMsheet!$J:$K,2,0),0),(_xlfn.IFNA(VLOOKUP($A377&amp;$E377&amp;$I377,PMsheet!$J:$K,2,0),0)*'Master Data-C19RM'!$D$2))</f>
        <v>0</v>
      </c>
      <c r="X377" s="441"/>
      <c r="Y377" s="441"/>
      <c r="Z377" s="441"/>
      <c r="AA377" s="441"/>
      <c r="AB377" s="481">
        <f t="shared" si="47"/>
        <v>0</v>
      </c>
      <c r="AC377" s="483">
        <f>IF(SETUP!$E$7="USD",(AB377*(IF(O377="USD",W377,(W377/'Master Data-C19RM'!$D$2)))),(AB377*(IF(O377="EUR",W377,(W377*'Master Data-C19RM'!$D$2)))))</f>
        <v>0</v>
      </c>
      <c r="AD377" s="444">
        <f>IF($O377="USD",_xlfn.IFNA(VLOOKUP($A377&amp;$E377&amp;$I377,PMsheet!$J:$K,2,0),0),(_xlfn.IFNA(VLOOKUP($A377&amp;$E377&amp;$I377,PMsheet!$J:$K,2,0),0)*'Master Data-C19RM'!$E$2))</f>
        <v>0</v>
      </c>
      <c r="AE377" s="441"/>
      <c r="AF377" s="441"/>
      <c r="AG377" s="441"/>
      <c r="AH377" s="441"/>
      <c r="AI377" s="512">
        <f t="shared" si="48"/>
        <v>0</v>
      </c>
      <c r="AJ377" s="513">
        <f>IF(SETUP!$E$7="USD",(AI377*(IF(O377="USD",AD377,(AD377/'Master Data-C19RM'!$E$2)))),(AI377*(IF(O377="EUR",AD377,(AD377*'Master Data-C19RM'!$E$2)))))</f>
        <v>0</v>
      </c>
      <c r="AK377" s="444">
        <f>IF($O377="USD",_xlfn.IFNA(VLOOKUP($A377&amp;$E377&amp;$I377,PMsheet!$J:$K,2,0),0),(_xlfn.IFNA(VLOOKUP($A377&amp;$E377&amp;$I377,PMsheet!$J:$K,2,0),0)*'Master Data-C19RM'!$F$2))</f>
        <v>0</v>
      </c>
      <c r="AL377" s="441"/>
      <c r="AM377" s="441"/>
      <c r="AN377" s="441"/>
      <c r="AO377" s="441"/>
      <c r="AP377" s="512">
        <f t="shared" si="49"/>
        <v>0</v>
      </c>
      <c r="AQ377" s="513">
        <f>IF(SETUP!$E$7="USD",(AP377*(IF(O377="USD",AK377,(AK377/'Master Data-C19RM'!$F$2)))),(AP377*(IF(O377="EUR",AK377,(AK377*'Master Data-C19RM'!$F$2)))))</f>
        <v>0</v>
      </c>
      <c r="AR377" s="924">
        <f>IF($O377="USD",_xlfn.IFNA(VLOOKUP($A377&amp;$E377&amp;$I377,PMsheet!$J:$K,2,0),0),(_xlfn.IFNA(VLOOKUP($A377&amp;$E377&amp;$I377,PMsheet!$J:$K,2,0),0)*'Master Data-C19RM'!$G$2))</f>
        <v>0</v>
      </c>
      <c r="AS377" s="572"/>
      <c r="AT377" s="572"/>
      <c r="AU377" s="572"/>
      <c r="AV377" s="572"/>
      <c r="AW377" s="512">
        <f t="shared" si="50"/>
        <v>0</v>
      </c>
      <c r="AX377" s="512">
        <f>IF(SETUP!$E$7="USD",(AW377*(IF(O377="USD",AR377,(AR377/'Master Data-C19RM'!$G$2)))),(AW377*(IF(O377="EUR",AR377,(AR377*'Master Data-C19RM'!$G$2)))))</f>
        <v>0</v>
      </c>
      <c r="AY377" s="845"/>
      <c r="AZ377" s="846"/>
      <c r="BA377" s="846"/>
      <c r="BB377" s="846"/>
      <c r="BC377" s="846"/>
      <c r="BD377" s="846"/>
      <c r="BE377" s="847"/>
      <c r="BF377" s="520">
        <f>'C19RM 2021-Lab &amp; Other HPS'!$U377+'C19RM 2021-Lab &amp; Other HPS'!$AB377+'C19RM 2021-Lab &amp; Other HPS'!$AP377+'C19RM 2021-Lab &amp; Other HPS'!$AI377+AW377+BD377</f>
        <v>0</v>
      </c>
      <c r="BG377" s="513">
        <f>'C19RM 2021-Lab &amp; Other HPS'!$V377+'C19RM 2021-Lab &amp; Other HPS'!$AC377+'C19RM 2021-Lab &amp; Other HPS'!$AQ377+'C19RM 2021-Lab &amp; Other HPS'!$AJ377+AX377+BE377</f>
        <v>0</v>
      </c>
      <c r="BH377" s="500" t="str" cm="1">
        <f t="array" ref="BH377">IF(A377&lt;&gt;"",IFERROR(INDEX(PMtbl[[WKst]:[Unit of measure*]],MATCH($A$330&amp;$A377&amp;$E377&amp;$I377,INDEX(PMtbl[Sec]&amp;PMtbl[Category]&amp;PMtbl[Each]&amp;PMtbl[Packaging],0,),0),11),""),"")</f>
        <v/>
      </c>
      <c r="BI377" s="819"/>
      <c r="BJ377" s="502" t="str" cm="1">
        <f t="array" ref="BJ377">IFERROR(INDEX(SETUP!$C$19:$G$121,MATCH((INDEX(PMtbl[[WKst]:[Unit of measure*]],MATCH($A377&amp;$E377&amp;$I377,INDEX(PMtbl[Category]&amp;PMtbl[Each]&amp;PMtbl[Packaging],0,),0),3)),SETUP!$D$19:$D$121,0),5),"")</f>
        <v/>
      </c>
      <c r="BK377" s="570" t="str" cm="1">
        <f t="array" ref="BK377">IFERROR(IF((INDEX(SETUP!$C$19:$G$121,MATCH((INDEX(PMtbl[[WKst]:[Unit of measure*]],MATCH($A377&amp;$E377&amp;$I377,INDEX(PMtbl[Category]&amp;PMtbl[Each]&amp;PMtbl[Packaging],0,),0),3)),SETUP!$D$19:$D$121,0),4))="Upfront",0,INDEX(SETUP!$C$19:$G$121,MATCH((INDEX(PMtbl[[WKst]:[Unit of measure*]],MATCH($A377&amp;$E377&amp;$I377,INDEX(PMtbl[Category]&amp;PMtbl[Each]&amp;PMtbl[Packaging],0,),0),3)),SETUP!$D$19:$D$121,0),5)),"")</f>
        <v/>
      </c>
      <c r="BL377" s="563" t="str" cm="1">
        <f t="array" ref="BL377">IF(E377&lt;&gt;"",IFERROR(INDEX(PMtbl[[WKst]:[Unit of measure*]],MATCH($A$330&amp;$A377&amp;$E377&amp;$I377,INDEX(PMtbl[Sec]&amp;PMtbl[Category]&amp;PMtbl[Each]&amp;PMtbl[Packaging],0,),0),11),""),"")</f>
        <v/>
      </c>
      <c r="BO377" s="448">
        <f>IF(N377="",0,IF(SETUP!$E$7="USD",((IF(O377="USD",P377,(P377/'Master Data-C19RM'!$C$2)))),((IF(O377="EUR",P377,(P377*'Master Data-C19RM'!$C$2))))))</f>
        <v>0</v>
      </c>
      <c r="BP377" s="448">
        <f>IF(N377="",0,IF(SETUP!$E$7="USD",((IF(O377="USD",W377,(W377/'Master Data-C19RM'!$D$2)))),((IF(O377="EUR",W377,(W377*'Master Data-C19RM'!$D$2))))))</f>
        <v>0</v>
      </c>
      <c r="BQ377" s="470">
        <f>IF(N377="",0,IF(SETUP!$E$7="USD",((IF(O377="USD",AD377,(AD377/'Master Data-C19RM'!$E$2)))),((IF(O377="EUR",AD377,(AD377*'Master Data-C19RM'!$E$2))))))</f>
        <v>0</v>
      </c>
      <c r="BR377" s="470">
        <f>IF(N377="",0,IF(SETUP!$E$7="USD",((IF(O377="USD",AK377,(AK377/'Master Data-C19RM'!$F$2)))),((IF(O377="EUR",AK377,(AK377*'Master Data-C19RM'!$F$2))))))</f>
        <v>0</v>
      </c>
      <c r="BS377" s="470">
        <f>IF(N377="",0,IF(SETUP!$E$7="USD",((IF(O377="USD",AR377,(AR377/'Master Data-C19RM'!$G$2)))),((IF(O377="EUR",AR377,(AR377*'Master Data-C19RM'!$G$2))))))</f>
        <v>0</v>
      </c>
      <c r="BT377" s="470">
        <f>IF(N377="",0,IF(SETUP!$E$7="USD",((IF(O377="USD",AY377,(AY377/'Master Data-C19RM'!$H$2)))),((IF(O377="EUR",AY377,(AY377*'Master Data-C19RM'!$H$2))))))</f>
        <v>0</v>
      </c>
      <c r="BU377" s="448">
        <f t="shared" si="45"/>
        <v>0</v>
      </c>
      <c r="BV377" s="562">
        <f t="shared" si="46"/>
        <v>0</v>
      </c>
      <c r="BW377" s="470"/>
      <c r="BX377" s="470"/>
      <c r="BY377" s="470"/>
      <c r="BZ377" s="470"/>
      <c r="CA377" s="470"/>
      <c r="CB377" s="470"/>
      <c r="CC377" s="470"/>
      <c r="CD377" s="470"/>
      <c r="CE377" s="470"/>
      <c r="CF377" s="470"/>
      <c r="CG377" s="470"/>
      <c r="CH377" s="470"/>
      <c r="CI377" s="470"/>
      <c r="CJ377" s="470"/>
      <c r="CK377" s="470"/>
      <c r="CL377" s="470"/>
      <c r="CM377" s="470"/>
      <c r="CN377" s="470"/>
      <c r="CO377" s="470"/>
      <c r="CP377" s="470"/>
    </row>
    <row r="378" spans="1:94" s="448" customFormat="1" ht="14" x14ac:dyDescent="0.3">
      <c r="A378" s="1172"/>
      <c r="B378" s="1172"/>
      <c r="C378" s="1172"/>
      <c r="D378" s="1172"/>
      <c r="E378" s="1173"/>
      <c r="F378" s="1173"/>
      <c r="G378" s="1173"/>
      <c r="H378" s="1173"/>
      <c r="I378" s="1173"/>
      <c r="J378" s="1173"/>
      <c r="K378" s="1173"/>
      <c r="L378" s="493" t="str" cm="1">
        <f t="array" ref="L378">IF(A378&lt;&gt;"",IFERROR(INDEX(PMtbl[[WKst]:[Unit of measure*]],MATCH($A$330&amp;$A378&amp;$E378&amp;$I378,INDEX(PMtbl[Sec]&amp;PMtbl[Category]&amp;PMtbl[Each]&amp;PMtbl[Packaging],0,),0),14),""),"")</f>
        <v/>
      </c>
      <c r="M378" s="480" t="str">
        <f>IF(L378="","",INDEX(SETUP!$E$20:$E$122,(MATCH(INDEX(PMsheet!$D:$E,MATCH(A378,PMsheet!E:E,0),1),SETUP!$D$20:$D$122,0))))</f>
        <v/>
      </c>
      <c r="N378" s="494">
        <f>IF($O378="USD",_xlfn.IFNA(VLOOKUP(A378&amp;E378&amp;I378,PMsheet!J:K,2,0),0),(_xlfn.IFNA(VLOOKUP(A378&amp;E378&amp;I378,PMsheet!J:K,2,0),0)*'Master Data-C19RM'!$C$2))</f>
        <v>0</v>
      </c>
      <c r="O378" s="495" t="str">
        <f>IF(L378="", "",SETUP!$E$7)</f>
        <v/>
      </c>
      <c r="P378" s="445">
        <f>IF($O378="USD",_xlfn.IFNA(VLOOKUP($A378&amp;$E378&amp;$I378,PMsheet!$J:$K,2,0),0),(_xlfn.IFNA(VLOOKUP($A378&amp;$E378&amp;$I378,PMsheet!$J:$K,2,0),0)*'Master Data-C19RM'!$C$2))</f>
        <v>0</v>
      </c>
      <c r="Q378" s="440"/>
      <c r="R378" s="440"/>
      <c r="S378" s="440"/>
      <c r="T378" s="440"/>
      <c r="U378" s="482">
        <f t="shared" si="44"/>
        <v>0</v>
      </c>
      <c r="V378" s="484">
        <f>IF(SETUP!$E$7="USD",(U378*(IF(O378="USD",P378,(P378/'Master Data-C19RM'!$C$2)))),(U378*(IF(O378="EUR",P378,(P378*'Master Data-C19RM'!$C$2)))))</f>
        <v>0</v>
      </c>
      <c r="W378" s="445">
        <f>IF($O378="USD",_xlfn.IFNA(VLOOKUP($A378&amp;$E378&amp;$I378,PMsheet!$J:$K,2,0),0),(_xlfn.IFNA(VLOOKUP($A378&amp;$E378&amp;$I378,PMsheet!$J:$K,2,0),0)*'Master Data-C19RM'!$D$2))</f>
        <v>0</v>
      </c>
      <c r="X378" s="440"/>
      <c r="Y378" s="440"/>
      <c r="Z378" s="440"/>
      <c r="AA378" s="440"/>
      <c r="AB378" s="482">
        <f t="shared" si="47"/>
        <v>0</v>
      </c>
      <c r="AC378" s="484">
        <f>IF(SETUP!$E$7="USD",(AB378*(IF(O378="USD",W378,(W378/'Master Data-C19RM'!$D$2)))),(AB378*(IF(O378="EUR",W378,(W378*'Master Data-C19RM'!$D$2)))))</f>
        <v>0</v>
      </c>
      <c r="AD378" s="445">
        <f>IF($O378="USD",_xlfn.IFNA(VLOOKUP($A378&amp;$E378&amp;$I378,PMsheet!$J:$K,2,0),0),(_xlfn.IFNA(VLOOKUP($A378&amp;$E378&amp;$I378,PMsheet!$J:$K,2,0),0)*'Master Data-C19RM'!$E$2))</f>
        <v>0</v>
      </c>
      <c r="AE378" s="440"/>
      <c r="AF378" s="440"/>
      <c r="AG378" s="440"/>
      <c r="AH378" s="440"/>
      <c r="AI378" s="514">
        <f t="shared" si="48"/>
        <v>0</v>
      </c>
      <c r="AJ378" s="515">
        <f>IF(SETUP!$E$7="USD",(AI378*(IF(O378="USD",AD378,(AD378/'Master Data-C19RM'!$E$2)))),(AI378*(IF(O378="EUR",AD378,(AD378*'Master Data-C19RM'!$E$2)))))</f>
        <v>0</v>
      </c>
      <c r="AK378" s="445">
        <f>IF($O378="USD",_xlfn.IFNA(VLOOKUP($A378&amp;$E378&amp;$I378,PMsheet!$J:$K,2,0),0),(_xlfn.IFNA(VLOOKUP($A378&amp;$E378&amp;$I378,PMsheet!$J:$K,2,0),0)*'Master Data-C19RM'!$F$2))</f>
        <v>0</v>
      </c>
      <c r="AL378" s="440"/>
      <c r="AM378" s="440"/>
      <c r="AN378" s="440"/>
      <c r="AO378" s="440"/>
      <c r="AP378" s="514">
        <f t="shared" si="49"/>
        <v>0</v>
      </c>
      <c r="AQ378" s="515">
        <f>IF(SETUP!$E$7="USD",(AP378*(IF(O378="USD",AK378,(AK378/'Master Data-C19RM'!$F$2)))),(AP378*(IF(O378="EUR",AK378,(AK378*'Master Data-C19RM'!$F$2)))))</f>
        <v>0</v>
      </c>
      <c r="AR378" s="925">
        <f>IF($O378="USD",_xlfn.IFNA(VLOOKUP($A378&amp;$E378&amp;$I378,PMsheet!$J:$K,2,0),0),(_xlfn.IFNA(VLOOKUP($A378&amp;$E378&amp;$I378,PMsheet!$J:$K,2,0),0)*'Master Data-C19RM'!$G$2))</f>
        <v>0</v>
      </c>
      <c r="AS378" s="926"/>
      <c r="AT378" s="926"/>
      <c r="AU378" s="926"/>
      <c r="AV378" s="926"/>
      <c r="AW378" s="514">
        <f t="shared" si="50"/>
        <v>0</v>
      </c>
      <c r="AX378" s="514">
        <f>IF(SETUP!$E$7="USD",(AW378*(IF(O378="USD",AR378,(AR378/'Master Data-C19RM'!$G$2)))),(AW378*(IF(O378="EUR",AR378,(AR378*'Master Data-C19RM'!$G$2)))))</f>
        <v>0</v>
      </c>
      <c r="AY378" s="845"/>
      <c r="AZ378" s="846"/>
      <c r="BA378" s="846"/>
      <c r="BB378" s="846"/>
      <c r="BC378" s="846"/>
      <c r="BD378" s="846"/>
      <c r="BE378" s="847"/>
      <c r="BF378" s="521">
        <f>'C19RM 2021-Lab &amp; Other HPS'!$U378+'C19RM 2021-Lab &amp; Other HPS'!$AB378+'C19RM 2021-Lab &amp; Other HPS'!$AP378+'C19RM 2021-Lab &amp; Other HPS'!$AI378+AW378+BD378</f>
        <v>0</v>
      </c>
      <c r="BG378" s="515">
        <f>'C19RM 2021-Lab &amp; Other HPS'!$V378+'C19RM 2021-Lab &amp; Other HPS'!$AC378+'C19RM 2021-Lab &amp; Other HPS'!$AQ378+'C19RM 2021-Lab &amp; Other HPS'!$AJ378+AX378+BE378</f>
        <v>0</v>
      </c>
      <c r="BH378" s="522" t="str" cm="1">
        <f t="array" ref="BH378">IF(A378&lt;&gt;"",IFERROR(INDEX(PMtbl[[WKst]:[Unit of measure*]],MATCH($A$330&amp;$A378&amp;$E378&amp;$I378,INDEX(PMtbl[Sec]&amp;PMtbl[Category]&amp;PMtbl[Each]&amp;PMtbl[Packaging],0,),0),11),""),"")</f>
        <v/>
      </c>
      <c r="BI378" s="818"/>
      <c r="BJ378" s="503" t="str" cm="1">
        <f t="array" ref="BJ378">IFERROR(INDEX(SETUP!$C$19:$G$121,MATCH((INDEX(PMtbl[[WKst]:[Unit of measure*]],MATCH($A378&amp;$E378&amp;$I378,INDEX(PMtbl[Category]&amp;PMtbl[Each]&amp;PMtbl[Packaging],0,),0),3)),SETUP!$D$19:$D$121,0),5),"")</f>
        <v/>
      </c>
      <c r="BK378" s="569" t="str" cm="1">
        <f t="array" ref="BK378">IFERROR(IF((INDEX(SETUP!$C$19:$G$121,MATCH((INDEX(PMtbl[[WKst]:[Unit of measure*]],MATCH($A378&amp;$E378&amp;$I378,INDEX(PMtbl[Category]&amp;PMtbl[Each]&amp;PMtbl[Packaging],0,),0),3)),SETUP!$D$19:$D$121,0),4))="Upfront",0,INDEX(SETUP!$C$19:$G$121,MATCH((INDEX(PMtbl[[WKst]:[Unit of measure*]],MATCH($A378&amp;$E378&amp;$I378,INDEX(PMtbl[Category]&amp;PMtbl[Each]&amp;PMtbl[Packaging],0,),0),3)),SETUP!$D$19:$D$121,0),5)),"")</f>
        <v/>
      </c>
      <c r="BL378" s="564" t="str" cm="1">
        <f t="array" ref="BL378">IF(E378&lt;&gt;"",IFERROR(INDEX(PMtbl[[WKst]:[Unit of measure*]],MATCH($A$330&amp;$A378&amp;$E378&amp;$I378,INDEX(PMtbl[Sec]&amp;PMtbl[Category]&amp;PMtbl[Each]&amp;PMtbl[Packaging],0,),0),11),""),"")</f>
        <v/>
      </c>
      <c r="BO378" s="448">
        <f>IF(N378="",0,IF(SETUP!$E$7="USD",((IF(O378="USD",P378,(P378/'Master Data-C19RM'!$C$2)))),((IF(O378="EUR",P378,(P378*'Master Data-C19RM'!$C$2))))))</f>
        <v>0</v>
      </c>
      <c r="BP378" s="448">
        <f>IF(N378="",0,IF(SETUP!$E$7="USD",((IF(O378="USD",W378,(W378/'Master Data-C19RM'!$D$2)))),((IF(O378="EUR",W378,(W378*'Master Data-C19RM'!$D$2))))))</f>
        <v>0</v>
      </c>
      <c r="BQ378" s="470">
        <f>IF(N378="",0,IF(SETUP!$E$7="USD",((IF(O378="USD",AD378,(AD378/'Master Data-C19RM'!$E$2)))),((IF(O378="EUR",AD378,(AD378*'Master Data-C19RM'!$E$2))))))</f>
        <v>0</v>
      </c>
      <c r="BR378" s="470">
        <f>IF(N378="",0,IF(SETUP!$E$7="USD",((IF(O378="USD",AK378,(AK378/'Master Data-C19RM'!$F$2)))),((IF(O378="EUR",AK378,(AK378*'Master Data-C19RM'!$F$2))))))</f>
        <v>0</v>
      </c>
      <c r="BS378" s="470">
        <f>IF(N378="",0,IF(SETUP!$E$7="USD",((IF(O378="USD",AR378,(AR378/'Master Data-C19RM'!$G$2)))),((IF(O378="EUR",AR378,(AR378*'Master Data-C19RM'!$G$2))))))</f>
        <v>0</v>
      </c>
      <c r="BT378" s="470">
        <f>IF(N378="",0,IF(SETUP!$E$7="USD",((IF(O378="USD",AY378,(AY378/'Master Data-C19RM'!$H$2)))),((IF(O378="EUR",AY378,(AY378*'Master Data-C19RM'!$H$2))))))</f>
        <v>0</v>
      </c>
      <c r="BU378" s="448">
        <f t="shared" si="45"/>
        <v>0</v>
      </c>
      <c r="BV378" s="562">
        <f t="shared" si="46"/>
        <v>0</v>
      </c>
      <c r="BW378" s="470"/>
      <c r="BX378" s="470"/>
      <c r="BY378" s="470"/>
      <c r="BZ378" s="470"/>
      <c r="CA378" s="470"/>
      <c r="CB378" s="470"/>
      <c r="CC378" s="470"/>
      <c r="CD378" s="470"/>
      <c r="CE378" s="470"/>
      <c r="CF378" s="470"/>
      <c r="CG378" s="470"/>
      <c r="CH378" s="470"/>
      <c r="CI378" s="470"/>
      <c r="CJ378" s="470"/>
      <c r="CK378" s="470"/>
      <c r="CL378" s="470"/>
      <c r="CM378" s="470"/>
      <c r="CN378" s="470"/>
      <c r="CO378" s="470"/>
      <c r="CP378" s="470"/>
    </row>
    <row r="379" spans="1:94" s="448" customFormat="1" ht="14" x14ac:dyDescent="0.3">
      <c r="A379" s="1165"/>
      <c r="B379" s="1165"/>
      <c r="C379" s="1165"/>
      <c r="D379" s="1165"/>
      <c r="E379" s="1166"/>
      <c r="F379" s="1166"/>
      <c r="G379" s="1166"/>
      <c r="H379" s="1166"/>
      <c r="I379" s="1166"/>
      <c r="J379" s="1166"/>
      <c r="K379" s="1166"/>
      <c r="L379" s="490" t="str" cm="1">
        <f t="array" ref="L379">IF(A379&lt;&gt;"",IFERROR(INDEX(PMtbl[[WKst]:[Unit of measure*]],MATCH($A$330&amp;$A379&amp;$E379&amp;$I379,INDEX(PMtbl[Sec]&amp;PMtbl[Category]&amp;PMtbl[Each]&amp;PMtbl[Packaging],0,),0),14),""),"")</f>
        <v/>
      </c>
      <c r="M379" s="479" t="str">
        <f>IF(L379="","",INDEX(SETUP!$E$20:$E$122,(MATCH(INDEX(PMsheet!$D:$E,MATCH(A379,PMsheet!E:E,0),1),SETUP!$D$20:$D$122,0))))</f>
        <v/>
      </c>
      <c r="N379" s="491">
        <f>IF($O379="USD",_xlfn.IFNA(VLOOKUP(A379&amp;E379&amp;I379,PMsheet!J:K,2,0),0),(_xlfn.IFNA(VLOOKUP(A379&amp;E379&amp;I379,PMsheet!J:K,2,0),0)*'Master Data-C19RM'!$C$2))</f>
        <v>0</v>
      </c>
      <c r="O379" s="492" t="str">
        <f>IF(L379="", "",SETUP!$E$7)</f>
        <v/>
      </c>
      <c r="P379" s="444">
        <f>IF($O379="USD",_xlfn.IFNA(VLOOKUP($A379&amp;$E379&amp;$I379,PMsheet!$J:$K,2,0),0),(_xlfn.IFNA(VLOOKUP($A379&amp;$E379&amp;$I379,PMsheet!$J:$K,2,0),0)*'Master Data-C19RM'!$C$2))</f>
        <v>0</v>
      </c>
      <c r="Q379" s="441"/>
      <c r="R379" s="441"/>
      <c r="S379" s="441"/>
      <c r="T379" s="441"/>
      <c r="U379" s="481">
        <f t="shared" si="44"/>
        <v>0</v>
      </c>
      <c r="V379" s="483">
        <f>IF(SETUP!$E$7="USD",(U379*(IF(O379="USD",P379,(P379/'Master Data-C19RM'!$C$2)))),(U379*(IF(O379="EUR",P379,(P379*'Master Data-C19RM'!$C$2)))))</f>
        <v>0</v>
      </c>
      <c r="W379" s="444">
        <f>IF($O379="USD",_xlfn.IFNA(VLOOKUP($A379&amp;$E379&amp;$I379,PMsheet!$J:$K,2,0),0),(_xlfn.IFNA(VLOOKUP($A379&amp;$E379&amp;$I379,PMsheet!$J:$K,2,0),0)*'Master Data-C19RM'!$D$2))</f>
        <v>0</v>
      </c>
      <c r="X379" s="441"/>
      <c r="Y379" s="441"/>
      <c r="Z379" s="441"/>
      <c r="AA379" s="441"/>
      <c r="AB379" s="481">
        <f t="shared" si="47"/>
        <v>0</v>
      </c>
      <c r="AC379" s="483">
        <f>IF(SETUP!$E$7="USD",(AB379*(IF(O379="USD",W379,(W379/'Master Data-C19RM'!$D$2)))),(AB379*(IF(O379="EUR",W379,(W379*'Master Data-C19RM'!$D$2)))))</f>
        <v>0</v>
      </c>
      <c r="AD379" s="444">
        <f>IF($O379="USD",_xlfn.IFNA(VLOOKUP($A379&amp;$E379&amp;$I379,PMsheet!$J:$K,2,0),0),(_xlfn.IFNA(VLOOKUP($A379&amp;$E379&amp;$I379,PMsheet!$J:$K,2,0),0)*'Master Data-C19RM'!$E$2))</f>
        <v>0</v>
      </c>
      <c r="AE379" s="441"/>
      <c r="AF379" s="441"/>
      <c r="AG379" s="441"/>
      <c r="AH379" s="441"/>
      <c r="AI379" s="512">
        <f t="shared" si="48"/>
        <v>0</v>
      </c>
      <c r="AJ379" s="513">
        <f>IF(SETUP!$E$7="USD",(AI379*(IF(O379="USD",AD379,(AD379/'Master Data-C19RM'!$E$2)))),(AI379*(IF(O379="EUR",AD379,(AD379*'Master Data-C19RM'!$E$2)))))</f>
        <v>0</v>
      </c>
      <c r="AK379" s="444">
        <f>IF($O379="USD",_xlfn.IFNA(VLOOKUP($A379&amp;$E379&amp;$I379,PMsheet!$J:$K,2,0),0),(_xlfn.IFNA(VLOOKUP($A379&amp;$E379&amp;$I379,PMsheet!$J:$K,2,0),0)*'Master Data-C19RM'!$F$2))</f>
        <v>0</v>
      </c>
      <c r="AL379" s="441"/>
      <c r="AM379" s="441"/>
      <c r="AN379" s="441"/>
      <c r="AO379" s="441"/>
      <c r="AP379" s="512">
        <f t="shared" si="49"/>
        <v>0</v>
      </c>
      <c r="AQ379" s="513">
        <f>IF(SETUP!$E$7="USD",(AP379*(IF(O379="USD",AK379,(AK379/'Master Data-C19RM'!$F$2)))),(AP379*(IF(O379="EUR",AK379,(AK379*'Master Data-C19RM'!$F$2)))))</f>
        <v>0</v>
      </c>
      <c r="AR379" s="924">
        <f>IF($O379="USD",_xlfn.IFNA(VLOOKUP($A379&amp;$E379&amp;$I379,PMsheet!$J:$K,2,0),0),(_xlfn.IFNA(VLOOKUP($A379&amp;$E379&amp;$I379,PMsheet!$J:$K,2,0),0)*'Master Data-C19RM'!$G$2))</f>
        <v>0</v>
      </c>
      <c r="AS379" s="572"/>
      <c r="AT379" s="572"/>
      <c r="AU379" s="572"/>
      <c r="AV379" s="572"/>
      <c r="AW379" s="512">
        <f t="shared" si="50"/>
        <v>0</v>
      </c>
      <c r="AX379" s="512">
        <f>IF(SETUP!$E$7="USD",(AW379*(IF(O379="USD",AR379,(AR379/'Master Data-C19RM'!$G$2)))),(AW379*(IF(O379="EUR",AR379,(AR379*'Master Data-C19RM'!$G$2)))))</f>
        <v>0</v>
      </c>
      <c r="AY379" s="845"/>
      <c r="AZ379" s="846"/>
      <c r="BA379" s="846"/>
      <c r="BB379" s="846"/>
      <c r="BC379" s="846"/>
      <c r="BD379" s="846"/>
      <c r="BE379" s="847"/>
      <c r="BF379" s="520">
        <f>'C19RM 2021-Lab &amp; Other HPS'!$U379+'C19RM 2021-Lab &amp; Other HPS'!$AB379+'C19RM 2021-Lab &amp; Other HPS'!$AP379+'C19RM 2021-Lab &amp; Other HPS'!$AI379+AW379+BD379</f>
        <v>0</v>
      </c>
      <c r="BG379" s="513">
        <f>'C19RM 2021-Lab &amp; Other HPS'!$V379+'C19RM 2021-Lab &amp; Other HPS'!$AC379+'C19RM 2021-Lab &amp; Other HPS'!$AQ379+'C19RM 2021-Lab &amp; Other HPS'!$AJ379+AX379+BE379</f>
        <v>0</v>
      </c>
      <c r="BH379" s="500" t="str" cm="1">
        <f t="array" ref="BH379">IF(A379&lt;&gt;"",IFERROR(INDEX(PMtbl[[WKst]:[Unit of measure*]],MATCH($A$330&amp;$A379&amp;$E379&amp;$I379,INDEX(PMtbl[Sec]&amp;PMtbl[Category]&amp;PMtbl[Each]&amp;PMtbl[Packaging],0,),0),11),""),"")</f>
        <v/>
      </c>
      <c r="BI379" s="819"/>
      <c r="BJ379" s="502" t="str" cm="1">
        <f t="array" ref="BJ379">IFERROR(INDEX(SETUP!$C$19:$G$121,MATCH((INDEX(PMtbl[[WKst]:[Unit of measure*]],MATCH($A379&amp;$E379&amp;$I379,INDEX(PMtbl[Category]&amp;PMtbl[Each]&amp;PMtbl[Packaging],0,),0),3)),SETUP!$D$19:$D$121,0),5),"")</f>
        <v/>
      </c>
      <c r="BK379" s="568" t="str" cm="1">
        <f t="array" ref="BK379">IFERROR(IF((INDEX(SETUP!$C$19:$G$121,MATCH((INDEX(PMtbl[[WKst]:[Unit of measure*]],MATCH($A379&amp;$E379&amp;$I379,INDEX(PMtbl[Category]&amp;PMtbl[Each]&amp;PMtbl[Packaging],0,),0),3)),SETUP!$D$19:$D$121,0),4))="Upfront",0,INDEX(SETUP!$C$19:$G$121,MATCH((INDEX(PMtbl[[WKst]:[Unit of measure*]],MATCH($A379&amp;$E379&amp;$I379,INDEX(PMtbl[Category]&amp;PMtbl[Each]&amp;PMtbl[Packaging],0,),0),3)),SETUP!$D$19:$D$121,0),5)),"")</f>
        <v/>
      </c>
      <c r="BL379" s="563" t="str" cm="1">
        <f t="array" ref="BL379">IF(E379&lt;&gt;"",IFERROR(INDEX(PMtbl[[WKst]:[Unit of measure*]],MATCH($A$330&amp;$A379&amp;$E379&amp;$I379,INDEX(PMtbl[Sec]&amp;PMtbl[Category]&amp;PMtbl[Each]&amp;PMtbl[Packaging],0,),0),11),""),"")</f>
        <v/>
      </c>
      <c r="BO379" s="448">
        <f>IF(N379="",0,IF(SETUP!$E$7="USD",((IF(O379="USD",P379,(P379/'Master Data-C19RM'!$C$2)))),((IF(O379="EUR",P379,(P379*'Master Data-C19RM'!$C$2))))))</f>
        <v>0</v>
      </c>
      <c r="BP379" s="448">
        <f>IF(N379="",0,IF(SETUP!$E$7="USD",((IF(O379="USD",W379,(W379/'Master Data-C19RM'!$D$2)))),((IF(O379="EUR",W379,(W379*'Master Data-C19RM'!$D$2))))))</f>
        <v>0</v>
      </c>
      <c r="BQ379" s="470">
        <f>IF(N379="",0,IF(SETUP!$E$7="USD",((IF(O379="USD",AD379,(AD379/'Master Data-C19RM'!$E$2)))),((IF(O379="EUR",AD379,(AD379*'Master Data-C19RM'!$E$2))))))</f>
        <v>0</v>
      </c>
      <c r="BR379" s="470">
        <f>IF(N379="",0,IF(SETUP!$E$7="USD",((IF(O379="USD",AK379,(AK379/'Master Data-C19RM'!$F$2)))),((IF(O379="EUR",AK379,(AK379*'Master Data-C19RM'!$F$2))))))</f>
        <v>0</v>
      </c>
      <c r="BS379" s="470">
        <f>IF(N379="",0,IF(SETUP!$E$7="USD",((IF(O379="USD",AR379,(AR379/'Master Data-C19RM'!$G$2)))),((IF(O379="EUR",AR379,(AR379*'Master Data-C19RM'!$G$2))))))</f>
        <v>0</v>
      </c>
      <c r="BT379" s="470">
        <f>IF(N379="",0,IF(SETUP!$E$7="USD",((IF(O379="USD",AY379,(AY379/'Master Data-C19RM'!$H$2)))),((IF(O379="EUR",AY379,(AY379*'Master Data-C19RM'!$H$2))))))</f>
        <v>0</v>
      </c>
      <c r="BU379" s="448">
        <f t="shared" si="45"/>
        <v>0</v>
      </c>
      <c r="BV379" s="562">
        <f t="shared" si="46"/>
        <v>0</v>
      </c>
      <c r="BW379" s="470"/>
      <c r="BX379" s="470"/>
      <c r="BY379" s="470"/>
      <c r="BZ379" s="470"/>
      <c r="CA379" s="470"/>
      <c r="CB379" s="470"/>
      <c r="CC379" s="470"/>
      <c r="CD379" s="470"/>
      <c r="CE379" s="470"/>
      <c r="CF379" s="470"/>
      <c r="CG379" s="470"/>
      <c r="CH379" s="470"/>
      <c r="CI379" s="470"/>
      <c r="CJ379" s="470"/>
      <c r="CK379" s="470"/>
      <c r="CL379" s="470"/>
      <c r="CM379" s="470"/>
      <c r="CN379" s="470"/>
      <c r="CO379" s="470"/>
      <c r="CP379" s="470"/>
    </row>
    <row r="380" spans="1:94" s="448" customFormat="1" ht="14" x14ac:dyDescent="0.3">
      <c r="A380" s="1172"/>
      <c r="B380" s="1172"/>
      <c r="C380" s="1172"/>
      <c r="D380" s="1172"/>
      <c r="E380" s="1173"/>
      <c r="F380" s="1173"/>
      <c r="G380" s="1173"/>
      <c r="H380" s="1173"/>
      <c r="I380" s="1173"/>
      <c r="J380" s="1173"/>
      <c r="K380" s="1173"/>
      <c r="L380" s="493" t="str" cm="1">
        <f t="array" ref="L380">IF(A380&lt;&gt;"",IFERROR(INDEX(PMtbl[[WKst]:[Unit of measure*]],MATCH($A$330&amp;$A380&amp;$E380&amp;$I380,INDEX(PMtbl[Sec]&amp;PMtbl[Category]&amp;PMtbl[Each]&amp;PMtbl[Packaging],0,),0),14),""),"")</f>
        <v/>
      </c>
      <c r="M380" s="480" t="str">
        <f>IF(L380="","",INDEX(SETUP!$E$20:$E$122,(MATCH(INDEX(PMsheet!$D:$E,MATCH(A380,PMsheet!E:E,0),1),SETUP!$D$20:$D$122,0))))</f>
        <v/>
      </c>
      <c r="N380" s="494">
        <f>IF($O380="USD",_xlfn.IFNA(VLOOKUP(A380&amp;E380&amp;I380,PMsheet!J:K,2,0),0),(_xlfn.IFNA(VLOOKUP(A380&amp;E380&amp;I380,PMsheet!J:K,2,0),0)*'Master Data-C19RM'!$C$2))</f>
        <v>0</v>
      </c>
      <c r="O380" s="495" t="str">
        <f>IF(L380="", "",SETUP!$E$7)</f>
        <v/>
      </c>
      <c r="P380" s="445">
        <f>IF($O380="USD",_xlfn.IFNA(VLOOKUP($A380&amp;$E380&amp;$I380,PMsheet!$J:$K,2,0),0),(_xlfn.IFNA(VLOOKUP($A380&amp;$E380&amp;$I380,PMsheet!$J:$K,2,0),0)*'Master Data-C19RM'!$C$2))</f>
        <v>0</v>
      </c>
      <c r="Q380" s="440"/>
      <c r="R380" s="440"/>
      <c r="S380" s="440"/>
      <c r="T380" s="440"/>
      <c r="U380" s="482">
        <f t="shared" si="44"/>
        <v>0</v>
      </c>
      <c r="V380" s="484">
        <f>IF(SETUP!$E$7="USD",(U380*(IF(O380="USD",P380,(P380/'Master Data-C19RM'!$C$2)))),(U380*(IF(O380="EUR",P380,(P380*'Master Data-C19RM'!$C$2)))))</f>
        <v>0</v>
      </c>
      <c r="W380" s="445">
        <f>IF($O380="USD",_xlfn.IFNA(VLOOKUP($A380&amp;$E380&amp;$I380,PMsheet!$J:$K,2,0),0),(_xlfn.IFNA(VLOOKUP($A380&amp;$E380&amp;$I380,PMsheet!$J:$K,2,0),0)*'Master Data-C19RM'!$D$2))</f>
        <v>0</v>
      </c>
      <c r="X380" s="440"/>
      <c r="Y380" s="440"/>
      <c r="Z380" s="440"/>
      <c r="AA380" s="440"/>
      <c r="AB380" s="482">
        <f t="shared" si="47"/>
        <v>0</v>
      </c>
      <c r="AC380" s="484">
        <f>IF(SETUP!$E$7="USD",(AB380*(IF(O380="USD",W380,(W380/'Master Data-C19RM'!$D$2)))),(AB380*(IF(O380="EUR",W380,(W380*'Master Data-C19RM'!$D$2)))))</f>
        <v>0</v>
      </c>
      <c r="AD380" s="445">
        <f>IF($O380="USD",_xlfn.IFNA(VLOOKUP($A380&amp;$E380&amp;$I380,PMsheet!$J:$K,2,0),0),(_xlfn.IFNA(VLOOKUP($A380&amp;$E380&amp;$I380,PMsheet!$J:$K,2,0),0)*'Master Data-C19RM'!$E$2))</f>
        <v>0</v>
      </c>
      <c r="AE380" s="440"/>
      <c r="AF380" s="440"/>
      <c r="AG380" s="440"/>
      <c r="AH380" s="440"/>
      <c r="AI380" s="514">
        <f t="shared" si="48"/>
        <v>0</v>
      </c>
      <c r="AJ380" s="515">
        <f>IF(SETUP!$E$7="USD",(AI380*(IF(O380="USD",AD380,(AD380/'Master Data-C19RM'!$E$2)))),(AI380*(IF(O380="EUR",AD380,(AD380*'Master Data-C19RM'!$E$2)))))</f>
        <v>0</v>
      </c>
      <c r="AK380" s="445">
        <f>IF($O380="USD",_xlfn.IFNA(VLOOKUP($A380&amp;$E380&amp;$I380,PMsheet!$J:$K,2,0),0),(_xlfn.IFNA(VLOOKUP($A380&amp;$E380&amp;$I380,PMsheet!$J:$K,2,0),0)*'Master Data-C19RM'!$F$2))</f>
        <v>0</v>
      </c>
      <c r="AL380" s="440"/>
      <c r="AM380" s="440"/>
      <c r="AN380" s="440"/>
      <c r="AO380" s="440"/>
      <c r="AP380" s="514">
        <f t="shared" si="49"/>
        <v>0</v>
      </c>
      <c r="AQ380" s="515">
        <f>IF(SETUP!$E$7="USD",(AP380*(IF(O380="USD",AK380,(AK380/'Master Data-C19RM'!$F$2)))),(AP380*(IF(O380="EUR",AK380,(AK380*'Master Data-C19RM'!$F$2)))))</f>
        <v>0</v>
      </c>
      <c r="AR380" s="925">
        <f>IF($O380="USD",_xlfn.IFNA(VLOOKUP($A380&amp;$E380&amp;$I380,PMsheet!$J:$K,2,0),0),(_xlfn.IFNA(VLOOKUP($A380&amp;$E380&amp;$I380,PMsheet!$J:$K,2,0),0)*'Master Data-C19RM'!$G$2))</f>
        <v>0</v>
      </c>
      <c r="AS380" s="926"/>
      <c r="AT380" s="926"/>
      <c r="AU380" s="926"/>
      <c r="AV380" s="926"/>
      <c r="AW380" s="514">
        <f t="shared" si="50"/>
        <v>0</v>
      </c>
      <c r="AX380" s="514">
        <f>IF(SETUP!$E$7="USD",(AW380*(IF(O380="USD",AR380,(AR380/'Master Data-C19RM'!$G$2)))),(AW380*(IF(O380="EUR",AR380,(AR380*'Master Data-C19RM'!$G$2)))))</f>
        <v>0</v>
      </c>
      <c r="AY380" s="845"/>
      <c r="AZ380" s="846"/>
      <c r="BA380" s="846"/>
      <c r="BB380" s="846"/>
      <c r="BC380" s="846"/>
      <c r="BD380" s="846"/>
      <c r="BE380" s="847"/>
      <c r="BF380" s="521">
        <f>'C19RM 2021-Lab &amp; Other HPS'!$U380+'C19RM 2021-Lab &amp; Other HPS'!$AB380+'C19RM 2021-Lab &amp; Other HPS'!$AP380+'C19RM 2021-Lab &amp; Other HPS'!$AI380+AW380+BD380</f>
        <v>0</v>
      </c>
      <c r="BG380" s="515">
        <f>'C19RM 2021-Lab &amp; Other HPS'!$V380+'C19RM 2021-Lab &amp; Other HPS'!$AC380+'C19RM 2021-Lab &amp; Other HPS'!$AQ380+'C19RM 2021-Lab &amp; Other HPS'!$AJ380+AX380+BE380</f>
        <v>0</v>
      </c>
      <c r="BH380" s="522" t="str" cm="1">
        <f t="array" ref="BH380">IF(A380&lt;&gt;"",IFERROR(INDEX(PMtbl[[WKst]:[Unit of measure*]],MATCH($A$330&amp;$A380&amp;$E380&amp;$I380,INDEX(PMtbl[Sec]&amp;PMtbl[Category]&amp;PMtbl[Each]&amp;PMtbl[Packaging],0,),0),11),""),"")</f>
        <v/>
      </c>
      <c r="BI380" s="818"/>
      <c r="BJ380" s="503" t="str" cm="1">
        <f t="array" ref="BJ380">IFERROR(INDEX(SETUP!$C$19:$G$121,MATCH((INDEX(PMtbl[[WKst]:[Unit of measure*]],MATCH($A380&amp;$E380&amp;$I380,INDEX(PMtbl[Category]&amp;PMtbl[Each]&amp;PMtbl[Packaging],0,),0),3)),SETUP!$D$19:$D$121,0),5),"")</f>
        <v/>
      </c>
      <c r="BK380" s="569" t="str" cm="1">
        <f t="array" ref="BK380">IFERROR(IF((INDEX(SETUP!$C$19:$G$121,MATCH((INDEX(PMtbl[[WKst]:[Unit of measure*]],MATCH($A380&amp;$E380&amp;$I380,INDEX(PMtbl[Category]&amp;PMtbl[Each]&amp;PMtbl[Packaging],0,),0),3)),SETUP!$D$19:$D$121,0),4))="Upfront",0,INDEX(SETUP!$C$19:$G$121,MATCH((INDEX(PMtbl[[WKst]:[Unit of measure*]],MATCH($A380&amp;$E380&amp;$I380,INDEX(PMtbl[Category]&amp;PMtbl[Each]&amp;PMtbl[Packaging],0,),0),3)),SETUP!$D$19:$D$121,0),5)),"")</f>
        <v/>
      </c>
      <c r="BL380" s="564" t="str" cm="1">
        <f t="array" ref="BL380">IF(E380&lt;&gt;"",IFERROR(INDEX(PMtbl[[WKst]:[Unit of measure*]],MATCH($A$330&amp;$A380&amp;$E380&amp;$I380,INDEX(PMtbl[Sec]&amp;PMtbl[Category]&amp;PMtbl[Each]&amp;PMtbl[Packaging],0,),0),11),""),"")</f>
        <v/>
      </c>
      <c r="BO380" s="448">
        <f>IF(N380="",0,IF(SETUP!$E$7="USD",((IF(O380="USD",P380,(P380/'Master Data-C19RM'!$C$2)))),((IF(O380="EUR",P380,(P380*'Master Data-C19RM'!$C$2))))))</f>
        <v>0</v>
      </c>
      <c r="BP380" s="448">
        <f>IF(N380="",0,IF(SETUP!$E$7="USD",((IF(O380="USD",W380,(W380/'Master Data-C19RM'!$D$2)))),((IF(O380="EUR",W380,(W380*'Master Data-C19RM'!$D$2))))))</f>
        <v>0</v>
      </c>
      <c r="BQ380" s="470">
        <f>IF(N380="",0,IF(SETUP!$E$7="USD",((IF(O380="USD",AD380,(AD380/'Master Data-C19RM'!$E$2)))),((IF(O380="EUR",AD380,(AD380*'Master Data-C19RM'!$E$2))))))</f>
        <v>0</v>
      </c>
      <c r="BR380" s="470">
        <f>IF(N380="",0,IF(SETUP!$E$7="USD",((IF(O380="USD",AK380,(AK380/'Master Data-C19RM'!$F$2)))),((IF(O380="EUR",AK380,(AK380*'Master Data-C19RM'!$F$2))))))</f>
        <v>0</v>
      </c>
      <c r="BS380" s="470">
        <f>IF(N380="",0,IF(SETUP!$E$7="USD",((IF(O380="USD",AR380,(AR380/'Master Data-C19RM'!$G$2)))),((IF(O380="EUR",AR380,(AR380*'Master Data-C19RM'!$G$2))))))</f>
        <v>0</v>
      </c>
      <c r="BT380" s="470">
        <f>IF(N380="",0,IF(SETUP!$E$7="USD",((IF(O380="USD",AY380,(AY380/'Master Data-C19RM'!$H$2)))),((IF(O380="EUR",AY380,(AY380*'Master Data-C19RM'!$H$2))))))</f>
        <v>0</v>
      </c>
      <c r="BU380" s="448">
        <f t="shared" si="45"/>
        <v>0</v>
      </c>
      <c r="BV380" s="562">
        <f t="shared" si="46"/>
        <v>0</v>
      </c>
      <c r="BW380" s="470"/>
      <c r="BX380" s="470"/>
      <c r="BY380" s="470"/>
      <c r="BZ380" s="470"/>
      <c r="CA380" s="470"/>
      <c r="CB380" s="470"/>
      <c r="CC380" s="470"/>
      <c r="CD380" s="470"/>
      <c r="CE380" s="470"/>
      <c r="CF380" s="470"/>
      <c r="CG380" s="470"/>
      <c r="CH380" s="470"/>
      <c r="CI380" s="470"/>
      <c r="CJ380" s="470"/>
      <c r="CK380" s="470"/>
      <c r="CL380" s="470"/>
      <c r="CM380" s="470"/>
      <c r="CN380" s="470"/>
      <c r="CO380" s="470"/>
      <c r="CP380" s="470"/>
    </row>
    <row r="381" spans="1:94" s="448" customFormat="1" ht="14" x14ac:dyDescent="0.3">
      <c r="A381" s="1165"/>
      <c r="B381" s="1165"/>
      <c r="C381" s="1165"/>
      <c r="D381" s="1165"/>
      <c r="E381" s="1166"/>
      <c r="F381" s="1166"/>
      <c r="G381" s="1166"/>
      <c r="H381" s="1166"/>
      <c r="I381" s="1166"/>
      <c r="J381" s="1166"/>
      <c r="K381" s="1166"/>
      <c r="L381" s="490" t="str" cm="1">
        <f t="array" ref="L381">IF(A381&lt;&gt;"",IFERROR(INDEX(PMtbl[[WKst]:[Unit of measure*]],MATCH($A$330&amp;$A381&amp;$E381&amp;$I381,INDEX(PMtbl[Sec]&amp;PMtbl[Category]&amp;PMtbl[Each]&amp;PMtbl[Packaging],0,),0),14),""),"")</f>
        <v/>
      </c>
      <c r="M381" s="479" t="str">
        <f>IF(L381="","",INDEX(SETUP!$E$20:$E$122,(MATCH(INDEX(PMsheet!$D:$E,MATCH(A381,PMsheet!E:E,0),1),SETUP!$D$20:$D$122,0))))</f>
        <v/>
      </c>
      <c r="N381" s="491">
        <f>IF($O381="USD",_xlfn.IFNA(VLOOKUP(A381&amp;E381&amp;I381,PMsheet!J:K,2,0),0),(_xlfn.IFNA(VLOOKUP(A381&amp;E381&amp;I381,PMsheet!J:K,2,0),0)*'Master Data-C19RM'!$C$2))</f>
        <v>0</v>
      </c>
      <c r="O381" s="492" t="str">
        <f>IF(L381="", "",SETUP!$E$7)</f>
        <v/>
      </c>
      <c r="P381" s="444">
        <f>IF($O381="USD",_xlfn.IFNA(VLOOKUP($A381&amp;$E381&amp;$I381,PMsheet!$J:$K,2,0),0),(_xlfn.IFNA(VLOOKUP($A381&amp;$E381&amp;$I381,PMsheet!$J:$K,2,0),0)*'Master Data-C19RM'!$C$2))</f>
        <v>0</v>
      </c>
      <c r="Q381" s="441"/>
      <c r="R381" s="441"/>
      <c r="S381" s="441"/>
      <c r="T381" s="441"/>
      <c r="U381" s="481">
        <f t="shared" si="44"/>
        <v>0</v>
      </c>
      <c r="V381" s="483">
        <f>IF(SETUP!$E$7="USD",(U381*(IF(O381="USD",P381,(P381/'Master Data-C19RM'!$C$2)))),(U381*(IF(O381="EUR",P381,(P381*'Master Data-C19RM'!$C$2)))))</f>
        <v>0</v>
      </c>
      <c r="W381" s="444">
        <f>IF($O381="USD",_xlfn.IFNA(VLOOKUP($A381&amp;$E381&amp;$I381,PMsheet!$J:$K,2,0),0),(_xlfn.IFNA(VLOOKUP($A381&amp;$E381&amp;$I381,PMsheet!$J:$K,2,0),0)*'Master Data-C19RM'!$D$2))</f>
        <v>0</v>
      </c>
      <c r="X381" s="441"/>
      <c r="Y381" s="441"/>
      <c r="Z381" s="441"/>
      <c r="AA381" s="441"/>
      <c r="AB381" s="481">
        <f t="shared" si="47"/>
        <v>0</v>
      </c>
      <c r="AC381" s="483">
        <f>IF(SETUP!$E$7="USD",(AB381*(IF(O381="USD",W381,(W381/'Master Data-C19RM'!$D$2)))),(AB381*(IF(O381="EUR",W381,(W381*'Master Data-C19RM'!$D$2)))))</f>
        <v>0</v>
      </c>
      <c r="AD381" s="444">
        <f>IF($O381="USD",_xlfn.IFNA(VLOOKUP($A381&amp;$E381&amp;$I381,PMsheet!$J:$K,2,0),0),(_xlfn.IFNA(VLOOKUP($A381&amp;$E381&amp;$I381,PMsheet!$J:$K,2,0),0)*'Master Data-C19RM'!$E$2))</f>
        <v>0</v>
      </c>
      <c r="AE381" s="441"/>
      <c r="AF381" s="441"/>
      <c r="AG381" s="441"/>
      <c r="AH381" s="441"/>
      <c r="AI381" s="512">
        <f t="shared" si="48"/>
        <v>0</v>
      </c>
      <c r="AJ381" s="513">
        <f>IF(SETUP!$E$7="USD",(AI381*(IF(O381="USD",AD381,(AD381/'Master Data-C19RM'!$E$2)))),(AI381*(IF(O381="EUR",AD381,(AD381*'Master Data-C19RM'!$E$2)))))</f>
        <v>0</v>
      </c>
      <c r="AK381" s="444">
        <f>IF($O381="USD",_xlfn.IFNA(VLOOKUP($A381&amp;$E381&amp;$I381,PMsheet!$J:$K,2,0),0),(_xlfn.IFNA(VLOOKUP($A381&amp;$E381&amp;$I381,PMsheet!$J:$K,2,0),0)*'Master Data-C19RM'!$F$2))</f>
        <v>0</v>
      </c>
      <c r="AL381" s="441"/>
      <c r="AM381" s="441"/>
      <c r="AN381" s="441"/>
      <c r="AO381" s="441"/>
      <c r="AP381" s="512">
        <f t="shared" si="49"/>
        <v>0</v>
      </c>
      <c r="AQ381" s="513">
        <f>IF(SETUP!$E$7="USD",(AP381*(IF(O381="USD",AK381,(AK381/'Master Data-C19RM'!$F$2)))),(AP381*(IF(O381="EUR",AK381,(AK381*'Master Data-C19RM'!$F$2)))))</f>
        <v>0</v>
      </c>
      <c r="AR381" s="924">
        <f>IF($O381="USD",_xlfn.IFNA(VLOOKUP($A381&amp;$E381&amp;$I381,PMsheet!$J:$K,2,0),0),(_xlfn.IFNA(VLOOKUP($A381&amp;$E381&amp;$I381,PMsheet!$J:$K,2,0),0)*'Master Data-C19RM'!$G$2))</f>
        <v>0</v>
      </c>
      <c r="AS381" s="572"/>
      <c r="AT381" s="572"/>
      <c r="AU381" s="572"/>
      <c r="AV381" s="572"/>
      <c r="AW381" s="512">
        <f t="shared" si="50"/>
        <v>0</v>
      </c>
      <c r="AX381" s="512">
        <f>IF(SETUP!$E$7="USD",(AW381*(IF(O381="USD",AR381,(AR381/'Master Data-C19RM'!$G$2)))),(AW381*(IF(O381="EUR",AR381,(AR381*'Master Data-C19RM'!$G$2)))))</f>
        <v>0</v>
      </c>
      <c r="AY381" s="845"/>
      <c r="AZ381" s="846"/>
      <c r="BA381" s="846"/>
      <c r="BB381" s="846"/>
      <c r="BC381" s="846"/>
      <c r="BD381" s="846"/>
      <c r="BE381" s="847"/>
      <c r="BF381" s="520">
        <f>'C19RM 2021-Lab &amp; Other HPS'!$U381+'C19RM 2021-Lab &amp; Other HPS'!$AB381+'C19RM 2021-Lab &amp; Other HPS'!$AP381+'C19RM 2021-Lab &amp; Other HPS'!$AI381+AW381+BD381</f>
        <v>0</v>
      </c>
      <c r="BG381" s="513">
        <f>'C19RM 2021-Lab &amp; Other HPS'!$V381+'C19RM 2021-Lab &amp; Other HPS'!$AC381+'C19RM 2021-Lab &amp; Other HPS'!$AQ381+'C19RM 2021-Lab &amp; Other HPS'!$AJ381+AX381+BE381</f>
        <v>0</v>
      </c>
      <c r="BH381" s="500" t="str" cm="1">
        <f t="array" ref="BH381">IF(A381&lt;&gt;"",IFERROR(INDEX(PMtbl[[WKst]:[Unit of measure*]],MATCH($A$330&amp;$A381&amp;$E381&amp;$I381,INDEX(PMtbl[Sec]&amp;PMtbl[Category]&amp;PMtbl[Each]&amp;PMtbl[Packaging],0,),0),11),""),"")</f>
        <v/>
      </c>
      <c r="BI381" s="819"/>
      <c r="BJ381" s="502" t="str" cm="1">
        <f t="array" ref="BJ381">IFERROR(INDEX(SETUP!$C$19:$G$121,MATCH((INDEX(PMtbl[[WKst]:[Unit of measure*]],MATCH($A381&amp;$E381&amp;$I381,INDEX(PMtbl[Category]&amp;PMtbl[Each]&amp;PMtbl[Packaging],0,),0),3)),SETUP!$D$19:$D$121,0),5),"")</f>
        <v/>
      </c>
      <c r="BK381" s="568" t="str" cm="1">
        <f t="array" ref="BK381">IFERROR(IF((INDEX(SETUP!$C$19:$G$121,MATCH((INDEX(PMtbl[[WKst]:[Unit of measure*]],MATCH($A381&amp;$E381&amp;$I381,INDEX(PMtbl[Category]&amp;PMtbl[Each]&amp;PMtbl[Packaging],0,),0),3)),SETUP!$D$19:$D$121,0),4))="Upfront",0,INDEX(SETUP!$C$19:$G$121,MATCH((INDEX(PMtbl[[WKst]:[Unit of measure*]],MATCH($A381&amp;$E381&amp;$I381,INDEX(PMtbl[Category]&amp;PMtbl[Each]&amp;PMtbl[Packaging],0,),0),3)),SETUP!$D$19:$D$121,0),5)),"")</f>
        <v/>
      </c>
      <c r="BL381" s="563" t="str" cm="1">
        <f t="array" ref="BL381">IF(E381&lt;&gt;"",IFERROR(INDEX(PMtbl[[WKst]:[Unit of measure*]],MATCH($A$330&amp;$A381&amp;$E381&amp;$I381,INDEX(PMtbl[Sec]&amp;PMtbl[Category]&amp;PMtbl[Each]&amp;PMtbl[Packaging],0,),0),11),""),"")</f>
        <v/>
      </c>
      <c r="BO381" s="448">
        <f>IF(N381="",0,IF(SETUP!$E$7="USD",((IF(O381="USD",P381,(P381/'Master Data-C19RM'!$C$2)))),((IF(O381="EUR",P381,(P381*'Master Data-C19RM'!$C$2))))))</f>
        <v>0</v>
      </c>
      <c r="BP381" s="448">
        <f>IF(N381="",0,IF(SETUP!$E$7="USD",((IF(O381="USD",W381,(W381/'Master Data-C19RM'!$D$2)))),((IF(O381="EUR",W381,(W381*'Master Data-C19RM'!$D$2))))))</f>
        <v>0</v>
      </c>
      <c r="BQ381" s="470">
        <f>IF(N381="",0,IF(SETUP!$E$7="USD",((IF(O381="USD",AD381,(AD381/'Master Data-C19RM'!$E$2)))),((IF(O381="EUR",AD381,(AD381*'Master Data-C19RM'!$E$2))))))</f>
        <v>0</v>
      </c>
      <c r="BR381" s="470">
        <f>IF(N381="",0,IF(SETUP!$E$7="USD",((IF(O381="USD",AK381,(AK381/'Master Data-C19RM'!$F$2)))),((IF(O381="EUR",AK381,(AK381*'Master Data-C19RM'!$F$2))))))</f>
        <v>0</v>
      </c>
      <c r="BS381" s="470">
        <f>IF(N381="",0,IF(SETUP!$E$7="USD",((IF(O381="USD",AR381,(AR381/'Master Data-C19RM'!$G$2)))),((IF(O381="EUR",AR381,(AR381*'Master Data-C19RM'!$G$2))))))</f>
        <v>0</v>
      </c>
      <c r="BT381" s="470">
        <f>IF(N381="",0,IF(SETUP!$E$7="USD",((IF(O381="USD",AY381,(AY381/'Master Data-C19RM'!$H$2)))),((IF(O381="EUR",AY381,(AY381*'Master Data-C19RM'!$H$2))))))</f>
        <v>0</v>
      </c>
      <c r="BU381" s="448">
        <f t="shared" si="45"/>
        <v>0</v>
      </c>
      <c r="BV381" s="562">
        <f t="shared" si="46"/>
        <v>0</v>
      </c>
      <c r="BW381" s="470"/>
      <c r="BX381" s="470"/>
      <c r="BY381" s="470"/>
      <c r="BZ381" s="470"/>
      <c r="CA381" s="470"/>
      <c r="CB381" s="470"/>
      <c r="CC381" s="470"/>
      <c r="CD381" s="470"/>
      <c r="CE381" s="470"/>
      <c r="CF381" s="470"/>
      <c r="CG381" s="470"/>
      <c r="CH381" s="470"/>
      <c r="CI381" s="470"/>
      <c r="CJ381" s="470"/>
      <c r="CK381" s="470"/>
      <c r="CL381" s="470"/>
      <c r="CM381" s="470"/>
      <c r="CN381" s="470"/>
      <c r="CO381" s="470"/>
      <c r="CP381" s="470"/>
    </row>
    <row r="382" spans="1:94" s="448" customFormat="1" ht="14" x14ac:dyDescent="0.3">
      <c r="A382" s="1172"/>
      <c r="B382" s="1172"/>
      <c r="C382" s="1172"/>
      <c r="D382" s="1172"/>
      <c r="E382" s="1173"/>
      <c r="F382" s="1173"/>
      <c r="G382" s="1173"/>
      <c r="H382" s="1173"/>
      <c r="I382" s="1173"/>
      <c r="J382" s="1173"/>
      <c r="K382" s="1173"/>
      <c r="L382" s="493" t="str" cm="1">
        <f t="array" ref="L382">IF(A382&lt;&gt;"",IFERROR(INDEX(PMtbl[[WKst]:[Unit of measure*]],MATCH($A$330&amp;$A382&amp;$E382&amp;$I382,INDEX(PMtbl[Sec]&amp;PMtbl[Category]&amp;PMtbl[Each]&amp;PMtbl[Packaging],0,),0),14),""),"")</f>
        <v/>
      </c>
      <c r="M382" s="480" t="str">
        <f>IF(L382="","",INDEX(SETUP!$E$20:$E$122,(MATCH(INDEX(PMsheet!$D:$E,MATCH(A382,PMsheet!E:E,0),1),SETUP!$D$20:$D$122,0))))</f>
        <v/>
      </c>
      <c r="N382" s="494">
        <f>IF($O382="USD",_xlfn.IFNA(VLOOKUP(A382&amp;E382&amp;I382,PMsheet!J:K,2,0),0),(_xlfn.IFNA(VLOOKUP(A382&amp;E382&amp;I382,PMsheet!J:K,2,0),0)*'Master Data-C19RM'!$C$2))</f>
        <v>0</v>
      </c>
      <c r="O382" s="495" t="str">
        <f>IF(L382="", "",SETUP!$E$7)</f>
        <v/>
      </c>
      <c r="P382" s="445">
        <f>IF($O382="USD",_xlfn.IFNA(VLOOKUP($A382&amp;$E382&amp;$I382,PMsheet!$J:$K,2,0),0),(_xlfn.IFNA(VLOOKUP($A382&amp;$E382&amp;$I382,PMsheet!$J:$K,2,0),0)*'Master Data-C19RM'!$C$2))</f>
        <v>0</v>
      </c>
      <c r="Q382" s="440"/>
      <c r="R382" s="440"/>
      <c r="S382" s="440"/>
      <c r="T382" s="440"/>
      <c r="U382" s="482">
        <f t="shared" si="44"/>
        <v>0</v>
      </c>
      <c r="V382" s="484">
        <f>IF(SETUP!$E$7="USD",(U382*(IF(O382="USD",P382,(P382/'Master Data-C19RM'!$C$2)))),(U382*(IF(O382="EUR",P382,(P382*'Master Data-C19RM'!$C$2)))))</f>
        <v>0</v>
      </c>
      <c r="W382" s="445">
        <f>IF($O382="USD",_xlfn.IFNA(VLOOKUP($A382&amp;$E382&amp;$I382,PMsheet!$J:$K,2,0),0),(_xlfn.IFNA(VLOOKUP($A382&amp;$E382&amp;$I382,PMsheet!$J:$K,2,0),0)*'Master Data-C19RM'!$D$2))</f>
        <v>0</v>
      </c>
      <c r="X382" s="440"/>
      <c r="Y382" s="440"/>
      <c r="Z382" s="440"/>
      <c r="AA382" s="440"/>
      <c r="AB382" s="482">
        <f t="shared" si="47"/>
        <v>0</v>
      </c>
      <c r="AC382" s="484">
        <f>IF(SETUP!$E$7="USD",(AB382*(IF(O382="USD",W382,(W382/'Master Data-C19RM'!$D$2)))),(AB382*(IF(O382="EUR",W382,(W382*'Master Data-C19RM'!$D$2)))))</f>
        <v>0</v>
      </c>
      <c r="AD382" s="445">
        <f>IF($O382="USD",_xlfn.IFNA(VLOOKUP($A382&amp;$E382&amp;$I382,PMsheet!$J:$K,2,0),0),(_xlfn.IFNA(VLOOKUP($A382&amp;$E382&amp;$I382,PMsheet!$J:$K,2,0),0)*'Master Data-C19RM'!$E$2))</f>
        <v>0</v>
      </c>
      <c r="AE382" s="440"/>
      <c r="AF382" s="440"/>
      <c r="AG382" s="440"/>
      <c r="AH382" s="440"/>
      <c r="AI382" s="514">
        <f t="shared" si="48"/>
        <v>0</v>
      </c>
      <c r="AJ382" s="515">
        <f>IF(SETUP!$E$7="USD",(AI382*(IF(O382="USD",AD382,(AD382/'Master Data-C19RM'!$E$2)))),(AI382*(IF(O382="EUR",AD382,(AD382*'Master Data-C19RM'!$E$2)))))</f>
        <v>0</v>
      </c>
      <c r="AK382" s="445">
        <f>IF($O382="USD",_xlfn.IFNA(VLOOKUP($A382&amp;$E382&amp;$I382,PMsheet!$J:$K,2,0),0),(_xlfn.IFNA(VLOOKUP($A382&amp;$E382&amp;$I382,PMsheet!$J:$K,2,0),0)*'Master Data-C19RM'!$F$2))</f>
        <v>0</v>
      </c>
      <c r="AL382" s="440"/>
      <c r="AM382" s="440"/>
      <c r="AN382" s="440"/>
      <c r="AO382" s="440"/>
      <c r="AP382" s="514">
        <f t="shared" si="49"/>
        <v>0</v>
      </c>
      <c r="AQ382" s="515">
        <f>IF(SETUP!$E$7="USD",(AP382*(IF(O382="USD",AK382,(AK382/'Master Data-C19RM'!$F$2)))),(AP382*(IF(O382="EUR",AK382,(AK382*'Master Data-C19RM'!$F$2)))))</f>
        <v>0</v>
      </c>
      <c r="AR382" s="925">
        <f>IF($O382="USD",_xlfn.IFNA(VLOOKUP($A382&amp;$E382&amp;$I382,PMsheet!$J:$K,2,0),0),(_xlfn.IFNA(VLOOKUP($A382&amp;$E382&amp;$I382,PMsheet!$J:$K,2,0),0)*'Master Data-C19RM'!$G$2))</f>
        <v>0</v>
      </c>
      <c r="AS382" s="926"/>
      <c r="AT382" s="926"/>
      <c r="AU382" s="926"/>
      <c r="AV382" s="926"/>
      <c r="AW382" s="514">
        <f t="shared" si="50"/>
        <v>0</v>
      </c>
      <c r="AX382" s="514">
        <f>IF(SETUP!$E$7="USD",(AW382*(IF(O382="USD",AR382,(AR382/'Master Data-C19RM'!$G$2)))),(AW382*(IF(O382="EUR",AR382,(AR382*'Master Data-C19RM'!$G$2)))))</f>
        <v>0</v>
      </c>
      <c r="AY382" s="845"/>
      <c r="AZ382" s="846"/>
      <c r="BA382" s="846"/>
      <c r="BB382" s="846"/>
      <c r="BC382" s="846"/>
      <c r="BD382" s="846"/>
      <c r="BE382" s="847"/>
      <c r="BF382" s="521">
        <f>'C19RM 2021-Lab &amp; Other HPS'!$U382+'C19RM 2021-Lab &amp; Other HPS'!$AB382+'C19RM 2021-Lab &amp; Other HPS'!$AP382+'C19RM 2021-Lab &amp; Other HPS'!$AI382+AW382+BD382</f>
        <v>0</v>
      </c>
      <c r="BG382" s="515">
        <f>'C19RM 2021-Lab &amp; Other HPS'!$V382+'C19RM 2021-Lab &amp; Other HPS'!$AC382+'C19RM 2021-Lab &amp; Other HPS'!$AQ382+'C19RM 2021-Lab &amp; Other HPS'!$AJ382+AX382+BE382</f>
        <v>0</v>
      </c>
      <c r="BH382" s="522" t="str" cm="1">
        <f t="array" ref="BH382">IF(A382&lt;&gt;"",IFERROR(INDEX(PMtbl[[WKst]:[Unit of measure*]],MATCH($A$330&amp;$A382&amp;$E382&amp;$I382,INDEX(PMtbl[Sec]&amp;PMtbl[Category]&amp;PMtbl[Each]&amp;PMtbl[Packaging],0,),0),11),""),"")</f>
        <v/>
      </c>
      <c r="BI382" s="818"/>
      <c r="BJ382" s="503" t="str" cm="1">
        <f t="array" ref="BJ382">IFERROR(INDEX(SETUP!$C$19:$G$121,MATCH((INDEX(PMtbl[[WKst]:[Unit of measure*]],MATCH($A382&amp;$E382&amp;$I382,INDEX(PMtbl[Category]&amp;PMtbl[Each]&amp;PMtbl[Packaging],0,),0),3)),SETUP!$D$19:$D$121,0),5),"")</f>
        <v/>
      </c>
      <c r="BK382" s="569" t="str" cm="1">
        <f t="array" ref="BK382">IFERROR(IF((INDEX(SETUP!$C$19:$G$121,MATCH((INDEX(PMtbl[[WKst]:[Unit of measure*]],MATCH($A382&amp;$E382&amp;$I382,INDEX(PMtbl[Category]&amp;PMtbl[Each]&amp;PMtbl[Packaging],0,),0),3)),SETUP!$D$19:$D$121,0),4))="Upfront",0,INDEX(SETUP!$C$19:$G$121,MATCH((INDEX(PMtbl[[WKst]:[Unit of measure*]],MATCH($A382&amp;$E382&amp;$I382,INDEX(PMtbl[Category]&amp;PMtbl[Each]&amp;PMtbl[Packaging],0,),0),3)),SETUP!$D$19:$D$121,0),5)),"")</f>
        <v/>
      </c>
      <c r="BL382" s="564" t="str" cm="1">
        <f t="array" ref="BL382">IF(E382&lt;&gt;"",IFERROR(INDEX(PMtbl[[WKst]:[Unit of measure*]],MATCH($A$330&amp;$A382&amp;$E382&amp;$I382,INDEX(PMtbl[Sec]&amp;PMtbl[Category]&amp;PMtbl[Each]&amp;PMtbl[Packaging],0,),0),11),""),"")</f>
        <v/>
      </c>
      <c r="BO382" s="448">
        <f>IF(N382="",0,IF(SETUP!$E$7="USD",((IF(O382="USD",P382,(P382/'Master Data-C19RM'!$C$2)))),((IF(O382="EUR",P382,(P382*'Master Data-C19RM'!$C$2))))))</f>
        <v>0</v>
      </c>
      <c r="BP382" s="448">
        <f>IF(N382="",0,IF(SETUP!$E$7="USD",((IF(O382="USD",W382,(W382/'Master Data-C19RM'!$D$2)))),((IF(O382="EUR",W382,(W382*'Master Data-C19RM'!$D$2))))))</f>
        <v>0</v>
      </c>
      <c r="BQ382" s="470">
        <f>IF(N382="",0,IF(SETUP!$E$7="USD",((IF(O382="USD",AD382,(AD382/'Master Data-C19RM'!$E$2)))),((IF(O382="EUR",AD382,(AD382*'Master Data-C19RM'!$E$2))))))</f>
        <v>0</v>
      </c>
      <c r="BR382" s="470">
        <f>IF(N382="",0,IF(SETUP!$E$7="USD",((IF(O382="USD",AK382,(AK382/'Master Data-C19RM'!$F$2)))),((IF(O382="EUR",AK382,(AK382*'Master Data-C19RM'!$F$2))))))</f>
        <v>0</v>
      </c>
      <c r="BS382" s="470">
        <f>IF(N382="",0,IF(SETUP!$E$7="USD",((IF(O382="USD",AR382,(AR382/'Master Data-C19RM'!$G$2)))),((IF(O382="EUR",AR382,(AR382*'Master Data-C19RM'!$G$2))))))</f>
        <v>0</v>
      </c>
      <c r="BT382" s="470">
        <f>IF(N382="",0,IF(SETUP!$E$7="USD",((IF(O382="USD",AY382,(AY382/'Master Data-C19RM'!$H$2)))),((IF(O382="EUR",AY382,(AY382*'Master Data-C19RM'!$H$2))))))</f>
        <v>0</v>
      </c>
      <c r="BU382" s="448">
        <f t="shared" si="45"/>
        <v>0</v>
      </c>
      <c r="BV382" s="562">
        <f t="shared" si="46"/>
        <v>0</v>
      </c>
      <c r="BW382" s="470"/>
      <c r="BX382" s="470"/>
      <c r="BY382" s="470"/>
      <c r="BZ382" s="470"/>
      <c r="CA382" s="470"/>
      <c r="CB382" s="470"/>
      <c r="CC382" s="470"/>
      <c r="CD382" s="470"/>
      <c r="CE382" s="470"/>
      <c r="CF382" s="470"/>
      <c r="CG382" s="470"/>
      <c r="CH382" s="470"/>
      <c r="CI382" s="470"/>
      <c r="CJ382" s="470"/>
      <c r="CK382" s="470"/>
      <c r="CL382" s="470"/>
      <c r="CM382" s="470"/>
      <c r="CN382" s="470"/>
      <c r="CO382" s="470"/>
      <c r="CP382" s="470"/>
    </row>
    <row r="383" spans="1:94" s="448" customFormat="1" ht="14" x14ac:dyDescent="0.3">
      <c r="A383" s="1165"/>
      <c r="B383" s="1165"/>
      <c r="C383" s="1165"/>
      <c r="D383" s="1165"/>
      <c r="E383" s="1166"/>
      <c r="F383" s="1166"/>
      <c r="G383" s="1166"/>
      <c r="H383" s="1166"/>
      <c r="I383" s="1166"/>
      <c r="J383" s="1166"/>
      <c r="K383" s="1166"/>
      <c r="L383" s="490" t="str" cm="1">
        <f t="array" ref="L383">IF(A383&lt;&gt;"",IFERROR(INDEX(PMtbl[[WKst]:[Unit of measure*]],MATCH($A$330&amp;$A383&amp;$E383&amp;$I383,INDEX(PMtbl[Sec]&amp;PMtbl[Category]&amp;PMtbl[Each]&amp;PMtbl[Packaging],0,),0),14),""),"")</f>
        <v/>
      </c>
      <c r="M383" s="479" t="str">
        <f>IF(L383="","",INDEX(SETUP!$E$20:$E$122,(MATCH(INDEX(PMsheet!$D:$E,MATCH(A383,PMsheet!E:E,0),1),SETUP!$D$20:$D$122,0))))</f>
        <v/>
      </c>
      <c r="N383" s="491">
        <f>IF($O383="USD",_xlfn.IFNA(VLOOKUP(A383&amp;E383&amp;I383,PMsheet!J:K,2,0),0),(_xlfn.IFNA(VLOOKUP(A383&amp;E383&amp;I383,PMsheet!J:K,2,0),0)*'Master Data-C19RM'!$C$2))</f>
        <v>0</v>
      </c>
      <c r="O383" s="492" t="str">
        <f>IF(L383="", "",SETUP!$E$7)</f>
        <v/>
      </c>
      <c r="P383" s="444">
        <f>IF($O383="USD",_xlfn.IFNA(VLOOKUP($A383&amp;$E383&amp;$I383,PMsheet!$J:$K,2,0),0),(_xlfn.IFNA(VLOOKUP($A383&amp;$E383&amp;$I383,PMsheet!$J:$K,2,0),0)*'Master Data-C19RM'!$C$2))</f>
        <v>0</v>
      </c>
      <c r="Q383" s="441"/>
      <c r="R383" s="441"/>
      <c r="S383" s="441"/>
      <c r="T383" s="441"/>
      <c r="U383" s="481">
        <f t="shared" si="44"/>
        <v>0</v>
      </c>
      <c r="V383" s="483">
        <f>IF(SETUP!$E$7="USD",(U383*(IF(O383="USD",P383,(P383/'Master Data-C19RM'!$C$2)))),(U383*(IF(O383="EUR",P383,(P383*'Master Data-C19RM'!$C$2)))))</f>
        <v>0</v>
      </c>
      <c r="W383" s="444">
        <f>IF($O383="USD",_xlfn.IFNA(VLOOKUP($A383&amp;$E383&amp;$I383,PMsheet!$J:$K,2,0),0),(_xlfn.IFNA(VLOOKUP($A383&amp;$E383&amp;$I383,PMsheet!$J:$K,2,0),0)*'Master Data-C19RM'!$D$2))</f>
        <v>0</v>
      </c>
      <c r="X383" s="441"/>
      <c r="Y383" s="441"/>
      <c r="Z383" s="441"/>
      <c r="AA383" s="441"/>
      <c r="AB383" s="481">
        <f t="shared" si="47"/>
        <v>0</v>
      </c>
      <c r="AC383" s="483">
        <f>IF(SETUP!$E$7="USD",(AB383*(IF(O383="USD",W383,(W383/'Master Data-C19RM'!$D$2)))),(AB383*(IF(O383="EUR",W383,(W383*'Master Data-C19RM'!$D$2)))))</f>
        <v>0</v>
      </c>
      <c r="AD383" s="444">
        <f>IF($O383="USD",_xlfn.IFNA(VLOOKUP($A383&amp;$E383&amp;$I383,PMsheet!$J:$K,2,0),0),(_xlfn.IFNA(VLOOKUP($A383&amp;$E383&amp;$I383,PMsheet!$J:$K,2,0),0)*'Master Data-C19RM'!$E$2))</f>
        <v>0</v>
      </c>
      <c r="AE383" s="441"/>
      <c r="AF383" s="441"/>
      <c r="AG383" s="441"/>
      <c r="AH383" s="441"/>
      <c r="AI383" s="512">
        <f t="shared" si="48"/>
        <v>0</v>
      </c>
      <c r="AJ383" s="513">
        <f>IF(SETUP!$E$7="USD",(AI383*(IF(O383="USD",AD383,(AD383/'Master Data-C19RM'!$E$2)))),(AI383*(IF(O383="EUR",AD383,(AD383*'Master Data-C19RM'!$E$2)))))</f>
        <v>0</v>
      </c>
      <c r="AK383" s="444">
        <f>IF($O383="USD",_xlfn.IFNA(VLOOKUP($A383&amp;$E383&amp;$I383,PMsheet!$J:$K,2,0),0),(_xlfn.IFNA(VLOOKUP($A383&amp;$E383&amp;$I383,PMsheet!$J:$K,2,0),0)*'Master Data-C19RM'!$F$2))</f>
        <v>0</v>
      </c>
      <c r="AL383" s="441"/>
      <c r="AM383" s="441"/>
      <c r="AN383" s="441"/>
      <c r="AO383" s="441"/>
      <c r="AP383" s="512">
        <f t="shared" si="49"/>
        <v>0</v>
      </c>
      <c r="AQ383" s="513">
        <f>IF(SETUP!$E$7="USD",(AP383*(IF(O383="USD",AK383,(AK383/'Master Data-C19RM'!$F$2)))),(AP383*(IF(O383="EUR",AK383,(AK383*'Master Data-C19RM'!$F$2)))))</f>
        <v>0</v>
      </c>
      <c r="AR383" s="924">
        <f>IF($O383="USD",_xlfn.IFNA(VLOOKUP($A383&amp;$E383&amp;$I383,PMsheet!$J:$K,2,0),0),(_xlfn.IFNA(VLOOKUP($A383&amp;$E383&amp;$I383,PMsheet!$J:$K,2,0),0)*'Master Data-C19RM'!$G$2))</f>
        <v>0</v>
      </c>
      <c r="AS383" s="572"/>
      <c r="AT383" s="572"/>
      <c r="AU383" s="572"/>
      <c r="AV383" s="572"/>
      <c r="AW383" s="512">
        <f t="shared" si="50"/>
        <v>0</v>
      </c>
      <c r="AX383" s="512">
        <f>IF(SETUP!$E$7="USD",(AW383*(IF(O383="USD",AR383,(AR383/'Master Data-C19RM'!$G$2)))),(AW383*(IF(O383="EUR",AR383,(AR383*'Master Data-C19RM'!$G$2)))))</f>
        <v>0</v>
      </c>
      <c r="AY383" s="845"/>
      <c r="AZ383" s="846"/>
      <c r="BA383" s="846"/>
      <c r="BB383" s="846"/>
      <c r="BC383" s="846"/>
      <c r="BD383" s="846"/>
      <c r="BE383" s="847"/>
      <c r="BF383" s="520">
        <f>'C19RM 2021-Lab &amp; Other HPS'!$U383+'C19RM 2021-Lab &amp; Other HPS'!$AB383+'C19RM 2021-Lab &amp; Other HPS'!$AP383+'C19RM 2021-Lab &amp; Other HPS'!$AI383+AW383+BD383</f>
        <v>0</v>
      </c>
      <c r="BG383" s="513">
        <f>'C19RM 2021-Lab &amp; Other HPS'!$V383+'C19RM 2021-Lab &amp; Other HPS'!$AC383+'C19RM 2021-Lab &amp; Other HPS'!$AQ383+'C19RM 2021-Lab &amp; Other HPS'!$AJ383+AX383+BE383</f>
        <v>0</v>
      </c>
      <c r="BH383" s="500" t="str" cm="1">
        <f t="array" ref="BH383">IF(A383&lt;&gt;"",IFERROR(INDEX(PMtbl[[WKst]:[Unit of measure*]],MATCH($A$330&amp;$A383&amp;$E383&amp;$I383,INDEX(PMtbl[Sec]&amp;PMtbl[Category]&amp;PMtbl[Each]&amp;PMtbl[Packaging],0,),0),11),""),"")</f>
        <v/>
      </c>
      <c r="BI383" s="819"/>
      <c r="BJ383" s="502" t="str" cm="1">
        <f t="array" ref="BJ383">IFERROR(INDEX(SETUP!$C$19:$G$121,MATCH((INDEX(PMtbl[[WKst]:[Unit of measure*]],MATCH($A383&amp;$E383&amp;$I383,INDEX(PMtbl[Category]&amp;PMtbl[Each]&amp;PMtbl[Packaging],0,),0),3)),SETUP!$D$19:$D$121,0),5),"")</f>
        <v/>
      </c>
      <c r="BK383" s="568" t="str" cm="1">
        <f t="array" ref="BK383">IFERROR(IF((INDEX(SETUP!$C$19:$G$121,MATCH((INDEX(PMtbl[[WKst]:[Unit of measure*]],MATCH($A383&amp;$E383&amp;$I383,INDEX(PMtbl[Category]&amp;PMtbl[Each]&amp;PMtbl[Packaging],0,),0),3)),SETUP!$D$19:$D$121,0),4))="Upfront",0,INDEX(SETUP!$C$19:$G$121,MATCH((INDEX(PMtbl[[WKst]:[Unit of measure*]],MATCH($A383&amp;$E383&amp;$I383,INDEX(PMtbl[Category]&amp;PMtbl[Each]&amp;PMtbl[Packaging],0,),0),3)),SETUP!$D$19:$D$121,0),5)),"")</f>
        <v/>
      </c>
      <c r="BL383" s="563" t="str" cm="1">
        <f t="array" ref="BL383">IF(E383&lt;&gt;"",IFERROR(INDEX(PMtbl[[WKst]:[Unit of measure*]],MATCH($A$330&amp;$A383&amp;$E383&amp;$I383,INDEX(PMtbl[Sec]&amp;PMtbl[Category]&amp;PMtbl[Each]&amp;PMtbl[Packaging],0,),0),11),""),"")</f>
        <v/>
      </c>
      <c r="BO383" s="448">
        <f>IF(N383="",0,IF(SETUP!$E$7="USD",((IF(O383="USD",P383,(P383/'Master Data-C19RM'!$C$2)))),((IF(O383="EUR",P383,(P383*'Master Data-C19RM'!$C$2))))))</f>
        <v>0</v>
      </c>
      <c r="BP383" s="448">
        <f>IF(N383="",0,IF(SETUP!$E$7="USD",((IF(O383="USD",W383,(W383/'Master Data-C19RM'!$D$2)))),((IF(O383="EUR",W383,(W383*'Master Data-C19RM'!$D$2))))))</f>
        <v>0</v>
      </c>
      <c r="BQ383" s="470">
        <f>IF(N383="",0,IF(SETUP!$E$7="USD",((IF(O383="USD",AD383,(AD383/'Master Data-C19RM'!$E$2)))),((IF(O383="EUR",AD383,(AD383*'Master Data-C19RM'!$E$2))))))</f>
        <v>0</v>
      </c>
      <c r="BR383" s="470">
        <f>IF(N383="",0,IF(SETUP!$E$7="USD",((IF(O383="USD",AK383,(AK383/'Master Data-C19RM'!$F$2)))),((IF(O383="EUR",AK383,(AK383*'Master Data-C19RM'!$F$2))))))</f>
        <v>0</v>
      </c>
      <c r="BS383" s="470">
        <f>IF(N383="",0,IF(SETUP!$E$7="USD",((IF(O383="USD",AR383,(AR383/'Master Data-C19RM'!$G$2)))),((IF(O383="EUR",AR383,(AR383*'Master Data-C19RM'!$G$2))))))</f>
        <v>0</v>
      </c>
      <c r="BT383" s="470">
        <f>IF(N383="",0,IF(SETUP!$E$7="USD",((IF(O383="USD",AY383,(AY383/'Master Data-C19RM'!$H$2)))),((IF(O383="EUR",AY383,(AY383*'Master Data-C19RM'!$H$2))))))</f>
        <v>0</v>
      </c>
      <c r="BU383" s="448">
        <f t="shared" si="45"/>
        <v>0</v>
      </c>
      <c r="BV383" s="562">
        <f t="shared" si="46"/>
        <v>0</v>
      </c>
      <c r="BW383" s="470"/>
      <c r="BX383" s="470"/>
      <c r="BY383" s="470"/>
      <c r="BZ383" s="470"/>
      <c r="CA383" s="470"/>
      <c r="CB383" s="470"/>
      <c r="CC383" s="470"/>
      <c r="CD383" s="470"/>
      <c r="CE383" s="470"/>
      <c r="CF383" s="470"/>
      <c r="CG383" s="470"/>
      <c r="CH383" s="470"/>
      <c r="CI383" s="470"/>
      <c r="CJ383" s="470"/>
      <c r="CK383" s="470"/>
      <c r="CL383" s="470"/>
      <c r="CM383" s="470"/>
      <c r="CN383" s="470"/>
      <c r="CO383" s="470"/>
      <c r="CP383" s="470"/>
    </row>
    <row r="384" spans="1:94" s="448" customFormat="1" ht="14" x14ac:dyDescent="0.3">
      <c r="A384" s="1197"/>
      <c r="B384" s="1198"/>
      <c r="C384" s="1198"/>
      <c r="D384" s="1199"/>
      <c r="E384" s="1173"/>
      <c r="F384" s="1173"/>
      <c r="G384" s="1173"/>
      <c r="H384" s="1173"/>
      <c r="I384" s="1173"/>
      <c r="J384" s="1173"/>
      <c r="K384" s="1173"/>
      <c r="L384" s="493" t="str" cm="1">
        <f t="array" ref="L384">IF(A384&lt;&gt;"",IFERROR(INDEX(PMtbl[[WKst]:[Unit of measure*]],MATCH($A$330&amp;$A384&amp;$E384&amp;$I384,INDEX(PMtbl[Sec]&amp;PMtbl[Category]&amp;PMtbl[Each]&amp;PMtbl[Packaging],0,),0),14),""),"")</f>
        <v/>
      </c>
      <c r="M384" s="480" t="str">
        <f>IF(L384="","",INDEX(SETUP!$E$20:$E$122,(MATCH(INDEX(PMsheet!$D:$E,MATCH(A384,PMsheet!E:E,0),1),SETUP!$D$20:$D$122,0))))</f>
        <v/>
      </c>
      <c r="N384" s="494">
        <f>IF($O384="USD",_xlfn.IFNA(VLOOKUP(A384&amp;E384&amp;I384,PMsheet!J:K,2,0),0),(_xlfn.IFNA(VLOOKUP(A384&amp;E384&amp;I384,PMsheet!J:K,2,0),0)*'Master Data-C19RM'!$C$2))</f>
        <v>0</v>
      </c>
      <c r="O384" s="495" t="str">
        <f>IF(L384="", "",SETUP!$E$7)</f>
        <v/>
      </c>
      <c r="P384" s="445">
        <f>IF($O384="USD",_xlfn.IFNA(VLOOKUP($A384&amp;$E384&amp;$I384,PMsheet!$J:$K,2,0),0),(_xlfn.IFNA(VLOOKUP($A384&amp;$E384&amp;$I384,PMsheet!$J:$K,2,0),0)*'Master Data-C19RM'!$C$2))</f>
        <v>0</v>
      </c>
      <c r="Q384" s="440"/>
      <c r="R384" s="440"/>
      <c r="S384" s="440"/>
      <c r="T384" s="440"/>
      <c r="U384" s="482">
        <f t="shared" si="44"/>
        <v>0</v>
      </c>
      <c r="V384" s="484">
        <f>IF(SETUP!$E$7="USD",(U384*(IF(O384="USD",P384,(P384/'Master Data-C19RM'!$C$2)))),(U384*(IF(O384="EUR",P384,(P384*'Master Data-C19RM'!$C$2)))))</f>
        <v>0</v>
      </c>
      <c r="W384" s="445">
        <f>IF($O384="USD",_xlfn.IFNA(VLOOKUP($A384&amp;$E384&amp;$I384,PMsheet!$J:$K,2,0),0),(_xlfn.IFNA(VLOOKUP($A384&amp;$E384&amp;$I384,PMsheet!$J:$K,2,0),0)*'Master Data-C19RM'!$D$2))</f>
        <v>0</v>
      </c>
      <c r="X384" s="440"/>
      <c r="Y384" s="440"/>
      <c r="Z384" s="440"/>
      <c r="AA384" s="440"/>
      <c r="AB384" s="482">
        <f t="shared" si="47"/>
        <v>0</v>
      </c>
      <c r="AC384" s="484">
        <f>IF(SETUP!$E$7="USD",(AB384*(IF(O384="USD",W384,(W384/'Master Data-C19RM'!$D$2)))),(AB384*(IF(O384="EUR",W384,(W384*'Master Data-C19RM'!$D$2)))))</f>
        <v>0</v>
      </c>
      <c r="AD384" s="445">
        <f>IF($O384="USD",_xlfn.IFNA(VLOOKUP($A384&amp;$E384&amp;$I384,PMsheet!$J:$K,2,0),0),(_xlfn.IFNA(VLOOKUP($A384&amp;$E384&amp;$I384,PMsheet!$J:$K,2,0),0)*'Master Data-C19RM'!$E$2))</f>
        <v>0</v>
      </c>
      <c r="AE384" s="440"/>
      <c r="AF384" s="440"/>
      <c r="AG384" s="440"/>
      <c r="AH384" s="440"/>
      <c r="AI384" s="514">
        <f t="shared" si="48"/>
        <v>0</v>
      </c>
      <c r="AJ384" s="515">
        <f>IF(SETUP!$E$7="USD",(AI384*(IF(O384="USD",AD384,(AD384/'Master Data-C19RM'!$E$2)))),(AI384*(IF(O384="EUR",AD384,(AD384*'Master Data-C19RM'!$E$2)))))</f>
        <v>0</v>
      </c>
      <c r="AK384" s="445">
        <f>IF($O384="USD",_xlfn.IFNA(VLOOKUP($A384&amp;$E384&amp;$I384,PMsheet!$J:$K,2,0),0),(_xlfn.IFNA(VLOOKUP($A384&amp;$E384&amp;$I384,PMsheet!$J:$K,2,0),0)*'Master Data-C19RM'!$F$2))</f>
        <v>0</v>
      </c>
      <c r="AL384" s="440"/>
      <c r="AM384" s="440"/>
      <c r="AN384" s="440"/>
      <c r="AO384" s="440"/>
      <c r="AP384" s="514">
        <f t="shared" si="49"/>
        <v>0</v>
      </c>
      <c r="AQ384" s="515">
        <f>IF(SETUP!$E$7="USD",(AP384*(IF(O384="USD",AK384,(AK384/'Master Data-C19RM'!$F$2)))),(AP384*(IF(O384="EUR",AK384,(AK384*'Master Data-C19RM'!$F$2)))))</f>
        <v>0</v>
      </c>
      <c r="AR384" s="925">
        <f>IF($O384="USD",_xlfn.IFNA(VLOOKUP($A384&amp;$E384&amp;$I384,PMsheet!$J:$K,2,0),0),(_xlfn.IFNA(VLOOKUP($A384&amp;$E384&amp;$I384,PMsheet!$J:$K,2,0),0)*'Master Data-C19RM'!$G$2))</f>
        <v>0</v>
      </c>
      <c r="AS384" s="926"/>
      <c r="AT384" s="926"/>
      <c r="AU384" s="926"/>
      <c r="AV384" s="926"/>
      <c r="AW384" s="514">
        <f t="shared" si="50"/>
        <v>0</v>
      </c>
      <c r="AX384" s="514">
        <f>IF(SETUP!$E$7="USD",(AW384*(IF(O384="USD",AR384,(AR384/'Master Data-C19RM'!$G$2)))),(AW384*(IF(O384="EUR",AR384,(AR384*'Master Data-C19RM'!$G$2)))))</f>
        <v>0</v>
      </c>
      <c r="AY384" s="845"/>
      <c r="AZ384" s="846"/>
      <c r="BA384" s="846"/>
      <c r="BB384" s="846"/>
      <c r="BC384" s="846"/>
      <c r="BD384" s="846"/>
      <c r="BE384" s="847"/>
      <c r="BF384" s="521">
        <f>'C19RM 2021-Lab &amp; Other HPS'!$U384+'C19RM 2021-Lab &amp; Other HPS'!$AB384+'C19RM 2021-Lab &amp; Other HPS'!$AP384+'C19RM 2021-Lab &amp; Other HPS'!$AI384+AW384+BD384</f>
        <v>0</v>
      </c>
      <c r="BG384" s="515">
        <f>'C19RM 2021-Lab &amp; Other HPS'!$V384+'C19RM 2021-Lab &amp; Other HPS'!$AC384+'C19RM 2021-Lab &amp; Other HPS'!$AQ384+'C19RM 2021-Lab &amp; Other HPS'!$AJ384+AX384+BE384</f>
        <v>0</v>
      </c>
      <c r="BH384" s="522" t="str" cm="1">
        <f t="array" ref="BH384">IF(A384&lt;&gt;"",IFERROR(INDEX(PMtbl[[WKst]:[Unit of measure*]],MATCH($A$330&amp;$A384&amp;$E384&amp;$I384,INDEX(PMtbl[Sec]&amp;PMtbl[Category]&amp;PMtbl[Each]&amp;PMtbl[Packaging],0,),0),11),""),"")</f>
        <v/>
      </c>
      <c r="BI384" s="818"/>
      <c r="BJ384" s="503" t="str" cm="1">
        <f t="array" ref="BJ384">IFERROR(INDEX(SETUP!$C$19:$G$121,MATCH((INDEX(PMtbl[[WKst]:[Unit of measure*]],MATCH($A384&amp;$E384&amp;$I384,INDEX(PMtbl[Category]&amp;PMtbl[Each]&amp;PMtbl[Packaging],0,),0),3)),SETUP!$D$19:$D$121,0),5),"")</f>
        <v/>
      </c>
      <c r="BK384" s="569"/>
      <c r="BL384" s="564"/>
      <c r="BO384" s="448">
        <f>IF(N384="",0,IF(SETUP!$E$7="USD",((IF(O384="USD",P384,(P384/'Master Data-C19RM'!$C$2)))),((IF(O384="EUR",P384,(P384*'Master Data-C19RM'!$C$2))))))</f>
        <v>0</v>
      </c>
      <c r="BP384" s="448">
        <f>IF(N384="",0,IF(SETUP!$E$7="USD",((IF(O384="USD",W384,(W384/'Master Data-C19RM'!$D$2)))),((IF(O384="EUR",W384,(W384*'Master Data-C19RM'!$D$2))))))</f>
        <v>0</v>
      </c>
      <c r="BQ384" s="470">
        <f>IF(N384="",0,IF(SETUP!$E$7="USD",((IF(O384="USD",AD384,(AD384/'Master Data-C19RM'!$E$2)))),((IF(O384="EUR",AD384,(AD384*'Master Data-C19RM'!$E$2))))))</f>
        <v>0</v>
      </c>
      <c r="BR384" s="470">
        <f>IF(N384="",0,IF(SETUP!$E$7="USD",((IF(O384="USD",AK384,(AK384/'Master Data-C19RM'!$F$2)))),((IF(O384="EUR",AK384,(AK384*'Master Data-C19RM'!$F$2))))))</f>
        <v>0</v>
      </c>
      <c r="BS384" s="470">
        <f>IF(N384="",0,IF(SETUP!$E$7="USD",((IF(O384="USD",AR384,(AR384/'Master Data-C19RM'!$G$2)))),((IF(O384="EUR",AR384,(AR384*'Master Data-C19RM'!$G$2))))))</f>
        <v>0</v>
      </c>
      <c r="BT384" s="470">
        <f>IF(N384="",0,IF(SETUP!$E$7="USD",((IF(O384="USD",AY384,(AY384/'Master Data-C19RM'!$H$2)))),((IF(O384="EUR",AY384,(AY384*'Master Data-C19RM'!$H$2))))))</f>
        <v>0</v>
      </c>
      <c r="BU384" s="448">
        <f t="shared" ref="BU384:BU433" si="51">IF(AND(L384="",(COUNTBLANK(A384:K384)=8)),1,0)</f>
        <v>0</v>
      </c>
      <c r="BV384" s="562">
        <f t="shared" ref="BV384:BV433" si="52">BF384</f>
        <v>0</v>
      </c>
      <c r="BW384" s="470"/>
      <c r="BX384" s="470"/>
      <c r="BY384" s="470"/>
      <c r="BZ384" s="470"/>
      <c r="CA384" s="470"/>
      <c r="CB384" s="470"/>
      <c r="CC384" s="470"/>
      <c r="CD384" s="470"/>
      <c r="CE384" s="470"/>
      <c r="CF384" s="470"/>
      <c r="CG384" s="470"/>
      <c r="CH384" s="470"/>
      <c r="CI384" s="470"/>
      <c r="CJ384" s="470"/>
      <c r="CK384" s="470"/>
      <c r="CL384" s="470"/>
      <c r="CM384" s="470"/>
      <c r="CN384" s="470"/>
      <c r="CO384" s="470"/>
      <c r="CP384" s="470"/>
    </row>
    <row r="385" spans="1:94" s="448" customFormat="1" ht="14" x14ac:dyDescent="0.3">
      <c r="A385" s="1200"/>
      <c r="B385" s="1201"/>
      <c r="C385" s="1201"/>
      <c r="D385" s="1202"/>
      <c r="E385" s="1166"/>
      <c r="F385" s="1166"/>
      <c r="G385" s="1166"/>
      <c r="H385" s="1166"/>
      <c r="I385" s="1166"/>
      <c r="J385" s="1166"/>
      <c r="K385" s="1166"/>
      <c r="L385" s="490" t="str" cm="1">
        <f t="array" ref="L385">IF(A385&lt;&gt;"",IFERROR(INDEX(PMtbl[[WKst]:[Unit of measure*]],MATCH($A$330&amp;$A385&amp;$E385&amp;$I385,INDEX(PMtbl[Sec]&amp;PMtbl[Category]&amp;PMtbl[Each]&amp;PMtbl[Packaging],0,),0),14),""),"")</f>
        <v/>
      </c>
      <c r="M385" s="479" t="str">
        <f>IF(L385="","",INDEX(SETUP!$E$20:$E$122,(MATCH(INDEX(PMsheet!$D:$E,MATCH(A385,PMsheet!E:E,0),1),SETUP!$D$20:$D$122,0))))</f>
        <v/>
      </c>
      <c r="N385" s="491">
        <f>IF($O385="USD",_xlfn.IFNA(VLOOKUP(A385&amp;E385&amp;I385,PMsheet!J:K,2,0),0),(_xlfn.IFNA(VLOOKUP(A385&amp;E385&amp;I385,PMsheet!J:K,2,0),0)*'Master Data-C19RM'!$C$2))</f>
        <v>0</v>
      </c>
      <c r="O385" s="492" t="str">
        <f>IF(L385="", "",SETUP!$E$7)</f>
        <v/>
      </c>
      <c r="P385" s="444">
        <f>IF($O385="USD",_xlfn.IFNA(VLOOKUP($A385&amp;$E385&amp;$I385,PMsheet!$J:$K,2,0),0),(_xlfn.IFNA(VLOOKUP($A385&amp;$E385&amp;$I385,PMsheet!$J:$K,2,0),0)*'Master Data-C19RM'!$C$2))</f>
        <v>0</v>
      </c>
      <c r="Q385" s="441"/>
      <c r="R385" s="441"/>
      <c r="S385" s="441"/>
      <c r="T385" s="441"/>
      <c r="U385" s="481">
        <f t="shared" si="44"/>
        <v>0</v>
      </c>
      <c r="V385" s="483">
        <f>IF(SETUP!$E$7="USD",(U385*(IF(O385="USD",P385,(P385/'Master Data-C19RM'!$C$2)))),(U385*(IF(O385="EUR",P385,(P385*'Master Data-C19RM'!$C$2)))))</f>
        <v>0</v>
      </c>
      <c r="W385" s="444">
        <f>IF($O385="USD",_xlfn.IFNA(VLOOKUP($A385&amp;$E385&amp;$I385,PMsheet!$J:$K,2,0),0),(_xlfn.IFNA(VLOOKUP($A385&amp;$E385&amp;$I385,PMsheet!$J:$K,2,0),0)*'Master Data-C19RM'!$D$2))</f>
        <v>0</v>
      </c>
      <c r="X385" s="441"/>
      <c r="Y385" s="441"/>
      <c r="Z385" s="441"/>
      <c r="AA385" s="441"/>
      <c r="AB385" s="481">
        <f t="shared" si="47"/>
        <v>0</v>
      </c>
      <c r="AC385" s="483">
        <f>IF(SETUP!$E$7="USD",(AB385*(IF(O385="USD",W385,(W385/'Master Data-C19RM'!$D$2)))),(AB385*(IF(O385="EUR",W385,(W385*'Master Data-C19RM'!$D$2)))))</f>
        <v>0</v>
      </c>
      <c r="AD385" s="444">
        <f>IF($O385="USD",_xlfn.IFNA(VLOOKUP($A385&amp;$E385&amp;$I385,PMsheet!$J:$K,2,0),0),(_xlfn.IFNA(VLOOKUP($A385&amp;$E385&amp;$I385,PMsheet!$J:$K,2,0),0)*'Master Data-C19RM'!$E$2))</f>
        <v>0</v>
      </c>
      <c r="AE385" s="441"/>
      <c r="AF385" s="441"/>
      <c r="AG385" s="441"/>
      <c r="AH385" s="441"/>
      <c r="AI385" s="512">
        <f t="shared" si="48"/>
        <v>0</v>
      </c>
      <c r="AJ385" s="513">
        <f>IF(SETUP!$E$7="USD",(AI385*(IF(O385="USD",AD385,(AD385/'Master Data-C19RM'!$E$2)))),(AI385*(IF(O385="EUR",AD385,(AD385*'Master Data-C19RM'!$E$2)))))</f>
        <v>0</v>
      </c>
      <c r="AK385" s="444">
        <f>IF($O385="USD",_xlfn.IFNA(VLOOKUP($A385&amp;$E385&amp;$I385,PMsheet!$J:$K,2,0),0),(_xlfn.IFNA(VLOOKUP($A385&amp;$E385&amp;$I385,PMsheet!$J:$K,2,0),0)*'Master Data-C19RM'!$F$2))</f>
        <v>0</v>
      </c>
      <c r="AL385" s="441"/>
      <c r="AM385" s="441"/>
      <c r="AN385" s="441"/>
      <c r="AO385" s="441"/>
      <c r="AP385" s="512">
        <f t="shared" si="49"/>
        <v>0</v>
      </c>
      <c r="AQ385" s="513">
        <f>IF(SETUP!$E$7="USD",(AP385*(IF(O385="USD",AK385,(AK385/'Master Data-C19RM'!$F$2)))),(AP385*(IF(O385="EUR",AK385,(AK385*'Master Data-C19RM'!$F$2)))))</f>
        <v>0</v>
      </c>
      <c r="AR385" s="924">
        <f>IF($O385="USD",_xlfn.IFNA(VLOOKUP($A385&amp;$E385&amp;$I385,PMsheet!$J:$K,2,0),0),(_xlfn.IFNA(VLOOKUP($A385&amp;$E385&amp;$I385,PMsheet!$J:$K,2,0),0)*'Master Data-C19RM'!$G$2))</f>
        <v>0</v>
      </c>
      <c r="AS385" s="572"/>
      <c r="AT385" s="572"/>
      <c r="AU385" s="572"/>
      <c r="AV385" s="572"/>
      <c r="AW385" s="512">
        <f t="shared" si="50"/>
        <v>0</v>
      </c>
      <c r="AX385" s="512">
        <f>IF(SETUP!$E$7="USD",(AW385*(IF(O385="USD",AR385,(AR385/'Master Data-C19RM'!$G$2)))),(AW385*(IF(O385="EUR",AR385,(AR385*'Master Data-C19RM'!$G$2)))))</f>
        <v>0</v>
      </c>
      <c r="AY385" s="845"/>
      <c r="AZ385" s="846"/>
      <c r="BA385" s="846"/>
      <c r="BB385" s="846"/>
      <c r="BC385" s="846"/>
      <c r="BD385" s="846"/>
      <c r="BE385" s="847"/>
      <c r="BF385" s="520">
        <f>'C19RM 2021-Lab &amp; Other HPS'!$U385+'C19RM 2021-Lab &amp; Other HPS'!$AB385+'C19RM 2021-Lab &amp; Other HPS'!$AP385+'C19RM 2021-Lab &amp; Other HPS'!$AI385+AW385+BD385</f>
        <v>0</v>
      </c>
      <c r="BG385" s="513">
        <f>'C19RM 2021-Lab &amp; Other HPS'!$V385+'C19RM 2021-Lab &amp; Other HPS'!$AC385+'C19RM 2021-Lab &amp; Other HPS'!$AQ385+'C19RM 2021-Lab &amp; Other HPS'!$AJ385+AX385+BE385</f>
        <v>0</v>
      </c>
      <c r="BH385" s="500" t="str" cm="1">
        <f t="array" ref="BH385">IF(A385&lt;&gt;"",IFERROR(INDEX(PMtbl[[WKst]:[Unit of measure*]],MATCH($A$330&amp;$A385&amp;$E385&amp;$I385,INDEX(PMtbl[Sec]&amp;PMtbl[Category]&amp;PMtbl[Each]&amp;PMtbl[Packaging],0,),0),11),""),"")</f>
        <v/>
      </c>
      <c r="BI385" s="819"/>
      <c r="BJ385" s="502" t="str" cm="1">
        <f t="array" ref="BJ385">IFERROR(INDEX(SETUP!$C$19:$G$121,MATCH((INDEX(PMtbl[[WKst]:[Unit of measure*]],MATCH($A385&amp;$E385&amp;$I385,INDEX(PMtbl[Category]&amp;PMtbl[Each]&amp;PMtbl[Packaging],0,),0),3)),SETUP!$D$19:$D$121,0),5),"")</f>
        <v/>
      </c>
      <c r="BK385" s="568"/>
      <c r="BL385" s="563"/>
      <c r="BO385" s="448">
        <f>IF(N385="",0,IF(SETUP!$E$7="USD",((IF(O385="USD",P385,(P385/'Master Data-C19RM'!$C$2)))),((IF(O385="EUR",P385,(P385*'Master Data-C19RM'!$C$2))))))</f>
        <v>0</v>
      </c>
      <c r="BP385" s="448">
        <f>IF(N385="",0,IF(SETUP!$E$7="USD",((IF(O385="USD",W385,(W385/'Master Data-C19RM'!$D$2)))),((IF(O385="EUR",W385,(W385*'Master Data-C19RM'!$D$2))))))</f>
        <v>0</v>
      </c>
      <c r="BQ385" s="470">
        <f>IF(N385="",0,IF(SETUP!$E$7="USD",((IF(O385="USD",AD385,(AD385/'Master Data-C19RM'!$E$2)))),((IF(O385="EUR",AD385,(AD385*'Master Data-C19RM'!$E$2))))))</f>
        <v>0</v>
      </c>
      <c r="BR385" s="470">
        <f>IF(N385="",0,IF(SETUP!$E$7="USD",((IF(O385="USD",AK385,(AK385/'Master Data-C19RM'!$F$2)))),((IF(O385="EUR",AK385,(AK385*'Master Data-C19RM'!$F$2))))))</f>
        <v>0</v>
      </c>
      <c r="BS385" s="470">
        <f>IF(N385="",0,IF(SETUP!$E$7="USD",((IF(O385="USD",AR385,(AR385/'Master Data-C19RM'!$G$2)))),((IF(O385="EUR",AR385,(AR385*'Master Data-C19RM'!$G$2))))))</f>
        <v>0</v>
      </c>
      <c r="BT385" s="470">
        <f>IF(N385="",0,IF(SETUP!$E$7="USD",((IF(O385="USD",AY385,(AY385/'Master Data-C19RM'!$H$2)))),((IF(O385="EUR",AY385,(AY385*'Master Data-C19RM'!$H$2))))))</f>
        <v>0</v>
      </c>
      <c r="BU385" s="448">
        <f t="shared" si="51"/>
        <v>0</v>
      </c>
      <c r="BV385" s="562">
        <f t="shared" si="52"/>
        <v>0</v>
      </c>
      <c r="BW385" s="470"/>
      <c r="BX385" s="470"/>
      <c r="BY385" s="470"/>
      <c r="BZ385" s="470"/>
      <c r="CA385" s="470"/>
      <c r="CB385" s="470"/>
      <c r="CC385" s="470"/>
      <c r="CD385" s="470"/>
      <c r="CE385" s="470"/>
      <c r="CF385" s="470"/>
      <c r="CG385" s="470"/>
      <c r="CH385" s="470"/>
      <c r="CI385" s="470"/>
      <c r="CJ385" s="470"/>
      <c r="CK385" s="470"/>
      <c r="CL385" s="470"/>
      <c r="CM385" s="470"/>
      <c r="CN385" s="470"/>
      <c r="CO385" s="470"/>
      <c r="CP385" s="470"/>
    </row>
    <row r="386" spans="1:94" s="448" customFormat="1" ht="14" x14ac:dyDescent="0.3">
      <c r="A386" s="1197"/>
      <c r="B386" s="1198"/>
      <c r="C386" s="1198"/>
      <c r="D386" s="1199"/>
      <c r="E386" s="1173"/>
      <c r="F386" s="1173"/>
      <c r="G386" s="1173"/>
      <c r="H386" s="1173"/>
      <c r="I386" s="1173"/>
      <c r="J386" s="1173"/>
      <c r="K386" s="1173"/>
      <c r="L386" s="493" t="str" cm="1">
        <f t="array" ref="L386">IF(A386&lt;&gt;"",IFERROR(INDEX(PMtbl[[WKst]:[Unit of measure*]],MATCH($A$330&amp;$A386&amp;$E386&amp;$I386,INDEX(PMtbl[Sec]&amp;PMtbl[Category]&amp;PMtbl[Each]&amp;PMtbl[Packaging],0,),0),14),""),"")</f>
        <v/>
      </c>
      <c r="M386" s="480" t="str">
        <f>IF(L386="","",INDEX(SETUP!$E$20:$E$122,(MATCH(INDEX(PMsheet!$D:$E,MATCH(A386,PMsheet!E:E,0),1),SETUP!$D$20:$D$122,0))))</f>
        <v/>
      </c>
      <c r="N386" s="494">
        <f>IF($O386="USD",_xlfn.IFNA(VLOOKUP(A386&amp;E386&amp;I386,PMsheet!J:K,2,0),0),(_xlfn.IFNA(VLOOKUP(A386&amp;E386&amp;I386,PMsheet!J:K,2,0),0)*'Master Data-C19RM'!$C$2))</f>
        <v>0</v>
      </c>
      <c r="O386" s="495" t="str">
        <f>IF(L386="", "",SETUP!$E$7)</f>
        <v/>
      </c>
      <c r="P386" s="445">
        <f>IF($O386="USD",_xlfn.IFNA(VLOOKUP($A386&amp;$E386&amp;$I386,PMsheet!$J:$K,2,0),0),(_xlfn.IFNA(VLOOKUP($A386&amp;$E386&amp;$I386,PMsheet!$J:$K,2,0),0)*'Master Data-C19RM'!$C$2))</f>
        <v>0</v>
      </c>
      <c r="Q386" s="440"/>
      <c r="R386" s="440"/>
      <c r="S386" s="440"/>
      <c r="T386" s="440"/>
      <c r="U386" s="482">
        <f t="shared" si="44"/>
        <v>0</v>
      </c>
      <c r="V386" s="484">
        <f>IF(SETUP!$E$7="USD",(U386*(IF(O386="USD",P386,(P386/'Master Data-C19RM'!$C$2)))),(U386*(IF(O386="EUR",P386,(P386*'Master Data-C19RM'!$C$2)))))</f>
        <v>0</v>
      </c>
      <c r="W386" s="445">
        <f>IF($O386="USD",_xlfn.IFNA(VLOOKUP($A386&amp;$E386&amp;$I386,PMsheet!$J:$K,2,0),0),(_xlfn.IFNA(VLOOKUP($A386&amp;$E386&amp;$I386,PMsheet!$J:$K,2,0),0)*'Master Data-C19RM'!$D$2))</f>
        <v>0</v>
      </c>
      <c r="X386" s="440"/>
      <c r="Y386" s="440"/>
      <c r="Z386" s="440"/>
      <c r="AA386" s="440"/>
      <c r="AB386" s="482">
        <f t="shared" si="47"/>
        <v>0</v>
      </c>
      <c r="AC386" s="484">
        <f>IF(SETUP!$E$7="USD",(AB386*(IF(O386="USD",W386,(W386/'Master Data-C19RM'!$D$2)))),(AB386*(IF(O386="EUR",W386,(W386*'Master Data-C19RM'!$D$2)))))</f>
        <v>0</v>
      </c>
      <c r="AD386" s="445">
        <f>IF($O386="USD",_xlfn.IFNA(VLOOKUP($A386&amp;$E386&amp;$I386,PMsheet!$J:$K,2,0),0),(_xlfn.IFNA(VLOOKUP($A386&amp;$E386&amp;$I386,PMsheet!$J:$K,2,0),0)*'Master Data-C19RM'!$E$2))</f>
        <v>0</v>
      </c>
      <c r="AE386" s="440"/>
      <c r="AF386" s="440"/>
      <c r="AG386" s="440"/>
      <c r="AH386" s="440"/>
      <c r="AI386" s="514">
        <f t="shared" si="48"/>
        <v>0</v>
      </c>
      <c r="AJ386" s="515">
        <f>IF(SETUP!$E$7="USD",(AI386*(IF(O386="USD",AD386,(AD386/'Master Data-C19RM'!$E$2)))),(AI386*(IF(O386="EUR",AD386,(AD386*'Master Data-C19RM'!$E$2)))))</f>
        <v>0</v>
      </c>
      <c r="AK386" s="445">
        <f>IF($O386="USD",_xlfn.IFNA(VLOOKUP($A386&amp;$E386&amp;$I386,PMsheet!$J:$K,2,0),0),(_xlfn.IFNA(VLOOKUP($A386&amp;$E386&amp;$I386,PMsheet!$J:$K,2,0),0)*'Master Data-C19RM'!$F$2))</f>
        <v>0</v>
      </c>
      <c r="AL386" s="440"/>
      <c r="AM386" s="440"/>
      <c r="AN386" s="440"/>
      <c r="AO386" s="440"/>
      <c r="AP386" s="514">
        <f t="shared" si="49"/>
        <v>0</v>
      </c>
      <c r="AQ386" s="515">
        <f>IF(SETUP!$E$7="USD",(AP386*(IF(O386="USD",AK386,(AK386/'Master Data-C19RM'!$F$2)))),(AP386*(IF(O386="EUR",AK386,(AK386*'Master Data-C19RM'!$F$2)))))</f>
        <v>0</v>
      </c>
      <c r="AR386" s="925">
        <f>IF($O386="USD",_xlfn.IFNA(VLOOKUP($A386&amp;$E386&amp;$I386,PMsheet!$J:$K,2,0),0),(_xlfn.IFNA(VLOOKUP($A386&amp;$E386&amp;$I386,PMsheet!$J:$K,2,0),0)*'Master Data-C19RM'!$G$2))</f>
        <v>0</v>
      </c>
      <c r="AS386" s="926"/>
      <c r="AT386" s="926"/>
      <c r="AU386" s="926"/>
      <c r="AV386" s="926"/>
      <c r="AW386" s="514">
        <f t="shared" si="50"/>
        <v>0</v>
      </c>
      <c r="AX386" s="514">
        <f>IF(SETUP!$E$7="USD",(AW386*(IF(O386="USD",AR386,(AR386/'Master Data-C19RM'!$G$2)))),(AW386*(IF(O386="EUR",AR386,(AR386*'Master Data-C19RM'!$G$2)))))</f>
        <v>0</v>
      </c>
      <c r="AY386" s="845"/>
      <c r="AZ386" s="846"/>
      <c r="BA386" s="846"/>
      <c r="BB386" s="846"/>
      <c r="BC386" s="846"/>
      <c r="BD386" s="846"/>
      <c r="BE386" s="847"/>
      <c r="BF386" s="521">
        <f>'C19RM 2021-Lab &amp; Other HPS'!$U386+'C19RM 2021-Lab &amp; Other HPS'!$AB386+'C19RM 2021-Lab &amp; Other HPS'!$AP386+'C19RM 2021-Lab &amp; Other HPS'!$AI386+AW386+BD386</f>
        <v>0</v>
      </c>
      <c r="BG386" s="515">
        <f>'C19RM 2021-Lab &amp; Other HPS'!$V386+'C19RM 2021-Lab &amp; Other HPS'!$AC386+'C19RM 2021-Lab &amp; Other HPS'!$AQ386+'C19RM 2021-Lab &amp; Other HPS'!$AJ386+AX386+BE386</f>
        <v>0</v>
      </c>
      <c r="BH386" s="522" t="str" cm="1">
        <f t="array" ref="BH386">IF(A386&lt;&gt;"",IFERROR(INDEX(PMtbl[[WKst]:[Unit of measure*]],MATCH($A$330&amp;$A386&amp;$E386&amp;$I386,INDEX(PMtbl[Sec]&amp;PMtbl[Category]&amp;PMtbl[Each]&amp;PMtbl[Packaging],0,),0),11),""),"")</f>
        <v/>
      </c>
      <c r="BI386" s="818"/>
      <c r="BJ386" s="503" t="str" cm="1">
        <f t="array" ref="BJ386">IFERROR(INDEX(SETUP!$C$19:$G$121,MATCH((INDEX(PMtbl[[WKst]:[Unit of measure*]],MATCH($A386&amp;$E386&amp;$I386,INDEX(PMtbl[Category]&amp;PMtbl[Each]&amp;PMtbl[Packaging],0,),0),3)),SETUP!$D$19:$D$121,0),5),"")</f>
        <v/>
      </c>
      <c r="BK386" s="569"/>
      <c r="BL386" s="564"/>
      <c r="BO386" s="448">
        <f>IF(N386="",0,IF(SETUP!$E$7="USD",((IF(O386="USD",P386,(P386/'Master Data-C19RM'!$C$2)))),((IF(O386="EUR",P386,(P386*'Master Data-C19RM'!$C$2))))))</f>
        <v>0</v>
      </c>
      <c r="BP386" s="448">
        <f>IF(N386="",0,IF(SETUP!$E$7="USD",((IF(O386="USD",W386,(W386/'Master Data-C19RM'!$D$2)))),((IF(O386="EUR",W386,(W386*'Master Data-C19RM'!$D$2))))))</f>
        <v>0</v>
      </c>
      <c r="BQ386" s="470">
        <f>IF(N386="",0,IF(SETUP!$E$7="USD",((IF(O386="USD",AD386,(AD386/'Master Data-C19RM'!$E$2)))),((IF(O386="EUR",AD386,(AD386*'Master Data-C19RM'!$E$2))))))</f>
        <v>0</v>
      </c>
      <c r="BR386" s="470">
        <f>IF(N386="",0,IF(SETUP!$E$7="USD",((IF(O386="USD",AK386,(AK386/'Master Data-C19RM'!$F$2)))),((IF(O386="EUR",AK386,(AK386*'Master Data-C19RM'!$F$2))))))</f>
        <v>0</v>
      </c>
      <c r="BS386" s="470">
        <f>IF(N386="",0,IF(SETUP!$E$7="USD",((IF(O386="USD",AR386,(AR386/'Master Data-C19RM'!$G$2)))),((IF(O386="EUR",AR386,(AR386*'Master Data-C19RM'!$G$2))))))</f>
        <v>0</v>
      </c>
      <c r="BT386" s="470">
        <f>IF(N386="",0,IF(SETUP!$E$7="USD",((IF(O386="USD",AY386,(AY386/'Master Data-C19RM'!$H$2)))),((IF(O386="EUR",AY386,(AY386*'Master Data-C19RM'!$H$2))))))</f>
        <v>0</v>
      </c>
      <c r="BU386" s="448">
        <f t="shared" si="51"/>
        <v>0</v>
      </c>
      <c r="BV386" s="562">
        <f t="shared" si="52"/>
        <v>0</v>
      </c>
      <c r="BW386" s="470"/>
      <c r="BX386" s="470"/>
      <c r="BY386" s="470"/>
      <c r="BZ386" s="470"/>
      <c r="CA386" s="470"/>
      <c r="CB386" s="470"/>
      <c r="CC386" s="470"/>
      <c r="CD386" s="470"/>
      <c r="CE386" s="470"/>
      <c r="CF386" s="470"/>
      <c r="CG386" s="470"/>
      <c r="CH386" s="470"/>
      <c r="CI386" s="470"/>
      <c r="CJ386" s="470"/>
      <c r="CK386" s="470"/>
      <c r="CL386" s="470"/>
      <c r="CM386" s="470"/>
      <c r="CN386" s="470"/>
      <c r="CO386" s="470"/>
      <c r="CP386" s="470"/>
    </row>
    <row r="387" spans="1:94" s="448" customFormat="1" ht="14" x14ac:dyDescent="0.3">
      <c r="A387" s="1165"/>
      <c r="B387" s="1165"/>
      <c r="C387" s="1165"/>
      <c r="D387" s="1165"/>
      <c r="E387" s="1166"/>
      <c r="F387" s="1166"/>
      <c r="G387" s="1166"/>
      <c r="H387" s="1166"/>
      <c r="I387" s="1166"/>
      <c r="J387" s="1166"/>
      <c r="K387" s="1166"/>
      <c r="L387" s="490" t="str" cm="1">
        <f t="array" ref="L387">IF(A387&lt;&gt;"",IFERROR(INDEX(PMtbl[[WKst]:[Unit of measure*]],MATCH($A$330&amp;$A387&amp;$E387&amp;$I387,INDEX(PMtbl[Sec]&amp;PMtbl[Category]&amp;PMtbl[Each]&amp;PMtbl[Packaging],0,),0),14),""),"")</f>
        <v/>
      </c>
      <c r="M387" s="479" t="str">
        <f>IF(L387="","",INDEX(SETUP!$E$20:$E$122,(MATCH(INDEX(PMsheet!$D:$E,MATCH(A387,PMsheet!E:E,0),1),SETUP!$D$20:$D$122,0))))</f>
        <v/>
      </c>
      <c r="N387" s="491">
        <f>IF($O387="USD",_xlfn.IFNA(VLOOKUP(A387&amp;E387&amp;I387,PMsheet!J:K,2,0),0),(_xlfn.IFNA(VLOOKUP(A387&amp;E387&amp;I387,PMsheet!J:K,2,0),0)*'Master Data-C19RM'!$C$2))</f>
        <v>0</v>
      </c>
      <c r="O387" s="492" t="str">
        <f>IF(L387="", "",SETUP!$E$7)</f>
        <v/>
      </c>
      <c r="P387" s="444">
        <f>IF($O387="USD",_xlfn.IFNA(VLOOKUP($A387&amp;$E387&amp;$I387,PMsheet!$J:$K,2,0),0),(_xlfn.IFNA(VLOOKUP($A387&amp;$E387&amp;$I387,PMsheet!$J:$K,2,0),0)*'Master Data-C19RM'!$C$2))</f>
        <v>0</v>
      </c>
      <c r="Q387" s="441"/>
      <c r="R387" s="441"/>
      <c r="S387" s="441"/>
      <c r="T387" s="441"/>
      <c r="U387" s="481">
        <f t="shared" si="44"/>
        <v>0</v>
      </c>
      <c r="V387" s="483">
        <f>IF(SETUP!$E$7="USD",(U387*(IF(O387="USD",P387,(P387/'Master Data-C19RM'!$C$2)))),(U387*(IF(O387="EUR",P387,(P387*'Master Data-C19RM'!$C$2)))))</f>
        <v>0</v>
      </c>
      <c r="W387" s="444">
        <f>IF($O387="USD",_xlfn.IFNA(VLOOKUP($A387&amp;$E387&amp;$I387,PMsheet!$J:$K,2,0),0),(_xlfn.IFNA(VLOOKUP($A387&amp;$E387&amp;$I387,PMsheet!$J:$K,2,0),0)*'Master Data-C19RM'!$D$2))</f>
        <v>0</v>
      </c>
      <c r="X387" s="441"/>
      <c r="Y387" s="441"/>
      <c r="Z387" s="441"/>
      <c r="AA387" s="441"/>
      <c r="AB387" s="481">
        <f t="shared" si="47"/>
        <v>0</v>
      </c>
      <c r="AC387" s="483">
        <f>IF(SETUP!$E$7="USD",(AB387*(IF(O387="USD",W387,(W387/'Master Data-C19RM'!$D$2)))),(AB387*(IF(O387="EUR",W387,(W387*'Master Data-C19RM'!$D$2)))))</f>
        <v>0</v>
      </c>
      <c r="AD387" s="444">
        <f>IF($O387="USD",_xlfn.IFNA(VLOOKUP($A387&amp;$E387&amp;$I387,PMsheet!$J:$K,2,0),0),(_xlfn.IFNA(VLOOKUP($A387&amp;$E387&amp;$I387,PMsheet!$J:$K,2,0),0)*'Master Data-C19RM'!$E$2))</f>
        <v>0</v>
      </c>
      <c r="AE387" s="441"/>
      <c r="AF387" s="441"/>
      <c r="AG387" s="441"/>
      <c r="AH387" s="441"/>
      <c r="AI387" s="512">
        <f t="shared" si="48"/>
        <v>0</v>
      </c>
      <c r="AJ387" s="513">
        <f>IF(SETUP!$E$7="USD",(AI387*(IF(O387="USD",AD387,(AD387/'Master Data-C19RM'!$E$2)))),(AI387*(IF(O387="EUR",AD387,(AD387*'Master Data-C19RM'!$E$2)))))</f>
        <v>0</v>
      </c>
      <c r="AK387" s="444">
        <f>IF($O387="USD",_xlfn.IFNA(VLOOKUP($A387&amp;$E387&amp;$I387,PMsheet!$J:$K,2,0),0),(_xlfn.IFNA(VLOOKUP($A387&amp;$E387&amp;$I387,PMsheet!$J:$K,2,0),0)*'Master Data-C19RM'!$F$2))</f>
        <v>0</v>
      </c>
      <c r="AL387" s="441"/>
      <c r="AM387" s="441"/>
      <c r="AN387" s="441"/>
      <c r="AO387" s="441"/>
      <c r="AP387" s="512">
        <f t="shared" si="49"/>
        <v>0</v>
      </c>
      <c r="AQ387" s="513">
        <f>IF(SETUP!$E$7="USD",(AP387*(IF(O387="USD",AK387,(AK387/'Master Data-C19RM'!$F$2)))),(AP387*(IF(O387="EUR",AK387,(AK387*'Master Data-C19RM'!$F$2)))))</f>
        <v>0</v>
      </c>
      <c r="AR387" s="924">
        <f>IF($O387="USD",_xlfn.IFNA(VLOOKUP($A387&amp;$E387&amp;$I387,PMsheet!$J:$K,2,0),0),(_xlfn.IFNA(VLOOKUP($A387&amp;$E387&amp;$I387,PMsheet!$J:$K,2,0),0)*'Master Data-C19RM'!$G$2))</f>
        <v>0</v>
      </c>
      <c r="AS387" s="572"/>
      <c r="AT387" s="572"/>
      <c r="AU387" s="572"/>
      <c r="AV387" s="572"/>
      <c r="AW387" s="512">
        <f t="shared" si="50"/>
        <v>0</v>
      </c>
      <c r="AX387" s="512">
        <f>IF(SETUP!$E$7="USD",(AW387*(IF(O387="USD",AR387,(AR387/'Master Data-C19RM'!$G$2)))),(AW387*(IF(O387="EUR",AR387,(AR387*'Master Data-C19RM'!$G$2)))))</f>
        <v>0</v>
      </c>
      <c r="AY387" s="845"/>
      <c r="AZ387" s="846"/>
      <c r="BA387" s="846"/>
      <c r="BB387" s="846"/>
      <c r="BC387" s="846"/>
      <c r="BD387" s="846"/>
      <c r="BE387" s="847"/>
      <c r="BF387" s="520">
        <f>'C19RM 2021-Lab &amp; Other HPS'!$U387+'C19RM 2021-Lab &amp; Other HPS'!$AB387+'C19RM 2021-Lab &amp; Other HPS'!$AP387+'C19RM 2021-Lab &amp; Other HPS'!$AI387+AW387+BD387</f>
        <v>0</v>
      </c>
      <c r="BG387" s="513">
        <f>'C19RM 2021-Lab &amp; Other HPS'!$V387+'C19RM 2021-Lab &amp; Other HPS'!$AC387+'C19RM 2021-Lab &amp; Other HPS'!$AQ387+'C19RM 2021-Lab &amp; Other HPS'!$AJ387+AX387+BE387</f>
        <v>0</v>
      </c>
      <c r="BH387" s="500" t="str" cm="1">
        <f t="array" ref="BH387">IF(A387&lt;&gt;"",IFERROR(INDEX(PMtbl[[WKst]:[Unit of measure*]],MATCH($A$330&amp;$A387&amp;$E387&amp;$I387,INDEX(PMtbl[Sec]&amp;PMtbl[Category]&amp;PMtbl[Each]&amp;PMtbl[Packaging],0,),0),11),""),"")</f>
        <v/>
      </c>
      <c r="BI387" s="819"/>
      <c r="BJ387" s="502" t="str" cm="1">
        <f t="array" ref="BJ387">IFERROR(INDEX(SETUP!$C$19:$G$121,MATCH((INDEX(PMtbl[[WKst]:[Unit of measure*]],MATCH($A387&amp;$E387&amp;$I387,INDEX(PMtbl[Category]&amp;PMtbl[Each]&amp;PMtbl[Packaging],0,),0),3)),SETUP!$D$19:$D$121,0),5),"")</f>
        <v/>
      </c>
      <c r="BK387" s="568"/>
      <c r="BL387" s="563"/>
      <c r="BO387" s="448">
        <f>IF(N387="",0,IF(SETUP!$E$7="USD",((IF(O387="USD",P387,(P387/'Master Data-C19RM'!$C$2)))),((IF(O387="EUR",P387,(P387*'Master Data-C19RM'!$C$2))))))</f>
        <v>0</v>
      </c>
      <c r="BP387" s="448">
        <f>IF(N387="",0,IF(SETUP!$E$7="USD",((IF(O387="USD",W387,(W387/'Master Data-C19RM'!$D$2)))),((IF(O387="EUR",W387,(W387*'Master Data-C19RM'!$D$2))))))</f>
        <v>0</v>
      </c>
      <c r="BQ387" s="470">
        <f>IF(N387="",0,IF(SETUP!$E$7="USD",((IF(O387="USD",AD387,(AD387/'Master Data-C19RM'!$E$2)))),((IF(O387="EUR",AD387,(AD387*'Master Data-C19RM'!$E$2))))))</f>
        <v>0</v>
      </c>
      <c r="BR387" s="470">
        <f>IF(N387="",0,IF(SETUP!$E$7="USD",((IF(O387="USD",AK387,(AK387/'Master Data-C19RM'!$F$2)))),((IF(O387="EUR",AK387,(AK387*'Master Data-C19RM'!$F$2))))))</f>
        <v>0</v>
      </c>
      <c r="BS387" s="470">
        <f>IF(N387="",0,IF(SETUP!$E$7="USD",((IF(O387="USD",AR387,(AR387/'Master Data-C19RM'!$G$2)))),((IF(O387="EUR",AR387,(AR387*'Master Data-C19RM'!$G$2))))))</f>
        <v>0</v>
      </c>
      <c r="BT387" s="470">
        <f>IF(N387="",0,IF(SETUP!$E$7="USD",((IF(O387="USD",AY387,(AY387/'Master Data-C19RM'!$H$2)))),((IF(O387="EUR",AY387,(AY387*'Master Data-C19RM'!$H$2))))))</f>
        <v>0</v>
      </c>
      <c r="BU387" s="448">
        <f t="shared" si="51"/>
        <v>0</v>
      </c>
      <c r="BV387" s="562">
        <f t="shared" si="52"/>
        <v>0</v>
      </c>
      <c r="BW387" s="470"/>
      <c r="BX387" s="470"/>
      <c r="BY387" s="470"/>
      <c r="BZ387" s="470"/>
      <c r="CA387" s="470"/>
      <c r="CB387" s="470"/>
      <c r="CC387" s="470"/>
      <c r="CD387" s="470"/>
      <c r="CE387" s="470"/>
      <c r="CF387" s="470"/>
      <c r="CG387" s="470"/>
      <c r="CH387" s="470"/>
      <c r="CI387" s="470"/>
      <c r="CJ387" s="470"/>
      <c r="CK387" s="470"/>
      <c r="CL387" s="470"/>
      <c r="CM387" s="470"/>
      <c r="CN387" s="470"/>
      <c r="CO387" s="470"/>
      <c r="CP387" s="470"/>
    </row>
    <row r="388" spans="1:94" s="448" customFormat="1" ht="14" x14ac:dyDescent="0.3">
      <c r="A388" s="1197"/>
      <c r="B388" s="1198"/>
      <c r="C388" s="1198"/>
      <c r="D388" s="1199"/>
      <c r="E388" s="1173"/>
      <c r="F388" s="1173"/>
      <c r="G388" s="1173"/>
      <c r="H388" s="1173"/>
      <c r="I388" s="1173"/>
      <c r="J388" s="1173"/>
      <c r="K388" s="1173"/>
      <c r="L388" s="493" t="str" cm="1">
        <f t="array" ref="L388">IF(A388&lt;&gt;"",IFERROR(INDEX(PMtbl[[WKst]:[Unit of measure*]],MATCH($A$330&amp;$A388&amp;$E388&amp;$I388,INDEX(PMtbl[Sec]&amp;PMtbl[Category]&amp;PMtbl[Each]&amp;PMtbl[Packaging],0,),0),14),""),"")</f>
        <v/>
      </c>
      <c r="M388" s="480" t="str">
        <f>IF(L388="","",INDEX(SETUP!$E$20:$E$122,(MATCH(INDEX(PMsheet!$D:$E,MATCH(A388,PMsheet!E:E,0),1),SETUP!$D$20:$D$122,0))))</f>
        <v/>
      </c>
      <c r="N388" s="494">
        <f>IF($O388="USD",_xlfn.IFNA(VLOOKUP(A388&amp;E388&amp;I388,PMsheet!J:K,2,0),0),(_xlfn.IFNA(VLOOKUP(A388&amp;E388&amp;I388,PMsheet!J:K,2,0),0)*'Master Data-C19RM'!$C$2))</f>
        <v>0</v>
      </c>
      <c r="O388" s="495" t="str">
        <f>IF(L388="", "",SETUP!$E$7)</f>
        <v/>
      </c>
      <c r="P388" s="445">
        <f>IF($O388="USD",_xlfn.IFNA(VLOOKUP($A388&amp;$E388&amp;$I388,PMsheet!$J:$K,2,0),0),(_xlfn.IFNA(VLOOKUP($A388&amp;$E388&amp;$I388,PMsheet!$J:$K,2,0),0)*'Master Data-C19RM'!$C$2))</f>
        <v>0</v>
      </c>
      <c r="Q388" s="440"/>
      <c r="R388" s="440"/>
      <c r="S388" s="440"/>
      <c r="T388" s="440"/>
      <c r="U388" s="482">
        <f t="shared" si="44"/>
        <v>0</v>
      </c>
      <c r="V388" s="484">
        <f>IF(SETUP!$E$7="USD",(U388*(IF(O388="USD",P388,(P388/'Master Data-C19RM'!$C$2)))),(U388*(IF(O388="EUR",P388,(P388*'Master Data-C19RM'!$C$2)))))</f>
        <v>0</v>
      </c>
      <c r="W388" s="445">
        <f>IF($O388="USD",_xlfn.IFNA(VLOOKUP($A388&amp;$E388&amp;$I388,PMsheet!$J:$K,2,0),0),(_xlfn.IFNA(VLOOKUP($A388&amp;$E388&amp;$I388,PMsheet!$J:$K,2,0),0)*'Master Data-C19RM'!$D$2))</f>
        <v>0</v>
      </c>
      <c r="X388" s="440"/>
      <c r="Y388" s="440"/>
      <c r="Z388" s="440"/>
      <c r="AA388" s="440"/>
      <c r="AB388" s="482">
        <f t="shared" si="47"/>
        <v>0</v>
      </c>
      <c r="AC388" s="484">
        <f>IF(SETUP!$E$7="USD",(AB388*(IF(O388="USD",W388,(W388/'Master Data-C19RM'!$D$2)))),(AB388*(IF(O388="EUR",W388,(W388*'Master Data-C19RM'!$D$2)))))</f>
        <v>0</v>
      </c>
      <c r="AD388" s="445">
        <f>IF($O388="USD",_xlfn.IFNA(VLOOKUP($A388&amp;$E388&amp;$I388,PMsheet!$J:$K,2,0),0),(_xlfn.IFNA(VLOOKUP($A388&amp;$E388&amp;$I388,PMsheet!$J:$K,2,0),0)*'Master Data-C19RM'!$E$2))</f>
        <v>0</v>
      </c>
      <c r="AE388" s="440"/>
      <c r="AF388" s="440"/>
      <c r="AG388" s="440"/>
      <c r="AH388" s="440"/>
      <c r="AI388" s="514">
        <f t="shared" si="48"/>
        <v>0</v>
      </c>
      <c r="AJ388" s="515">
        <f>IF(SETUP!$E$7="USD",(AI388*(IF(O388="USD",AD388,(AD388/'Master Data-C19RM'!$E$2)))),(AI388*(IF(O388="EUR",AD388,(AD388*'Master Data-C19RM'!$E$2)))))</f>
        <v>0</v>
      </c>
      <c r="AK388" s="445">
        <f>IF($O388="USD",_xlfn.IFNA(VLOOKUP($A388&amp;$E388&amp;$I388,PMsheet!$J:$K,2,0),0),(_xlfn.IFNA(VLOOKUP($A388&amp;$E388&amp;$I388,PMsheet!$J:$K,2,0),0)*'Master Data-C19RM'!$F$2))</f>
        <v>0</v>
      </c>
      <c r="AL388" s="440"/>
      <c r="AM388" s="440"/>
      <c r="AN388" s="440"/>
      <c r="AO388" s="440"/>
      <c r="AP388" s="514">
        <f t="shared" si="49"/>
        <v>0</v>
      </c>
      <c r="AQ388" s="515">
        <f>IF(SETUP!$E$7="USD",(AP388*(IF(O388="USD",AK388,(AK388/'Master Data-C19RM'!$F$2)))),(AP388*(IF(O388="EUR",AK388,(AK388*'Master Data-C19RM'!$F$2)))))</f>
        <v>0</v>
      </c>
      <c r="AR388" s="925">
        <f>IF($O388="USD",_xlfn.IFNA(VLOOKUP($A388&amp;$E388&amp;$I388,PMsheet!$J:$K,2,0),0),(_xlfn.IFNA(VLOOKUP($A388&amp;$E388&amp;$I388,PMsheet!$J:$K,2,0),0)*'Master Data-C19RM'!$G$2))</f>
        <v>0</v>
      </c>
      <c r="AS388" s="926"/>
      <c r="AT388" s="926"/>
      <c r="AU388" s="926"/>
      <c r="AV388" s="926"/>
      <c r="AW388" s="514">
        <f t="shared" si="50"/>
        <v>0</v>
      </c>
      <c r="AX388" s="514">
        <f>IF(SETUP!$E$7="USD",(AW388*(IF(O388="USD",AR388,(AR388/'Master Data-C19RM'!$G$2)))),(AW388*(IF(O388="EUR",AR388,(AR388*'Master Data-C19RM'!$G$2)))))</f>
        <v>0</v>
      </c>
      <c r="AY388" s="845"/>
      <c r="AZ388" s="846"/>
      <c r="BA388" s="846"/>
      <c r="BB388" s="846"/>
      <c r="BC388" s="846"/>
      <c r="BD388" s="846"/>
      <c r="BE388" s="847"/>
      <c r="BF388" s="521">
        <f>'C19RM 2021-Lab &amp; Other HPS'!$U388+'C19RM 2021-Lab &amp; Other HPS'!$AB388+'C19RM 2021-Lab &amp; Other HPS'!$AP388+'C19RM 2021-Lab &amp; Other HPS'!$AI388+AW388+BD388</f>
        <v>0</v>
      </c>
      <c r="BG388" s="515">
        <f>'C19RM 2021-Lab &amp; Other HPS'!$V388+'C19RM 2021-Lab &amp; Other HPS'!$AC388+'C19RM 2021-Lab &amp; Other HPS'!$AQ388+'C19RM 2021-Lab &amp; Other HPS'!$AJ388+AX388+BE388</f>
        <v>0</v>
      </c>
      <c r="BH388" s="522" t="str" cm="1">
        <f t="array" ref="BH388">IF(A388&lt;&gt;"",IFERROR(INDEX(PMtbl[[WKst]:[Unit of measure*]],MATCH($A$330&amp;$A388&amp;$E388&amp;$I388,INDEX(PMtbl[Sec]&amp;PMtbl[Category]&amp;PMtbl[Each]&amp;PMtbl[Packaging],0,),0),11),""),"")</f>
        <v/>
      </c>
      <c r="BI388" s="818"/>
      <c r="BJ388" s="503" t="str" cm="1">
        <f t="array" ref="BJ388">IFERROR(INDEX(SETUP!$C$19:$G$121,MATCH((INDEX(PMtbl[[WKst]:[Unit of measure*]],MATCH($A388&amp;$E388&amp;$I388,INDEX(PMtbl[Category]&amp;PMtbl[Each]&amp;PMtbl[Packaging],0,),0),3)),SETUP!$D$19:$D$121,0),5),"")</f>
        <v/>
      </c>
      <c r="BK388" s="569"/>
      <c r="BL388" s="564"/>
      <c r="BO388" s="448">
        <f>IF(N388="",0,IF(SETUP!$E$7="USD",((IF(O388="USD",P388,(P388/'Master Data-C19RM'!$C$2)))),((IF(O388="EUR",P388,(P388*'Master Data-C19RM'!$C$2))))))</f>
        <v>0</v>
      </c>
      <c r="BP388" s="448">
        <f>IF(N388="",0,IF(SETUP!$E$7="USD",((IF(O388="USD",W388,(W388/'Master Data-C19RM'!$D$2)))),((IF(O388="EUR",W388,(W388*'Master Data-C19RM'!$D$2))))))</f>
        <v>0</v>
      </c>
      <c r="BQ388" s="470">
        <f>IF(N388="",0,IF(SETUP!$E$7="USD",((IF(O388="USD",AD388,(AD388/'Master Data-C19RM'!$E$2)))),((IF(O388="EUR",AD388,(AD388*'Master Data-C19RM'!$E$2))))))</f>
        <v>0</v>
      </c>
      <c r="BR388" s="470">
        <f>IF(N388="",0,IF(SETUP!$E$7="USD",((IF(O388="USD",AK388,(AK388/'Master Data-C19RM'!$F$2)))),((IF(O388="EUR",AK388,(AK388*'Master Data-C19RM'!$F$2))))))</f>
        <v>0</v>
      </c>
      <c r="BS388" s="470">
        <f>IF(N388="",0,IF(SETUP!$E$7="USD",((IF(O388="USD",AR388,(AR388/'Master Data-C19RM'!$G$2)))),((IF(O388="EUR",AR388,(AR388*'Master Data-C19RM'!$G$2))))))</f>
        <v>0</v>
      </c>
      <c r="BT388" s="470">
        <f>IF(N388="",0,IF(SETUP!$E$7="USD",((IF(O388="USD",AY388,(AY388/'Master Data-C19RM'!$H$2)))),((IF(O388="EUR",AY388,(AY388*'Master Data-C19RM'!$H$2))))))</f>
        <v>0</v>
      </c>
      <c r="BU388" s="448">
        <f t="shared" si="51"/>
        <v>0</v>
      </c>
      <c r="BV388" s="562">
        <f t="shared" si="52"/>
        <v>0</v>
      </c>
      <c r="BW388" s="470"/>
      <c r="BX388" s="470"/>
      <c r="BY388" s="470"/>
      <c r="BZ388" s="470"/>
      <c r="CA388" s="470"/>
      <c r="CB388" s="470"/>
      <c r="CC388" s="470"/>
      <c r="CD388" s="470"/>
      <c r="CE388" s="470"/>
      <c r="CF388" s="470"/>
      <c r="CG388" s="470"/>
      <c r="CH388" s="470"/>
      <c r="CI388" s="470"/>
      <c r="CJ388" s="470"/>
      <c r="CK388" s="470"/>
      <c r="CL388" s="470"/>
      <c r="CM388" s="470"/>
      <c r="CN388" s="470"/>
      <c r="CO388" s="470"/>
      <c r="CP388" s="470"/>
    </row>
    <row r="389" spans="1:94" s="448" customFormat="1" ht="14" x14ac:dyDescent="0.3">
      <c r="A389" s="1200"/>
      <c r="B389" s="1201"/>
      <c r="C389" s="1201"/>
      <c r="D389" s="1202"/>
      <c r="E389" s="1166"/>
      <c r="F389" s="1166"/>
      <c r="G389" s="1166"/>
      <c r="H389" s="1166"/>
      <c r="I389" s="1166"/>
      <c r="J389" s="1166"/>
      <c r="K389" s="1166"/>
      <c r="L389" s="490" t="str" cm="1">
        <f t="array" ref="L389">IF(A389&lt;&gt;"",IFERROR(INDEX(PMtbl[[WKst]:[Unit of measure*]],MATCH($A$330&amp;$A389&amp;$E389&amp;$I389,INDEX(PMtbl[Sec]&amp;PMtbl[Category]&amp;PMtbl[Each]&amp;PMtbl[Packaging],0,),0),14),""),"")</f>
        <v/>
      </c>
      <c r="M389" s="479" t="str">
        <f>IF(L389="","",INDEX(SETUP!$E$20:$E$122,(MATCH(INDEX(PMsheet!$D:$E,MATCH(A389,PMsheet!E:E,0),1),SETUP!$D$20:$D$122,0))))</f>
        <v/>
      </c>
      <c r="N389" s="491">
        <f>IF($O389="USD",_xlfn.IFNA(VLOOKUP(A389&amp;E389&amp;I389,PMsheet!J:K,2,0),0),(_xlfn.IFNA(VLOOKUP(A389&amp;E389&amp;I389,PMsheet!J:K,2,0),0)*'Master Data-C19RM'!$C$2))</f>
        <v>0</v>
      </c>
      <c r="O389" s="492" t="str">
        <f>IF(L389="", "",SETUP!$E$7)</f>
        <v/>
      </c>
      <c r="P389" s="444">
        <f>IF($O389="USD",_xlfn.IFNA(VLOOKUP($A389&amp;$E389&amp;$I389,PMsheet!$J:$K,2,0),0),(_xlfn.IFNA(VLOOKUP($A389&amp;$E389&amp;$I389,PMsheet!$J:$K,2,0),0)*'Master Data-C19RM'!$C$2))</f>
        <v>0</v>
      </c>
      <c r="Q389" s="441"/>
      <c r="R389" s="441"/>
      <c r="S389" s="441"/>
      <c r="T389" s="441"/>
      <c r="U389" s="481">
        <f t="shared" si="44"/>
        <v>0</v>
      </c>
      <c r="V389" s="483">
        <f>IF(SETUP!$E$7="USD",(U389*(IF(O389="USD",P389,(P389/'Master Data-C19RM'!$C$2)))),(U389*(IF(O389="EUR",P389,(P389*'Master Data-C19RM'!$C$2)))))</f>
        <v>0</v>
      </c>
      <c r="W389" s="444">
        <f>IF($O389="USD",_xlfn.IFNA(VLOOKUP($A389&amp;$E389&amp;$I389,PMsheet!$J:$K,2,0),0),(_xlfn.IFNA(VLOOKUP($A389&amp;$E389&amp;$I389,PMsheet!$J:$K,2,0),0)*'Master Data-C19RM'!$D$2))</f>
        <v>0</v>
      </c>
      <c r="X389" s="441"/>
      <c r="Y389" s="441"/>
      <c r="Z389" s="441"/>
      <c r="AA389" s="441"/>
      <c r="AB389" s="481">
        <f t="shared" si="47"/>
        <v>0</v>
      </c>
      <c r="AC389" s="483">
        <f>IF(SETUP!$E$7="USD",(AB389*(IF(O389="USD",W389,(W389/'Master Data-C19RM'!$D$2)))),(AB389*(IF(O389="EUR",W389,(W389*'Master Data-C19RM'!$D$2)))))</f>
        <v>0</v>
      </c>
      <c r="AD389" s="444">
        <f>IF($O389="USD",_xlfn.IFNA(VLOOKUP($A389&amp;$E389&amp;$I389,PMsheet!$J:$K,2,0),0),(_xlfn.IFNA(VLOOKUP($A389&amp;$E389&amp;$I389,PMsheet!$J:$K,2,0),0)*'Master Data-C19RM'!$E$2))</f>
        <v>0</v>
      </c>
      <c r="AE389" s="441"/>
      <c r="AF389" s="441"/>
      <c r="AG389" s="441"/>
      <c r="AH389" s="441"/>
      <c r="AI389" s="512">
        <f t="shared" si="48"/>
        <v>0</v>
      </c>
      <c r="AJ389" s="513">
        <f>IF(SETUP!$E$7="USD",(AI389*(IF(O389="USD",AD389,(AD389/'Master Data-C19RM'!$E$2)))),(AI389*(IF(O389="EUR",AD389,(AD389*'Master Data-C19RM'!$E$2)))))</f>
        <v>0</v>
      </c>
      <c r="AK389" s="444">
        <f>IF($O389="USD",_xlfn.IFNA(VLOOKUP($A389&amp;$E389&amp;$I389,PMsheet!$J:$K,2,0),0),(_xlfn.IFNA(VLOOKUP($A389&amp;$E389&amp;$I389,PMsheet!$J:$K,2,0),0)*'Master Data-C19RM'!$F$2))</f>
        <v>0</v>
      </c>
      <c r="AL389" s="441"/>
      <c r="AM389" s="441"/>
      <c r="AN389" s="441"/>
      <c r="AO389" s="441"/>
      <c r="AP389" s="512">
        <f t="shared" si="49"/>
        <v>0</v>
      </c>
      <c r="AQ389" s="513">
        <f>IF(SETUP!$E$7="USD",(AP389*(IF(O389="USD",AK389,(AK389/'Master Data-C19RM'!$F$2)))),(AP389*(IF(O389="EUR",AK389,(AK389*'Master Data-C19RM'!$F$2)))))</f>
        <v>0</v>
      </c>
      <c r="AR389" s="924">
        <f>IF($O389="USD",_xlfn.IFNA(VLOOKUP($A389&amp;$E389&amp;$I389,PMsheet!$J:$K,2,0),0),(_xlfn.IFNA(VLOOKUP($A389&amp;$E389&amp;$I389,PMsheet!$J:$K,2,0),0)*'Master Data-C19RM'!$G$2))</f>
        <v>0</v>
      </c>
      <c r="AS389" s="572"/>
      <c r="AT389" s="572"/>
      <c r="AU389" s="572"/>
      <c r="AV389" s="572"/>
      <c r="AW389" s="512">
        <f t="shared" si="50"/>
        <v>0</v>
      </c>
      <c r="AX389" s="512">
        <f>IF(SETUP!$E$7="USD",(AW389*(IF(O389="USD",AR389,(AR389/'Master Data-C19RM'!$G$2)))),(AW389*(IF(O389="EUR",AR389,(AR389*'Master Data-C19RM'!$G$2)))))</f>
        <v>0</v>
      </c>
      <c r="AY389" s="845"/>
      <c r="AZ389" s="846"/>
      <c r="BA389" s="846"/>
      <c r="BB389" s="846"/>
      <c r="BC389" s="846"/>
      <c r="BD389" s="846"/>
      <c r="BE389" s="847"/>
      <c r="BF389" s="520">
        <f>'C19RM 2021-Lab &amp; Other HPS'!$U389+'C19RM 2021-Lab &amp; Other HPS'!$AB389+'C19RM 2021-Lab &amp; Other HPS'!$AP389+'C19RM 2021-Lab &amp; Other HPS'!$AI389+AW389+BD389</f>
        <v>0</v>
      </c>
      <c r="BG389" s="513">
        <f>'C19RM 2021-Lab &amp; Other HPS'!$V389+'C19RM 2021-Lab &amp; Other HPS'!$AC389+'C19RM 2021-Lab &amp; Other HPS'!$AQ389+'C19RM 2021-Lab &amp; Other HPS'!$AJ389+AX389+BE389</f>
        <v>0</v>
      </c>
      <c r="BH389" s="500" t="str" cm="1">
        <f t="array" ref="BH389">IF(A389&lt;&gt;"",IFERROR(INDEX(PMtbl[[WKst]:[Unit of measure*]],MATCH($A$330&amp;$A389&amp;$E389&amp;$I389,INDEX(PMtbl[Sec]&amp;PMtbl[Category]&amp;PMtbl[Each]&amp;PMtbl[Packaging],0,),0),11),""),"")</f>
        <v/>
      </c>
      <c r="BI389" s="819"/>
      <c r="BJ389" s="502" t="str" cm="1">
        <f t="array" ref="BJ389">IFERROR(INDEX(SETUP!$C$19:$G$121,MATCH((INDEX(PMtbl[[WKst]:[Unit of measure*]],MATCH($A389&amp;$E389&amp;$I389,INDEX(PMtbl[Category]&amp;PMtbl[Each]&amp;PMtbl[Packaging],0,),0),3)),SETUP!$D$19:$D$121,0),5),"")</f>
        <v/>
      </c>
      <c r="BK389" s="568"/>
      <c r="BL389" s="563"/>
      <c r="BO389" s="448">
        <f>IF(N389="",0,IF(SETUP!$E$7="USD",((IF(O389="USD",P389,(P389/'Master Data-C19RM'!$C$2)))),((IF(O389="EUR",P389,(P389*'Master Data-C19RM'!$C$2))))))</f>
        <v>0</v>
      </c>
      <c r="BP389" s="448">
        <f>IF(N389="",0,IF(SETUP!$E$7="USD",((IF(O389="USD",W389,(W389/'Master Data-C19RM'!$D$2)))),((IF(O389="EUR",W389,(W389*'Master Data-C19RM'!$D$2))))))</f>
        <v>0</v>
      </c>
      <c r="BQ389" s="470">
        <f>IF(N389="",0,IF(SETUP!$E$7="USD",((IF(O389="USD",AD389,(AD389/'Master Data-C19RM'!$E$2)))),((IF(O389="EUR",AD389,(AD389*'Master Data-C19RM'!$E$2))))))</f>
        <v>0</v>
      </c>
      <c r="BR389" s="470">
        <f>IF(N389="",0,IF(SETUP!$E$7="USD",((IF(O389="USD",AK389,(AK389/'Master Data-C19RM'!$F$2)))),((IF(O389="EUR",AK389,(AK389*'Master Data-C19RM'!$F$2))))))</f>
        <v>0</v>
      </c>
      <c r="BS389" s="470">
        <f>IF(N389="",0,IF(SETUP!$E$7="USD",((IF(O389="USD",AR389,(AR389/'Master Data-C19RM'!$G$2)))),((IF(O389="EUR",AR389,(AR389*'Master Data-C19RM'!$G$2))))))</f>
        <v>0</v>
      </c>
      <c r="BT389" s="470">
        <f>IF(N389="",0,IF(SETUP!$E$7="USD",((IF(O389="USD",AY389,(AY389/'Master Data-C19RM'!$H$2)))),((IF(O389="EUR",AY389,(AY389*'Master Data-C19RM'!$H$2))))))</f>
        <v>0</v>
      </c>
      <c r="BU389" s="448">
        <f t="shared" si="51"/>
        <v>0</v>
      </c>
      <c r="BV389" s="562">
        <f t="shared" si="52"/>
        <v>0</v>
      </c>
      <c r="BW389" s="470"/>
      <c r="BX389" s="470"/>
      <c r="BY389" s="470"/>
      <c r="BZ389" s="470"/>
      <c r="CA389" s="470"/>
      <c r="CB389" s="470"/>
      <c r="CC389" s="470"/>
      <c r="CD389" s="470"/>
      <c r="CE389" s="470"/>
      <c r="CF389" s="470"/>
      <c r="CG389" s="470"/>
      <c r="CH389" s="470"/>
      <c r="CI389" s="470"/>
      <c r="CJ389" s="470"/>
      <c r="CK389" s="470"/>
      <c r="CL389" s="470"/>
      <c r="CM389" s="470"/>
      <c r="CN389" s="470"/>
      <c r="CO389" s="470"/>
      <c r="CP389" s="470"/>
    </row>
    <row r="390" spans="1:94" s="448" customFormat="1" ht="14" x14ac:dyDescent="0.3">
      <c r="A390" s="1197"/>
      <c r="B390" s="1198"/>
      <c r="C390" s="1198"/>
      <c r="D390" s="1199"/>
      <c r="E390" s="1173"/>
      <c r="F390" s="1173"/>
      <c r="G390" s="1173"/>
      <c r="H390" s="1173"/>
      <c r="I390" s="1173"/>
      <c r="J390" s="1173"/>
      <c r="K390" s="1173"/>
      <c r="L390" s="493" t="str" cm="1">
        <f t="array" ref="L390">IF(A390&lt;&gt;"",IFERROR(INDEX(PMtbl[[WKst]:[Unit of measure*]],MATCH($A$330&amp;$A390&amp;$E390&amp;$I390,INDEX(PMtbl[Sec]&amp;PMtbl[Category]&amp;PMtbl[Each]&amp;PMtbl[Packaging],0,),0),14),""),"")</f>
        <v/>
      </c>
      <c r="M390" s="480" t="str">
        <f>IF(L390="","",INDEX(SETUP!$E$20:$E$122,(MATCH(INDEX(PMsheet!$D:$E,MATCH(A390,PMsheet!E:E,0),1),SETUP!$D$20:$D$122,0))))</f>
        <v/>
      </c>
      <c r="N390" s="494">
        <f>IF($O390="USD",_xlfn.IFNA(VLOOKUP(A390&amp;E390&amp;I390,PMsheet!J:K,2,0),0),(_xlfn.IFNA(VLOOKUP(A390&amp;E390&amp;I390,PMsheet!J:K,2,0),0)*'Master Data-C19RM'!$C$2))</f>
        <v>0</v>
      </c>
      <c r="O390" s="495" t="str">
        <f>IF(L390="", "",SETUP!$E$7)</f>
        <v/>
      </c>
      <c r="P390" s="445">
        <f>IF($O390="USD",_xlfn.IFNA(VLOOKUP($A390&amp;$E390&amp;$I390,PMsheet!$J:$K,2,0),0),(_xlfn.IFNA(VLOOKUP($A390&amp;$E390&amp;$I390,PMsheet!$J:$K,2,0),0)*'Master Data-C19RM'!$C$2))</f>
        <v>0</v>
      </c>
      <c r="Q390" s="440"/>
      <c r="R390" s="440"/>
      <c r="S390" s="440"/>
      <c r="T390" s="440"/>
      <c r="U390" s="482">
        <f t="shared" si="44"/>
        <v>0</v>
      </c>
      <c r="V390" s="484">
        <f>IF(SETUP!$E$7="USD",(U390*(IF(O390="USD",P390,(P390/'Master Data-C19RM'!$C$2)))),(U390*(IF(O390="EUR",P390,(P390*'Master Data-C19RM'!$C$2)))))</f>
        <v>0</v>
      </c>
      <c r="W390" s="445">
        <f>IF($O390="USD",_xlfn.IFNA(VLOOKUP($A390&amp;$E390&amp;$I390,PMsheet!$J:$K,2,0),0),(_xlfn.IFNA(VLOOKUP($A390&amp;$E390&amp;$I390,PMsheet!$J:$K,2,0),0)*'Master Data-C19RM'!$D$2))</f>
        <v>0</v>
      </c>
      <c r="X390" s="440"/>
      <c r="Y390" s="440"/>
      <c r="Z390" s="440"/>
      <c r="AA390" s="440"/>
      <c r="AB390" s="482">
        <f t="shared" si="47"/>
        <v>0</v>
      </c>
      <c r="AC390" s="484">
        <f>IF(SETUP!$E$7="USD",(AB390*(IF(O390="USD",W390,(W390/'Master Data-C19RM'!$D$2)))),(AB390*(IF(O390="EUR",W390,(W390*'Master Data-C19RM'!$D$2)))))</f>
        <v>0</v>
      </c>
      <c r="AD390" s="445">
        <f>IF($O390="USD",_xlfn.IFNA(VLOOKUP($A390&amp;$E390&amp;$I390,PMsheet!$J:$K,2,0),0),(_xlfn.IFNA(VLOOKUP($A390&amp;$E390&amp;$I390,PMsheet!$J:$K,2,0),0)*'Master Data-C19RM'!$E$2))</f>
        <v>0</v>
      </c>
      <c r="AE390" s="440"/>
      <c r="AF390" s="440"/>
      <c r="AG390" s="440"/>
      <c r="AH390" s="440"/>
      <c r="AI390" s="514">
        <f t="shared" si="48"/>
        <v>0</v>
      </c>
      <c r="AJ390" s="515">
        <f>IF(SETUP!$E$7="USD",(AI390*(IF(O390="USD",AD390,(AD390/'Master Data-C19RM'!$E$2)))),(AI390*(IF(O390="EUR",AD390,(AD390*'Master Data-C19RM'!$E$2)))))</f>
        <v>0</v>
      </c>
      <c r="AK390" s="445">
        <f>IF($O390="USD",_xlfn.IFNA(VLOOKUP($A390&amp;$E390&amp;$I390,PMsheet!$J:$K,2,0),0),(_xlfn.IFNA(VLOOKUP($A390&amp;$E390&amp;$I390,PMsheet!$J:$K,2,0),0)*'Master Data-C19RM'!$F$2))</f>
        <v>0</v>
      </c>
      <c r="AL390" s="440"/>
      <c r="AM390" s="440"/>
      <c r="AN390" s="440"/>
      <c r="AO390" s="440"/>
      <c r="AP390" s="514">
        <f t="shared" si="49"/>
        <v>0</v>
      </c>
      <c r="AQ390" s="515">
        <f>IF(SETUP!$E$7="USD",(AP390*(IF(O390="USD",AK390,(AK390/'Master Data-C19RM'!$F$2)))),(AP390*(IF(O390="EUR",AK390,(AK390*'Master Data-C19RM'!$F$2)))))</f>
        <v>0</v>
      </c>
      <c r="AR390" s="925">
        <f>IF($O390="USD",_xlfn.IFNA(VLOOKUP($A390&amp;$E390&amp;$I390,PMsheet!$J:$K,2,0),0),(_xlfn.IFNA(VLOOKUP($A390&amp;$E390&amp;$I390,PMsheet!$J:$K,2,0),0)*'Master Data-C19RM'!$G$2))</f>
        <v>0</v>
      </c>
      <c r="AS390" s="926"/>
      <c r="AT390" s="926"/>
      <c r="AU390" s="926"/>
      <c r="AV390" s="926"/>
      <c r="AW390" s="514">
        <f t="shared" si="50"/>
        <v>0</v>
      </c>
      <c r="AX390" s="514">
        <f>IF(SETUP!$E$7="USD",(AW390*(IF(O390="USD",AR390,(AR390/'Master Data-C19RM'!$G$2)))),(AW390*(IF(O390="EUR",AR390,(AR390*'Master Data-C19RM'!$G$2)))))</f>
        <v>0</v>
      </c>
      <c r="AY390" s="845"/>
      <c r="AZ390" s="846"/>
      <c r="BA390" s="846"/>
      <c r="BB390" s="846"/>
      <c r="BC390" s="846"/>
      <c r="BD390" s="846"/>
      <c r="BE390" s="847"/>
      <c r="BF390" s="521">
        <f>'C19RM 2021-Lab &amp; Other HPS'!$U390+'C19RM 2021-Lab &amp; Other HPS'!$AB390+'C19RM 2021-Lab &amp; Other HPS'!$AP390+'C19RM 2021-Lab &amp; Other HPS'!$AI390+AW390+BD390</f>
        <v>0</v>
      </c>
      <c r="BG390" s="515">
        <f>'C19RM 2021-Lab &amp; Other HPS'!$V390+'C19RM 2021-Lab &amp; Other HPS'!$AC390+'C19RM 2021-Lab &amp; Other HPS'!$AQ390+'C19RM 2021-Lab &amp; Other HPS'!$AJ390+AX390+BE390</f>
        <v>0</v>
      </c>
      <c r="BH390" s="522" t="str" cm="1">
        <f t="array" ref="BH390">IF(A390&lt;&gt;"",IFERROR(INDEX(PMtbl[[WKst]:[Unit of measure*]],MATCH($A$330&amp;$A390&amp;$E390&amp;$I390,INDEX(PMtbl[Sec]&amp;PMtbl[Category]&amp;PMtbl[Each]&amp;PMtbl[Packaging],0,),0),11),""),"")</f>
        <v/>
      </c>
      <c r="BI390" s="818"/>
      <c r="BJ390" s="503" t="str" cm="1">
        <f t="array" ref="BJ390">IFERROR(INDEX(SETUP!$C$19:$G$121,MATCH((INDEX(PMtbl[[WKst]:[Unit of measure*]],MATCH($A390&amp;$E390&amp;$I390,INDEX(PMtbl[Category]&amp;PMtbl[Each]&amp;PMtbl[Packaging],0,),0),3)),SETUP!$D$19:$D$121,0),5),"")</f>
        <v/>
      </c>
      <c r="BK390" s="569"/>
      <c r="BL390" s="564"/>
      <c r="BO390" s="448">
        <f>IF(N390="",0,IF(SETUP!$E$7="USD",((IF(O390="USD",P390,(P390/'Master Data-C19RM'!$C$2)))),((IF(O390="EUR",P390,(P390*'Master Data-C19RM'!$C$2))))))</f>
        <v>0</v>
      </c>
      <c r="BP390" s="448">
        <f>IF(N390="",0,IF(SETUP!$E$7="USD",((IF(O390="USD",W390,(W390/'Master Data-C19RM'!$D$2)))),((IF(O390="EUR",W390,(W390*'Master Data-C19RM'!$D$2))))))</f>
        <v>0</v>
      </c>
      <c r="BQ390" s="470">
        <f>IF(N390="",0,IF(SETUP!$E$7="USD",((IF(O390="USD",AD390,(AD390/'Master Data-C19RM'!$E$2)))),((IF(O390="EUR",AD390,(AD390*'Master Data-C19RM'!$E$2))))))</f>
        <v>0</v>
      </c>
      <c r="BR390" s="470">
        <f>IF(N390="",0,IF(SETUP!$E$7="USD",((IF(O390="USD",AK390,(AK390/'Master Data-C19RM'!$F$2)))),((IF(O390="EUR",AK390,(AK390*'Master Data-C19RM'!$F$2))))))</f>
        <v>0</v>
      </c>
      <c r="BS390" s="470">
        <f>IF(N390="",0,IF(SETUP!$E$7="USD",((IF(O390="USD",AR390,(AR390/'Master Data-C19RM'!$G$2)))),((IF(O390="EUR",AR390,(AR390*'Master Data-C19RM'!$G$2))))))</f>
        <v>0</v>
      </c>
      <c r="BT390" s="470">
        <f>IF(N390="",0,IF(SETUP!$E$7="USD",((IF(O390="USD",AY390,(AY390/'Master Data-C19RM'!$H$2)))),((IF(O390="EUR",AY390,(AY390*'Master Data-C19RM'!$H$2))))))</f>
        <v>0</v>
      </c>
      <c r="BU390" s="448">
        <f t="shared" si="51"/>
        <v>0</v>
      </c>
      <c r="BV390" s="562">
        <f t="shared" si="52"/>
        <v>0</v>
      </c>
      <c r="BW390" s="470"/>
      <c r="BX390" s="470"/>
      <c r="BY390" s="470"/>
      <c r="BZ390" s="470"/>
      <c r="CA390" s="470"/>
      <c r="CB390" s="470"/>
      <c r="CC390" s="470"/>
      <c r="CD390" s="470"/>
      <c r="CE390" s="470"/>
      <c r="CF390" s="470"/>
      <c r="CG390" s="470"/>
      <c r="CH390" s="470"/>
      <c r="CI390" s="470"/>
      <c r="CJ390" s="470"/>
      <c r="CK390" s="470"/>
      <c r="CL390" s="470"/>
      <c r="CM390" s="470"/>
      <c r="CN390" s="470"/>
      <c r="CO390" s="470"/>
      <c r="CP390" s="470"/>
    </row>
    <row r="391" spans="1:94" s="448" customFormat="1" ht="14" x14ac:dyDescent="0.3">
      <c r="A391" s="1165"/>
      <c r="B391" s="1165"/>
      <c r="C391" s="1165"/>
      <c r="D391" s="1165"/>
      <c r="E391" s="1166"/>
      <c r="F391" s="1166"/>
      <c r="G391" s="1166"/>
      <c r="H391" s="1166"/>
      <c r="I391" s="1166"/>
      <c r="J391" s="1166"/>
      <c r="K391" s="1166"/>
      <c r="L391" s="490" t="str" cm="1">
        <f t="array" ref="L391">IF(A391&lt;&gt;"",IFERROR(INDEX(PMtbl[[WKst]:[Unit of measure*]],MATCH($A$330&amp;$A391&amp;$E391&amp;$I391,INDEX(PMtbl[Sec]&amp;PMtbl[Category]&amp;PMtbl[Each]&amp;PMtbl[Packaging],0,),0),14),""),"")</f>
        <v/>
      </c>
      <c r="M391" s="479" t="str">
        <f>IF(L391="","",INDEX(SETUP!$E$20:$E$122,(MATCH(INDEX(PMsheet!$D:$E,MATCH(A391,PMsheet!E:E,0),1),SETUP!$D$20:$D$122,0))))</f>
        <v/>
      </c>
      <c r="N391" s="491">
        <f>IF($O391="USD",_xlfn.IFNA(VLOOKUP(A391&amp;E391&amp;I391,PMsheet!J:K,2,0),0),(_xlfn.IFNA(VLOOKUP(A391&amp;E391&amp;I391,PMsheet!J:K,2,0),0)*'Master Data-C19RM'!$C$2))</f>
        <v>0</v>
      </c>
      <c r="O391" s="492" t="str">
        <f>IF(L391="", "",SETUP!$E$7)</f>
        <v/>
      </c>
      <c r="P391" s="444">
        <f>IF($O391="USD",_xlfn.IFNA(VLOOKUP($A391&amp;$E391&amp;$I391,PMsheet!$J:$K,2,0),0),(_xlfn.IFNA(VLOOKUP($A391&amp;$E391&amp;$I391,PMsheet!$J:$K,2,0),0)*'Master Data-C19RM'!$C$2))</f>
        <v>0</v>
      </c>
      <c r="Q391" s="441"/>
      <c r="R391" s="441"/>
      <c r="S391" s="441"/>
      <c r="T391" s="441"/>
      <c r="U391" s="481">
        <f t="shared" si="44"/>
        <v>0</v>
      </c>
      <c r="V391" s="483">
        <f>IF(SETUP!$E$7="USD",(U391*(IF(O391="USD",P391,(P391/'Master Data-C19RM'!$C$2)))),(U391*(IF(O391="EUR",P391,(P391*'Master Data-C19RM'!$C$2)))))</f>
        <v>0</v>
      </c>
      <c r="W391" s="444">
        <f>IF($O391="USD",_xlfn.IFNA(VLOOKUP($A391&amp;$E391&amp;$I391,PMsheet!$J:$K,2,0),0),(_xlfn.IFNA(VLOOKUP($A391&amp;$E391&amp;$I391,PMsheet!$J:$K,2,0),0)*'Master Data-C19RM'!$D$2))</f>
        <v>0</v>
      </c>
      <c r="X391" s="441"/>
      <c r="Y391" s="441"/>
      <c r="Z391" s="441"/>
      <c r="AA391" s="441"/>
      <c r="AB391" s="481">
        <f t="shared" si="47"/>
        <v>0</v>
      </c>
      <c r="AC391" s="483">
        <f>IF(SETUP!$E$7="USD",(AB391*(IF(O391="USD",W391,(W391/'Master Data-C19RM'!$D$2)))),(AB391*(IF(O391="EUR",W391,(W391*'Master Data-C19RM'!$D$2)))))</f>
        <v>0</v>
      </c>
      <c r="AD391" s="444">
        <f>IF($O391="USD",_xlfn.IFNA(VLOOKUP($A391&amp;$E391&amp;$I391,PMsheet!$J:$K,2,0),0),(_xlfn.IFNA(VLOOKUP($A391&amp;$E391&amp;$I391,PMsheet!$J:$K,2,0),0)*'Master Data-C19RM'!$E$2))</f>
        <v>0</v>
      </c>
      <c r="AE391" s="441"/>
      <c r="AF391" s="441"/>
      <c r="AG391" s="441"/>
      <c r="AH391" s="441"/>
      <c r="AI391" s="512">
        <f t="shared" si="48"/>
        <v>0</v>
      </c>
      <c r="AJ391" s="513">
        <f>IF(SETUP!$E$7="USD",(AI391*(IF(O391="USD",AD391,(AD391/'Master Data-C19RM'!$E$2)))),(AI391*(IF(O391="EUR",AD391,(AD391*'Master Data-C19RM'!$E$2)))))</f>
        <v>0</v>
      </c>
      <c r="AK391" s="444">
        <f>IF($O391="USD",_xlfn.IFNA(VLOOKUP($A391&amp;$E391&amp;$I391,PMsheet!$J:$K,2,0),0),(_xlfn.IFNA(VLOOKUP($A391&amp;$E391&amp;$I391,PMsheet!$J:$K,2,0),0)*'Master Data-C19RM'!$F$2))</f>
        <v>0</v>
      </c>
      <c r="AL391" s="441"/>
      <c r="AM391" s="441"/>
      <c r="AN391" s="441"/>
      <c r="AO391" s="441"/>
      <c r="AP391" s="512">
        <f t="shared" si="49"/>
        <v>0</v>
      </c>
      <c r="AQ391" s="513">
        <f>IF(SETUP!$E$7="USD",(AP391*(IF(O391="USD",AK391,(AK391/'Master Data-C19RM'!$F$2)))),(AP391*(IF(O391="EUR",AK391,(AK391*'Master Data-C19RM'!$F$2)))))</f>
        <v>0</v>
      </c>
      <c r="AR391" s="924">
        <f>IF($O391="USD",_xlfn.IFNA(VLOOKUP($A391&amp;$E391&amp;$I391,PMsheet!$J:$K,2,0),0),(_xlfn.IFNA(VLOOKUP($A391&amp;$E391&amp;$I391,PMsheet!$J:$K,2,0),0)*'Master Data-C19RM'!$G$2))</f>
        <v>0</v>
      </c>
      <c r="AS391" s="572"/>
      <c r="AT391" s="572"/>
      <c r="AU391" s="572"/>
      <c r="AV391" s="572"/>
      <c r="AW391" s="512">
        <f t="shared" si="50"/>
        <v>0</v>
      </c>
      <c r="AX391" s="512">
        <f>IF(SETUP!$E$7="USD",(AW391*(IF(O391="USD",AR391,(AR391/'Master Data-C19RM'!$G$2)))),(AW391*(IF(O391="EUR",AR391,(AR391*'Master Data-C19RM'!$G$2)))))</f>
        <v>0</v>
      </c>
      <c r="AY391" s="845"/>
      <c r="AZ391" s="846"/>
      <c r="BA391" s="846"/>
      <c r="BB391" s="846"/>
      <c r="BC391" s="846"/>
      <c r="BD391" s="846"/>
      <c r="BE391" s="847"/>
      <c r="BF391" s="520">
        <f>'C19RM 2021-Lab &amp; Other HPS'!$U391+'C19RM 2021-Lab &amp; Other HPS'!$AB391+'C19RM 2021-Lab &amp; Other HPS'!$AP391+'C19RM 2021-Lab &amp; Other HPS'!$AI391+AW391+BD391</f>
        <v>0</v>
      </c>
      <c r="BG391" s="513">
        <f>'C19RM 2021-Lab &amp; Other HPS'!$V391+'C19RM 2021-Lab &amp; Other HPS'!$AC391+'C19RM 2021-Lab &amp; Other HPS'!$AQ391+'C19RM 2021-Lab &amp; Other HPS'!$AJ391+AX391+BE391</f>
        <v>0</v>
      </c>
      <c r="BH391" s="500" t="str" cm="1">
        <f t="array" ref="BH391">IF(A391&lt;&gt;"",IFERROR(INDEX(PMtbl[[WKst]:[Unit of measure*]],MATCH($A$330&amp;$A391&amp;$E391&amp;$I391,INDEX(PMtbl[Sec]&amp;PMtbl[Category]&amp;PMtbl[Each]&amp;PMtbl[Packaging],0,),0),11),""),"")</f>
        <v/>
      </c>
      <c r="BI391" s="819"/>
      <c r="BJ391" s="502" t="str" cm="1">
        <f t="array" ref="BJ391">IFERROR(INDEX(SETUP!$C$19:$G$121,MATCH((INDEX(PMtbl[[WKst]:[Unit of measure*]],MATCH($A391&amp;$E391&amp;$I391,INDEX(PMtbl[Category]&amp;PMtbl[Each]&amp;PMtbl[Packaging],0,),0),3)),SETUP!$D$19:$D$121,0),5),"")</f>
        <v/>
      </c>
      <c r="BK391" s="568"/>
      <c r="BL391" s="563"/>
      <c r="BO391" s="448">
        <f>IF(N391="",0,IF(SETUP!$E$7="USD",((IF(O391="USD",P391,(P391/'Master Data-C19RM'!$C$2)))),((IF(O391="EUR",P391,(P391*'Master Data-C19RM'!$C$2))))))</f>
        <v>0</v>
      </c>
      <c r="BP391" s="448">
        <f>IF(N391="",0,IF(SETUP!$E$7="USD",((IF(O391="USD",W391,(W391/'Master Data-C19RM'!$D$2)))),((IF(O391="EUR",W391,(W391*'Master Data-C19RM'!$D$2))))))</f>
        <v>0</v>
      </c>
      <c r="BQ391" s="470">
        <f>IF(N391="",0,IF(SETUP!$E$7="USD",((IF(O391="USD",AD391,(AD391/'Master Data-C19RM'!$E$2)))),((IF(O391="EUR",AD391,(AD391*'Master Data-C19RM'!$E$2))))))</f>
        <v>0</v>
      </c>
      <c r="BR391" s="470">
        <f>IF(N391="",0,IF(SETUP!$E$7="USD",((IF(O391="USD",AK391,(AK391/'Master Data-C19RM'!$F$2)))),((IF(O391="EUR",AK391,(AK391*'Master Data-C19RM'!$F$2))))))</f>
        <v>0</v>
      </c>
      <c r="BS391" s="470">
        <f>IF(N391="",0,IF(SETUP!$E$7="USD",((IF(O391="USD",AR391,(AR391/'Master Data-C19RM'!$G$2)))),((IF(O391="EUR",AR391,(AR391*'Master Data-C19RM'!$G$2))))))</f>
        <v>0</v>
      </c>
      <c r="BT391" s="470">
        <f>IF(N391="",0,IF(SETUP!$E$7="USD",((IF(O391="USD",AY391,(AY391/'Master Data-C19RM'!$H$2)))),((IF(O391="EUR",AY391,(AY391*'Master Data-C19RM'!$H$2))))))</f>
        <v>0</v>
      </c>
      <c r="BU391" s="448">
        <f t="shared" si="51"/>
        <v>0</v>
      </c>
      <c r="BV391" s="562">
        <f t="shared" si="52"/>
        <v>0</v>
      </c>
      <c r="BW391" s="470"/>
      <c r="BX391" s="470"/>
      <c r="BY391" s="470"/>
      <c r="BZ391" s="470"/>
      <c r="CA391" s="470"/>
      <c r="CB391" s="470"/>
      <c r="CC391" s="470"/>
      <c r="CD391" s="470"/>
      <c r="CE391" s="470"/>
      <c r="CF391" s="470"/>
      <c r="CG391" s="470"/>
      <c r="CH391" s="470"/>
      <c r="CI391" s="470"/>
      <c r="CJ391" s="470"/>
      <c r="CK391" s="470"/>
      <c r="CL391" s="470"/>
      <c r="CM391" s="470"/>
      <c r="CN391" s="470"/>
      <c r="CO391" s="470"/>
      <c r="CP391" s="470"/>
    </row>
    <row r="392" spans="1:94" s="448" customFormat="1" ht="14" x14ac:dyDescent="0.3">
      <c r="A392" s="1197"/>
      <c r="B392" s="1198"/>
      <c r="C392" s="1198"/>
      <c r="D392" s="1199"/>
      <c r="E392" s="1173"/>
      <c r="F392" s="1173"/>
      <c r="G392" s="1173"/>
      <c r="H392" s="1173"/>
      <c r="I392" s="1173"/>
      <c r="J392" s="1173"/>
      <c r="K392" s="1173"/>
      <c r="L392" s="493" t="str" cm="1">
        <f t="array" ref="L392">IF(A392&lt;&gt;"",IFERROR(INDEX(PMtbl[[WKst]:[Unit of measure*]],MATCH($A$330&amp;$A392&amp;$E392&amp;$I392,INDEX(PMtbl[Sec]&amp;PMtbl[Category]&amp;PMtbl[Each]&amp;PMtbl[Packaging],0,),0),14),""),"")</f>
        <v/>
      </c>
      <c r="M392" s="480" t="str">
        <f>IF(L392="","",INDEX(SETUP!$E$20:$E$122,(MATCH(INDEX(PMsheet!$D:$E,MATCH(A392,PMsheet!E:E,0),1),SETUP!$D$20:$D$122,0))))</f>
        <v/>
      </c>
      <c r="N392" s="494">
        <f>IF($O392="USD",_xlfn.IFNA(VLOOKUP(A392&amp;E392&amp;I392,PMsheet!J:K,2,0),0),(_xlfn.IFNA(VLOOKUP(A392&amp;E392&amp;I392,PMsheet!J:K,2,0),0)*'Master Data-C19RM'!$C$2))</f>
        <v>0</v>
      </c>
      <c r="O392" s="495" t="str">
        <f>IF(L392="", "",SETUP!$E$7)</f>
        <v/>
      </c>
      <c r="P392" s="445">
        <f>IF($O392="USD",_xlfn.IFNA(VLOOKUP($A392&amp;$E392&amp;$I392,PMsheet!$J:$K,2,0),0),(_xlfn.IFNA(VLOOKUP($A392&amp;$E392&amp;$I392,PMsheet!$J:$K,2,0),0)*'Master Data-C19RM'!$C$2))</f>
        <v>0</v>
      </c>
      <c r="Q392" s="440"/>
      <c r="R392" s="440"/>
      <c r="S392" s="440"/>
      <c r="T392" s="440"/>
      <c r="U392" s="482">
        <f t="shared" si="44"/>
        <v>0</v>
      </c>
      <c r="V392" s="484">
        <f>IF(SETUP!$E$7="USD",(U392*(IF(O392="USD",P392,(P392/'Master Data-C19RM'!$C$2)))),(U392*(IF(O392="EUR",P392,(P392*'Master Data-C19RM'!$C$2)))))</f>
        <v>0</v>
      </c>
      <c r="W392" s="445">
        <f>IF($O392="USD",_xlfn.IFNA(VLOOKUP($A392&amp;$E392&amp;$I392,PMsheet!$J:$K,2,0),0),(_xlfn.IFNA(VLOOKUP($A392&amp;$E392&amp;$I392,PMsheet!$J:$K,2,0),0)*'Master Data-C19RM'!$D$2))</f>
        <v>0</v>
      </c>
      <c r="X392" s="440"/>
      <c r="Y392" s="440"/>
      <c r="Z392" s="440"/>
      <c r="AA392" s="440"/>
      <c r="AB392" s="482">
        <f t="shared" si="47"/>
        <v>0</v>
      </c>
      <c r="AC392" s="484">
        <f>IF(SETUP!$E$7="USD",(AB392*(IF(O392="USD",W392,(W392/'Master Data-C19RM'!$D$2)))),(AB392*(IF(O392="EUR",W392,(W392*'Master Data-C19RM'!$D$2)))))</f>
        <v>0</v>
      </c>
      <c r="AD392" s="445">
        <f>IF($O392="USD",_xlfn.IFNA(VLOOKUP($A392&amp;$E392&amp;$I392,PMsheet!$J:$K,2,0),0),(_xlfn.IFNA(VLOOKUP($A392&amp;$E392&amp;$I392,PMsheet!$J:$K,2,0),0)*'Master Data-C19RM'!$E$2))</f>
        <v>0</v>
      </c>
      <c r="AE392" s="440"/>
      <c r="AF392" s="440"/>
      <c r="AG392" s="440"/>
      <c r="AH392" s="440"/>
      <c r="AI392" s="514">
        <f t="shared" si="48"/>
        <v>0</v>
      </c>
      <c r="AJ392" s="515">
        <f>IF(SETUP!$E$7="USD",(AI392*(IF(O392="USD",AD392,(AD392/'Master Data-C19RM'!$E$2)))),(AI392*(IF(O392="EUR",AD392,(AD392*'Master Data-C19RM'!$E$2)))))</f>
        <v>0</v>
      </c>
      <c r="AK392" s="445">
        <f>IF($O392="USD",_xlfn.IFNA(VLOOKUP($A392&amp;$E392&amp;$I392,PMsheet!$J:$K,2,0),0),(_xlfn.IFNA(VLOOKUP($A392&amp;$E392&amp;$I392,PMsheet!$J:$K,2,0),0)*'Master Data-C19RM'!$F$2))</f>
        <v>0</v>
      </c>
      <c r="AL392" s="440"/>
      <c r="AM392" s="440"/>
      <c r="AN392" s="440"/>
      <c r="AO392" s="440"/>
      <c r="AP392" s="514">
        <f t="shared" si="49"/>
        <v>0</v>
      </c>
      <c r="AQ392" s="515">
        <f>IF(SETUP!$E$7="USD",(AP392*(IF(O392="USD",AK392,(AK392/'Master Data-C19RM'!$F$2)))),(AP392*(IF(O392="EUR",AK392,(AK392*'Master Data-C19RM'!$F$2)))))</f>
        <v>0</v>
      </c>
      <c r="AR392" s="925">
        <f>IF($O392="USD",_xlfn.IFNA(VLOOKUP($A392&amp;$E392&amp;$I392,PMsheet!$J:$K,2,0),0),(_xlfn.IFNA(VLOOKUP($A392&amp;$E392&amp;$I392,PMsheet!$J:$K,2,0),0)*'Master Data-C19RM'!$G$2))</f>
        <v>0</v>
      </c>
      <c r="AS392" s="926"/>
      <c r="AT392" s="926"/>
      <c r="AU392" s="926"/>
      <c r="AV392" s="926"/>
      <c r="AW392" s="514">
        <f t="shared" si="50"/>
        <v>0</v>
      </c>
      <c r="AX392" s="514">
        <f>IF(SETUP!$E$7="USD",(AW392*(IF(O392="USD",AR392,(AR392/'Master Data-C19RM'!$G$2)))),(AW392*(IF(O392="EUR",AR392,(AR392*'Master Data-C19RM'!$G$2)))))</f>
        <v>0</v>
      </c>
      <c r="AY392" s="845"/>
      <c r="AZ392" s="846"/>
      <c r="BA392" s="846"/>
      <c r="BB392" s="846"/>
      <c r="BC392" s="846"/>
      <c r="BD392" s="846"/>
      <c r="BE392" s="847"/>
      <c r="BF392" s="521">
        <f>'C19RM 2021-Lab &amp; Other HPS'!$U392+'C19RM 2021-Lab &amp; Other HPS'!$AB392+'C19RM 2021-Lab &amp; Other HPS'!$AP392+'C19RM 2021-Lab &amp; Other HPS'!$AI392+AW392+BD392</f>
        <v>0</v>
      </c>
      <c r="BG392" s="515">
        <f>'C19RM 2021-Lab &amp; Other HPS'!$V392+'C19RM 2021-Lab &amp; Other HPS'!$AC392+'C19RM 2021-Lab &amp; Other HPS'!$AQ392+'C19RM 2021-Lab &amp; Other HPS'!$AJ392+AX392+BE392</f>
        <v>0</v>
      </c>
      <c r="BH392" s="522" t="str" cm="1">
        <f t="array" ref="BH392">IF(A392&lt;&gt;"",IFERROR(INDEX(PMtbl[[WKst]:[Unit of measure*]],MATCH($A$330&amp;$A392&amp;$E392&amp;$I392,INDEX(PMtbl[Sec]&amp;PMtbl[Category]&amp;PMtbl[Each]&amp;PMtbl[Packaging],0,),0),11),""),"")</f>
        <v/>
      </c>
      <c r="BI392" s="818"/>
      <c r="BJ392" s="503" t="str" cm="1">
        <f t="array" ref="BJ392">IFERROR(INDEX(SETUP!$C$19:$G$121,MATCH((INDEX(PMtbl[[WKst]:[Unit of measure*]],MATCH($A392&amp;$E392&amp;$I392,INDEX(PMtbl[Category]&amp;PMtbl[Each]&amp;PMtbl[Packaging],0,),0),3)),SETUP!$D$19:$D$121,0),5),"")</f>
        <v/>
      </c>
      <c r="BK392" s="569"/>
      <c r="BL392" s="564"/>
      <c r="BO392" s="448">
        <f>IF(N392="",0,IF(SETUP!$E$7="USD",((IF(O392="USD",P392,(P392/'Master Data-C19RM'!$C$2)))),((IF(O392="EUR",P392,(P392*'Master Data-C19RM'!$C$2))))))</f>
        <v>0</v>
      </c>
      <c r="BP392" s="448">
        <f>IF(N392="",0,IF(SETUP!$E$7="USD",((IF(O392="USD",W392,(W392/'Master Data-C19RM'!$D$2)))),((IF(O392="EUR",W392,(W392*'Master Data-C19RM'!$D$2))))))</f>
        <v>0</v>
      </c>
      <c r="BQ392" s="470">
        <f>IF(N392="",0,IF(SETUP!$E$7="USD",((IF(O392="USD",AD392,(AD392/'Master Data-C19RM'!$E$2)))),((IF(O392="EUR",AD392,(AD392*'Master Data-C19RM'!$E$2))))))</f>
        <v>0</v>
      </c>
      <c r="BR392" s="470">
        <f>IF(N392="",0,IF(SETUP!$E$7="USD",((IF(O392="USD",AK392,(AK392/'Master Data-C19RM'!$F$2)))),((IF(O392="EUR",AK392,(AK392*'Master Data-C19RM'!$F$2))))))</f>
        <v>0</v>
      </c>
      <c r="BS392" s="470">
        <f>IF(N392="",0,IF(SETUP!$E$7="USD",((IF(O392="USD",AR392,(AR392/'Master Data-C19RM'!$G$2)))),((IF(O392="EUR",AR392,(AR392*'Master Data-C19RM'!$G$2))))))</f>
        <v>0</v>
      </c>
      <c r="BT392" s="470">
        <f>IF(N392="",0,IF(SETUP!$E$7="USD",((IF(O392="USD",AY392,(AY392/'Master Data-C19RM'!$H$2)))),((IF(O392="EUR",AY392,(AY392*'Master Data-C19RM'!$H$2))))))</f>
        <v>0</v>
      </c>
      <c r="BU392" s="448">
        <f t="shared" si="51"/>
        <v>0</v>
      </c>
      <c r="BV392" s="562">
        <f t="shared" si="52"/>
        <v>0</v>
      </c>
      <c r="BW392" s="470"/>
      <c r="BX392" s="470"/>
      <c r="BY392" s="470"/>
      <c r="BZ392" s="470"/>
      <c r="CA392" s="470"/>
      <c r="CB392" s="470"/>
      <c r="CC392" s="470"/>
      <c r="CD392" s="470"/>
      <c r="CE392" s="470"/>
      <c r="CF392" s="470"/>
      <c r="CG392" s="470"/>
      <c r="CH392" s="470"/>
      <c r="CI392" s="470"/>
      <c r="CJ392" s="470"/>
      <c r="CK392" s="470"/>
      <c r="CL392" s="470"/>
      <c r="CM392" s="470"/>
      <c r="CN392" s="470"/>
      <c r="CO392" s="470"/>
      <c r="CP392" s="470"/>
    </row>
    <row r="393" spans="1:94" s="448" customFormat="1" ht="14" x14ac:dyDescent="0.3">
      <c r="A393" s="1200"/>
      <c r="B393" s="1201"/>
      <c r="C393" s="1201"/>
      <c r="D393" s="1202"/>
      <c r="E393" s="1166"/>
      <c r="F393" s="1166"/>
      <c r="G393" s="1166"/>
      <c r="H393" s="1166"/>
      <c r="I393" s="1166"/>
      <c r="J393" s="1166"/>
      <c r="K393" s="1166"/>
      <c r="L393" s="490" t="str" cm="1">
        <f t="array" ref="L393">IF(A393&lt;&gt;"",IFERROR(INDEX(PMtbl[[WKst]:[Unit of measure*]],MATCH($A$330&amp;$A393&amp;$E393&amp;$I393,INDEX(PMtbl[Sec]&amp;PMtbl[Category]&amp;PMtbl[Each]&amp;PMtbl[Packaging],0,),0),14),""),"")</f>
        <v/>
      </c>
      <c r="M393" s="479" t="str">
        <f>IF(L393="","",INDEX(SETUP!$E$20:$E$122,(MATCH(INDEX(PMsheet!$D:$E,MATCH(A393,PMsheet!E:E,0),1),SETUP!$D$20:$D$122,0))))</f>
        <v/>
      </c>
      <c r="N393" s="491">
        <f>IF($O393="USD",_xlfn.IFNA(VLOOKUP(A393&amp;E393&amp;I393,PMsheet!J:K,2,0),0),(_xlfn.IFNA(VLOOKUP(A393&amp;E393&amp;I393,PMsheet!J:K,2,0),0)*'Master Data-C19RM'!$C$2))</f>
        <v>0</v>
      </c>
      <c r="O393" s="492" t="str">
        <f>IF(L393="", "",SETUP!$E$7)</f>
        <v/>
      </c>
      <c r="P393" s="444">
        <f>IF($O393="USD",_xlfn.IFNA(VLOOKUP($A393&amp;$E393&amp;$I393,PMsheet!$J:$K,2,0),0),(_xlfn.IFNA(VLOOKUP($A393&amp;$E393&amp;$I393,PMsheet!$J:$K,2,0),0)*'Master Data-C19RM'!$C$2))</f>
        <v>0</v>
      </c>
      <c r="Q393" s="441"/>
      <c r="R393" s="441"/>
      <c r="S393" s="441"/>
      <c r="T393" s="441"/>
      <c r="U393" s="481">
        <f t="shared" si="44"/>
        <v>0</v>
      </c>
      <c r="V393" s="483">
        <f>IF(SETUP!$E$7="USD",(U393*(IF(O393="USD",P393,(P393/'Master Data-C19RM'!$C$2)))),(U393*(IF(O393="EUR",P393,(P393*'Master Data-C19RM'!$C$2)))))</f>
        <v>0</v>
      </c>
      <c r="W393" s="444">
        <f>IF($O393="USD",_xlfn.IFNA(VLOOKUP($A393&amp;$E393&amp;$I393,PMsheet!$J:$K,2,0),0),(_xlfn.IFNA(VLOOKUP($A393&amp;$E393&amp;$I393,PMsheet!$J:$K,2,0),0)*'Master Data-C19RM'!$D$2))</f>
        <v>0</v>
      </c>
      <c r="X393" s="441"/>
      <c r="Y393" s="441"/>
      <c r="Z393" s="441"/>
      <c r="AA393" s="441"/>
      <c r="AB393" s="481">
        <f t="shared" si="47"/>
        <v>0</v>
      </c>
      <c r="AC393" s="483">
        <f>IF(SETUP!$E$7="USD",(AB393*(IF(O393="USD",W393,(W393/'Master Data-C19RM'!$D$2)))),(AB393*(IF(O393="EUR",W393,(W393*'Master Data-C19RM'!$D$2)))))</f>
        <v>0</v>
      </c>
      <c r="AD393" s="444">
        <f>IF($O393="USD",_xlfn.IFNA(VLOOKUP($A393&amp;$E393&amp;$I393,PMsheet!$J:$K,2,0),0),(_xlfn.IFNA(VLOOKUP($A393&amp;$E393&amp;$I393,PMsheet!$J:$K,2,0),0)*'Master Data-C19RM'!$E$2))</f>
        <v>0</v>
      </c>
      <c r="AE393" s="441"/>
      <c r="AF393" s="441"/>
      <c r="AG393" s="441"/>
      <c r="AH393" s="441"/>
      <c r="AI393" s="512">
        <f t="shared" si="48"/>
        <v>0</v>
      </c>
      <c r="AJ393" s="513">
        <f>IF(SETUP!$E$7="USD",(AI393*(IF(O393="USD",AD393,(AD393/'Master Data-C19RM'!$E$2)))),(AI393*(IF(O393="EUR",AD393,(AD393*'Master Data-C19RM'!$E$2)))))</f>
        <v>0</v>
      </c>
      <c r="AK393" s="444">
        <f>IF($O393="USD",_xlfn.IFNA(VLOOKUP($A393&amp;$E393&amp;$I393,PMsheet!$J:$K,2,0),0),(_xlfn.IFNA(VLOOKUP($A393&amp;$E393&amp;$I393,PMsheet!$J:$K,2,0),0)*'Master Data-C19RM'!$F$2))</f>
        <v>0</v>
      </c>
      <c r="AL393" s="441"/>
      <c r="AM393" s="441"/>
      <c r="AN393" s="441"/>
      <c r="AO393" s="441"/>
      <c r="AP393" s="512">
        <f t="shared" si="49"/>
        <v>0</v>
      </c>
      <c r="AQ393" s="513">
        <f>IF(SETUP!$E$7="USD",(AP393*(IF(O393="USD",AK393,(AK393/'Master Data-C19RM'!$F$2)))),(AP393*(IF(O393="EUR",AK393,(AK393*'Master Data-C19RM'!$F$2)))))</f>
        <v>0</v>
      </c>
      <c r="AR393" s="924">
        <f>IF($O393="USD",_xlfn.IFNA(VLOOKUP($A393&amp;$E393&amp;$I393,PMsheet!$J:$K,2,0),0),(_xlfn.IFNA(VLOOKUP($A393&amp;$E393&amp;$I393,PMsheet!$J:$K,2,0),0)*'Master Data-C19RM'!$G$2))</f>
        <v>0</v>
      </c>
      <c r="AS393" s="572"/>
      <c r="AT393" s="572"/>
      <c r="AU393" s="572"/>
      <c r="AV393" s="572"/>
      <c r="AW393" s="512">
        <f t="shared" si="50"/>
        <v>0</v>
      </c>
      <c r="AX393" s="512">
        <f>IF(SETUP!$E$7="USD",(AW393*(IF(O393="USD",AR393,(AR393/'Master Data-C19RM'!$G$2)))),(AW393*(IF(O393="EUR",AR393,(AR393*'Master Data-C19RM'!$G$2)))))</f>
        <v>0</v>
      </c>
      <c r="AY393" s="845"/>
      <c r="AZ393" s="846"/>
      <c r="BA393" s="846"/>
      <c r="BB393" s="846"/>
      <c r="BC393" s="846"/>
      <c r="BD393" s="846"/>
      <c r="BE393" s="847"/>
      <c r="BF393" s="520">
        <f>'C19RM 2021-Lab &amp; Other HPS'!$U393+'C19RM 2021-Lab &amp; Other HPS'!$AB393+'C19RM 2021-Lab &amp; Other HPS'!$AP393+'C19RM 2021-Lab &amp; Other HPS'!$AI393+AW393+BD393</f>
        <v>0</v>
      </c>
      <c r="BG393" s="513">
        <f>'C19RM 2021-Lab &amp; Other HPS'!$V393+'C19RM 2021-Lab &amp; Other HPS'!$AC393+'C19RM 2021-Lab &amp; Other HPS'!$AQ393+'C19RM 2021-Lab &amp; Other HPS'!$AJ393+AX393+BE393</f>
        <v>0</v>
      </c>
      <c r="BH393" s="500" t="str" cm="1">
        <f t="array" ref="BH393">IF(A393&lt;&gt;"",IFERROR(INDEX(PMtbl[[WKst]:[Unit of measure*]],MATCH($A$330&amp;$A393&amp;$E393&amp;$I393,INDEX(PMtbl[Sec]&amp;PMtbl[Category]&amp;PMtbl[Each]&amp;PMtbl[Packaging],0,),0),11),""),"")</f>
        <v/>
      </c>
      <c r="BI393" s="819"/>
      <c r="BJ393" s="502" t="str" cm="1">
        <f t="array" ref="BJ393">IFERROR(INDEX(SETUP!$C$19:$G$121,MATCH((INDEX(PMtbl[[WKst]:[Unit of measure*]],MATCH($A393&amp;$E393&amp;$I393,INDEX(PMtbl[Category]&amp;PMtbl[Each]&amp;PMtbl[Packaging],0,),0),3)),SETUP!$D$19:$D$121,0),5),"")</f>
        <v/>
      </c>
      <c r="BK393" s="568"/>
      <c r="BL393" s="563"/>
      <c r="BO393" s="448">
        <f>IF(N393="",0,IF(SETUP!$E$7="USD",((IF(O393="USD",P393,(P393/'Master Data-C19RM'!$C$2)))),((IF(O393="EUR",P393,(P393*'Master Data-C19RM'!$C$2))))))</f>
        <v>0</v>
      </c>
      <c r="BP393" s="448">
        <f>IF(N393="",0,IF(SETUP!$E$7="USD",((IF(O393="USD",W393,(W393/'Master Data-C19RM'!$D$2)))),((IF(O393="EUR",W393,(W393*'Master Data-C19RM'!$D$2))))))</f>
        <v>0</v>
      </c>
      <c r="BQ393" s="470">
        <f>IF(N393="",0,IF(SETUP!$E$7="USD",((IF(O393="USD",AD393,(AD393/'Master Data-C19RM'!$E$2)))),((IF(O393="EUR",AD393,(AD393*'Master Data-C19RM'!$E$2))))))</f>
        <v>0</v>
      </c>
      <c r="BR393" s="470">
        <f>IF(N393="",0,IF(SETUP!$E$7="USD",((IF(O393="USD",AK393,(AK393/'Master Data-C19RM'!$F$2)))),((IF(O393="EUR",AK393,(AK393*'Master Data-C19RM'!$F$2))))))</f>
        <v>0</v>
      </c>
      <c r="BS393" s="470">
        <f>IF(N393="",0,IF(SETUP!$E$7="USD",((IF(O393="USD",AR393,(AR393/'Master Data-C19RM'!$G$2)))),((IF(O393="EUR",AR393,(AR393*'Master Data-C19RM'!$G$2))))))</f>
        <v>0</v>
      </c>
      <c r="BT393" s="470">
        <f>IF(N393="",0,IF(SETUP!$E$7="USD",((IF(O393="USD",AY393,(AY393/'Master Data-C19RM'!$H$2)))),((IF(O393="EUR",AY393,(AY393*'Master Data-C19RM'!$H$2))))))</f>
        <v>0</v>
      </c>
      <c r="BU393" s="448">
        <f t="shared" si="51"/>
        <v>0</v>
      </c>
      <c r="BV393" s="562">
        <f t="shared" si="52"/>
        <v>0</v>
      </c>
      <c r="BW393" s="470"/>
      <c r="BX393" s="470"/>
      <c r="BY393" s="470"/>
      <c r="BZ393" s="470"/>
      <c r="CA393" s="470"/>
      <c r="CB393" s="470"/>
      <c r="CC393" s="470"/>
      <c r="CD393" s="470"/>
      <c r="CE393" s="470"/>
      <c r="CF393" s="470"/>
      <c r="CG393" s="470"/>
      <c r="CH393" s="470"/>
      <c r="CI393" s="470"/>
      <c r="CJ393" s="470"/>
      <c r="CK393" s="470"/>
      <c r="CL393" s="470"/>
      <c r="CM393" s="470"/>
      <c r="CN393" s="470"/>
      <c r="CO393" s="470"/>
      <c r="CP393" s="470"/>
    </row>
    <row r="394" spans="1:94" s="448" customFormat="1" ht="14" x14ac:dyDescent="0.3">
      <c r="A394" s="1197"/>
      <c r="B394" s="1198"/>
      <c r="C394" s="1198"/>
      <c r="D394" s="1199"/>
      <c r="E394" s="1173"/>
      <c r="F394" s="1173"/>
      <c r="G394" s="1173"/>
      <c r="H394" s="1173"/>
      <c r="I394" s="1173"/>
      <c r="J394" s="1173"/>
      <c r="K394" s="1173"/>
      <c r="L394" s="493" t="str" cm="1">
        <f t="array" ref="L394">IF(A394&lt;&gt;"",IFERROR(INDEX(PMtbl[[WKst]:[Unit of measure*]],MATCH($A$330&amp;$A394&amp;$E394&amp;$I394,INDEX(PMtbl[Sec]&amp;PMtbl[Category]&amp;PMtbl[Each]&amp;PMtbl[Packaging],0,),0),14),""),"")</f>
        <v/>
      </c>
      <c r="M394" s="480" t="str">
        <f>IF(L394="","",INDEX(SETUP!$E$20:$E$122,(MATCH(INDEX(PMsheet!$D:$E,MATCH(A394,PMsheet!E:E,0),1),SETUP!$D$20:$D$122,0))))</f>
        <v/>
      </c>
      <c r="N394" s="494">
        <f>IF($O394="USD",_xlfn.IFNA(VLOOKUP(A394&amp;E394&amp;I394,PMsheet!J:K,2,0),0),(_xlfn.IFNA(VLOOKUP(A394&amp;E394&amp;I394,PMsheet!J:K,2,0),0)*'Master Data-C19RM'!$C$2))</f>
        <v>0</v>
      </c>
      <c r="O394" s="495" t="str">
        <f>IF(L394="", "",SETUP!$E$7)</f>
        <v/>
      </c>
      <c r="P394" s="445">
        <f>IF($O394="USD",_xlfn.IFNA(VLOOKUP($A394&amp;$E394&amp;$I394,PMsheet!$J:$K,2,0),0),(_xlfn.IFNA(VLOOKUP($A394&amp;$E394&amp;$I394,PMsheet!$J:$K,2,0),0)*'Master Data-C19RM'!$C$2))</f>
        <v>0</v>
      </c>
      <c r="Q394" s="440"/>
      <c r="R394" s="440"/>
      <c r="S394" s="440"/>
      <c r="T394" s="440"/>
      <c r="U394" s="482">
        <f t="shared" si="44"/>
        <v>0</v>
      </c>
      <c r="V394" s="484">
        <f>IF(SETUP!$E$7="USD",(U394*(IF(O394="USD",P394,(P394/'Master Data-C19RM'!$C$2)))),(U394*(IF(O394="EUR",P394,(P394*'Master Data-C19RM'!$C$2)))))</f>
        <v>0</v>
      </c>
      <c r="W394" s="445">
        <f>IF($O394="USD",_xlfn.IFNA(VLOOKUP($A394&amp;$E394&amp;$I394,PMsheet!$J:$K,2,0),0),(_xlfn.IFNA(VLOOKUP($A394&amp;$E394&amp;$I394,PMsheet!$J:$K,2,0),0)*'Master Data-C19RM'!$D$2))</f>
        <v>0</v>
      </c>
      <c r="X394" s="440"/>
      <c r="Y394" s="440"/>
      <c r="Z394" s="440"/>
      <c r="AA394" s="440"/>
      <c r="AB394" s="482">
        <f t="shared" si="47"/>
        <v>0</v>
      </c>
      <c r="AC394" s="484">
        <f>IF(SETUP!$E$7="USD",(AB394*(IF(O394="USD",W394,(W394/'Master Data-C19RM'!$D$2)))),(AB394*(IF(O394="EUR",W394,(W394*'Master Data-C19RM'!$D$2)))))</f>
        <v>0</v>
      </c>
      <c r="AD394" s="445">
        <f>IF($O394="USD",_xlfn.IFNA(VLOOKUP($A394&amp;$E394&amp;$I394,PMsheet!$J:$K,2,0),0),(_xlfn.IFNA(VLOOKUP($A394&amp;$E394&amp;$I394,PMsheet!$J:$K,2,0),0)*'Master Data-C19RM'!$E$2))</f>
        <v>0</v>
      </c>
      <c r="AE394" s="440"/>
      <c r="AF394" s="440"/>
      <c r="AG394" s="440"/>
      <c r="AH394" s="440"/>
      <c r="AI394" s="514">
        <f t="shared" si="48"/>
        <v>0</v>
      </c>
      <c r="AJ394" s="515">
        <f>IF(SETUP!$E$7="USD",(AI394*(IF(O394="USD",AD394,(AD394/'Master Data-C19RM'!$E$2)))),(AI394*(IF(O394="EUR",AD394,(AD394*'Master Data-C19RM'!$E$2)))))</f>
        <v>0</v>
      </c>
      <c r="AK394" s="445">
        <f>IF($O394="USD",_xlfn.IFNA(VLOOKUP($A394&amp;$E394&amp;$I394,PMsheet!$J:$K,2,0),0),(_xlfn.IFNA(VLOOKUP($A394&amp;$E394&amp;$I394,PMsheet!$J:$K,2,0),0)*'Master Data-C19RM'!$F$2))</f>
        <v>0</v>
      </c>
      <c r="AL394" s="440"/>
      <c r="AM394" s="440"/>
      <c r="AN394" s="440"/>
      <c r="AO394" s="440"/>
      <c r="AP394" s="514">
        <f t="shared" si="49"/>
        <v>0</v>
      </c>
      <c r="AQ394" s="515">
        <f>IF(SETUP!$E$7="USD",(AP394*(IF(O394="USD",AK394,(AK394/'Master Data-C19RM'!$F$2)))),(AP394*(IF(O394="EUR",AK394,(AK394*'Master Data-C19RM'!$F$2)))))</f>
        <v>0</v>
      </c>
      <c r="AR394" s="925">
        <f>IF($O394="USD",_xlfn.IFNA(VLOOKUP($A394&amp;$E394&amp;$I394,PMsheet!$J:$K,2,0),0),(_xlfn.IFNA(VLOOKUP($A394&amp;$E394&amp;$I394,PMsheet!$J:$K,2,0),0)*'Master Data-C19RM'!$G$2))</f>
        <v>0</v>
      </c>
      <c r="AS394" s="926"/>
      <c r="AT394" s="926"/>
      <c r="AU394" s="926"/>
      <c r="AV394" s="926"/>
      <c r="AW394" s="514">
        <f t="shared" si="50"/>
        <v>0</v>
      </c>
      <c r="AX394" s="514">
        <f>IF(SETUP!$E$7="USD",(AW394*(IF(O394="USD",AR394,(AR394/'Master Data-C19RM'!$G$2)))),(AW394*(IF(O394="EUR",AR394,(AR394*'Master Data-C19RM'!$G$2)))))</f>
        <v>0</v>
      </c>
      <c r="AY394" s="845"/>
      <c r="AZ394" s="846"/>
      <c r="BA394" s="846"/>
      <c r="BB394" s="846"/>
      <c r="BC394" s="846"/>
      <c r="BD394" s="846"/>
      <c r="BE394" s="847"/>
      <c r="BF394" s="521">
        <f>'C19RM 2021-Lab &amp; Other HPS'!$U394+'C19RM 2021-Lab &amp; Other HPS'!$AB394+'C19RM 2021-Lab &amp; Other HPS'!$AP394+'C19RM 2021-Lab &amp; Other HPS'!$AI394+AW394+BD394</f>
        <v>0</v>
      </c>
      <c r="BG394" s="515">
        <f>'C19RM 2021-Lab &amp; Other HPS'!$V394+'C19RM 2021-Lab &amp; Other HPS'!$AC394+'C19RM 2021-Lab &amp; Other HPS'!$AQ394+'C19RM 2021-Lab &amp; Other HPS'!$AJ394+AX394+BE394</f>
        <v>0</v>
      </c>
      <c r="BH394" s="522" t="str" cm="1">
        <f t="array" ref="BH394">IF(A394&lt;&gt;"",IFERROR(INDEX(PMtbl[[WKst]:[Unit of measure*]],MATCH($A$330&amp;$A394&amp;$E394&amp;$I394,INDEX(PMtbl[Sec]&amp;PMtbl[Category]&amp;PMtbl[Each]&amp;PMtbl[Packaging],0,),0),11),""),"")</f>
        <v/>
      </c>
      <c r="BI394" s="818"/>
      <c r="BJ394" s="503" t="str" cm="1">
        <f t="array" ref="BJ394">IFERROR(INDEX(SETUP!$C$19:$G$121,MATCH((INDEX(PMtbl[[WKst]:[Unit of measure*]],MATCH($A394&amp;$E394&amp;$I394,INDEX(PMtbl[Category]&amp;PMtbl[Each]&amp;PMtbl[Packaging],0,),0),3)),SETUP!$D$19:$D$121,0),5),"")</f>
        <v/>
      </c>
      <c r="BK394" s="569"/>
      <c r="BL394" s="564"/>
      <c r="BO394" s="448">
        <f>IF(N394="",0,IF(SETUP!$E$7="USD",((IF(O394="USD",P394,(P394/'Master Data-C19RM'!$C$2)))),((IF(O394="EUR",P394,(P394*'Master Data-C19RM'!$C$2))))))</f>
        <v>0</v>
      </c>
      <c r="BP394" s="448">
        <f>IF(N394="",0,IF(SETUP!$E$7="USD",((IF(O394="USD",W394,(W394/'Master Data-C19RM'!$D$2)))),((IF(O394="EUR",W394,(W394*'Master Data-C19RM'!$D$2))))))</f>
        <v>0</v>
      </c>
      <c r="BQ394" s="470">
        <f>IF(N394="",0,IF(SETUP!$E$7="USD",((IF(O394="USD",AD394,(AD394/'Master Data-C19RM'!$E$2)))),((IF(O394="EUR",AD394,(AD394*'Master Data-C19RM'!$E$2))))))</f>
        <v>0</v>
      </c>
      <c r="BR394" s="470">
        <f>IF(N394="",0,IF(SETUP!$E$7="USD",((IF(O394="USD",AK394,(AK394/'Master Data-C19RM'!$F$2)))),((IF(O394="EUR",AK394,(AK394*'Master Data-C19RM'!$F$2))))))</f>
        <v>0</v>
      </c>
      <c r="BS394" s="470">
        <f>IF(N394="",0,IF(SETUP!$E$7="USD",((IF(O394="USD",AR394,(AR394/'Master Data-C19RM'!$G$2)))),((IF(O394="EUR",AR394,(AR394*'Master Data-C19RM'!$G$2))))))</f>
        <v>0</v>
      </c>
      <c r="BT394" s="470">
        <f>IF(N394="",0,IF(SETUP!$E$7="USD",((IF(O394="USD",AY394,(AY394/'Master Data-C19RM'!$H$2)))),((IF(O394="EUR",AY394,(AY394*'Master Data-C19RM'!$H$2))))))</f>
        <v>0</v>
      </c>
      <c r="BU394" s="448">
        <f t="shared" si="51"/>
        <v>0</v>
      </c>
      <c r="BV394" s="562">
        <f t="shared" si="52"/>
        <v>0</v>
      </c>
      <c r="BW394" s="470"/>
      <c r="BX394" s="470"/>
      <c r="BY394" s="470"/>
      <c r="BZ394" s="470"/>
      <c r="CA394" s="470"/>
      <c r="CB394" s="470"/>
      <c r="CC394" s="470"/>
      <c r="CD394" s="470"/>
      <c r="CE394" s="470"/>
      <c r="CF394" s="470"/>
      <c r="CG394" s="470"/>
      <c r="CH394" s="470"/>
      <c r="CI394" s="470"/>
      <c r="CJ394" s="470"/>
      <c r="CK394" s="470"/>
      <c r="CL394" s="470"/>
      <c r="CM394" s="470"/>
      <c r="CN394" s="470"/>
      <c r="CO394" s="470"/>
      <c r="CP394" s="470"/>
    </row>
    <row r="395" spans="1:94" s="448" customFormat="1" ht="14" x14ac:dyDescent="0.3">
      <c r="A395" s="1165"/>
      <c r="B395" s="1165"/>
      <c r="C395" s="1165"/>
      <c r="D395" s="1165"/>
      <c r="E395" s="1166"/>
      <c r="F395" s="1166"/>
      <c r="G395" s="1166"/>
      <c r="H395" s="1166"/>
      <c r="I395" s="1166"/>
      <c r="J395" s="1166"/>
      <c r="K395" s="1166"/>
      <c r="L395" s="490" t="str" cm="1">
        <f t="array" ref="L395">IF(A395&lt;&gt;"",IFERROR(INDEX(PMtbl[[WKst]:[Unit of measure*]],MATCH($A$330&amp;$A395&amp;$E395&amp;$I395,INDEX(PMtbl[Sec]&amp;PMtbl[Category]&amp;PMtbl[Each]&amp;PMtbl[Packaging],0,),0),14),""),"")</f>
        <v/>
      </c>
      <c r="M395" s="479" t="str">
        <f>IF(L395="","",INDEX(SETUP!$E$20:$E$122,(MATCH(INDEX(PMsheet!$D:$E,MATCH(A395,PMsheet!E:E,0),1),SETUP!$D$20:$D$122,0))))</f>
        <v/>
      </c>
      <c r="N395" s="491">
        <f>IF($O395="USD",_xlfn.IFNA(VLOOKUP(A395&amp;E395&amp;I395,PMsheet!J:K,2,0),0),(_xlfn.IFNA(VLOOKUP(A395&amp;E395&amp;I395,PMsheet!J:K,2,0),0)*'Master Data-C19RM'!$C$2))</f>
        <v>0</v>
      </c>
      <c r="O395" s="492" t="str">
        <f>IF(L395="", "",SETUP!$E$7)</f>
        <v/>
      </c>
      <c r="P395" s="444">
        <f>IF($O395="USD",_xlfn.IFNA(VLOOKUP($A395&amp;$E395&amp;$I395,PMsheet!$J:$K,2,0),0),(_xlfn.IFNA(VLOOKUP($A395&amp;$E395&amp;$I395,PMsheet!$J:$K,2,0),0)*'Master Data-C19RM'!$C$2))</f>
        <v>0</v>
      </c>
      <c r="Q395" s="441"/>
      <c r="R395" s="441"/>
      <c r="S395" s="441"/>
      <c r="T395" s="441"/>
      <c r="U395" s="481">
        <f t="shared" si="44"/>
        <v>0</v>
      </c>
      <c r="V395" s="483">
        <f>IF(SETUP!$E$7="USD",(U395*(IF(O395="USD",P395,(P395/'Master Data-C19RM'!$C$2)))),(U395*(IF(O395="EUR",P395,(P395*'Master Data-C19RM'!$C$2)))))</f>
        <v>0</v>
      </c>
      <c r="W395" s="444">
        <f>IF($O395="USD",_xlfn.IFNA(VLOOKUP($A395&amp;$E395&amp;$I395,PMsheet!$J:$K,2,0),0),(_xlfn.IFNA(VLOOKUP($A395&amp;$E395&amp;$I395,PMsheet!$J:$K,2,0),0)*'Master Data-C19RM'!$D$2))</f>
        <v>0</v>
      </c>
      <c r="X395" s="441"/>
      <c r="Y395" s="441"/>
      <c r="Z395" s="441"/>
      <c r="AA395" s="441"/>
      <c r="AB395" s="481">
        <f t="shared" si="47"/>
        <v>0</v>
      </c>
      <c r="AC395" s="483">
        <f>IF(SETUP!$E$7="USD",(AB395*(IF(O395="USD",W395,(W395/'Master Data-C19RM'!$D$2)))),(AB395*(IF(O395="EUR",W395,(W395*'Master Data-C19RM'!$D$2)))))</f>
        <v>0</v>
      </c>
      <c r="AD395" s="444">
        <f>IF($O395="USD",_xlfn.IFNA(VLOOKUP($A395&amp;$E395&amp;$I395,PMsheet!$J:$K,2,0),0),(_xlfn.IFNA(VLOOKUP($A395&amp;$E395&amp;$I395,PMsheet!$J:$K,2,0),0)*'Master Data-C19RM'!$E$2))</f>
        <v>0</v>
      </c>
      <c r="AE395" s="441"/>
      <c r="AF395" s="441"/>
      <c r="AG395" s="441"/>
      <c r="AH395" s="441"/>
      <c r="AI395" s="512">
        <f t="shared" si="48"/>
        <v>0</v>
      </c>
      <c r="AJ395" s="513">
        <f>IF(SETUP!$E$7="USD",(AI395*(IF(O395="USD",AD395,(AD395/'Master Data-C19RM'!$E$2)))),(AI395*(IF(O395="EUR",AD395,(AD395*'Master Data-C19RM'!$E$2)))))</f>
        <v>0</v>
      </c>
      <c r="AK395" s="444">
        <f>IF($O395="USD",_xlfn.IFNA(VLOOKUP($A395&amp;$E395&amp;$I395,PMsheet!$J:$K,2,0),0),(_xlfn.IFNA(VLOOKUP($A395&amp;$E395&amp;$I395,PMsheet!$J:$K,2,0),0)*'Master Data-C19RM'!$F$2))</f>
        <v>0</v>
      </c>
      <c r="AL395" s="441"/>
      <c r="AM395" s="441"/>
      <c r="AN395" s="441"/>
      <c r="AO395" s="441"/>
      <c r="AP395" s="512">
        <f t="shared" si="49"/>
        <v>0</v>
      </c>
      <c r="AQ395" s="513">
        <f>IF(SETUP!$E$7="USD",(AP395*(IF(O395="USD",AK395,(AK395/'Master Data-C19RM'!$F$2)))),(AP395*(IF(O395="EUR",AK395,(AK395*'Master Data-C19RM'!$F$2)))))</f>
        <v>0</v>
      </c>
      <c r="AR395" s="924">
        <f>IF($O395="USD",_xlfn.IFNA(VLOOKUP($A395&amp;$E395&amp;$I395,PMsheet!$J:$K,2,0),0),(_xlfn.IFNA(VLOOKUP($A395&amp;$E395&amp;$I395,PMsheet!$J:$K,2,0),0)*'Master Data-C19RM'!$G$2))</f>
        <v>0</v>
      </c>
      <c r="AS395" s="572"/>
      <c r="AT395" s="572"/>
      <c r="AU395" s="572"/>
      <c r="AV395" s="572"/>
      <c r="AW395" s="512">
        <f t="shared" si="50"/>
        <v>0</v>
      </c>
      <c r="AX395" s="512">
        <f>IF(SETUP!$E$7="USD",(AW395*(IF(O395="USD",AR395,(AR395/'Master Data-C19RM'!$G$2)))),(AW395*(IF(O395="EUR",AR395,(AR395*'Master Data-C19RM'!$G$2)))))</f>
        <v>0</v>
      </c>
      <c r="AY395" s="845"/>
      <c r="AZ395" s="846"/>
      <c r="BA395" s="846"/>
      <c r="BB395" s="846"/>
      <c r="BC395" s="846"/>
      <c r="BD395" s="846"/>
      <c r="BE395" s="847"/>
      <c r="BF395" s="520">
        <f>'C19RM 2021-Lab &amp; Other HPS'!$U395+'C19RM 2021-Lab &amp; Other HPS'!$AB395+'C19RM 2021-Lab &amp; Other HPS'!$AP395+'C19RM 2021-Lab &amp; Other HPS'!$AI395+AW395+BD395</f>
        <v>0</v>
      </c>
      <c r="BG395" s="513">
        <f>'C19RM 2021-Lab &amp; Other HPS'!$V395+'C19RM 2021-Lab &amp; Other HPS'!$AC395+'C19RM 2021-Lab &amp; Other HPS'!$AQ395+'C19RM 2021-Lab &amp; Other HPS'!$AJ395+AX395+BE395</f>
        <v>0</v>
      </c>
      <c r="BH395" s="500" t="str" cm="1">
        <f t="array" ref="BH395">IF(A395&lt;&gt;"",IFERROR(INDEX(PMtbl[[WKst]:[Unit of measure*]],MATCH($A$330&amp;$A395&amp;$E395&amp;$I395,INDEX(PMtbl[Sec]&amp;PMtbl[Category]&amp;PMtbl[Each]&amp;PMtbl[Packaging],0,),0),11),""),"")</f>
        <v/>
      </c>
      <c r="BI395" s="819"/>
      <c r="BJ395" s="502" t="str" cm="1">
        <f t="array" ref="BJ395">IFERROR(INDEX(SETUP!$C$19:$G$121,MATCH((INDEX(PMtbl[[WKst]:[Unit of measure*]],MATCH($A395&amp;$E395&amp;$I395,INDEX(PMtbl[Category]&amp;PMtbl[Each]&amp;PMtbl[Packaging],0,),0),3)),SETUP!$D$19:$D$121,0),5),"")</f>
        <v/>
      </c>
      <c r="BK395" s="568"/>
      <c r="BL395" s="563"/>
      <c r="BO395" s="448">
        <f>IF(N395="",0,IF(SETUP!$E$7="USD",((IF(O395="USD",P395,(P395/'Master Data-C19RM'!$C$2)))),((IF(O395="EUR",P395,(P395*'Master Data-C19RM'!$C$2))))))</f>
        <v>0</v>
      </c>
      <c r="BP395" s="448">
        <f>IF(N395="",0,IF(SETUP!$E$7="USD",((IF(O395="USD",W395,(W395/'Master Data-C19RM'!$D$2)))),((IF(O395="EUR",W395,(W395*'Master Data-C19RM'!$D$2))))))</f>
        <v>0</v>
      </c>
      <c r="BQ395" s="470">
        <f>IF(N395="",0,IF(SETUP!$E$7="USD",((IF(O395="USD",AD395,(AD395/'Master Data-C19RM'!$E$2)))),((IF(O395="EUR",AD395,(AD395*'Master Data-C19RM'!$E$2))))))</f>
        <v>0</v>
      </c>
      <c r="BR395" s="470">
        <f>IF(N395="",0,IF(SETUP!$E$7="USD",((IF(O395="USD",AK395,(AK395/'Master Data-C19RM'!$F$2)))),((IF(O395="EUR",AK395,(AK395*'Master Data-C19RM'!$F$2))))))</f>
        <v>0</v>
      </c>
      <c r="BS395" s="470">
        <f>IF(N395="",0,IF(SETUP!$E$7="USD",((IF(O395="USD",AR395,(AR395/'Master Data-C19RM'!$G$2)))),((IF(O395="EUR",AR395,(AR395*'Master Data-C19RM'!$G$2))))))</f>
        <v>0</v>
      </c>
      <c r="BT395" s="470">
        <f>IF(N395="",0,IF(SETUP!$E$7="USD",((IF(O395="USD",AY395,(AY395/'Master Data-C19RM'!$H$2)))),((IF(O395="EUR",AY395,(AY395*'Master Data-C19RM'!$H$2))))))</f>
        <v>0</v>
      </c>
      <c r="BU395" s="448">
        <f t="shared" si="51"/>
        <v>0</v>
      </c>
      <c r="BV395" s="562">
        <f t="shared" si="52"/>
        <v>0</v>
      </c>
      <c r="BW395" s="470"/>
      <c r="BX395" s="470"/>
      <c r="BY395" s="470"/>
      <c r="BZ395" s="470"/>
      <c r="CA395" s="470"/>
      <c r="CB395" s="470"/>
      <c r="CC395" s="470"/>
      <c r="CD395" s="470"/>
      <c r="CE395" s="470"/>
      <c r="CF395" s="470"/>
      <c r="CG395" s="470"/>
      <c r="CH395" s="470"/>
      <c r="CI395" s="470"/>
      <c r="CJ395" s="470"/>
      <c r="CK395" s="470"/>
      <c r="CL395" s="470"/>
      <c r="CM395" s="470"/>
      <c r="CN395" s="470"/>
      <c r="CO395" s="470"/>
      <c r="CP395" s="470"/>
    </row>
    <row r="396" spans="1:94" s="448" customFormat="1" ht="14" x14ac:dyDescent="0.3">
      <c r="A396" s="1197"/>
      <c r="B396" s="1198"/>
      <c r="C396" s="1198"/>
      <c r="D396" s="1199"/>
      <c r="E396" s="1173"/>
      <c r="F396" s="1173"/>
      <c r="G396" s="1173"/>
      <c r="H396" s="1173"/>
      <c r="I396" s="1173"/>
      <c r="J396" s="1173"/>
      <c r="K396" s="1173"/>
      <c r="L396" s="493" t="str" cm="1">
        <f t="array" ref="L396">IF(A396&lt;&gt;"",IFERROR(INDEX(PMtbl[[WKst]:[Unit of measure*]],MATCH($A$330&amp;$A396&amp;$E396&amp;$I396,INDEX(PMtbl[Sec]&amp;PMtbl[Category]&amp;PMtbl[Each]&amp;PMtbl[Packaging],0,),0),14),""),"")</f>
        <v/>
      </c>
      <c r="M396" s="480" t="str">
        <f>IF(L396="","",INDEX(SETUP!$E$20:$E$122,(MATCH(INDEX(PMsheet!$D:$E,MATCH(A396,PMsheet!E:E,0),1),SETUP!$D$20:$D$122,0))))</f>
        <v/>
      </c>
      <c r="N396" s="494">
        <f>IF($O396="USD",_xlfn.IFNA(VLOOKUP(A396&amp;E396&amp;I396,PMsheet!J:K,2,0),0),(_xlfn.IFNA(VLOOKUP(A396&amp;E396&amp;I396,PMsheet!J:K,2,0),0)*'Master Data-C19RM'!$C$2))</f>
        <v>0</v>
      </c>
      <c r="O396" s="495" t="str">
        <f>IF(L396="", "",SETUP!$E$7)</f>
        <v/>
      </c>
      <c r="P396" s="445">
        <f>IF($O396="USD",_xlfn.IFNA(VLOOKUP($A396&amp;$E396&amp;$I396,PMsheet!$J:$K,2,0),0),(_xlfn.IFNA(VLOOKUP($A396&amp;$E396&amp;$I396,PMsheet!$J:$K,2,0),0)*'Master Data-C19RM'!$C$2))</f>
        <v>0</v>
      </c>
      <c r="Q396" s="440"/>
      <c r="R396" s="440"/>
      <c r="S396" s="440"/>
      <c r="T396" s="440"/>
      <c r="U396" s="482">
        <f t="shared" si="44"/>
        <v>0</v>
      </c>
      <c r="V396" s="484">
        <f>IF(SETUP!$E$7="USD",(U396*(IF(O396="USD",P396,(P396/'Master Data-C19RM'!$C$2)))),(U396*(IF(O396="EUR",P396,(P396*'Master Data-C19RM'!$C$2)))))</f>
        <v>0</v>
      </c>
      <c r="W396" s="445">
        <f>IF($O396="USD",_xlfn.IFNA(VLOOKUP($A396&amp;$E396&amp;$I396,PMsheet!$J:$K,2,0),0),(_xlfn.IFNA(VLOOKUP($A396&amp;$E396&amp;$I396,PMsheet!$J:$K,2,0),0)*'Master Data-C19RM'!$D$2))</f>
        <v>0</v>
      </c>
      <c r="X396" s="440"/>
      <c r="Y396" s="440"/>
      <c r="Z396" s="440"/>
      <c r="AA396" s="440"/>
      <c r="AB396" s="482">
        <f t="shared" si="47"/>
        <v>0</v>
      </c>
      <c r="AC396" s="484">
        <f>IF(SETUP!$E$7="USD",(AB396*(IF(O396="USD",W396,(W396/'Master Data-C19RM'!$D$2)))),(AB396*(IF(O396="EUR",W396,(W396*'Master Data-C19RM'!$D$2)))))</f>
        <v>0</v>
      </c>
      <c r="AD396" s="445">
        <f>IF($O396="USD",_xlfn.IFNA(VLOOKUP($A396&amp;$E396&amp;$I396,PMsheet!$J:$K,2,0),0),(_xlfn.IFNA(VLOOKUP($A396&amp;$E396&amp;$I396,PMsheet!$J:$K,2,0),0)*'Master Data-C19RM'!$E$2))</f>
        <v>0</v>
      </c>
      <c r="AE396" s="440"/>
      <c r="AF396" s="440"/>
      <c r="AG396" s="440"/>
      <c r="AH396" s="440"/>
      <c r="AI396" s="514">
        <f t="shared" si="48"/>
        <v>0</v>
      </c>
      <c r="AJ396" s="515">
        <f>IF(SETUP!$E$7="USD",(AI396*(IF(O396="USD",AD396,(AD396/'Master Data-C19RM'!$E$2)))),(AI396*(IF(O396="EUR",AD396,(AD396*'Master Data-C19RM'!$E$2)))))</f>
        <v>0</v>
      </c>
      <c r="AK396" s="445">
        <f>IF($O396="USD",_xlfn.IFNA(VLOOKUP($A396&amp;$E396&amp;$I396,PMsheet!$J:$K,2,0),0),(_xlfn.IFNA(VLOOKUP($A396&amp;$E396&amp;$I396,PMsheet!$J:$K,2,0),0)*'Master Data-C19RM'!$F$2))</f>
        <v>0</v>
      </c>
      <c r="AL396" s="440"/>
      <c r="AM396" s="440"/>
      <c r="AN396" s="440"/>
      <c r="AO396" s="440"/>
      <c r="AP396" s="514">
        <f t="shared" si="49"/>
        <v>0</v>
      </c>
      <c r="AQ396" s="515">
        <f>IF(SETUP!$E$7="USD",(AP396*(IF(O396="USD",AK396,(AK396/'Master Data-C19RM'!$F$2)))),(AP396*(IF(O396="EUR",AK396,(AK396*'Master Data-C19RM'!$F$2)))))</f>
        <v>0</v>
      </c>
      <c r="AR396" s="925">
        <f>IF($O396="USD",_xlfn.IFNA(VLOOKUP($A396&amp;$E396&amp;$I396,PMsheet!$J:$K,2,0),0),(_xlfn.IFNA(VLOOKUP($A396&amp;$E396&amp;$I396,PMsheet!$J:$K,2,0),0)*'Master Data-C19RM'!$G$2))</f>
        <v>0</v>
      </c>
      <c r="AS396" s="926"/>
      <c r="AT396" s="926"/>
      <c r="AU396" s="926"/>
      <c r="AV396" s="926"/>
      <c r="AW396" s="514">
        <f t="shared" si="50"/>
        <v>0</v>
      </c>
      <c r="AX396" s="514">
        <f>IF(SETUP!$E$7="USD",(AW396*(IF(O396="USD",AR396,(AR396/'Master Data-C19RM'!$G$2)))),(AW396*(IF(O396="EUR",AR396,(AR396*'Master Data-C19RM'!$G$2)))))</f>
        <v>0</v>
      </c>
      <c r="AY396" s="845"/>
      <c r="AZ396" s="846"/>
      <c r="BA396" s="846"/>
      <c r="BB396" s="846"/>
      <c r="BC396" s="846"/>
      <c r="BD396" s="846"/>
      <c r="BE396" s="847"/>
      <c r="BF396" s="521">
        <f>'C19RM 2021-Lab &amp; Other HPS'!$U396+'C19RM 2021-Lab &amp; Other HPS'!$AB396+'C19RM 2021-Lab &amp; Other HPS'!$AP396+'C19RM 2021-Lab &amp; Other HPS'!$AI396+AW396+BD396</f>
        <v>0</v>
      </c>
      <c r="BG396" s="515">
        <f>'C19RM 2021-Lab &amp; Other HPS'!$V396+'C19RM 2021-Lab &amp; Other HPS'!$AC396+'C19RM 2021-Lab &amp; Other HPS'!$AQ396+'C19RM 2021-Lab &amp; Other HPS'!$AJ396+AX396+BE396</f>
        <v>0</v>
      </c>
      <c r="BH396" s="522" t="str" cm="1">
        <f t="array" ref="BH396">IF(A396&lt;&gt;"",IFERROR(INDEX(PMtbl[[WKst]:[Unit of measure*]],MATCH($A$330&amp;$A396&amp;$E396&amp;$I396,INDEX(PMtbl[Sec]&amp;PMtbl[Category]&amp;PMtbl[Each]&amp;PMtbl[Packaging],0,),0),11),""),"")</f>
        <v/>
      </c>
      <c r="BI396" s="818"/>
      <c r="BJ396" s="503" t="str" cm="1">
        <f t="array" ref="BJ396">IFERROR(INDEX(SETUP!$C$19:$G$121,MATCH((INDEX(PMtbl[[WKst]:[Unit of measure*]],MATCH($A396&amp;$E396&amp;$I396,INDEX(PMtbl[Category]&amp;PMtbl[Each]&amp;PMtbl[Packaging],0,),0),3)),SETUP!$D$19:$D$121,0),5),"")</f>
        <v/>
      </c>
      <c r="BK396" s="569"/>
      <c r="BL396" s="564"/>
      <c r="BO396" s="448">
        <f>IF(N396="",0,IF(SETUP!$E$7="USD",((IF(O396="USD",P396,(P396/'Master Data-C19RM'!$C$2)))),((IF(O396="EUR",P396,(P396*'Master Data-C19RM'!$C$2))))))</f>
        <v>0</v>
      </c>
      <c r="BP396" s="448">
        <f>IF(N396="",0,IF(SETUP!$E$7="USD",((IF(O396="USD",W396,(W396/'Master Data-C19RM'!$D$2)))),((IF(O396="EUR",W396,(W396*'Master Data-C19RM'!$D$2))))))</f>
        <v>0</v>
      </c>
      <c r="BQ396" s="470">
        <f>IF(N396="",0,IF(SETUP!$E$7="USD",((IF(O396="USD",AD396,(AD396/'Master Data-C19RM'!$E$2)))),((IF(O396="EUR",AD396,(AD396*'Master Data-C19RM'!$E$2))))))</f>
        <v>0</v>
      </c>
      <c r="BR396" s="470">
        <f>IF(N396="",0,IF(SETUP!$E$7="USD",((IF(O396="USD",AK396,(AK396/'Master Data-C19RM'!$F$2)))),((IF(O396="EUR",AK396,(AK396*'Master Data-C19RM'!$F$2))))))</f>
        <v>0</v>
      </c>
      <c r="BS396" s="470">
        <f>IF(N396="",0,IF(SETUP!$E$7="USD",((IF(O396="USD",AR396,(AR396/'Master Data-C19RM'!$G$2)))),((IF(O396="EUR",AR396,(AR396*'Master Data-C19RM'!$G$2))))))</f>
        <v>0</v>
      </c>
      <c r="BT396" s="470">
        <f>IF(N396="",0,IF(SETUP!$E$7="USD",((IF(O396="USD",AY396,(AY396/'Master Data-C19RM'!$H$2)))),((IF(O396="EUR",AY396,(AY396*'Master Data-C19RM'!$H$2))))))</f>
        <v>0</v>
      </c>
      <c r="BU396" s="448">
        <f t="shared" si="51"/>
        <v>0</v>
      </c>
      <c r="BV396" s="562">
        <f t="shared" si="52"/>
        <v>0</v>
      </c>
      <c r="BW396" s="470"/>
      <c r="BX396" s="470"/>
      <c r="BY396" s="470"/>
      <c r="BZ396" s="470"/>
      <c r="CA396" s="470"/>
      <c r="CB396" s="470"/>
      <c r="CC396" s="470"/>
      <c r="CD396" s="470"/>
      <c r="CE396" s="470"/>
      <c r="CF396" s="470"/>
      <c r="CG396" s="470"/>
      <c r="CH396" s="470"/>
      <c r="CI396" s="470"/>
      <c r="CJ396" s="470"/>
      <c r="CK396" s="470"/>
      <c r="CL396" s="470"/>
      <c r="CM396" s="470"/>
      <c r="CN396" s="470"/>
      <c r="CO396" s="470"/>
      <c r="CP396" s="470"/>
    </row>
    <row r="397" spans="1:94" s="448" customFormat="1" ht="14" x14ac:dyDescent="0.3">
      <c r="A397" s="1200"/>
      <c r="B397" s="1201"/>
      <c r="C397" s="1201"/>
      <c r="D397" s="1202"/>
      <c r="E397" s="1166"/>
      <c r="F397" s="1166"/>
      <c r="G397" s="1166"/>
      <c r="H397" s="1166"/>
      <c r="I397" s="1166"/>
      <c r="J397" s="1166"/>
      <c r="K397" s="1166"/>
      <c r="L397" s="490" t="str" cm="1">
        <f t="array" ref="L397">IF(A397&lt;&gt;"",IFERROR(INDEX(PMtbl[[WKst]:[Unit of measure*]],MATCH($A$330&amp;$A397&amp;$E397&amp;$I397,INDEX(PMtbl[Sec]&amp;PMtbl[Category]&amp;PMtbl[Each]&amp;PMtbl[Packaging],0,),0),14),""),"")</f>
        <v/>
      </c>
      <c r="M397" s="479" t="str">
        <f>IF(L397="","",INDEX(SETUP!$E$20:$E$122,(MATCH(INDEX(PMsheet!$D:$E,MATCH(A397,PMsheet!E:E,0),1),SETUP!$D$20:$D$122,0))))</f>
        <v/>
      </c>
      <c r="N397" s="491">
        <f>IF($O397="USD",_xlfn.IFNA(VLOOKUP(A397&amp;E397&amp;I397,PMsheet!J:K,2,0),0),(_xlfn.IFNA(VLOOKUP(A397&amp;E397&amp;I397,PMsheet!J:K,2,0),0)*'Master Data-C19RM'!$C$2))</f>
        <v>0</v>
      </c>
      <c r="O397" s="492" t="str">
        <f>IF(L397="", "",SETUP!$E$7)</f>
        <v/>
      </c>
      <c r="P397" s="444">
        <f>IF($O397="USD",_xlfn.IFNA(VLOOKUP($A397&amp;$E397&amp;$I397,PMsheet!$J:$K,2,0),0),(_xlfn.IFNA(VLOOKUP($A397&amp;$E397&amp;$I397,PMsheet!$J:$K,2,0),0)*'Master Data-C19RM'!$C$2))</f>
        <v>0</v>
      </c>
      <c r="Q397" s="441"/>
      <c r="R397" s="441"/>
      <c r="S397" s="441"/>
      <c r="T397" s="441"/>
      <c r="U397" s="481">
        <f t="shared" si="44"/>
        <v>0</v>
      </c>
      <c r="V397" s="483">
        <f>IF(SETUP!$E$7="USD",(U397*(IF(O397="USD",P397,(P397/'Master Data-C19RM'!$C$2)))),(U397*(IF(O397="EUR",P397,(P397*'Master Data-C19RM'!$C$2)))))</f>
        <v>0</v>
      </c>
      <c r="W397" s="444">
        <f>IF($O397="USD",_xlfn.IFNA(VLOOKUP($A397&amp;$E397&amp;$I397,PMsheet!$J:$K,2,0),0),(_xlfn.IFNA(VLOOKUP($A397&amp;$E397&amp;$I397,PMsheet!$J:$K,2,0),0)*'Master Data-C19RM'!$D$2))</f>
        <v>0</v>
      </c>
      <c r="X397" s="441"/>
      <c r="Y397" s="441"/>
      <c r="Z397" s="441"/>
      <c r="AA397" s="441"/>
      <c r="AB397" s="481">
        <f t="shared" si="47"/>
        <v>0</v>
      </c>
      <c r="AC397" s="483">
        <f>IF(SETUP!$E$7="USD",(AB397*(IF(O397="USD",W397,(W397/'Master Data-C19RM'!$D$2)))),(AB397*(IF(O397="EUR",W397,(W397*'Master Data-C19RM'!$D$2)))))</f>
        <v>0</v>
      </c>
      <c r="AD397" s="444">
        <f>IF($O397="USD",_xlfn.IFNA(VLOOKUP($A397&amp;$E397&amp;$I397,PMsheet!$J:$K,2,0),0),(_xlfn.IFNA(VLOOKUP($A397&amp;$E397&amp;$I397,PMsheet!$J:$K,2,0),0)*'Master Data-C19RM'!$E$2))</f>
        <v>0</v>
      </c>
      <c r="AE397" s="441"/>
      <c r="AF397" s="441"/>
      <c r="AG397" s="441"/>
      <c r="AH397" s="441"/>
      <c r="AI397" s="512">
        <f t="shared" si="48"/>
        <v>0</v>
      </c>
      <c r="AJ397" s="513">
        <f>IF(SETUP!$E$7="USD",(AI397*(IF(O397="USD",AD397,(AD397/'Master Data-C19RM'!$E$2)))),(AI397*(IF(O397="EUR",AD397,(AD397*'Master Data-C19RM'!$E$2)))))</f>
        <v>0</v>
      </c>
      <c r="AK397" s="444">
        <f>IF($O397="USD",_xlfn.IFNA(VLOOKUP($A397&amp;$E397&amp;$I397,PMsheet!$J:$K,2,0),0),(_xlfn.IFNA(VLOOKUP($A397&amp;$E397&amp;$I397,PMsheet!$J:$K,2,0),0)*'Master Data-C19RM'!$F$2))</f>
        <v>0</v>
      </c>
      <c r="AL397" s="441"/>
      <c r="AM397" s="441"/>
      <c r="AN397" s="441"/>
      <c r="AO397" s="441"/>
      <c r="AP397" s="512">
        <f t="shared" si="49"/>
        <v>0</v>
      </c>
      <c r="AQ397" s="513">
        <f>IF(SETUP!$E$7="USD",(AP397*(IF(O397="USD",AK397,(AK397/'Master Data-C19RM'!$F$2)))),(AP397*(IF(O397="EUR",AK397,(AK397*'Master Data-C19RM'!$F$2)))))</f>
        <v>0</v>
      </c>
      <c r="AR397" s="924">
        <f>IF($O397="USD",_xlfn.IFNA(VLOOKUP($A397&amp;$E397&amp;$I397,PMsheet!$J:$K,2,0),0),(_xlfn.IFNA(VLOOKUP($A397&amp;$E397&amp;$I397,PMsheet!$J:$K,2,0),0)*'Master Data-C19RM'!$G$2))</f>
        <v>0</v>
      </c>
      <c r="AS397" s="572"/>
      <c r="AT397" s="572"/>
      <c r="AU397" s="572"/>
      <c r="AV397" s="572"/>
      <c r="AW397" s="512">
        <f t="shared" si="50"/>
        <v>0</v>
      </c>
      <c r="AX397" s="512">
        <f>IF(SETUP!$E$7="USD",(AW397*(IF(O397="USD",AR397,(AR397/'Master Data-C19RM'!$G$2)))),(AW397*(IF(O397="EUR",AR397,(AR397*'Master Data-C19RM'!$G$2)))))</f>
        <v>0</v>
      </c>
      <c r="AY397" s="845"/>
      <c r="AZ397" s="846"/>
      <c r="BA397" s="846"/>
      <c r="BB397" s="846"/>
      <c r="BC397" s="846"/>
      <c r="BD397" s="846"/>
      <c r="BE397" s="847"/>
      <c r="BF397" s="520">
        <f>'C19RM 2021-Lab &amp; Other HPS'!$U397+'C19RM 2021-Lab &amp; Other HPS'!$AB397+'C19RM 2021-Lab &amp; Other HPS'!$AP397+'C19RM 2021-Lab &amp; Other HPS'!$AI397+AW397+BD397</f>
        <v>0</v>
      </c>
      <c r="BG397" s="513">
        <f>'C19RM 2021-Lab &amp; Other HPS'!$V397+'C19RM 2021-Lab &amp; Other HPS'!$AC397+'C19RM 2021-Lab &amp; Other HPS'!$AQ397+'C19RM 2021-Lab &amp; Other HPS'!$AJ397+AX397+BE397</f>
        <v>0</v>
      </c>
      <c r="BH397" s="500" t="str" cm="1">
        <f t="array" ref="BH397">IF(A397&lt;&gt;"",IFERROR(INDEX(PMtbl[[WKst]:[Unit of measure*]],MATCH($A$330&amp;$A397&amp;$E397&amp;$I397,INDEX(PMtbl[Sec]&amp;PMtbl[Category]&amp;PMtbl[Each]&amp;PMtbl[Packaging],0,),0),11),""),"")</f>
        <v/>
      </c>
      <c r="BI397" s="819"/>
      <c r="BJ397" s="502" t="str" cm="1">
        <f t="array" ref="BJ397">IFERROR(INDEX(SETUP!$C$19:$G$121,MATCH((INDEX(PMtbl[[WKst]:[Unit of measure*]],MATCH($A397&amp;$E397&amp;$I397,INDEX(PMtbl[Category]&amp;PMtbl[Each]&amp;PMtbl[Packaging],0,),0),3)),SETUP!$D$19:$D$121,0),5),"")</f>
        <v/>
      </c>
      <c r="BK397" s="568"/>
      <c r="BL397" s="563"/>
      <c r="BO397" s="448">
        <f>IF(N397="",0,IF(SETUP!$E$7="USD",((IF(O397="USD",P397,(P397/'Master Data-C19RM'!$C$2)))),((IF(O397="EUR",P397,(P397*'Master Data-C19RM'!$C$2))))))</f>
        <v>0</v>
      </c>
      <c r="BP397" s="448">
        <f>IF(N397="",0,IF(SETUP!$E$7="USD",((IF(O397="USD",W397,(W397/'Master Data-C19RM'!$D$2)))),((IF(O397="EUR",W397,(W397*'Master Data-C19RM'!$D$2))))))</f>
        <v>0</v>
      </c>
      <c r="BQ397" s="470">
        <f>IF(N397="",0,IF(SETUP!$E$7="USD",((IF(O397="USD",AD397,(AD397/'Master Data-C19RM'!$E$2)))),((IF(O397="EUR",AD397,(AD397*'Master Data-C19RM'!$E$2))))))</f>
        <v>0</v>
      </c>
      <c r="BR397" s="470">
        <f>IF(N397="",0,IF(SETUP!$E$7="USD",((IF(O397="USD",AK397,(AK397/'Master Data-C19RM'!$F$2)))),((IF(O397="EUR",AK397,(AK397*'Master Data-C19RM'!$F$2))))))</f>
        <v>0</v>
      </c>
      <c r="BS397" s="470">
        <f>IF(N397="",0,IF(SETUP!$E$7="USD",((IF(O397="USD",AR397,(AR397/'Master Data-C19RM'!$G$2)))),((IF(O397="EUR",AR397,(AR397*'Master Data-C19RM'!$G$2))))))</f>
        <v>0</v>
      </c>
      <c r="BT397" s="470">
        <f>IF(N397="",0,IF(SETUP!$E$7="USD",((IF(O397="USD",AY397,(AY397/'Master Data-C19RM'!$H$2)))),((IF(O397="EUR",AY397,(AY397*'Master Data-C19RM'!$H$2))))))</f>
        <v>0</v>
      </c>
      <c r="BU397" s="448">
        <f t="shared" si="51"/>
        <v>0</v>
      </c>
      <c r="BV397" s="562">
        <f t="shared" si="52"/>
        <v>0</v>
      </c>
      <c r="BW397" s="470"/>
      <c r="BX397" s="470"/>
      <c r="BY397" s="470"/>
      <c r="BZ397" s="470"/>
      <c r="CA397" s="470"/>
      <c r="CB397" s="470"/>
      <c r="CC397" s="470"/>
      <c r="CD397" s="470"/>
      <c r="CE397" s="470"/>
      <c r="CF397" s="470"/>
      <c r="CG397" s="470"/>
      <c r="CH397" s="470"/>
      <c r="CI397" s="470"/>
      <c r="CJ397" s="470"/>
      <c r="CK397" s="470"/>
      <c r="CL397" s="470"/>
      <c r="CM397" s="470"/>
      <c r="CN397" s="470"/>
      <c r="CO397" s="470"/>
      <c r="CP397" s="470"/>
    </row>
    <row r="398" spans="1:94" s="448" customFormat="1" ht="14" x14ac:dyDescent="0.3">
      <c r="A398" s="1197"/>
      <c r="B398" s="1198"/>
      <c r="C398" s="1198"/>
      <c r="D398" s="1199"/>
      <c r="E398" s="1173"/>
      <c r="F398" s="1173"/>
      <c r="G398" s="1173"/>
      <c r="H398" s="1173"/>
      <c r="I398" s="1173"/>
      <c r="J398" s="1173"/>
      <c r="K398" s="1173"/>
      <c r="L398" s="493" t="str" cm="1">
        <f t="array" ref="L398">IF(A398&lt;&gt;"",IFERROR(INDEX(PMtbl[[WKst]:[Unit of measure*]],MATCH($A$330&amp;$A398&amp;$E398&amp;$I398,INDEX(PMtbl[Sec]&amp;PMtbl[Category]&amp;PMtbl[Each]&amp;PMtbl[Packaging],0,),0),14),""),"")</f>
        <v/>
      </c>
      <c r="M398" s="480" t="str">
        <f>IF(L398="","",INDEX(SETUP!$E$20:$E$122,(MATCH(INDEX(PMsheet!$D:$E,MATCH(A398,PMsheet!E:E,0),1),SETUP!$D$20:$D$122,0))))</f>
        <v/>
      </c>
      <c r="N398" s="494">
        <f>IF($O398="USD",_xlfn.IFNA(VLOOKUP(A398&amp;E398&amp;I398,PMsheet!J:K,2,0),0),(_xlfn.IFNA(VLOOKUP(A398&amp;E398&amp;I398,PMsheet!J:K,2,0),0)*'Master Data-C19RM'!$C$2))</f>
        <v>0</v>
      </c>
      <c r="O398" s="495" t="str">
        <f>IF(L398="", "",SETUP!$E$7)</f>
        <v/>
      </c>
      <c r="P398" s="445">
        <f>IF($O398="USD",_xlfn.IFNA(VLOOKUP($A398&amp;$E398&amp;$I398,PMsheet!$J:$K,2,0),0),(_xlfn.IFNA(VLOOKUP($A398&amp;$E398&amp;$I398,PMsheet!$J:$K,2,0),0)*'Master Data-C19RM'!$C$2))</f>
        <v>0</v>
      </c>
      <c r="Q398" s="440"/>
      <c r="R398" s="440"/>
      <c r="S398" s="440"/>
      <c r="T398" s="440"/>
      <c r="U398" s="482">
        <f t="shared" si="44"/>
        <v>0</v>
      </c>
      <c r="V398" s="484">
        <f>IF(SETUP!$E$7="USD",(U398*(IF(O398="USD",P398,(P398/'Master Data-C19RM'!$C$2)))),(U398*(IF(O398="EUR",P398,(P398*'Master Data-C19RM'!$C$2)))))</f>
        <v>0</v>
      </c>
      <c r="W398" s="445">
        <f>IF($O398="USD",_xlfn.IFNA(VLOOKUP($A398&amp;$E398&amp;$I398,PMsheet!$J:$K,2,0),0),(_xlfn.IFNA(VLOOKUP($A398&amp;$E398&amp;$I398,PMsheet!$J:$K,2,0),0)*'Master Data-C19RM'!$D$2))</f>
        <v>0</v>
      </c>
      <c r="X398" s="440"/>
      <c r="Y398" s="440"/>
      <c r="Z398" s="440"/>
      <c r="AA398" s="440"/>
      <c r="AB398" s="482">
        <f t="shared" si="47"/>
        <v>0</v>
      </c>
      <c r="AC398" s="484">
        <f>IF(SETUP!$E$7="USD",(AB398*(IF(O398="USD",W398,(W398/'Master Data-C19RM'!$D$2)))),(AB398*(IF(O398="EUR",W398,(W398*'Master Data-C19RM'!$D$2)))))</f>
        <v>0</v>
      </c>
      <c r="AD398" s="445">
        <f>IF($O398="USD",_xlfn.IFNA(VLOOKUP($A398&amp;$E398&amp;$I398,PMsheet!$J:$K,2,0),0),(_xlfn.IFNA(VLOOKUP($A398&amp;$E398&amp;$I398,PMsheet!$J:$K,2,0),0)*'Master Data-C19RM'!$E$2))</f>
        <v>0</v>
      </c>
      <c r="AE398" s="440"/>
      <c r="AF398" s="440"/>
      <c r="AG398" s="440"/>
      <c r="AH398" s="440"/>
      <c r="AI398" s="514">
        <f t="shared" si="48"/>
        <v>0</v>
      </c>
      <c r="AJ398" s="515">
        <f>IF(SETUP!$E$7="USD",(AI398*(IF(O398="USD",AD398,(AD398/'Master Data-C19RM'!$E$2)))),(AI398*(IF(O398="EUR",AD398,(AD398*'Master Data-C19RM'!$E$2)))))</f>
        <v>0</v>
      </c>
      <c r="AK398" s="445">
        <f>IF($O398="USD",_xlfn.IFNA(VLOOKUP($A398&amp;$E398&amp;$I398,PMsheet!$J:$K,2,0),0),(_xlfn.IFNA(VLOOKUP($A398&amp;$E398&amp;$I398,PMsheet!$J:$K,2,0),0)*'Master Data-C19RM'!$F$2))</f>
        <v>0</v>
      </c>
      <c r="AL398" s="440"/>
      <c r="AM398" s="440"/>
      <c r="AN398" s="440"/>
      <c r="AO398" s="440"/>
      <c r="AP398" s="514">
        <f t="shared" si="49"/>
        <v>0</v>
      </c>
      <c r="AQ398" s="515">
        <f>IF(SETUP!$E$7="USD",(AP398*(IF(O398="USD",AK398,(AK398/'Master Data-C19RM'!$F$2)))),(AP398*(IF(O398="EUR",AK398,(AK398*'Master Data-C19RM'!$F$2)))))</f>
        <v>0</v>
      </c>
      <c r="AR398" s="925">
        <f>IF($O398="USD",_xlfn.IFNA(VLOOKUP($A398&amp;$E398&amp;$I398,PMsheet!$J:$K,2,0),0),(_xlfn.IFNA(VLOOKUP($A398&amp;$E398&amp;$I398,PMsheet!$J:$K,2,0),0)*'Master Data-C19RM'!$G$2))</f>
        <v>0</v>
      </c>
      <c r="AS398" s="926"/>
      <c r="AT398" s="926"/>
      <c r="AU398" s="926"/>
      <c r="AV398" s="926"/>
      <c r="AW398" s="514">
        <f t="shared" si="50"/>
        <v>0</v>
      </c>
      <c r="AX398" s="514">
        <f>IF(SETUP!$E$7="USD",(AW398*(IF(O398="USD",AR398,(AR398/'Master Data-C19RM'!$G$2)))),(AW398*(IF(O398="EUR",AR398,(AR398*'Master Data-C19RM'!$G$2)))))</f>
        <v>0</v>
      </c>
      <c r="AY398" s="845"/>
      <c r="AZ398" s="846"/>
      <c r="BA398" s="846"/>
      <c r="BB398" s="846"/>
      <c r="BC398" s="846"/>
      <c r="BD398" s="846"/>
      <c r="BE398" s="847"/>
      <c r="BF398" s="521">
        <f>'C19RM 2021-Lab &amp; Other HPS'!$U398+'C19RM 2021-Lab &amp; Other HPS'!$AB398+'C19RM 2021-Lab &amp; Other HPS'!$AP398+'C19RM 2021-Lab &amp; Other HPS'!$AI398+AW398+BD398</f>
        <v>0</v>
      </c>
      <c r="BG398" s="515">
        <f>'C19RM 2021-Lab &amp; Other HPS'!$V398+'C19RM 2021-Lab &amp; Other HPS'!$AC398+'C19RM 2021-Lab &amp; Other HPS'!$AQ398+'C19RM 2021-Lab &amp; Other HPS'!$AJ398+AX398+BE398</f>
        <v>0</v>
      </c>
      <c r="BH398" s="522" t="str" cm="1">
        <f t="array" ref="BH398">IF(A398&lt;&gt;"",IFERROR(INDEX(PMtbl[[WKst]:[Unit of measure*]],MATCH($A$330&amp;$A398&amp;$E398&amp;$I398,INDEX(PMtbl[Sec]&amp;PMtbl[Category]&amp;PMtbl[Each]&amp;PMtbl[Packaging],0,),0),11),""),"")</f>
        <v/>
      </c>
      <c r="BI398" s="818"/>
      <c r="BJ398" s="503" t="str" cm="1">
        <f t="array" ref="BJ398">IFERROR(INDEX(SETUP!$C$19:$G$121,MATCH((INDEX(PMtbl[[WKst]:[Unit of measure*]],MATCH($A398&amp;$E398&amp;$I398,INDEX(PMtbl[Category]&amp;PMtbl[Each]&amp;PMtbl[Packaging],0,),0),3)),SETUP!$D$19:$D$121,0),5),"")</f>
        <v/>
      </c>
      <c r="BK398" s="569"/>
      <c r="BL398" s="564"/>
      <c r="BO398" s="448">
        <f>IF(N398="",0,IF(SETUP!$E$7="USD",((IF(O398="USD",P398,(P398/'Master Data-C19RM'!$C$2)))),((IF(O398="EUR",P398,(P398*'Master Data-C19RM'!$C$2))))))</f>
        <v>0</v>
      </c>
      <c r="BP398" s="448">
        <f>IF(N398="",0,IF(SETUP!$E$7="USD",((IF(O398="USD",W398,(W398/'Master Data-C19RM'!$D$2)))),((IF(O398="EUR",W398,(W398*'Master Data-C19RM'!$D$2))))))</f>
        <v>0</v>
      </c>
      <c r="BQ398" s="470">
        <f>IF(N398="",0,IF(SETUP!$E$7="USD",((IF(O398="USD",AD398,(AD398/'Master Data-C19RM'!$E$2)))),((IF(O398="EUR",AD398,(AD398*'Master Data-C19RM'!$E$2))))))</f>
        <v>0</v>
      </c>
      <c r="BR398" s="470">
        <f>IF(N398="",0,IF(SETUP!$E$7="USD",((IF(O398="USD",AK398,(AK398/'Master Data-C19RM'!$F$2)))),((IF(O398="EUR",AK398,(AK398*'Master Data-C19RM'!$F$2))))))</f>
        <v>0</v>
      </c>
      <c r="BS398" s="470">
        <f>IF(N398="",0,IF(SETUP!$E$7="USD",((IF(O398="USD",AR398,(AR398/'Master Data-C19RM'!$G$2)))),((IF(O398="EUR",AR398,(AR398*'Master Data-C19RM'!$G$2))))))</f>
        <v>0</v>
      </c>
      <c r="BT398" s="470">
        <f>IF(N398="",0,IF(SETUP!$E$7="USD",((IF(O398="USD",AY398,(AY398/'Master Data-C19RM'!$H$2)))),((IF(O398="EUR",AY398,(AY398*'Master Data-C19RM'!$H$2))))))</f>
        <v>0</v>
      </c>
      <c r="BU398" s="448">
        <f t="shared" si="51"/>
        <v>0</v>
      </c>
      <c r="BV398" s="562">
        <f t="shared" si="52"/>
        <v>0</v>
      </c>
      <c r="BW398" s="470"/>
      <c r="BX398" s="470"/>
      <c r="BY398" s="470"/>
      <c r="BZ398" s="470"/>
      <c r="CA398" s="470"/>
      <c r="CB398" s="470"/>
      <c r="CC398" s="470"/>
      <c r="CD398" s="470"/>
      <c r="CE398" s="470"/>
      <c r="CF398" s="470"/>
      <c r="CG398" s="470"/>
      <c r="CH398" s="470"/>
      <c r="CI398" s="470"/>
      <c r="CJ398" s="470"/>
      <c r="CK398" s="470"/>
      <c r="CL398" s="470"/>
      <c r="CM398" s="470"/>
      <c r="CN398" s="470"/>
      <c r="CO398" s="470"/>
      <c r="CP398" s="470"/>
    </row>
    <row r="399" spans="1:94" s="448" customFormat="1" ht="14" x14ac:dyDescent="0.3">
      <c r="A399" s="1165"/>
      <c r="B399" s="1165"/>
      <c r="C399" s="1165"/>
      <c r="D399" s="1165"/>
      <c r="E399" s="1166"/>
      <c r="F399" s="1166"/>
      <c r="G399" s="1166"/>
      <c r="H399" s="1166"/>
      <c r="I399" s="1166"/>
      <c r="J399" s="1166"/>
      <c r="K399" s="1166"/>
      <c r="L399" s="490" t="str" cm="1">
        <f t="array" ref="L399">IF(A399&lt;&gt;"",IFERROR(INDEX(PMtbl[[WKst]:[Unit of measure*]],MATCH($A$330&amp;$A399&amp;$E399&amp;$I399,INDEX(PMtbl[Sec]&amp;PMtbl[Category]&amp;PMtbl[Each]&amp;PMtbl[Packaging],0,),0),14),""),"")</f>
        <v/>
      </c>
      <c r="M399" s="479" t="str">
        <f>IF(L399="","",INDEX(SETUP!$E$20:$E$122,(MATCH(INDEX(PMsheet!$D:$E,MATCH(A399,PMsheet!E:E,0),1),SETUP!$D$20:$D$122,0))))</f>
        <v/>
      </c>
      <c r="N399" s="491">
        <f>IF($O399="USD",_xlfn.IFNA(VLOOKUP(A399&amp;E399&amp;I399,PMsheet!J:K,2,0),0),(_xlfn.IFNA(VLOOKUP(A399&amp;E399&amp;I399,PMsheet!J:K,2,0),0)*'Master Data-C19RM'!$C$2))</f>
        <v>0</v>
      </c>
      <c r="O399" s="492" t="str">
        <f>IF(L399="", "",SETUP!$E$7)</f>
        <v/>
      </c>
      <c r="P399" s="444">
        <f>IF($O399="USD",_xlfn.IFNA(VLOOKUP($A399&amp;$E399&amp;$I399,PMsheet!$J:$K,2,0),0),(_xlfn.IFNA(VLOOKUP($A399&amp;$E399&amp;$I399,PMsheet!$J:$K,2,0),0)*'Master Data-C19RM'!$C$2))</f>
        <v>0</v>
      </c>
      <c r="Q399" s="441"/>
      <c r="R399" s="441"/>
      <c r="S399" s="441"/>
      <c r="T399" s="441"/>
      <c r="U399" s="481">
        <f t="shared" si="44"/>
        <v>0</v>
      </c>
      <c r="V399" s="483">
        <f>IF(SETUP!$E$7="USD",(U399*(IF(O399="USD",P399,(P399/'Master Data-C19RM'!$C$2)))),(U399*(IF(O399="EUR",P399,(P399*'Master Data-C19RM'!$C$2)))))</f>
        <v>0</v>
      </c>
      <c r="W399" s="444">
        <f>IF($O399="USD",_xlfn.IFNA(VLOOKUP($A399&amp;$E399&amp;$I399,PMsheet!$J:$K,2,0),0),(_xlfn.IFNA(VLOOKUP($A399&amp;$E399&amp;$I399,PMsheet!$J:$K,2,0),0)*'Master Data-C19RM'!$D$2))</f>
        <v>0</v>
      </c>
      <c r="X399" s="441"/>
      <c r="Y399" s="441"/>
      <c r="Z399" s="441"/>
      <c r="AA399" s="441"/>
      <c r="AB399" s="481">
        <f t="shared" si="47"/>
        <v>0</v>
      </c>
      <c r="AC399" s="483">
        <f>IF(SETUP!$E$7="USD",(AB399*(IF(O399="USD",W399,(W399/'Master Data-C19RM'!$D$2)))),(AB399*(IF(O399="EUR",W399,(W399*'Master Data-C19RM'!$D$2)))))</f>
        <v>0</v>
      </c>
      <c r="AD399" s="444">
        <f>IF($O399="USD",_xlfn.IFNA(VLOOKUP($A399&amp;$E399&amp;$I399,PMsheet!$J:$K,2,0),0),(_xlfn.IFNA(VLOOKUP($A399&amp;$E399&amp;$I399,PMsheet!$J:$K,2,0),0)*'Master Data-C19RM'!$E$2))</f>
        <v>0</v>
      </c>
      <c r="AE399" s="441"/>
      <c r="AF399" s="441"/>
      <c r="AG399" s="441"/>
      <c r="AH399" s="441"/>
      <c r="AI399" s="512">
        <f t="shared" si="48"/>
        <v>0</v>
      </c>
      <c r="AJ399" s="513">
        <f>IF(SETUP!$E$7="USD",(AI399*(IF(O399="USD",AD399,(AD399/'Master Data-C19RM'!$E$2)))),(AI399*(IF(O399="EUR",AD399,(AD399*'Master Data-C19RM'!$E$2)))))</f>
        <v>0</v>
      </c>
      <c r="AK399" s="444">
        <f>IF($O399="USD",_xlfn.IFNA(VLOOKUP($A399&amp;$E399&amp;$I399,PMsheet!$J:$K,2,0),0),(_xlfn.IFNA(VLOOKUP($A399&amp;$E399&amp;$I399,PMsheet!$J:$K,2,0),0)*'Master Data-C19RM'!$F$2))</f>
        <v>0</v>
      </c>
      <c r="AL399" s="441"/>
      <c r="AM399" s="441"/>
      <c r="AN399" s="441"/>
      <c r="AO399" s="441"/>
      <c r="AP399" s="512">
        <f t="shared" si="49"/>
        <v>0</v>
      </c>
      <c r="AQ399" s="513">
        <f>IF(SETUP!$E$7="USD",(AP399*(IF(O399="USD",AK399,(AK399/'Master Data-C19RM'!$F$2)))),(AP399*(IF(O399="EUR",AK399,(AK399*'Master Data-C19RM'!$F$2)))))</f>
        <v>0</v>
      </c>
      <c r="AR399" s="924">
        <f>IF($O399="USD",_xlfn.IFNA(VLOOKUP($A399&amp;$E399&amp;$I399,PMsheet!$J:$K,2,0),0),(_xlfn.IFNA(VLOOKUP($A399&amp;$E399&amp;$I399,PMsheet!$J:$K,2,0),0)*'Master Data-C19RM'!$G$2))</f>
        <v>0</v>
      </c>
      <c r="AS399" s="572"/>
      <c r="AT399" s="572"/>
      <c r="AU399" s="572"/>
      <c r="AV399" s="572"/>
      <c r="AW399" s="512">
        <f t="shared" si="50"/>
        <v>0</v>
      </c>
      <c r="AX399" s="512">
        <f>IF(SETUP!$E$7="USD",(AW399*(IF(O399="USD",AR399,(AR399/'Master Data-C19RM'!$G$2)))),(AW399*(IF(O399="EUR",AR399,(AR399*'Master Data-C19RM'!$G$2)))))</f>
        <v>0</v>
      </c>
      <c r="AY399" s="845"/>
      <c r="AZ399" s="846"/>
      <c r="BA399" s="846"/>
      <c r="BB399" s="846"/>
      <c r="BC399" s="846"/>
      <c r="BD399" s="846"/>
      <c r="BE399" s="847"/>
      <c r="BF399" s="520">
        <f>'C19RM 2021-Lab &amp; Other HPS'!$U399+'C19RM 2021-Lab &amp; Other HPS'!$AB399+'C19RM 2021-Lab &amp; Other HPS'!$AP399+'C19RM 2021-Lab &amp; Other HPS'!$AI399+AW399+BD399</f>
        <v>0</v>
      </c>
      <c r="BG399" s="513">
        <f>'C19RM 2021-Lab &amp; Other HPS'!$V399+'C19RM 2021-Lab &amp; Other HPS'!$AC399+'C19RM 2021-Lab &amp; Other HPS'!$AQ399+'C19RM 2021-Lab &amp; Other HPS'!$AJ399+AX399+BE399</f>
        <v>0</v>
      </c>
      <c r="BH399" s="500" t="str" cm="1">
        <f t="array" ref="BH399">IF(A399&lt;&gt;"",IFERROR(INDEX(PMtbl[[WKst]:[Unit of measure*]],MATCH($A$330&amp;$A399&amp;$E399&amp;$I399,INDEX(PMtbl[Sec]&amp;PMtbl[Category]&amp;PMtbl[Each]&amp;PMtbl[Packaging],0,),0),11),""),"")</f>
        <v/>
      </c>
      <c r="BI399" s="819"/>
      <c r="BJ399" s="502" t="str" cm="1">
        <f t="array" ref="BJ399">IFERROR(INDEX(SETUP!$C$19:$G$121,MATCH((INDEX(PMtbl[[WKst]:[Unit of measure*]],MATCH($A399&amp;$E399&amp;$I399,INDEX(PMtbl[Category]&amp;PMtbl[Each]&amp;PMtbl[Packaging],0,),0),3)),SETUP!$D$19:$D$121,0),5),"")</f>
        <v/>
      </c>
      <c r="BK399" s="568"/>
      <c r="BL399" s="563"/>
      <c r="BO399" s="448">
        <f>IF(N399="",0,IF(SETUP!$E$7="USD",((IF(O399="USD",P399,(P399/'Master Data-C19RM'!$C$2)))),((IF(O399="EUR",P399,(P399*'Master Data-C19RM'!$C$2))))))</f>
        <v>0</v>
      </c>
      <c r="BP399" s="448">
        <f>IF(N399="",0,IF(SETUP!$E$7="USD",((IF(O399="USD",W399,(W399/'Master Data-C19RM'!$D$2)))),((IF(O399="EUR",W399,(W399*'Master Data-C19RM'!$D$2))))))</f>
        <v>0</v>
      </c>
      <c r="BQ399" s="470">
        <f>IF(N399="",0,IF(SETUP!$E$7="USD",((IF(O399="USD",AD399,(AD399/'Master Data-C19RM'!$E$2)))),((IF(O399="EUR",AD399,(AD399*'Master Data-C19RM'!$E$2))))))</f>
        <v>0</v>
      </c>
      <c r="BR399" s="470">
        <f>IF(N399="",0,IF(SETUP!$E$7="USD",((IF(O399="USD",AK399,(AK399/'Master Data-C19RM'!$F$2)))),((IF(O399="EUR",AK399,(AK399*'Master Data-C19RM'!$F$2))))))</f>
        <v>0</v>
      </c>
      <c r="BS399" s="470">
        <f>IF(N399="",0,IF(SETUP!$E$7="USD",((IF(O399="USD",AR399,(AR399/'Master Data-C19RM'!$G$2)))),((IF(O399="EUR",AR399,(AR399*'Master Data-C19RM'!$G$2))))))</f>
        <v>0</v>
      </c>
      <c r="BT399" s="470">
        <f>IF(N399="",0,IF(SETUP!$E$7="USD",((IF(O399="USD",AY399,(AY399/'Master Data-C19RM'!$H$2)))),((IF(O399="EUR",AY399,(AY399*'Master Data-C19RM'!$H$2))))))</f>
        <v>0</v>
      </c>
      <c r="BU399" s="448">
        <f t="shared" si="51"/>
        <v>0</v>
      </c>
      <c r="BV399" s="562">
        <f t="shared" si="52"/>
        <v>0</v>
      </c>
      <c r="BW399" s="470"/>
      <c r="BX399" s="470"/>
      <c r="BY399" s="470"/>
      <c r="BZ399" s="470"/>
      <c r="CA399" s="470"/>
      <c r="CB399" s="470"/>
      <c r="CC399" s="470"/>
      <c r="CD399" s="470"/>
      <c r="CE399" s="470"/>
      <c r="CF399" s="470"/>
      <c r="CG399" s="470"/>
      <c r="CH399" s="470"/>
      <c r="CI399" s="470"/>
      <c r="CJ399" s="470"/>
      <c r="CK399" s="470"/>
      <c r="CL399" s="470"/>
      <c r="CM399" s="470"/>
      <c r="CN399" s="470"/>
      <c r="CO399" s="470"/>
      <c r="CP399" s="470"/>
    </row>
    <row r="400" spans="1:94" s="448" customFormat="1" ht="14" x14ac:dyDescent="0.3">
      <c r="A400" s="1197"/>
      <c r="B400" s="1198"/>
      <c r="C400" s="1198"/>
      <c r="D400" s="1199"/>
      <c r="E400" s="1173"/>
      <c r="F400" s="1173"/>
      <c r="G400" s="1173"/>
      <c r="H400" s="1173"/>
      <c r="I400" s="1173"/>
      <c r="J400" s="1173"/>
      <c r="K400" s="1173"/>
      <c r="L400" s="493" t="str" cm="1">
        <f t="array" ref="L400">IF(A400&lt;&gt;"",IFERROR(INDEX(PMtbl[[WKst]:[Unit of measure*]],MATCH($A$330&amp;$A400&amp;$E400&amp;$I400,INDEX(PMtbl[Sec]&amp;PMtbl[Category]&amp;PMtbl[Each]&amp;PMtbl[Packaging],0,),0),14),""),"")</f>
        <v/>
      </c>
      <c r="M400" s="480" t="str">
        <f>IF(L400="","",INDEX(SETUP!$E$20:$E$122,(MATCH(INDEX(PMsheet!$D:$E,MATCH(A400,PMsheet!E:E,0),1),SETUP!$D$20:$D$122,0))))</f>
        <v/>
      </c>
      <c r="N400" s="494">
        <f>IF($O400="USD",_xlfn.IFNA(VLOOKUP(A400&amp;E400&amp;I400,PMsheet!J:K,2,0),0),(_xlfn.IFNA(VLOOKUP(A400&amp;E400&amp;I400,PMsheet!J:K,2,0),0)*'Master Data-C19RM'!$C$2))</f>
        <v>0</v>
      </c>
      <c r="O400" s="495" t="str">
        <f>IF(L400="", "",SETUP!$E$7)</f>
        <v/>
      </c>
      <c r="P400" s="445">
        <f>IF($O400="USD",_xlfn.IFNA(VLOOKUP($A400&amp;$E400&amp;$I400,PMsheet!$J:$K,2,0),0),(_xlfn.IFNA(VLOOKUP($A400&amp;$E400&amp;$I400,PMsheet!$J:$K,2,0),0)*'Master Data-C19RM'!$C$2))</f>
        <v>0</v>
      </c>
      <c r="Q400" s="440"/>
      <c r="R400" s="440"/>
      <c r="S400" s="440"/>
      <c r="T400" s="440"/>
      <c r="U400" s="482">
        <f t="shared" si="44"/>
        <v>0</v>
      </c>
      <c r="V400" s="484">
        <f>IF(SETUP!$E$7="USD",(U400*(IF(O400="USD",P400,(P400/'Master Data-C19RM'!$C$2)))),(U400*(IF(O400="EUR",P400,(P400*'Master Data-C19RM'!$C$2)))))</f>
        <v>0</v>
      </c>
      <c r="W400" s="445">
        <f>IF($O400="USD",_xlfn.IFNA(VLOOKUP($A400&amp;$E400&amp;$I400,PMsheet!$J:$K,2,0),0),(_xlfn.IFNA(VLOOKUP($A400&amp;$E400&amp;$I400,PMsheet!$J:$K,2,0),0)*'Master Data-C19RM'!$D$2))</f>
        <v>0</v>
      </c>
      <c r="X400" s="440"/>
      <c r="Y400" s="440"/>
      <c r="Z400" s="440"/>
      <c r="AA400" s="440"/>
      <c r="AB400" s="482">
        <f t="shared" si="47"/>
        <v>0</v>
      </c>
      <c r="AC400" s="484">
        <f>IF(SETUP!$E$7="USD",(AB400*(IF(O400="USD",W400,(W400/'Master Data-C19RM'!$D$2)))),(AB400*(IF(O400="EUR",W400,(W400*'Master Data-C19RM'!$D$2)))))</f>
        <v>0</v>
      </c>
      <c r="AD400" s="445">
        <f>IF($O400="USD",_xlfn.IFNA(VLOOKUP($A400&amp;$E400&amp;$I400,PMsheet!$J:$K,2,0),0),(_xlfn.IFNA(VLOOKUP($A400&amp;$E400&amp;$I400,PMsheet!$J:$K,2,0),0)*'Master Data-C19RM'!$E$2))</f>
        <v>0</v>
      </c>
      <c r="AE400" s="440"/>
      <c r="AF400" s="440"/>
      <c r="AG400" s="440"/>
      <c r="AH400" s="440"/>
      <c r="AI400" s="514">
        <f t="shared" si="48"/>
        <v>0</v>
      </c>
      <c r="AJ400" s="515">
        <f>IF(SETUP!$E$7="USD",(AI400*(IF(O400="USD",AD400,(AD400/'Master Data-C19RM'!$E$2)))),(AI400*(IF(O400="EUR",AD400,(AD400*'Master Data-C19RM'!$E$2)))))</f>
        <v>0</v>
      </c>
      <c r="AK400" s="445">
        <f>IF($O400="USD",_xlfn.IFNA(VLOOKUP($A400&amp;$E400&amp;$I400,PMsheet!$J:$K,2,0),0),(_xlfn.IFNA(VLOOKUP($A400&amp;$E400&amp;$I400,PMsheet!$J:$K,2,0),0)*'Master Data-C19RM'!$F$2))</f>
        <v>0</v>
      </c>
      <c r="AL400" s="440"/>
      <c r="AM400" s="440"/>
      <c r="AN400" s="440"/>
      <c r="AO400" s="440"/>
      <c r="AP400" s="514">
        <f t="shared" si="49"/>
        <v>0</v>
      </c>
      <c r="AQ400" s="515">
        <f>IF(SETUP!$E$7="USD",(AP400*(IF(O400="USD",AK400,(AK400/'Master Data-C19RM'!$F$2)))),(AP400*(IF(O400="EUR",AK400,(AK400*'Master Data-C19RM'!$F$2)))))</f>
        <v>0</v>
      </c>
      <c r="AR400" s="925">
        <f>IF($O400="USD",_xlfn.IFNA(VLOOKUP($A400&amp;$E400&amp;$I400,PMsheet!$J:$K,2,0),0),(_xlfn.IFNA(VLOOKUP($A400&amp;$E400&amp;$I400,PMsheet!$J:$K,2,0),0)*'Master Data-C19RM'!$G$2))</f>
        <v>0</v>
      </c>
      <c r="AS400" s="926"/>
      <c r="AT400" s="926"/>
      <c r="AU400" s="926"/>
      <c r="AV400" s="926"/>
      <c r="AW400" s="514">
        <f t="shared" si="50"/>
        <v>0</v>
      </c>
      <c r="AX400" s="514">
        <f>IF(SETUP!$E$7="USD",(AW400*(IF(O400="USD",AR400,(AR400/'Master Data-C19RM'!$G$2)))),(AW400*(IF(O400="EUR",AR400,(AR400*'Master Data-C19RM'!$G$2)))))</f>
        <v>0</v>
      </c>
      <c r="AY400" s="845"/>
      <c r="AZ400" s="846"/>
      <c r="BA400" s="846"/>
      <c r="BB400" s="846"/>
      <c r="BC400" s="846"/>
      <c r="BD400" s="846"/>
      <c r="BE400" s="847"/>
      <c r="BF400" s="521">
        <f>'C19RM 2021-Lab &amp; Other HPS'!$U400+'C19RM 2021-Lab &amp; Other HPS'!$AB400+'C19RM 2021-Lab &amp; Other HPS'!$AP400+'C19RM 2021-Lab &amp; Other HPS'!$AI400+AW400+BD400</f>
        <v>0</v>
      </c>
      <c r="BG400" s="515">
        <f>'C19RM 2021-Lab &amp; Other HPS'!$V400+'C19RM 2021-Lab &amp; Other HPS'!$AC400+'C19RM 2021-Lab &amp; Other HPS'!$AQ400+'C19RM 2021-Lab &amp; Other HPS'!$AJ400+AX400+BE400</f>
        <v>0</v>
      </c>
      <c r="BH400" s="522" t="str" cm="1">
        <f t="array" ref="BH400">IF(A400&lt;&gt;"",IFERROR(INDEX(PMtbl[[WKst]:[Unit of measure*]],MATCH($A$330&amp;$A400&amp;$E400&amp;$I400,INDEX(PMtbl[Sec]&amp;PMtbl[Category]&amp;PMtbl[Each]&amp;PMtbl[Packaging],0,),0),11),""),"")</f>
        <v/>
      </c>
      <c r="BI400" s="818"/>
      <c r="BJ400" s="503" t="str" cm="1">
        <f t="array" ref="BJ400">IFERROR(INDEX(SETUP!$C$19:$G$121,MATCH((INDEX(PMtbl[[WKst]:[Unit of measure*]],MATCH($A400&amp;$E400&amp;$I400,INDEX(PMtbl[Category]&amp;PMtbl[Each]&amp;PMtbl[Packaging],0,),0),3)),SETUP!$D$19:$D$121,0),5),"")</f>
        <v/>
      </c>
      <c r="BK400" s="569"/>
      <c r="BL400" s="564"/>
      <c r="BO400" s="448">
        <f>IF(N400="",0,IF(SETUP!$E$7="USD",((IF(O400="USD",P400,(P400/'Master Data-C19RM'!$C$2)))),((IF(O400="EUR",P400,(P400*'Master Data-C19RM'!$C$2))))))</f>
        <v>0</v>
      </c>
      <c r="BP400" s="448">
        <f>IF(N400="",0,IF(SETUP!$E$7="USD",((IF(O400="USD",W400,(W400/'Master Data-C19RM'!$D$2)))),((IF(O400="EUR",W400,(W400*'Master Data-C19RM'!$D$2))))))</f>
        <v>0</v>
      </c>
      <c r="BQ400" s="470">
        <f>IF(N400="",0,IF(SETUP!$E$7="USD",((IF(O400="USD",AD400,(AD400/'Master Data-C19RM'!$E$2)))),((IF(O400="EUR",AD400,(AD400*'Master Data-C19RM'!$E$2))))))</f>
        <v>0</v>
      </c>
      <c r="BR400" s="470">
        <f>IF(N400="",0,IF(SETUP!$E$7="USD",((IF(O400="USD",AK400,(AK400/'Master Data-C19RM'!$F$2)))),((IF(O400="EUR",AK400,(AK400*'Master Data-C19RM'!$F$2))))))</f>
        <v>0</v>
      </c>
      <c r="BS400" s="470">
        <f>IF(N400="",0,IF(SETUP!$E$7="USD",((IF(O400="USD",AR400,(AR400/'Master Data-C19RM'!$G$2)))),((IF(O400="EUR",AR400,(AR400*'Master Data-C19RM'!$G$2))))))</f>
        <v>0</v>
      </c>
      <c r="BT400" s="470">
        <f>IF(N400="",0,IF(SETUP!$E$7="USD",((IF(O400="USD",AY400,(AY400/'Master Data-C19RM'!$H$2)))),((IF(O400="EUR",AY400,(AY400*'Master Data-C19RM'!$H$2))))))</f>
        <v>0</v>
      </c>
      <c r="BU400" s="448">
        <f t="shared" si="51"/>
        <v>0</v>
      </c>
      <c r="BV400" s="562">
        <f t="shared" si="52"/>
        <v>0</v>
      </c>
      <c r="BW400" s="470"/>
      <c r="BX400" s="470"/>
      <c r="BY400" s="470"/>
      <c r="BZ400" s="470"/>
      <c r="CA400" s="470"/>
      <c r="CB400" s="470"/>
      <c r="CC400" s="470"/>
      <c r="CD400" s="470"/>
      <c r="CE400" s="470"/>
      <c r="CF400" s="470"/>
      <c r="CG400" s="470"/>
      <c r="CH400" s="470"/>
      <c r="CI400" s="470"/>
      <c r="CJ400" s="470"/>
      <c r="CK400" s="470"/>
      <c r="CL400" s="470"/>
      <c r="CM400" s="470"/>
      <c r="CN400" s="470"/>
      <c r="CO400" s="470"/>
      <c r="CP400" s="470"/>
    </row>
    <row r="401" spans="1:94" s="448" customFormat="1" ht="14" x14ac:dyDescent="0.3">
      <c r="A401" s="1200"/>
      <c r="B401" s="1201"/>
      <c r="C401" s="1201"/>
      <c r="D401" s="1202"/>
      <c r="E401" s="1166"/>
      <c r="F401" s="1166"/>
      <c r="G401" s="1166"/>
      <c r="H401" s="1166"/>
      <c r="I401" s="1166"/>
      <c r="J401" s="1166"/>
      <c r="K401" s="1166"/>
      <c r="L401" s="490" t="str" cm="1">
        <f t="array" ref="L401">IF(A401&lt;&gt;"",IFERROR(INDEX(PMtbl[[WKst]:[Unit of measure*]],MATCH($A$330&amp;$A401&amp;$E401&amp;$I401,INDEX(PMtbl[Sec]&amp;PMtbl[Category]&amp;PMtbl[Each]&amp;PMtbl[Packaging],0,),0),14),""),"")</f>
        <v/>
      </c>
      <c r="M401" s="479" t="str">
        <f>IF(L401="","",INDEX(SETUP!$E$20:$E$122,(MATCH(INDEX(PMsheet!$D:$E,MATCH(A401,PMsheet!E:E,0),1),SETUP!$D$20:$D$122,0))))</f>
        <v/>
      </c>
      <c r="N401" s="491">
        <f>IF($O401="USD",_xlfn.IFNA(VLOOKUP(A401&amp;E401&amp;I401,PMsheet!J:K,2,0),0),(_xlfn.IFNA(VLOOKUP(A401&amp;E401&amp;I401,PMsheet!J:K,2,0),0)*'Master Data-C19RM'!$C$2))</f>
        <v>0</v>
      </c>
      <c r="O401" s="492" t="str">
        <f>IF(L401="", "",SETUP!$E$7)</f>
        <v/>
      </c>
      <c r="P401" s="444">
        <f>IF($O401="USD",_xlfn.IFNA(VLOOKUP($A401&amp;$E401&amp;$I401,PMsheet!$J:$K,2,0),0),(_xlfn.IFNA(VLOOKUP($A401&amp;$E401&amp;$I401,PMsheet!$J:$K,2,0),0)*'Master Data-C19RM'!$C$2))</f>
        <v>0</v>
      </c>
      <c r="Q401" s="441"/>
      <c r="R401" s="441"/>
      <c r="S401" s="441"/>
      <c r="T401" s="441"/>
      <c r="U401" s="481">
        <f t="shared" si="44"/>
        <v>0</v>
      </c>
      <c r="V401" s="483">
        <f>IF(SETUP!$E$7="USD",(U401*(IF(O401="USD",P401,(P401/'Master Data-C19RM'!$C$2)))),(U401*(IF(O401="EUR",P401,(P401*'Master Data-C19RM'!$C$2)))))</f>
        <v>0</v>
      </c>
      <c r="W401" s="444">
        <f>IF($O401="USD",_xlfn.IFNA(VLOOKUP($A401&amp;$E401&amp;$I401,PMsheet!$J:$K,2,0),0),(_xlfn.IFNA(VLOOKUP($A401&amp;$E401&amp;$I401,PMsheet!$J:$K,2,0),0)*'Master Data-C19RM'!$D$2))</f>
        <v>0</v>
      </c>
      <c r="X401" s="441"/>
      <c r="Y401" s="441"/>
      <c r="Z401" s="441"/>
      <c r="AA401" s="441"/>
      <c r="AB401" s="481">
        <f t="shared" si="47"/>
        <v>0</v>
      </c>
      <c r="AC401" s="483">
        <f>IF(SETUP!$E$7="USD",(AB401*(IF(O401="USD",W401,(W401/'Master Data-C19RM'!$D$2)))),(AB401*(IF(O401="EUR",W401,(W401*'Master Data-C19RM'!$D$2)))))</f>
        <v>0</v>
      </c>
      <c r="AD401" s="444">
        <f>IF($O401="USD",_xlfn.IFNA(VLOOKUP($A401&amp;$E401&amp;$I401,PMsheet!$J:$K,2,0),0),(_xlfn.IFNA(VLOOKUP($A401&amp;$E401&amp;$I401,PMsheet!$J:$K,2,0),0)*'Master Data-C19RM'!$E$2))</f>
        <v>0</v>
      </c>
      <c r="AE401" s="441"/>
      <c r="AF401" s="441"/>
      <c r="AG401" s="441"/>
      <c r="AH401" s="441"/>
      <c r="AI401" s="512">
        <f t="shared" si="48"/>
        <v>0</v>
      </c>
      <c r="AJ401" s="513">
        <f>IF(SETUP!$E$7="USD",(AI401*(IF(O401="USD",AD401,(AD401/'Master Data-C19RM'!$E$2)))),(AI401*(IF(O401="EUR",AD401,(AD401*'Master Data-C19RM'!$E$2)))))</f>
        <v>0</v>
      </c>
      <c r="AK401" s="444">
        <f>IF($O401="USD",_xlfn.IFNA(VLOOKUP($A401&amp;$E401&amp;$I401,PMsheet!$J:$K,2,0),0),(_xlfn.IFNA(VLOOKUP($A401&amp;$E401&amp;$I401,PMsheet!$J:$K,2,0),0)*'Master Data-C19RM'!$F$2))</f>
        <v>0</v>
      </c>
      <c r="AL401" s="441"/>
      <c r="AM401" s="441"/>
      <c r="AN401" s="441"/>
      <c r="AO401" s="441"/>
      <c r="AP401" s="512">
        <f t="shared" si="49"/>
        <v>0</v>
      </c>
      <c r="AQ401" s="513">
        <f>IF(SETUP!$E$7="USD",(AP401*(IF(O401="USD",AK401,(AK401/'Master Data-C19RM'!$F$2)))),(AP401*(IF(O401="EUR",AK401,(AK401*'Master Data-C19RM'!$F$2)))))</f>
        <v>0</v>
      </c>
      <c r="AR401" s="924">
        <f>IF($O401="USD",_xlfn.IFNA(VLOOKUP($A401&amp;$E401&amp;$I401,PMsheet!$J:$K,2,0),0),(_xlfn.IFNA(VLOOKUP($A401&amp;$E401&amp;$I401,PMsheet!$J:$K,2,0),0)*'Master Data-C19RM'!$G$2))</f>
        <v>0</v>
      </c>
      <c r="AS401" s="572"/>
      <c r="AT401" s="572"/>
      <c r="AU401" s="572"/>
      <c r="AV401" s="572"/>
      <c r="AW401" s="512">
        <f t="shared" ref="AW401:AW435" si="53">SUM($AS401:$AV401)</f>
        <v>0</v>
      </c>
      <c r="AX401" s="512">
        <f>IF(SETUP!$E$7="USD",(AW401*(IF(O401="USD",AR401,(AR401/'Master Data-C19RM'!$G$2)))),(AW401*(IF(O401="EUR",AR401,(AR401*'Master Data-C19RM'!$G$2)))))</f>
        <v>0</v>
      </c>
      <c r="AY401" s="845"/>
      <c r="AZ401" s="846"/>
      <c r="BA401" s="846"/>
      <c r="BB401" s="846"/>
      <c r="BC401" s="846"/>
      <c r="BD401" s="846"/>
      <c r="BE401" s="847"/>
      <c r="BF401" s="520">
        <f>'C19RM 2021-Lab &amp; Other HPS'!$U401+'C19RM 2021-Lab &amp; Other HPS'!$AB401+'C19RM 2021-Lab &amp; Other HPS'!$AP401+'C19RM 2021-Lab &amp; Other HPS'!$AI401+AW401+BD401</f>
        <v>0</v>
      </c>
      <c r="BG401" s="513">
        <f>'C19RM 2021-Lab &amp; Other HPS'!$V401+'C19RM 2021-Lab &amp; Other HPS'!$AC401+'C19RM 2021-Lab &amp; Other HPS'!$AQ401+'C19RM 2021-Lab &amp; Other HPS'!$AJ401+AX401+BE401</f>
        <v>0</v>
      </c>
      <c r="BH401" s="500" t="str" cm="1">
        <f t="array" ref="BH401">IF(A401&lt;&gt;"",IFERROR(INDEX(PMtbl[[WKst]:[Unit of measure*]],MATCH($A$330&amp;$A401&amp;$E401&amp;$I401,INDEX(PMtbl[Sec]&amp;PMtbl[Category]&amp;PMtbl[Each]&amp;PMtbl[Packaging],0,),0),11),""),"")</f>
        <v/>
      </c>
      <c r="BI401" s="819"/>
      <c r="BJ401" s="502" t="str" cm="1">
        <f t="array" ref="BJ401">IFERROR(INDEX(SETUP!$C$19:$G$121,MATCH((INDEX(PMtbl[[WKst]:[Unit of measure*]],MATCH($A401&amp;$E401&amp;$I401,INDEX(PMtbl[Category]&amp;PMtbl[Each]&amp;PMtbl[Packaging],0,),0),3)),SETUP!$D$19:$D$121,0),5),"")</f>
        <v/>
      </c>
      <c r="BK401" s="568"/>
      <c r="BL401" s="563"/>
      <c r="BO401" s="448">
        <f>IF(N401="",0,IF(SETUP!$E$7="USD",((IF(O401="USD",P401,(P401/'Master Data-C19RM'!$C$2)))),((IF(O401="EUR",P401,(P401*'Master Data-C19RM'!$C$2))))))</f>
        <v>0</v>
      </c>
      <c r="BP401" s="448">
        <f>IF(N401="",0,IF(SETUP!$E$7="USD",((IF(O401="USD",W401,(W401/'Master Data-C19RM'!$D$2)))),((IF(O401="EUR",W401,(W401*'Master Data-C19RM'!$D$2))))))</f>
        <v>0</v>
      </c>
      <c r="BQ401" s="470">
        <f>IF(N401="",0,IF(SETUP!$E$7="USD",((IF(O401="USD",AD401,(AD401/'Master Data-C19RM'!$E$2)))),((IF(O401="EUR",AD401,(AD401*'Master Data-C19RM'!$E$2))))))</f>
        <v>0</v>
      </c>
      <c r="BR401" s="470">
        <f>IF(N401="",0,IF(SETUP!$E$7="USD",((IF(O401="USD",AK401,(AK401/'Master Data-C19RM'!$F$2)))),((IF(O401="EUR",AK401,(AK401*'Master Data-C19RM'!$F$2))))))</f>
        <v>0</v>
      </c>
      <c r="BS401" s="470">
        <f>IF(N401="",0,IF(SETUP!$E$7="USD",((IF(O401="USD",AR401,(AR401/'Master Data-C19RM'!$G$2)))),((IF(O401="EUR",AR401,(AR401*'Master Data-C19RM'!$G$2))))))</f>
        <v>0</v>
      </c>
      <c r="BT401" s="470">
        <f>IF(N401="",0,IF(SETUP!$E$7="USD",((IF(O401="USD",AY401,(AY401/'Master Data-C19RM'!$H$2)))),((IF(O401="EUR",AY401,(AY401*'Master Data-C19RM'!$H$2))))))</f>
        <v>0</v>
      </c>
      <c r="BU401" s="448">
        <f t="shared" si="51"/>
        <v>0</v>
      </c>
      <c r="BV401" s="562">
        <f t="shared" si="52"/>
        <v>0</v>
      </c>
      <c r="BW401" s="470"/>
      <c r="BX401" s="470"/>
      <c r="BY401" s="470"/>
      <c r="BZ401" s="470"/>
      <c r="CA401" s="470"/>
      <c r="CB401" s="470"/>
      <c r="CC401" s="470"/>
      <c r="CD401" s="470"/>
      <c r="CE401" s="470"/>
      <c r="CF401" s="470"/>
      <c r="CG401" s="470"/>
      <c r="CH401" s="470"/>
      <c r="CI401" s="470"/>
      <c r="CJ401" s="470"/>
      <c r="CK401" s="470"/>
      <c r="CL401" s="470"/>
      <c r="CM401" s="470"/>
      <c r="CN401" s="470"/>
      <c r="CO401" s="470"/>
      <c r="CP401" s="470"/>
    </row>
    <row r="402" spans="1:94" s="448" customFormat="1" ht="14" x14ac:dyDescent="0.3">
      <c r="A402" s="1197"/>
      <c r="B402" s="1198"/>
      <c r="C402" s="1198"/>
      <c r="D402" s="1199"/>
      <c r="E402" s="1173"/>
      <c r="F402" s="1173"/>
      <c r="G402" s="1173"/>
      <c r="H402" s="1173"/>
      <c r="I402" s="1173"/>
      <c r="J402" s="1173"/>
      <c r="K402" s="1173"/>
      <c r="L402" s="493" t="str" cm="1">
        <f t="array" ref="L402">IF(A402&lt;&gt;"",IFERROR(INDEX(PMtbl[[WKst]:[Unit of measure*]],MATCH($A$330&amp;$A402&amp;$E402&amp;$I402,INDEX(PMtbl[Sec]&amp;PMtbl[Category]&amp;PMtbl[Each]&amp;PMtbl[Packaging],0,),0),14),""),"")</f>
        <v/>
      </c>
      <c r="M402" s="480" t="str">
        <f>IF(L402="","",INDEX(SETUP!$E$20:$E$122,(MATCH(INDEX(PMsheet!$D:$E,MATCH(A402,PMsheet!E:E,0),1),SETUP!$D$20:$D$122,0))))</f>
        <v/>
      </c>
      <c r="N402" s="494">
        <f>IF($O402="USD",_xlfn.IFNA(VLOOKUP(A402&amp;E402&amp;I402,PMsheet!J:K,2,0),0),(_xlfn.IFNA(VLOOKUP(A402&amp;E402&amp;I402,PMsheet!J:K,2,0),0)*'Master Data-C19RM'!$C$2))</f>
        <v>0</v>
      </c>
      <c r="O402" s="495" t="str">
        <f>IF(L402="", "",SETUP!$E$7)</f>
        <v/>
      </c>
      <c r="P402" s="445">
        <f>IF($O402="USD",_xlfn.IFNA(VLOOKUP($A402&amp;$E402&amp;$I402,PMsheet!$J:$K,2,0),0),(_xlfn.IFNA(VLOOKUP($A402&amp;$E402&amp;$I402,PMsheet!$J:$K,2,0),0)*'Master Data-C19RM'!$C$2))</f>
        <v>0</v>
      </c>
      <c r="Q402" s="440"/>
      <c r="R402" s="440"/>
      <c r="S402" s="440"/>
      <c r="T402" s="440"/>
      <c r="U402" s="482">
        <f t="shared" si="44"/>
        <v>0</v>
      </c>
      <c r="V402" s="484">
        <f>IF(SETUP!$E$7="USD",(U402*(IF(O402="USD",P402,(P402/'Master Data-C19RM'!$C$2)))),(U402*(IF(O402="EUR",P402,(P402*'Master Data-C19RM'!$C$2)))))</f>
        <v>0</v>
      </c>
      <c r="W402" s="445">
        <f>IF($O402="USD",_xlfn.IFNA(VLOOKUP($A402&amp;$E402&amp;$I402,PMsheet!$J:$K,2,0),0),(_xlfn.IFNA(VLOOKUP($A402&amp;$E402&amp;$I402,PMsheet!$J:$K,2,0),0)*'Master Data-C19RM'!$D$2))</f>
        <v>0</v>
      </c>
      <c r="X402" s="440"/>
      <c r="Y402" s="440"/>
      <c r="Z402" s="440"/>
      <c r="AA402" s="440"/>
      <c r="AB402" s="482">
        <f t="shared" si="47"/>
        <v>0</v>
      </c>
      <c r="AC402" s="484">
        <f>IF(SETUP!$E$7="USD",(AB402*(IF(O402="USD",W402,(W402/'Master Data-C19RM'!$D$2)))),(AB402*(IF(O402="EUR",W402,(W402*'Master Data-C19RM'!$D$2)))))</f>
        <v>0</v>
      </c>
      <c r="AD402" s="445">
        <f>IF($O402="USD",_xlfn.IFNA(VLOOKUP($A402&amp;$E402&amp;$I402,PMsheet!$J:$K,2,0),0),(_xlfn.IFNA(VLOOKUP($A402&amp;$E402&amp;$I402,PMsheet!$J:$K,2,0),0)*'Master Data-C19RM'!$E$2))</f>
        <v>0</v>
      </c>
      <c r="AE402" s="440"/>
      <c r="AF402" s="440"/>
      <c r="AG402" s="440"/>
      <c r="AH402" s="440"/>
      <c r="AI402" s="514">
        <f t="shared" si="48"/>
        <v>0</v>
      </c>
      <c r="AJ402" s="515">
        <f>IF(SETUP!$E$7="USD",(AI402*(IF(O402="USD",AD402,(AD402/'Master Data-C19RM'!$E$2)))),(AI402*(IF(O402="EUR",AD402,(AD402*'Master Data-C19RM'!$E$2)))))</f>
        <v>0</v>
      </c>
      <c r="AK402" s="445">
        <f>IF($O402="USD",_xlfn.IFNA(VLOOKUP($A402&amp;$E402&amp;$I402,PMsheet!$J:$K,2,0),0),(_xlfn.IFNA(VLOOKUP($A402&amp;$E402&amp;$I402,PMsheet!$J:$K,2,0),0)*'Master Data-C19RM'!$F$2))</f>
        <v>0</v>
      </c>
      <c r="AL402" s="440"/>
      <c r="AM402" s="440"/>
      <c r="AN402" s="440"/>
      <c r="AO402" s="440"/>
      <c r="AP402" s="514">
        <f t="shared" si="49"/>
        <v>0</v>
      </c>
      <c r="AQ402" s="515">
        <f>IF(SETUP!$E$7="USD",(AP402*(IF(O402="USD",AK402,(AK402/'Master Data-C19RM'!$F$2)))),(AP402*(IF(O402="EUR",AK402,(AK402*'Master Data-C19RM'!$F$2)))))</f>
        <v>0</v>
      </c>
      <c r="AR402" s="925">
        <f>IF($O402="USD",_xlfn.IFNA(VLOOKUP($A402&amp;$E402&amp;$I402,PMsheet!$J:$K,2,0),0),(_xlfn.IFNA(VLOOKUP($A402&amp;$E402&amp;$I402,PMsheet!$J:$K,2,0),0)*'Master Data-C19RM'!$G$2))</f>
        <v>0</v>
      </c>
      <c r="AS402" s="926"/>
      <c r="AT402" s="926"/>
      <c r="AU402" s="926"/>
      <c r="AV402" s="926"/>
      <c r="AW402" s="514">
        <f t="shared" si="53"/>
        <v>0</v>
      </c>
      <c r="AX402" s="514">
        <f>IF(SETUP!$E$7="USD",(AW402*(IF(O402="USD",AR402,(AR402/'Master Data-C19RM'!$G$2)))),(AW402*(IF(O402="EUR",AR402,(AR402*'Master Data-C19RM'!$G$2)))))</f>
        <v>0</v>
      </c>
      <c r="AY402" s="845"/>
      <c r="AZ402" s="846"/>
      <c r="BA402" s="846"/>
      <c r="BB402" s="846"/>
      <c r="BC402" s="846"/>
      <c r="BD402" s="846"/>
      <c r="BE402" s="847"/>
      <c r="BF402" s="521">
        <f>'C19RM 2021-Lab &amp; Other HPS'!$U402+'C19RM 2021-Lab &amp; Other HPS'!$AB402+'C19RM 2021-Lab &amp; Other HPS'!$AP402+'C19RM 2021-Lab &amp; Other HPS'!$AI402+AW402+BD402</f>
        <v>0</v>
      </c>
      <c r="BG402" s="515">
        <f>'C19RM 2021-Lab &amp; Other HPS'!$V402+'C19RM 2021-Lab &amp; Other HPS'!$AC402+'C19RM 2021-Lab &amp; Other HPS'!$AQ402+'C19RM 2021-Lab &amp; Other HPS'!$AJ402+AX402+BE402</f>
        <v>0</v>
      </c>
      <c r="BH402" s="522" t="str" cm="1">
        <f t="array" ref="BH402">IF(A402&lt;&gt;"",IFERROR(INDEX(PMtbl[[WKst]:[Unit of measure*]],MATCH($A$330&amp;$A402&amp;$E402&amp;$I402,INDEX(PMtbl[Sec]&amp;PMtbl[Category]&amp;PMtbl[Each]&amp;PMtbl[Packaging],0,),0),11),""),"")</f>
        <v/>
      </c>
      <c r="BI402" s="818"/>
      <c r="BJ402" s="503" t="str" cm="1">
        <f t="array" ref="BJ402">IFERROR(INDEX(SETUP!$C$19:$G$121,MATCH((INDEX(PMtbl[[WKst]:[Unit of measure*]],MATCH($A402&amp;$E402&amp;$I402,INDEX(PMtbl[Category]&amp;PMtbl[Each]&amp;PMtbl[Packaging],0,),0),3)),SETUP!$D$19:$D$121,0),5),"")</f>
        <v/>
      </c>
      <c r="BK402" s="569"/>
      <c r="BL402" s="564"/>
      <c r="BO402" s="448">
        <f>IF(N402="",0,IF(SETUP!$E$7="USD",((IF(O402="USD",P402,(P402/'Master Data-C19RM'!$C$2)))),((IF(O402="EUR",P402,(P402*'Master Data-C19RM'!$C$2))))))</f>
        <v>0</v>
      </c>
      <c r="BP402" s="448">
        <f>IF(N402="",0,IF(SETUP!$E$7="USD",((IF(O402="USD",W402,(W402/'Master Data-C19RM'!$D$2)))),((IF(O402="EUR",W402,(W402*'Master Data-C19RM'!$D$2))))))</f>
        <v>0</v>
      </c>
      <c r="BQ402" s="470">
        <f>IF(N402="",0,IF(SETUP!$E$7="USD",((IF(O402="USD",AD402,(AD402/'Master Data-C19RM'!$E$2)))),((IF(O402="EUR",AD402,(AD402*'Master Data-C19RM'!$E$2))))))</f>
        <v>0</v>
      </c>
      <c r="BR402" s="470">
        <f>IF(N402="",0,IF(SETUP!$E$7="USD",((IF(O402="USD",AK402,(AK402/'Master Data-C19RM'!$F$2)))),((IF(O402="EUR",AK402,(AK402*'Master Data-C19RM'!$F$2))))))</f>
        <v>0</v>
      </c>
      <c r="BS402" s="470">
        <f>IF(N402="",0,IF(SETUP!$E$7="USD",((IF(O402="USD",AR402,(AR402/'Master Data-C19RM'!$G$2)))),((IF(O402="EUR",AR402,(AR402*'Master Data-C19RM'!$G$2))))))</f>
        <v>0</v>
      </c>
      <c r="BT402" s="470">
        <f>IF(N402="",0,IF(SETUP!$E$7="USD",((IF(O402="USD",AY402,(AY402/'Master Data-C19RM'!$H$2)))),((IF(O402="EUR",AY402,(AY402*'Master Data-C19RM'!$H$2))))))</f>
        <v>0</v>
      </c>
      <c r="BU402" s="448">
        <f t="shared" si="51"/>
        <v>0</v>
      </c>
      <c r="BV402" s="562">
        <f t="shared" si="52"/>
        <v>0</v>
      </c>
      <c r="BW402" s="470"/>
      <c r="BX402" s="470"/>
      <c r="BY402" s="470"/>
      <c r="BZ402" s="470"/>
      <c r="CA402" s="470"/>
      <c r="CB402" s="470"/>
      <c r="CC402" s="470"/>
      <c r="CD402" s="470"/>
      <c r="CE402" s="470"/>
      <c r="CF402" s="470"/>
      <c r="CG402" s="470"/>
      <c r="CH402" s="470"/>
      <c r="CI402" s="470"/>
      <c r="CJ402" s="470"/>
      <c r="CK402" s="470"/>
      <c r="CL402" s="470"/>
      <c r="CM402" s="470"/>
      <c r="CN402" s="470"/>
      <c r="CO402" s="470"/>
      <c r="CP402" s="470"/>
    </row>
    <row r="403" spans="1:94" s="448" customFormat="1" ht="14" x14ac:dyDescent="0.3">
      <c r="A403" s="1165"/>
      <c r="B403" s="1165"/>
      <c r="C403" s="1165"/>
      <c r="D403" s="1165"/>
      <c r="E403" s="1166"/>
      <c r="F403" s="1166"/>
      <c r="G403" s="1166"/>
      <c r="H403" s="1166"/>
      <c r="I403" s="1166"/>
      <c r="J403" s="1166"/>
      <c r="K403" s="1166"/>
      <c r="L403" s="490" t="str" cm="1">
        <f t="array" ref="L403">IF(A403&lt;&gt;"",IFERROR(INDEX(PMtbl[[WKst]:[Unit of measure*]],MATCH($A$330&amp;$A403&amp;$E403&amp;$I403,INDEX(PMtbl[Sec]&amp;PMtbl[Category]&amp;PMtbl[Each]&amp;PMtbl[Packaging],0,),0),14),""),"")</f>
        <v/>
      </c>
      <c r="M403" s="479" t="str">
        <f>IF(L403="","",INDEX(SETUP!$E$20:$E$122,(MATCH(INDEX(PMsheet!$D:$E,MATCH(A403,PMsheet!E:E,0),1),SETUP!$D$20:$D$122,0))))</f>
        <v/>
      </c>
      <c r="N403" s="491">
        <f>IF($O403="USD",_xlfn.IFNA(VLOOKUP(A403&amp;E403&amp;I403,PMsheet!J:K,2,0),0),(_xlfn.IFNA(VLOOKUP(A403&amp;E403&amp;I403,PMsheet!J:K,2,0),0)*'Master Data-C19RM'!$C$2))</f>
        <v>0</v>
      </c>
      <c r="O403" s="492" t="str">
        <f>IF(L403="", "",SETUP!$E$7)</f>
        <v/>
      </c>
      <c r="P403" s="444">
        <f>IF($O403="USD",_xlfn.IFNA(VLOOKUP($A403&amp;$E403&amp;$I403,PMsheet!$J:$K,2,0),0),(_xlfn.IFNA(VLOOKUP($A403&amp;$E403&amp;$I403,PMsheet!$J:$K,2,0),0)*'Master Data-C19RM'!$C$2))</f>
        <v>0</v>
      </c>
      <c r="Q403" s="441"/>
      <c r="R403" s="441"/>
      <c r="S403" s="441"/>
      <c r="T403" s="441"/>
      <c r="U403" s="481">
        <f t="shared" si="44"/>
        <v>0</v>
      </c>
      <c r="V403" s="483">
        <f>IF(SETUP!$E$7="USD",(U403*(IF(O403="USD",P403,(P403/'Master Data-C19RM'!$C$2)))),(U403*(IF(O403="EUR",P403,(P403*'Master Data-C19RM'!$C$2)))))</f>
        <v>0</v>
      </c>
      <c r="W403" s="444">
        <f>IF($O403="USD",_xlfn.IFNA(VLOOKUP($A403&amp;$E403&amp;$I403,PMsheet!$J:$K,2,0),0),(_xlfn.IFNA(VLOOKUP($A403&amp;$E403&amp;$I403,PMsheet!$J:$K,2,0),0)*'Master Data-C19RM'!$D$2))</f>
        <v>0</v>
      </c>
      <c r="X403" s="441"/>
      <c r="Y403" s="441"/>
      <c r="Z403" s="441"/>
      <c r="AA403" s="441"/>
      <c r="AB403" s="481">
        <f t="shared" si="47"/>
        <v>0</v>
      </c>
      <c r="AC403" s="483">
        <f>IF(SETUP!$E$7="USD",(AB403*(IF(O403="USD",W403,(W403/'Master Data-C19RM'!$D$2)))),(AB403*(IF(O403="EUR",W403,(W403*'Master Data-C19RM'!$D$2)))))</f>
        <v>0</v>
      </c>
      <c r="AD403" s="444">
        <f>IF($O403="USD",_xlfn.IFNA(VLOOKUP($A403&amp;$E403&amp;$I403,PMsheet!$J:$K,2,0),0),(_xlfn.IFNA(VLOOKUP($A403&amp;$E403&amp;$I403,PMsheet!$J:$K,2,0),0)*'Master Data-C19RM'!$E$2))</f>
        <v>0</v>
      </c>
      <c r="AE403" s="441"/>
      <c r="AF403" s="441"/>
      <c r="AG403" s="441"/>
      <c r="AH403" s="441"/>
      <c r="AI403" s="512">
        <f t="shared" si="48"/>
        <v>0</v>
      </c>
      <c r="AJ403" s="513">
        <f>IF(SETUP!$E$7="USD",(AI403*(IF(O403="USD",AD403,(AD403/'Master Data-C19RM'!$E$2)))),(AI403*(IF(O403="EUR",AD403,(AD403*'Master Data-C19RM'!$E$2)))))</f>
        <v>0</v>
      </c>
      <c r="AK403" s="444">
        <f>IF($O403="USD",_xlfn.IFNA(VLOOKUP($A403&amp;$E403&amp;$I403,PMsheet!$J:$K,2,0),0),(_xlfn.IFNA(VLOOKUP($A403&amp;$E403&amp;$I403,PMsheet!$J:$K,2,0),0)*'Master Data-C19RM'!$F$2))</f>
        <v>0</v>
      </c>
      <c r="AL403" s="441"/>
      <c r="AM403" s="441"/>
      <c r="AN403" s="441"/>
      <c r="AO403" s="441"/>
      <c r="AP403" s="512">
        <f t="shared" si="49"/>
        <v>0</v>
      </c>
      <c r="AQ403" s="513">
        <f>IF(SETUP!$E$7="USD",(AP403*(IF(O403="USD",AK403,(AK403/'Master Data-C19RM'!$F$2)))),(AP403*(IF(O403="EUR",AK403,(AK403*'Master Data-C19RM'!$F$2)))))</f>
        <v>0</v>
      </c>
      <c r="AR403" s="924">
        <f>IF($O403="USD",_xlfn.IFNA(VLOOKUP($A403&amp;$E403&amp;$I403,PMsheet!$J:$K,2,0),0),(_xlfn.IFNA(VLOOKUP($A403&amp;$E403&amp;$I403,PMsheet!$J:$K,2,0),0)*'Master Data-C19RM'!$G$2))</f>
        <v>0</v>
      </c>
      <c r="AS403" s="572"/>
      <c r="AT403" s="572"/>
      <c r="AU403" s="572"/>
      <c r="AV403" s="572"/>
      <c r="AW403" s="512">
        <f t="shared" si="53"/>
        <v>0</v>
      </c>
      <c r="AX403" s="512">
        <f>IF(SETUP!$E$7="USD",(AW403*(IF(O403="USD",AR403,(AR403/'Master Data-C19RM'!$G$2)))),(AW403*(IF(O403="EUR",AR403,(AR403*'Master Data-C19RM'!$G$2)))))</f>
        <v>0</v>
      </c>
      <c r="AY403" s="845"/>
      <c r="AZ403" s="846"/>
      <c r="BA403" s="846"/>
      <c r="BB403" s="846"/>
      <c r="BC403" s="846"/>
      <c r="BD403" s="846"/>
      <c r="BE403" s="847"/>
      <c r="BF403" s="520">
        <f>'C19RM 2021-Lab &amp; Other HPS'!$U403+'C19RM 2021-Lab &amp; Other HPS'!$AB403+'C19RM 2021-Lab &amp; Other HPS'!$AP403+'C19RM 2021-Lab &amp; Other HPS'!$AI403+AW403+BD403</f>
        <v>0</v>
      </c>
      <c r="BG403" s="513">
        <f>'C19RM 2021-Lab &amp; Other HPS'!$V403+'C19RM 2021-Lab &amp; Other HPS'!$AC403+'C19RM 2021-Lab &amp; Other HPS'!$AQ403+'C19RM 2021-Lab &amp; Other HPS'!$AJ403+AX403+BE403</f>
        <v>0</v>
      </c>
      <c r="BH403" s="500" t="str" cm="1">
        <f t="array" ref="BH403">IF(A403&lt;&gt;"",IFERROR(INDEX(PMtbl[[WKst]:[Unit of measure*]],MATCH($A$330&amp;$A403&amp;$E403&amp;$I403,INDEX(PMtbl[Sec]&amp;PMtbl[Category]&amp;PMtbl[Each]&amp;PMtbl[Packaging],0,),0),11),""),"")</f>
        <v/>
      </c>
      <c r="BI403" s="819"/>
      <c r="BJ403" s="502" t="str" cm="1">
        <f t="array" ref="BJ403">IFERROR(INDEX(SETUP!$C$19:$G$121,MATCH((INDEX(PMtbl[[WKst]:[Unit of measure*]],MATCH($A403&amp;$E403&amp;$I403,INDEX(PMtbl[Category]&amp;PMtbl[Each]&amp;PMtbl[Packaging],0,),0),3)),SETUP!$D$19:$D$121,0),5),"")</f>
        <v/>
      </c>
      <c r="BK403" s="568"/>
      <c r="BL403" s="563"/>
      <c r="BO403" s="448">
        <f>IF(N403="",0,IF(SETUP!$E$7="USD",((IF(O403="USD",P403,(P403/'Master Data-C19RM'!$C$2)))),((IF(O403="EUR",P403,(P403*'Master Data-C19RM'!$C$2))))))</f>
        <v>0</v>
      </c>
      <c r="BP403" s="448">
        <f>IF(N403="",0,IF(SETUP!$E$7="USD",((IF(O403="USD",W403,(W403/'Master Data-C19RM'!$D$2)))),((IF(O403="EUR",W403,(W403*'Master Data-C19RM'!$D$2))))))</f>
        <v>0</v>
      </c>
      <c r="BQ403" s="470">
        <f>IF(N403="",0,IF(SETUP!$E$7="USD",((IF(O403="USD",AD403,(AD403/'Master Data-C19RM'!$E$2)))),((IF(O403="EUR",AD403,(AD403*'Master Data-C19RM'!$E$2))))))</f>
        <v>0</v>
      </c>
      <c r="BR403" s="470">
        <f>IF(N403="",0,IF(SETUP!$E$7="USD",((IF(O403="USD",AK403,(AK403/'Master Data-C19RM'!$F$2)))),((IF(O403="EUR",AK403,(AK403*'Master Data-C19RM'!$F$2))))))</f>
        <v>0</v>
      </c>
      <c r="BS403" s="470">
        <f>IF(N403="",0,IF(SETUP!$E$7="USD",((IF(O403="USD",AR403,(AR403/'Master Data-C19RM'!$G$2)))),((IF(O403="EUR",AR403,(AR403*'Master Data-C19RM'!$G$2))))))</f>
        <v>0</v>
      </c>
      <c r="BT403" s="470">
        <f>IF(N403="",0,IF(SETUP!$E$7="USD",((IF(O403="USD",AY403,(AY403/'Master Data-C19RM'!$H$2)))),((IF(O403="EUR",AY403,(AY403*'Master Data-C19RM'!$H$2))))))</f>
        <v>0</v>
      </c>
      <c r="BU403" s="448">
        <f t="shared" si="51"/>
        <v>0</v>
      </c>
      <c r="BV403" s="562">
        <f t="shared" si="52"/>
        <v>0</v>
      </c>
      <c r="BW403" s="470"/>
      <c r="BX403" s="470"/>
      <c r="BY403" s="470"/>
      <c r="BZ403" s="470"/>
      <c r="CA403" s="470"/>
      <c r="CB403" s="470"/>
      <c r="CC403" s="470"/>
      <c r="CD403" s="470"/>
      <c r="CE403" s="470"/>
      <c r="CF403" s="470"/>
      <c r="CG403" s="470"/>
      <c r="CH403" s="470"/>
      <c r="CI403" s="470"/>
      <c r="CJ403" s="470"/>
      <c r="CK403" s="470"/>
      <c r="CL403" s="470"/>
      <c r="CM403" s="470"/>
      <c r="CN403" s="470"/>
      <c r="CO403" s="470"/>
      <c r="CP403" s="470"/>
    </row>
    <row r="404" spans="1:94" s="448" customFormat="1" ht="14" x14ac:dyDescent="0.3">
      <c r="A404" s="1197"/>
      <c r="B404" s="1198"/>
      <c r="C404" s="1198"/>
      <c r="D404" s="1199"/>
      <c r="E404" s="1173"/>
      <c r="F404" s="1173"/>
      <c r="G404" s="1173"/>
      <c r="H404" s="1173"/>
      <c r="I404" s="1173"/>
      <c r="J404" s="1173"/>
      <c r="K404" s="1173"/>
      <c r="L404" s="493" t="str" cm="1">
        <f t="array" ref="L404">IF(A404&lt;&gt;"",IFERROR(INDEX(PMtbl[[WKst]:[Unit of measure*]],MATCH($A$330&amp;$A404&amp;$E404&amp;$I404,INDEX(PMtbl[Sec]&amp;PMtbl[Category]&amp;PMtbl[Each]&amp;PMtbl[Packaging],0,),0),14),""),"")</f>
        <v/>
      </c>
      <c r="M404" s="480" t="str">
        <f>IF(L404="","",INDEX(SETUP!$E$20:$E$122,(MATCH(INDEX(PMsheet!$D:$E,MATCH(A404,PMsheet!E:E,0),1),SETUP!$D$20:$D$122,0))))</f>
        <v/>
      </c>
      <c r="N404" s="494">
        <f>IF($O404="USD",_xlfn.IFNA(VLOOKUP(A404&amp;E404&amp;I404,PMsheet!J:K,2,0),0),(_xlfn.IFNA(VLOOKUP(A404&amp;E404&amp;I404,PMsheet!J:K,2,0),0)*'Master Data-C19RM'!$C$2))</f>
        <v>0</v>
      </c>
      <c r="O404" s="495" t="str">
        <f>IF(L404="", "",SETUP!$E$7)</f>
        <v/>
      </c>
      <c r="P404" s="445">
        <f>IF($O404="USD",_xlfn.IFNA(VLOOKUP($A404&amp;$E404&amp;$I404,PMsheet!$J:$K,2,0),0),(_xlfn.IFNA(VLOOKUP($A404&amp;$E404&amp;$I404,PMsheet!$J:$K,2,0),0)*'Master Data-C19RM'!$C$2))</f>
        <v>0</v>
      </c>
      <c r="Q404" s="440"/>
      <c r="R404" s="440"/>
      <c r="S404" s="440"/>
      <c r="T404" s="440"/>
      <c r="U404" s="482">
        <f t="shared" si="44"/>
        <v>0</v>
      </c>
      <c r="V404" s="484">
        <f>IF(SETUP!$E$7="USD",(U404*(IF(O404="USD",P404,(P404/'Master Data-C19RM'!$C$2)))),(U404*(IF(O404="EUR",P404,(P404*'Master Data-C19RM'!$C$2)))))</f>
        <v>0</v>
      </c>
      <c r="W404" s="445">
        <f>IF($O404="USD",_xlfn.IFNA(VLOOKUP($A404&amp;$E404&amp;$I404,PMsheet!$J:$K,2,0),0),(_xlfn.IFNA(VLOOKUP($A404&amp;$E404&amp;$I404,PMsheet!$J:$K,2,0),0)*'Master Data-C19RM'!$D$2))</f>
        <v>0</v>
      </c>
      <c r="X404" s="440"/>
      <c r="Y404" s="440"/>
      <c r="Z404" s="440"/>
      <c r="AA404" s="440"/>
      <c r="AB404" s="482">
        <f t="shared" si="47"/>
        <v>0</v>
      </c>
      <c r="AC404" s="484">
        <f>IF(SETUP!$E$7="USD",(AB404*(IF(O404="USD",W404,(W404/'Master Data-C19RM'!$D$2)))),(AB404*(IF(O404="EUR",W404,(W404*'Master Data-C19RM'!$D$2)))))</f>
        <v>0</v>
      </c>
      <c r="AD404" s="445">
        <f>IF($O404="USD",_xlfn.IFNA(VLOOKUP($A404&amp;$E404&amp;$I404,PMsheet!$J:$K,2,0),0),(_xlfn.IFNA(VLOOKUP($A404&amp;$E404&amp;$I404,PMsheet!$J:$K,2,0),0)*'Master Data-C19RM'!$E$2))</f>
        <v>0</v>
      </c>
      <c r="AE404" s="440"/>
      <c r="AF404" s="440"/>
      <c r="AG404" s="440"/>
      <c r="AH404" s="440"/>
      <c r="AI404" s="514">
        <f t="shared" si="48"/>
        <v>0</v>
      </c>
      <c r="AJ404" s="515">
        <f>IF(SETUP!$E$7="USD",(AI404*(IF(O404="USD",AD404,(AD404/'Master Data-C19RM'!$E$2)))),(AI404*(IF(O404="EUR",AD404,(AD404*'Master Data-C19RM'!$E$2)))))</f>
        <v>0</v>
      </c>
      <c r="AK404" s="445">
        <f>IF($O404="USD",_xlfn.IFNA(VLOOKUP($A404&amp;$E404&amp;$I404,PMsheet!$J:$K,2,0),0),(_xlfn.IFNA(VLOOKUP($A404&amp;$E404&amp;$I404,PMsheet!$J:$K,2,0),0)*'Master Data-C19RM'!$F$2))</f>
        <v>0</v>
      </c>
      <c r="AL404" s="440"/>
      <c r="AM404" s="440"/>
      <c r="AN404" s="440"/>
      <c r="AO404" s="440"/>
      <c r="AP404" s="514">
        <f t="shared" si="49"/>
        <v>0</v>
      </c>
      <c r="AQ404" s="515">
        <f>IF(SETUP!$E$7="USD",(AP404*(IF(O404="USD",AK404,(AK404/'Master Data-C19RM'!$F$2)))),(AP404*(IF(O404="EUR",AK404,(AK404*'Master Data-C19RM'!$F$2)))))</f>
        <v>0</v>
      </c>
      <c r="AR404" s="925">
        <f>IF($O404="USD",_xlfn.IFNA(VLOOKUP($A404&amp;$E404&amp;$I404,PMsheet!$J:$K,2,0),0),(_xlfn.IFNA(VLOOKUP($A404&amp;$E404&amp;$I404,PMsheet!$J:$K,2,0),0)*'Master Data-C19RM'!$G$2))</f>
        <v>0</v>
      </c>
      <c r="AS404" s="926"/>
      <c r="AT404" s="926"/>
      <c r="AU404" s="926"/>
      <c r="AV404" s="926"/>
      <c r="AW404" s="514">
        <f t="shared" si="53"/>
        <v>0</v>
      </c>
      <c r="AX404" s="514">
        <f>IF(SETUP!$E$7="USD",(AW404*(IF(O404="USD",AR404,(AR404/'Master Data-C19RM'!$G$2)))),(AW404*(IF(O404="EUR",AR404,(AR404*'Master Data-C19RM'!$G$2)))))</f>
        <v>0</v>
      </c>
      <c r="AY404" s="845"/>
      <c r="AZ404" s="846"/>
      <c r="BA404" s="846"/>
      <c r="BB404" s="846"/>
      <c r="BC404" s="846"/>
      <c r="BD404" s="846"/>
      <c r="BE404" s="847"/>
      <c r="BF404" s="521">
        <f>'C19RM 2021-Lab &amp; Other HPS'!$U404+'C19RM 2021-Lab &amp; Other HPS'!$AB404+'C19RM 2021-Lab &amp; Other HPS'!$AP404+'C19RM 2021-Lab &amp; Other HPS'!$AI404+AW404+BD404</f>
        <v>0</v>
      </c>
      <c r="BG404" s="515">
        <f>'C19RM 2021-Lab &amp; Other HPS'!$V404+'C19RM 2021-Lab &amp; Other HPS'!$AC404+'C19RM 2021-Lab &amp; Other HPS'!$AQ404+'C19RM 2021-Lab &amp; Other HPS'!$AJ404+AX404+BE404</f>
        <v>0</v>
      </c>
      <c r="BH404" s="522" t="str" cm="1">
        <f t="array" ref="BH404">IF(A404&lt;&gt;"",IFERROR(INDEX(PMtbl[[WKst]:[Unit of measure*]],MATCH($A$330&amp;$A404&amp;$E404&amp;$I404,INDEX(PMtbl[Sec]&amp;PMtbl[Category]&amp;PMtbl[Each]&amp;PMtbl[Packaging],0,),0),11),""),"")</f>
        <v/>
      </c>
      <c r="BI404" s="818"/>
      <c r="BJ404" s="503" t="str" cm="1">
        <f t="array" ref="BJ404">IFERROR(INDEX(SETUP!$C$19:$G$121,MATCH((INDEX(PMtbl[[WKst]:[Unit of measure*]],MATCH($A404&amp;$E404&amp;$I404,INDEX(PMtbl[Category]&amp;PMtbl[Each]&amp;PMtbl[Packaging],0,),0),3)),SETUP!$D$19:$D$121,0),5),"")</f>
        <v/>
      </c>
      <c r="BK404" s="569"/>
      <c r="BL404" s="564"/>
      <c r="BO404" s="448">
        <f>IF(N404="",0,IF(SETUP!$E$7="USD",((IF(O404="USD",P404,(P404/'Master Data-C19RM'!$C$2)))),((IF(O404="EUR",P404,(P404*'Master Data-C19RM'!$C$2))))))</f>
        <v>0</v>
      </c>
      <c r="BP404" s="448">
        <f>IF(N404="",0,IF(SETUP!$E$7="USD",((IF(O404="USD",W404,(W404/'Master Data-C19RM'!$D$2)))),((IF(O404="EUR",W404,(W404*'Master Data-C19RM'!$D$2))))))</f>
        <v>0</v>
      </c>
      <c r="BQ404" s="470">
        <f>IF(N404="",0,IF(SETUP!$E$7="USD",((IF(O404="USD",AD404,(AD404/'Master Data-C19RM'!$E$2)))),((IF(O404="EUR",AD404,(AD404*'Master Data-C19RM'!$E$2))))))</f>
        <v>0</v>
      </c>
      <c r="BR404" s="470">
        <f>IF(N404="",0,IF(SETUP!$E$7="USD",((IF(O404="USD",AK404,(AK404/'Master Data-C19RM'!$F$2)))),((IF(O404="EUR",AK404,(AK404*'Master Data-C19RM'!$F$2))))))</f>
        <v>0</v>
      </c>
      <c r="BS404" s="470">
        <f>IF(N404="",0,IF(SETUP!$E$7="USD",((IF(O404="USD",AR404,(AR404/'Master Data-C19RM'!$G$2)))),((IF(O404="EUR",AR404,(AR404*'Master Data-C19RM'!$G$2))))))</f>
        <v>0</v>
      </c>
      <c r="BT404" s="470">
        <f>IF(N404="",0,IF(SETUP!$E$7="USD",((IF(O404="USD",AY404,(AY404/'Master Data-C19RM'!$H$2)))),((IF(O404="EUR",AY404,(AY404*'Master Data-C19RM'!$H$2))))))</f>
        <v>0</v>
      </c>
      <c r="BU404" s="448">
        <f t="shared" si="51"/>
        <v>0</v>
      </c>
      <c r="BV404" s="562">
        <f t="shared" si="52"/>
        <v>0</v>
      </c>
      <c r="BW404" s="470"/>
      <c r="BX404" s="470"/>
      <c r="BY404" s="470"/>
      <c r="BZ404" s="470"/>
      <c r="CA404" s="470"/>
      <c r="CB404" s="470"/>
      <c r="CC404" s="470"/>
      <c r="CD404" s="470"/>
      <c r="CE404" s="470"/>
      <c r="CF404" s="470"/>
      <c r="CG404" s="470"/>
      <c r="CH404" s="470"/>
      <c r="CI404" s="470"/>
      <c r="CJ404" s="470"/>
      <c r="CK404" s="470"/>
      <c r="CL404" s="470"/>
      <c r="CM404" s="470"/>
      <c r="CN404" s="470"/>
      <c r="CO404" s="470"/>
      <c r="CP404" s="470"/>
    </row>
    <row r="405" spans="1:94" s="448" customFormat="1" ht="14" x14ac:dyDescent="0.3">
      <c r="A405" s="1200"/>
      <c r="B405" s="1201"/>
      <c r="C405" s="1201"/>
      <c r="D405" s="1202"/>
      <c r="E405" s="1166"/>
      <c r="F405" s="1166"/>
      <c r="G405" s="1166"/>
      <c r="H405" s="1166"/>
      <c r="I405" s="1166"/>
      <c r="J405" s="1166"/>
      <c r="K405" s="1166"/>
      <c r="L405" s="490" t="str" cm="1">
        <f t="array" ref="L405">IF(A405&lt;&gt;"",IFERROR(INDEX(PMtbl[[WKst]:[Unit of measure*]],MATCH($A$330&amp;$A405&amp;$E405&amp;$I405,INDEX(PMtbl[Sec]&amp;PMtbl[Category]&amp;PMtbl[Each]&amp;PMtbl[Packaging],0,),0),14),""),"")</f>
        <v/>
      </c>
      <c r="M405" s="479" t="str">
        <f>IF(L405="","",INDEX(SETUP!$E$20:$E$122,(MATCH(INDEX(PMsheet!$D:$E,MATCH(A405,PMsheet!E:E,0),1),SETUP!$D$20:$D$122,0))))</f>
        <v/>
      </c>
      <c r="N405" s="491">
        <f>IF($O405="USD",_xlfn.IFNA(VLOOKUP(A405&amp;E405&amp;I405,PMsheet!J:K,2,0),0),(_xlfn.IFNA(VLOOKUP(A405&amp;E405&amp;I405,PMsheet!J:K,2,0),0)*'Master Data-C19RM'!$C$2))</f>
        <v>0</v>
      </c>
      <c r="O405" s="492" t="str">
        <f>IF(L405="", "",SETUP!$E$7)</f>
        <v/>
      </c>
      <c r="P405" s="444">
        <f>IF($O405="USD",_xlfn.IFNA(VLOOKUP($A405&amp;$E405&amp;$I405,PMsheet!$J:$K,2,0),0),(_xlfn.IFNA(VLOOKUP($A405&amp;$E405&amp;$I405,PMsheet!$J:$K,2,0),0)*'Master Data-C19RM'!$C$2))</f>
        <v>0</v>
      </c>
      <c r="Q405" s="441"/>
      <c r="R405" s="441"/>
      <c r="S405" s="441"/>
      <c r="T405" s="441"/>
      <c r="U405" s="481">
        <f t="shared" si="44"/>
        <v>0</v>
      </c>
      <c r="V405" s="483">
        <f>IF(SETUP!$E$7="USD",(U405*(IF(O405="USD",P405,(P405/'Master Data-C19RM'!$C$2)))),(U405*(IF(O405="EUR",P405,(P405*'Master Data-C19RM'!$C$2)))))</f>
        <v>0</v>
      </c>
      <c r="W405" s="444">
        <f>IF($O405="USD",_xlfn.IFNA(VLOOKUP($A405&amp;$E405&amp;$I405,PMsheet!$J:$K,2,0),0),(_xlfn.IFNA(VLOOKUP($A405&amp;$E405&amp;$I405,PMsheet!$J:$K,2,0),0)*'Master Data-C19RM'!$D$2))</f>
        <v>0</v>
      </c>
      <c r="X405" s="441"/>
      <c r="Y405" s="441"/>
      <c r="Z405" s="441"/>
      <c r="AA405" s="441"/>
      <c r="AB405" s="481">
        <f t="shared" si="47"/>
        <v>0</v>
      </c>
      <c r="AC405" s="483">
        <f>IF(SETUP!$E$7="USD",(AB405*(IF(O405="USD",W405,(W405/'Master Data-C19RM'!$D$2)))),(AB405*(IF(O405="EUR",W405,(W405*'Master Data-C19RM'!$D$2)))))</f>
        <v>0</v>
      </c>
      <c r="AD405" s="444">
        <f>IF($O405="USD",_xlfn.IFNA(VLOOKUP($A405&amp;$E405&amp;$I405,PMsheet!$J:$K,2,0),0),(_xlfn.IFNA(VLOOKUP($A405&amp;$E405&amp;$I405,PMsheet!$J:$K,2,0),0)*'Master Data-C19RM'!$E$2))</f>
        <v>0</v>
      </c>
      <c r="AE405" s="441"/>
      <c r="AF405" s="441"/>
      <c r="AG405" s="441"/>
      <c r="AH405" s="441"/>
      <c r="AI405" s="512">
        <f t="shared" si="48"/>
        <v>0</v>
      </c>
      <c r="AJ405" s="513">
        <f>IF(SETUP!$E$7="USD",(AI405*(IF(O405="USD",AD405,(AD405/'Master Data-C19RM'!$E$2)))),(AI405*(IF(O405="EUR",AD405,(AD405*'Master Data-C19RM'!$E$2)))))</f>
        <v>0</v>
      </c>
      <c r="AK405" s="444">
        <f>IF($O405="USD",_xlfn.IFNA(VLOOKUP($A405&amp;$E405&amp;$I405,PMsheet!$J:$K,2,0),0),(_xlfn.IFNA(VLOOKUP($A405&amp;$E405&amp;$I405,PMsheet!$J:$K,2,0),0)*'Master Data-C19RM'!$F$2))</f>
        <v>0</v>
      </c>
      <c r="AL405" s="441"/>
      <c r="AM405" s="441"/>
      <c r="AN405" s="441"/>
      <c r="AO405" s="441"/>
      <c r="AP405" s="512">
        <f t="shared" si="49"/>
        <v>0</v>
      </c>
      <c r="AQ405" s="513">
        <f>IF(SETUP!$E$7="USD",(AP405*(IF(O405="USD",AK405,(AK405/'Master Data-C19RM'!$F$2)))),(AP405*(IF(O405="EUR",AK405,(AK405*'Master Data-C19RM'!$F$2)))))</f>
        <v>0</v>
      </c>
      <c r="AR405" s="924">
        <f>IF($O405="USD",_xlfn.IFNA(VLOOKUP($A405&amp;$E405&amp;$I405,PMsheet!$J:$K,2,0),0),(_xlfn.IFNA(VLOOKUP($A405&amp;$E405&amp;$I405,PMsheet!$J:$K,2,0),0)*'Master Data-C19RM'!$G$2))</f>
        <v>0</v>
      </c>
      <c r="AS405" s="572"/>
      <c r="AT405" s="572"/>
      <c r="AU405" s="572"/>
      <c r="AV405" s="572"/>
      <c r="AW405" s="512">
        <f t="shared" si="53"/>
        <v>0</v>
      </c>
      <c r="AX405" s="512">
        <f>IF(SETUP!$E$7="USD",(AW405*(IF(O405="USD",AR405,(AR405/'Master Data-C19RM'!$G$2)))),(AW405*(IF(O405="EUR",AR405,(AR405*'Master Data-C19RM'!$G$2)))))</f>
        <v>0</v>
      </c>
      <c r="AY405" s="845"/>
      <c r="AZ405" s="846"/>
      <c r="BA405" s="846"/>
      <c r="BB405" s="846"/>
      <c r="BC405" s="846"/>
      <c r="BD405" s="846"/>
      <c r="BE405" s="847"/>
      <c r="BF405" s="520">
        <f>'C19RM 2021-Lab &amp; Other HPS'!$U405+'C19RM 2021-Lab &amp; Other HPS'!$AB405+'C19RM 2021-Lab &amp; Other HPS'!$AP405+'C19RM 2021-Lab &amp; Other HPS'!$AI405+AW405+BD405</f>
        <v>0</v>
      </c>
      <c r="BG405" s="513">
        <f>'C19RM 2021-Lab &amp; Other HPS'!$V405+'C19RM 2021-Lab &amp; Other HPS'!$AC405+'C19RM 2021-Lab &amp; Other HPS'!$AQ405+'C19RM 2021-Lab &amp; Other HPS'!$AJ405+AX405+BE405</f>
        <v>0</v>
      </c>
      <c r="BH405" s="500" t="str" cm="1">
        <f t="array" ref="BH405">IF(A405&lt;&gt;"",IFERROR(INDEX(PMtbl[[WKst]:[Unit of measure*]],MATCH($A$330&amp;$A405&amp;$E405&amp;$I405,INDEX(PMtbl[Sec]&amp;PMtbl[Category]&amp;PMtbl[Each]&amp;PMtbl[Packaging],0,),0),11),""),"")</f>
        <v/>
      </c>
      <c r="BI405" s="819"/>
      <c r="BJ405" s="502" t="str" cm="1">
        <f t="array" ref="BJ405">IFERROR(INDEX(SETUP!$C$19:$G$121,MATCH((INDEX(PMtbl[[WKst]:[Unit of measure*]],MATCH($A405&amp;$E405&amp;$I405,INDEX(PMtbl[Category]&amp;PMtbl[Each]&amp;PMtbl[Packaging],0,),0),3)),SETUP!$D$19:$D$121,0),5),"")</f>
        <v/>
      </c>
      <c r="BK405" s="568"/>
      <c r="BL405" s="563"/>
      <c r="BO405" s="448">
        <f>IF(N405="",0,IF(SETUP!$E$7="USD",((IF(O405="USD",P405,(P405/'Master Data-C19RM'!$C$2)))),((IF(O405="EUR",P405,(P405*'Master Data-C19RM'!$C$2))))))</f>
        <v>0</v>
      </c>
      <c r="BP405" s="448">
        <f>IF(N405="",0,IF(SETUP!$E$7="USD",((IF(O405="USD",W405,(W405/'Master Data-C19RM'!$D$2)))),((IF(O405="EUR",W405,(W405*'Master Data-C19RM'!$D$2))))))</f>
        <v>0</v>
      </c>
      <c r="BQ405" s="470">
        <f>IF(N405="",0,IF(SETUP!$E$7="USD",((IF(O405="USD",AD405,(AD405/'Master Data-C19RM'!$E$2)))),((IF(O405="EUR",AD405,(AD405*'Master Data-C19RM'!$E$2))))))</f>
        <v>0</v>
      </c>
      <c r="BR405" s="470">
        <f>IF(N405="",0,IF(SETUP!$E$7="USD",((IF(O405="USD",AK405,(AK405/'Master Data-C19RM'!$F$2)))),((IF(O405="EUR",AK405,(AK405*'Master Data-C19RM'!$F$2))))))</f>
        <v>0</v>
      </c>
      <c r="BS405" s="470">
        <f>IF(N405="",0,IF(SETUP!$E$7="USD",((IF(O405="USD",AR405,(AR405/'Master Data-C19RM'!$G$2)))),((IF(O405="EUR",AR405,(AR405*'Master Data-C19RM'!$G$2))))))</f>
        <v>0</v>
      </c>
      <c r="BT405" s="470">
        <f>IF(N405="",0,IF(SETUP!$E$7="USD",((IF(O405="USD",AY405,(AY405/'Master Data-C19RM'!$H$2)))),((IF(O405="EUR",AY405,(AY405*'Master Data-C19RM'!$H$2))))))</f>
        <v>0</v>
      </c>
      <c r="BU405" s="448">
        <f t="shared" si="51"/>
        <v>0</v>
      </c>
      <c r="BV405" s="562">
        <f t="shared" si="52"/>
        <v>0</v>
      </c>
      <c r="BW405" s="470"/>
      <c r="BX405" s="470"/>
      <c r="BY405" s="470"/>
      <c r="BZ405" s="470"/>
      <c r="CA405" s="470"/>
      <c r="CB405" s="470"/>
      <c r="CC405" s="470"/>
      <c r="CD405" s="470"/>
      <c r="CE405" s="470"/>
      <c r="CF405" s="470"/>
      <c r="CG405" s="470"/>
      <c r="CH405" s="470"/>
      <c r="CI405" s="470"/>
      <c r="CJ405" s="470"/>
      <c r="CK405" s="470"/>
      <c r="CL405" s="470"/>
      <c r="CM405" s="470"/>
      <c r="CN405" s="470"/>
      <c r="CO405" s="470"/>
      <c r="CP405" s="470"/>
    </row>
    <row r="406" spans="1:94" s="448" customFormat="1" ht="14" x14ac:dyDescent="0.3">
      <c r="A406" s="1197"/>
      <c r="B406" s="1198"/>
      <c r="C406" s="1198"/>
      <c r="D406" s="1199"/>
      <c r="E406" s="1173"/>
      <c r="F406" s="1173"/>
      <c r="G406" s="1173"/>
      <c r="H406" s="1173"/>
      <c r="I406" s="1173"/>
      <c r="J406" s="1173"/>
      <c r="K406" s="1173"/>
      <c r="L406" s="493" t="str" cm="1">
        <f t="array" ref="L406">IF(A406&lt;&gt;"",IFERROR(INDEX(PMtbl[[WKst]:[Unit of measure*]],MATCH($A$330&amp;$A406&amp;$E406&amp;$I406,INDEX(PMtbl[Sec]&amp;PMtbl[Category]&amp;PMtbl[Each]&amp;PMtbl[Packaging],0,),0),14),""),"")</f>
        <v/>
      </c>
      <c r="M406" s="480" t="str">
        <f>IF(L406="","",INDEX(SETUP!$E$20:$E$122,(MATCH(INDEX(PMsheet!$D:$E,MATCH(A406,PMsheet!E:E,0),1),SETUP!$D$20:$D$122,0))))</f>
        <v/>
      </c>
      <c r="N406" s="494">
        <f>IF($O406="USD",_xlfn.IFNA(VLOOKUP(A406&amp;E406&amp;I406,PMsheet!J:K,2,0),0),(_xlfn.IFNA(VLOOKUP(A406&amp;E406&amp;I406,PMsheet!J:K,2,0),0)*'Master Data-C19RM'!$C$2))</f>
        <v>0</v>
      </c>
      <c r="O406" s="495" t="str">
        <f>IF(L406="", "",SETUP!$E$7)</f>
        <v/>
      </c>
      <c r="P406" s="445">
        <f>IF($O406="USD",_xlfn.IFNA(VLOOKUP($A406&amp;$E406&amp;$I406,PMsheet!$J:$K,2,0),0),(_xlfn.IFNA(VLOOKUP($A406&amp;$E406&amp;$I406,PMsheet!$J:$K,2,0),0)*'Master Data-C19RM'!$C$2))</f>
        <v>0</v>
      </c>
      <c r="Q406" s="440"/>
      <c r="R406" s="440"/>
      <c r="S406" s="440"/>
      <c r="T406" s="440"/>
      <c r="U406" s="482">
        <f t="shared" si="44"/>
        <v>0</v>
      </c>
      <c r="V406" s="484">
        <f>IF(SETUP!$E$7="USD",(U406*(IF(O406="USD",P406,(P406/'Master Data-C19RM'!$C$2)))),(U406*(IF(O406="EUR",P406,(P406*'Master Data-C19RM'!$C$2)))))</f>
        <v>0</v>
      </c>
      <c r="W406" s="445">
        <f>IF($O406="USD",_xlfn.IFNA(VLOOKUP($A406&amp;$E406&amp;$I406,PMsheet!$J:$K,2,0),0),(_xlfn.IFNA(VLOOKUP($A406&amp;$E406&amp;$I406,PMsheet!$J:$K,2,0),0)*'Master Data-C19RM'!$D$2))</f>
        <v>0</v>
      </c>
      <c r="X406" s="440"/>
      <c r="Y406" s="440"/>
      <c r="Z406" s="440"/>
      <c r="AA406" s="440"/>
      <c r="AB406" s="482">
        <f t="shared" si="47"/>
        <v>0</v>
      </c>
      <c r="AC406" s="484">
        <f>IF(SETUP!$E$7="USD",(AB406*(IF(O406="USD",W406,(W406/'Master Data-C19RM'!$D$2)))),(AB406*(IF(O406="EUR",W406,(W406*'Master Data-C19RM'!$D$2)))))</f>
        <v>0</v>
      </c>
      <c r="AD406" s="445">
        <f>IF($O406="USD",_xlfn.IFNA(VLOOKUP($A406&amp;$E406&amp;$I406,PMsheet!$J:$K,2,0),0),(_xlfn.IFNA(VLOOKUP($A406&amp;$E406&amp;$I406,PMsheet!$J:$K,2,0),0)*'Master Data-C19RM'!$E$2))</f>
        <v>0</v>
      </c>
      <c r="AE406" s="440"/>
      <c r="AF406" s="440"/>
      <c r="AG406" s="440"/>
      <c r="AH406" s="440"/>
      <c r="AI406" s="514">
        <f t="shared" si="48"/>
        <v>0</v>
      </c>
      <c r="AJ406" s="515">
        <f>IF(SETUP!$E$7="USD",(AI406*(IF(O406="USD",AD406,(AD406/'Master Data-C19RM'!$E$2)))),(AI406*(IF(O406="EUR",AD406,(AD406*'Master Data-C19RM'!$E$2)))))</f>
        <v>0</v>
      </c>
      <c r="AK406" s="445">
        <f>IF($O406="USD",_xlfn.IFNA(VLOOKUP($A406&amp;$E406&amp;$I406,PMsheet!$J:$K,2,0),0),(_xlfn.IFNA(VLOOKUP($A406&amp;$E406&amp;$I406,PMsheet!$J:$K,2,0),0)*'Master Data-C19RM'!$F$2))</f>
        <v>0</v>
      </c>
      <c r="AL406" s="440"/>
      <c r="AM406" s="440"/>
      <c r="AN406" s="440"/>
      <c r="AO406" s="440"/>
      <c r="AP406" s="514">
        <f t="shared" si="49"/>
        <v>0</v>
      </c>
      <c r="AQ406" s="515">
        <f>IF(SETUP!$E$7="USD",(AP406*(IF(O406="USD",AK406,(AK406/'Master Data-C19RM'!$F$2)))),(AP406*(IF(O406="EUR",AK406,(AK406*'Master Data-C19RM'!$F$2)))))</f>
        <v>0</v>
      </c>
      <c r="AR406" s="925">
        <f>IF($O406="USD",_xlfn.IFNA(VLOOKUP($A406&amp;$E406&amp;$I406,PMsheet!$J:$K,2,0),0),(_xlfn.IFNA(VLOOKUP($A406&amp;$E406&amp;$I406,PMsheet!$J:$K,2,0),0)*'Master Data-C19RM'!$G$2))</f>
        <v>0</v>
      </c>
      <c r="AS406" s="926"/>
      <c r="AT406" s="926"/>
      <c r="AU406" s="926"/>
      <c r="AV406" s="926"/>
      <c r="AW406" s="514">
        <f t="shared" si="53"/>
        <v>0</v>
      </c>
      <c r="AX406" s="514">
        <f>IF(SETUP!$E$7="USD",(AW406*(IF(O406="USD",AR406,(AR406/'Master Data-C19RM'!$G$2)))),(AW406*(IF(O406="EUR",AR406,(AR406*'Master Data-C19RM'!$G$2)))))</f>
        <v>0</v>
      </c>
      <c r="AY406" s="845"/>
      <c r="AZ406" s="846"/>
      <c r="BA406" s="846"/>
      <c r="BB406" s="846"/>
      <c r="BC406" s="846"/>
      <c r="BD406" s="846"/>
      <c r="BE406" s="847"/>
      <c r="BF406" s="521">
        <f>'C19RM 2021-Lab &amp; Other HPS'!$U406+'C19RM 2021-Lab &amp; Other HPS'!$AB406+'C19RM 2021-Lab &amp; Other HPS'!$AP406+'C19RM 2021-Lab &amp; Other HPS'!$AI406+AW406+BD406</f>
        <v>0</v>
      </c>
      <c r="BG406" s="515">
        <f>'C19RM 2021-Lab &amp; Other HPS'!$V406+'C19RM 2021-Lab &amp; Other HPS'!$AC406+'C19RM 2021-Lab &amp; Other HPS'!$AQ406+'C19RM 2021-Lab &amp; Other HPS'!$AJ406+AX406+BE406</f>
        <v>0</v>
      </c>
      <c r="BH406" s="522" t="str" cm="1">
        <f t="array" ref="BH406">IF(A406&lt;&gt;"",IFERROR(INDEX(PMtbl[[WKst]:[Unit of measure*]],MATCH($A$330&amp;$A406&amp;$E406&amp;$I406,INDEX(PMtbl[Sec]&amp;PMtbl[Category]&amp;PMtbl[Each]&amp;PMtbl[Packaging],0,),0),11),""),"")</f>
        <v/>
      </c>
      <c r="BI406" s="818"/>
      <c r="BJ406" s="503" t="str" cm="1">
        <f t="array" ref="BJ406">IFERROR(INDEX(SETUP!$C$19:$G$121,MATCH((INDEX(PMtbl[[WKst]:[Unit of measure*]],MATCH($A406&amp;$E406&amp;$I406,INDEX(PMtbl[Category]&amp;PMtbl[Each]&amp;PMtbl[Packaging],0,),0),3)),SETUP!$D$19:$D$121,0),5),"")</f>
        <v/>
      </c>
      <c r="BK406" s="569"/>
      <c r="BL406" s="564"/>
      <c r="BO406" s="448">
        <f>IF(N406="",0,IF(SETUP!$E$7="USD",((IF(O406="USD",P406,(P406/'Master Data-C19RM'!$C$2)))),((IF(O406="EUR",P406,(P406*'Master Data-C19RM'!$C$2))))))</f>
        <v>0</v>
      </c>
      <c r="BP406" s="448">
        <f>IF(N406="",0,IF(SETUP!$E$7="USD",((IF(O406="USD",W406,(W406/'Master Data-C19RM'!$D$2)))),((IF(O406="EUR",W406,(W406*'Master Data-C19RM'!$D$2))))))</f>
        <v>0</v>
      </c>
      <c r="BQ406" s="470">
        <f>IF(N406="",0,IF(SETUP!$E$7="USD",((IF(O406="USD",AD406,(AD406/'Master Data-C19RM'!$E$2)))),((IF(O406="EUR",AD406,(AD406*'Master Data-C19RM'!$E$2))))))</f>
        <v>0</v>
      </c>
      <c r="BR406" s="470">
        <f>IF(N406="",0,IF(SETUP!$E$7="USD",((IF(O406="USD",AK406,(AK406/'Master Data-C19RM'!$F$2)))),((IF(O406="EUR",AK406,(AK406*'Master Data-C19RM'!$F$2))))))</f>
        <v>0</v>
      </c>
      <c r="BS406" s="470">
        <f>IF(N406="",0,IF(SETUP!$E$7="USD",((IF(O406="USD",AR406,(AR406/'Master Data-C19RM'!$G$2)))),((IF(O406="EUR",AR406,(AR406*'Master Data-C19RM'!$G$2))))))</f>
        <v>0</v>
      </c>
      <c r="BT406" s="470">
        <f>IF(N406="",0,IF(SETUP!$E$7="USD",((IF(O406="USD",AY406,(AY406/'Master Data-C19RM'!$H$2)))),((IF(O406="EUR",AY406,(AY406*'Master Data-C19RM'!$H$2))))))</f>
        <v>0</v>
      </c>
      <c r="BU406" s="448">
        <f t="shared" si="51"/>
        <v>0</v>
      </c>
      <c r="BV406" s="562">
        <f t="shared" si="52"/>
        <v>0</v>
      </c>
      <c r="BW406" s="470"/>
      <c r="BX406" s="470"/>
      <c r="BY406" s="470"/>
      <c r="BZ406" s="470"/>
      <c r="CA406" s="470"/>
      <c r="CB406" s="470"/>
      <c r="CC406" s="470"/>
      <c r="CD406" s="470"/>
      <c r="CE406" s="470"/>
      <c r="CF406" s="470"/>
      <c r="CG406" s="470"/>
      <c r="CH406" s="470"/>
      <c r="CI406" s="470"/>
      <c r="CJ406" s="470"/>
      <c r="CK406" s="470"/>
      <c r="CL406" s="470"/>
      <c r="CM406" s="470"/>
      <c r="CN406" s="470"/>
      <c r="CO406" s="470"/>
      <c r="CP406" s="470"/>
    </row>
    <row r="407" spans="1:94" s="448" customFormat="1" ht="14" x14ac:dyDescent="0.3">
      <c r="A407" s="1165"/>
      <c r="B407" s="1165"/>
      <c r="C407" s="1165"/>
      <c r="D407" s="1165"/>
      <c r="E407" s="1166"/>
      <c r="F407" s="1166"/>
      <c r="G407" s="1166"/>
      <c r="H407" s="1166"/>
      <c r="I407" s="1166"/>
      <c r="J407" s="1166"/>
      <c r="K407" s="1166"/>
      <c r="L407" s="490" t="str" cm="1">
        <f t="array" ref="L407">IF(A407&lt;&gt;"",IFERROR(INDEX(PMtbl[[WKst]:[Unit of measure*]],MATCH($A$330&amp;$A407&amp;$E407&amp;$I407,INDEX(PMtbl[Sec]&amp;PMtbl[Category]&amp;PMtbl[Each]&amp;PMtbl[Packaging],0,),0),14),""),"")</f>
        <v/>
      </c>
      <c r="M407" s="479" t="str">
        <f>IF(L407="","",INDEX(SETUP!$E$20:$E$122,(MATCH(INDEX(PMsheet!$D:$E,MATCH(A407,PMsheet!E:E,0),1),SETUP!$D$20:$D$122,0))))</f>
        <v/>
      </c>
      <c r="N407" s="491">
        <f>IF($O407="USD",_xlfn.IFNA(VLOOKUP(A407&amp;E407&amp;I407,PMsheet!J:K,2,0),0),(_xlfn.IFNA(VLOOKUP(A407&amp;E407&amp;I407,PMsheet!J:K,2,0),0)*'Master Data-C19RM'!$C$2))</f>
        <v>0</v>
      </c>
      <c r="O407" s="492" t="str">
        <f>IF(L407="", "",SETUP!$E$7)</f>
        <v/>
      </c>
      <c r="P407" s="444">
        <f>IF($O407="USD",_xlfn.IFNA(VLOOKUP($A407&amp;$E407&amp;$I407,PMsheet!$J:$K,2,0),0),(_xlfn.IFNA(VLOOKUP($A407&amp;$E407&amp;$I407,PMsheet!$J:$K,2,0),0)*'Master Data-C19RM'!$C$2))</f>
        <v>0</v>
      </c>
      <c r="Q407" s="441"/>
      <c r="R407" s="441"/>
      <c r="S407" s="441"/>
      <c r="T407" s="441"/>
      <c r="U407" s="481">
        <f t="shared" si="44"/>
        <v>0</v>
      </c>
      <c r="V407" s="483">
        <f>IF(SETUP!$E$7="USD",(U407*(IF(O407="USD",P407,(P407/'Master Data-C19RM'!$C$2)))),(U407*(IF(O407="EUR",P407,(P407*'Master Data-C19RM'!$C$2)))))</f>
        <v>0</v>
      </c>
      <c r="W407" s="444">
        <f>IF($O407="USD",_xlfn.IFNA(VLOOKUP($A407&amp;$E407&amp;$I407,PMsheet!$J:$K,2,0),0),(_xlfn.IFNA(VLOOKUP($A407&amp;$E407&amp;$I407,PMsheet!$J:$K,2,0),0)*'Master Data-C19RM'!$D$2))</f>
        <v>0</v>
      </c>
      <c r="X407" s="441"/>
      <c r="Y407" s="441"/>
      <c r="Z407" s="441"/>
      <c r="AA407" s="441"/>
      <c r="AB407" s="481">
        <f t="shared" si="47"/>
        <v>0</v>
      </c>
      <c r="AC407" s="483">
        <f>IF(SETUP!$E$7="USD",(AB407*(IF(O407="USD",W407,(W407/'Master Data-C19RM'!$D$2)))),(AB407*(IF(O407="EUR",W407,(W407*'Master Data-C19RM'!$D$2)))))</f>
        <v>0</v>
      </c>
      <c r="AD407" s="444">
        <f>IF($O407="USD",_xlfn.IFNA(VLOOKUP($A407&amp;$E407&amp;$I407,PMsheet!$J:$K,2,0),0),(_xlfn.IFNA(VLOOKUP($A407&amp;$E407&amp;$I407,PMsheet!$J:$K,2,0),0)*'Master Data-C19RM'!$E$2))</f>
        <v>0</v>
      </c>
      <c r="AE407" s="441"/>
      <c r="AF407" s="441"/>
      <c r="AG407" s="441"/>
      <c r="AH407" s="441"/>
      <c r="AI407" s="512">
        <f t="shared" si="48"/>
        <v>0</v>
      </c>
      <c r="AJ407" s="513">
        <f>IF(SETUP!$E$7="USD",(AI407*(IF(O407="USD",AD407,(AD407/'Master Data-C19RM'!$E$2)))),(AI407*(IF(O407="EUR",AD407,(AD407*'Master Data-C19RM'!$E$2)))))</f>
        <v>0</v>
      </c>
      <c r="AK407" s="444">
        <f>IF($O407="USD",_xlfn.IFNA(VLOOKUP($A407&amp;$E407&amp;$I407,PMsheet!$J:$K,2,0),0),(_xlfn.IFNA(VLOOKUP($A407&amp;$E407&amp;$I407,PMsheet!$J:$K,2,0),0)*'Master Data-C19RM'!$F$2))</f>
        <v>0</v>
      </c>
      <c r="AL407" s="441"/>
      <c r="AM407" s="441"/>
      <c r="AN407" s="441"/>
      <c r="AO407" s="441"/>
      <c r="AP407" s="512">
        <f t="shared" si="49"/>
        <v>0</v>
      </c>
      <c r="AQ407" s="513">
        <f>IF(SETUP!$E$7="USD",(AP407*(IF(O407="USD",AK407,(AK407/'Master Data-C19RM'!$F$2)))),(AP407*(IF(O407="EUR",AK407,(AK407*'Master Data-C19RM'!$F$2)))))</f>
        <v>0</v>
      </c>
      <c r="AR407" s="924">
        <f>IF($O407="USD",_xlfn.IFNA(VLOOKUP($A407&amp;$E407&amp;$I407,PMsheet!$J:$K,2,0),0),(_xlfn.IFNA(VLOOKUP($A407&amp;$E407&amp;$I407,PMsheet!$J:$K,2,0),0)*'Master Data-C19RM'!$G$2))</f>
        <v>0</v>
      </c>
      <c r="AS407" s="572"/>
      <c r="AT407" s="572"/>
      <c r="AU407" s="572"/>
      <c r="AV407" s="572"/>
      <c r="AW407" s="512">
        <f t="shared" si="53"/>
        <v>0</v>
      </c>
      <c r="AX407" s="512">
        <f>IF(SETUP!$E$7="USD",(AW407*(IF(O407="USD",AR407,(AR407/'Master Data-C19RM'!$G$2)))),(AW407*(IF(O407="EUR",AR407,(AR407*'Master Data-C19RM'!$G$2)))))</f>
        <v>0</v>
      </c>
      <c r="AY407" s="845"/>
      <c r="AZ407" s="846"/>
      <c r="BA407" s="846"/>
      <c r="BB407" s="846"/>
      <c r="BC407" s="846"/>
      <c r="BD407" s="846"/>
      <c r="BE407" s="847"/>
      <c r="BF407" s="520">
        <f>'C19RM 2021-Lab &amp; Other HPS'!$U407+'C19RM 2021-Lab &amp; Other HPS'!$AB407+'C19RM 2021-Lab &amp; Other HPS'!$AP407+'C19RM 2021-Lab &amp; Other HPS'!$AI407+AW407+BD407</f>
        <v>0</v>
      </c>
      <c r="BG407" s="513">
        <f>'C19RM 2021-Lab &amp; Other HPS'!$V407+'C19RM 2021-Lab &amp; Other HPS'!$AC407+'C19RM 2021-Lab &amp; Other HPS'!$AQ407+'C19RM 2021-Lab &amp; Other HPS'!$AJ407+AX407+BE407</f>
        <v>0</v>
      </c>
      <c r="BH407" s="500" t="str" cm="1">
        <f t="array" ref="BH407">IF(A407&lt;&gt;"",IFERROR(INDEX(PMtbl[[WKst]:[Unit of measure*]],MATCH($A$330&amp;$A407&amp;$E407&amp;$I407,INDEX(PMtbl[Sec]&amp;PMtbl[Category]&amp;PMtbl[Each]&amp;PMtbl[Packaging],0,),0),11),""),"")</f>
        <v/>
      </c>
      <c r="BI407" s="819"/>
      <c r="BJ407" s="502" t="str" cm="1">
        <f t="array" ref="BJ407">IFERROR(INDEX(SETUP!$C$19:$G$121,MATCH((INDEX(PMtbl[[WKst]:[Unit of measure*]],MATCH($A407&amp;$E407&amp;$I407,INDEX(PMtbl[Category]&amp;PMtbl[Each]&amp;PMtbl[Packaging],0,),0),3)),SETUP!$D$19:$D$121,0),5),"")</f>
        <v/>
      </c>
      <c r="BK407" s="568"/>
      <c r="BL407" s="563"/>
      <c r="BO407" s="448">
        <f>IF(N407="",0,IF(SETUP!$E$7="USD",((IF(O407="USD",P407,(P407/'Master Data-C19RM'!$C$2)))),((IF(O407="EUR",P407,(P407*'Master Data-C19RM'!$C$2))))))</f>
        <v>0</v>
      </c>
      <c r="BP407" s="448">
        <f>IF(N407="",0,IF(SETUP!$E$7="USD",((IF(O407="USD",W407,(W407/'Master Data-C19RM'!$D$2)))),((IF(O407="EUR",W407,(W407*'Master Data-C19RM'!$D$2))))))</f>
        <v>0</v>
      </c>
      <c r="BQ407" s="470">
        <f>IF(N407="",0,IF(SETUP!$E$7="USD",((IF(O407="USD",AD407,(AD407/'Master Data-C19RM'!$E$2)))),((IF(O407="EUR",AD407,(AD407*'Master Data-C19RM'!$E$2))))))</f>
        <v>0</v>
      </c>
      <c r="BR407" s="470">
        <f>IF(N407="",0,IF(SETUP!$E$7="USD",((IF(O407="USD",AK407,(AK407/'Master Data-C19RM'!$F$2)))),((IF(O407="EUR",AK407,(AK407*'Master Data-C19RM'!$F$2))))))</f>
        <v>0</v>
      </c>
      <c r="BS407" s="470">
        <f>IF(N407="",0,IF(SETUP!$E$7="USD",((IF(O407="USD",AR407,(AR407/'Master Data-C19RM'!$G$2)))),((IF(O407="EUR",AR407,(AR407*'Master Data-C19RM'!$G$2))))))</f>
        <v>0</v>
      </c>
      <c r="BT407" s="470">
        <f>IF(N407="",0,IF(SETUP!$E$7="USD",((IF(O407="USD",AY407,(AY407/'Master Data-C19RM'!$H$2)))),((IF(O407="EUR",AY407,(AY407*'Master Data-C19RM'!$H$2))))))</f>
        <v>0</v>
      </c>
      <c r="BU407" s="448">
        <f t="shared" si="51"/>
        <v>0</v>
      </c>
      <c r="BV407" s="562">
        <f t="shared" si="52"/>
        <v>0</v>
      </c>
      <c r="BW407" s="470"/>
      <c r="BX407" s="470"/>
      <c r="BY407" s="470"/>
      <c r="BZ407" s="470"/>
      <c r="CA407" s="470"/>
      <c r="CB407" s="470"/>
      <c r="CC407" s="470"/>
      <c r="CD407" s="470"/>
      <c r="CE407" s="470"/>
      <c r="CF407" s="470"/>
      <c r="CG407" s="470"/>
      <c r="CH407" s="470"/>
      <c r="CI407" s="470"/>
      <c r="CJ407" s="470"/>
      <c r="CK407" s="470"/>
      <c r="CL407" s="470"/>
      <c r="CM407" s="470"/>
      <c r="CN407" s="470"/>
      <c r="CO407" s="470"/>
      <c r="CP407" s="470"/>
    </row>
    <row r="408" spans="1:94" s="448" customFormat="1" ht="14" x14ac:dyDescent="0.3">
      <c r="A408" s="1197"/>
      <c r="B408" s="1198"/>
      <c r="C408" s="1198"/>
      <c r="D408" s="1199"/>
      <c r="E408" s="1173"/>
      <c r="F408" s="1173"/>
      <c r="G408" s="1173"/>
      <c r="H408" s="1173"/>
      <c r="I408" s="1173"/>
      <c r="J408" s="1173"/>
      <c r="K408" s="1173"/>
      <c r="L408" s="493" t="str" cm="1">
        <f t="array" ref="L408">IF(A408&lt;&gt;"",IFERROR(INDEX(PMtbl[[WKst]:[Unit of measure*]],MATCH($A$330&amp;$A408&amp;$E408&amp;$I408,INDEX(PMtbl[Sec]&amp;PMtbl[Category]&amp;PMtbl[Each]&amp;PMtbl[Packaging],0,),0),14),""),"")</f>
        <v/>
      </c>
      <c r="M408" s="480" t="str">
        <f>IF(L408="","",INDEX(SETUP!$E$20:$E$122,(MATCH(INDEX(PMsheet!$D:$E,MATCH(A408,PMsheet!E:E,0),1),SETUP!$D$20:$D$122,0))))</f>
        <v/>
      </c>
      <c r="N408" s="494">
        <f>IF($O408="USD",_xlfn.IFNA(VLOOKUP(A408&amp;E408&amp;I408,PMsheet!J:K,2,0),0),(_xlfn.IFNA(VLOOKUP(A408&amp;E408&amp;I408,PMsheet!J:K,2,0),0)*'Master Data-C19RM'!$C$2))</f>
        <v>0</v>
      </c>
      <c r="O408" s="495" t="str">
        <f>IF(L408="", "",SETUP!$E$7)</f>
        <v/>
      </c>
      <c r="P408" s="445">
        <f>IF($O408="USD",_xlfn.IFNA(VLOOKUP($A408&amp;$E408&amp;$I408,PMsheet!$J:$K,2,0),0),(_xlfn.IFNA(VLOOKUP($A408&amp;$E408&amp;$I408,PMsheet!$J:$K,2,0),0)*'Master Data-C19RM'!$C$2))</f>
        <v>0</v>
      </c>
      <c r="Q408" s="440"/>
      <c r="R408" s="440"/>
      <c r="S408" s="440"/>
      <c r="T408" s="440"/>
      <c r="U408" s="482">
        <f t="shared" si="44"/>
        <v>0</v>
      </c>
      <c r="V408" s="484">
        <f>IF(SETUP!$E$7="USD",(U408*(IF(O408="USD",P408,(P408/'Master Data-C19RM'!$C$2)))),(U408*(IF(O408="EUR",P408,(P408*'Master Data-C19RM'!$C$2)))))</f>
        <v>0</v>
      </c>
      <c r="W408" s="445">
        <f>IF($O408="USD",_xlfn.IFNA(VLOOKUP($A408&amp;$E408&amp;$I408,PMsheet!$J:$K,2,0),0),(_xlfn.IFNA(VLOOKUP($A408&amp;$E408&amp;$I408,PMsheet!$J:$K,2,0),0)*'Master Data-C19RM'!$D$2))</f>
        <v>0</v>
      </c>
      <c r="X408" s="440"/>
      <c r="Y408" s="440"/>
      <c r="Z408" s="440"/>
      <c r="AA408" s="440"/>
      <c r="AB408" s="482">
        <f t="shared" si="47"/>
        <v>0</v>
      </c>
      <c r="AC408" s="484">
        <f>IF(SETUP!$E$7="USD",(AB408*(IF(O408="USD",W408,(W408/'Master Data-C19RM'!$D$2)))),(AB408*(IF(O408="EUR",W408,(W408*'Master Data-C19RM'!$D$2)))))</f>
        <v>0</v>
      </c>
      <c r="AD408" s="445">
        <f>IF($O408="USD",_xlfn.IFNA(VLOOKUP($A408&amp;$E408&amp;$I408,PMsheet!$J:$K,2,0),0),(_xlfn.IFNA(VLOOKUP($A408&amp;$E408&amp;$I408,PMsheet!$J:$K,2,0),0)*'Master Data-C19RM'!$E$2))</f>
        <v>0</v>
      </c>
      <c r="AE408" s="440"/>
      <c r="AF408" s="440"/>
      <c r="AG408" s="440"/>
      <c r="AH408" s="440"/>
      <c r="AI408" s="514">
        <f t="shared" si="48"/>
        <v>0</v>
      </c>
      <c r="AJ408" s="515">
        <f>IF(SETUP!$E$7="USD",(AI408*(IF(O408="USD",AD408,(AD408/'Master Data-C19RM'!$E$2)))),(AI408*(IF(O408="EUR",AD408,(AD408*'Master Data-C19RM'!$E$2)))))</f>
        <v>0</v>
      </c>
      <c r="AK408" s="445">
        <f>IF($O408="USD",_xlfn.IFNA(VLOOKUP($A408&amp;$E408&amp;$I408,PMsheet!$J:$K,2,0),0),(_xlfn.IFNA(VLOOKUP($A408&amp;$E408&amp;$I408,PMsheet!$J:$K,2,0),0)*'Master Data-C19RM'!$F$2))</f>
        <v>0</v>
      </c>
      <c r="AL408" s="440"/>
      <c r="AM408" s="440"/>
      <c r="AN408" s="440"/>
      <c r="AO408" s="440"/>
      <c r="AP408" s="514">
        <f t="shared" si="49"/>
        <v>0</v>
      </c>
      <c r="AQ408" s="515">
        <f>IF(SETUP!$E$7="USD",(AP408*(IF(O408="USD",AK408,(AK408/'Master Data-C19RM'!$F$2)))),(AP408*(IF(O408="EUR",AK408,(AK408*'Master Data-C19RM'!$F$2)))))</f>
        <v>0</v>
      </c>
      <c r="AR408" s="925">
        <f>IF($O408="USD",_xlfn.IFNA(VLOOKUP($A408&amp;$E408&amp;$I408,PMsheet!$J:$K,2,0),0),(_xlfn.IFNA(VLOOKUP($A408&amp;$E408&amp;$I408,PMsheet!$J:$K,2,0),0)*'Master Data-C19RM'!$G$2))</f>
        <v>0</v>
      </c>
      <c r="AS408" s="926"/>
      <c r="AT408" s="926"/>
      <c r="AU408" s="926"/>
      <c r="AV408" s="926"/>
      <c r="AW408" s="514">
        <f t="shared" si="53"/>
        <v>0</v>
      </c>
      <c r="AX408" s="514">
        <f>IF(SETUP!$E$7="USD",(AW408*(IF(O408="USD",AR408,(AR408/'Master Data-C19RM'!$G$2)))),(AW408*(IF(O408="EUR",AR408,(AR408*'Master Data-C19RM'!$G$2)))))</f>
        <v>0</v>
      </c>
      <c r="AY408" s="845"/>
      <c r="AZ408" s="846"/>
      <c r="BA408" s="846"/>
      <c r="BB408" s="846"/>
      <c r="BC408" s="846"/>
      <c r="BD408" s="846"/>
      <c r="BE408" s="847"/>
      <c r="BF408" s="521">
        <f>'C19RM 2021-Lab &amp; Other HPS'!$U408+'C19RM 2021-Lab &amp; Other HPS'!$AB408+'C19RM 2021-Lab &amp; Other HPS'!$AP408+'C19RM 2021-Lab &amp; Other HPS'!$AI408+AW408+BD408</f>
        <v>0</v>
      </c>
      <c r="BG408" s="515">
        <f>'C19RM 2021-Lab &amp; Other HPS'!$V408+'C19RM 2021-Lab &amp; Other HPS'!$AC408+'C19RM 2021-Lab &amp; Other HPS'!$AQ408+'C19RM 2021-Lab &amp; Other HPS'!$AJ408+AX408+BE408</f>
        <v>0</v>
      </c>
      <c r="BH408" s="522" t="str" cm="1">
        <f t="array" ref="BH408">IF(A408&lt;&gt;"",IFERROR(INDEX(PMtbl[[WKst]:[Unit of measure*]],MATCH($A$330&amp;$A408&amp;$E408&amp;$I408,INDEX(PMtbl[Sec]&amp;PMtbl[Category]&amp;PMtbl[Each]&amp;PMtbl[Packaging],0,),0),11),""),"")</f>
        <v/>
      </c>
      <c r="BI408" s="818"/>
      <c r="BJ408" s="503" t="str" cm="1">
        <f t="array" ref="BJ408">IFERROR(INDEX(SETUP!$C$19:$G$121,MATCH((INDEX(PMtbl[[WKst]:[Unit of measure*]],MATCH($A408&amp;$E408&amp;$I408,INDEX(PMtbl[Category]&amp;PMtbl[Each]&amp;PMtbl[Packaging],0,),0),3)),SETUP!$D$19:$D$121,0),5),"")</f>
        <v/>
      </c>
      <c r="BK408" s="569"/>
      <c r="BL408" s="564"/>
      <c r="BO408" s="448">
        <f>IF(N408="",0,IF(SETUP!$E$7="USD",((IF(O408="USD",P408,(P408/'Master Data-C19RM'!$C$2)))),((IF(O408="EUR",P408,(P408*'Master Data-C19RM'!$C$2))))))</f>
        <v>0</v>
      </c>
      <c r="BP408" s="448">
        <f>IF(N408="",0,IF(SETUP!$E$7="USD",((IF(O408="USD",W408,(W408/'Master Data-C19RM'!$D$2)))),((IF(O408="EUR",W408,(W408*'Master Data-C19RM'!$D$2))))))</f>
        <v>0</v>
      </c>
      <c r="BQ408" s="470">
        <f>IF(N408="",0,IF(SETUP!$E$7="USD",((IF(O408="USD",AD408,(AD408/'Master Data-C19RM'!$E$2)))),((IF(O408="EUR",AD408,(AD408*'Master Data-C19RM'!$E$2))))))</f>
        <v>0</v>
      </c>
      <c r="BR408" s="470">
        <f>IF(N408="",0,IF(SETUP!$E$7="USD",((IF(O408="USD",AK408,(AK408/'Master Data-C19RM'!$F$2)))),((IF(O408="EUR",AK408,(AK408*'Master Data-C19RM'!$F$2))))))</f>
        <v>0</v>
      </c>
      <c r="BS408" s="470">
        <f>IF(N408="",0,IF(SETUP!$E$7="USD",((IF(O408="USD",AR408,(AR408/'Master Data-C19RM'!$G$2)))),((IF(O408="EUR",AR408,(AR408*'Master Data-C19RM'!$G$2))))))</f>
        <v>0</v>
      </c>
      <c r="BT408" s="470">
        <f>IF(N408="",0,IF(SETUP!$E$7="USD",((IF(O408="USD",AY408,(AY408/'Master Data-C19RM'!$H$2)))),((IF(O408="EUR",AY408,(AY408*'Master Data-C19RM'!$H$2))))))</f>
        <v>0</v>
      </c>
      <c r="BU408" s="448">
        <f t="shared" si="51"/>
        <v>0</v>
      </c>
      <c r="BV408" s="562">
        <f t="shared" si="52"/>
        <v>0</v>
      </c>
      <c r="BW408" s="470"/>
      <c r="BX408" s="470"/>
      <c r="BY408" s="470"/>
      <c r="BZ408" s="470"/>
      <c r="CA408" s="470"/>
      <c r="CB408" s="470"/>
      <c r="CC408" s="470"/>
      <c r="CD408" s="470"/>
      <c r="CE408" s="470"/>
      <c r="CF408" s="470"/>
      <c r="CG408" s="470"/>
      <c r="CH408" s="470"/>
      <c r="CI408" s="470"/>
      <c r="CJ408" s="470"/>
      <c r="CK408" s="470"/>
      <c r="CL408" s="470"/>
      <c r="CM408" s="470"/>
      <c r="CN408" s="470"/>
      <c r="CO408" s="470"/>
      <c r="CP408" s="470"/>
    </row>
    <row r="409" spans="1:94" s="448" customFormat="1" ht="14" x14ac:dyDescent="0.3">
      <c r="A409" s="1200"/>
      <c r="B409" s="1201"/>
      <c r="C409" s="1201"/>
      <c r="D409" s="1202"/>
      <c r="E409" s="1166"/>
      <c r="F409" s="1166"/>
      <c r="G409" s="1166"/>
      <c r="H409" s="1166"/>
      <c r="I409" s="1166"/>
      <c r="J409" s="1166"/>
      <c r="K409" s="1166"/>
      <c r="L409" s="490" t="str" cm="1">
        <f t="array" ref="L409">IF(A409&lt;&gt;"",IFERROR(INDEX(PMtbl[[WKst]:[Unit of measure*]],MATCH($A$330&amp;$A409&amp;$E409&amp;$I409,INDEX(PMtbl[Sec]&amp;PMtbl[Category]&amp;PMtbl[Each]&amp;PMtbl[Packaging],0,),0),14),""),"")</f>
        <v/>
      </c>
      <c r="M409" s="479" t="str">
        <f>IF(L409="","",INDEX(SETUP!$E$20:$E$122,(MATCH(INDEX(PMsheet!$D:$E,MATCH(A409,PMsheet!E:E,0),1),SETUP!$D$20:$D$122,0))))</f>
        <v/>
      </c>
      <c r="N409" s="491">
        <f>IF($O409="USD",_xlfn.IFNA(VLOOKUP(A409&amp;E409&amp;I409,PMsheet!J:K,2,0),0),(_xlfn.IFNA(VLOOKUP(A409&amp;E409&amp;I409,PMsheet!J:K,2,0),0)*'Master Data-C19RM'!$C$2))</f>
        <v>0</v>
      </c>
      <c r="O409" s="492" t="str">
        <f>IF(L409="", "",SETUP!$E$7)</f>
        <v/>
      </c>
      <c r="P409" s="444">
        <f>IF($O409="USD",_xlfn.IFNA(VLOOKUP($A409&amp;$E409&amp;$I409,PMsheet!$J:$K,2,0),0),(_xlfn.IFNA(VLOOKUP($A409&amp;$E409&amp;$I409,PMsheet!$J:$K,2,0),0)*'Master Data-C19RM'!$C$2))</f>
        <v>0</v>
      </c>
      <c r="Q409" s="441"/>
      <c r="R409" s="441"/>
      <c r="S409" s="441"/>
      <c r="T409" s="441"/>
      <c r="U409" s="481">
        <f t="shared" si="44"/>
        <v>0</v>
      </c>
      <c r="V409" s="483">
        <f>IF(SETUP!$E$7="USD",(U409*(IF(O409="USD",P409,(P409/'Master Data-C19RM'!$C$2)))),(U409*(IF(O409="EUR",P409,(P409*'Master Data-C19RM'!$C$2)))))</f>
        <v>0</v>
      </c>
      <c r="W409" s="444">
        <f>IF($O409="USD",_xlfn.IFNA(VLOOKUP($A409&amp;$E409&amp;$I409,PMsheet!$J:$K,2,0),0),(_xlfn.IFNA(VLOOKUP($A409&amp;$E409&amp;$I409,PMsheet!$J:$K,2,0),0)*'Master Data-C19RM'!$D$2))</f>
        <v>0</v>
      </c>
      <c r="X409" s="441"/>
      <c r="Y409" s="441"/>
      <c r="Z409" s="441"/>
      <c r="AA409" s="441"/>
      <c r="AB409" s="481">
        <f t="shared" si="47"/>
        <v>0</v>
      </c>
      <c r="AC409" s="483">
        <f>IF(SETUP!$E$7="USD",(AB409*(IF(O409="USD",W409,(W409/'Master Data-C19RM'!$D$2)))),(AB409*(IF(O409="EUR",W409,(W409*'Master Data-C19RM'!$D$2)))))</f>
        <v>0</v>
      </c>
      <c r="AD409" s="444">
        <f>IF($O409="USD",_xlfn.IFNA(VLOOKUP($A409&amp;$E409&amp;$I409,PMsheet!$J:$K,2,0),0),(_xlfn.IFNA(VLOOKUP($A409&amp;$E409&amp;$I409,PMsheet!$J:$K,2,0),0)*'Master Data-C19RM'!$E$2))</f>
        <v>0</v>
      </c>
      <c r="AE409" s="441"/>
      <c r="AF409" s="441"/>
      <c r="AG409" s="441"/>
      <c r="AH409" s="441"/>
      <c r="AI409" s="512">
        <f t="shared" si="48"/>
        <v>0</v>
      </c>
      <c r="AJ409" s="513">
        <f>IF(SETUP!$E$7="USD",(AI409*(IF(O409="USD",AD409,(AD409/'Master Data-C19RM'!$E$2)))),(AI409*(IF(O409="EUR",AD409,(AD409*'Master Data-C19RM'!$E$2)))))</f>
        <v>0</v>
      </c>
      <c r="AK409" s="444">
        <f>IF($O409="USD",_xlfn.IFNA(VLOOKUP($A409&amp;$E409&amp;$I409,PMsheet!$J:$K,2,0),0),(_xlfn.IFNA(VLOOKUP($A409&amp;$E409&amp;$I409,PMsheet!$J:$K,2,0),0)*'Master Data-C19RM'!$F$2))</f>
        <v>0</v>
      </c>
      <c r="AL409" s="441"/>
      <c r="AM409" s="441"/>
      <c r="AN409" s="441"/>
      <c r="AO409" s="441"/>
      <c r="AP409" s="512">
        <f t="shared" si="49"/>
        <v>0</v>
      </c>
      <c r="AQ409" s="513">
        <f>IF(SETUP!$E$7="USD",(AP409*(IF(O409="USD",AK409,(AK409/'Master Data-C19RM'!$F$2)))),(AP409*(IF(O409="EUR",AK409,(AK409*'Master Data-C19RM'!$F$2)))))</f>
        <v>0</v>
      </c>
      <c r="AR409" s="924">
        <f>IF($O409="USD",_xlfn.IFNA(VLOOKUP($A409&amp;$E409&amp;$I409,PMsheet!$J:$K,2,0),0),(_xlfn.IFNA(VLOOKUP($A409&amp;$E409&amp;$I409,PMsheet!$J:$K,2,0),0)*'Master Data-C19RM'!$G$2))</f>
        <v>0</v>
      </c>
      <c r="AS409" s="572"/>
      <c r="AT409" s="572"/>
      <c r="AU409" s="572"/>
      <c r="AV409" s="572"/>
      <c r="AW409" s="512">
        <f t="shared" si="53"/>
        <v>0</v>
      </c>
      <c r="AX409" s="512">
        <f>IF(SETUP!$E$7="USD",(AW409*(IF(O409="USD",AR409,(AR409/'Master Data-C19RM'!$G$2)))),(AW409*(IF(O409="EUR",AR409,(AR409*'Master Data-C19RM'!$G$2)))))</f>
        <v>0</v>
      </c>
      <c r="AY409" s="845"/>
      <c r="AZ409" s="846"/>
      <c r="BA409" s="846"/>
      <c r="BB409" s="846"/>
      <c r="BC409" s="846"/>
      <c r="BD409" s="846"/>
      <c r="BE409" s="847"/>
      <c r="BF409" s="520">
        <f>'C19RM 2021-Lab &amp; Other HPS'!$U409+'C19RM 2021-Lab &amp; Other HPS'!$AB409+'C19RM 2021-Lab &amp; Other HPS'!$AP409+'C19RM 2021-Lab &amp; Other HPS'!$AI409+AW409+BD409</f>
        <v>0</v>
      </c>
      <c r="BG409" s="513">
        <f>'C19RM 2021-Lab &amp; Other HPS'!$V409+'C19RM 2021-Lab &amp; Other HPS'!$AC409+'C19RM 2021-Lab &amp; Other HPS'!$AQ409+'C19RM 2021-Lab &amp; Other HPS'!$AJ409+AX409+BE409</f>
        <v>0</v>
      </c>
      <c r="BH409" s="500" t="str" cm="1">
        <f t="array" ref="BH409">IF(A409&lt;&gt;"",IFERROR(INDEX(PMtbl[[WKst]:[Unit of measure*]],MATCH($A$330&amp;$A409&amp;$E409&amp;$I409,INDEX(PMtbl[Sec]&amp;PMtbl[Category]&amp;PMtbl[Each]&amp;PMtbl[Packaging],0,),0),11),""),"")</f>
        <v/>
      </c>
      <c r="BI409" s="819"/>
      <c r="BJ409" s="502" t="str" cm="1">
        <f t="array" ref="BJ409">IFERROR(INDEX(SETUP!$C$19:$G$121,MATCH((INDEX(PMtbl[[WKst]:[Unit of measure*]],MATCH($A409&amp;$E409&amp;$I409,INDEX(PMtbl[Category]&amp;PMtbl[Each]&amp;PMtbl[Packaging],0,),0),3)),SETUP!$D$19:$D$121,0),5),"")</f>
        <v/>
      </c>
      <c r="BK409" s="568"/>
      <c r="BL409" s="563"/>
      <c r="BO409" s="448">
        <f>IF(N409="",0,IF(SETUP!$E$7="USD",((IF(O409="USD",P409,(P409/'Master Data-C19RM'!$C$2)))),((IF(O409="EUR",P409,(P409*'Master Data-C19RM'!$C$2))))))</f>
        <v>0</v>
      </c>
      <c r="BP409" s="448">
        <f>IF(N409="",0,IF(SETUP!$E$7="USD",((IF(O409="USD",W409,(W409/'Master Data-C19RM'!$D$2)))),((IF(O409="EUR",W409,(W409*'Master Data-C19RM'!$D$2))))))</f>
        <v>0</v>
      </c>
      <c r="BQ409" s="470">
        <f>IF(N409="",0,IF(SETUP!$E$7="USD",((IF(O409="USD",AD409,(AD409/'Master Data-C19RM'!$E$2)))),((IF(O409="EUR",AD409,(AD409*'Master Data-C19RM'!$E$2))))))</f>
        <v>0</v>
      </c>
      <c r="BR409" s="470">
        <f>IF(N409="",0,IF(SETUP!$E$7="USD",((IF(O409="USD",AK409,(AK409/'Master Data-C19RM'!$F$2)))),((IF(O409="EUR",AK409,(AK409*'Master Data-C19RM'!$F$2))))))</f>
        <v>0</v>
      </c>
      <c r="BS409" s="470">
        <f>IF(N409="",0,IF(SETUP!$E$7="USD",((IF(O409="USD",AR409,(AR409/'Master Data-C19RM'!$G$2)))),((IF(O409="EUR",AR409,(AR409*'Master Data-C19RM'!$G$2))))))</f>
        <v>0</v>
      </c>
      <c r="BT409" s="470">
        <f>IF(N409="",0,IF(SETUP!$E$7="USD",((IF(O409="USD",AY409,(AY409/'Master Data-C19RM'!$H$2)))),((IF(O409="EUR",AY409,(AY409*'Master Data-C19RM'!$H$2))))))</f>
        <v>0</v>
      </c>
      <c r="BU409" s="448">
        <f t="shared" si="51"/>
        <v>0</v>
      </c>
      <c r="BV409" s="562">
        <f t="shared" si="52"/>
        <v>0</v>
      </c>
      <c r="BW409" s="470"/>
      <c r="BX409" s="470"/>
      <c r="BY409" s="470"/>
      <c r="BZ409" s="470"/>
      <c r="CA409" s="470"/>
      <c r="CB409" s="470"/>
      <c r="CC409" s="470"/>
      <c r="CD409" s="470"/>
      <c r="CE409" s="470"/>
      <c r="CF409" s="470"/>
      <c r="CG409" s="470"/>
      <c r="CH409" s="470"/>
      <c r="CI409" s="470"/>
      <c r="CJ409" s="470"/>
      <c r="CK409" s="470"/>
      <c r="CL409" s="470"/>
      <c r="CM409" s="470"/>
      <c r="CN409" s="470"/>
      <c r="CO409" s="470"/>
      <c r="CP409" s="470"/>
    </row>
    <row r="410" spans="1:94" s="448" customFormat="1" ht="14" x14ac:dyDescent="0.3">
      <c r="A410" s="1197"/>
      <c r="B410" s="1198"/>
      <c r="C410" s="1198"/>
      <c r="D410" s="1199"/>
      <c r="E410" s="1173"/>
      <c r="F410" s="1173"/>
      <c r="G410" s="1173"/>
      <c r="H410" s="1173"/>
      <c r="I410" s="1173"/>
      <c r="J410" s="1173"/>
      <c r="K410" s="1173"/>
      <c r="L410" s="493" t="str" cm="1">
        <f t="array" ref="L410">IF(A410&lt;&gt;"",IFERROR(INDEX(PMtbl[[WKst]:[Unit of measure*]],MATCH($A$330&amp;$A410&amp;$E410&amp;$I410,INDEX(PMtbl[Sec]&amp;PMtbl[Category]&amp;PMtbl[Each]&amp;PMtbl[Packaging],0,),0),14),""),"")</f>
        <v/>
      </c>
      <c r="M410" s="480" t="str">
        <f>IF(L410="","",INDEX(SETUP!$E$20:$E$122,(MATCH(INDEX(PMsheet!$D:$E,MATCH(A410,PMsheet!E:E,0),1),SETUP!$D$20:$D$122,0))))</f>
        <v/>
      </c>
      <c r="N410" s="494">
        <f>IF($O410="USD",_xlfn.IFNA(VLOOKUP(A410&amp;E410&amp;I410,PMsheet!J:K,2,0),0),(_xlfn.IFNA(VLOOKUP(A410&amp;E410&amp;I410,PMsheet!J:K,2,0),0)*'Master Data-C19RM'!$C$2))</f>
        <v>0</v>
      </c>
      <c r="O410" s="495" t="str">
        <f>IF(L410="", "",SETUP!$E$7)</f>
        <v/>
      </c>
      <c r="P410" s="445">
        <f>IF($O410="USD",_xlfn.IFNA(VLOOKUP($A410&amp;$E410&amp;$I410,PMsheet!$J:$K,2,0),0),(_xlfn.IFNA(VLOOKUP($A410&amp;$E410&amp;$I410,PMsheet!$J:$K,2,0),0)*'Master Data-C19RM'!$C$2))</f>
        <v>0</v>
      </c>
      <c r="Q410" s="440"/>
      <c r="R410" s="440"/>
      <c r="S410" s="440"/>
      <c r="T410" s="440"/>
      <c r="U410" s="482">
        <f t="shared" si="44"/>
        <v>0</v>
      </c>
      <c r="V410" s="484">
        <f>IF(SETUP!$E$7="USD",(U410*(IF(O410="USD",P410,(P410/'Master Data-C19RM'!$C$2)))),(U410*(IF(O410="EUR",P410,(P410*'Master Data-C19RM'!$C$2)))))</f>
        <v>0</v>
      </c>
      <c r="W410" s="445">
        <f>IF($O410="USD",_xlfn.IFNA(VLOOKUP($A410&amp;$E410&amp;$I410,PMsheet!$J:$K,2,0),0),(_xlfn.IFNA(VLOOKUP($A410&amp;$E410&amp;$I410,PMsheet!$J:$K,2,0),0)*'Master Data-C19RM'!$D$2))</f>
        <v>0</v>
      </c>
      <c r="X410" s="440"/>
      <c r="Y410" s="440"/>
      <c r="Z410" s="440"/>
      <c r="AA410" s="440"/>
      <c r="AB410" s="482">
        <f t="shared" si="47"/>
        <v>0</v>
      </c>
      <c r="AC410" s="484">
        <f>IF(SETUP!$E$7="USD",(AB410*(IF(O410="USD",W410,(W410/'Master Data-C19RM'!$D$2)))),(AB410*(IF(O410="EUR",W410,(W410*'Master Data-C19RM'!$D$2)))))</f>
        <v>0</v>
      </c>
      <c r="AD410" s="445">
        <f>IF($O410="USD",_xlfn.IFNA(VLOOKUP($A410&amp;$E410&amp;$I410,PMsheet!$J:$K,2,0),0),(_xlfn.IFNA(VLOOKUP($A410&amp;$E410&amp;$I410,PMsheet!$J:$K,2,0),0)*'Master Data-C19RM'!$E$2))</f>
        <v>0</v>
      </c>
      <c r="AE410" s="440"/>
      <c r="AF410" s="440"/>
      <c r="AG410" s="440"/>
      <c r="AH410" s="440"/>
      <c r="AI410" s="514">
        <f t="shared" si="48"/>
        <v>0</v>
      </c>
      <c r="AJ410" s="515">
        <f>IF(SETUP!$E$7="USD",(AI410*(IF(O410="USD",AD410,(AD410/'Master Data-C19RM'!$E$2)))),(AI410*(IF(O410="EUR",AD410,(AD410*'Master Data-C19RM'!$E$2)))))</f>
        <v>0</v>
      </c>
      <c r="AK410" s="445">
        <f>IF($O410="USD",_xlfn.IFNA(VLOOKUP($A410&amp;$E410&amp;$I410,PMsheet!$J:$K,2,0),0),(_xlfn.IFNA(VLOOKUP($A410&amp;$E410&amp;$I410,PMsheet!$J:$K,2,0),0)*'Master Data-C19RM'!$F$2))</f>
        <v>0</v>
      </c>
      <c r="AL410" s="440"/>
      <c r="AM410" s="440"/>
      <c r="AN410" s="440"/>
      <c r="AO410" s="440"/>
      <c r="AP410" s="514">
        <f t="shared" si="49"/>
        <v>0</v>
      </c>
      <c r="AQ410" s="515">
        <f>IF(SETUP!$E$7="USD",(AP410*(IF(O410="USD",AK410,(AK410/'Master Data-C19RM'!$F$2)))),(AP410*(IF(O410="EUR",AK410,(AK410*'Master Data-C19RM'!$F$2)))))</f>
        <v>0</v>
      </c>
      <c r="AR410" s="925">
        <f>IF($O410="USD",_xlfn.IFNA(VLOOKUP($A410&amp;$E410&amp;$I410,PMsheet!$J:$K,2,0),0),(_xlfn.IFNA(VLOOKUP($A410&amp;$E410&amp;$I410,PMsheet!$J:$K,2,0),0)*'Master Data-C19RM'!$G$2))</f>
        <v>0</v>
      </c>
      <c r="AS410" s="926"/>
      <c r="AT410" s="926"/>
      <c r="AU410" s="926"/>
      <c r="AV410" s="926"/>
      <c r="AW410" s="514">
        <f t="shared" si="53"/>
        <v>0</v>
      </c>
      <c r="AX410" s="514">
        <f>IF(SETUP!$E$7="USD",(AW410*(IF(O410="USD",AR410,(AR410/'Master Data-C19RM'!$G$2)))),(AW410*(IF(O410="EUR",AR410,(AR410*'Master Data-C19RM'!$G$2)))))</f>
        <v>0</v>
      </c>
      <c r="AY410" s="845"/>
      <c r="AZ410" s="846"/>
      <c r="BA410" s="846"/>
      <c r="BB410" s="846"/>
      <c r="BC410" s="846"/>
      <c r="BD410" s="846"/>
      <c r="BE410" s="847"/>
      <c r="BF410" s="521">
        <f>'C19RM 2021-Lab &amp; Other HPS'!$U410+'C19RM 2021-Lab &amp; Other HPS'!$AB410+'C19RM 2021-Lab &amp; Other HPS'!$AP410+'C19RM 2021-Lab &amp; Other HPS'!$AI410+AW410+BD410</f>
        <v>0</v>
      </c>
      <c r="BG410" s="515">
        <f>'C19RM 2021-Lab &amp; Other HPS'!$V410+'C19RM 2021-Lab &amp; Other HPS'!$AC410+'C19RM 2021-Lab &amp; Other HPS'!$AQ410+'C19RM 2021-Lab &amp; Other HPS'!$AJ410+AX410+BE410</f>
        <v>0</v>
      </c>
      <c r="BH410" s="522" t="str" cm="1">
        <f t="array" ref="BH410">IF(A410&lt;&gt;"",IFERROR(INDEX(PMtbl[[WKst]:[Unit of measure*]],MATCH($A$330&amp;$A410&amp;$E410&amp;$I410,INDEX(PMtbl[Sec]&amp;PMtbl[Category]&amp;PMtbl[Each]&amp;PMtbl[Packaging],0,),0),11),""),"")</f>
        <v/>
      </c>
      <c r="BI410" s="818"/>
      <c r="BJ410" s="503" t="str" cm="1">
        <f t="array" ref="BJ410">IFERROR(INDEX(SETUP!$C$19:$G$121,MATCH((INDEX(PMtbl[[WKst]:[Unit of measure*]],MATCH($A410&amp;$E410&amp;$I410,INDEX(PMtbl[Category]&amp;PMtbl[Each]&amp;PMtbl[Packaging],0,),0),3)),SETUP!$D$19:$D$121,0),5),"")</f>
        <v/>
      </c>
      <c r="BK410" s="569"/>
      <c r="BL410" s="564"/>
      <c r="BO410" s="448">
        <f>IF(N410="",0,IF(SETUP!$E$7="USD",((IF(O410="USD",P410,(P410/'Master Data-C19RM'!$C$2)))),((IF(O410="EUR",P410,(P410*'Master Data-C19RM'!$C$2))))))</f>
        <v>0</v>
      </c>
      <c r="BP410" s="448">
        <f>IF(N410="",0,IF(SETUP!$E$7="USD",((IF(O410="USD",W410,(W410/'Master Data-C19RM'!$D$2)))),((IF(O410="EUR",W410,(W410*'Master Data-C19RM'!$D$2))))))</f>
        <v>0</v>
      </c>
      <c r="BQ410" s="470">
        <f>IF(N410="",0,IF(SETUP!$E$7="USD",((IF(O410="USD",AD410,(AD410/'Master Data-C19RM'!$E$2)))),((IF(O410="EUR",AD410,(AD410*'Master Data-C19RM'!$E$2))))))</f>
        <v>0</v>
      </c>
      <c r="BR410" s="470">
        <f>IF(N410="",0,IF(SETUP!$E$7="USD",((IF(O410="USD",AK410,(AK410/'Master Data-C19RM'!$F$2)))),((IF(O410="EUR",AK410,(AK410*'Master Data-C19RM'!$F$2))))))</f>
        <v>0</v>
      </c>
      <c r="BS410" s="470">
        <f>IF(N410="",0,IF(SETUP!$E$7="USD",((IF(O410="USD",AR410,(AR410/'Master Data-C19RM'!$G$2)))),((IF(O410="EUR",AR410,(AR410*'Master Data-C19RM'!$G$2))))))</f>
        <v>0</v>
      </c>
      <c r="BT410" s="470">
        <f>IF(N410="",0,IF(SETUP!$E$7="USD",((IF(O410="USD",AY410,(AY410/'Master Data-C19RM'!$H$2)))),((IF(O410="EUR",AY410,(AY410*'Master Data-C19RM'!$H$2))))))</f>
        <v>0</v>
      </c>
      <c r="BU410" s="448">
        <f t="shared" si="51"/>
        <v>0</v>
      </c>
      <c r="BV410" s="562">
        <f t="shared" si="52"/>
        <v>0</v>
      </c>
      <c r="BW410" s="470"/>
      <c r="BX410" s="470"/>
      <c r="BY410" s="470"/>
      <c r="BZ410" s="470"/>
      <c r="CA410" s="470"/>
      <c r="CB410" s="470"/>
      <c r="CC410" s="470"/>
      <c r="CD410" s="470"/>
      <c r="CE410" s="470"/>
      <c r="CF410" s="470"/>
      <c r="CG410" s="470"/>
      <c r="CH410" s="470"/>
      <c r="CI410" s="470"/>
      <c r="CJ410" s="470"/>
      <c r="CK410" s="470"/>
      <c r="CL410" s="470"/>
      <c r="CM410" s="470"/>
      <c r="CN410" s="470"/>
      <c r="CO410" s="470"/>
      <c r="CP410" s="470"/>
    </row>
    <row r="411" spans="1:94" s="448" customFormat="1" ht="14" x14ac:dyDescent="0.3">
      <c r="A411" s="1165"/>
      <c r="B411" s="1165"/>
      <c r="C411" s="1165"/>
      <c r="D411" s="1165"/>
      <c r="E411" s="1166"/>
      <c r="F411" s="1166"/>
      <c r="G411" s="1166"/>
      <c r="H411" s="1166"/>
      <c r="I411" s="1166"/>
      <c r="J411" s="1166"/>
      <c r="K411" s="1166"/>
      <c r="L411" s="490" t="str" cm="1">
        <f t="array" ref="L411">IF(A411&lt;&gt;"",IFERROR(INDEX(PMtbl[[WKst]:[Unit of measure*]],MATCH($A$330&amp;$A411&amp;$E411&amp;$I411,INDEX(PMtbl[Sec]&amp;PMtbl[Category]&amp;PMtbl[Each]&amp;PMtbl[Packaging],0,),0),14),""),"")</f>
        <v/>
      </c>
      <c r="M411" s="479" t="str">
        <f>IF(L411="","",INDEX(SETUP!$E$20:$E$122,(MATCH(INDEX(PMsheet!$D:$E,MATCH(A411,PMsheet!E:E,0),1),SETUP!$D$20:$D$122,0))))</f>
        <v/>
      </c>
      <c r="N411" s="491">
        <f>IF($O411="USD",_xlfn.IFNA(VLOOKUP(A411&amp;E411&amp;I411,PMsheet!J:K,2,0),0),(_xlfn.IFNA(VLOOKUP(A411&amp;E411&amp;I411,PMsheet!J:K,2,0),0)*'Master Data-C19RM'!$C$2))</f>
        <v>0</v>
      </c>
      <c r="O411" s="492" t="str">
        <f>IF(L411="", "",SETUP!$E$7)</f>
        <v/>
      </c>
      <c r="P411" s="444">
        <f>IF($O411="USD",_xlfn.IFNA(VLOOKUP($A411&amp;$E411&amp;$I411,PMsheet!$J:$K,2,0),0),(_xlfn.IFNA(VLOOKUP($A411&amp;$E411&amp;$I411,PMsheet!$J:$K,2,0),0)*'Master Data-C19RM'!$C$2))</f>
        <v>0</v>
      </c>
      <c r="Q411" s="441"/>
      <c r="R411" s="441"/>
      <c r="S411" s="441"/>
      <c r="T411" s="441"/>
      <c r="U411" s="481">
        <f t="shared" si="44"/>
        <v>0</v>
      </c>
      <c r="V411" s="483">
        <f>IF(SETUP!$E$7="USD",(U411*(IF(O411="USD",P411,(P411/'Master Data-C19RM'!$C$2)))),(U411*(IF(O411="EUR",P411,(P411*'Master Data-C19RM'!$C$2)))))</f>
        <v>0</v>
      </c>
      <c r="W411" s="444">
        <f>IF($O411="USD",_xlfn.IFNA(VLOOKUP($A411&amp;$E411&amp;$I411,PMsheet!$J:$K,2,0),0),(_xlfn.IFNA(VLOOKUP($A411&amp;$E411&amp;$I411,PMsheet!$J:$K,2,0),0)*'Master Data-C19RM'!$D$2))</f>
        <v>0</v>
      </c>
      <c r="X411" s="441"/>
      <c r="Y411" s="441"/>
      <c r="Z411" s="441"/>
      <c r="AA411" s="441"/>
      <c r="AB411" s="481">
        <f t="shared" si="47"/>
        <v>0</v>
      </c>
      <c r="AC411" s="483">
        <f>IF(SETUP!$E$7="USD",(AB411*(IF(O411="USD",W411,(W411/'Master Data-C19RM'!$D$2)))),(AB411*(IF(O411="EUR",W411,(W411*'Master Data-C19RM'!$D$2)))))</f>
        <v>0</v>
      </c>
      <c r="AD411" s="444">
        <f>IF($O411="USD",_xlfn.IFNA(VLOOKUP($A411&amp;$E411&amp;$I411,PMsheet!$J:$K,2,0),0),(_xlfn.IFNA(VLOOKUP($A411&amp;$E411&amp;$I411,PMsheet!$J:$K,2,0),0)*'Master Data-C19RM'!$E$2))</f>
        <v>0</v>
      </c>
      <c r="AE411" s="441"/>
      <c r="AF411" s="441"/>
      <c r="AG411" s="441"/>
      <c r="AH411" s="441"/>
      <c r="AI411" s="512">
        <f t="shared" si="48"/>
        <v>0</v>
      </c>
      <c r="AJ411" s="513">
        <f>IF(SETUP!$E$7="USD",(AI411*(IF(O411="USD",AD411,(AD411/'Master Data-C19RM'!$E$2)))),(AI411*(IF(O411="EUR",AD411,(AD411*'Master Data-C19RM'!$E$2)))))</f>
        <v>0</v>
      </c>
      <c r="AK411" s="444">
        <f>IF($O411="USD",_xlfn.IFNA(VLOOKUP($A411&amp;$E411&amp;$I411,PMsheet!$J:$K,2,0),0),(_xlfn.IFNA(VLOOKUP($A411&amp;$E411&amp;$I411,PMsheet!$J:$K,2,0),0)*'Master Data-C19RM'!$F$2))</f>
        <v>0</v>
      </c>
      <c r="AL411" s="441"/>
      <c r="AM411" s="441"/>
      <c r="AN411" s="441"/>
      <c r="AO411" s="441"/>
      <c r="AP411" s="512">
        <f t="shared" si="49"/>
        <v>0</v>
      </c>
      <c r="AQ411" s="513">
        <f>IF(SETUP!$E$7="USD",(AP411*(IF(O411="USD",AK411,(AK411/'Master Data-C19RM'!$F$2)))),(AP411*(IF(O411="EUR",AK411,(AK411*'Master Data-C19RM'!$F$2)))))</f>
        <v>0</v>
      </c>
      <c r="AR411" s="924">
        <f>IF($O411="USD",_xlfn.IFNA(VLOOKUP($A411&amp;$E411&amp;$I411,PMsheet!$J:$K,2,0),0),(_xlfn.IFNA(VLOOKUP($A411&amp;$E411&amp;$I411,PMsheet!$J:$K,2,0),0)*'Master Data-C19RM'!$G$2))</f>
        <v>0</v>
      </c>
      <c r="AS411" s="572"/>
      <c r="AT411" s="572"/>
      <c r="AU411" s="572"/>
      <c r="AV411" s="572"/>
      <c r="AW411" s="512">
        <f t="shared" si="53"/>
        <v>0</v>
      </c>
      <c r="AX411" s="512">
        <f>IF(SETUP!$E$7="USD",(AW411*(IF(O411="USD",AR411,(AR411/'Master Data-C19RM'!$G$2)))),(AW411*(IF(O411="EUR",AR411,(AR411*'Master Data-C19RM'!$G$2)))))</f>
        <v>0</v>
      </c>
      <c r="AY411" s="845"/>
      <c r="AZ411" s="846"/>
      <c r="BA411" s="846"/>
      <c r="BB411" s="846"/>
      <c r="BC411" s="846"/>
      <c r="BD411" s="846"/>
      <c r="BE411" s="847"/>
      <c r="BF411" s="520">
        <f>'C19RM 2021-Lab &amp; Other HPS'!$U411+'C19RM 2021-Lab &amp; Other HPS'!$AB411+'C19RM 2021-Lab &amp; Other HPS'!$AP411+'C19RM 2021-Lab &amp; Other HPS'!$AI411+AW411+BD411</f>
        <v>0</v>
      </c>
      <c r="BG411" s="513">
        <f>'C19RM 2021-Lab &amp; Other HPS'!$V411+'C19RM 2021-Lab &amp; Other HPS'!$AC411+'C19RM 2021-Lab &amp; Other HPS'!$AQ411+'C19RM 2021-Lab &amp; Other HPS'!$AJ411+AX411+BE411</f>
        <v>0</v>
      </c>
      <c r="BH411" s="500" t="str" cm="1">
        <f t="array" ref="BH411">IF(A411&lt;&gt;"",IFERROR(INDEX(PMtbl[[WKst]:[Unit of measure*]],MATCH($A$330&amp;$A411&amp;$E411&amp;$I411,INDEX(PMtbl[Sec]&amp;PMtbl[Category]&amp;PMtbl[Each]&amp;PMtbl[Packaging],0,),0),11),""),"")</f>
        <v/>
      </c>
      <c r="BI411" s="819"/>
      <c r="BJ411" s="502" t="str" cm="1">
        <f t="array" ref="BJ411">IFERROR(INDEX(SETUP!$C$19:$G$121,MATCH((INDEX(PMtbl[[WKst]:[Unit of measure*]],MATCH($A411&amp;$E411&amp;$I411,INDEX(PMtbl[Category]&amp;PMtbl[Each]&amp;PMtbl[Packaging],0,),0),3)),SETUP!$D$19:$D$121,0),5),"")</f>
        <v/>
      </c>
      <c r="BK411" s="568"/>
      <c r="BL411" s="563"/>
      <c r="BO411" s="448">
        <f>IF(N411="",0,IF(SETUP!$E$7="USD",((IF(O411="USD",P411,(P411/'Master Data-C19RM'!$C$2)))),((IF(O411="EUR",P411,(P411*'Master Data-C19RM'!$C$2))))))</f>
        <v>0</v>
      </c>
      <c r="BP411" s="448">
        <f>IF(N411="",0,IF(SETUP!$E$7="USD",((IF(O411="USD",W411,(W411/'Master Data-C19RM'!$D$2)))),((IF(O411="EUR",W411,(W411*'Master Data-C19RM'!$D$2))))))</f>
        <v>0</v>
      </c>
      <c r="BQ411" s="470">
        <f>IF(N411="",0,IF(SETUP!$E$7="USD",((IF(O411="USD",AD411,(AD411/'Master Data-C19RM'!$E$2)))),((IF(O411="EUR",AD411,(AD411*'Master Data-C19RM'!$E$2))))))</f>
        <v>0</v>
      </c>
      <c r="BR411" s="470">
        <f>IF(N411="",0,IF(SETUP!$E$7="USD",((IF(O411="USD",AK411,(AK411/'Master Data-C19RM'!$F$2)))),((IF(O411="EUR",AK411,(AK411*'Master Data-C19RM'!$F$2))))))</f>
        <v>0</v>
      </c>
      <c r="BS411" s="470">
        <f>IF(N411="",0,IF(SETUP!$E$7="USD",((IF(O411="USD",AR411,(AR411/'Master Data-C19RM'!$G$2)))),((IF(O411="EUR",AR411,(AR411*'Master Data-C19RM'!$G$2))))))</f>
        <v>0</v>
      </c>
      <c r="BT411" s="470">
        <f>IF(N411="",0,IF(SETUP!$E$7="USD",((IF(O411="USD",AY411,(AY411/'Master Data-C19RM'!$H$2)))),((IF(O411="EUR",AY411,(AY411*'Master Data-C19RM'!$H$2))))))</f>
        <v>0</v>
      </c>
      <c r="BU411" s="448">
        <f t="shared" si="51"/>
        <v>0</v>
      </c>
      <c r="BV411" s="562">
        <f t="shared" si="52"/>
        <v>0</v>
      </c>
      <c r="BW411" s="470"/>
      <c r="BX411" s="470"/>
      <c r="BY411" s="470"/>
      <c r="BZ411" s="470"/>
      <c r="CA411" s="470"/>
      <c r="CB411" s="470"/>
      <c r="CC411" s="470"/>
      <c r="CD411" s="470"/>
      <c r="CE411" s="470"/>
      <c r="CF411" s="470"/>
      <c r="CG411" s="470"/>
      <c r="CH411" s="470"/>
      <c r="CI411" s="470"/>
      <c r="CJ411" s="470"/>
      <c r="CK411" s="470"/>
      <c r="CL411" s="470"/>
      <c r="CM411" s="470"/>
      <c r="CN411" s="470"/>
      <c r="CO411" s="470"/>
      <c r="CP411" s="470"/>
    </row>
    <row r="412" spans="1:94" s="448" customFormat="1" ht="14" x14ac:dyDescent="0.3">
      <c r="A412" s="1197"/>
      <c r="B412" s="1198"/>
      <c r="C412" s="1198"/>
      <c r="D412" s="1199"/>
      <c r="E412" s="1173"/>
      <c r="F412" s="1173"/>
      <c r="G412" s="1173"/>
      <c r="H412" s="1173"/>
      <c r="I412" s="1173"/>
      <c r="J412" s="1173"/>
      <c r="K412" s="1173"/>
      <c r="L412" s="493" t="str" cm="1">
        <f t="array" ref="L412">IF(A412&lt;&gt;"",IFERROR(INDEX(PMtbl[[WKst]:[Unit of measure*]],MATCH($A$330&amp;$A412&amp;$E412&amp;$I412,INDEX(PMtbl[Sec]&amp;PMtbl[Category]&amp;PMtbl[Each]&amp;PMtbl[Packaging],0,),0),14),""),"")</f>
        <v/>
      </c>
      <c r="M412" s="480" t="str">
        <f>IF(L412="","",INDEX(SETUP!$E$20:$E$122,(MATCH(INDEX(PMsheet!$D:$E,MATCH(A412,PMsheet!E:E,0),1),SETUP!$D$20:$D$122,0))))</f>
        <v/>
      </c>
      <c r="N412" s="494">
        <f>IF($O412="USD",_xlfn.IFNA(VLOOKUP(A412&amp;E412&amp;I412,PMsheet!J:K,2,0),0),(_xlfn.IFNA(VLOOKUP(A412&amp;E412&amp;I412,PMsheet!J:K,2,0),0)*'Master Data-C19RM'!$C$2))</f>
        <v>0</v>
      </c>
      <c r="O412" s="495" t="str">
        <f>IF(L412="", "",SETUP!$E$7)</f>
        <v/>
      </c>
      <c r="P412" s="445">
        <f>IF($O412="USD",_xlfn.IFNA(VLOOKUP($A412&amp;$E412&amp;$I412,PMsheet!$J:$K,2,0),0),(_xlfn.IFNA(VLOOKUP($A412&amp;$E412&amp;$I412,PMsheet!$J:$K,2,0),0)*'Master Data-C19RM'!$C$2))</f>
        <v>0</v>
      </c>
      <c r="Q412" s="440"/>
      <c r="R412" s="440"/>
      <c r="S412" s="440"/>
      <c r="T412" s="440"/>
      <c r="U412" s="482">
        <f t="shared" si="44"/>
        <v>0</v>
      </c>
      <c r="V412" s="484">
        <f>IF(SETUP!$E$7="USD",(U412*(IF(O412="USD",P412,(P412/'Master Data-C19RM'!$C$2)))),(U412*(IF(O412="EUR",P412,(P412*'Master Data-C19RM'!$C$2)))))</f>
        <v>0</v>
      </c>
      <c r="W412" s="445">
        <f>IF($O412="USD",_xlfn.IFNA(VLOOKUP($A412&amp;$E412&amp;$I412,PMsheet!$J:$K,2,0),0),(_xlfn.IFNA(VLOOKUP($A412&amp;$E412&amp;$I412,PMsheet!$J:$K,2,0),0)*'Master Data-C19RM'!$D$2))</f>
        <v>0</v>
      </c>
      <c r="X412" s="440"/>
      <c r="Y412" s="440"/>
      <c r="Z412" s="440"/>
      <c r="AA412" s="440"/>
      <c r="AB412" s="482">
        <f t="shared" si="47"/>
        <v>0</v>
      </c>
      <c r="AC412" s="484">
        <f>IF(SETUP!$E$7="USD",(AB412*(IF(O412="USD",W412,(W412/'Master Data-C19RM'!$D$2)))),(AB412*(IF(O412="EUR",W412,(W412*'Master Data-C19RM'!$D$2)))))</f>
        <v>0</v>
      </c>
      <c r="AD412" s="445">
        <f>IF($O412="USD",_xlfn.IFNA(VLOOKUP($A412&amp;$E412&amp;$I412,PMsheet!$J:$K,2,0),0),(_xlfn.IFNA(VLOOKUP($A412&amp;$E412&amp;$I412,PMsheet!$J:$K,2,0),0)*'Master Data-C19RM'!$E$2))</f>
        <v>0</v>
      </c>
      <c r="AE412" s="440"/>
      <c r="AF412" s="440"/>
      <c r="AG412" s="440"/>
      <c r="AH412" s="440"/>
      <c r="AI412" s="514">
        <f t="shared" si="48"/>
        <v>0</v>
      </c>
      <c r="AJ412" s="515">
        <f>IF(SETUP!$E$7="USD",(AI412*(IF(O412="USD",AD412,(AD412/'Master Data-C19RM'!$E$2)))),(AI412*(IF(O412="EUR",AD412,(AD412*'Master Data-C19RM'!$E$2)))))</f>
        <v>0</v>
      </c>
      <c r="AK412" s="445">
        <f>IF($O412="USD",_xlfn.IFNA(VLOOKUP($A412&amp;$E412&amp;$I412,PMsheet!$J:$K,2,0),0),(_xlfn.IFNA(VLOOKUP($A412&amp;$E412&amp;$I412,PMsheet!$J:$K,2,0),0)*'Master Data-C19RM'!$F$2))</f>
        <v>0</v>
      </c>
      <c r="AL412" s="440"/>
      <c r="AM412" s="440"/>
      <c r="AN412" s="440"/>
      <c r="AO412" s="440"/>
      <c r="AP412" s="514">
        <f t="shared" si="49"/>
        <v>0</v>
      </c>
      <c r="AQ412" s="515">
        <f>IF(SETUP!$E$7="USD",(AP412*(IF(O412="USD",AK412,(AK412/'Master Data-C19RM'!$F$2)))),(AP412*(IF(O412="EUR",AK412,(AK412*'Master Data-C19RM'!$F$2)))))</f>
        <v>0</v>
      </c>
      <c r="AR412" s="925">
        <f>IF($O412="USD",_xlfn.IFNA(VLOOKUP($A412&amp;$E412&amp;$I412,PMsheet!$J:$K,2,0),0),(_xlfn.IFNA(VLOOKUP($A412&amp;$E412&amp;$I412,PMsheet!$J:$K,2,0),0)*'Master Data-C19RM'!$G$2))</f>
        <v>0</v>
      </c>
      <c r="AS412" s="926"/>
      <c r="AT412" s="926"/>
      <c r="AU412" s="926"/>
      <c r="AV412" s="926"/>
      <c r="AW412" s="514">
        <f t="shared" si="53"/>
        <v>0</v>
      </c>
      <c r="AX412" s="514">
        <f>IF(SETUP!$E$7="USD",(AW412*(IF(O412="USD",AR412,(AR412/'Master Data-C19RM'!$G$2)))),(AW412*(IF(O412="EUR",AR412,(AR412*'Master Data-C19RM'!$G$2)))))</f>
        <v>0</v>
      </c>
      <c r="AY412" s="845"/>
      <c r="AZ412" s="846"/>
      <c r="BA412" s="846"/>
      <c r="BB412" s="846"/>
      <c r="BC412" s="846"/>
      <c r="BD412" s="846"/>
      <c r="BE412" s="847"/>
      <c r="BF412" s="521">
        <f>'C19RM 2021-Lab &amp; Other HPS'!$U412+'C19RM 2021-Lab &amp; Other HPS'!$AB412+'C19RM 2021-Lab &amp; Other HPS'!$AP412+'C19RM 2021-Lab &amp; Other HPS'!$AI412+AW412+BD412</f>
        <v>0</v>
      </c>
      <c r="BG412" s="515">
        <f>'C19RM 2021-Lab &amp; Other HPS'!$V412+'C19RM 2021-Lab &amp; Other HPS'!$AC412+'C19RM 2021-Lab &amp; Other HPS'!$AQ412+'C19RM 2021-Lab &amp; Other HPS'!$AJ412+AX412+BE412</f>
        <v>0</v>
      </c>
      <c r="BH412" s="522" t="str" cm="1">
        <f t="array" ref="BH412">IF(A412&lt;&gt;"",IFERROR(INDEX(PMtbl[[WKst]:[Unit of measure*]],MATCH($A$330&amp;$A412&amp;$E412&amp;$I412,INDEX(PMtbl[Sec]&amp;PMtbl[Category]&amp;PMtbl[Each]&amp;PMtbl[Packaging],0,),0),11),""),"")</f>
        <v/>
      </c>
      <c r="BI412" s="818"/>
      <c r="BJ412" s="503" t="str" cm="1">
        <f t="array" ref="BJ412">IFERROR(INDEX(SETUP!$C$19:$G$121,MATCH((INDEX(PMtbl[[WKst]:[Unit of measure*]],MATCH($A412&amp;$E412&amp;$I412,INDEX(PMtbl[Category]&amp;PMtbl[Each]&amp;PMtbl[Packaging],0,),0),3)),SETUP!$D$19:$D$121,0),5),"")</f>
        <v/>
      </c>
      <c r="BK412" s="569"/>
      <c r="BL412" s="564"/>
      <c r="BO412" s="448">
        <f>IF(N412="",0,IF(SETUP!$E$7="USD",((IF(O412="USD",P412,(P412/'Master Data-C19RM'!$C$2)))),((IF(O412="EUR",P412,(P412*'Master Data-C19RM'!$C$2))))))</f>
        <v>0</v>
      </c>
      <c r="BP412" s="448">
        <f>IF(N412="",0,IF(SETUP!$E$7="USD",((IF(O412="USD",W412,(W412/'Master Data-C19RM'!$D$2)))),((IF(O412="EUR",W412,(W412*'Master Data-C19RM'!$D$2))))))</f>
        <v>0</v>
      </c>
      <c r="BQ412" s="470">
        <f>IF(N412="",0,IF(SETUP!$E$7="USD",((IF(O412="USD",AD412,(AD412/'Master Data-C19RM'!$E$2)))),((IF(O412="EUR",AD412,(AD412*'Master Data-C19RM'!$E$2))))))</f>
        <v>0</v>
      </c>
      <c r="BR412" s="470">
        <f>IF(N412="",0,IF(SETUP!$E$7="USD",((IF(O412="USD",AK412,(AK412/'Master Data-C19RM'!$F$2)))),((IF(O412="EUR",AK412,(AK412*'Master Data-C19RM'!$F$2))))))</f>
        <v>0</v>
      </c>
      <c r="BS412" s="470">
        <f>IF(N412="",0,IF(SETUP!$E$7="USD",((IF(O412="USD",AR412,(AR412/'Master Data-C19RM'!$G$2)))),((IF(O412="EUR",AR412,(AR412*'Master Data-C19RM'!$G$2))))))</f>
        <v>0</v>
      </c>
      <c r="BT412" s="470">
        <f>IF(N412="",0,IF(SETUP!$E$7="USD",((IF(O412="USD",AY412,(AY412/'Master Data-C19RM'!$H$2)))),((IF(O412="EUR",AY412,(AY412*'Master Data-C19RM'!$H$2))))))</f>
        <v>0</v>
      </c>
      <c r="BU412" s="448">
        <f t="shared" si="51"/>
        <v>0</v>
      </c>
      <c r="BV412" s="562">
        <f t="shared" si="52"/>
        <v>0</v>
      </c>
      <c r="BW412" s="470"/>
      <c r="BX412" s="470"/>
      <c r="BY412" s="470"/>
      <c r="BZ412" s="470"/>
      <c r="CA412" s="470"/>
      <c r="CB412" s="470"/>
      <c r="CC412" s="470"/>
      <c r="CD412" s="470"/>
      <c r="CE412" s="470"/>
      <c r="CF412" s="470"/>
      <c r="CG412" s="470"/>
      <c r="CH412" s="470"/>
      <c r="CI412" s="470"/>
      <c r="CJ412" s="470"/>
      <c r="CK412" s="470"/>
      <c r="CL412" s="470"/>
      <c r="CM412" s="470"/>
      <c r="CN412" s="470"/>
      <c r="CO412" s="470"/>
      <c r="CP412" s="470"/>
    </row>
    <row r="413" spans="1:94" s="448" customFormat="1" ht="14" x14ac:dyDescent="0.3">
      <c r="A413" s="1200"/>
      <c r="B413" s="1201"/>
      <c r="C413" s="1201"/>
      <c r="D413" s="1202"/>
      <c r="E413" s="1166"/>
      <c r="F413" s="1166"/>
      <c r="G413" s="1166"/>
      <c r="H413" s="1166"/>
      <c r="I413" s="1166"/>
      <c r="J413" s="1166"/>
      <c r="K413" s="1166"/>
      <c r="L413" s="490" t="str" cm="1">
        <f t="array" ref="L413">IF(A413&lt;&gt;"",IFERROR(INDEX(PMtbl[[WKst]:[Unit of measure*]],MATCH($A$330&amp;$A413&amp;$E413&amp;$I413,INDEX(PMtbl[Sec]&amp;PMtbl[Category]&amp;PMtbl[Each]&amp;PMtbl[Packaging],0,),0),14),""),"")</f>
        <v/>
      </c>
      <c r="M413" s="479" t="str">
        <f>IF(L413="","",INDEX(SETUP!$E$20:$E$122,(MATCH(INDEX(PMsheet!$D:$E,MATCH(A413,PMsheet!E:E,0),1),SETUP!$D$20:$D$122,0))))</f>
        <v/>
      </c>
      <c r="N413" s="491">
        <f>IF($O413="USD",_xlfn.IFNA(VLOOKUP(A413&amp;E413&amp;I413,PMsheet!J:K,2,0),0),(_xlfn.IFNA(VLOOKUP(A413&amp;E413&amp;I413,PMsheet!J:K,2,0),0)*'Master Data-C19RM'!$C$2))</f>
        <v>0</v>
      </c>
      <c r="O413" s="492" t="str">
        <f>IF(L413="", "",SETUP!$E$7)</f>
        <v/>
      </c>
      <c r="P413" s="444">
        <f>IF($O413="USD",_xlfn.IFNA(VLOOKUP($A413&amp;$E413&amp;$I413,PMsheet!$J:$K,2,0),0),(_xlfn.IFNA(VLOOKUP($A413&amp;$E413&amp;$I413,PMsheet!$J:$K,2,0),0)*'Master Data-C19RM'!$C$2))</f>
        <v>0</v>
      </c>
      <c r="Q413" s="441"/>
      <c r="R413" s="441"/>
      <c r="S413" s="441"/>
      <c r="T413" s="441"/>
      <c r="U413" s="481">
        <f t="shared" si="44"/>
        <v>0</v>
      </c>
      <c r="V413" s="483">
        <f>IF(SETUP!$E$7="USD",(U413*(IF(O413="USD",P413,(P413/'Master Data-C19RM'!$C$2)))),(U413*(IF(O413="EUR",P413,(P413*'Master Data-C19RM'!$C$2)))))</f>
        <v>0</v>
      </c>
      <c r="W413" s="444">
        <f>IF($O413="USD",_xlfn.IFNA(VLOOKUP($A413&amp;$E413&amp;$I413,PMsheet!$J:$K,2,0),0),(_xlfn.IFNA(VLOOKUP($A413&amp;$E413&amp;$I413,PMsheet!$J:$K,2,0),0)*'Master Data-C19RM'!$D$2))</f>
        <v>0</v>
      </c>
      <c r="X413" s="441"/>
      <c r="Y413" s="441"/>
      <c r="Z413" s="441"/>
      <c r="AA413" s="441"/>
      <c r="AB413" s="481">
        <f t="shared" si="47"/>
        <v>0</v>
      </c>
      <c r="AC413" s="483">
        <f>IF(SETUP!$E$7="USD",(AB413*(IF(O413="USD",W413,(W413/'Master Data-C19RM'!$D$2)))),(AB413*(IF(O413="EUR",W413,(W413*'Master Data-C19RM'!$D$2)))))</f>
        <v>0</v>
      </c>
      <c r="AD413" s="444">
        <f>IF($O413="USD",_xlfn.IFNA(VLOOKUP($A413&amp;$E413&amp;$I413,PMsheet!$J:$K,2,0),0),(_xlfn.IFNA(VLOOKUP($A413&amp;$E413&amp;$I413,PMsheet!$J:$K,2,0),0)*'Master Data-C19RM'!$E$2))</f>
        <v>0</v>
      </c>
      <c r="AE413" s="441"/>
      <c r="AF413" s="441"/>
      <c r="AG413" s="441"/>
      <c r="AH413" s="441"/>
      <c r="AI413" s="512">
        <f t="shared" si="48"/>
        <v>0</v>
      </c>
      <c r="AJ413" s="513">
        <f>IF(SETUP!$E$7="USD",(AI413*(IF(O413="USD",AD413,(AD413/'Master Data-C19RM'!$E$2)))),(AI413*(IF(O413="EUR",AD413,(AD413*'Master Data-C19RM'!$E$2)))))</f>
        <v>0</v>
      </c>
      <c r="AK413" s="444">
        <f>IF($O413="USD",_xlfn.IFNA(VLOOKUP($A413&amp;$E413&amp;$I413,PMsheet!$J:$K,2,0),0),(_xlfn.IFNA(VLOOKUP($A413&amp;$E413&amp;$I413,PMsheet!$J:$K,2,0),0)*'Master Data-C19RM'!$F$2))</f>
        <v>0</v>
      </c>
      <c r="AL413" s="441"/>
      <c r="AM413" s="441"/>
      <c r="AN413" s="441"/>
      <c r="AO413" s="441"/>
      <c r="AP413" s="512">
        <f t="shared" si="49"/>
        <v>0</v>
      </c>
      <c r="AQ413" s="513">
        <f>IF(SETUP!$E$7="USD",(AP413*(IF(O413="USD",AK413,(AK413/'Master Data-C19RM'!$F$2)))),(AP413*(IF(O413="EUR",AK413,(AK413*'Master Data-C19RM'!$F$2)))))</f>
        <v>0</v>
      </c>
      <c r="AR413" s="924">
        <f>IF($O413="USD",_xlfn.IFNA(VLOOKUP($A413&amp;$E413&amp;$I413,PMsheet!$J:$K,2,0),0),(_xlfn.IFNA(VLOOKUP($A413&amp;$E413&amp;$I413,PMsheet!$J:$K,2,0),0)*'Master Data-C19RM'!$G$2))</f>
        <v>0</v>
      </c>
      <c r="AS413" s="572"/>
      <c r="AT413" s="572"/>
      <c r="AU413" s="572"/>
      <c r="AV413" s="572"/>
      <c r="AW413" s="512">
        <f t="shared" si="53"/>
        <v>0</v>
      </c>
      <c r="AX413" s="512">
        <f>IF(SETUP!$E$7="USD",(AW413*(IF(O413="USD",AR413,(AR413/'Master Data-C19RM'!$G$2)))),(AW413*(IF(O413="EUR",AR413,(AR413*'Master Data-C19RM'!$G$2)))))</f>
        <v>0</v>
      </c>
      <c r="AY413" s="845"/>
      <c r="AZ413" s="846"/>
      <c r="BA413" s="846"/>
      <c r="BB413" s="846"/>
      <c r="BC413" s="846"/>
      <c r="BD413" s="846"/>
      <c r="BE413" s="847"/>
      <c r="BF413" s="520">
        <f>'C19RM 2021-Lab &amp; Other HPS'!$U413+'C19RM 2021-Lab &amp; Other HPS'!$AB413+'C19RM 2021-Lab &amp; Other HPS'!$AP413+'C19RM 2021-Lab &amp; Other HPS'!$AI413+AW413+BD413</f>
        <v>0</v>
      </c>
      <c r="BG413" s="513">
        <f>'C19RM 2021-Lab &amp; Other HPS'!$V413+'C19RM 2021-Lab &amp; Other HPS'!$AC413+'C19RM 2021-Lab &amp; Other HPS'!$AQ413+'C19RM 2021-Lab &amp; Other HPS'!$AJ413+AX413+BE413</f>
        <v>0</v>
      </c>
      <c r="BH413" s="500" t="str" cm="1">
        <f t="array" ref="BH413">IF(A413&lt;&gt;"",IFERROR(INDEX(PMtbl[[WKst]:[Unit of measure*]],MATCH($A$330&amp;$A413&amp;$E413&amp;$I413,INDEX(PMtbl[Sec]&amp;PMtbl[Category]&amp;PMtbl[Each]&amp;PMtbl[Packaging],0,),0),11),""),"")</f>
        <v/>
      </c>
      <c r="BI413" s="819"/>
      <c r="BJ413" s="502" t="str" cm="1">
        <f t="array" ref="BJ413">IFERROR(INDEX(SETUP!$C$19:$G$121,MATCH((INDEX(PMtbl[[WKst]:[Unit of measure*]],MATCH($A413&amp;$E413&amp;$I413,INDEX(PMtbl[Category]&amp;PMtbl[Each]&amp;PMtbl[Packaging],0,),0),3)),SETUP!$D$19:$D$121,0),5),"")</f>
        <v/>
      </c>
      <c r="BK413" s="568"/>
      <c r="BL413" s="563"/>
      <c r="BO413" s="448">
        <f>IF(N413="",0,IF(SETUP!$E$7="USD",((IF(O413="USD",P413,(P413/'Master Data-C19RM'!$C$2)))),((IF(O413="EUR",P413,(P413*'Master Data-C19RM'!$C$2))))))</f>
        <v>0</v>
      </c>
      <c r="BP413" s="448">
        <f>IF(N413="",0,IF(SETUP!$E$7="USD",((IF(O413="USD",W413,(W413/'Master Data-C19RM'!$D$2)))),((IF(O413="EUR",W413,(W413*'Master Data-C19RM'!$D$2))))))</f>
        <v>0</v>
      </c>
      <c r="BQ413" s="470">
        <f>IF(N413="",0,IF(SETUP!$E$7="USD",((IF(O413="USD",AD413,(AD413/'Master Data-C19RM'!$E$2)))),((IF(O413="EUR",AD413,(AD413*'Master Data-C19RM'!$E$2))))))</f>
        <v>0</v>
      </c>
      <c r="BR413" s="470">
        <f>IF(N413="",0,IF(SETUP!$E$7="USD",((IF(O413="USD",AK413,(AK413/'Master Data-C19RM'!$F$2)))),((IF(O413="EUR",AK413,(AK413*'Master Data-C19RM'!$F$2))))))</f>
        <v>0</v>
      </c>
      <c r="BS413" s="470">
        <f>IF(N413="",0,IF(SETUP!$E$7="USD",((IF(O413="USD",AR413,(AR413/'Master Data-C19RM'!$G$2)))),((IF(O413="EUR",AR413,(AR413*'Master Data-C19RM'!$G$2))))))</f>
        <v>0</v>
      </c>
      <c r="BT413" s="470">
        <f>IF(N413="",0,IF(SETUP!$E$7="USD",((IF(O413="USD",AY413,(AY413/'Master Data-C19RM'!$H$2)))),((IF(O413="EUR",AY413,(AY413*'Master Data-C19RM'!$H$2))))))</f>
        <v>0</v>
      </c>
      <c r="BU413" s="448">
        <f t="shared" si="51"/>
        <v>0</v>
      </c>
      <c r="BV413" s="562">
        <f t="shared" si="52"/>
        <v>0</v>
      </c>
      <c r="BW413" s="470"/>
      <c r="BX413" s="470"/>
      <c r="BY413" s="470"/>
      <c r="BZ413" s="470"/>
      <c r="CA413" s="470"/>
      <c r="CB413" s="470"/>
      <c r="CC413" s="470"/>
      <c r="CD413" s="470"/>
      <c r="CE413" s="470"/>
      <c r="CF413" s="470"/>
      <c r="CG413" s="470"/>
      <c r="CH413" s="470"/>
      <c r="CI413" s="470"/>
      <c r="CJ413" s="470"/>
      <c r="CK413" s="470"/>
      <c r="CL413" s="470"/>
      <c r="CM413" s="470"/>
      <c r="CN413" s="470"/>
      <c r="CO413" s="470"/>
      <c r="CP413" s="470"/>
    </row>
    <row r="414" spans="1:94" s="448" customFormat="1" ht="14" x14ac:dyDescent="0.3">
      <c r="A414" s="1197"/>
      <c r="B414" s="1198"/>
      <c r="C414" s="1198"/>
      <c r="D414" s="1199"/>
      <c r="E414" s="1173"/>
      <c r="F414" s="1173"/>
      <c r="G414" s="1173"/>
      <c r="H414" s="1173"/>
      <c r="I414" s="1173"/>
      <c r="J414" s="1173"/>
      <c r="K414" s="1173"/>
      <c r="L414" s="493" t="str" cm="1">
        <f t="array" ref="L414">IF(A414&lt;&gt;"",IFERROR(INDEX(PMtbl[[WKst]:[Unit of measure*]],MATCH($A$330&amp;$A414&amp;$E414&amp;$I414,INDEX(PMtbl[Sec]&amp;PMtbl[Category]&amp;PMtbl[Each]&amp;PMtbl[Packaging],0,),0),14),""),"")</f>
        <v/>
      </c>
      <c r="M414" s="480" t="str">
        <f>IF(L414="","",INDEX(SETUP!$E$20:$E$122,(MATCH(INDEX(PMsheet!$D:$E,MATCH(A414,PMsheet!E:E,0),1),SETUP!$D$20:$D$122,0))))</f>
        <v/>
      </c>
      <c r="N414" s="494">
        <f>IF($O414="USD",_xlfn.IFNA(VLOOKUP(A414&amp;E414&amp;I414,PMsheet!J:K,2,0),0),(_xlfn.IFNA(VLOOKUP(A414&amp;E414&amp;I414,PMsheet!J:K,2,0),0)*'Master Data-C19RM'!$C$2))</f>
        <v>0</v>
      </c>
      <c r="O414" s="495" t="str">
        <f>IF(L414="", "",SETUP!$E$7)</f>
        <v/>
      </c>
      <c r="P414" s="445">
        <f>IF($O414="USD",_xlfn.IFNA(VLOOKUP($A414&amp;$E414&amp;$I414,PMsheet!$J:$K,2,0),0),(_xlfn.IFNA(VLOOKUP($A414&amp;$E414&amp;$I414,PMsheet!$J:$K,2,0),0)*'Master Data-C19RM'!$C$2))</f>
        <v>0</v>
      </c>
      <c r="Q414" s="440"/>
      <c r="R414" s="440"/>
      <c r="S414" s="440"/>
      <c r="T414" s="440"/>
      <c r="U414" s="482">
        <f t="shared" si="44"/>
        <v>0</v>
      </c>
      <c r="V414" s="484">
        <f>IF(SETUP!$E$7="USD",(U414*(IF(O414="USD",P414,(P414/'Master Data-C19RM'!$C$2)))),(U414*(IF(O414="EUR",P414,(P414*'Master Data-C19RM'!$C$2)))))</f>
        <v>0</v>
      </c>
      <c r="W414" s="445">
        <f>IF($O414="USD",_xlfn.IFNA(VLOOKUP($A414&amp;$E414&amp;$I414,PMsheet!$J:$K,2,0),0),(_xlfn.IFNA(VLOOKUP($A414&amp;$E414&amp;$I414,PMsheet!$J:$K,2,0),0)*'Master Data-C19RM'!$D$2))</f>
        <v>0</v>
      </c>
      <c r="X414" s="440"/>
      <c r="Y414" s="440"/>
      <c r="Z414" s="440"/>
      <c r="AA414" s="440"/>
      <c r="AB414" s="482">
        <f t="shared" si="47"/>
        <v>0</v>
      </c>
      <c r="AC414" s="484">
        <f>IF(SETUP!$E$7="USD",(AB414*(IF(O414="USD",W414,(W414/'Master Data-C19RM'!$D$2)))),(AB414*(IF(O414="EUR",W414,(W414*'Master Data-C19RM'!$D$2)))))</f>
        <v>0</v>
      </c>
      <c r="AD414" s="445">
        <f>IF($O414="USD",_xlfn.IFNA(VLOOKUP($A414&amp;$E414&amp;$I414,PMsheet!$J:$K,2,0),0),(_xlfn.IFNA(VLOOKUP($A414&amp;$E414&amp;$I414,PMsheet!$J:$K,2,0),0)*'Master Data-C19RM'!$E$2))</f>
        <v>0</v>
      </c>
      <c r="AE414" s="440"/>
      <c r="AF414" s="440"/>
      <c r="AG414" s="440"/>
      <c r="AH414" s="440"/>
      <c r="AI414" s="514">
        <f t="shared" si="48"/>
        <v>0</v>
      </c>
      <c r="AJ414" s="515">
        <f>IF(SETUP!$E$7="USD",(AI414*(IF(O414="USD",AD414,(AD414/'Master Data-C19RM'!$E$2)))),(AI414*(IF(O414="EUR",AD414,(AD414*'Master Data-C19RM'!$E$2)))))</f>
        <v>0</v>
      </c>
      <c r="AK414" s="445">
        <f>IF($O414="USD",_xlfn.IFNA(VLOOKUP($A414&amp;$E414&amp;$I414,PMsheet!$J:$K,2,0),0),(_xlfn.IFNA(VLOOKUP($A414&amp;$E414&amp;$I414,PMsheet!$J:$K,2,0),0)*'Master Data-C19RM'!$F$2))</f>
        <v>0</v>
      </c>
      <c r="AL414" s="440"/>
      <c r="AM414" s="440"/>
      <c r="AN414" s="440"/>
      <c r="AO414" s="440"/>
      <c r="AP414" s="514">
        <f t="shared" si="49"/>
        <v>0</v>
      </c>
      <c r="AQ414" s="515">
        <f>IF(SETUP!$E$7="USD",(AP414*(IF(O414="USD",AK414,(AK414/'Master Data-C19RM'!$F$2)))),(AP414*(IF(O414="EUR",AK414,(AK414*'Master Data-C19RM'!$F$2)))))</f>
        <v>0</v>
      </c>
      <c r="AR414" s="925">
        <f>IF($O414="USD",_xlfn.IFNA(VLOOKUP($A414&amp;$E414&amp;$I414,PMsheet!$J:$K,2,0),0),(_xlfn.IFNA(VLOOKUP($A414&amp;$E414&amp;$I414,PMsheet!$J:$K,2,0),0)*'Master Data-C19RM'!$G$2))</f>
        <v>0</v>
      </c>
      <c r="AS414" s="926"/>
      <c r="AT414" s="926"/>
      <c r="AU414" s="926"/>
      <c r="AV414" s="926"/>
      <c r="AW414" s="514">
        <f t="shared" si="53"/>
        <v>0</v>
      </c>
      <c r="AX414" s="514">
        <f>IF(SETUP!$E$7="USD",(AW414*(IF(O414="USD",AR414,(AR414/'Master Data-C19RM'!$G$2)))),(AW414*(IF(O414="EUR",AR414,(AR414*'Master Data-C19RM'!$G$2)))))</f>
        <v>0</v>
      </c>
      <c r="AY414" s="845"/>
      <c r="AZ414" s="846"/>
      <c r="BA414" s="846"/>
      <c r="BB414" s="846"/>
      <c r="BC414" s="846"/>
      <c r="BD414" s="846"/>
      <c r="BE414" s="847"/>
      <c r="BF414" s="521">
        <f>'C19RM 2021-Lab &amp; Other HPS'!$U414+'C19RM 2021-Lab &amp; Other HPS'!$AB414+'C19RM 2021-Lab &amp; Other HPS'!$AP414+'C19RM 2021-Lab &amp; Other HPS'!$AI414+AW414+BD414</f>
        <v>0</v>
      </c>
      <c r="BG414" s="515">
        <f>'C19RM 2021-Lab &amp; Other HPS'!$V414+'C19RM 2021-Lab &amp; Other HPS'!$AC414+'C19RM 2021-Lab &amp; Other HPS'!$AQ414+'C19RM 2021-Lab &amp; Other HPS'!$AJ414+AX414+BE414</f>
        <v>0</v>
      </c>
      <c r="BH414" s="522" t="str" cm="1">
        <f t="array" ref="BH414">IF(A414&lt;&gt;"",IFERROR(INDEX(PMtbl[[WKst]:[Unit of measure*]],MATCH($A$330&amp;$A414&amp;$E414&amp;$I414,INDEX(PMtbl[Sec]&amp;PMtbl[Category]&amp;PMtbl[Each]&amp;PMtbl[Packaging],0,),0),11),""),"")</f>
        <v/>
      </c>
      <c r="BI414" s="818"/>
      <c r="BJ414" s="503" t="str" cm="1">
        <f t="array" ref="BJ414">IFERROR(INDEX(SETUP!$C$19:$G$121,MATCH((INDEX(PMtbl[[WKst]:[Unit of measure*]],MATCH($A414&amp;$E414&amp;$I414,INDEX(PMtbl[Category]&amp;PMtbl[Each]&amp;PMtbl[Packaging],0,),0),3)),SETUP!$D$19:$D$121,0),5),"")</f>
        <v/>
      </c>
      <c r="BK414" s="569"/>
      <c r="BL414" s="564"/>
      <c r="BO414" s="448">
        <f>IF(N414="",0,IF(SETUP!$E$7="USD",((IF(O414="USD",P414,(P414/'Master Data-C19RM'!$C$2)))),((IF(O414="EUR",P414,(P414*'Master Data-C19RM'!$C$2))))))</f>
        <v>0</v>
      </c>
      <c r="BP414" s="448">
        <f>IF(N414="",0,IF(SETUP!$E$7="USD",((IF(O414="USD",W414,(W414/'Master Data-C19RM'!$D$2)))),((IF(O414="EUR",W414,(W414*'Master Data-C19RM'!$D$2))))))</f>
        <v>0</v>
      </c>
      <c r="BQ414" s="470">
        <f>IF(N414="",0,IF(SETUP!$E$7="USD",((IF(O414="USD",AD414,(AD414/'Master Data-C19RM'!$E$2)))),((IF(O414="EUR",AD414,(AD414*'Master Data-C19RM'!$E$2))))))</f>
        <v>0</v>
      </c>
      <c r="BR414" s="470">
        <f>IF(N414="",0,IF(SETUP!$E$7="USD",((IF(O414="USD",AK414,(AK414/'Master Data-C19RM'!$F$2)))),((IF(O414="EUR",AK414,(AK414*'Master Data-C19RM'!$F$2))))))</f>
        <v>0</v>
      </c>
      <c r="BS414" s="470">
        <f>IF(N414="",0,IF(SETUP!$E$7="USD",((IF(O414="USD",AR414,(AR414/'Master Data-C19RM'!$G$2)))),((IF(O414="EUR",AR414,(AR414*'Master Data-C19RM'!$G$2))))))</f>
        <v>0</v>
      </c>
      <c r="BT414" s="470">
        <f>IF(N414="",0,IF(SETUP!$E$7="USD",((IF(O414="USD",AY414,(AY414/'Master Data-C19RM'!$H$2)))),((IF(O414="EUR",AY414,(AY414*'Master Data-C19RM'!$H$2))))))</f>
        <v>0</v>
      </c>
      <c r="BU414" s="448">
        <f t="shared" si="51"/>
        <v>0</v>
      </c>
      <c r="BV414" s="562">
        <f t="shared" si="52"/>
        <v>0</v>
      </c>
      <c r="BW414" s="470"/>
      <c r="BX414" s="470"/>
      <c r="BY414" s="470"/>
      <c r="BZ414" s="470"/>
      <c r="CA414" s="470"/>
      <c r="CB414" s="470"/>
      <c r="CC414" s="470"/>
      <c r="CD414" s="470"/>
      <c r="CE414" s="470"/>
      <c r="CF414" s="470"/>
      <c r="CG414" s="470"/>
      <c r="CH414" s="470"/>
      <c r="CI414" s="470"/>
      <c r="CJ414" s="470"/>
      <c r="CK414" s="470"/>
      <c r="CL414" s="470"/>
      <c r="CM414" s="470"/>
      <c r="CN414" s="470"/>
      <c r="CO414" s="470"/>
      <c r="CP414" s="470"/>
    </row>
    <row r="415" spans="1:94" s="448" customFormat="1" ht="14" x14ac:dyDescent="0.3">
      <c r="A415" s="1165"/>
      <c r="B415" s="1165"/>
      <c r="C415" s="1165"/>
      <c r="D415" s="1165"/>
      <c r="E415" s="1166"/>
      <c r="F415" s="1166"/>
      <c r="G415" s="1166"/>
      <c r="H415" s="1166"/>
      <c r="I415" s="1166"/>
      <c r="J415" s="1166"/>
      <c r="K415" s="1166"/>
      <c r="L415" s="490" t="str" cm="1">
        <f t="array" ref="L415">IF(A415&lt;&gt;"",IFERROR(INDEX(PMtbl[[WKst]:[Unit of measure*]],MATCH($A$330&amp;$A415&amp;$E415&amp;$I415,INDEX(PMtbl[Sec]&amp;PMtbl[Category]&amp;PMtbl[Each]&amp;PMtbl[Packaging],0,),0),14),""),"")</f>
        <v/>
      </c>
      <c r="M415" s="479" t="str">
        <f>IF(L415="","",INDEX(SETUP!$E$20:$E$122,(MATCH(INDEX(PMsheet!$D:$E,MATCH(A415,PMsheet!E:E,0),1),SETUP!$D$20:$D$122,0))))</f>
        <v/>
      </c>
      <c r="N415" s="491">
        <f>IF($O415="USD",_xlfn.IFNA(VLOOKUP(A415&amp;E415&amp;I415,PMsheet!J:K,2,0),0),(_xlfn.IFNA(VLOOKUP(A415&amp;E415&amp;I415,PMsheet!J:K,2,0),0)*'Master Data-C19RM'!$C$2))</f>
        <v>0</v>
      </c>
      <c r="O415" s="492" t="str">
        <f>IF(L415="", "",SETUP!$E$7)</f>
        <v/>
      </c>
      <c r="P415" s="444">
        <f>IF($O415="USD",_xlfn.IFNA(VLOOKUP($A415&amp;$E415&amp;$I415,PMsheet!$J:$K,2,0),0),(_xlfn.IFNA(VLOOKUP($A415&amp;$E415&amp;$I415,PMsheet!$J:$K,2,0),0)*'Master Data-C19RM'!$C$2))</f>
        <v>0</v>
      </c>
      <c r="Q415" s="441"/>
      <c r="R415" s="441"/>
      <c r="S415" s="441"/>
      <c r="T415" s="441"/>
      <c r="U415" s="481">
        <f t="shared" si="44"/>
        <v>0</v>
      </c>
      <c r="V415" s="483">
        <f>IF(SETUP!$E$7="USD",(U415*(IF(O415="USD",P415,(P415/'Master Data-C19RM'!$C$2)))),(U415*(IF(O415="EUR",P415,(P415*'Master Data-C19RM'!$C$2)))))</f>
        <v>0</v>
      </c>
      <c r="W415" s="444">
        <f>IF($O415="USD",_xlfn.IFNA(VLOOKUP($A415&amp;$E415&amp;$I415,PMsheet!$J:$K,2,0),0),(_xlfn.IFNA(VLOOKUP($A415&amp;$E415&amp;$I415,PMsheet!$J:$K,2,0),0)*'Master Data-C19RM'!$D$2))</f>
        <v>0</v>
      </c>
      <c r="X415" s="441"/>
      <c r="Y415" s="441"/>
      <c r="Z415" s="441"/>
      <c r="AA415" s="441"/>
      <c r="AB415" s="481">
        <f t="shared" si="47"/>
        <v>0</v>
      </c>
      <c r="AC415" s="483">
        <f>IF(SETUP!$E$7="USD",(AB415*(IF(O415="USD",W415,(W415/'Master Data-C19RM'!$D$2)))),(AB415*(IF(O415="EUR",W415,(W415*'Master Data-C19RM'!$D$2)))))</f>
        <v>0</v>
      </c>
      <c r="AD415" s="444">
        <f>IF($O415="USD",_xlfn.IFNA(VLOOKUP($A415&amp;$E415&amp;$I415,PMsheet!$J:$K,2,0),0),(_xlfn.IFNA(VLOOKUP($A415&amp;$E415&amp;$I415,PMsheet!$J:$K,2,0),0)*'Master Data-C19RM'!$E$2))</f>
        <v>0</v>
      </c>
      <c r="AE415" s="441"/>
      <c r="AF415" s="441"/>
      <c r="AG415" s="441"/>
      <c r="AH415" s="441"/>
      <c r="AI415" s="512">
        <f t="shared" si="48"/>
        <v>0</v>
      </c>
      <c r="AJ415" s="513">
        <f>IF(SETUP!$E$7="USD",(AI415*(IF(O415="USD",AD415,(AD415/'Master Data-C19RM'!$E$2)))),(AI415*(IF(O415="EUR",AD415,(AD415*'Master Data-C19RM'!$E$2)))))</f>
        <v>0</v>
      </c>
      <c r="AK415" s="444">
        <f>IF($O415="USD",_xlfn.IFNA(VLOOKUP($A415&amp;$E415&amp;$I415,PMsheet!$J:$K,2,0),0),(_xlfn.IFNA(VLOOKUP($A415&amp;$E415&amp;$I415,PMsheet!$J:$K,2,0),0)*'Master Data-C19RM'!$F$2))</f>
        <v>0</v>
      </c>
      <c r="AL415" s="441"/>
      <c r="AM415" s="441"/>
      <c r="AN415" s="441"/>
      <c r="AO415" s="441"/>
      <c r="AP415" s="512">
        <f t="shared" si="49"/>
        <v>0</v>
      </c>
      <c r="AQ415" s="513">
        <f>IF(SETUP!$E$7="USD",(AP415*(IF(O415="USD",AK415,(AK415/'Master Data-C19RM'!$F$2)))),(AP415*(IF(O415="EUR",AK415,(AK415*'Master Data-C19RM'!$F$2)))))</f>
        <v>0</v>
      </c>
      <c r="AR415" s="924">
        <f>IF($O415="USD",_xlfn.IFNA(VLOOKUP($A415&amp;$E415&amp;$I415,PMsheet!$J:$K,2,0),0),(_xlfn.IFNA(VLOOKUP($A415&amp;$E415&amp;$I415,PMsheet!$J:$K,2,0),0)*'Master Data-C19RM'!$G$2))</f>
        <v>0</v>
      </c>
      <c r="AS415" s="572"/>
      <c r="AT415" s="572"/>
      <c r="AU415" s="572"/>
      <c r="AV415" s="572"/>
      <c r="AW415" s="512">
        <f t="shared" si="53"/>
        <v>0</v>
      </c>
      <c r="AX415" s="512">
        <f>IF(SETUP!$E$7="USD",(AW415*(IF(O415="USD",AR415,(AR415/'Master Data-C19RM'!$G$2)))),(AW415*(IF(O415="EUR",AR415,(AR415*'Master Data-C19RM'!$G$2)))))</f>
        <v>0</v>
      </c>
      <c r="AY415" s="845"/>
      <c r="AZ415" s="846"/>
      <c r="BA415" s="846"/>
      <c r="BB415" s="846"/>
      <c r="BC415" s="846"/>
      <c r="BD415" s="846"/>
      <c r="BE415" s="847"/>
      <c r="BF415" s="520">
        <f>'C19RM 2021-Lab &amp; Other HPS'!$U415+'C19RM 2021-Lab &amp; Other HPS'!$AB415+'C19RM 2021-Lab &amp; Other HPS'!$AP415+'C19RM 2021-Lab &amp; Other HPS'!$AI415+AW415+BD415</f>
        <v>0</v>
      </c>
      <c r="BG415" s="513">
        <f>'C19RM 2021-Lab &amp; Other HPS'!$V415+'C19RM 2021-Lab &amp; Other HPS'!$AC415+'C19RM 2021-Lab &amp; Other HPS'!$AQ415+'C19RM 2021-Lab &amp; Other HPS'!$AJ415+AX415+BE415</f>
        <v>0</v>
      </c>
      <c r="BH415" s="500" t="str" cm="1">
        <f t="array" ref="BH415">IF(A415&lt;&gt;"",IFERROR(INDEX(PMtbl[[WKst]:[Unit of measure*]],MATCH($A$330&amp;$A415&amp;$E415&amp;$I415,INDEX(PMtbl[Sec]&amp;PMtbl[Category]&amp;PMtbl[Each]&amp;PMtbl[Packaging],0,),0),11),""),"")</f>
        <v/>
      </c>
      <c r="BI415" s="819"/>
      <c r="BJ415" s="502" t="str" cm="1">
        <f t="array" ref="BJ415">IFERROR(INDEX(SETUP!$C$19:$G$121,MATCH((INDEX(PMtbl[[WKst]:[Unit of measure*]],MATCH($A415&amp;$E415&amp;$I415,INDEX(PMtbl[Category]&amp;PMtbl[Each]&amp;PMtbl[Packaging],0,),0),3)),SETUP!$D$19:$D$121,0),5),"")</f>
        <v/>
      </c>
      <c r="BK415" s="568"/>
      <c r="BL415" s="563"/>
      <c r="BO415" s="448">
        <f>IF(N415="",0,IF(SETUP!$E$7="USD",((IF(O415="USD",P415,(P415/'Master Data-C19RM'!$C$2)))),((IF(O415="EUR",P415,(P415*'Master Data-C19RM'!$C$2))))))</f>
        <v>0</v>
      </c>
      <c r="BP415" s="448">
        <f>IF(N415="",0,IF(SETUP!$E$7="USD",((IF(O415="USD",W415,(W415/'Master Data-C19RM'!$D$2)))),((IF(O415="EUR",W415,(W415*'Master Data-C19RM'!$D$2))))))</f>
        <v>0</v>
      </c>
      <c r="BQ415" s="470">
        <f>IF(N415="",0,IF(SETUP!$E$7="USD",((IF(O415="USD",AD415,(AD415/'Master Data-C19RM'!$E$2)))),((IF(O415="EUR",AD415,(AD415*'Master Data-C19RM'!$E$2))))))</f>
        <v>0</v>
      </c>
      <c r="BR415" s="470">
        <f>IF(N415="",0,IF(SETUP!$E$7="USD",((IF(O415="USD",AK415,(AK415/'Master Data-C19RM'!$F$2)))),((IF(O415="EUR",AK415,(AK415*'Master Data-C19RM'!$F$2))))))</f>
        <v>0</v>
      </c>
      <c r="BS415" s="470">
        <f>IF(N415="",0,IF(SETUP!$E$7="USD",((IF(O415="USD",AR415,(AR415/'Master Data-C19RM'!$G$2)))),((IF(O415="EUR",AR415,(AR415*'Master Data-C19RM'!$G$2))))))</f>
        <v>0</v>
      </c>
      <c r="BT415" s="470">
        <f>IF(N415="",0,IF(SETUP!$E$7="USD",((IF(O415="USD",AY415,(AY415/'Master Data-C19RM'!$H$2)))),((IF(O415="EUR",AY415,(AY415*'Master Data-C19RM'!$H$2))))))</f>
        <v>0</v>
      </c>
      <c r="BU415" s="448">
        <f t="shared" si="51"/>
        <v>0</v>
      </c>
      <c r="BV415" s="562">
        <f t="shared" si="52"/>
        <v>0</v>
      </c>
      <c r="BW415" s="470"/>
      <c r="BX415" s="470"/>
      <c r="BY415" s="470"/>
      <c r="BZ415" s="470"/>
      <c r="CA415" s="470"/>
      <c r="CB415" s="470"/>
      <c r="CC415" s="470"/>
      <c r="CD415" s="470"/>
      <c r="CE415" s="470"/>
      <c r="CF415" s="470"/>
      <c r="CG415" s="470"/>
      <c r="CH415" s="470"/>
      <c r="CI415" s="470"/>
      <c r="CJ415" s="470"/>
      <c r="CK415" s="470"/>
      <c r="CL415" s="470"/>
      <c r="CM415" s="470"/>
      <c r="CN415" s="470"/>
      <c r="CO415" s="470"/>
      <c r="CP415" s="470"/>
    </row>
    <row r="416" spans="1:94" s="448" customFormat="1" ht="14" x14ac:dyDescent="0.3">
      <c r="A416" s="1197"/>
      <c r="B416" s="1198"/>
      <c r="C416" s="1198"/>
      <c r="D416" s="1199"/>
      <c r="E416" s="1173"/>
      <c r="F416" s="1173"/>
      <c r="G416" s="1173"/>
      <c r="H416" s="1173"/>
      <c r="I416" s="1173"/>
      <c r="J416" s="1173"/>
      <c r="K416" s="1173"/>
      <c r="L416" s="493" t="str" cm="1">
        <f t="array" ref="L416">IF(A416&lt;&gt;"",IFERROR(INDEX(PMtbl[[WKst]:[Unit of measure*]],MATCH($A$330&amp;$A416&amp;$E416&amp;$I416,INDEX(PMtbl[Sec]&amp;PMtbl[Category]&amp;PMtbl[Each]&amp;PMtbl[Packaging],0,),0),14),""),"")</f>
        <v/>
      </c>
      <c r="M416" s="480" t="str">
        <f>IF(L416="","",INDEX(SETUP!$E$20:$E$122,(MATCH(INDEX(PMsheet!$D:$E,MATCH(A416,PMsheet!E:E,0),1),SETUP!$D$20:$D$122,0))))</f>
        <v/>
      </c>
      <c r="N416" s="494">
        <f>IF($O416="USD",_xlfn.IFNA(VLOOKUP(A416&amp;E416&amp;I416,PMsheet!J:K,2,0),0),(_xlfn.IFNA(VLOOKUP(A416&amp;E416&amp;I416,PMsheet!J:K,2,0),0)*'Master Data-C19RM'!$C$2))</f>
        <v>0</v>
      </c>
      <c r="O416" s="495" t="str">
        <f>IF(L416="", "",SETUP!$E$7)</f>
        <v/>
      </c>
      <c r="P416" s="445">
        <f>IF($O416="USD",_xlfn.IFNA(VLOOKUP($A416&amp;$E416&amp;$I416,PMsheet!$J:$K,2,0),0),(_xlfn.IFNA(VLOOKUP($A416&amp;$E416&amp;$I416,PMsheet!$J:$K,2,0),0)*'Master Data-C19RM'!$C$2))</f>
        <v>0</v>
      </c>
      <c r="Q416" s="440"/>
      <c r="R416" s="440"/>
      <c r="S416" s="440"/>
      <c r="T416" s="440"/>
      <c r="U416" s="482">
        <f t="shared" si="44"/>
        <v>0</v>
      </c>
      <c r="V416" s="484">
        <f>IF(SETUP!$E$7="USD",(U416*(IF(O416="USD",P416,(P416/'Master Data-C19RM'!$C$2)))),(U416*(IF(O416="EUR",P416,(P416*'Master Data-C19RM'!$C$2)))))</f>
        <v>0</v>
      </c>
      <c r="W416" s="445">
        <f>IF($O416="USD",_xlfn.IFNA(VLOOKUP($A416&amp;$E416&amp;$I416,PMsheet!$J:$K,2,0),0),(_xlfn.IFNA(VLOOKUP($A416&amp;$E416&amp;$I416,PMsheet!$J:$K,2,0),0)*'Master Data-C19RM'!$D$2))</f>
        <v>0</v>
      </c>
      <c r="X416" s="440"/>
      <c r="Y416" s="440"/>
      <c r="Z416" s="440"/>
      <c r="AA416" s="440"/>
      <c r="AB416" s="482">
        <f t="shared" si="47"/>
        <v>0</v>
      </c>
      <c r="AC416" s="484">
        <f>IF(SETUP!$E$7="USD",(AB416*(IF(O416="USD",W416,(W416/'Master Data-C19RM'!$D$2)))),(AB416*(IF(O416="EUR",W416,(W416*'Master Data-C19RM'!$D$2)))))</f>
        <v>0</v>
      </c>
      <c r="AD416" s="445">
        <f>IF($O416="USD",_xlfn.IFNA(VLOOKUP($A416&amp;$E416&amp;$I416,PMsheet!$J:$K,2,0),0),(_xlfn.IFNA(VLOOKUP($A416&amp;$E416&amp;$I416,PMsheet!$J:$K,2,0),0)*'Master Data-C19RM'!$E$2))</f>
        <v>0</v>
      </c>
      <c r="AE416" s="440"/>
      <c r="AF416" s="440"/>
      <c r="AG416" s="440"/>
      <c r="AH416" s="440"/>
      <c r="AI416" s="514">
        <f t="shared" si="48"/>
        <v>0</v>
      </c>
      <c r="AJ416" s="515">
        <f>IF(SETUP!$E$7="USD",(AI416*(IF(O416="USD",AD416,(AD416/'Master Data-C19RM'!$E$2)))),(AI416*(IF(O416="EUR",AD416,(AD416*'Master Data-C19RM'!$E$2)))))</f>
        <v>0</v>
      </c>
      <c r="AK416" s="445">
        <f>IF($O416="USD",_xlfn.IFNA(VLOOKUP($A416&amp;$E416&amp;$I416,PMsheet!$J:$K,2,0),0),(_xlfn.IFNA(VLOOKUP($A416&amp;$E416&amp;$I416,PMsheet!$J:$K,2,0),0)*'Master Data-C19RM'!$F$2))</f>
        <v>0</v>
      </c>
      <c r="AL416" s="440"/>
      <c r="AM416" s="440"/>
      <c r="AN416" s="440"/>
      <c r="AO416" s="440"/>
      <c r="AP416" s="514">
        <f t="shared" si="49"/>
        <v>0</v>
      </c>
      <c r="AQ416" s="515">
        <f>IF(SETUP!$E$7="USD",(AP416*(IF(O416="USD",AK416,(AK416/'Master Data-C19RM'!$F$2)))),(AP416*(IF(O416="EUR",AK416,(AK416*'Master Data-C19RM'!$F$2)))))</f>
        <v>0</v>
      </c>
      <c r="AR416" s="925">
        <f>IF($O416="USD",_xlfn.IFNA(VLOOKUP($A416&amp;$E416&amp;$I416,PMsheet!$J:$K,2,0),0),(_xlfn.IFNA(VLOOKUP($A416&amp;$E416&amp;$I416,PMsheet!$J:$K,2,0),0)*'Master Data-C19RM'!$G$2))</f>
        <v>0</v>
      </c>
      <c r="AS416" s="926"/>
      <c r="AT416" s="926"/>
      <c r="AU416" s="926"/>
      <c r="AV416" s="926"/>
      <c r="AW416" s="514">
        <f t="shared" si="53"/>
        <v>0</v>
      </c>
      <c r="AX416" s="514">
        <f>IF(SETUP!$E$7="USD",(AW416*(IF(O416="USD",AR416,(AR416/'Master Data-C19RM'!$G$2)))),(AW416*(IF(O416="EUR",AR416,(AR416*'Master Data-C19RM'!$G$2)))))</f>
        <v>0</v>
      </c>
      <c r="AY416" s="845"/>
      <c r="AZ416" s="846"/>
      <c r="BA416" s="846"/>
      <c r="BB416" s="846"/>
      <c r="BC416" s="846"/>
      <c r="BD416" s="846"/>
      <c r="BE416" s="847"/>
      <c r="BF416" s="521">
        <f>'C19RM 2021-Lab &amp; Other HPS'!$U416+'C19RM 2021-Lab &amp; Other HPS'!$AB416+'C19RM 2021-Lab &amp; Other HPS'!$AP416+'C19RM 2021-Lab &amp; Other HPS'!$AI416+AW416+BD416</f>
        <v>0</v>
      </c>
      <c r="BG416" s="515">
        <f>'C19RM 2021-Lab &amp; Other HPS'!$V416+'C19RM 2021-Lab &amp; Other HPS'!$AC416+'C19RM 2021-Lab &amp; Other HPS'!$AQ416+'C19RM 2021-Lab &amp; Other HPS'!$AJ416+AX416+BE416</f>
        <v>0</v>
      </c>
      <c r="BH416" s="522" t="str" cm="1">
        <f t="array" ref="BH416">IF(A416&lt;&gt;"",IFERROR(INDEX(PMtbl[[WKst]:[Unit of measure*]],MATCH($A$330&amp;$A416&amp;$E416&amp;$I416,INDEX(PMtbl[Sec]&amp;PMtbl[Category]&amp;PMtbl[Each]&amp;PMtbl[Packaging],0,),0),11),""),"")</f>
        <v/>
      </c>
      <c r="BI416" s="818"/>
      <c r="BJ416" s="503" t="str" cm="1">
        <f t="array" ref="BJ416">IFERROR(INDEX(SETUP!$C$19:$G$121,MATCH((INDEX(PMtbl[[WKst]:[Unit of measure*]],MATCH($A416&amp;$E416&amp;$I416,INDEX(PMtbl[Category]&amp;PMtbl[Each]&amp;PMtbl[Packaging],0,),0),3)),SETUP!$D$19:$D$121,0),5),"")</f>
        <v/>
      </c>
      <c r="BK416" s="569"/>
      <c r="BL416" s="564"/>
      <c r="BO416" s="448">
        <f>IF(N416="",0,IF(SETUP!$E$7="USD",((IF(O416="USD",P416,(P416/'Master Data-C19RM'!$C$2)))),((IF(O416="EUR",P416,(P416*'Master Data-C19RM'!$C$2))))))</f>
        <v>0</v>
      </c>
      <c r="BP416" s="448">
        <f>IF(N416="",0,IF(SETUP!$E$7="USD",((IF(O416="USD",W416,(W416/'Master Data-C19RM'!$D$2)))),((IF(O416="EUR",W416,(W416*'Master Data-C19RM'!$D$2))))))</f>
        <v>0</v>
      </c>
      <c r="BQ416" s="470">
        <f>IF(N416="",0,IF(SETUP!$E$7="USD",((IF(O416="USD",AD416,(AD416/'Master Data-C19RM'!$E$2)))),((IF(O416="EUR",AD416,(AD416*'Master Data-C19RM'!$E$2))))))</f>
        <v>0</v>
      </c>
      <c r="BR416" s="470">
        <f>IF(N416="",0,IF(SETUP!$E$7="USD",((IF(O416="USD",AK416,(AK416/'Master Data-C19RM'!$F$2)))),((IF(O416="EUR",AK416,(AK416*'Master Data-C19RM'!$F$2))))))</f>
        <v>0</v>
      </c>
      <c r="BS416" s="470">
        <f>IF(N416="",0,IF(SETUP!$E$7="USD",((IF(O416="USD",AR416,(AR416/'Master Data-C19RM'!$G$2)))),((IF(O416="EUR",AR416,(AR416*'Master Data-C19RM'!$G$2))))))</f>
        <v>0</v>
      </c>
      <c r="BT416" s="470">
        <f>IF(N416="",0,IF(SETUP!$E$7="USD",((IF(O416="USD",AY416,(AY416/'Master Data-C19RM'!$H$2)))),((IF(O416="EUR",AY416,(AY416*'Master Data-C19RM'!$H$2))))))</f>
        <v>0</v>
      </c>
      <c r="BU416" s="448">
        <f t="shared" si="51"/>
        <v>0</v>
      </c>
      <c r="BV416" s="562">
        <f t="shared" si="52"/>
        <v>0</v>
      </c>
      <c r="BW416" s="470"/>
      <c r="BX416" s="470"/>
      <c r="BY416" s="470"/>
      <c r="BZ416" s="470"/>
      <c r="CA416" s="470"/>
      <c r="CB416" s="470"/>
      <c r="CC416" s="470"/>
      <c r="CD416" s="470"/>
      <c r="CE416" s="470"/>
      <c r="CF416" s="470"/>
      <c r="CG416" s="470"/>
      <c r="CH416" s="470"/>
      <c r="CI416" s="470"/>
      <c r="CJ416" s="470"/>
      <c r="CK416" s="470"/>
      <c r="CL416" s="470"/>
      <c r="CM416" s="470"/>
      <c r="CN416" s="470"/>
      <c r="CO416" s="470"/>
      <c r="CP416" s="470"/>
    </row>
    <row r="417" spans="1:94" s="448" customFormat="1" ht="14" x14ac:dyDescent="0.3">
      <c r="A417" s="1200"/>
      <c r="B417" s="1201"/>
      <c r="C417" s="1201"/>
      <c r="D417" s="1202"/>
      <c r="E417" s="1166"/>
      <c r="F417" s="1166"/>
      <c r="G417" s="1166"/>
      <c r="H417" s="1166"/>
      <c r="I417" s="1166"/>
      <c r="J417" s="1166"/>
      <c r="K417" s="1166"/>
      <c r="L417" s="490" t="str" cm="1">
        <f t="array" ref="L417">IF(A417&lt;&gt;"",IFERROR(INDEX(PMtbl[[WKst]:[Unit of measure*]],MATCH($A$330&amp;$A417&amp;$E417&amp;$I417,INDEX(PMtbl[Sec]&amp;PMtbl[Category]&amp;PMtbl[Each]&amp;PMtbl[Packaging],0,),0),14),""),"")</f>
        <v/>
      </c>
      <c r="M417" s="479" t="str">
        <f>IF(L417="","",INDEX(SETUP!$E$20:$E$122,(MATCH(INDEX(PMsheet!$D:$E,MATCH(A417,PMsheet!E:E,0),1),SETUP!$D$20:$D$122,0))))</f>
        <v/>
      </c>
      <c r="N417" s="491">
        <f>IF($O417="USD",_xlfn.IFNA(VLOOKUP(A417&amp;E417&amp;I417,PMsheet!J:K,2,0),0),(_xlfn.IFNA(VLOOKUP(A417&amp;E417&amp;I417,PMsheet!J:K,2,0),0)*'Master Data-C19RM'!$C$2))</f>
        <v>0</v>
      </c>
      <c r="O417" s="492" t="str">
        <f>IF(L417="", "",SETUP!$E$7)</f>
        <v/>
      </c>
      <c r="P417" s="444">
        <f>IF($O417="USD",_xlfn.IFNA(VLOOKUP($A417&amp;$E417&amp;$I417,PMsheet!$J:$K,2,0),0),(_xlfn.IFNA(VLOOKUP($A417&amp;$E417&amp;$I417,PMsheet!$J:$K,2,0),0)*'Master Data-C19RM'!$C$2))</f>
        <v>0</v>
      </c>
      <c r="Q417" s="441"/>
      <c r="R417" s="441"/>
      <c r="S417" s="441"/>
      <c r="T417" s="441"/>
      <c r="U417" s="481">
        <f t="shared" si="44"/>
        <v>0</v>
      </c>
      <c r="V417" s="483">
        <f>IF(SETUP!$E$7="USD",(U417*(IF(O417="USD",P417,(P417/'Master Data-C19RM'!$C$2)))),(U417*(IF(O417="EUR",P417,(P417*'Master Data-C19RM'!$C$2)))))</f>
        <v>0</v>
      </c>
      <c r="W417" s="444">
        <f>IF($O417="USD",_xlfn.IFNA(VLOOKUP($A417&amp;$E417&amp;$I417,PMsheet!$J:$K,2,0),0),(_xlfn.IFNA(VLOOKUP($A417&amp;$E417&amp;$I417,PMsheet!$J:$K,2,0),0)*'Master Data-C19RM'!$D$2))</f>
        <v>0</v>
      </c>
      <c r="X417" s="441"/>
      <c r="Y417" s="441"/>
      <c r="Z417" s="441"/>
      <c r="AA417" s="441"/>
      <c r="AB417" s="481">
        <f t="shared" si="47"/>
        <v>0</v>
      </c>
      <c r="AC417" s="483">
        <f>IF(SETUP!$E$7="USD",(AB417*(IF(O417="USD",W417,(W417/'Master Data-C19RM'!$D$2)))),(AB417*(IF(O417="EUR",W417,(W417*'Master Data-C19RM'!$D$2)))))</f>
        <v>0</v>
      </c>
      <c r="AD417" s="444">
        <f>IF($O417="USD",_xlfn.IFNA(VLOOKUP($A417&amp;$E417&amp;$I417,PMsheet!$J:$K,2,0),0),(_xlfn.IFNA(VLOOKUP($A417&amp;$E417&amp;$I417,PMsheet!$J:$K,2,0),0)*'Master Data-C19RM'!$E$2))</f>
        <v>0</v>
      </c>
      <c r="AE417" s="441"/>
      <c r="AF417" s="441"/>
      <c r="AG417" s="441"/>
      <c r="AH417" s="441"/>
      <c r="AI417" s="512">
        <f t="shared" si="48"/>
        <v>0</v>
      </c>
      <c r="AJ417" s="513">
        <f>IF(SETUP!$E$7="USD",(AI417*(IF(O417="USD",AD417,(AD417/'Master Data-C19RM'!$E$2)))),(AI417*(IF(O417="EUR",AD417,(AD417*'Master Data-C19RM'!$E$2)))))</f>
        <v>0</v>
      </c>
      <c r="AK417" s="444">
        <f>IF($O417="USD",_xlfn.IFNA(VLOOKUP($A417&amp;$E417&amp;$I417,PMsheet!$J:$K,2,0),0),(_xlfn.IFNA(VLOOKUP($A417&amp;$E417&amp;$I417,PMsheet!$J:$K,2,0),0)*'Master Data-C19RM'!$F$2))</f>
        <v>0</v>
      </c>
      <c r="AL417" s="441"/>
      <c r="AM417" s="441"/>
      <c r="AN417" s="441"/>
      <c r="AO417" s="441"/>
      <c r="AP417" s="512">
        <f t="shared" si="49"/>
        <v>0</v>
      </c>
      <c r="AQ417" s="513">
        <f>IF(SETUP!$E$7="USD",(AP417*(IF(O417="USD",AK417,(AK417/'Master Data-C19RM'!$F$2)))),(AP417*(IF(O417="EUR",AK417,(AK417*'Master Data-C19RM'!$F$2)))))</f>
        <v>0</v>
      </c>
      <c r="AR417" s="924">
        <f>IF($O417="USD",_xlfn.IFNA(VLOOKUP($A417&amp;$E417&amp;$I417,PMsheet!$J:$K,2,0),0),(_xlfn.IFNA(VLOOKUP($A417&amp;$E417&amp;$I417,PMsheet!$J:$K,2,0),0)*'Master Data-C19RM'!$G$2))</f>
        <v>0</v>
      </c>
      <c r="AS417" s="572"/>
      <c r="AT417" s="572"/>
      <c r="AU417" s="572"/>
      <c r="AV417" s="572"/>
      <c r="AW417" s="512">
        <f t="shared" si="53"/>
        <v>0</v>
      </c>
      <c r="AX417" s="512">
        <f>IF(SETUP!$E$7="USD",(AW417*(IF(O417="USD",AR417,(AR417/'Master Data-C19RM'!$G$2)))),(AW417*(IF(O417="EUR",AR417,(AR417*'Master Data-C19RM'!$G$2)))))</f>
        <v>0</v>
      </c>
      <c r="AY417" s="845"/>
      <c r="AZ417" s="846"/>
      <c r="BA417" s="846"/>
      <c r="BB417" s="846"/>
      <c r="BC417" s="846"/>
      <c r="BD417" s="846"/>
      <c r="BE417" s="847"/>
      <c r="BF417" s="520">
        <f>'C19RM 2021-Lab &amp; Other HPS'!$U417+'C19RM 2021-Lab &amp; Other HPS'!$AB417+'C19RM 2021-Lab &amp; Other HPS'!$AP417+'C19RM 2021-Lab &amp; Other HPS'!$AI417+AW417+BD417</f>
        <v>0</v>
      </c>
      <c r="BG417" s="513">
        <f>'C19RM 2021-Lab &amp; Other HPS'!$V417+'C19RM 2021-Lab &amp; Other HPS'!$AC417+'C19RM 2021-Lab &amp; Other HPS'!$AQ417+'C19RM 2021-Lab &amp; Other HPS'!$AJ417+AX417+BE417</f>
        <v>0</v>
      </c>
      <c r="BH417" s="500" t="str" cm="1">
        <f t="array" ref="BH417">IF(A417&lt;&gt;"",IFERROR(INDEX(PMtbl[[WKst]:[Unit of measure*]],MATCH($A$330&amp;$A417&amp;$E417&amp;$I417,INDEX(PMtbl[Sec]&amp;PMtbl[Category]&amp;PMtbl[Each]&amp;PMtbl[Packaging],0,),0),11),""),"")</f>
        <v/>
      </c>
      <c r="BI417" s="819"/>
      <c r="BJ417" s="502" t="str" cm="1">
        <f t="array" ref="BJ417">IFERROR(INDEX(SETUP!$C$19:$G$121,MATCH((INDEX(PMtbl[[WKst]:[Unit of measure*]],MATCH($A417&amp;$E417&amp;$I417,INDEX(PMtbl[Category]&amp;PMtbl[Each]&amp;PMtbl[Packaging],0,),0),3)),SETUP!$D$19:$D$121,0),5),"")</f>
        <v/>
      </c>
      <c r="BK417" s="568"/>
      <c r="BL417" s="563"/>
      <c r="BO417" s="448">
        <f>IF(N417="",0,IF(SETUP!$E$7="USD",((IF(O417="USD",P417,(P417/'Master Data-C19RM'!$C$2)))),((IF(O417="EUR",P417,(P417*'Master Data-C19RM'!$C$2))))))</f>
        <v>0</v>
      </c>
      <c r="BP417" s="448">
        <f>IF(N417="",0,IF(SETUP!$E$7="USD",((IF(O417="USD",W417,(W417/'Master Data-C19RM'!$D$2)))),((IF(O417="EUR",W417,(W417*'Master Data-C19RM'!$D$2))))))</f>
        <v>0</v>
      </c>
      <c r="BQ417" s="470">
        <f>IF(N417="",0,IF(SETUP!$E$7="USD",((IF(O417="USD",AD417,(AD417/'Master Data-C19RM'!$E$2)))),((IF(O417="EUR",AD417,(AD417*'Master Data-C19RM'!$E$2))))))</f>
        <v>0</v>
      </c>
      <c r="BR417" s="470">
        <f>IF(N417="",0,IF(SETUP!$E$7="USD",((IF(O417="USD",AK417,(AK417/'Master Data-C19RM'!$F$2)))),((IF(O417="EUR",AK417,(AK417*'Master Data-C19RM'!$F$2))))))</f>
        <v>0</v>
      </c>
      <c r="BS417" s="470">
        <f>IF(N417="",0,IF(SETUP!$E$7="USD",((IF(O417="USD",AR417,(AR417/'Master Data-C19RM'!$G$2)))),((IF(O417="EUR",AR417,(AR417*'Master Data-C19RM'!$G$2))))))</f>
        <v>0</v>
      </c>
      <c r="BT417" s="470">
        <f>IF(N417="",0,IF(SETUP!$E$7="USD",((IF(O417="USD",AY417,(AY417/'Master Data-C19RM'!$H$2)))),((IF(O417="EUR",AY417,(AY417*'Master Data-C19RM'!$H$2))))))</f>
        <v>0</v>
      </c>
      <c r="BU417" s="448">
        <f t="shared" si="51"/>
        <v>0</v>
      </c>
      <c r="BV417" s="562">
        <f t="shared" si="52"/>
        <v>0</v>
      </c>
      <c r="BW417" s="470"/>
      <c r="BX417" s="470"/>
      <c r="BY417" s="470"/>
      <c r="BZ417" s="470"/>
      <c r="CA417" s="470"/>
      <c r="CB417" s="470"/>
      <c r="CC417" s="470"/>
      <c r="CD417" s="470"/>
      <c r="CE417" s="470"/>
      <c r="CF417" s="470"/>
      <c r="CG417" s="470"/>
      <c r="CH417" s="470"/>
      <c r="CI417" s="470"/>
      <c r="CJ417" s="470"/>
      <c r="CK417" s="470"/>
      <c r="CL417" s="470"/>
      <c r="CM417" s="470"/>
      <c r="CN417" s="470"/>
      <c r="CO417" s="470"/>
      <c r="CP417" s="470"/>
    </row>
    <row r="418" spans="1:94" s="448" customFormat="1" ht="14" x14ac:dyDescent="0.3">
      <c r="A418" s="1197"/>
      <c r="B418" s="1198"/>
      <c r="C418" s="1198"/>
      <c r="D418" s="1199"/>
      <c r="E418" s="1173"/>
      <c r="F418" s="1173"/>
      <c r="G418" s="1173"/>
      <c r="H418" s="1173"/>
      <c r="I418" s="1173"/>
      <c r="J418" s="1173"/>
      <c r="K418" s="1173"/>
      <c r="L418" s="493" t="str" cm="1">
        <f t="array" ref="L418">IF(A418&lt;&gt;"",IFERROR(INDEX(PMtbl[[WKst]:[Unit of measure*]],MATCH($A$330&amp;$A418&amp;$E418&amp;$I418,INDEX(PMtbl[Sec]&amp;PMtbl[Category]&amp;PMtbl[Each]&amp;PMtbl[Packaging],0,),0),14),""),"")</f>
        <v/>
      </c>
      <c r="M418" s="480" t="str">
        <f>IF(L418="","",INDEX(SETUP!$E$20:$E$122,(MATCH(INDEX(PMsheet!$D:$E,MATCH(A418,PMsheet!E:E,0),1),SETUP!$D$20:$D$122,0))))</f>
        <v/>
      </c>
      <c r="N418" s="494">
        <f>IF($O418="USD",_xlfn.IFNA(VLOOKUP(A418&amp;E418&amp;I418,PMsheet!J:K,2,0),0),(_xlfn.IFNA(VLOOKUP(A418&amp;E418&amp;I418,PMsheet!J:K,2,0),0)*'Master Data-C19RM'!$C$2))</f>
        <v>0</v>
      </c>
      <c r="O418" s="495" t="str">
        <f>IF(L418="", "",SETUP!$E$7)</f>
        <v/>
      </c>
      <c r="P418" s="445">
        <f>IF($O418="USD",_xlfn.IFNA(VLOOKUP($A418&amp;$E418&amp;$I418,PMsheet!$J:$K,2,0),0),(_xlfn.IFNA(VLOOKUP($A418&amp;$E418&amp;$I418,PMsheet!$J:$K,2,0),0)*'Master Data-C19RM'!$C$2))</f>
        <v>0</v>
      </c>
      <c r="Q418" s="440"/>
      <c r="R418" s="440"/>
      <c r="S418" s="440"/>
      <c r="T418" s="440"/>
      <c r="U418" s="482">
        <f t="shared" si="44"/>
        <v>0</v>
      </c>
      <c r="V418" s="484">
        <f>IF(SETUP!$E$7="USD",(U418*(IF(O418="USD",P418,(P418/'Master Data-C19RM'!$C$2)))),(U418*(IF(O418="EUR",P418,(P418*'Master Data-C19RM'!$C$2)))))</f>
        <v>0</v>
      </c>
      <c r="W418" s="445">
        <f>IF($O418="USD",_xlfn.IFNA(VLOOKUP($A418&amp;$E418&amp;$I418,PMsheet!$J:$K,2,0),0),(_xlfn.IFNA(VLOOKUP($A418&amp;$E418&amp;$I418,PMsheet!$J:$K,2,0),0)*'Master Data-C19RM'!$D$2))</f>
        <v>0</v>
      </c>
      <c r="X418" s="440"/>
      <c r="Y418" s="440"/>
      <c r="Z418" s="440"/>
      <c r="AA418" s="440"/>
      <c r="AB418" s="482">
        <f t="shared" si="47"/>
        <v>0</v>
      </c>
      <c r="AC418" s="484">
        <f>IF(SETUP!$E$7="USD",(AB418*(IF(O418="USD",W418,(W418/'Master Data-C19RM'!$D$2)))),(AB418*(IF(O418="EUR",W418,(W418*'Master Data-C19RM'!$D$2)))))</f>
        <v>0</v>
      </c>
      <c r="AD418" s="445">
        <f>IF($O418="USD",_xlfn.IFNA(VLOOKUP($A418&amp;$E418&amp;$I418,PMsheet!$J:$K,2,0),0),(_xlfn.IFNA(VLOOKUP($A418&amp;$E418&amp;$I418,PMsheet!$J:$K,2,0),0)*'Master Data-C19RM'!$E$2))</f>
        <v>0</v>
      </c>
      <c r="AE418" s="440"/>
      <c r="AF418" s="440"/>
      <c r="AG418" s="440"/>
      <c r="AH418" s="440"/>
      <c r="AI418" s="514">
        <f t="shared" si="48"/>
        <v>0</v>
      </c>
      <c r="AJ418" s="515">
        <f>IF(SETUP!$E$7="USD",(AI418*(IF(O418="USD",AD418,(AD418/'Master Data-C19RM'!$E$2)))),(AI418*(IF(O418="EUR",AD418,(AD418*'Master Data-C19RM'!$E$2)))))</f>
        <v>0</v>
      </c>
      <c r="AK418" s="445">
        <f>IF($O418="USD",_xlfn.IFNA(VLOOKUP($A418&amp;$E418&amp;$I418,PMsheet!$J:$K,2,0),0),(_xlfn.IFNA(VLOOKUP($A418&amp;$E418&amp;$I418,PMsheet!$J:$K,2,0),0)*'Master Data-C19RM'!$F$2))</f>
        <v>0</v>
      </c>
      <c r="AL418" s="440"/>
      <c r="AM418" s="440"/>
      <c r="AN418" s="440"/>
      <c r="AO418" s="440"/>
      <c r="AP418" s="514">
        <f t="shared" si="49"/>
        <v>0</v>
      </c>
      <c r="AQ418" s="515">
        <f>IF(SETUP!$E$7="USD",(AP418*(IF(O418="USD",AK418,(AK418/'Master Data-C19RM'!$F$2)))),(AP418*(IF(O418="EUR",AK418,(AK418*'Master Data-C19RM'!$F$2)))))</f>
        <v>0</v>
      </c>
      <c r="AR418" s="925">
        <f>IF($O418="USD",_xlfn.IFNA(VLOOKUP($A418&amp;$E418&amp;$I418,PMsheet!$J:$K,2,0),0),(_xlfn.IFNA(VLOOKUP($A418&amp;$E418&amp;$I418,PMsheet!$J:$K,2,0),0)*'Master Data-C19RM'!$G$2))</f>
        <v>0</v>
      </c>
      <c r="AS418" s="926"/>
      <c r="AT418" s="926"/>
      <c r="AU418" s="926"/>
      <c r="AV418" s="926"/>
      <c r="AW418" s="514">
        <f t="shared" si="53"/>
        <v>0</v>
      </c>
      <c r="AX418" s="514">
        <f>IF(SETUP!$E$7="USD",(AW418*(IF(O418="USD",AR418,(AR418/'Master Data-C19RM'!$G$2)))),(AW418*(IF(O418="EUR",AR418,(AR418*'Master Data-C19RM'!$G$2)))))</f>
        <v>0</v>
      </c>
      <c r="AY418" s="845"/>
      <c r="AZ418" s="846"/>
      <c r="BA418" s="846"/>
      <c r="BB418" s="846"/>
      <c r="BC418" s="846"/>
      <c r="BD418" s="846"/>
      <c r="BE418" s="847"/>
      <c r="BF418" s="521">
        <f>'C19RM 2021-Lab &amp; Other HPS'!$U418+'C19RM 2021-Lab &amp; Other HPS'!$AB418+'C19RM 2021-Lab &amp; Other HPS'!$AP418+'C19RM 2021-Lab &amp; Other HPS'!$AI418+AW418+BD418</f>
        <v>0</v>
      </c>
      <c r="BG418" s="515">
        <f>'C19RM 2021-Lab &amp; Other HPS'!$V418+'C19RM 2021-Lab &amp; Other HPS'!$AC418+'C19RM 2021-Lab &amp; Other HPS'!$AQ418+'C19RM 2021-Lab &amp; Other HPS'!$AJ418+AX418+BE418</f>
        <v>0</v>
      </c>
      <c r="BH418" s="522" t="str" cm="1">
        <f t="array" ref="BH418">IF(A418&lt;&gt;"",IFERROR(INDEX(PMtbl[[WKst]:[Unit of measure*]],MATCH($A$330&amp;$A418&amp;$E418&amp;$I418,INDEX(PMtbl[Sec]&amp;PMtbl[Category]&amp;PMtbl[Each]&amp;PMtbl[Packaging],0,),0),11),""),"")</f>
        <v/>
      </c>
      <c r="BI418" s="818"/>
      <c r="BJ418" s="503" t="str" cm="1">
        <f t="array" ref="BJ418">IFERROR(INDEX(SETUP!$C$19:$G$121,MATCH((INDEX(PMtbl[[WKst]:[Unit of measure*]],MATCH($A418&amp;$E418&amp;$I418,INDEX(PMtbl[Category]&amp;PMtbl[Each]&amp;PMtbl[Packaging],0,),0),3)),SETUP!$D$19:$D$121,0),5),"")</f>
        <v/>
      </c>
      <c r="BK418" s="569"/>
      <c r="BL418" s="564"/>
      <c r="BO418" s="448">
        <f>IF(N418="",0,IF(SETUP!$E$7="USD",((IF(O418="USD",P418,(P418/'Master Data-C19RM'!$C$2)))),((IF(O418="EUR",P418,(P418*'Master Data-C19RM'!$C$2))))))</f>
        <v>0</v>
      </c>
      <c r="BP418" s="448">
        <f>IF(N418="",0,IF(SETUP!$E$7="USD",((IF(O418="USD",W418,(W418/'Master Data-C19RM'!$D$2)))),((IF(O418="EUR",W418,(W418*'Master Data-C19RM'!$D$2))))))</f>
        <v>0</v>
      </c>
      <c r="BQ418" s="470">
        <f>IF(N418="",0,IF(SETUP!$E$7="USD",((IF(O418="USD",AD418,(AD418/'Master Data-C19RM'!$E$2)))),((IF(O418="EUR",AD418,(AD418*'Master Data-C19RM'!$E$2))))))</f>
        <v>0</v>
      </c>
      <c r="BR418" s="470">
        <f>IF(N418="",0,IF(SETUP!$E$7="USD",((IF(O418="USD",AK418,(AK418/'Master Data-C19RM'!$F$2)))),((IF(O418="EUR",AK418,(AK418*'Master Data-C19RM'!$F$2))))))</f>
        <v>0</v>
      </c>
      <c r="BS418" s="470">
        <f>IF(N418="",0,IF(SETUP!$E$7="USD",((IF(O418="USD",AR418,(AR418/'Master Data-C19RM'!$G$2)))),((IF(O418="EUR",AR418,(AR418*'Master Data-C19RM'!$G$2))))))</f>
        <v>0</v>
      </c>
      <c r="BT418" s="470">
        <f>IF(N418="",0,IF(SETUP!$E$7="USD",((IF(O418="USD",AY418,(AY418/'Master Data-C19RM'!$H$2)))),((IF(O418="EUR",AY418,(AY418*'Master Data-C19RM'!$H$2))))))</f>
        <v>0</v>
      </c>
      <c r="BU418" s="448">
        <f t="shared" si="51"/>
        <v>0</v>
      </c>
      <c r="BV418" s="562">
        <f t="shared" si="52"/>
        <v>0</v>
      </c>
      <c r="BW418" s="470"/>
      <c r="BX418" s="470"/>
      <c r="BY418" s="470"/>
      <c r="BZ418" s="470"/>
      <c r="CA418" s="470"/>
      <c r="CB418" s="470"/>
      <c r="CC418" s="470"/>
      <c r="CD418" s="470"/>
      <c r="CE418" s="470"/>
      <c r="CF418" s="470"/>
      <c r="CG418" s="470"/>
      <c r="CH418" s="470"/>
      <c r="CI418" s="470"/>
      <c r="CJ418" s="470"/>
      <c r="CK418" s="470"/>
      <c r="CL418" s="470"/>
      <c r="CM418" s="470"/>
      <c r="CN418" s="470"/>
      <c r="CO418" s="470"/>
      <c r="CP418" s="470"/>
    </row>
    <row r="419" spans="1:94" s="448" customFormat="1" ht="14" x14ac:dyDescent="0.3">
      <c r="A419" s="1165"/>
      <c r="B419" s="1165"/>
      <c r="C419" s="1165"/>
      <c r="D419" s="1165"/>
      <c r="E419" s="1166"/>
      <c r="F419" s="1166"/>
      <c r="G419" s="1166"/>
      <c r="H419" s="1166"/>
      <c r="I419" s="1166"/>
      <c r="J419" s="1166"/>
      <c r="K419" s="1166"/>
      <c r="L419" s="490" t="str" cm="1">
        <f t="array" ref="L419">IF(A419&lt;&gt;"",IFERROR(INDEX(PMtbl[[WKst]:[Unit of measure*]],MATCH($A$330&amp;$A419&amp;$E419&amp;$I419,INDEX(PMtbl[Sec]&amp;PMtbl[Category]&amp;PMtbl[Each]&amp;PMtbl[Packaging],0,),0),14),""),"")</f>
        <v/>
      </c>
      <c r="M419" s="479" t="str">
        <f>IF(L419="","",INDEX(SETUP!$E$20:$E$122,(MATCH(INDEX(PMsheet!$D:$E,MATCH(A419,PMsheet!E:E,0),1),SETUP!$D$20:$D$122,0))))</f>
        <v/>
      </c>
      <c r="N419" s="491">
        <f>IF($O419="USD",_xlfn.IFNA(VLOOKUP(A419&amp;E419&amp;I419,PMsheet!J:K,2,0),0),(_xlfn.IFNA(VLOOKUP(A419&amp;E419&amp;I419,PMsheet!J:K,2,0),0)*'Master Data-C19RM'!$C$2))</f>
        <v>0</v>
      </c>
      <c r="O419" s="492" t="str">
        <f>IF(L419="", "",SETUP!$E$7)</f>
        <v/>
      </c>
      <c r="P419" s="444">
        <f>IF($O419="USD",_xlfn.IFNA(VLOOKUP($A419&amp;$E419&amp;$I419,PMsheet!$J:$K,2,0),0),(_xlfn.IFNA(VLOOKUP($A419&amp;$E419&amp;$I419,PMsheet!$J:$K,2,0),0)*'Master Data-C19RM'!$C$2))</f>
        <v>0</v>
      </c>
      <c r="Q419" s="441"/>
      <c r="R419" s="441"/>
      <c r="S419" s="441"/>
      <c r="T419" s="441"/>
      <c r="U419" s="481">
        <f t="shared" si="44"/>
        <v>0</v>
      </c>
      <c r="V419" s="483">
        <f>IF(SETUP!$E$7="USD",(U419*(IF(O419="USD",P419,(P419/'Master Data-C19RM'!$C$2)))),(U419*(IF(O419="EUR",P419,(P419*'Master Data-C19RM'!$C$2)))))</f>
        <v>0</v>
      </c>
      <c r="W419" s="444">
        <f>IF($O419="USD",_xlfn.IFNA(VLOOKUP($A419&amp;$E419&amp;$I419,PMsheet!$J:$K,2,0),0),(_xlfn.IFNA(VLOOKUP($A419&amp;$E419&amp;$I419,PMsheet!$J:$K,2,0),0)*'Master Data-C19RM'!$D$2))</f>
        <v>0</v>
      </c>
      <c r="X419" s="441"/>
      <c r="Y419" s="441"/>
      <c r="Z419" s="441"/>
      <c r="AA419" s="441"/>
      <c r="AB419" s="481">
        <f t="shared" si="47"/>
        <v>0</v>
      </c>
      <c r="AC419" s="483">
        <f>IF(SETUP!$E$7="USD",(AB419*(IF(O419="USD",W419,(W419/'Master Data-C19RM'!$D$2)))),(AB419*(IF(O419="EUR",W419,(W419*'Master Data-C19RM'!$D$2)))))</f>
        <v>0</v>
      </c>
      <c r="AD419" s="444">
        <f>IF($O419="USD",_xlfn.IFNA(VLOOKUP($A419&amp;$E419&amp;$I419,PMsheet!$J:$K,2,0),0),(_xlfn.IFNA(VLOOKUP($A419&amp;$E419&amp;$I419,PMsheet!$J:$K,2,0),0)*'Master Data-C19RM'!$E$2))</f>
        <v>0</v>
      </c>
      <c r="AE419" s="441"/>
      <c r="AF419" s="441"/>
      <c r="AG419" s="441"/>
      <c r="AH419" s="441"/>
      <c r="AI419" s="512">
        <f t="shared" si="48"/>
        <v>0</v>
      </c>
      <c r="AJ419" s="513">
        <f>IF(SETUP!$E$7="USD",(AI419*(IF(O419="USD",AD419,(AD419/'Master Data-C19RM'!$E$2)))),(AI419*(IF(O419="EUR",AD419,(AD419*'Master Data-C19RM'!$E$2)))))</f>
        <v>0</v>
      </c>
      <c r="AK419" s="444">
        <f>IF($O419="USD",_xlfn.IFNA(VLOOKUP($A419&amp;$E419&amp;$I419,PMsheet!$J:$K,2,0),0),(_xlfn.IFNA(VLOOKUP($A419&amp;$E419&amp;$I419,PMsheet!$J:$K,2,0),0)*'Master Data-C19RM'!$F$2))</f>
        <v>0</v>
      </c>
      <c r="AL419" s="441"/>
      <c r="AM419" s="441"/>
      <c r="AN419" s="441"/>
      <c r="AO419" s="441"/>
      <c r="AP419" s="512">
        <f t="shared" si="49"/>
        <v>0</v>
      </c>
      <c r="AQ419" s="513">
        <f>IF(SETUP!$E$7="USD",(AP419*(IF(O419="USD",AK419,(AK419/'Master Data-C19RM'!$F$2)))),(AP419*(IF(O419="EUR",AK419,(AK419*'Master Data-C19RM'!$F$2)))))</f>
        <v>0</v>
      </c>
      <c r="AR419" s="924">
        <f>IF($O419="USD",_xlfn.IFNA(VLOOKUP($A419&amp;$E419&amp;$I419,PMsheet!$J:$K,2,0),0),(_xlfn.IFNA(VLOOKUP($A419&amp;$E419&amp;$I419,PMsheet!$J:$K,2,0),0)*'Master Data-C19RM'!$G$2))</f>
        <v>0</v>
      </c>
      <c r="AS419" s="572"/>
      <c r="AT419" s="572"/>
      <c r="AU419" s="572"/>
      <c r="AV419" s="572"/>
      <c r="AW419" s="512">
        <f t="shared" si="53"/>
        <v>0</v>
      </c>
      <c r="AX419" s="512">
        <f>IF(SETUP!$E$7="USD",(AW419*(IF(O419="USD",AR419,(AR419/'Master Data-C19RM'!$G$2)))),(AW419*(IF(O419="EUR",AR419,(AR419*'Master Data-C19RM'!$G$2)))))</f>
        <v>0</v>
      </c>
      <c r="AY419" s="845"/>
      <c r="AZ419" s="846"/>
      <c r="BA419" s="846"/>
      <c r="BB419" s="846"/>
      <c r="BC419" s="846"/>
      <c r="BD419" s="846"/>
      <c r="BE419" s="847"/>
      <c r="BF419" s="520">
        <f>'C19RM 2021-Lab &amp; Other HPS'!$U419+'C19RM 2021-Lab &amp; Other HPS'!$AB419+'C19RM 2021-Lab &amp; Other HPS'!$AP419+'C19RM 2021-Lab &amp; Other HPS'!$AI419+AW419+BD419</f>
        <v>0</v>
      </c>
      <c r="BG419" s="513">
        <f>'C19RM 2021-Lab &amp; Other HPS'!$V419+'C19RM 2021-Lab &amp; Other HPS'!$AC419+'C19RM 2021-Lab &amp; Other HPS'!$AQ419+'C19RM 2021-Lab &amp; Other HPS'!$AJ419+AX419+BE419</f>
        <v>0</v>
      </c>
      <c r="BH419" s="500" t="str" cm="1">
        <f t="array" ref="BH419">IF(A419&lt;&gt;"",IFERROR(INDEX(PMtbl[[WKst]:[Unit of measure*]],MATCH($A$330&amp;$A419&amp;$E419&amp;$I419,INDEX(PMtbl[Sec]&amp;PMtbl[Category]&amp;PMtbl[Each]&amp;PMtbl[Packaging],0,),0),11),""),"")</f>
        <v/>
      </c>
      <c r="BI419" s="819"/>
      <c r="BJ419" s="502" t="str" cm="1">
        <f t="array" ref="BJ419">IFERROR(INDEX(SETUP!$C$19:$G$121,MATCH((INDEX(PMtbl[[WKst]:[Unit of measure*]],MATCH($A419&amp;$E419&amp;$I419,INDEX(PMtbl[Category]&amp;PMtbl[Each]&amp;PMtbl[Packaging],0,),0),3)),SETUP!$D$19:$D$121,0),5),"")</f>
        <v/>
      </c>
      <c r="BK419" s="568"/>
      <c r="BL419" s="563"/>
      <c r="BO419" s="448">
        <f>IF(N419="",0,IF(SETUP!$E$7="USD",((IF(O419="USD",P419,(P419/'Master Data-C19RM'!$C$2)))),((IF(O419="EUR",P419,(P419*'Master Data-C19RM'!$C$2))))))</f>
        <v>0</v>
      </c>
      <c r="BP419" s="448">
        <f>IF(N419="",0,IF(SETUP!$E$7="USD",((IF(O419="USD",W419,(W419/'Master Data-C19RM'!$D$2)))),((IF(O419="EUR",W419,(W419*'Master Data-C19RM'!$D$2))))))</f>
        <v>0</v>
      </c>
      <c r="BQ419" s="470">
        <f>IF(N419="",0,IF(SETUP!$E$7="USD",((IF(O419="USD",AD419,(AD419/'Master Data-C19RM'!$E$2)))),((IF(O419="EUR",AD419,(AD419*'Master Data-C19RM'!$E$2))))))</f>
        <v>0</v>
      </c>
      <c r="BR419" s="470">
        <f>IF(N419="",0,IF(SETUP!$E$7="USD",((IF(O419="USD",AK419,(AK419/'Master Data-C19RM'!$F$2)))),((IF(O419="EUR",AK419,(AK419*'Master Data-C19RM'!$F$2))))))</f>
        <v>0</v>
      </c>
      <c r="BS419" s="470">
        <f>IF(N419="",0,IF(SETUP!$E$7="USD",((IF(O419="USD",AR419,(AR419/'Master Data-C19RM'!$G$2)))),((IF(O419="EUR",AR419,(AR419*'Master Data-C19RM'!$G$2))))))</f>
        <v>0</v>
      </c>
      <c r="BT419" s="470">
        <f>IF(N419="",0,IF(SETUP!$E$7="USD",((IF(O419="USD",AY419,(AY419/'Master Data-C19RM'!$H$2)))),((IF(O419="EUR",AY419,(AY419*'Master Data-C19RM'!$H$2))))))</f>
        <v>0</v>
      </c>
      <c r="BU419" s="448">
        <f t="shared" si="51"/>
        <v>0</v>
      </c>
      <c r="BV419" s="562">
        <f t="shared" si="52"/>
        <v>0</v>
      </c>
      <c r="BW419" s="470"/>
      <c r="BX419" s="470"/>
      <c r="BY419" s="470"/>
      <c r="BZ419" s="470"/>
      <c r="CA419" s="470"/>
      <c r="CB419" s="470"/>
      <c r="CC419" s="470"/>
      <c r="CD419" s="470"/>
      <c r="CE419" s="470"/>
      <c r="CF419" s="470"/>
      <c r="CG419" s="470"/>
      <c r="CH419" s="470"/>
      <c r="CI419" s="470"/>
      <c r="CJ419" s="470"/>
      <c r="CK419" s="470"/>
      <c r="CL419" s="470"/>
      <c r="CM419" s="470"/>
      <c r="CN419" s="470"/>
      <c r="CO419" s="470"/>
      <c r="CP419" s="470"/>
    </row>
    <row r="420" spans="1:94" s="448" customFormat="1" ht="14" x14ac:dyDescent="0.3">
      <c r="A420" s="1197"/>
      <c r="B420" s="1198"/>
      <c r="C420" s="1198"/>
      <c r="D420" s="1199"/>
      <c r="E420" s="1173"/>
      <c r="F420" s="1173"/>
      <c r="G420" s="1173"/>
      <c r="H420" s="1173"/>
      <c r="I420" s="1173"/>
      <c r="J420" s="1173"/>
      <c r="K420" s="1173"/>
      <c r="L420" s="493" t="str" cm="1">
        <f t="array" ref="L420">IF(A420&lt;&gt;"",IFERROR(INDEX(PMtbl[[WKst]:[Unit of measure*]],MATCH($A$330&amp;$A420&amp;$E420&amp;$I420,INDEX(PMtbl[Sec]&amp;PMtbl[Category]&amp;PMtbl[Each]&amp;PMtbl[Packaging],0,),0),14),""),"")</f>
        <v/>
      </c>
      <c r="M420" s="480" t="str">
        <f>IF(L420="","",INDEX(SETUP!$E$20:$E$122,(MATCH(INDEX(PMsheet!$D:$E,MATCH(A420,PMsheet!E:E,0),1),SETUP!$D$20:$D$122,0))))</f>
        <v/>
      </c>
      <c r="N420" s="494">
        <f>IF($O420="USD",_xlfn.IFNA(VLOOKUP(A420&amp;E420&amp;I420,PMsheet!J:K,2,0),0),(_xlfn.IFNA(VLOOKUP(A420&amp;E420&amp;I420,PMsheet!J:K,2,0),0)*'Master Data-C19RM'!$C$2))</f>
        <v>0</v>
      </c>
      <c r="O420" s="495" t="str">
        <f>IF(L420="", "",SETUP!$E$7)</f>
        <v/>
      </c>
      <c r="P420" s="445">
        <f>IF($O420="USD",_xlfn.IFNA(VLOOKUP($A420&amp;$E420&amp;$I420,PMsheet!$J:$K,2,0),0),(_xlfn.IFNA(VLOOKUP($A420&amp;$E420&amp;$I420,PMsheet!$J:$K,2,0),0)*'Master Data-C19RM'!$C$2))</f>
        <v>0</v>
      </c>
      <c r="Q420" s="440"/>
      <c r="R420" s="440"/>
      <c r="S420" s="440"/>
      <c r="T420" s="440"/>
      <c r="U420" s="482">
        <f t="shared" si="44"/>
        <v>0</v>
      </c>
      <c r="V420" s="484">
        <f>IF(SETUP!$E$7="USD",(U420*(IF(O420="USD",P420,(P420/'Master Data-C19RM'!$C$2)))),(U420*(IF(O420="EUR",P420,(P420*'Master Data-C19RM'!$C$2)))))</f>
        <v>0</v>
      </c>
      <c r="W420" s="445">
        <f>IF($O420="USD",_xlfn.IFNA(VLOOKUP($A420&amp;$E420&amp;$I420,PMsheet!$J:$K,2,0),0),(_xlfn.IFNA(VLOOKUP($A420&amp;$E420&amp;$I420,PMsheet!$J:$K,2,0),0)*'Master Data-C19RM'!$D$2))</f>
        <v>0</v>
      </c>
      <c r="X420" s="440"/>
      <c r="Y420" s="440"/>
      <c r="Z420" s="440"/>
      <c r="AA420" s="440"/>
      <c r="AB420" s="482">
        <f t="shared" si="47"/>
        <v>0</v>
      </c>
      <c r="AC420" s="484">
        <f>IF(SETUP!$E$7="USD",(AB420*(IF(O420="USD",W420,(W420/'Master Data-C19RM'!$D$2)))),(AB420*(IF(O420="EUR",W420,(W420*'Master Data-C19RM'!$D$2)))))</f>
        <v>0</v>
      </c>
      <c r="AD420" s="445">
        <f>IF($O420="USD",_xlfn.IFNA(VLOOKUP($A420&amp;$E420&amp;$I420,PMsheet!$J:$K,2,0),0),(_xlfn.IFNA(VLOOKUP($A420&amp;$E420&amp;$I420,PMsheet!$J:$K,2,0),0)*'Master Data-C19RM'!$E$2))</f>
        <v>0</v>
      </c>
      <c r="AE420" s="440"/>
      <c r="AF420" s="440"/>
      <c r="AG420" s="440"/>
      <c r="AH420" s="440"/>
      <c r="AI420" s="514">
        <f t="shared" si="48"/>
        <v>0</v>
      </c>
      <c r="AJ420" s="515">
        <f>IF(SETUP!$E$7="USD",(AI420*(IF(O420="USD",AD420,(AD420/'Master Data-C19RM'!$E$2)))),(AI420*(IF(O420="EUR",AD420,(AD420*'Master Data-C19RM'!$E$2)))))</f>
        <v>0</v>
      </c>
      <c r="AK420" s="445">
        <f>IF($O420="USD",_xlfn.IFNA(VLOOKUP($A420&amp;$E420&amp;$I420,PMsheet!$J:$K,2,0),0),(_xlfn.IFNA(VLOOKUP($A420&amp;$E420&amp;$I420,PMsheet!$J:$K,2,0),0)*'Master Data-C19RM'!$F$2))</f>
        <v>0</v>
      </c>
      <c r="AL420" s="440"/>
      <c r="AM420" s="440"/>
      <c r="AN420" s="440"/>
      <c r="AO420" s="440"/>
      <c r="AP420" s="514">
        <f t="shared" si="49"/>
        <v>0</v>
      </c>
      <c r="AQ420" s="515">
        <f>IF(SETUP!$E$7="USD",(AP420*(IF(O420="USD",AK420,(AK420/'Master Data-C19RM'!$F$2)))),(AP420*(IF(O420="EUR",AK420,(AK420*'Master Data-C19RM'!$F$2)))))</f>
        <v>0</v>
      </c>
      <c r="AR420" s="925">
        <f>IF($O420="USD",_xlfn.IFNA(VLOOKUP($A420&amp;$E420&amp;$I420,PMsheet!$J:$K,2,0),0),(_xlfn.IFNA(VLOOKUP($A420&amp;$E420&amp;$I420,PMsheet!$J:$K,2,0),0)*'Master Data-C19RM'!$G$2))</f>
        <v>0</v>
      </c>
      <c r="AS420" s="926"/>
      <c r="AT420" s="926"/>
      <c r="AU420" s="926"/>
      <c r="AV420" s="926"/>
      <c r="AW420" s="514">
        <f t="shared" si="53"/>
        <v>0</v>
      </c>
      <c r="AX420" s="514">
        <f>IF(SETUP!$E$7="USD",(AW420*(IF(O420="USD",AR420,(AR420/'Master Data-C19RM'!$G$2)))),(AW420*(IF(O420="EUR",AR420,(AR420*'Master Data-C19RM'!$G$2)))))</f>
        <v>0</v>
      </c>
      <c r="AY420" s="845"/>
      <c r="AZ420" s="846"/>
      <c r="BA420" s="846"/>
      <c r="BB420" s="846"/>
      <c r="BC420" s="846"/>
      <c r="BD420" s="846"/>
      <c r="BE420" s="847"/>
      <c r="BF420" s="521">
        <f>'C19RM 2021-Lab &amp; Other HPS'!$U420+'C19RM 2021-Lab &amp; Other HPS'!$AB420+'C19RM 2021-Lab &amp; Other HPS'!$AP420+'C19RM 2021-Lab &amp; Other HPS'!$AI420+AW420+BD420</f>
        <v>0</v>
      </c>
      <c r="BG420" s="515">
        <f>'C19RM 2021-Lab &amp; Other HPS'!$V420+'C19RM 2021-Lab &amp; Other HPS'!$AC420+'C19RM 2021-Lab &amp; Other HPS'!$AQ420+'C19RM 2021-Lab &amp; Other HPS'!$AJ420+AX420+BE420</f>
        <v>0</v>
      </c>
      <c r="BH420" s="522" t="str" cm="1">
        <f t="array" ref="BH420">IF(A420&lt;&gt;"",IFERROR(INDEX(PMtbl[[WKst]:[Unit of measure*]],MATCH($A$330&amp;$A420&amp;$E420&amp;$I420,INDEX(PMtbl[Sec]&amp;PMtbl[Category]&amp;PMtbl[Each]&amp;PMtbl[Packaging],0,),0),11),""),"")</f>
        <v/>
      </c>
      <c r="BI420" s="818"/>
      <c r="BJ420" s="503" t="str" cm="1">
        <f t="array" ref="BJ420">IFERROR(INDEX(SETUP!$C$19:$G$121,MATCH((INDEX(PMtbl[[WKst]:[Unit of measure*]],MATCH($A420&amp;$E420&amp;$I420,INDEX(PMtbl[Category]&amp;PMtbl[Each]&amp;PMtbl[Packaging],0,),0),3)),SETUP!$D$19:$D$121,0),5),"")</f>
        <v/>
      </c>
      <c r="BK420" s="569"/>
      <c r="BL420" s="564"/>
      <c r="BO420" s="448">
        <f>IF(N420="",0,IF(SETUP!$E$7="USD",((IF(O420="USD",P420,(P420/'Master Data-C19RM'!$C$2)))),((IF(O420="EUR",P420,(P420*'Master Data-C19RM'!$C$2))))))</f>
        <v>0</v>
      </c>
      <c r="BP420" s="448">
        <f>IF(N420="",0,IF(SETUP!$E$7="USD",((IF(O420="USD",W420,(W420/'Master Data-C19RM'!$D$2)))),((IF(O420="EUR",W420,(W420*'Master Data-C19RM'!$D$2))))))</f>
        <v>0</v>
      </c>
      <c r="BQ420" s="470">
        <f>IF(N420="",0,IF(SETUP!$E$7="USD",((IF(O420="USD",AD420,(AD420/'Master Data-C19RM'!$E$2)))),((IF(O420="EUR",AD420,(AD420*'Master Data-C19RM'!$E$2))))))</f>
        <v>0</v>
      </c>
      <c r="BR420" s="470">
        <f>IF(N420="",0,IF(SETUP!$E$7="USD",((IF(O420="USD",AK420,(AK420/'Master Data-C19RM'!$F$2)))),((IF(O420="EUR",AK420,(AK420*'Master Data-C19RM'!$F$2))))))</f>
        <v>0</v>
      </c>
      <c r="BS420" s="470">
        <f>IF(N420="",0,IF(SETUP!$E$7="USD",((IF(O420="USD",AR420,(AR420/'Master Data-C19RM'!$G$2)))),((IF(O420="EUR",AR420,(AR420*'Master Data-C19RM'!$G$2))))))</f>
        <v>0</v>
      </c>
      <c r="BT420" s="470">
        <f>IF(N420="",0,IF(SETUP!$E$7="USD",((IF(O420="USD",AY420,(AY420/'Master Data-C19RM'!$H$2)))),((IF(O420="EUR",AY420,(AY420*'Master Data-C19RM'!$H$2))))))</f>
        <v>0</v>
      </c>
      <c r="BU420" s="448">
        <f t="shared" si="51"/>
        <v>0</v>
      </c>
      <c r="BV420" s="562">
        <f t="shared" si="52"/>
        <v>0</v>
      </c>
      <c r="BW420" s="470"/>
      <c r="BX420" s="470"/>
      <c r="BY420" s="470"/>
      <c r="BZ420" s="470"/>
      <c r="CA420" s="470"/>
      <c r="CB420" s="470"/>
      <c r="CC420" s="470"/>
      <c r="CD420" s="470"/>
      <c r="CE420" s="470"/>
      <c r="CF420" s="470"/>
      <c r="CG420" s="470"/>
      <c r="CH420" s="470"/>
      <c r="CI420" s="470"/>
      <c r="CJ420" s="470"/>
      <c r="CK420" s="470"/>
      <c r="CL420" s="470"/>
      <c r="CM420" s="470"/>
      <c r="CN420" s="470"/>
      <c r="CO420" s="470"/>
      <c r="CP420" s="470"/>
    </row>
    <row r="421" spans="1:94" s="448" customFormat="1" ht="14" x14ac:dyDescent="0.3">
      <c r="A421" s="1200"/>
      <c r="B421" s="1201"/>
      <c r="C421" s="1201"/>
      <c r="D421" s="1202"/>
      <c r="E421" s="1166"/>
      <c r="F421" s="1166"/>
      <c r="G421" s="1166"/>
      <c r="H421" s="1166"/>
      <c r="I421" s="1166"/>
      <c r="J421" s="1166"/>
      <c r="K421" s="1166"/>
      <c r="L421" s="490" t="str" cm="1">
        <f t="array" ref="L421">IF(A421&lt;&gt;"",IFERROR(INDEX(PMtbl[[WKst]:[Unit of measure*]],MATCH($A$330&amp;$A421&amp;$E421&amp;$I421,INDEX(PMtbl[Sec]&amp;PMtbl[Category]&amp;PMtbl[Each]&amp;PMtbl[Packaging],0,),0),14),""),"")</f>
        <v/>
      </c>
      <c r="M421" s="479" t="str">
        <f>IF(L421="","",INDEX(SETUP!$E$20:$E$122,(MATCH(INDEX(PMsheet!$D:$E,MATCH(A421,PMsheet!E:E,0),1),SETUP!$D$20:$D$122,0))))</f>
        <v/>
      </c>
      <c r="N421" s="491">
        <f>IF($O421="USD",_xlfn.IFNA(VLOOKUP(A421&amp;E421&amp;I421,PMsheet!J:K,2,0),0),(_xlfn.IFNA(VLOOKUP(A421&amp;E421&amp;I421,PMsheet!J:K,2,0),0)*'Master Data-C19RM'!$C$2))</f>
        <v>0</v>
      </c>
      <c r="O421" s="492" t="str">
        <f>IF(L421="", "",SETUP!$E$7)</f>
        <v/>
      </c>
      <c r="P421" s="444">
        <f>IF($O421="USD",_xlfn.IFNA(VLOOKUP($A421&amp;$E421&amp;$I421,PMsheet!$J:$K,2,0),0),(_xlfn.IFNA(VLOOKUP($A421&amp;$E421&amp;$I421,PMsheet!$J:$K,2,0),0)*'Master Data-C19RM'!$C$2))</f>
        <v>0</v>
      </c>
      <c r="Q421" s="441"/>
      <c r="R421" s="441"/>
      <c r="S421" s="441"/>
      <c r="T421" s="441"/>
      <c r="U421" s="481">
        <f t="shared" si="44"/>
        <v>0</v>
      </c>
      <c r="V421" s="483">
        <f>IF(SETUP!$E$7="USD",(U421*(IF(O421="USD",P421,(P421/'Master Data-C19RM'!$C$2)))),(U421*(IF(O421="EUR",P421,(P421*'Master Data-C19RM'!$C$2)))))</f>
        <v>0</v>
      </c>
      <c r="W421" s="444">
        <f>IF($O421="USD",_xlfn.IFNA(VLOOKUP($A421&amp;$E421&amp;$I421,PMsheet!$J:$K,2,0),0),(_xlfn.IFNA(VLOOKUP($A421&amp;$E421&amp;$I421,PMsheet!$J:$K,2,0),0)*'Master Data-C19RM'!$D$2))</f>
        <v>0</v>
      </c>
      <c r="X421" s="441"/>
      <c r="Y421" s="441"/>
      <c r="Z421" s="441"/>
      <c r="AA421" s="441"/>
      <c r="AB421" s="481">
        <f t="shared" si="47"/>
        <v>0</v>
      </c>
      <c r="AC421" s="483">
        <f>IF(SETUP!$E$7="USD",(AB421*(IF(O421="USD",W421,(W421/'Master Data-C19RM'!$D$2)))),(AB421*(IF(O421="EUR",W421,(W421*'Master Data-C19RM'!$D$2)))))</f>
        <v>0</v>
      </c>
      <c r="AD421" s="444">
        <f>IF($O421="USD",_xlfn.IFNA(VLOOKUP($A421&amp;$E421&amp;$I421,PMsheet!$J:$K,2,0),0),(_xlfn.IFNA(VLOOKUP($A421&amp;$E421&amp;$I421,PMsheet!$J:$K,2,0),0)*'Master Data-C19RM'!$E$2))</f>
        <v>0</v>
      </c>
      <c r="AE421" s="441"/>
      <c r="AF421" s="441"/>
      <c r="AG421" s="441"/>
      <c r="AH421" s="441"/>
      <c r="AI421" s="512">
        <f t="shared" si="48"/>
        <v>0</v>
      </c>
      <c r="AJ421" s="513">
        <f>IF(SETUP!$E$7="USD",(AI421*(IF(O421="USD",AD421,(AD421/'Master Data-C19RM'!$E$2)))),(AI421*(IF(O421="EUR",AD421,(AD421*'Master Data-C19RM'!$E$2)))))</f>
        <v>0</v>
      </c>
      <c r="AK421" s="444">
        <f>IF($O421="USD",_xlfn.IFNA(VLOOKUP($A421&amp;$E421&amp;$I421,PMsheet!$J:$K,2,0),0),(_xlfn.IFNA(VLOOKUP($A421&amp;$E421&amp;$I421,PMsheet!$J:$K,2,0),0)*'Master Data-C19RM'!$F$2))</f>
        <v>0</v>
      </c>
      <c r="AL421" s="441"/>
      <c r="AM421" s="441"/>
      <c r="AN421" s="441"/>
      <c r="AO421" s="441"/>
      <c r="AP421" s="512">
        <f t="shared" si="49"/>
        <v>0</v>
      </c>
      <c r="AQ421" s="513">
        <f>IF(SETUP!$E$7="USD",(AP421*(IF(O421="USD",AK421,(AK421/'Master Data-C19RM'!$F$2)))),(AP421*(IF(O421="EUR",AK421,(AK421*'Master Data-C19RM'!$F$2)))))</f>
        <v>0</v>
      </c>
      <c r="AR421" s="924">
        <f>IF($O421="USD",_xlfn.IFNA(VLOOKUP($A421&amp;$E421&amp;$I421,PMsheet!$J:$K,2,0),0),(_xlfn.IFNA(VLOOKUP($A421&amp;$E421&amp;$I421,PMsheet!$J:$K,2,0),0)*'Master Data-C19RM'!$G$2))</f>
        <v>0</v>
      </c>
      <c r="AS421" s="572"/>
      <c r="AT421" s="572"/>
      <c r="AU421" s="572"/>
      <c r="AV421" s="572"/>
      <c r="AW421" s="512">
        <f t="shared" si="53"/>
        <v>0</v>
      </c>
      <c r="AX421" s="512">
        <f>IF(SETUP!$E$7="USD",(AW421*(IF(O421="USD",AR421,(AR421/'Master Data-C19RM'!$G$2)))),(AW421*(IF(O421="EUR",AR421,(AR421*'Master Data-C19RM'!$G$2)))))</f>
        <v>0</v>
      </c>
      <c r="AY421" s="845"/>
      <c r="AZ421" s="846"/>
      <c r="BA421" s="846"/>
      <c r="BB421" s="846"/>
      <c r="BC421" s="846"/>
      <c r="BD421" s="846"/>
      <c r="BE421" s="847"/>
      <c r="BF421" s="520">
        <f>'C19RM 2021-Lab &amp; Other HPS'!$U421+'C19RM 2021-Lab &amp; Other HPS'!$AB421+'C19RM 2021-Lab &amp; Other HPS'!$AP421+'C19RM 2021-Lab &amp; Other HPS'!$AI421+AW421+BD421</f>
        <v>0</v>
      </c>
      <c r="BG421" s="513">
        <f>'C19RM 2021-Lab &amp; Other HPS'!$V421+'C19RM 2021-Lab &amp; Other HPS'!$AC421+'C19RM 2021-Lab &amp; Other HPS'!$AQ421+'C19RM 2021-Lab &amp; Other HPS'!$AJ421+AX421+BE421</f>
        <v>0</v>
      </c>
      <c r="BH421" s="500" t="str" cm="1">
        <f t="array" ref="BH421">IF(A421&lt;&gt;"",IFERROR(INDEX(PMtbl[[WKst]:[Unit of measure*]],MATCH($A$330&amp;$A421&amp;$E421&amp;$I421,INDEX(PMtbl[Sec]&amp;PMtbl[Category]&amp;PMtbl[Each]&amp;PMtbl[Packaging],0,),0),11),""),"")</f>
        <v/>
      </c>
      <c r="BI421" s="819"/>
      <c r="BJ421" s="502" t="str" cm="1">
        <f t="array" ref="BJ421">IFERROR(INDEX(SETUP!$C$19:$G$121,MATCH((INDEX(PMtbl[[WKst]:[Unit of measure*]],MATCH($A421&amp;$E421&amp;$I421,INDEX(PMtbl[Category]&amp;PMtbl[Each]&amp;PMtbl[Packaging],0,),0),3)),SETUP!$D$19:$D$121,0),5),"")</f>
        <v/>
      </c>
      <c r="BK421" s="568"/>
      <c r="BL421" s="563"/>
      <c r="BO421" s="448">
        <f>IF(N421="",0,IF(SETUP!$E$7="USD",((IF(O421="USD",P421,(P421/'Master Data-C19RM'!$C$2)))),((IF(O421="EUR",P421,(P421*'Master Data-C19RM'!$C$2))))))</f>
        <v>0</v>
      </c>
      <c r="BP421" s="448">
        <f>IF(N421="",0,IF(SETUP!$E$7="USD",((IF(O421="USD",W421,(W421/'Master Data-C19RM'!$D$2)))),((IF(O421="EUR",W421,(W421*'Master Data-C19RM'!$D$2))))))</f>
        <v>0</v>
      </c>
      <c r="BQ421" s="470">
        <f>IF(N421="",0,IF(SETUP!$E$7="USD",((IF(O421="USD",AD421,(AD421/'Master Data-C19RM'!$E$2)))),((IF(O421="EUR",AD421,(AD421*'Master Data-C19RM'!$E$2))))))</f>
        <v>0</v>
      </c>
      <c r="BR421" s="470">
        <f>IF(N421="",0,IF(SETUP!$E$7="USD",((IF(O421="USD",AK421,(AK421/'Master Data-C19RM'!$F$2)))),((IF(O421="EUR",AK421,(AK421*'Master Data-C19RM'!$F$2))))))</f>
        <v>0</v>
      </c>
      <c r="BS421" s="470">
        <f>IF(N421="",0,IF(SETUP!$E$7="USD",((IF(O421="USD",AR421,(AR421/'Master Data-C19RM'!$G$2)))),((IF(O421="EUR",AR421,(AR421*'Master Data-C19RM'!$G$2))))))</f>
        <v>0</v>
      </c>
      <c r="BT421" s="470">
        <f>IF(N421="",0,IF(SETUP!$E$7="USD",((IF(O421="USD",AY421,(AY421/'Master Data-C19RM'!$H$2)))),((IF(O421="EUR",AY421,(AY421*'Master Data-C19RM'!$H$2))))))</f>
        <v>0</v>
      </c>
      <c r="BU421" s="448">
        <f t="shared" si="51"/>
        <v>0</v>
      </c>
      <c r="BV421" s="562">
        <f t="shared" si="52"/>
        <v>0</v>
      </c>
      <c r="BW421" s="470"/>
      <c r="BX421" s="470"/>
      <c r="BY421" s="470"/>
      <c r="BZ421" s="470"/>
      <c r="CA421" s="470"/>
      <c r="CB421" s="470"/>
      <c r="CC421" s="470"/>
      <c r="CD421" s="470"/>
      <c r="CE421" s="470"/>
      <c r="CF421" s="470"/>
      <c r="CG421" s="470"/>
      <c r="CH421" s="470"/>
      <c r="CI421" s="470"/>
      <c r="CJ421" s="470"/>
      <c r="CK421" s="470"/>
      <c r="CL421" s="470"/>
      <c r="CM421" s="470"/>
      <c r="CN421" s="470"/>
      <c r="CO421" s="470"/>
      <c r="CP421" s="470"/>
    </row>
    <row r="422" spans="1:94" s="448" customFormat="1" ht="14" x14ac:dyDescent="0.3">
      <c r="A422" s="1197"/>
      <c r="B422" s="1198"/>
      <c r="C422" s="1198"/>
      <c r="D422" s="1199"/>
      <c r="E422" s="1173"/>
      <c r="F422" s="1173"/>
      <c r="G422" s="1173"/>
      <c r="H422" s="1173"/>
      <c r="I422" s="1173"/>
      <c r="J422" s="1173"/>
      <c r="K422" s="1173"/>
      <c r="L422" s="493" t="str" cm="1">
        <f t="array" ref="L422">IF(A422&lt;&gt;"",IFERROR(INDEX(PMtbl[[WKst]:[Unit of measure*]],MATCH($A$330&amp;$A422&amp;$E422&amp;$I422,INDEX(PMtbl[Sec]&amp;PMtbl[Category]&amp;PMtbl[Each]&amp;PMtbl[Packaging],0,),0),14),""),"")</f>
        <v/>
      </c>
      <c r="M422" s="480" t="str">
        <f>IF(L422="","",INDEX(SETUP!$E$20:$E$122,(MATCH(INDEX(PMsheet!$D:$E,MATCH(A422,PMsheet!E:E,0),1),SETUP!$D$20:$D$122,0))))</f>
        <v/>
      </c>
      <c r="N422" s="494">
        <f>IF($O422="USD",_xlfn.IFNA(VLOOKUP(A422&amp;E422&amp;I422,PMsheet!J:K,2,0),0),(_xlfn.IFNA(VLOOKUP(A422&amp;E422&amp;I422,PMsheet!J:K,2,0),0)*'Master Data-C19RM'!$C$2))</f>
        <v>0</v>
      </c>
      <c r="O422" s="495" t="str">
        <f>IF(L422="", "",SETUP!$E$7)</f>
        <v/>
      </c>
      <c r="P422" s="445">
        <f>IF($O422="USD",_xlfn.IFNA(VLOOKUP($A422&amp;$E422&amp;$I422,PMsheet!$J:$K,2,0),0),(_xlfn.IFNA(VLOOKUP($A422&amp;$E422&amp;$I422,PMsheet!$J:$K,2,0),0)*'Master Data-C19RM'!$C$2))</f>
        <v>0</v>
      </c>
      <c r="Q422" s="440"/>
      <c r="R422" s="440"/>
      <c r="S422" s="440"/>
      <c r="T422" s="440"/>
      <c r="U422" s="482">
        <f t="shared" si="44"/>
        <v>0</v>
      </c>
      <c r="V422" s="484">
        <f>IF(SETUP!$E$7="USD",(U422*(IF(O422="USD",P422,(P422/'Master Data-C19RM'!$C$2)))),(U422*(IF(O422="EUR",P422,(P422*'Master Data-C19RM'!$C$2)))))</f>
        <v>0</v>
      </c>
      <c r="W422" s="445">
        <f>IF($O422="USD",_xlfn.IFNA(VLOOKUP($A422&amp;$E422&amp;$I422,PMsheet!$J:$K,2,0),0),(_xlfn.IFNA(VLOOKUP($A422&amp;$E422&amp;$I422,PMsheet!$J:$K,2,0),0)*'Master Data-C19RM'!$D$2))</f>
        <v>0</v>
      </c>
      <c r="X422" s="440"/>
      <c r="Y422" s="440"/>
      <c r="Z422" s="440"/>
      <c r="AA422" s="440"/>
      <c r="AB422" s="482">
        <f t="shared" si="47"/>
        <v>0</v>
      </c>
      <c r="AC422" s="484">
        <f>IF(SETUP!$E$7="USD",(AB422*(IF(O422="USD",W422,(W422/'Master Data-C19RM'!$D$2)))),(AB422*(IF(O422="EUR",W422,(W422*'Master Data-C19RM'!$D$2)))))</f>
        <v>0</v>
      </c>
      <c r="AD422" s="445">
        <f>IF($O422="USD",_xlfn.IFNA(VLOOKUP($A422&amp;$E422&amp;$I422,PMsheet!$J:$K,2,0),0),(_xlfn.IFNA(VLOOKUP($A422&amp;$E422&amp;$I422,PMsheet!$J:$K,2,0),0)*'Master Data-C19RM'!$E$2))</f>
        <v>0</v>
      </c>
      <c r="AE422" s="440"/>
      <c r="AF422" s="440"/>
      <c r="AG422" s="440"/>
      <c r="AH422" s="440"/>
      <c r="AI422" s="514">
        <f t="shared" si="48"/>
        <v>0</v>
      </c>
      <c r="AJ422" s="515">
        <f>IF(SETUP!$E$7="USD",(AI422*(IF(O422="USD",AD422,(AD422/'Master Data-C19RM'!$E$2)))),(AI422*(IF(O422="EUR",AD422,(AD422*'Master Data-C19RM'!$E$2)))))</f>
        <v>0</v>
      </c>
      <c r="AK422" s="445">
        <f>IF($O422="USD",_xlfn.IFNA(VLOOKUP($A422&amp;$E422&amp;$I422,PMsheet!$J:$K,2,0),0),(_xlfn.IFNA(VLOOKUP($A422&amp;$E422&amp;$I422,PMsheet!$J:$K,2,0),0)*'Master Data-C19RM'!$F$2))</f>
        <v>0</v>
      </c>
      <c r="AL422" s="440"/>
      <c r="AM422" s="440"/>
      <c r="AN422" s="440"/>
      <c r="AO422" s="440"/>
      <c r="AP422" s="514">
        <f t="shared" si="49"/>
        <v>0</v>
      </c>
      <c r="AQ422" s="515">
        <f>IF(SETUP!$E$7="USD",(AP422*(IF(O422="USD",AK422,(AK422/'Master Data-C19RM'!$F$2)))),(AP422*(IF(O422="EUR",AK422,(AK422*'Master Data-C19RM'!$F$2)))))</f>
        <v>0</v>
      </c>
      <c r="AR422" s="925">
        <f>IF($O422="USD",_xlfn.IFNA(VLOOKUP($A422&amp;$E422&amp;$I422,PMsheet!$J:$K,2,0),0),(_xlfn.IFNA(VLOOKUP($A422&amp;$E422&amp;$I422,PMsheet!$J:$K,2,0),0)*'Master Data-C19RM'!$G$2))</f>
        <v>0</v>
      </c>
      <c r="AS422" s="926"/>
      <c r="AT422" s="926"/>
      <c r="AU422" s="926"/>
      <c r="AV422" s="926"/>
      <c r="AW422" s="514">
        <f t="shared" si="53"/>
        <v>0</v>
      </c>
      <c r="AX422" s="514">
        <f>IF(SETUP!$E$7="USD",(AW422*(IF(O422="USD",AR422,(AR422/'Master Data-C19RM'!$G$2)))),(AW422*(IF(O422="EUR",AR422,(AR422*'Master Data-C19RM'!$G$2)))))</f>
        <v>0</v>
      </c>
      <c r="AY422" s="845"/>
      <c r="AZ422" s="846"/>
      <c r="BA422" s="846"/>
      <c r="BB422" s="846"/>
      <c r="BC422" s="846"/>
      <c r="BD422" s="846"/>
      <c r="BE422" s="847"/>
      <c r="BF422" s="521">
        <f>'C19RM 2021-Lab &amp; Other HPS'!$U422+'C19RM 2021-Lab &amp; Other HPS'!$AB422+'C19RM 2021-Lab &amp; Other HPS'!$AP422+'C19RM 2021-Lab &amp; Other HPS'!$AI422+AW422+BD422</f>
        <v>0</v>
      </c>
      <c r="BG422" s="515">
        <f>'C19RM 2021-Lab &amp; Other HPS'!$V422+'C19RM 2021-Lab &amp; Other HPS'!$AC422+'C19RM 2021-Lab &amp; Other HPS'!$AQ422+'C19RM 2021-Lab &amp; Other HPS'!$AJ422+AX422+BE422</f>
        <v>0</v>
      </c>
      <c r="BH422" s="522" t="str" cm="1">
        <f t="array" ref="BH422">IF(A422&lt;&gt;"",IFERROR(INDEX(PMtbl[[WKst]:[Unit of measure*]],MATCH($A$330&amp;$A422&amp;$E422&amp;$I422,INDEX(PMtbl[Sec]&amp;PMtbl[Category]&amp;PMtbl[Each]&amp;PMtbl[Packaging],0,),0),11),""),"")</f>
        <v/>
      </c>
      <c r="BI422" s="818"/>
      <c r="BJ422" s="503" t="str" cm="1">
        <f t="array" ref="BJ422">IFERROR(INDEX(SETUP!$C$19:$G$121,MATCH((INDEX(PMtbl[[WKst]:[Unit of measure*]],MATCH($A422&amp;$E422&amp;$I422,INDEX(PMtbl[Category]&amp;PMtbl[Each]&amp;PMtbl[Packaging],0,),0),3)),SETUP!$D$19:$D$121,0),5),"")</f>
        <v/>
      </c>
      <c r="BK422" s="569"/>
      <c r="BL422" s="564"/>
      <c r="BO422" s="448">
        <f>IF(N422="",0,IF(SETUP!$E$7="USD",((IF(O422="USD",P422,(P422/'Master Data-C19RM'!$C$2)))),((IF(O422="EUR",P422,(P422*'Master Data-C19RM'!$C$2))))))</f>
        <v>0</v>
      </c>
      <c r="BP422" s="448">
        <f>IF(N422="",0,IF(SETUP!$E$7="USD",((IF(O422="USD",W422,(W422/'Master Data-C19RM'!$D$2)))),((IF(O422="EUR",W422,(W422*'Master Data-C19RM'!$D$2))))))</f>
        <v>0</v>
      </c>
      <c r="BQ422" s="470">
        <f>IF(N422="",0,IF(SETUP!$E$7="USD",((IF(O422="USD",AD422,(AD422/'Master Data-C19RM'!$E$2)))),((IF(O422="EUR",AD422,(AD422*'Master Data-C19RM'!$E$2))))))</f>
        <v>0</v>
      </c>
      <c r="BR422" s="470">
        <f>IF(N422="",0,IF(SETUP!$E$7="USD",((IF(O422="USD",AK422,(AK422/'Master Data-C19RM'!$F$2)))),((IF(O422="EUR",AK422,(AK422*'Master Data-C19RM'!$F$2))))))</f>
        <v>0</v>
      </c>
      <c r="BS422" s="470">
        <f>IF(N422="",0,IF(SETUP!$E$7="USD",((IF(O422="USD",AR422,(AR422/'Master Data-C19RM'!$G$2)))),((IF(O422="EUR",AR422,(AR422*'Master Data-C19RM'!$G$2))))))</f>
        <v>0</v>
      </c>
      <c r="BT422" s="470">
        <f>IF(N422="",0,IF(SETUP!$E$7="USD",((IF(O422="USD",AY422,(AY422/'Master Data-C19RM'!$H$2)))),((IF(O422="EUR",AY422,(AY422*'Master Data-C19RM'!$H$2))))))</f>
        <v>0</v>
      </c>
      <c r="BU422" s="448">
        <f t="shared" si="51"/>
        <v>0</v>
      </c>
      <c r="BV422" s="562">
        <f t="shared" si="52"/>
        <v>0</v>
      </c>
      <c r="BW422" s="470"/>
      <c r="BX422" s="470"/>
      <c r="BY422" s="470"/>
      <c r="BZ422" s="470"/>
      <c r="CA422" s="470"/>
      <c r="CB422" s="470"/>
      <c r="CC422" s="470"/>
      <c r="CD422" s="470"/>
      <c r="CE422" s="470"/>
      <c r="CF422" s="470"/>
      <c r="CG422" s="470"/>
      <c r="CH422" s="470"/>
      <c r="CI422" s="470"/>
      <c r="CJ422" s="470"/>
      <c r="CK422" s="470"/>
      <c r="CL422" s="470"/>
      <c r="CM422" s="470"/>
      <c r="CN422" s="470"/>
      <c r="CO422" s="470"/>
      <c r="CP422" s="470"/>
    </row>
    <row r="423" spans="1:94" s="448" customFormat="1" ht="14" x14ac:dyDescent="0.3">
      <c r="A423" s="1165"/>
      <c r="B423" s="1165"/>
      <c r="C423" s="1165"/>
      <c r="D423" s="1165"/>
      <c r="E423" s="1166"/>
      <c r="F423" s="1166"/>
      <c r="G423" s="1166"/>
      <c r="H423" s="1166"/>
      <c r="I423" s="1166"/>
      <c r="J423" s="1166"/>
      <c r="K423" s="1166"/>
      <c r="L423" s="490" t="str" cm="1">
        <f t="array" ref="L423">IF(A423&lt;&gt;"",IFERROR(INDEX(PMtbl[[WKst]:[Unit of measure*]],MATCH($A$330&amp;$A423&amp;$E423&amp;$I423,INDEX(PMtbl[Sec]&amp;PMtbl[Category]&amp;PMtbl[Each]&amp;PMtbl[Packaging],0,),0),14),""),"")</f>
        <v/>
      </c>
      <c r="M423" s="479" t="str">
        <f>IF(L423="","",INDEX(SETUP!$E$20:$E$122,(MATCH(INDEX(PMsheet!$D:$E,MATCH(A423,PMsheet!E:E,0),1),SETUP!$D$20:$D$122,0))))</f>
        <v/>
      </c>
      <c r="N423" s="491">
        <f>IF($O423="USD",_xlfn.IFNA(VLOOKUP(A423&amp;E423&amp;I423,PMsheet!J:K,2,0),0),(_xlfn.IFNA(VLOOKUP(A423&amp;E423&amp;I423,PMsheet!J:K,2,0),0)*'Master Data-C19RM'!$C$2))</f>
        <v>0</v>
      </c>
      <c r="O423" s="492" t="str">
        <f>IF(L423="", "",SETUP!$E$7)</f>
        <v/>
      </c>
      <c r="P423" s="444">
        <f>IF($O423="USD",_xlfn.IFNA(VLOOKUP($A423&amp;$E423&amp;$I423,PMsheet!$J:$K,2,0),0),(_xlfn.IFNA(VLOOKUP($A423&amp;$E423&amp;$I423,PMsheet!$J:$K,2,0),0)*'Master Data-C19RM'!$C$2))</f>
        <v>0</v>
      </c>
      <c r="Q423" s="441"/>
      <c r="R423" s="441"/>
      <c r="S423" s="441"/>
      <c r="T423" s="441"/>
      <c r="U423" s="481">
        <f t="shared" si="44"/>
        <v>0</v>
      </c>
      <c r="V423" s="483">
        <f>IF(SETUP!$E$7="USD",(U423*(IF(O423="USD",P423,(P423/'Master Data-C19RM'!$C$2)))),(U423*(IF(O423="EUR",P423,(P423*'Master Data-C19RM'!$C$2)))))</f>
        <v>0</v>
      </c>
      <c r="W423" s="444">
        <f>IF($O423="USD",_xlfn.IFNA(VLOOKUP($A423&amp;$E423&amp;$I423,PMsheet!$J:$K,2,0),0),(_xlfn.IFNA(VLOOKUP($A423&amp;$E423&amp;$I423,PMsheet!$J:$K,2,0),0)*'Master Data-C19RM'!$D$2))</f>
        <v>0</v>
      </c>
      <c r="X423" s="441"/>
      <c r="Y423" s="441"/>
      <c r="Z423" s="441"/>
      <c r="AA423" s="441"/>
      <c r="AB423" s="481">
        <f t="shared" si="47"/>
        <v>0</v>
      </c>
      <c r="AC423" s="483">
        <f>IF(SETUP!$E$7="USD",(AB423*(IF(O423="USD",W423,(W423/'Master Data-C19RM'!$D$2)))),(AB423*(IF(O423="EUR",W423,(W423*'Master Data-C19RM'!$D$2)))))</f>
        <v>0</v>
      </c>
      <c r="AD423" s="444">
        <f>IF($O423="USD",_xlfn.IFNA(VLOOKUP($A423&amp;$E423&amp;$I423,PMsheet!$J:$K,2,0),0),(_xlfn.IFNA(VLOOKUP($A423&amp;$E423&amp;$I423,PMsheet!$J:$K,2,0),0)*'Master Data-C19RM'!$E$2))</f>
        <v>0</v>
      </c>
      <c r="AE423" s="441"/>
      <c r="AF423" s="441"/>
      <c r="AG423" s="441"/>
      <c r="AH423" s="441"/>
      <c r="AI423" s="512">
        <f t="shared" si="48"/>
        <v>0</v>
      </c>
      <c r="AJ423" s="513">
        <f>IF(SETUP!$E$7="USD",(AI423*(IF(O423="USD",AD423,(AD423/'Master Data-C19RM'!$E$2)))),(AI423*(IF(O423="EUR",AD423,(AD423*'Master Data-C19RM'!$E$2)))))</f>
        <v>0</v>
      </c>
      <c r="AK423" s="444">
        <f>IF($O423="USD",_xlfn.IFNA(VLOOKUP($A423&amp;$E423&amp;$I423,PMsheet!$J:$K,2,0),0),(_xlfn.IFNA(VLOOKUP($A423&amp;$E423&amp;$I423,PMsheet!$J:$K,2,0),0)*'Master Data-C19RM'!$F$2))</f>
        <v>0</v>
      </c>
      <c r="AL423" s="441"/>
      <c r="AM423" s="441"/>
      <c r="AN423" s="441"/>
      <c r="AO423" s="441"/>
      <c r="AP423" s="512">
        <f t="shared" si="49"/>
        <v>0</v>
      </c>
      <c r="AQ423" s="513">
        <f>IF(SETUP!$E$7="USD",(AP423*(IF(O423="USD",AK423,(AK423/'Master Data-C19RM'!$F$2)))),(AP423*(IF(O423="EUR",AK423,(AK423*'Master Data-C19RM'!$F$2)))))</f>
        <v>0</v>
      </c>
      <c r="AR423" s="924">
        <f>IF($O423="USD",_xlfn.IFNA(VLOOKUP($A423&amp;$E423&amp;$I423,PMsheet!$J:$K,2,0),0),(_xlfn.IFNA(VLOOKUP($A423&amp;$E423&amp;$I423,PMsheet!$J:$K,2,0),0)*'Master Data-C19RM'!$G$2))</f>
        <v>0</v>
      </c>
      <c r="AS423" s="572"/>
      <c r="AT423" s="572"/>
      <c r="AU423" s="572"/>
      <c r="AV423" s="572"/>
      <c r="AW423" s="512">
        <f t="shared" si="53"/>
        <v>0</v>
      </c>
      <c r="AX423" s="512">
        <f>IF(SETUP!$E$7="USD",(AW423*(IF(O423="USD",AR423,(AR423/'Master Data-C19RM'!$G$2)))),(AW423*(IF(O423="EUR",AR423,(AR423*'Master Data-C19RM'!$G$2)))))</f>
        <v>0</v>
      </c>
      <c r="AY423" s="845"/>
      <c r="AZ423" s="846"/>
      <c r="BA423" s="846"/>
      <c r="BB423" s="846"/>
      <c r="BC423" s="846"/>
      <c r="BD423" s="846"/>
      <c r="BE423" s="847"/>
      <c r="BF423" s="520">
        <f>'C19RM 2021-Lab &amp; Other HPS'!$U423+'C19RM 2021-Lab &amp; Other HPS'!$AB423+'C19RM 2021-Lab &amp; Other HPS'!$AP423+'C19RM 2021-Lab &amp; Other HPS'!$AI423+AW423+BD423</f>
        <v>0</v>
      </c>
      <c r="BG423" s="513">
        <f>'C19RM 2021-Lab &amp; Other HPS'!$V423+'C19RM 2021-Lab &amp; Other HPS'!$AC423+'C19RM 2021-Lab &amp; Other HPS'!$AQ423+'C19RM 2021-Lab &amp; Other HPS'!$AJ423+AX423+BE423</f>
        <v>0</v>
      </c>
      <c r="BH423" s="500" t="str" cm="1">
        <f t="array" ref="BH423">IF(A423&lt;&gt;"",IFERROR(INDEX(PMtbl[[WKst]:[Unit of measure*]],MATCH($A$330&amp;$A423&amp;$E423&amp;$I423,INDEX(PMtbl[Sec]&amp;PMtbl[Category]&amp;PMtbl[Each]&amp;PMtbl[Packaging],0,),0),11),""),"")</f>
        <v/>
      </c>
      <c r="BI423" s="819"/>
      <c r="BJ423" s="502" t="str" cm="1">
        <f t="array" ref="BJ423">IFERROR(INDEX(SETUP!$C$19:$G$121,MATCH((INDEX(PMtbl[[WKst]:[Unit of measure*]],MATCH($A423&amp;$E423&amp;$I423,INDEX(PMtbl[Category]&amp;PMtbl[Each]&amp;PMtbl[Packaging],0,),0),3)),SETUP!$D$19:$D$121,0),5),"")</f>
        <v/>
      </c>
      <c r="BK423" s="568"/>
      <c r="BL423" s="563"/>
      <c r="BO423" s="448">
        <f>IF(N423="",0,IF(SETUP!$E$7="USD",((IF(O423="USD",P423,(P423/'Master Data-C19RM'!$C$2)))),((IF(O423="EUR",P423,(P423*'Master Data-C19RM'!$C$2))))))</f>
        <v>0</v>
      </c>
      <c r="BP423" s="448">
        <f>IF(N423="",0,IF(SETUP!$E$7="USD",((IF(O423="USD",W423,(W423/'Master Data-C19RM'!$D$2)))),((IF(O423="EUR",W423,(W423*'Master Data-C19RM'!$D$2))))))</f>
        <v>0</v>
      </c>
      <c r="BQ423" s="470">
        <f>IF(N423="",0,IF(SETUP!$E$7="USD",((IF(O423="USD",AD423,(AD423/'Master Data-C19RM'!$E$2)))),((IF(O423="EUR",AD423,(AD423*'Master Data-C19RM'!$E$2))))))</f>
        <v>0</v>
      </c>
      <c r="BR423" s="470">
        <f>IF(N423="",0,IF(SETUP!$E$7="USD",((IF(O423="USD",AK423,(AK423/'Master Data-C19RM'!$F$2)))),((IF(O423="EUR",AK423,(AK423*'Master Data-C19RM'!$F$2))))))</f>
        <v>0</v>
      </c>
      <c r="BS423" s="470">
        <f>IF(N423="",0,IF(SETUP!$E$7="USD",((IF(O423="USD",AR423,(AR423/'Master Data-C19RM'!$G$2)))),((IF(O423="EUR",AR423,(AR423*'Master Data-C19RM'!$G$2))))))</f>
        <v>0</v>
      </c>
      <c r="BT423" s="470">
        <f>IF(N423="",0,IF(SETUP!$E$7="USD",((IF(O423="USD",AY423,(AY423/'Master Data-C19RM'!$H$2)))),((IF(O423="EUR",AY423,(AY423*'Master Data-C19RM'!$H$2))))))</f>
        <v>0</v>
      </c>
      <c r="BU423" s="448">
        <f t="shared" si="51"/>
        <v>0</v>
      </c>
      <c r="BV423" s="562">
        <f t="shared" si="52"/>
        <v>0</v>
      </c>
      <c r="BW423" s="470"/>
      <c r="BX423" s="470"/>
      <c r="BY423" s="470"/>
      <c r="BZ423" s="470"/>
      <c r="CA423" s="470"/>
      <c r="CB423" s="470"/>
      <c r="CC423" s="470"/>
      <c r="CD423" s="470"/>
      <c r="CE423" s="470"/>
      <c r="CF423" s="470"/>
      <c r="CG423" s="470"/>
      <c r="CH423" s="470"/>
      <c r="CI423" s="470"/>
      <c r="CJ423" s="470"/>
      <c r="CK423" s="470"/>
      <c r="CL423" s="470"/>
      <c r="CM423" s="470"/>
      <c r="CN423" s="470"/>
      <c r="CO423" s="470"/>
      <c r="CP423" s="470"/>
    </row>
    <row r="424" spans="1:94" s="448" customFormat="1" ht="14" x14ac:dyDescent="0.3">
      <c r="A424" s="1197"/>
      <c r="B424" s="1198"/>
      <c r="C424" s="1198"/>
      <c r="D424" s="1199"/>
      <c r="E424" s="1173"/>
      <c r="F424" s="1173"/>
      <c r="G424" s="1173"/>
      <c r="H424" s="1173"/>
      <c r="I424" s="1173"/>
      <c r="J424" s="1173"/>
      <c r="K424" s="1173"/>
      <c r="L424" s="493" t="str" cm="1">
        <f t="array" ref="L424">IF(A424&lt;&gt;"",IFERROR(INDEX(PMtbl[[WKst]:[Unit of measure*]],MATCH($A$330&amp;$A424&amp;$E424&amp;$I424,INDEX(PMtbl[Sec]&amp;PMtbl[Category]&amp;PMtbl[Each]&amp;PMtbl[Packaging],0,),0),14),""),"")</f>
        <v/>
      </c>
      <c r="M424" s="480" t="str">
        <f>IF(L424="","",INDEX(SETUP!$E$20:$E$122,(MATCH(INDEX(PMsheet!$D:$E,MATCH(A424,PMsheet!E:E,0),1),SETUP!$D$20:$D$122,0))))</f>
        <v/>
      </c>
      <c r="N424" s="494">
        <f>IF($O424="USD",_xlfn.IFNA(VLOOKUP(A424&amp;E424&amp;I424,PMsheet!J:K,2,0),0),(_xlfn.IFNA(VLOOKUP(A424&amp;E424&amp;I424,PMsheet!J:K,2,0),0)*'Master Data-C19RM'!$C$2))</f>
        <v>0</v>
      </c>
      <c r="O424" s="495" t="str">
        <f>IF(L424="", "",SETUP!$E$7)</f>
        <v/>
      </c>
      <c r="P424" s="445">
        <f>IF($O424="USD",_xlfn.IFNA(VLOOKUP($A424&amp;$E424&amp;$I424,PMsheet!$J:$K,2,0),0),(_xlfn.IFNA(VLOOKUP($A424&amp;$E424&amp;$I424,PMsheet!$J:$K,2,0),0)*'Master Data-C19RM'!$C$2))</f>
        <v>0</v>
      </c>
      <c r="Q424" s="440"/>
      <c r="R424" s="440"/>
      <c r="S424" s="440"/>
      <c r="T424" s="440"/>
      <c r="U424" s="482">
        <f t="shared" si="44"/>
        <v>0</v>
      </c>
      <c r="V424" s="484">
        <f>IF(SETUP!$E$7="USD",(U424*(IF(O424="USD",P424,(P424/'Master Data-C19RM'!$C$2)))),(U424*(IF(O424="EUR",P424,(P424*'Master Data-C19RM'!$C$2)))))</f>
        <v>0</v>
      </c>
      <c r="W424" s="445">
        <f>IF($O424="USD",_xlfn.IFNA(VLOOKUP($A424&amp;$E424&amp;$I424,PMsheet!$J:$K,2,0),0),(_xlfn.IFNA(VLOOKUP($A424&amp;$E424&amp;$I424,PMsheet!$J:$K,2,0),0)*'Master Data-C19RM'!$D$2))</f>
        <v>0</v>
      </c>
      <c r="X424" s="440"/>
      <c r="Y424" s="440"/>
      <c r="Z424" s="440"/>
      <c r="AA424" s="440"/>
      <c r="AB424" s="482">
        <f t="shared" si="47"/>
        <v>0</v>
      </c>
      <c r="AC424" s="484">
        <f>IF(SETUP!$E$7="USD",(AB424*(IF(O424="USD",W424,(W424/'Master Data-C19RM'!$D$2)))),(AB424*(IF(O424="EUR",W424,(W424*'Master Data-C19RM'!$D$2)))))</f>
        <v>0</v>
      </c>
      <c r="AD424" s="445">
        <f>IF($O424="USD",_xlfn.IFNA(VLOOKUP($A424&amp;$E424&amp;$I424,PMsheet!$J:$K,2,0),0),(_xlfn.IFNA(VLOOKUP($A424&amp;$E424&amp;$I424,PMsheet!$J:$K,2,0),0)*'Master Data-C19RM'!$E$2))</f>
        <v>0</v>
      </c>
      <c r="AE424" s="440"/>
      <c r="AF424" s="440"/>
      <c r="AG424" s="440"/>
      <c r="AH424" s="440"/>
      <c r="AI424" s="514">
        <f t="shared" si="48"/>
        <v>0</v>
      </c>
      <c r="AJ424" s="515">
        <f>IF(SETUP!$E$7="USD",(AI424*(IF(O424="USD",AD424,(AD424/'Master Data-C19RM'!$E$2)))),(AI424*(IF(O424="EUR",AD424,(AD424*'Master Data-C19RM'!$E$2)))))</f>
        <v>0</v>
      </c>
      <c r="AK424" s="445">
        <f>IF($O424="USD",_xlfn.IFNA(VLOOKUP($A424&amp;$E424&amp;$I424,PMsheet!$J:$K,2,0),0),(_xlfn.IFNA(VLOOKUP($A424&amp;$E424&amp;$I424,PMsheet!$J:$K,2,0),0)*'Master Data-C19RM'!$F$2))</f>
        <v>0</v>
      </c>
      <c r="AL424" s="440"/>
      <c r="AM424" s="440"/>
      <c r="AN424" s="440"/>
      <c r="AO424" s="440"/>
      <c r="AP424" s="514">
        <f t="shared" si="49"/>
        <v>0</v>
      </c>
      <c r="AQ424" s="515">
        <f>IF(SETUP!$E$7="USD",(AP424*(IF(O424="USD",AK424,(AK424/'Master Data-C19RM'!$F$2)))),(AP424*(IF(O424="EUR",AK424,(AK424*'Master Data-C19RM'!$F$2)))))</f>
        <v>0</v>
      </c>
      <c r="AR424" s="925">
        <f>IF($O424="USD",_xlfn.IFNA(VLOOKUP($A424&amp;$E424&amp;$I424,PMsheet!$J:$K,2,0),0),(_xlfn.IFNA(VLOOKUP($A424&amp;$E424&amp;$I424,PMsheet!$J:$K,2,0),0)*'Master Data-C19RM'!$G$2))</f>
        <v>0</v>
      </c>
      <c r="AS424" s="926"/>
      <c r="AT424" s="926"/>
      <c r="AU424" s="926"/>
      <c r="AV424" s="926"/>
      <c r="AW424" s="514">
        <f t="shared" si="53"/>
        <v>0</v>
      </c>
      <c r="AX424" s="514">
        <f>IF(SETUP!$E$7="USD",(AW424*(IF(O424="USD",AR424,(AR424/'Master Data-C19RM'!$G$2)))),(AW424*(IF(O424="EUR",AR424,(AR424*'Master Data-C19RM'!$G$2)))))</f>
        <v>0</v>
      </c>
      <c r="AY424" s="845"/>
      <c r="AZ424" s="846"/>
      <c r="BA424" s="846"/>
      <c r="BB424" s="846"/>
      <c r="BC424" s="846"/>
      <c r="BD424" s="846"/>
      <c r="BE424" s="847"/>
      <c r="BF424" s="521">
        <f>'C19RM 2021-Lab &amp; Other HPS'!$U424+'C19RM 2021-Lab &amp; Other HPS'!$AB424+'C19RM 2021-Lab &amp; Other HPS'!$AP424+'C19RM 2021-Lab &amp; Other HPS'!$AI424+AW424+BD424</f>
        <v>0</v>
      </c>
      <c r="BG424" s="515">
        <f>'C19RM 2021-Lab &amp; Other HPS'!$V424+'C19RM 2021-Lab &amp; Other HPS'!$AC424+'C19RM 2021-Lab &amp; Other HPS'!$AQ424+'C19RM 2021-Lab &amp; Other HPS'!$AJ424+AX424+BE424</f>
        <v>0</v>
      </c>
      <c r="BH424" s="522" t="str" cm="1">
        <f t="array" ref="BH424">IF(A424&lt;&gt;"",IFERROR(INDEX(PMtbl[[WKst]:[Unit of measure*]],MATCH($A$330&amp;$A424&amp;$E424&amp;$I424,INDEX(PMtbl[Sec]&amp;PMtbl[Category]&amp;PMtbl[Each]&amp;PMtbl[Packaging],0,),0),11),""),"")</f>
        <v/>
      </c>
      <c r="BI424" s="818"/>
      <c r="BJ424" s="503" t="str" cm="1">
        <f t="array" ref="BJ424">IFERROR(INDEX(SETUP!$C$19:$G$121,MATCH((INDEX(PMtbl[[WKst]:[Unit of measure*]],MATCH($A424&amp;$E424&amp;$I424,INDEX(PMtbl[Category]&amp;PMtbl[Each]&amp;PMtbl[Packaging],0,),0),3)),SETUP!$D$19:$D$121,0),5),"")</f>
        <v/>
      </c>
      <c r="BK424" s="569"/>
      <c r="BL424" s="564"/>
      <c r="BO424" s="448">
        <f>IF(N424="",0,IF(SETUP!$E$7="USD",((IF(O424="USD",P424,(P424/'Master Data-C19RM'!$C$2)))),((IF(O424="EUR",P424,(P424*'Master Data-C19RM'!$C$2))))))</f>
        <v>0</v>
      </c>
      <c r="BP424" s="448">
        <f>IF(N424="",0,IF(SETUP!$E$7="USD",((IF(O424="USD",W424,(W424/'Master Data-C19RM'!$D$2)))),((IF(O424="EUR",W424,(W424*'Master Data-C19RM'!$D$2))))))</f>
        <v>0</v>
      </c>
      <c r="BQ424" s="470">
        <f>IF(N424="",0,IF(SETUP!$E$7="USD",((IF(O424="USD",AD424,(AD424/'Master Data-C19RM'!$E$2)))),((IF(O424="EUR",AD424,(AD424*'Master Data-C19RM'!$E$2))))))</f>
        <v>0</v>
      </c>
      <c r="BR424" s="470">
        <f>IF(N424="",0,IF(SETUP!$E$7="USD",((IF(O424="USD",AK424,(AK424/'Master Data-C19RM'!$F$2)))),((IF(O424="EUR",AK424,(AK424*'Master Data-C19RM'!$F$2))))))</f>
        <v>0</v>
      </c>
      <c r="BS424" s="470">
        <f>IF(N424="",0,IF(SETUP!$E$7="USD",((IF(O424="USD",AR424,(AR424/'Master Data-C19RM'!$G$2)))),((IF(O424="EUR",AR424,(AR424*'Master Data-C19RM'!$G$2))))))</f>
        <v>0</v>
      </c>
      <c r="BT424" s="470">
        <f>IF(N424="",0,IF(SETUP!$E$7="USD",((IF(O424="USD",AY424,(AY424/'Master Data-C19RM'!$H$2)))),((IF(O424="EUR",AY424,(AY424*'Master Data-C19RM'!$H$2))))))</f>
        <v>0</v>
      </c>
      <c r="BU424" s="448">
        <f t="shared" si="51"/>
        <v>0</v>
      </c>
      <c r="BV424" s="562">
        <f t="shared" si="52"/>
        <v>0</v>
      </c>
      <c r="BW424" s="470"/>
      <c r="BX424" s="470"/>
      <c r="BY424" s="470"/>
      <c r="BZ424" s="470"/>
      <c r="CA424" s="470"/>
      <c r="CB424" s="470"/>
      <c r="CC424" s="470"/>
      <c r="CD424" s="470"/>
      <c r="CE424" s="470"/>
      <c r="CF424" s="470"/>
      <c r="CG424" s="470"/>
      <c r="CH424" s="470"/>
      <c r="CI424" s="470"/>
      <c r="CJ424" s="470"/>
      <c r="CK424" s="470"/>
      <c r="CL424" s="470"/>
      <c r="CM424" s="470"/>
      <c r="CN424" s="470"/>
      <c r="CO424" s="470"/>
      <c r="CP424" s="470"/>
    </row>
    <row r="425" spans="1:94" s="448" customFormat="1" ht="14" x14ac:dyDescent="0.3">
      <c r="A425" s="1200"/>
      <c r="B425" s="1201"/>
      <c r="C425" s="1201"/>
      <c r="D425" s="1202"/>
      <c r="E425" s="1166"/>
      <c r="F425" s="1166"/>
      <c r="G425" s="1166"/>
      <c r="H425" s="1166"/>
      <c r="I425" s="1166"/>
      <c r="J425" s="1166"/>
      <c r="K425" s="1166"/>
      <c r="L425" s="490" t="str" cm="1">
        <f t="array" ref="L425">IF(A425&lt;&gt;"",IFERROR(INDEX(PMtbl[[WKst]:[Unit of measure*]],MATCH($A$330&amp;$A425&amp;$E425&amp;$I425,INDEX(PMtbl[Sec]&amp;PMtbl[Category]&amp;PMtbl[Each]&amp;PMtbl[Packaging],0,),0),14),""),"")</f>
        <v/>
      </c>
      <c r="M425" s="479" t="str">
        <f>IF(L425="","",INDEX(SETUP!$E$20:$E$122,(MATCH(INDEX(PMsheet!$D:$E,MATCH(A425,PMsheet!E:E,0),1),SETUP!$D$20:$D$122,0))))</f>
        <v/>
      </c>
      <c r="N425" s="491">
        <f>IF($O425="USD",_xlfn.IFNA(VLOOKUP(A425&amp;E425&amp;I425,PMsheet!J:K,2,0),0),(_xlfn.IFNA(VLOOKUP(A425&amp;E425&amp;I425,PMsheet!J:K,2,0),0)*'Master Data-C19RM'!$C$2))</f>
        <v>0</v>
      </c>
      <c r="O425" s="492" t="str">
        <f>IF(L425="", "",SETUP!$E$7)</f>
        <v/>
      </c>
      <c r="P425" s="444">
        <f>IF($O425="USD",_xlfn.IFNA(VLOOKUP($A425&amp;$E425&amp;$I425,PMsheet!$J:$K,2,0),0),(_xlfn.IFNA(VLOOKUP($A425&amp;$E425&amp;$I425,PMsheet!$J:$K,2,0),0)*'Master Data-C19RM'!$C$2))</f>
        <v>0</v>
      </c>
      <c r="Q425" s="441"/>
      <c r="R425" s="441"/>
      <c r="S425" s="441"/>
      <c r="T425" s="441"/>
      <c r="U425" s="481">
        <f t="shared" si="44"/>
        <v>0</v>
      </c>
      <c r="V425" s="483">
        <f>IF(SETUP!$E$7="USD",(U425*(IF(O425="USD",P425,(P425/'Master Data-C19RM'!$C$2)))),(U425*(IF(O425="EUR",P425,(P425*'Master Data-C19RM'!$C$2)))))</f>
        <v>0</v>
      </c>
      <c r="W425" s="444">
        <f>IF($O425="USD",_xlfn.IFNA(VLOOKUP($A425&amp;$E425&amp;$I425,PMsheet!$J:$K,2,0),0),(_xlfn.IFNA(VLOOKUP($A425&amp;$E425&amp;$I425,PMsheet!$J:$K,2,0),0)*'Master Data-C19RM'!$D$2))</f>
        <v>0</v>
      </c>
      <c r="X425" s="441"/>
      <c r="Y425" s="441"/>
      <c r="Z425" s="441"/>
      <c r="AA425" s="441"/>
      <c r="AB425" s="481">
        <f t="shared" si="47"/>
        <v>0</v>
      </c>
      <c r="AC425" s="483">
        <f>IF(SETUP!$E$7="USD",(AB425*(IF(O425="USD",W425,(W425/'Master Data-C19RM'!$D$2)))),(AB425*(IF(O425="EUR",W425,(W425*'Master Data-C19RM'!$D$2)))))</f>
        <v>0</v>
      </c>
      <c r="AD425" s="444">
        <f>IF($O425="USD",_xlfn.IFNA(VLOOKUP($A425&amp;$E425&amp;$I425,PMsheet!$J:$K,2,0),0),(_xlfn.IFNA(VLOOKUP($A425&amp;$E425&amp;$I425,PMsheet!$J:$K,2,0),0)*'Master Data-C19RM'!$E$2))</f>
        <v>0</v>
      </c>
      <c r="AE425" s="441"/>
      <c r="AF425" s="441"/>
      <c r="AG425" s="441"/>
      <c r="AH425" s="441"/>
      <c r="AI425" s="512">
        <f t="shared" si="48"/>
        <v>0</v>
      </c>
      <c r="AJ425" s="513">
        <f>IF(SETUP!$E$7="USD",(AI425*(IF(O425="USD",AD425,(AD425/'Master Data-C19RM'!$E$2)))),(AI425*(IF(O425="EUR",AD425,(AD425*'Master Data-C19RM'!$E$2)))))</f>
        <v>0</v>
      </c>
      <c r="AK425" s="444">
        <f>IF($O425="USD",_xlfn.IFNA(VLOOKUP($A425&amp;$E425&amp;$I425,PMsheet!$J:$K,2,0),0),(_xlfn.IFNA(VLOOKUP($A425&amp;$E425&amp;$I425,PMsheet!$J:$K,2,0),0)*'Master Data-C19RM'!$F$2))</f>
        <v>0</v>
      </c>
      <c r="AL425" s="441"/>
      <c r="AM425" s="441"/>
      <c r="AN425" s="441"/>
      <c r="AO425" s="441"/>
      <c r="AP425" s="512">
        <f t="shared" si="49"/>
        <v>0</v>
      </c>
      <c r="AQ425" s="513">
        <f>IF(SETUP!$E$7="USD",(AP425*(IF(O425="USD",AK425,(AK425/'Master Data-C19RM'!$F$2)))),(AP425*(IF(O425="EUR",AK425,(AK425*'Master Data-C19RM'!$F$2)))))</f>
        <v>0</v>
      </c>
      <c r="AR425" s="924">
        <f>IF($O425="USD",_xlfn.IFNA(VLOOKUP($A425&amp;$E425&amp;$I425,PMsheet!$J:$K,2,0),0),(_xlfn.IFNA(VLOOKUP($A425&amp;$E425&amp;$I425,PMsheet!$J:$K,2,0),0)*'Master Data-C19RM'!$G$2))</f>
        <v>0</v>
      </c>
      <c r="AS425" s="572"/>
      <c r="AT425" s="572"/>
      <c r="AU425" s="572"/>
      <c r="AV425" s="572"/>
      <c r="AW425" s="512">
        <f t="shared" si="53"/>
        <v>0</v>
      </c>
      <c r="AX425" s="512">
        <f>IF(SETUP!$E$7="USD",(AW425*(IF(O425="USD",AR425,(AR425/'Master Data-C19RM'!$G$2)))),(AW425*(IF(O425="EUR",AR425,(AR425*'Master Data-C19RM'!$G$2)))))</f>
        <v>0</v>
      </c>
      <c r="AY425" s="845"/>
      <c r="AZ425" s="846"/>
      <c r="BA425" s="846"/>
      <c r="BB425" s="846"/>
      <c r="BC425" s="846"/>
      <c r="BD425" s="846"/>
      <c r="BE425" s="847"/>
      <c r="BF425" s="520">
        <f>'C19RM 2021-Lab &amp; Other HPS'!$U425+'C19RM 2021-Lab &amp; Other HPS'!$AB425+'C19RM 2021-Lab &amp; Other HPS'!$AP425+'C19RM 2021-Lab &amp; Other HPS'!$AI425+AW425+BD425</f>
        <v>0</v>
      </c>
      <c r="BG425" s="513">
        <f>'C19RM 2021-Lab &amp; Other HPS'!$V425+'C19RM 2021-Lab &amp; Other HPS'!$AC425+'C19RM 2021-Lab &amp; Other HPS'!$AQ425+'C19RM 2021-Lab &amp; Other HPS'!$AJ425+AX425+BE425</f>
        <v>0</v>
      </c>
      <c r="BH425" s="500" t="str" cm="1">
        <f t="array" ref="BH425">IF(A425&lt;&gt;"",IFERROR(INDEX(PMtbl[[WKst]:[Unit of measure*]],MATCH($A$330&amp;$A425&amp;$E425&amp;$I425,INDEX(PMtbl[Sec]&amp;PMtbl[Category]&amp;PMtbl[Each]&amp;PMtbl[Packaging],0,),0),11),""),"")</f>
        <v/>
      </c>
      <c r="BI425" s="819"/>
      <c r="BJ425" s="502" t="str" cm="1">
        <f t="array" ref="BJ425">IFERROR(INDEX(SETUP!$C$19:$G$121,MATCH((INDEX(PMtbl[[WKst]:[Unit of measure*]],MATCH($A425&amp;$E425&amp;$I425,INDEX(PMtbl[Category]&amp;PMtbl[Each]&amp;PMtbl[Packaging],0,),0),3)),SETUP!$D$19:$D$121,0),5),"")</f>
        <v/>
      </c>
      <c r="BK425" s="568"/>
      <c r="BL425" s="563"/>
      <c r="BO425" s="448">
        <f>IF(N425="",0,IF(SETUP!$E$7="USD",((IF(O425="USD",P425,(P425/'Master Data-C19RM'!$C$2)))),((IF(O425="EUR",P425,(P425*'Master Data-C19RM'!$C$2))))))</f>
        <v>0</v>
      </c>
      <c r="BP425" s="448">
        <f>IF(N425="",0,IF(SETUP!$E$7="USD",((IF(O425="USD",W425,(W425/'Master Data-C19RM'!$D$2)))),((IF(O425="EUR",W425,(W425*'Master Data-C19RM'!$D$2))))))</f>
        <v>0</v>
      </c>
      <c r="BQ425" s="470">
        <f>IF(N425="",0,IF(SETUP!$E$7="USD",((IF(O425="USD",AD425,(AD425/'Master Data-C19RM'!$E$2)))),((IF(O425="EUR",AD425,(AD425*'Master Data-C19RM'!$E$2))))))</f>
        <v>0</v>
      </c>
      <c r="BR425" s="470">
        <f>IF(N425="",0,IF(SETUP!$E$7="USD",((IF(O425="USD",AK425,(AK425/'Master Data-C19RM'!$F$2)))),((IF(O425="EUR",AK425,(AK425*'Master Data-C19RM'!$F$2))))))</f>
        <v>0</v>
      </c>
      <c r="BS425" s="470">
        <f>IF(N425="",0,IF(SETUP!$E$7="USD",((IF(O425="USD",AR425,(AR425/'Master Data-C19RM'!$G$2)))),((IF(O425="EUR",AR425,(AR425*'Master Data-C19RM'!$G$2))))))</f>
        <v>0</v>
      </c>
      <c r="BT425" s="470">
        <f>IF(N425="",0,IF(SETUP!$E$7="USD",((IF(O425="USD",AY425,(AY425/'Master Data-C19RM'!$H$2)))),((IF(O425="EUR",AY425,(AY425*'Master Data-C19RM'!$H$2))))))</f>
        <v>0</v>
      </c>
      <c r="BU425" s="448">
        <f t="shared" si="51"/>
        <v>0</v>
      </c>
      <c r="BV425" s="562">
        <f t="shared" si="52"/>
        <v>0</v>
      </c>
      <c r="BW425" s="470"/>
      <c r="BX425" s="470"/>
      <c r="BY425" s="470"/>
      <c r="BZ425" s="470"/>
      <c r="CA425" s="470"/>
      <c r="CB425" s="470"/>
      <c r="CC425" s="470"/>
      <c r="CD425" s="470"/>
      <c r="CE425" s="470"/>
      <c r="CF425" s="470"/>
      <c r="CG425" s="470"/>
      <c r="CH425" s="470"/>
      <c r="CI425" s="470"/>
      <c r="CJ425" s="470"/>
      <c r="CK425" s="470"/>
      <c r="CL425" s="470"/>
      <c r="CM425" s="470"/>
      <c r="CN425" s="470"/>
      <c r="CO425" s="470"/>
      <c r="CP425" s="470"/>
    </row>
    <row r="426" spans="1:94" s="448" customFormat="1" ht="14" x14ac:dyDescent="0.3">
      <c r="A426" s="1197"/>
      <c r="B426" s="1198"/>
      <c r="C426" s="1198"/>
      <c r="D426" s="1199"/>
      <c r="E426" s="1173"/>
      <c r="F426" s="1173"/>
      <c r="G426" s="1173"/>
      <c r="H426" s="1173"/>
      <c r="I426" s="1173"/>
      <c r="J426" s="1173"/>
      <c r="K426" s="1173"/>
      <c r="L426" s="493" t="str" cm="1">
        <f t="array" ref="L426">IF(A426&lt;&gt;"",IFERROR(INDEX(PMtbl[[WKst]:[Unit of measure*]],MATCH($A$330&amp;$A426&amp;$E426&amp;$I426,INDEX(PMtbl[Sec]&amp;PMtbl[Category]&amp;PMtbl[Each]&amp;PMtbl[Packaging],0,),0),14),""),"")</f>
        <v/>
      </c>
      <c r="M426" s="480" t="str">
        <f>IF(L426="","",INDEX(SETUP!$E$20:$E$122,(MATCH(INDEX(PMsheet!$D:$E,MATCH(A426,PMsheet!E:E,0),1),SETUP!$D$20:$D$122,0))))</f>
        <v/>
      </c>
      <c r="N426" s="494">
        <f>IF($O426="USD",_xlfn.IFNA(VLOOKUP(A426&amp;E426&amp;I426,PMsheet!J:K,2,0),0),(_xlfn.IFNA(VLOOKUP(A426&amp;E426&amp;I426,PMsheet!J:K,2,0),0)*'Master Data-C19RM'!$C$2))</f>
        <v>0</v>
      </c>
      <c r="O426" s="495" t="str">
        <f>IF(L426="", "",SETUP!$E$7)</f>
        <v/>
      </c>
      <c r="P426" s="445">
        <f>IF($O426="USD",_xlfn.IFNA(VLOOKUP($A426&amp;$E426&amp;$I426,PMsheet!$J:$K,2,0),0),(_xlfn.IFNA(VLOOKUP($A426&amp;$E426&amp;$I426,PMsheet!$J:$K,2,0),0)*'Master Data-C19RM'!$C$2))</f>
        <v>0</v>
      </c>
      <c r="Q426" s="440"/>
      <c r="R426" s="440"/>
      <c r="S426" s="440"/>
      <c r="T426" s="440"/>
      <c r="U426" s="482">
        <f t="shared" si="44"/>
        <v>0</v>
      </c>
      <c r="V426" s="484">
        <f>IF(SETUP!$E$7="USD",(U426*(IF(O426="USD",P426,(P426/'Master Data-C19RM'!$C$2)))),(U426*(IF(O426="EUR",P426,(P426*'Master Data-C19RM'!$C$2)))))</f>
        <v>0</v>
      </c>
      <c r="W426" s="445">
        <f>IF($O426="USD",_xlfn.IFNA(VLOOKUP($A426&amp;$E426&amp;$I426,PMsheet!$J:$K,2,0),0),(_xlfn.IFNA(VLOOKUP($A426&amp;$E426&amp;$I426,PMsheet!$J:$K,2,0),0)*'Master Data-C19RM'!$D$2))</f>
        <v>0</v>
      </c>
      <c r="X426" s="440"/>
      <c r="Y426" s="440"/>
      <c r="Z426" s="440"/>
      <c r="AA426" s="440"/>
      <c r="AB426" s="482">
        <f t="shared" si="47"/>
        <v>0</v>
      </c>
      <c r="AC426" s="484">
        <f>IF(SETUP!$E$7="USD",(AB426*(IF(O426="USD",W426,(W426/'Master Data-C19RM'!$D$2)))),(AB426*(IF(O426="EUR",W426,(W426*'Master Data-C19RM'!$D$2)))))</f>
        <v>0</v>
      </c>
      <c r="AD426" s="445">
        <f>IF($O426="USD",_xlfn.IFNA(VLOOKUP($A426&amp;$E426&amp;$I426,PMsheet!$J:$K,2,0),0),(_xlfn.IFNA(VLOOKUP($A426&amp;$E426&amp;$I426,PMsheet!$J:$K,2,0),0)*'Master Data-C19RM'!$E$2))</f>
        <v>0</v>
      </c>
      <c r="AE426" s="440"/>
      <c r="AF426" s="440"/>
      <c r="AG426" s="440"/>
      <c r="AH426" s="440"/>
      <c r="AI426" s="514">
        <f t="shared" si="48"/>
        <v>0</v>
      </c>
      <c r="AJ426" s="515">
        <f>IF(SETUP!$E$7="USD",(AI426*(IF(O426="USD",AD426,(AD426/'Master Data-C19RM'!$E$2)))),(AI426*(IF(O426="EUR",AD426,(AD426*'Master Data-C19RM'!$E$2)))))</f>
        <v>0</v>
      </c>
      <c r="AK426" s="445">
        <f>IF($O426="USD",_xlfn.IFNA(VLOOKUP($A426&amp;$E426&amp;$I426,PMsheet!$J:$K,2,0),0),(_xlfn.IFNA(VLOOKUP($A426&amp;$E426&amp;$I426,PMsheet!$J:$K,2,0),0)*'Master Data-C19RM'!$F$2))</f>
        <v>0</v>
      </c>
      <c r="AL426" s="440"/>
      <c r="AM426" s="440"/>
      <c r="AN426" s="440"/>
      <c r="AO426" s="440"/>
      <c r="AP426" s="514">
        <f t="shared" si="49"/>
        <v>0</v>
      </c>
      <c r="AQ426" s="515">
        <f>IF(SETUP!$E$7="USD",(AP426*(IF(O426="USD",AK426,(AK426/'Master Data-C19RM'!$F$2)))),(AP426*(IF(O426="EUR",AK426,(AK426*'Master Data-C19RM'!$F$2)))))</f>
        <v>0</v>
      </c>
      <c r="AR426" s="925">
        <f>IF($O426="USD",_xlfn.IFNA(VLOOKUP($A426&amp;$E426&amp;$I426,PMsheet!$J:$K,2,0),0),(_xlfn.IFNA(VLOOKUP($A426&amp;$E426&amp;$I426,PMsheet!$J:$K,2,0),0)*'Master Data-C19RM'!$G$2))</f>
        <v>0</v>
      </c>
      <c r="AS426" s="926"/>
      <c r="AT426" s="926"/>
      <c r="AU426" s="926"/>
      <c r="AV426" s="926"/>
      <c r="AW426" s="514">
        <f t="shared" si="53"/>
        <v>0</v>
      </c>
      <c r="AX426" s="514">
        <f>IF(SETUP!$E$7="USD",(AW426*(IF(O426="USD",AR426,(AR426/'Master Data-C19RM'!$G$2)))),(AW426*(IF(O426="EUR",AR426,(AR426*'Master Data-C19RM'!$G$2)))))</f>
        <v>0</v>
      </c>
      <c r="AY426" s="845"/>
      <c r="AZ426" s="846"/>
      <c r="BA426" s="846"/>
      <c r="BB426" s="846"/>
      <c r="BC426" s="846"/>
      <c r="BD426" s="846"/>
      <c r="BE426" s="847"/>
      <c r="BF426" s="521">
        <f>'C19RM 2021-Lab &amp; Other HPS'!$U426+'C19RM 2021-Lab &amp; Other HPS'!$AB426+'C19RM 2021-Lab &amp; Other HPS'!$AP426+'C19RM 2021-Lab &amp; Other HPS'!$AI426+AW426+BD426</f>
        <v>0</v>
      </c>
      <c r="BG426" s="515">
        <f>'C19RM 2021-Lab &amp; Other HPS'!$V426+'C19RM 2021-Lab &amp; Other HPS'!$AC426+'C19RM 2021-Lab &amp; Other HPS'!$AQ426+'C19RM 2021-Lab &amp; Other HPS'!$AJ426+AX426+BE426</f>
        <v>0</v>
      </c>
      <c r="BH426" s="522" t="str" cm="1">
        <f t="array" ref="BH426">IF(A426&lt;&gt;"",IFERROR(INDEX(PMtbl[[WKst]:[Unit of measure*]],MATCH($A$330&amp;$A426&amp;$E426&amp;$I426,INDEX(PMtbl[Sec]&amp;PMtbl[Category]&amp;PMtbl[Each]&amp;PMtbl[Packaging],0,),0),11),""),"")</f>
        <v/>
      </c>
      <c r="BI426" s="818"/>
      <c r="BJ426" s="503" t="str" cm="1">
        <f t="array" ref="BJ426">IFERROR(INDEX(SETUP!$C$19:$G$121,MATCH((INDEX(PMtbl[[WKst]:[Unit of measure*]],MATCH($A426&amp;$E426&amp;$I426,INDEX(PMtbl[Category]&amp;PMtbl[Each]&amp;PMtbl[Packaging],0,),0),3)),SETUP!$D$19:$D$121,0),5),"")</f>
        <v/>
      </c>
      <c r="BK426" s="569"/>
      <c r="BL426" s="564"/>
      <c r="BO426" s="448">
        <f>IF(N426="",0,IF(SETUP!$E$7="USD",((IF(O426="USD",P426,(P426/'Master Data-C19RM'!$C$2)))),((IF(O426="EUR",P426,(P426*'Master Data-C19RM'!$C$2))))))</f>
        <v>0</v>
      </c>
      <c r="BP426" s="448">
        <f>IF(N426="",0,IF(SETUP!$E$7="USD",((IF(O426="USD",W426,(W426/'Master Data-C19RM'!$D$2)))),((IF(O426="EUR",W426,(W426*'Master Data-C19RM'!$D$2))))))</f>
        <v>0</v>
      </c>
      <c r="BQ426" s="470">
        <f>IF(N426="",0,IF(SETUP!$E$7="USD",((IF(O426="USD",AD426,(AD426/'Master Data-C19RM'!$E$2)))),((IF(O426="EUR",AD426,(AD426*'Master Data-C19RM'!$E$2))))))</f>
        <v>0</v>
      </c>
      <c r="BR426" s="470">
        <f>IF(N426="",0,IF(SETUP!$E$7="USD",((IF(O426="USD",AK426,(AK426/'Master Data-C19RM'!$F$2)))),((IF(O426="EUR",AK426,(AK426*'Master Data-C19RM'!$F$2))))))</f>
        <v>0</v>
      </c>
      <c r="BS426" s="470">
        <f>IF(N426="",0,IF(SETUP!$E$7="USD",((IF(O426="USD",AR426,(AR426/'Master Data-C19RM'!$G$2)))),((IF(O426="EUR",AR426,(AR426*'Master Data-C19RM'!$G$2))))))</f>
        <v>0</v>
      </c>
      <c r="BT426" s="470">
        <f>IF(N426="",0,IF(SETUP!$E$7="USD",((IF(O426="USD",AY426,(AY426/'Master Data-C19RM'!$H$2)))),((IF(O426="EUR",AY426,(AY426*'Master Data-C19RM'!$H$2))))))</f>
        <v>0</v>
      </c>
      <c r="BU426" s="448">
        <f t="shared" si="51"/>
        <v>0</v>
      </c>
      <c r="BV426" s="562">
        <f t="shared" si="52"/>
        <v>0</v>
      </c>
      <c r="BW426" s="470"/>
      <c r="BX426" s="470"/>
      <c r="BY426" s="470"/>
      <c r="BZ426" s="470"/>
      <c r="CA426" s="470"/>
      <c r="CB426" s="470"/>
      <c r="CC426" s="470"/>
      <c r="CD426" s="470"/>
      <c r="CE426" s="470"/>
      <c r="CF426" s="470"/>
      <c r="CG426" s="470"/>
      <c r="CH426" s="470"/>
      <c r="CI426" s="470"/>
      <c r="CJ426" s="470"/>
      <c r="CK426" s="470"/>
      <c r="CL426" s="470"/>
      <c r="CM426" s="470"/>
      <c r="CN426" s="470"/>
      <c r="CO426" s="470"/>
      <c r="CP426" s="470"/>
    </row>
    <row r="427" spans="1:94" s="448" customFormat="1" ht="14" x14ac:dyDescent="0.3">
      <c r="A427" s="1165"/>
      <c r="B427" s="1165"/>
      <c r="C427" s="1165"/>
      <c r="D427" s="1165"/>
      <c r="E427" s="1166"/>
      <c r="F427" s="1166"/>
      <c r="G427" s="1166"/>
      <c r="H427" s="1166"/>
      <c r="I427" s="1166"/>
      <c r="J427" s="1166"/>
      <c r="K427" s="1166"/>
      <c r="L427" s="490" t="str" cm="1">
        <f t="array" ref="L427">IF(A427&lt;&gt;"",IFERROR(INDEX(PMtbl[[WKst]:[Unit of measure*]],MATCH($A$330&amp;$A427&amp;$E427&amp;$I427,INDEX(PMtbl[Sec]&amp;PMtbl[Category]&amp;PMtbl[Each]&amp;PMtbl[Packaging],0,),0),14),""),"")</f>
        <v/>
      </c>
      <c r="M427" s="479" t="str">
        <f>IF(L427="","",INDEX(SETUP!$E$20:$E$122,(MATCH(INDEX(PMsheet!$D:$E,MATCH(A427,PMsheet!E:E,0),1),SETUP!$D$20:$D$122,0))))</f>
        <v/>
      </c>
      <c r="N427" s="491">
        <f>IF($O427="USD",_xlfn.IFNA(VLOOKUP(A427&amp;E427&amp;I427,PMsheet!J:K,2,0),0),(_xlfn.IFNA(VLOOKUP(A427&amp;E427&amp;I427,PMsheet!J:K,2,0),0)*'Master Data-C19RM'!$C$2))</f>
        <v>0</v>
      </c>
      <c r="O427" s="492" t="str">
        <f>IF(L427="", "",SETUP!$E$7)</f>
        <v/>
      </c>
      <c r="P427" s="444">
        <f>IF($O427="USD",_xlfn.IFNA(VLOOKUP($A427&amp;$E427&amp;$I427,PMsheet!$J:$K,2,0),0),(_xlfn.IFNA(VLOOKUP($A427&amp;$E427&amp;$I427,PMsheet!$J:$K,2,0),0)*'Master Data-C19RM'!$C$2))</f>
        <v>0</v>
      </c>
      <c r="Q427" s="441"/>
      <c r="R427" s="441"/>
      <c r="S427" s="441"/>
      <c r="T427" s="441"/>
      <c r="U427" s="481">
        <f t="shared" si="44"/>
        <v>0</v>
      </c>
      <c r="V427" s="483">
        <f>IF(SETUP!$E$7="USD",(U427*(IF(O427="USD",P427,(P427/'Master Data-C19RM'!$C$2)))),(U427*(IF(O427="EUR",P427,(P427*'Master Data-C19RM'!$C$2)))))</f>
        <v>0</v>
      </c>
      <c r="W427" s="444">
        <f>IF($O427="USD",_xlfn.IFNA(VLOOKUP($A427&amp;$E427&amp;$I427,PMsheet!$J:$K,2,0),0),(_xlfn.IFNA(VLOOKUP($A427&amp;$E427&amp;$I427,PMsheet!$J:$K,2,0),0)*'Master Data-C19RM'!$D$2))</f>
        <v>0</v>
      </c>
      <c r="X427" s="441"/>
      <c r="Y427" s="441"/>
      <c r="Z427" s="441"/>
      <c r="AA427" s="441"/>
      <c r="AB427" s="481">
        <f t="shared" si="47"/>
        <v>0</v>
      </c>
      <c r="AC427" s="483">
        <f>IF(SETUP!$E$7="USD",(AB427*(IF(O427="USD",W427,(W427/'Master Data-C19RM'!$D$2)))),(AB427*(IF(O427="EUR",W427,(W427*'Master Data-C19RM'!$D$2)))))</f>
        <v>0</v>
      </c>
      <c r="AD427" s="444">
        <f>IF($O427="USD",_xlfn.IFNA(VLOOKUP($A427&amp;$E427&amp;$I427,PMsheet!$J:$K,2,0),0),(_xlfn.IFNA(VLOOKUP($A427&amp;$E427&amp;$I427,PMsheet!$J:$K,2,0),0)*'Master Data-C19RM'!$E$2))</f>
        <v>0</v>
      </c>
      <c r="AE427" s="441"/>
      <c r="AF427" s="441"/>
      <c r="AG427" s="441"/>
      <c r="AH427" s="441"/>
      <c r="AI427" s="512">
        <f t="shared" si="48"/>
        <v>0</v>
      </c>
      <c r="AJ427" s="513">
        <f>IF(SETUP!$E$7="USD",(AI427*(IF(O427="USD",AD427,(AD427/'Master Data-C19RM'!$E$2)))),(AI427*(IF(O427="EUR",AD427,(AD427*'Master Data-C19RM'!$E$2)))))</f>
        <v>0</v>
      </c>
      <c r="AK427" s="444">
        <f>IF($O427="USD",_xlfn.IFNA(VLOOKUP($A427&amp;$E427&amp;$I427,PMsheet!$J:$K,2,0),0),(_xlfn.IFNA(VLOOKUP($A427&amp;$E427&amp;$I427,PMsheet!$J:$K,2,0),0)*'Master Data-C19RM'!$F$2))</f>
        <v>0</v>
      </c>
      <c r="AL427" s="441"/>
      <c r="AM427" s="441"/>
      <c r="AN427" s="441"/>
      <c r="AO427" s="441"/>
      <c r="AP427" s="512">
        <f t="shared" si="49"/>
        <v>0</v>
      </c>
      <c r="AQ427" s="513">
        <f>IF(SETUP!$E$7="USD",(AP427*(IF(O427="USD",AK427,(AK427/'Master Data-C19RM'!$F$2)))),(AP427*(IF(O427="EUR",AK427,(AK427*'Master Data-C19RM'!$F$2)))))</f>
        <v>0</v>
      </c>
      <c r="AR427" s="924">
        <f>IF($O427="USD",_xlfn.IFNA(VLOOKUP($A427&amp;$E427&amp;$I427,PMsheet!$J:$K,2,0),0),(_xlfn.IFNA(VLOOKUP($A427&amp;$E427&amp;$I427,PMsheet!$J:$K,2,0),0)*'Master Data-C19RM'!$G$2))</f>
        <v>0</v>
      </c>
      <c r="AS427" s="572"/>
      <c r="AT427" s="572"/>
      <c r="AU427" s="572"/>
      <c r="AV427" s="572"/>
      <c r="AW427" s="512">
        <f t="shared" si="53"/>
        <v>0</v>
      </c>
      <c r="AX427" s="512">
        <f>IF(SETUP!$E$7="USD",(AW427*(IF(O427="USD",AR427,(AR427/'Master Data-C19RM'!$G$2)))),(AW427*(IF(O427="EUR",AR427,(AR427*'Master Data-C19RM'!$G$2)))))</f>
        <v>0</v>
      </c>
      <c r="AY427" s="845"/>
      <c r="AZ427" s="846"/>
      <c r="BA427" s="846"/>
      <c r="BB427" s="846"/>
      <c r="BC427" s="846"/>
      <c r="BD427" s="846"/>
      <c r="BE427" s="847"/>
      <c r="BF427" s="520">
        <f>'C19RM 2021-Lab &amp; Other HPS'!$U427+'C19RM 2021-Lab &amp; Other HPS'!$AB427+'C19RM 2021-Lab &amp; Other HPS'!$AP427+'C19RM 2021-Lab &amp; Other HPS'!$AI427+AW427+BD427</f>
        <v>0</v>
      </c>
      <c r="BG427" s="513">
        <f>'C19RM 2021-Lab &amp; Other HPS'!$V427+'C19RM 2021-Lab &amp; Other HPS'!$AC427+'C19RM 2021-Lab &amp; Other HPS'!$AQ427+'C19RM 2021-Lab &amp; Other HPS'!$AJ427+AX427+BE427</f>
        <v>0</v>
      </c>
      <c r="BH427" s="500" t="str" cm="1">
        <f t="array" ref="BH427">IF(A427&lt;&gt;"",IFERROR(INDEX(PMtbl[[WKst]:[Unit of measure*]],MATCH($A$330&amp;$A427&amp;$E427&amp;$I427,INDEX(PMtbl[Sec]&amp;PMtbl[Category]&amp;PMtbl[Each]&amp;PMtbl[Packaging],0,),0),11),""),"")</f>
        <v/>
      </c>
      <c r="BI427" s="819"/>
      <c r="BJ427" s="502" t="str" cm="1">
        <f t="array" ref="BJ427">IFERROR(INDEX(SETUP!$C$19:$G$121,MATCH((INDEX(PMtbl[[WKst]:[Unit of measure*]],MATCH($A427&amp;$E427&amp;$I427,INDEX(PMtbl[Category]&amp;PMtbl[Each]&amp;PMtbl[Packaging],0,),0),3)),SETUP!$D$19:$D$121,0),5),"")</f>
        <v/>
      </c>
      <c r="BK427" s="568"/>
      <c r="BL427" s="563"/>
      <c r="BO427" s="448">
        <f>IF(N427="",0,IF(SETUP!$E$7="USD",((IF(O427="USD",P427,(P427/'Master Data-C19RM'!$C$2)))),((IF(O427="EUR",P427,(P427*'Master Data-C19RM'!$C$2))))))</f>
        <v>0</v>
      </c>
      <c r="BP427" s="448">
        <f>IF(N427="",0,IF(SETUP!$E$7="USD",((IF(O427="USD",W427,(W427/'Master Data-C19RM'!$D$2)))),((IF(O427="EUR",W427,(W427*'Master Data-C19RM'!$D$2))))))</f>
        <v>0</v>
      </c>
      <c r="BQ427" s="470">
        <f>IF(N427="",0,IF(SETUP!$E$7="USD",((IF(O427="USD",AD427,(AD427/'Master Data-C19RM'!$E$2)))),((IF(O427="EUR",AD427,(AD427*'Master Data-C19RM'!$E$2))))))</f>
        <v>0</v>
      </c>
      <c r="BR427" s="470">
        <f>IF(N427="",0,IF(SETUP!$E$7="USD",((IF(O427="USD",AK427,(AK427/'Master Data-C19RM'!$F$2)))),((IF(O427="EUR",AK427,(AK427*'Master Data-C19RM'!$F$2))))))</f>
        <v>0</v>
      </c>
      <c r="BS427" s="470">
        <f>IF(N427="",0,IF(SETUP!$E$7="USD",((IF(O427="USD",AR427,(AR427/'Master Data-C19RM'!$G$2)))),((IF(O427="EUR",AR427,(AR427*'Master Data-C19RM'!$G$2))))))</f>
        <v>0</v>
      </c>
      <c r="BT427" s="470">
        <f>IF(N427="",0,IF(SETUP!$E$7="USD",((IF(O427="USD",AY427,(AY427/'Master Data-C19RM'!$H$2)))),((IF(O427="EUR",AY427,(AY427*'Master Data-C19RM'!$H$2))))))</f>
        <v>0</v>
      </c>
      <c r="BU427" s="448">
        <f t="shared" si="51"/>
        <v>0</v>
      </c>
      <c r="BV427" s="562">
        <f t="shared" si="52"/>
        <v>0</v>
      </c>
      <c r="BW427" s="470"/>
      <c r="BX427" s="470"/>
      <c r="BY427" s="470"/>
      <c r="BZ427" s="470"/>
      <c r="CA427" s="470"/>
      <c r="CB427" s="470"/>
      <c r="CC427" s="470"/>
      <c r="CD427" s="470"/>
      <c r="CE427" s="470"/>
      <c r="CF427" s="470"/>
      <c r="CG427" s="470"/>
      <c r="CH427" s="470"/>
      <c r="CI427" s="470"/>
      <c r="CJ427" s="470"/>
      <c r="CK427" s="470"/>
      <c r="CL427" s="470"/>
      <c r="CM427" s="470"/>
      <c r="CN427" s="470"/>
      <c r="CO427" s="470"/>
      <c r="CP427" s="470"/>
    </row>
    <row r="428" spans="1:94" s="448" customFormat="1" ht="14" x14ac:dyDescent="0.3">
      <c r="A428" s="1197"/>
      <c r="B428" s="1198"/>
      <c r="C428" s="1198"/>
      <c r="D428" s="1199"/>
      <c r="E428" s="1173"/>
      <c r="F428" s="1173"/>
      <c r="G428" s="1173"/>
      <c r="H428" s="1173"/>
      <c r="I428" s="1173"/>
      <c r="J428" s="1173"/>
      <c r="K428" s="1173"/>
      <c r="L428" s="493" t="str" cm="1">
        <f t="array" ref="L428">IF(A428&lt;&gt;"",IFERROR(INDEX(PMtbl[[WKst]:[Unit of measure*]],MATCH($A$330&amp;$A428&amp;$E428&amp;$I428,INDEX(PMtbl[Sec]&amp;PMtbl[Category]&amp;PMtbl[Each]&amp;PMtbl[Packaging],0,),0),14),""),"")</f>
        <v/>
      </c>
      <c r="M428" s="480" t="str">
        <f>IF(L428="","",INDEX(SETUP!$E$20:$E$122,(MATCH(INDEX(PMsheet!$D:$E,MATCH(A428,PMsheet!E:E,0),1),SETUP!$D$20:$D$122,0))))</f>
        <v/>
      </c>
      <c r="N428" s="494">
        <f>IF($O428="USD",_xlfn.IFNA(VLOOKUP(A428&amp;E428&amp;I428,PMsheet!J:K,2,0),0),(_xlfn.IFNA(VLOOKUP(A428&amp;E428&amp;I428,PMsheet!J:K,2,0),0)*'Master Data-C19RM'!$C$2))</f>
        <v>0</v>
      </c>
      <c r="O428" s="495" t="str">
        <f>IF(L428="", "",SETUP!$E$7)</f>
        <v/>
      </c>
      <c r="P428" s="445">
        <f>IF($O428="USD",_xlfn.IFNA(VLOOKUP($A428&amp;$E428&amp;$I428,PMsheet!$J:$K,2,0),0),(_xlfn.IFNA(VLOOKUP($A428&amp;$E428&amp;$I428,PMsheet!$J:$K,2,0),0)*'Master Data-C19RM'!$C$2))</f>
        <v>0</v>
      </c>
      <c r="Q428" s="440"/>
      <c r="R428" s="440"/>
      <c r="S428" s="440"/>
      <c r="T428" s="440"/>
      <c r="U428" s="482">
        <f t="shared" si="44"/>
        <v>0</v>
      </c>
      <c r="V428" s="484">
        <f>IF(SETUP!$E$7="USD",(U428*(IF(O428="USD",P428,(P428/'Master Data-C19RM'!$C$2)))),(U428*(IF(O428="EUR",P428,(P428*'Master Data-C19RM'!$C$2)))))</f>
        <v>0</v>
      </c>
      <c r="W428" s="445">
        <f>IF($O428="USD",_xlfn.IFNA(VLOOKUP($A428&amp;$E428&amp;$I428,PMsheet!$J:$K,2,0),0),(_xlfn.IFNA(VLOOKUP($A428&amp;$E428&amp;$I428,PMsheet!$J:$K,2,0),0)*'Master Data-C19RM'!$D$2))</f>
        <v>0</v>
      </c>
      <c r="X428" s="440"/>
      <c r="Y428" s="440"/>
      <c r="Z428" s="440"/>
      <c r="AA428" s="440"/>
      <c r="AB428" s="482">
        <f t="shared" si="47"/>
        <v>0</v>
      </c>
      <c r="AC428" s="484">
        <f>IF(SETUP!$E$7="USD",(AB428*(IF(O428="USD",W428,(W428/'Master Data-C19RM'!$D$2)))),(AB428*(IF(O428="EUR",W428,(W428*'Master Data-C19RM'!$D$2)))))</f>
        <v>0</v>
      </c>
      <c r="AD428" s="445">
        <f>IF($O428="USD",_xlfn.IFNA(VLOOKUP($A428&amp;$E428&amp;$I428,PMsheet!$J:$K,2,0),0),(_xlfn.IFNA(VLOOKUP($A428&amp;$E428&amp;$I428,PMsheet!$J:$K,2,0),0)*'Master Data-C19RM'!$E$2))</f>
        <v>0</v>
      </c>
      <c r="AE428" s="440"/>
      <c r="AF428" s="440"/>
      <c r="AG428" s="440"/>
      <c r="AH428" s="440"/>
      <c r="AI428" s="514">
        <f t="shared" si="48"/>
        <v>0</v>
      </c>
      <c r="AJ428" s="515">
        <f>IF(SETUP!$E$7="USD",(AI428*(IF(O428="USD",AD428,(AD428/'Master Data-C19RM'!$E$2)))),(AI428*(IF(O428="EUR",AD428,(AD428*'Master Data-C19RM'!$E$2)))))</f>
        <v>0</v>
      </c>
      <c r="AK428" s="445">
        <f>IF($O428="USD",_xlfn.IFNA(VLOOKUP($A428&amp;$E428&amp;$I428,PMsheet!$J:$K,2,0),0),(_xlfn.IFNA(VLOOKUP($A428&amp;$E428&amp;$I428,PMsheet!$J:$K,2,0),0)*'Master Data-C19RM'!$F$2))</f>
        <v>0</v>
      </c>
      <c r="AL428" s="440"/>
      <c r="AM428" s="440"/>
      <c r="AN428" s="440"/>
      <c r="AO428" s="440"/>
      <c r="AP428" s="514">
        <f t="shared" si="49"/>
        <v>0</v>
      </c>
      <c r="AQ428" s="515">
        <f>IF(SETUP!$E$7="USD",(AP428*(IF(O428="USD",AK428,(AK428/'Master Data-C19RM'!$F$2)))),(AP428*(IF(O428="EUR",AK428,(AK428*'Master Data-C19RM'!$F$2)))))</f>
        <v>0</v>
      </c>
      <c r="AR428" s="925">
        <f>IF($O428="USD",_xlfn.IFNA(VLOOKUP($A428&amp;$E428&amp;$I428,PMsheet!$J:$K,2,0),0),(_xlfn.IFNA(VLOOKUP($A428&amp;$E428&amp;$I428,PMsheet!$J:$K,2,0),0)*'Master Data-C19RM'!$G$2))</f>
        <v>0</v>
      </c>
      <c r="AS428" s="926"/>
      <c r="AT428" s="926"/>
      <c r="AU428" s="926"/>
      <c r="AV428" s="926"/>
      <c r="AW428" s="514">
        <f t="shared" si="53"/>
        <v>0</v>
      </c>
      <c r="AX428" s="514">
        <f>IF(SETUP!$E$7="USD",(AW428*(IF(O428="USD",AR428,(AR428/'Master Data-C19RM'!$G$2)))),(AW428*(IF(O428="EUR",AR428,(AR428*'Master Data-C19RM'!$G$2)))))</f>
        <v>0</v>
      </c>
      <c r="AY428" s="845"/>
      <c r="AZ428" s="846"/>
      <c r="BA428" s="846"/>
      <c r="BB428" s="846"/>
      <c r="BC428" s="846"/>
      <c r="BD428" s="846"/>
      <c r="BE428" s="847"/>
      <c r="BF428" s="521">
        <f>'C19RM 2021-Lab &amp; Other HPS'!$U428+'C19RM 2021-Lab &amp; Other HPS'!$AB428+'C19RM 2021-Lab &amp; Other HPS'!$AP428+'C19RM 2021-Lab &amp; Other HPS'!$AI428+AW428+BD428</f>
        <v>0</v>
      </c>
      <c r="BG428" s="515">
        <f>'C19RM 2021-Lab &amp; Other HPS'!$V428+'C19RM 2021-Lab &amp; Other HPS'!$AC428+'C19RM 2021-Lab &amp; Other HPS'!$AQ428+'C19RM 2021-Lab &amp; Other HPS'!$AJ428+AX428+BE428</f>
        <v>0</v>
      </c>
      <c r="BH428" s="522" t="str" cm="1">
        <f t="array" ref="BH428">IF(A428&lt;&gt;"",IFERROR(INDEX(PMtbl[[WKst]:[Unit of measure*]],MATCH($A$330&amp;$A428&amp;$E428&amp;$I428,INDEX(PMtbl[Sec]&amp;PMtbl[Category]&amp;PMtbl[Each]&amp;PMtbl[Packaging],0,),0),11),""),"")</f>
        <v/>
      </c>
      <c r="BI428" s="818"/>
      <c r="BJ428" s="503" t="str" cm="1">
        <f t="array" ref="BJ428">IFERROR(INDEX(SETUP!$C$19:$G$121,MATCH((INDEX(PMtbl[[WKst]:[Unit of measure*]],MATCH($A428&amp;$E428&amp;$I428,INDEX(PMtbl[Category]&amp;PMtbl[Each]&amp;PMtbl[Packaging],0,),0),3)),SETUP!$D$19:$D$121,0),5),"")</f>
        <v/>
      </c>
      <c r="BK428" s="569"/>
      <c r="BL428" s="564"/>
      <c r="BO428" s="448">
        <f>IF(N428="",0,IF(SETUP!$E$7="USD",((IF(O428="USD",P428,(P428/'Master Data-C19RM'!$C$2)))),((IF(O428="EUR",P428,(P428*'Master Data-C19RM'!$C$2))))))</f>
        <v>0</v>
      </c>
      <c r="BP428" s="448">
        <f>IF(N428="",0,IF(SETUP!$E$7="USD",((IF(O428="USD",W428,(W428/'Master Data-C19RM'!$D$2)))),((IF(O428="EUR",W428,(W428*'Master Data-C19RM'!$D$2))))))</f>
        <v>0</v>
      </c>
      <c r="BQ428" s="470">
        <f>IF(N428="",0,IF(SETUP!$E$7="USD",((IF(O428="USD",AD428,(AD428/'Master Data-C19RM'!$E$2)))),((IF(O428="EUR",AD428,(AD428*'Master Data-C19RM'!$E$2))))))</f>
        <v>0</v>
      </c>
      <c r="BR428" s="470">
        <f>IF(N428="",0,IF(SETUP!$E$7="USD",((IF(O428="USD",AK428,(AK428/'Master Data-C19RM'!$F$2)))),((IF(O428="EUR",AK428,(AK428*'Master Data-C19RM'!$F$2))))))</f>
        <v>0</v>
      </c>
      <c r="BS428" s="470">
        <f>IF(N428="",0,IF(SETUP!$E$7="USD",((IF(O428="USD",AR428,(AR428/'Master Data-C19RM'!$G$2)))),((IF(O428="EUR",AR428,(AR428*'Master Data-C19RM'!$G$2))))))</f>
        <v>0</v>
      </c>
      <c r="BT428" s="470">
        <f>IF(N428="",0,IF(SETUP!$E$7="USD",((IF(O428="USD",AY428,(AY428/'Master Data-C19RM'!$H$2)))),((IF(O428="EUR",AY428,(AY428*'Master Data-C19RM'!$H$2))))))</f>
        <v>0</v>
      </c>
      <c r="BU428" s="448">
        <f t="shared" si="51"/>
        <v>0</v>
      </c>
      <c r="BV428" s="562">
        <f t="shared" si="52"/>
        <v>0</v>
      </c>
      <c r="BW428" s="470"/>
      <c r="BX428" s="470"/>
      <c r="BY428" s="470"/>
      <c r="BZ428" s="470"/>
      <c r="CA428" s="470"/>
      <c r="CB428" s="470"/>
      <c r="CC428" s="470"/>
      <c r="CD428" s="470"/>
      <c r="CE428" s="470"/>
      <c r="CF428" s="470"/>
      <c r="CG428" s="470"/>
      <c r="CH428" s="470"/>
      <c r="CI428" s="470"/>
      <c r="CJ428" s="470"/>
      <c r="CK428" s="470"/>
      <c r="CL428" s="470"/>
      <c r="CM428" s="470"/>
      <c r="CN428" s="470"/>
      <c r="CO428" s="470"/>
      <c r="CP428" s="470"/>
    </row>
    <row r="429" spans="1:94" s="448" customFormat="1" ht="14" x14ac:dyDescent="0.3">
      <c r="A429" s="1200"/>
      <c r="B429" s="1201"/>
      <c r="C429" s="1201"/>
      <c r="D429" s="1202"/>
      <c r="E429" s="1166"/>
      <c r="F429" s="1166"/>
      <c r="G429" s="1166"/>
      <c r="H429" s="1166"/>
      <c r="I429" s="1166"/>
      <c r="J429" s="1166"/>
      <c r="K429" s="1166"/>
      <c r="L429" s="490" t="str" cm="1">
        <f t="array" ref="L429">IF(A429&lt;&gt;"",IFERROR(INDEX(PMtbl[[WKst]:[Unit of measure*]],MATCH($A$330&amp;$A429&amp;$E429&amp;$I429,INDEX(PMtbl[Sec]&amp;PMtbl[Category]&amp;PMtbl[Each]&amp;PMtbl[Packaging],0,),0),14),""),"")</f>
        <v/>
      </c>
      <c r="M429" s="479" t="str">
        <f>IF(L429="","",INDEX(SETUP!$E$20:$E$122,(MATCH(INDEX(PMsheet!$D:$E,MATCH(A429,PMsheet!E:E,0),1),SETUP!$D$20:$D$122,0))))</f>
        <v/>
      </c>
      <c r="N429" s="491">
        <f>IF($O429="USD",_xlfn.IFNA(VLOOKUP(A429&amp;E429&amp;I429,PMsheet!J:K,2,0),0),(_xlfn.IFNA(VLOOKUP(A429&amp;E429&amp;I429,PMsheet!J:K,2,0),0)*'Master Data-C19RM'!$C$2))</f>
        <v>0</v>
      </c>
      <c r="O429" s="492" t="str">
        <f>IF(L429="", "",SETUP!$E$7)</f>
        <v/>
      </c>
      <c r="P429" s="444">
        <f>IF($O429="USD",_xlfn.IFNA(VLOOKUP($A429&amp;$E429&amp;$I429,PMsheet!$J:$K,2,0),0),(_xlfn.IFNA(VLOOKUP($A429&amp;$E429&amp;$I429,PMsheet!$J:$K,2,0),0)*'Master Data-C19RM'!$C$2))</f>
        <v>0</v>
      </c>
      <c r="Q429" s="441"/>
      <c r="R429" s="441"/>
      <c r="S429" s="441"/>
      <c r="T429" s="441"/>
      <c r="U429" s="481">
        <f t="shared" si="44"/>
        <v>0</v>
      </c>
      <c r="V429" s="483">
        <f>IF(SETUP!$E$7="USD",(U429*(IF(O429="USD",P429,(P429/'Master Data-C19RM'!$C$2)))),(U429*(IF(O429="EUR",P429,(P429*'Master Data-C19RM'!$C$2)))))</f>
        <v>0</v>
      </c>
      <c r="W429" s="444">
        <f>IF($O429="USD",_xlfn.IFNA(VLOOKUP($A429&amp;$E429&amp;$I429,PMsheet!$J:$K,2,0),0),(_xlfn.IFNA(VLOOKUP($A429&amp;$E429&amp;$I429,PMsheet!$J:$K,2,0),0)*'Master Data-C19RM'!$D$2))</f>
        <v>0</v>
      </c>
      <c r="X429" s="441"/>
      <c r="Y429" s="441"/>
      <c r="Z429" s="441"/>
      <c r="AA429" s="441"/>
      <c r="AB429" s="481">
        <f t="shared" si="47"/>
        <v>0</v>
      </c>
      <c r="AC429" s="483">
        <f>IF(SETUP!$E$7="USD",(AB429*(IF(O429="USD",W429,(W429/'Master Data-C19RM'!$D$2)))),(AB429*(IF(O429="EUR",W429,(W429*'Master Data-C19RM'!$D$2)))))</f>
        <v>0</v>
      </c>
      <c r="AD429" s="444">
        <f>IF($O429="USD",_xlfn.IFNA(VLOOKUP($A429&amp;$E429&amp;$I429,PMsheet!$J:$K,2,0),0),(_xlfn.IFNA(VLOOKUP($A429&amp;$E429&amp;$I429,PMsheet!$J:$K,2,0),0)*'Master Data-C19RM'!$E$2))</f>
        <v>0</v>
      </c>
      <c r="AE429" s="441"/>
      <c r="AF429" s="441"/>
      <c r="AG429" s="441"/>
      <c r="AH429" s="441"/>
      <c r="AI429" s="512">
        <f t="shared" si="48"/>
        <v>0</v>
      </c>
      <c r="AJ429" s="513">
        <f>IF(SETUP!$E$7="USD",(AI429*(IF(O429="USD",AD429,(AD429/'Master Data-C19RM'!$E$2)))),(AI429*(IF(O429="EUR",AD429,(AD429*'Master Data-C19RM'!$E$2)))))</f>
        <v>0</v>
      </c>
      <c r="AK429" s="444">
        <f>IF($O429="USD",_xlfn.IFNA(VLOOKUP($A429&amp;$E429&amp;$I429,PMsheet!$J:$K,2,0),0),(_xlfn.IFNA(VLOOKUP($A429&amp;$E429&amp;$I429,PMsheet!$J:$K,2,0),0)*'Master Data-C19RM'!$F$2))</f>
        <v>0</v>
      </c>
      <c r="AL429" s="441"/>
      <c r="AM429" s="441"/>
      <c r="AN429" s="441"/>
      <c r="AO429" s="441"/>
      <c r="AP429" s="512">
        <f t="shared" si="49"/>
        <v>0</v>
      </c>
      <c r="AQ429" s="513">
        <f>IF(SETUP!$E$7="USD",(AP429*(IF(O429="USD",AK429,(AK429/'Master Data-C19RM'!$F$2)))),(AP429*(IF(O429="EUR",AK429,(AK429*'Master Data-C19RM'!$F$2)))))</f>
        <v>0</v>
      </c>
      <c r="AR429" s="924">
        <f>IF($O429="USD",_xlfn.IFNA(VLOOKUP($A429&amp;$E429&amp;$I429,PMsheet!$J:$K,2,0),0),(_xlfn.IFNA(VLOOKUP($A429&amp;$E429&amp;$I429,PMsheet!$J:$K,2,0),0)*'Master Data-C19RM'!$G$2))</f>
        <v>0</v>
      </c>
      <c r="AS429" s="572"/>
      <c r="AT429" s="572"/>
      <c r="AU429" s="572"/>
      <c r="AV429" s="572"/>
      <c r="AW429" s="512">
        <f t="shared" si="53"/>
        <v>0</v>
      </c>
      <c r="AX429" s="512">
        <f>IF(SETUP!$E$7="USD",(AW429*(IF(O429="USD",AR429,(AR429/'Master Data-C19RM'!$G$2)))),(AW429*(IF(O429="EUR",AR429,(AR429*'Master Data-C19RM'!$G$2)))))</f>
        <v>0</v>
      </c>
      <c r="AY429" s="845"/>
      <c r="AZ429" s="846"/>
      <c r="BA429" s="846"/>
      <c r="BB429" s="846"/>
      <c r="BC429" s="846"/>
      <c r="BD429" s="846"/>
      <c r="BE429" s="847"/>
      <c r="BF429" s="520">
        <f>'C19RM 2021-Lab &amp; Other HPS'!$U429+'C19RM 2021-Lab &amp; Other HPS'!$AB429+'C19RM 2021-Lab &amp; Other HPS'!$AP429+'C19RM 2021-Lab &amp; Other HPS'!$AI429+AW429+BD429</f>
        <v>0</v>
      </c>
      <c r="BG429" s="513">
        <f>'C19RM 2021-Lab &amp; Other HPS'!$V429+'C19RM 2021-Lab &amp; Other HPS'!$AC429+'C19RM 2021-Lab &amp; Other HPS'!$AQ429+'C19RM 2021-Lab &amp; Other HPS'!$AJ429+AX429+BE429</f>
        <v>0</v>
      </c>
      <c r="BH429" s="500" t="str" cm="1">
        <f t="array" ref="BH429">IF(A429&lt;&gt;"",IFERROR(INDEX(PMtbl[[WKst]:[Unit of measure*]],MATCH($A$330&amp;$A429&amp;$E429&amp;$I429,INDEX(PMtbl[Sec]&amp;PMtbl[Category]&amp;PMtbl[Each]&amp;PMtbl[Packaging],0,),0),11),""),"")</f>
        <v/>
      </c>
      <c r="BI429" s="819"/>
      <c r="BJ429" s="502" t="str" cm="1">
        <f t="array" ref="BJ429">IFERROR(INDEX(SETUP!$C$19:$G$121,MATCH((INDEX(PMtbl[[WKst]:[Unit of measure*]],MATCH($A429&amp;$E429&amp;$I429,INDEX(PMtbl[Category]&amp;PMtbl[Each]&amp;PMtbl[Packaging],0,),0),3)),SETUP!$D$19:$D$121,0),5),"")</f>
        <v/>
      </c>
      <c r="BK429" s="568"/>
      <c r="BL429" s="563"/>
      <c r="BO429" s="448">
        <f>IF(N429="",0,IF(SETUP!$E$7="USD",((IF(O429="USD",P429,(P429/'Master Data-C19RM'!$C$2)))),((IF(O429="EUR",P429,(P429*'Master Data-C19RM'!$C$2))))))</f>
        <v>0</v>
      </c>
      <c r="BP429" s="448">
        <f>IF(N429="",0,IF(SETUP!$E$7="USD",((IF(O429="USD",W429,(W429/'Master Data-C19RM'!$D$2)))),((IF(O429="EUR",W429,(W429*'Master Data-C19RM'!$D$2))))))</f>
        <v>0</v>
      </c>
      <c r="BQ429" s="470">
        <f>IF(N429="",0,IF(SETUP!$E$7="USD",((IF(O429="USD",AD429,(AD429/'Master Data-C19RM'!$E$2)))),((IF(O429="EUR",AD429,(AD429*'Master Data-C19RM'!$E$2))))))</f>
        <v>0</v>
      </c>
      <c r="BR429" s="470">
        <f>IF(N429="",0,IF(SETUP!$E$7="USD",((IF(O429="USD",AK429,(AK429/'Master Data-C19RM'!$F$2)))),((IF(O429="EUR",AK429,(AK429*'Master Data-C19RM'!$F$2))))))</f>
        <v>0</v>
      </c>
      <c r="BS429" s="470">
        <f>IF(N429="",0,IF(SETUP!$E$7="USD",((IF(O429="USD",AR429,(AR429/'Master Data-C19RM'!$G$2)))),((IF(O429="EUR",AR429,(AR429*'Master Data-C19RM'!$G$2))))))</f>
        <v>0</v>
      </c>
      <c r="BT429" s="470">
        <f>IF(N429="",0,IF(SETUP!$E$7="USD",((IF(O429="USD",AY429,(AY429/'Master Data-C19RM'!$H$2)))),((IF(O429="EUR",AY429,(AY429*'Master Data-C19RM'!$H$2))))))</f>
        <v>0</v>
      </c>
      <c r="BU429" s="448">
        <f t="shared" si="51"/>
        <v>0</v>
      </c>
      <c r="BV429" s="562">
        <f t="shared" si="52"/>
        <v>0</v>
      </c>
      <c r="BW429" s="470"/>
      <c r="BX429" s="470"/>
      <c r="BY429" s="470"/>
      <c r="BZ429" s="470"/>
      <c r="CA429" s="470"/>
      <c r="CB429" s="470"/>
      <c r="CC429" s="470"/>
      <c r="CD429" s="470"/>
      <c r="CE429" s="470"/>
      <c r="CF429" s="470"/>
      <c r="CG429" s="470"/>
      <c r="CH429" s="470"/>
      <c r="CI429" s="470"/>
      <c r="CJ429" s="470"/>
      <c r="CK429" s="470"/>
      <c r="CL429" s="470"/>
      <c r="CM429" s="470"/>
      <c r="CN429" s="470"/>
      <c r="CO429" s="470"/>
      <c r="CP429" s="470"/>
    </row>
    <row r="430" spans="1:94" s="448" customFormat="1" ht="14" x14ac:dyDescent="0.3">
      <c r="A430" s="1197"/>
      <c r="B430" s="1198"/>
      <c r="C430" s="1198"/>
      <c r="D430" s="1199"/>
      <c r="E430" s="1173"/>
      <c r="F430" s="1173"/>
      <c r="G430" s="1173"/>
      <c r="H430" s="1173"/>
      <c r="I430" s="1173"/>
      <c r="J430" s="1173"/>
      <c r="K430" s="1173"/>
      <c r="L430" s="493" t="str" cm="1">
        <f t="array" ref="L430">IF(A430&lt;&gt;"",IFERROR(INDEX(PMtbl[[WKst]:[Unit of measure*]],MATCH($A$330&amp;$A430&amp;$E430&amp;$I430,INDEX(PMtbl[Sec]&amp;PMtbl[Category]&amp;PMtbl[Each]&amp;PMtbl[Packaging],0,),0),14),""),"")</f>
        <v/>
      </c>
      <c r="M430" s="480" t="str">
        <f>IF(L430="","",INDEX(SETUP!$E$20:$E$122,(MATCH(INDEX(PMsheet!$D:$E,MATCH(A430,PMsheet!E:E,0),1),SETUP!$D$20:$D$122,0))))</f>
        <v/>
      </c>
      <c r="N430" s="494">
        <f>IF($O430="USD",_xlfn.IFNA(VLOOKUP(A430&amp;E430&amp;I430,PMsheet!J:K,2,0),0),(_xlfn.IFNA(VLOOKUP(A430&amp;E430&amp;I430,PMsheet!J:K,2,0),0)*'Master Data-C19RM'!$C$2))</f>
        <v>0</v>
      </c>
      <c r="O430" s="495" t="str">
        <f>IF(L430="", "",SETUP!$E$7)</f>
        <v/>
      </c>
      <c r="P430" s="445">
        <f>IF($O430="USD",_xlfn.IFNA(VLOOKUP($A430&amp;$E430&amp;$I430,PMsheet!$J:$K,2,0),0),(_xlfn.IFNA(VLOOKUP($A430&amp;$E430&amp;$I430,PMsheet!$J:$K,2,0),0)*'Master Data-C19RM'!$C$2))</f>
        <v>0</v>
      </c>
      <c r="Q430" s="440"/>
      <c r="R430" s="440"/>
      <c r="S430" s="440"/>
      <c r="T430" s="440"/>
      <c r="U430" s="482">
        <f t="shared" si="44"/>
        <v>0</v>
      </c>
      <c r="V430" s="484">
        <f>IF(SETUP!$E$7="USD",(U430*(IF(O430="USD",P430,(P430/'Master Data-C19RM'!$C$2)))),(U430*(IF(O430="EUR",P430,(P430*'Master Data-C19RM'!$C$2)))))</f>
        <v>0</v>
      </c>
      <c r="W430" s="445">
        <f>IF($O430="USD",_xlfn.IFNA(VLOOKUP($A430&amp;$E430&amp;$I430,PMsheet!$J:$K,2,0),0),(_xlfn.IFNA(VLOOKUP($A430&amp;$E430&amp;$I430,PMsheet!$J:$K,2,0),0)*'Master Data-C19RM'!$D$2))</f>
        <v>0</v>
      </c>
      <c r="X430" s="440"/>
      <c r="Y430" s="440"/>
      <c r="Z430" s="440"/>
      <c r="AA430" s="440"/>
      <c r="AB430" s="482">
        <f t="shared" si="47"/>
        <v>0</v>
      </c>
      <c r="AC430" s="484">
        <f>IF(SETUP!$E$7="USD",(AB430*(IF(O430="USD",W430,(W430/'Master Data-C19RM'!$D$2)))),(AB430*(IF(O430="EUR",W430,(W430*'Master Data-C19RM'!$D$2)))))</f>
        <v>0</v>
      </c>
      <c r="AD430" s="445">
        <f>IF($O430="USD",_xlfn.IFNA(VLOOKUP($A430&amp;$E430&amp;$I430,PMsheet!$J:$K,2,0),0),(_xlfn.IFNA(VLOOKUP($A430&amp;$E430&amp;$I430,PMsheet!$J:$K,2,0),0)*'Master Data-C19RM'!$E$2))</f>
        <v>0</v>
      </c>
      <c r="AE430" s="440"/>
      <c r="AF430" s="440"/>
      <c r="AG430" s="440"/>
      <c r="AH430" s="440"/>
      <c r="AI430" s="514">
        <f t="shared" si="48"/>
        <v>0</v>
      </c>
      <c r="AJ430" s="515">
        <f>IF(SETUP!$E$7="USD",(AI430*(IF(O430="USD",AD430,(AD430/'Master Data-C19RM'!$E$2)))),(AI430*(IF(O430="EUR",AD430,(AD430*'Master Data-C19RM'!$E$2)))))</f>
        <v>0</v>
      </c>
      <c r="AK430" s="445">
        <f>IF($O430="USD",_xlfn.IFNA(VLOOKUP($A430&amp;$E430&amp;$I430,PMsheet!$J:$K,2,0),0),(_xlfn.IFNA(VLOOKUP($A430&amp;$E430&amp;$I430,PMsheet!$J:$K,2,0),0)*'Master Data-C19RM'!$F$2))</f>
        <v>0</v>
      </c>
      <c r="AL430" s="440"/>
      <c r="AM430" s="440"/>
      <c r="AN430" s="440"/>
      <c r="AO430" s="440"/>
      <c r="AP430" s="514">
        <f t="shared" si="49"/>
        <v>0</v>
      </c>
      <c r="AQ430" s="515">
        <f>IF(SETUP!$E$7="USD",(AP430*(IF(O430="USD",AK430,(AK430/'Master Data-C19RM'!$F$2)))),(AP430*(IF(O430="EUR",AK430,(AK430*'Master Data-C19RM'!$F$2)))))</f>
        <v>0</v>
      </c>
      <c r="AR430" s="925">
        <f>IF($O430="USD",_xlfn.IFNA(VLOOKUP($A430&amp;$E430&amp;$I430,PMsheet!$J:$K,2,0),0),(_xlfn.IFNA(VLOOKUP($A430&amp;$E430&amp;$I430,PMsheet!$J:$K,2,0),0)*'Master Data-C19RM'!$G$2))</f>
        <v>0</v>
      </c>
      <c r="AS430" s="926"/>
      <c r="AT430" s="926"/>
      <c r="AU430" s="926"/>
      <c r="AV430" s="926"/>
      <c r="AW430" s="514">
        <f t="shared" si="53"/>
        <v>0</v>
      </c>
      <c r="AX430" s="514">
        <f>IF(SETUP!$E$7="USD",(AW430*(IF(O430="USD",AR430,(AR430/'Master Data-C19RM'!$G$2)))),(AW430*(IF(O430="EUR",AR430,(AR430*'Master Data-C19RM'!$G$2)))))</f>
        <v>0</v>
      </c>
      <c r="AY430" s="845"/>
      <c r="AZ430" s="846"/>
      <c r="BA430" s="846"/>
      <c r="BB430" s="846"/>
      <c r="BC430" s="846"/>
      <c r="BD430" s="846"/>
      <c r="BE430" s="847"/>
      <c r="BF430" s="521">
        <f>'C19RM 2021-Lab &amp; Other HPS'!$U430+'C19RM 2021-Lab &amp; Other HPS'!$AB430+'C19RM 2021-Lab &amp; Other HPS'!$AP430+'C19RM 2021-Lab &amp; Other HPS'!$AI430+AW430+BD430</f>
        <v>0</v>
      </c>
      <c r="BG430" s="515">
        <f>'C19RM 2021-Lab &amp; Other HPS'!$V430+'C19RM 2021-Lab &amp; Other HPS'!$AC430+'C19RM 2021-Lab &amp; Other HPS'!$AQ430+'C19RM 2021-Lab &amp; Other HPS'!$AJ430+AX430+BE430</f>
        <v>0</v>
      </c>
      <c r="BH430" s="522" t="str" cm="1">
        <f t="array" ref="BH430">IF(A430&lt;&gt;"",IFERROR(INDEX(PMtbl[[WKst]:[Unit of measure*]],MATCH($A$330&amp;$A430&amp;$E430&amp;$I430,INDEX(PMtbl[Sec]&amp;PMtbl[Category]&amp;PMtbl[Each]&amp;PMtbl[Packaging],0,),0),11),""),"")</f>
        <v/>
      </c>
      <c r="BI430" s="818"/>
      <c r="BJ430" s="503" t="str" cm="1">
        <f t="array" ref="BJ430">IFERROR(INDEX(SETUP!$C$19:$G$121,MATCH((INDEX(PMtbl[[WKst]:[Unit of measure*]],MATCH($A430&amp;$E430&amp;$I430,INDEX(PMtbl[Category]&amp;PMtbl[Each]&amp;PMtbl[Packaging],0,),0),3)),SETUP!$D$19:$D$121,0),5),"")</f>
        <v/>
      </c>
      <c r="BK430" s="569"/>
      <c r="BL430" s="564"/>
      <c r="BO430" s="448">
        <f>IF(N430="",0,IF(SETUP!$E$7="USD",((IF(O430="USD",P430,(P430/'Master Data-C19RM'!$C$2)))),((IF(O430="EUR",P430,(P430*'Master Data-C19RM'!$C$2))))))</f>
        <v>0</v>
      </c>
      <c r="BP430" s="448">
        <f>IF(N430="",0,IF(SETUP!$E$7="USD",((IF(O430="USD",W430,(W430/'Master Data-C19RM'!$D$2)))),((IF(O430="EUR",W430,(W430*'Master Data-C19RM'!$D$2))))))</f>
        <v>0</v>
      </c>
      <c r="BQ430" s="470">
        <f>IF(N430="",0,IF(SETUP!$E$7="USD",((IF(O430="USD",AD430,(AD430/'Master Data-C19RM'!$E$2)))),((IF(O430="EUR",AD430,(AD430*'Master Data-C19RM'!$E$2))))))</f>
        <v>0</v>
      </c>
      <c r="BR430" s="470">
        <f>IF(N430="",0,IF(SETUP!$E$7="USD",((IF(O430="USD",AK430,(AK430/'Master Data-C19RM'!$F$2)))),((IF(O430="EUR",AK430,(AK430*'Master Data-C19RM'!$F$2))))))</f>
        <v>0</v>
      </c>
      <c r="BS430" s="470">
        <f>IF(N430="",0,IF(SETUP!$E$7="USD",((IF(O430="USD",AR430,(AR430/'Master Data-C19RM'!$G$2)))),((IF(O430="EUR",AR430,(AR430*'Master Data-C19RM'!$G$2))))))</f>
        <v>0</v>
      </c>
      <c r="BT430" s="470">
        <f>IF(N430="",0,IF(SETUP!$E$7="USD",((IF(O430="USD",AY430,(AY430/'Master Data-C19RM'!$H$2)))),((IF(O430="EUR",AY430,(AY430*'Master Data-C19RM'!$H$2))))))</f>
        <v>0</v>
      </c>
      <c r="BU430" s="448">
        <f t="shared" si="51"/>
        <v>0</v>
      </c>
      <c r="BV430" s="562">
        <f t="shared" si="52"/>
        <v>0</v>
      </c>
      <c r="BW430" s="470"/>
      <c r="BX430" s="470"/>
      <c r="BY430" s="470"/>
      <c r="BZ430" s="470"/>
      <c r="CA430" s="470"/>
      <c r="CB430" s="470"/>
      <c r="CC430" s="470"/>
      <c r="CD430" s="470"/>
      <c r="CE430" s="470"/>
      <c r="CF430" s="470"/>
      <c r="CG430" s="470"/>
      <c r="CH430" s="470"/>
      <c r="CI430" s="470"/>
      <c r="CJ430" s="470"/>
      <c r="CK430" s="470"/>
      <c r="CL430" s="470"/>
      <c r="CM430" s="470"/>
      <c r="CN430" s="470"/>
      <c r="CO430" s="470"/>
      <c r="CP430" s="470"/>
    </row>
    <row r="431" spans="1:94" s="448" customFormat="1" ht="14" x14ac:dyDescent="0.3">
      <c r="A431" s="1165"/>
      <c r="B431" s="1165"/>
      <c r="C431" s="1165"/>
      <c r="D431" s="1165"/>
      <c r="E431" s="1166"/>
      <c r="F431" s="1166"/>
      <c r="G431" s="1166"/>
      <c r="H431" s="1166"/>
      <c r="I431" s="1166"/>
      <c r="J431" s="1166"/>
      <c r="K431" s="1166"/>
      <c r="L431" s="490" t="str" cm="1">
        <f t="array" ref="L431">IF(A431&lt;&gt;"",IFERROR(INDEX(PMtbl[[WKst]:[Unit of measure*]],MATCH($A$330&amp;$A431&amp;$E431&amp;$I431,INDEX(PMtbl[Sec]&amp;PMtbl[Category]&amp;PMtbl[Each]&amp;PMtbl[Packaging],0,),0),14),""),"")</f>
        <v/>
      </c>
      <c r="M431" s="479" t="str">
        <f>IF(L431="","",INDEX(SETUP!$E$20:$E$122,(MATCH(INDEX(PMsheet!$D:$E,MATCH(A431,PMsheet!E:E,0),1),SETUP!$D$20:$D$122,0))))</f>
        <v/>
      </c>
      <c r="N431" s="491">
        <f>IF($O431="USD",_xlfn.IFNA(VLOOKUP(A431&amp;E431&amp;I431,PMsheet!J:K,2,0),0),(_xlfn.IFNA(VLOOKUP(A431&amp;E431&amp;I431,PMsheet!J:K,2,0),0)*'Master Data-C19RM'!$C$2))</f>
        <v>0</v>
      </c>
      <c r="O431" s="492" t="str">
        <f>IF(L431="", "",SETUP!$E$7)</f>
        <v/>
      </c>
      <c r="P431" s="444">
        <f>IF($O431="USD",_xlfn.IFNA(VLOOKUP($A431&amp;$E431&amp;$I431,PMsheet!$J:$K,2,0),0),(_xlfn.IFNA(VLOOKUP($A431&amp;$E431&amp;$I431,PMsheet!$J:$K,2,0),0)*'Master Data-C19RM'!$C$2))</f>
        <v>0</v>
      </c>
      <c r="Q431" s="441"/>
      <c r="R431" s="441"/>
      <c r="S431" s="441"/>
      <c r="T431" s="441"/>
      <c r="U431" s="481">
        <f t="shared" si="44"/>
        <v>0</v>
      </c>
      <c r="V431" s="483">
        <f>IF(SETUP!$E$7="USD",(U431*(IF(O431="USD",P431,(P431/'Master Data-C19RM'!$C$2)))),(U431*(IF(O431="EUR",P431,(P431*'Master Data-C19RM'!$C$2)))))</f>
        <v>0</v>
      </c>
      <c r="W431" s="444">
        <f>IF($O431="USD",_xlfn.IFNA(VLOOKUP($A431&amp;$E431&amp;$I431,PMsheet!$J:$K,2,0),0),(_xlfn.IFNA(VLOOKUP($A431&amp;$E431&amp;$I431,PMsheet!$J:$K,2,0),0)*'Master Data-C19RM'!$D$2))</f>
        <v>0</v>
      </c>
      <c r="X431" s="441"/>
      <c r="Y431" s="441"/>
      <c r="Z431" s="441"/>
      <c r="AA431" s="441"/>
      <c r="AB431" s="481">
        <f t="shared" si="47"/>
        <v>0</v>
      </c>
      <c r="AC431" s="483">
        <f>IF(SETUP!$E$7="USD",(AB431*(IF(O431="USD",W431,(W431/'Master Data-C19RM'!$D$2)))),(AB431*(IF(O431="EUR",W431,(W431*'Master Data-C19RM'!$D$2)))))</f>
        <v>0</v>
      </c>
      <c r="AD431" s="444">
        <f>IF($O431="USD",_xlfn.IFNA(VLOOKUP($A431&amp;$E431&amp;$I431,PMsheet!$J:$K,2,0),0),(_xlfn.IFNA(VLOOKUP($A431&amp;$E431&amp;$I431,PMsheet!$J:$K,2,0),0)*'Master Data-C19RM'!$E$2))</f>
        <v>0</v>
      </c>
      <c r="AE431" s="441"/>
      <c r="AF431" s="441"/>
      <c r="AG431" s="441"/>
      <c r="AH431" s="441"/>
      <c r="AI431" s="512">
        <f t="shared" si="48"/>
        <v>0</v>
      </c>
      <c r="AJ431" s="513">
        <f>IF(SETUP!$E$7="USD",(AI431*(IF(O431="USD",AD431,(AD431/'Master Data-C19RM'!$E$2)))),(AI431*(IF(O431="EUR",AD431,(AD431*'Master Data-C19RM'!$E$2)))))</f>
        <v>0</v>
      </c>
      <c r="AK431" s="444">
        <f>IF($O431="USD",_xlfn.IFNA(VLOOKUP($A431&amp;$E431&amp;$I431,PMsheet!$J:$K,2,0),0),(_xlfn.IFNA(VLOOKUP($A431&amp;$E431&amp;$I431,PMsheet!$J:$K,2,0),0)*'Master Data-C19RM'!$F$2))</f>
        <v>0</v>
      </c>
      <c r="AL431" s="441"/>
      <c r="AM431" s="441"/>
      <c r="AN431" s="441"/>
      <c r="AO431" s="441"/>
      <c r="AP431" s="512">
        <f t="shared" si="49"/>
        <v>0</v>
      </c>
      <c r="AQ431" s="513">
        <f>IF(SETUP!$E$7="USD",(AP431*(IF(O431="USD",AK431,(AK431/'Master Data-C19RM'!$F$2)))),(AP431*(IF(O431="EUR",AK431,(AK431*'Master Data-C19RM'!$F$2)))))</f>
        <v>0</v>
      </c>
      <c r="AR431" s="924">
        <f>IF($O431="USD",_xlfn.IFNA(VLOOKUP($A431&amp;$E431&amp;$I431,PMsheet!$J:$K,2,0),0),(_xlfn.IFNA(VLOOKUP($A431&amp;$E431&amp;$I431,PMsheet!$J:$K,2,0),0)*'Master Data-C19RM'!$G$2))</f>
        <v>0</v>
      </c>
      <c r="AS431" s="572"/>
      <c r="AT431" s="572"/>
      <c r="AU431" s="572"/>
      <c r="AV431" s="572"/>
      <c r="AW431" s="512">
        <f t="shared" si="53"/>
        <v>0</v>
      </c>
      <c r="AX431" s="512">
        <f>IF(SETUP!$E$7="USD",(AW431*(IF(O431="USD",AR431,(AR431/'Master Data-C19RM'!$G$2)))),(AW431*(IF(O431="EUR",AR431,(AR431*'Master Data-C19RM'!$G$2)))))</f>
        <v>0</v>
      </c>
      <c r="AY431" s="845"/>
      <c r="AZ431" s="846"/>
      <c r="BA431" s="846"/>
      <c r="BB431" s="846"/>
      <c r="BC431" s="846"/>
      <c r="BD431" s="846"/>
      <c r="BE431" s="847"/>
      <c r="BF431" s="520">
        <f>'C19RM 2021-Lab &amp; Other HPS'!$U431+'C19RM 2021-Lab &amp; Other HPS'!$AB431+'C19RM 2021-Lab &amp; Other HPS'!$AP431+'C19RM 2021-Lab &amp; Other HPS'!$AI431+AW431+BD431</f>
        <v>0</v>
      </c>
      <c r="BG431" s="513">
        <f>'C19RM 2021-Lab &amp; Other HPS'!$V431+'C19RM 2021-Lab &amp; Other HPS'!$AC431+'C19RM 2021-Lab &amp; Other HPS'!$AQ431+'C19RM 2021-Lab &amp; Other HPS'!$AJ431+AX431+BE431</f>
        <v>0</v>
      </c>
      <c r="BH431" s="500" t="str" cm="1">
        <f t="array" ref="BH431">IF(A431&lt;&gt;"",IFERROR(INDEX(PMtbl[[WKst]:[Unit of measure*]],MATCH($A$330&amp;$A431&amp;$E431&amp;$I431,INDEX(PMtbl[Sec]&amp;PMtbl[Category]&amp;PMtbl[Each]&amp;PMtbl[Packaging],0,),0),11),""),"")</f>
        <v/>
      </c>
      <c r="BI431" s="819"/>
      <c r="BJ431" s="502" t="str" cm="1">
        <f t="array" ref="BJ431">IFERROR(INDEX(SETUP!$C$19:$G$121,MATCH((INDEX(PMtbl[[WKst]:[Unit of measure*]],MATCH($A431&amp;$E431&amp;$I431,INDEX(PMtbl[Category]&amp;PMtbl[Each]&amp;PMtbl[Packaging],0,),0),3)),SETUP!$D$19:$D$121,0),5),"")</f>
        <v/>
      </c>
      <c r="BK431" s="568"/>
      <c r="BL431" s="563"/>
      <c r="BO431" s="448">
        <f>IF(N431="",0,IF(SETUP!$E$7="USD",((IF(O431="USD",P431,(P431/'Master Data-C19RM'!$C$2)))),((IF(O431="EUR",P431,(P431*'Master Data-C19RM'!$C$2))))))</f>
        <v>0</v>
      </c>
      <c r="BP431" s="448">
        <f>IF(N431="",0,IF(SETUP!$E$7="USD",((IF(O431="USD",W431,(W431/'Master Data-C19RM'!$D$2)))),((IF(O431="EUR",W431,(W431*'Master Data-C19RM'!$D$2))))))</f>
        <v>0</v>
      </c>
      <c r="BQ431" s="470">
        <f>IF(N431="",0,IF(SETUP!$E$7="USD",((IF(O431="USD",AD431,(AD431/'Master Data-C19RM'!$E$2)))),((IF(O431="EUR",AD431,(AD431*'Master Data-C19RM'!$E$2))))))</f>
        <v>0</v>
      </c>
      <c r="BR431" s="470">
        <f>IF(N431="",0,IF(SETUP!$E$7="USD",((IF(O431="USD",AK431,(AK431/'Master Data-C19RM'!$F$2)))),((IF(O431="EUR",AK431,(AK431*'Master Data-C19RM'!$F$2))))))</f>
        <v>0</v>
      </c>
      <c r="BS431" s="470">
        <f>IF(N431="",0,IF(SETUP!$E$7="USD",((IF(O431="USD",AR431,(AR431/'Master Data-C19RM'!$G$2)))),((IF(O431="EUR",AR431,(AR431*'Master Data-C19RM'!$G$2))))))</f>
        <v>0</v>
      </c>
      <c r="BT431" s="470">
        <f>IF(N431="",0,IF(SETUP!$E$7="USD",((IF(O431="USD",AY431,(AY431/'Master Data-C19RM'!$H$2)))),((IF(O431="EUR",AY431,(AY431*'Master Data-C19RM'!$H$2))))))</f>
        <v>0</v>
      </c>
      <c r="BU431" s="448">
        <f t="shared" si="51"/>
        <v>0</v>
      </c>
      <c r="BV431" s="562">
        <f t="shared" si="52"/>
        <v>0</v>
      </c>
      <c r="BW431" s="470"/>
      <c r="BX431" s="470"/>
      <c r="BY431" s="470"/>
      <c r="BZ431" s="470"/>
      <c r="CA431" s="470"/>
      <c r="CB431" s="470"/>
      <c r="CC431" s="470"/>
      <c r="CD431" s="470"/>
      <c r="CE431" s="470"/>
      <c r="CF431" s="470"/>
      <c r="CG431" s="470"/>
      <c r="CH431" s="470"/>
      <c r="CI431" s="470"/>
      <c r="CJ431" s="470"/>
      <c r="CK431" s="470"/>
      <c r="CL431" s="470"/>
      <c r="CM431" s="470"/>
      <c r="CN431" s="470"/>
      <c r="CO431" s="470"/>
      <c r="CP431" s="470"/>
    </row>
    <row r="432" spans="1:94" s="448" customFormat="1" ht="14" x14ac:dyDescent="0.3">
      <c r="A432" s="1197"/>
      <c r="B432" s="1198"/>
      <c r="C432" s="1198"/>
      <c r="D432" s="1199"/>
      <c r="E432" s="1173"/>
      <c r="F432" s="1173"/>
      <c r="G432" s="1173"/>
      <c r="H432" s="1173"/>
      <c r="I432" s="1173"/>
      <c r="J432" s="1173"/>
      <c r="K432" s="1173"/>
      <c r="L432" s="493" t="str" cm="1">
        <f t="array" ref="L432">IF(A432&lt;&gt;"",IFERROR(INDEX(PMtbl[[WKst]:[Unit of measure*]],MATCH($A$330&amp;$A432&amp;$E432&amp;$I432,INDEX(PMtbl[Sec]&amp;PMtbl[Category]&amp;PMtbl[Each]&amp;PMtbl[Packaging],0,),0),14),""),"")</f>
        <v/>
      </c>
      <c r="M432" s="480" t="str">
        <f>IF(L432="","",INDEX(SETUP!$E$20:$E$122,(MATCH(INDEX(PMsheet!$D:$E,MATCH(A432,PMsheet!E:E,0),1),SETUP!$D$20:$D$122,0))))</f>
        <v/>
      </c>
      <c r="N432" s="494">
        <f>IF($O432="USD",_xlfn.IFNA(VLOOKUP(A432&amp;E432&amp;I432,PMsheet!J:K,2,0),0),(_xlfn.IFNA(VLOOKUP(A432&amp;E432&amp;I432,PMsheet!J:K,2,0),0)*'Master Data-C19RM'!$C$2))</f>
        <v>0</v>
      </c>
      <c r="O432" s="495" t="str">
        <f>IF(L432="", "",SETUP!$E$7)</f>
        <v/>
      </c>
      <c r="P432" s="445">
        <f>IF($O432="USD",_xlfn.IFNA(VLOOKUP($A432&amp;$E432&amp;$I432,PMsheet!$J:$K,2,0),0),(_xlfn.IFNA(VLOOKUP($A432&amp;$E432&amp;$I432,PMsheet!$J:$K,2,0),0)*'Master Data-C19RM'!$C$2))</f>
        <v>0</v>
      </c>
      <c r="Q432" s="440"/>
      <c r="R432" s="440"/>
      <c r="S432" s="440"/>
      <c r="T432" s="440"/>
      <c r="U432" s="482">
        <f t="shared" si="44"/>
        <v>0</v>
      </c>
      <c r="V432" s="484">
        <f>IF(SETUP!$E$7="USD",(U432*(IF(O432="USD",P432,(P432/'Master Data-C19RM'!$C$2)))),(U432*(IF(O432="EUR",P432,(P432*'Master Data-C19RM'!$C$2)))))</f>
        <v>0</v>
      </c>
      <c r="W432" s="445">
        <f>IF($O432="USD",_xlfn.IFNA(VLOOKUP($A432&amp;$E432&amp;$I432,PMsheet!$J:$K,2,0),0),(_xlfn.IFNA(VLOOKUP($A432&amp;$E432&amp;$I432,PMsheet!$J:$K,2,0),0)*'Master Data-C19RM'!$D$2))</f>
        <v>0</v>
      </c>
      <c r="X432" s="440"/>
      <c r="Y432" s="440"/>
      <c r="Z432" s="440"/>
      <c r="AA432" s="440"/>
      <c r="AB432" s="482">
        <f t="shared" si="47"/>
        <v>0</v>
      </c>
      <c r="AC432" s="484">
        <f>IF(SETUP!$E$7="USD",(AB432*(IF(O432="USD",W432,(W432/'Master Data-C19RM'!$D$2)))),(AB432*(IF(O432="EUR",W432,(W432*'Master Data-C19RM'!$D$2)))))</f>
        <v>0</v>
      </c>
      <c r="AD432" s="445">
        <f>IF($O432="USD",_xlfn.IFNA(VLOOKUP($A432&amp;$E432&amp;$I432,PMsheet!$J:$K,2,0),0),(_xlfn.IFNA(VLOOKUP($A432&amp;$E432&amp;$I432,PMsheet!$J:$K,2,0),0)*'Master Data-C19RM'!$E$2))</f>
        <v>0</v>
      </c>
      <c r="AE432" s="440"/>
      <c r="AF432" s="440"/>
      <c r="AG432" s="440"/>
      <c r="AH432" s="440"/>
      <c r="AI432" s="514">
        <f t="shared" si="48"/>
        <v>0</v>
      </c>
      <c r="AJ432" s="515">
        <f>IF(SETUP!$E$7="USD",(AI432*(IF(O432="USD",AD432,(AD432/'Master Data-C19RM'!$E$2)))),(AI432*(IF(O432="EUR",AD432,(AD432*'Master Data-C19RM'!$E$2)))))</f>
        <v>0</v>
      </c>
      <c r="AK432" s="445">
        <f>IF($O432="USD",_xlfn.IFNA(VLOOKUP($A432&amp;$E432&amp;$I432,PMsheet!$J:$K,2,0),0),(_xlfn.IFNA(VLOOKUP($A432&amp;$E432&amp;$I432,PMsheet!$J:$K,2,0),0)*'Master Data-C19RM'!$F$2))</f>
        <v>0</v>
      </c>
      <c r="AL432" s="440"/>
      <c r="AM432" s="440"/>
      <c r="AN432" s="440"/>
      <c r="AO432" s="440"/>
      <c r="AP432" s="514">
        <f t="shared" si="49"/>
        <v>0</v>
      </c>
      <c r="AQ432" s="515">
        <f>IF(SETUP!$E$7="USD",(AP432*(IF(O432="USD",AK432,(AK432/'Master Data-C19RM'!$F$2)))),(AP432*(IF(O432="EUR",AK432,(AK432*'Master Data-C19RM'!$F$2)))))</f>
        <v>0</v>
      </c>
      <c r="AR432" s="925">
        <f>IF($O432="USD",_xlfn.IFNA(VLOOKUP($A432&amp;$E432&amp;$I432,PMsheet!$J:$K,2,0),0),(_xlfn.IFNA(VLOOKUP($A432&amp;$E432&amp;$I432,PMsheet!$J:$K,2,0),0)*'Master Data-C19RM'!$G$2))</f>
        <v>0</v>
      </c>
      <c r="AS432" s="926"/>
      <c r="AT432" s="926"/>
      <c r="AU432" s="926"/>
      <c r="AV432" s="926"/>
      <c r="AW432" s="514">
        <f t="shared" si="53"/>
        <v>0</v>
      </c>
      <c r="AX432" s="514">
        <f>IF(SETUP!$E$7="USD",(AW432*(IF(O432="USD",AR432,(AR432/'Master Data-C19RM'!$G$2)))),(AW432*(IF(O432="EUR",AR432,(AR432*'Master Data-C19RM'!$G$2)))))</f>
        <v>0</v>
      </c>
      <c r="AY432" s="845"/>
      <c r="AZ432" s="846"/>
      <c r="BA432" s="846"/>
      <c r="BB432" s="846"/>
      <c r="BC432" s="846"/>
      <c r="BD432" s="846"/>
      <c r="BE432" s="847"/>
      <c r="BF432" s="521">
        <f>'C19RM 2021-Lab &amp; Other HPS'!$U432+'C19RM 2021-Lab &amp; Other HPS'!$AB432+'C19RM 2021-Lab &amp; Other HPS'!$AP432+'C19RM 2021-Lab &amp; Other HPS'!$AI432+AW432+BD432</f>
        <v>0</v>
      </c>
      <c r="BG432" s="515">
        <f>'C19RM 2021-Lab &amp; Other HPS'!$V432+'C19RM 2021-Lab &amp; Other HPS'!$AC432+'C19RM 2021-Lab &amp; Other HPS'!$AQ432+'C19RM 2021-Lab &amp; Other HPS'!$AJ432+AX432+BE432</f>
        <v>0</v>
      </c>
      <c r="BH432" s="522" t="str" cm="1">
        <f t="array" ref="BH432">IF(A432&lt;&gt;"",IFERROR(INDEX(PMtbl[[WKst]:[Unit of measure*]],MATCH($A$330&amp;$A432&amp;$E432&amp;$I432,INDEX(PMtbl[Sec]&amp;PMtbl[Category]&amp;PMtbl[Each]&amp;PMtbl[Packaging],0,),0),11),""),"")</f>
        <v/>
      </c>
      <c r="BI432" s="818"/>
      <c r="BJ432" s="503" t="str" cm="1">
        <f t="array" ref="BJ432">IFERROR(INDEX(SETUP!$C$19:$G$121,MATCH((INDEX(PMtbl[[WKst]:[Unit of measure*]],MATCH($A432&amp;$E432&amp;$I432,INDEX(PMtbl[Category]&amp;PMtbl[Each]&amp;PMtbl[Packaging],0,),0),3)),SETUP!$D$19:$D$121,0),5),"")</f>
        <v/>
      </c>
      <c r="BK432" s="569"/>
      <c r="BL432" s="564"/>
      <c r="BO432" s="448">
        <f>IF(N432="",0,IF(SETUP!$E$7="USD",((IF(O432="USD",P432,(P432/'Master Data-C19RM'!$C$2)))),((IF(O432="EUR",P432,(P432*'Master Data-C19RM'!$C$2))))))</f>
        <v>0</v>
      </c>
      <c r="BP432" s="448">
        <f>IF(N432="",0,IF(SETUP!$E$7="USD",((IF(O432="USD",W432,(W432/'Master Data-C19RM'!$D$2)))),((IF(O432="EUR",W432,(W432*'Master Data-C19RM'!$D$2))))))</f>
        <v>0</v>
      </c>
      <c r="BQ432" s="470">
        <f>IF(N432="",0,IF(SETUP!$E$7="USD",((IF(O432="USD",AD432,(AD432/'Master Data-C19RM'!$E$2)))),((IF(O432="EUR",AD432,(AD432*'Master Data-C19RM'!$E$2))))))</f>
        <v>0</v>
      </c>
      <c r="BR432" s="470">
        <f>IF(N432="",0,IF(SETUP!$E$7="USD",((IF(O432="USD",AK432,(AK432/'Master Data-C19RM'!$F$2)))),((IF(O432="EUR",AK432,(AK432*'Master Data-C19RM'!$F$2))))))</f>
        <v>0</v>
      </c>
      <c r="BS432" s="470">
        <f>IF(N432="",0,IF(SETUP!$E$7="USD",((IF(O432="USD",AR432,(AR432/'Master Data-C19RM'!$G$2)))),((IF(O432="EUR",AR432,(AR432*'Master Data-C19RM'!$G$2))))))</f>
        <v>0</v>
      </c>
      <c r="BT432" s="470">
        <f>IF(N432="",0,IF(SETUP!$E$7="USD",((IF(O432="USD",AY432,(AY432/'Master Data-C19RM'!$H$2)))),((IF(O432="EUR",AY432,(AY432*'Master Data-C19RM'!$H$2))))))</f>
        <v>0</v>
      </c>
      <c r="BU432" s="448">
        <f t="shared" si="51"/>
        <v>0</v>
      </c>
      <c r="BV432" s="562">
        <f t="shared" si="52"/>
        <v>0</v>
      </c>
      <c r="BW432" s="470"/>
      <c r="BX432" s="470"/>
      <c r="BY432" s="470"/>
      <c r="BZ432" s="470"/>
      <c r="CA432" s="470"/>
      <c r="CB432" s="470"/>
      <c r="CC432" s="470"/>
      <c r="CD432" s="470"/>
      <c r="CE432" s="470"/>
      <c r="CF432" s="470"/>
      <c r="CG432" s="470"/>
      <c r="CH432" s="470"/>
      <c r="CI432" s="470"/>
      <c r="CJ432" s="470"/>
      <c r="CK432" s="470"/>
      <c r="CL432" s="470"/>
      <c r="CM432" s="470"/>
      <c r="CN432" s="470"/>
      <c r="CO432" s="470"/>
      <c r="CP432" s="470"/>
    </row>
    <row r="433" spans="1:94" s="448" customFormat="1" ht="14" x14ac:dyDescent="0.3">
      <c r="A433" s="1200"/>
      <c r="B433" s="1201"/>
      <c r="C433" s="1201"/>
      <c r="D433" s="1202"/>
      <c r="E433" s="1166"/>
      <c r="F433" s="1166"/>
      <c r="G433" s="1166"/>
      <c r="H433" s="1166"/>
      <c r="I433" s="1166"/>
      <c r="J433" s="1166"/>
      <c r="K433" s="1166"/>
      <c r="L433" s="490" t="str" cm="1">
        <f t="array" ref="L433">IF(A433&lt;&gt;"",IFERROR(INDEX(PMtbl[[WKst]:[Unit of measure*]],MATCH($A$330&amp;$A433&amp;$E433&amp;$I433,INDEX(PMtbl[Sec]&amp;PMtbl[Category]&amp;PMtbl[Each]&amp;PMtbl[Packaging],0,),0),14),""),"")</f>
        <v/>
      </c>
      <c r="M433" s="479" t="str">
        <f>IF(L433="","",INDEX(SETUP!$E$20:$E$122,(MATCH(INDEX(PMsheet!$D:$E,MATCH(A433,PMsheet!E:E,0),1),SETUP!$D$20:$D$122,0))))</f>
        <v/>
      </c>
      <c r="N433" s="491">
        <f>IF($O433="USD",_xlfn.IFNA(VLOOKUP(A433&amp;E433&amp;I433,PMsheet!J:K,2,0),0),(_xlfn.IFNA(VLOOKUP(A433&amp;E433&amp;I433,PMsheet!J:K,2,0),0)*'Master Data-C19RM'!$C$2))</f>
        <v>0</v>
      </c>
      <c r="O433" s="492" t="str">
        <f>IF(L433="", "",SETUP!$E$7)</f>
        <v/>
      </c>
      <c r="P433" s="444">
        <f>IF($O433="USD",_xlfn.IFNA(VLOOKUP($A433&amp;$E433&amp;$I433,PMsheet!$J:$K,2,0),0),(_xlfn.IFNA(VLOOKUP($A433&amp;$E433&amp;$I433,PMsheet!$J:$K,2,0),0)*'Master Data-C19RM'!$C$2))</f>
        <v>0</v>
      </c>
      <c r="Q433" s="441"/>
      <c r="R433" s="441"/>
      <c r="S433" s="441"/>
      <c r="T433" s="441"/>
      <c r="U433" s="481">
        <f t="shared" si="44"/>
        <v>0</v>
      </c>
      <c r="V433" s="483">
        <f>IF(SETUP!$E$7="USD",(U433*(IF(O433="USD",P433,(P433/'Master Data-C19RM'!$C$2)))),(U433*(IF(O433="EUR",P433,(P433*'Master Data-C19RM'!$C$2)))))</f>
        <v>0</v>
      </c>
      <c r="W433" s="444">
        <f>IF($O433="USD",_xlfn.IFNA(VLOOKUP($A433&amp;$E433&amp;$I433,PMsheet!$J:$K,2,0),0),(_xlfn.IFNA(VLOOKUP($A433&amp;$E433&amp;$I433,PMsheet!$J:$K,2,0),0)*'Master Data-C19RM'!$D$2))</f>
        <v>0</v>
      </c>
      <c r="X433" s="441"/>
      <c r="Y433" s="441"/>
      <c r="Z433" s="441"/>
      <c r="AA433" s="441"/>
      <c r="AB433" s="481">
        <f t="shared" si="47"/>
        <v>0</v>
      </c>
      <c r="AC433" s="483">
        <f>IF(SETUP!$E$7="USD",(AB433*(IF(O433="USD",W433,(W433/'Master Data-C19RM'!$D$2)))),(AB433*(IF(O433="EUR",W433,(W433*'Master Data-C19RM'!$D$2)))))</f>
        <v>0</v>
      </c>
      <c r="AD433" s="444">
        <f>IF($O433="USD",_xlfn.IFNA(VLOOKUP($A433&amp;$E433&amp;$I433,PMsheet!$J:$K,2,0),0),(_xlfn.IFNA(VLOOKUP($A433&amp;$E433&amp;$I433,PMsheet!$J:$K,2,0),0)*'Master Data-C19RM'!$E$2))</f>
        <v>0</v>
      </c>
      <c r="AE433" s="441"/>
      <c r="AF433" s="441"/>
      <c r="AG433" s="441"/>
      <c r="AH433" s="441"/>
      <c r="AI433" s="512">
        <f t="shared" si="48"/>
        <v>0</v>
      </c>
      <c r="AJ433" s="513">
        <f>IF(SETUP!$E$7="USD",(AI433*(IF(O433="USD",AD433,(AD433/'Master Data-C19RM'!$E$2)))),(AI433*(IF(O433="EUR",AD433,(AD433*'Master Data-C19RM'!$E$2)))))</f>
        <v>0</v>
      </c>
      <c r="AK433" s="444">
        <f>IF($O433="USD",_xlfn.IFNA(VLOOKUP($A433&amp;$E433&amp;$I433,PMsheet!$J:$K,2,0),0),(_xlfn.IFNA(VLOOKUP($A433&amp;$E433&amp;$I433,PMsheet!$J:$K,2,0),0)*'Master Data-C19RM'!$F$2))</f>
        <v>0</v>
      </c>
      <c r="AL433" s="441"/>
      <c r="AM433" s="441"/>
      <c r="AN433" s="441"/>
      <c r="AO433" s="441"/>
      <c r="AP433" s="512">
        <f t="shared" si="49"/>
        <v>0</v>
      </c>
      <c r="AQ433" s="513">
        <f>IF(SETUP!$E$7="USD",(AP433*(IF(O433="USD",AK433,(AK433/'Master Data-C19RM'!$F$2)))),(AP433*(IF(O433="EUR",AK433,(AK433*'Master Data-C19RM'!$F$2)))))</f>
        <v>0</v>
      </c>
      <c r="AR433" s="924">
        <f>IF($O433="USD",_xlfn.IFNA(VLOOKUP($A433&amp;$E433&amp;$I433,PMsheet!$J:$K,2,0),0),(_xlfn.IFNA(VLOOKUP($A433&amp;$E433&amp;$I433,PMsheet!$J:$K,2,0),0)*'Master Data-C19RM'!$G$2))</f>
        <v>0</v>
      </c>
      <c r="AS433" s="572"/>
      <c r="AT433" s="572"/>
      <c r="AU433" s="572"/>
      <c r="AV433" s="572"/>
      <c r="AW433" s="512">
        <f t="shared" si="53"/>
        <v>0</v>
      </c>
      <c r="AX433" s="512">
        <f>IF(SETUP!$E$7="USD",(AW433*(IF(O433="USD",AR433,(AR433/'Master Data-C19RM'!$G$2)))),(AW433*(IF(O433="EUR",AR433,(AR433*'Master Data-C19RM'!$G$2)))))</f>
        <v>0</v>
      </c>
      <c r="AY433" s="845"/>
      <c r="AZ433" s="846"/>
      <c r="BA433" s="846"/>
      <c r="BB433" s="846"/>
      <c r="BC433" s="846"/>
      <c r="BD433" s="846"/>
      <c r="BE433" s="847"/>
      <c r="BF433" s="520">
        <f>'C19RM 2021-Lab &amp; Other HPS'!$U433+'C19RM 2021-Lab &amp; Other HPS'!$AB433+'C19RM 2021-Lab &amp; Other HPS'!$AP433+'C19RM 2021-Lab &amp; Other HPS'!$AI433+AW433+BD433</f>
        <v>0</v>
      </c>
      <c r="BG433" s="513">
        <f>'C19RM 2021-Lab &amp; Other HPS'!$V433+'C19RM 2021-Lab &amp; Other HPS'!$AC433+'C19RM 2021-Lab &amp; Other HPS'!$AQ433+'C19RM 2021-Lab &amp; Other HPS'!$AJ433+AX433+BE433</f>
        <v>0</v>
      </c>
      <c r="BH433" s="500" t="str" cm="1">
        <f t="array" ref="BH433">IF(A433&lt;&gt;"",IFERROR(INDEX(PMtbl[[WKst]:[Unit of measure*]],MATCH($A$330&amp;$A433&amp;$E433&amp;$I433,INDEX(PMtbl[Sec]&amp;PMtbl[Category]&amp;PMtbl[Each]&amp;PMtbl[Packaging],0,),0),11),""),"")</f>
        <v/>
      </c>
      <c r="BI433" s="819"/>
      <c r="BJ433" s="502" t="str" cm="1">
        <f t="array" ref="BJ433">IFERROR(INDEX(SETUP!$C$19:$G$121,MATCH((INDEX(PMtbl[[WKst]:[Unit of measure*]],MATCH($A433&amp;$E433&amp;$I433,INDEX(PMtbl[Category]&amp;PMtbl[Each]&amp;PMtbl[Packaging],0,),0),3)),SETUP!$D$19:$D$121,0),5),"")</f>
        <v/>
      </c>
      <c r="BK433" s="568"/>
      <c r="BL433" s="563"/>
      <c r="BO433" s="448">
        <f>IF(N433="",0,IF(SETUP!$E$7="USD",((IF(O433="USD",P433,(P433/'Master Data-C19RM'!$C$2)))),((IF(O433="EUR",P433,(P433*'Master Data-C19RM'!$C$2))))))</f>
        <v>0</v>
      </c>
      <c r="BP433" s="448">
        <f>IF(N433="",0,IF(SETUP!$E$7="USD",((IF(O433="USD",W433,(W433/'Master Data-C19RM'!$D$2)))),((IF(O433="EUR",W433,(W433*'Master Data-C19RM'!$D$2))))))</f>
        <v>0</v>
      </c>
      <c r="BQ433" s="470">
        <f>IF(N433="",0,IF(SETUP!$E$7="USD",((IF(O433="USD",AD433,(AD433/'Master Data-C19RM'!$E$2)))),((IF(O433="EUR",AD433,(AD433*'Master Data-C19RM'!$E$2))))))</f>
        <v>0</v>
      </c>
      <c r="BR433" s="470">
        <f>IF(N433="",0,IF(SETUP!$E$7="USD",((IF(O433="USD",AK433,(AK433/'Master Data-C19RM'!$F$2)))),((IF(O433="EUR",AK433,(AK433*'Master Data-C19RM'!$F$2))))))</f>
        <v>0</v>
      </c>
      <c r="BS433" s="470">
        <f>IF(N433="",0,IF(SETUP!$E$7="USD",((IF(O433="USD",AR433,(AR433/'Master Data-C19RM'!$G$2)))),((IF(O433="EUR",AR433,(AR433*'Master Data-C19RM'!$G$2))))))</f>
        <v>0</v>
      </c>
      <c r="BT433" s="470">
        <f>IF(N433="",0,IF(SETUP!$E$7="USD",((IF(O433="USD",AY433,(AY433/'Master Data-C19RM'!$H$2)))),((IF(O433="EUR",AY433,(AY433*'Master Data-C19RM'!$H$2))))))</f>
        <v>0</v>
      </c>
      <c r="BU433" s="448">
        <f t="shared" si="51"/>
        <v>0</v>
      </c>
      <c r="BV433" s="562">
        <f t="shared" si="52"/>
        <v>0</v>
      </c>
      <c r="BW433" s="470"/>
      <c r="BX433" s="470"/>
      <c r="BY433" s="470"/>
      <c r="BZ433" s="470"/>
      <c r="CA433" s="470"/>
      <c r="CB433" s="470"/>
      <c r="CC433" s="470"/>
      <c r="CD433" s="470"/>
      <c r="CE433" s="470"/>
      <c r="CF433" s="470"/>
      <c r="CG433" s="470"/>
      <c r="CH433" s="470"/>
      <c r="CI433" s="470"/>
      <c r="CJ433" s="470"/>
      <c r="CK433" s="470"/>
      <c r="CL433" s="470"/>
      <c r="CM433" s="470"/>
      <c r="CN433" s="470"/>
      <c r="CO433" s="470"/>
      <c r="CP433" s="470"/>
    </row>
    <row r="434" spans="1:94" s="448" customFormat="1" ht="14" x14ac:dyDescent="0.3">
      <c r="A434" s="1197"/>
      <c r="B434" s="1198"/>
      <c r="C434" s="1198"/>
      <c r="D434" s="1199"/>
      <c r="E434" s="1173"/>
      <c r="F434" s="1173"/>
      <c r="G434" s="1173"/>
      <c r="H434" s="1173"/>
      <c r="I434" s="1173"/>
      <c r="J434" s="1173"/>
      <c r="K434" s="1173"/>
      <c r="L434" s="493" t="str" cm="1">
        <f t="array" ref="L434">IF(A434&lt;&gt;"",IFERROR(INDEX(PMtbl[[WKst]:[Unit of measure*]],MATCH($A$330&amp;$A434&amp;$E434&amp;$I434,INDEX(PMtbl[Sec]&amp;PMtbl[Category]&amp;PMtbl[Each]&amp;PMtbl[Packaging],0,),0),14),""),"")</f>
        <v/>
      </c>
      <c r="M434" s="480" t="str">
        <f>IF(L434="","",INDEX(SETUP!$E$20:$E$122,(MATCH(INDEX(PMsheet!$D:$E,MATCH(A434,PMsheet!E:E,0),1),SETUP!$D$20:$D$122,0))))</f>
        <v/>
      </c>
      <c r="N434" s="494">
        <f>IF($O434="USD",_xlfn.IFNA(VLOOKUP(A434&amp;E434&amp;I434,PMsheet!J:K,2,0),0),(_xlfn.IFNA(VLOOKUP(A434&amp;E434&amp;I434,PMsheet!J:K,2,0),0)*'Master Data-C19RM'!$C$2))</f>
        <v>0</v>
      </c>
      <c r="O434" s="495" t="str">
        <f>IF(L434="", "",SETUP!$E$7)</f>
        <v/>
      </c>
      <c r="P434" s="445">
        <f>IF($O434="USD",_xlfn.IFNA(VLOOKUP($A434&amp;$E434&amp;$I434,PMsheet!$J:$K,2,0),0),(_xlfn.IFNA(VLOOKUP($A434&amp;$E434&amp;$I434,PMsheet!$J:$K,2,0),0)*'Master Data-C19RM'!$C$2))</f>
        <v>0</v>
      </c>
      <c r="Q434" s="440"/>
      <c r="R434" s="440"/>
      <c r="S434" s="440"/>
      <c r="T434" s="440"/>
      <c r="U434" s="482">
        <f t="shared" si="44"/>
        <v>0</v>
      </c>
      <c r="V434" s="484">
        <f>IF(SETUP!$E$7="USD",(U434*(IF(O434="USD",P434,(P434/'Master Data-C19RM'!$C$2)))),(U434*(IF(O434="EUR",P434,(P434*'Master Data-C19RM'!$C$2)))))</f>
        <v>0</v>
      </c>
      <c r="W434" s="445">
        <f>IF($O434="USD",_xlfn.IFNA(VLOOKUP($A434&amp;$E434&amp;$I434,PMsheet!$J:$K,2,0),0),(_xlfn.IFNA(VLOOKUP($A434&amp;$E434&amp;$I434,PMsheet!$J:$K,2,0),0)*'Master Data-C19RM'!$D$2))</f>
        <v>0</v>
      </c>
      <c r="X434" s="440"/>
      <c r="Y434" s="440"/>
      <c r="Z434" s="440"/>
      <c r="AA434" s="440"/>
      <c r="AB434" s="482">
        <f t="shared" si="47"/>
        <v>0</v>
      </c>
      <c r="AC434" s="484">
        <f>IF(SETUP!$E$7="USD",(AB434*(IF(O434="USD",W434,(W434/'Master Data-C19RM'!$D$2)))),(AB434*(IF(O434="EUR",W434,(W434*'Master Data-C19RM'!$D$2)))))</f>
        <v>0</v>
      </c>
      <c r="AD434" s="445">
        <f>IF($O434="USD",_xlfn.IFNA(VLOOKUP($A434&amp;$E434&amp;$I434,PMsheet!$J:$K,2,0),0),(_xlfn.IFNA(VLOOKUP($A434&amp;$E434&amp;$I434,PMsheet!$J:$K,2,0),0)*'Master Data-C19RM'!$E$2))</f>
        <v>0</v>
      </c>
      <c r="AE434" s="440"/>
      <c r="AF434" s="440"/>
      <c r="AG434" s="440"/>
      <c r="AH434" s="440"/>
      <c r="AI434" s="514">
        <f t="shared" si="48"/>
        <v>0</v>
      </c>
      <c r="AJ434" s="515">
        <f>IF(SETUP!$E$7="USD",(AI434*(IF(O434="USD",AD434,(AD434/'Master Data-C19RM'!$E$2)))),(AI434*(IF(O434="EUR",AD434,(AD434*'Master Data-C19RM'!$E$2)))))</f>
        <v>0</v>
      </c>
      <c r="AK434" s="445">
        <f>IF($O434="USD",_xlfn.IFNA(VLOOKUP($A434&amp;$E434&amp;$I434,PMsheet!$J:$K,2,0),0),(_xlfn.IFNA(VLOOKUP($A434&amp;$E434&amp;$I434,PMsheet!$J:$K,2,0),0)*'Master Data-C19RM'!$F$2))</f>
        <v>0</v>
      </c>
      <c r="AL434" s="440"/>
      <c r="AM434" s="440"/>
      <c r="AN434" s="440"/>
      <c r="AO434" s="440"/>
      <c r="AP434" s="514">
        <f t="shared" si="49"/>
        <v>0</v>
      </c>
      <c r="AQ434" s="515">
        <f>IF(SETUP!$E$7="USD",(AP434*(IF(O434="USD",AK434,(AK434/'Master Data-C19RM'!$F$2)))),(AP434*(IF(O434="EUR",AK434,(AK434*'Master Data-C19RM'!$F$2)))))</f>
        <v>0</v>
      </c>
      <c r="AR434" s="925">
        <f>IF($O434="USD",_xlfn.IFNA(VLOOKUP($A434&amp;$E434&amp;$I434,PMsheet!$J:$K,2,0),0),(_xlfn.IFNA(VLOOKUP($A434&amp;$E434&amp;$I434,PMsheet!$J:$K,2,0),0)*'Master Data-C19RM'!$G$2))</f>
        <v>0</v>
      </c>
      <c r="AS434" s="926"/>
      <c r="AT434" s="926"/>
      <c r="AU434" s="926"/>
      <c r="AV434" s="926"/>
      <c r="AW434" s="514">
        <f t="shared" si="53"/>
        <v>0</v>
      </c>
      <c r="AX434" s="514">
        <f>IF(SETUP!$E$7="USD",(AW434*(IF(O434="USD",AR434,(AR434/'Master Data-C19RM'!$G$2)))),(AW434*(IF(O434="EUR",AR434,(AR434*'Master Data-C19RM'!$G$2)))))</f>
        <v>0</v>
      </c>
      <c r="AY434" s="845"/>
      <c r="AZ434" s="846"/>
      <c r="BA434" s="846"/>
      <c r="BB434" s="846"/>
      <c r="BC434" s="846"/>
      <c r="BD434" s="846"/>
      <c r="BE434" s="847"/>
      <c r="BF434" s="521">
        <f>'C19RM 2021-Lab &amp; Other HPS'!$U434+'C19RM 2021-Lab &amp; Other HPS'!$AB434+'C19RM 2021-Lab &amp; Other HPS'!$AP434+'C19RM 2021-Lab &amp; Other HPS'!$AI434+AW434+BD434</f>
        <v>0</v>
      </c>
      <c r="BG434" s="515">
        <f>'C19RM 2021-Lab &amp; Other HPS'!$V434+'C19RM 2021-Lab &amp; Other HPS'!$AC434+'C19RM 2021-Lab &amp; Other HPS'!$AQ434+'C19RM 2021-Lab &amp; Other HPS'!$AJ434+AX434+BE434</f>
        <v>0</v>
      </c>
      <c r="BH434" s="522" t="str" cm="1">
        <f t="array" ref="BH434">IF(A434&lt;&gt;"",IFERROR(INDEX(PMtbl[[WKst]:[Unit of measure*]],MATCH($A$330&amp;$A434&amp;$E434&amp;$I434,INDEX(PMtbl[Sec]&amp;PMtbl[Category]&amp;PMtbl[Each]&amp;PMtbl[Packaging],0,),0),11),""),"")</f>
        <v/>
      </c>
      <c r="BI434" s="818"/>
      <c r="BJ434" s="503" t="str" cm="1">
        <f t="array" ref="BJ434">IFERROR(INDEX(SETUP!$C$19:$G$121,MATCH((INDEX(PMtbl[[WKst]:[Unit of measure*]],MATCH($A434&amp;$E434&amp;$I434,INDEX(PMtbl[Category]&amp;PMtbl[Each]&amp;PMtbl[Packaging],0,),0),3)),SETUP!$D$19:$D$121,0),5),"")</f>
        <v/>
      </c>
      <c r="BK434" s="569" t="str" cm="1">
        <f t="array" ref="BK434">IFERROR(IF((INDEX(SETUP!$C$19:$G$121,MATCH((INDEX(PMtbl[[WKst]:[Unit of measure*]],MATCH($A434&amp;$E434&amp;$I434,INDEX(PMtbl[Category]&amp;PMtbl[Each]&amp;PMtbl[Packaging],0,),0),3)),SETUP!$D$19:$D$121,0),4))="Upfront",0,INDEX(SETUP!$C$19:$G$121,MATCH((INDEX(PMtbl[[WKst]:[Unit of measure*]],MATCH($A434&amp;$E434&amp;$I434,INDEX(PMtbl[Category]&amp;PMtbl[Each]&amp;PMtbl[Packaging],0,),0),3)),SETUP!$D$19:$D$121,0),5)),"")</f>
        <v/>
      </c>
      <c r="BL434" s="564" t="str" cm="1">
        <f t="array" ref="BL434">IF(E434&lt;&gt;"",IFERROR(INDEX(PMtbl[[WKst]:[Unit of measure*]],MATCH($A$330&amp;$A434&amp;$E434&amp;$I434,INDEX(PMtbl[Sec]&amp;PMtbl[Category]&amp;PMtbl[Each]&amp;PMtbl[Packaging],0,),0),11),""),"")</f>
        <v/>
      </c>
      <c r="BO434" s="448">
        <f>IF(N434="",0,IF(SETUP!$E$7="USD",((IF(O434="USD",P434,(P434/'Master Data-C19RM'!$C$2)))),((IF(O434="EUR",P434,(P434*'Master Data-C19RM'!$C$2))))))</f>
        <v>0</v>
      </c>
      <c r="BP434" s="448">
        <f>IF(N434="",0,IF(SETUP!$E$7="USD",((IF(O434="USD",W434,(W434/'Master Data-C19RM'!$D$2)))),((IF(O434="EUR",W434,(W434*'Master Data-C19RM'!$D$2))))))</f>
        <v>0</v>
      </c>
      <c r="BQ434" s="470">
        <f>IF(N434="",0,IF(SETUP!$E$7="USD",((IF(O434="USD",AD434,(AD434/'Master Data-C19RM'!$E$2)))),((IF(O434="EUR",AD434,(AD434*'Master Data-C19RM'!$E$2))))))</f>
        <v>0</v>
      </c>
      <c r="BR434" s="470">
        <f>IF(N434="",0,IF(SETUP!$E$7="USD",((IF(O434="USD",AK434,(AK434/'Master Data-C19RM'!$F$2)))),((IF(O434="EUR",AK434,(AK434*'Master Data-C19RM'!$F$2))))))</f>
        <v>0</v>
      </c>
      <c r="BS434" s="470">
        <f>IF(N434="",0,IF(SETUP!$E$7="USD",((IF(O434="USD",AR434,(AR434/'Master Data-C19RM'!$G$2)))),((IF(O434="EUR",AR434,(AR434*'Master Data-C19RM'!$G$2))))))</f>
        <v>0</v>
      </c>
      <c r="BT434" s="470">
        <f>IF(N434="",0,IF(SETUP!$E$7="USD",((IF(O434="USD",AY434,(AY434/'Master Data-C19RM'!$H$2)))),((IF(O434="EUR",AY434,(AY434*'Master Data-C19RM'!$H$2))))))</f>
        <v>0</v>
      </c>
      <c r="BU434" s="448">
        <f t="shared" si="45"/>
        <v>0</v>
      </c>
      <c r="BV434" s="562">
        <f t="shared" si="46"/>
        <v>0</v>
      </c>
      <c r="BW434" s="470"/>
      <c r="BX434" s="470"/>
      <c r="BY434" s="470"/>
      <c r="BZ434" s="470"/>
      <c r="CA434" s="470"/>
      <c r="CB434" s="470"/>
      <c r="CC434" s="470"/>
      <c r="CD434" s="470"/>
      <c r="CE434" s="470"/>
      <c r="CF434" s="470"/>
      <c r="CG434" s="470"/>
      <c r="CH434" s="470"/>
      <c r="CI434" s="470"/>
      <c r="CJ434" s="470"/>
      <c r="CK434" s="470"/>
      <c r="CL434" s="470"/>
      <c r="CM434" s="470"/>
      <c r="CN434" s="470"/>
      <c r="CO434" s="470"/>
      <c r="CP434" s="470"/>
    </row>
    <row r="435" spans="1:94" s="448" customFormat="1" thickBot="1" x14ac:dyDescent="0.35">
      <c r="A435" s="1180"/>
      <c r="B435" s="1180"/>
      <c r="C435" s="1180"/>
      <c r="D435" s="1180"/>
      <c r="E435" s="1181"/>
      <c r="F435" s="1181"/>
      <c r="G435" s="1181"/>
      <c r="H435" s="1181"/>
      <c r="I435" s="1181"/>
      <c r="J435" s="1181"/>
      <c r="K435" s="1181"/>
      <c r="L435" s="506" t="str" cm="1">
        <f t="array" ref="L435">IF(A435&lt;&gt;"",IFERROR(INDEX(PMtbl[[WKst]:[Unit of measure*]],MATCH($A$330&amp;$A435&amp;$E435&amp;$I435,INDEX(PMtbl[Sec]&amp;PMtbl[Category]&amp;PMtbl[Each]&amp;PMtbl[Packaging],0,),0),14),""),"")</f>
        <v/>
      </c>
      <c r="M435" s="507" t="str">
        <f>IF(L435="","",INDEX(SETUP!$E$20:$E$122,(MATCH(INDEX(PMsheet!$D:$E,MATCH(A435,PMsheet!E:E,0),1),SETUP!$D$20:$D$122,0))))</f>
        <v/>
      </c>
      <c r="N435" s="528">
        <f>IF($O435="USD",_xlfn.IFNA(VLOOKUP(A435&amp;E435&amp;I435,PMsheet!J:K,2,0),0),(_xlfn.IFNA(VLOOKUP(A435&amp;E435&amp;I435,PMsheet!J:K,2,0),0)*'Master Data-C19RM'!$C$2))</f>
        <v>0</v>
      </c>
      <c r="O435" s="509" t="str">
        <f>IF(L435="", "",SETUP!$E$7)</f>
        <v/>
      </c>
      <c r="P435" s="460">
        <f>IF($O435="USD",_xlfn.IFNA(VLOOKUP($A435&amp;$E435&amp;$I435,PMsheet!$J:$K,2,0),0),(_xlfn.IFNA(VLOOKUP($A435&amp;$E435&amp;$I435,PMsheet!$J:$K,2,0),0)*'Master Data-C19RM'!$C$2))</f>
        <v>0</v>
      </c>
      <c r="Q435" s="459"/>
      <c r="R435" s="459"/>
      <c r="S435" s="459"/>
      <c r="T435" s="459"/>
      <c r="U435" s="510">
        <f t="shared" si="44"/>
        <v>0</v>
      </c>
      <c r="V435" s="511">
        <f>IF(SETUP!$E$7="USD",(U435*(IF(O435="USD",P435,(P435/'Master Data-C19RM'!$C$2)))),(U435*(IF(O435="EUR",P435,(P435*'Master Data-C19RM'!$C$2)))))</f>
        <v>0</v>
      </c>
      <c r="W435" s="460">
        <f>IF($O435="USD",_xlfn.IFNA(VLOOKUP($A435&amp;$E435&amp;$I435,PMsheet!$J:$K,2,0),0),(_xlfn.IFNA(VLOOKUP($A435&amp;$E435&amp;$I435,PMsheet!$J:$K,2,0),0)*'Master Data-C19RM'!$D$2))</f>
        <v>0</v>
      </c>
      <c r="X435" s="459"/>
      <c r="Y435" s="459"/>
      <c r="Z435" s="459"/>
      <c r="AA435" s="459"/>
      <c r="AB435" s="510">
        <f t="shared" si="47"/>
        <v>0</v>
      </c>
      <c r="AC435" s="511">
        <f>IF(SETUP!$E$7="USD",(AB435*(IF(O435="USD",W435,(W435/'Master Data-C19RM'!$D$2)))),(AB435*(IF(O435="EUR",W435,(W435*'Master Data-C19RM'!$D$2)))))</f>
        <v>0</v>
      </c>
      <c r="AD435" s="460">
        <f>IF($O435="USD",_xlfn.IFNA(VLOOKUP($A435&amp;$E435&amp;$I435,PMsheet!$J:$K,2,0),0),(_xlfn.IFNA(VLOOKUP($A435&amp;$E435&amp;$I435,PMsheet!$J:$K,2,0),0)*'Master Data-C19RM'!$E$2))</f>
        <v>0</v>
      </c>
      <c r="AE435" s="459"/>
      <c r="AF435" s="459"/>
      <c r="AG435" s="459"/>
      <c r="AH435" s="459"/>
      <c r="AI435" s="516">
        <f t="shared" si="48"/>
        <v>0</v>
      </c>
      <c r="AJ435" s="517">
        <f>IF(SETUP!$E$7="USD",(AI435*(IF(O435="USD",AD435,(AD435/'Master Data-C19RM'!$E$2)))),(AI435*(IF(O435="EUR",AD435,(AD435*'Master Data-C19RM'!$E$2)))))</f>
        <v>0</v>
      </c>
      <c r="AK435" s="460">
        <f>IF($O435="USD",_xlfn.IFNA(VLOOKUP($A435&amp;$E435&amp;$I435,PMsheet!$J:$K,2,0),0),(_xlfn.IFNA(VLOOKUP($A435&amp;$E435&amp;$I435,PMsheet!$J:$K,2,0),0)*'Master Data-C19RM'!$F$2))</f>
        <v>0</v>
      </c>
      <c r="AL435" s="459"/>
      <c r="AM435" s="459"/>
      <c r="AN435" s="459"/>
      <c r="AO435" s="459"/>
      <c r="AP435" s="516">
        <f t="shared" si="49"/>
        <v>0</v>
      </c>
      <c r="AQ435" s="517">
        <f>IF(SETUP!$E$7="USD",(AP435*(IF(O435="USD",AK435,(AK435/'Master Data-C19RM'!$F$2)))),(AP435*(IF(O435="EUR",AK435,(AK435*'Master Data-C19RM'!$F$2)))))</f>
        <v>0</v>
      </c>
      <c r="AR435" s="927">
        <f>IF($O435="USD",_xlfn.IFNA(VLOOKUP($A435&amp;$E435&amp;$I435,PMsheet!$J:$K,2,0),0),(_xlfn.IFNA(VLOOKUP($A435&amp;$E435&amp;$I435,PMsheet!$J:$K,2,0),0)*'Master Data-C19RM'!$G$2))</f>
        <v>0</v>
      </c>
      <c r="AS435" s="840"/>
      <c r="AT435" s="840"/>
      <c r="AU435" s="840"/>
      <c r="AV435" s="840"/>
      <c r="AW435" s="516">
        <f t="shared" si="53"/>
        <v>0</v>
      </c>
      <c r="AX435" s="516">
        <f>IF(SETUP!$E$7="USD",(AW435*(IF(O435="USD",AR435,(AR435/'Master Data-C19RM'!$G$2)))),(AW435*(IF(O435="EUR",AR435,(AR435*'Master Data-C19RM'!$G$2)))))</f>
        <v>0</v>
      </c>
      <c r="AY435" s="848"/>
      <c r="AZ435" s="849"/>
      <c r="BA435" s="849"/>
      <c r="BB435" s="849"/>
      <c r="BC435" s="849"/>
      <c r="BD435" s="849"/>
      <c r="BE435" s="850"/>
      <c r="BF435" s="523">
        <f>'C19RM 2021-Lab &amp; Other HPS'!$U435+'C19RM 2021-Lab &amp; Other HPS'!$AB435+'C19RM 2021-Lab &amp; Other HPS'!$AP435+'C19RM 2021-Lab &amp; Other HPS'!$AI435+AW435+BD435</f>
        <v>0</v>
      </c>
      <c r="BG435" s="517">
        <f>'C19RM 2021-Lab &amp; Other HPS'!$V435+'C19RM 2021-Lab &amp; Other HPS'!$AC435+'C19RM 2021-Lab &amp; Other HPS'!$AQ435+'C19RM 2021-Lab &amp; Other HPS'!$AJ435+AX435+BE435</f>
        <v>0</v>
      </c>
      <c r="BH435" s="524" t="str" cm="1">
        <f t="array" ref="BH435">IF(A435&lt;&gt;"",IFERROR(INDEX(PMtbl[[WKst]:[Unit of measure*]],MATCH($A$330&amp;$A435&amp;$E435&amp;$I435,INDEX(PMtbl[Sec]&amp;PMtbl[Category]&amp;PMtbl[Each]&amp;PMtbl[Packaging],0,),0),11),""),"")</f>
        <v/>
      </c>
      <c r="BI435" s="821"/>
      <c r="BJ435" s="527" t="str" cm="1">
        <f t="array" ref="BJ435">IFERROR(INDEX(SETUP!$C$19:$G$121,MATCH((INDEX(PMtbl[[WKst]:[Unit of measure*]],MATCH($A435&amp;$E435&amp;$I435,INDEX(PMtbl[Category]&amp;PMtbl[Each]&amp;PMtbl[Packaging],0,),0),3)),SETUP!$D$19:$D$121,0),5),"")</f>
        <v/>
      </c>
      <c r="BK435" s="571" t="str" cm="1">
        <f t="array" ref="BK435">IFERROR(IF((INDEX(SETUP!$C$19:$G$121,MATCH((INDEX(PMtbl[[WKst]:[Unit of measure*]],MATCH($A435&amp;$E435&amp;$I435,INDEX(PMtbl[Category]&amp;PMtbl[Each]&amp;PMtbl[Packaging],0,),0),3)),SETUP!$D$19:$D$121,0),4))="Upfront",0,INDEX(SETUP!$C$19:$G$121,MATCH((INDEX(PMtbl[[WKst]:[Unit of measure*]],MATCH($A435&amp;$E435&amp;$I435,INDEX(PMtbl[Category]&amp;PMtbl[Each]&amp;PMtbl[Packaging],0,),0),3)),SETUP!$D$19:$D$121,0),5)),"")</f>
        <v/>
      </c>
      <c r="BL435" s="565" t="str" cm="1">
        <f t="array" ref="BL435">IF(E435&lt;&gt;"",IFERROR(INDEX(PMtbl[[WKst]:[Unit of measure*]],MATCH($A$330&amp;$A435&amp;$E435&amp;$I435,INDEX(PMtbl[Sec]&amp;PMtbl[Category]&amp;PMtbl[Each]&amp;PMtbl[Packaging],0,),0),11),""),"")</f>
        <v/>
      </c>
      <c r="BO435" s="448">
        <f>IF(N435="",0,IF(SETUP!$E$7="USD",((IF(O435="USD",P435,(P435/'Master Data-C19RM'!$C$2)))),((IF(O435="EUR",P435,(P435*'Master Data-C19RM'!$C$2))))))</f>
        <v>0</v>
      </c>
      <c r="BP435" s="448">
        <f>IF(N435="",0,IF(SETUP!$E$7="USD",((IF(O435="USD",W435,(W435/'Master Data-C19RM'!$D$2)))),((IF(O435="EUR",W435,(W435*'Master Data-C19RM'!$D$2))))))</f>
        <v>0</v>
      </c>
      <c r="BQ435" s="470">
        <f>IF(N435="",0,IF(SETUP!$E$7="USD",((IF(O435="USD",AD435,(AD435/'Master Data-C19RM'!$E$2)))),((IF(O435="EUR",AD435,(AD435*'Master Data-C19RM'!$E$2))))))</f>
        <v>0</v>
      </c>
      <c r="BR435" s="470">
        <f>IF(N435="",0,IF(SETUP!$E$7="USD",((IF(O435="USD",AK435,(AK435/'Master Data-C19RM'!$F$2)))),((IF(O435="EUR",AK435,(AK435*'Master Data-C19RM'!$F$2))))))</f>
        <v>0</v>
      </c>
      <c r="BS435" s="470">
        <f>IF(N435="",0,IF(SETUP!$E$7="USD",((IF(O435="USD",AR435,(AR435/'Master Data-C19RM'!$G$2)))),((IF(O435="EUR",AR435,(AR435*'Master Data-C19RM'!$G$2))))))</f>
        <v>0</v>
      </c>
      <c r="BT435" s="470">
        <f>IF(N435="",0,IF(SETUP!$E$7="USD",((IF(O435="USD",AY435,(AY435/'Master Data-C19RM'!$H$2)))),((IF(O435="EUR",AY435,(AY435*'Master Data-C19RM'!$H$2))))))</f>
        <v>0</v>
      </c>
      <c r="BU435" s="448">
        <f t="shared" si="45"/>
        <v>0</v>
      </c>
      <c r="BV435" s="562">
        <f t="shared" si="46"/>
        <v>0</v>
      </c>
      <c r="BW435" s="470"/>
      <c r="BX435" s="470"/>
      <c r="BY435" s="470"/>
      <c r="BZ435" s="470"/>
      <c r="CA435" s="470"/>
      <c r="CB435" s="470"/>
      <c r="CC435" s="470"/>
      <c r="CD435" s="470"/>
      <c r="CE435" s="470"/>
      <c r="CF435" s="470"/>
      <c r="CG435" s="470"/>
      <c r="CH435" s="470"/>
      <c r="CI435" s="470"/>
      <c r="CJ435" s="470"/>
      <c r="CK435" s="470"/>
      <c r="CL435" s="470"/>
      <c r="CM435" s="470"/>
      <c r="CN435" s="470"/>
      <c r="CO435" s="470"/>
      <c r="CP435" s="470"/>
    </row>
    <row r="436" spans="1:94" ht="15" thickBot="1" x14ac:dyDescent="0.4">
      <c r="C436" s="53"/>
    </row>
    <row r="437" spans="1:94" ht="23.5" customHeight="1" thickBot="1" x14ac:dyDescent="0.4">
      <c r="A437" s="1140">
        <v>5</v>
      </c>
      <c r="B437" s="1142" t="s">
        <v>3034</v>
      </c>
      <c r="C437" s="1142"/>
      <c r="D437" s="1134" t="s">
        <v>3035</v>
      </c>
      <c r="E437" s="1134"/>
      <c r="F437" s="1134"/>
      <c r="G437" s="1135"/>
      <c r="H437"/>
      <c r="I437"/>
      <c r="J437"/>
      <c r="K437"/>
      <c r="L437"/>
      <c r="O437" s="1145" t="str">
        <f>CONCATENATE(J7," ",SETUP!E7)</f>
        <v xml:space="preserve">Total Amount in </v>
      </c>
      <c r="P437" s="532" t="s">
        <v>125</v>
      </c>
      <c r="Q437" s="532" t="s">
        <v>126</v>
      </c>
      <c r="R437" s="532" t="s">
        <v>127</v>
      </c>
      <c r="S437" s="532" t="s">
        <v>128</v>
      </c>
      <c r="T437" s="532" t="s">
        <v>661</v>
      </c>
      <c r="U437" s="533" t="s">
        <v>129</v>
      </c>
      <c r="V437" s="17"/>
      <c r="W437" s="17"/>
      <c r="X437" s="17"/>
      <c r="Y437" s="17"/>
      <c r="Z437" s="17"/>
      <c r="AA437" s="17"/>
      <c r="AB437" s="17"/>
      <c r="AC437" s="17"/>
      <c r="AD437" s="17"/>
      <c r="AE437" s="17"/>
      <c r="AF437" s="17"/>
      <c r="AG437" s="17"/>
      <c r="AH437" s="17"/>
      <c r="AI437" s="52"/>
      <c r="AJ437" s="43"/>
      <c r="AK437" s="17"/>
      <c r="AL437" s="17"/>
      <c r="AM437" s="17"/>
      <c r="AN437" s="17"/>
      <c r="AO437" s="17"/>
      <c r="AP437" s="52"/>
      <c r="AQ437" s="43"/>
      <c r="BK437" s="12"/>
    </row>
    <row r="438" spans="1:94" ht="31" customHeight="1" thickBot="1" x14ac:dyDescent="0.4">
      <c r="A438" s="1141"/>
      <c r="B438" s="1143"/>
      <c r="C438" s="1143"/>
      <c r="D438" s="894"/>
      <c r="E438" s="1254"/>
      <c r="F438" s="1254"/>
      <c r="G438" s="1255"/>
      <c r="H438"/>
      <c r="I438"/>
      <c r="J438"/>
      <c r="K438"/>
      <c r="L438"/>
      <c r="O438" s="1146"/>
      <c r="P438" s="534">
        <f>SUM(V443:V542)</f>
        <v>0</v>
      </c>
      <c r="Q438" s="534">
        <f>SUM(AC443:AC542)</f>
        <v>0</v>
      </c>
      <c r="R438" s="534">
        <f>SUM(AJ443:AJ542)</f>
        <v>0</v>
      </c>
      <c r="S438" s="534">
        <f>SUM(AQ443:AQ542)</f>
        <v>0</v>
      </c>
      <c r="T438" s="534">
        <f>SUM(AX443:AX542)</f>
        <v>0</v>
      </c>
      <c r="U438" s="535">
        <f>SUM(P438:T438)</f>
        <v>0</v>
      </c>
      <c r="V438" s="17"/>
      <c r="W438" s="17"/>
      <c r="X438" s="17"/>
      <c r="Y438" s="17"/>
      <c r="Z438" s="17"/>
      <c r="AA438" s="17"/>
      <c r="AB438" s="17"/>
      <c r="AC438" s="17"/>
      <c r="AD438" s="17"/>
      <c r="AE438" s="17"/>
      <c r="AF438" s="17"/>
      <c r="AG438" s="17"/>
      <c r="AH438" s="17"/>
      <c r="AI438" s="52"/>
      <c r="AJ438" s="43"/>
      <c r="AK438" s="17"/>
      <c r="AL438" s="17"/>
      <c r="AM438" s="17"/>
      <c r="AN438" s="17"/>
      <c r="AO438" s="17"/>
      <c r="AP438" s="52"/>
      <c r="AQ438" s="43"/>
      <c r="BK438" s="12"/>
    </row>
    <row r="439" spans="1:94" ht="218" customHeight="1" thickBot="1" x14ac:dyDescent="0.4">
      <c r="A439"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439" s="1148"/>
      <c r="C439" s="1148"/>
      <c r="D439" s="1148"/>
      <c r="E439" s="1148"/>
      <c r="F439" s="1148"/>
      <c r="G439" s="1148"/>
      <c r="H439" s="1148"/>
      <c r="I439" s="1148"/>
      <c r="J439" s="1148"/>
      <c r="K439" s="1148"/>
      <c r="L439" s="1148"/>
      <c r="M439" s="1148"/>
      <c r="N439" s="1148"/>
      <c r="O439" s="1149"/>
      <c r="P439" s="574"/>
      <c r="Q439" s="575"/>
      <c r="R439" s="25"/>
      <c r="S439" s="25"/>
      <c r="T439" s="25"/>
      <c r="U439" s="25"/>
      <c r="V439" s="25"/>
      <c r="W439" s="25"/>
      <c r="X439" s="189"/>
      <c r="Y439" s="25"/>
      <c r="Z439" s="25"/>
      <c r="AA439" s="25"/>
      <c r="AB439" s="25"/>
      <c r="AC439" s="25"/>
      <c r="AD439" s="25"/>
      <c r="AE439" s="25"/>
      <c r="AF439" s="25"/>
      <c r="AG439" s="26"/>
      <c r="AH439" s="26"/>
      <c r="AI439" s="150"/>
      <c r="AJ439" s="26"/>
      <c r="AK439" s="25"/>
      <c r="AL439" s="25"/>
      <c r="AM439" s="25"/>
      <c r="AN439" s="26"/>
      <c r="AO439" s="26"/>
      <c r="AP439" s="150"/>
      <c r="AQ439" s="26"/>
      <c r="BK439" s="12"/>
    </row>
    <row r="440" spans="1:94" s="448" customFormat="1" thickBot="1" x14ac:dyDescent="0.35">
      <c r="A440" s="549"/>
      <c r="B440" s="550"/>
      <c r="C440" s="551"/>
      <c r="D440" s="552"/>
      <c r="E440" s="552"/>
      <c r="F440" s="466"/>
      <c r="G440" s="466"/>
      <c r="H440" s="466"/>
      <c r="I440" s="466"/>
      <c r="J440" s="466"/>
      <c r="K440" s="466"/>
      <c r="L440" s="467"/>
      <c r="M440" s="467"/>
      <c r="N440" s="467"/>
      <c r="O440" s="468"/>
      <c r="P440" s="555" t="s">
        <v>130</v>
      </c>
      <c r="Q440" s="556" t="str">
        <f>Q333</f>
        <v>Jan21 - Mar21</v>
      </c>
      <c r="R440" s="556" t="str">
        <f>R333</f>
        <v>Apr21 - Jun21</v>
      </c>
      <c r="S440" s="556" t="str">
        <f>S333</f>
        <v>Jul21 - Sep21</v>
      </c>
      <c r="T440" s="557" t="str">
        <f>T333</f>
        <v>Oct21 - Dec21</v>
      </c>
      <c r="U440" s="553"/>
      <c r="V440" s="554"/>
      <c r="W440" s="555" t="s">
        <v>130</v>
      </c>
      <c r="X440" s="556" t="str">
        <f>X333</f>
        <v>Jan22 - Mar22</v>
      </c>
      <c r="Y440" s="556" t="str">
        <f>Y333</f>
        <v>Apr22 - Jun22</v>
      </c>
      <c r="Z440" s="556" t="str">
        <f>Z333</f>
        <v>Jul22 - Sep22</v>
      </c>
      <c r="AA440" s="557" t="str">
        <f>AA333</f>
        <v>Oct22 - Dec22</v>
      </c>
      <c r="AB440" s="553"/>
      <c r="AC440" s="554"/>
      <c r="AD440" s="555" t="s">
        <v>130</v>
      </c>
      <c r="AE440" s="556" t="str">
        <f>AE333</f>
        <v>Jan23 - Mar23</v>
      </c>
      <c r="AF440" s="556" t="str">
        <f>AF333</f>
        <v>Apr23 - Jun23</v>
      </c>
      <c r="AG440" s="556" t="str">
        <f>AG333</f>
        <v>Jul23 - Sep23</v>
      </c>
      <c r="AH440" s="557" t="str">
        <f>AH333</f>
        <v>Oct23 - Dec23</v>
      </c>
      <c r="AI440" s="553"/>
      <c r="AJ440" s="554"/>
      <c r="AK440" s="555" t="s">
        <v>130</v>
      </c>
      <c r="AL440" s="556" t="str">
        <f>AL333</f>
        <v>Jan24 - Mar24</v>
      </c>
      <c r="AM440" s="556" t="str">
        <f>AM333</f>
        <v>Apr24 - Jun24</v>
      </c>
      <c r="AN440" s="556" t="str">
        <f>AN333</f>
        <v>Jul24 - Sep24</v>
      </c>
      <c r="AO440" s="557" t="str">
        <f>AO333</f>
        <v>Oct24 - Dec24</v>
      </c>
      <c r="AP440" s="553"/>
      <c r="AQ440" s="554"/>
      <c r="AR440" s="555" t="s">
        <v>130</v>
      </c>
      <c r="AS440" s="838" t="str">
        <f>AS333</f>
        <v>Jan25 - Mar25</v>
      </c>
      <c r="AT440" s="838" t="str">
        <f>AT333</f>
        <v>Apr25 - Jun25</v>
      </c>
      <c r="AU440" s="838" t="str">
        <f>AU333</f>
        <v>Jul25 - Sep25</v>
      </c>
      <c r="AV440" s="880" t="str">
        <f>AV333</f>
        <v>Oct25 - Dec25</v>
      </c>
      <c r="AW440" s="554"/>
      <c r="AX440" s="554"/>
      <c r="AY440" s="555" t="s">
        <v>130</v>
      </c>
      <c r="AZ440" s="879" t="str">
        <f>AZ333</f>
        <v>-</v>
      </c>
      <c r="BA440" s="879" t="str">
        <f t="shared" ref="BA440:BC440" si="54">BA333</f>
        <v>-</v>
      </c>
      <c r="BB440" s="879" t="str">
        <f t="shared" si="54"/>
        <v>-</v>
      </c>
      <c r="BC440" s="880" t="str">
        <f t="shared" si="54"/>
        <v>-</v>
      </c>
      <c r="BD440" s="554"/>
      <c r="BE440" s="554"/>
      <c r="BP440" s="470"/>
      <c r="BQ440" s="470"/>
      <c r="BR440" s="470"/>
      <c r="BS440" s="470"/>
      <c r="BT440" s="470"/>
      <c r="BV440" s="470"/>
      <c r="BW440" s="470"/>
      <c r="BX440" s="470"/>
      <c r="BY440" s="470"/>
      <c r="BZ440" s="470"/>
      <c r="CA440" s="470"/>
      <c r="CB440" s="470"/>
      <c r="CC440" s="470"/>
      <c r="CD440" s="470"/>
      <c r="CE440" s="470"/>
      <c r="CF440" s="470"/>
      <c r="CG440" s="470"/>
      <c r="CH440" s="470"/>
      <c r="CI440" s="470"/>
      <c r="CJ440" s="470"/>
      <c r="CK440" s="470"/>
      <c r="CL440" s="470"/>
      <c r="CM440" s="470"/>
      <c r="CN440" s="470"/>
      <c r="CO440" s="470"/>
      <c r="CP440" s="470"/>
    </row>
    <row r="441" spans="1:94" s="219" customFormat="1" ht="15.75" customHeight="1" thickBot="1" x14ac:dyDescent="0.4">
      <c r="A441" s="1233" t="str">
        <f>A226</f>
        <v>Item Category</v>
      </c>
      <c r="B441" s="1233"/>
      <c r="C441" s="1233"/>
      <c r="D441" s="1233"/>
      <c r="E441" s="1233" t="str">
        <f>E226</f>
        <v>Product Details</v>
      </c>
      <c r="F441" s="1233"/>
      <c r="G441" s="1233"/>
      <c r="H441" s="1233"/>
      <c r="I441" s="1235" t="str">
        <f>I226</f>
        <v>Additional Details</v>
      </c>
      <c r="J441" s="1235"/>
      <c r="K441" s="1235"/>
      <c r="L441" s="1237" t="str">
        <f>L226</f>
        <v>Unit of measure</v>
      </c>
      <c r="M441" s="1239" t="str">
        <f>M226</f>
        <v>Procurement Channel</v>
      </c>
      <c r="N441" s="1239" t="str">
        <f>N226</f>
        <v>Reference Price (In Payment Currency)</v>
      </c>
      <c r="O441" s="1241" t="str">
        <f>O226</f>
        <v>Payment Currency</v>
      </c>
      <c r="P441" s="1205" t="str">
        <f>P226</f>
        <v>2021</v>
      </c>
      <c r="Q441" s="1206"/>
      <c r="R441" s="1206"/>
      <c r="S441" s="1206"/>
      <c r="T441" s="1206"/>
      <c r="U441" s="1206"/>
      <c r="V441" s="1207"/>
      <c r="W441" s="1205" t="str">
        <f>W226</f>
        <v>2022</v>
      </c>
      <c r="X441" s="1206"/>
      <c r="Y441" s="1206"/>
      <c r="Z441" s="1206"/>
      <c r="AA441" s="1206"/>
      <c r="AB441" s="1206"/>
      <c r="AC441" s="1207"/>
      <c r="AD441" s="1205" t="str">
        <f>AD226</f>
        <v>2023</v>
      </c>
      <c r="AE441" s="1206"/>
      <c r="AF441" s="1206"/>
      <c r="AG441" s="1206"/>
      <c r="AH441" s="1206"/>
      <c r="AI441" s="1206"/>
      <c r="AJ441" s="1207"/>
      <c r="AK441" s="1205" t="str">
        <f>AK226</f>
        <v>2024</v>
      </c>
      <c r="AL441" s="1206"/>
      <c r="AM441" s="1206"/>
      <c r="AN441" s="1206"/>
      <c r="AO441" s="1206"/>
      <c r="AP441" s="1206"/>
      <c r="AQ441" s="1207"/>
      <c r="AR441" s="1205" t="str">
        <f>AR226</f>
        <v>2025</v>
      </c>
      <c r="AS441" s="1206"/>
      <c r="AT441" s="1206"/>
      <c r="AU441" s="1206"/>
      <c r="AV441" s="1206"/>
      <c r="AW441" s="1206"/>
      <c r="AX441" s="1207"/>
      <c r="AY441" s="1205" t="str">
        <f>AY226</f>
        <v/>
      </c>
      <c r="AZ441" s="1206"/>
      <c r="BA441" s="1206"/>
      <c r="BB441" s="1206"/>
      <c r="BC441" s="1206"/>
      <c r="BD441" s="1206"/>
      <c r="BE441" s="1207"/>
      <c r="BF441" s="1257" t="str">
        <f>BF226</f>
        <v>Total grant period</v>
      </c>
      <c r="BG441" s="1250"/>
      <c r="BH441" s="1233" t="str">
        <f>BH226</f>
        <v>Cost Input</v>
      </c>
      <c r="BI441" s="1243" t="str">
        <f>BI226</f>
        <v>Comments</v>
      </c>
      <c r="BJ441" s="1245" t="str">
        <f>BJ226</f>
        <v>Delivery Lead Time</v>
      </c>
      <c r="BK441" s="1247" t="e">
        <f>BK226</f>
        <v>#N/A</v>
      </c>
      <c r="BL441" s="558" t="e">
        <f>BL226</f>
        <v>#REF!</v>
      </c>
      <c r="BP441"/>
      <c r="BQ441"/>
      <c r="BR441"/>
      <c r="BS441"/>
      <c r="BT441"/>
      <c r="BU441" s="12"/>
      <c r="BV441"/>
      <c r="BW441"/>
      <c r="BX441"/>
      <c r="BY441"/>
      <c r="BZ441"/>
      <c r="CA441"/>
      <c r="CB441"/>
      <c r="CC441"/>
      <c r="CD441"/>
      <c r="CE441"/>
      <c r="CF441"/>
      <c r="CG441"/>
      <c r="CH441"/>
      <c r="CI441"/>
      <c r="CJ441"/>
      <c r="CK441"/>
      <c r="CL441"/>
      <c r="CM441"/>
      <c r="CN441"/>
      <c r="CO441"/>
      <c r="CP441"/>
    </row>
    <row r="442" spans="1:94" s="822" customFormat="1" ht="42.5" thickBot="1" x14ac:dyDescent="0.4">
      <c r="A442" s="1234"/>
      <c r="B442" s="1234"/>
      <c r="C442" s="1234"/>
      <c r="D442" s="1234"/>
      <c r="E442" s="1234"/>
      <c r="F442" s="1234"/>
      <c r="G442" s="1234"/>
      <c r="H442" s="1234"/>
      <c r="I442" s="1236"/>
      <c r="J442" s="1236"/>
      <c r="K442" s="1236"/>
      <c r="L442" s="1238"/>
      <c r="M442" s="1240"/>
      <c r="N442" s="1240"/>
      <c r="O442" s="1242"/>
      <c r="P442" s="583" t="str">
        <f t="shared" ref="P442:V442" si="55">P227</f>
        <v>Y1 Unit cost</v>
      </c>
      <c r="Q442" s="584" t="str">
        <f t="shared" si="55"/>
        <v>Y1 Q1 quantity</v>
      </c>
      <c r="R442" s="584" t="str">
        <f t="shared" si="55"/>
        <v>Y1 Q2 quantity</v>
      </c>
      <c r="S442" s="584" t="str">
        <f t="shared" si="55"/>
        <v>Y1 Q3 quantity</v>
      </c>
      <c r="T442" s="584" t="str">
        <f t="shared" si="55"/>
        <v>Y1 Q4 quantity</v>
      </c>
      <c r="U442" s="584" t="str">
        <f t="shared" si="55"/>
        <v>Y1 Total quantity</v>
      </c>
      <c r="V442" s="585" t="str">
        <f t="shared" si="55"/>
        <v>Y1 Total cost (In Grant Currency -)</v>
      </c>
      <c r="W442" s="583" t="str">
        <f>W227</f>
        <v>Y2 Unit cost</v>
      </c>
      <c r="X442" s="584" t="str">
        <f t="shared" ref="X442:AC442" si="56">X227</f>
        <v>Y2 Q1 quantity</v>
      </c>
      <c r="Y442" s="584" t="str">
        <f t="shared" si="56"/>
        <v>Y2 Q2 quantity</v>
      </c>
      <c r="Z442" s="584" t="str">
        <f t="shared" si="56"/>
        <v>Y2 Q3 quantity</v>
      </c>
      <c r="AA442" s="584" t="str">
        <f t="shared" si="56"/>
        <v>Y2 Q4 quantity</v>
      </c>
      <c r="AB442" s="584" t="str">
        <f t="shared" si="56"/>
        <v>Y2 Total quantity</v>
      </c>
      <c r="AC442" s="585" t="str">
        <f t="shared" si="56"/>
        <v>Y2 Total cost (In Grant Currency -)</v>
      </c>
      <c r="AD442" s="583" t="str">
        <f>AD227</f>
        <v>Y3 Unit cost</v>
      </c>
      <c r="AE442" s="584" t="str">
        <f t="shared" ref="AE442:AJ442" si="57">AE227</f>
        <v>Y3 Q1 quantity</v>
      </c>
      <c r="AF442" s="584" t="str">
        <f t="shared" si="57"/>
        <v>Y3 Q2 quantity</v>
      </c>
      <c r="AG442" s="584" t="str">
        <f t="shared" si="57"/>
        <v>Y3 Q3 quantity</v>
      </c>
      <c r="AH442" s="584" t="str">
        <f t="shared" si="57"/>
        <v>Y3 Q4 quantity</v>
      </c>
      <c r="AI442" s="584" t="str">
        <f t="shared" si="57"/>
        <v>Y3 Total quantity</v>
      </c>
      <c r="AJ442" s="585" t="str">
        <f t="shared" si="57"/>
        <v>Y3 Total cost (In Grant Currency -)</v>
      </c>
      <c r="AK442" s="583" t="str">
        <f>AK227</f>
        <v>Y4 Unit cost</v>
      </c>
      <c r="AL442" s="584" t="str">
        <f t="shared" ref="AL442:BE442" si="58">AL227</f>
        <v>Y4 Q1 quantity</v>
      </c>
      <c r="AM442" s="584" t="str">
        <f t="shared" si="58"/>
        <v>Y4 Q2 quantity</v>
      </c>
      <c r="AN442" s="584" t="str">
        <f t="shared" si="58"/>
        <v>Y4 Q3 quantity</v>
      </c>
      <c r="AO442" s="584" t="str">
        <f t="shared" si="58"/>
        <v>Y4 Q4 quantity</v>
      </c>
      <c r="AP442" s="584" t="str">
        <f t="shared" si="58"/>
        <v>Y4 Total quantity</v>
      </c>
      <c r="AQ442" s="585" t="str">
        <f t="shared" si="58"/>
        <v>Y4 Total cost (In Grant Currency -)</v>
      </c>
      <c r="AR442" s="584" t="str">
        <f t="shared" si="58"/>
        <v>Y5 Unit cost</v>
      </c>
      <c r="AS442" s="584" t="str">
        <f t="shared" si="58"/>
        <v>Y5 Q1 quantity</v>
      </c>
      <c r="AT442" s="584" t="str">
        <f t="shared" si="58"/>
        <v>Y5 Q2 quantity</v>
      </c>
      <c r="AU442" s="584" t="str">
        <f t="shared" si="58"/>
        <v>Y5 Q3 quantity</v>
      </c>
      <c r="AV442" s="584" t="str">
        <f t="shared" si="58"/>
        <v>Y5 Q4 quantity</v>
      </c>
      <c r="AW442" s="584" t="str">
        <f t="shared" si="58"/>
        <v>Y5 Total quantity</v>
      </c>
      <c r="AX442" s="584" t="str">
        <f t="shared" si="58"/>
        <v>Y5 Total cost (In Grant Currency -)</v>
      </c>
      <c r="AY442" s="583" t="str">
        <f t="shared" si="58"/>
        <v>Y6 Unit cost</v>
      </c>
      <c r="AZ442" s="584" t="str">
        <f t="shared" si="58"/>
        <v>Y6 Q1 quantity</v>
      </c>
      <c r="BA442" s="584" t="str">
        <f t="shared" si="58"/>
        <v>Y6 Q2 quantity</v>
      </c>
      <c r="BB442" s="584" t="str">
        <f t="shared" si="58"/>
        <v>Y6 Q3 quantity</v>
      </c>
      <c r="BC442" s="584" t="str">
        <f t="shared" si="58"/>
        <v>Y6 Q4 quantity</v>
      </c>
      <c r="BD442" s="584" t="str">
        <f t="shared" si="58"/>
        <v>Y6 Total quantity</v>
      </c>
      <c r="BE442" s="585" t="str">
        <f t="shared" si="58"/>
        <v>Y6 Total cost (In Grant Currency -)</v>
      </c>
      <c r="BF442" s="586" t="str">
        <f>BF227</f>
        <v>Total quantity</v>
      </c>
      <c r="BG442" s="585" t="str">
        <f>BG227</f>
        <v>Total cost (In Grant Currency -)</v>
      </c>
      <c r="BH442" s="1234"/>
      <c r="BI442" s="1244"/>
      <c r="BJ442" s="1246"/>
      <c r="BK442" s="1256"/>
      <c r="BL442" s="558" t="str">
        <f>BL227</f>
        <v>Cost Input</v>
      </c>
      <c r="BP442"/>
      <c r="BQ442"/>
      <c r="BR442"/>
      <c r="BS442"/>
      <c r="BT442"/>
      <c r="BU442" s="12"/>
      <c r="BV442"/>
      <c r="BW442"/>
      <c r="BX442"/>
      <c r="BY442"/>
      <c r="BZ442"/>
      <c r="CA442"/>
      <c r="CB442"/>
      <c r="CC442"/>
      <c r="CD442"/>
      <c r="CE442"/>
      <c r="CF442"/>
      <c r="CG442"/>
      <c r="CH442"/>
      <c r="CI442"/>
      <c r="CJ442"/>
      <c r="CK442"/>
      <c r="CL442"/>
      <c r="CM442"/>
      <c r="CN442"/>
      <c r="CO442"/>
      <c r="CP442"/>
    </row>
    <row r="443" spans="1:94" x14ac:dyDescent="0.35">
      <c r="A443" s="1178"/>
      <c r="B443" s="1178"/>
      <c r="C443" s="1178"/>
      <c r="D443" s="1178"/>
      <c r="E443" s="1179"/>
      <c r="F443" s="1179"/>
      <c r="G443" s="1179"/>
      <c r="H443" s="1179"/>
      <c r="I443" s="1179"/>
      <c r="J443" s="1179"/>
      <c r="K443" s="1179"/>
      <c r="L443" s="487" t="str" cm="1">
        <f t="array" ref="L443">IF(A443&lt;&gt;"",IFERROR(INDEX(PMtbl[[WKst]:[Unit of measure*]],MATCH($A$437&amp;$A443&amp;$E443&amp;$I443,INDEX(PMtbl[Sec]&amp;PMtbl[Category]&amp;PMtbl[Each]&amp;PMtbl[Packaging],0,),0),14),""),"")</f>
        <v/>
      </c>
      <c r="M443" s="478" t="str">
        <f>IF(L443="","",INDEX(SETUP!$E$20:$E$122,(MATCH(INDEX(PMsheet!$D:$E,MATCH(A443,PMsheet!E:E,0),1),SETUP!$D$20:$D$122,0))))</f>
        <v/>
      </c>
      <c r="N443" s="488">
        <f>IF($O443="USD",_xlfn.IFNA(VLOOKUP(A443&amp;E443&amp;I443,PMsheet!J:K,2,0),0),(_xlfn.IFNA(VLOOKUP(A443&amp;E443&amp;I443,PMsheet!J:K,2,0),0)*'Master Data-C19RM'!$C$2))</f>
        <v>0</v>
      </c>
      <c r="O443" s="489" t="str">
        <f>IF(L443="", "",SETUP!$E$7)</f>
        <v/>
      </c>
      <c r="P443" s="442">
        <f>IF($O443="USD",_xlfn.IFNA(VLOOKUP($A443&amp;$E443&amp;$I443,PMsheet!$J:$K,2,0),0),(_xlfn.IFNA(VLOOKUP($A443&amp;$E443&amp;$I443,PMsheet!$J:$K,2,0),0)*'Master Data-C19RM'!$C$2))</f>
        <v>0</v>
      </c>
      <c r="Q443" s="443"/>
      <c r="R443" s="443"/>
      <c r="S443" s="443"/>
      <c r="T443" s="443"/>
      <c r="U443" s="497">
        <f>SUM($Q443:$T443)</f>
        <v>0</v>
      </c>
      <c r="V443" s="498">
        <f>IF(SETUP!$E$7="USD",(U443*(IF(O443="USD",P443,(P443/'Master Data-C19RM'!$C$2)))),(U443*(IF(O443="EUR",P443,(P443*'Master Data-C19RM'!$C$2)))))</f>
        <v>0</v>
      </c>
      <c r="W443" s="442">
        <f>IF($O443="USD",_xlfn.IFNA(VLOOKUP($A443&amp;$E443&amp;$I443,PMsheet!$J:$K,2,0),0),(_xlfn.IFNA(VLOOKUP($A443&amp;$E443&amp;$I443,PMsheet!$J:$K,2,0),0)*'Master Data-C19RM'!$D$2))</f>
        <v>0</v>
      </c>
      <c r="X443" s="443"/>
      <c r="Y443" s="443"/>
      <c r="Z443" s="443"/>
      <c r="AA443" s="443"/>
      <c r="AB443" s="497">
        <f>SUM($X443:$AA443)</f>
        <v>0</v>
      </c>
      <c r="AC443" s="498">
        <f>IF(SETUP!$E$7="USD",(AB443*(IF(O443="USD",W443,(W443/'Master Data-C19RM'!$D$2)))),(AB443*(IF(O443="EUR",W443,(W443*'Master Data-C19RM'!$D$2)))))</f>
        <v>0</v>
      </c>
      <c r="AD443" s="442">
        <f>IF($O443="USD",_xlfn.IFNA(VLOOKUP($A443&amp;$E443&amp;$I443,PMsheet!$J:$K,2,0),0),(_xlfn.IFNA(VLOOKUP($A443&amp;$E443&amp;$I443,PMsheet!$J:$K,2,0),0)*'Master Data-C19RM'!$E$2))</f>
        <v>0</v>
      </c>
      <c r="AE443" s="443"/>
      <c r="AF443" s="443"/>
      <c r="AG443" s="443"/>
      <c r="AH443" s="443"/>
      <c r="AI443" s="529">
        <f>SUM($AE443:$AH443)</f>
        <v>0</v>
      </c>
      <c r="AJ443" s="530">
        <f>IF(SETUP!$E$7="USD",(AI443*(IF(O443="USD",AD443,(AD443/'Master Data-C19RM'!$E$2)))),(AI443*(IF(O443="EUR",AD443,(AD443*'Master Data-C19RM'!$E$2)))))</f>
        <v>0</v>
      </c>
      <c r="AK443" s="442">
        <f>IF($O443="USD",_xlfn.IFNA(VLOOKUP($A443&amp;$E443&amp;$I443,PMsheet!$J:$K,2,0),0),(_xlfn.IFNA(VLOOKUP($A443&amp;$E443&amp;$I443,PMsheet!$J:$K,2,0),0)*'Master Data-C19RM'!$F$2))</f>
        <v>0</v>
      </c>
      <c r="AL443" s="443"/>
      <c r="AM443" s="443"/>
      <c r="AN443" s="443"/>
      <c r="AO443" s="443"/>
      <c r="AP443" s="529">
        <f>SUM($AL443:$AO443)</f>
        <v>0</v>
      </c>
      <c r="AQ443" s="530">
        <f>IF(SETUP!$E$7="USD",(AP443*(IF(O443="USD",AK443,(AK443/'Master Data-C19RM'!$F$2)))),(AP443*(IF(O443="EUR",AK443,(AK443*'Master Data-C19RM'!$F$2)))))</f>
        <v>0</v>
      </c>
      <c r="AR443" s="928">
        <f>IF($O443="USD",_xlfn.IFNA(VLOOKUP($A443&amp;$E443&amp;$I443,PMsheet!$J:$K,2,0),0),(_xlfn.IFNA(VLOOKUP($A443&amp;$E443&amp;$I443,PMsheet!$J:$K,2,0),0)*'Master Data-C19RM'!$G$2))</f>
        <v>0</v>
      </c>
      <c r="AS443" s="929"/>
      <c r="AT443" s="929"/>
      <c r="AU443" s="929"/>
      <c r="AV443" s="929"/>
      <c r="AW443" s="529">
        <f>SUM($AS443:$AV443)</f>
        <v>0</v>
      </c>
      <c r="AX443" s="529">
        <f>IF(SETUP!$E$7="USD",(AW443*(IF(O443="USD",AR443,(AR443/'Master Data-C19RM'!$G$2)))),(AW443*(IF(O443="EUR",AR443,(AR443*'Master Data-C19RM'!$G$2)))))</f>
        <v>0</v>
      </c>
      <c r="AY443" s="855"/>
      <c r="AZ443" s="856"/>
      <c r="BA443" s="856"/>
      <c r="BB443" s="856"/>
      <c r="BC443" s="856"/>
      <c r="BD443" s="856"/>
      <c r="BE443" s="871"/>
      <c r="BF443" s="531">
        <f>'C19RM 2021-Lab &amp; Other HPS'!$U443+'C19RM 2021-Lab &amp; Other HPS'!$AB443+'C19RM 2021-Lab &amp; Other HPS'!$AP443+'C19RM 2021-Lab &amp; Other HPS'!$AI443+AW443+BD443</f>
        <v>0</v>
      </c>
      <c r="BG443" s="530">
        <f>'C19RM 2021-Lab &amp; Other HPS'!$V443+'C19RM 2021-Lab &amp; Other HPS'!$AC443+'C19RM 2021-Lab &amp; Other HPS'!$AQ443+'C19RM 2021-Lab &amp; Other HPS'!$AJ443+AX443+BE443</f>
        <v>0</v>
      </c>
      <c r="BH443" s="522" t="str" cm="1">
        <f t="array" ref="BH443">IF(A443&lt;&gt;"",IFERROR(INDEX(PMtbl[[WKst]:[Unit of measure*]],MATCH($A$437&amp;$A443&amp;$E443&amp;$I443,INDEX(PMtbl[Sec]&amp;PMtbl[Category]&amp;PMtbl[Each]&amp;PMtbl[Packaging],0,),0),11),""),"")</f>
        <v/>
      </c>
      <c r="BI443" s="818"/>
      <c r="BJ443" s="503" t="str" cm="1">
        <f t="array" ref="BJ443">IFERROR(INDEX(SETUP!$C$19:$G$121,MATCH((INDEX(PMtbl[[WKst]:[Unit of measure*]],MATCH($A443&amp;$E443&amp;$I443,INDEX(PMtbl[Category]&amp;PMtbl[Each]&amp;PMtbl[Packaging],0,),0),3)),SETUP!$D$19:$D$121,0),5),"")</f>
        <v/>
      </c>
      <c r="BK443" s="579" t="str" cm="1">
        <f t="array" ref="BK443">IFERROR(IF((INDEX(SETUP!$C$19:$G$121,MATCH((INDEX(PMtbl[[WKst]:[Unit of measure*]],MATCH($A443&amp;$E443&amp;$I443,INDEX(PMtbl[Category]&amp;PMtbl[Each]&amp;PMtbl[Packaging],0,),0),3)),SETUP!$D$19:$D$121,0),4))="Upfront",0,INDEX(SETUP!$C$19:$G$121,MATCH((INDEX(PMtbl[[WKst]:[Unit of measure*]],MATCH($A443&amp;$E443&amp;$I443,INDEX(PMtbl[Category]&amp;PMtbl[Each]&amp;PMtbl[Packaging],0,),0),3)),SETUP!$D$19:$D$121,0),5)),"")</f>
        <v/>
      </c>
      <c r="BL443" s="576" t="str" cm="1">
        <f t="array" ref="BL443">IF(E443&lt;&gt;"",IFERROR(INDEX(PMtbl[[WKst]:[Unit of measure*]],MATCH($A$437&amp;$A443&amp;$E443&amp;$I443,INDEX(PMtbl[Sec]&amp;PMtbl[Category]&amp;PMtbl[Each]&amp;PMtbl[Packaging],0,),0),11),""),"")</f>
        <v/>
      </c>
      <c r="BO443" s="12">
        <f>IF(N443="",0,IF(SETUP!$E$7="USD",((IF(O443="USD",P443,(P443/'Master Data-C19RM'!$C$2)))),((IF(O443="EUR",P443,(P443*'Master Data-C19RM'!$C$2))))))</f>
        <v>0</v>
      </c>
      <c r="BP443" s="12">
        <f>IF(N443="",0,IF(SETUP!$E$7="USD",((IF(O443="USD",W443,(W443/'Master Data-C19RM'!$D$2)))),((IF(O443="EUR",W443,(W443*'Master Data-C19RM'!$D$2))))))</f>
        <v>0</v>
      </c>
      <c r="BQ443">
        <f>IF(N443="",0,IF(SETUP!$E$7="USD",((IF(O443="USD",AD443,(AD443/'Master Data-C19RM'!$E$2)))),((IF(O443="EUR",AD443,(AD443*'Master Data-C19RM'!$E$2))))))</f>
        <v>0</v>
      </c>
      <c r="BR443">
        <f>IF(N443="",0,IF(SETUP!$E$7="USD",((IF(O443="USD",AK443,(AK443/'Master Data-C19RM'!$F$2)))),((IF(O443="EUR",AK443,(AK443*'Master Data-C19RM'!$F$2))))))</f>
        <v>0</v>
      </c>
      <c r="BS443">
        <f>IF(N443="",0,IF(SETUP!$E$7="USD",((IF(O443="USD",AR443,(AR443/'Master Data-C19RM'!$G$2)))),((IF(O443="EUR",AR443,(AR443*'Master Data-C19RM'!$G$2))))))</f>
        <v>0</v>
      </c>
      <c r="BT443">
        <f>IF(N443="",0,IF(SETUP!$E$7="USD",((IF(O443="USD",AY443,(AY443/'Master Data-C19RM'!$H$2)))),((IF(O443="EUR",AY443,(AY443*'Master Data-C19RM'!$H$2))))))</f>
        <v>0</v>
      </c>
      <c r="BU443" s="12">
        <f t="shared" ref="BU443:BU542" si="59">IF(AND(L443="",(COUNTBLANK(A443:K443)=8)),1,0)</f>
        <v>0</v>
      </c>
      <c r="BV443" s="142">
        <f t="shared" ref="BV443:BV542" si="60">BF443</f>
        <v>0</v>
      </c>
    </row>
    <row r="444" spans="1:94" x14ac:dyDescent="0.35">
      <c r="A444" s="1165"/>
      <c r="B444" s="1165"/>
      <c r="C444" s="1165"/>
      <c r="D444" s="1165"/>
      <c r="E444" s="1166"/>
      <c r="F444" s="1166"/>
      <c r="G444" s="1166"/>
      <c r="H444" s="1166"/>
      <c r="I444" s="1166"/>
      <c r="J444" s="1166"/>
      <c r="K444" s="1166"/>
      <c r="L444" s="490" t="str" cm="1">
        <f t="array" ref="L444">IF(A444&lt;&gt;"",IFERROR(INDEX(PMtbl[[WKst]:[Unit of measure*]],MATCH($A$437&amp;$A444&amp;$E444&amp;$I444,INDEX(PMtbl[Sec]&amp;PMtbl[Category]&amp;PMtbl[Each]&amp;PMtbl[Packaging],0,),0),14),""),"")</f>
        <v/>
      </c>
      <c r="M444" s="479" t="str">
        <f>IF(L444="","",INDEX(SETUP!$E$20:$E$122,(MATCH(INDEX(PMsheet!$D:$E,MATCH(A444,PMsheet!E:E,0),1),SETUP!$D$20:$D$122,0))))</f>
        <v/>
      </c>
      <c r="N444" s="491">
        <f>IF($O444="USD",_xlfn.IFNA(VLOOKUP(A444&amp;E444&amp;I444,PMsheet!J:K,2,0),0),(_xlfn.IFNA(VLOOKUP(A444&amp;E444&amp;I444,PMsheet!J:K,2,0),0)*'Master Data-C19RM'!$C$2))</f>
        <v>0</v>
      </c>
      <c r="O444" s="492" t="str">
        <f>IF(L444="", "",SETUP!$E$7)</f>
        <v/>
      </c>
      <c r="P444" s="444">
        <f>IF($O444="USD",_xlfn.IFNA(VLOOKUP($A444&amp;$E444&amp;$I444,PMsheet!$J:$K,2,0),0),(_xlfn.IFNA(VLOOKUP($A444&amp;$E444&amp;$I444,PMsheet!$J:$K,2,0),0)*'Master Data-C19RM'!$C$2))</f>
        <v>0</v>
      </c>
      <c r="Q444" s="441"/>
      <c r="R444" s="441"/>
      <c r="S444" s="441"/>
      <c r="T444" s="441"/>
      <c r="U444" s="481">
        <f t="shared" ref="U444:U542" si="61">SUM($Q444:$T444)</f>
        <v>0</v>
      </c>
      <c r="V444" s="483">
        <f>IF(SETUP!$E$7="USD",(U444*(IF(O444="USD",P444,(P444/'Master Data-C19RM'!$C$2)))),(U444*(IF(O444="EUR",P444,(P444*'Master Data-C19RM'!$C$2)))))</f>
        <v>0</v>
      </c>
      <c r="W444" s="444">
        <f>IF($O444="USD",_xlfn.IFNA(VLOOKUP($A444&amp;$E444&amp;$I444,PMsheet!$J:$K,2,0),0),(_xlfn.IFNA(VLOOKUP($A444&amp;$E444&amp;$I444,PMsheet!$J:$K,2,0),0)*'Master Data-C19RM'!$D$2))</f>
        <v>0</v>
      </c>
      <c r="X444" s="441"/>
      <c r="Y444" s="441"/>
      <c r="Z444" s="441"/>
      <c r="AA444" s="441"/>
      <c r="AB444" s="481">
        <f t="shared" ref="AB444:AB542" si="62">SUM($X444:$AA444)</f>
        <v>0</v>
      </c>
      <c r="AC444" s="483">
        <f>IF(SETUP!$E$7="USD",(AB444*(IF(O444="USD",W444,(W444/'Master Data-C19RM'!$D$2)))),(AB444*(IF(O444="EUR",W444,(W444*'Master Data-C19RM'!$D$2)))))</f>
        <v>0</v>
      </c>
      <c r="AD444" s="444">
        <f>IF($O444="USD",_xlfn.IFNA(VLOOKUP($A444&amp;$E444&amp;$I444,PMsheet!$J:$K,2,0),0),(_xlfn.IFNA(VLOOKUP($A444&amp;$E444&amp;$I444,PMsheet!$J:$K,2,0),0)*'Master Data-C19RM'!$E$2))</f>
        <v>0</v>
      </c>
      <c r="AE444" s="441"/>
      <c r="AF444" s="441"/>
      <c r="AG444" s="441"/>
      <c r="AH444" s="441"/>
      <c r="AI444" s="512">
        <f t="shared" ref="AI444:AI542" si="63">SUM($AE444:$AH444)</f>
        <v>0</v>
      </c>
      <c r="AJ444" s="513">
        <f>IF(SETUP!$E$7="USD",(AI444*(IF(O444="USD",AD444,(AD444/'Master Data-C19RM'!$E$2)))),(AI444*(IF(O444="EUR",AD444,(AD444*'Master Data-C19RM'!$E$2)))))</f>
        <v>0</v>
      </c>
      <c r="AK444" s="444">
        <f>IF($O444="USD",_xlfn.IFNA(VLOOKUP($A444&amp;$E444&amp;$I444,PMsheet!$J:$K,2,0),0),(_xlfn.IFNA(VLOOKUP($A444&amp;$E444&amp;$I444,PMsheet!$J:$K,2,0),0)*'Master Data-C19RM'!$F$2))</f>
        <v>0</v>
      </c>
      <c r="AL444" s="441"/>
      <c r="AM444" s="441"/>
      <c r="AN444" s="441"/>
      <c r="AO444" s="441"/>
      <c r="AP444" s="512">
        <f t="shared" ref="AP444:AP469" si="64">SUM($AL444:$AO444)</f>
        <v>0</v>
      </c>
      <c r="AQ444" s="513">
        <f>IF(SETUP!$E$7="USD",(AP444*(IF(O444="USD",AK444,(AK444/'Master Data-C19RM'!$F$2)))),(AP444*(IF(O444="EUR",AK444,(AK444*'Master Data-C19RM'!$F$2)))))</f>
        <v>0</v>
      </c>
      <c r="AR444" s="924">
        <f>IF($O444="USD",_xlfn.IFNA(VLOOKUP($A444&amp;$E444&amp;$I444,PMsheet!$J:$K,2,0),0),(_xlfn.IFNA(VLOOKUP($A444&amp;$E444&amp;$I444,PMsheet!$J:$K,2,0),0)*'Master Data-C19RM'!$G$2))</f>
        <v>0</v>
      </c>
      <c r="AS444" s="572"/>
      <c r="AT444" s="572"/>
      <c r="AU444" s="572"/>
      <c r="AV444" s="572"/>
      <c r="AW444" s="512">
        <f t="shared" ref="AW444:AW507" si="65">SUM($AS444:$AV444)</f>
        <v>0</v>
      </c>
      <c r="AX444" s="512">
        <f>IF(SETUP!$E$7="USD",(AW444*(IF(O444="USD",AR444,(AR444/'Master Data-C19RM'!$G$2)))),(AW444*(IF(O444="EUR",AR444,(AR444*'Master Data-C19RM'!$G$2)))))</f>
        <v>0</v>
      </c>
      <c r="AY444" s="845"/>
      <c r="AZ444" s="846"/>
      <c r="BA444" s="846"/>
      <c r="BB444" s="846"/>
      <c r="BC444" s="846"/>
      <c r="BD444" s="846"/>
      <c r="BE444" s="847"/>
      <c r="BF444" s="520">
        <f>'C19RM 2021-Lab &amp; Other HPS'!$U444+'C19RM 2021-Lab &amp; Other HPS'!$AB444+'C19RM 2021-Lab &amp; Other HPS'!$AP444+'C19RM 2021-Lab &amp; Other HPS'!$AI444+AW444+BD444</f>
        <v>0</v>
      </c>
      <c r="BG444" s="513">
        <f>'C19RM 2021-Lab &amp; Other HPS'!$V444+'C19RM 2021-Lab &amp; Other HPS'!$AC444+'C19RM 2021-Lab &amp; Other HPS'!$AQ444+'C19RM 2021-Lab &amp; Other HPS'!$AJ444+AX444+BE444</f>
        <v>0</v>
      </c>
      <c r="BH444" s="500" t="str" cm="1">
        <f t="array" ref="BH444">IF(A444&lt;&gt;"",IFERROR(INDEX(PMtbl[[WKst]:[Unit of measure*]],MATCH($A$437&amp;$A444&amp;$E444&amp;$I444,INDEX(PMtbl[Sec]&amp;PMtbl[Category]&amp;PMtbl[Each]&amp;PMtbl[Packaging],0,),0),11),""),"")</f>
        <v/>
      </c>
      <c r="BI444" s="819"/>
      <c r="BJ444" s="502" t="str" cm="1">
        <f t="array" ref="BJ444">IFERROR(INDEX(SETUP!$C$19:$G$121,MATCH((INDEX(PMtbl[[WKst]:[Unit of measure*]],MATCH($A444&amp;$E444&amp;$I444,INDEX(PMtbl[Category]&amp;PMtbl[Each]&amp;PMtbl[Packaging],0,),0),3)),SETUP!$D$19:$D$121,0),5),"")</f>
        <v/>
      </c>
      <c r="BK444" s="536" t="str" cm="1">
        <f t="array" ref="BK444">IFERROR(IF((INDEX(SETUP!$C$19:$G$121,MATCH((INDEX(PMtbl[[WKst]:[Unit of measure*]],MATCH($A444&amp;$E444&amp;$I444,INDEX(PMtbl[Category]&amp;PMtbl[Each]&amp;PMtbl[Packaging],0,),0),3)),SETUP!$D$19:$D$121,0),4))="Upfront",0,INDEX(SETUP!$C$19:$G$121,MATCH((INDEX(PMtbl[[WKst]:[Unit of measure*]],MATCH($A444&amp;$E444&amp;$I444,INDEX(PMtbl[Category]&amp;PMtbl[Each]&amp;PMtbl[Packaging],0,),0),3)),SETUP!$D$19:$D$121,0),5)),"")</f>
        <v/>
      </c>
      <c r="BL444" s="577" t="str" cm="1">
        <f t="array" ref="BL444">IF(E444&lt;&gt;"",IFERROR(INDEX(PMtbl[[WKst]:[Unit of measure*]],MATCH($A$437&amp;$A444&amp;$E444&amp;$I444,INDEX(PMtbl[Sec]&amp;PMtbl[Category]&amp;PMtbl[Each]&amp;PMtbl[Packaging],0,),0),11),""),"")</f>
        <v/>
      </c>
      <c r="BO444" s="12">
        <f>IF(N444="",0,IF(SETUP!$E$7="USD",((IF(O444="USD",P444,(P444/'Master Data-C19RM'!$C$2)))),((IF(O444="EUR",P444,(P444*'Master Data-C19RM'!$C$2))))))</f>
        <v>0</v>
      </c>
      <c r="BP444" s="12">
        <f>IF(N444="",0,IF(SETUP!$E$7="USD",((IF(O444="USD",W444,(W444/'Master Data-C19RM'!$D$2)))),((IF(O444="EUR",W444,(W444*'Master Data-C19RM'!$D$2))))))</f>
        <v>0</v>
      </c>
      <c r="BQ444">
        <f>IF(N444="",0,IF(SETUP!$E$7="USD",((IF(O444="USD",AD444,(AD444/'Master Data-C19RM'!$E$2)))),((IF(O444="EUR",AD444,(AD444*'Master Data-C19RM'!$E$2))))))</f>
        <v>0</v>
      </c>
      <c r="BR444">
        <f>IF(N444="",0,IF(SETUP!$E$7="USD",((IF(O444="USD",AK444,(AK444/'Master Data-C19RM'!$F$2)))),((IF(O444="EUR",AK444,(AK444*'Master Data-C19RM'!$F$2))))))</f>
        <v>0</v>
      </c>
      <c r="BS444">
        <f>IF(N444="",0,IF(SETUP!$E$7="USD",((IF(O444="USD",AR444,(AR444/'Master Data-C19RM'!$G$2)))),((IF(O444="EUR",AR444,(AR444*'Master Data-C19RM'!$G$2))))))</f>
        <v>0</v>
      </c>
      <c r="BT444">
        <f>IF(N444="",0,IF(SETUP!$E$7="USD",((IF(O444="USD",AY444,(AY444/'Master Data-C19RM'!$H$2)))),((IF(O444="EUR",AY444,(AY444*'Master Data-C19RM'!$H$2))))))</f>
        <v>0</v>
      </c>
      <c r="BU444" s="12">
        <f t="shared" si="59"/>
        <v>0</v>
      </c>
      <c r="BV444" s="142">
        <f t="shared" si="60"/>
        <v>0</v>
      </c>
    </row>
    <row r="445" spans="1:94" x14ac:dyDescent="0.35">
      <c r="A445" s="1192"/>
      <c r="B445" s="1192"/>
      <c r="C445" s="1192"/>
      <c r="D445" s="1192"/>
      <c r="E445" s="1173"/>
      <c r="F445" s="1173"/>
      <c r="G445" s="1173"/>
      <c r="H445" s="1173"/>
      <c r="I445" s="1173"/>
      <c r="J445" s="1173"/>
      <c r="K445" s="1173"/>
      <c r="L445" s="493" t="str" cm="1">
        <f t="array" ref="L445">IF(A445&lt;&gt;"",IFERROR(INDEX(PMtbl[[WKst]:[Unit of measure*]],MATCH($A$437&amp;$A445&amp;$E445&amp;$I445,INDEX(PMtbl[Sec]&amp;PMtbl[Category]&amp;PMtbl[Each]&amp;PMtbl[Packaging],0,),0),14),""),"")</f>
        <v/>
      </c>
      <c r="M445" s="480" t="str">
        <f>IF(L445="","",INDEX(SETUP!$E$20:$E$122,(MATCH(INDEX(PMsheet!$D:$E,MATCH(A445,PMsheet!E:E,0),1),SETUP!$D$20:$D$122,0))))</f>
        <v/>
      </c>
      <c r="N445" s="494">
        <f>IF($O445="USD",_xlfn.IFNA(VLOOKUP(A445&amp;E445&amp;I445,PMsheet!J:K,2,0),0),(_xlfn.IFNA(VLOOKUP(A445&amp;E445&amp;I445,PMsheet!J:K,2,0),0)*'Master Data-C19RM'!$C$2))</f>
        <v>0</v>
      </c>
      <c r="O445" s="495" t="str">
        <f>IF(L445="", "",SETUP!$E$7)</f>
        <v/>
      </c>
      <c r="P445" s="445">
        <f>IF($O445="USD",_xlfn.IFNA(VLOOKUP($A445&amp;$E445&amp;$I445,PMsheet!$J:$K,2,0),0),(_xlfn.IFNA(VLOOKUP($A445&amp;$E445&amp;$I445,PMsheet!$J:$K,2,0),0)*'Master Data-C19RM'!$C$2))</f>
        <v>0</v>
      </c>
      <c r="Q445" s="440"/>
      <c r="R445" s="440"/>
      <c r="S445" s="440"/>
      <c r="T445" s="440"/>
      <c r="U445" s="482">
        <f t="shared" si="61"/>
        <v>0</v>
      </c>
      <c r="V445" s="484">
        <f>IF(SETUP!$E$7="USD",(U445*(IF(O445="USD",P445,(P445/'Master Data-C19RM'!$C$2)))),(U445*(IF(O445="EUR",P445,(P445*'Master Data-C19RM'!$C$2)))))</f>
        <v>0</v>
      </c>
      <c r="W445" s="445">
        <f>IF($O445="USD",_xlfn.IFNA(VLOOKUP($A445&amp;$E445&amp;$I445,PMsheet!$J:$K,2,0),0),(_xlfn.IFNA(VLOOKUP($A445&amp;$E445&amp;$I445,PMsheet!$J:$K,2,0),0)*'Master Data-C19RM'!$D$2))</f>
        <v>0</v>
      </c>
      <c r="X445" s="440"/>
      <c r="Y445" s="440"/>
      <c r="Z445" s="440"/>
      <c r="AA445" s="440"/>
      <c r="AB445" s="482">
        <f t="shared" si="62"/>
        <v>0</v>
      </c>
      <c r="AC445" s="484">
        <f>IF(SETUP!$E$7="USD",(AB445*(IF(O445="USD",W445,(W445/'Master Data-C19RM'!$D$2)))),(AB445*(IF(O445="EUR",W445,(W445*'Master Data-C19RM'!$D$2)))))</f>
        <v>0</v>
      </c>
      <c r="AD445" s="445">
        <f>IF($O445="USD",_xlfn.IFNA(VLOOKUP($A445&amp;$E445&amp;$I445,PMsheet!$J:$K,2,0),0),(_xlfn.IFNA(VLOOKUP($A445&amp;$E445&amp;$I445,PMsheet!$J:$K,2,0),0)*'Master Data-C19RM'!$E$2))</f>
        <v>0</v>
      </c>
      <c r="AE445" s="440"/>
      <c r="AF445" s="440"/>
      <c r="AG445" s="440"/>
      <c r="AH445" s="440"/>
      <c r="AI445" s="514">
        <f t="shared" si="63"/>
        <v>0</v>
      </c>
      <c r="AJ445" s="515">
        <f>IF(SETUP!$E$7="USD",(AI445*(IF(O445="USD",AD445,(AD445/'Master Data-C19RM'!$E$2)))),(AI445*(IF(O445="EUR",AD445,(AD445*'Master Data-C19RM'!$E$2)))))</f>
        <v>0</v>
      </c>
      <c r="AK445" s="445">
        <f>IF($O445="USD",_xlfn.IFNA(VLOOKUP($A445&amp;$E445&amp;$I445,PMsheet!$J:$K,2,0),0),(_xlfn.IFNA(VLOOKUP($A445&amp;$E445&amp;$I445,PMsheet!$J:$K,2,0),0)*'Master Data-C19RM'!$F$2))</f>
        <v>0</v>
      </c>
      <c r="AL445" s="440"/>
      <c r="AM445" s="440"/>
      <c r="AN445" s="440"/>
      <c r="AO445" s="440"/>
      <c r="AP445" s="514">
        <f t="shared" si="64"/>
        <v>0</v>
      </c>
      <c r="AQ445" s="515">
        <f>IF(SETUP!$E$7="USD",(AP445*(IF(O445="USD",AK445,(AK445/'Master Data-C19RM'!$F$2)))),(AP445*(IF(O445="EUR",AK445,(AK445*'Master Data-C19RM'!$F$2)))))</f>
        <v>0</v>
      </c>
      <c r="AR445" s="925">
        <f>IF($O445="USD",_xlfn.IFNA(VLOOKUP($A445&amp;$E445&amp;$I445,PMsheet!$J:$K,2,0),0),(_xlfn.IFNA(VLOOKUP($A445&amp;$E445&amp;$I445,PMsheet!$J:$K,2,0),0)*'Master Data-C19RM'!$G$2))</f>
        <v>0</v>
      </c>
      <c r="AS445" s="926"/>
      <c r="AT445" s="926"/>
      <c r="AU445" s="926"/>
      <c r="AV445" s="926"/>
      <c r="AW445" s="514">
        <f t="shared" si="65"/>
        <v>0</v>
      </c>
      <c r="AX445" s="514">
        <f>IF(SETUP!$E$7="USD",(AW445*(IF(O445="USD",AR445,(AR445/'Master Data-C19RM'!$G$2)))),(AW445*(IF(O445="EUR",AR445,(AR445*'Master Data-C19RM'!$G$2)))))</f>
        <v>0</v>
      </c>
      <c r="AY445" s="845"/>
      <c r="AZ445" s="846"/>
      <c r="BA445" s="846"/>
      <c r="BB445" s="846"/>
      <c r="BC445" s="846"/>
      <c r="BD445" s="846"/>
      <c r="BE445" s="847"/>
      <c r="BF445" s="521">
        <f>'C19RM 2021-Lab &amp; Other HPS'!$U445+'C19RM 2021-Lab &amp; Other HPS'!$AB445+'C19RM 2021-Lab &amp; Other HPS'!$AP445+'C19RM 2021-Lab &amp; Other HPS'!$AI445+AW445+BD445</f>
        <v>0</v>
      </c>
      <c r="BG445" s="515">
        <f>'C19RM 2021-Lab &amp; Other HPS'!$V445+'C19RM 2021-Lab &amp; Other HPS'!$AC445+'C19RM 2021-Lab &amp; Other HPS'!$AQ445+'C19RM 2021-Lab &amp; Other HPS'!$AJ445+AX445+BE445</f>
        <v>0</v>
      </c>
      <c r="BH445" s="522" t="str" cm="1">
        <f t="array" ref="BH445">IF(A445&lt;&gt;"",IFERROR(INDEX(PMtbl[[WKst]:[Unit of measure*]],MATCH($A$437&amp;$A445&amp;$E445&amp;$I445,INDEX(PMtbl[Sec]&amp;PMtbl[Category]&amp;PMtbl[Each]&amp;PMtbl[Packaging],0,),0),11),""),"")</f>
        <v/>
      </c>
      <c r="BI445" s="818"/>
      <c r="BJ445" s="503" t="str" cm="1">
        <f t="array" ref="BJ445">IFERROR(INDEX(SETUP!$C$19:$G$121,MATCH((INDEX(PMtbl[[WKst]:[Unit of measure*]],MATCH($A445&amp;$E445&amp;$I445,INDEX(PMtbl[Category]&amp;PMtbl[Each]&amp;PMtbl[Packaging],0,),0),3)),SETUP!$D$19:$D$121,0),5),"")</f>
        <v/>
      </c>
      <c r="BK445" s="537" t="str" cm="1">
        <f t="array" ref="BK445">IFERROR(IF((INDEX(SETUP!$C$19:$G$121,MATCH((INDEX(PMtbl[[WKst]:[Unit of measure*]],MATCH($A445&amp;$E445&amp;$I445,INDEX(PMtbl[Category]&amp;PMtbl[Each]&amp;PMtbl[Packaging],0,),0),3)),SETUP!$D$19:$D$121,0),4))="Upfront",0,INDEX(SETUP!$C$19:$G$121,MATCH((INDEX(PMtbl[[WKst]:[Unit of measure*]],MATCH($A445&amp;$E445&amp;$I445,INDEX(PMtbl[Category]&amp;PMtbl[Each]&amp;PMtbl[Packaging],0,),0),3)),SETUP!$D$19:$D$121,0),5)),"")</f>
        <v/>
      </c>
      <c r="BL445" s="578" t="str" cm="1">
        <f t="array" ref="BL445">IF(E445&lt;&gt;"",IFERROR(INDEX(PMtbl[[WKst]:[Unit of measure*]],MATCH($A$437&amp;$A445&amp;$E445&amp;$I445,INDEX(PMtbl[Sec]&amp;PMtbl[Category]&amp;PMtbl[Each]&amp;PMtbl[Packaging],0,),0),11),""),"")</f>
        <v/>
      </c>
      <c r="BO445" s="12">
        <f>IF(N445="",0,IF(SETUP!$E$7="USD",((IF(O445="USD",P445,(P445/'Master Data-C19RM'!$C$2)))),((IF(O445="EUR",P445,(P445*'Master Data-C19RM'!$C$2))))))</f>
        <v>0</v>
      </c>
      <c r="BP445" s="12">
        <f>IF(N445="",0,IF(SETUP!$E$7="USD",((IF(O445="USD",W445,(W445/'Master Data-C19RM'!$D$2)))),((IF(O445="EUR",W445,(W445*'Master Data-C19RM'!$D$2))))))</f>
        <v>0</v>
      </c>
      <c r="BQ445">
        <f>IF(N445="",0,IF(SETUP!$E$7="USD",((IF(O445="USD",AD445,(AD445/'Master Data-C19RM'!$E$2)))),((IF(O445="EUR",AD445,(AD445*'Master Data-C19RM'!$E$2))))))</f>
        <v>0</v>
      </c>
      <c r="BR445">
        <f>IF(N445="",0,IF(SETUP!$E$7="USD",((IF(O445="USD",AK445,(AK445/'Master Data-C19RM'!$F$2)))),((IF(O445="EUR",AK445,(AK445*'Master Data-C19RM'!$F$2))))))</f>
        <v>0</v>
      </c>
      <c r="BS445">
        <f>IF(N445="",0,IF(SETUP!$E$7="USD",((IF(O445="USD",AR445,(AR445/'Master Data-C19RM'!$G$2)))),((IF(O445="EUR",AR445,(AR445*'Master Data-C19RM'!$G$2))))))</f>
        <v>0</v>
      </c>
      <c r="BT445">
        <f>IF(N445="",0,IF(SETUP!$E$7="USD",((IF(O445="USD",AY445,(AY445/'Master Data-C19RM'!$H$2)))),((IF(O445="EUR",AY445,(AY445*'Master Data-C19RM'!$H$2))))))</f>
        <v>0</v>
      </c>
      <c r="BU445" s="12">
        <f t="shared" si="59"/>
        <v>0</v>
      </c>
      <c r="BV445" s="142">
        <f t="shared" si="60"/>
        <v>0</v>
      </c>
    </row>
    <row r="446" spans="1:94" x14ac:dyDescent="0.35">
      <c r="A446" s="1165"/>
      <c r="B446" s="1165"/>
      <c r="C446" s="1165"/>
      <c r="D446" s="1165"/>
      <c r="E446" s="1166"/>
      <c r="F446" s="1166"/>
      <c r="G446" s="1166"/>
      <c r="H446" s="1166"/>
      <c r="I446" s="1166"/>
      <c r="J446" s="1166"/>
      <c r="K446" s="1166"/>
      <c r="L446" s="490" t="str" cm="1">
        <f t="array" ref="L446">IF(A446&lt;&gt;"",IFERROR(INDEX(PMtbl[[WKst]:[Unit of measure*]],MATCH($A$437&amp;$A446&amp;$E446&amp;$I446,INDEX(PMtbl[Sec]&amp;PMtbl[Category]&amp;PMtbl[Each]&amp;PMtbl[Packaging],0,),0),14),""),"")</f>
        <v/>
      </c>
      <c r="M446" s="479" t="str">
        <f>IF(L446="","",INDEX(SETUP!$E$20:$E$122,(MATCH(INDEX(PMsheet!$D:$E,MATCH(A446,PMsheet!E:E,0),1),SETUP!$D$20:$D$122,0))))</f>
        <v/>
      </c>
      <c r="N446" s="491">
        <f>IF($O446="USD",_xlfn.IFNA(VLOOKUP(A446&amp;E446&amp;I446,PMsheet!J:K,2,0),0),(_xlfn.IFNA(VLOOKUP(A446&amp;E446&amp;I446,PMsheet!J:K,2,0),0)*'Master Data-C19RM'!$C$2))</f>
        <v>0</v>
      </c>
      <c r="O446" s="492" t="str">
        <f>IF(L446="", "",SETUP!$E$7)</f>
        <v/>
      </c>
      <c r="P446" s="444">
        <f>IF($O446="USD",_xlfn.IFNA(VLOOKUP($A446&amp;$E446&amp;$I446,PMsheet!$J:$K,2,0),0),(_xlfn.IFNA(VLOOKUP($A446&amp;$E446&amp;$I446,PMsheet!$J:$K,2,0),0)*'Master Data-C19RM'!$C$2))</f>
        <v>0</v>
      </c>
      <c r="Q446" s="441"/>
      <c r="R446" s="441"/>
      <c r="S446" s="441"/>
      <c r="T446" s="441"/>
      <c r="U446" s="481">
        <f t="shared" si="61"/>
        <v>0</v>
      </c>
      <c r="V446" s="483">
        <f>IF(SETUP!$E$7="USD",(U446*(IF(O446="USD",P446,(P446/'Master Data-C19RM'!$C$2)))),(U446*(IF(O446="EUR",P446,(P446*'Master Data-C19RM'!$C$2)))))</f>
        <v>0</v>
      </c>
      <c r="W446" s="444">
        <f>IF($O446="USD",_xlfn.IFNA(VLOOKUP($A446&amp;$E446&amp;$I446,PMsheet!$J:$K,2,0),0),(_xlfn.IFNA(VLOOKUP($A446&amp;$E446&amp;$I446,PMsheet!$J:$K,2,0),0)*'Master Data-C19RM'!$D$2))</f>
        <v>0</v>
      </c>
      <c r="X446" s="441"/>
      <c r="Y446" s="441"/>
      <c r="Z446" s="441"/>
      <c r="AA446" s="441"/>
      <c r="AB446" s="481">
        <f t="shared" si="62"/>
        <v>0</v>
      </c>
      <c r="AC446" s="483">
        <f>IF(SETUP!$E$7="USD",(AB446*(IF(O446="USD",W446,(W446/'Master Data-C19RM'!$D$2)))),(AB446*(IF(O446="EUR",W446,(W446*'Master Data-C19RM'!$D$2)))))</f>
        <v>0</v>
      </c>
      <c r="AD446" s="444">
        <f>IF($O446="USD",_xlfn.IFNA(VLOOKUP($A446&amp;$E446&amp;$I446,PMsheet!$J:$K,2,0),0),(_xlfn.IFNA(VLOOKUP($A446&amp;$E446&amp;$I446,PMsheet!$J:$K,2,0),0)*'Master Data-C19RM'!$E$2))</f>
        <v>0</v>
      </c>
      <c r="AE446" s="441"/>
      <c r="AF446" s="441"/>
      <c r="AG446" s="441"/>
      <c r="AH446" s="441"/>
      <c r="AI446" s="512">
        <f t="shared" si="63"/>
        <v>0</v>
      </c>
      <c r="AJ446" s="513">
        <f>IF(SETUP!$E$7="USD",(AI446*(IF(O446="USD",AD446,(AD446/'Master Data-C19RM'!$E$2)))),(AI446*(IF(O446="EUR",AD446,(AD446*'Master Data-C19RM'!$E$2)))))</f>
        <v>0</v>
      </c>
      <c r="AK446" s="444">
        <f>IF($O446="USD",_xlfn.IFNA(VLOOKUP($A446&amp;$E446&amp;$I446,PMsheet!$J:$K,2,0),0),(_xlfn.IFNA(VLOOKUP($A446&amp;$E446&amp;$I446,PMsheet!$J:$K,2,0),0)*'Master Data-C19RM'!$F$2))</f>
        <v>0</v>
      </c>
      <c r="AL446" s="441"/>
      <c r="AM446" s="441"/>
      <c r="AN446" s="441"/>
      <c r="AO446" s="441"/>
      <c r="AP446" s="512">
        <f t="shared" si="64"/>
        <v>0</v>
      </c>
      <c r="AQ446" s="513">
        <f>IF(SETUP!$E$7="USD",(AP446*(IF(O446="USD",AK446,(AK446/'Master Data-C19RM'!$F$2)))),(AP446*(IF(O446="EUR",AK446,(AK446*'Master Data-C19RM'!$F$2)))))</f>
        <v>0</v>
      </c>
      <c r="AR446" s="924">
        <f>IF($O446="USD",_xlfn.IFNA(VLOOKUP($A446&amp;$E446&amp;$I446,PMsheet!$J:$K,2,0),0),(_xlfn.IFNA(VLOOKUP($A446&amp;$E446&amp;$I446,PMsheet!$J:$K,2,0),0)*'Master Data-C19RM'!$G$2))</f>
        <v>0</v>
      </c>
      <c r="AS446" s="572"/>
      <c r="AT446" s="572"/>
      <c r="AU446" s="572"/>
      <c r="AV446" s="572"/>
      <c r="AW446" s="512">
        <f t="shared" si="65"/>
        <v>0</v>
      </c>
      <c r="AX446" s="512">
        <f>IF(SETUP!$E$7="USD",(AW446*(IF(O446="USD",AR446,(AR446/'Master Data-C19RM'!$G$2)))),(AW446*(IF(O446="EUR",AR446,(AR446*'Master Data-C19RM'!$G$2)))))</f>
        <v>0</v>
      </c>
      <c r="AY446" s="845"/>
      <c r="AZ446" s="846"/>
      <c r="BA446" s="846"/>
      <c r="BB446" s="846"/>
      <c r="BC446" s="846"/>
      <c r="BD446" s="846"/>
      <c r="BE446" s="847"/>
      <c r="BF446" s="520">
        <f>'C19RM 2021-Lab &amp; Other HPS'!$U446+'C19RM 2021-Lab &amp; Other HPS'!$AB446+'C19RM 2021-Lab &amp; Other HPS'!$AP446+'C19RM 2021-Lab &amp; Other HPS'!$AI446+AW446+BD446</f>
        <v>0</v>
      </c>
      <c r="BG446" s="513">
        <f>'C19RM 2021-Lab &amp; Other HPS'!$V446+'C19RM 2021-Lab &amp; Other HPS'!$AC446+'C19RM 2021-Lab &amp; Other HPS'!$AQ446+'C19RM 2021-Lab &amp; Other HPS'!$AJ446+AX446+BE446</f>
        <v>0</v>
      </c>
      <c r="BH446" s="500" t="str" cm="1">
        <f t="array" ref="BH446">IF(A446&lt;&gt;"",IFERROR(INDEX(PMtbl[[WKst]:[Unit of measure*]],MATCH($A$437&amp;$A446&amp;$E446&amp;$I446,INDEX(PMtbl[Sec]&amp;PMtbl[Category]&amp;PMtbl[Each]&amp;PMtbl[Packaging],0,),0),11),""),"")</f>
        <v/>
      </c>
      <c r="BI446" s="819"/>
      <c r="BJ446" s="502" t="str" cm="1">
        <f t="array" ref="BJ446">IFERROR(INDEX(SETUP!$C$19:$G$121,MATCH((INDEX(PMtbl[[WKst]:[Unit of measure*]],MATCH($A446&amp;$E446&amp;$I446,INDEX(PMtbl[Category]&amp;PMtbl[Each]&amp;PMtbl[Packaging],0,),0),3)),SETUP!$D$19:$D$121,0),5),"")</f>
        <v/>
      </c>
      <c r="BK446" s="536" t="str" cm="1">
        <f t="array" ref="BK446">IFERROR(IF((INDEX(SETUP!$C$19:$G$121,MATCH((INDEX(PMtbl[[WKst]:[Unit of measure*]],MATCH($A446&amp;$E446&amp;$I446,INDEX(PMtbl[Category]&amp;PMtbl[Each]&amp;PMtbl[Packaging],0,),0),3)),SETUP!$D$19:$D$121,0),4))="Upfront",0,INDEX(SETUP!$C$19:$G$121,MATCH((INDEX(PMtbl[[WKst]:[Unit of measure*]],MATCH($A446&amp;$E446&amp;$I446,INDEX(PMtbl[Category]&amp;PMtbl[Each]&amp;PMtbl[Packaging],0,),0),3)),SETUP!$D$19:$D$121,0),5)),"")</f>
        <v/>
      </c>
      <c r="BL446" s="577" t="str" cm="1">
        <f t="array" ref="BL446">IF(E446&lt;&gt;"",IFERROR(INDEX(PMtbl[[WKst]:[Unit of measure*]],MATCH($A$437&amp;$A446&amp;$E446&amp;$I446,INDEX(PMtbl[Sec]&amp;PMtbl[Category]&amp;PMtbl[Each]&amp;PMtbl[Packaging],0,),0),11),""),"")</f>
        <v/>
      </c>
      <c r="BO446" s="12">
        <f>IF(N446="",0,IF(SETUP!$E$7="USD",((IF(O446="USD",P446,(P446/'Master Data-C19RM'!$C$2)))),((IF(O446="EUR",P446,(P446*'Master Data-C19RM'!$C$2))))))</f>
        <v>0</v>
      </c>
      <c r="BP446" s="12">
        <f>IF(N446="",0,IF(SETUP!$E$7="USD",((IF(O446="USD",W446,(W446/'Master Data-C19RM'!$D$2)))),((IF(O446="EUR",W446,(W446*'Master Data-C19RM'!$D$2))))))</f>
        <v>0</v>
      </c>
      <c r="BQ446">
        <f>IF(N446="",0,IF(SETUP!$E$7="USD",((IF(O446="USD",AD446,(AD446/'Master Data-C19RM'!$E$2)))),((IF(O446="EUR",AD446,(AD446*'Master Data-C19RM'!$E$2))))))</f>
        <v>0</v>
      </c>
      <c r="BR446">
        <f>IF(N446="",0,IF(SETUP!$E$7="USD",((IF(O446="USD",AK446,(AK446/'Master Data-C19RM'!$F$2)))),((IF(O446="EUR",AK446,(AK446*'Master Data-C19RM'!$F$2))))))</f>
        <v>0</v>
      </c>
      <c r="BS446">
        <f>IF(N446="",0,IF(SETUP!$E$7="USD",((IF(O446="USD",AR446,(AR446/'Master Data-C19RM'!$G$2)))),((IF(O446="EUR",AR446,(AR446*'Master Data-C19RM'!$G$2))))))</f>
        <v>0</v>
      </c>
      <c r="BT446">
        <f>IF(N446="",0,IF(SETUP!$E$7="USD",((IF(O446="USD",AY446,(AY446/'Master Data-C19RM'!$H$2)))),((IF(O446="EUR",AY446,(AY446*'Master Data-C19RM'!$H$2))))))</f>
        <v>0</v>
      </c>
      <c r="BU446" s="12">
        <f t="shared" si="59"/>
        <v>0</v>
      </c>
      <c r="BV446" s="142">
        <f t="shared" si="60"/>
        <v>0</v>
      </c>
    </row>
    <row r="447" spans="1:94" x14ac:dyDescent="0.35">
      <c r="A447" s="1192"/>
      <c r="B447" s="1192"/>
      <c r="C447" s="1192"/>
      <c r="D447" s="1192"/>
      <c r="E447" s="1173"/>
      <c r="F447" s="1173"/>
      <c r="G447" s="1173"/>
      <c r="H447" s="1173"/>
      <c r="I447" s="1173"/>
      <c r="J447" s="1173"/>
      <c r="K447" s="1173"/>
      <c r="L447" s="493" t="str" cm="1">
        <f t="array" ref="L447">IF(A447&lt;&gt;"",IFERROR(INDEX(PMtbl[[WKst]:[Unit of measure*]],MATCH($A$437&amp;$A447&amp;$E447&amp;$I447,INDEX(PMtbl[Sec]&amp;PMtbl[Category]&amp;PMtbl[Each]&amp;PMtbl[Packaging],0,),0),14),""),"")</f>
        <v/>
      </c>
      <c r="M447" s="480" t="str">
        <f>IF(L447="","",INDEX(SETUP!$E$20:$E$122,(MATCH(INDEX(PMsheet!$D:$E,MATCH(A447,PMsheet!E:E,0),1),SETUP!$D$20:$D$122,0))))</f>
        <v/>
      </c>
      <c r="N447" s="494">
        <f>IF($O447="USD",_xlfn.IFNA(VLOOKUP(A447&amp;E447&amp;I447,PMsheet!J:K,2,0),0),(_xlfn.IFNA(VLOOKUP(A447&amp;E447&amp;I447,PMsheet!J:K,2,0),0)*'Master Data-C19RM'!$C$2))</f>
        <v>0</v>
      </c>
      <c r="O447" s="495" t="str">
        <f>IF(L447="", "",SETUP!$E$7)</f>
        <v/>
      </c>
      <c r="P447" s="445">
        <f>IF($O447="USD",_xlfn.IFNA(VLOOKUP($A447&amp;$E447&amp;$I447,PMsheet!$J:$K,2,0),0),(_xlfn.IFNA(VLOOKUP($A447&amp;$E447&amp;$I447,PMsheet!$J:$K,2,0),0)*'Master Data-C19RM'!$C$2))</f>
        <v>0</v>
      </c>
      <c r="Q447" s="440"/>
      <c r="R447" s="440"/>
      <c r="S447" s="440"/>
      <c r="T447" s="440"/>
      <c r="U447" s="482">
        <f t="shared" si="61"/>
        <v>0</v>
      </c>
      <c r="V447" s="484">
        <f>IF(SETUP!$E$7="USD",(U447*(IF(O447="USD",P447,(P447/'Master Data-C19RM'!$C$2)))),(U447*(IF(O447="EUR",P447,(P447*'Master Data-C19RM'!$C$2)))))</f>
        <v>0</v>
      </c>
      <c r="W447" s="445">
        <f>IF($O447="USD",_xlfn.IFNA(VLOOKUP($A447&amp;$E447&amp;$I447,PMsheet!$J:$K,2,0),0),(_xlfn.IFNA(VLOOKUP($A447&amp;$E447&amp;$I447,PMsheet!$J:$K,2,0),0)*'Master Data-C19RM'!$D$2))</f>
        <v>0</v>
      </c>
      <c r="X447" s="440"/>
      <c r="Y447" s="440"/>
      <c r="Z447" s="440"/>
      <c r="AA447" s="440"/>
      <c r="AB447" s="482">
        <f t="shared" si="62"/>
        <v>0</v>
      </c>
      <c r="AC447" s="484">
        <f>IF(SETUP!$E$7="USD",(AB447*(IF(O447="USD",W447,(W447/'Master Data-C19RM'!$D$2)))),(AB447*(IF(O447="EUR",W447,(W447*'Master Data-C19RM'!$D$2)))))</f>
        <v>0</v>
      </c>
      <c r="AD447" s="445">
        <f>IF($O447="USD",_xlfn.IFNA(VLOOKUP($A447&amp;$E447&amp;$I447,PMsheet!$J:$K,2,0),0),(_xlfn.IFNA(VLOOKUP($A447&amp;$E447&amp;$I447,PMsheet!$J:$K,2,0),0)*'Master Data-C19RM'!$E$2))</f>
        <v>0</v>
      </c>
      <c r="AE447" s="440"/>
      <c r="AF447" s="440"/>
      <c r="AG447" s="440"/>
      <c r="AH447" s="440"/>
      <c r="AI447" s="514">
        <f t="shared" si="63"/>
        <v>0</v>
      </c>
      <c r="AJ447" s="515">
        <f>IF(SETUP!$E$7="USD",(AI447*(IF(O447="USD",AD447,(AD447/'Master Data-C19RM'!$E$2)))),(AI447*(IF(O447="EUR",AD447,(AD447*'Master Data-C19RM'!$E$2)))))</f>
        <v>0</v>
      </c>
      <c r="AK447" s="445">
        <f>IF($O447="USD",_xlfn.IFNA(VLOOKUP($A447&amp;$E447&amp;$I447,PMsheet!$J:$K,2,0),0),(_xlfn.IFNA(VLOOKUP($A447&amp;$E447&amp;$I447,PMsheet!$J:$K,2,0),0)*'Master Data-C19RM'!$F$2))</f>
        <v>0</v>
      </c>
      <c r="AL447" s="440"/>
      <c r="AM447" s="440"/>
      <c r="AN447" s="440"/>
      <c r="AO447" s="440"/>
      <c r="AP447" s="514">
        <f t="shared" si="64"/>
        <v>0</v>
      </c>
      <c r="AQ447" s="515">
        <f>IF(SETUP!$E$7="USD",(AP447*(IF(O447="USD",AK447,(AK447/'Master Data-C19RM'!$F$2)))),(AP447*(IF(O447="EUR",AK447,(AK447*'Master Data-C19RM'!$F$2)))))</f>
        <v>0</v>
      </c>
      <c r="AR447" s="925">
        <f>IF($O447="USD",_xlfn.IFNA(VLOOKUP($A447&amp;$E447&amp;$I447,PMsheet!$J:$K,2,0),0),(_xlfn.IFNA(VLOOKUP($A447&amp;$E447&amp;$I447,PMsheet!$J:$K,2,0),0)*'Master Data-C19RM'!$G$2))</f>
        <v>0</v>
      </c>
      <c r="AS447" s="926"/>
      <c r="AT447" s="926"/>
      <c r="AU447" s="926"/>
      <c r="AV447" s="926"/>
      <c r="AW447" s="514">
        <f t="shared" si="65"/>
        <v>0</v>
      </c>
      <c r="AX447" s="514">
        <f>IF(SETUP!$E$7="USD",(AW447*(IF(O447="USD",AR447,(AR447/'Master Data-C19RM'!$G$2)))),(AW447*(IF(O447="EUR",AR447,(AR447*'Master Data-C19RM'!$G$2)))))</f>
        <v>0</v>
      </c>
      <c r="AY447" s="845"/>
      <c r="AZ447" s="846"/>
      <c r="BA447" s="846"/>
      <c r="BB447" s="846"/>
      <c r="BC447" s="846"/>
      <c r="BD447" s="846"/>
      <c r="BE447" s="847"/>
      <c r="BF447" s="521">
        <f>'C19RM 2021-Lab &amp; Other HPS'!$U447+'C19RM 2021-Lab &amp; Other HPS'!$AB447+'C19RM 2021-Lab &amp; Other HPS'!$AP447+'C19RM 2021-Lab &amp; Other HPS'!$AI447+AW447+BD447</f>
        <v>0</v>
      </c>
      <c r="BG447" s="515">
        <f>'C19RM 2021-Lab &amp; Other HPS'!$V447+'C19RM 2021-Lab &amp; Other HPS'!$AC447+'C19RM 2021-Lab &amp; Other HPS'!$AQ447+'C19RM 2021-Lab &amp; Other HPS'!$AJ447+AX447+BE447</f>
        <v>0</v>
      </c>
      <c r="BH447" s="522" t="str" cm="1">
        <f t="array" ref="BH447">IF(A447&lt;&gt;"",IFERROR(INDEX(PMtbl[[WKst]:[Unit of measure*]],MATCH($A$437&amp;$A447&amp;$E447&amp;$I447,INDEX(PMtbl[Sec]&amp;PMtbl[Category]&amp;PMtbl[Each]&amp;PMtbl[Packaging],0,),0),11),""),"")</f>
        <v/>
      </c>
      <c r="BI447" s="818"/>
      <c r="BJ447" s="503" t="str" cm="1">
        <f t="array" ref="BJ447">IFERROR(INDEX(SETUP!$C$19:$G$121,MATCH((INDEX(PMtbl[[WKst]:[Unit of measure*]],MATCH($A447&amp;$E447&amp;$I447,INDEX(PMtbl[Category]&amp;PMtbl[Each]&amp;PMtbl[Packaging],0,),0),3)),SETUP!$D$19:$D$121,0),5),"")</f>
        <v/>
      </c>
      <c r="BK447" s="537" t="str" cm="1">
        <f t="array" ref="BK447">IFERROR(IF((INDEX(SETUP!$C$19:$G$121,MATCH((INDEX(PMtbl[[WKst]:[Unit of measure*]],MATCH($A447&amp;$E447&amp;$I447,INDEX(PMtbl[Category]&amp;PMtbl[Each]&amp;PMtbl[Packaging],0,),0),3)),SETUP!$D$19:$D$121,0),4))="Upfront",0,INDEX(SETUP!$C$19:$G$121,MATCH((INDEX(PMtbl[[WKst]:[Unit of measure*]],MATCH($A447&amp;$E447&amp;$I447,INDEX(PMtbl[Category]&amp;PMtbl[Each]&amp;PMtbl[Packaging],0,),0),3)),SETUP!$D$19:$D$121,0),5)),"")</f>
        <v/>
      </c>
      <c r="BL447" s="578" t="str" cm="1">
        <f t="array" ref="BL447">IF(E447&lt;&gt;"",IFERROR(INDEX(PMtbl[[WKst]:[Unit of measure*]],MATCH($A$437&amp;$A447&amp;$E447&amp;$I447,INDEX(PMtbl[Sec]&amp;PMtbl[Category]&amp;PMtbl[Each]&amp;PMtbl[Packaging],0,),0),11),""),"")</f>
        <v/>
      </c>
      <c r="BO447" s="12">
        <f>IF(N447="",0,IF(SETUP!$E$7="USD",((IF(O447="USD",P447,(P447/'Master Data-C19RM'!$C$2)))),((IF(O447="EUR",P447,(P447*'Master Data-C19RM'!$C$2))))))</f>
        <v>0</v>
      </c>
      <c r="BP447" s="12">
        <f>IF(N447="",0,IF(SETUP!$E$7="USD",((IF(O447="USD",W447,(W447/'Master Data-C19RM'!$D$2)))),((IF(O447="EUR",W447,(W447*'Master Data-C19RM'!$D$2))))))</f>
        <v>0</v>
      </c>
      <c r="BQ447">
        <f>IF(N447="",0,IF(SETUP!$E$7="USD",((IF(O447="USD",AD447,(AD447/'Master Data-C19RM'!$E$2)))),((IF(O447="EUR",AD447,(AD447*'Master Data-C19RM'!$E$2))))))</f>
        <v>0</v>
      </c>
      <c r="BR447">
        <f>IF(N447="",0,IF(SETUP!$E$7="USD",((IF(O447="USD",AK447,(AK447/'Master Data-C19RM'!$F$2)))),((IF(O447="EUR",AK447,(AK447*'Master Data-C19RM'!$F$2))))))</f>
        <v>0</v>
      </c>
      <c r="BS447">
        <f>IF(N447="",0,IF(SETUP!$E$7="USD",((IF(O447="USD",AR447,(AR447/'Master Data-C19RM'!$G$2)))),((IF(O447="EUR",AR447,(AR447*'Master Data-C19RM'!$G$2))))))</f>
        <v>0</v>
      </c>
      <c r="BT447">
        <f>IF(N447="",0,IF(SETUP!$E$7="USD",((IF(O447="USD",AY447,(AY447/'Master Data-C19RM'!$H$2)))),((IF(O447="EUR",AY447,(AY447*'Master Data-C19RM'!$H$2))))))</f>
        <v>0</v>
      </c>
      <c r="BU447" s="12">
        <f t="shared" si="59"/>
        <v>0</v>
      </c>
      <c r="BV447" s="142">
        <f t="shared" si="60"/>
        <v>0</v>
      </c>
    </row>
    <row r="448" spans="1:94" x14ac:dyDescent="0.35">
      <c r="A448" s="1165"/>
      <c r="B448" s="1165"/>
      <c r="C448" s="1165"/>
      <c r="D448" s="1165"/>
      <c r="E448" s="1166"/>
      <c r="F448" s="1166"/>
      <c r="G448" s="1166"/>
      <c r="H448" s="1166"/>
      <c r="I448" s="1166"/>
      <c r="J448" s="1166"/>
      <c r="K448" s="1166"/>
      <c r="L448" s="490" t="str" cm="1">
        <f t="array" ref="L448">IF(A448&lt;&gt;"",IFERROR(INDEX(PMtbl[[WKst]:[Unit of measure*]],MATCH($A$437&amp;$A448&amp;$E448&amp;$I448,INDEX(PMtbl[Sec]&amp;PMtbl[Category]&amp;PMtbl[Each]&amp;PMtbl[Packaging],0,),0),14),""),"")</f>
        <v/>
      </c>
      <c r="M448" s="479" t="str">
        <f>IF(L448="","",INDEX(SETUP!$E$20:$E$122,(MATCH(INDEX(PMsheet!$D:$E,MATCH(A448,PMsheet!E:E,0),1),SETUP!$D$20:$D$122,0))))</f>
        <v/>
      </c>
      <c r="N448" s="491">
        <f>IF($O448="USD",_xlfn.IFNA(VLOOKUP(A448&amp;E448&amp;I448,PMsheet!J:K,2,0),0),(_xlfn.IFNA(VLOOKUP(A448&amp;E448&amp;I448,PMsheet!J:K,2,0),0)*'Master Data-C19RM'!$C$2))</f>
        <v>0</v>
      </c>
      <c r="O448" s="492" t="str">
        <f>IF(L448="", "",SETUP!$E$7)</f>
        <v/>
      </c>
      <c r="P448" s="444">
        <f>IF($O448="USD",_xlfn.IFNA(VLOOKUP($A448&amp;$E448&amp;$I448,PMsheet!$J:$K,2,0),0),(_xlfn.IFNA(VLOOKUP($A448&amp;$E448&amp;$I448,PMsheet!$J:$K,2,0),0)*'Master Data-C19RM'!$C$2))</f>
        <v>0</v>
      </c>
      <c r="Q448" s="441"/>
      <c r="R448" s="441"/>
      <c r="S448" s="441"/>
      <c r="T448" s="441"/>
      <c r="U448" s="481">
        <f t="shared" si="61"/>
        <v>0</v>
      </c>
      <c r="V448" s="483">
        <f>IF(SETUP!$E$7="USD",(U448*(IF(O448="USD",P448,(P448/'Master Data-C19RM'!$C$2)))),(U448*(IF(O448="EUR",P448,(P448*'Master Data-C19RM'!$C$2)))))</f>
        <v>0</v>
      </c>
      <c r="W448" s="444">
        <f>IF($O448="USD",_xlfn.IFNA(VLOOKUP($A448&amp;$E448&amp;$I448,PMsheet!$J:$K,2,0),0),(_xlfn.IFNA(VLOOKUP($A448&amp;$E448&amp;$I448,PMsheet!$J:$K,2,0),0)*'Master Data-C19RM'!$D$2))</f>
        <v>0</v>
      </c>
      <c r="X448" s="441"/>
      <c r="Y448" s="441"/>
      <c r="Z448" s="441"/>
      <c r="AA448" s="441"/>
      <c r="AB448" s="481">
        <f t="shared" si="62"/>
        <v>0</v>
      </c>
      <c r="AC448" s="483">
        <f>IF(SETUP!$E$7="USD",(AB448*(IF(O448="USD",W448,(W448/'Master Data-C19RM'!$D$2)))),(AB448*(IF(O448="EUR",W448,(W448*'Master Data-C19RM'!$D$2)))))</f>
        <v>0</v>
      </c>
      <c r="AD448" s="444">
        <f>IF($O448="USD",_xlfn.IFNA(VLOOKUP($A448&amp;$E448&amp;$I448,PMsheet!$J:$K,2,0),0),(_xlfn.IFNA(VLOOKUP($A448&amp;$E448&amp;$I448,PMsheet!$J:$K,2,0),0)*'Master Data-C19RM'!$E$2))</f>
        <v>0</v>
      </c>
      <c r="AE448" s="441"/>
      <c r="AF448" s="441"/>
      <c r="AG448" s="441"/>
      <c r="AH448" s="441"/>
      <c r="AI448" s="512">
        <f t="shared" si="63"/>
        <v>0</v>
      </c>
      <c r="AJ448" s="513">
        <f>IF(SETUP!$E$7="USD",(AI448*(IF(O448="USD",AD448,(AD448/'Master Data-C19RM'!$E$2)))),(AI448*(IF(O448="EUR",AD448,(AD448*'Master Data-C19RM'!$E$2)))))</f>
        <v>0</v>
      </c>
      <c r="AK448" s="444">
        <f>IF($O448="USD",_xlfn.IFNA(VLOOKUP($A448&amp;$E448&amp;$I448,PMsheet!$J:$K,2,0),0),(_xlfn.IFNA(VLOOKUP($A448&amp;$E448&amp;$I448,PMsheet!$J:$K,2,0),0)*'Master Data-C19RM'!$F$2))</f>
        <v>0</v>
      </c>
      <c r="AL448" s="441"/>
      <c r="AM448" s="441"/>
      <c r="AN448" s="441"/>
      <c r="AO448" s="441"/>
      <c r="AP448" s="512">
        <f t="shared" si="64"/>
        <v>0</v>
      </c>
      <c r="AQ448" s="513">
        <f>IF(SETUP!$E$7="USD",(AP448*(IF(O448="USD",AK448,(AK448/'Master Data-C19RM'!$F$2)))),(AP448*(IF(O448="EUR",AK448,(AK448*'Master Data-C19RM'!$F$2)))))</f>
        <v>0</v>
      </c>
      <c r="AR448" s="924">
        <f>IF($O448="USD",_xlfn.IFNA(VLOOKUP($A448&amp;$E448&amp;$I448,PMsheet!$J:$K,2,0),0),(_xlfn.IFNA(VLOOKUP($A448&amp;$E448&amp;$I448,PMsheet!$J:$K,2,0),0)*'Master Data-C19RM'!$G$2))</f>
        <v>0</v>
      </c>
      <c r="AS448" s="572"/>
      <c r="AT448" s="572"/>
      <c r="AU448" s="572"/>
      <c r="AV448" s="572"/>
      <c r="AW448" s="512">
        <f t="shared" si="65"/>
        <v>0</v>
      </c>
      <c r="AX448" s="512">
        <f>IF(SETUP!$E$7="USD",(AW448*(IF(O448="USD",AR448,(AR448/'Master Data-C19RM'!$G$2)))),(AW448*(IF(O448="EUR",AR448,(AR448*'Master Data-C19RM'!$G$2)))))</f>
        <v>0</v>
      </c>
      <c r="AY448" s="845"/>
      <c r="AZ448" s="846"/>
      <c r="BA448" s="846"/>
      <c r="BB448" s="846"/>
      <c r="BC448" s="846"/>
      <c r="BD448" s="846"/>
      <c r="BE448" s="847"/>
      <c r="BF448" s="520">
        <f>'C19RM 2021-Lab &amp; Other HPS'!$U448+'C19RM 2021-Lab &amp; Other HPS'!$AB448+'C19RM 2021-Lab &amp; Other HPS'!$AP448+'C19RM 2021-Lab &amp; Other HPS'!$AI448+AW448+BD448</f>
        <v>0</v>
      </c>
      <c r="BG448" s="513">
        <f>'C19RM 2021-Lab &amp; Other HPS'!$V448+'C19RM 2021-Lab &amp; Other HPS'!$AC448+'C19RM 2021-Lab &amp; Other HPS'!$AQ448+'C19RM 2021-Lab &amp; Other HPS'!$AJ448+AX448+BE448</f>
        <v>0</v>
      </c>
      <c r="BH448" s="500" t="str" cm="1">
        <f t="array" ref="BH448">IF(A448&lt;&gt;"",IFERROR(INDEX(PMtbl[[WKst]:[Unit of measure*]],MATCH($A$437&amp;$A448&amp;$E448&amp;$I448,INDEX(PMtbl[Sec]&amp;PMtbl[Category]&amp;PMtbl[Each]&amp;PMtbl[Packaging],0,),0),11),""),"")</f>
        <v/>
      </c>
      <c r="BI448" s="819"/>
      <c r="BJ448" s="502" t="str" cm="1">
        <f t="array" ref="BJ448">IFERROR(INDEX(SETUP!$C$19:$G$121,MATCH((INDEX(PMtbl[[WKst]:[Unit of measure*]],MATCH($A448&amp;$E448&amp;$I448,INDEX(PMtbl[Category]&amp;PMtbl[Each]&amp;PMtbl[Packaging],0,),0),3)),SETUP!$D$19:$D$121,0),5),"")</f>
        <v/>
      </c>
      <c r="BK448" s="536" t="str" cm="1">
        <f t="array" ref="BK448">IFERROR(IF((INDEX(SETUP!$C$19:$G$121,MATCH((INDEX(PMtbl[[WKst]:[Unit of measure*]],MATCH($A448&amp;$E448&amp;$I448,INDEX(PMtbl[Category]&amp;PMtbl[Each]&amp;PMtbl[Packaging],0,),0),3)),SETUP!$D$19:$D$121,0),4))="Upfront",0,INDEX(SETUP!$C$19:$G$121,MATCH((INDEX(PMtbl[[WKst]:[Unit of measure*]],MATCH($A448&amp;$E448&amp;$I448,INDEX(PMtbl[Category]&amp;PMtbl[Each]&amp;PMtbl[Packaging],0,),0),3)),SETUP!$D$19:$D$121,0),5)),"")</f>
        <v/>
      </c>
      <c r="BL448" s="577" t="str" cm="1">
        <f t="array" ref="BL448">IF(E448&lt;&gt;"",IFERROR(INDEX(PMtbl[[WKst]:[Unit of measure*]],MATCH($A$437&amp;$A448&amp;$E448&amp;$I448,INDEX(PMtbl[Sec]&amp;PMtbl[Category]&amp;PMtbl[Each]&amp;PMtbl[Packaging],0,),0),11),""),"")</f>
        <v/>
      </c>
      <c r="BO448" s="12">
        <f>IF(N448="",0,IF(SETUP!$E$7="USD",((IF(O448="USD",P448,(P448/'Master Data-C19RM'!$C$2)))),((IF(O448="EUR",P448,(P448*'Master Data-C19RM'!$C$2))))))</f>
        <v>0</v>
      </c>
      <c r="BP448" s="12">
        <f>IF(N448="",0,IF(SETUP!$E$7="USD",((IF(O448="USD",W448,(W448/'Master Data-C19RM'!$D$2)))),((IF(O448="EUR",W448,(W448*'Master Data-C19RM'!$D$2))))))</f>
        <v>0</v>
      </c>
      <c r="BQ448">
        <f>IF(N448="",0,IF(SETUP!$E$7="USD",((IF(O448="USD",AD448,(AD448/'Master Data-C19RM'!$E$2)))),((IF(O448="EUR",AD448,(AD448*'Master Data-C19RM'!$E$2))))))</f>
        <v>0</v>
      </c>
      <c r="BR448">
        <f>IF(N448="",0,IF(SETUP!$E$7="USD",((IF(O448="USD",AK448,(AK448/'Master Data-C19RM'!$F$2)))),((IF(O448="EUR",AK448,(AK448*'Master Data-C19RM'!$F$2))))))</f>
        <v>0</v>
      </c>
      <c r="BS448">
        <f>IF(N448="",0,IF(SETUP!$E$7="USD",((IF(O448="USD",AR448,(AR448/'Master Data-C19RM'!$G$2)))),((IF(O448="EUR",AR448,(AR448*'Master Data-C19RM'!$G$2))))))</f>
        <v>0</v>
      </c>
      <c r="BT448">
        <f>IF(N448="",0,IF(SETUP!$E$7="USD",((IF(O448="USD",AY448,(AY448/'Master Data-C19RM'!$H$2)))),((IF(O448="EUR",AY448,(AY448*'Master Data-C19RM'!$H$2))))))</f>
        <v>0</v>
      </c>
      <c r="BU448" s="12">
        <f t="shared" si="59"/>
        <v>0</v>
      </c>
      <c r="BV448" s="142">
        <f t="shared" si="60"/>
        <v>0</v>
      </c>
    </row>
    <row r="449" spans="1:74" x14ac:dyDescent="0.35">
      <c r="A449" s="1192"/>
      <c r="B449" s="1192"/>
      <c r="C449" s="1192"/>
      <c r="D449" s="1192"/>
      <c r="E449" s="1173"/>
      <c r="F449" s="1173"/>
      <c r="G449" s="1173"/>
      <c r="H449" s="1173"/>
      <c r="I449" s="1173"/>
      <c r="J449" s="1173"/>
      <c r="K449" s="1173"/>
      <c r="L449" s="493" t="str" cm="1">
        <f t="array" ref="L449">IF(A449&lt;&gt;"",IFERROR(INDEX(PMtbl[[WKst]:[Unit of measure*]],MATCH($A$437&amp;$A449&amp;$E449&amp;$I449,INDEX(PMtbl[Sec]&amp;PMtbl[Category]&amp;PMtbl[Each]&amp;PMtbl[Packaging],0,),0),14),""),"")</f>
        <v/>
      </c>
      <c r="M449" s="480" t="str">
        <f>IF(L449="","",INDEX(SETUP!$E$20:$E$122,(MATCH(INDEX(PMsheet!$D:$E,MATCH(A449,PMsheet!E:E,0),1),SETUP!$D$20:$D$122,0))))</f>
        <v/>
      </c>
      <c r="N449" s="494">
        <f>IF($O449="USD",_xlfn.IFNA(VLOOKUP(A449&amp;E449&amp;I449,PMsheet!J:K,2,0),0),(_xlfn.IFNA(VLOOKUP(A449&amp;E449&amp;I449,PMsheet!J:K,2,0),0)*'Master Data-C19RM'!$C$2))</f>
        <v>0</v>
      </c>
      <c r="O449" s="495" t="str">
        <f>IF(L449="", "",SETUP!$E$7)</f>
        <v/>
      </c>
      <c r="P449" s="445">
        <f>IF($O449="USD",_xlfn.IFNA(VLOOKUP($A449&amp;$E449&amp;$I449,PMsheet!$J:$K,2,0),0),(_xlfn.IFNA(VLOOKUP($A449&amp;$E449&amp;$I449,PMsheet!$J:$K,2,0),0)*'Master Data-C19RM'!$C$2))</f>
        <v>0</v>
      </c>
      <c r="Q449" s="440"/>
      <c r="R449" s="440"/>
      <c r="S449" s="440"/>
      <c r="T449" s="440"/>
      <c r="U449" s="482">
        <f t="shared" si="61"/>
        <v>0</v>
      </c>
      <c r="V449" s="484">
        <f>IF(SETUP!$E$7="USD",(U449*(IF(O449="USD",P449,(P449/'Master Data-C19RM'!$C$2)))),(U449*(IF(O449="EUR",P449,(P449*'Master Data-C19RM'!$C$2)))))</f>
        <v>0</v>
      </c>
      <c r="W449" s="445">
        <f>IF($O449="USD",_xlfn.IFNA(VLOOKUP($A449&amp;$E449&amp;$I449,PMsheet!$J:$K,2,0),0),(_xlfn.IFNA(VLOOKUP($A449&amp;$E449&amp;$I449,PMsheet!$J:$K,2,0),0)*'Master Data-C19RM'!$D$2))</f>
        <v>0</v>
      </c>
      <c r="X449" s="440"/>
      <c r="Y449" s="440"/>
      <c r="Z449" s="440"/>
      <c r="AA449" s="440"/>
      <c r="AB449" s="482">
        <f t="shared" si="62"/>
        <v>0</v>
      </c>
      <c r="AC449" s="484">
        <f>IF(SETUP!$E$7="USD",(AB449*(IF(O449="USD",W449,(W449/'Master Data-C19RM'!$D$2)))),(AB449*(IF(O449="EUR",W449,(W449*'Master Data-C19RM'!$D$2)))))</f>
        <v>0</v>
      </c>
      <c r="AD449" s="445">
        <f>IF($O449="USD",_xlfn.IFNA(VLOOKUP($A449&amp;$E449&amp;$I449,PMsheet!$J:$K,2,0),0),(_xlfn.IFNA(VLOOKUP($A449&amp;$E449&amp;$I449,PMsheet!$J:$K,2,0),0)*'Master Data-C19RM'!$E$2))</f>
        <v>0</v>
      </c>
      <c r="AE449" s="440"/>
      <c r="AF449" s="440"/>
      <c r="AG449" s="440"/>
      <c r="AH449" s="440"/>
      <c r="AI449" s="514">
        <f t="shared" si="63"/>
        <v>0</v>
      </c>
      <c r="AJ449" s="515">
        <f>IF(SETUP!$E$7="USD",(AI449*(IF(O449="USD",AD449,(AD449/'Master Data-C19RM'!$E$2)))),(AI449*(IF(O449="EUR",AD449,(AD449*'Master Data-C19RM'!$E$2)))))</f>
        <v>0</v>
      </c>
      <c r="AK449" s="445">
        <f>IF($O449="USD",_xlfn.IFNA(VLOOKUP($A449&amp;$E449&amp;$I449,PMsheet!$J:$K,2,0),0),(_xlfn.IFNA(VLOOKUP($A449&amp;$E449&amp;$I449,PMsheet!$J:$K,2,0),0)*'Master Data-C19RM'!$F$2))</f>
        <v>0</v>
      </c>
      <c r="AL449" s="440"/>
      <c r="AM449" s="440"/>
      <c r="AN449" s="440"/>
      <c r="AO449" s="440"/>
      <c r="AP449" s="514">
        <f t="shared" si="64"/>
        <v>0</v>
      </c>
      <c r="AQ449" s="515">
        <f>IF(SETUP!$E$7="USD",(AP449*(IF(O449="USD",AK449,(AK449/'Master Data-C19RM'!$F$2)))),(AP449*(IF(O449="EUR",AK449,(AK449*'Master Data-C19RM'!$F$2)))))</f>
        <v>0</v>
      </c>
      <c r="AR449" s="925">
        <f>IF($O449="USD",_xlfn.IFNA(VLOOKUP($A449&amp;$E449&amp;$I449,PMsheet!$J:$K,2,0),0),(_xlfn.IFNA(VLOOKUP($A449&amp;$E449&amp;$I449,PMsheet!$J:$K,2,0),0)*'Master Data-C19RM'!$G$2))</f>
        <v>0</v>
      </c>
      <c r="AS449" s="926"/>
      <c r="AT449" s="926"/>
      <c r="AU449" s="926"/>
      <c r="AV449" s="926"/>
      <c r="AW449" s="514">
        <f t="shared" si="65"/>
        <v>0</v>
      </c>
      <c r="AX449" s="514">
        <f>IF(SETUP!$E$7="USD",(AW449*(IF(O449="USD",AR449,(AR449/'Master Data-C19RM'!$G$2)))),(AW449*(IF(O449="EUR",AR449,(AR449*'Master Data-C19RM'!$G$2)))))</f>
        <v>0</v>
      </c>
      <c r="AY449" s="845"/>
      <c r="AZ449" s="846"/>
      <c r="BA449" s="846"/>
      <c r="BB449" s="846"/>
      <c r="BC449" s="846"/>
      <c r="BD449" s="846"/>
      <c r="BE449" s="847"/>
      <c r="BF449" s="521">
        <f>'C19RM 2021-Lab &amp; Other HPS'!$U449+'C19RM 2021-Lab &amp; Other HPS'!$AB449+'C19RM 2021-Lab &amp; Other HPS'!$AP449+'C19RM 2021-Lab &amp; Other HPS'!$AI449+AW449+BD449</f>
        <v>0</v>
      </c>
      <c r="BG449" s="515">
        <f>'C19RM 2021-Lab &amp; Other HPS'!$V449+'C19RM 2021-Lab &amp; Other HPS'!$AC449+'C19RM 2021-Lab &amp; Other HPS'!$AQ449+'C19RM 2021-Lab &amp; Other HPS'!$AJ449+AX449+BE449</f>
        <v>0</v>
      </c>
      <c r="BH449" s="522" t="str" cm="1">
        <f t="array" ref="BH449">IF(A449&lt;&gt;"",IFERROR(INDEX(PMtbl[[WKst]:[Unit of measure*]],MATCH($A$437&amp;$A449&amp;$E449&amp;$I449,INDEX(PMtbl[Sec]&amp;PMtbl[Category]&amp;PMtbl[Each]&amp;PMtbl[Packaging],0,),0),11),""),"")</f>
        <v/>
      </c>
      <c r="BI449" s="818"/>
      <c r="BJ449" s="503" t="str" cm="1">
        <f t="array" ref="BJ449">IFERROR(INDEX(SETUP!$C$19:$G$121,MATCH((INDEX(PMtbl[[WKst]:[Unit of measure*]],MATCH($A449&amp;$E449&amp;$I449,INDEX(PMtbl[Category]&amp;PMtbl[Each]&amp;PMtbl[Packaging],0,),0),3)),SETUP!$D$19:$D$121,0),5),"")</f>
        <v/>
      </c>
      <c r="BK449" s="537" t="str" cm="1">
        <f t="array" ref="BK449">IFERROR(IF((INDEX(SETUP!$C$19:$G$121,MATCH((INDEX(PMtbl[[WKst]:[Unit of measure*]],MATCH($A449&amp;$E449&amp;$I449,INDEX(PMtbl[Category]&amp;PMtbl[Each]&amp;PMtbl[Packaging],0,),0),3)),SETUP!$D$19:$D$121,0),4))="Upfront",0,INDEX(SETUP!$C$19:$G$121,MATCH((INDEX(PMtbl[[WKst]:[Unit of measure*]],MATCH($A449&amp;$E449&amp;$I449,INDEX(PMtbl[Category]&amp;PMtbl[Each]&amp;PMtbl[Packaging],0,),0),3)),SETUP!$D$19:$D$121,0),5)),"")</f>
        <v/>
      </c>
      <c r="BL449" s="578" t="str" cm="1">
        <f t="array" ref="BL449">IF(E449&lt;&gt;"",IFERROR(INDEX(PMtbl[[WKst]:[Unit of measure*]],MATCH($A$437&amp;$A449&amp;$E449&amp;$I449,INDEX(PMtbl[Sec]&amp;PMtbl[Category]&amp;PMtbl[Each]&amp;PMtbl[Packaging],0,),0),11),""),"")</f>
        <v/>
      </c>
      <c r="BO449" s="12">
        <f>IF(N449="",0,IF(SETUP!$E$7="USD",((IF(O449="USD",P449,(P449/'Master Data-C19RM'!$C$2)))),((IF(O449="EUR",P449,(P449*'Master Data-C19RM'!$C$2))))))</f>
        <v>0</v>
      </c>
      <c r="BP449" s="12">
        <f>IF(N449="",0,IF(SETUP!$E$7="USD",((IF(O449="USD",W449,(W449/'Master Data-C19RM'!$D$2)))),((IF(O449="EUR",W449,(W449*'Master Data-C19RM'!$D$2))))))</f>
        <v>0</v>
      </c>
      <c r="BQ449">
        <f>IF(N449="",0,IF(SETUP!$E$7="USD",((IF(O449="USD",AD449,(AD449/'Master Data-C19RM'!$E$2)))),((IF(O449="EUR",AD449,(AD449*'Master Data-C19RM'!$E$2))))))</f>
        <v>0</v>
      </c>
      <c r="BR449">
        <f>IF(N449="",0,IF(SETUP!$E$7="USD",((IF(O449="USD",AK449,(AK449/'Master Data-C19RM'!$F$2)))),((IF(O449="EUR",AK449,(AK449*'Master Data-C19RM'!$F$2))))))</f>
        <v>0</v>
      </c>
      <c r="BS449">
        <f>IF(N449="",0,IF(SETUP!$E$7="USD",((IF(O449="USD",AR449,(AR449/'Master Data-C19RM'!$G$2)))),((IF(O449="EUR",AR449,(AR449*'Master Data-C19RM'!$G$2))))))</f>
        <v>0</v>
      </c>
      <c r="BT449">
        <f>IF(N449="",0,IF(SETUP!$E$7="USD",((IF(O449="USD",AY449,(AY449/'Master Data-C19RM'!$H$2)))),((IF(O449="EUR",AY449,(AY449*'Master Data-C19RM'!$H$2))))))</f>
        <v>0</v>
      </c>
      <c r="BU449" s="12">
        <f t="shared" si="59"/>
        <v>0</v>
      </c>
      <c r="BV449" s="142">
        <f t="shared" si="60"/>
        <v>0</v>
      </c>
    </row>
    <row r="450" spans="1:74" x14ac:dyDescent="0.35">
      <c r="A450" s="1165"/>
      <c r="B450" s="1165"/>
      <c r="C450" s="1165"/>
      <c r="D450" s="1165"/>
      <c r="E450" s="1166"/>
      <c r="F450" s="1166"/>
      <c r="G450" s="1166"/>
      <c r="H450" s="1166"/>
      <c r="I450" s="1166"/>
      <c r="J450" s="1166"/>
      <c r="K450" s="1166"/>
      <c r="L450" s="490" t="str" cm="1">
        <f t="array" ref="L450">IF(A450&lt;&gt;"",IFERROR(INDEX(PMtbl[[WKst]:[Unit of measure*]],MATCH($A$437&amp;$A450&amp;$E450&amp;$I450,INDEX(PMtbl[Sec]&amp;PMtbl[Category]&amp;PMtbl[Each]&amp;PMtbl[Packaging],0,),0),14),""),"")</f>
        <v/>
      </c>
      <c r="M450" s="479" t="str">
        <f>IF(L450="","",INDEX(SETUP!$E$20:$E$122,(MATCH(INDEX(PMsheet!$D:$E,MATCH(A450,PMsheet!E:E,0),1),SETUP!$D$20:$D$122,0))))</f>
        <v/>
      </c>
      <c r="N450" s="491">
        <f>IF($O450="USD",_xlfn.IFNA(VLOOKUP(A450&amp;E450&amp;I450,PMsheet!J:K,2,0),0),(_xlfn.IFNA(VLOOKUP(A450&amp;E450&amp;I450,PMsheet!J:K,2,0),0)*'Master Data-C19RM'!$C$2))</f>
        <v>0</v>
      </c>
      <c r="O450" s="492" t="str">
        <f>IF(L450="", "",SETUP!$E$7)</f>
        <v/>
      </c>
      <c r="P450" s="444">
        <f>IF($O450="USD",_xlfn.IFNA(VLOOKUP($A450&amp;$E450&amp;$I450,PMsheet!$J:$K,2,0),0),(_xlfn.IFNA(VLOOKUP($A450&amp;$E450&amp;$I450,PMsheet!$J:$K,2,0),0)*'Master Data-C19RM'!$C$2))</f>
        <v>0</v>
      </c>
      <c r="Q450" s="441"/>
      <c r="R450" s="441"/>
      <c r="S450" s="441"/>
      <c r="T450" s="441"/>
      <c r="U450" s="481">
        <f t="shared" si="61"/>
        <v>0</v>
      </c>
      <c r="V450" s="483">
        <f>IF(SETUP!$E$7="USD",(U450*(IF(O450="USD",P450,(P450/'Master Data-C19RM'!$C$2)))),(U450*(IF(O450="EUR",P450,(P450*'Master Data-C19RM'!$C$2)))))</f>
        <v>0</v>
      </c>
      <c r="W450" s="444">
        <f>IF($O450="USD",_xlfn.IFNA(VLOOKUP($A450&amp;$E450&amp;$I450,PMsheet!$J:$K,2,0),0),(_xlfn.IFNA(VLOOKUP($A450&amp;$E450&amp;$I450,PMsheet!$J:$K,2,0),0)*'Master Data-C19RM'!$D$2))</f>
        <v>0</v>
      </c>
      <c r="X450" s="441"/>
      <c r="Y450" s="441"/>
      <c r="Z450" s="441"/>
      <c r="AA450" s="441"/>
      <c r="AB450" s="481">
        <f t="shared" si="62"/>
        <v>0</v>
      </c>
      <c r="AC450" s="483">
        <f>IF(SETUP!$E$7="USD",(AB450*(IF(O450="USD",W450,(W450/'Master Data-C19RM'!$D$2)))),(AB450*(IF(O450="EUR",W450,(W450*'Master Data-C19RM'!$D$2)))))</f>
        <v>0</v>
      </c>
      <c r="AD450" s="444">
        <f>IF($O450="USD",_xlfn.IFNA(VLOOKUP($A450&amp;$E450&amp;$I450,PMsheet!$J:$K,2,0),0),(_xlfn.IFNA(VLOOKUP($A450&amp;$E450&amp;$I450,PMsheet!$J:$K,2,0),0)*'Master Data-C19RM'!$E$2))</f>
        <v>0</v>
      </c>
      <c r="AE450" s="441"/>
      <c r="AF450" s="441"/>
      <c r="AG450" s="441"/>
      <c r="AH450" s="441"/>
      <c r="AI450" s="512">
        <f t="shared" si="63"/>
        <v>0</v>
      </c>
      <c r="AJ450" s="513">
        <f>IF(SETUP!$E$7="USD",(AI450*(IF(O450="USD",AD450,(AD450/'Master Data-C19RM'!$E$2)))),(AI450*(IF(O450="EUR",AD450,(AD450*'Master Data-C19RM'!$E$2)))))</f>
        <v>0</v>
      </c>
      <c r="AK450" s="444">
        <f>IF($O450="USD",_xlfn.IFNA(VLOOKUP($A450&amp;$E450&amp;$I450,PMsheet!$J:$K,2,0),0),(_xlfn.IFNA(VLOOKUP($A450&amp;$E450&amp;$I450,PMsheet!$J:$K,2,0),0)*'Master Data-C19RM'!$F$2))</f>
        <v>0</v>
      </c>
      <c r="AL450" s="441"/>
      <c r="AM450" s="441"/>
      <c r="AN450" s="441"/>
      <c r="AO450" s="441"/>
      <c r="AP450" s="512">
        <f t="shared" si="64"/>
        <v>0</v>
      </c>
      <c r="AQ450" s="513">
        <f>IF(SETUP!$E$7="USD",(AP450*(IF(O450="USD",AK450,(AK450/'Master Data-C19RM'!$F$2)))),(AP450*(IF(O450="EUR",AK450,(AK450*'Master Data-C19RM'!$F$2)))))</f>
        <v>0</v>
      </c>
      <c r="AR450" s="924">
        <f>IF($O450="USD",_xlfn.IFNA(VLOOKUP($A450&amp;$E450&amp;$I450,PMsheet!$J:$K,2,0),0),(_xlfn.IFNA(VLOOKUP($A450&amp;$E450&amp;$I450,PMsheet!$J:$K,2,0),0)*'Master Data-C19RM'!$G$2))</f>
        <v>0</v>
      </c>
      <c r="AS450" s="572"/>
      <c r="AT450" s="572"/>
      <c r="AU450" s="572"/>
      <c r="AV450" s="572"/>
      <c r="AW450" s="512">
        <f t="shared" si="65"/>
        <v>0</v>
      </c>
      <c r="AX450" s="512">
        <f>IF(SETUP!$E$7="USD",(AW450*(IF(O450="USD",AR450,(AR450/'Master Data-C19RM'!$G$2)))),(AW450*(IF(O450="EUR",AR450,(AR450*'Master Data-C19RM'!$G$2)))))</f>
        <v>0</v>
      </c>
      <c r="AY450" s="845"/>
      <c r="AZ450" s="846"/>
      <c r="BA450" s="846"/>
      <c r="BB450" s="846"/>
      <c r="BC450" s="846"/>
      <c r="BD450" s="846"/>
      <c r="BE450" s="847"/>
      <c r="BF450" s="520">
        <f>'C19RM 2021-Lab &amp; Other HPS'!$U450+'C19RM 2021-Lab &amp; Other HPS'!$AB450+'C19RM 2021-Lab &amp; Other HPS'!$AP450+'C19RM 2021-Lab &amp; Other HPS'!$AI450+AW450+BD450</f>
        <v>0</v>
      </c>
      <c r="BG450" s="513">
        <f>'C19RM 2021-Lab &amp; Other HPS'!$V450+'C19RM 2021-Lab &amp; Other HPS'!$AC450+'C19RM 2021-Lab &amp; Other HPS'!$AQ450+'C19RM 2021-Lab &amp; Other HPS'!$AJ450+AX450+BE450</f>
        <v>0</v>
      </c>
      <c r="BH450" s="500" t="str" cm="1">
        <f t="array" ref="BH450">IF(A450&lt;&gt;"",IFERROR(INDEX(PMtbl[[WKst]:[Unit of measure*]],MATCH($A$437&amp;$A450&amp;$E450&amp;$I450,INDEX(PMtbl[Sec]&amp;PMtbl[Category]&amp;PMtbl[Each]&amp;PMtbl[Packaging],0,),0),11),""),"")</f>
        <v/>
      </c>
      <c r="BI450" s="819"/>
      <c r="BJ450" s="502" t="str" cm="1">
        <f t="array" ref="BJ450">IFERROR(INDEX(SETUP!$C$19:$G$121,MATCH((INDEX(PMtbl[[WKst]:[Unit of measure*]],MATCH($A450&amp;$E450&amp;$I450,INDEX(PMtbl[Category]&amp;PMtbl[Each]&amp;PMtbl[Packaging],0,),0),3)),SETUP!$D$19:$D$121,0),5),"")</f>
        <v/>
      </c>
      <c r="BK450" s="536" t="str" cm="1">
        <f t="array" ref="BK450">IFERROR(IF((INDEX(SETUP!$C$19:$G$121,MATCH((INDEX(PMtbl[[WKst]:[Unit of measure*]],MATCH($A450&amp;$E450&amp;$I450,INDEX(PMtbl[Category]&amp;PMtbl[Each]&amp;PMtbl[Packaging],0,),0),3)),SETUP!$D$19:$D$121,0),4))="Upfront",0,INDEX(SETUP!$C$19:$G$121,MATCH((INDEX(PMtbl[[WKst]:[Unit of measure*]],MATCH($A450&amp;$E450&amp;$I450,INDEX(PMtbl[Category]&amp;PMtbl[Each]&amp;PMtbl[Packaging],0,),0),3)),SETUP!$D$19:$D$121,0),5)),"")</f>
        <v/>
      </c>
      <c r="BL450" s="577" t="str" cm="1">
        <f t="array" ref="BL450">IF(E450&lt;&gt;"",IFERROR(INDEX(PMtbl[[WKst]:[Unit of measure*]],MATCH($A$437&amp;$A450&amp;$E450&amp;$I450,INDEX(PMtbl[Sec]&amp;PMtbl[Category]&amp;PMtbl[Each]&amp;PMtbl[Packaging],0,),0),11),""),"")</f>
        <v/>
      </c>
      <c r="BO450" s="12">
        <f>IF(N450="",0,IF(SETUP!$E$7="USD",((IF(O450="USD",P450,(P450/'Master Data-C19RM'!$C$2)))),((IF(O450="EUR",P450,(P450*'Master Data-C19RM'!$C$2))))))</f>
        <v>0</v>
      </c>
      <c r="BP450" s="12">
        <f>IF(N450="",0,IF(SETUP!$E$7="USD",((IF(O450="USD",W450,(W450/'Master Data-C19RM'!$D$2)))),((IF(O450="EUR",W450,(W450*'Master Data-C19RM'!$D$2))))))</f>
        <v>0</v>
      </c>
      <c r="BQ450">
        <f>IF(N450="",0,IF(SETUP!$E$7="USD",((IF(O450="USD",AD450,(AD450/'Master Data-C19RM'!$E$2)))),((IF(O450="EUR",AD450,(AD450*'Master Data-C19RM'!$E$2))))))</f>
        <v>0</v>
      </c>
      <c r="BR450">
        <f>IF(N450="",0,IF(SETUP!$E$7="USD",((IF(O450="USD",AK450,(AK450/'Master Data-C19RM'!$F$2)))),((IF(O450="EUR",AK450,(AK450*'Master Data-C19RM'!$F$2))))))</f>
        <v>0</v>
      </c>
      <c r="BS450">
        <f>IF(N450="",0,IF(SETUP!$E$7="USD",((IF(O450="USD",AR450,(AR450/'Master Data-C19RM'!$G$2)))),((IF(O450="EUR",AR450,(AR450*'Master Data-C19RM'!$G$2))))))</f>
        <v>0</v>
      </c>
      <c r="BT450">
        <f>IF(N450="",0,IF(SETUP!$E$7="USD",((IF(O450="USD",AY450,(AY450/'Master Data-C19RM'!$H$2)))),((IF(O450="EUR",AY450,(AY450*'Master Data-C19RM'!$H$2))))))</f>
        <v>0</v>
      </c>
      <c r="BU450" s="12">
        <f t="shared" si="59"/>
        <v>0</v>
      </c>
      <c r="BV450" s="142">
        <f t="shared" si="60"/>
        <v>0</v>
      </c>
    </row>
    <row r="451" spans="1:74" x14ac:dyDescent="0.35">
      <c r="A451" s="1192"/>
      <c r="B451" s="1192"/>
      <c r="C451" s="1192"/>
      <c r="D451" s="1192"/>
      <c r="E451" s="1173"/>
      <c r="F451" s="1173"/>
      <c r="G451" s="1173"/>
      <c r="H451" s="1173"/>
      <c r="I451" s="1173"/>
      <c r="J451" s="1173"/>
      <c r="K451" s="1173"/>
      <c r="L451" s="493" t="str" cm="1">
        <f t="array" ref="L451">IF(A451&lt;&gt;"",IFERROR(INDEX(PMtbl[[WKst]:[Unit of measure*]],MATCH($A$437&amp;$A451&amp;$E451&amp;$I451,INDEX(PMtbl[Sec]&amp;PMtbl[Category]&amp;PMtbl[Each]&amp;PMtbl[Packaging],0,),0),14),""),"")</f>
        <v/>
      </c>
      <c r="M451" s="480" t="str">
        <f>IF(L451="","",INDEX(SETUP!$E$20:$E$122,(MATCH(INDEX(PMsheet!$D:$E,MATCH(A451,PMsheet!E:E,0),1),SETUP!$D$20:$D$122,0))))</f>
        <v/>
      </c>
      <c r="N451" s="494">
        <f>IF($O451="USD",_xlfn.IFNA(VLOOKUP(A451&amp;E451&amp;I451,PMsheet!J:K,2,0),0),(_xlfn.IFNA(VLOOKUP(A451&amp;E451&amp;I451,PMsheet!J:K,2,0),0)*'Master Data-C19RM'!$C$2))</f>
        <v>0</v>
      </c>
      <c r="O451" s="495" t="str">
        <f>IF(L451="", "",SETUP!$E$7)</f>
        <v/>
      </c>
      <c r="P451" s="445">
        <f>IF($O451="USD",_xlfn.IFNA(VLOOKUP($A451&amp;$E451&amp;$I451,PMsheet!$J:$K,2,0),0),(_xlfn.IFNA(VLOOKUP($A451&amp;$E451&amp;$I451,PMsheet!$J:$K,2,0),0)*'Master Data-C19RM'!$C$2))</f>
        <v>0</v>
      </c>
      <c r="Q451" s="440"/>
      <c r="R451" s="440"/>
      <c r="S451" s="440"/>
      <c r="T451" s="440"/>
      <c r="U451" s="482">
        <f t="shared" si="61"/>
        <v>0</v>
      </c>
      <c r="V451" s="484">
        <f>IF(SETUP!$E$7="USD",(U451*(IF(O451="USD",P451,(P451/'Master Data-C19RM'!$C$2)))),(U451*(IF(O451="EUR",P451,(P451*'Master Data-C19RM'!$C$2)))))</f>
        <v>0</v>
      </c>
      <c r="W451" s="445">
        <f>IF($O451="USD",_xlfn.IFNA(VLOOKUP($A451&amp;$E451&amp;$I451,PMsheet!$J:$K,2,0),0),(_xlfn.IFNA(VLOOKUP($A451&amp;$E451&amp;$I451,PMsheet!$J:$K,2,0),0)*'Master Data-C19RM'!$D$2))</f>
        <v>0</v>
      </c>
      <c r="X451" s="440"/>
      <c r="Y451" s="440"/>
      <c r="Z451" s="440"/>
      <c r="AA451" s="440"/>
      <c r="AB451" s="482">
        <f t="shared" si="62"/>
        <v>0</v>
      </c>
      <c r="AC451" s="484">
        <f>IF(SETUP!$E$7="USD",(AB451*(IF(O451="USD",W451,(W451/'Master Data-C19RM'!$D$2)))),(AB451*(IF(O451="EUR",W451,(W451*'Master Data-C19RM'!$D$2)))))</f>
        <v>0</v>
      </c>
      <c r="AD451" s="445">
        <f>IF($O451="USD",_xlfn.IFNA(VLOOKUP($A451&amp;$E451&amp;$I451,PMsheet!$J:$K,2,0),0),(_xlfn.IFNA(VLOOKUP($A451&amp;$E451&amp;$I451,PMsheet!$J:$K,2,0),0)*'Master Data-C19RM'!$E$2))</f>
        <v>0</v>
      </c>
      <c r="AE451" s="440"/>
      <c r="AF451" s="440"/>
      <c r="AG451" s="440"/>
      <c r="AH451" s="440"/>
      <c r="AI451" s="514">
        <f t="shared" si="63"/>
        <v>0</v>
      </c>
      <c r="AJ451" s="515">
        <f>IF(SETUP!$E$7="USD",(AI451*(IF(O451="USD",AD451,(AD451/'Master Data-C19RM'!$E$2)))),(AI451*(IF(O451="EUR",AD451,(AD451*'Master Data-C19RM'!$E$2)))))</f>
        <v>0</v>
      </c>
      <c r="AK451" s="445">
        <f>IF($O451="USD",_xlfn.IFNA(VLOOKUP($A451&amp;$E451&amp;$I451,PMsheet!$J:$K,2,0),0),(_xlfn.IFNA(VLOOKUP($A451&amp;$E451&amp;$I451,PMsheet!$J:$K,2,0),0)*'Master Data-C19RM'!$F$2))</f>
        <v>0</v>
      </c>
      <c r="AL451" s="440"/>
      <c r="AM451" s="440"/>
      <c r="AN451" s="440"/>
      <c r="AO451" s="440"/>
      <c r="AP451" s="514">
        <f t="shared" si="64"/>
        <v>0</v>
      </c>
      <c r="AQ451" s="515">
        <f>IF(SETUP!$E$7="USD",(AP451*(IF(O451="USD",AK451,(AK451/'Master Data-C19RM'!$F$2)))),(AP451*(IF(O451="EUR",AK451,(AK451*'Master Data-C19RM'!$F$2)))))</f>
        <v>0</v>
      </c>
      <c r="AR451" s="925">
        <f>IF($O451="USD",_xlfn.IFNA(VLOOKUP($A451&amp;$E451&amp;$I451,PMsheet!$J:$K,2,0),0),(_xlfn.IFNA(VLOOKUP($A451&amp;$E451&amp;$I451,PMsheet!$J:$K,2,0),0)*'Master Data-C19RM'!$G$2))</f>
        <v>0</v>
      </c>
      <c r="AS451" s="926"/>
      <c r="AT451" s="926"/>
      <c r="AU451" s="926"/>
      <c r="AV451" s="926"/>
      <c r="AW451" s="514">
        <f t="shared" si="65"/>
        <v>0</v>
      </c>
      <c r="AX451" s="514">
        <f>IF(SETUP!$E$7="USD",(AW451*(IF(O451="USD",AR451,(AR451/'Master Data-C19RM'!$G$2)))),(AW451*(IF(O451="EUR",AR451,(AR451*'Master Data-C19RM'!$G$2)))))</f>
        <v>0</v>
      </c>
      <c r="AY451" s="845"/>
      <c r="AZ451" s="846"/>
      <c r="BA451" s="846"/>
      <c r="BB451" s="846"/>
      <c r="BC451" s="846"/>
      <c r="BD451" s="846"/>
      <c r="BE451" s="847"/>
      <c r="BF451" s="521">
        <f>'C19RM 2021-Lab &amp; Other HPS'!$U451+'C19RM 2021-Lab &amp; Other HPS'!$AB451+'C19RM 2021-Lab &amp; Other HPS'!$AP451+'C19RM 2021-Lab &amp; Other HPS'!$AI451+AW451+BD451</f>
        <v>0</v>
      </c>
      <c r="BG451" s="515">
        <f>'C19RM 2021-Lab &amp; Other HPS'!$V451+'C19RM 2021-Lab &amp; Other HPS'!$AC451+'C19RM 2021-Lab &amp; Other HPS'!$AQ451+'C19RM 2021-Lab &amp; Other HPS'!$AJ451+AX451+BE451</f>
        <v>0</v>
      </c>
      <c r="BH451" s="522" t="str" cm="1">
        <f t="array" ref="BH451">IF(A451&lt;&gt;"",IFERROR(INDEX(PMtbl[[WKst]:[Unit of measure*]],MATCH($A$437&amp;$A451&amp;$E451&amp;$I451,INDEX(PMtbl[Sec]&amp;PMtbl[Category]&amp;PMtbl[Each]&amp;PMtbl[Packaging],0,),0),11),""),"")</f>
        <v/>
      </c>
      <c r="BI451" s="818"/>
      <c r="BJ451" s="503" t="str" cm="1">
        <f t="array" ref="BJ451">IFERROR(INDEX(SETUP!$C$19:$G$121,MATCH((INDEX(PMtbl[[WKst]:[Unit of measure*]],MATCH($A451&amp;$E451&amp;$I451,INDEX(PMtbl[Category]&amp;PMtbl[Each]&amp;PMtbl[Packaging],0,),0),3)),SETUP!$D$19:$D$121,0),5),"")</f>
        <v/>
      </c>
      <c r="BK451" s="537" t="str" cm="1">
        <f t="array" ref="BK451">IFERROR(IF((INDEX(SETUP!$C$19:$G$121,MATCH((INDEX(PMtbl[[WKst]:[Unit of measure*]],MATCH($A451&amp;$E451&amp;$I451,INDEX(PMtbl[Category]&amp;PMtbl[Each]&amp;PMtbl[Packaging],0,),0),3)),SETUP!$D$19:$D$121,0),4))="Upfront",0,INDEX(SETUP!$C$19:$G$121,MATCH((INDEX(PMtbl[[WKst]:[Unit of measure*]],MATCH($A451&amp;$E451&amp;$I451,INDEX(PMtbl[Category]&amp;PMtbl[Each]&amp;PMtbl[Packaging],0,),0),3)),SETUP!$D$19:$D$121,0),5)),"")</f>
        <v/>
      </c>
      <c r="BL451" s="578" t="str" cm="1">
        <f t="array" ref="BL451">IF(E451&lt;&gt;"",IFERROR(INDEX(PMtbl[[WKst]:[Unit of measure*]],MATCH($A$437&amp;$A451&amp;$E451&amp;$I451,INDEX(PMtbl[Sec]&amp;PMtbl[Category]&amp;PMtbl[Each]&amp;PMtbl[Packaging],0,),0),11),""),"")</f>
        <v/>
      </c>
      <c r="BO451" s="12">
        <f>IF(N451="",0,IF(SETUP!$E$7="USD",((IF(O451="USD",P451,(P451/'Master Data-C19RM'!$C$2)))),((IF(O451="EUR",P451,(P451*'Master Data-C19RM'!$C$2))))))</f>
        <v>0</v>
      </c>
      <c r="BP451" s="12">
        <f>IF(N451="",0,IF(SETUP!$E$7="USD",((IF(O451="USD",W451,(W451/'Master Data-C19RM'!$D$2)))),((IF(O451="EUR",W451,(W451*'Master Data-C19RM'!$D$2))))))</f>
        <v>0</v>
      </c>
      <c r="BQ451">
        <f>IF(N451="",0,IF(SETUP!$E$7="USD",((IF(O451="USD",AD451,(AD451/'Master Data-C19RM'!$E$2)))),((IF(O451="EUR",AD451,(AD451*'Master Data-C19RM'!$E$2))))))</f>
        <v>0</v>
      </c>
      <c r="BR451">
        <f>IF(N451="",0,IF(SETUP!$E$7="USD",((IF(O451="USD",AK451,(AK451/'Master Data-C19RM'!$F$2)))),((IF(O451="EUR",AK451,(AK451*'Master Data-C19RM'!$F$2))))))</f>
        <v>0</v>
      </c>
      <c r="BS451">
        <f>IF(N451="",0,IF(SETUP!$E$7="USD",((IF(O451="USD",AR451,(AR451/'Master Data-C19RM'!$G$2)))),((IF(O451="EUR",AR451,(AR451*'Master Data-C19RM'!$G$2))))))</f>
        <v>0</v>
      </c>
      <c r="BT451">
        <f>IF(N451="",0,IF(SETUP!$E$7="USD",((IF(O451="USD",AY451,(AY451/'Master Data-C19RM'!$H$2)))),((IF(O451="EUR",AY451,(AY451*'Master Data-C19RM'!$H$2))))))</f>
        <v>0</v>
      </c>
      <c r="BU451" s="12">
        <f t="shared" si="59"/>
        <v>0</v>
      </c>
      <c r="BV451" s="142">
        <f t="shared" si="60"/>
        <v>0</v>
      </c>
    </row>
    <row r="452" spans="1:74" x14ac:dyDescent="0.35">
      <c r="A452" s="1165"/>
      <c r="B452" s="1165"/>
      <c r="C452" s="1165"/>
      <c r="D452" s="1165"/>
      <c r="E452" s="1166"/>
      <c r="F452" s="1166"/>
      <c r="G452" s="1166"/>
      <c r="H452" s="1166"/>
      <c r="I452" s="1166"/>
      <c r="J452" s="1166"/>
      <c r="K452" s="1166"/>
      <c r="L452" s="490" t="str" cm="1">
        <f t="array" ref="L452">IF(A452&lt;&gt;"",IFERROR(INDEX(PMtbl[[WKst]:[Unit of measure*]],MATCH($A$437&amp;$A452&amp;$E452&amp;$I452,INDEX(PMtbl[Sec]&amp;PMtbl[Category]&amp;PMtbl[Each]&amp;PMtbl[Packaging],0,),0),14),""),"")</f>
        <v/>
      </c>
      <c r="M452" s="479" t="str">
        <f>IF(L452="","",INDEX(SETUP!$E$20:$E$122,(MATCH(INDEX(PMsheet!$D:$E,MATCH(A452,PMsheet!E:E,0),1),SETUP!$D$20:$D$122,0))))</f>
        <v/>
      </c>
      <c r="N452" s="491">
        <f>IF($O452="USD",_xlfn.IFNA(VLOOKUP(A452&amp;E452&amp;I452,PMsheet!J:K,2,0),0),(_xlfn.IFNA(VLOOKUP(A452&amp;E452&amp;I452,PMsheet!J:K,2,0),0)*'Master Data-C19RM'!$C$2))</f>
        <v>0</v>
      </c>
      <c r="O452" s="492" t="str">
        <f>IF(L452="", "",SETUP!$E$7)</f>
        <v/>
      </c>
      <c r="P452" s="444">
        <f>IF($O452="USD",_xlfn.IFNA(VLOOKUP($A452&amp;$E452&amp;$I452,PMsheet!$J:$K,2,0),0),(_xlfn.IFNA(VLOOKUP($A452&amp;$E452&amp;$I452,PMsheet!$J:$K,2,0),0)*'Master Data-C19RM'!$C$2))</f>
        <v>0</v>
      </c>
      <c r="Q452" s="441"/>
      <c r="R452" s="441"/>
      <c r="S452" s="441"/>
      <c r="T452" s="441"/>
      <c r="U452" s="481">
        <f t="shared" si="61"/>
        <v>0</v>
      </c>
      <c r="V452" s="483">
        <f>IF(SETUP!$E$7="USD",(U452*(IF(O452="USD",P452,(P452/'Master Data-C19RM'!$C$2)))),(U452*(IF(O452="EUR",P452,(P452*'Master Data-C19RM'!$C$2)))))</f>
        <v>0</v>
      </c>
      <c r="W452" s="444">
        <f>IF($O452="USD",_xlfn.IFNA(VLOOKUP($A452&amp;$E452&amp;$I452,PMsheet!$J:$K,2,0),0),(_xlfn.IFNA(VLOOKUP($A452&amp;$E452&amp;$I452,PMsheet!$J:$K,2,0),0)*'Master Data-C19RM'!$D$2))</f>
        <v>0</v>
      </c>
      <c r="X452" s="441"/>
      <c r="Y452" s="441"/>
      <c r="Z452" s="441"/>
      <c r="AA452" s="441"/>
      <c r="AB452" s="481">
        <f t="shared" si="62"/>
        <v>0</v>
      </c>
      <c r="AC452" s="483">
        <f>IF(SETUP!$E$7="USD",(AB452*(IF(O452="USD",W452,(W452/'Master Data-C19RM'!$D$2)))),(AB452*(IF(O452="EUR",W452,(W452*'Master Data-C19RM'!$D$2)))))</f>
        <v>0</v>
      </c>
      <c r="AD452" s="444">
        <f>IF($O452="USD",_xlfn.IFNA(VLOOKUP($A452&amp;$E452&amp;$I452,PMsheet!$J:$K,2,0),0),(_xlfn.IFNA(VLOOKUP($A452&amp;$E452&amp;$I452,PMsheet!$J:$K,2,0),0)*'Master Data-C19RM'!$E$2))</f>
        <v>0</v>
      </c>
      <c r="AE452" s="441"/>
      <c r="AF452" s="441"/>
      <c r="AG452" s="441"/>
      <c r="AH452" s="441"/>
      <c r="AI452" s="512">
        <f t="shared" si="63"/>
        <v>0</v>
      </c>
      <c r="AJ452" s="513">
        <f>IF(SETUP!$E$7="USD",(AI452*(IF(O452="USD",AD452,(AD452/'Master Data-C19RM'!$E$2)))),(AI452*(IF(O452="EUR",AD452,(AD452*'Master Data-C19RM'!$E$2)))))</f>
        <v>0</v>
      </c>
      <c r="AK452" s="444">
        <f>IF($O452="USD",_xlfn.IFNA(VLOOKUP($A452&amp;$E452&amp;$I452,PMsheet!$J:$K,2,0),0),(_xlfn.IFNA(VLOOKUP($A452&amp;$E452&amp;$I452,PMsheet!$J:$K,2,0),0)*'Master Data-C19RM'!$F$2))</f>
        <v>0</v>
      </c>
      <c r="AL452" s="441"/>
      <c r="AM452" s="441"/>
      <c r="AN452" s="441"/>
      <c r="AO452" s="441"/>
      <c r="AP452" s="512">
        <f t="shared" si="64"/>
        <v>0</v>
      </c>
      <c r="AQ452" s="513">
        <f>IF(SETUP!$E$7="USD",(AP452*(IF(O452="USD",AK452,(AK452/'Master Data-C19RM'!$F$2)))),(AP452*(IF(O452="EUR",AK452,(AK452*'Master Data-C19RM'!$F$2)))))</f>
        <v>0</v>
      </c>
      <c r="AR452" s="924">
        <f>IF($O452="USD",_xlfn.IFNA(VLOOKUP($A452&amp;$E452&amp;$I452,PMsheet!$J:$K,2,0),0),(_xlfn.IFNA(VLOOKUP($A452&amp;$E452&amp;$I452,PMsheet!$J:$K,2,0),0)*'Master Data-C19RM'!$G$2))</f>
        <v>0</v>
      </c>
      <c r="AS452" s="572"/>
      <c r="AT452" s="572"/>
      <c r="AU452" s="572"/>
      <c r="AV452" s="572"/>
      <c r="AW452" s="512">
        <f t="shared" si="65"/>
        <v>0</v>
      </c>
      <c r="AX452" s="512">
        <f>IF(SETUP!$E$7="USD",(AW452*(IF(O452="USD",AR452,(AR452/'Master Data-C19RM'!$G$2)))),(AW452*(IF(O452="EUR",AR452,(AR452*'Master Data-C19RM'!$G$2)))))</f>
        <v>0</v>
      </c>
      <c r="AY452" s="845"/>
      <c r="AZ452" s="846"/>
      <c r="BA452" s="846"/>
      <c r="BB452" s="846"/>
      <c r="BC452" s="846"/>
      <c r="BD452" s="846"/>
      <c r="BE452" s="847"/>
      <c r="BF452" s="520">
        <f>'C19RM 2021-Lab &amp; Other HPS'!$U452+'C19RM 2021-Lab &amp; Other HPS'!$AB452+'C19RM 2021-Lab &amp; Other HPS'!$AP452+'C19RM 2021-Lab &amp; Other HPS'!$AI452+AW452+BD452</f>
        <v>0</v>
      </c>
      <c r="BG452" s="513">
        <f>'C19RM 2021-Lab &amp; Other HPS'!$V452+'C19RM 2021-Lab &amp; Other HPS'!$AC452+'C19RM 2021-Lab &amp; Other HPS'!$AQ452+'C19RM 2021-Lab &amp; Other HPS'!$AJ452+AX452+BE452</f>
        <v>0</v>
      </c>
      <c r="BH452" s="500" t="str" cm="1">
        <f t="array" ref="BH452">IF(A452&lt;&gt;"",IFERROR(INDEX(PMtbl[[WKst]:[Unit of measure*]],MATCH($A$437&amp;$A452&amp;$E452&amp;$I452,INDEX(PMtbl[Sec]&amp;PMtbl[Category]&amp;PMtbl[Each]&amp;PMtbl[Packaging],0,),0),11),""),"")</f>
        <v/>
      </c>
      <c r="BI452" s="819"/>
      <c r="BJ452" s="502" t="str" cm="1">
        <f t="array" ref="BJ452">IFERROR(INDEX(SETUP!$C$19:$G$121,MATCH((INDEX(PMtbl[[WKst]:[Unit of measure*]],MATCH($A452&amp;$E452&amp;$I452,INDEX(PMtbl[Category]&amp;PMtbl[Each]&amp;PMtbl[Packaging],0,),0),3)),SETUP!$D$19:$D$121,0),5),"")</f>
        <v/>
      </c>
      <c r="BK452" s="536" t="str" cm="1">
        <f t="array" ref="BK452">IFERROR(IF((INDEX(SETUP!$C$19:$G$121,MATCH((INDEX(PMtbl[[WKst]:[Unit of measure*]],MATCH($A452&amp;$E452&amp;$I452,INDEX(PMtbl[Category]&amp;PMtbl[Each]&amp;PMtbl[Packaging],0,),0),3)),SETUP!$D$19:$D$121,0),4))="Upfront",0,INDEX(SETUP!$C$19:$G$121,MATCH((INDEX(PMtbl[[WKst]:[Unit of measure*]],MATCH($A452&amp;$E452&amp;$I452,INDEX(PMtbl[Category]&amp;PMtbl[Each]&amp;PMtbl[Packaging],0,),0),3)),SETUP!$D$19:$D$121,0),5)),"")</f>
        <v/>
      </c>
      <c r="BL452" s="577" t="str" cm="1">
        <f t="array" ref="BL452">IF(E452&lt;&gt;"",IFERROR(INDEX(PMtbl[[WKst]:[Unit of measure*]],MATCH($A$437&amp;$A452&amp;$E452&amp;$I452,INDEX(PMtbl[Sec]&amp;PMtbl[Category]&amp;PMtbl[Each]&amp;PMtbl[Packaging],0,),0),11),""),"")</f>
        <v/>
      </c>
      <c r="BO452" s="12">
        <f>IF(N452="",0,IF(SETUP!$E$7="USD",((IF(O452="USD",P452,(P452/'Master Data-C19RM'!$C$2)))),((IF(O452="EUR",P452,(P452*'Master Data-C19RM'!$C$2))))))</f>
        <v>0</v>
      </c>
      <c r="BP452" s="12">
        <f>IF(N452="",0,IF(SETUP!$E$7="USD",((IF(O452="USD",W452,(W452/'Master Data-C19RM'!$D$2)))),((IF(O452="EUR",W452,(W452*'Master Data-C19RM'!$D$2))))))</f>
        <v>0</v>
      </c>
      <c r="BQ452">
        <f>IF(N452="",0,IF(SETUP!$E$7="USD",((IF(O452="USD",AD452,(AD452/'Master Data-C19RM'!$E$2)))),((IF(O452="EUR",AD452,(AD452*'Master Data-C19RM'!$E$2))))))</f>
        <v>0</v>
      </c>
      <c r="BR452">
        <f>IF(N452="",0,IF(SETUP!$E$7="USD",((IF(O452="USD",AK452,(AK452/'Master Data-C19RM'!$F$2)))),((IF(O452="EUR",AK452,(AK452*'Master Data-C19RM'!$F$2))))))</f>
        <v>0</v>
      </c>
      <c r="BS452">
        <f>IF(N452="",0,IF(SETUP!$E$7="USD",((IF(O452="USD",AR452,(AR452/'Master Data-C19RM'!$G$2)))),((IF(O452="EUR",AR452,(AR452*'Master Data-C19RM'!$G$2))))))</f>
        <v>0</v>
      </c>
      <c r="BT452">
        <f>IF(N452="",0,IF(SETUP!$E$7="USD",((IF(O452="USD",AY452,(AY452/'Master Data-C19RM'!$H$2)))),((IF(O452="EUR",AY452,(AY452*'Master Data-C19RM'!$H$2))))))</f>
        <v>0</v>
      </c>
      <c r="BU452" s="12">
        <f t="shared" si="59"/>
        <v>0</v>
      </c>
      <c r="BV452" s="142">
        <f t="shared" si="60"/>
        <v>0</v>
      </c>
    </row>
    <row r="453" spans="1:74" x14ac:dyDescent="0.35">
      <c r="A453" s="1192"/>
      <c r="B453" s="1192"/>
      <c r="C453" s="1192"/>
      <c r="D453" s="1192"/>
      <c r="E453" s="1173"/>
      <c r="F453" s="1173"/>
      <c r="G453" s="1173"/>
      <c r="H453" s="1173"/>
      <c r="I453" s="1173"/>
      <c r="J453" s="1173"/>
      <c r="K453" s="1173"/>
      <c r="L453" s="493" t="str" cm="1">
        <f t="array" ref="L453">IF(A453&lt;&gt;"",IFERROR(INDEX(PMtbl[[WKst]:[Unit of measure*]],MATCH($A$437&amp;$A453&amp;$E453&amp;$I453,INDEX(PMtbl[Sec]&amp;PMtbl[Category]&amp;PMtbl[Each]&amp;PMtbl[Packaging],0,),0),14),""),"")</f>
        <v/>
      </c>
      <c r="M453" s="480" t="str">
        <f>IF(L453="","",INDEX(SETUP!$E$20:$E$122,(MATCH(INDEX(PMsheet!$D:$E,MATCH(A453,PMsheet!E:E,0),1),SETUP!$D$20:$D$122,0))))</f>
        <v/>
      </c>
      <c r="N453" s="494">
        <f>IF($O453="USD",_xlfn.IFNA(VLOOKUP(A453&amp;E453&amp;I453,PMsheet!J:K,2,0),0),(_xlfn.IFNA(VLOOKUP(A453&amp;E453&amp;I453,PMsheet!J:K,2,0),0)*'Master Data-C19RM'!$C$2))</f>
        <v>0</v>
      </c>
      <c r="O453" s="495" t="str">
        <f>IF(L453="", "",SETUP!$E$7)</f>
        <v/>
      </c>
      <c r="P453" s="445">
        <f>IF($O453="USD",_xlfn.IFNA(VLOOKUP($A453&amp;$E453&amp;$I453,PMsheet!$J:$K,2,0),0),(_xlfn.IFNA(VLOOKUP($A453&amp;$E453&amp;$I453,PMsheet!$J:$K,2,0),0)*'Master Data-C19RM'!$C$2))</f>
        <v>0</v>
      </c>
      <c r="Q453" s="440"/>
      <c r="R453" s="440"/>
      <c r="S453" s="440"/>
      <c r="T453" s="440"/>
      <c r="U453" s="482">
        <f t="shared" si="61"/>
        <v>0</v>
      </c>
      <c r="V453" s="484">
        <f>IF(SETUP!$E$7="USD",(U453*(IF(O453="USD",P453,(P453/'Master Data-C19RM'!$C$2)))),(U453*(IF(O453="EUR",P453,(P453*'Master Data-C19RM'!$C$2)))))</f>
        <v>0</v>
      </c>
      <c r="W453" s="445">
        <f>IF($O453="USD",_xlfn.IFNA(VLOOKUP($A453&amp;$E453&amp;$I453,PMsheet!$J:$K,2,0),0),(_xlfn.IFNA(VLOOKUP($A453&amp;$E453&amp;$I453,PMsheet!$J:$K,2,0),0)*'Master Data-C19RM'!$D$2))</f>
        <v>0</v>
      </c>
      <c r="X453" s="440"/>
      <c r="Y453" s="440"/>
      <c r="Z453" s="440"/>
      <c r="AA453" s="440"/>
      <c r="AB453" s="482">
        <f t="shared" si="62"/>
        <v>0</v>
      </c>
      <c r="AC453" s="484">
        <f>IF(SETUP!$E$7="USD",(AB453*(IF(O453="USD",W453,(W453/'Master Data-C19RM'!$D$2)))),(AB453*(IF(O453="EUR",W453,(W453*'Master Data-C19RM'!$D$2)))))</f>
        <v>0</v>
      </c>
      <c r="AD453" s="445">
        <f>IF($O453="USD",_xlfn.IFNA(VLOOKUP($A453&amp;$E453&amp;$I453,PMsheet!$J:$K,2,0),0),(_xlfn.IFNA(VLOOKUP($A453&amp;$E453&amp;$I453,PMsheet!$J:$K,2,0),0)*'Master Data-C19RM'!$E$2))</f>
        <v>0</v>
      </c>
      <c r="AE453" s="440"/>
      <c r="AF453" s="440"/>
      <c r="AG453" s="440"/>
      <c r="AH453" s="440"/>
      <c r="AI453" s="514">
        <f t="shared" si="63"/>
        <v>0</v>
      </c>
      <c r="AJ453" s="515">
        <f>IF(SETUP!$E$7="USD",(AI453*(IF(O453="USD",AD453,(AD453/'Master Data-C19RM'!$E$2)))),(AI453*(IF(O453="EUR",AD453,(AD453*'Master Data-C19RM'!$E$2)))))</f>
        <v>0</v>
      </c>
      <c r="AK453" s="445">
        <f>IF($O453="USD",_xlfn.IFNA(VLOOKUP($A453&amp;$E453&amp;$I453,PMsheet!$J:$K,2,0),0),(_xlfn.IFNA(VLOOKUP($A453&amp;$E453&amp;$I453,PMsheet!$J:$K,2,0),0)*'Master Data-C19RM'!$F$2))</f>
        <v>0</v>
      </c>
      <c r="AL453" s="440"/>
      <c r="AM453" s="440"/>
      <c r="AN453" s="440"/>
      <c r="AO453" s="440"/>
      <c r="AP453" s="514">
        <f t="shared" si="64"/>
        <v>0</v>
      </c>
      <c r="AQ453" s="515">
        <f>IF(SETUP!$E$7="USD",(AP453*(IF(O453="USD",AK453,(AK453/'Master Data-C19RM'!$F$2)))),(AP453*(IF(O453="EUR",AK453,(AK453*'Master Data-C19RM'!$F$2)))))</f>
        <v>0</v>
      </c>
      <c r="AR453" s="925">
        <f>IF($O453="USD",_xlfn.IFNA(VLOOKUP($A453&amp;$E453&amp;$I453,PMsheet!$J:$K,2,0),0),(_xlfn.IFNA(VLOOKUP($A453&amp;$E453&amp;$I453,PMsheet!$J:$K,2,0),0)*'Master Data-C19RM'!$G$2))</f>
        <v>0</v>
      </c>
      <c r="AS453" s="926"/>
      <c r="AT453" s="926"/>
      <c r="AU453" s="926"/>
      <c r="AV453" s="926"/>
      <c r="AW453" s="514">
        <f t="shared" si="65"/>
        <v>0</v>
      </c>
      <c r="AX453" s="514">
        <f>IF(SETUP!$E$7="USD",(AW453*(IF(O453="USD",AR453,(AR453/'Master Data-C19RM'!$G$2)))),(AW453*(IF(O453="EUR",AR453,(AR453*'Master Data-C19RM'!$G$2)))))</f>
        <v>0</v>
      </c>
      <c r="AY453" s="845"/>
      <c r="AZ453" s="846"/>
      <c r="BA453" s="846"/>
      <c r="BB453" s="846"/>
      <c r="BC453" s="846"/>
      <c r="BD453" s="846"/>
      <c r="BE453" s="847"/>
      <c r="BF453" s="521">
        <f>'C19RM 2021-Lab &amp; Other HPS'!$U453+'C19RM 2021-Lab &amp; Other HPS'!$AB453+'C19RM 2021-Lab &amp; Other HPS'!$AP453+'C19RM 2021-Lab &amp; Other HPS'!$AI453+AW453+BD453</f>
        <v>0</v>
      </c>
      <c r="BG453" s="515">
        <f>'C19RM 2021-Lab &amp; Other HPS'!$V453+'C19RM 2021-Lab &amp; Other HPS'!$AC453+'C19RM 2021-Lab &amp; Other HPS'!$AQ453+'C19RM 2021-Lab &amp; Other HPS'!$AJ453+AX453+BE453</f>
        <v>0</v>
      </c>
      <c r="BH453" s="522" t="str" cm="1">
        <f t="array" ref="BH453">IF(A453&lt;&gt;"",IFERROR(INDEX(PMtbl[[WKst]:[Unit of measure*]],MATCH($A$437&amp;$A453&amp;$E453&amp;$I453,INDEX(PMtbl[Sec]&amp;PMtbl[Category]&amp;PMtbl[Each]&amp;PMtbl[Packaging],0,),0),11),""),"")</f>
        <v/>
      </c>
      <c r="BI453" s="818"/>
      <c r="BJ453" s="503" t="str" cm="1">
        <f t="array" ref="BJ453">IFERROR(INDEX(SETUP!$C$19:$G$121,MATCH((INDEX(PMtbl[[WKst]:[Unit of measure*]],MATCH($A453&amp;$E453&amp;$I453,INDEX(PMtbl[Category]&amp;PMtbl[Each]&amp;PMtbl[Packaging],0,),0),3)),SETUP!$D$19:$D$121,0),5),"")</f>
        <v/>
      </c>
      <c r="BK453" s="537" t="str" cm="1">
        <f t="array" ref="BK453">IFERROR(IF((INDEX(SETUP!$C$19:$G$121,MATCH((INDEX(PMtbl[[WKst]:[Unit of measure*]],MATCH($A453&amp;$E453&amp;$I453,INDEX(PMtbl[Category]&amp;PMtbl[Each]&amp;PMtbl[Packaging],0,),0),3)),SETUP!$D$19:$D$121,0),4))="Upfront",0,INDEX(SETUP!$C$19:$G$121,MATCH((INDEX(PMtbl[[WKst]:[Unit of measure*]],MATCH($A453&amp;$E453&amp;$I453,INDEX(PMtbl[Category]&amp;PMtbl[Each]&amp;PMtbl[Packaging],0,),0),3)),SETUP!$D$19:$D$121,0),5)),"")</f>
        <v/>
      </c>
      <c r="BL453" s="578" t="str" cm="1">
        <f t="array" ref="BL453">IF(E453&lt;&gt;"",IFERROR(INDEX(PMtbl[[WKst]:[Unit of measure*]],MATCH($A$437&amp;$A453&amp;$E453&amp;$I453,INDEX(PMtbl[Sec]&amp;PMtbl[Category]&amp;PMtbl[Each]&amp;PMtbl[Packaging],0,),0),11),""),"")</f>
        <v/>
      </c>
      <c r="BO453" s="12">
        <f>IF(N453="",0,IF(SETUP!$E$7="USD",((IF(O453="USD",P453,(P453/'Master Data-C19RM'!$C$2)))),((IF(O453="EUR",P453,(P453*'Master Data-C19RM'!$C$2))))))</f>
        <v>0</v>
      </c>
      <c r="BP453" s="12">
        <f>IF(N453="",0,IF(SETUP!$E$7="USD",((IF(O453="USD",W453,(W453/'Master Data-C19RM'!$D$2)))),((IF(O453="EUR",W453,(W453*'Master Data-C19RM'!$D$2))))))</f>
        <v>0</v>
      </c>
      <c r="BQ453">
        <f>IF(N453="",0,IF(SETUP!$E$7="USD",((IF(O453="USD",AD453,(AD453/'Master Data-C19RM'!$E$2)))),((IF(O453="EUR",AD453,(AD453*'Master Data-C19RM'!$E$2))))))</f>
        <v>0</v>
      </c>
      <c r="BR453">
        <f>IF(N453="",0,IF(SETUP!$E$7="USD",((IF(O453="USD",AK453,(AK453/'Master Data-C19RM'!$F$2)))),((IF(O453="EUR",AK453,(AK453*'Master Data-C19RM'!$F$2))))))</f>
        <v>0</v>
      </c>
      <c r="BS453">
        <f>IF(N453="",0,IF(SETUP!$E$7="USD",((IF(O453="USD",AR453,(AR453/'Master Data-C19RM'!$G$2)))),((IF(O453="EUR",AR453,(AR453*'Master Data-C19RM'!$G$2))))))</f>
        <v>0</v>
      </c>
      <c r="BT453">
        <f>IF(N453="",0,IF(SETUP!$E$7="USD",((IF(O453="USD",AY453,(AY453/'Master Data-C19RM'!$H$2)))),((IF(O453="EUR",AY453,(AY453*'Master Data-C19RM'!$H$2))))))</f>
        <v>0</v>
      </c>
      <c r="BU453" s="12">
        <f t="shared" si="59"/>
        <v>0</v>
      </c>
      <c r="BV453" s="142">
        <f t="shared" si="60"/>
        <v>0</v>
      </c>
    </row>
    <row r="454" spans="1:74" x14ac:dyDescent="0.35">
      <c r="A454" s="1165"/>
      <c r="B454" s="1165"/>
      <c r="C454" s="1165"/>
      <c r="D454" s="1165"/>
      <c r="E454" s="1166"/>
      <c r="F454" s="1166"/>
      <c r="G454" s="1166"/>
      <c r="H454" s="1166"/>
      <c r="I454" s="1166"/>
      <c r="J454" s="1166"/>
      <c r="K454" s="1166"/>
      <c r="L454" s="490" t="str" cm="1">
        <f t="array" ref="L454">IF(A454&lt;&gt;"",IFERROR(INDEX(PMtbl[[WKst]:[Unit of measure*]],MATCH($A$437&amp;$A454&amp;$E454&amp;$I454,INDEX(PMtbl[Sec]&amp;PMtbl[Category]&amp;PMtbl[Each]&amp;PMtbl[Packaging],0,),0),14),""),"")</f>
        <v/>
      </c>
      <c r="M454" s="479" t="str">
        <f>IF(L454="","",INDEX(SETUP!$E$20:$E$122,(MATCH(INDEX(PMsheet!$D:$E,MATCH(A454,PMsheet!E:E,0),1),SETUP!$D$20:$D$122,0))))</f>
        <v/>
      </c>
      <c r="N454" s="491">
        <f>IF($O454="USD",_xlfn.IFNA(VLOOKUP(A454&amp;E454&amp;I454,PMsheet!J:K,2,0),0),(_xlfn.IFNA(VLOOKUP(A454&amp;E454&amp;I454,PMsheet!J:K,2,0),0)*'Master Data-C19RM'!$C$2))</f>
        <v>0</v>
      </c>
      <c r="O454" s="492" t="str">
        <f>IF(L454="", "",SETUP!$E$7)</f>
        <v/>
      </c>
      <c r="P454" s="444">
        <f>IF($O454="USD",_xlfn.IFNA(VLOOKUP($A454&amp;$E454&amp;$I454,PMsheet!$J:$K,2,0),0),(_xlfn.IFNA(VLOOKUP($A454&amp;$E454&amp;$I454,PMsheet!$J:$K,2,0),0)*'Master Data-C19RM'!$C$2))</f>
        <v>0</v>
      </c>
      <c r="Q454" s="441"/>
      <c r="R454" s="441"/>
      <c r="S454" s="441"/>
      <c r="T454" s="441"/>
      <c r="U454" s="481">
        <f t="shared" si="61"/>
        <v>0</v>
      </c>
      <c r="V454" s="483">
        <f>IF(SETUP!$E$7="USD",(U454*(IF(O454="USD",P454,(P454/'Master Data-C19RM'!$C$2)))),(U454*(IF(O454="EUR",P454,(P454*'Master Data-C19RM'!$C$2)))))</f>
        <v>0</v>
      </c>
      <c r="W454" s="444">
        <f>IF($O454="USD",_xlfn.IFNA(VLOOKUP($A454&amp;$E454&amp;$I454,PMsheet!$J:$K,2,0),0),(_xlfn.IFNA(VLOOKUP($A454&amp;$E454&amp;$I454,PMsheet!$J:$K,2,0),0)*'Master Data-C19RM'!$D$2))</f>
        <v>0</v>
      </c>
      <c r="X454" s="441"/>
      <c r="Y454" s="441"/>
      <c r="Z454" s="441"/>
      <c r="AA454" s="441"/>
      <c r="AB454" s="481">
        <f t="shared" si="62"/>
        <v>0</v>
      </c>
      <c r="AC454" s="483">
        <f>IF(SETUP!$E$7="USD",(AB454*(IF(O454="USD",W454,(W454/'Master Data-C19RM'!$D$2)))),(AB454*(IF(O454="EUR",W454,(W454*'Master Data-C19RM'!$D$2)))))</f>
        <v>0</v>
      </c>
      <c r="AD454" s="444">
        <f>IF($O454="USD",_xlfn.IFNA(VLOOKUP($A454&amp;$E454&amp;$I454,PMsheet!$J:$K,2,0),0),(_xlfn.IFNA(VLOOKUP($A454&amp;$E454&amp;$I454,PMsheet!$J:$K,2,0),0)*'Master Data-C19RM'!$E$2))</f>
        <v>0</v>
      </c>
      <c r="AE454" s="441"/>
      <c r="AF454" s="441"/>
      <c r="AG454" s="441"/>
      <c r="AH454" s="441"/>
      <c r="AI454" s="512">
        <f t="shared" si="63"/>
        <v>0</v>
      </c>
      <c r="AJ454" s="513">
        <f>IF(SETUP!$E$7="USD",(AI454*(IF(O454="USD",AD454,(AD454/'Master Data-C19RM'!$E$2)))),(AI454*(IF(O454="EUR",AD454,(AD454*'Master Data-C19RM'!$E$2)))))</f>
        <v>0</v>
      </c>
      <c r="AK454" s="444">
        <f>IF($O454="USD",_xlfn.IFNA(VLOOKUP($A454&amp;$E454&amp;$I454,PMsheet!$J:$K,2,0),0),(_xlfn.IFNA(VLOOKUP($A454&amp;$E454&amp;$I454,PMsheet!$J:$K,2,0),0)*'Master Data-C19RM'!$F$2))</f>
        <v>0</v>
      </c>
      <c r="AL454" s="441"/>
      <c r="AM454" s="441"/>
      <c r="AN454" s="441"/>
      <c r="AO454" s="441"/>
      <c r="AP454" s="512">
        <f t="shared" si="64"/>
        <v>0</v>
      </c>
      <c r="AQ454" s="513">
        <f>IF(SETUP!$E$7="USD",(AP454*(IF(O454="USD",AK454,(AK454/'Master Data-C19RM'!$F$2)))),(AP454*(IF(O454="EUR",AK454,(AK454*'Master Data-C19RM'!$F$2)))))</f>
        <v>0</v>
      </c>
      <c r="AR454" s="924">
        <f>IF($O454="USD",_xlfn.IFNA(VLOOKUP($A454&amp;$E454&amp;$I454,PMsheet!$J:$K,2,0),0),(_xlfn.IFNA(VLOOKUP($A454&amp;$E454&amp;$I454,PMsheet!$J:$K,2,0),0)*'Master Data-C19RM'!$G$2))</f>
        <v>0</v>
      </c>
      <c r="AS454" s="572"/>
      <c r="AT454" s="572"/>
      <c r="AU454" s="572"/>
      <c r="AV454" s="572"/>
      <c r="AW454" s="512">
        <f t="shared" si="65"/>
        <v>0</v>
      </c>
      <c r="AX454" s="512">
        <f>IF(SETUP!$E$7="USD",(AW454*(IF(O454="USD",AR454,(AR454/'Master Data-C19RM'!$G$2)))),(AW454*(IF(O454="EUR",AR454,(AR454*'Master Data-C19RM'!$G$2)))))</f>
        <v>0</v>
      </c>
      <c r="AY454" s="845"/>
      <c r="AZ454" s="846"/>
      <c r="BA454" s="846"/>
      <c r="BB454" s="846"/>
      <c r="BC454" s="846"/>
      <c r="BD454" s="846"/>
      <c r="BE454" s="847"/>
      <c r="BF454" s="520">
        <f>'C19RM 2021-Lab &amp; Other HPS'!$U454+'C19RM 2021-Lab &amp; Other HPS'!$AB454+'C19RM 2021-Lab &amp; Other HPS'!$AP454+'C19RM 2021-Lab &amp; Other HPS'!$AI454+AW454+BD454</f>
        <v>0</v>
      </c>
      <c r="BG454" s="513">
        <f>'C19RM 2021-Lab &amp; Other HPS'!$V454+'C19RM 2021-Lab &amp; Other HPS'!$AC454+'C19RM 2021-Lab &amp; Other HPS'!$AQ454+'C19RM 2021-Lab &amp; Other HPS'!$AJ454+AX454+BE454</f>
        <v>0</v>
      </c>
      <c r="BH454" s="500" t="str" cm="1">
        <f t="array" ref="BH454">IF(A454&lt;&gt;"",IFERROR(INDEX(PMtbl[[WKst]:[Unit of measure*]],MATCH($A$437&amp;$A454&amp;$E454&amp;$I454,INDEX(PMtbl[Sec]&amp;PMtbl[Category]&amp;PMtbl[Each]&amp;PMtbl[Packaging],0,),0),11),""),"")</f>
        <v/>
      </c>
      <c r="BI454" s="819"/>
      <c r="BJ454" s="502" t="str" cm="1">
        <f t="array" ref="BJ454">IFERROR(INDEX(SETUP!$C$19:$G$121,MATCH((INDEX(PMtbl[[WKst]:[Unit of measure*]],MATCH($A454&amp;$E454&amp;$I454,INDEX(PMtbl[Category]&amp;PMtbl[Each]&amp;PMtbl[Packaging],0,),0),3)),SETUP!$D$19:$D$121,0),5),"")</f>
        <v/>
      </c>
      <c r="BK454" s="536" t="str" cm="1">
        <f t="array" ref="BK454">IFERROR(IF((INDEX(SETUP!$C$19:$G$121,MATCH((INDEX(PMtbl[[WKst]:[Unit of measure*]],MATCH($A454&amp;$E454&amp;$I454,INDEX(PMtbl[Category]&amp;PMtbl[Each]&amp;PMtbl[Packaging],0,),0),3)),SETUP!$D$19:$D$121,0),4))="Upfront",0,INDEX(SETUP!$C$19:$G$121,MATCH((INDEX(PMtbl[[WKst]:[Unit of measure*]],MATCH($A454&amp;$E454&amp;$I454,INDEX(PMtbl[Category]&amp;PMtbl[Each]&amp;PMtbl[Packaging],0,),0),3)),SETUP!$D$19:$D$121,0),5)),"")</f>
        <v/>
      </c>
      <c r="BL454" s="577" t="str" cm="1">
        <f t="array" ref="BL454">IF(E454&lt;&gt;"",IFERROR(INDEX(PMtbl[[WKst]:[Unit of measure*]],MATCH($A$437&amp;$A454&amp;$E454&amp;$I454,INDEX(PMtbl[Sec]&amp;PMtbl[Category]&amp;PMtbl[Each]&amp;PMtbl[Packaging],0,),0),11),""),"")</f>
        <v/>
      </c>
      <c r="BO454" s="12">
        <f>IF(N454="",0,IF(SETUP!$E$7="USD",((IF(O454="USD",P454,(P454/'Master Data-C19RM'!$C$2)))),((IF(O454="EUR",P454,(P454*'Master Data-C19RM'!$C$2))))))</f>
        <v>0</v>
      </c>
      <c r="BP454" s="12">
        <f>IF(N454="",0,IF(SETUP!$E$7="USD",((IF(O454="USD",W454,(W454/'Master Data-C19RM'!$D$2)))),((IF(O454="EUR",W454,(W454*'Master Data-C19RM'!$D$2))))))</f>
        <v>0</v>
      </c>
      <c r="BQ454">
        <f>IF(N454="",0,IF(SETUP!$E$7="USD",((IF(O454="USD",AD454,(AD454/'Master Data-C19RM'!$E$2)))),((IF(O454="EUR",AD454,(AD454*'Master Data-C19RM'!$E$2))))))</f>
        <v>0</v>
      </c>
      <c r="BR454">
        <f>IF(N454="",0,IF(SETUP!$E$7="USD",((IF(O454="USD",AK454,(AK454/'Master Data-C19RM'!$F$2)))),((IF(O454="EUR",AK454,(AK454*'Master Data-C19RM'!$F$2))))))</f>
        <v>0</v>
      </c>
      <c r="BS454">
        <f>IF(N454="",0,IF(SETUP!$E$7="USD",((IF(O454="USD",AR454,(AR454/'Master Data-C19RM'!$G$2)))),((IF(O454="EUR",AR454,(AR454*'Master Data-C19RM'!$G$2))))))</f>
        <v>0</v>
      </c>
      <c r="BT454">
        <f>IF(N454="",0,IF(SETUP!$E$7="USD",((IF(O454="USD",AY454,(AY454/'Master Data-C19RM'!$H$2)))),((IF(O454="EUR",AY454,(AY454*'Master Data-C19RM'!$H$2))))))</f>
        <v>0</v>
      </c>
      <c r="BU454" s="12">
        <f t="shared" si="59"/>
        <v>0</v>
      </c>
      <c r="BV454" s="142">
        <f t="shared" si="60"/>
        <v>0</v>
      </c>
    </row>
    <row r="455" spans="1:74" x14ac:dyDescent="0.35">
      <c r="A455" s="1192"/>
      <c r="B455" s="1192"/>
      <c r="C455" s="1192"/>
      <c r="D455" s="1192"/>
      <c r="E455" s="1173"/>
      <c r="F455" s="1173"/>
      <c r="G455" s="1173"/>
      <c r="H455" s="1173"/>
      <c r="I455" s="1173"/>
      <c r="J455" s="1173"/>
      <c r="K455" s="1173"/>
      <c r="L455" s="493" t="str" cm="1">
        <f t="array" ref="L455">IF(A455&lt;&gt;"",IFERROR(INDEX(PMtbl[[WKst]:[Unit of measure*]],MATCH($A$437&amp;$A455&amp;$E455&amp;$I455,INDEX(PMtbl[Sec]&amp;PMtbl[Category]&amp;PMtbl[Each]&amp;PMtbl[Packaging],0,),0),14),""),"")</f>
        <v/>
      </c>
      <c r="M455" s="480" t="str">
        <f>IF(L455="","",INDEX(SETUP!$E$20:$E$122,(MATCH(INDEX(PMsheet!$D:$E,MATCH(A455,PMsheet!E:E,0),1),SETUP!$D$20:$D$122,0))))</f>
        <v/>
      </c>
      <c r="N455" s="494">
        <f>IF($O455="USD",_xlfn.IFNA(VLOOKUP(A455&amp;E455&amp;I455,PMsheet!J:K,2,0),0),(_xlfn.IFNA(VLOOKUP(A455&amp;E455&amp;I455,PMsheet!J:K,2,0),0)*'Master Data-C19RM'!$C$2))</f>
        <v>0</v>
      </c>
      <c r="O455" s="495" t="str">
        <f>IF(L455="", "",SETUP!$E$7)</f>
        <v/>
      </c>
      <c r="P455" s="445">
        <f>IF($O455="USD",_xlfn.IFNA(VLOOKUP($A455&amp;$E455&amp;$I455,PMsheet!$J:$K,2,0),0),(_xlfn.IFNA(VLOOKUP($A455&amp;$E455&amp;$I455,PMsheet!$J:$K,2,0),0)*'Master Data-C19RM'!$C$2))</f>
        <v>0</v>
      </c>
      <c r="Q455" s="440"/>
      <c r="R455" s="440"/>
      <c r="S455" s="440"/>
      <c r="T455" s="440"/>
      <c r="U455" s="482">
        <f t="shared" si="61"/>
        <v>0</v>
      </c>
      <c r="V455" s="484">
        <f>IF(SETUP!$E$7="USD",(U455*(IF(O455="USD",P455,(P455/'Master Data-C19RM'!$C$2)))),(U455*(IF(O455="EUR",P455,(P455*'Master Data-C19RM'!$C$2)))))</f>
        <v>0</v>
      </c>
      <c r="W455" s="445">
        <f>IF($O455="USD",_xlfn.IFNA(VLOOKUP($A455&amp;$E455&amp;$I455,PMsheet!$J:$K,2,0),0),(_xlfn.IFNA(VLOOKUP($A455&amp;$E455&amp;$I455,PMsheet!$J:$K,2,0),0)*'Master Data-C19RM'!$D$2))</f>
        <v>0</v>
      </c>
      <c r="X455" s="440"/>
      <c r="Y455" s="440"/>
      <c r="Z455" s="440"/>
      <c r="AA455" s="440"/>
      <c r="AB455" s="482">
        <f t="shared" si="62"/>
        <v>0</v>
      </c>
      <c r="AC455" s="484">
        <f>IF(SETUP!$E$7="USD",(AB455*(IF(O455="USD",W455,(W455/'Master Data-C19RM'!$D$2)))),(AB455*(IF(O455="EUR",W455,(W455*'Master Data-C19RM'!$D$2)))))</f>
        <v>0</v>
      </c>
      <c r="AD455" s="445">
        <f>IF($O455="USD",_xlfn.IFNA(VLOOKUP($A455&amp;$E455&amp;$I455,PMsheet!$J:$K,2,0),0),(_xlfn.IFNA(VLOOKUP($A455&amp;$E455&amp;$I455,PMsheet!$J:$K,2,0),0)*'Master Data-C19RM'!$E$2))</f>
        <v>0</v>
      </c>
      <c r="AE455" s="440"/>
      <c r="AF455" s="440"/>
      <c r="AG455" s="440"/>
      <c r="AH455" s="440"/>
      <c r="AI455" s="514">
        <f t="shared" si="63"/>
        <v>0</v>
      </c>
      <c r="AJ455" s="515">
        <f>IF(SETUP!$E$7="USD",(AI455*(IF(O455="USD",AD455,(AD455/'Master Data-C19RM'!$E$2)))),(AI455*(IF(O455="EUR",AD455,(AD455*'Master Data-C19RM'!$E$2)))))</f>
        <v>0</v>
      </c>
      <c r="AK455" s="445">
        <f>IF($O455="USD",_xlfn.IFNA(VLOOKUP($A455&amp;$E455&amp;$I455,PMsheet!$J:$K,2,0),0),(_xlfn.IFNA(VLOOKUP($A455&amp;$E455&amp;$I455,PMsheet!$J:$K,2,0),0)*'Master Data-C19RM'!$F$2))</f>
        <v>0</v>
      </c>
      <c r="AL455" s="440"/>
      <c r="AM455" s="440"/>
      <c r="AN455" s="440"/>
      <c r="AO455" s="440"/>
      <c r="AP455" s="514">
        <f t="shared" si="64"/>
        <v>0</v>
      </c>
      <c r="AQ455" s="515">
        <f>IF(SETUP!$E$7="USD",(AP455*(IF(O455="USD",AK455,(AK455/'Master Data-C19RM'!$F$2)))),(AP455*(IF(O455="EUR",AK455,(AK455*'Master Data-C19RM'!$F$2)))))</f>
        <v>0</v>
      </c>
      <c r="AR455" s="925">
        <f>IF($O455="USD",_xlfn.IFNA(VLOOKUP($A455&amp;$E455&amp;$I455,PMsheet!$J:$K,2,0),0),(_xlfn.IFNA(VLOOKUP($A455&amp;$E455&amp;$I455,PMsheet!$J:$K,2,0),0)*'Master Data-C19RM'!$G$2))</f>
        <v>0</v>
      </c>
      <c r="AS455" s="926"/>
      <c r="AT455" s="926"/>
      <c r="AU455" s="926"/>
      <c r="AV455" s="926"/>
      <c r="AW455" s="514">
        <f t="shared" si="65"/>
        <v>0</v>
      </c>
      <c r="AX455" s="514">
        <f>IF(SETUP!$E$7="USD",(AW455*(IF(O455="USD",AR455,(AR455/'Master Data-C19RM'!$G$2)))),(AW455*(IF(O455="EUR",AR455,(AR455*'Master Data-C19RM'!$G$2)))))</f>
        <v>0</v>
      </c>
      <c r="AY455" s="845"/>
      <c r="AZ455" s="846"/>
      <c r="BA455" s="846"/>
      <c r="BB455" s="846"/>
      <c r="BC455" s="846"/>
      <c r="BD455" s="846"/>
      <c r="BE455" s="847"/>
      <c r="BF455" s="521">
        <f>'C19RM 2021-Lab &amp; Other HPS'!$U455+'C19RM 2021-Lab &amp; Other HPS'!$AB455+'C19RM 2021-Lab &amp; Other HPS'!$AP455+'C19RM 2021-Lab &amp; Other HPS'!$AI455+AW455+BD455</f>
        <v>0</v>
      </c>
      <c r="BG455" s="515">
        <f>'C19RM 2021-Lab &amp; Other HPS'!$V455+'C19RM 2021-Lab &amp; Other HPS'!$AC455+'C19RM 2021-Lab &amp; Other HPS'!$AQ455+'C19RM 2021-Lab &amp; Other HPS'!$AJ455+AX455+BE455</f>
        <v>0</v>
      </c>
      <c r="BH455" s="522" t="str" cm="1">
        <f t="array" ref="BH455">IF(A455&lt;&gt;"",IFERROR(INDEX(PMtbl[[WKst]:[Unit of measure*]],MATCH($A$437&amp;$A455&amp;$E455&amp;$I455,INDEX(PMtbl[Sec]&amp;PMtbl[Category]&amp;PMtbl[Each]&amp;PMtbl[Packaging],0,),0),11),""),"")</f>
        <v/>
      </c>
      <c r="BI455" s="818"/>
      <c r="BJ455" s="503" t="str" cm="1">
        <f t="array" ref="BJ455">IFERROR(INDEX(SETUP!$C$19:$G$121,MATCH((INDEX(PMtbl[[WKst]:[Unit of measure*]],MATCH($A455&amp;$E455&amp;$I455,INDEX(PMtbl[Category]&amp;PMtbl[Each]&amp;PMtbl[Packaging],0,),0),3)),SETUP!$D$19:$D$121,0),5),"")</f>
        <v/>
      </c>
      <c r="BK455" s="537" t="str" cm="1">
        <f t="array" ref="BK455">IFERROR(IF((INDEX(SETUP!$C$19:$G$121,MATCH((INDEX(PMtbl[[WKst]:[Unit of measure*]],MATCH($A455&amp;$E455&amp;$I455,INDEX(PMtbl[Category]&amp;PMtbl[Each]&amp;PMtbl[Packaging],0,),0),3)),SETUP!$D$19:$D$121,0),4))="Upfront",0,INDEX(SETUP!$C$19:$G$121,MATCH((INDEX(PMtbl[[WKst]:[Unit of measure*]],MATCH($A455&amp;$E455&amp;$I455,INDEX(PMtbl[Category]&amp;PMtbl[Each]&amp;PMtbl[Packaging],0,),0),3)),SETUP!$D$19:$D$121,0),5)),"")</f>
        <v/>
      </c>
      <c r="BL455" s="578" t="str" cm="1">
        <f t="array" ref="BL455">IF(E455&lt;&gt;"",IFERROR(INDEX(PMtbl[[WKst]:[Unit of measure*]],MATCH($A$437&amp;$A455&amp;$E455&amp;$I455,INDEX(PMtbl[Sec]&amp;PMtbl[Category]&amp;PMtbl[Each]&amp;PMtbl[Packaging],0,),0),11),""),"")</f>
        <v/>
      </c>
      <c r="BO455" s="12">
        <f>IF(N455="",0,IF(SETUP!$E$7="USD",((IF(O455="USD",P455,(P455/'Master Data-C19RM'!$C$2)))),((IF(O455="EUR",P455,(P455*'Master Data-C19RM'!$C$2))))))</f>
        <v>0</v>
      </c>
      <c r="BP455" s="12">
        <f>IF(N455="",0,IF(SETUP!$E$7="USD",((IF(O455="USD",W455,(W455/'Master Data-C19RM'!$D$2)))),((IF(O455="EUR",W455,(W455*'Master Data-C19RM'!$D$2))))))</f>
        <v>0</v>
      </c>
      <c r="BQ455">
        <f>IF(N455="",0,IF(SETUP!$E$7="USD",((IF(O455="USD",AD455,(AD455/'Master Data-C19RM'!$E$2)))),((IF(O455="EUR",AD455,(AD455*'Master Data-C19RM'!$E$2))))))</f>
        <v>0</v>
      </c>
      <c r="BR455">
        <f>IF(N455="",0,IF(SETUP!$E$7="USD",((IF(O455="USD",AK455,(AK455/'Master Data-C19RM'!$F$2)))),((IF(O455="EUR",AK455,(AK455*'Master Data-C19RM'!$F$2))))))</f>
        <v>0</v>
      </c>
      <c r="BS455">
        <f>IF(N455="",0,IF(SETUP!$E$7="USD",((IF(O455="USD",AR455,(AR455/'Master Data-C19RM'!$G$2)))),((IF(O455="EUR",AR455,(AR455*'Master Data-C19RM'!$G$2))))))</f>
        <v>0</v>
      </c>
      <c r="BT455">
        <f>IF(N455="",0,IF(SETUP!$E$7="USD",((IF(O455="USD",AY455,(AY455/'Master Data-C19RM'!$H$2)))),((IF(O455="EUR",AY455,(AY455*'Master Data-C19RM'!$H$2))))))</f>
        <v>0</v>
      </c>
      <c r="BU455" s="12">
        <f t="shared" si="59"/>
        <v>0</v>
      </c>
      <c r="BV455" s="142">
        <f t="shared" si="60"/>
        <v>0</v>
      </c>
    </row>
    <row r="456" spans="1:74" x14ac:dyDescent="0.35">
      <c r="A456" s="1165"/>
      <c r="B456" s="1165"/>
      <c r="C456" s="1165"/>
      <c r="D456" s="1165"/>
      <c r="E456" s="1166"/>
      <c r="F456" s="1166"/>
      <c r="G456" s="1166"/>
      <c r="H456" s="1166"/>
      <c r="I456" s="1166"/>
      <c r="J456" s="1166"/>
      <c r="K456" s="1166"/>
      <c r="L456" s="490" t="str" cm="1">
        <f t="array" ref="L456">IF(A456&lt;&gt;"",IFERROR(INDEX(PMtbl[[WKst]:[Unit of measure*]],MATCH($A$437&amp;$A456&amp;$E456&amp;$I456,INDEX(PMtbl[Sec]&amp;PMtbl[Category]&amp;PMtbl[Each]&amp;PMtbl[Packaging],0,),0),14),""),"")</f>
        <v/>
      </c>
      <c r="M456" s="479" t="str">
        <f>IF(L456="","",INDEX(SETUP!$E$20:$E$122,(MATCH(INDEX(PMsheet!$D:$E,MATCH(A456,PMsheet!E:E,0),1),SETUP!$D$20:$D$122,0))))</f>
        <v/>
      </c>
      <c r="N456" s="491">
        <f>IF($O456="USD",_xlfn.IFNA(VLOOKUP(A456&amp;E456&amp;I456,PMsheet!J:K,2,0),0),(_xlfn.IFNA(VLOOKUP(A456&amp;E456&amp;I456,PMsheet!J:K,2,0),0)*'Master Data-C19RM'!$C$2))</f>
        <v>0</v>
      </c>
      <c r="O456" s="492" t="str">
        <f>IF(L456="", "",SETUP!$E$7)</f>
        <v/>
      </c>
      <c r="P456" s="444">
        <f>IF($O456="USD",_xlfn.IFNA(VLOOKUP($A456&amp;$E456&amp;$I456,PMsheet!$J:$K,2,0),0),(_xlfn.IFNA(VLOOKUP($A456&amp;$E456&amp;$I456,PMsheet!$J:$K,2,0),0)*'Master Data-C19RM'!$C$2))</f>
        <v>0</v>
      </c>
      <c r="Q456" s="441"/>
      <c r="R456" s="441"/>
      <c r="S456" s="441"/>
      <c r="T456" s="441"/>
      <c r="U456" s="481">
        <f t="shared" si="61"/>
        <v>0</v>
      </c>
      <c r="V456" s="483">
        <f>IF(SETUP!$E$7="USD",(U456*(IF(O456="USD",P456,(P456/'Master Data-C19RM'!$C$2)))),(U456*(IF(O456="EUR",P456,(P456*'Master Data-C19RM'!$C$2)))))</f>
        <v>0</v>
      </c>
      <c r="W456" s="444">
        <f>IF($O456="USD",_xlfn.IFNA(VLOOKUP($A456&amp;$E456&amp;$I456,PMsheet!$J:$K,2,0),0),(_xlfn.IFNA(VLOOKUP($A456&amp;$E456&amp;$I456,PMsheet!$J:$K,2,0),0)*'Master Data-C19RM'!$D$2))</f>
        <v>0</v>
      </c>
      <c r="X456" s="441"/>
      <c r="Y456" s="441"/>
      <c r="Z456" s="441"/>
      <c r="AA456" s="441"/>
      <c r="AB456" s="481">
        <f t="shared" si="62"/>
        <v>0</v>
      </c>
      <c r="AC456" s="483">
        <f>IF(SETUP!$E$7="USD",(AB456*(IF(O456="USD",W456,(W456/'Master Data-C19RM'!$D$2)))),(AB456*(IF(O456="EUR",W456,(W456*'Master Data-C19RM'!$D$2)))))</f>
        <v>0</v>
      </c>
      <c r="AD456" s="444">
        <f>IF($O456="USD",_xlfn.IFNA(VLOOKUP($A456&amp;$E456&amp;$I456,PMsheet!$J:$K,2,0),0),(_xlfn.IFNA(VLOOKUP($A456&amp;$E456&amp;$I456,PMsheet!$J:$K,2,0),0)*'Master Data-C19RM'!$E$2))</f>
        <v>0</v>
      </c>
      <c r="AE456" s="441"/>
      <c r="AF456" s="441"/>
      <c r="AG456" s="441"/>
      <c r="AH456" s="441"/>
      <c r="AI456" s="512">
        <f t="shared" si="63"/>
        <v>0</v>
      </c>
      <c r="AJ456" s="513">
        <f>IF(SETUP!$E$7="USD",(AI456*(IF(O456="USD",AD456,(AD456/'Master Data-C19RM'!$E$2)))),(AI456*(IF(O456="EUR",AD456,(AD456*'Master Data-C19RM'!$E$2)))))</f>
        <v>0</v>
      </c>
      <c r="AK456" s="444">
        <f>IF($O456="USD",_xlfn.IFNA(VLOOKUP($A456&amp;$E456&amp;$I456,PMsheet!$J:$K,2,0),0),(_xlfn.IFNA(VLOOKUP($A456&amp;$E456&amp;$I456,PMsheet!$J:$K,2,0),0)*'Master Data-C19RM'!$F$2))</f>
        <v>0</v>
      </c>
      <c r="AL456" s="441"/>
      <c r="AM456" s="441"/>
      <c r="AN456" s="441"/>
      <c r="AO456" s="441"/>
      <c r="AP456" s="512">
        <f t="shared" si="64"/>
        <v>0</v>
      </c>
      <c r="AQ456" s="513">
        <f>IF(SETUP!$E$7="USD",(AP456*(IF(O456="USD",AK456,(AK456/'Master Data-C19RM'!$F$2)))),(AP456*(IF(O456="EUR",AK456,(AK456*'Master Data-C19RM'!$F$2)))))</f>
        <v>0</v>
      </c>
      <c r="AR456" s="924">
        <f>IF($O456="USD",_xlfn.IFNA(VLOOKUP($A456&amp;$E456&amp;$I456,PMsheet!$J:$K,2,0),0),(_xlfn.IFNA(VLOOKUP($A456&amp;$E456&amp;$I456,PMsheet!$J:$K,2,0),0)*'Master Data-C19RM'!$G$2))</f>
        <v>0</v>
      </c>
      <c r="AS456" s="572"/>
      <c r="AT456" s="572"/>
      <c r="AU456" s="572"/>
      <c r="AV456" s="572"/>
      <c r="AW456" s="512">
        <f t="shared" si="65"/>
        <v>0</v>
      </c>
      <c r="AX456" s="512">
        <f>IF(SETUP!$E$7="USD",(AW456*(IF(O456="USD",AR456,(AR456/'Master Data-C19RM'!$G$2)))),(AW456*(IF(O456="EUR",AR456,(AR456*'Master Data-C19RM'!$G$2)))))</f>
        <v>0</v>
      </c>
      <c r="AY456" s="845"/>
      <c r="AZ456" s="846"/>
      <c r="BA456" s="846"/>
      <c r="BB456" s="846"/>
      <c r="BC456" s="846"/>
      <c r="BD456" s="846"/>
      <c r="BE456" s="847"/>
      <c r="BF456" s="520">
        <f>'C19RM 2021-Lab &amp; Other HPS'!$U456+'C19RM 2021-Lab &amp; Other HPS'!$AB456+'C19RM 2021-Lab &amp; Other HPS'!$AP456+'C19RM 2021-Lab &amp; Other HPS'!$AI456+AW456+BD456</f>
        <v>0</v>
      </c>
      <c r="BG456" s="513">
        <f>'C19RM 2021-Lab &amp; Other HPS'!$V456+'C19RM 2021-Lab &amp; Other HPS'!$AC456+'C19RM 2021-Lab &amp; Other HPS'!$AQ456+'C19RM 2021-Lab &amp; Other HPS'!$AJ456+AX456+BE456</f>
        <v>0</v>
      </c>
      <c r="BH456" s="500" t="str" cm="1">
        <f t="array" ref="BH456">IF(A456&lt;&gt;"",IFERROR(INDEX(PMtbl[[WKst]:[Unit of measure*]],MATCH($A$437&amp;$A456&amp;$E456&amp;$I456,INDEX(PMtbl[Sec]&amp;PMtbl[Category]&amp;PMtbl[Each]&amp;PMtbl[Packaging],0,),0),11),""),"")</f>
        <v/>
      </c>
      <c r="BI456" s="819"/>
      <c r="BJ456" s="502" t="str" cm="1">
        <f t="array" ref="BJ456">IFERROR(INDEX(SETUP!$C$19:$G$121,MATCH((INDEX(PMtbl[[WKst]:[Unit of measure*]],MATCH($A456&amp;$E456&amp;$I456,INDEX(PMtbl[Category]&amp;PMtbl[Each]&amp;PMtbl[Packaging],0,),0),3)),SETUP!$D$19:$D$121,0),5),"")</f>
        <v/>
      </c>
      <c r="BK456" s="536" t="str" cm="1">
        <f t="array" ref="BK456">IFERROR(IF((INDEX(SETUP!$C$19:$G$121,MATCH((INDEX(PMtbl[[WKst]:[Unit of measure*]],MATCH($A456&amp;$E456&amp;$I456,INDEX(PMtbl[Category]&amp;PMtbl[Each]&amp;PMtbl[Packaging],0,),0),3)),SETUP!$D$19:$D$121,0),4))="Upfront",0,INDEX(SETUP!$C$19:$G$121,MATCH((INDEX(PMtbl[[WKst]:[Unit of measure*]],MATCH($A456&amp;$E456&amp;$I456,INDEX(PMtbl[Category]&amp;PMtbl[Each]&amp;PMtbl[Packaging],0,),0),3)),SETUP!$D$19:$D$121,0),5)),"")</f>
        <v/>
      </c>
      <c r="BL456" s="577" t="str" cm="1">
        <f t="array" ref="BL456">IF(E456&lt;&gt;"",IFERROR(INDEX(PMtbl[[WKst]:[Unit of measure*]],MATCH($A$437&amp;$A456&amp;$E456&amp;$I456,INDEX(PMtbl[Sec]&amp;PMtbl[Category]&amp;PMtbl[Each]&amp;PMtbl[Packaging],0,),0),11),""),"")</f>
        <v/>
      </c>
      <c r="BO456" s="12">
        <f>IF(N456="",0,IF(SETUP!$E$7="USD",((IF(O456="USD",P456,(P456/'Master Data-C19RM'!$C$2)))),((IF(O456="EUR",P456,(P456*'Master Data-C19RM'!$C$2))))))</f>
        <v>0</v>
      </c>
      <c r="BP456" s="12">
        <f>IF(N456="",0,IF(SETUP!$E$7="USD",((IF(O456="USD",W456,(W456/'Master Data-C19RM'!$D$2)))),((IF(O456="EUR",W456,(W456*'Master Data-C19RM'!$D$2))))))</f>
        <v>0</v>
      </c>
      <c r="BQ456">
        <f>IF(N456="",0,IF(SETUP!$E$7="USD",((IF(O456="USD",AD456,(AD456/'Master Data-C19RM'!$E$2)))),((IF(O456="EUR",AD456,(AD456*'Master Data-C19RM'!$E$2))))))</f>
        <v>0</v>
      </c>
      <c r="BR456">
        <f>IF(N456="",0,IF(SETUP!$E$7="USD",((IF(O456="USD",AK456,(AK456/'Master Data-C19RM'!$F$2)))),((IF(O456="EUR",AK456,(AK456*'Master Data-C19RM'!$F$2))))))</f>
        <v>0</v>
      </c>
      <c r="BS456">
        <f>IF(N456="",0,IF(SETUP!$E$7="USD",((IF(O456="USD",AR456,(AR456/'Master Data-C19RM'!$G$2)))),((IF(O456="EUR",AR456,(AR456*'Master Data-C19RM'!$G$2))))))</f>
        <v>0</v>
      </c>
      <c r="BT456">
        <f>IF(N456="",0,IF(SETUP!$E$7="USD",((IF(O456="USD",AY456,(AY456/'Master Data-C19RM'!$H$2)))),((IF(O456="EUR",AY456,(AY456*'Master Data-C19RM'!$H$2))))))</f>
        <v>0</v>
      </c>
      <c r="BU456" s="12">
        <f t="shared" si="59"/>
        <v>0</v>
      </c>
      <c r="BV456" s="142">
        <f t="shared" si="60"/>
        <v>0</v>
      </c>
    </row>
    <row r="457" spans="1:74" x14ac:dyDescent="0.35">
      <c r="A457" s="1192"/>
      <c r="B457" s="1192"/>
      <c r="C457" s="1192"/>
      <c r="D457" s="1192"/>
      <c r="E457" s="1173"/>
      <c r="F457" s="1173"/>
      <c r="G457" s="1173"/>
      <c r="H457" s="1173"/>
      <c r="I457" s="1173"/>
      <c r="J457" s="1173"/>
      <c r="K457" s="1173"/>
      <c r="L457" s="493" t="str" cm="1">
        <f t="array" ref="L457">IF(A457&lt;&gt;"",IFERROR(INDEX(PMtbl[[WKst]:[Unit of measure*]],MATCH($A$437&amp;$A457&amp;$E457&amp;$I457,INDEX(PMtbl[Sec]&amp;PMtbl[Category]&amp;PMtbl[Each]&amp;PMtbl[Packaging],0,),0),14),""),"")</f>
        <v/>
      </c>
      <c r="M457" s="480" t="str">
        <f>IF(L457="","",INDEX(SETUP!$E$20:$E$122,(MATCH(INDEX(PMsheet!$D:$E,MATCH(A457,PMsheet!E:E,0),1),SETUP!$D$20:$D$122,0))))</f>
        <v/>
      </c>
      <c r="N457" s="494">
        <f>IF($O457="USD",_xlfn.IFNA(VLOOKUP(A457&amp;E457&amp;I457,PMsheet!J:K,2,0),0),(_xlfn.IFNA(VLOOKUP(A457&amp;E457&amp;I457,PMsheet!J:K,2,0),0)*'Master Data-C19RM'!$C$2))</f>
        <v>0</v>
      </c>
      <c r="O457" s="495" t="str">
        <f>IF(L457="", "",SETUP!$E$7)</f>
        <v/>
      </c>
      <c r="P457" s="445">
        <f>IF($O457="USD",_xlfn.IFNA(VLOOKUP($A457&amp;$E457&amp;$I457,PMsheet!$J:$K,2,0),0),(_xlfn.IFNA(VLOOKUP($A457&amp;$E457&amp;$I457,PMsheet!$J:$K,2,0),0)*'Master Data-C19RM'!$C$2))</f>
        <v>0</v>
      </c>
      <c r="Q457" s="440"/>
      <c r="R457" s="440"/>
      <c r="S457" s="440"/>
      <c r="T457" s="440"/>
      <c r="U457" s="482">
        <f t="shared" si="61"/>
        <v>0</v>
      </c>
      <c r="V457" s="484">
        <f>IF(SETUP!$E$7="USD",(U457*(IF(O457="USD",P457,(P457/'Master Data-C19RM'!$C$2)))),(U457*(IF(O457="EUR",P457,(P457*'Master Data-C19RM'!$C$2)))))</f>
        <v>0</v>
      </c>
      <c r="W457" s="445">
        <f>IF($O457="USD",_xlfn.IFNA(VLOOKUP($A457&amp;$E457&amp;$I457,PMsheet!$J:$K,2,0),0),(_xlfn.IFNA(VLOOKUP($A457&amp;$E457&amp;$I457,PMsheet!$J:$K,2,0),0)*'Master Data-C19RM'!$D$2))</f>
        <v>0</v>
      </c>
      <c r="X457" s="440"/>
      <c r="Y457" s="440"/>
      <c r="Z457" s="440"/>
      <c r="AA457" s="440"/>
      <c r="AB457" s="482">
        <f t="shared" si="62"/>
        <v>0</v>
      </c>
      <c r="AC457" s="484">
        <f>IF(SETUP!$E$7="USD",(AB457*(IF(O457="USD",W457,(W457/'Master Data-C19RM'!$D$2)))),(AB457*(IF(O457="EUR",W457,(W457*'Master Data-C19RM'!$D$2)))))</f>
        <v>0</v>
      </c>
      <c r="AD457" s="445">
        <f>IF($O457="USD",_xlfn.IFNA(VLOOKUP($A457&amp;$E457&amp;$I457,PMsheet!$J:$K,2,0),0),(_xlfn.IFNA(VLOOKUP($A457&amp;$E457&amp;$I457,PMsheet!$J:$K,2,0),0)*'Master Data-C19RM'!$E$2))</f>
        <v>0</v>
      </c>
      <c r="AE457" s="440"/>
      <c r="AF457" s="440"/>
      <c r="AG457" s="440"/>
      <c r="AH457" s="440"/>
      <c r="AI457" s="514">
        <f t="shared" si="63"/>
        <v>0</v>
      </c>
      <c r="AJ457" s="515">
        <f>IF(SETUP!$E$7="USD",(AI457*(IF(O457="USD",AD457,(AD457/'Master Data-C19RM'!$E$2)))),(AI457*(IF(O457="EUR",AD457,(AD457*'Master Data-C19RM'!$E$2)))))</f>
        <v>0</v>
      </c>
      <c r="AK457" s="445">
        <f>IF($O457="USD",_xlfn.IFNA(VLOOKUP($A457&amp;$E457&amp;$I457,PMsheet!$J:$K,2,0),0),(_xlfn.IFNA(VLOOKUP($A457&amp;$E457&amp;$I457,PMsheet!$J:$K,2,0),0)*'Master Data-C19RM'!$F$2))</f>
        <v>0</v>
      </c>
      <c r="AL457" s="440"/>
      <c r="AM457" s="440"/>
      <c r="AN457" s="440"/>
      <c r="AO457" s="440"/>
      <c r="AP457" s="514">
        <f t="shared" si="64"/>
        <v>0</v>
      </c>
      <c r="AQ457" s="515">
        <f>IF(SETUP!$E$7="USD",(AP457*(IF(O457="USD",AK457,(AK457/'Master Data-C19RM'!$F$2)))),(AP457*(IF(O457="EUR",AK457,(AK457*'Master Data-C19RM'!$F$2)))))</f>
        <v>0</v>
      </c>
      <c r="AR457" s="925">
        <f>IF($O457="USD",_xlfn.IFNA(VLOOKUP($A457&amp;$E457&amp;$I457,PMsheet!$J:$K,2,0),0),(_xlfn.IFNA(VLOOKUP($A457&amp;$E457&amp;$I457,PMsheet!$J:$K,2,0),0)*'Master Data-C19RM'!$G$2))</f>
        <v>0</v>
      </c>
      <c r="AS457" s="926"/>
      <c r="AT457" s="926"/>
      <c r="AU457" s="926"/>
      <c r="AV457" s="926"/>
      <c r="AW457" s="514">
        <f t="shared" si="65"/>
        <v>0</v>
      </c>
      <c r="AX457" s="514">
        <f>IF(SETUP!$E$7="USD",(AW457*(IF(O457="USD",AR457,(AR457/'Master Data-C19RM'!$G$2)))),(AW457*(IF(O457="EUR",AR457,(AR457*'Master Data-C19RM'!$G$2)))))</f>
        <v>0</v>
      </c>
      <c r="AY457" s="845"/>
      <c r="AZ457" s="846"/>
      <c r="BA457" s="846"/>
      <c r="BB457" s="846"/>
      <c r="BC457" s="846"/>
      <c r="BD457" s="846"/>
      <c r="BE457" s="847"/>
      <c r="BF457" s="521">
        <f>'C19RM 2021-Lab &amp; Other HPS'!$U457+'C19RM 2021-Lab &amp; Other HPS'!$AB457+'C19RM 2021-Lab &amp; Other HPS'!$AP457+'C19RM 2021-Lab &amp; Other HPS'!$AI457+AW457+BD457</f>
        <v>0</v>
      </c>
      <c r="BG457" s="515">
        <f>'C19RM 2021-Lab &amp; Other HPS'!$V457+'C19RM 2021-Lab &amp; Other HPS'!$AC457+'C19RM 2021-Lab &amp; Other HPS'!$AQ457+'C19RM 2021-Lab &amp; Other HPS'!$AJ457+AX457+BE457</f>
        <v>0</v>
      </c>
      <c r="BH457" s="522" t="str" cm="1">
        <f t="array" ref="BH457">IF(A457&lt;&gt;"",IFERROR(INDEX(PMtbl[[WKst]:[Unit of measure*]],MATCH($A$437&amp;$A457&amp;$E457&amp;$I457,INDEX(PMtbl[Sec]&amp;PMtbl[Category]&amp;PMtbl[Each]&amp;PMtbl[Packaging],0,),0),11),""),"")</f>
        <v/>
      </c>
      <c r="BI457" s="818"/>
      <c r="BJ457" s="503" t="str" cm="1">
        <f t="array" ref="BJ457">IFERROR(INDEX(SETUP!$C$19:$G$121,MATCH((INDEX(PMtbl[[WKst]:[Unit of measure*]],MATCH($A457&amp;$E457&amp;$I457,INDEX(PMtbl[Category]&amp;PMtbl[Each]&amp;PMtbl[Packaging],0,),0),3)),SETUP!$D$19:$D$121,0),5),"")</f>
        <v/>
      </c>
      <c r="BK457" s="537" t="str" cm="1">
        <f t="array" ref="BK457">IFERROR(IF((INDEX(SETUP!$C$19:$G$121,MATCH((INDEX(PMtbl[[WKst]:[Unit of measure*]],MATCH($A457&amp;$E457&amp;$I457,INDEX(PMtbl[Category]&amp;PMtbl[Each]&amp;PMtbl[Packaging],0,),0),3)),SETUP!$D$19:$D$121,0),4))="Upfront",0,INDEX(SETUP!$C$19:$G$121,MATCH((INDEX(PMtbl[[WKst]:[Unit of measure*]],MATCH($A457&amp;$E457&amp;$I457,INDEX(PMtbl[Category]&amp;PMtbl[Each]&amp;PMtbl[Packaging],0,),0),3)),SETUP!$D$19:$D$121,0),5)),"")</f>
        <v/>
      </c>
      <c r="BL457" s="578" t="str" cm="1">
        <f t="array" ref="BL457">IF(E457&lt;&gt;"",IFERROR(INDEX(PMtbl[[WKst]:[Unit of measure*]],MATCH($A$437&amp;$A457&amp;$E457&amp;$I457,INDEX(PMtbl[Sec]&amp;PMtbl[Category]&amp;PMtbl[Each]&amp;PMtbl[Packaging],0,),0),11),""),"")</f>
        <v/>
      </c>
      <c r="BO457" s="12">
        <f>IF(N457="",0,IF(SETUP!$E$7="USD",((IF(O457="USD",P457,(P457/'Master Data-C19RM'!$C$2)))),((IF(O457="EUR",P457,(P457*'Master Data-C19RM'!$C$2))))))</f>
        <v>0</v>
      </c>
      <c r="BP457" s="12">
        <f>IF(N457="",0,IF(SETUP!$E$7="USD",((IF(O457="USD",W457,(W457/'Master Data-C19RM'!$D$2)))),((IF(O457="EUR",W457,(W457*'Master Data-C19RM'!$D$2))))))</f>
        <v>0</v>
      </c>
      <c r="BQ457">
        <f>IF(N457="",0,IF(SETUP!$E$7="USD",((IF(O457="USD",AD457,(AD457/'Master Data-C19RM'!$E$2)))),((IF(O457="EUR",AD457,(AD457*'Master Data-C19RM'!$E$2))))))</f>
        <v>0</v>
      </c>
      <c r="BR457">
        <f>IF(N457="",0,IF(SETUP!$E$7="USD",((IF(O457="USD",AK457,(AK457/'Master Data-C19RM'!$F$2)))),((IF(O457="EUR",AK457,(AK457*'Master Data-C19RM'!$F$2))))))</f>
        <v>0</v>
      </c>
      <c r="BS457">
        <f>IF(N457="",0,IF(SETUP!$E$7="USD",((IF(O457="USD",AR457,(AR457/'Master Data-C19RM'!$G$2)))),((IF(O457="EUR",AR457,(AR457*'Master Data-C19RM'!$G$2))))))</f>
        <v>0</v>
      </c>
      <c r="BT457">
        <f>IF(N457="",0,IF(SETUP!$E$7="USD",((IF(O457="USD",AY457,(AY457/'Master Data-C19RM'!$H$2)))),((IF(O457="EUR",AY457,(AY457*'Master Data-C19RM'!$H$2))))))</f>
        <v>0</v>
      </c>
      <c r="BU457" s="12">
        <f t="shared" si="59"/>
        <v>0</v>
      </c>
      <c r="BV457" s="142">
        <f t="shared" si="60"/>
        <v>0</v>
      </c>
    </row>
    <row r="458" spans="1:74" x14ac:dyDescent="0.35">
      <c r="A458" s="1165"/>
      <c r="B458" s="1165"/>
      <c r="C458" s="1165"/>
      <c r="D458" s="1165"/>
      <c r="E458" s="1166"/>
      <c r="F458" s="1166"/>
      <c r="G458" s="1166"/>
      <c r="H458" s="1166"/>
      <c r="I458" s="1166"/>
      <c r="J458" s="1166"/>
      <c r="K458" s="1166"/>
      <c r="L458" s="490" t="str" cm="1">
        <f t="array" ref="L458">IF(A458&lt;&gt;"",IFERROR(INDEX(PMtbl[[WKst]:[Unit of measure*]],MATCH($A$437&amp;$A458&amp;$E458&amp;$I458,INDEX(PMtbl[Sec]&amp;PMtbl[Category]&amp;PMtbl[Each]&amp;PMtbl[Packaging],0,),0),14),""),"")</f>
        <v/>
      </c>
      <c r="M458" s="479" t="str">
        <f>IF(L458="","",INDEX(SETUP!$E$20:$E$122,(MATCH(INDEX(PMsheet!$D:$E,MATCH(A458,PMsheet!E:E,0),1),SETUP!$D$20:$D$122,0))))</f>
        <v/>
      </c>
      <c r="N458" s="491">
        <f>IF($O458="USD",_xlfn.IFNA(VLOOKUP(A458&amp;E458&amp;I458,PMsheet!J:K,2,0),0),(_xlfn.IFNA(VLOOKUP(A458&amp;E458&amp;I458,PMsheet!J:K,2,0),0)*'Master Data-C19RM'!$C$2))</f>
        <v>0</v>
      </c>
      <c r="O458" s="492" t="str">
        <f>IF(L458="", "",SETUP!$E$7)</f>
        <v/>
      </c>
      <c r="P458" s="444">
        <f>IF($O458="USD",_xlfn.IFNA(VLOOKUP($A458&amp;$E458&amp;$I458,PMsheet!$J:$K,2,0),0),(_xlfn.IFNA(VLOOKUP($A458&amp;$E458&amp;$I458,PMsheet!$J:$K,2,0),0)*'Master Data-C19RM'!$C$2))</f>
        <v>0</v>
      </c>
      <c r="Q458" s="441"/>
      <c r="R458" s="441"/>
      <c r="S458" s="441"/>
      <c r="T458" s="441"/>
      <c r="U458" s="481">
        <f t="shared" si="61"/>
        <v>0</v>
      </c>
      <c r="V458" s="483">
        <f>IF(SETUP!$E$7="USD",(U458*(IF(O458="USD",P458,(P458/'Master Data-C19RM'!$C$2)))),(U458*(IF(O458="EUR",P458,(P458*'Master Data-C19RM'!$C$2)))))</f>
        <v>0</v>
      </c>
      <c r="W458" s="444">
        <f>IF($O458="USD",_xlfn.IFNA(VLOOKUP($A458&amp;$E458&amp;$I458,PMsheet!$J:$K,2,0),0),(_xlfn.IFNA(VLOOKUP($A458&amp;$E458&amp;$I458,PMsheet!$J:$K,2,0),0)*'Master Data-C19RM'!$D$2))</f>
        <v>0</v>
      </c>
      <c r="X458" s="441"/>
      <c r="Y458" s="441"/>
      <c r="Z458" s="441"/>
      <c r="AA458" s="441"/>
      <c r="AB458" s="481">
        <f t="shared" si="62"/>
        <v>0</v>
      </c>
      <c r="AC458" s="483">
        <f>IF(SETUP!$E$7="USD",(AB458*(IF(O458="USD",W458,(W458/'Master Data-C19RM'!$D$2)))),(AB458*(IF(O458="EUR",W458,(W458*'Master Data-C19RM'!$D$2)))))</f>
        <v>0</v>
      </c>
      <c r="AD458" s="444">
        <f>IF($O458="USD",_xlfn.IFNA(VLOOKUP($A458&amp;$E458&amp;$I458,PMsheet!$J:$K,2,0),0),(_xlfn.IFNA(VLOOKUP($A458&amp;$E458&amp;$I458,PMsheet!$J:$K,2,0),0)*'Master Data-C19RM'!$E$2))</f>
        <v>0</v>
      </c>
      <c r="AE458" s="441"/>
      <c r="AF458" s="441"/>
      <c r="AG458" s="441"/>
      <c r="AH458" s="441"/>
      <c r="AI458" s="512">
        <f t="shared" si="63"/>
        <v>0</v>
      </c>
      <c r="AJ458" s="513">
        <f>IF(SETUP!$E$7="USD",(AI458*(IF(O458="USD",AD458,(AD458/'Master Data-C19RM'!$E$2)))),(AI458*(IF(O458="EUR",AD458,(AD458*'Master Data-C19RM'!$E$2)))))</f>
        <v>0</v>
      </c>
      <c r="AK458" s="444">
        <f>IF($O458="USD",_xlfn.IFNA(VLOOKUP($A458&amp;$E458&amp;$I458,PMsheet!$J:$K,2,0),0),(_xlfn.IFNA(VLOOKUP($A458&amp;$E458&amp;$I458,PMsheet!$J:$K,2,0),0)*'Master Data-C19RM'!$F$2))</f>
        <v>0</v>
      </c>
      <c r="AL458" s="441"/>
      <c r="AM458" s="441"/>
      <c r="AN458" s="441"/>
      <c r="AO458" s="441"/>
      <c r="AP458" s="512">
        <f t="shared" si="64"/>
        <v>0</v>
      </c>
      <c r="AQ458" s="513">
        <f>IF(SETUP!$E$7="USD",(AP458*(IF(O458="USD",AK458,(AK458/'Master Data-C19RM'!$F$2)))),(AP458*(IF(O458="EUR",AK458,(AK458*'Master Data-C19RM'!$F$2)))))</f>
        <v>0</v>
      </c>
      <c r="AR458" s="924">
        <f>IF($O458="USD",_xlfn.IFNA(VLOOKUP($A458&amp;$E458&amp;$I458,PMsheet!$J:$K,2,0),0),(_xlfn.IFNA(VLOOKUP($A458&amp;$E458&amp;$I458,PMsheet!$J:$K,2,0),0)*'Master Data-C19RM'!$G$2))</f>
        <v>0</v>
      </c>
      <c r="AS458" s="572"/>
      <c r="AT458" s="572"/>
      <c r="AU458" s="572"/>
      <c r="AV458" s="572"/>
      <c r="AW458" s="512">
        <f t="shared" si="65"/>
        <v>0</v>
      </c>
      <c r="AX458" s="512">
        <f>IF(SETUP!$E$7="USD",(AW458*(IF(O458="USD",AR458,(AR458/'Master Data-C19RM'!$G$2)))),(AW458*(IF(O458="EUR",AR458,(AR458*'Master Data-C19RM'!$G$2)))))</f>
        <v>0</v>
      </c>
      <c r="AY458" s="845"/>
      <c r="AZ458" s="846"/>
      <c r="BA458" s="846"/>
      <c r="BB458" s="846"/>
      <c r="BC458" s="846"/>
      <c r="BD458" s="846"/>
      <c r="BE458" s="847"/>
      <c r="BF458" s="520">
        <f>'C19RM 2021-Lab &amp; Other HPS'!$U458+'C19RM 2021-Lab &amp; Other HPS'!$AB458+'C19RM 2021-Lab &amp; Other HPS'!$AP458+'C19RM 2021-Lab &amp; Other HPS'!$AI458+AW458+BD458</f>
        <v>0</v>
      </c>
      <c r="BG458" s="513">
        <f>'C19RM 2021-Lab &amp; Other HPS'!$V458+'C19RM 2021-Lab &amp; Other HPS'!$AC458+'C19RM 2021-Lab &amp; Other HPS'!$AQ458+'C19RM 2021-Lab &amp; Other HPS'!$AJ458+AX458+BE458</f>
        <v>0</v>
      </c>
      <c r="BH458" s="500" t="str" cm="1">
        <f t="array" ref="BH458">IF(A458&lt;&gt;"",IFERROR(INDEX(PMtbl[[WKst]:[Unit of measure*]],MATCH($A$437&amp;$A458&amp;$E458&amp;$I458,INDEX(PMtbl[Sec]&amp;PMtbl[Category]&amp;PMtbl[Each]&amp;PMtbl[Packaging],0,),0),11),""),"")</f>
        <v/>
      </c>
      <c r="BI458" s="819"/>
      <c r="BJ458" s="502" t="str" cm="1">
        <f t="array" ref="BJ458">IFERROR(INDEX(SETUP!$C$19:$G$121,MATCH((INDEX(PMtbl[[WKst]:[Unit of measure*]],MATCH($A458&amp;$E458&amp;$I458,INDEX(PMtbl[Category]&amp;PMtbl[Each]&amp;PMtbl[Packaging],0,),0),3)),SETUP!$D$19:$D$121,0),5),"")</f>
        <v/>
      </c>
      <c r="BK458" s="536" t="str" cm="1">
        <f t="array" ref="BK458">IFERROR(IF((INDEX(SETUP!$C$19:$G$121,MATCH((INDEX(PMtbl[[WKst]:[Unit of measure*]],MATCH($A458&amp;$E458&amp;$I458,INDEX(PMtbl[Category]&amp;PMtbl[Each]&amp;PMtbl[Packaging],0,),0),3)),SETUP!$D$19:$D$121,0),4))="Upfront",0,INDEX(SETUP!$C$19:$G$121,MATCH((INDEX(PMtbl[[WKst]:[Unit of measure*]],MATCH($A458&amp;$E458&amp;$I458,INDEX(PMtbl[Category]&amp;PMtbl[Each]&amp;PMtbl[Packaging],0,),0),3)),SETUP!$D$19:$D$121,0),5)),"")</f>
        <v/>
      </c>
      <c r="BL458" s="577" t="str" cm="1">
        <f t="array" ref="BL458">IF(E458&lt;&gt;"",IFERROR(INDEX(PMtbl[[WKst]:[Unit of measure*]],MATCH($A$437&amp;$A458&amp;$E458&amp;$I458,INDEX(PMtbl[Sec]&amp;PMtbl[Category]&amp;PMtbl[Each]&amp;PMtbl[Packaging],0,),0),11),""),"")</f>
        <v/>
      </c>
      <c r="BO458" s="12">
        <f>IF(N458="",0,IF(SETUP!$E$7="USD",((IF(O458="USD",P458,(P458/'Master Data-C19RM'!$C$2)))),((IF(O458="EUR",P458,(P458*'Master Data-C19RM'!$C$2))))))</f>
        <v>0</v>
      </c>
      <c r="BP458" s="12">
        <f>IF(N458="",0,IF(SETUP!$E$7="USD",((IF(O458="USD",W458,(W458/'Master Data-C19RM'!$D$2)))),((IF(O458="EUR",W458,(W458*'Master Data-C19RM'!$D$2))))))</f>
        <v>0</v>
      </c>
      <c r="BQ458">
        <f>IF(N458="",0,IF(SETUP!$E$7="USD",((IF(O458="USD",AD458,(AD458/'Master Data-C19RM'!$E$2)))),((IF(O458="EUR",AD458,(AD458*'Master Data-C19RM'!$E$2))))))</f>
        <v>0</v>
      </c>
      <c r="BR458">
        <f>IF(N458="",0,IF(SETUP!$E$7="USD",((IF(O458="USD",AK458,(AK458/'Master Data-C19RM'!$F$2)))),((IF(O458="EUR",AK458,(AK458*'Master Data-C19RM'!$F$2))))))</f>
        <v>0</v>
      </c>
      <c r="BS458">
        <f>IF(N458="",0,IF(SETUP!$E$7="USD",((IF(O458="USD",AR458,(AR458/'Master Data-C19RM'!$G$2)))),((IF(O458="EUR",AR458,(AR458*'Master Data-C19RM'!$G$2))))))</f>
        <v>0</v>
      </c>
      <c r="BT458">
        <f>IF(N458="",0,IF(SETUP!$E$7="USD",((IF(O458="USD",AY458,(AY458/'Master Data-C19RM'!$H$2)))),((IF(O458="EUR",AY458,(AY458*'Master Data-C19RM'!$H$2))))))</f>
        <v>0</v>
      </c>
      <c r="BU458" s="12">
        <f t="shared" si="59"/>
        <v>0</v>
      </c>
      <c r="BV458" s="142">
        <f t="shared" si="60"/>
        <v>0</v>
      </c>
    </row>
    <row r="459" spans="1:74" x14ac:dyDescent="0.35">
      <c r="A459" s="1192"/>
      <c r="B459" s="1192"/>
      <c r="C459" s="1192"/>
      <c r="D459" s="1192"/>
      <c r="E459" s="1173"/>
      <c r="F459" s="1173"/>
      <c r="G459" s="1173"/>
      <c r="H459" s="1173"/>
      <c r="I459" s="1173"/>
      <c r="J459" s="1173"/>
      <c r="K459" s="1173"/>
      <c r="L459" s="493" t="str" cm="1">
        <f t="array" ref="L459">IF(A459&lt;&gt;"",IFERROR(INDEX(PMtbl[[WKst]:[Unit of measure*]],MATCH($A$437&amp;$A459&amp;$E459&amp;$I459,INDEX(PMtbl[Sec]&amp;PMtbl[Category]&amp;PMtbl[Each]&amp;PMtbl[Packaging],0,),0),14),""),"")</f>
        <v/>
      </c>
      <c r="M459" s="480" t="str">
        <f>IF(L459="","",INDEX(SETUP!$E$20:$E$122,(MATCH(INDEX(PMsheet!$D:$E,MATCH(A459,PMsheet!E:E,0),1),SETUP!$D$20:$D$122,0))))</f>
        <v/>
      </c>
      <c r="N459" s="494">
        <f>IF($O459="USD",_xlfn.IFNA(VLOOKUP(A459&amp;E459&amp;I459,PMsheet!J:K,2,0),0),(_xlfn.IFNA(VLOOKUP(A459&amp;E459&amp;I459,PMsheet!J:K,2,0),0)*'Master Data-C19RM'!$C$2))</f>
        <v>0</v>
      </c>
      <c r="O459" s="495" t="str">
        <f>IF(L459="", "",SETUP!$E$7)</f>
        <v/>
      </c>
      <c r="P459" s="445">
        <f>IF($O459="USD",_xlfn.IFNA(VLOOKUP($A459&amp;$E459&amp;$I459,PMsheet!$J:$K,2,0),0),(_xlfn.IFNA(VLOOKUP($A459&amp;$E459&amp;$I459,PMsheet!$J:$K,2,0),0)*'Master Data-C19RM'!$C$2))</f>
        <v>0</v>
      </c>
      <c r="Q459" s="440"/>
      <c r="R459" s="440"/>
      <c r="S459" s="440"/>
      <c r="T459" s="440"/>
      <c r="U459" s="482">
        <f t="shared" si="61"/>
        <v>0</v>
      </c>
      <c r="V459" s="484">
        <f>IF(SETUP!$E$7="USD",(U459*(IF(O459="USD",P459,(P459/'Master Data-C19RM'!$C$2)))),(U459*(IF(O459="EUR",P459,(P459*'Master Data-C19RM'!$C$2)))))</f>
        <v>0</v>
      </c>
      <c r="W459" s="445">
        <f>IF($O459="USD",_xlfn.IFNA(VLOOKUP($A459&amp;$E459&amp;$I459,PMsheet!$J:$K,2,0),0),(_xlfn.IFNA(VLOOKUP($A459&amp;$E459&amp;$I459,PMsheet!$J:$K,2,0),0)*'Master Data-C19RM'!$D$2))</f>
        <v>0</v>
      </c>
      <c r="X459" s="440"/>
      <c r="Y459" s="440"/>
      <c r="Z459" s="440"/>
      <c r="AA459" s="440"/>
      <c r="AB459" s="482">
        <f t="shared" si="62"/>
        <v>0</v>
      </c>
      <c r="AC459" s="484">
        <f>IF(SETUP!$E$7="USD",(AB459*(IF(O459="USD",W459,(W459/'Master Data-C19RM'!$D$2)))),(AB459*(IF(O459="EUR",W459,(W459*'Master Data-C19RM'!$D$2)))))</f>
        <v>0</v>
      </c>
      <c r="AD459" s="445">
        <f>IF($O459="USD",_xlfn.IFNA(VLOOKUP($A459&amp;$E459&amp;$I459,PMsheet!$J:$K,2,0),0),(_xlfn.IFNA(VLOOKUP($A459&amp;$E459&amp;$I459,PMsheet!$J:$K,2,0),0)*'Master Data-C19RM'!$E$2))</f>
        <v>0</v>
      </c>
      <c r="AE459" s="440"/>
      <c r="AF459" s="440"/>
      <c r="AG459" s="440"/>
      <c r="AH459" s="440"/>
      <c r="AI459" s="514">
        <f t="shared" si="63"/>
        <v>0</v>
      </c>
      <c r="AJ459" s="515">
        <f>IF(SETUP!$E$7="USD",(AI459*(IF(O459="USD",AD459,(AD459/'Master Data-C19RM'!$E$2)))),(AI459*(IF(O459="EUR",AD459,(AD459*'Master Data-C19RM'!$E$2)))))</f>
        <v>0</v>
      </c>
      <c r="AK459" s="445">
        <f>IF($O459="USD",_xlfn.IFNA(VLOOKUP($A459&amp;$E459&amp;$I459,PMsheet!$J:$K,2,0),0),(_xlfn.IFNA(VLOOKUP($A459&amp;$E459&amp;$I459,PMsheet!$J:$K,2,0),0)*'Master Data-C19RM'!$F$2))</f>
        <v>0</v>
      </c>
      <c r="AL459" s="440"/>
      <c r="AM459" s="440"/>
      <c r="AN459" s="440"/>
      <c r="AO459" s="440"/>
      <c r="AP459" s="514">
        <f t="shared" si="64"/>
        <v>0</v>
      </c>
      <c r="AQ459" s="515">
        <f>IF(SETUP!$E$7="USD",(AP459*(IF(O459="USD",AK459,(AK459/'Master Data-C19RM'!$F$2)))),(AP459*(IF(O459="EUR",AK459,(AK459*'Master Data-C19RM'!$F$2)))))</f>
        <v>0</v>
      </c>
      <c r="AR459" s="925">
        <f>IF($O459="USD",_xlfn.IFNA(VLOOKUP($A459&amp;$E459&amp;$I459,PMsheet!$J:$K,2,0),0),(_xlfn.IFNA(VLOOKUP($A459&amp;$E459&amp;$I459,PMsheet!$J:$K,2,0),0)*'Master Data-C19RM'!$G$2))</f>
        <v>0</v>
      </c>
      <c r="AS459" s="926"/>
      <c r="AT459" s="926"/>
      <c r="AU459" s="926"/>
      <c r="AV459" s="926"/>
      <c r="AW459" s="514">
        <f t="shared" si="65"/>
        <v>0</v>
      </c>
      <c r="AX459" s="514">
        <f>IF(SETUP!$E$7="USD",(AW459*(IF(O459="USD",AR459,(AR459/'Master Data-C19RM'!$G$2)))),(AW459*(IF(O459="EUR",AR459,(AR459*'Master Data-C19RM'!$G$2)))))</f>
        <v>0</v>
      </c>
      <c r="AY459" s="845"/>
      <c r="AZ459" s="846"/>
      <c r="BA459" s="846"/>
      <c r="BB459" s="846"/>
      <c r="BC459" s="846"/>
      <c r="BD459" s="846"/>
      <c r="BE459" s="847"/>
      <c r="BF459" s="521">
        <f>'C19RM 2021-Lab &amp; Other HPS'!$U459+'C19RM 2021-Lab &amp; Other HPS'!$AB459+'C19RM 2021-Lab &amp; Other HPS'!$AP459+'C19RM 2021-Lab &amp; Other HPS'!$AI459+AW459+BD459</f>
        <v>0</v>
      </c>
      <c r="BG459" s="515">
        <f>'C19RM 2021-Lab &amp; Other HPS'!$V459+'C19RM 2021-Lab &amp; Other HPS'!$AC459+'C19RM 2021-Lab &amp; Other HPS'!$AQ459+'C19RM 2021-Lab &amp; Other HPS'!$AJ459+AX459+BE459</f>
        <v>0</v>
      </c>
      <c r="BH459" s="522" t="str" cm="1">
        <f t="array" ref="BH459">IF(A459&lt;&gt;"",IFERROR(INDEX(PMtbl[[WKst]:[Unit of measure*]],MATCH($A$437&amp;$A459&amp;$E459&amp;$I459,INDEX(PMtbl[Sec]&amp;PMtbl[Category]&amp;PMtbl[Each]&amp;PMtbl[Packaging],0,),0),11),""),"")</f>
        <v/>
      </c>
      <c r="BI459" s="818"/>
      <c r="BJ459" s="503" t="str" cm="1">
        <f t="array" ref="BJ459">IFERROR(INDEX(SETUP!$C$19:$G$121,MATCH((INDEX(PMtbl[[WKst]:[Unit of measure*]],MATCH($A459&amp;$E459&amp;$I459,INDEX(PMtbl[Category]&amp;PMtbl[Each]&amp;PMtbl[Packaging],0,),0),3)),SETUP!$D$19:$D$121,0),5),"")</f>
        <v/>
      </c>
      <c r="BK459" s="537" t="str" cm="1">
        <f t="array" ref="BK459">IFERROR(IF((INDEX(SETUP!$C$19:$G$121,MATCH((INDEX(PMtbl[[WKst]:[Unit of measure*]],MATCH($A459&amp;$E459&amp;$I459,INDEX(PMtbl[Category]&amp;PMtbl[Each]&amp;PMtbl[Packaging],0,),0),3)),SETUP!$D$19:$D$121,0),4))="Upfront",0,INDEX(SETUP!$C$19:$G$121,MATCH((INDEX(PMtbl[[WKst]:[Unit of measure*]],MATCH($A459&amp;$E459&amp;$I459,INDEX(PMtbl[Category]&amp;PMtbl[Each]&amp;PMtbl[Packaging],0,),0),3)),SETUP!$D$19:$D$121,0),5)),"")</f>
        <v/>
      </c>
      <c r="BL459" s="578" t="str" cm="1">
        <f t="array" ref="BL459">IF(E459&lt;&gt;"",IFERROR(INDEX(PMtbl[[WKst]:[Unit of measure*]],MATCH($A$437&amp;$A459&amp;$E459&amp;$I459,INDEX(PMtbl[Sec]&amp;PMtbl[Category]&amp;PMtbl[Each]&amp;PMtbl[Packaging],0,),0),11),""),"")</f>
        <v/>
      </c>
      <c r="BO459" s="12">
        <f>IF(N459="",0,IF(SETUP!$E$7="USD",((IF(O459="USD",P459,(P459/'Master Data-C19RM'!$C$2)))),((IF(O459="EUR",P459,(P459*'Master Data-C19RM'!$C$2))))))</f>
        <v>0</v>
      </c>
      <c r="BP459" s="12">
        <f>IF(N459="",0,IF(SETUP!$E$7="USD",((IF(O459="USD",W459,(W459/'Master Data-C19RM'!$D$2)))),((IF(O459="EUR",W459,(W459*'Master Data-C19RM'!$D$2))))))</f>
        <v>0</v>
      </c>
      <c r="BQ459">
        <f>IF(N459="",0,IF(SETUP!$E$7="USD",((IF(O459="USD",AD459,(AD459/'Master Data-C19RM'!$E$2)))),((IF(O459="EUR",AD459,(AD459*'Master Data-C19RM'!$E$2))))))</f>
        <v>0</v>
      </c>
      <c r="BR459">
        <f>IF(N459="",0,IF(SETUP!$E$7="USD",((IF(O459="USD",AK459,(AK459/'Master Data-C19RM'!$F$2)))),((IF(O459="EUR",AK459,(AK459*'Master Data-C19RM'!$F$2))))))</f>
        <v>0</v>
      </c>
      <c r="BS459">
        <f>IF(N459="",0,IF(SETUP!$E$7="USD",((IF(O459="USD",AR459,(AR459/'Master Data-C19RM'!$G$2)))),((IF(O459="EUR",AR459,(AR459*'Master Data-C19RM'!$G$2))))))</f>
        <v>0</v>
      </c>
      <c r="BT459">
        <f>IF(N459="",0,IF(SETUP!$E$7="USD",((IF(O459="USD",AY459,(AY459/'Master Data-C19RM'!$H$2)))),((IF(O459="EUR",AY459,(AY459*'Master Data-C19RM'!$H$2))))))</f>
        <v>0</v>
      </c>
      <c r="BU459" s="12">
        <f t="shared" si="59"/>
        <v>0</v>
      </c>
      <c r="BV459" s="142">
        <f t="shared" si="60"/>
        <v>0</v>
      </c>
    </row>
    <row r="460" spans="1:74" x14ac:dyDescent="0.35">
      <c r="A460" s="1165"/>
      <c r="B460" s="1165"/>
      <c r="C460" s="1165"/>
      <c r="D460" s="1165"/>
      <c r="E460" s="1166"/>
      <c r="F460" s="1166"/>
      <c r="G460" s="1166"/>
      <c r="H460" s="1166"/>
      <c r="I460" s="1166"/>
      <c r="J460" s="1166"/>
      <c r="K460" s="1166"/>
      <c r="L460" s="490" t="str" cm="1">
        <f t="array" ref="L460">IF(A460&lt;&gt;"",IFERROR(INDEX(PMtbl[[WKst]:[Unit of measure*]],MATCH($A$437&amp;$A460&amp;$E460&amp;$I460,INDEX(PMtbl[Sec]&amp;PMtbl[Category]&amp;PMtbl[Each]&amp;PMtbl[Packaging],0,),0),14),""),"")</f>
        <v/>
      </c>
      <c r="M460" s="479" t="str">
        <f>IF(L460="","",INDEX(SETUP!$E$20:$E$122,(MATCH(INDEX(PMsheet!$D:$E,MATCH(A460,PMsheet!E:E,0),1),SETUP!$D$20:$D$122,0))))</f>
        <v/>
      </c>
      <c r="N460" s="491">
        <f>IF($O460="USD",_xlfn.IFNA(VLOOKUP(A460&amp;E460&amp;I460,PMsheet!J:K,2,0),0),(_xlfn.IFNA(VLOOKUP(A460&amp;E460&amp;I460,PMsheet!J:K,2,0),0)*'Master Data-C19RM'!$C$2))</f>
        <v>0</v>
      </c>
      <c r="O460" s="492" t="str">
        <f>IF(L460="", "",SETUP!$E$7)</f>
        <v/>
      </c>
      <c r="P460" s="444">
        <f>IF($O460="USD",_xlfn.IFNA(VLOOKUP($A460&amp;$E460&amp;$I460,PMsheet!$J:$K,2,0),0),(_xlfn.IFNA(VLOOKUP($A460&amp;$E460&amp;$I460,PMsheet!$J:$K,2,0),0)*'Master Data-C19RM'!$C$2))</f>
        <v>0</v>
      </c>
      <c r="Q460" s="441"/>
      <c r="R460" s="441"/>
      <c r="S460" s="441"/>
      <c r="T460" s="441"/>
      <c r="U460" s="481">
        <f t="shared" si="61"/>
        <v>0</v>
      </c>
      <c r="V460" s="483">
        <f>IF(SETUP!$E$7="USD",(U460*(IF(O460="USD",P460,(P460/'Master Data-C19RM'!$C$2)))),(U460*(IF(O460="EUR",P460,(P460*'Master Data-C19RM'!$C$2)))))</f>
        <v>0</v>
      </c>
      <c r="W460" s="444">
        <f>IF($O460="USD",_xlfn.IFNA(VLOOKUP($A460&amp;$E460&amp;$I460,PMsheet!$J:$K,2,0),0),(_xlfn.IFNA(VLOOKUP($A460&amp;$E460&amp;$I460,PMsheet!$J:$K,2,0),0)*'Master Data-C19RM'!$D$2))</f>
        <v>0</v>
      </c>
      <c r="X460" s="441"/>
      <c r="Y460" s="441"/>
      <c r="Z460" s="441"/>
      <c r="AA460" s="441"/>
      <c r="AB460" s="481">
        <f t="shared" si="62"/>
        <v>0</v>
      </c>
      <c r="AC460" s="483">
        <f>IF(SETUP!$E$7="USD",(AB460*(IF(O460="USD",W460,(W460/'Master Data-C19RM'!$D$2)))),(AB460*(IF(O460="EUR",W460,(W460*'Master Data-C19RM'!$D$2)))))</f>
        <v>0</v>
      </c>
      <c r="AD460" s="444">
        <f>IF($O460="USD",_xlfn.IFNA(VLOOKUP($A460&amp;$E460&amp;$I460,PMsheet!$J:$K,2,0),0),(_xlfn.IFNA(VLOOKUP($A460&amp;$E460&amp;$I460,PMsheet!$J:$K,2,0),0)*'Master Data-C19RM'!$E$2))</f>
        <v>0</v>
      </c>
      <c r="AE460" s="441"/>
      <c r="AF460" s="441"/>
      <c r="AG460" s="441"/>
      <c r="AH460" s="441"/>
      <c r="AI460" s="512">
        <f t="shared" si="63"/>
        <v>0</v>
      </c>
      <c r="AJ460" s="513">
        <f>IF(SETUP!$E$7="USD",(AI460*(IF(O460="USD",AD460,(AD460/'Master Data-C19RM'!$E$2)))),(AI460*(IF(O460="EUR",AD460,(AD460*'Master Data-C19RM'!$E$2)))))</f>
        <v>0</v>
      </c>
      <c r="AK460" s="444">
        <f>IF($O460="USD",_xlfn.IFNA(VLOOKUP($A460&amp;$E460&amp;$I460,PMsheet!$J:$K,2,0),0),(_xlfn.IFNA(VLOOKUP($A460&amp;$E460&amp;$I460,PMsheet!$J:$K,2,0),0)*'Master Data-C19RM'!$F$2))</f>
        <v>0</v>
      </c>
      <c r="AL460" s="441"/>
      <c r="AM460" s="441"/>
      <c r="AN460" s="441"/>
      <c r="AO460" s="441"/>
      <c r="AP460" s="512">
        <f t="shared" si="64"/>
        <v>0</v>
      </c>
      <c r="AQ460" s="513">
        <f>IF(SETUP!$E$7="USD",(AP460*(IF(O460="USD",AK460,(AK460/'Master Data-C19RM'!$F$2)))),(AP460*(IF(O460="EUR",AK460,(AK460*'Master Data-C19RM'!$F$2)))))</f>
        <v>0</v>
      </c>
      <c r="AR460" s="924">
        <f>IF($O460="USD",_xlfn.IFNA(VLOOKUP($A460&amp;$E460&amp;$I460,PMsheet!$J:$K,2,0),0),(_xlfn.IFNA(VLOOKUP($A460&amp;$E460&amp;$I460,PMsheet!$J:$K,2,0),0)*'Master Data-C19RM'!$G$2))</f>
        <v>0</v>
      </c>
      <c r="AS460" s="572"/>
      <c r="AT460" s="572"/>
      <c r="AU460" s="572"/>
      <c r="AV460" s="572"/>
      <c r="AW460" s="512">
        <f t="shared" si="65"/>
        <v>0</v>
      </c>
      <c r="AX460" s="512">
        <f>IF(SETUP!$E$7="USD",(AW460*(IF(O460="USD",AR460,(AR460/'Master Data-C19RM'!$G$2)))),(AW460*(IF(O460="EUR",AR460,(AR460*'Master Data-C19RM'!$G$2)))))</f>
        <v>0</v>
      </c>
      <c r="AY460" s="845"/>
      <c r="AZ460" s="846"/>
      <c r="BA460" s="846"/>
      <c r="BB460" s="846"/>
      <c r="BC460" s="846"/>
      <c r="BD460" s="846"/>
      <c r="BE460" s="847"/>
      <c r="BF460" s="520">
        <f>'C19RM 2021-Lab &amp; Other HPS'!$U460+'C19RM 2021-Lab &amp; Other HPS'!$AB460+'C19RM 2021-Lab &amp; Other HPS'!$AP460+'C19RM 2021-Lab &amp; Other HPS'!$AI460+AW460+BD460</f>
        <v>0</v>
      </c>
      <c r="BG460" s="513">
        <f>'C19RM 2021-Lab &amp; Other HPS'!$V460+'C19RM 2021-Lab &amp; Other HPS'!$AC460+'C19RM 2021-Lab &amp; Other HPS'!$AQ460+'C19RM 2021-Lab &amp; Other HPS'!$AJ460+AX460+BE460</f>
        <v>0</v>
      </c>
      <c r="BH460" s="500" t="str" cm="1">
        <f t="array" ref="BH460">IF(A460&lt;&gt;"",IFERROR(INDEX(PMtbl[[WKst]:[Unit of measure*]],MATCH($A$437&amp;$A460&amp;$E460&amp;$I460,INDEX(PMtbl[Sec]&amp;PMtbl[Category]&amp;PMtbl[Each]&amp;PMtbl[Packaging],0,),0),11),""),"")</f>
        <v/>
      </c>
      <c r="BI460" s="819"/>
      <c r="BJ460" s="502" t="str" cm="1">
        <f t="array" ref="BJ460">IFERROR(INDEX(SETUP!$C$19:$G$121,MATCH((INDEX(PMtbl[[WKst]:[Unit of measure*]],MATCH($A460&amp;$E460&amp;$I460,INDEX(PMtbl[Category]&amp;PMtbl[Each]&amp;PMtbl[Packaging],0,),0),3)),SETUP!$D$19:$D$121,0),5),"")</f>
        <v/>
      </c>
      <c r="BK460" s="536" t="str" cm="1">
        <f t="array" ref="BK460">IFERROR(IF((INDEX(SETUP!$C$19:$G$121,MATCH((INDEX(PMtbl[[WKst]:[Unit of measure*]],MATCH($A460&amp;$E460&amp;$I460,INDEX(PMtbl[Category]&amp;PMtbl[Each]&amp;PMtbl[Packaging],0,),0),3)),SETUP!$D$19:$D$121,0),4))="Upfront",0,INDEX(SETUP!$C$19:$G$121,MATCH((INDEX(PMtbl[[WKst]:[Unit of measure*]],MATCH($A460&amp;$E460&amp;$I460,INDEX(PMtbl[Category]&amp;PMtbl[Each]&amp;PMtbl[Packaging],0,),0),3)),SETUP!$D$19:$D$121,0),5)),"")</f>
        <v/>
      </c>
      <c r="BL460" s="577" t="str" cm="1">
        <f t="array" ref="BL460">IF(E460&lt;&gt;"",IFERROR(INDEX(PMtbl[[WKst]:[Unit of measure*]],MATCH($A$437&amp;$A460&amp;$E460&amp;$I460,INDEX(PMtbl[Sec]&amp;PMtbl[Category]&amp;PMtbl[Each]&amp;PMtbl[Packaging],0,),0),11),""),"")</f>
        <v/>
      </c>
      <c r="BO460" s="12">
        <f>IF(N460="",0,IF(SETUP!$E$7="USD",((IF(O460="USD",P460,(P460/'Master Data-C19RM'!$C$2)))),((IF(O460="EUR",P460,(P460*'Master Data-C19RM'!$C$2))))))</f>
        <v>0</v>
      </c>
      <c r="BP460" s="12">
        <f>IF(N460="",0,IF(SETUP!$E$7="USD",((IF(O460="USD",W460,(W460/'Master Data-C19RM'!$D$2)))),((IF(O460="EUR",W460,(W460*'Master Data-C19RM'!$D$2))))))</f>
        <v>0</v>
      </c>
      <c r="BQ460">
        <f>IF(N460="",0,IF(SETUP!$E$7="USD",((IF(O460="USD",AD460,(AD460/'Master Data-C19RM'!$E$2)))),((IF(O460="EUR",AD460,(AD460*'Master Data-C19RM'!$E$2))))))</f>
        <v>0</v>
      </c>
      <c r="BR460">
        <f>IF(N460="",0,IF(SETUP!$E$7="USD",((IF(O460="USD",AK460,(AK460/'Master Data-C19RM'!$F$2)))),((IF(O460="EUR",AK460,(AK460*'Master Data-C19RM'!$F$2))))))</f>
        <v>0</v>
      </c>
      <c r="BS460">
        <f>IF(N460="",0,IF(SETUP!$E$7="USD",((IF(O460="USD",AR460,(AR460/'Master Data-C19RM'!$G$2)))),((IF(O460="EUR",AR460,(AR460*'Master Data-C19RM'!$G$2))))))</f>
        <v>0</v>
      </c>
      <c r="BT460">
        <f>IF(N460="",0,IF(SETUP!$E$7="USD",((IF(O460="USD",AY460,(AY460/'Master Data-C19RM'!$H$2)))),((IF(O460="EUR",AY460,(AY460*'Master Data-C19RM'!$H$2))))))</f>
        <v>0</v>
      </c>
      <c r="BU460" s="12">
        <f t="shared" si="59"/>
        <v>0</v>
      </c>
      <c r="BV460" s="142">
        <f t="shared" si="60"/>
        <v>0</v>
      </c>
    </row>
    <row r="461" spans="1:74" x14ac:dyDescent="0.35">
      <c r="A461" s="1192"/>
      <c r="B461" s="1192"/>
      <c r="C461" s="1192"/>
      <c r="D461" s="1192"/>
      <c r="E461" s="1173"/>
      <c r="F461" s="1173"/>
      <c r="G461" s="1173"/>
      <c r="H461" s="1173"/>
      <c r="I461" s="1173"/>
      <c r="J461" s="1173"/>
      <c r="K461" s="1173"/>
      <c r="L461" s="493" t="str" cm="1">
        <f t="array" ref="L461">IF(A461&lt;&gt;"",IFERROR(INDEX(PMtbl[[WKst]:[Unit of measure*]],MATCH($A$437&amp;$A461&amp;$E461&amp;$I461,INDEX(PMtbl[Sec]&amp;PMtbl[Category]&amp;PMtbl[Each]&amp;PMtbl[Packaging],0,),0),14),""),"")</f>
        <v/>
      </c>
      <c r="M461" s="480" t="str">
        <f>IF(L461="","",INDEX(SETUP!$E$20:$E$122,(MATCH(INDEX(PMsheet!$D:$E,MATCH(A461,PMsheet!E:E,0),1),SETUP!$D$20:$D$122,0))))</f>
        <v/>
      </c>
      <c r="N461" s="494">
        <f>IF($O461="USD",_xlfn.IFNA(VLOOKUP(A461&amp;E461&amp;I461,PMsheet!J:K,2,0),0),(_xlfn.IFNA(VLOOKUP(A461&amp;E461&amp;I461,PMsheet!J:K,2,0),0)*'Master Data-C19RM'!$C$2))</f>
        <v>0</v>
      </c>
      <c r="O461" s="495" t="str">
        <f>IF(L461="", "",SETUP!$E$7)</f>
        <v/>
      </c>
      <c r="P461" s="445">
        <f>IF($O461="USD",_xlfn.IFNA(VLOOKUP($A461&amp;$E461&amp;$I461,PMsheet!$J:$K,2,0),0),(_xlfn.IFNA(VLOOKUP($A461&amp;$E461&amp;$I461,PMsheet!$J:$K,2,0),0)*'Master Data-C19RM'!$C$2))</f>
        <v>0</v>
      </c>
      <c r="Q461" s="440"/>
      <c r="R461" s="440"/>
      <c r="S461" s="440"/>
      <c r="T461" s="440"/>
      <c r="U461" s="482">
        <f t="shared" si="61"/>
        <v>0</v>
      </c>
      <c r="V461" s="484">
        <f>IF(SETUP!$E$7="USD",(U461*(IF(O461="USD",P461,(P461/'Master Data-C19RM'!$C$2)))),(U461*(IF(O461="EUR",P461,(P461*'Master Data-C19RM'!$C$2)))))</f>
        <v>0</v>
      </c>
      <c r="W461" s="445">
        <f>IF($O461="USD",_xlfn.IFNA(VLOOKUP($A461&amp;$E461&amp;$I461,PMsheet!$J:$K,2,0),0),(_xlfn.IFNA(VLOOKUP($A461&amp;$E461&amp;$I461,PMsheet!$J:$K,2,0),0)*'Master Data-C19RM'!$D$2))</f>
        <v>0</v>
      </c>
      <c r="X461" s="440"/>
      <c r="Y461" s="440"/>
      <c r="Z461" s="440"/>
      <c r="AA461" s="440"/>
      <c r="AB461" s="482">
        <f t="shared" si="62"/>
        <v>0</v>
      </c>
      <c r="AC461" s="484">
        <f>IF(SETUP!$E$7="USD",(AB461*(IF(O461="USD",W461,(W461/'Master Data-C19RM'!$D$2)))),(AB461*(IF(O461="EUR",W461,(W461*'Master Data-C19RM'!$D$2)))))</f>
        <v>0</v>
      </c>
      <c r="AD461" s="445">
        <f>IF($O461="USD",_xlfn.IFNA(VLOOKUP($A461&amp;$E461&amp;$I461,PMsheet!$J:$K,2,0),0),(_xlfn.IFNA(VLOOKUP($A461&amp;$E461&amp;$I461,PMsheet!$J:$K,2,0),0)*'Master Data-C19RM'!$E$2))</f>
        <v>0</v>
      </c>
      <c r="AE461" s="440"/>
      <c r="AF461" s="440"/>
      <c r="AG461" s="440"/>
      <c r="AH461" s="440"/>
      <c r="AI461" s="514">
        <f t="shared" si="63"/>
        <v>0</v>
      </c>
      <c r="AJ461" s="515">
        <f>IF(SETUP!$E$7="USD",(AI461*(IF(O461="USD",AD461,(AD461/'Master Data-C19RM'!$E$2)))),(AI461*(IF(O461="EUR",AD461,(AD461*'Master Data-C19RM'!$E$2)))))</f>
        <v>0</v>
      </c>
      <c r="AK461" s="445">
        <f>IF($O461="USD",_xlfn.IFNA(VLOOKUP($A461&amp;$E461&amp;$I461,PMsheet!$J:$K,2,0),0),(_xlfn.IFNA(VLOOKUP($A461&amp;$E461&amp;$I461,PMsheet!$J:$K,2,0),0)*'Master Data-C19RM'!$F$2))</f>
        <v>0</v>
      </c>
      <c r="AL461" s="440"/>
      <c r="AM461" s="440"/>
      <c r="AN461" s="440"/>
      <c r="AO461" s="440"/>
      <c r="AP461" s="514">
        <f t="shared" si="64"/>
        <v>0</v>
      </c>
      <c r="AQ461" s="515">
        <f>IF(SETUP!$E$7="USD",(AP461*(IF(O461="USD",AK461,(AK461/'Master Data-C19RM'!$F$2)))),(AP461*(IF(O461="EUR",AK461,(AK461*'Master Data-C19RM'!$F$2)))))</f>
        <v>0</v>
      </c>
      <c r="AR461" s="925">
        <f>IF($O461="USD",_xlfn.IFNA(VLOOKUP($A461&amp;$E461&amp;$I461,PMsheet!$J:$K,2,0),0),(_xlfn.IFNA(VLOOKUP($A461&amp;$E461&amp;$I461,PMsheet!$J:$K,2,0),0)*'Master Data-C19RM'!$G$2))</f>
        <v>0</v>
      </c>
      <c r="AS461" s="926"/>
      <c r="AT461" s="926"/>
      <c r="AU461" s="926"/>
      <c r="AV461" s="926"/>
      <c r="AW461" s="514">
        <f t="shared" si="65"/>
        <v>0</v>
      </c>
      <c r="AX461" s="514">
        <f>IF(SETUP!$E$7="USD",(AW461*(IF(O461="USD",AR461,(AR461/'Master Data-C19RM'!$G$2)))),(AW461*(IF(O461="EUR",AR461,(AR461*'Master Data-C19RM'!$G$2)))))</f>
        <v>0</v>
      </c>
      <c r="AY461" s="845"/>
      <c r="AZ461" s="846"/>
      <c r="BA461" s="846"/>
      <c r="BB461" s="846"/>
      <c r="BC461" s="846"/>
      <c r="BD461" s="846"/>
      <c r="BE461" s="847"/>
      <c r="BF461" s="521">
        <f>'C19RM 2021-Lab &amp; Other HPS'!$U461+'C19RM 2021-Lab &amp; Other HPS'!$AB461+'C19RM 2021-Lab &amp; Other HPS'!$AP461+'C19RM 2021-Lab &amp; Other HPS'!$AI461+AW461+BD461</f>
        <v>0</v>
      </c>
      <c r="BG461" s="515">
        <f>'C19RM 2021-Lab &amp; Other HPS'!$V461+'C19RM 2021-Lab &amp; Other HPS'!$AC461+'C19RM 2021-Lab &amp; Other HPS'!$AQ461+'C19RM 2021-Lab &amp; Other HPS'!$AJ461+AX461+BE461</f>
        <v>0</v>
      </c>
      <c r="BH461" s="522" t="str" cm="1">
        <f t="array" ref="BH461">IF(A461&lt;&gt;"",IFERROR(INDEX(PMtbl[[WKst]:[Unit of measure*]],MATCH($A$437&amp;$A461&amp;$E461&amp;$I461,INDEX(PMtbl[Sec]&amp;PMtbl[Category]&amp;PMtbl[Each]&amp;PMtbl[Packaging],0,),0),11),""),"")</f>
        <v/>
      </c>
      <c r="BI461" s="818"/>
      <c r="BJ461" s="503" t="str" cm="1">
        <f t="array" ref="BJ461">IFERROR(INDEX(SETUP!$C$19:$G$121,MATCH((INDEX(PMtbl[[WKst]:[Unit of measure*]],MATCH($A461&amp;$E461&amp;$I461,INDEX(PMtbl[Category]&amp;PMtbl[Each]&amp;PMtbl[Packaging],0,),0),3)),SETUP!$D$19:$D$121,0),5),"")</f>
        <v/>
      </c>
      <c r="BK461" s="537" t="str" cm="1">
        <f t="array" ref="BK461">IFERROR(IF((INDEX(SETUP!$C$19:$G$121,MATCH((INDEX(PMtbl[[WKst]:[Unit of measure*]],MATCH($A461&amp;$E461&amp;$I461,INDEX(PMtbl[Category]&amp;PMtbl[Each]&amp;PMtbl[Packaging],0,),0),3)),SETUP!$D$19:$D$121,0),4))="Upfront",0,INDEX(SETUP!$C$19:$G$121,MATCH((INDEX(PMtbl[[WKst]:[Unit of measure*]],MATCH($A461&amp;$E461&amp;$I461,INDEX(PMtbl[Category]&amp;PMtbl[Each]&amp;PMtbl[Packaging],0,),0),3)),SETUP!$D$19:$D$121,0),5)),"")</f>
        <v/>
      </c>
      <c r="BL461" s="578" t="str" cm="1">
        <f t="array" ref="BL461">IF(E461&lt;&gt;"",IFERROR(INDEX(PMtbl[[WKst]:[Unit of measure*]],MATCH($A$437&amp;$A461&amp;$E461&amp;$I461,INDEX(PMtbl[Sec]&amp;PMtbl[Category]&amp;PMtbl[Each]&amp;PMtbl[Packaging],0,),0),11),""),"")</f>
        <v/>
      </c>
      <c r="BO461" s="12">
        <f>IF(N461="",0,IF(SETUP!$E$7="USD",((IF(O461="USD",P461,(P461/'Master Data-C19RM'!$C$2)))),((IF(O461="EUR",P461,(P461*'Master Data-C19RM'!$C$2))))))</f>
        <v>0</v>
      </c>
      <c r="BP461" s="12">
        <f>IF(N461="",0,IF(SETUP!$E$7="USD",((IF(O461="USD",W461,(W461/'Master Data-C19RM'!$D$2)))),((IF(O461="EUR",W461,(W461*'Master Data-C19RM'!$D$2))))))</f>
        <v>0</v>
      </c>
      <c r="BQ461">
        <f>IF(N461="",0,IF(SETUP!$E$7="USD",((IF(O461="USD",AD461,(AD461/'Master Data-C19RM'!$E$2)))),((IF(O461="EUR",AD461,(AD461*'Master Data-C19RM'!$E$2))))))</f>
        <v>0</v>
      </c>
      <c r="BR461">
        <f>IF(N461="",0,IF(SETUP!$E$7="USD",((IF(O461="USD",AK461,(AK461/'Master Data-C19RM'!$F$2)))),((IF(O461="EUR",AK461,(AK461*'Master Data-C19RM'!$F$2))))))</f>
        <v>0</v>
      </c>
      <c r="BS461">
        <f>IF(N461="",0,IF(SETUP!$E$7="USD",((IF(O461="USD",AR461,(AR461/'Master Data-C19RM'!$G$2)))),((IF(O461="EUR",AR461,(AR461*'Master Data-C19RM'!$G$2))))))</f>
        <v>0</v>
      </c>
      <c r="BT461">
        <f>IF(N461="",0,IF(SETUP!$E$7="USD",((IF(O461="USD",AY461,(AY461/'Master Data-C19RM'!$H$2)))),((IF(O461="EUR",AY461,(AY461*'Master Data-C19RM'!$H$2))))))</f>
        <v>0</v>
      </c>
      <c r="BU461" s="12">
        <f t="shared" si="59"/>
        <v>0</v>
      </c>
      <c r="BV461" s="142">
        <f t="shared" si="60"/>
        <v>0</v>
      </c>
    </row>
    <row r="462" spans="1:74" x14ac:dyDescent="0.35">
      <c r="A462" s="1165"/>
      <c r="B462" s="1165"/>
      <c r="C462" s="1165"/>
      <c r="D462" s="1165"/>
      <c r="E462" s="1166"/>
      <c r="F462" s="1166"/>
      <c r="G462" s="1166"/>
      <c r="H462" s="1166"/>
      <c r="I462" s="1166"/>
      <c r="J462" s="1166"/>
      <c r="K462" s="1166"/>
      <c r="L462" s="490" t="str" cm="1">
        <f t="array" ref="L462">IF(A462&lt;&gt;"",IFERROR(INDEX(PMtbl[[WKst]:[Unit of measure*]],MATCH($A$437&amp;$A462&amp;$E462&amp;$I462,INDEX(PMtbl[Sec]&amp;PMtbl[Category]&amp;PMtbl[Each]&amp;PMtbl[Packaging],0,),0),14),""),"")</f>
        <v/>
      </c>
      <c r="M462" s="479" t="str">
        <f>IF(L462="","",INDEX(SETUP!$E$20:$E$122,(MATCH(INDEX(PMsheet!$D:$E,MATCH(A462,PMsheet!E:E,0),1),SETUP!$D$20:$D$122,0))))</f>
        <v/>
      </c>
      <c r="N462" s="491">
        <f>IF($O462="USD",_xlfn.IFNA(VLOOKUP(A462&amp;E462&amp;I462,PMsheet!J:K,2,0),0),(_xlfn.IFNA(VLOOKUP(A462&amp;E462&amp;I462,PMsheet!J:K,2,0),0)*'Master Data-C19RM'!$C$2))</f>
        <v>0</v>
      </c>
      <c r="O462" s="492" t="str">
        <f>IF(L462="", "",SETUP!$E$7)</f>
        <v/>
      </c>
      <c r="P462" s="444">
        <f>IF($O462="USD",_xlfn.IFNA(VLOOKUP($A462&amp;$E462&amp;$I462,PMsheet!$J:$K,2,0),0),(_xlfn.IFNA(VLOOKUP($A462&amp;$E462&amp;$I462,PMsheet!$J:$K,2,0),0)*'Master Data-C19RM'!$C$2))</f>
        <v>0</v>
      </c>
      <c r="Q462" s="441"/>
      <c r="R462" s="441"/>
      <c r="S462" s="441"/>
      <c r="T462" s="441"/>
      <c r="U462" s="481">
        <f t="shared" si="61"/>
        <v>0</v>
      </c>
      <c r="V462" s="483">
        <f>IF(SETUP!$E$7="USD",(U462*(IF(O462="USD",P462,(P462/'Master Data-C19RM'!$C$2)))),(U462*(IF(O462="EUR",P462,(P462*'Master Data-C19RM'!$C$2)))))</f>
        <v>0</v>
      </c>
      <c r="W462" s="444">
        <f>IF($O462="USD",_xlfn.IFNA(VLOOKUP($A462&amp;$E462&amp;$I462,PMsheet!$J:$K,2,0),0),(_xlfn.IFNA(VLOOKUP($A462&amp;$E462&amp;$I462,PMsheet!$J:$K,2,0),0)*'Master Data-C19RM'!$D$2))</f>
        <v>0</v>
      </c>
      <c r="X462" s="441"/>
      <c r="Y462" s="441"/>
      <c r="Z462" s="441"/>
      <c r="AA462" s="441"/>
      <c r="AB462" s="481">
        <f t="shared" si="62"/>
        <v>0</v>
      </c>
      <c r="AC462" s="483">
        <f>IF(SETUP!$E$7="USD",(AB462*(IF(O462="USD",W462,(W462/'Master Data-C19RM'!$D$2)))),(AB462*(IF(O462="EUR",W462,(W462*'Master Data-C19RM'!$D$2)))))</f>
        <v>0</v>
      </c>
      <c r="AD462" s="444">
        <f>IF($O462="USD",_xlfn.IFNA(VLOOKUP($A462&amp;$E462&amp;$I462,PMsheet!$J:$K,2,0),0),(_xlfn.IFNA(VLOOKUP($A462&amp;$E462&amp;$I462,PMsheet!$J:$K,2,0),0)*'Master Data-C19RM'!$E$2))</f>
        <v>0</v>
      </c>
      <c r="AE462" s="441"/>
      <c r="AF462" s="441"/>
      <c r="AG462" s="441"/>
      <c r="AH462" s="441"/>
      <c r="AI462" s="512">
        <f t="shared" si="63"/>
        <v>0</v>
      </c>
      <c r="AJ462" s="513">
        <f>IF(SETUP!$E$7="USD",(AI462*(IF(O462="USD",AD462,(AD462/'Master Data-C19RM'!$E$2)))),(AI462*(IF(O462="EUR",AD462,(AD462*'Master Data-C19RM'!$E$2)))))</f>
        <v>0</v>
      </c>
      <c r="AK462" s="444">
        <f>IF($O462="USD",_xlfn.IFNA(VLOOKUP($A462&amp;$E462&amp;$I462,PMsheet!$J:$K,2,0),0),(_xlfn.IFNA(VLOOKUP($A462&amp;$E462&amp;$I462,PMsheet!$J:$K,2,0),0)*'Master Data-C19RM'!$F$2))</f>
        <v>0</v>
      </c>
      <c r="AL462" s="441"/>
      <c r="AM462" s="441"/>
      <c r="AN462" s="441"/>
      <c r="AO462" s="441"/>
      <c r="AP462" s="512">
        <f t="shared" si="64"/>
        <v>0</v>
      </c>
      <c r="AQ462" s="513">
        <f>IF(SETUP!$E$7="USD",(AP462*(IF(O462="USD",AK462,(AK462/'Master Data-C19RM'!$F$2)))),(AP462*(IF(O462="EUR",AK462,(AK462*'Master Data-C19RM'!$F$2)))))</f>
        <v>0</v>
      </c>
      <c r="AR462" s="924">
        <f>IF($O462="USD",_xlfn.IFNA(VLOOKUP($A462&amp;$E462&amp;$I462,PMsheet!$J:$K,2,0),0),(_xlfn.IFNA(VLOOKUP($A462&amp;$E462&amp;$I462,PMsheet!$J:$K,2,0),0)*'Master Data-C19RM'!$G$2))</f>
        <v>0</v>
      </c>
      <c r="AS462" s="572"/>
      <c r="AT462" s="572"/>
      <c r="AU462" s="572"/>
      <c r="AV462" s="572"/>
      <c r="AW462" s="512">
        <f t="shared" si="65"/>
        <v>0</v>
      </c>
      <c r="AX462" s="512">
        <f>IF(SETUP!$E$7="USD",(AW462*(IF(O462="USD",AR462,(AR462/'Master Data-C19RM'!$G$2)))),(AW462*(IF(O462="EUR",AR462,(AR462*'Master Data-C19RM'!$G$2)))))</f>
        <v>0</v>
      </c>
      <c r="AY462" s="845"/>
      <c r="AZ462" s="846"/>
      <c r="BA462" s="846"/>
      <c r="BB462" s="846"/>
      <c r="BC462" s="846"/>
      <c r="BD462" s="846"/>
      <c r="BE462" s="847"/>
      <c r="BF462" s="520">
        <f>'C19RM 2021-Lab &amp; Other HPS'!$U462+'C19RM 2021-Lab &amp; Other HPS'!$AB462+'C19RM 2021-Lab &amp; Other HPS'!$AP462+'C19RM 2021-Lab &amp; Other HPS'!$AI462+AW462+BD462</f>
        <v>0</v>
      </c>
      <c r="BG462" s="513">
        <f>'C19RM 2021-Lab &amp; Other HPS'!$V462+'C19RM 2021-Lab &amp; Other HPS'!$AC462+'C19RM 2021-Lab &amp; Other HPS'!$AQ462+'C19RM 2021-Lab &amp; Other HPS'!$AJ462+AX462+BE462</f>
        <v>0</v>
      </c>
      <c r="BH462" s="500" t="str" cm="1">
        <f t="array" ref="BH462">IF(A462&lt;&gt;"",IFERROR(INDEX(PMtbl[[WKst]:[Unit of measure*]],MATCH($A$437&amp;$A462&amp;$E462&amp;$I462,INDEX(PMtbl[Sec]&amp;PMtbl[Category]&amp;PMtbl[Each]&amp;PMtbl[Packaging],0,),0),11),""),"")</f>
        <v/>
      </c>
      <c r="BI462" s="819"/>
      <c r="BJ462" s="502" t="str" cm="1">
        <f t="array" ref="BJ462">IFERROR(INDEX(SETUP!$C$19:$G$121,MATCH((INDEX(PMtbl[[WKst]:[Unit of measure*]],MATCH($A462&amp;$E462&amp;$I462,INDEX(PMtbl[Category]&amp;PMtbl[Each]&amp;PMtbl[Packaging],0,),0),3)),SETUP!$D$19:$D$121,0),5),"")</f>
        <v/>
      </c>
      <c r="BK462" s="536" t="str" cm="1">
        <f t="array" ref="BK462">IFERROR(IF((INDEX(SETUP!$C$19:$G$121,MATCH((INDEX(PMtbl[[WKst]:[Unit of measure*]],MATCH($A462&amp;$E462&amp;$I462,INDEX(PMtbl[Category]&amp;PMtbl[Each]&amp;PMtbl[Packaging],0,),0),3)),SETUP!$D$19:$D$121,0),4))="Upfront",0,INDEX(SETUP!$C$19:$G$121,MATCH((INDEX(PMtbl[[WKst]:[Unit of measure*]],MATCH($A462&amp;$E462&amp;$I462,INDEX(PMtbl[Category]&amp;PMtbl[Each]&amp;PMtbl[Packaging],0,),0),3)),SETUP!$D$19:$D$121,0),5)),"")</f>
        <v/>
      </c>
      <c r="BL462" s="577" t="str" cm="1">
        <f t="array" ref="BL462">IF(E462&lt;&gt;"",IFERROR(INDEX(PMtbl[[WKst]:[Unit of measure*]],MATCH($A$437&amp;$A462&amp;$E462&amp;$I462,INDEX(PMtbl[Sec]&amp;PMtbl[Category]&amp;PMtbl[Each]&amp;PMtbl[Packaging],0,),0),11),""),"")</f>
        <v/>
      </c>
      <c r="BO462" s="12">
        <f>IF(N462="",0,IF(SETUP!$E$7="USD",((IF(O462="USD",P462,(P462/'Master Data-C19RM'!$C$2)))),((IF(O462="EUR",P462,(P462*'Master Data-C19RM'!$C$2))))))</f>
        <v>0</v>
      </c>
      <c r="BP462" s="12">
        <f>IF(N462="",0,IF(SETUP!$E$7="USD",((IF(O462="USD",W462,(W462/'Master Data-C19RM'!$D$2)))),((IF(O462="EUR",W462,(W462*'Master Data-C19RM'!$D$2))))))</f>
        <v>0</v>
      </c>
      <c r="BQ462">
        <f>IF(N462="",0,IF(SETUP!$E$7="USD",((IF(O462="USD",AD462,(AD462/'Master Data-C19RM'!$E$2)))),((IF(O462="EUR",AD462,(AD462*'Master Data-C19RM'!$E$2))))))</f>
        <v>0</v>
      </c>
      <c r="BR462">
        <f>IF(N462="",0,IF(SETUP!$E$7="USD",((IF(O462="USD",AK462,(AK462/'Master Data-C19RM'!$F$2)))),((IF(O462="EUR",AK462,(AK462*'Master Data-C19RM'!$F$2))))))</f>
        <v>0</v>
      </c>
      <c r="BS462">
        <f>IF(N462="",0,IF(SETUP!$E$7="USD",((IF(O462="USD",AR462,(AR462/'Master Data-C19RM'!$G$2)))),((IF(O462="EUR",AR462,(AR462*'Master Data-C19RM'!$G$2))))))</f>
        <v>0</v>
      </c>
      <c r="BT462">
        <f>IF(N462="",0,IF(SETUP!$E$7="USD",((IF(O462="USD",AY462,(AY462/'Master Data-C19RM'!$H$2)))),((IF(O462="EUR",AY462,(AY462*'Master Data-C19RM'!$H$2))))))</f>
        <v>0</v>
      </c>
      <c r="BU462" s="12">
        <f t="shared" si="59"/>
        <v>0</v>
      </c>
      <c r="BV462" s="142">
        <f t="shared" si="60"/>
        <v>0</v>
      </c>
    </row>
    <row r="463" spans="1:74" x14ac:dyDescent="0.35">
      <c r="A463" s="1192"/>
      <c r="B463" s="1192"/>
      <c r="C463" s="1192"/>
      <c r="D463" s="1192"/>
      <c r="E463" s="1173"/>
      <c r="F463" s="1173"/>
      <c r="G463" s="1173"/>
      <c r="H463" s="1173"/>
      <c r="I463" s="1173"/>
      <c r="J463" s="1173"/>
      <c r="K463" s="1173"/>
      <c r="L463" s="493" t="str" cm="1">
        <f t="array" ref="L463">IF(A463&lt;&gt;"",IFERROR(INDEX(PMtbl[[WKst]:[Unit of measure*]],MATCH($A$437&amp;$A463&amp;$E463&amp;$I463,INDEX(PMtbl[Sec]&amp;PMtbl[Category]&amp;PMtbl[Each]&amp;PMtbl[Packaging],0,),0),14),""),"")</f>
        <v/>
      </c>
      <c r="M463" s="480" t="str">
        <f>IF(L463="","",INDEX(SETUP!$E$20:$E$122,(MATCH(INDEX(PMsheet!$D:$E,MATCH(A463,PMsheet!E:E,0),1),SETUP!$D$20:$D$122,0))))</f>
        <v/>
      </c>
      <c r="N463" s="494">
        <f>IF($O463="USD",_xlfn.IFNA(VLOOKUP(A463&amp;E463&amp;I463,PMsheet!J:K,2,0),0),(_xlfn.IFNA(VLOOKUP(A463&amp;E463&amp;I463,PMsheet!J:K,2,0),0)*'Master Data-C19RM'!$C$2))</f>
        <v>0</v>
      </c>
      <c r="O463" s="495" t="str">
        <f>IF(L463="", "",SETUP!$E$7)</f>
        <v/>
      </c>
      <c r="P463" s="445">
        <f>IF($O463="USD",_xlfn.IFNA(VLOOKUP($A463&amp;$E463&amp;$I463,PMsheet!$J:$K,2,0),0),(_xlfn.IFNA(VLOOKUP($A463&amp;$E463&amp;$I463,PMsheet!$J:$K,2,0),0)*'Master Data-C19RM'!$C$2))</f>
        <v>0</v>
      </c>
      <c r="Q463" s="440"/>
      <c r="R463" s="440"/>
      <c r="S463" s="440"/>
      <c r="T463" s="440"/>
      <c r="U463" s="482">
        <f t="shared" si="61"/>
        <v>0</v>
      </c>
      <c r="V463" s="484">
        <f>IF(SETUP!$E$7="USD",(U463*(IF(O463="USD",P463,(P463/'Master Data-C19RM'!$C$2)))),(U463*(IF(O463="EUR",P463,(P463*'Master Data-C19RM'!$C$2)))))</f>
        <v>0</v>
      </c>
      <c r="W463" s="445">
        <f>IF($O463="USD",_xlfn.IFNA(VLOOKUP($A463&amp;$E463&amp;$I463,PMsheet!$J:$K,2,0),0),(_xlfn.IFNA(VLOOKUP($A463&amp;$E463&amp;$I463,PMsheet!$J:$K,2,0),0)*'Master Data-C19RM'!$D$2))</f>
        <v>0</v>
      </c>
      <c r="X463" s="440"/>
      <c r="Y463" s="440"/>
      <c r="Z463" s="440"/>
      <c r="AA463" s="440"/>
      <c r="AB463" s="482">
        <f t="shared" si="62"/>
        <v>0</v>
      </c>
      <c r="AC463" s="484">
        <f>IF(SETUP!$E$7="USD",(AB463*(IF(O463="USD",W463,(W463/'Master Data-C19RM'!$D$2)))),(AB463*(IF(O463="EUR",W463,(W463*'Master Data-C19RM'!$D$2)))))</f>
        <v>0</v>
      </c>
      <c r="AD463" s="445">
        <f>IF($O463="USD",_xlfn.IFNA(VLOOKUP($A463&amp;$E463&amp;$I463,PMsheet!$J:$K,2,0),0),(_xlfn.IFNA(VLOOKUP($A463&amp;$E463&amp;$I463,PMsheet!$J:$K,2,0),0)*'Master Data-C19RM'!$E$2))</f>
        <v>0</v>
      </c>
      <c r="AE463" s="440"/>
      <c r="AF463" s="440"/>
      <c r="AG463" s="440"/>
      <c r="AH463" s="440"/>
      <c r="AI463" s="514">
        <f t="shared" si="63"/>
        <v>0</v>
      </c>
      <c r="AJ463" s="515">
        <f>IF(SETUP!$E$7="USD",(AI463*(IF(O463="USD",AD463,(AD463/'Master Data-C19RM'!$E$2)))),(AI463*(IF(O463="EUR",AD463,(AD463*'Master Data-C19RM'!$E$2)))))</f>
        <v>0</v>
      </c>
      <c r="AK463" s="445">
        <f>IF($O463="USD",_xlfn.IFNA(VLOOKUP($A463&amp;$E463&amp;$I463,PMsheet!$J:$K,2,0),0),(_xlfn.IFNA(VLOOKUP($A463&amp;$E463&amp;$I463,PMsheet!$J:$K,2,0),0)*'Master Data-C19RM'!$F$2))</f>
        <v>0</v>
      </c>
      <c r="AL463" s="440"/>
      <c r="AM463" s="440"/>
      <c r="AN463" s="440"/>
      <c r="AO463" s="440"/>
      <c r="AP463" s="514">
        <f t="shared" si="64"/>
        <v>0</v>
      </c>
      <c r="AQ463" s="515">
        <f>IF(SETUP!$E$7="USD",(AP463*(IF(O463="USD",AK463,(AK463/'Master Data-C19RM'!$F$2)))),(AP463*(IF(O463="EUR",AK463,(AK463*'Master Data-C19RM'!$F$2)))))</f>
        <v>0</v>
      </c>
      <c r="AR463" s="925">
        <f>IF($O463="USD",_xlfn.IFNA(VLOOKUP($A463&amp;$E463&amp;$I463,PMsheet!$J:$K,2,0),0),(_xlfn.IFNA(VLOOKUP($A463&amp;$E463&amp;$I463,PMsheet!$J:$K,2,0),0)*'Master Data-C19RM'!$G$2))</f>
        <v>0</v>
      </c>
      <c r="AS463" s="926"/>
      <c r="AT463" s="926"/>
      <c r="AU463" s="926"/>
      <c r="AV463" s="926"/>
      <c r="AW463" s="514">
        <f t="shared" si="65"/>
        <v>0</v>
      </c>
      <c r="AX463" s="514">
        <f>IF(SETUP!$E$7="USD",(AW463*(IF(O463="USD",AR463,(AR463/'Master Data-C19RM'!$G$2)))),(AW463*(IF(O463="EUR",AR463,(AR463*'Master Data-C19RM'!$G$2)))))</f>
        <v>0</v>
      </c>
      <c r="AY463" s="845"/>
      <c r="AZ463" s="846"/>
      <c r="BA463" s="846"/>
      <c r="BB463" s="846"/>
      <c r="BC463" s="846"/>
      <c r="BD463" s="846"/>
      <c r="BE463" s="847"/>
      <c r="BF463" s="521">
        <f>'C19RM 2021-Lab &amp; Other HPS'!$U463+'C19RM 2021-Lab &amp; Other HPS'!$AB463+'C19RM 2021-Lab &amp; Other HPS'!$AP463+'C19RM 2021-Lab &amp; Other HPS'!$AI463+AW463+BD463</f>
        <v>0</v>
      </c>
      <c r="BG463" s="515">
        <f>'C19RM 2021-Lab &amp; Other HPS'!$V463+'C19RM 2021-Lab &amp; Other HPS'!$AC463+'C19RM 2021-Lab &amp; Other HPS'!$AQ463+'C19RM 2021-Lab &amp; Other HPS'!$AJ463+AX463+BE463</f>
        <v>0</v>
      </c>
      <c r="BH463" s="522" t="str" cm="1">
        <f t="array" ref="BH463">IF(A463&lt;&gt;"",IFERROR(INDEX(PMtbl[[WKst]:[Unit of measure*]],MATCH($A$437&amp;$A463&amp;$E463&amp;$I463,INDEX(PMtbl[Sec]&amp;PMtbl[Category]&amp;PMtbl[Each]&amp;PMtbl[Packaging],0,),0),11),""),"")</f>
        <v/>
      </c>
      <c r="BI463" s="818"/>
      <c r="BJ463" s="503" t="str" cm="1">
        <f t="array" ref="BJ463">IFERROR(INDEX(SETUP!$C$19:$G$121,MATCH((INDEX(PMtbl[[WKst]:[Unit of measure*]],MATCH($A463&amp;$E463&amp;$I463,INDEX(PMtbl[Category]&amp;PMtbl[Each]&amp;PMtbl[Packaging],0,),0),3)),SETUP!$D$19:$D$121,0),5),"")</f>
        <v/>
      </c>
      <c r="BK463" s="537" t="str" cm="1">
        <f t="array" ref="BK463">IFERROR(IF((INDEX(SETUP!$C$19:$G$121,MATCH((INDEX(PMtbl[[WKst]:[Unit of measure*]],MATCH($A463&amp;$E463&amp;$I463,INDEX(PMtbl[Category]&amp;PMtbl[Each]&amp;PMtbl[Packaging],0,),0),3)),SETUP!$D$19:$D$121,0),4))="Upfront",0,INDEX(SETUP!$C$19:$G$121,MATCH((INDEX(PMtbl[[WKst]:[Unit of measure*]],MATCH($A463&amp;$E463&amp;$I463,INDEX(PMtbl[Category]&amp;PMtbl[Each]&amp;PMtbl[Packaging],0,),0),3)),SETUP!$D$19:$D$121,0),5)),"")</f>
        <v/>
      </c>
      <c r="BL463" s="578" t="str" cm="1">
        <f t="array" ref="BL463">IF(E463&lt;&gt;"",IFERROR(INDEX(PMtbl[[WKst]:[Unit of measure*]],MATCH($A$437&amp;$A463&amp;$E463&amp;$I463,INDEX(PMtbl[Sec]&amp;PMtbl[Category]&amp;PMtbl[Each]&amp;PMtbl[Packaging],0,),0),11),""),"")</f>
        <v/>
      </c>
      <c r="BO463" s="12">
        <f>IF(N463="",0,IF(SETUP!$E$7="USD",((IF(O463="USD",P463,(P463/'Master Data-C19RM'!$C$2)))),((IF(O463="EUR",P463,(P463*'Master Data-C19RM'!$C$2))))))</f>
        <v>0</v>
      </c>
      <c r="BP463" s="12">
        <f>IF(N463="",0,IF(SETUP!$E$7="USD",((IF(O463="USD",W463,(W463/'Master Data-C19RM'!$D$2)))),((IF(O463="EUR",W463,(W463*'Master Data-C19RM'!$D$2))))))</f>
        <v>0</v>
      </c>
      <c r="BQ463">
        <f>IF(N463="",0,IF(SETUP!$E$7="USD",((IF(O463="USD",AD463,(AD463/'Master Data-C19RM'!$E$2)))),((IF(O463="EUR",AD463,(AD463*'Master Data-C19RM'!$E$2))))))</f>
        <v>0</v>
      </c>
      <c r="BR463">
        <f>IF(N463="",0,IF(SETUP!$E$7="USD",((IF(O463="USD",AK463,(AK463/'Master Data-C19RM'!$F$2)))),((IF(O463="EUR",AK463,(AK463*'Master Data-C19RM'!$F$2))))))</f>
        <v>0</v>
      </c>
      <c r="BS463">
        <f>IF(N463="",0,IF(SETUP!$E$7="USD",((IF(O463="USD",AR463,(AR463/'Master Data-C19RM'!$G$2)))),((IF(O463="EUR",AR463,(AR463*'Master Data-C19RM'!$G$2))))))</f>
        <v>0</v>
      </c>
      <c r="BT463">
        <f>IF(N463="",0,IF(SETUP!$E$7="USD",((IF(O463="USD",AY463,(AY463/'Master Data-C19RM'!$H$2)))),((IF(O463="EUR",AY463,(AY463*'Master Data-C19RM'!$H$2))))))</f>
        <v>0</v>
      </c>
      <c r="BU463" s="12">
        <f t="shared" si="59"/>
        <v>0</v>
      </c>
      <c r="BV463" s="142">
        <f t="shared" si="60"/>
        <v>0</v>
      </c>
    </row>
    <row r="464" spans="1:74" x14ac:dyDescent="0.35">
      <c r="A464" s="1165"/>
      <c r="B464" s="1165"/>
      <c r="C464" s="1165"/>
      <c r="D464" s="1165"/>
      <c r="E464" s="1166"/>
      <c r="F464" s="1166"/>
      <c r="G464" s="1166"/>
      <c r="H464" s="1166"/>
      <c r="I464" s="1166"/>
      <c r="J464" s="1166"/>
      <c r="K464" s="1166"/>
      <c r="L464" s="490" t="str" cm="1">
        <f t="array" ref="L464">IF(A464&lt;&gt;"",IFERROR(INDEX(PMtbl[[WKst]:[Unit of measure*]],MATCH($A$437&amp;$A464&amp;$E464&amp;$I464,INDEX(PMtbl[Sec]&amp;PMtbl[Category]&amp;PMtbl[Each]&amp;PMtbl[Packaging],0,),0),14),""),"")</f>
        <v/>
      </c>
      <c r="M464" s="479" t="str">
        <f>IF(L464="","",INDEX(SETUP!$E$20:$E$122,(MATCH(INDEX(PMsheet!$D:$E,MATCH(A464,PMsheet!E:E,0),1),SETUP!$D$20:$D$122,0))))</f>
        <v/>
      </c>
      <c r="N464" s="491">
        <f>IF($O464="USD",_xlfn.IFNA(VLOOKUP(A464&amp;E464&amp;I464,PMsheet!J:K,2,0),0),(_xlfn.IFNA(VLOOKUP(A464&amp;E464&amp;I464,PMsheet!J:K,2,0),0)*'Master Data-C19RM'!$C$2))</f>
        <v>0</v>
      </c>
      <c r="O464" s="492" t="str">
        <f>IF(L464="", "",SETUP!$E$7)</f>
        <v/>
      </c>
      <c r="P464" s="444">
        <f>IF($O464="USD",_xlfn.IFNA(VLOOKUP($A464&amp;$E464&amp;$I464,PMsheet!$J:$K,2,0),0),(_xlfn.IFNA(VLOOKUP($A464&amp;$E464&amp;$I464,PMsheet!$J:$K,2,0),0)*'Master Data-C19RM'!$C$2))</f>
        <v>0</v>
      </c>
      <c r="Q464" s="441"/>
      <c r="R464" s="441"/>
      <c r="S464" s="441"/>
      <c r="T464" s="441"/>
      <c r="U464" s="481">
        <f t="shared" si="61"/>
        <v>0</v>
      </c>
      <c r="V464" s="483">
        <f>IF(SETUP!$E$7="USD",(U464*(IF(O464="USD",P464,(P464/'Master Data-C19RM'!$C$2)))),(U464*(IF(O464="EUR",P464,(P464*'Master Data-C19RM'!$C$2)))))</f>
        <v>0</v>
      </c>
      <c r="W464" s="444">
        <f>IF($O464="USD",_xlfn.IFNA(VLOOKUP($A464&amp;$E464&amp;$I464,PMsheet!$J:$K,2,0),0),(_xlfn.IFNA(VLOOKUP($A464&amp;$E464&amp;$I464,PMsheet!$J:$K,2,0),0)*'Master Data-C19RM'!$D$2))</f>
        <v>0</v>
      </c>
      <c r="X464" s="441"/>
      <c r="Y464" s="441"/>
      <c r="Z464" s="441"/>
      <c r="AA464" s="441"/>
      <c r="AB464" s="481">
        <f t="shared" si="62"/>
        <v>0</v>
      </c>
      <c r="AC464" s="483">
        <f>IF(SETUP!$E$7="USD",(AB464*(IF(O464="USD",W464,(W464/'Master Data-C19RM'!$D$2)))),(AB464*(IF(O464="EUR",W464,(W464*'Master Data-C19RM'!$D$2)))))</f>
        <v>0</v>
      </c>
      <c r="AD464" s="444">
        <f>IF($O464="USD",_xlfn.IFNA(VLOOKUP($A464&amp;$E464&amp;$I464,PMsheet!$J:$K,2,0),0),(_xlfn.IFNA(VLOOKUP($A464&amp;$E464&amp;$I464,PMsheet!$J:$K,2,0),0)*'Master Data-C19RM'!$E$2))</f>
        <v>0</v>
      </c>
      <c r="AE464" s="441"/>
      <c r="AF464" s="441"/>
      <c r="AG464" s="441"/>
      <c r="AH464" s="441"/>
      <c r="AI464" s="512">
        <f t="shared" si="63"/>
        <v>0</v>
      </c>
      <c r="AJ464" s="513">
        <f>IF(SETUP!$E$7="USD",(AI464*(IF(O464="USD",AD464,(AD464/'Master Data-C19RM'!$E$2)))),(AI464*(IF(O464="EUR",AD464,(AD464*'Master Data-C19RM'!$E$2)))))</f>
        <v>0</v>
      </c>
      <c r="AK464" s="444">
        <f>IF($O464="USD",_xlfn.IFNA(VLOOKUP($A464&amp;$E464&amp;$I464,PMsheet!$J:$K,2,0),0),(_xlfn.IFNA(VLOOKUP($A464&amp;$E464&amp;$I464,PMsheet!$J:$K,2,0),0)*'Master Data-C19RM'!$F$2))</f>
        <v>0</v>
      </c>
      <c r="AL464" s="441"/>
      <c r="AM464" s="441"/>
      <c r="AN464" s="441"/>
      <c r="AO464" s="441"/>
      <c r="AP464" s="512">
        <f t="shared" si="64"/>
        <v>0</v>
      </c>
      <c r="AQ464" s="513">
        <f>IF(SETUP!$E$7="USD",(AP464*(IF(O464="USD",AK464,(AK464/'Master Data-C19RM'!$F$2)))),(AP464*(IF(O464="EUR",AK464,(AK464*'Master Data-C19RM'!$F$2)))))</f>
        <v>0</v>
      </c>
      <c r="AR464" s="924">
        <f>IF($O464="USD",_xlfn.IFNA(VLOOKUP($A464&amp;$E464&amp;$I464,PMsheet!$J:$K,2,0),0),(_xlfn.IFNA(VLOOKUP($A464&amp;$E464&amp;$I464,PMsheet!$J:$K,2,0),0)*'Master Data-C19RM'!$G$2))</f>
        <v>0</v>
      </c>
      <c r="AS464" s="572"/>
      <c r="AT464" s="572"/>
      <c r="AU464" s="572"/>
      <c r="AV464" s="572"/>
      <c r="AW464" s="512">
        <f t="shared" si="65"/>
        <v>0</v>
      </c>
      <c r="AX464" s="512">
        <f>IF(SETUP!$E$7="USD",(AW464*(IF(O464="USD",AR464,(AR464/'Master Data-C19RM'!$G$2)))),(AW464*(IF(O464="EUR",AR464,(AR464*'Master Data-C19RM'!$G$2)))))</f>
        <v>0</v>
      </c>
      <c r="AY464" s="845"/>
      <c r="AZ464" s="846"/>
      <c r="BA464" s="846"/>
      <c r="BB464" s="846"/>
      <c r="BC464" s="846"/>
      <c r="BD464" s="846"/>
      <c r="BE464" s="847"/>
      <c r="BF464" s="520">
        <f>'C19RM 2021-Lab &amp; Other HPS'!$U464+'C19RM 2021-Lab &amp; Other HPS'!$AB464+'C19RM 2021-Lab &amp; Other HPS'!$AP464+'C19RM 2021-Lab &amp; Other HPS'!$AI464+AW464+BD464</f>
        <v>0</v>
      </c>
      <c r="BG464" s="513">
        <f>'C19RM 2021-Lab &amp; Other HPS'!$V464+'C19RM 2021-Lab &amp; Other HPS'!$AC464+'C19RM 2021-Lab &amp; Other HPS'!$AQ464+'C19RM 2021-Lab &amp; Other HPS'!$AJ464+AX464+BE464</f>
        <v>0</v>
      </c>
      <c r="BH464" s="500" t="str" cm="1">
        <f t="array" ref="BH464">IF(A464&lt;&gt;"",IFERROR(INDEX(PMtbl[[WKst]:[Unit of measure*]],MATCH($A$437&amp;$A464&amp;$E464&amp;$I464,INDEX(PMtbl[Sec]&amp;PMtbl[Category]&amp;PMtbl[Each]&amp;PMtbl[Packaging],0,),0),11),""),"")</f>
        <v/>
      </c>
      <c r="BI464" s="819"/>
      <c r="BJ464" s="502" t="str" cm="1">
        <f t="array" ref="BJ464">IFERROR(INDEX(SETUP!$C$19:$G$121,MATCH((INDEX(PMtbl[[WKst]:[Unit of measure*]],MATCH($A464&amp;$E464&amp;$I464,INDEX(PMtbl[Category]&amp;PMtbl[Each]&amp;PMtbl[Packaging],0,),0),3)),SETUP!$D$19:$D$121,0),5),"")</f>
        <v/>
      </c>
      <c r="BK464" s="536" t="str" cm="1">
        <f t="array" ref="BK464">IFERROR(IF((INDEX(SETUP!$C$19:$G$121,MATCH((INDEX(PMtbl[[WKst]:[Unit of measure*]],MATCH($A464&amp;$E464&amp;$I464,INDEX(PMtbl[Category]&amp;PMtbl[Each]&amp;PMtbl[Packaging],0,),0),3)),SETUP!$D$19:$D$121,0),4))="Upfront",0,INDEX(SETUP!$C$19:$G$121,MATCH((INDEX(PMtbl[[WKst]:[Unit of measure*]],MATCH($A464&amp;$E464&amp;$I464,INDEX(PMtbl[Category]&amp;PMtbl[Each]&amp;PMtbl[Packaging],0,),0),3)),SETUP!$D$19:$D$121,0),5)),"")</f>
        <v/>
      </c>
      <c r="BL464" s="577" t="str" cm="1">
        <f t="array" ref="BL464">IF(E464&lt;&gt;"",IFERROR(INDEX(PMtbl[[WKst]:[Unit of measure*]],MATCH($A$437&amp;$A464&amp;$E464&amp;$I464,INDEX(PMtbl[Sec]&amp;PMtbl[Category]&amp;PMtbl[Each]&amp;PMtbl[Packaging],0,),0),11),""),"")</f>
        <v/>
      </c>
      <c r="BO464" s="12">
        <f>IF(N464="",0,IF(SETUP!$E$7="USD",((IF(O464="USD",P464,(P464/'Master Data-C19RM'!$C$2)))),((IF(O464="EUR",P464,(P464*'Master Data-C19RM'!$C$2))))))</f>
        <v>0</v>
      </c>
      <c r="BP464" s="12">
        <f>IF(N464="",0,IF(SETUP!$E$7="USD",((IF(O464="USD",W464,(W464/'Master Data-C19RM'!$D$2)))),((IF(O464="EUR",W464,(W464*'Master Data-C19RM'!$D$2))))))</f>
        <v>0</v>
      </c>
      <c r="BQ464">
        <f>IF(N464="",0,IF(SETUP!$E$7="USD",((IF(O464="USD",AD464,(AD464/'Master Data-C19RM'!$E$2)))),((IF(O464="EUR",AD464,(AD464*'Master Data-C19RM'!$E$2))))))</f>
        <v>0</v>
      </c>
      <c r="BR464">
        <f>IF(N464="",0,IF(SETUP!$E$7="USD",((IF(O464="USD",AK464,(AK464/'Master Data-C19RM'!$F$2)))),((IF(O464="EUR",AK464,(AK464*'Master Data-C19RM'!$F$2))))))</f>
        <v>0</v>
      </c>
      <c r="BS464">
        <f>IF(N464="",0,IF(SETUP!$E$7="USD",((IF(O464="USD",AR464,(AR464/'Master Data-C19RM'!$G$2)))),((IF(O464="EUR",AR464,(AR464*'Master Data-C19RM'!$G$2))))))</f>
        <v>0</v>
      </c>
      <c r="BT464">
        <f>IF(N464="",0,IF(SETUP!$E$7="USD",((IF(O464="USD",AY464,(AY464/'Master Data-C19RM'!$H$2)))),((IF(O464="EUR",AY464,(AY464*'Master Data-C19RM'!$H$2))))))</f>
        <v>0</v>
      </c>
      <c r="BU464" s="12">
        <f t="shared" si="59"/>
        <v>0</v>
      </c>
      <c r="BV464" s="142">
        <f t="shared" si="60"/>
        <v>0</v>
      </c>
    </row>
    <row r="465" spans="1:74" x14ac:dyDescent="0.35">
      <c r="A465" s="1192"/>
      <c r="B465" s="1192"/>
      <c r="C465" s="1192"/>
      <c r="D465" s="1192"/>
      <c r="E465" s="1173"/>
      <c r="F465" s="1173"/>
      <c r="G465" s="1173"/>
      <c r="H465" s="1173"/>
      <c r="I465" s="1173"/>
      <c r="J465" s="1173"/>
      <c r="K465" s="1173"/>
      <c r="L465" s="493" t="str" cm="1">
        <f t="array" ref="L465">IF(A465&lt;&gt;"",IFERROR(INDEX(PMtbl[[WKst]:[Unit of measure*]],MATCH($A$437&amp;$A465&amp;$E465&amp;$I465,INDEX(PMtbl[Sec]&amp;PMtbl[Category]&amp;PMtbl[Each]&amp;PMtbl[Packaging],0,),0),14),""),"")</f>
        <v/>
      </c>
      <c r="M465" s="480" t="str">
        <f>IF(L465="","",INDEX(SETUP!$E$20:$E$122,(MATCH(INDEX(PMsheet!$D:$E,MATCH(A465,PMsheet!E:E,0),1),SETUP!$D$20:$D$122,0))))</f>
        <v/>
      </c>
      <c r="N465" s="494">
        <f>IF($O465="USD",_xlfn.IFNA(VLOOKUP(A465&amp;E465&amp;I465,PMsheet!J:K,2,0),0),(_xlfn.IFNA(VLOOKUP(A465&amp;E465&amp;I465,PMsheet!J:K,2,0),0)*'Master Data-C19RM'!$C$2))</f>
        <v>0</v>
      </c>
      <c r="O465" s="495" t="str">
        <f>IF(L465="", "",SETUP!$E$7)</f>
        <v/>
      </c>
      <c r="P465" s="445">
        <f>IF($O465="USD",_xlfn.IFNA(VLOOKUP($A465&amp;$E465&amp;$I465,PMsheet!$J:$K,2,0),0),(_xlfn.IFNA(VLOOKUP($A465&amp;$E465&amp;$I465,PMsheet!$J:$K,2,0),0)*'Master Data-C19RM'!$C$2))</f>
        <v>0</v>
      </c>
      <c r="Q465" s="440"/>
      <c r="R465" s="440"/>
      <c r="S465" s="440"/>
      <c r="T465" s="440"/>
      <c r="U465" s="482">
        <f t="shared" si="61"/>
        <v>0</v>
      </c>
      <c r="V465" s="484">
        <f>IF(SETUP!$E$7="USD",(U465*(IF(O465="USD",P465,(P465/'Master Data-C19RM'!$C$2)))),(U465*(IF(O465="EUR",P465,(P465*'Master Data-C19RM'!$C$2)))))</f>
        <v>0</v>
      </c>
      <c r="W465" s="445">
        <f>IF($O465="USD",_xlfn.IFNA(VLOOKUP($A465&amp;$E465&amp;$I465,PMsheet!$J:$K,2,0),0),(_xlfn.IFNA(VLOOKUP($A465&amp;$E465&amp;$I465,PMsheet!$J:$K,2,0),0)*'Master Data-C19RM'!$D$2))</f>
        <v>0</v>
      </c>
      <c r="X465" s="440"/>
      <c r="Y465" s="440"/>
      <c r="Z465" s="440"/>
      <c r="AA465" s="440"/>
      <c r="AB465" s="482">
        <f t="shared" si="62"/>
        <v>0</v>
      </c>
      <c r="AC465" s="484">
        <f>IF(SETUP!$E$7="USD",(AB465*(IF(O465="USD",W465,(W465/'Master Data-C19RM'!$D$2)))),(AB465*(IF(O465="EUR",W465,(W465*'Master Data-C19RM'!$D$2)))))</f>
        <v>0</v>
      </c>
      <c r="AD465" s="445">
        <f>IF($O465="USD",_xlfn.IFNA(VLOOKUP($A465&amp;$E465&amp;$I465,PMsheet!$J:$K,2,0),0),(_xlfn.IFNA(VLOOKUP($A465&amp;$E465&amp;$I465,PMsheet!$J:$K,2,0),0)*'Master Data-C19RM'!$E$2))</f>
        <v>0</v>
      </c>
      <c r="AE465" s="440"/>
      <c r="AF465" s="440"/>
      <c r="AG465" s="440"/>
      <c r="AH465" s="440"/>
      <c r="AI465" s="514">
        <f t="shared" si="63"/>
        <v>0</v>
      </c>
      <c r="AJ465" s="515">
        <f>IF(SETUP!$E$7="USD",(AI465*(IF(O465="USD",AD465,(AD465/'Master Data-C19RM'!$E$2)))),(AI465*(IF(O465="EUR",AD465,(AD465*'Master Data-C19RM'!$E$2)))))</f>
        <v>0</v>
      </c>
      <c r="AK465" s="445">
        <f>IF($O465="USD",_xlfn.IFNA(VLOOKUP($A465&amp;$E465&amp;$I465,PMsheet!$J:$K,2,0),0),(_xlfn.IFNA(VLOOKUP($A465&amp;$E465&amp;$I465,PMsheet!$J:$K,2,0),0)*'Master Data-C19RM'!$F$2))</f>
        <v>0</v>
      </c>
      <c r="AL465" s="440"/>
      <c r="AM465" s="440"/>
      <c r="AN465" s="440"/>
      <c r="AO465" s="440"/>
      <c r="AP465" s="514">
        <f t="shared" si="64"/>
        <v>0</v>
      </c>
      <c r="AQ465" s="515">
        <f>IF(SETUP!$E$7="USD",(AP465*(IF(O465="USD",AK465,(AK465/'Master Data-C19RM'!$F$2)))),(AP465*(IF(O465="EUR",AK465,(AK465*'Master Data-C19RM'!$F$2)))))</f>
        <v>0</v>
      </c>
      <c r="AR465" s="925">
        <f>IF($O465="USD",_xlfn.IFNA(VLOOKUP($A465&amp;$E465&amp;$I465,PMsheet!$J:$K,2,0),0),(_xlfn.IFNA(VLOOKUP($A465&amp;$E465&amp;$I465,PMsheet!$J:$K,2,0),0)*'Master Data-C19RM'!$G$2))</f>
        <v>0</v>
      </c>
      <c r="AS465" s="926"/>
      <c r="AT465" s="926"/>
      <c r="AU465" s="926"/>
      <c r="AV465" s="926"/>
      <c r="AW465" s="514">
        <f t="shared" si="65"/>
        <v>0</v>
      </c>
      <c r="AX465" s="514">
        <f>IF(SETUP!$E$7="USD",(AW465*(IF(O465="USD",AR465,(AR465/'Master Data-C19RM'!$G$2)))),(AW465*(IF(O465="EUR",AR465,(AR465*'Master Data-C19RM'!$G$2)))))</f>
        <v>0</v>
      </c>
      <c r="AY465" s="845"/>
      <c r="AZ465" s="846"/>
      <c r="BA465" s="846"/>
      <c r="BB465" s="846"/>
      <c r="BC465" s="846"/>
      <c r="BD465" s="846"/>
      <c r="BE465" s="847"/>
      <c r="BF465" s="521">
        <f>'C19RM 2021-Lab &amp; Other HPS'!$U465+'C19RM 2021-Lab &amp; Other HPS'!$AB465+'C19RM 2021-Lab &amp; Other HPS'!$AP465+'C19RM 2021-Lab &amp; Other HPS'!$AI465+AW465+BD465</f>
        <v>0</v>
      </c>
      <c r="BG465" s="515">
        <f>'C19RM 2021-Lab &amp; Other HPS'!$V465+'C19RM 2021-Lab &amp; Other HPS'!$AC465+'C19RM 2021-Lab &amp; Other HPS'!$AQ465+'C19RM 2021-Lab &amp; Other HPS'!$AJ465+AX465+BE465</f>
        <v>0</v>
      </c>
      <c r="BH465" s="522" t="str" cm="1">
        <f t="array" ref="BH465">IF(A465&lt;&gt;"",IFERROR(INDEX(PMtbl[[WKst]:[Unit of measure*]],MATCH($A$437&amp;$A465&amp;$E465&amp;$I465,INDEX(PMtbl[Sec]&amp;PMtbl[Category]&amp;PMtbl[Each]&amp;PMtbl[Packaging],0,),0),11),""),"")</f>
        <v/>
      </c>
      <c r="BI465" s="818"/>
      <c r="BJ465" s="503" t="str" cm="1">
        <f t="array" ref="BJ465">IFERROR(INDEX(SETUP!$C$19:$G$121,MATCH((INDEX(PMtbl[[WKst]:[Unit of measure*]],MATCH($A465&amp;$E465&amp;$I465,INDEX(PMtbl[Category]&amp;PMtbl[Each]&amp;PMtbl[Packaging],0,),0),3)),SETUP!$D$19:$D$121,0),5),"")</f>
        <v/>
      </c>
      <c r="BK465" s="537" t="str" cm="1">
        <f t="array" ref="BK465">IFERROR(IF((INDEX(SETUP!$C$19:$G$121,MATCH((INDEX(PMtbl[[WKst]:[Unit of measure*]],MATCH($A465&amp;$E465&amp;$I465,INDEX(PMtbl[Category]&amp;PMtbl[Each]&amp;PMtbl[Packaging],0,),0),3)),SETUP!$D$19:$D$121,0),4))="Upfront",0,INDEX(SETUP!$C$19:$G$121,MATCH((INDEX(PMtbl[[WKst]:[Unit of measure*]],MATCH($A465&amp;$E465&amp;$I465,INDEX(PMtbl[Category]&amp;PMtbl[Each]&amp;PMtbl[Packaging],0,),0),3)),SETUP!$D$19:$D$121,0),5)),"")</f>
        <v/>
      </c>
      <c r="BL465" s="578" t="str" cm="1">
        <f t="array" ref="BL465">IF(E465&lt;&gt;"",IFERROR(INDEX(PMtbl[[WKst]:[Unit of measure*]],MATCH($A$437&amp;$A465&amp;$E465&amp;$I465,INDEX(PMtbl[Sec]&amp;PMtbl[Category]&amp;PMtbl[Each]&amp;PMtbl[Packaging],0,),0),11),""),"")</f>
        <v/>
      </c>
      <c r="BO465" s="12">
        <f>IF(N465="",0,IF(SETUP!$E$7="USD",((IF(O465="USD",P465,(P465/'Master Data-C19RM'!$C$2)))),((IF(O465="EUR",P465,(P465*'Master Data-C19RM'!$C$2))))))</f>
        <v>0</v>
      </c>
      <c r="BP465" s="12">
        <f>IF(N465="",0,IF(SETUP!$E$7="USD",((IF(O465="USD",W465,(W465/'Master Data-C19RM'!$D$2)))),((IF(O465="EUR",W465,(W465*'Master Data-C19RM'!$D$2))))))</f>
        <v>0</v>
      </c>
      <c r="BQ465">
        <f>IF(N465="",0,IF(SETUP!$E$7="USD",((IF(O465="USD",AD465,(AD465/'Master Data-C19RM'!$E$2)))),((IF(O465="EUR",AD465,(AD465*'Master Data-C19RM'!$E$2))))))</f>
        <v>0</v>
      </c>
      <c r="BR465">
        <f>IF(N465="",0,IF(SETUP!$E$7="USD",((IF(O465="USD",AK465,(AK465/'Master Data-C19RM'!$F$2)))),((IF(O465="EUR",AK465,(AK465*'Master Data-C19RM'!$F$2))))))</f>
        <v>0</v>
      </c>
      <c r="BS465">
        <f>IF(N465="",0,IF(SETUP!$E$7="USD",((IF(O465="USD",AR465,(AR465/'Master Data-C19RM'!$G$2)))),((IF(O465="EUR",AR465,(AR465*'Master Data-C19RM'!$G$2))))))</f>
        <v>0</v>
      </c>
      <c r="BT465">
        <f>IF(N465="",0,IF(SETUP!$E$7="USD",((IF(O465="USD",AY465,(AY465/'Master Data-C19RM'!$H$2)))),((IF(O465="EUR",AY465,(AY465*'Master Data-C19RM'!$H$2))))))</f>
        <v>0</v>
      </c>
      <c r="BU465" s="12">
        <f t="shared" si="59"/>
        <v>0</v>
      </c>
      <c r="BV465" s="142">
        <f t="shared" si="60"/>
        <v>0</v>
      </c>
    </row>
    <row r="466" spans="1:74" x14ac:dyDescent="0.35">
      <c r="A466" s="1165"/>
      <c r="B466" s="1165"/>
      <c r="C466" s="1165"/>
      <c r="D466" s="1165"/>
      <c r="E466" s="1166"/>
      <c r="F466" s="1166"/>
      <c r="G466" s="1166"/>
      <c r="H466" s="1166"/>
      <c r="I466" s="1166"/>
      <c r="J466" s="1166"/>
      <c r="K466" s="1166"/>
      <c r="L466" s="490" t="str" cm="1">
        <f t="array" ref="L466">IF(A466&lt;&gt;"",IFERROR(INDEX(PMtbl[[WKst]:[Unit of measure*]],MATCH($A$437&amp;$A466&amp;$E466&amp;$I466,INDEX(PMtbl[Sec]&amp;PMtbl[Category]&amp;PMtbl[Each]&amp;PMtbl[Packaging],0,),0),14),""),"")</f>
        <v/>
      </c>
      <c r="M466" s="479" t="str">
        <f>IF(L466="","",INDEX(SETUP!$E$20:$E$122,(MATCH(INDEX(PMsheet!$D:$E,MATCH(A466,PMsheet!E:E,0),1),SETUP!$D$20:$D$122,0))))</f>
        <v/>
      </c>
      <c r="N466" s="491">
        <f>IF($O466="USD",_xlfn.IFNA(VLOOKUP(A466&amp;E466&amp;I466,PMsheet!J:K,2,0),0),(_xlfn.IFNA(VLOOKUP(A466&amp;E466&amp;I466,PMsheet!J:K,2,0),0)*'Master Data-C19RM'!$C$2))</f>
        <v>0</v>
      </c>
      <c r="O466" s="492" t="str">
        <f>IF(L466="", "",SETUP!$E$7)</f>
        <v/>
      </c>
      <c r="P466" s="444">
        <f>IF($O466="USD",_xlfn.IFNA(VLOOKUP($A466&amp;$E466&amp;$I466,PMsheet!$J:$K,2,0),0),(_xlfn.IFNA(VLOOKUP($A466&amp;$E466&amp;$I466,PMsheet!$J:$K,2,0),0)*'Master Data-C19RM'!$C$2))</f>
        <v>0</v>
      </c>
      <c r="Q466" s="441"/>
      <c r="R466" s="441"/>
      <c r="S466" s="441"/>
      <c r="T466" s="441"/>
      <c r="U466" s="481">
        <f t="shared" si="61"/>
        <v>0</v>
      </c>
      <c r="V466" s="483">
        <f>IF(SETUP!$E$7="USD",(U466*(IF(O466="USD",P466,(P466/'Master Data-C19RM'!$C$2)))),(U466*(IF(O466="EUR",P466,(P466*'Master Data-C19RM'!$C$2)))))</f>
        <v>0</v>
      </c>
      <c r="W466" s="444">
        <f>IF($O466="USD",_xlfn.IFNA(VLOOKUP($A466&amp;$E466&amp;$I466,PMsheet!$J:$K,2,0),0),(_xlfn.IFNA(VLOOKUP($A466&amp;$E466&amp;$I466,PMsheet!$J:$K,2,0),0)*'Master Data-C19RM'!$D$2))</f>
        <v>0</v>
      </c>
      <c r="X466" s="441"/>
      <c r="Y466" s="441"/>
      <c r="Z466" s="441"/>
      <c r="AA466" s="441"/>
      <c r="AB466" s="481">
        <f t="shared" si="62"/>
        <v>0</v>
      </c>
      <c r="AC466" s="483">
        <f>IF(SETUP!$E$7="USD",(AB466*(IF(O466="USD",W466,(W466/'Master Data-C19RM'!$D$2)))),(AB466*(IF(O466="EUR",W466,(W466*'Master Data-C19RM'!$D$2)))))</f>
        <v>0</v>
      </c>
      <c r="AD466" s="444">
        <f>IF($O466="USD",_xlfn.IFNA(VLOOKUP($A466&amp;$E466&amp;$I466,PMsheet!$J:$K,2,0),0),(_xlfn.IFNA(VLOOKUP($A466&amp;$E466&amp;$I466,PMsheet!$J:$K,2,0),0)*'Master Data-C19RM'!$E$2))</f>
        <v>0</v>
      </c>
      <c r="AE466" s="441"/>
      <c r="AF466" s="441"/>
      <c r="AG466" s="441"/>
      <c r="AH466" s="441"/>
      <c r="AI466" s="512">
        <f t="shared" si="63"/>
        <v>0</v>
      </c>
      <c r="AJ466" s="513">
        <f>IF(SETUP!$E$7="USD",(AI466*(IF(O466="USD",AD466,(AD466/'Master Data-C19RM'!$E$2)))),(AI466*(IF(O466="EUR",AD466,(AD466*'Master Data-C19RM'!$E$2)))))</f>
        <v>0</v>
      </c>
      <c r="AK466" s="444">
        <f>IF($O466="USD",_xlfn.IFNA(VLOOKUP($A466&amp;$E466&amp;$I466,PMsheet!$J:$K,2,0),0),(_xlfn.IFNA(VLOOKUP($A466&amp;$E466&amp;$I466,PMsheet!$J:$K,2,0),0)*'Master Data-C19RM'!$F$2))</f>
        <v>0</v>
      </c>
      <c r="AL466" s="441"/>
      <c r="AM466" s="441"/>
      <c r="AN466" s="441"/>
      <c r="AO466" s="441"/>
      <c r="AP466" s="512">
        <f t="shared" si="64"/>
        <v>0</v>
      </c>
      <c r="AQ466" s="513">
        <f>IF(SETUP!$E$7="USD",(AP466*(IF(O466="USD",AK466,(AK466/'Master Data-C19RM'!$F$2)))),(AP466*(IF(O466="EUR",AK466,(AK466*'Master Data-C19RM'!$F$2)))))</f>
        <v>0</v>
      </c>
      <c r="AR466" s="924">
        <f>IF($O466="USD",_xlfn.IFNA(VLOOKUP($A466&amp;$E466&amp;$I466,PMsheet!$J:$K,2,0),0),(_xlfn.IFNA(VLOOKUP($A466&amp;$E466&amp;$I466,PMsheet!$J:$K,2,0),0)*'Master Data-C19RM'!$G$2))</f>
        <v>0</v>
      </c>
      <c r="AS466" s="572"/>
      <c r="AT466" s="572"/>
      <c r="AU466" s="572"/>
      <c r="AV466" s="572"/>
      <c r="AW466" s="512">
        <f t="shared" si="65"/>
        <v>0</v>
      </c>
      <c r="AX466" s="512">
        <f>IF(SETUP!$E$7="USD",(AW466*(IF(O466="USD",AR466,(AR466/'Master Data-C19RM'!$G$2)))),(AW466*(IF(O466="EUR",AR466,(AR466*'Master Data-C19RM'!$G$2)))))</f>
        <v>0</v>
      </c>
      <c r="AY466" s="845"/>
      <c r="AZ466" s="846"/>
      <c r="BA466" s="846"/>
      <c r="BB466" s="846"/>
      <c r="BC466" s="846"/>
      <c r="BD466" s="846"/>
      <c r="BE466" s="847"/>
      <c r="BF466" s="520">
        <f>'C19RM 2021-Lab &amp; Other HPS'!$U466+'C19RM 2021-Lab &amp; Other HPS'!$AB466+'C19RM 2021-Lab &amp; Other HPS'!$AP466+'C19RM 2021-Lab &amp; Other HPS'!$AI466+AW466+BD466</f>
        <v>0</v>
      </c>
      <c r="BG466" s="513">
        <f>'C19RM 2021-Lab &amp; Other HPS'!$V466+'C19RM 2021-Lab &amp; Other HPS'!$AC466+'C19RM 2021-Lab &amp; Other HPS'!$AQ466+'C19RM 2021-Lab &amp; Other HPS'!$AJ466+AX466+BE466</f>
        <v>0</v>
      </c>
      <c r="BH466" s="500" t="str" cm="1">
        <f t="array" ref="BH466">IF(A466&lt;&gt;"",IFERROR(INDEX(PMtbl[[WKst]:[Unit of measure*]],MATCH($A$437&amp;$A466&amp;$E466&amp;$I466,INDEX(PMtbl[Sec]&amp;PMtbl[Category]&amp;PMtbl[Each]&amp;PMtbl[Packaging],0,),0),11),""),"")</f>
        <v/>
      </c>
      <c r="BI466" s="819"/>
      <c r="BJ466" s="502" t="str" cm="1">
        <f t="array" ref="BJ466">IFERROR(INDEX(SETUP!$C$19:$G$121,MATCH((INDEX(PMtbl[[WKst]:[Unit of measure*]],MATCH($A466&amp;$E466&amp;$I466,INDEX(PMtbl[Category]&amp;PMtbl[Each]&amp;PMtbl[Packaging],0,),0),3)),SETUP!$D$19:$D$121,0),5),"")</f>
        <v/>
      </c>
      <c r="BK466" s="536" t="str" cm="1">
        <f t="array" ref="BK466">IFERROR(IF((INDEX(SETUP!$C$19:$G$121,MATCH((INDEX(PMtbl[[WKst]:[Unit of measure*]],MATCH($A466&amp;$E466&amp;$I466,INDEX(PMtbl[Category]&amp;PMtbl[Each]&amp;PMtbl[Packaging],0,),0),3)),SETUP!$D$19:$D$121,0),4))="Upfront",0,INDEX(SETUP!$C$19:$G$121,MATCH((INDEX(PMtbl[[WKst]:[Unit of measure*]],MATCH($A466&amp;$E466&amp;$I466,INDEX(PMtbl[Category]&amp;PMtbl[Each]&amp;PMtbl[Packaging],0,),0),3)),SETUP!$D$19:$D$121,0),5)),"")</f>
        <v/>
      </c>
      <c r="BL466" s="577" t="str" cm="1">
        <f t="array" ref="BL466">IF(E466&lt;&gt;"",IFERROR(INDEX(PMtbl[[WKst]:[Unit of measure*]],MATCH($A$437&amp;$A466&amp;$E466&amp;$I466,INDEX(PMtbl[Sec]&amp;PMtbl[Category]&amp;PMtbl[Each]&amp;PMtbl[Packaging],0,),0),11),""),"")</f>
        <v/>
      </c>
      <c r="BO466" s="12">
        <f>IF(N466="",0,IF(SETUP!$E$7="USD",((IF(O466="USD",P466,(P466/'Master Data-C19RM'!$C$2)))),((IF(O466="EUR",P466,(P466*'Master Data-C19RM'!$C$2))))))</f>
        <v>0</v>
      </c>
      <c r="BP466" s="12">
        <f>IF(N466="",0,IF(SETUP!$E$7="USD",((IF(O466="USD",W466,(W466/'Master Data-C19RM'!$D$2)))),((IF(O466="EUR",W466,(W466*'Master Data-C19RM'!$D$2))))))</f>
        <v>0</v>
      </c>
      <c r="BQ466">
        <f>IF(N466="",0,IF(SETUP!$E$7="USD",((IF(O466="USD",AD466,(AD466/'Master Data-C19RM'!$E$2)))),((IF(O466="EUR",AD466,(AD466*'Master Data-C19RM'!$E$2))))))</f>
        <v>0</v>
      </c>
      <c r="BR466">
        <f>IF(N466="",0,IF(SETUP!$E$7="USD",((IF(O466="USD",AK466,(AK466/'Master Data-C19RM'!$F$2)))),((IF(O466="EUR",AK466,(AK466*'Master Data-C19RM'!$F$2))))))</f>
        <v>0</v>
      </c>
      <c r="BS466">
        <f>IF(N466="",0,IF(SETUP!$E$7="USD",((IF(O466="USD",AR466,(AR466/'Master Data-C19RM'!$G$2)))),((IF(O466="EUR",AR466,(AR466*'Master Data-C19RM'!$G$2))))))</f>
        <v>0</v>
      </c>
      <c r="BT466">
        <f>IF(N466="",0,IF(SETUP!$E$7="USD",((IF(O466="USD",AY466,(AY466/'Master Data-C19RM'!$H$2)))),((IF(O466="EUR",AY466,(AY466*'Master Data-C19RM'!$H$2))))))</f>
        <v>0</v>
      </c>
      <c r="BU466" s="12">
        <f t="shared" si="59"/>
        <v>0</v>
      </c>
      <c r="BV466" s="142">
        <f t="shared" si="60"/>
        <v>0</v>
      </c>
    </row>
    <row r="467" spans="1:74" x14ac:dyDescent="0.35">
      <c r="A467" s="1192"/>
      <c r="B467" s="1192"/>
      <c r="C467" s="1192"/>
      <c r="D467" s="1192"/>
      <c r="E467" s="1173"/>
      <c r="F467" s="1173"/>
      <c r="G467" s="1173"/>
      <c r="H467" s="1173"/>
      <c r="I467" s="1173"/>
      <c r="J467" s="1173"/>
      <c r="K467" s="1173"/>
      <c r="L467" s="493" t="str" cm="1">
        <f t="array" ref="L467">IF(A467&lt;&gt;"",IFERROR(INDEX(PMtbl[[WKst]:[Unit of measure*]],MATCH($A$437&amp;$A467&amp;$E467&amp;$I467,INDEX(PMtbl[Sec]&amp;PMtbl[Category]&amp;PMtbl[Each]&amp;PMtbl[Packaging],0,),0),14),""),"")</f>
        <v/>
      </c>
      <c r="M467" s="480" t="str">
        <f>IF(L467="","",INDEX(SETUP!$E$20:$E$122,(MATCH(INDEX(PMsheet!$D:$E,MATCH(A467,PMsheet!E:E,0),1),SETUP!$D$20:$D$122,0))))</f>
        <v/>
      </c>
      <c r="N467" s="494">
        <f>IF($O467="USD",_xlfn.IFNA(VLOOKUP(A467&amp;E467&amp;I467,PMsheet!J:K,2,0),0),(_xlfn.IFNA(VLOOKUP(A467&amp;E467&amp;I467,PMsheet!J:K,2,0),0)*'Master Data-C19RM'!$C$2))</f>
        <v>0</v>
      </c>
      <c r="O467" s="495" t="str">
        <f>IF(L467="", "",SETUP!$E$7)</f>
        <v/>
      </c>
      <c r="P467" s="445">
        <f>IF($O467="USD",_xlfn.IFNA(VLOOKUP($A467&amp;$E467&amp;$I467,PMsheet!$J:$K,2,0),0),(_xlfn.IFNA(VLOOKUP($A467&amp;$E467&amp;$I467,PMsheet!$J:$K,2,0),0)*'Master Data-C19RM'!$C$2))</f>
        <v>0</v>
      </c>
      <c r="Q467" s="440"/>
      <c r="R467" s="440"/>
      <c r="S467" s="440"/>
      <c r="T467" s="440"/>
      <c r="U467" s="482">
        <f t="shared" si="61"/>
        <v>0</v>
      </c>
      <c r="V467" s="484">
        <f>IF(SETUP!$E$7="USD",(U467*(IF(O467="USD",P467,(P467/'Master Data-C19RM'!$C$2)))),(U467*(IF(O467="EUR",P467,(P467*'Master Data-C19RM'!$C$2)))))</f>
        <v>0</v>
      </c>
      <c r="W467" s="445">
        <f>IF($O467="USD",_xlfn.IFNA(VLOOKUP($A467&amp;$E467&amp;$I467,PMsheet!$J:$K,2,0),0),(_xlfn.IFNA(VLOOKUP($A467&amp;$E467&amp;$I467,PMsheet!$J:$K,2,0),0)*'Master Data-C19RM'!$D$2))</f>
        <v>0</v>
      </c>
      <c r="X467" s="440"/>
      <c r="Y467" s="440"/>
      <c r="Z467" s="440"/>
      <c r="AA467" s="440"/>
      <c r="AB467" s="482">
        <f t="shared" si="62"/>
        <v>0</v>
      </c>
      <c r="AC467" s="484">
        <f>IF(SETUP!$E$7="USD",(AB467*(IF(O467="USD",W467,(W467/'Master Data-C19RM'!$D$2)))),(AB467*(IF(O467="EUR",W467,(W467*'Master Data-C19RM'!$D$2)))))</f>
        <v>0</v>
      </c>
      <c r="AD467" s="445">
        <f>IF($O467="USD",_xlfn.IFNA(VLOOKUP($A467&amp;$E467&amp;$I467,PMsheet!$J:$K,2,0),0),(_xlfn.IFNA(VLOOKUP($A467&amp;$E467&amp;$I467,PMsheet!$J:$K,2,0),0)*'Master Data-C19RM'!$E$2))</f>
        <v>0</v>
      </c>
      <c r="AE467" s="440"/>
      <c r="AF467" s="440"/>
      <c r="AG467" s="440"/>
      <c r="AH467" s="440"/>
      <c r="AI467" s="514">
        <f t="shared" si="63"/>
        <v>0</v>
      </c>
      <c r="AJ467" s="515">
        <f>IF(SETUP!$E$7="USD",(AI467*(IF(O467="USD",AD467,(AD467/'Master Data-C19RM'!$E$2)))),(AI467*(IF(O467="EUR",AD467,(AD467*'Master Data-C19RM'!$E$2)))))</f>
        <v>0</v>
      </c>
      <c r="AK467" s="445">
        <f>IF($O467="USD",_xlfn.IFNA(VLOOKUP($A467&amp;$E467&amp;$I467,PMsheet!$J:$K,2,0),0),(_xlfn.IFNA(VLOOKUP($A467&amp;$E467&amp;$I467,PMsheet!$J:$K,2,0),0)*'Master Data-C19RM'!$F$2))</f>
        <v>0</v>
      </c>
      <c r="AL467" s="440"/>
      <c r="AM467" s="440"/>
      <c r="AN467" s="440"/>
      <c r="AO467" s="440"/>
      <c r="AP467" s="514">
        <f t="shared" si="64"/>
        <v>0</v>
      </c>
      <c r="AQ467" s="515">
        <f>IF(SETUP!$E$7="USD",(AP467*(IF(O467="USD",AK467,(AK467/'Master Data-C19RM'!$F$2)))),(AP467*(IF(O467="EUR",AK467,(AK467*'Master Data-C19RM'!$F$2)))))</f>
        <v>0</v>
      </c>
      <c r="AR467" s="925">
        <f>IF($O467="USD",_xlfn.IFNA(VLOOKUP($A467&amp;$E467&amp;$I467,PMsheet!$J:$K,2,0),0),(_xlfn.IFNA(VLOOKUP($A467&amp;$E467&amp;$I467,PMsheet!$J:$K,2,0),0)*'Master Data-C19RM'!$G$2))</f>
        <v>0</v>
      </c>
      <c r="AS467" s="926"/>
      <c r="AT467" s="926"/>
      <c r="AU467" s="926"/>
      <c r="AV467" s="926"/>
      <c r="AW467" s="514">
        <f t="shared" si="65"/>
        <v>0</v>
      </c>
      <c r="AX467" s="514">
        <f>IF(SETUP!$E$7="USD",(AW467*(IF(O467="USD",AR467,(AR467/'Master Data-C19RM'!$G$2)))),(AW467*(IF(O467="EUR",AR467,(AR467*'Master Data-C19RM'!$G$2)))))</f>
        <v>0</v>
      </c>
      <c r="AY467" s="845"/>
      <c r="AZ467" s="846"/>
      <c r="BA467" s="846"/>
      <c r="BB467" s="846"/>
      <c r="BC467" s="846"/>
      <c r="BD467" s="846"/>
      <c r="BE467" s="847"/>
      <c r="BF467" s="521">
        <f>'C19RM 2021-Lab &amp; Other HPS'!$U467+'C19RM 2021-Lab &amp; Other HPS'!$AB467+'C19RM 2021-Lab &amp; Other HPS'!$AP467+'C19RM 2021-Lab &amp; Other HPS'!$AI467+AW467+BD467</f>
        <v>0</v>
      </c>
      <c r="BG467" s="515">
        <f>'C19RM 2021-Lab &amp; Other HPS'!$V467+'C19RM 2021-Lab &amp; Other HPS'!$AC467+'C19RM 2021-Lab &amp; Other HPS'!$AQ467+'C19RM 2021-Lab &amp; Other HPS'!$AJ467+AX467+BE467</f>
        <v>0</v>
      </c>
      <c r="BH467" s="522" t="str" cm="1">
        <f t="array" ref="BH467">IF(A467&lt;&gt;"",IFERROR(INDEX(PMtbl[[WKst]:[Unit of measure*]],MATCH($A$437&amp;$A467&amp;$E467&amp;$I467,INDEX(PMtbl[Sec]&amp;PMtbl[Category]&amp;PMtbl[Each]&amp;PMtbl[Packaging],0,),0),11),""),"")</f>
        <v/>
      </c>
      <c r="BI467" s="818"/>
      <c r="BJ467" s="503" t="str" cm="1">
        <f t="array" ref="BJ467">IFERROR(INDEX(SETUP!$C$19:$G$121,MATCH((INDEX(PMtbl[[WKst]:[Unit of measure*]],MATCH($A467&amp;$E467&amp;$I467,INDEX(PMtbl[Category]&amp;PMtbl[Each]&amp;PMtbl[Packaging],0,),0),3)),SETUP!$D$19:$D$121,0),5),"")</f>
        <v/>
      </c>
      <c r="BK467" s="537" t="str" cm="1">
        <f t="array" ref="BK467">IFERROR(IF((INDEX(SETUP!$C$19:$G$121,MATCH((INDEX(PMtbl[[WKst]:[Unit of measure*]],MATCH($A467&amp;$E467&amp;$I467,INDEX(PMtbl[Category]&amp;PMtbl[Each]&amp;PMtbl[Packaging],0,),0),3)),SETUP!$D$19:$D$121,0),4))="Upfront",0,INDEX(SETUP!$C$19:$G$121,MATCH((INDEX(PMtbl[[WKst]:[Unit of measure*]],MATCH($A467&amp;$E467&amp;$I467,INDEX(PMtbl[Category]&amp;PMtbl[Each]&amp;PMtbl[Packaging],0,),0),3)),SETUP!$D$19:$D$121,0),5)),"")</f>
        <v/>
      </c>
      <c r="BL467" s="578" t="str" cm="1">
        <f t="array" ref="BL467">IF(E467&lt;&gt;"",IFERROR(INDEX(PMtbl[[WKst]:[Unit of measure*]],MATCH($A$437&amp;$A467&amp;$E467&amp;$I467,INDEX(PMtbl[Sec]&amp;PMtbl[Category]&amp;PMtbl[Each]&amp;PMtbl[Packaging],0,),0),11),""),"")</f>
        <v/>
      </c>
      <c r="BO467" s="12">
        <f>IF(N467="",0,IF(SETUP!$E$7="USD",((IF(O467="USD",P467,(P467/'Master Data-C19RM'!$C$2)))),((IF(O467="EUR",P467,(P467*'Master Data-C19RM'!$C$2))))))</f>
        <v>0</v>
      </c>
      <c r="BP467" s="12">
        <f>IF(N467="",0,IF(SETUP!$E$7="USD",((IF(O467="USD",W467,(W467/'Master Data-C19RM'!$D$2)))),((IF(O467="EUR",W467,(W467*'Master Data-C19RM'!$D$2))))))</f>
        <v>0</v>
      </c>
      <c r="BQ467">
        <f>IF(N467="",0,IF(SETUP!$E$7="USD",((IF(O467="USD",AD467,(AD467/'Master Data-C19RM'!$E$2)))),((IF(O467="EUR",AD467,(AD467*'Master Data-C19RM'!$E$2))))))</f>
        <v>0</v>
      </c>
      <c r="BR467">
        <f>IF(N467="",0,IF(SETUP!$E$7="USD",((IF(O467="USD",AK467,(AK467/'Master Data-C19RM'!$F$2)))),((IF(O467="EUR",AK467,(AK467*'Master Data-C19RM'!$F$2))))))</f>
        <v>0</v>
      </c>
      <c r="BS467">
        <f>IF(N467="",0,IF(SETUP!$E$7="USD",((IF(O467="USD",AR467,(AR467/'Master Data-C19RM'!$G$2)))),((IF(O467="EUR",AR467,(AR467*'Master Data-C19RM'!$G$2))))))</f>
        <v>0</v>
      </c>
      <c r="BT467">
        <f>IF(N467="",0,IF(SETUP!$E$7="USD",((IF(O467="USD",AY467,(AY467/'Master Data-C19RM'!$H$2)))),((IF(O467="EUR",AY467,(AY467*'Master Data-C19RM'!$H$2))))))</f>
        <v>0</v>
      </c>
      <c r="BU467" s="12">
        <f t="shared" si="59"/>
        <v>0</v>
      </c>
      <c r="BV467" s="142">
        <f t="shared" si="60"/>
        <v>0</v>
      </c>
    </row>
    <row r="468" spans="1:74" x14ac:dyDescent="0.35">
      <c r="A468" s="1165"/>
      <c r="B468" s="1165"/>
      <c r="C468" s="1165"/>
      <c r="D468" s="1165"/>
      <c r="E468" s="1166"/>
      <c r="F468" s="1166"/>
      <c r="G468" s="1166"/>
      <c r="H468" s="1166"/>
      <c r="I468" s="1166"/>
      <c r="J468" s="1166"/>
      <c r="K468" s="1166"/>
      <c r="L468" s="490" t="str" cm="1">
        <f t="array" ref="L468">IF(A468&lt;&gt;"",IFERROR(INDEX(PMtbl[[WKst]:[Unit of measure*]],MATCH($A$437&amp;$A468&amp;$E468&amp;$I468,INDEX(PMtbl[Sec]&amp;PMtbl[Category]&amp;PMtbl[Each]&amp;PMtbl[Packaging],0,),0),14),""),"")</f>
        <v/>
      </c>
      <c r="M468" s="479" t="str">
        <f>IF(L468="","",INDEX(SETUP!$E$20:$E$122,(MATCH(INDEX(PMsheet!$D:$E,MATCH(A468,PMsheet!E:E,0),1),SETUP!$D$20:$D$122,0))))</f>
        <v/>
      </c>
      <c r="N468" s="491">
        <f>IF($O468="USD",_xlfn.IFNA(VLOOKUP(A468&amp;E468&amp;I468,PMsheet!J:K,2,0),0),(_xlfn.IFNA(VLOOKUP(A468&amp;E468&amp;I468,PMsheet!J:K,2,0),0)*'Master Data-C19RM'!$C$2))</f>
        <v>0</v>
      </c>
      <c r="O468" s="492" t="str">
        <f>IF(L468="", "",SETUP!$E$7)</f>
        <v/>
      </c>
      <c r="P468" s="444">
        <f>IF($O468="USD",_xlfn.IFNA(VLOOKUP($A468&amp;$E468&amp;$I468,PMsheet!$J:$K,2,0),0),(_xlfn.IFNA(VLOOKUP($A468&amp;$E468&amp;$I468,PMsheet!$J:$K,2,0),0)*'Master Data-C19RM'!$C$2))</f>
        <v>0</v>
      </c>
      <c r="Q468" s="441"/>
      <c r="R468" s="441"/>
      <c r="S468" s="441"/>
      <c r="T468" s="441"/>
      <c r="U468" s="481">
        <f t="shared" si="61"/>
        <v>0</v>
      </c>
      <c r="V468" s="483">
        <f>IF(SETUP!$E$7="USD",(U468*(IF(O468="USD",P468,(P468/'Master Data-C19RM'!$C$2)))),(U468*(IF(O468="EUR",P468,(P468*'Master Data-C19RM'!$C$2)))))</f>
        <v>0</v>
      </c>
      <c r="W468" s="444">
        <f>IF($O468="USD",_xlfn.IFNA(VLOOKUP($A468&amp;$E468&amp;$I468,PMsheet!$J:$K,2,0),0),(_xlfn.IFNA(VLOOKUP($A468&amp;$E468&amp;$I468,PMsheet!$J:$K,2,0),0)*'Master Data-C19RM'!$D$2))</f>
        <v>0</v>
      </c>
      <c r="X468" s="441"/>
      <c r="Y468" s="441"/>
      <c r="Z468" s="441"/>
      <c r="AA468" s="441"/>
      <c r="AB468" s="481">
        <f t="shared" si="62"/>
        <v>0</v>
      </c>
      <c r="AC468" s="483">
        <f>IF(SETUP!$E$7="USD",(AB468*(IF(O468="USD",W468,(W468/'Master Data-C19RM'!$D$2)))),(AB468*(IF(O468="EUR",W468,(W468*'Master Data-C19RM'!$D$2)))))</f>
        <v>0</v>
      </c>
      <c r="AD468" s="444">
        <f>IF($O468="USD",_xlfn.IFNA(VLOOKUP($A468&amp;$E468&amp;$I468,PMsheet!$J:$K,2,0),0),(_xlfn.IFNA(VLOOKUP($A468&amp;$E468&amp;$I468,PMsheet!$J:$K,2,0),0)*'Master Data-C19RM'!$E$2))</f>
        <v>0</v>
      </c>
      <c r="AE468" s="441"/>
      <c r="AF468" s="441"/>
      <c r="AG468" s="441"/>
      <c r="AH468" s="441"/>
      <c r="AI468" s="512">
        <f t="shared" si="63"/>
        <v>0</v>
      </c>
      <c r="AJ468" s="513">
        <f>IF(SETUP!$E$7="USD",(AI468*(IF(O468="USD",AD468,(AD468/'Master Data-C19RM'!$E$2)))),(AI468*(IF(O468="EUR",AD468,(AD468*'Master Data-C19RM'!$E$2)))))</f>
        <v>0</v>
      </c>
      <c r="AK468" s="444">
        <f>IF($O468="USD",_xlfn.IFNA(VLOOKUP($A468&amp;$E468&amp;$I468,PMsheet!$J:$K,2,0),0),(_xlfn.IFNA(VLOOKUP($A468&amp;$E468&amp;$I468,PMsheet!$J:$K,2,0),0)*'Master Data-C19RM'!$F$2))</f>
        <v>0</v>
      </c>
      <c r="AL468" s="441"/>
      <c r="AM468" s="441"/>
      <c r="AN468" s="441"/>
      <c r="AO468" s="441"/>
      <c r="AP468" s="512">
        <f t="shared" si="64"/>
        <v>0</v>
      </c>
      <c r="AQ468" s="513">
        <f>IF(SETUP!$E$7="USD",(AP468*(IF(O468="USD",AK468,(AK468/'Master Data-C19RM'!$F$2)))),(AP468*(IF(O468="EUR",AK468,(AK468*'Master Data-C19RM'!$F$2)))))</f>
        <v>0</v>
      </c>
      <c r="AR468" s="924">
        <f>IF($O468="USD",_xlfn.IFNA(VLOOKUP($A468&amp;$E468&amp;$I468,PMsheet!$J:$K,2,0),0),(_xlfn.IFNA(VLOOKUP($A468&amp;$E468&amp;$I468,PMsheet!$J:$K,2,0),0)*'Master Data-C19RM'!$G$2))</f>
        <v>0</v>
      </c>
      <c r="AS468" s="572"/>
      <c r="AT468" s="572"/>
      <c r="AU468" s="572"/>
      <c r="AV468" s="572"/>
      <c r="AW468" s="512">
        <f t="shared" si="65"/>
        <v>0</v>
      </c>
      <c r="AX468" s="512">
        <f>IF(SETUP!$E$7="USD",(AW468*(IF(O468="USD",AR468,(AR468/'Master Data-C19RM'!$G$2)))),(AW468*(IF(O468="EUR",AR468,(AR468*'Master Data-C19RM'!$G$2)))))</f>
        <v>0</v>
      </c>
      <c r="AY468" s="845"/>
      <c r="AZ468" s="846"/>
      <c r="BA468" s="846"/>
      <c r="BB468" s="846"/>
      <c r="BC468" s="846"/>
      <c r="BD468" s="846"/>
      <c r="BE468" s="847"/>
      <c r="BF468" s="520">
        <f>'C19RM 2021-Lab &amp; Other HPS'!$U468+'C19RM 2021-Lab &amp; Other HPS'!$AB468+'C19RM 2021-Lab &amp; Other HPS'!$AP468+'C19RM 2021-Lab &amp; Other HPS'!$AI468+AW468+BD468</f>
        <v>0</v>
      </c>
      <c r="BG468" s="513">
        <f>'C19RM 2021-Lab &amp; Other HPS'!$V468+'C19RM 2021-Lab &amp; Other HPS'!$AC468+'C19RM 2021-Lab &amp; Other HPS'!$AQ468+'C19RM 2021-Lab &amp; Other HPS'!$AJ468+AX468+BE468</f>
        <v>0</v>
      </c>
      <c r="BH468" s="500" t="str" cm="1">
        <f t="array" ref="BH468">IF(A468&lt;&gt;"",IFERROR(INDEX(PMtbl[[WKst]:[Unit of measure*]],MATCH($A$437&amp;$A468&amp;$E468&amp;$I468,INDEX(PMtbl[Sec]&amp;PMtbl[Category]&amp;PMtbl[Each]&amp;PMtbl[Packaging],0,),0),11),""),"")</f>
        <v/>
      </c>
      <c r="BI468" s="819"/>
      <c r="BJ468" s="502" t="str" cm="1">
        <f t="array" ref="BJ468">IFERROR(INDEX(SETUP!$C$19:$G$121,MATCH((INDEX(PMtbl[[WKst]:[Unit of measure*]],MATCH($A468&amp;$E468&amp;$I468,INDEX(PMtbl[Category]&amp;PMtbl[Each]&amp;PMtbl[Packaging],0,),0),3)),SETUP!$D$19:$D$121,0),5),"")</f>
        <v/>
      </c>
      <c r="BK468" s="536" t="str" cm="1">
        <f t="array" ref="BK468">IFERROR(IF((INDEX(SETUP!$C$19:$G$121,MATCH((INDEX(PMtbl[[WKst]:[Unit of measure*]],MATCH($A468&amp;$E468&amp;$I468,INDEX(PMtbl[Category]&amp;PMtbl[Each]&amp;PMtbl[Packaging],0,),0),3)),SETUP!$D$19:$D$121,0),4))="Upfront",0,INDEX(SETUP!$C$19:$G$121,MATCH((INDEX(PMtbl[[WKst]:[Unit of measure*]],MATCH($A468&amp;$E468&amp;$I468,INDEX(PMtbl[Category]&amp;PMtbl[Each]&amp;PMtbl[Packaging],0,),0),3)),SETUP!$D$19:$D$121,0),5)),"")</f>
        <v/>
      </c>
      <c r="BL468" s="577" t="str" cm="1">
        <f t="array" ref="BL468">IF(E468&lt;&gt;"",IFERROR(INDEX(PMtbl[[WKst]:[Unit of measure*]],MATCH($A$437&amp;$A468&amp;$E468&amp;$I468,INDEX(PMtbl[Sec]&amp;PMtbl[Category]&amp;PMtbl[Each]&amp;PMtbl[Packaging],0,),0),11),""),"")</f>
        <v/>
      </c>
      <c r="BO468" s="12">
        <f>IF(N468="",0,IF(SETUP!$E$7="USD",((IF(O468="USD",P468,(P468/'Master Data-C19RM'!$C$2)))),((IF(O468="EUR",P468,(P468*'Master Data-C19RM'!$C$2))))))</f>
        <v>0</v>
      </c>
      <c r="BP468" s="12">
        <f>IF(N468="",0,IF(SETUP!$E$7="USD",((IF(O468="USD",W468,(W468/'Master Data-C19RM'!$D$2)))),((IF(O468="EUR",W468,(W468*'Master Data-C19RM'!$D$2))))))</f>
        <v>0</v>
      </c>
      <c r="BQ468">
        <f>IF(N468="",0,IF(SETUP!$E$7="USD",((IF(O468="USD",AD468,(AD468/'Master Data-C19RM'!$E$2)))),((IF(O468="EUR",AD468,(AD468*'Master Data-C19RM'!$E$2))))))</f>
        <v>0</v>
      </c>
      <c r="BR468">
        <f>IF(N468="",0,IF(SETUP!$E$7="USD",((IF(O468="USD",AK468,(AK468/'Master Data-C19RM'!$F$2)))),((IF(O468="EUR",AK468,(AK468*'Master Data-C19RM'!$F$2))))))</f>
        <v>0</v>
      </c>
      <c r="BS468">
        <f>IF(N468="",0,IF(SETUP!$E$7="USD",((IF(O468="USD",AR468,(AR468/'Master Data-C19RM'!$G$2)))),((IF(O468="EUR",AR468,(AR468*'Master Data-C19RM'!$G$2))))))</f>
        <v>0</v>
      </c>
      <c r="BT468">
        <f>IF(N468="",0,IF(SETUP!$E$7="USD",((IF(O468="USD",AY468,(AY468/'Master Data-C19RM'!$H$2)))),((IF(O468="EUR",AY468,(AY468*'Master Data-C19RM'!$H$2))))))</f>
        <v>0</v>
      </c>
      <c r="BU468" s="12">
        <f t="shared" si="59"/>
        <v>0</v>
      </c>
      <c r="BV468" s="142">
        <f t="shared" si="60"/>
        <v>0</v>
      </c>
    </row>
    <row r="469" spans="1:74" x14ac:dyDescent="0.35">
      <c r="A469" s="1192"/>
      <c r="B469" s="1192"/>
      <c r="C469" s="1192"/>
      <c r="D469" s="1192"/>
      <c r="E469" s="1173"/>
      <c r="F469" s="1173"/>
      <c r="G469" s="1173"/>
      <c r="H469" s="1173"/>
      <c r="I469" s="1173"/>
      <c r="J469" s="1173"/>
      <c r="K469" s="1173"/>
      <c r="L469" s="493" t="str" cm="1">
        <f t="array" ref="L469">IF(A469&lt;&gt;"",IFERROR(INDEX(PMtbl[[WKst]:[Unit of measure*]],MATCH($A$437&amp;$A469&amp;$E469&amp;$I469,INDEX(PMtbl[Sec]&amp;PMtbl[Category]&amp;PMtbl[Each]&amp;PMtbl[Packaging],0,),0),14),""),"")</f>
        <v/>
      </c>
      <c r="M469" s="480" t="str">
        <f>IF(L469="","",INDEX(SETUP!$E$20:$E$122,(MATCH(INDEX(PMsheet!$D:$E,MATCH(A469,PMsheet!E:E,0),1),SETUP!$D$20:$D$122,0))))</f>
        <v/>
      </c>
      <c r="N469" s="494">
        <f>IF($O469="USD",_xlfn.IFNA(VLOOKUP(A469&amp;E469&amp;I469,PMsheet!J:K,2,0),0),(_xlfn.IFNA(VLOOKUP(A469&amp;E469&amp;I469,PMsheet!J:K,2,0),0)*'Master Data-C19RM'!$C$2))</f>
        <v>0</v>
      </c>
      <c r="O469" s="495" t="str">
        <f>IF(L469="", "",SETUP!$E$7)</f>
        <v/>
      </c>
      <c r="P469" s="445">
        <f>IF($O469="USD",_xlfn.IFNA(VLOOKUP($A469&amp;$E469&amp;$I469,PMsheet!$J:$K,2,0),0),(_xlfn.IFNA(VLOOKUP($A469&amp;$E469&amp;$I469,PMsheet!$J:$K,2,0),0)*'Master Data-C19RM'!$C$2))</f>
        <v>0</v>
      </c>
      <c r="Q469" s="440"/>
      <c r="R469" s="440"/>
      <c r="S469" s="440"/>
      <c r="T469" s="440"/>
      <c r="U469" s="482">
        <f t="shared" si="61"/>
        <v>0</v>
      </c>
      <c r="V469" s="484">
        <f>IF(SETUP!$E$7="USD",(U469*(IF(O469="USD",P469,(P469/'Master Data-C19RM'!$C$2)))),(U469*(IF(O469="EUR",P469,(P469*'Master Data-C19RM'!$C$2)))))</f>
        <v>0</v>
      </c>
      <c r="W469" s="445">
        <f>IF($O469="USD",_xlfn.IFNA(VLOOKUP($A469&amp;$E469&amp;$I469,PMsheet!$J:$K,2,0),0),(_xlfn.IFNA(VLOOKUP($A469&amp;$E469&amp;$I469,PMsheet!$J:$K,2,0),0)*'Master Data-C19RM'!$D$2))</f>
        <v>0</v>
      </c>
      <c r="X469" s="440"/>
      <c r="Y469" s="440"/>
      <c r="Z469" s="440"/>
      <c r="AA469" s="440"/>
      <c r="AB469" s="482">
        <f t="shared" si="62"/>
        <v>0</v>
      </c>
      <c r="AC469" s="484">
        <f>IF(SETUP!$E$7="USD",(AB469*(IF(O469="USD",W469,(W469/'Master Data-C19RM'!$D$2)))),(AB469*(IF(O469="EUR",W469,(W469*'Master Data-C19RM'!$D$2)))))</f>
        <v>0</v>
      </c>
      <c r="AD469" s="445">
        <f>IF($O469="USD",_xlfn.IFNA(VLOOKUP($A469&amp;$E469&amp;$I469,PMsheet!$J:$K,2,0),0),(_xlfn.IFNA(VLOOKUP($A469&amp;$E469&amp;$I469,PMsheet!$J:$K,2,0),0)*'Master Data-C19RM'!$E$2))</f>
        <v>0</v>
      </c>
      <c r="AE469" s="440"/>
      <c r="AF469" s="440"/>
      <c r="AG469" s="440"/>
      <c r="AH469" s="440"/>
      <c r="AI469" s="514">
        <f t="shared" si="63"/>
        <v>0</v>
      </c>
      <c r="AJ469" s="515">
        <f>IF(SETUP!$E$7="USD",(AI469*(IF(O469="USD",AD469,(AD469/'Master Data-C19RM'!$E$2)))),(AI469*(IF(O469="EUR",AD469,(AD469*'Master Data-C19RM'!$E$2)))))</f>
        <v>0</v>
      </c>
      <c r="AK469" s="445">
        <f>IF($O469="USD",_xlfn.IFNA(VLOOKUP($A469&amp;$E469&amp;$I469,PMsheet!$J:$K,2,0),0),(_xlfn.IFNA(VLOOKUP($A469&amp;$E469&amp;$I469,PMsheet!$J:$K,2,0),0)*'Master Data-C19RM'!$F$2))</f>
        <v>0</v>
      </c>
      <c r="AL469" s="440"/>
      <c r="AM469" s="440"/>
      <c r="AN469" s="440"/>
      <c r="AO469" s="440"/>
      <c r="AP469" s="514">
        <f t="shared" si="64"/>
        <v>0</v>
      </c>
      <c r="AQ469" s="515">
        <f>IF(SETUP!$E$7="USD",(AP469*(IF(O469="USD",AK469,(AK469/'Master Data-C19RM'!$F$2)))),(AP469*(IF(O469="EUR",AK469,(AK469*'Master Data-C19RM'!$F$2)))))</f>
        <v>0</v>
      </c>
      <c r="AR469" s="925">
        <f>IF($O469="USD",_xlfn.IFNA(VLOOKUP($A469&amp;$E469&amp;$I469,PMsheet!$J:$K,2,0),0),(_xlfn.IFNA(VLOOKUP($A469&amp;$E469&amp;$I469,PMsheet!$J:$K,2,0),0)*'Master Data-C19RM'!$G$2))</f>
        <v>0</v>
      </c>
      <c r="AS469" s="926"/>
      <c r="AT469" s="926"/>
      <c r="AU469" s="926"/>
      <c r="AV469" s="926"/>
      <c r="AW469" s="514">
        <f t="shared" si="65"/>
        <v>0</v>
      </c>
      <c r="AX469" s="514">
        <f>IF(SETUP!$E$7="USD",(AW469*(IF(O469="USD",AR469,(AR469/'Master Data-C19RM'!$G$2)))),(AW469*(IF(O469="EUR",AR469,(AR469*'Master Data-C19RM'!$G$2)))))</f>
        <v>0</v>
      </c>
      <c r="AY469" s="845"/>
      <c r="AZ469" s="846"/>
      <c r="BA469" s="846"/>
      <c r="BB469" s="846"/>
      <c r="BC469" s="846"/>
      <c r="BD469" s="846"/>
      <c r="BE469" s="847"/>
      <c r="BF469" s="521">
        <f>'C19RM 2021-Lab &amp; Other HPS'!$U469+'C19RM 2021-Lab &amp; Other HPS'!$AB469+'C19RM 2021-Lab &amp; Other HPS'!$AP469+'C19RM 2021-Lab &amp; Other HPS'!$AI469+AW469+BD469</f>
        <v>0</v>
      </c>
      <c r="BG469" s="515">
        <f>'C19RM 2021-Lab &amp; Other HPS'!$V469+'C19RM 2021-Lab &amp; Other HPS'!$AC469+'C19RM 2021-Lab &amp; Other HPS'!$AQ469+'C19RM 2021-Lab &amp; Other HPS'!$AJ469+AX469+BE469</f>
        <v>0</v>
      </c>
      <c r="BH469" s="522" t="str" cm="1">
        <f t="array" ref="BH469">IF(A469&lt;&gt;"",IFERROR(INDEX(PMtbl[[WKst]:[Unit of measure*]],MATCH($A$437&amp;$A469&amp;$E469&amp;$I469,INDEX(PMtbl[Sec]&amp;PMtbl[Category]&amp;PMtbl[Each]&amp;PMtbl[Packaging],0,),0),11),""),"")</f>
        <v/>
      </c>
      <c r="BI469" s="818"/>
      <c r="BJ469" s="503" t="str" cm="1">
        <f t="array" ref="BJ469">IFERROR(INDEX(SETUP!$C$19:$G$121,MATCH((INDEX(PMtbl[[WKst]:[Unit of measure*]],MATCH($A469&amp;$E469&amp;$I469,INDEX(PMtbl[Category]&amp;PMtbl[Each]&amp;PMtbl[Packaging],0,),0),3)),SETUP!$D$19:$D$121,0),5),"")</f>
        <v/>
      </c>
      <c r="BK469" s="537" t="str" cm="1">
        <f t="array" ref="BK469">IFERROR(IF((INDEX(SETUP!$C$19:$G$121,MATCH((INDEX(PMtbl[[WKst]:[Unit of measure*]],MATCH($A469&amp;$E469&amp;$I469,INDEX(PMtbl[Category]&amp;PMtbl[Each]&amp;PMtbl[Packaging],0,),0),3)),SETUP!$D$19:$D$121,0),4))="Upfront",0,INDEX(SETUP!$C$19:$G$121,MATCH((INDEX(PMtbl[[WKst]:[Unit of measure*]],MATCH($A469&amp;$E469&amp;$I469,INDEX(PMtbl[Category]&amp;PMtbl[Each]&amp;PMtbl[Packaging],0,),0),3)),SETUP!$D$19:$D$121,0),5)),"")</f>
        <v/>
      </c>
      <c r="BL469" s="578" t="str" cm="1">
        <f t="array" ref="BL469">IF(E469&lt;&gt;"",IFERROR(INDEX(PMtbl[[WKst]:[Unit of measure*]],MATCH($A$437&amp;$A469&amp;$E469&amp;$I469,INDEX(PMtbl[Sec]&amp;PMtbl[Category]&amp;PMtbl[Each]&amp;PMtbl[Packaging],0,),0),11),""),"")</f>
        <v/>
      </c>
      <c r="BO469" s="12">
        <f>IF(N469="",0,IF(SETUP!$E$7="USD",((IF(O469="USD",P469,(P469/'Master Data-C19RM'!$C$2)))),((IF(O469="EUR",P469,(P469*'Master Data-C19RM'!$C$2))))))</f>
        <v>0</v>
      </c>
      <c r="BP469" s="12">
        <f>IF(N469="",0,IF(SETUP!$E$7="USD",((IF(O469="USD",W469,(W469/'Master Data-C19RM'!$D$2)))),((IF(O469="EUR",W469,(W469*'Master Data-C19RM'!$D$2))))))</f>
        <v>0</v>
      </c>
      <c r="BQ469">
        <f>IF(N469="",0,IF(SETUP!$E$7="USD",((IF(O469="USD",AD469,(AD469/'Master Data-C19RM'!$E$2)))),((IF(O469="EUR",AD469,(AD469*'Master Data-C19RM'!$E$2))))))</f>
        <v>0</v>
      </c>
      <c r="BR469">
        <f>IF(N469="",0,IF(SETUP!$E$7="USD",((IF(O469="USD",AK469,(AK469/'Master Data-C19RM'!$F$2)))),((IF(O469="EUR",AK469,(AK469*'Master Data-C19RM'!$F$2))))))</f>
        <v>0</v>
      </c>
      <c r="BS469">
        <f>IF(N469="",0,IF(SETUP!$E$7="USD",((IF(O469="USD",AR469,(AR469/'Master Data-C19RM'!$G$2)))),((IF(O469="EUR",AR469,(AR469*'Master Data-C19RM'!$G$2))))))</f>
        <v>0</v>
      </c>
      <c r="BT469">
        <f>IF(N469="",0,IF(SETUP!$E$7="USD",((IF(O469="USD",AY469,(AY469/'Master Data-C19RM'!$H$2)))),((IF(O469="EUR",AY469,(AY469*'Master Data-C19RM'!$H$2))))))</f>
        <v>0</v>
      </c>
      <c r="BU469" s="12">
        <f t="shared" si="59"/>
        <v>0</v>
      </c>
      <c r="BV469" s="142">
        <f t="shared" si="60"/>
        <v>0</v>
      </c>
    </row>
    <row r="470" spans="1:74" x14ac:dyDescent="0.35">
      <c r="A470" s="1165"/>
      <c r="B470" s="1165"/>
      <c r="C470" s="1165"/>
      <c r="D470" s="1165"/>
      <c r="E470" s="1166"/>
      <c r="F470" s="1166"/>
      <c r="G470" s="1166"/>
      <c r="H470" s="1166"/>
      <c r="I470" s="1166"/>
      <c r="J470" s="1166"/>
      <c r="K470" s="1166"/>
      <c r="L470" s="490" t="str" cm="1">
        <f t="array" ref="L470">IF(A470&lt;&gt;"",IFERROR(INDEX(PMtbl[[WKst]:[Unit of measure*]],MATCH($A$437&amp;$A470&amp;$E470&amp;$I470,INDEX(PMtbl[Sec]&amp;PMtbl[Category]&amp;PMtbl[Each]&amp;PMtbl[Packaging],0,),0),14),""),"")</f>
        <v/>
      </c>
      <c r="M470" s="479" t="str">
        <f>IF(L470="","",INDEX(SETUP!$E$20:$E$122,(MATCH(INDEX(PMsheet!$D:$E,MATCH(A470,PMsheet!E:E,0),1),SETUP!$D$20:$D$122,0))))</f>
        <v/>
      </c>
      <c r="N470" s="491">
        <f>IF($O470="USD",_xlfn.IFNA(VLOOKUP(A470&amp;E470&amp;I470,PMsheet!J:K,2,0),0),(_xlfn.IFNA(VLOOKUP(A470&amp;E470&amp;I470,PMsheet!J:K,2,0),0)*'Master Data-C19RM'!$C$2))</f>
        <v>0</v>
      </c>
      <c r="O470" s="492" t="str">
        <f>IF(L470="", "",SETUP!$E$7)</f>
        <v/>
      </c>
      <c r="P470" s="444">
        <f>IF($O470="USD",_xlfn.IFNA(VLOOKUP($A470&amp;$E470&amp;$I470,PMsheet!$J:$K,2,0),0),(_xlfn.IFNA(VLOOKUP($A470&amp;$E470&amp;$I470,PMsheet!$J:$K,2,0),0)*'Master Data-C19RM'!$C$2))</f>
        <v>0</v>
      </c>
      <c r="Q470" s="441"/>
      <c r="R470" s="441"/>
      <c r="S470" s="441"/>
      <c r="T470" s="441"/>
      <c r="U470" s="481">
        <f t="shared" si="61"/>
        <v>0</v>
      </c>
      <c r="V470" s="483">
        <f>IF(SETUP!$E$7="USD",(U470*(IF(O470="USD",P470,(P470/'Master Data-C19RM'!$C$2)))),(U470*(IF(O470="EUR",P470,(P470*'Master Data-C19RM'!$C$2)))))</f>
        <v>0</v>
      </c>
      <c r="W470" s="444">
        <f>IF($O470="USD",_xlfn.IFNA(VLOOKUP($A470&amp;$E470&amp;$I470,PMsheet!$J:$K,2,0),0),(_xlfn.IFNA(VLOOKUP($A470&amp;$E470&amp;$I470,PMsheet!$J:$K,2,0),0)*'Master Data-C19RM'!$D$2))</f>
        <v>0</v>
      </c>
      <c r="X470" s="441"/>
      <c r="Y470" s="441"/>
      <c r="Z470" s="441"/>
      <c r="AA470" s="441"/>
      <c r="AB470" s="481">
        <f t="shared" si="62"/>
        <v>0</v>
      </c>
      <c r="AC470" s="483">
        <f>IF(SETUP!$E$7="USD",(AB470*(IF(O470="USD",W470,(W470/'Master Data-C19RM'!$D$2)))),(AB470*(IF(O470="EUR",W470,(W470*'Master Data-C19RM'!$D$2)))))</f>
        <v>0</v>
      </c>
      <c r="AD470" s="444">
        <f>IF($O470="USD",_xlfn.IFNA(VLOOKUP($A470&amp;$E470&amp;$I470,PMsheet!$J:$K,2,0),0),(_xlfn.IFNA(VLOOKUP($A470&amp;$E470&amp;$I470,PMsheet!$J:$K,2,0),0)*'Master Data-C19RM'!$E$2))</f>
        <v>0</v>
      </c>
      <c r="AE470" s="441"/>
      <c r="AF470" s="441"/>
      <c r="AG470" s="441"/>
      <c r="AH470" s="441"/>
      <c r="AI470" s="512">
        <f t="shared" si="63"/>
        <v>0</v>
      </c>
      <c r="AJ470" s="513">
        <f>IF(SETUP!$E$7="USD",(AI470*(IF(O470="USD",AD470,(AD470/'Master Data-C19RM'!$E$2)))),(AI470*(IF(O470="EUR",AD470,(AD470*'Master Data-C19RM'!$E$2)))))</f>
        <v>0</v>
      </c>
      <c r="AK470" s="444">
        <f>IF($O470="USD",_xlfn.IFNA(VLOOKUP($A470&amp;$E470&amp;$I470,PMsheet!$J:$K,2,0),0),(_xlfn.IFNA(VLOOKUP($A470&amp;$E470&amp;$I470,PMsheet!$J:$K,2,0),0)*'Master Data-C19RM'!$F$2))</f>
        <v>0</v>
      </c>
      <c r="AL470" s="441"/>
      <c r="AM470" s="441"/>
      <c r="AN470" s="441"/>
      <c r="AO470" s="441"/>
      <c r="AP470" s="512">
        <f>SUM($AL470:$AO470)</f>
        <v>0</v>
      </c>
      <c r="AQ470" s="513">
        <f>IF(SETUP!$E$7="USD",(AP470*(IF(O470="USD",AK470,(AK470/'Master Data-C19RM'!$F$2)))),(AP470*(IF(O470="EUR",AK470,(AK470*'Master Data-C19RM'!$F$2)))))</f>
        <v>0</v>
      </c>
      <c r="AR470" s="924">
        <f>IF($O470="USD",_xlfn.IFNA(VLOOKUP($A470&amp;$E470&amp;$I470,PMsheet!$J:$K,2,0),0),(_xlfn.IFNA(VLOOKUP($A470&amp;$E470&amp;$I470,PMsheet!$J:$K,2,0),0)*'Master Data-C19RM'!$G$2))</f>
        <v>0</v>
      </c>
      <c r="AS470" s="572"/>
      <c r="AT470" s="572"/>
      <c r="AU470" s="572"/>
      <c r="AV470" s="572"/>
      <c r="AW470" s="512">
        <f t="shared" si="65"/>
        <v>0</v>
      </c>
      <c r="AX470" s="512">
        <f>IF(SETUP!$E$7="USD",(AW470*(IF(O470="USD",AR470,(AR470/'Master Data-C19RM'!$G$2)))),(AW470*(IF(O470="EUR",AR470,(AR470*'Master Data-C19RM'!$G$2)))))</f>
        <v>0</v>
      </c>
      <c r="AY470" s="845"/>
      <c r="AZ470" s="846"/>
      <c r="BA470" s="846"/>
      <c r="BB470" s="846"/>
      <c r="BC470" s="846"/>
      <c r="BD470" s="846"/>
      <c r="BE470" s="847"/>
      <c r="BF470" s="520">
        <f>'C19RM 2021-Lab &amp; Other HPS'!$U470+'C19RM 2021-Lab &amp; Other HPS'!$AB470+'C19RM 2021-Lab &amp; Other HPS'!$AP470+'C19RM 2021-Lab &amp; Other HPS'!$AI470+AW470+BD470</f>
        <v>0</v>
      </c>
      <c r="BG470" s="513">
        <f>'C19RM 2021-Lab &amp; Other HPS'!$V470+'C19RM 2021-Lab &amp; Other HPS'!$AC470+'C19RM 2021-Lab &amp; Other HPS'!$AQ470+'C19RM 2021-Lab &amp; Other HPS'!$AJ470+AX470+BE470</f>
        <v>0</v>
      </c>
      <c r="BH470" s="500" t="str" cm="1">
        <f t="array" ref="BH470">IF(A470&lt;&gt;"",IFERROR(INDEX(PMtbl[[WKst]:[Unit of measure*]],MATCH($A$437&amp;$A470&amp;$E470&amp;$I470,INDEX(PMtbl[Sec]&amp;PMtbl[Category]&amp;PMtbl[Each]&amp;PMtbl[Packaging],0,),0),11),""),"")</f>
        <v/>
      </c>
      <c r="BI470" s="819"/>
      <c r="BJ470" s="502" t="str" cm="1">
        <f t="array" ref="BJ470">IFERROR(INDEX(SETUP!$C$19:$G$121,MATCH((INDEX(PMtbl[[WKst]:[Unit of measure*]],MATCH($A470&amp;$E470&amp;$I470,INDEX(PMtbl[Category]&amp;PMtbl[Each]&amp;PMtbl[Packaging],0,),0),3)),SETUP!$D$19:$D$121,0),5),"")</f>
        <v/>
      </c>
      <c r="BK470" s="536" t="str" cm="1">
        <f t="array" ref="BK470">IFERROR(IF((INDEX(SETUP!$C$19:$G$121,MATCH((INDEX(PMtbl[[WKst]:[Unit of measure*]],MATCH($A470&amp;$E470&amp;$I470,INDEX(PMtbl[Category]&amp;PMtbl[Each]&amp;PMtbl[Packaging],0,),0),3)),SETUP!$D$19:$D$121,0),4))="Upfront",0,INDEX(SETUP!$C$19:$G$121,MATCH((INDEX(PMtbl[[WKst]:[Unit of measure*]],MATCH($A470&amp;$E470&amp;$I470,INDEX(PMtbl[Category]&amp;PMtbl[Each]&amp;PMtbl[Packaging],0,),0),3)),SETUP!$D$19:$D$121,0),5)),"")</f>
        <v/>
      </c>
      <c r="BL470" s="577" t="str" cm="1">
        <f t="array" ref="BL470">IF(E470&lt;&gt;"",IFERROR(INDEX(PMtbl[[WKst]:[Unit of measure*]],MATCH($A$437&amp;$A470&amp;$E470&amp;$I470,INDEX(PMtbl[Sec]&amp;PMtbl[Category]&amp;PMtbl[Each]&amp;PMtbl[Packaging],0,),0),11),""),"")</f>
        <v/>
      </c>
      <c r="BO470" s="12">
        <f>IF(N470="",0,IF(SETUP!$E$7="USD",((IF(O470="USD",P470,(P470/'Master Data-C19RM'!$C$2)))),((IF(O470="EUR",P470,(P470*'Master Data-C19RM'!$C$2))))))</f>
        <v>0</v>
      </c>
      <c r="BP470" s="12">
        <f>IF(N470="",0,IF(SETUP!$E$7="USD",((IF(O470="USD",W470,(W470/'Master Data-C19RM'!$D$2)))),((IF(O470="EUR",W470,(W470*'Master Data-C19RM'!$D$2))))))</f>
        <v>0</v>
      </c>
      <c r="BQ470">
        <f>IF(N470="",0,IF(SETUP!$E$7="USD",((IF(O470="USD",AD470,(AD470/'Master Data-C19RM'!$E$2)))),((IF(O470="EUR",AD470,(AD470*'Master Data-C19RM'!$E$2))))))</f>
        <v>0</v>
      </c>
      <c r="BR470">
        <f>IF(N470="",0,IF(SETUP!$E$7="USD",((IF(O470="USD",AK470,(AK470/'Master Data-C19RM'!$F$2)))),((IF(O470="EUR",AK470,(AK470*'Master Data-C19RM'!$F$2))))))</f>
        <v>0</v>
      </c>
      <c r="BS470">
        <f>IF(N470="",0,IF(SETUP!$E$7="USD",((IF(O470="USD",AR470,(AR470/'Master Data-C19RM'!$G$2)))),((IF(O470="EUR",AR470,(AR470*'Master Data-C19RM'!$G$2))))))</f>
        <v>0</v>
      </c>
      <c r="BT470">
        <f>IF(N470="",0,IF(SETUP!$E$7="USD",((IF(O470="USD",AY470,(AY470/'Master Data-C19RM'!$H$2)))),((IF(O470="EUR",AY470,(AY470*'Master Data-C19RM'!$H$2))))))</f>
        <v>0</v>
      </c>
      <c r="BU470" s="12">
        <f t="shared" si="59"/>
        <v>0</v>
      </c>
      <c r="BV470" s="142">
        <f t="shared" si="60"/>
        <v>0</v>
      </c>
    </row>
    <row r="471" spans="1:74" x14ac:dyDescent="0.35">
      <c r="A471" s="1192"/>
      <c r="B471" s="1192"/>
      <c r="C471" s="1192"/>
      <c r="D471" s="1192"/>
      <c r="E471" s="1173"/>
      <c r="F471" s="1173"/>
      <c r="G471" s="1173"/>
      <c r="H471" s="1173"/>
      <c r="I471" s="1173"/>
      <c r="J471" s="1173"/>
      <c r="K471" s="1173"/>
      <c r="L471" s="493" t="str" cm="1">
        <f t="array" ref="L471">IF(A471&lt;&gt;"",IFERROR(INDEX(PMtbl[[WKst]:[Unit of measure*]],MATCH($A$437&amp;$A471&amp;$E471&amp;$I471,INDEX(PMtbl[Sec]&amp;PMtbl[Category]&amp;PMtbl[Each]&amp;PMtbl[Packaging],0,),0),14),""),"")</f>
        <v/>
      </c>
      <c r="M471" s="480" t="str">
        <f>IF(L471="","",INDEX(SETUP!$E$20:$E$122,(MATCH(INDEX(PMsheet!$D:$E,MATCH(A471,PMsheet!E:E,0),1),SETUP!$D$20:$D$122,0))))</f>
        <v/>
      </c>
      <c r="N471" s="494">
        <f>IF($O471="USD",_xlfn.IFNA(VLOOKUP(A471&amp;E471&amp;I471,PMsheet!J:K,2,0),0),(_xlfn.IFNA(VLOOKUP(A471&amp;E471&amp;I471,PMsheet!J:K,2,0),0)*'Master Data-C19RM'!$C$2))</f>
        <v>0</v>
      </c>
      <c r="O471" s="495" t="str">
        <f>IF(L471="", "",SETUP!$E$7)</f>
        <v/>
      </c>
      <c r="P471" s="445">
        <f>IF($O471="USD",_xlfn.IFNA(VLOOKUP($A471&amp;$E471&amp;$I471,PMsheet!$J:$K,2,0),0),(_xlfn.IFNA(VLOOKUP($A471&amp;$E471&amp;$I471,PMsheet!$J:$K,2,0),0)*'Master Data-C19RM'!$C$2))</f>
        <v>0</v>
      </c>
      <c r="Q471" s="440"/>
      <c r="R471" s="440"/>
      <c r="S471" s="440"/>
      <c r="T471" s="440"/>
      <c r="U471" s="482">
        <f t="shared" si="61"/>
        <v>0</v>
      </c>
      <c r="V471" s="484">
        <f>IF(SETUP!$E$7="USD",(U471*(IF(O471="USD",P471,(P471/'Master Data-C19RM'!$C$2)))),(U471*(IF(O471="EUR",P471,(P471*'Master Data-C19RM'!$C$2)))))</f>
        <v>0</v>
      </c>
      <c r="W471" s="445">
        <f>IF($O471="USD",_xlfn.IFNA(VLOOKUP($A471&amp;$E471&amp;$I471,PMsheet!$J:$K,2,0),0),(_xlfn.IFNA(VLOOKUP($A471&amp;$E471&amp;$I471,PMsheet!$J:$K,2,0),0)*'Master Data-C19RM'!$D$2))</f>
        <v>0</v>
      </c>
      <c r="X471" s="440"/>
      <c r="Y471" s="440"/>
      <c r="Z471" s="440"/>
      <c r="AA471" s="440"/>
      <c r="AB471" s="482">
        <f t="shared" si="62"/>
        <v>0</v>
      </c>
      <c r="AC471" s="484">
        <f>IF(SETUP!$E$7="USD",(AB471*(IF(O471="USD",W471,(W471/'Master Data-C19RM'!$D$2)))),(AB471*(IF(O471="EUR",W471,(W471*'Master Data-C19RM'!$D$2)))))</f>
        <v>0</v>
      </c>
      <c r="AD471" s="445">
        <f>IF($O471="USD",_xlfn.IFNA(VLOOKUP($A471&amp;$E471&amp;$I471,PMsheet!$J:$K,2,0),0),(_xlfn.IFNA(VLOOKUP($A471&amp;$E471&amp;$I471,PMsheet!$J:$K,2,0),0)*'Master Data-C19RM'!$E$2))</f>
        <v>0</v>
      </c>
      <c r="AE471" s="440"/>
      <c r="AF471" s="440"/>
      <c r="AG471" s="440"/>
      <c r="AH471" s="440"/>
      <c r="AI471" s="514">
        <f t="shared" si="63"/>
        <v>0</v>
      </c>
      <c r="AJ471" s="515">
        <f>IF(SETUP!$E$7="USD",(AI471*(IF(O471="USD",AD471,(AD471/'Master Data-C19RM'!$E$2)))),(AI471*(IF(O471="EUR",AD471,(AD471*'Master Data-C19RM'!$E$2)))))</f>
        <v>0</v>
      </c>
      <c r="AK471" s="445">
        <f>IF($O471="USD",_xlfn.IFNA(VLOOKUP($A471&amp;$E471&amp;$I471,PMsheet!$J:$K,2,0),0),(_xlfn.IFNA(VLOOKUP($A471&amp;$E471&amp;$I471,PMsheet!$J:$K,2,0),0)*'Master Data-C19RM'!$F$2))</f>
        <v>0</v>
      </c>
      <c r="AL471" s="440"/>
      <c r="AM471" s="440"/>
      <c r="AN471" s="440"/>
      <c r="AO471" s="440"/>
      <c r="AP471" s="514">
        <f t="shared" ref="AP471:AP542" si="66">SUM($AL471:$AO471)</f>
        <v>0</v>
      </c>
      <c r="AQ471" s="515">
        <f>IF(SETUP!$E$7="USD",(AP471*(IF(O471="USD",AK471,(AK471/'Master Data-C19RM'!$F$2)))),(AP471*(IF(O471="EUR",AK471,(AK471*'Master Data-C19RM'!$F$2)))))</f>
        <v>0</v>
      </c>
      <c r="AR471" s="925">
        <f>IF($O471="USD",_xlfn.IFNA(VLOOKUP($A471&amp;$E471&amp;$I471,PMsheet!$J:$K,2,0),0),(_xlfn.IFNA(VLOOKUP($A471&amp;$E471&amp;$I471,PMsheet!$J:$K,2,0),0)*'Master Data-C19RM'!$G$2))</f>
        <v>0</v>
      </c>
      <c r="AS471" s="926"/>
      <c r="AT471" s="926"/>
      <c r="AU471" s="926"/>
      <c r="AV471" s="926"/>
      <c r="AW471" s="514">
        <f t="shared" si="65"/>
        <v>0</v>
      </c>
      <c r="AX471" s="514">
        <f>IF(SETUP!$E$7="USD",(AW471*(IF(O471="USD",AR471,(AR471/'Master Data-C19RM'!$G$2)))),(AW471*(IF(O471="EUR",AR471,(AR471*'Master Data-C19RM'!$G$2)))))</f>
        <v>0</v>
      </c>
      <c r="AY471" s="845"/>
      <c r="AZ471" s="846"/>
      <c r="BA471" s="846"/>
      <c r="BB471" s="846"/>
      <c r="BC471" s="846"/>
      <c r="BD471" s="846"/>
      <c r="BE471" s="847"/>
      <c r="BF471" s="521">
        <f>'C19RM 2021-Lab &amp; Other HPS'!$U471+'C19RM 2021-Lab &amp; Other HPS'!$AB471+'C19RM 2021-Lab &amp; Other HPS'!$AP471+'C19RM 2021-Lab &amp; Other HPS'!$AI471+AW471+BD471</f>
        <v>0</v>
      </c>
      <c r="BG471" s="515">
        <f>'C19RM 2021-Lab &amp; Other HPS'!$V471+'C19RM 2021-Lab &amp; Other HPS'!$AC471+'C19RM 2021-Lab &amp; Other HPS'!$AQ471+'C19RM 2021-Lab &amp; Other HPS'!$AJ471+AX471+BE471</f>
        <v>0</v>
      </c>
      <c r="BH471" s="522" t="str" cm="1">
        <f t="array" ref="BH471">IF(A471&lt;&gt;"",IFERROR(INDEX(PMtbl[[WKst]:[Unit of measure*]],MATCH($A$437&amp;$A471&amp;$E471&amp;$I471,INDEX(PMtbl[Sec]&amp;PMtbl[Category]&amp;PMtbl[Each]&amp;PMtbl[Packaging],0,),0),11),""),"")</f>
        <v/>
      </c>
      <c r="BI471" s="818"/>
      <c r="BJ471" s="503" t="str" cm="1">
        <f t="array" ref="BJ471">IFERROR(INDEX(SETUP!$C$19:$G$121,MATCH((INDEX(PMtbl[[WKst]:[Unit of measure*]],MATCH($A471&amp;$E471&amp;$I471,INDEX(PMtbl[Category]&amp;PMtbl[Each]&amp;PMtbl[Packaging],0,),0),3)),SETUP!$D$19:$D$121,0),5),"")</f>
        <v/>
      </c>
      <c r="BK471" s="537" t="str" cm="1">
        <f t="array" ref="BK471">IFERROR(IF((INDEX(SETUP!$C$19:$G$121,MATCH((INDEX(PMtbl[[WKst]:[Unit of measure*]],MATCH($A471&amp;$E471&amp;$I471,INDEX(PMtbl[Category]&amp;PMtbl[Each]&amp;PMtbl[Packaging],0,),0),3)),SETUP!$D$19:$D$121,0),4))="Upfront",0,INDEX(SETUP!$C$19:$G$121,MATCH((INDEX(PMtbl[[WKst]:[Unit of measure*]],MATCH($A471&amp;$E471&amp;$I471,INDEX(PMtbl[Category]&amp;PMtbl[Each]&amp;PMtbl[Packaging],0,),0),3)),SETUP!$D$19:$D$121,0),5)),"")</f>
        <v/>
      </c>
      <c r="BL471" s="578" t="str" cm="1">
        <f t="array" ref="BL471">IF(E471&lt;&gt;"",IFERROR(INDEX(PMtbl[[WKst]:[Unit of measure*]],MATCH($A$437&amp;$A471&amp;$E471&amp;$I471,INDEX(PMtbl[Sec]&amp;PMtbl[Category]&amp;PMtbl[Each]&amp;PMtbl[Packaging],0,),0),11),""),"")</f>
        <v/>
      </c>
      <c r="BO471" s="12">
        <f>IF(N471="",0,IF(SETUP!$E$7="USD",((IF(O471="USD",P471,(P471/'Master Data-C19RM'!$C$2)))),((IF(O471="EUR",P471,(P471*'Master Data-C19RM'!$C$2))))))</f>
        <v>0</v>
      </c>
      <c r="BP471" s="12">
        <f>IF(N471="",0,IF(SETUP!$E$7="USD",((IF(O471="USD",W471,(W471/'Master Data-C19RM'!$D$2)))),((IF(O471="EUR",W471,(W471*'Master Data-C19RM'!$D$2))))))</f>
        <v>0</v>
      </c>
      <c r="BQ471">
        <f>IF(N471="",0,IF(SETUP!$E$7="USD",((IF(O471="USD",AD471,(AD471/'Master Data-C19RM'!$E$2)))),((IF(O471="EUR",AD471,(AD471*'Master Data-C19RM'!$E$2))))))</f>
        <v>0</v>
      </c>
      <c r="BR471">
        <f>IF(N471="",0,IF(SETUP!$E$7="USD",((IF(O471="USD",AK471,(AK471/'Master Data-C19RM'!$F$2)))),((IF(O471="EUR",AK471,(AK471*'Master Data-C19RM'!$F$2))))))</f>
        <v>0</v>
      </c>
      <c r="BS471">
        <f>IF(N471="",0,IF(SETUP!$E$7="USD",((IF(O471="USD",AR471,(AR471/'Master Data-C19RM'!$G$2)))),((IF(O471="EUR",AR471,(AR471*'Master Data-C19RM'!$G$2))))))</f>
        <v>0</v>
      </c>
      <c r="BT471">
        <f>IF(N471="",0,IF(SETUP!$E$7="USD",((IF(O471="USD",AY471,(AY471/'Master Data-C19RM'!$H$2)))),((IF(O471="EUR",AY471,(AY471*'Master Data-C19RM'!$H$2))))))</f>
        <v>0</v>
      </c>
      <c r="BU471" s="12">
        <f t="shared" si="59"/>
        <v>0</v>
      </c>
      <c r="BV471" s="142">
        <f t="shared" si="60"/>
        <v>0</v>
      </c>
    </row>
    <row r="472" spans="1:74" x14ac:dyDescent="0.35">
      <c r="A472" s="1165"/>
      <c r="B472" s="1165"/>
      <c r="C472" s="1165"/>
      <c r="D472" s="1165"/>
      <c r="E472" s="1166"/>
      <c r="F472" s="1166"/>
      <c r="G472" s="1166"/>
      <c r="H472" s="1166"/>
      <c r="I472" s="1166"/>
      <c r="J472" s="1166"/>
      <c r="K472" s="1166"/>
      <c r="L472" s="490" t="str" cm="1">
        <f t="array" ref="L472">IF(A472&lt;&gt;"",IFERROR(INDEX(PMtbl[[WKst]:[Unit of measure*]],MATCH($A$437&amp;$A472&amp;$E472&amp;$I472,INDEX(PMtbl[Sec]&amp;PMtbl[Category]&amp;PMtbl[Each]&amp;PMtbl[Packaging],0,),0),14),""),"")</f>
        <v/>
      </c>
      <c r="M472" s="479" t="str">
        <f>IF(L472="","",INDEX(SETUP!$E$20:$E$122,(MATCH(INDEX(PMsheet!$D:$E,MATCH(A472,PMsheet!E:E,0),1),SETUP!$D$20:$D$122,0))))</f>
        <v/>
      </c>
      <c r="N472" s="491">
        <f>IF($O472="USD",_xlfn.IFNA(VLOOKUP(A472&amp;E472&amp;I472,PMsheet!J:K,2,0),0),(_xlfn.IFNA(VLOOKUP(A472&amp;E472&amp;I472,PMsheet!J:K,2,0),0)*'Master Data-C19RM'!$C$2))</f>
        <v>0</v>
      </c>
      <c r="O472" s="492" t="str">
        <f>IF(L472="", "",SETUP!$E$7)</f>
        <v/>
      </c>
      <c r="P472" s="444">
        <f>IF($O472="USD",_xlfn.IFNA(VLOOKUP($A472&amp;$E472&amp;$I472,PMsheet!$J:$K,2,0),0),(_xlfn.IFNA(VLOOKUP($A472&amp;$E472&amp;$I472,PMsheet!$J:$K,2,0),0)*'Master Data-C19RM'!$C$2))</f>
        <v>0</v>
      </c>
      <c r="Q472" s="441"/>
      <c r="R472" s="441"/>
      <c r="S472" s="441"/>
      <c r="T472" s="441"/>
      <c r="U472" s="481">
        <f t="shared" si="61"/>
        <v>0</v>
      </c>
      <c r="V472" s="483">
        <f>IF(SETUP!$E$7="USD",(U472*(IF(O472="USD",P472,(P472/'Master Data-C19RM'!$C$2)))),(U472*(IF(O472="EUR",P472,(P472*'Master Data-C19RM'!$C$2)))))</f>
        <v>0</v>
      </c>
      <c r="W472" s="444">
        <f>IF($O472="USD",_xlfn.IFNA(VLOOKUP($A472&amp;$E472&amp;$I472,PMsheet!$J:$K,2,0),0),(_xlfn.IFNA(VLOOKUP($A472&amp;$E472&amp;$I472,PMsheet!$J:$K,2,0),0)*'Master Data-C19RM'!$D$2))</f>
        <v>0</v>
      </c>
      <c r="X472" s="441"/>
      <c r="Y472" s="441"/>
      <c r="Z472" s="441"/>
      <c r="AA472" s="441"/>
      <c r="AB472" s="481">
        <f t="shared" si="62"/>
        <v>0</v>
      </c>
      <c r="AC472" s="483">
        <f>IF(SETUP!$E$7="USD",(AB472*(IF(O472="USD",W472,(W472/'Master Data-C19RM'!$D$2)))),(AB472*(IF(O472="EUR",W472,(W472*'Master Data-C19RM'!$D$2)))))</f>
        <v>0</v>
      </c>
      <c r="AD472" s="444">
        <f>IF($O472="USD",_xlfn.IFNA(VLOOKUP($A472&amp;$E472&amp;$I472,PMsheet!$J:$K,2,0),0),(_xlfn.IFNA(VLOOKUP($A472&amp;$E472&amp;$I472,PMsheet!$J:$K,2,0),0)*'Master Data-C19RM'!$E$2))</f>
        <v>0</v>
      </c>
      <c r="AE472" s="441"/>
      <c r="AF472" s="441"/>
      <c r="AG472" s="441"/>
      <c r="AH472" s="441"/>
      <c r="AI472" s="512">
        <f t="shared" si="63"/>
        <v>0</v>
      </c>
      <c r="AJ472" s="513">
        <f>IF(SETUP!$E$7="USD",(AI472*(IF(O472="USD",AD472,(AD472/'Master Data-C19RM'!$E$2)))),(AI472*(IF(O472="EUR",AD472,(AD472*'Master Data-C19RM'!$E$2)))))</f>
        <v>0</v>
      </c>
      <c r="AK472" s="444">
        <f>IF($O472="USD",_xlfn.IFNA(VLOOKUP($A472&amp;$E472&amp;$I472,PMsheet!$J:$K,2,0),0),(_xlfn.IFNA(VLOOKUP($A472&amp;$E472&amp;$I472,PMsheet!$J:$K,2,0),0)*'Master Data-C19RM'!$F$2))</f>
        <v>0</v>
      </c>
      <c r="AL472" s="441"/>
      <c r="AM472" s="441"/>
      <c r="AN472" s="441"/>
      <c r="AO472" s="441"/>
      <c r="AP472" s="512">
        <f t="shared" si="66"/>
        <v>0</v>
      </c>
      <c r="AQ472" s="513">
        <f>IF(SETUP!$E$7="USD",(AP472*(IF(O472="USD",AK472,(AK472/'Master Data-C19RM'!$F$2)))),(AP472*(IF(O472="EUR",AK472,(AK472*'Master Data-C19RM'!$F$2)))))</f>
        <v>0</v>
      </c>
      <c r="AR472" s="924">
        <f>IF($O472="USD",_xlfn.IFNA(VLOOKUP($A472&amp;$E472&amp;$I472,PMsheet!$J:$K,2,0),0),(_xlfn.IFNA(VLOOKUP($A472&amp;$E472&amp;$I472,PMsheet!$J:$K,2,0),0)*'Master Data-C19RM'!$G$2))</f>
        <v>0</v>
      </c>
      <c r="AS472" s="572"/>
      <c r="AT472" s="572"/>
      <c r="AU472" s="572"/>
      <c r="AV472" s="572"/>
      <c r="AW472" s="512">
        <f t="shared" si="65"/>
        <v>0</v>
      </c>
      <c r="AX472" s="512">
        <f>IF(SETUP!$E$7="USD",(AW472*(IF(O472="USD",AR472,(AR472/'Master Data-C19RM'!$G$2)))),(AW472*(IF(O472="EUR",AR472,(AR472*'Master Data-C19RM'!$G$2)))))</f>
        <v>0</v>
      </c>
      <c r="AY472" s="845"/>
      <c r="AZ472" s="846"/>
      <c r="BA472" s="846"/>
      <c r="BB472" s="846"/>
      <c r="BC472" s="846"/>
      <c r="BD472" s="846"/>
      <c r="BE472" s="847"/>
      <c r="BF472" s="520">
        <f>'C19RM 2021-Lab &amp; Other HPS'!$U472+'C19RM 2021-Lab &amp; Other HPS'!$AB472+'C19RM 2021-Lab &amp; Other HPS'!$AP472+'C19RM 2021-Lab &amp; Other HPS'!$AI472+AW472+BD472</f>
        <v>0</v>
      </c>
      <c r="BG472" s="513">
        <f>'C19RM 2021-Lab &amp; Other HPS'!$V472+'C19RM 2021-Lab &amp; Other HPS'!$AC472+'C19RM 2021-Lab &amp; Other HPS'!$AQ472+'C19RM 2021-Lab &amp; Other HPS'!$AJ472+AX472+BE472</f>
        <v>0</v>
      </c>
      <c r="BH472" s="500" t="str" cm="1">
        <f t="array" ref="BH472">IF(A472&lt;&gt;"",IFERROR(INDEX(PMtbl[[WKst]:[Unit of measure*]],MATCH($A$437&amp;$A472&amp;$E472&amp;$I472,INDEX(PMtbl[Sec]&amp;PMtbl[Category]&amp;PMtbl[Each]&amp;PMtbl[Packaging],0,),0),11),""),"")</f>
        <v/>
      </c>
      <c r="BI472" s="819"/>
      <c r="BJ472" s="502" t="str" cm="1">
        <f t="array" ref="BJ472">IFERROR(INDEX(SETUP!$C$19:$G$121,MATCH((INDEX(PMtbl[[WKst]:[Unit of measure*]],MATCH($A472&amp;$E472&amp;$I472,INDEX(PMtbl[Category]&amp;PMtbl[Each]&amp;PMtbl[Packaging],0,),0),3)),SETUP!$D$19:$D$121,0),5),"")</f>
        <v/>
      </c>
      <c r="BK472" s="536" t="str" cm="1">
        <f t="array" ref="BK472">IFERROR(IF((INDEX(SETUP!$C$19:$G$121,MATCH((INDEX(PMtbl[[WKst]:[Unit of measure*]],MATCH($A472&amp;$E472&amp;$I472,INDEX(PMtbl[Category]&amp;PMtbl[Each]&amp;PMtbl[Packaging],0,),0),3)),SETUP!$D$19:$D$121,0),4))="Upfront",0,INDEX(SETUP!$C$19:$G$121,MATCH((INDEX(PMtbl[[WKst]:[Unit of measure*]],MATCH($A472&amp;$E472&amp;$I472,INDEX(PMtbl[Category]&amp;PMtbl[Each]&amp;PMtbl[Packaging],0,),0),3)),SETUP!$D$19:$D$121,0),5)),"")</f>
        <v/>
      </c>
      <c r="BL472" s="577" t="str" cm="1">
        <f t="array" ref="BL472">IF(E472&lt;&gt;"",IFERROR(INDEX(PMtbl[[WKst]:[Unit of measure*]],MATCH($A$437&amp;$A472&amp;$E472&amp;$I472,INDEX(PMtbl[Sec]&amp;PMtbl[Category]&amp;PMtbl[Each]&amp;PMtbl[Packaging],0,),0),11),""),"")</f>
        <v/>
      </c>
      <c r="BO472" s="12">
        <f>IF(N472="",0,IF(SETUP!$E$7="USD",((IF(O472="USD",P472,(P472/'Master Data-C19RM'!$C$2)))),((IF(O472="EUR",P472,(P472*'Master Data-C19RM'!$C$2))))))</f>
        <v>0</v>
      </c>
      <c r="BP472" s="12">
        <f>IF(N472="",0,IF(SETUP!$E$7="USD",((IF(O472="USD",W472,(W472/'Master Data-C19RM'!$D$2)))),((IF(O472="EUR",W472,(W472*'Master Data-C19RM'!$D$2))))))</f>
        <v>0</v>
      </c>
      <c r="BQ472">
        <f>IF(N472="",0,IF(SETUP!$E$7="USD",((IF(O472="USD",AD472,(AD472/'Master Data-C19RM'!$E$2)))),((IF(O472="EUR",AD472,(AD472*'Master Data-C19RM'!$E$2))))))</f>
        <v>0</v>
      </c>
      <c r="BR472">
        <f>IF(N472="",0,IF(SETUP!$E$7="USD",((IF(O472="USD",AK472,(AK472/'Master Data-C19RM'!$F$2)))),((IF(O472="EUR",AK472,(AK472*'Master Data-C19RM'!$F$2))))))</f>
        <v>0</v>
      </c>
      <c r="BS472">
        <f>IF(N472="",0,IF(SETUP!$E$7="USD",((IF(O472="USD",AR472,(AR472/'Master Data-C19RM'!$G$2)))),((IF(O472="EUR",AR472,(AR472*'Master Data-C19RM'!$G$2))))))</f>
        <v>0</v>
      </c>
      <c r="BT472">
        <f>IF(N472="",0,IF(SETUP!$E$7="USD",((IF(O472="USD",AY472,(AY472/'Master Data-C19RM'!$H$2)))),((IF(O472="EUR",AY472,(AY472*'Master Data-C19RM'!$H$2))))))</f>
        <v>0</v>
      </c>
      <c r="BU472" s="12">
        <f t="shared" si="59"/>
        <v>0</v>
      </c>
      <c r="BV472" s="142">
        <f t="shared" si="60"/>
        <v>0</v>
      </c>
    </row>
    <row r="473" spans="1:74" x14ac:dyDescent="0.35">
      <c r="A473" s="1192"/>
      <c r="B473" s="1192"/>
      <c r="C473" s="1192"/>
      <c r="D473" s="1192"/>
      <c r="E473" s="1173"/>
      <c r="F473" s="1173"/>
      <c r="G473" s="1173"/>
      <c r="H473" s="1173"/>
      <c r="I473" s="1173"/>
      <c r="J473" s="1173"/>
      <c r="K473" s="1173"/>
      <c r="L473" s="493" t="str" cm="1">
        <f t="array" ref="L473">IF(A473&lt;&gt;"",IFERROR(INDEX(PMtbl[[WKst]:[Unit of measure*]],MATCH($A$437&amp;$A473&amp;$E473&amp;$I473,INDEX(PMtbl[Sec]&amp;PMtbl[Category]&amp;PMtbl[Each]&amp;PMtbl[Packaging],0,),0),14),""),"")</f>
        <v/>
      </c>
      <c r="M473" s="480" t="str">
        <f>IF(L473="","",INDEX(SETUP!$E$20:$E$122,(MATCH(INDEX(PMsheet!$D:$E,MATCH(A473,PMsheet!E:E,0),1),SETUP!$D$20:$D$122,0))))</f>
        <v/>
      </c>
      <c r="N473" s="494">
        <f>IF($O473="USD",_xlfn.IFNA(VLOOKUP(A473&amp;E473&amp;I473,PMsheet!J:K,2,0),0),(_xlfn.IFNA(VLOOKUP(A473&amp;E473&amp;I473,PMsheet!J:K,2,0),0)*'Master Data-C19RM'!$C$2))</f>
        <v>0</v>
      </c>
      <c r="O473" s="495" t="str">
        <f>IF(L473="", "",SETUP!$E$7)</f>
        <v/>
      </c>
      <c r="P473" s="445">
        <f>IF($O473="USD",_xlfn.IFNA(VLOOKUP($A473&amp;$E473&amp;$I473,PMsheet!$J:$K,2,0),0),(_xlfn.IFNA(VLOOKUP($A473&amp;$E473&amp;$I473,PMsheet!$J:$K,2,0),0)*'Master Data-C19RM'!$C$2))</f>
        <v>0</v>
      </c>
      <c r="Q473" s="440"/>
      <c r="R473" s="440"/>
      <c r="S473" s="440"/>
      <c r="T473" s="440"/>
      <c r="U473" s="482">
        <f t="shared" si="61"/>
        <v>0</v>
      </c>
      <c r="V473" s="484">
        <f>IF(SETUP!$E$7="USD",(U473*(IF(O473="USD",P473,(P473/'Master Data-C19RM'!$C$2)))),(U473*(IF(O473="EUR",P473,(P473*'Master Data-C19RM'!$C$2)))))</f>
        <v>0</v>
      </c>
      <c r="W473" s="445">
        <f>IF($O473="USD",_xlfn.IFNA(VLOOKUP($A473&amp;$E473&amp;$I473,PMsheet!$J:$K,2,0),0),(_xlfn.IFNA(VLOOKUP($A473&amp;$E473&amp;$I473,PMsheet!$J:$K,2,0),0)*'Master Data-C19RM'!$D$2))</f>
        <v>0</v>
      </c>
      <c r="X473" s="440"/>
      <c r="Y473" s="440"/>
      <c r="Z473" s="440"/>
      <c r="AA473" s="440"/>
      <c r="AB473" s="482">
        <f t="shared" si="62"/>
        <v>0</v>
      </c>
      <c r="AC473" s="484">
        <f>IF(SETUP!$E$7="USD",(AB473*(IF(O473="USD",W473,(W473/'Master Data-C19RM'!$D$2)))),(AB473*(IF(O473="EUR",W473,(W473*'Master Data-C19RM'!$D$2)))))</f>
        <v>0</v>
      </c>
      <c r="AD473" s="445">
        <f>IF($O473="USD",_xlfn.IFNA(VLOOKUP($A473&amp;$E473&amp;$I473,PMsheet!$J:$K,2,0),0),(_xlfn.IFNA(VLOOKUP($A473&amp;$E473&amp;$I473,PMsheet!$J:$K,2,0),0)*'Master Data-C19RM'!$E$2))</f>
        <v>0</v>
      </c>
      <c r="AE473" s="440"/>
      <c r="AF473" s="440"/>
      <c r="AG473" s="440"/>
      <c r="AH473" s="440"/>
      <c r="AI473" s="514">
        <f t="shared" si="63"/>
        <v>0</v>
      </c>
      <c r="AJ473" s="515">
        <f>IF(SETUP!$E$7="USD",(AI473*(IF(O473="USD",AD473,(AD473/'Master Data-C19RM'!$E$2)))),(AI473*(IF(O473="EUR",AD473,(AD473*'Master Data-C19RM'!$E$2)))))</f>
        <v>0</v>
      </c>
      <c r="AK473" s="445">
        <f>IF($O473="USD",_xlfn.IFNA(VLOOKUP($A473&amp;$E473&amp;$I473,PMsheet!$J:$K,2,0),0),(_xlfn.IFNA(VLOOKUP($A473&amp;$E473&amp;$I473,PMsheet!$J:$K,2,0),0)*'Master Data-C19RM'!$F$2))</f>
        <v>0</v>
      </c>
      <c r="AL473" s="440"/>
      <c r="AM473" s="440"/>
      <c r="AN473" s="440"/>
      <c r="AO473" s="440"/>
      <c r="AP473" s="514">
        <f t="shared" si="66"/>
        <v>0</v>
      </c>
      <c r="AQ473" s="515">
        <f>IF(SETUP!$E$7="USD",(AP473*(IF(O473="USD",AK473,(AK473/'Master Data-C19RM'!$F$2)))),(AP473*(IF(O473="EUR",AK473,(AK473*'Master Data-C19RM'!$F$2)))))</f>
        <v>0</v>
      </c>
      <c r="AR473" s="925">
        <f>IF($O473="USD",_xlfn.IFNA(VLOOKUP($A473&amp;$E473&amp;$I473,PMsheet!$J:$K,2,0),0),(_xlfn.IFNA(VLOOKUP($A473&amp;$E473&amp;$I473,PMsheet!$J:$K,2,0),0)*'Master Data-C19RM'!$G$2))</f>
        <v>0</v>
      </c>
      <c r="AS473" s="926"/>
      <c r="AT473" s="926"/>
      <c r="AU473" s="926"/>
      <c r="AV473" s="926"/>
      <c r="AW473" s="514">
        <f t="shared" si="65"/>
        <v>0</v>
      </c>
      <c r="AX473" s="514">
        <f>IF(SETUP!$E$7="USD",(AW473*(IF(O473="USD",AR473,(AR473/'Master Data-C19RM'!$G$2)))),(AW473*(IF(O473="EUR",AR473,(AR473*'Master Data-C19RM'!$G$2)))))</f>
        <v>0</v>
      </c>
      <c r="AY473" s="845"/>
      <c r="AZ473" s="846"/>
      <c r="BA473" s="846"/>
      <c r="BB473" s="846"/>
      <c r="BC473" s="846"/>
      <c r="BD473" s="846"/>
      <c r="BE473" s="847"/>
      <c r="BF473" s="521">
        <f>'C19RM 2021-Lab &amp; Other HPS'!$U473+'C19RM 2021-Lab &amp; Other HPS'!$AB473+'C19RM 2021-Lab &amp; Other HPS'!$AP473+'C19RM 2021-Lab &amp; Other HPS'!$AI473+AW473+BD473</f>
        <v>0</v>
      </c>
      <c r="BG473" s="515">
        <f>'C19RM 2021-Lab &amp; Other HPS'!$V473+'C19RM 2021-Lab &amp; Other HPS'!$AC473+'C19RM 2021-Lab &amp; Other HPS'!$AQ473+'C19RM 2021-Lab &amp; Other HPS'!$AJ473+AX473+BE473</f>
        <v>0</v>
      </c>
      <c r="BH473" s="522" t="str" cm="1">
        <f t="array" ref="BH473">IF(A473&lt;&gt;"",IFERROR(INDEX(PMtbl[[WKst]:[Unit of measure*]],MATCH($A$437&amp;$A473&amp;$E473&amp;$I473,INDEX(PMtbl[Sec]&amp;PMtbl[Category]&amp;PMtbl[Each]&amp;PMtbl[Packaging],0,),0),11),""),"")</f>
        <v/>
      </c>
      <c r="BI473" s="818"/>
      <c r="BJ473" s="503" t="str" cm="1">
        <f t="array" ref="BJ473">IFERROR(INDEX(SETUP!$C$19:$G$121,MATCH((INDEX(PMtbl[[WKst]:[Unit of measure*]],MATCH($A473&amp;$E473&amp;$I473,INDEX(PMtbl[Category]&amp;PMtbl[Each]&amp;PMtbl[Packaging],0,),0),3)),SETUP!$D$19:$D$121,0),5),"")</f>
        <v/>
      </c>
      <c r="BK473" s="537" t="str" cm="1">
        <f t="array" ref="BK473">IFERROR(IF((INDEX(SETUP!$C$19:$G$121,MATCH((INDEX(PMtbl[[WKst]:[Unit of measure*]],MATCH($A473&amp;$E473&amp;$I473,INDEX(PMtbl[Category]&amp;PMtbl[Each]&amp;PMtbl[Packaging],0,),0),3)),SETUP!$D$19:$D$121,0),4))="Upfront",0,INDEX(SETUP!$C$19:$G$121,MATCH((INDEX(PMtbl[[WKst]:[Unit of measure*]],MATCH($A473&amp;$E473&amp;$I473,INDEX(PMtbl[Category]&amp;PMtbl[Each]&amp;PMtbl[Packaging],0,),0),3)),SETUP!$D$19:$D$121,0),5)),"")</f>
        <v/>
      </c>
      <c r="BL473" s="578" t="str" cm="1">
        <f t="array" ref="BL473">IF(E473&lt;&gt;"",IFERROR(INDEX(PMtbl[[WKst]:[Unit of measure*]],MATCH($A$437&amp;$A473&amp;$E473&amp;$I473,INDEX(PMtbl[Sec]&amp;PMtbl[Category]&amp;PMtbl[Each]&amp;PMtbl[Packaging],0,),0),11),""),"")</f>
        <v/>
      </c>
      <c r="BO473" s="12">
        <f>IF(N473="",0,IF(SETUP!$E$7="USD",((IF(O473="USD",P473,(P473/'Master Data-C19RM'!$C$2)))),((IF(O473="EUR",P473,(P473*'Master Data-C19RM'!$C$2))))))</f>
        <v>0</v>
      </c>
      <c r="BP473" s="12">
        <f>IF(N473="",0,IF(SETUP!$E$7="USD",((IF(O473="USD",W473,(W473/'Master Data-C19RM'!$D$2)))),((IF(O473="EUR",W473,(W473*'Master Data-C19RM'!$D$2))))))</f>
        <v>0</v>
      </c>
      <c r="BQ473">
        <f>IF(N473="",0,IF(SETUP!$E$7="USD",((IF(O473="USD",AD473,(AD473/'Master Data-C19RM'!$E$2)))),((IF(O473="EUR",AD473,(AD473*'Master Data-C19RM'!$E$2))))))</f>
        <v>0</v>
      </c>
      <c r="BR473">
        <f>IF(N473="",0,IF(SETUP!$E$7="USD",((IF(O473="USD",AK473,(AK473/'Master Data-C19RM'!$F$2)))),((IF(O473="EUR",AK473,(AK473*'Master Data-C19RM'!$F$2))))))</f>
        <v>0</v>
      </c>
      <c r="BS473">
        <f>IF(N473="",0,IF(SETUP!$E$7="USD",((IF(O473="USD",AR473,(AR473/'Master Data-C19RM'!$G$2)))),((IF(O473="EUR",AR473,(AR473*'Master Data-C19RM'!$G$2))))))</f>
        <v>0</v>
      </c>
      <c r="BT473">
        <f>IF(N473="",0,IF(SETUP!$E$7="USD",((IF(O473="USD",AY473,(AY473/'Master Data-C19RM'!$H$2)))),((IF(O473="EUR",AY473,(AY473*'Master Data-C19RM'!$H$2))))))</f>
        <v>0</v>
      </c>
      <c r="BU473" s="12">
        <f t="shared" si="59"/>
        <v>0</v>
      </c>
      <c r="BV473" s="142">
        <f t="shared" si="60"/>
        <v>0</v>
      </c>
    </row>
    <row r="474" spans="1:74" x14ac:dyDescent="0.35">
      <c r="A474" s="1165"/>
      <c r="B474" s="1165"/>
      <c r="C474" s="1165"/>
      <c r="D474" s="1165"/>
      <c r="E474" s="1166"/>
      <c r="F474" s="1166"/>
      <c r="G474" s="1166"/>
      <c r="H474" s="1166"/>
      <c r="I474" s="1166"/>
      <c r="J474" s="1166"/>
      <c r="K474" s="1166"/>
      <c r="L474" s="490" t="str" cm="1">
        <f t="array" ref="L474">IF(A474&lt;&gt;"",IFERROR(INDEX(PMtbl[[WKst]:[Unit of measure*]],MATCH($A$437&amp;$A474&amp;$E474&amp;$I474,INDEX(PMtbl[Sec]&amp;PMtbl[Category]&amp;PMtbl[Each]&amp;PMtbl[Packaging],0,),0),14),""),"")</f>
        <v/>
      </c>
      <c r="M474" s="479" t="str">
        <f>IF(L474="","",INDEX(SETUP!$E$20:$E$122,(MATCH(INDEX(PMsheet!$D:$E,MATCH(A474,PMsheet!E:E,0),1),SETUP!$D$20:$D$122,0))))</f>
        <v/>
      </c>
      <c r="N474" s="491">
        <f>IF($O474="USD",_xlfn.IFNA(VLOOKUP(A474&amp;E474&amp;I474,PMsheet!J:K,2,0),0),(_xlfn.IFNA(VLOOKUP(A474&amp;E474&amp;I474,PMsheet!J:K,2,0),0)*'Master Data-C19RM'!$C$2))</f>
        <v>0</v>
      </c>
      <c r="O474" s="492" t="str">
        <f>IF(L474="", "",SETUP!$E$7)</f>
        <v/>
      </c>
      <c r="P474" s="444">
        <f>IF($O474="USD",_xlfn.IFNA(VLOOKUP($A474&amp;$E474&amp;$I474,PMsheet!$J:$K,2,0),0),(_xlfn.IFNA(VLOOKUP($A474&amp;$E474&amp;$I474,PMsheet!$J:$K,2,0),0)*'Master Data-C19RM'!$C$2))</f>
        <v>0</v>
      </c>
      <c r="Q474" s="441"/>
      <c r="R474" s="441"/>
      <c r="S474" s="441"/>
      <c r="T474" s="441"/>
      <c r="U474" s="481">
        <f t="shared" si="61"/>
        <v>0</v>
      </c>
      <c r="V474" s="483">
        <f>IF(SETUP!$E$7="USD",(U474*(IF(O474="USD",P474,(P474/'Master Data-C19RM'!$C$2)))),(U474*(IF(O474="EUR",P474,(P474*'Master Data-C19RM'!$C$2)))))</f>
        <v>0</v>
      </c>
      <c r="W474" s="444">
        <f>IF($O474="USD",_xlfn.IFNA(VLOOKUP($A474&amp;$E474&amp;$I474,PMsheet!$J:$K,2,0),0),(_xlfn.IFNA(VLOOKUP($A474&amp;$E474&amp;$I474,PMsheet!$J:$K,2,0),0)*'Master Data-C19RM'!$D$2))</f>
        <v>0</v>
      </c>
      <c r="X474" s="441"/>
      <c r="Y474" s="441"/>
      <c r="Z474" s="441"/>
      <c r="AA474" s="441"/>
      <c r="AB474" s="481">
        <f t="shared" si="62"/>
        <v>0</v>
      </c>
      <c r="AC474" s="483">
        <f>IF(SETUP!$E$7="USD",(AB474*(IF(O474="USD",W474,(W474/'Master Data-C19RM'!$D$2)))),(AB474*(IF(O474="EUR",W474,(W474*'Master Data-C19RM'!$D$2)))))</f>
        <v>0</v>
      </c>
      <c r="AD474" s="444">
        <f>IF($O474="USD",_xlfn.IFNA(VLOOKUP($A474&amp;$E474&amp;$I474,PMsheet!$J:$K,2,0),0),(_xlfn.IFNA(VLOOKUP($A474&amp;$E474&amp;$I474,PMsheet!$J:$K,2,0),0)*'Master Data-C19RM'!$E$2))</f>
        <v>0</v>
      </c>
      <c r="AE474" s="441"/>
      <c r="AF474" s="441"/>
      <c r="AG474" s="441"/>
      <c r="AH474" s="441"/>
      <c r="AI474" s="512">
        <f t="shared" si="63"/>
        <v>0</v>
      </c>
      <c r="AJ474" s="513">
        <f>IF(SETUP!$E$7="USD",(AI474*(IF(O474="USD",AD474,(AD474/'Master Data-C19RM'!$E$2)))),(AI474*(IF(O474="EUR",AD474,(AD474*'Master Data-C19RM'!$E$2)))))</f>
        <v>0</v>
      </c>
      <c r="AK474" s="444">
        <f>IF($O474="USD",_xlfn.IFNA(VLOOKUP($A474&amp;$E474&amp;$I474,PMsheet!$J:$K,2,0),0),(_xlfn.IFNA(VLOOKUP($A474&amp;$E474&amp;$I474,PMsheet!$J:$K,2,0),0)*'Master Data-C19RM'!$F$2))</f>
        <v>0</v>
      </c>
      <c r="AL474" s="441"/>
      <c r="AM474" s="441"/>
      <c r="AN474" s="441"/>
      <c r="AO474" s="441"/>
      <c r="AP474" s="512">
        <f t="shared" si="66"/>
        <v>0</v>
      </c>
      <c r="AQ474" s="513">
        <f>IF(SETUP!$E$7="USD",(AP474*(IF(O474="USD",AK474,(AK474/'Master Data-C19RM'!$F$2)))),(AP474*(IF(O474="EUR",AK474,(AK474*'Master Data-C19RM'!$F$2)))))</f>
        <v>0</v>
      </c>
      <c r="AR474" s="924">
        <f>IF($O474="USD",_xlfn.IFNA(VLOOKUP($A474&amp;$E474&amp;$I474,PMsheet!$J:$K,2,0),0),(_xlfn.IFNA(VLOOKUP($A474&amp;$E474&amp;$I474,PMsheet!$J:$K,2,0),0)*'Master Data-C19RM'!$G$2))</f>
        <v>0</v>
      </c>
      <c r="AS474" s="572"/>
      <c r="AT474" s="572"/>
      <c r="AU474" s="572"/>
      <c r="AV474" s="572"/>
      <c r="AW474" s="512">
        <f t="shared" si="65"/>
        <v>0</v>
      </c>
      <c r="AX474" s="512">
        <f>IF(SETUP!$E$7="USD",(AW474*(IF(O474="USD",AR474,(AR474/'Master Data-C19RM'!$G$2)))),(AW474*(IF(O474="EUR",AR474,(AR474*'Master Data-C19RM'!$G$2)))))</f>
        <v>0</v>
      </c>
      <c r="AY474" s="845"/>
      <c r="AZ474" s="846"/>
      <c r="BA474" s="846"/>
      <c r="BB474" s="846"/>
      <c r="BC474" s="846"/>
      <c r="BD474" s="846"/>
      <c r="BE474" s="847"/>
      <c r="BF474" s="520">
        <f>'C19RM 2021-Lab &amp; Other HPS'!$U474+'C19RM 2021-Lab &amp; Other HPS'!$AB474+'C19RM 2021-Lab &amp; Other HPS'!$AP474+'C19RM 2021-Lab &amp; Other HPS'!$AI474+AW474+BD474</f>
        <v>0</v>
      </c>
      <c r="BG474" s="513">
        <f>'C19RM 2021-Lab &amp; Other HPS'!$V474+'C19RM 2021-Lab &amp; Other HPS'!$AC474+'C19RM 2021-Lab &amp; Other HPS'!$AQ474+'C19RM 2021-Lab &amp; Other HPS'!$AJ474+AX474+BE474</f>
        <v>0</v>
      </c>
      <c r="BH474" s="500" t="str" cm="1">
        <f t="array" ref="BH474">IF(A474&lt;&gt;"",IFERROR(INDEX(PMtbl[[WKst]:[Unit of measure*]],MATCH($A$437&amp;$A474&amp;$E474&amp;$I474,INDEX(PMtbl[Sec]&amp;PMtbl[Category]&amp;PMtbl[Each]&amp;PMtbl[Packaging],0,),0),11),""),"")</f>
        <v/>
      </c>
      <c r="BI474" s="819"/>
      <c r="BJ474" s="502" t="str" cm="1">
        <f t="array" ref="BJ474">IFERROR(INDEX(SETUP!$C$19:$G$121,MATCH((INDEX(PMtbl[[WKst]:[Unit of measure*]],MATCH($A474&amp;$E474&amp;$I474,INDEX(PMtbl[Category]&amp;PMtbl[Each]&amp;PMtbl[Packaging],0,),0),3)),SETUP!$D$19:$D$121,0),5),"")</f>
        <v/>
      </c>
      <c r="BK474" s="536" t="str" cm="1">
        <f t="array" ref="BK474">IFERROR(IF((INDEX(SETUP!$C$19:$G$121,MATCH((INDEX(PMtbl[[WKst]:[Unit of measure*]],MATCH($A474&amp;$E474&amp;$I474,INDEX(PMtbl[Category]&amp;PMtbl[Each]&amp;PMtbl[Packaging],0,),0),3)),SETUP!$D$19:$D$121,0),4))="Upfront",0,INDEX(SETUP!$C$19:$G$121,MATCH((INDEX(PMtbl[[WKst]:[Unit of measure*]],MATCH($A474&amp;$E474&amp;$I474,INDEX(PMtbl[Category]&amp;PMtbl[Each]&amp;PMtbl[Packaging],0,),0),3)),SETUP!$D$19:$D$121,0),5)),"")</f>
        <v/>
      </c>
      <c r="BL474" s="577" t="str" cm="1">
        <f t="array" ref="BL474">IF(E474&lt;&gt;"",IFERROR(INDEX(PMtbl[[WKst]:[Unit of measure*]],MATCH($A$437&amp;$A474&amp;$E474&amp;$I474,INDEX(PMtbl[Sec]&amp;PMtbl[Category]&amp;PMtbl[Each]&amp;PMtbl[Packaging],0,),0),11),""),"")</f>
        <v/>
      </c>
      <c r="BO474" s="12">
        <f>IF(N474="",0,IF(SETUP!$E$7="USD",((IF(O474="USD",P474,(P474/'Master Data-C19RM'!$C$2)))),((IF(O474="EUR",P474,(P474*'Master Data-C19RM'!$C$2))))))</f>
        <v>0</v>
      </c>
      <c r="BP474" s="12">
        <f>IF(N474="",0,IF(SETUP!$E$7="USD",((IF(O474="USD",W474,(W474/'Master Data-C19RM'!$D$2)))),((IF(O474="EUR",W474,(W474*'Master Data-C19RM'!$D$2))))))</f>
        <v>0</v>
      </c>
      <c r="BQ474">
        <f>IF(N474="",0,IF(SETUP!$E$7="USD",((IF(O474="USD",AD474,(AD474/'Master Data-C19RM'!$E$2)))),((IF(O474="EUR",AD474,(AD474*'Master Data-C19RM'!$E$2))))))</f>
        <v>0</v>
      </c>
      <c r="BR474">
        <f>IF(N474="",0,IF(SETUP!$E$7="USD",((IF(O474="USD",AK474,(AK474/'Master Data-C19RM'!$F$2)))),((IF(O474="EUR",AK474,(AK474*'Master Data-C19RM'!$F$2))))))</f>
        <v>0</v>
      </c>
      <c r="BS474">
        <f>IF(N474="",0,IF(SETUP!$E$7="USD",((IF(O474="USD",AR474,(AR474/'Master Data-C19RM'!$G$2)))),((IF(O474="EUR",AR474,(AR474*'Master Data-C19RM'!$G$2))))))</f>
        <v>0</v>
      </c>
      <c r="BT474">
        <f>IF(N474="",0,IF(SETUP!$E$7="USD",((IF(O474="USD",AY474,(AY474/'Master Data-C19RM'!$H$2)))),((IF(O474="EUR",AY474,(AY474*'Master Data-C19RM'!$H$2))))))</f>
        <v>0</v>
      </c>
      <c r="BU474" s="12">
        <f t="shared" si="59"/>
        <v>0</v>
      </c>
      <c r="BV474" s="142">
        <f t="shared" si="60"/>
        <v>0</v>
      </c>
    </row>
    <row r="475" spans="1:74" x14ac:dyDescent="0.35">
      <c r="A475" s="1192"/>
      <c r="B475" s="1192"/>
      <c r="C475" s="1192"/>
      <c r="D475" s="1192"/>
      <c r="E475" s="1173"/>
      <c r="F475" s="1173"/>
      <c r="G475" s="1173"/>
      <c r="H475" s="1173"/>
      <c r="I475" s="1173"/>
      <c r="J475" s="1173"/>
      <c r="K475" s="1173"/>
      <c r="L475" s="493" t="str" cm="1">
        <f t="array" ref="L475">IF(A475&lt;&gt;"",IFERROR(INDEX(PMtbl[[WKst]:[Unit of measure*]],MATCH($A$437&amp;$A475&amp;$E475&amp;$I475,INDEX(PMtbl[Sec]&amp;PMtbl[Category]&amp;PMtbl[Each]&amp;PMtbl[Packaging],0,),0),14),""),"")</f>
        <v/>
      </c>
      <c r="M475" s="480" t="str">
        <f>IF(L475="","",INDEX(SETUP!$E$20:$E$122,(MATCH(INDEX(PMsheet!$D:$E,MATCH(A475,PMsheet!E:E,0),1),SETUP!$D$20:$D$122,0))))</f>
        <v/>
      </c>
      <c r="N475" s="494">
        <f>IF($O475="USD",_xlfn.IFNA(VLOOKUP(A475&amp;E475&amp;I475,PMsheet!J:K,2,0),0),(_xlfn.IFNA(VLOOKUP(A475&amp;E475&amp;I475,PMsheet!J:K,2,0),0)*'Master Data-C19RM'!$C$2))</f>
        <v>0</v>
      </c>
      <c r="O475" s="495" t="str">
        <f>IF(L475="", "",SETUP!$E$7)</f>
        <v/>
      </c>
      <c r="P475" s="445">
        <f>IF($O475="USD",_xlfn.IFNA(VLOOKUP($A475&amp;$E475&amp;$I475,PMsheet!$J:$K,2,0),0),(_xlfn.IFNA(VLOOKUP($A475&amp;$E475&amp;$I475,PMsheet!$J:$K,2,0),0)*'Master Data-C19RM'!$C$2))</f>
        <v>0</v>
      </c>
      <c r="Q475" s="440"/>
      <c r="R475" s="440"/>
      <c r="S475" s="440"/>
      <c r="T475" s="440"/>
      <c r="U475" s="482">
        <f t="shared" si="61"/>
        <v>0</v>
      </c>
      <c r="V475" s="484">
        <f>IF(SETUP!$E$7="USD",(U475*(IF(O475="USD",P475,(P475/'Master Data-C19RM'!$C$2)))),(U475*(IF(O475="EUR",P475,(P475*'Master Data-C19RM'!$C$2)))))</f>
        <v>0</v>
      </c>
      <c r="W475" s="445">
        <f>IF($O475="USD",_xlfn.IFNA(VLOOKUP($A475&amp;$E475&amp;$I475,PMsheet!$J:$K,2,0),0),(_xlfn.IFNA(VLOOKUP($A475&amp;$E475&amp;$I475,PMsheet!$J:$K,2,0),0)*'Master Data-C19RM'!$D$2))</f>
        <v>0</v>
      </c>
      <c r="X475" s="440"/>
      <c r="Y475" s="440"/>
      <c r="Z475" s="440"/>
      <c r="AA475" s="440"/>
      <c r="AB475" s="482">
        <f t="shared" si="62"/>
        <v>0</v>
      </c>
      <c r="AC475" s="484">
        <f>IF(SETUP!$E$7="USD",(AB475*(IF(O475="USD",W475,(W475/'Master Data-C19RM'!$D$2)))),(AB475*(IF(O475="EUR",W475,(W475*'Master Data-C19RM'!$D$2)))))</f>
        <v>0</v>
      </c>
      <c r="AD475" s="445">
        <f>IF($O475="USD",_xlfn.IFNA(VLOOKUP($A475&amp;$E475&amp;$I475,PMsheet!$J:$K,2,0),0),(_xlfn.IFNA(VLOOKUP($A475&amp;$E475&amp;$I475,PMsheet!$J:$K,2,0),0)*'Master Data-C19RM'!$E$2))</f>
        <v>0</v>
      </c>
      <c r="AE475" s="440"/>
      <c r="AF475" s="440"/>
      <c r="AG475" s="440"/>
      <c r="AH475" s="440"/>
      <c r="AI475" s="514">
        <f t="shared" si="63"/>
        <v>0</v>
      </c>
      <c r="AJ475" s="515">
        <f>IF(SETUP!$E$7="USD",(AI475*(IF(O475="USD",AD475,(AD475/'Master Data-C19RM'!$E$2)))),(AI475*(IF(O475="EUR",AD475,(AD475*'Master Data-C19RM'!$E$2)))))</f>
        <v>0</v>
      </c>
      <c r="AK475" s="445">
        <f>IF($O475="USD",_xlfn.IFNA(VLOOKUP($A475&amp;$E475&amp;$I475,PMsheet!$J:$K,2,0),0),(_xlfn.IFNA(VLOOKUP($A475&amp;$E475&amp;$I475,PMsheet!$J:$K,2,0),0)*'Master Data-C19RM'!$F$2))</f>
        <v>0</v>
      </c>
      <c r="AL475" s="440"/>
      <c r="AM475" s="440"/>
      <c r="AN475" s="440"/>
      <c r="AO475" s="440"/>
      <c r="AP475" s="514">
        <f t="shared" si="66"/>
        <v>0</v>
      </c>
      <c r="AQ475" s="515">
        <f>IF(SETUP!$E$7="USD",(AP475*(IF(O475="USD",AK475,(AK475/'Master Data-C19RM'!$F$2)))),(AP475*(IF(O475="EUR",AK475,(AK475*'Master Data-C19RM'!$F$2)))))</f>
        <v>0</v>
      </c>
      <c r="AR475" s="925">
        <f>IF($O475="USD",_xlfn.IFNA(VLOOKUP($A475&amp;$E475&amp;$I475,PMsheet!$J:$K,2,0),0),(_xlfn.IFNA(VLOOKUP($A475&amp;$E475&amp;$I475,PMsheet!$J:$K,2,0),0)*'Master Data-C19RM'!$G$2))</f>
        <v>0</v>
      </c>
      <c r="AS475" s="926"/>
      <c r="AT475" s="926"/>
      <c r="AU475" s="926"/>
      <c r="AV475" s="926"/>
      <c r="AW475" s="514">
        <f t="shared" si="65"/>
        <v>0</v>
      </c>
      <c r="AX475" s="514">
        <f>IF(SETUP!$E$7="USD",(AW475*(IF(O475="USD",AR475,(AR475/'Master Data-C19RM'!$G$2)))),(AW475*(IF(O475="EUR",AR475,(AR475*'Master Data-C19RM'!$G$2)))))</f>
        <v>0</v>
      </c>
      <c r="AY475" s="845"/>
      <c r="AZ475" s="846"/>
      <c r="BA475" s="846"/>
      <c r="BB475" s="846"/>
      <c r="BC475" s="846"/>
      <c r="BD475" s="846"/>
      <c r="BE475" s="847"/>
      <c r="BF475" s="521">
        <f>'C19RM 2021-Lab &amp; Other HPS'!$U475+'C19RM 2021-Lab &amp; Other HPS'!$AB475+'C19RM 2021-Lab &amp; Other HPS'!$AP475+'C19RM 2021-Lab &amp; Other HPS'!$AI475+AW475+BD475</f>
        <v>0</v>
      </c>
      <c r="BG475" s="515">
        <f>'C19RM 2021-Lab &amp; Other HPS'!$V475+'C19RM 2021-Lab &amp; Other HPS'!$AC475+'C19RM 2021-Lab &amp; Other HPS'!$AQ475+'C19RM 2021-Lab &amp; Other HPS'!$AJ475+AX475+BE475</f>
        <v>0</v>
      </c>
      <c r="BH475" s="522" t="str" cm="1">
        <f t="array" ref="BH475">IF(A475&lt;&gt;"",IFERROR(INDEX(PMtbl[[WKst]:[Unit of measure*]],MATCH($A$437&amp;$A475&amp;$E475&amp;$I475,INDEX(PMtbl[Sec]&amp;PMtbl[Category]&amp;PMtbl[Each]&amp;PMtbl[Packaging],0,),0),11),""),"")</f>
        <v/>
      </c>
      <c r="BI475" s="818"/>
      <c r="BJ475" s="503" t="str" cm="1">
        <f t="array" ref="BJ475">IFERROR(INDEX(SETUP!$C$19:$G$121,MATCH((INDEX(PMtbl[[WKst]:[Unit of measure*]],MATCH($A475&amp;$E475&amp;$I475,INDEX(PMtbl[Category]&amp;PMtbl[Each]&amp;PMtbl[Packaging],0,),0),3)),SETUP!$D$19:$D$121,0),5),"")</f>
        <v/>
      </c>
      <c r="BK475" s="537" t="str" cm="1">
        <f t="array" ref="BK475">IFERROR(IF((INDEX(SETUP!$C$19:$G$121,MATCH((INDEX(PMtbl[[WKst]:[Unit of measure*]],MATCH($A475&amp;$E475&amp;$I475,INDEX(PMtbl[Category]&amp;PMtbl[Each]&amp;PMtbl[Packaging],0,),0),3)),SETUP!$D$19:$D$121,0),4))="Upfront",0,INDEX(SETUP!$C$19:$G$121,MATCH((INDEX(PMtbl[[WKst]:[Unit of measure*]],MATCH($A475&amp;$E475&amp;$I475,INDEX(PMtbl[Category]&amp;PMtbl[Each]&amp;PMtbl[Packaging],0,),0),3)),SETUP!$D$19:$D$121,0),5)),"")</f>
        <v/>
      </c>
      <c r="BL475" s="578" t="str" cm="1">
        <f t="array" ref="BL475">IF(E475&lt;&gt;"",IFERROR(INDEX(PMtbl[[WKst]:[Unit of measure*]],MATCH($A$437&amp;$A475&amp;$E475&amp;$I475,INDEX(PMtbl[Sec]&amp;PMtbl[Category]&amp;PMtbl[Each]&amp;PMtbl[Packaging],0,),0),11),""),"")</f>
        <v/>
      </c>
      <c r="BO475" s="12">
        <f>IF(N475="",0,IF(SETUP!$E$7="USD",((IF(O475="USD",P475,(P475/'Master Data-C19RM'!$C$2)))),((IF(O475="EUR",P475,(P475*'Master Data-C19RM'!$C$2))))))</f>
        <v>0</v>
      </c>
      <c r="BP475" s="12">
        <f>IF(N475="",0,IF(SETUP!$E$7="USD",((IF(O475="USD",W475,(W475/'Master Data-C19RM'!$D$2)))),((IF(O475="EUR",W475,(W475*'Master Data-C19RM'!$D$2))))))</f>
        <v>0</v>
      </c>
      <c r="BQ475">
        <f>IF(N475="",0,IF(SETUP!$E$7="USD",((IF(O475="USD",AD475,(AD475/'Master Data-C19RM'!$E$2)))),((IF(O475="EUR",AD475,(AD475*'Master Data-C19RM'!$E$2))))))</f>
        <v>0</v>
      </c>
      <c r="BR475">
        <f>IF(N475="",0,IF(SETUP!$E$7="USD",((IF(O475="USD",AK475,(AK475/'Master Data-C19RM'!$F$2)))),((IF(O475="EUR",AK475,(AK475*'Master Data-C19RM'!$F$2))))))</f>
        <v>0</v>
      </c>
      <c r="BS475">
        <f>IF(N475="",0,IF(SETUP!$E$7="USD",((IF(O475="USD",AR475,(AR475/'Master Data-C19RM'!$G$2)))),((IF(O475="EUR",AR475,(AR475*'Master Data-C19RM'!$G$2))))))</f>
        <v>0</v>
      </c>
      <c r="BT475">
        <f>IF(N475="",0,IF(SETUP!$E$7="USD",((IF(O475="USD",AY475,(AY475/'Master Data-C19RM'!$H$2)))),((IF(O475="EUR",AY475,(AY475*'Master Data-C19RM'!$H$2))))))</f>
        <v>0</v>
      </c>
      <c r="BU475" s="12">
        <f t="shared" si="59"/>
        <v>0</v>
      </c>
      <c r="BV475" s="142">
        <f t="shared" si="60"/>
        <v>0</v>
      </c>
    </row>
    <row r="476" spans="1:74" x14ac:dyDescent="0.35">
      <c r="A476" s="1165"/>
      <c r="B476" s="1165"/>
      <c r="C476" s="1165"/>
      <c r="D476" s="1165"/>
      <c r="E476" s="1166"/>
      <c r="F476" s="1166"/>
      <c r="G476" s="1166"/>
      <c r="H476" s="1166"/>
      <c r="I476" s="1166"/>
      <c r="J476" s="1166"/>
      <c r="K476" s="1166"/>
      <c r="L476" s="490" t="str" cm="1">
        <f t="array" ref="L476">IF(A476&lt;&gt;"",IFERROR(INDEX(PMtbl[[WKst]:[Unit of measure*]],MATCH($A$437&amp;$A476&amp;$E476&amp;$I476,INDEX(PMtbl[Sec]&amp;PMtbl[Category]&amp;PMtbl[Each]&amp;PMtbl[Packaging],0,),0),14),""),"")</f>
        <v/>
      </c>
      <c r="M476" s="479" t="str">
        <f>IF(L476="","",INDEX(SETUP!$E$20:$E$122,(MATCH(INDEX(PMsheet!$D:$E,MATCH(A476,PMsheet!E:E,0),1),SETUP!$D$20:$D$122,0))))</f>
        <v/>
      </c>
      <c r="N476" s="491">
        <f>IF($O476="USD",_xlfn.IFNA(VLOOKUP(A476&amp;E476&amp;I476,PMsheet!J:K,2,0),0),(_xlfn.IFNA(VLOOKUP(A476&amp;E476&amp;I476,PMsheet!J:K,2,0),0)*'Master Data-C19RM'!$C$2))</f>
        <v>0</v>
      </c>
      <c r="O476" s="492" t="str">
        <f>IF(L476="", "",SETUP!$E$7)</f>
        <v/>
      </c>
      <c r="P476" s="444">
        <f>IF($O476="USD",_xlfn.IFNA(VLOOKUP($A476&amp;$E476&amp;$I476,PMsheet!$J:$K,2,0),0),(_xlfn.IFNA(VLOOKUP($A476&amp;$E476&amp;$I476,PMsheet!$J:$K,2,0),0)*'Master Data-C19RM'!$C$2))</f>
        <v>0</v>
      </c>
      <c r="Q476" s="441"/>
      <c r="R476" s="441"/>
      <c r="S476" s="441"/>
      <c r="T476" s="441"/>
      <c r="U476" s="481">
        <f t="shared" si="61"/>
        <v>0</v>
      </c>
      <c r="V476" s="483">
        <f>IF(SETUP!$E$7="USD",(U476*(IF(O476="USD",P476,(P476/'Master Data-C19RM'!$C$2)))),(U476*(IF(O476="EUR",P476,(P476*'Master Data-C19RM'!$C$2)))))</f>
        <v>0</v>
      </c>
      <c r="W476" s="444">
        <f>IF($O476="USD",_xlfn.IFNA(VLOOKUP($A476&amp;$E476&amp;$I476,PMsheet!$J:$K,2,0),0),(_xlfn.IFNA(VLOOKUP($A476&amp;$E476&amp;$I476,PMsheet!$J:$K,2,0),0)*'Master Data-C19RM'!$D$2))</f>
        <v>0</v>
      </c>
      <c r="X476" s="441"/>
      <c r="Y476" s="441"/>
      <c r="Z476" s="441"/>
      <c r="AA476" s="441"/>
      <c r="AB476" s="481">
        <f t="shared" si="62"/>
        <v>0</v>
      </c>
      <c r="AC476" s="483">
        <f>IF(SETUP!$E$7="USD",(AB476*(IF(O476="USD",W476,(W476/'Master Data-C19RM'!$D$2)))),(AB476*(IF(O476="EUR",W476,(W476*'Master Data-C19RM'!$D$2)))))</f>
        <v>0</v>
      </c>
      <c r="AD476" s="444">
        <f>IF($O476="USD",_xlfn.IFNA(VLOOKUP($A476&amp;$E476&amp;$I476,PMsheet!$J:$K,2,0),0),(_xlfn.IFNA(VLOOKUP($A476&amp;$E476&amp;$I476,PMsheet!$J:$K,2,0),0)*'Master Data-C19RM'!$E$2))</f>
        <v>0</v>
      </c>
      <c r="AE476" s="441"/>
      <c r="AF476" s="441"/>
      <c r="AG476" s="441"/>
      <c r="AH476" s="441"/>
      <c r="AI476" s="512">
        <f t="shared" si="63"/>
        <v>0</v>
      </c>
      <c r="AJ476" s="513">
        <f>IF(SETUP!$E$7="USD",(AI476*(IF(O476="USD",AD476,(AD476/'Master Data-C19RM'!$E$2)))),(AI476*(IF(O476="EUR",AD476,(AD476*'Master Data-C19RM'!$E$2)))))</f>
        <v>0</v>
      </c>
      <c r="AK476" s="444">
        <f>IF($O476="USD",_xlfn.IFNA(VLOOKUP($A476&amp;$E476&amp;$I476,PMsheet!$J:$K,2,0),0),(_xlfn.IFNA(VLOOKUP($A476&amp;$E476&amp;$I476,PMsheet!$J:$K,2,0),0)*'Master Data-C19RM'!$F$2))</f>
        <v>0</v>
      </c>
      <c r="AL476" s="441"/>
      <c r="AM476" s="441"/>
      <c r="AN476" s="441"/>
      <c r="AO476" s="441"/>
      <c r="AP476" s="512">
        <f t="shared" si="66"/>
        <v>0</v>
      </c>
      <c r="AQ476" s="513">
        <f>IF(SETUP!$E$7="USD",(AP476*(IF(O476="USD",AK476,(AK476/'Master Data-C19RM'!$F$2)))),(AP476*(IF(O476="EUR",AK476,(AK476*'Master Data-C19RM'!$F$2)))))</f>
        <v>0</v>
      </c>
      <c r="AR476" s="924">
        <f>IF($O476="USD",_xlfn.IFNA(VLOOKUP($A476&amp;$E476&amp;$I476,PMsheet!$J:$K,2,0),0),(_xlfn.IFNA(VLOOKUP($A476&amp;$E476&amp;$I476,PMsheet!$J:$K,2,0),0)*'Master Data-C19RM'!$G$2))</f>
        <v>0</v>
      </c>
      <c r="AS476" s="572"/>
      <c r="AT476" s="572"/>
      <c r="AU476" s="572"/>
      <c r="AV476" s="572"/>
      <c r="AW476" s="512">
        <f t="shared" si="65"/>
        <v>0</v>
      </c>
      <c r="AX476" s="512">
        <f>IF(SETUP!$E$7="USD",(AW476*(IF(O476="USD",AR476,(AR476/'Master Data-C19RM'!$G$2)))),(AW476*(IF(O476="EUR",AR476,(AR476*'Master Data-C19RM'!$G$2)))))</f>
        <v>0</v>
      </c>
      <c r="AY476" s="845"/>
      <c r="AZ476" s="846"/>
      <c r="BA476" s="846"/>
      <c r="BB476" s="846"/>
      <c r="BC476" s="846"/>
      <c r="BD476" s="846"/>
      <c r="BE476" s="847"/>
      <c r="BF476" s="520">
        <f>'C19RM 2021-Lab &amp; Other HPS'!$U476+'C19RM 2021-Lab &amp; Other HPS'!$AB476+'C19RM 2021-Lab &amp; Other HPS'!$AP476+'C19RM 2021-Lab &amp; Other HPS'!$AI476+AW476+BD476</f>
        <v>0</v>
      </c>
      <c r="BG476" s="513">
        <f>'C19RM 2021-Lab &amp; Other HPS'!$V476+'C19RM 2021-Lab &amp; Other HPS'!$AC476+'C19RM 2021-Lab &amp; Other HPS'!$AQ476+'C19RM 2021-Lab &amp; Other HPS'!$AJ476+AX476+BE476</f>
        <v>0</v>
      </c>
      <c r="BH476" s="500" t="str" cm="1">
        <f t="array" ref="BH476">IF(A476&lt;&gt;"",IFERROR(INDEX(PMtbl[[WKst]:[Unit of measure*]],MATCH($A$437&amp;$A476&amp;$E476&amp;$I476,INDEX(PMtbl[Sec]&amp;PMtbl[Category]&amp;PMtbl[Each]&amp;PMtbl[Packaging],0,),0),11),""),"")</f>
        <v/>
      </c>
      <c r="BI476" s="819"/>
      <c r="BJ476" s="502" t="str" cm="1">
        <f t="array" ref="BJ476">IFERROR(INDEX(SETUP!$C$19:$G$121,MATCH((INDEX(PMtbl[[WKst]:[Unit of measure*]],MATCH($A476&amp;$E476&amp;$I476,INDEX(PMtbl[Category]&amp;PMtbl[Each]&amp;PMtbl[Packaging],0,),0),3)),SETUP!$D$19:$D$121,0),5),"")</f>
        <v/>
      </c>
      <c r="BK476" s="536" t="str" cm="1">
        <f t="array" ref="BK476">IFERROR(IF((INDEX(SETUP!$C$19:$G$121,MATCH((INDEX(PMtbl[[WKst]:[Unit of measure*]],MATCH($A476&amp;$E476&amp;$I476,INDEX(PMtbl[Category]&amp;PMtbl[Each]&amp;PMtbl[Packaging],0,),0),3)),SETUP!$D$19:$D$121,0),4))="Upfront",0,INDEX(SETUP!$C$19:$G$121,MATCH((INDEX(PMtbl[[WKst]:[Unit of measure*]],MATCH($A476&amp;$E476&amp;$I476,INDEX(PMtbl[Category]&amp;PMtbl[Each]&amp;PMtbl[Packaging],0,),0),3)),SETUP!$D$19:$D$121,0),5)),"")</f>
        <v/>
      </c>
      <c r="BL476" s="577" t="str" cm="1">
        <f t="array" ref="BL476">IF(E476&lt;&gt;"",IFERROR(INDEX(PMtbl[[WKst]:[Unit of measure*]],MATCH($A$437&amp;$A476&amp;$E476&amp;$I476,INDEX(PMtbl[Sec]&amp;PMtbl[Category]&amp;PMtbl[Each]&amp;PMtbl[Packaging],0,),0),11),""),"")</f>
        <v/>
      </c>
      <c r="BO476" s="12">
        <f>IF(N476="",0,IF(SETUP!$E$7="USD",((IF(O476="USD",P476,(P476/'Master Data-C19RM'!$C$2)))),((IF(O476="EUR",P476,(P476*'Master Data-C19RM'!$C$2))))))</f>
        <v>0</v>
      </c>
      <c r="BP476" s="12">
        <f>IF(N476="",0,IF(SETUP!$E$7="USD",((IF(O476="USD",W476,(W476/'Master Data-C19RM'!$D$2)))),((IF(O476="EUR",W476,(W476*'Master Data-C19RM'!$D$2))))))</f>
        <v>0</v>
      </c>
      <c r="BQ476">
        <f>IF(N476="",0,IF(SETUP!$E$7="USD",((IF(O476="USD",AD476,(AD476/'Master Data-C19RM'!$E$2)))),((IF(O476="EUR",AD476,(AD476*'Master Data-C19RM'!$E$2))))))</f>
        <v>0</v>
      </c>
      <c r="BR476">
        <f>IF(N476="",0,IF(SETUP!$E$7="USD",((IF(O476="USD",AK476,(AK476/'Master Data-C19RM'!$F$2)))),((IF(O476="EUR",AK476,(AK476*'Master Data-C19RM'!$F$2))))))</f>
        <v>0</v>
      </c>
      <c r="BS476">
        <f>IF(N476="",0,IF(SETUP!$E$7="USD",((IF(O476="USD",AR476,(AR476/'Master Data-C19RM'!$G$2)))),((IF(O476="EUR",AR476,(AR476*'Master Data-C19RM'!$G$2))))))</f>
        <v>0</v>
      </c>
      <c r="BT476">
        <f>IF(N476="",0,IF(SETUP!$E$7="USD",((IF(O476="USD",AY476,(AY476/'Master Data-C19RM'!$H$2)))),((IF(O476="EUR",AY476,(AY476*'Master Data-C19RM'!$H$2))))))</f>
        <v>0</v>
      </c>
      <c r="BU476" s="12">
        <f t="shared" si="59"/>
        <v>0</v>
      </c>
      <c r="BV476" s="142">
        <f t="shared" si="60"/>
        <v>0</v>
      </c>
    </row>
    <row r="477" spans="1:74" x14ac:dyDescent="0.35">
      <c r="A477" s="1192"/>
      <c r="B477" s="1192"/>
      <c r="C477" s="1192"/>
      <c r="D477" s="1192"/>
      <c r="E477" s="1173"/>
      <c r="F477" s="1173"/>
      <c r="G477" s="1173"/>
      <c r="H477" s="1173"/>
      <c r="I477" s="1173"/>
      <c r="J477" s="1173"/>
      <c r="K477" s="1173"/>
      <c r="L477" s="493" t="str" cm="1">
        <f t="array" ref="L477">IF(A477&lt;&gt;"",IFERROR(INDEX(PMtbl[[WKst]:[Unit of measure*]],MATCH($A$437&amp;$A477&amp;$E477&amp;$I477,INDEX(PMtbl[Sec]&amp;PMtbl[Category]&amp;PMtbl[Each]&amp;PMtbl[Packaging],0,),0),14),""),"")</f>
        <v/>
      </c>
      <c r="M477" s="480" t="str">
        <f>IF(L477="","",INDEX(SETUP!$E$20:$E$122,(MATCH(INDEX(PMsheet!$D:$E,MATCH(A477,PMsheet!E:E,0),1),SETUP!$D$20:$D$122,0))))</f>
        <v/>
      </c>
      <c r="N477" s="494">
        <f>IF($O477="USD",_xlfn.IFNA(VLOOKUP(A477&amp;E477&amp;I477,PMsheet!J:K,2,0),0),(_xlfn.IFNA(VLOOKUP(A477&amp;E477&amp;I477,PMsheet!J:K,2,0),0)*'Master Data-C19RM'!$C$2))</f>
        <v>0</v>
      </c>
      <c r="O477" s="495" t="str">
        <f>IF(L477="", "",SETUP!$E$7)</f>
        <v/>
      </c>
      <c r="P477" s="445">
        <f>IF($O477="USD",_xlfn.IFNA(VLOOKUP($A477&amp;$E477&amp;$I477,PMsheet!$J:$K,2,0),0),(_xlfn.IFNA(VLOOKUP($A477&amp;$E477&amp;$I477,PMsheet!$J:$K,2,0),0)*'Master Data-C19RM'!$C$2))</f>
        <v>0</v>
      </c>
      <c r="Q477" s="440"/>
      <c r="R477" s="440"/>
      <c r="S477" s="440"/>
      <c r="T477" s="440"/>
      <c r="U477" s="482">
        <f t="shared" si="61"/>
        <v>0</v>
      </c>
      <c r="V477" s="484">
        <f>IF(SETUP!$E$7="USD",(U477*(IF(O477="USD",P477,(P477/'Master Data-C19RM'!$C$2)))),(U477*(IF(O477="EUR",P477,(P477*'Master Data-C19RM'!$C$2)))))</f>
        <v>0</v>
      </c>
      <c r="W477" s="445">
        <f>IF($O477="USD",_xlfn.IFNA(VLOOKUP($A477&amp;$E477&amp;$I477,PMsheet!$J:$K,2,0),0),(_xlfn.IFNA(VLOOKUP($A477&amp;$E477&amp;$I477,PMsheet!$J:$K,2,0),0)*'Master Data-C19RM'!$D$2))</f>
        <v>0</v>
      </c>
      <c r="X477" s="440"/>
      <c r="Y477" s="440"/>
      <c r="Z477" s="440"/>
      <c r="AA477" s="440"/>
      <c r="AB477" s="482">
        <f t="shared" si="62"/>
        <v>0</v>
      </c>
      <c r="AC477" s="484">
        <f>IF(SETUP!$E$7="USD",(AB477*(IF(O477="USD",W477,(W477/'Master Data-C19RM'!$D$2)))),(AB477*(IF(O477="EUR",W477,(W477*'Master Data-C19RM'!$D$2)))))</f>
        <v>0</v>
      </c>
      <c r="AD477" s="445">
        <f>IF($O477="USD",_xlfn.IFNA(VLOOKUP($A477&amp;$E477&amp;$I477,PMsheet!$J:$K,2,0),0),(_xlfn.IFNA(VLOOKUP($A477&amp;$E477&amp;$I477,PMsheet!$J:$K,2,0),0)*'Master Data-C19RM'!$E$2))</f>
        <v>0</v>
      </c>
      <c r="AE477" s="440"/>
      <c r="AF477" s="440"/>
      <c r="AG477" s="440"/>
      <c r="AH477" s="440"/>
      <c r="AI477" s="514">
        <f t="shared" si="63"/>
        <v>0</v>
      </c>
      <c r="AJ477" s="515">
        <f>IF(SETUP!$E$7="USD",(AI477*(IF(O477="USD",AD477,(AD477/'Master Data-C19RM'!$E$2)))),(AI477*(IF(O477="EUR",AD477,(AD477*'Master Data-C19RM'!$E$2)))))</f>
        <v>0</v>
      </c>
      <c r="AK477" s="445">
        <f>IF($O477="USD",_xlfn.IFNA(VLOOKUP($A477&amp;$E477&amp;$I477,PMsheet!$J:$K,2,0),0),(_xlfn.IFNA(VLOOKUP($A477&amp;$E477&amp;$I477,PMsheet!$J:$K,2,0),0)*'Master Data-C19RM'!$F$2))</f>
        <v>0</v>
      </c>
      <c r="AL477" s="440"/>
      <c r="AM477" s="440"/>
      <c r="AN477" s="440"/>
      <c r="AO477" s="440"/>
      <c r="AP477" s="514">
        <f t="shared" si="66"/>
        <v>0</v>
      </c>
      <c r="AQ477" s="515">
        <f>IF(SETUP!$E$7="USD",(AP477*(IF(O477="USD",AK477,(AK477/'Master Data-C19RM'!$F$2)))),(AP477*(IF(O477="EUR",AK477,(AK477*'Master Data-C19RM'!$F$2)))))</f>
        <v>0</v>
      </c>
      <c r="AR477" s="925">
        <f>IF($O477="USD",_xlfn.IFNA(VLOOKUP($A477&amp;$E477&amp;$I477,PMsheet!$J:$K,2,0),0),(_xlfn.IFNA(VLOOKUP($A477&amp;$E477&amp;$I477,PMsheet!$J:$K,2,0),0)*'Master Data-C19RM'!$G$2))</f>
        <v>0</v>
      </c>
      <c r="AS477" s="926"/>
      <c r="AT477" s="926"/>
      <c r="AU477" s="926"/>
      <c r="AV477" s="926"/>
      <c r="AW477" s="514">
        <f t="shared" si="65"/>
        <v>0</v>
      </c>
      <c r="AX477" s="514">
        <f>IF(SETUP!$E$7="USD",(AW477*(IF(O477="USD",AR477,(AR477/'Master Data-C19RM'!$G$2)))),(AW477*(IF(O477="EUR",AR477,(AR477*'Master Data-C19RM'!$G$2)))))</f>
        <v>0</v>
      </c>
      <c r="AY477" s="845"/>
      <c r="AZ477" s="846"/>
      <c r="BA477" s="846"/>
      <c r="BB477" s="846"/>
      <c r="BC477" s="846"/>
      <c r="BD477" s="846"/>
      <c r="BE477" s="847"/>
      <c r="BF477" s="521">
        <f>'C19RM 2021-Lab &amp; Other HPS'!$U477+'C19RM 2021-Lab &amp; Other HPS'!$AB477+'C19RM 2021-Lab &amp; Other HPS'!$AP477+'C19RM 2021-Lab &amp; Other HPS'!$AI477+AW477+BD477</f>
        <v>0</v>
      </c>
      <c r="BG477" s="515">
        <f>'C19RM 2021-Lab &amp; Other HPS'!$V477+'C19RM 2021-Lab &amp; Other HPS'!$AC477+'C19RM 2021-Lab &amp; Other HPS'!$AQ477+'C19RM 2021-Lab &amp; Other HPS'!$AJ477+AX477+BE477</f>
        <v>0</v>
      </c>
      <c r="BH477" s="522" t="str" cm="1">
        <f t="array" ref="BH477">IF(A477&lt;&gt;"",IFERROR(INDEX(PMtbl[[WKst]:[Unit of measure*]],MATCH($A$437&amp;$A477&amp;$E477&amp;$I477,INDEX(PMtbl[Sec]&amp;PMtbl[Category]&amp;PMtbl[Each]&amp;PMtbl[Packaging],0,),0),11),""),"")</f>
        <v/>
      </c>
      <c r="BI477" s="818"/>
      <c r="BJ477" s="503" t="str" cm="1">
        <f t="array" ref="BJ477">IFERROR(INDEX(SETUP!$C$19:$G$121,MATCH((INDEX(PMtbl[[WKst]:[Unit of measure*]],MATCH($A477&amp;$E477&amp;$I477,INDEX(PMtbl[Category]&amp;PMtbl[Each]&amp;PMtbl[Packaging],0,),0),3)),SETUP!$D$19:$D$121,0),5),"")</f>
        <v/>
      </c>
      <c r="BK477" s="537" t="str" cm="1">
        <f t="array" ref="BK477">IFERROR(IF((INDEX(SETUP!$C$19:$G$121,MATCH((INDEX(PMtbl[[WKst]:[Unit of measure*]],MATCH($A477&amp;$E477&amp;$I477,INDEX(PMtbl[Category]&amp;PMtbl[Each]&amp;PMtbl[Packaging],0,),0),3)),SETUP!$D$19:$D$121,0),4))="Upfront",0,INDEX(SETUP!$C$19:$G$121,MATCH((INDEX(PMtbl[[WKst]:[Unit of measure*]],MATCH($A477&amp;$E477&amp;$I477,INDEX(PMtbl[Category]&amp;PMtbl[Each]&amp;PMtbl[Packaging],0,),0),3)),SETUP!$D$19:$D$121,0),5)),"")</f>
        <v/>
      </c>
      <c r="BL477" s="578" t="str" cm="1">
        <f t="array" ref="BL477">IF(E477&lt;&gt;"",IFERROR(INDEX(PMtbl[[WKst]:[Unit of measure*]],MATCH($A$437&amp;$A477&amp;$E477&amp;$I477,INDEX(PMtbl[Sec]&amp;PMtbl[Category]&amp;PMtbl[Each]&amp;PMtbl[Packaging],0,),0),11),""),"")</f>
        <v/>
      </c>
      <c r="BO477" s="12">
        <f>IF(N477="",0,IF(SETUP!$E$7="USD",((IF(O477="USD",P477,(P477/'Master Data-C19RM'!$C$2)))),((IF(O477="EUR",P477,(P477*'Master Data-C19RM'!$C$2))))))</f>
        <v>0</v>
      </c>
      <c r="BP477" s="12">
        <f>IF(N477="",0,IF(SETUP!$E$7="USD",((IF(O477="USD",W477,(W477/'Master Data-C19RM'!$D$2)))),((IF(O477="EUR",W477,(W477*'Master Data-C19RM'!$D$2))))))</f>
        <v>0</v>
      </c>
      <c r="BQ477">
        <f>IF(N477="",0,IF(SETUP!$E$7="USD",((IF(O477="USD",AD477,(AD477/'Master Data-C19RM'!$E$2)))),((IF(O477="EUR",AD477,(AD477*'Master Data-C19RM'!$E$2))))))</f>
        <v>0</v>
      </c>
      <c r="BR477">
        <f>IF(N477="",0,IF(SETUP!$E$7="USD",((IF(O477="USD",AK477,(AK477/'Master Data-C19RM'!$F$2)))),((IF(O477="EUR",AK477,(AK477*'Master Data-C19RM'!$F$2))))))</f>
        <v>0</v>
      </c>
      <c r="BS477">
        <f>IF(N477="",0,IF(SETUP!$E$7="USD",((IF(O477="USD",AR477,(AR477/'Master Data-C19RM'!$G$2)))),((IF(O477="EUR",AR477,(AR477*'Master Data-C19RM'!$G$2))))))</f>
        <v>0</v>
      </c>
      <c r="BT477">
        <f>IF(N477="",0,IF(SETUP!$E$7="USD",((IF(O477="USD",AY477,(AY477/'Master Data-C19RM'!$H$2)))),((IF(O477="EUR",AY477,(AY477*'Master Data-C19RM'!$H$2))))))</f>
        <v>0</v>
      </c>
      <c r="BU477" s="12">
        <f t="shared" si="59"/>
        <v>0</v>
      </c>
      <c r="BV477" s="142">
        <f t="shared" si="60"/>
        <v>0</v>
      </c>
    </row>
    <row r="478" spans="1:74" x14ac:dyDescent="0.35">
      <c r="A478" s="1165"/>
      <c r="B478" s="1165"/>
      <c r="C478" s="1165"/>
      <c r="D478" s="1165"/>
      <c r="E478" s="1166"/>
      <c r="F478" s="1166"/>
      <c r="G478" s="1166"/>
      <c r="H478" s="1166"/>
      <c r="I478" s="1166"/>
      <c r="J478" s="1166"/>
      <c r="K478" s="1166"/>
      <c r="L478" s="490" t="str" cm="1">
        <f t="array" ref="L478">IF(A478&lt;&gt;"",IFERROR(INDEX(PMtbl[[WKst]:[Unit of measure*]],MATCH($A$437&amp;$A478&amp;$E478&amp;$I478,INDEX(PMtbl[Sec]&amp;PMtbl[Category]&amp;PMtbl[Each]&amp;PMtbl[Packaging],0,),0),14),""),"")</f>
        <v/>
      </c>
      <c r="M478" s="479" t="str">
        <f>IF(L478="","",INDEX(SETUP!$E$20:$E$122,(MATCH(INDEX(PMsheet!$D:$E,MATCH(A478,PMsheet!E:E,0),1),SETUP!$D$20:$D$122,0))))</f>
        <v/>
      </c>
      <c r="N478" s="491">
        <f>IF($O478="USD",_xlfn.IFNA(VLOOKUP(A478&amp;E478&amp;I478,PMsheet!J:K,2,0),0),(_xlfn.IFNA(VLOOKUP(A478&amp;E478&amp;I478,PMsheet!J:K,2,0),0)*'Master Data-C19RM'!$C$2))</f>
        <v>0</v>
      </c>
      <c r="O478" s="492" t="str">
        <f>IF(L478="", "",SETUP!$E$7)</f>
        <v/>
      </c>
      <c r="P478" s="444">
        <f>IF($O478="USD",_xlfn.IFNA(VLOOKUP($A478&amp;$E478&amp;$I478,PMsheet!$J:$K,2,0),0),(_xlfn.IFNA(VLOOKUP($A478&amp;$E478&amp;$I478,PMsheet!$J:$K,2,0),0)*'Master Data-C19RM'!$C$2))</f>
        <v>0</v>
      </c>
      <c r="Q478" s="441"/>
      <c r="R478" s="441"/>
      <c r="S478" s="441"/>
      <c r="T478" s="441"/>
      <c r="U478" s="481">
        <f t="shared" si="61"/>
        <v>0</v>
      </c>
      <c r="V478" s="483">
        <f>IF(SETUP!$E$7="USD",(U478*(IF(O478="USD",P478,(P478/'Master Data-C19RM'!$C$2)))),(U478*(IF(O478="EUR",P478,(P478*'Master Data-C19RM'!$C$2)))))</f>
        <v>0</v>
      </c>
      <c r="W478" s="444">
        <f>IF($O478="USD",_xlfn.IFNA(VLOOKUP($A478&amp;$E478&amp;$I478,PMsheet!$J:$K,2,0),0),(_xlfn.IFNA(VLOOKUP($A478&amp;$E478&amp;$I478,PMsheet!$J:$K,2,0),0)*'Master Data-C19RM'!$D$2))</f>
        <v>0</v>
      </c>
      <c r="X478" s="441"/>
      <c r="Y478" s="441"/>
      <c r="Z478" s="441"/>
      <c r="AA478" s="441"/>
      <c r="AB478" s="481">
        <f t="shared" si="62"/>
        <v>0</v>
      </c>
      <c r="AC478" s="483">
        <f>IF(SETUP!$E$7="USD",(AB478*(IF(O478="USD",W478,(W478/'Master Data-C19RM'!$D$2)))),(AB478*(IF(O478="EUR",W478,(W478*'Master Data-C19RM'!$D$2)))))</f>
        <v>0</v>
      </c>
      <c r="AD478" s="444">
        <f>IF($O478="USD",_xlfn.IFNA(VLOOKUP($A478&amp;$E478&amp;$I478,PMsheet!$J:$K,2,0),0),(_xlfn.IFNA(VLOOKUP($A478&amp;$E478&amp;$I478,PMsheet!$J:$K,2,0),0)*'Master Data-C19RM'!$E$2))</f>
        <v>0</v>
      </c>
      <c r="AE478" s="441"/>
      <c r="AF478" s="441"/>
      <c r="AG478" s="441"/>
      <c r="AH478" s="441"/>
      <c r="AI478" s="512">
        <f t="shared" si="63"/>
        <v>0</v>
      </c>
      <c r="AJ478" s="513">
        <f>IF(SETUP!$E$7="USD",(AI478*(IF(O478="USD",AD478,(AD478/'Master Data-C19RM'!$E$2)))),(AI478*(IF(O478="EUR",AD478,(AD478*'Master Data-C19RM'!$E$2)))))</f>
        <v>0</v>
      </c>
      <c r="AK478" s="444">
        <f>IF($O478="USD",_xlfn.IFNA(VLOOKUP($A478&amp;$E478&amp;$I478,PMsheet!$J:$K,2,0),0),(_xlfn.IFNA(VLOOKUP($A478&amp;$E478&amp;$I478,PMsheet!$J:$K,2,0),0)*'Master Data-C19RM'!$F$2))</f>
        <v>0</v>
      </c>
      <c r="AL478" s="441"/>
      <c r="AM478" s="441"/>
      <c r="AN478" s="441"/>
      <c r="AO478" s="441"/>
      <c r="AP478" s="512">
        <f t="shared" si="66"/>
        <v>0</v>
      </c>
      <c r="AQ478" s="513">
        <f>IF(SETUP!$E$7="USD",(AP478*(IF(O478="USD",AK478,(AK478/'Master Data-C19RM'!$F$2)))),(AP478*(IF(O478="EUR",AK478,(AK478*'Master Data-C19RM'!$F$2)))))</f>
        <v>0</v>
      </c>
      <c r="AR478" s="924">
        <f>IF($O478="USD",_xlfn.IFNA(VLOOKUP($A478&amp;$E478&amp;$I478,PMsheet!$J:$K,2,0),0),(_xlfn.IFNA(VLOOKUP($A478&amp;$E478&amp;$I478,PMsheet!$J:$K,2,0),0)*'Master Data-C19RM'!$G$2))</f>
        <v>0</v>
      </c>
      <c r="AS478" s="572"/>
      <c r="AT478" s="572"/>
      <c r="AU478" s="572"/>
      <c r="AV478" s="572"/>
      <c r="AW478" s="512">
        <f t="shared" si="65"/>
        <v>0</v>
      </c>
      <c r="AX478" s="512">
        <f>IF(SETUP!$E$7="USD",(AW478*(IF(O478="USD",AR478,(AR478/'Master Data-C19RM'!$G$2)))),(AW478*(IF(O478="EUR",AR478,(AR478*'Master Data-C19RM'!$G$2)))))</f>
        <v>0</v>
      </c>
      <c r="AY478" s="845"/>
      <c r="AZ478" s="846"/>
      <c r="BA478" s="846"/>
      <c r="BB478" s="846"/>
      <c r="BC478" s="846"/>
      <c r="BD478" s="846"/>
      <c r="BE478" s="847"/>
      <c r="BF478" s="520">
        <f>'C19RM 2021-Lab &amp; Other HPS'!$U478+'C19RM 2021-Lab &amp; Other HPS'!$AB478+'C19RM 2021-Lab &amp; Other HPS'!$AP478+'C19RM 2021-Lab &amp; Other HPS'!$AI478+AW478+BD478</f>
        <v>0</v>
      </c>
      <c r="BG478" s="513">
        <f>'C19RM 2021-Lab &amp; Other HPS'!$V478+'C19RM 2021-Lab &amp; Other HPS'!$AC478+'C19RM 2021-Lab &amp; Other HPS'!$AQ478+'C19RM 2021-Lab &amp; Other HPS'!$AJ478+AX478+BE478</f>
        <v>0</v>
      </c>
      <c r="BH478" s="500" t="str" cm="1">
        <f t="array" ref="BH478">IF(A478&lt;&gt;"",IFERROR(INDEX(PMtbl[[WKst]:[Unit of measure*]],MATCH($A$437&amp;$A478&amp;$E478&amp;$I478,INDEX(PMtbl[Sec]&amp;PMtbl[Category]&amp;PMtbl[Each]&amp;PMtbl[Packaging],0,),0),11),""),"")</f>
        <v/>
      </c>
      <c r="BI478" s="819"/>
      <c r="BJ478" s="502" t="str" cm="1">
        <f t="array" ref="BJ478">IFERROR(INDEX(SETUP!$C$19:$G$121,MATCH((INDEX(PMtbl[[WKst]:[Unit of measure*]],MATCH($A478&amp;$E478&amp;$I478,INDEX(PMtbl[Category]&amp;PMtbl[Each]&amp;PMtbl[Packaging],0,),0),3)),SETUP!$D$19:$D$121,0),5),"")</f>
        <v/>
      </c>
      <c r="BK478" s="536" t="str" cm="1">
        <f t="array" ref="BK478">IFERROR(IF((INDEX(SETUP!$C$19:$G$121,MATCH((INDEX(PMtbl[[WKst]:[Unit of measure*]],MATCH($A478&amp;$E478&amp;$I478,INDEX(PMtbl[Category]&amp;PMtbl[Each]&amp;PMtbl[Packaging],0,),0),3)),SETUP!$D$19:$D$121,0),4))="Upfront",0,INDEX(SETUP!$C$19:$G$121,MATCH((INDEX(PMtbl[[WKst]:[Unit of measure*]],MATCH($A478&amp;$E478&amp;$I478,INDEX(PMtbl[Category]&amp;PMtbl[Each]&amp;PMtbl[Packaging],0,),0),3)),SETUP!$D$19:$D$121,0),5)),"")</f>
        <v/>
      </c>
      <c r="BL478" s="577" t="str" cm="1">
        <f t="array" ref="BL478">IF(E478&lt;&gt;"",IFERROR(INDEX(PMtbl[[WKst]:[Unit of measure*]],MATCH($A$437&amp;$A478&amp;$E478&amp;$I478,INDEX(PMtbl[Sec]&amp;PMtbl[Category]&amp;PMtbl[Each]&amp;PMtbl[Packaging],0,),0),11),""),"")</f>
        <v/>
      </c>
      <c r="BO478" s="12">
        <f>IF(N478="",0,IF(SETUP!$E$7="USD",((IF(O478="USD",P478,(P478/'Master Data-C19RM'!$C$2)))),((IF(O478="EUR",P478,(P478*'Master Data-C19RM'!$C$2))))))</f>
        <v>0</v>
      </c>
      <c r="BP478" s="12">
        <f>IF(N478="",0,IF(SETUP!$E$7="USD",((IF(O478="USD",W478,(W478/'Master Data-C19RM'!$D$2)))),((IF(O478="EUR",W478,(W478*'Master Data-C19RM'!$D$2))))))</f>
        <v>0</v>
      </c>
      <c r="BQ478">
        <f>IF(N478="",0,IF(SETUP!$E$7="USD",((IF(O478="USD",AD478,(AD478/'Master Data-C19RM'!$E$2)))),((IF(O478="EUR",AD478,(AD478*'Master Data-C19RM'!$E$2))))))</f>
        <v>0</v>
      </c>
      <c r="BR478">
        <f>IF(N478="",0,IF(SETUP!$E$7="USD",((IF(O478="USD",AK478,(AK478/'Master Data-C19RM'!$F$2)))),((IF(O478="EUR",AK478,(AK478*'Master Data-C19RM'!$F$2))))))</f>
        <v>0</v>
      </c>
      <c r="BS478">
        <f>IF(N478="",0,IF(SETUP!$E$7="USD",((IF(O478="USD",AR478,(AR478/'Master Data-C19RM'!$G$2)))),((IF(O478="EUR",AR478,(AR478*'Master Data-C19RM'!$G$2))))))</f>
        <v>0</v>
      </c>
      <c r="BT478">
        <f>IF(N478="",0,IF(SETUP!$E$7="USD",((IF(O478="USD",AY478,(AY478/'Master Data-C19RM'!$H$2)))),((IF(O478="EUR",AY478,(AY478*'Master Data-C19RM'!$H$2))))))</f>
        <v>0</v>
      </c>
      <c r="BU478" s="12">
        <f t="shared" si="59"/>
        <v>0</v>
      </c>
      <c r="BV478" s="142">
        <f t="shared" si="60"/>
        <v>0</v>
      </c>
    </row>
    <row r="479" spans="1:74" x14ac:dyDescent="0.35">
      <c r="A479" s="1192"/>
      <c r="B479" s="1192"/>
      <c r="C479" s="1192"/>
      <c r="D479" s="1192"/>
      <c r="E479" s="1173"/>
      <c r="F479" s="1173"/>
      <c r="G479" s="1173"/>
      <c r="H479" s="1173"/>
      <c r="I479" s="1173"/>
      <c r="J479" s="1173"/>
      <c r="K479" s="1173"/>
      <c r="L479" s="493" t="str" cm="1">
        <f t="array" ref="L479">IF(A479&lt;&gt;"",IFERROR(INDEX(PMtbl[[WKst]:[Unit of measure*]],MATCH($A$437&amp;$A479&amp;$E479&amp;$I479,INDEX(PMtbl[Sec]&amp;PMtbl[Category]&amp;PMtbl[Each]&amp;PMtbl[Packaging],0,),0),14),""),"")</f>
        <v/>
      </c>
      <c r="M479" s="480" t="str">
        <f>IF(L479="","",INDEX(SETUP!$E$20:$E$122,(MATCH(INDEX(PMsheet!$D:$E,MATCH(A479,PMsheet!E:E,0),1),SETUP!$D$20:$D$122,0))))</f>
        <v/>
      </c>
      <c r="N479" s="494">
        <f>IF($O479="USD",_xlfn.IFNA(VLOOKUP(A479&amp;E479&amp;I479,PMsheet!J:K,2,0),0),(_xlfn.IFNA(VLOOKUP(A479&amp;E479&amp;I479,PMsheet!J:K,2,0),0)*'Master Data-C19RM'!$C$2))</f>
        <v>0</v>
      </c>
      <c r="O479" s="495" t="str">
        <f>IF(L479="", "",SETUP!$E$7)</f>
        <v/>
      </c>
      <c r="P479" s="445">
        <f>IF($O479="USD",_xlfn.IFNA(VLOOKUP($A479&amp;$E479&amp;$I479,PMsheet!$J:$K,2,0),0),(_xlfn.IFNA(VLOOKUP($A479&amp;$E479&amp;$I479,PMsheet!$J:$K,2,0),0)*'Master Data-C19RM'!$C$2))</f>
        <v>0</v>
      </c>
      <c r="Q479" s="440"/>
      <c r="R479" s="440"/>
      <c r="S479" s="440"/>
      <c r="T479" s="440"/>
      <c r="U479" s="482">
        <f t="shared" si="61"/>
        <v>0</v>
      </c>
      <c r="V479" s="484">
        <f>IF(SETUP!$E$7="USD",(U479*(IF(O479="USD",P479,(P479/'Master Data-C19RM'!$C$2)))),(U479*(IF(O479="EUR",P479,(P479*'Master Data-C19RM'!$C$2)))))</f>
        <v>0</v>
      </c>
      <c r="W479" s="445">
        <f>IF($O479="USD",_xlfn.IFNA(VLOOKUP($A479&amp;$E479&amp;$I479,PMsheet!$J:$K,2,0),0),(_xlfn.IFNA(VLOOKUP($A479&amp;$E479&amp;$I479,PMsheet!$J:$K,2,0),0)*'Master Data-C19RM'!$D$2))</f>
        <v>0</v>
      </c>
      <c r="X479" s="440"/>
      <c r="Y479" s="440"/>
      <c r="Z479" s="440"/>
      <c r="AA479" s="440"/>
      <c r="AB479" s="482">
        <f t="shared" si="62"/>
        <v>0</v>
      </c>
      <c r="AC479" s="484">
        <f>IF(SETUP!$E$7="USD",(AB479*(IF(O479="USD",W479,(W479/'Master Data-C19RM'!$D$2)))),(AB479*(IF(O479="EUR",W479,(W479*'Master Data-C19RM'!$D$2)))))</f>
        <v>0</v>
      </c>
      <c r="AD479" s="445">
        <f>IF($O479="USD",_xlfn.IFNA(VLOOKUP($A479&amp;$E479&amp;$I479,PMsheet!$J:$K,2,0),0),(_xlfn.IFNA(VLOOKUP($A479&amp;$E479&amp;$I479,PMsheet!$J:$K,2,0),0)*'Master Data-C19RM'!$E$2))</f>
        <v>0</v>
      </c>
      <c r="AE479" s="440"/>
      <c r="AF479" s="440"/>
      <c r="AG479" s="440"/>
      <c r="AH479" s="440"/>
      <c r="AI479" s="514">
        <f t="shared" si="63"/>
        <v>0</v>
      </c>
      <c r="AJ479" s="515">
        <f>IF(SETUP!$E$7="USD",(AI479*(IF(O479="USD",AD479,(AD479/'Master Data-C19RM'!$E$2)))),(AI479*(IF(O479="EUR",AD479,(AD479*'Master Data-C19RM'!$E$2)))))</f>
        <v>0</v>
      </c>
      <c r="AK479" s="445">
        <f>IF($O479="USD",_xlfn.IFNA(VLOOKUP($A479&amp;$E479&amp;$I479,PMsheet!$J:$K,2,0),0),(_xlfn.IFNA(VLOOKUP($A479&amp;$E479&amp;$I479,PMsheet!$J:$K,2,0),0)*'Master Data-C19RM'!$F$2))</f>
        <v>0</v>
      </c>
      <c r="AL479" s="440"/>
      <c r="AM479" s="440"/>
      <c r="AN479" s="440"/>
      <c r="AO479" s="440"/>
      <c r="AP479" s="514">
        <f t="shared" si="66"/>
        <v>0</v>
      </c>
      <c r="AQ479" s="515">
        <f>IF(SETUP!$E$7="USD",(AP479*(IF(O479="USD",AK479,(AK479/'Master Data-C19RM'!$F$2)))),(AP479*(IF(O479="EUR",AK479,(AK479*'Master Data-C19RM'!$F$2)))))</f>
        <v>0</v>
      </c>
      <c r="AR479" s="925">
        <f>IF($O479="USD",_xlfn.IFNA(VLOOKUP($A479&amp;$E479&amp;$I479,PMsheet!$J:$K,2,0),0),(_xlfn.IFNA(VLOOKUP($A479&amp;$E479&amp;$I479,PMsheet!$J:$K,2,0),0)*'Master Data-C19RM'!$G$2))</f>
        <v>0</v>
      </c>
      <c r="AS479" s="926"/>
      <c r="AT479" s="926"/>
      <c r="AU479" s="926"/>
      <c r="AV479" s="926"/>
      <c r="AW479" s="514">
        <f t="shared" si="65"/>
        <v>0</v>
      </c>
      <c r="AX479" s="514">
        <f>IF(SETUP!$E$7="USD",(AW479*(IF(O479="USD",AR479,(AR479/'Master Data-C19RM'!$G$2)))),(AW479*(IF(O479="EUR",AR479,(AR479*'Master Data-C19RM'!$G$2)))))</f>
        <v>0</v>
      </c>
      <c r="AY479" s="845"/>
      <c r="AZ479" s="846"/>
      <c r="BA479" s="846"/>
      <c r="BB479" s="846"/>
      <c r="BC479" s="846"/>
      <c r="BD479" s="846"/>
      <c r="BE479" s="847"/>
      <c r="BF479" s="521">
        <f>'C19RM 2021-Lab &amp; Other HPS'!$U479+'C19RM 2021-Lab &amp; Other HPS'!$AB479+'C19RM 2021-Lab &amp; Other HPS'!$AP479+'C19RM 2021-Lab &amp; Other HPS'!$AI479+AW479+BD479</f>
        <v>0</v>
      </c>
      <c r="BG479" s="515">
        <f>'C19RM 2021-Lab &amp; Other HPS'!$V479+'C19RM 2021-Lab &amp; Other HPS'!$AC479+'C19RM 2021-Lab &amp; Other HPS'!$AQ479+'C19RM 2021-Lab &amp; Other HPS'!$AJ479+AX479+BE479</f>
        <v>0</v>
      </c>
      <c r="BH479" s="522" t="str" cm="1">
        <f t="array" ref="BH479">IF(A479&lt;&gt;"",IFERROR(INDEX(PMtbl[[WKst]:[Unit of measure*]],MATCH($A$437&amp;$A479&amp;$E479&amp;$I479,INDEX(PMtbl[Sec]&amp;PMtbl[Category]&amp;PMtbl[Each]&amp;PMtbl[Packaging],0,),0),11),""),"")</f>
        <v/>
      </c>
      <c r="BI479" s="818"/>
      <c r="BJ479" s="503" t="str" cm="1">
        <f t="array" ref="BJ479">IFERROR(INDEX(SETUP!$C$19:$G$121,MATCH((INDEX(PMtbl[[WKst]:[Unit of measure*]],MATCH($A479&amp;$E479&amp;$I479,INDEX(PMtbl[Category]&amp;PMtbl[Each]&amp;PMtbl[Packaging],0,),0),3)),SETUP!$D$19:$D$121,0),5),"")</f>
        <v/>
      </c>
      <c r="BK479" s="537" t="str" cm="1">
        <f t="array" ref="BK479">IFERROR(IF((INDEX(SETUP!$C$19:$G$121,MATCH((INDEX(PMtbl[[WKst]:[Unit of measure*]],MATCH($A479&amp;$E479&amp;$I479,INDEX(PMtbl[Category]&amp;PMtbl[Each]&amp;PMtbl[Packaging],0,),0),3)),SETUP!$D$19:$D$121,0),4))="Upfront",0,INDEX(SETUP!$C$19:$G$121,MATCH((INDEX(PMtbl[[WKst]:[Unit of measure*]],MATCH($A479&amp;$E479&amp;$I479,INDEX(PMtbl[Category]&amp;PMtbl[Each]&amp;PMtbl[Packaging],0,),0),3)),SETUP!$D$19:$D$121,0),5)),"")</f>
        <v/>
      </c>
      <c r="BL479" s="578" t="str" cm="1">
        <f t="array" ref="BL479">IF(E479&lt;&gt;"",IFERROR(INDEX(PMtbl[[WKst]:[Unit of measure*]],MATCH($A$437&amp;$A479&amp;$E479&amp;$I479,INDEX(PMtbl[Sec]&amp;PMtbl[Category]&amp;PMtbl[Each]&amp;PMtbl[Packaging],0,),0),11),""),"")</f>
        <v/>
      </c>
      <c r="BO479" s="12">
        <f>IF(N479="",0,IF(SETUP!$E$7="USD",((IF(O479="USD",P479,(P479/'Master Data-C19RM'!$C$2)))),((IF(O479="EUR",P479,(P479*'Master Data-C19RM'!$C$2))))))</f>
        <v>0</v>
      </c>
      <c r="BP479" s="12">
        <f>IF(N479="",0,IF(SETUP!$E$7="USD",((IF(O479="USD",W479,(W479/'Master Data-C19RM'!$D$2)))),((IF(O479="EUR",W479,(W479*'Master Data-C19RM'!$D$2))))))</f>
        <v>0</v>
      </c>
      <c r="BQ479">
        <f>IF(N479="",0,IF(SETUP!$E$7="USD",((IF(O479="USD",AD479,(AD479/'Master Data-C19RM'!$E$2)))),((IF(O479="EUR",AD479,(AD479*'Master Data-C19RM'!$E$2))))))</f>
        <v>0</v>
      </c>
      <c r="BR479">
        <f>IF(N479="",0,IF(SETUP!$E$7="USD",((IF(O479="USD",AK479,(AK479/'Master Data-C19RM'!$F$2)))),((IF(O479="EUR",AK479,(AK479*'Master Data-C19RM'!$F$2))))))</f>
        <v>0</v>
      </c>
      <c r="BS479">
        <f>IF(N479="",0,IF(SETUP!$E$7="USD",((IF(O479="USD",AR479,(AR479/'Master Data-C19RM'!$G$2)))),((IF(O479="EUR",AR479,(AR479*'Master Data-C19RM'!$G$2))))))</f>
        <v>0</v>
      </c>
      <c r="BT479">
        <f>IF(N479="",0,IF(SETUP!$E$7="USD",((IF(O479="USD",AY479,(AY479/'Master Data-C19RM'!$H$2)))),((IF(O479="EUR",AY479,(AY479*'Master Data-C19RM'!$H$2))))))</f>
        <v>0</v>
      </c>
      <c r="BU479" s="12">
        <f t="shared" si="59"/>
        <v>0</v>
      </c>
      <c r="BV479" s="142">
        <f t="shared" si="60"/>
        <v>0</v>
      </c>
    </row>
    <row r="480" spans="1:74" x14ac:dyDescent="0.35">
      <c r="A480" s="1165"/>
      <c r="B480" s="1165"/>
      <c r="C480" s="1165"/>
      <c r="D480" s="1165"/>
      <c r="E480" s="1166"/>
      <c r="F480" s="1166"/>
      <c r="G480" s="1166"/>
      <c r="H480" s="1166"/>
      <c r="I480" s="1166"/>
      <c r="J480" s="1166"/>
      <c r="K480" s="1166"/>
      <c r="L480" s="490" t="str" cm="1">
        <f t="array" ref="L480">IF(A480&lt;&gt;"",IFERROR(INDEX(PMtbl[[WKst]:[Unit of measure*]],MATCH($A$437&amp;$A480&amp;$E480&amp;$I480,INDEX(PMtbl[Sec]&amp;PMtbl[Category]&amp;PMtbl[Each]&amp;PMtbl[Packaging],0,),0),14),""),"")</f>
        <v/>
      </c>
      <c r="M480" s="479" t="str">
        <f>IF(L480="","",INDEX(SETUP!$E$20:$E$122,(MATCH(INDEX(PMsheet!$D:$E,MATCH(A480,PMsheet!E:E,0),1),SETUP!$D$20:$D$122,0))))</f>
        <v/>
      </c>
      <c r="N480" s="491">
        <f>IF($O480="USD",_xlfn.IFNA(VLOOKUP(A480&amp;E480&amp;I480,PMsheet!J:K,2,0),0),(_xlfn.IFNA(VLOOKUP(A480&amp;E480&amp;I480,PMsheet!J:K,2,0),0)*'Master Data-C19RM'!$C$2))</f>
        <v>0</v>
      </c>
      <c r="O480" s="492" t="str">
        <f>IF(L480="", "",SETUP!$E$7)</f>
        <v/>
      </c>
      <c r="P480" s="444">
        <f>IF($O480="USD",_xlfn.IFNA(VLOOKUP($A480&amp;$E480&amp;$I480,PMsheet!$J:$K,2,0),0),(_xlfn.IFNA(VLOOKUP($A480&amp;$E480&amp;$I480,PMsheet!$J:$K,2,0),0)*'Master Data-C19RM'!$C$2))</f>
        <v>0</v>
      </c>
      <c r="Q480" s="441"/>
      <c r="R480" s="441"/>
      <c r="S480" s="441"/>
      <c r="T480" s="441"/>
      <c r="U480" s="481">
        <f t="shared" si="61"/>
        <v>0</v>
      </c>
      <c r="V480" s="483">
        <f>IF(SETUP!$E$7="USD",(U480*(IF(O480="USD",P480,(P480/'Master Data-C19RM'!$C$2)))),(U480*(IF(O480="EUR",P480,(P480*'Master Data-C19RM'!$C$2)))))</f>
        <v>0</v>
      </c>
      <c r="W480" s="444">
        <f>IF($O480="USD",_xlfn.IFNA(VLOOKUP($A480&amp;$E480&amp;$I480,PMsheet!$J:$K,2,0),0),(_xlfn.IFNA(VLOOKUP($A480&amp;$E480&amp;$I480,PMsheet!$J:$K,2,0),0)*'Master Data-C19RM'!$D$2))</f>
        <v>0</v>
      </c>
      <c r="X480" s="441"/>
      <c r="Y480" s="441"/>
      <c r="Z480" s="441"/>
      <c r="AA480" s="441"/>
      <c r="AB480" s="481">
        <f t="shared" si="62"/>
        <v>0</v>
      </c>
      <c r="AC480" s="483">
        <f>IF(SETUP!$E$7="USD",(AB480*(IF(O480="USD",W480,(W480/'Master Data-C19RM'!$D$2)))),(AB480*(IF(O480="EUR",W480,(W480*'Master Data-C19RM'!$D$2)))))</f>
        <v>0</v>
      </c>
      <c r="AD480" s="444">
        <f>IF($O480="USD",_xlfn.IFNA(VLOOKUP($A480&amp;$E480&amp;$I480,PMsheet!$J:$K,2,0),0),(_xlfn.IFNA(VLOOKUP($A480&amp;$E480&amp;$I480,PMsheet!$J:$K,2,0),0)*'Master Data-C19RM'!$E$2))</f>
        <v>0</v>
      </c>
      <c r="AE480" s="441"/>
      <c r="AF480" s="441"/>
      <c r="AG480" s="441"/>
      <c r="AH480" s="441"/>
      <c r="AI480" s="512">
        <f t="shared" si="63"/>
        <v>0</v>
      </c>
      <c r="AJ480" s="513">
        <f>IF(SETUP!$E$7="USD",(AI480*(IF(O480="USD",AD480,(AD480/'Master Data-C19RM'!$E$2)))),(AI480*(IF(O480="EUR",AD480,(AD480*'Master Data-C19RM'!$E$2)))))</f>
        <v>0</v>
      </c>
      <c r="AK480" s="444">
        <f>IF($O480="USD",_xlfn.IFNA(VLOOKUP($A480&amp;$E480&amp;$I480,PMsheet!$J:$K,2,0),0),(_xlfn.IFNA(VLOOKUP($A480&amp;$E480&amp;$I480,PMsheet!$J:$K,2,0),0)*'Master Data-C19RM'!$F$2))</f>
        <v>0</v>
      </c>
      <c r="AL480" s="441"/>
      <c r="AM480" s="441"/>
      <c r="AN480" s="441"/>
      <c r="AO480" s="441"/>
      <c r="AP480" s="512">
        <f t="shared" si="66"/>
        <v>0</v>
      </c>
      <c r="AQ480" s="513">
        <f>IF(SETUP!$E$7="USD",(AP480*(IF(O480="USD",AK480,(AK480/'Master Data-C19RM'!$F$2)))),(AP480*(IF(O480="EUR",AK480,(AK480*'Master Data-C19RM'!$F$2)))))</f>
        <v>0</v>
      </c>
      <c r="AR480" s="924">
        <f>IF($O480="USD",_xlfn.IFNA(VLOOKUP($A480&amp;$E480&amp;$I480,PMsheet!$J:$K,2,0),0),(_xlfn.IFNA(VLOOKUP($A480&amp;$E480&amp;$I480,PMsheet!$J:$K,2,0),0)*'Master Data-C19RM'!$G$2))</f>
        <v>0</v>
      </c>
      <c r="AS480" s="572"/>
      <c r="AT480" s="572"/>
      <c r="AU480" s="572"/>
      <c r="AV480" s="572"/>
      <c r="AW480" s="512">
        <f t="shared" si="65"/>
        <v>0</v>
      </c>
      <c r="AX480" s="512">
        <f>IF(SETUP!$E$7="USD",(AW480*(IF(O480="USD",AR480,(AR480/'Master Data-C19RM'!$G$2)))),(AW480*(IF(O480="EUR",AR480,(AR480*'Master Data-C19RM'!$G$2)))))</f>
        <v>0</v>
      </c>
      <c r="AY480" s="845"/>
      <c r="AZ480" s="846"/>
      <c r="BA480" s="846"/>
      <c r="BB480" s="846"/>
      <c r="BC480" s="846"/>
      <c r="BD480" s="846"/>
      <c r="BE480" s="847"/>
      <c r="BF480" s="520">
        <f>'C19RM 2021-Lab &amp; Other HPS'!$U480+'C19RM 2021-Lab &amp; Other HPS'!$AB480+'C19RM 2021-Lab &amp; Other HPS'!$AP480+'C19RM 2021-Lab &amp; Other HPS'!$AI480+AW480+BD480</f>
        <v>0</v>
      </c>
      <c r="BG480" s="513">
        <f>'C19RM 2021-Lab &amp; Other HPS'!$V480+'C19RM 2021-Lab &amp; Other HPS'!$AC480+'C19RM 2021-Lab &amp; Other HPS'!$AQ480+'C19RM 2021-Lab &amp; Other HPS'!$AJ480+AX480+BE480</f>
        <v>0</v>
      </c>
      <c r="BH480" s="500" t="str" cm="1">
        <f t="array" ref="BH480">IF(A480&lt;&gt;"",IFERROR(INDEX(PMtbl[[WKst]:[Unit of measure*]],MATCH($A$437&amp;$A480&amp;$E480&amp;$I480,INDEX(PMtbl[Sec]&amp;PMtbl[Category]&amp;PMtbl[Each]&amp;PMtbl[Packaging],0,),0),11),""),"")</f>
        <v/>
      </c>
      <c r="BI480" s="819"/>
      <c r="BJ480" s="502" t="str" cm="1">
        <f t="array" ref="BJ480">IFERROR(INDEX(SETUP!$C$19:$G$121,MATCH((INDEX(PMtbl[[WKst]:[Unit of measure*]],MATCH($A480&amp;$E480&amp;$I480,INDEX(PMtbl[Category]&amp;PMtbl[Each]&amp;PMtbl[Packaging],0,),0),3)),SETUP!$D$19:$D$121,0),5),"")</f>
        <v/>
      </c>
      <c r="BK480" s="536" t="str" cm="1">
        <f t="array" ref="BK480">IFERROR(IF((INDEX(SETUP!$C$19:$G$121,MATCH((INDEX(PMtbl[[WKst]:[Unit of measure*]],MATCH($A480&amp;$E480&amp;$I480,INDEX(PMtbl[Category]&amp;PMtbl[Each]&amp;PMtbl[Packaging],0,),0),3)),SETUP!$D$19:$D$121,0),4))="Upfront",0,INDEX(SETUP!$C$19:$G$121,MATCH((INDEX(PMtbl[[WKst]:[Unit of measure*]],MATCH($A480&amp;$E480&amp;$I480,INDEX(PMtbl[Category]&amp;PMtbl[Each]&amp;PMtbl[Packaging],0,),0),3)),SETUP!$D$19:$D$121,0),5)),"")</f>
        <v/>
      </c>
      <c r="BL480" s="577" t="str" cm="1">
        <f t="array" ref="BL480">IF(E480&lt;&gt;"",IFERROR(INDEX(PMtbl[[WKst]:[Unit of measure*]],MATCH($A$437&amp;$A480&amp;$E480&amp;$I480,INDEX(PMtbl[Sec]&amp;PMtbl[Category]&amp;PMtbl[Each]&amp;PMtbl[Packaging],0,),0),11),""),"")</f>
        <v/>
      </c>
      <c r="BO480" s="12">
        <f>IF(N480="",0,IF(SETUP!$E$7="USD",((IF(O480="USD",P480,(P480/'Master Data-C19RM'!$C$2)))),((IF(O480="EUR",P480,(P480*'Master Data-C19RM'!$C$2))))))</f>
        <v>0</v>
      </c>
      <c r="BP480" s="12">
        <f>IF(N480="",0,IF(SETUP!$E$7="USD",((IF(O480="USD",W480,(W480/'Master Data-C19RM'!$D$2)))),((IF(O480="EUR",W480,(W480*'Master Data-C19RM'!$D$2))))))</f>
        <v>0</v>
      </c>
      <c r="BQ480">
        <f>IF(N480="",0,IF(SETUP!$E$7="USD",((IF(O480="USD",AD480,(AD480/'Master Data-C19RM'!$E$2)))),((IF(O480="EUR",AD480,(AD480*'Master Data-C19RM'!$E$2))))))</f>
        <v>0</v>
      </c>
      <c r="BR480">
        <f>IF(N480="",0,IF(SETUP!$E$7="USD",((IF(O480="USD",AK480,(AK480/'Master Data-C19RM'!$F$2)))),((IF(O480="EUR",AK480,(AK480*'Master Data-C19RM'!$F$2))))))</f>
        <v>0</v>
      </c>
      <c r="BS480">
        <f>IF(N480="",0,IF(SETUP!$E$7="USD",((IF(O480="USD",AR480,(AR480/'Master Data-C19RM'!$G$2)))),((IF(O480="EUR",AR480,(AR480*'Master Data-C19RM'!$G$2))))))</f>
        <v>0</v>
      </c>
      <c r="BT480">
        <f>IF(N480="",0,IF(SETUP!$E$7="USD",((IF(O480="USD",AY480,(AY480/'Master Data-C19RM'!$H$2)))),((IF(O480="EUR",AY480,(AY480*'Master Data-C19RM'!$H$2))))))</f>
        <v>0</v>
      </c>
      <c r="BU480" s="12">
        <f t="shared" si="59"/>
        <v>0</v>
      </c>
      <c r="BV480" s="142">
        <f t="shared" si="60"/>
        <v>0</v>
      </c>
    </row>
    <row r="481" spans="1:94" x14ac:dyDescent="0.35">
      <c r="A481" s="1192"/>
      <c r="B481" s="1192"/>
      <c r="C481" s="1192"/>
      <c r="D481" s="1192"/>
      <c r="E481" s="1173"/>
      <c r="F481" s="1173"/>
      <c r="G481" s="1173"/>
      <c r="H481" s="1173"/>
      <c r="I481" s="1173"/>
      <c r="J481" s="1173"/>
      <c r="K481" s="1173"/>
      <c r="L481" s="493" t="str" cm="1">
        <f t="array" ref="L481">IF(A481&lt;&gt;"",IFERROR(INDEX(PMtbl[[WKst]:[Unit of measure*]],MATCH($A$437&amp;$A481&amp;$E481&amp;$I481,INDEX(PMtbl[Sec]&amp;PMtbl[Category]&amp;PMtbl[Each]&amp;PMtbl[Packaging],0,),0),14),""),"")</f>
        <v/>
      </c>
      <c r="M481" s="480" t="str">
        <f>IF(L481="","",INDEX(SETUP!$E$20:$E$122,(MATCH(INDEX(PMsheet!$D:$E,MATCH(A481,PMsheet!E:E,0),1),SETUP!$D$20:$D$122,0))))</f>
        <v/>
      </c>
      <c r="N481" s="494">
        <f>IF($O481="USD",_xlfn.IFNA(VLOOKUP(A481&amp;E481&amp;I481,PMsheet!J:K,2,0),0),(_xlfn.IFNA(VLOOKUP(A481&amp;E481&amp;I481,PMsheet!J:K,2,0),0)*'Master Data-C19RM'!$C$2))</f>
        <v>0</v>
      </c>
      <c r="O481" s="495" t="str">
        <f>IF(L481="", "",SETUP!$E$7)</f>
        <v/>
      </c>
      <c r="P481" s="445">
        <f>IF($O481="USD",_xlfn.IFNA(VLOOKUP($A481&amp;$E481&amp;$I481,PMsheet!$J:$K,2,0),0),(_xlfn.IFNA(VLOOKUP($A481&amp;$E481&amp;$I481,PMsheet!$J:$K,2,0),0)*'Master Data-C19RM'!$C$2))</f>
        <v>0</v>
      </c>
      <c r="Q481" s="440"/>
      <c r="R481" s="440"/>
      <c r="S481" s="440"/>
      <c r="T481" s="440"/>
      <c r="U481" s="482">
        <f t="shared" si="61"/>
        <v>0</v>
      </c>
      <c r="V481" s="484">
        <f>IF(SETUP!$E$7="USD",(U481*(IF(O481="USD",P481,(P481/'Master Data-C19RM'!$C$2)))),(U481*(IF(O481="EUR",P481,(P481*'Master Data-C19RM'!$C$2)))))</f>
        <v>0</v>
      </c>
      <c r="W481" s="445">
        <f>IF($O481="USD",_xlfn.IFNA(VLOOKUP($A481&amp;$E481&amp;$I481,PMsheet!$J:$K,2,0),0),(_xlfn.IFNA(VLOOKUP($A481&amp;$E481&amp;$I481,PMsheet!$J:$K,2,0),0)*'Master Data-C19RM'!$D$2))</f>
        <v>0</v>
      </c>
      <c r="X481" s="440"/>
      <c r="Y481" s="440"/>
      <c r="Z481" s="440"/>
      <c r="AA481" s="440"/>
      <c r="AB481" s="482">
        <f t="shared" si="62"/>
        <v>0</v>
      </c>
      <c r="AC481" s="484">
        <f>IF(SETUP!$E$7="USD",(AB481*(IF(O481="USD",W481,(W481/'Master Data-C19RM'!$D$2)))),(AB481*(IF(O481="EUR",W481,(W481*'Master Data-C19RM'!$D$2)))))</f>
        <v>0</v>
      </c>
      <c r="AD481" s="445">
        <f>IF($O481="USD",_xlfn.IFNA(VLOOKUP($A481&amp;$E481&amp;$I481,PMsheet!$J:$K,2,0),0),(_xlfn.IFNA(VLOOKUP($A481&amp;$E481&amp;$I481,PMsheet!$J:$K,2,0),0)*'Master Data-C19RM'!$E$2))</f>
        <v>0</v>
      </c>
      <c r="AE481" s="440"/>
      <c r="AF481" s="440"/>
      <c r="AG481" s="440"/>
      <c r="AH481" s="440"/>
      <c r="AI481" s="514">
        <f t="shared" si="63"/>
        <v>0</v>
      </c>
      <c r="AJ481" s="515">
        <f>IF(SETUP!$E$7="USD",(AI481*(IF(O481="USD",AD481,(AD481/'Master Data-C19RM'!$E$2)))),(AI481*(IF(O481="EUR",AD481,(AD481*'Master Data-C19RM'!$E$2)))))</f>
        <v>0</v>
      </c>
      <c r="AK481" s="445">
        <f>IF($O481="USD",_xlfn.IFNA(VLOOKUP($A481&amp;$E481&amp;$I481,PMsheet!$J:$K,2,0),0),(_xlfn.IFNA(VLOOKUP($A481&amp;$E481&amp;$I481,PMsheet!$J:$K,2,0),0)*'Master Data-C19RM'!$F$2))</f>
        <v>0</v>
      </c>
      <c r="AL481" s="440"/>
      <c r="AM481" s="440"/>
      <c r="AN481" s="440"/>
      <c r="AO481" s="440"/>
      <c r="AP481" s="514">
        <f t="shared" si="66"/>
        <v>0</v>
      </c>
      <c r="AQ481" s="515">
        <f>IF(SETUP!$E$7="USD",(AP481*(IF(O481="USD",AK481,(AK481/'Master Data-C19RM'!$F$2)))),(AP481*(IF(O481="EUR",AK481,(AK481*'Master Data-C19RM'!$F$2)))))</f>
        <v>0</v>
      </c>
      <c r="AR481" s="925">
        <f>IF($O481="USD",_xlfn.IFNA(VLOOKUP($A481&amp;$E481&amp;$I481,PMsheet!$J:$K,2,0),0),(_xlfn.IFNA(VLOOKUP($A481&amp;$E481&amp;$I481,PMsheet!$J:$K,2,0),0)*'Master Data-C19RM'!$G$2))</f>
        <v>0</v>
      </c>
      <c r="AS481" s="926"/>
      <c r="AT481" s="926"/>
      <c r="AU481" s="926"/>
      <c r="AV481" s="926"/>
      <c r="AW481" s="514">
        <f t="shared" si="65"/>
        <v>0</v>
      </c>
      <c r="AX481" s="514">
        <f>IF(SETUP!$E$7="USD",(AW481*(IF(O481="USD",AR481,(AR481/'Master Data-C19RM'!$G$2)))),(AW481*(IF(O481="EUR",AR481,(AR481*'Master Data-C19RM'!$G$2)))))</f>
        <v>0</v>
      </c>
      <c r="AY481" s="845"/>
      <c r="AZ481" s="846"/>
      <c r="BA481" s="846"/>
      <c r="BB481" s="846"/>
      <c r="BC481" s="846"/>
      <c r="BD481" s="846"/>
      <c r="BE481" s="847"/>
      <c r="BF481" s="521">
        <f>'C19RM 2021-Lab &amp; Other HPS'!$U481+'C19RM 2021-Lab &amp; Other HPS'!$AB481+'C19RM 2021-Lab &amp; Other HPS'!$AP481+'C19RM 2021-Lab &amp; Other HPS'!$AI481+AW481+BD481</f>
        <v>0</v>
      </c>
      <c r="BG481" s="515">
        <f>'C19RM 2021-Lab &amp; Other HPS'!$V481+'C19RM 2021-Lab &amp; Other HPS'!$AC481+'C19RM 2021-Lab &amp; Other HPS'!$AQ481+'C19RM 2021-Lab &amp; Other HPS'!$AJ481+AX481+BE481</f>
        <v>0</v>
      </c>
      <c r="BH481" s="522" t="str" cm="1">
        <f t="array" ref="BH481">IF(A481&lt;&gt;"",IFERROR(INDEX(PMtbl[[WKst]:[Unit of measure*]],MATCH($A$437&amp;$A481&amp;$E481&amp;$I481,INDEX(PMtbl[Sec]&amp;PMtbl[Category]&amp;PMtbl[Each]&amp;PMtbl[Packaging],0,),0),11),""),"")</f>
        <v/>
      </c>
      <c r="BI481" s="818"/>
      <c r="BJ481" s="503" t="str" cm="1">
        <f t="array" ref="BJ481">IFERROR(INDEX(SETUP!$C$19:$G$121,MATCH((INDEX(PMtbl[[WKst]:[Unit of measure*]],MATCH($A481&amp;$E481&amp;$I481,INDEX(PMtbl[Category]&amp;PMtbl[Each]&amp;PMtbl[Packaging],0,),0),3)),SETUP!$D$19:$D$121,0),5),"")</f>
        <v/>
      </c>
      <c r="BK481" s="537" t="str" cm="1">
        <f t="array" ref="BK481">IFERROR(IF((INDEX(SETUP!$C$19:$G$121,MATCH((INDEX(PMtbl[[WKst]:[Unit of measure*]],MATCH($A481&amp;$E481&amp;$I481,INDEX(PMtbl[Category]&amp;PMtbl[Each]&amp;PMtbl[Packaging],0,),0),3)),SETUP!$D$19:$D$121,0),4))="Upfront",0,INDEX(SETUP!$C$19:$G$121,MATCH((INDEX(PMtbl[[WKst]:[Unit of measure*]],MATCH($A481&amp;$E481&amp;$I481,INDEX(PMtbl[Category]&amp;PMtbl[Each]&amp;PMtbl[Packaging],0,),0),3)),SETUP!$D$19:$D$121,0),5)),"")</f>
        <v/>
      </c>
      <c r="BL481" s="578" t="str" cm="1">
        <f t="array" ref="BL481">IF(E481&lt;&gt;"",IFERROR(INDEX(PMtbl[[WKst]:[Unit of measure*]],MATCH($A$437&amp;$A481&amp;$E481&amp;$I481,INDEX(PMtbl[Sec]&amp;PMtbl[Category]&amp;PMtbl[Each]&amp;PMtbl[Packaging],0,),0),11),""),"")</f>
        <v/>
      </c>
      <c r="BO481" s="12">
        <f>IF(N481="",0,IF(SETUP!$E$7="USD",((IF(O481="USD",P481,(P481/'Master Data-C19RM'!$C$2)))),((IF(O481="EUR",P481,(P481*'Master Data-C19RM'!$C$2))))))</f>
        <v>0</v>
      </c>
      <c r="BP481" s="12">
        <f>IF(N481="",0,IF(SETUP!$E$7="USD",((IF(O481="USD",W481,(W481/'Master Data-C19RM'!$D$2)))),((IF(O481="EUR",W481,(W481*'Master Data-C19RM'!$D$2))))))</f>
        <v>0</v>
      </c>
      <c r="BQ481">
        <f>IF(N481="",0,IF(SETUP!$E$7="USD",((IF(O481="USD",AD481,(AD481/'Master Data-C19RM'!$E$2)))),((IF(O481="EUR",AD481,(AD481*'Master Data-C19RM'!$E$2))))))</f>
        <v>0</v>
      </c>
      <c r="BR481">
        <f>IF(N481="",0,IF(SETUP!$E$7="USD",((IF(O481="USD",AK481,(AK481/'Master Data-C19RM'!$F$2)))),((IF(O481="EUR",AK481,(AK481*'Master Data-C19RM'!$F$2))))))</f>
        <v>0</v>
      </c>
      <c r="BS481">
        <f>IF(N481="",0,IF(SETUP!$E$7="USD",((IF(O481="USD",AR481,(AR481/'Master Data-C19RM'!$G$2)))),((IF(O481="EUR",AR481,(AR481*'Master Data-C19RM'!$G$2))))))</f>
        <v>0</v>
      </c>
      <c r="BT481">
        <f>IF(N481="",0,IF(SETUP!$E$7="USD",((IF(O481="USD",AY481,(AY481/'Master Data-C19RM'!$H$2)))),((IF(O481="EUR",AY481,(AY481*'Master Data-C19RM'!$H$2))))))</f>
        <v>0</v>
      </c>
      <c r="BU481" s="12">
        <f t="shared" si="59"/>
        <v>0</v>
      </c>
      <c r="BV481" s="142">
        <f t="shared" si="60"/>
        <v>0</v>
      </c>
    </row>
    <row r="482" spans="1:94" x14ac:dyDescent="0.35">
      <c r="A482" s="1165"/>
      <c r="B482" s="1165"/>
      <c r="C482" s="1165"/>
      <c r="D482" s="1165"/>
      <c r="E482" s="1166"/>
      <c r="F482" s="1166"/>
      <c r="G482" s="1166"/>
      <c r="H482" s="1166"/>
      <c r="I482" s="1166"/>
      <c r="J482" s="1166"/>
      <c r="K482" s="1166"/>
      <c r="L482" s="490" t="str" cm="1">
        <f t="array" ref="L482">IF(A482&lt;&gt;"",IFERROR(INDEX(PMtbl[[WKst]:[Unit of measure*]],MATCH($A$437&amp;$A482&amp;$E482&amp;$I482,INDEX(PMtbl[Sec]&amp;PMtbl[Category]&amp;PMtbl[Each]&amp;PMtbl[Packaging],0,),0),14),""),"")</f>
        <v/>
      </c>
      <c r="M482" s="479" t="str">
        <f>IF(L482="","",INDEX(SETUP!$E$20:$E$122,(MATCH(INDEX(PMsheet!$D:$E,MATCH(A482,PMsheet!E:E,0),1),SETUP!$D$20:$D$122,0))))</f>
        <v/>
      </c>
      <c r="N482" s="491">
        <f>IF($O482="USD",_xlfn.IFNA(VLOOKUP(A482&amp;E482&amp;I482,PMsheet!J:K,2,0),0),(_xlfn.IFNA(VLOOKUP(A482&amp;E482&amp;I482,PMsheet!J:K,2,0),0)*'Master Data-C19RM'!$C$2))</f>
        <v>0</v>
      </c>
      <c r="O482" s="492" t="str">
        <f>IF(L482="", "",SETUP!$E$7)</f>
        <v/>
      </c>
      <c r="P482" s="444">
        <f>IF($O482="USD",_xlfn.IFNA(VLOOKUP($A482&amp;$E482&amp;$I482,PMsheet!$J:$K,2,0),0),(_xlfn.IFNA(VLOOKUP($A482&amp;$E482&amp;$I482,PMsheet!$J:$K,2,0),0)*'Master Data-C19RM'!$C$2))</f>
        <v>0</v>
      </c>
      <c r="Q482" s="441"/>
      <c r="R482" s="441"/>
      <c r="S482" s="441"/>
      <c r="T482" s="441"/>
      <c r="U482" s="481">
        <f t="shared" si="61"/>
        <v>0</v>
      </c>
      <c r="V482" s="483">
        <f>IF(SETUP!$E$7="USD",(U482*(IF(O482="USD",P482,(P482/'Master Data-C19RM'!$C$2)))),(U482*(IF(O482="EUR",P482,(P482*'Master Data-C19RM'!$C$2)))))</f>
        <v>0</v>
      </c>
      <c r="W482" s="444">
        <f>IF($O482="USD",_xlfn.IFNA(VLOOKUP($A482&amp;$E482&amp;$I482,PMsheet!$J:$K,2,0),0),(_xlfn.IFNA(VLOOKUP($A482&amp;$E482&amp;$I482,PMsheet!$J:$K,2,0),0)*'Master Data-C19RM'!$D$2))</f>
        <v>0</v>
      </c>
      <c r="X482" s="441"/>
      <c r="Y482" s="441"/>
      <c r="Z482" s="441"/>
      <c r="AA482" s="441"/>
      <c r="AB482" s="481">
        <f t="shared" si="62"/>
        <v>0</v>
      </c>
      <c r="AC482" s="483">
        <f>IF(SETUP!$E$7="USD",(AB482*(IF(O482="USD",W482,(W482/'Master Data-C19RM'!$D$2)))),(AB482*(IF(O482="EUR",W482,(W482*'Master Data-C19RM'!$D$2)))))</f>
        <v>0</v>
      </c>
      <c r="AD482" s="444">
        <f>IF($O482="USD",_xlfn.IFNA(VLOOKUP($A482&amp;$E482&amp;$I482,PMsheet!$J:$K,2,0),0),(_xlfn.IFNA(VLOOKUP($A482&amp;$E482&amp;$I482,PMsheet!$J:$K,2,0),0)*'Master Data-C19RM'!$E$2))</f>
        <v>0</v>
      </c>
      <c r="AE482" s="441"/>
      <c r="AF482" s="441"/>
      <c r="AG482" s="441"/>
      <c r="AH482" s="441"/>
      <c r="AI482" s="512">
        <f t="shared" si="63"/>
        <v>0</v>
      </c>
      <c r="AJ482" s="513">
        <f>IF(SETUP!$E$7="USD",(AI482*(IF(O482="USD",AD482,(AD482/'Master Data-C19RM'!$E$2)))),(AI482*(IF(O482="EUR",AD482,(AD482*'Master Data-C19RM'!$E$2)))))</f>
        <v>0</v>
      </c>
      <c r="AK482" s="444">
        <f>IF($O482="USD",_xlfn.IFNA(VLOOKUP($A482&amp;$E482&amp;$I482,PMsheet!$J:$K,2,0),0),(_xlfn.IFNA(VLOOKUP($A482&amp;$E482&amp;$I482,PMsheet!$J:$K,2,0),0)*'Master Data-C19RM'!$F$2))</f>
        <v>0</v>
      </c>
      <c r="AL482" s="441"/>
      <c r="AM482" s="441"/>
      <c r="AN482" s="441"/>
      <c r="AO482" s="441"/>
      <c r="AP482" s="512">
        <f t="shared" si="66"/>
        <v>0</v>
      </c>
      <c r="AQ482" s="513">
        <f>IF(SETUP!$E$7="USD",(AP482*(IF(O482="USD",AK482,(AK482/'Master Data-C19RM'!$F$2)))),(AP482*(IF(O482="EUR",AK482,(AK482*'Master Data-C19RM'!$F$2)))))</f>
        <v>0</v>
      </c>
      <c r="AR482" s="924">
        <f>IF($O482="USD",_xlfn.IFNA(VLOOKUP($A482&amp;$E482&amp;$I482,PMsheet!$J:$K,2,0),0),(_xlfn.IFNA(VLOOKUP($A482&amp;$E482&amp;$I482,PMsheet!$J:$K,2,0),0)*'Master Data-C19RM'!$G$2))</f>
        <v>0</v>
      </c>
      <c r="AS482" s="572"/>
      <c r="AT482" s="572"/>
      <c r="AU482" s="572"/>
      <c r="AV482" s="572"/>
      <c r="AW482" s="512">
        <f t="shared" si="65"/>
        <v>0</v>
      </c>
      <c r="AX482" s="512">
        <f>IF(SETUP!$E$7="USD",(AW482*(IF(O482="USD",AR482,(AR482/'Master Data-C19RM'!$G$2)))),(AW482*(IF(O482="EUR",AR482,(AR482*'Master Data-C19RM'!$G$2)))))</f>
        <v>0</v>
      </c>
      <c r="AY482" s="845"/>
      <c r="AZ482" s="846"/>
      <c r="BA482" s="846"/>
      <c r="BB482" s="846"/>
      <c r="BC482" s="846"/>
      <c r="BD482" s="846"/>
      <c r="BE482" s="847"/>
      <c r="BF482" s="520">
        <f>'C19RM 2021-Lab &amp; Other HPS'!$U482+'C19RM 2021-Lab &amp; Other HPS'!$AB482+'C19RM 2021-Lab &amp; Other HPS'!$AP482+'C19RM 2021-Lab &amp; Other HPS'!$AI482+AW482+BD482</f>
        <v>0</v>
      </c>
      <c r="BG482" s="513">
        <f>'C19RM 2021-Lab &amp; Other HPS'!$V482+'C19RM 2021-Lab &amp; Other HPS'!$AC482+'C19RM 2021-Lab &amp; Other HPS'!$AQ482+'C19RM 2021-Lab &amp; Other HPS'!$AJ482+AX482+BE482</f>
        <v>0</v>
      </c>
      <c r="BH482" s="500" t="str" cm="1">
        <f t="array" ref="BH482">IF(A482&lt;&gt;"",IFERROR(INDEX(PMtbl[[WKst]:[Unit of measure*]],MATCH($A$437&amp;$A482&amp;$E482&amp;$I482,INDEX(PMtbl[Sec]&amp;PMtbl[Category]&amp;PMtbl[Each]&amp;PMtbl[Packaging],0,),0),11),""),"")</f>
        <v/>
      </c>
      <c r="BI482" s="819"/>
      <c r="BJ482" s="502" t="str" cm="1">
        <f t="array" ref="BJ482">IFERROR(INDEX(SETUP!$C$19:$G$121,MATCH((INDEX(PMtbl[[WKst]:[Unit of measure*]],MATCH($A482&amp;$E482&amp;$I482,INDEX(PMtbl[Category]&amp;PMtbl[Each]&amp;PMtbl[Packaging],0,),0),3)),SETUP!$D$19:$D$121,0),5),"")</f>
        <v/>
      </c>
      <c r="BK482" s="536" t="str" cm="1">
        <f t="array" ref="BK482">IFERROR(IF((INDEX(SETUP!$C$19:$G$121,MATCH((INDEX(PMtbl[[WKst]:[Unit of measure*]],MATCH($A482&amp;$E482&amp;$I482,INDEX(PMtbl[Category]&amp;PMtbl[Each]&amp;PMtbl[Packaging],0,),0),3)),SETUP!$D$19:$D$121,0),4))="Upfront",0,INDEX(SETUP!$C$19:$G$121,MATCH((INDEX(PMtbl[[WKst]:[Unit of measure*]],MATCH($A482&amp;$E482&amp;$I482,INDEX(PMtbl[Category]&amp;PMtbl[Each]&amp;PMtbl[Packaging],0,),0),3)),SETUP!$D$19:$D$121,0),5)),"")</f>
        <v/>
      </c>
      <c r="BL482" s="577" t="str" cm="1">
        <f t="array" ref="BL482">IF(E482&lt;&gt;"",IFERROR(INDEX(PMtbl[[WKst]:[Unit of measure*]],MATCH($A$437&amp;$A482&amp;$E482&amp;$I482,INDEX(PMtbl[Sec]&amp;PMtbl[Category]&amp;PMtbl[Each]&amp;PMtbl[Packaging],0,),0),11),""),"")</f>
        <v/>
      </c>
      <c r="BO482" s="12">
        <f>IF(N482="",0,IF(SETUP!$E$7="USD",((IF(O482="USD",P482,(P482/'Master Data-C19RM'!$C$2)))),((IF(O482="EUR",P482,(P482*'Master Data-C19RM'!$C$2))))))</f>
        <v>0</v>
      </c>
      <c r="BP482" s="12">
        <f>IF(N482="",0,IF(SETUP!$E$7="USD",((IF(O482="USD",W482,(W482/'Master Data-C19RM'!$D$2)))),((IF(O482="EUR",W482,(W482*'Master Data-C19RM'!$D$2))))))</f>
        <v>0</v>
      </c>
      <c r="BQ482">
        <f>IF(N482="",0,IF(SETUP!$E$7="USD",((IF(O482="USD",AD482,(AD482/'Master Data-C19RM'!$E$2)))),((IF(O482="EUR",AD482,(AD482*'Master Data-C19RM'!$E$2))))))</f>
        <v>0</v>
      </c>
      <c r="BR482">
        <f>IF(N482="",0,IF(SETUP!$E$7="USD",((IF(O482="USD",AK482,(AK482/'Master Data-C19RM'!$F$2)))),((IF(O482="EUR",AK482,(AK482*'Master Data-C19RM'!$F$2))))))</f>
        <v>0</v>
      </c>
      <c r="BS482">
        <f>IF(N482="",0,IF(SETUP!$E$7="USD",((IF(O482="USD",AR482,(AR482/'Master Data-C19RM'!$G$2)))),((IF(O482="EUR",AR482,(AR482*'Master Data-C19RM'!$G$2))))))</f>
        <v>0</v>
      </c>
      <c r="BT482">
        <f>IF(N482="",0,IF(SETUP!$E$7="USD",((IF(O482="USD",AY482,(AY482/'Master Data-C19RM'!$H$2)))),((IF(O482="EUR",AY482,(AY482*'Master Data-C19RM'!$H$2))))))</f>
        <v>0</v>
      </c>
      <c r="BU482" s="12">
        <f t="shared" si="59"/>
        <v>0</v>
      </c>
      <c r="BV482" s="142">
        <f t="shared" si="60"/>
        <v>0</v>
      </c>
    </row>
    <row r="483" spans="1:94" x14ac:dyDescent="0.35">
      <c r="A483" s="1172"/>
      <c r="B483" s="1172"/>
      <c r="C483" s="1172"/>
      <c r="D483" s="1172"/>
      <c r="E483" s="1173"/>
      <c r="F483" s="1173"/>
      <c r="G483" s="1173"/>
      <c r="H483" s="1173"/>
      <c r="I483" s="1173"/>
      <c r="J483" s="1173"/>
      <c r="K483" s="1173"/>
      <c r="L483" s="493" t="str" cm="1">
        <f t="array" ref="L483">IF(A483&lt;&gt;"",IFERROR(INDEX(PMtbl[[WKst]:[Unit of measure*]],MATCH($A$437&amp;$A483&amp;$E483&amp;$I483,INDEX(PMtbl[Sec]&amp;PMtbl[Category]&amp;PMtbl[Each]&amp;PMtbl[Packaging],0,),0),14),""),"")</f>
        <v/>
      </c>
      <c r="M483" s="480" t="str">
        <f>IF(L483="","",INDEX(SETUP!$E$20:$E$122,(MATCH(INDEX(PMsheet!$D:$E,MATCH(A483,PMsheet!E:E,0),1),SETUP!$D$20:$D$122,0))))</f>
        <v/>
      </c>
      <c r="N483" s="494">
        <f>IF($O483="USD",_xlfn.IFNA(VLOOKUP(A483&amp;E483&amp;I483,PMsheet!J:K,2,0),0),(_xlfn.IFNA(VLOOKUP(A483&amp;E483&amp;I483,PMsheet!J:K,2,0),0)*'Master Data-C19RM'!$C$2))</f>
        <v>0</v>
      </c>
      <c r="O483" s="495" t="str">
        <f>IF(L483="", "",SETUP!$E$7)</f>
        <v/>
      </c>
      <c r="P483" s="445">
        <f>IF($O483="USD",_xlfn.IFNA(VLOOKUP($A483&amp;$E483&amp;$I483,PMsheet!$J:$K,2,0),0),(_xlfn.IFNA(VLOOKUP($A483&amp;$E483&amp;$I483,PMsheet!$J:$K,2,0),0)*'Master Data-C19RM'!$C$2))</f>
        <v>0</v>
      </c>
      <c r="Q483" s="440"/>
      <c r="R483" s="440"/>
      <c r="S483" s="440"/>
      <c r="T483" s="440"/>
      <c r="U483" s="482">
        <f t="shared" si="61"/>
        <v>0</v>
      </c>
      <c r="V483" s="484">
        <f>IF(SETUP!$E$7="USD",(U483*(IF(O483="USD",P483,(P483/'Master Data-C19RM'!$C$2)))),(U483*(IF(O483="EUR",P483,(P483*'Master Data-C19RM'!$C$2)))))</f>
        <v>0</v>
      </c>
      <c r="W483" s="445">
        <f>IF($O483="USD",_xlfn.IFNA(VLOOKUP($A483&amp;$E483&amp;$I483,PMsheet!$J:$K,2,0),0),(_xlfn.IFNA(VLOOKUP($A483&amp;$E483&amp;$I483,PMsheet!$J:$K,2,0),0)*'Master Data-C19RM'!$D$2))</f>
        <v>0</v>
      </c>
      <c r="X483" s="440"/>
      <c r="Y483" s="440"/>
      <c r="Z483" s="440"/>
      <c r="AA483" s="440"/>
      <c r="AB483" s="482">
        <f t="shared" si="62"/>
        <v>0</v>
      </c>
      <c r="AC483" s="484">
        <f>IF(SETUP!$E$7="USD",(AB483*(IF(O483="USD",W483,(W483/'Master Data-C19RM'!$D$2)))),(AB483*(IF(O483="EUR",W483,(W483*'Master Data-C19RM'!$D$2)))))</f>
        <v>0</v>
      </c>
      <c r="AD483" s="445">
        <f>IF($O483="USD",_xlfn.IFNA(VLOOKUP($A483&amp;$E483&amp;$I483,PMsheet!$J:$K,2,0),0),(_xlfn.IFNA(VLOOKUP($A483&amp;$E483&amp;$I483,PMsheet!$J:$K,2,0),0)*'Master Data-C19RM'!$E$2))</f>
        <v>0</v>
      </c>
      <c r="AE483" s="440"/>
      <c r="AF483" s="440"/>
      <c r="AG483" s="440"/>
      <c r="AH483" s="440"/>
      <c r="AI483" s="514">
        <f t="shared" si="63"/>
        <v>0</v>
      </c>
      <c r="AJ483" s="515">
        <f>IF(SETUP!$E$7="USD",(AI483*(IF(O483="USD",AD483,(AD483/'Master Data-C19RM'!$E$2)))),(AI483*(IF(O483="EUR",AD483,(AD483*'Master Data-C19RM'!$E$2)))))</f>
        <v>0</v>
      </c>
      <c r="AK483" s="445">
        <f>IF($O483="USD",_xlfn.IFNA(VLOOKUP($A483&amp;$E483&amp;$I483,PMsheet!$J:$K,2,0),0),(_xlfn.IFNA(VLOOKUP($A483&amp;$E483&amp;$I483,PMsheet!$J:$K,2,0),0)*'Master Data-C19RM'!$F$2))</f>
        <v>0</v>
      </c>
      <c r="AL483" s="440"/>
      <c r="AM483" s="440"/>
      <c r="AN483" s="440"/>
      <c r="AO483" s="440"/>
      <c r="AP483" s="514">
        <f t="shared" si="66"/>
        <v>0</v>
      </c>
      <c r="AQ483" s="515">
        <f>IF(SETUP!$E$7="USD",(AP483*(IF(O483="USD",AK483,(AK483/'Master Data-C19RM'!$F$2)))),(AP483*(IF(O483="EUR",AK483,(AK483*'Master Data-C19RM'!$F$2)))))</f>
        <v>0</v>
      </c>
      <c r="AR483" s="925">
        <f>IF($O483="USD",_xlfn.IFNA(VLOOKUP($A483&amp;$E483&amp;$I483,PMsheet!$J:$K,2,0),0),(_xlfn.IFNA(VLOOKUP($A483&amp;$E483&amp;$I483,PMsheet!$J:$K,2,0),0)*'Master Data-C19RM'!$G$2))</f>
        <v>0</v>
      </c>
      <c r="AS483" s="926"/>
      <c r="AT483" s="926"/>
      <c r="AU483" s="926"/>
      <c r="AV483" s="926"/>
      <c r="AW483" s="514">
        <f t="shared" si="65"/>
        <v>0</v>
      </c>
      <c r="AX483" s="514">
        <f>IF(SETUP!$E$7="USD",(AW483*(IF(O483="USD",AR483,(AR483/'Master Data-C19RM'!$G$2)))),(AW483*(IF(O483="EUR",AR483,(AR483*'Master Data-C19RM'!$G$2)))))</f>
        <v>0</v>
      </c>
      <c r="AY483" s="845"/>
      <c r="AZ483" s="846"/>
      <c r="BA483" s="846"/>
      <c r="BB483" s="846"/>
      <c r="BC483" s="846"/>
      <c r="BD483" s="846"/>
      <c r="BE483" s="847"/>
      <c r="BF483" s="521">
        <f>'C19RM 2021-Lab &amp; Other HPS'!$U483+'C19RM 2021-Lab &amp; Other HPS'!$AB483+'C19RM 2021-Lab &amp; Other HPS'!$AP483+'C19RM 2021-Lab &amp; Other HPS'!$AI483+AW483+BD483</f>
        <v>0</v>
      </c>
      <c r="BG483" s="515">
        <f>'C19RM 2021-Lab &amp; Other HPS'!$V483+'C19RM 2021-Lab &amp; Other HPS'!$AC483+'C19RM 2021-Lab &amp; Other HPS'!$AQ483+'C19RM 2021-Lab &amp; Other HPS'!$AJ483+AX483+BE483</f>
        <v>0</v>
      </c>
      <c r="BH483" s="522" t="str" cm="1">
        <f t="array" ref="BH483">IF(A483&lt;&gt;"",IFERROR(INDEX(PMtbl[[WKst]:[Unit of measure*]],MATCH($A$437&amp;$A483&amp;$E483&amp;$I483,INDEX(PMtbl[Sec]&amp;PMtbl[Category]&amp;PMtbl[Each]&amp;PMtbl[Packaging],0,),0),11),""),"")</f>
        <v/>
      </c>
      <c r="BI483" s="818"/>
      <c r="BJ483" s="503" t="str" cm="1">
        <f t="array" ref="BJ483">IFERROR(INDEX(SETUP!$C$19:$G$121,MATCH((INDEX(PMtbl[[WKst]:[Unit of measure*]],MATCH($A483&amp;$E483&amp;$I483,INDEX(PMtbl[Category]&amp;PMtbl[Each]&amp;PMtbl[Packaging],0,),0),3)),SETUP!$D$19:$D$121,0),5),"")</f>
        <v/>
      </c>
      <c r="BK483" s="537" t="str" cm="1">
        <f t="array" ref="BK483">IFERROR(IF((INDEX(SETUP!$C$19:$G$121,MATCH((INDEX(PMtbl[[WKst]:[Unit of measure*]],MATCH($A483&amp;$E483&amp;$I483,INDEX(PMtbl[Category]&amp;PMtbl[Each]&amp;PMtbl[Packaging],0,),0),3)),SETUP!$D$19:$D$121,0),4))="Upfront",0,INDEX(SETUP!$C$19:$G$121,MATCH((INDEX(PMtbl[[WKst]:[Unit of measure*]],MATCH($A483&amp;$E483&amp;$I483,INDEX(PMtbl[Category]&amp;PMtbl[Each]&amp;PMtbl[Packaging],0,),0),3)),SETUP!$D$19:$D$121,0),5)),"")</f>
        <v/>
      </c>
      <c r="BL483" s="578" t="str" cm="1">
        <f t="array" ref="BL483">IF(E483&lt;&gt;"",IFERROR(INDEX(PMtbl[[WKst]:[Unit of measure*]],MATCH($A$437&amp;$A483&amp;$E483&amp;$I483,INDEX(PMtbl[Sec]&amp;PMtbl[Category]&amp;PMtbl[Each]&amp;PMtbl[Packaging],0,),0),11),""),"")</f>
        <v/>
      </c>
      <c r="BO483" s="12">
        <f>IF(N483="",0,IF(SETUP!$E$7="USD",((IF(O483="USD",P483,(P483/'Master Data-C19RM'!$C$2)))),((IF(O483="EUR",P483,(P483*'Master Data-C19RM'!$C$2))))))</f>
        <v>0</v>
      </c>
      <c r="BP483" s="12">
        <f>IF(N483="",0,IF(SETUP!$E$7="USD",((IF(O483="USD",W483,(W483/'Master Data-C19RM'!$D$2)))),((IF(O483="EUR",W483,(W483*'Master Data-C19RM'!$D$2))))))</f>
        <v>0</v>
      </c>
      <c r="BQ483">
        <f>IF(N483="",0,IF(SETUP!$E$7="USD",((IF(O483="USD",AD483,(AD483/'Master Data-C19RM'!$E$2)))),((IF(O483="EUR",AD483,(AD483*'Master Data-C19RM'!$E$2))))))</f>
        <v>0</v>
      </c>
      <c r="BR483">
        <f>IF(N483="",0,IF(SETUP!$E$7="USD",((IF(O483="USD",AK483,(AK483/'Master Data-C19RM'!$F$2)))),((IF(O483="EUR",AK483,(AK483*'Master Data-C19RM'!$F$2))))))</f>
        <v>0</v>
      </c>
      <c r="BS483">
        <f>IF(N483="",0,IF(SETUP!$E$7="USD",((IF(O483="USD",AR483,(AR483/'Master Data-C19RM'!$G$2)))),((IF(O483="EUR",AR483,(AR483*'Master Data-C19RM'!$G$2))))))</f>
        <v>0</v>
      </c>
      <c r="BT483">
        <f>IF(N483="",0,IF(SETUP!$E$7="USD",((IF(O483="USD",AY483,(AY483/'Master Data-C19RM'!$H$2)))),((IF(O483="EUR",AY483,(AY483*'Master Data-C19RM'!$H$2))))))</f>
        <v>0</v>
      </c>
      <c r="BU483" s="12">
        <f t="shared" si="59"/>
        <v>0</v>
      </c>
      <c r="BV483" s="142">
        <f t="shared" si="60"/>
        <v>0</v>
      </c>
    </row>
    <row r="484" spans="1:94" x14ac:dyDescent="0.35">
      <c r="A484" s="1165"/>
      <c r="B484" s="1165"/>
      <c r="C484" s="1165"/>
      <c r="D484" s="1165"/>
      <c r="E484" s="1166"/>
      <c r="F484" s="1166"/>
      <c r="G484" s="1166"/>
      <c r="H484" s="1166"/>
      <c r="I484" s="1166"/>
      <c r="J484" s="1166"/>
      <c r="K484" s="1166"/>
      <c r="L484" s="490" t="str" cm="1">
        <f t="array" ref="L484">IF(A484&lt;&gt;"",IFERROR(INDEX(PMtbl[[WKst]:[Unit of measure*]],MATCH($A$437&amp;$A484&amp;$E484&amp;$I484,INDEX(PMtbl[Sec]&amp;PMtbl[Category]&amp;PMtbl[Each]&amp;PMtbl[Packaging],0,),0),14),""),"")</f>
        <v/>
      </c>
      <c r="M484" s="479" t="str">
        <f>IF(L484="","",INDEX(SETUP!$E$20:$E$122,(MATCH(INDEX(PMsheet!$D:$E,MATCH(A484,PMsheet!E:E,0),1),SETUP!$D$20:$D$122,0))))</f>
        <v/>
      </c>
      <c r="N484" s="491">
        <f>IF($O484="USD",_xlfn.IFNA(VLOOKUP(A484&amp;E484&amp;I484,PMsheet!J:K,2,0),0),(_xlfn.IFNA(VLOOKUP(A484&amp;E484&amp;I484,PMsheet!J:K,2,0),0)*'Master Data-C19RM'!$C$2))</f>
        <v>0</v>
      </c>
      <c r="O484" s="492" t="str">
        <f>IF(L484="", "",SETUP!$E$7)</f>
        <v/>
      </c>
      <c r="P484" s="444">
        <f>IF($O484="USD",_xlfn.IFNA(VLOOKUP($A484&amp;$E484&amp;$I484,PMsheet!$J:$K,2,0),0),(_xlfn.IFNA(VLOOKUP($A484&amp;$E484&amp;$I484,PMsheet!$J:$K,2,0),0)*'Master Data-C19RM'!$C$2))</f>
        <v>0</v>
      </c>
      <c r="Q484" s="441"/>
      <c r="R484" s="441"/>
      <c r="S484" s="441"/>
      <c r="T484" s="441"/>
      <c r="U484" s="481">
        <f t="shared" si="61"/>
        <v>0</v>
      </c>
      <c r="V484" s="483">
        <f>IF(SETUP!$E$7="USD",(U484*(IF(O484="USD",P484,(P484/'Master Data-C19RM'!$C$2)))),(U484*(IF(O484="EUR",P484,(P484*'Master Data-C19RM'!$C$2)))))</f>
        <v>0</v>
      </c>
      <c r="W484" s="444">
        <f>IF($O484="USD",_xlfn.IFNA(VLOOKUP($A484&amp;$E484&amp;$I484,PMsheet!$J:$K,2,0),0),(_xlfn.IFNA(VLOOKUP($A484&amp;$E484&amp;$I484,PMsheet!$J:$K,2,0),0)*'Master Data-C19RM'!$D$2))</f>
        <v>0</v>
      </c>
      <c r="X484" s="441"/>
      <c r="Y484" s="441"/>
      <c r="Z484" s="441"/>
      <c r="AA484" s="441"/>
      <c r="AB484" s="481">
        <f t="shared" si="62"/>
        <v>0</v>
      </c>
      <c r="AC484" s="483">
        <f>IF(SETUP!$E$7="USD",(AB484*(IF(O484="USD",W484,(W484/'Master Data-C19RM'!$D$2)))),(AB484*(IF(O484="EUR",W484,(W484*'Master Data-C19RM'!$D$2)))))</f>
        <v>0</v>
      </c>
      <c r="AD484" s="444">
        <f>IF($O484="USD",_xlfn.IFNA(VLOOKUP($A484&amp;$E484&amp;$I484,PMsheet!$J:$K,2,0),0),(_xlfn.IFNA(VLOOKUP($A484&amp;$E484&amp;$I484,PMsheet!$J:$K,2,0),0)*'Master Data-C19RM'!$E$2))</f>
        <v>0</v>
      </c>
      <c r="AE484" s="441"/>
      <c r="AF484" s="441"/>
      <c r="AG484" s="441"/>
      <c r="AH484" s="441"/>
      <c r="AI484" s="512">
        <f t="shared" si="63"/>
        <v>0</v>
      </c>
      <c r="AJ484" s="513">
        <f>IF(SETUP!$E$7="USD",(AI484*(IF(O484="USD",AD484,(AD484/'Master Data-C19RM'!$E$2)))),(AI484*(IF(O484="EUR",AD484,(AD484*'Master Data-C19RM'!$E$2)))))</f>
        <v>0</v>
      </c>
      <c r="AK484" s="444">
        <f>IF($O484="USD",_xlfn.IFNA(VLOOKUP($A484&amp;$E484&amp;$I484,PMsheet!$J:$K,2,0),0),(_xlfn.IFNA(VLOOKUP($A484&amp;$E484&amp;$I484,PMsheet!$J:$K,2,0),0)*'Master Data-C19RM'!$F$2))</f>
        <v>0</v>
      </c>
      <c r="AL484" s="441"/>
      <c r="AM484" s="441"/>
      <c r="AN484" s="441"/>
      <c r="AO484" s="441"/>
      <c r="AP484" s="512">
        <f t="shared" si="66"/>
        <v>0</v>
      </c>
      <c r="AQ484" s="513">
        <f>IF(SETUP!$E$7="USD",(AP484*(IF(O484="USD",AK484,(AK484/'Master Data-C19RM'!$F$2)))),(AP484*(IF(O484="EUR",AK484,(AK484*'Master Data-C19RM'!$F$2)))))</f>
        <v>0</v>
      </c>
      <c r="AR484" s="924">
        <f>IF($O484="USD",_xlfn.IFNA(VLOOKUP($A484&amp;$E484&amp;$I484,PMsheet!$J:$K,2,0),0),(_xlfn.IFNA(VLOOKUP($A484&amp;$E484&amp;$I484,PMsheet!$J:$K,2,0),0)*'Master Data-C19RM'!$G$2))</f>
        <v>0</v>
      </c>
      <c r="AS484" s="572"/>
      <c r="AT484" s="572"/>
      <c r="AU484" s="572"/>
      <c r="AV484" s="572"/>
      <c r="AW484" s="512">
        <f t="shared" si="65"/>
        <v>0</v>
      </c>
      <c r="AX484" s="512">
        <f>IF(SETUP!$E$7="USD",(AW484*(IF(O484="USD",AR484,(AR484/'Master Data-C19RM'!$G$2)))),(AW484*(IF(O484="EUR",AR484,(AR484*'Master Data-C19RM'!$G$2)))))</f>
        <v>0</v>
      </c>
      <c r="AY484" s="845"/>
      <c r="AZ484" s="846"/>
      <c r="BA484" s="846"/>
      <c r="BB484" s="846"/>
      <c r="BC484" s="846"/>
      <c r="BD484" s="846"/>
      <c r="BE484" s="847"/>
      <c r="BF484" s="520">
        <f>'C19RM 2021-Lab &amp; Other HPS'!$U484+'C19RM 2021-Lab &amp; Other HPS'!$AB484+'C19RM 2021-Lab &amp; Other HPS'!$AP484+'C19RM 2021-Lab &amp; Other HPS'!$AI484+AW484+BD484</f>
        <v>0</v>
      </c>
      <c r="BG484" s="513">
        <f>'C19RM 2021-Lab &amp; Other HPS'!$V484+'C19RM 2021-Lab &amp; Other HPS'!$AC484+'C19RM 2021-Lab &amp; Other HPS'!$AQ484+'C19RM 2021-Lab &amp; Other HPS'!$AJ484+AX484+BE484</f>
        <v>0</v>
      </c>
      <c r="BH484" s="500" t="str" cm="1">
        <f t="array" ref="BH484">IF(A484&lt;&gt;"",IFERROR(INDEX(PMtbl[[WKst]:[Unit of measure*]],MATCH($A$437&amp;$A484&amp;$E484&amp;$I484,INDEX(PMtbl[Sec]&amp;PMtbl[Category]&amp;PMtbl[Each]&amp;PMtbl[Packaging],0,),0),11),""),"")</f>
        <v/>
      </c>
      <c r="BI484" s="819"/>
      <c r="BJ484" s="502" t="str" cm="1">
        <f t="array" ref="BJ484">IFERROR(INDEX(SETUP!$C$19:$G$121,MATCH((INDEX(PMtbl[[WKst]:[Unit of measure*]],MATCH($A484&amp;$E484&amp;$I484,INDEX(PMtbl[Category]&amp;PMtbl[Each]&amp;PMtbl[Packaging],0,),0),3)),SETUP!$D$19:$D$121,0),5),"")</f>
        <v/>
      </c>
      <c r="BK484" s="536" t="str" cm="1">
        <f t="array" ref="BK484">IFERROR(IF((INDEX(SETUP!$C$19:$G$121,MATCH((INDEX(PMtbl[[WKst]:[Unit of measure*]],MATCH($A484&amp;$E484&amp;$I484,INDEX(PMtbl[Category]&amp;PMtbl[Each]&amp;PMtbl[Packaging],0,),0),3)),SETUP!$D$19:$D$121,0),4))="Upfront",0,INDEX(SETUP!$C$19:$G$121,MATCH((INDEX(PMtbl[[WKst]:[Unit of measure*]],MATCH($A484&amp;$E484&amp;$I484,INDEX(PMtbl[Category]&amp;PMtbl[Each]&amp;PMtbl[Packaging],0,),0),3)),SETUP!$D$19:$D$121,0),5)),"")</f>
        <v/>
      </c>
      <c r="BL484" s="577" t="str" cm="1">
        <f t="array" ref="BL484">IF(E484&lt;&gt;"",IFERROR(INDEX(PMtbl[[WKst]:[Unit of measure*]],MATCH($A$437&amp;$A484&amp;$E484&amp;$I484,INDEX(PMtbl[Sec]&amp;PMtbl[Category]&amp;PMtbl[Each]&amp;PMtbl[Packaging],0,),0),11),""),"")</f>
        <v/>
      </c>
      <c r="BO484" s="12">
        <f>IF(N484="",0,IF(SETUP!$E$7="USD",((IF(O484="USD",P484,(P484/'Master Data-C19RM'!$C$2)))),((IF(O484="EUR",P484,(P484*'Master Data-C19RM'!$C$2))))))</f>
        <v>0</v>
      </c>
      <c r="BP484" s="12">
        <f>IF(N484="",0,IF(SETUP!$E$7="USD",((IF(O484="USD",W484,(W484/'Master Data-C19RM'!$D$2)))),((IF(O484="EUR",W484,(W484*'Master Data-C19RM'!$D$2))))))</f>
        <v>0</v>
      </c>
      <c r="BQ484">
        <f>IF(N484="",0,IF(SETUP!$E$7="USD",((IF(O484="USD",AD484,(AD484/'Master Data-C19RM'!$E$2)))),((IF(O484="EUR",AD484,(AD484*'Master Data-C19RM'!$E$2))))))</f>
        <v>0</v>
      </c>
      <c r="BR484">
        <f>IF(N484="",0,IF(SETUP!$E$7="USD",((IF(O484="USD",AK484,(AK484/'Master Data-C19RM'!$F$2)))),((IF(O484="EUR",AK484,(AK484*'Master Data-C19RM'!$F$2))))))</f>
        <v>0</v>
      </c>
      <c r="BS484">
        <f>IF(N484="",0,IF(SETUP!$E$7="USD",((IF(O484="USD",AR484,(AR484/'Master Data-C19RM'!$G$2)))),((IF(O484="EUR",AR484,(AR484*'Master Data-C19RM'!$G$2))))))</f>
        <v>0</v>
      </c>
      <c r="BT484">
        <f>IF(N484="",0,IF(SETUP!$E$7="USD",((IF(O484="USD",AY484,(AY484/'Master Data-C19RM'!$H$2)))),((IF(O484="EUR",AY484,(AY484*'Master Data-C19RM'!$H$2))))))</f>
        <v>0</v>
      </c>
      <c r="BU484" s="12">
        <f t="shared" si="59"/>
        <v>0</v>
      </c>
      <c r="BV484" s="142">
        <f t="shared" si="60"/>
        <v>0</v>
      </c>
    </row>
    <row r="485" spans="1:94" x14ac:dyDescent="0.35">
      <c r="A485" s="1172"/>
      <c r="B485" s="1172"/>
      <c r="C485" s="1172"/>
      <c r="D485" s="1172"/>
      <c r="E485" s="1173"/>
      <c r="F485" s="1173"/>
      <c r="G485" s="1173"/>
      <c r="H485" s="1173"/>
      <c r="I485" s="1173"/>
      <c r="J485" s="1173"/>
      <c r="K485" s="1173"/>
      <c r="L485" s="493" t="str" cm="1">
        <f t="array" ref="L485">IF(A485&lt;&gt;"",IFERROR(INDEX(PMtbl[[WKst]:[Unit of measure*]],MATCH($A$437&amp;$A485&amp;$E485&amp;$I485,INDEX(PMtbl[Sec]&amp;PMtbl[Category]&amp;PMtbl[Each]&amp;PMtbl[Packaging],0,),0),14),""),"")</f>
        <v/>
      </c>
      <c r="M485" s="480" t="str">
        <f>IF(L485="","",INDEX(SETUP!$E$20:$E$122,(MATCH(INDEX(PMsheet!$D:$E,MATCH(A485,PMsheet!E:E,0),1),SETUP!$D$20:$D$122,0))))</f>
        <v/>
      </c>
      <c r="N485" s="494">
        <f>IF($O485="USD",_xlfn.IFNA(VLOOKUP(A485&amp;E485&amp;I485,PMsheet!J:K,2,0),0),(_xlfn.IFNA(VLOOKUP(A485&amp;E485&amp;I485,PMsheet!J:K,2,0),0)*'Master Data-C19RM'!$C$2))</f>
        <v>0</v>
      </c>
      <c r="O485" s="495" t="str">
        <f>IF(L485="", "",SETUP!$E$7)</f>
        <v/>
      </c>
      <c r="P485" s="445">
        <f>IF($O485="USD",_xlfn.IFNA(VLOOKUP($A485&amp;$E485&amp;$I485,PMsheet!$J:$K,2,0),0),(_xlfn.IFNA(VLOOKUP($A485&amp;$E485&amp;$I485,PMsheet!$J:$K,2,0),0)*'Master Data-C19RM'!$C$2))</f>
        <v>0</v>
      </c>
      <c r="Q485" s="440"/>
      <c r="R485" s="440"/>
      <c r="S485" s="440"/>
      <c r="T485" s="440"/>
      <c r="U485" s="482">
        <f t="shared" si="61"/>
        <v>0</v>
      </c>
      <c r="V485" s="484">
        <f>IF(SETUP!$E$7="USD",(U485*(IF(O485="USD",P485,(P485/'Master Data-C19RM'!$C$2)))),(U485*(IF(O485="EUR",P485,(P485*'Master Data-C19RM'!$C$2)))))</f>
        <v>0</v>
      </c>
      <c r="W485" s="445">
        <f>IF($O485="USD",_xlfn.IFNA(VLOOKUP($A485&amp;$E485&amp;$I485,PMsheet!$J:$K,2,0),0),(_xlfn.IFNA(VLOOKUP($A485&amp;$E485&amp;$I485,PMsheet!$J:$K,2,0),0)*'Master Data-C19RM'!$D$2))</f>
        <v>0</v>
      </c>
      <c r="X485" s="440"/>
      <c r="Y485" s="440"/>
      <c r="Z485" s="440"/>
      <c r="AA485" s="440"/>
      <c r="AB485" s="482">
        <f t="shared" si="62"/>
        <v>0</v>
      </c>
      <c r="AC485" s="484">
        <f>IF(SETUP!$E$7="USD",(AB485*(IF(O485="USD",W485,(W485/'Master Data-C19RM'!$D$2)))),(AB485*(IF(O485="EUR",W485,(W485*'Master Data-C19RM'!$D$2)))))</f>
        <v>0</v>
      </c>
      <c r="AD485" s="445">
        <f>IF($O485="USD",_xlfn.IFNA(VLOOKUP($A485&amp;$E485&amp;$I485,PMsheet!$J:$K,2,0),0),(_xlfn.IFNA(VLOOKUP($A485&amp;$E485&amp;$I485,PMsheet!$J:$K,2,0),0)*'Master Data-C19RM'!$E$2))</f>
        <v>0</v>
      </c>
      <c r="AE485" s="440"/>
      <c r="AF485" s="440"/>
      <c r="AG485" s="440"/>
      <c r="AH485" s="440"/>
      <c r="AI485" s="514">
        <f t="shared" si="63"/>
        <v>0</v>
      </c>
      <c r="AJ485" s="515">
        <f>IF(SETUP!$E$7="USD",(AI485*(IF(O485="USD",AD485,(AD485/'Master Data-C19RM'!$E$2)))),(AI485*(IF(O485="EUR",AD485,(AD485*'Master Data-C19RM'!$E$2)))))</f>
        <v>0</v>
      </c>
      <c r="AK485" s="445">
        <f>IF($O485="USD",_xlfn.IFNA(VLOOKUP($A485&amp;$E485&amp;$I485,PMsheet!$J:$K,2,0),0),(_xlfn.IFNA(VLOOKUP($A485&amp;$E485&amp;$I485,PMsheet!$J:$K,2,0),0)*'Master Data-C19RM'!$F$2))</f>
        <v>0</v>
      </c>
      <c r="AL485" s="440"/>
      <c r="AM485" s="440"/>
      <c r="AN485" s="440"/>
      <c r="AO485" s="440"/>
      <c r="AP485" s="514">
        <f t="shared" si="66"/>
        <v>0</v>
      </c>
      <c r="AQ485" s="515">
        <f>IF(SETUP!$E$7="USD",(AP485*(IF(O485="USD",AK485,(AK485/'Master Data-C19RM'!$F$2)))),(AP485*(IF(O485="EUR",AK485,(AK485*'Master Data-C19RM'!$F$2)))))</f>
        <v>0</v>
      </c>
      <c r="AR485" s="925">
        <f>IF($O485="USD",_xlfn.IFNA(VLOOKUP($A485&amp;$E485&amp;$I485,PMsheet!$J:$K,2,0),0),(_xlfn.IFNA(VLOOKUP($A485&amp;$E485&amp;$I485,PMsheet!$J:$K,2,0),0)*'Master Data-C19RM'!$G$2))</f>
        <v>0</v>
      </c>
      <c r="AS485" s="926"/>
      <c r="AT485" s="926"/>
      <c r="AU485" s="926"/>
      <c r="AV485" s="926"/>
      <c r="AW485" s="514">
        <f t="shared" si="65"/>
        <v>0</v>
      </c>
      <c r="AX485" s="514">
        <f>IF(SETUP!$E$7="USD",(AW485*(IF(O485="USD",AR485,(AR485/'Master Data-C19RM'!$G$2)))),(AW485*(IF(O485="EUR",AR485,(AR485*'Master Data-C19RM'!$G$2)))))</f>
        <v>0</v>
      </c>
      <c r="AY485" s="845"/>
      <c r="AZ485" s="846"/>
      <c r="BA485" s="846"/>
      <c r="BB485" s="846"/>
      <c r="BC485" s="846"/>
      <c r="BD485" s="846"/>
      <c r="BE485" s="847"/>
      <c r="BF485" s="521">
        <f>'C19RM 2021-Lab &amp; Other HPS'!$U485+'C19RM 2021-Lab &amp; Other HPS'!$AB485+'C19RM 2021-Lab &amp; Other HPS'!$AP485+'C19RM 2021-Lab &amp; Other HPS'!$AI485+AW485+BD485</f>
        <v>0</v>
      </c>
      <c r="BG485" s="515">
        <f>'C19RM 2021-Lab &amp; Other HPS'!$V485+'C19RM 2021-Lab &amp; Other HPS'!$AC485+'C19RM 2021-Lab &amp; Other HPS'!$AQ485+'C19RM 2021-Lab &amp; Other HPS'!$AJ485+AX485+BE485</f>
        <v>0</v>
      </c>
      <c r="BH485" s="522" t="str" cm="1">
        <f t="array" ref="BH485">IF(A485&lt;&gt;"",IFERROR(INDEX(PMtbl[[WKst]:[Unit of measure*]],MATCH($A$437&amp;$A485&amp;$E485&amp;$I485,INDEX(PMtbl[Sec]&amp;PMtbl[Category]&amp;PMtbl[Each]&amp;PMtbl[Packaging],0,),0),11),""),"")</f>
        <v/>
      </c>
      <c r="BI485" s="818"/>
      <c r="BJ485" s="503" t="str" cm="1">
        <f t="array" ref="BJ485">IFERROR(INDEX(SETUP!$C$19:$G$121,MATCH((INDEX(PMtbl[[WKst]:[Unit of measure*]],MATCH($A485&amp;$E485&amp;$I485,INDEX(PMtbl[Category]&amp;PMtbl[Each]&amp;PMtbl[Packaging],0,),0),3)),SETUP!$D$19:$D$121,0),5),"")</f>
        <v/>
      </c>
      <c r="BK485" s="537" t="str" cm="1">
        <f t="array" ref="BK485">IFERROR(IF((INDEX(SETUP!$C$19:$G$121,MATCH((INDEX(PMtbl[[WKst]:[Unit of measure*]],MATCH($A485&amp;$E485&amp;$I485,INDEX(PMtbl[Category]&amp;PMtbl[Each]&amp;PMtbl[Packaging],0,),0),3)),SETUP!$D$19:$D$121,0),4))="Upfront",0,INDEX(SETUP!$C$19:$G$121,MATCH((INDEX(PMtbl[[WKst]:[Unit of measure*]],MATCH($A485&amp;$E485&amp;$I485,INDEX(PMtbl[Category]&amp;PMtbl[Each]&amp;PMtbl[Packaging],0,),0),3)),SETUP!$D$19:$D$121,0),5)),"")</f>
        <v/>
      </c>
      <c r="BL485" s="578" t="str" cm="1">
        <f t="array" ref="BL485">IF(E485&lt;&gt;"",IFERROR(INDEX(PMtbl[[WKst]:[Unit of measure*]],MATCH($A$437&amp;$A485&amp;$E485&amp;$I485,INDEX(PMtbl[Sec]&amp;PMtbl[Category]&amp;PMtbl[Each]&amp;PMtbl[Packaging],0,),0),11),""),"")</f>
        <v/>
      </c>
      <c r="BO485" s="12">
        <f>IF(N485="",0,IF(SETUP!$E$7="USD",((IF(O485="USD",P485,(P485/'Master Data-C19RM'!$C$2)))),((IF(O485="EUR",P485,(P485*'Master Data-C19RM'!$C$2))))))</f>
        <v>0</v>
      </c>
      <c r="BP485" s="12">
        <f>IF(N485="",0,IF(SETUP!$E$7="USD",((IF(O485="USD",W485,(W485/'Master Data-C19RM'!$D$2)))),((IF(O485="EUR",W485,(W485*'Master Data-C19RM'!$D$2))))))</f>
        <v>0</v>
      </c>
      <c r="BQ485">
        <f>IF(N485="",0,IF(SETUP!$E$7="USD",((IF(O485="USD",AD485,(AD485/'Master Data-C19RM'!$E$2)))),((IF(O485="EUR",AD485,(AD485*'Master Data-C19RM'!$E$2))))))</f>
        <v>0</v>
      </c>
      <c r="BR485">
        <f>IF(N485="",0,IF(SETUP!$E$7="USD",((IF(O485="USD",AK485,(AK485/'Master Data-C19RM'!$F$2)))),((IF(O485="EUR",AK485,(AK485*'Master Data-C19RM'!$F$2))))))</f>
        <v>0</v>
      </c>
      <c r="BS485">
        <f>IF(N485="",0,IF(SETUP!$E$7="USD",((IF(O485="USD",AR485,(AR485/'Master Data-C19RM'!$G$2)))),((IF(O485="EUR",AR485,(AR485*'Master Data-C19RM'!$G$2))))))</f>
        <v>0</v>
      </c>
      <c r="BT485">
        <f>IF(N485="",0,IF(SETUP!$E$7="USD",((IF(O485="USD",AY485,(AY485/'Master Data-C19RM'!$H$2)))),((IF(O485="EUR",AY485,(AY485*'Master Data-C19RM'!$H$2))))))</f>
        <v>0</v>
      </c>
      <c r="BU485" s="12">
        <f t="shared" si="59"/>
        <v>0</v>
      </c>
      <c r="BV485" s="142">
        <f t="shared" si="60"/>
        <v>0</v>
      </c>
    </row>
    <row r="486" spans="1:94" x14ac:dyDescent="0.35">
      <c r="A486" s="1165"/>
      <c r="B486" s="1165"/>
      <c r="C486" s="1165"/>
      <c r="D486" s="1165"/>
      <c r="E486" s="1166"/>
      <c r="F486" s="1166"/>
      <c r="G486" s="1166"/>
      <c r="H486" s="1166"/>
      <c r="I486" s="1166"/>
      <c r="J486" s="1166"/>
      <c r="K486" s="1166"/>
      <c r="L486" s="490" t="str" cm="1">
        <f t="array" ref="L486">IF(A486&lt;&gt;"",IFERROR(INDEX(PMtbl[[WKst]:[Unit of measure*]],MATCH($A$437&amp;$A486&amp;$E486&amp;$I486,INDEX(PMtbl[Sec]&amp;PMtbl[Category]&amp;PMtbl[Each]&amp;PMtbl[Packaging],0,),0),14),""),"")</f>
        <v/>
      </c>
      <c r="M486" s="479" t="str">
        <f>IF(L486="","",INDEX(SETUP!$E$20:$E$122,(MATCH(INDEX(PMsheet!$D:$E,MATCH(A486,PMsheet!E:E,0),1),SETUP!$D$20:$D$122,0))))</f>
        <v/>
      </c>
      <c r="N486" s="491">
        <f>IF($O486="USD",_xlfn.IFNA(VLOOKUP(A486&amp;E486&amp;I486,PMsheet!J:K,2,0),0),(_xlfn.IFNA(VLOOKUP(A486&amp;E486&amp;I486,PMsheet!J:K,2,0),0)*'Master Data-C19RM'!$C$2))</f>
        <v>0</v>
      </c>
      <c r="O486" s="492" t="str">
        <f>IF(L486="", "",SETUP!$E$7)</f>
        <v/>
      </c>
      <c r="P486" s="444">
        <f>IF($O486="USD",_xlfn.IFNA(VLOOKUP($A486&amp;$E486&amp;$I486,PMsheet!$J:$K,2,0),0),(_xlfn.IFNA(VLOOKUP($A486&amp;$E486&amp;$I486,PMsheet!$J:$K,2,0),0)*'Master Data-C19RM'!$C$2))</f>
        <v>0</v>
      </c>
      <c r="Q486" s="441"/>
      <c r="R486" s="441"/>
      <c r="S486" s="441"/>
      <c r="T486" s="441"/>
      <c r="U486" s="481">
        <f t="shared" si="61"/>
        <v>0</v>
      </c>
      <c r="V486" s="483">
        <f>IF(SETUP!$E$7="USD",(U486*(IF(O486="USD",P486,(P486/'Master Data-C19RM'!$C$2)))),(U486*(IF(O486="EUR",P486,(P486*'Master Data-C19RM'!$C$2)))))</f>
        <v>0</v>
      </c>
      <c r="W486" s="444">
        <f>IF($O486="USD",_xlfn.IFNA(VLOOKUP($A486&amp;$E486&amp;$I486,PMsheet!$J:$K,2,0),0),(_xlfn.IFNA(VLOOKUP($A486&amp;$E486&amp;$I486,PMsheet!$J:$K,2,0),0)*'Master Data-C19RM'!$D$2))</f>
        <v>0</v>
      </c>
      <c r="X486" s="441"/>
      <c r="Y486" s="441"/>
      <c r="Z486" s="441"/>
      <c r="AA486" s="441"/>
      <c r="AB486" s="481">
        <f t="shared" si="62"/>
        <v>0</v>
      </c>
      <c r="AC486" s="483">
        <f>IF(SETUP!$E$7="USD",(AB486*(IF(O486="USD",W486,(W486/'Master Data-C19RM'!$D$2)))),(AB486*(IF(O486="EUR",W486,(W486*'Master Data-C19RM'!$D$2)))))</f>
        <v>0</v>
      </c>
      <c r="AD486" s="444">
        <f>IF($O486="USD",_xlfn.IFNA(VLOOKUP($A486&amp;$E486&amp;$I486,PMsheet!$J:$K,2,0),0),(_xlfn.IFNA(VLOOKUP($A486&amp;$E486&amp;$I486,PMsheet!$J:$K,2,0),0)*'Master Data-C19RM'!$E$2))</f>
        <v>0</v>
      </c>
      <c r="AE486" s="441"/>
      <c r="AF486" s="441"/>
      <c r="AG486" s="441"/>
      <c r="AH486" s="441"/>
      <c r="AI486" s="512">
        <f t="shared" si="63"/>
        <v>0</v>
      </c>
      <c r="AJ486" s="513">
        <f>IF(SETUP!$E$7="USD",(AI486*(IF(O486="USD",AD486,(AD486/'Master Data-C19RM'!$E$2)))),(AI486*(IF(O486="EUR",AD486,(AD486*'Master Data-C19RM'!$E$2)))))</f>
        <v>0</v>
      </c>
      <c r="AK486" s="444">
        <f>IF($O486="USD",_xlfn.IFNA(VLOOKUP($A486&amp;$E486&amp;$I486,PMsheet!$J:$K,2,0),0),(_xlfn.IFNA(VLOOKUP($A486&amp;$E486&amp;$I486,PMsheet!$J:$K,2,0),0)*'Master Data-C19RM'!$F$2))</f>
        <v>0</v>
      </c>
      <c r="AL486" s="441"/>
      <c r="AM486" s="441"/>
      <c r="AN486" s="441"/>
      <c r="AO486" s="441"/>
      <c r="AP486" s="512">
        <f t="shared" si="66"/>
        <v>0</v>
      </c>
      <c r="AQ486" s="513">
        <f>IF(SETUP!$E$7="USD",(AP486*(IF(O486="USD",AK486,(AK486/'Master Data-C19RM'!$F$2)))),(AP486*(IF(O486="EUR",AK486,(AK486*'Master Data-C19RM'!$F$2)))))</f>
        <v>0</v>
      </c>
      <c r="AR486" s="924">
        <f>IF($O486="USD",_xlfn.IFNA(VLOOKUP($A486&amp;$E486&amp;$I486,PMsheet!$J:$K,2,0),0),(_xlfn.IFNA(VLOOKUP($A486&amp;$E486&amp;$I486,PMsheet!$J:$K,2,0),0)*'Master Data-C19RM'!$G$2))</f>
        <v>0</v>
      </c>
      <c r="AS486" s="572"/>
      <c r="AT486" s="572"/>
      <c r="AU486" s="572"/>
      <c r="AV486" s="572"/>
      <c r="AW486" s="512">
        <f t="shared" si="65"/>
        <v>0</v>
      </c>
      <c r="AX486" s="512">
        <f>IF(SETUP!$E$7="USD",(AW486*(IF(O486="USD",AR486,(AR486/'Master Data-C19RM'!$G$2)))),(AW486*(IF(O486="EUR",AR486,(AR486*'Master Data-C19RM'!$G$2)))))</f>
        <v>0</v>
      </c>
      <c r="AY486" s="845"/>
      <c r="AZ486" s="846"/>
      <c r="BA486" s="846"/>
      <c r="BB486" s="846"/>
      <c r="BC486" s="846"/>
      <c r="BD486" s="846"/>
      <c r="BE486" s="847"/>
      <c r="BF486" s="520">
        <f>'C19RM 2021-Lab &amp; Other HPS'!$U486+'C19RM 2021-Lab &amp; Other HPS'!$AB486+'C19RM 2021-Lab &amp; Other HPS'!$AP486+'C19RM 2021-Lab &amp; Other HPS'!$AI486+AW486+BD486</f>
        <v>0</v>
      </c>
      <c r="BG486" s="513">
        <f>'C19RM 2021-Lab &amp; Other HPS'!$V486+'C19RM 2021-Lab &amp; Other HPS'!$AC486+'C19RM 2021-Lab &amp; Other HPS'!$AQ486+'C19RM 2021-Lab &amp; Other HPS'!$AJ486+AX486+BE486</f>
        <v>0</v>
      </c>
      <c r="BH486" s="500" t="str" cm="1">
        <f t="array" ref="BH486">IF(A486&lt;&gt;"",IFERROR(INDEX(PMtbl[[WKst]:[Unit of measure*]],MATCH($A$437&amp;$A486&amp;$E486&amp;$I486,INDEX(PMtbl[Sec]&amp;PMtbl[Category]&amp;PMtbl[Each]&amp;PMtbl[Packaging],0,),0),11),""),"")</f>
        <v/>
      </c>
      <c r="BI486" s="819"/>
      <c r="BJ486" s="502" t="str" cm="1">
        <f t="array" ref="BJ486">IFERROR(INDEX(SETUP!$C$19:$G$121,MATCH((INDEX(PMtbl[[WKst]:[Unit of measure*]],MATCH($A486&amp;$E486&amp;$I486,INDEX(PMtbl[Category]&amp;PMtbl[Each]&amp;PMtbl[Packaging],0,),0),3)),SETUP!$D$19:$D$121,0),5),"")</f>
        <v/>
      </c>
      <c r="BK486" s="536" t="str" cm="1">
        <f t="array" ref="BK486">IFERROR(IF((INDEX(SETUP!$C$19:$G$121,MATCH((INDEX(PMtbl[[WKst]:[Unit of measure*]],MATCH($A486&amp;$E486&amp;$I486,INDEX(PMtbl[Category]&amp;PMtbl[Each]&amp;PMtbl[Packaging],0,),0),3)),SETUP!$D$19:$D$121,0),4))="Upfront",0,INDEX(SETUP!$C$19:$G$121,MATCH((INDEX(PMtbl[[WKst]:[Unit of measure*]],MATCH($A486&amp;$E486&amp;$I486,INDEX(PMtbl[Category]&amp;PMtbl[Each]&amp;PMtbl[Packaging],0,),0),3)),SETUP!$D$19:$D$121,0),5)),"")</f>
        <v/>
      </c>
      <c r="BL486" s="577" t="str" cm="1">
        <f t="array" ref="BL486">IF(E486&lt;&gt;"",IFERROR(INDEX(PMtbl[[WKst]:[Unit of measure*]],MATCH($A$437&amp;$A486&amp;$E486&amp;$I486,INDEX(PMtbl[Sec]&amp;PMtbl[Category]&amp;PMtbl[Each]&amp;PMtbl[Packaging],0,),0),11),""),"")</f>
        <v/>
      </c>
      <c r="BO486" s="12">
        <f>IF(N486="",0,IF(SETUP!$E$7="USD",((IF(O486="USD",P486,(P486/'Master Data-C19RM'!$C$2)))),((IF(O486="EUR",P486,(P486*'Master Data-C19RM'!$C$2))))))</f>
        <v>0</v>
      </c>
      <c r="BP486" s="12">
        <f>IF(N486="",0,IF(SETUP!$E$7="USD",((IF(O486="USD",W486,(W486/'Master Data-C19RM'!$D$2)))),((IF(O486="EUR",W486,(W486*'Master Data-C19RM'!$D$2))))))</f>
        <v>0</v>
      </c>
      <c r="BQ486">
        <f>IF(N486="",0,IF(SETUP!$E$7="USD",((IF(O486="USD",AD486,(AD486/'Master Data-C19RM'!$E$2)))),((IF(O486="EUR",AD486,(AD486*'Master Data-C19RM'!$E$2))))))</f>
        <v>0</v>
      </c>
      <c r="BR486">
        <f>IF(N486="",0,IF(SETUP!$E$7="USD",((IF(O486="USD",AK486,(AK486/'Master Data-C19RM'!$F$2)))),((IF(O486="EUR",AK486,(AK486*'Master Data-C19RM'!$F$2))))))</f>
        <v>0</v>
      </c>
      <c r="BS486">
        <f>IF(N486="",0,IF(SETUP!$E$7="USD",((IF(O486="USD",AR486,(AR486/'Master Data-C19RM'!$G$2)))),((IF(O486="EUR",AR486,(AR486*'Master Data-C19RM'!$G$2))))))</f>
        <v>0</v>
      </c>
      <c r="BT486">
        <f>IF(N486="",0,IF(SETUP!$E$7="USD",((IF(O486="USD",AY486,(AY486/'Master Data-C19RM'!$H$2)))),((IF(O486="EUR",AY486,(AY486*'Master Data-C19RM'!$H$2))))))</f>
        <v>0</v>
      </c>
      <c r="BU486" s="12">
        <f t="shared" si="59"/>
        <v>0</v>
      </c>
      <c r="BV486" s="142">
        <f t="shared" si="60"/>
        <v>0</v>
      </c>
    </row>
    <row r="487" spans="1:94" x14ac:dyDescent="0.35">
      <c r="A487" s="1172"/>
      <c r="B487" s="1172"/>
      <c r="C487" s="1172"/>
      <c r="D487" s="1172"/>
      <c r="E487" s="1173"/>
      <c r="F487" s="1173"/>
      <c r="G487" s="1173"/>
      <c r="H487" s="1173"/>
      <c r="I487" s="1173"/>
      <c r="J487" s="1173"/>
      <c r="K487" s="1173"/>
      <c r="L487" s="493" t="str" cm="1">
        <f t="array" ref="L487">IF(A487&lt;&gt;"",IFERROR(INDEX(PMtbl[[WKst]:[Unit of measure*]],MATCH($A$437&amp;$A487&amp;$E487&amp;$I487,INDEX(PMtbl[Sec]&amp;PMtbl[Category]&amp;PMtbl[Each]&amp;PMtbl[Packaging],0,),0),14),""),"")</f>
        <v/>
      </c>
      <c r="M487" s="480" t="str">
        <f>IF(L487="","",INDEX(SETUP!$E$20:$E$122,(MATCH(INDEX(PMsheet!$D:$E,MATCH(A487,PMsheet!E:E,0),1),SETUP!$D$20:$D$122,0))))</f>
        <v/>
      </c>
      <c r="N487" s="494">
        <f>IF($O487="USD",_xlfn.IFNA(VLOOKUP(A487&amp;E487&amp;I487,PMsheet!J:K,2,0),0),(_xlfn.IFNA(VLOOKUP(A487&amp;E487&amp;I487,PMsheet!J:K,2,0),0)*'Master Data-C19RM'!$C$2))</f>
        <v>0</v>
      </c>
      <c r="O487" s="495" t="str">
        <f>IF(L487="", "",SETUP!$E$7)</f>
        <v/>
      </c>
      <c r="P487" s="445">
        <f>IF($O487="USD",_xlfn.IFNA(VLOOKUP($A487&amp;$E487&amp;$I487,PMsheet!$J:$K,2,0),0),(_xlfn.IFNA(VLOOKUP($A487&amp;$E487&amp;$I487,PMsheet!$J:$K,2,0),0)*'Master Data-C19RM'!$C$2))</f>
        <v>0</v>
      </c>
      <c r="Q487" s="440"/>
      <c r="R487" s="440"/>
      <c r="S487" s="440"/>
      <c r="T487" s="440"/>
      <c r="U487" s="482">
        <f t="shared" si="61"/>
        <v>0</v>
      </c>
      <c r="V487" s="484">
        <f>IF(SETUP!$E$7="USD",(U487*(IF(O487="USD",P487,(P487/'Master Data-C19RM'!$C$2)))),(U487*(IF(O487="EUR",P487,(P487*'Master Data-C19RM'!$C$2)))))</f>
        <v>0</v>
      </c>
      <c r="W487" s="445">
        <f>IF($O487="USD",_xlfn.IFNA(VLOOKUP($A487&amp;$E487&amp;$I487,PMsheet!$J:$K,2,0),0),(_xlfn.IFNA(VLOOKUP($A487&amp;$E487&amp;$I487,PMsheet!$J:$K,2,0),0)*'Master Data-C19RM'!$D$2))</f>
        <v>0</v>
      </c>
      <c r="X487" s="440"/>
      <c r="Y487" s="440"/>
      <c r="Z487" s="440"/>
      <c r="AA487" s="440"/>
      <c r="AB487" s="482">
        <f t="shared" si="62"/>
        <v>0</v>
      </c>
      <c r="AC487" s="484">
        <f>IF(SETUP!$E$7="USD",(AB487*(IF(O487="USD",W487,(W487/'Master Data-C19RM'!$D$2)))),(AB487*(IF(O487="EUR",W487,(W487*'Master Data-C19RM'!$D$2)))))</f>
        <v>0</v>
      </c>
      <c r="AD487" s="445">
        <f>IF($O487="USD",_xlfn.IFNA(VLOOKUP($A487&amp;$E487&amp;$I487,PMsheet!$J:$K,2,0),0),(_xlfn.IFNA(VLOOKUP($A487&amp;$E487&amp;$I487,PMsheet!$J:$K,2,0),0)*'Master Data-C19RM'!$E$2))</f>
        <v>0</v>
      </c>
      <c r="AE487" s="440"/>
      <c r="AF487" s="440"/>
      <c r="AG487" s="440"/>
      <c r="AH487" s="440"/>
      <c r="AI487" s="514">
        <f t="shared" si="63"/>
        <v>0</v>
      </c>
      <c r="AJ487" s="515">
        <f>IF(SETUP!$E$7="USD",(AI487*(IF(O487="USD",AD487,(AD487/'Master Data-C19RM'!$E$2)))),(AI487*(IF(O487="EUR",AD487,(AD487*'Master Data-C19RM'!$E$2)))))</f>
        <v>0</v>
      </c>
      <c r="AK487" s="445">
        <f>IF($O487="USD",_xlfn.IFNA(VLOOKUP($A487&amp;$E487&amp;$I487,PMsheet!$J:$K,2,0),0),(_xlfn.IFNA(VLOOKUP($A487&amp;$E487&amp;$I487,PMsheet!$J:$K,2,0),0)*'Master Data-C19RM'!$F$2))</f>
        <v>0</v>
      </c>
      <c r="AL487" s="440"/>
      <c r="AM487" s="440"/>
      <c r="AN487" s="440"/>
      <c r="AO487" s="440"/>
      <c r="AP487" s="514">
        <f t="shared" si="66"/>
        <v>0</v>
      </c>
      <c r="AQ487" s="515">
        <f>IF(SETUP!$E$7="USD",(AP487*(IF(O487="USD",AK487,(AK487/'Master Data-C19RM'!$F$2)))),(AP487*(IF(O487="EUR",AK487,(AK487*'Master Data-C19RM'!$F$2)))))</f>
        <v>0</v>
      </c>
      <c r="AR487" s="925">
        <f>IF($O487="USD",_xlfn.IFNA(VLOOKUP($A487&amp;$E487&amp;$I487,PMsheet!$J:$K,2,0),0),(_xlfn.IFNA(VLOOKUP($A487&amp;$E487&amp;$I487,PMsheet!$J:$K,2,0),0)*'Master Data-C19RM'!$G$2))</f>
        <v>0</v>
      </c>
      <c r="AS487" s="926"/>
      <c r="AT487" s="926"/>
      <c r="AU487" s="926"/>
      <c r="AV487" s="926"/>
      <c r="AW487" s="514">
        <f t="shared" si="65"/>
        <v>0</v>
      </c>
      <c r="AX487" s="514">
        <f>IF(SETUP!$E$7="USD",(AW487*(IF(O487="USD",AR487,(AR487/'Master Data-C19RM'!$G$2)))),(AW487*(IF(O487="EUR",AR487,(AR487*'Master Data-C19RM'!$G$2)))))</f>
        <v>0</v>
      </c>
      <c r="AY487" s="845"/>
      <c r="AZ487" s="846"/>
      <c r="BA487" s="846"/>
      <c r="BB487" s="846"/>
      <c r="BC487" s="846"/>
      <c r="BD487" s="846"/>
      <c r="BE487" s="847"/>
      <c r="BF487" s="521">
        <f>'C19RM 2021-Lab &amp; Other HPS'!$U487+'C19RM 2021-Lab &amp; Other HPS'!$AB487+'C19RM 2021-Lab &amp; Other HPS'!$AP487+'C19RM 2021-Lab &amp; Other HPS'!$AI487+AW487+BD487</f>
        <v>0</v>
      </c>
      <c r="BG487" s="515">
        <f>'C19RM 2021-Lab &amp; Other HPS'!$V487+'C19RM 2021-Lab &amp; Other HPS'!$AC487+'C19RM 2021-Lab &amp; Other HPS'!$AQ487+'C19RM 2021-Lab &amp; Other HPS'!$AJ487+AX487+BE487</f>
        <v>0</v>
      </c>
      <c r="BH487" s="522" t="str" cm="1">
        <f t="array" ref="BH487">IF(A487&lt;&gt;"",IFERROR(INDEX(PMtbl[[WKst]:[Unit of measure*]],MATCH($A$437&amp;$A487&amp;$E487&amp;$I487,INDEX(PMtbl[Sec]&amp;PMtbl[Category]&amp;PMtbl[Each]&amp;PMtbl[Packaging],0,),0),11),""),"")</f>
        <v/>
      </c>
      <c r="BI487" s="818"/>
      <c r="BJ487" s="503" t="str" cm="1">
        <f t="array" ref="BJ487">IFERROR(INDEX(SETUP!$C$19:$G$121,MATCH((INDEX(PMtbl[[WKst]:[Unit of measure*]],MATCH($A487&amp;$E487&amp;$I487,INDEX(PMtbl[Category]&amp;PMtbl[Each]&amp;PMtbl[Packaging],0,),0),3)),SETUP!$D$19:$D$121,0),5),"")</f>
        <v/>
      </c>
      <c r="BK487" s="537" t="str" cm="1">
        <f t="array" ref="BK487">IFERROR(IF((INDEX(SETUP!$C$19:$G$121,MATCH((INDEX(PMtbl[[WKst]:[Unit of measure*]],MATCH($A487&amp;$E487&amp;$I487,INDEX(PMtbl[Category]&amp;PMtbl[Each]&amp;PMtbl[Packaging],0,),0),3)),SETUP!$D$19:$D$121,0),4))="Upfront",0,INDEX(SETUP!$C$19:$G$121,MATCH((INDEX(PMtbl[[WKst]:[Unit of measure*]],MATCH($A487&amp;$E487&amp;$I487,INDEX(PMtbl[Category]&amp;PMtbl[Each]&amp;PMtbl[Packaging],0,),0),3)),SETUP!$D$19:$D$121,0),5)),"")</f>
        <v/>
      </c>
      <c r="BL487" s="578" t="str" cm="1">
        <f t="array" ref="BL487">IF(E487&lt;&gt;"",IFERROR(INDEX(PMtbl[[WKst]:[Unit of measure*]],MATCH($A$437&amp;$A487&amp;$E487&amp;$I487,INDEX(PMtbl[Sec]&amp;PMtbl[Category]&amp;PMtbl[Each]&amp;PMtbl[Packaging],0,),0),11),""),"")</f>
        <v/>
      </c>
      <c r="BO487" s="12">
        <f>IF(N487="",0,IF(SETUP!$E$7="USD",((IF(O487="USD",P487,(P487/'Master Data-C19RM'!$C$2)))),((IF(O487="EUR",P487,(P487*'Master Data-C19RM'!$C$2))))))</f>
        <v>0</v>
      </c>
      <c r="BP487" s="12">
        <f>IF(N487="",0,IF(SETUP!$E$7="USD",((IF(O487="USD",W487,(W487/'Master Data-C19RM'!$D$2)))),((IF(O487="EUR",W487,(W487*'Master Data-C19RM'!$D$2))))))</f>
        <v>0</v>
      </c>
      <c r="BQ487">
        <f>IF(N487="",0,IF(SETUP!$E$7="USD",((IF(O487="USD",AD487,(AD487/'Master Data-C19RM'!$E$2)))),((IF(O487="EUR",AD487,(AD487*'Master Data-C19RM'!$E$2))))))</f>
        <v>0</v>
      </c>
      <c r="BR487">
        <f>IF(N487="",0,IF(SETUP!$E$7="USD",((IF(O487="USD",AK487,(AK487/'Master Data-C19RM'!$F$2)))),((IF(O487="EUR",AK487,(AK487*'Master Data-C19RM'!$F$2))))))</f>
        <v>0</v>
      </c>
      <c r="BS487">
        <f>IF(N487="",0,IF(SETUP!$E$7="USD",((IF(O487="USD",AR487,(AR487/'Master Data-C19RM'!$G$2)))),((IF(O487="EUR",AR487,(AR487*'Master Data-C19RM'!$G$2))))))</f>
        <v>0</v>
      </c>
      <c r="BT487">
        <f>IF(N487="",0,IF(SETUP!$E$7="USD",((IF(O487="USD",AY487,(AY487/'Master Data-C19RM'!$H$2)))),((IF(O487="EUR",AY487,(AY487*'Master Data-C19RM'!$H$2))))))</f>
        <v>0</v>
      </c>
      <c r="BU487" s="12">
        <f t="shared" si="59"/>
        <v>0</v>
      </c>
      <c r="BV487" s="142">
        <f t="shared" si="60"/>
        <v>0</v>
      </c>
    </row>
    <row r="488" spans="1:94" x14ac:dyDescent="0.35">
      <c r="A488" s="1165"/>
      <c r="B488" s="1165"/>
      <c r="C488" s="1165"/>
      <c r="D488" s="1165"/>
      <c r="E488" s="1166"/>
      <c r="F488" s="1166"/>
      <c r="G488" s="1166"/>
      <c r="H488" s="1166"/>
      <c r="I488" s="1166"/>
      <c r="J488" s="1166"/>
      <c r="K488" s="1166"/>
      <c r="L488" s="490" t="str" cm="1">
        <f t="array" ref="L488">IF(A488&lt;&gt;"",IFERROR(INDEX(PMtbl[[WKst]:[Unit of measure*]],MATCH($A$437&amp;$A488&amp;$E488&amp;$I488,INDEX(PMtbl[Sec]&amp;PMtbl[Category]&amp;PMtbl[Each]&amp;PMtbl[Packaging],0,),0),14),""),"")</f>
        <v/>
      </c>
      <c r="M488" s="479" t="str">
        <f>IF(L488="","",INDEX(SETUP!$E$20:$E$122,(MATCH(INDEX(PMsheet!$D:$E,MATCH(A488,PMsheet!E:E,0),1),SETUP!$D$20:$D$122,0))))</f>
        <v/>
      </c>
      <c r="N488" s="491">
        <f>IF($O488="USD",_xlfn.IFNA(VLOOKUP(A488&amp;E488&amp;I488,PMsheet!J:K,2,0),0),(_xlfn.IFNA(VLOOKUP(A488&amp;E488&amp;I488,PMsheet!J:K,2,0),0)*'Master Data-C19RM'!$C$2))</f>
        <v>0</v>
      </c>
      <c r="O488" s="492" t="str">
        <f>IF(L488="", "",SETUP!$E$7)</f>
        <v/>
      </c>
      <c r="P488" s="444">
        <f>IF($O488="USD",_xlfn.IFNA(VLOOKUP($A488&amp;$E488&amp;$I488,PMsheet!$J:$K,2,0),0),(_xlfn.IFNA(VLOOKUP($A488&amp;$E488&amp;$I488,PMsheet!$J:$K,2,0),0)*'Master Data-C19RM'!$C$2))</f>
        <v>0</v>
      </c>
      <c r="Q488" s="441"/>
      <c r="R488" s="441"/>
      <c r="S488" s="441"/>
      <c r="T488" s="441"/>
      <c r="U488" s="481">
        <f t="shared" si="61"/>
        <v>0</v>
      </c>
      <c r="V488" s="483">
        <f>IF(SETUP!$E$7="USD",(U488*(IF(O488="USD",P488,(P488/'Master Data-C19RM'!$C$2)))),(U488*(IF(O488="EUR",P488,(P488*'Master Data-C19RM'!$C$2)))))</f>
        <v>0</v>
      </c>
      <c r="W488" s="444">
        <f>IF($O488="USD",_xlfn.IFNA(VLOOKUP($A488&amp;$E488&amp;$I488,PMsheet!$J:$K,2,0),0),(_xlfn.IFNA(VLOOKUP($A488&amp;$E488&amp;$I488,PMsheet!$J:$K,2,0),0)*'Master Data-C19RM'!$D$2))</f>
        <v>0</v>
      </c>
      <c r="X488" s="441"/>
      <c r="Y488" s="441"/>
      <c r="Z488" s="441"/>
      <c r="AA488" s="441"/>
      <c r="AB488" s="481">
        <f t="shared" si="62"/>
        <v>0</v>
      </c>
      <c r="AC488" s="483">
        <f>IF(SETUP!$E$7="USD",(AB488*(IF(O488="USD",W488,(W488/'Master Data-C19RM'!$D$2)))),(AB488*(IF(O488="EUR",W488,(W488*'Master Data-C19RM'!$D$2)))))</f>
        <v>0</v>
      </c>
      <c r="AD488" s="444">
        <f>IF($O488="USD",_xlfn.IFNA(VLOOKUP($A488&amp;$E488&amp;$I488,PMsheet!$J:$K,2,0),0),(_xlfn.IFNA(VLOOKUP($A488&amp;$E488&amp;$I488,PMsheet!$J:$K,2,0),0)*'Master Data-C19RM'!$E$2))</f>
        <v>0</v>
      </c>
      <c r="AE488" s="441"/>
      <c r="AF488" s="441"/>
      <c r="AG488" s="441"/>
      <c r="AH488" s="441"/>
      <c r="AI488" s="512">
        <f t="shared" si="63"/>
        <v>0</v>
      </c>
      <c r="AJ488" s="513">
        <f>IF(SETUP!$E$7="USD",(AI488*(IF(O488="USD",AD488,(AD488/'Master Data-C19RM'!$E$2)))),(AI488*(IF(O488="EUR",AD488,(AD488*'Master Data-C19RM'!$E$2)))))</f>
        <v>0</v>
      </c>
      <c r="AK488" s="444">
        <f>IF($O488="USD",_xlfn.IFNA(VLOOKUP($A488&amp;$E488&amp;$I488,PMsheet!$J:$K,2,0),0),(_xlfn.IFNA(VLOOKUP($A488&amp;$E488&amp;$I488,PMsheet!$J:$K,2,0),0)*'Master Data-C19RM'!$F$2))</f>
        <v>0</v>
      </c>
      <c r="AL488" s="441"/>
      <c r="AM488" s="441"/>
      <c r="AN488" s="441"/>
      <c r="AO488" s="441"/>
      <c r="AP488" s="512">
        <f t="shared" si="66"/>
        <v>0</v>
      </c>
      <c r="AQ488" s="513">
        <f>IF(SETUP!$E$7="USD",(AP488*(IF(O488="USD",AK488,(AK488/'Master Data-C19RM'!$F$2)))),(AP488*(IF(O488="EUR",AK488,(AK488*'Master Data-C19RM'!$F$2)))))</f>
        <v>0</v>
      </c>
      <c r="AR488" s="924">
        <f>IF($O488="USD",_xlfn.IFNA(VLOOKUP($A488&amp;$E488&amp;$I488,PMsheet!$J:$K,2,0),0),(_xlfn.IFNA(VLOOKUP($A488&amp;$E488&amp;$I488,PMsheet!$J:$K,2,0),0)*'Master Data-C19RM'!$G$2))</f>
        <v>0</v>
      </c>
      <c r="AS488" s="572"/>
      <c r="AT488" s="572"/>
      <c r="AU488" s="572"/>
      <c r="AV488" s="572"/>
      <c r="AW488" s="512">
        <f t="shared" si="65"/>
        <v>0</v>
      </c>
      <c r="AX488" s="512">
        <f>IF(SETUP!$E$7="USD",(AW488*(IF(O488="USD",AR488,(AR488/'Master Data-C19RM'!$G$2)))),(AW488*(IF(O488="EUR",AR488,(AR488*'Master Data-C19RM'!$G$2)))))</f>
        <v>0</v>
      </c>
      <c r="AY488" s="845"/>
      <c r="AZ488" s="846"/>
      <c r="BA488" s="846"/>
      <c r="BB488" s="846"/>
      <c r="BC488" s="846"/>
      <c r="BD488" s="846"/>
      <c r="BE488" s="847"/>
      <c r="BF488" s="520">
        <f>'C19RM 2021-Lab &amp; Other HPS'!$U488+'C19RM 2021-Lab &amp; Other HPS'!$AB488+'C19RM 2021-Lab &amp; Other HPS'!$AP488+'C19RM 2021-Lab &amp; Other HPS'!$AI488+AW488+BD488</f>
        <v>0</v>
      </c>
      <c r="BG488" s="513">
        <f>'C19RM 2021-Lab &amp; Other HPS'!$V488+'C19RM 2021-Lab &amp; Other HPS'!$AC488+'C19RM 2021-Lab &amp; Other HPS'!$AQ488+'C19RM 2021-Lab &amp; Other HPS'!$AJ488+AX488+BE488</f>
        <v>0</v>
      </c>
      <c r="BH488" s="500" t="str" cm="1">
        <f t="array" ref="BH488">IF(A488&lt;&gt;"",IFERROR(INDEX(PMtbl[[WKst]:[Unit of measure*]],MATCH($A$437&amp;$A488&amp;$E488&amp;$I488,INDEX(PMtbl[Sec]&amp;PMtbl[Category]&amp;PMtbl[Each]&amp;PMtbl[Packaging],0,),0),11),""),"")</f>
        <v/>
      </c>
      <c r="BI488" s="819"/>
      <c r="BJ488" s="502" t="str" cm="1">
        <f t="array" ref="BJ488">IFERROR(INDEX(SETUP!$C$19:$G$121,MATCH((INDEX(PMtbl[[WKst]:[Unit of measure*]],MATCH($A488&amp;$E488&amp;$I488,INDEX(PMtbl[Category]&amp;PMtbl[Each]&amp;PMtbl[Packaging],0,),0),3)),SETUP!$D$19:$D$121,0),5),"")</f>
        <v/>
      </c>
      <c r="BK488" s="536" t="str" cm="1">
        <f t="array" ref="BK488">IFERROR(IF((INDEX(SETUP!$C$19:$G$121,MATCH((INDEX(PMtbl[[WKst]:[Unit of measure*]],MATCH($A488&amp;$E488&amp;$I488,INDEX(PMtbl[Category]&amp;PMtbl[Each]&amp;PMtbl[Packaging],0,),0),3)),SETUP!$D$19:$D$121,0),4))="Upfront",0,INDEX(SETUP!$C$19:$G$121,MATCH((INDEX(PMtbl[[WKst]:[Unit of measure*]],MATCH($A488&amp;$E488&amp;$I488,INDEX(PMtbl[Category]&amp;PMtbl[Each]&amp;PMtbl[Packaging],0,),0),3)),SETUP!$D$19:$D$121,0),5)),"")</f>
        <v/>
      </c>
      <c r="BL488" s="577" t="str" cm="1">
        <f t="array" ref="BL488">IF(E488&lt;&gt;"",IFERROR(INDEX(PMtbl[[WKst]:[Unit of measure*]],MATCH($A$437&amp;$A488&amp;$E488&amp;$I488,INDEX(PMtbl[Sec]&amp;PMtbl[Category]&amp;PMtbl[Each]&amp;PMtbl[Packaging],0,),0),11),""),"")</f>
        <v/>
      </c>
      <c r="BO488" s="12">
        <f>IF(N488="",0,IF(SETUP!$E$7="USD",((IF(O488="USD",P488,(P488/'Master Data-C19RM'!$C$2)))),((IF(O488="EUR",P488,(P488*'Master Data-C19RM'!$C$2))))))</f>
        <v>0</v>
      </c>
      <c r="BP488" s="12">
        <f>IF(N488="",0,IF(SETUP!$E$7="USD",((IF(O488="USD",W488,(W488/'Master Data-C19RM'!$D$2)))),((IF(O488="EUR",W488,(W488*'Master Data-C19RM'!$D$2))))))</f>
        <v>0</v>
      </c>
      <c r="BQ488">
        <f>IF(N488="",0,IF(SETUP!$E$7="USD",((IF(O488="USD",AD488,(AD488/'Master Data-C19RM'!$E$2)))),((IF(O488="EUR",AD488,(AD488*'Master Data-C19RM'!$E$2))))))</f>
        <v>0</v>
      </c>
      <c r="BR488">
        <f>IF(N488="",0,IF(SETUP!$E$7="USD",((IF(O488="USD",AK488,(AK488/'Master Data-C19RM'!$F$2)))),((IF(O488="EUR",AK488,(AK488*'Master Data-C19RM'!$F$2))))))</f>
        <v>0</v>
      </c>
      <c r="BS488">
        <f>IF(N488="",0,IF(SETUP!$E$7="USD",((IF(O488="USD",AR488,(AR488/'Master Data-C19RM'!$G$2)))),((IF(O488="EUR",AR488,(AR488*'Master Data-C19RM'!$G$2))))))</f>
        <v>0</v>
      </c>
      <c r="BT488">
        <f>IF(N488="",0,IF(SETUP!$E$7="USD",((IF(O488="USD",AY488,(AY488/'Master Data-C19RM'!$H$2)))),((IF(O488="EUR",AY488,(AY488*'Master Data-C19RM'!$H$2))))))</f>
        <v>0</v>
      </c>
      <c r="BU488" s="12">
        <f t="shared" si="59"/>
        <v>0</v>
      </c>
      <c r="BV488" s="142">
        <f t="shared" si="60"/>
        <v>0</v>
      </c>
    </row>
    <row r="489" spans="1:94" x14ac:dyDescent="0.35">
      <c r="A489" s="1172"/>
      <c r="B489" s="1172"/>
      <c r="C489" s="1172"/>
      <c r="D489" s="1172"/>
      <c r="E489" s="1173"/>
      <c r="F489" s="1173"/>
      <c r="G489" s="1173"/>
      <c r="H489" s="1173"/>
      <c r="I489" s="1173"/>
      <c r="J489" s="1173"/>
      <c r="K489" s="1173"/>
      <c r="L489" s="493" t="str" cm="1">
        <f t="array" ref="L489">IF(A489&lt;&gt;"",IFERROR(INDEX(PMtbl[[WKst]:[Unit of measure*]],MATCH($A$437&amp;$A489&amp;$E489&amp;$I489,INDEX(PMtbl[Sec]&amp;PMtbl[Category]&amp;PMtbl[Each]&amp;PMtbl[Packaging],0,),0),14),""),"")</f>
        <v/>
      </c>
      <c r="M489" s="480" t="str">
        <f>IF(L489="","",INDEX(SETUP!$E$20:$E$122,(MATCH(INDEX(PMsheet!$D:$E,MATCH(A489,PMsheet!E:E,0),1),SETUP!$D$20:$D$122,0))))</f>
        <v/>
      </c>
      <c r="N489" s="494">
        <f>IF($O489="USD",_xlfn.IFNA(VLOOKUP(A489&amp;E489&amp;I489,PMsheet!J:K,2,0),0),(_xlfn.IFNA(VLOOKUP(A489&amp;E489&amp;I489,PMsheet!J:K,2,0),0)*'Master Data-C19RM'!$C$2))</f>
        <v>0</v>
      </c>
      <c r="O489" s="495" t="str">
        <f>IF(L489="", "",SETUP!$E$7)</f>
        <v/>
      </c>
      <c r="P489" s="445">
        <f>IF($O489="USD",_xlfn.IFNA(VLOOKUP($A489&amp;$E489&amp;$I489,PMsheet!$J:$K,2,0),0),(_xlfn.IFNA(VLOOKUP($A489&amp;$E489&amp;$I489,PMsheet!$J:$K,2,0),0)*'Master Data-C19RM'!$C$2))</f>
        <v>0</v>
      </c>
      <c r="Q489" s="440"/>
      <c r="R489" s="440"/>
      <c r="S489" s="440"/>
      <c r="T489" s="440"/>
      <c r="U489" s="482">
        <f t="shared" si="61"/>
        <v>0</v>
      </c>
      <c r="V489" s="484">
        <f>IF(SETUP!$E$7="USD",(U489*(IF(O489="USD",P489,(P489/'Master Data-C19RM'!$C$2)))),(U489*(IF(O489="EUR",P489,(P489*'Master Data-C19RM'!$C$2)))))</f>
        <v>0</v>
      </c>
      <c r="W489" s="445">
        <f>IF($O489="USD",_xlfn.IFNA(VLOOKUP($A489&amp;$E489&amp;$I489,PMsheet!$J:$K,2,0),0),(_xlfn.IFNA(VLOOKUP($A489&amp;$E489&amp;$I489,PMsheet!$J:$K,2,0),0)*'Master Data-C19RM'!$D$2))</f>
        <v>0</v>
      </c>
      <c r="X489" s="440"/>
      <c r="Y489" s="440"/>
      <c r="Z489" s="440"/>
      <c r="AA489" s="440"/>
      <c r="AB489" s="482">
        <f t="shared" si="62"/>
        <v>0</v>
      </c>
      <c r="AC489" s="484">
        <f>IF(SETUP!$E$7="USD",(AB489*(IF(O489="USD",W489,(W489/'Master Data-C19RM'!$D$2)))),(AB489*(IF(O489="EUR",W489,(W489*'Master Data-C19RM'!$D$2)))))</f>
        <v>0</v>
      </c>
      <c r="AD489" s="445">
        <f>IF($O489="USD",_xlfn.IFNA(VLOOKUP($A489&amp;$E489&amp;$I489,PMsheet!$J:$K,2,0),0),(_xlfn.IFNA(VLOOKUP($A489&amp;$E489&amp;$I489,PMsheet!$J:$K,2,0),0)*'Master Data-C19RM'!$E$2))</f>
        <v>0</v>
      </c>
      <c r="AE489" s="440"/>
      <c r="AF489" s="440"/>
      <c r="AG489" s="440"/>
      <c r="AH489" s="440"/>
      <c r="AI489" s="514">
        <f t="shared" si="63"/>
        <v>0</v>
      </c>
      <c r="AJ489" s="515">
        <f>IF(SETUP!$E$7="USD",(AI489*(IF(O489="USD",AD489,(AD489/'Master Data-C19RM'!$E$2)))),(AI489*(IF(O489="EUR",AD489,(AD489*'Master Data-C19RM'!$E$2)))))</f>
        <v>0</v>
      </c>
      <c r="AK489" s="445">
        <f>IF($O489="USD",_xlfn.IFNA(VLOOKUP($A489&amp;$E489&amp;$I489,PMsheet!$J:$K,2,0),0),(_xlfn.IFNA(VLOOKUP($A489&amp;$E489&amp;$I489,PMsheet!$J:$K,2,0),0)*'Master Data-C19RM'!$F$2))</f>
        <v>0</v>
      </c>
      <c r="AL489" s="440"/>
      <c r="AM489" s="440"/>
      <c r="AN489" s="440"/>
      <c r="AO489" s="440"/>
      <c r="AP489" s="514">
        <f t="shared" si="66"/>
        <v>0</v>
      </c>
      <c r="AQ489" s="515">
        <f>IF(SETUP!$E$7="USD",(AP489*(IF(O489="USD",AK489,(AK489/'Master Data-C19RM'!$F$2)))),(AP489*(IF(O489="EUR",AK489,(AK489*'Master Data-C19RM'!$F$2)))))</f>
        <v>0</v>
      </c>
      <c r="AR489" s="925">
        <f>IF($O489="USD",_xlfn.IFNA(VLOOKUP($A489&amp;$E489&amp;$I489,PMsheet!$J:$K,2,0),0),(_xlfn.IFNA(VLOOKUP($A489&amp;$E489&amp;$I489,PMsheet!$J:$K,2,0),0)*'Master Data-C19RM'!$G$2))</f>
        <v>0</v>
      </c>
      <c r="AS489" s="926"/>
      <c r="AT489" s="926"/>
      <c r="AU489" s="926"/>
      <c r="AV489" s="926"/>
      <c r="AW489" s="514">
        <f t="shared" si="65"/>
        <v>0</v>
      </c>
      <c r="AX489" s="514">
        <f>IF(SETUP!$E$7="USD",(AW489*(IF(O489="USD",AR489,(AR489/'Master Data-C19RM'!$G$2)))),(AW489*(IF(O489="EUR",AR489,(AR489*'Master Data-C19RM'!$G$2)))))</f>
        <v>0</v>
      </c>
      <c r="AY489" s="845"/>
      <c r="AZ489" s="846"/>
      <c r="BA489" s="846"/>
      <c r="BB489" s="846"/>
      <c r="BC489" s="846"/>
      <c r="BD489" s="846"/>
      <c r="BE489" s="847"/>
      <c r="BF489" s="521">
        <f>'C19RM 2021-Lab &amp; Other HPS'!$U489+'C19RM 2021-Lab &amp; Other HPS'!$AB489+'C19RM 2021-Lab &amp; Other HPS'!$AP489+'C19RM 2021-Lab &amp; Other HPS'!$AI489+AW489+BD489</f>
        <v>0</v>
      </c>
      <c r="BG489" s="515">
        <f>'C19RM 2021-Lab &amp; Other HPS'!$V489+'C19RM 2021-Lab &amp; Other HPS'!$AC489+'C19RM 2021-Lab &amp; Other HPS'!$AQ489+'C19RM 2021-Lab &amp; Other HPS'!$AJ489+AX489+BE489</f>
        <v>0</v>
      </c>
      <c r="BH489" s="522" t="str" cm="1">
        <f t="array" ref="BH489">IF(A489&lt;&gt;"",IFERROR(INDEX(PMtbl[[WKst]:[Unit of measure*]],MATCH($A$437&amp;$A489&amp;$E489&amp;$I489,INDEX(PMtbl[Sec]&amp;PMtbl[Category]&amp;PMtbl[Each]&amp;PMtbl[Packaging],0,),0),11),""),"")</f>
        <v/>
      </c>
      <c r="BI489" s="818"/>
      <c r="BJ489" s="503" t="str" cm="1">
        <f t="array" ref="BJ489">IFERROR(INDEX(SETUP!$C$19:$G$121,MATCH((INDEX(PMtbl[[WKst]:[Unit of measure*]],MATCH($A489&amp;$E489&amp;$I489,INDEX(PMtbl[Category]&amp;PMtbl[Each]&amp;PMtbl[Packaging],0,),0),3)),SETUP!$D$19:$D$121,0),5),"")</f>
        <v/>
      </c>
      <c r="BK489" s="537" t="str" cm="1">
        <f t="array" ref="BK489">IFERROR(IF((INDEX(SETUP!$C$19:$G$121,MATCH((INDEX(PMtbl[[WKst]:[Unit of measure*]],MATCH($A489&amp;$E489&amp;$I489,INDEX(PMtbl[Category]&amp;PMtbl[Each]&amp;PMtbl[Packaging],0,),0),3)),SETUP!$D$19:$D$121,0),4))="Upfront",0,INDEX(SETUP!$C$19:$G$121,MATCH((INDEX(PMtbl[[WKst]:[Unit of measure*]],MATCH($A489&amp;$E489&amp;$I489,INDEX(PMtbl[Category]&amp;PMtbl[Each]&amp;PMtbl[Packaging],0,),0),3)),SETUP!$D$19:$D$121,0),5)),"")</f>
        <v/>
      </c>
      <c r="BL489" s="578" t="str" cm="1">
        <f t="array" ref="BL489">IF(E489&lt;&gt;"",IFERROR(INDEX(PMtbl[[WKst]:[Unit of measure*]],MATCH($A$437&amp;$A489&amp;$E489&amp;$I489,INDEX(PMtbl[Sec]&amp;PMtbl[Category]&amp;PMtbl[Each]&amp;PMtbl[Packaging],0,),0),11),""),"")</f>
        <v/>
      </c>
      <c r="BO489" s="12">
        <f>IF(N489="",0,IF(SETUP!$E$7="USD",((IF(O489="USD",P489,(P489/'Master Data-C19RM'!$C$2)))),((IF(O489="EUR",P489,(P489*'Master Data-C19RM'!$C$2))))))</f>
        <v>0</v>
      </c>
      <c r="BP489" s="12">
        <f>IF(N489="",0,IF(SETUP!$E$7="USD",((IF(O489="USD",W489,(W489/'Master Data-C19RM'!$D$2)))),((IF(O489="EUR",W489,(W489*'Master Data-C19RM'!$D$2))))))</f>
        <v>0</v>
      </c>
      <c r="BQ489">
        <f>IF(N489="",0,IF(SETUP!$E$7="USD",((IF(O489="USD",AD489,(AD489/'Master Data-C19RM'!$E$2)))),((IF(O489="EUR",AD489,(AD489*'Master Data-C19RM'!$E$2))))))</f>
        <v>0</v>
      </c>
      <c r="BR489">
        <f>IF(N489="",0,IF(SETUP!$E$7="USD",((IF(O489="USD",AK489,(AK489/'Master Data-C19RM'!$F$2)))),((IF(O489="EUR",AK489,(AK489*'Master Data-C19RM'!$F$2))))))</f>
        <v>0</v>
      </c>
      <c r="BS489">
        <f>IF(N489="",0,IF(SETUP!$E$7="USD",((IF(O489="USD",AR489,(AR489/'Master Data-C19RM'!$G$2)))),((IF(O489="EUR",AR489,(AR489*'Master Data-C19RM'!$G$2))))))</f>
        <v>0</v>
      </c>
      <c r="BT489">
        <f>IF(N489="",0,IF(SETUP!$E$7="USD",((IF(O489="USD",AY489,(AY489/'Master Data-C19RM'!$H$2)))),((IF(O489="EUR",AY489,(AY489*'Master Data-C19RM'!$H$2))))))</f>
        <v>0</v>
      </c>
      <c r="BU489" s="12">
        <f t="shared" si="59"/>
        <v>0</v>
      </c>
      <c r="BV489" s="142">
        <f t="shared" si="60"/>
        <v>0</v>
      </c>
    </row>
    <row r="490" spans="1:94" s="24" customFormat="1" x14ac:dyDescent="0.35">
      <c r="A490" s="1196"/>
      <c r="B490" s="1196"/>
      <c r="C490" s="1196"/>
      <c r="D490" s="1196"/>
      <c r="E490" s="1166"/>
      <c r="F490" s="1166"/>
      <c r="G490" s="1166"/>
      <c r="H490" s="1166"/>
      <c r="I490" s="1166"/>
      <c r="J490" s="1166"/>
      <c r="K490" s="1166"/>
      <c r="L490" s="490" t="str" cm="1">
        <f t="array" ref="L490">IF(A490&lt;&gt;"",IFERROR(INDEX(PMtbl[[WKst]:[Unit of measure*]],MATCH($A$437&amp;$A490&amp;$E490&amp;$I490,INDEX(PMtbl[Sec]&amp;PMtbl[Category]&amp;PMtbl[Each]&amp;PMtbl[Packaging],0,),0),14),""),"")</f>
        <v/>
      </c>
      <c r="M490" s="479" t="str">
        <f>IF(L490="","",INDEX(SETUP!$E$20:$E$122,(MATCH(INDEX(PMsheet!$D:$E,MATCH(A490,PMsheet!E:E,0),1),SETUP!$D$20:$D$122,0))))</f>
        <v/>
      </c>
      <c r="N490" s="491">
        <f>IF($O490="USD",_xlfn.IFNA(VLOOKUP(A490&amp;E490&amp;I490,PMsheet!J:K,2,0),0),(_xlfn.IFNA(VLOOKUP(A490&amp;E490&amp;I490,PMsheet!J:K,2,0),0)*'Master Data-C19RM'!$C$2))</f>
        <v>0</v>
      </c>
      <c r="O490" s="573" t="str">
        <f>IF(L490="", "",SETUP!$E$7)</f>
        <v/>
      </c>
      <c r="P490" s="444">
        <f>IF($O490="USD",_xlfn.IFNA(VLOOKUP($A490&amp;$E490&amp;$I490,PMsheet!$J:$K,2,0),0),(_xlfn.IFNA(VLOOKUP($A490&amp;$E490&amp;$I490,PMsheet!$J:$K,2,0),0)*'Master Data-C19RM'!$C$2))</f>
        <v>0</v>
      </c>
      <c r="Q490" s="441"/>
      <c r="R490" s="441"/>
      <c r="S490" s="441"/>
      <c r="T490" s="441"/>
      <c r="U490" s="481">
        <f t="shared" si="61"/>
        <v>0</v>
      </c>
      <c r="V490" s="483">
        <f>IF(SETUP!$E$7="USD",(U490*(IF(O490="USD",P490,(P490/'Master Data-C19RM'!$C$2)))),(U490*(IF(O490="EUR",P490,(P490*'Master Data-C19RM'!$C$2)))))</f>
        <v>0</v>
      </c>
      <c r="W490" s="444">
        <f>IF($O490="USD",_xlfn.IFNA(VLOOKUP($A490&amp;$E490&amp;$I490,PMsheet!$J:$K,2,0),0),(_xlfn.IFNA(VLOOKUP($A490&amp;$E490&amp;$I490,PMsheet!$J:$K,2,0),0)*'Master Data-C19RM'!$D$2))</f>
        <v>0</v>
      </c>
      <c r="X490" s="441"/>
      <c r="Y490" s="441"/>
      <c r="Z490" s="441"/>
      <c r="AA490" s="441"/>
      <c r="AB490" s="481">
        <f t="shared" si="62"/>
        <v>0</v>
      </c>
      <c r="AC490" s="483">
        <f>IF(SETUP!$E$7="USD",(AB490*(IF(O490="USD",W490,(W490/'Master Data-C19RM'!$D$2)))),(AB490*(IF(O490="EUR",W490,(W490*'Master Data-C19RM'!$D$2)))))</f>
        <v>0</v>
      </c>
      <c r="AD490" s="444">
        <f>IF($O490="USD",_xlfn.IFNA(VLOOKUP($A490&amp;$E490&amp;$I490,PMsheet!$J:$K,2,0),0),(_xlfn.IFNA(VLOOKUP($A490&amp;$E490&amp;$I490,PMsheet!$J:$K,2,0),0)*'Master Data-C19RM'!$E$2))</f>
        <v>0</v>
      </c>
      <c r="AE490" s="441"/>
      <c r="AF490" s="441"/>
      <c r="AG490" s="441"/>
      <c r="AH490" s="441"/>
      <c r="AI490" s="512">
        <f t="shared" si="63"/>
        <v>0</v>
      </c>
      <c r="AJ490" s="513">
        <f>IF(SETUP!$E$7="USD",(AI490*(IF(O490="USD",AD490,(AD490/'Master Data-C19RM'!$E$2)))),(AI490*(IF(O490="EUR",AD490,(AD490*'Master Data-C19RM'!$E$2)))))</f>
        <v>0</v>
      </c>
      <c r="AK490" s="456">
        <f>IF($O490="USD",_xlfn.IFNA(VLOOKUP($A490&amp;$E490&amp;$I490,PMsheet!$J:$K,2,0),0),(_xlfn.IFNA(VLOOKUP($A490&amp;$E490&amp;$I490,PMsheet!$J:$K,2,0),0)*'Master Data-C19RM'!$F$2))</f>
        <v>0</v>
      </c>
      <c r="AL490" s="572"/>
      <c r="AM490" s="572"/>
      <c r="AN490" s="572"/>
      <c r="AO490" s="572"/>
      <c r="AP490" s="512">
        <f t="shared" si="66"/>
        <v>0</v>
      </c>
      <c r="AQ490" s="513">
        <f>IF(SETUP!$E$7="USD",(AP490*(IF(O490="USD",AK490,(AK490/'Master Data-C19RM'!$F$2)))),(AP490*(IF(O490="EUR",AK490,(AK490*'Master Data-C19RM'!$F$2)))))</f>
        <v>0</v>
      </c>
      <c r="AR490" s="924">
        <f>IF($O490="USD",_xlfn.IFNA(VLOOKUP($A490&amp;$E490&amp;$I490,PMsheet!$J:$K,2,0),0),(_xlfn.IFNA(VLOOKUP($A490&amp;$E490&amp;$I490,PMsheet!$J:$K,2,0),0)*'Master Data-C19RM'!$G$2))</f>
        <v>0</v>
      </c>
      <c r="AS490" s="572"/>
      <c r="AT490" s="572"/>
      <c r="AU490" s="572"/>
      <c r="AV490" s="572"/>
      <c r="AW490" s="512">
        <f t="shared" si="65"/>
        <v>0</v>
      </c>
      <c r="AX490" s="512">
        <f>IF(SETUP!$E$7="USD",(AW490*(IF(O490="USD",AR490,(AR490/'Master Data-C19RM'!$G$2)))),(AW490*(IF(O490="EUR",AR490,(AR490*'Master Data-C19RM'!$G$2)))))</f>
        <v>0</v>
      </c>
      <c r="AY490" s="845"/>
      <c r="AZ490" s="846"/>
      <c r="BA490" s="846"/>
      <c r="BB490" s="846"/>
      <c r="BC490" s="846"/>
      <c r="BD490" s="846"/>
      <c r="BE490" s="847"/>
      <c r="BF490" s="520">
        <f>'C19RM 2021-Lab &amp; Other HPS'!$U490+'C19RM 2021-Lab &amp; Other HPS'!$AB490+'C19RM 2021-Lab &amp; Other HPS'!$AP490+'C19RM 2021-Lab &amp; Other HPS'!$AI490+AW490+BD490</f>
        <v>0</v>
      </c>
      <c r="BG490" s="513">
        <f>'C19RM 2021-Lab &amp; Other HPS'!$V490+'C19RM 2021-Lab &amp; Other HPS'!$AC490+'C19RM 2021-Lab &amp; Other HPS'!$AQ490+'C19RM 2021-Lab &amp; Other HPS'!$AJ490+AX490+BE490</f>
        <v>0</v>
      </c>
      <c r="BH490" s="500" t="str" cm="1">
        <f t="array" ref="BH490">IF(A490&lt;&gt;"",IFERROR(INDEX(PMtbl[[WKst]:[Unit of measure*]],MATCH($A$437&amp;$A490&amp;$E490&amp;$I490,INDEX(PMtbl[Sec]&amp;PMtbl[Category]&amp;PMtbl[Each]&amp;PMtbl[Packaging],0,),0),11),""),"")</f>
        <v/>
      </c>
      <c r="BI490" s="819"/>
      <c r="BJ490" s="502" t="str" cm="1">
        <f t="array" ref="BJ490">IFERROR(INDEX(SETUP!$C$19:$G$121,MATCH((INDEX(PMtbl[[WKst]:[Unit of measure*]],MATCH($A490&amp;$E490&amp;$I490,INDEX(PMtbl[Category]&amp;PMtbl[Each]&amp;PMtbl[Packaging],0,),0),3)),SETUP!$D$19:$D$121,0),5),"")</f>
        <v/>
      </c>
      <c r="BK490" s="536" t="str" cm="1">
        <f t="array" ref="BK490">IFERROR(IF((INDEX(SETUP!$C$19:$G$121,MATCH((INDEX(PMtbl[[WKst]:[Unit of measure*]],MATCH($A490&amp;$E490&amp;$I490,INDEX(PMtbl[Category]&amp;PMtbl[Each]&amp;PMtbl[Packaging],0,),0),3)),SETUP!$D$19:$D$121,0),4))="Upfront",0,INDEX(SETUP!$C$19:$G$121,MATCH((INDEX(PMtbl[[WKst]:[Unit of measure*]],MATCH($A490&amp;$E490&amp;$I490,INDEX(PMtbl[Category]&amp;PMtbl[Each]&amp;PMtbl[Packaging],0,),0),3)),SETUP!$D$19:$D$121,0),5)),"")</f>
        <v/>
      </c>
      <c r="BL490" s="577" t="str" cm="1">
        <f t="array" ref="BL490">IF(E490&lt;&gt;"",IFERROR(INDEX(PMtbl[[WKst]:[Unit of measure*]],MATCH($A$437&amp;$A490&amp;$E490&amp;$I490,INDEX(PMtbl[Sec]&amp;PMtbl[Category]&amp;PMtbl[Each]&amp;PMtbl[Packaging],0,),0),11),""),"")</f>
        <v/>
      </c>
      <c r="BO490" s="12">
        <f>IF(N490="",0,IF(SETUP!$E$7="USD",((IF(O490="USD",P490,(P490/'Master Data-C19RM'!$C$2)))),((IF(O490="EUR",P490,(P490*'Master Data-C19RM'!$C$2))))))</f>
        <v>0</v>
      </c>
      <c r="BP490" s="12">
        <f>IF(N490="",0,IF(SETUP!$E$7="USD",((IF(O490="USD",W490,(W490/'Master Data-C19RM'!$D$2)))),((IF(O490="EUR",W490,(W490*'Master Data-C19RM'!$D$2))))))</f>
        <v>0</v>
      </c>
      <c r="BQ490">
        <f>IF(N490="",0,IF(SETUP!$E$7="USD",((IF(O490="USD",AD490,(AD490/'Master Data-C19RM'!$E$2)))),((IF(O490="EUR",AD490,(AD490*'Master Data-C19RM'!$E$2))))))</f>
        <v>0</v>
      </c>
      <c r="BR490">
        <f>IF(N490="",0,IF(SETUP!$E$7="USD",((IF(O490="USD",AK490,(AK490/'Master Data-C19RM'!$F$2)))),((IF(O490="EUR",AK490,(AK490*'Master Data-C19RM'!$F$2))))))</f>
        <v>0</v>
      </c>
      <c r="BS490">
        <f>IF(N490="",0,IF(SETUP!$E$7="USD",((IF(O490="USD",AR490,(AR490/'Master Data-C19RM'!$G$2)))),((IF(O490="EUR",AR490,(AR490*'Master Data-C19RM'!$G$2))))))</f>
        <v>0</v>
      </c>
      <c r="BT490">
        <f>IF(N490="",0,IF(SETUP!$E$7="USD",((IF(O490="USD",AY490,(AY490/'Master Data-C19RM'!$H$2)))),((IF(O490="EUR",AY490,(AY490*'Master Data-C19RM'!$H$2))))))</f>
        <v>0</v>
      </c>
      <c r="BU490" s="12">
        <f t="shared" si="59"/>
        <v>0</v>
      </c>
      <c r="BV490" s="142">
        <f t="shared" si="60"/>
        <v>0</v>
      </c>
      <c r="BW490"/>
      <c r="BX490"/>
      <c r="BY490"/>
      <c r="BZ490"/>
      <c r="CA490"/>
      <c r="CB490"/>
      <c r="CC490"/>
      <c r="CD490"/>
      <c r="CE490"/>
      <c r="CF490"/>
      <c r="CG490"/>
      <c r="CH490"/>
      <c r="CI490"/>
      <c r="CJ490"/>
      <c r="CK490"/>
      <c r="CL490"/>
      <c r="CM490"/>
      <c r="CN490"/>
      <c r="CO490"/>
      <c r="CP490"/>
    </row>
    <row r="491" spans="1:94" x14ac:dyDescent="0.35">
      <c r="A491" s="1172"/>
      <c r="B491" s="1172"/>
      <c r="C491" s="1172"/>
      <c r="D491" s="1172"/>
      <c r="E491" s="1173"/>
      <c r="F491" s="1173"/>
      <c r="G491" s="1173"/>
      <c r="H491" s="1173"/>
      <c r="I491" s="1173"/>
      <c r="J491" s="1173"/>
      <c r="K491" s="1173"/>
      <c r="L491" s="493" t="str" cm="1">
        <f t="array" ref="L491">IF(A491&lt;&gt;"",IFERROR(INDEX(PMtbl[[WKst]:[Unit of measure*]],MATCH($A$437&amp;$A491&amp;$E491&amp;$I491,INDEX(PMtbl[Sec]&amp;PMtbl[Category]&amp;PMtbl[Each]&amp;PMtbl[Packaging],0,),0),14),""),"")</f>
        <v/>
      </c>
      <c r="M491" s="480" t="str">
        <f>IF(L491="","",INDEX(SETUP!$E$20:$E$122,(MATCH(INDEX(PMsheet!$D:$E,MATCH(A491,PMsheet!E:E,0),1),SETUP!$D$20:$D$122,0))))</f>
        <v/>
      </c>
      <c r="N491" s="494">
        <f>IF($O491="USD",_xlfn.IFNA(VLOOKUP(A491&amp;E491&amp;I491,PMsheet!J:K,2,0),0),(_xlfn.IFNA(VLOOKUP(A491&amp;E491&amp;I491,PMsheet!J:K,2,0),0)*'Master Data-C19RM'!$C$2))</f>
        <v>0</v>
      </c>
      <c r="O491" s="495" t="str">
        <f>IF(L491="", "",SETUP!$E$7)</f>
        <v/>
      </c>
      <c r="P491" s="445">
        <f>IF($O491="USD",_xlfn.IFNA(VLOOKUP($A491&amp;$E491&amp;$I491,PMsheet!$J:$K,2,0),0),(_xlfn.IFNA(VLOOKUP($A491&amp;$E491&amp;$I491,PMsheet!$J:$K,2,0),0)*'Master Data-C19RM'!$C$2))</f>
        <v>0</v>
      </c>
      <c r="Q491" s="440"/>
      <c r="R491" s="440"/>
      <c r="S491" s="440"/>
      <c r="T491" s="440"/>
      <c r="U491" s="482">
        <f t="shared" si="61"/>
        <v>0</v>
      </c>
      <c r="V491" s="484">
        <f>IF(SETUP!$E$7="USD",(U491*(IF(O491="USD",P491,(P491/'Master Data-C19RM'!$C$2)))),(U491*(IF(O491="EUR",P491,(P491*'Master Data-C19RM'!$C$2)))))</f>
        <v>0</v>
      </c>
      <c r="W491" s="445">
        <f>IF($O491="USD",_xlfn.IFNA(VLOOKUP($A491&amp;$E491&amp;$I491,PMsheet!$J:$K,2,0),0),(_xlfn.IFNA(VLOOKUP($A491&amp;$E491&amp;$I491,PMsheet!$J:$K,2,0),0)*'Master Data-C19RM'!$D$2))</f>
        <v>0</v>
      </c>
      <c r="X491" s="440"/>
      <c r="Y491" s="440"/>
      <c r="Z491" s="440"/>
      <c r="AA491" s="440"/>
      <c r="AB491" s="482">
        <f t="shared" si="62"/>
        <v>0</v>
      </c>
      <c r="AC491" s="484">
        <f>IF(SETUP!$E$7="USD",(AB491*(IF(O491="USD",W491,(W491/'Master Data-C19RM'!$D$2)))),(AB491*(IF(O491="EUR",W491,(W491*'Master Data-C19RM'!$D$2)))))</f>
        <v>0</v>
      </c>
      <c r="AD491" s="445">
        <f>IF($O491="USD",_xlfn.IFNA(VLOOKUP($A491&amp;$E491&amp;$I491,PMsheet!$J:$K,2,0),0),(_xlfn.IFNA(VLOOKUP($A491&amp;$E491&amp;$I491,PMsheet!$J:$K,2,0),0)*'Master Data-C19RM'!$E$2))</f>
        <v>0</v>
      </c>
      <c r="AE491" s="440"/>
      <c r="AF491" s="440"/>
      <c r="AG491" s="440"/>
      <c r="AH491" s="440"/>
      <c r="AI491" s="514">
        <f t="shared" si="63"/>
        <v>0</v>
      </c>
      <c r="AJ491" s="515">
        <f>IF(SETUP!$E$7="USD",(AI491*(IF(O491="USD",AD491,(AD491/'Master Data-C19RM'!$E$2)))),(AI491*(IF(O491="EUR",AD491,(AD491*'Master Data-C19RM'!$E$2)))))</f>
        <v>0</v>
      </c>
      <c r="AK491" s="445">
        <f>IF($O491="USD",_xlfn.IFNA(VLOOKUP($A491&amp;$E491&amp;$I491,PMsheet!$J:$K,2,0),0),(_xlfn.IFNA(VLOOKUP($A491&amp;$E491&amp;$I491,PMsheet!$J:$K,2,0),0)*'Master Data-C19RM'!$F$2))</f>
        <v>0</v>
      </c>
      <c r="AL491" s="440"/>
      <c r="AM491" s="440"/>
      <c r="AN491" s="440"/>
      <c r="AO491" s="440"/>
      <c r="AP491" s="514">
        <f t="shared" si="66"/>
        <v>0</v>
      </c>
      <c r="AQ491" s="515">
        <f>IF(SETUP!$E$7="USD",(AP491*(IF(O491="USD",AK491,(AK491/'Master Data-C19RM'!$F$2)))),(AP491*(IF(O491="EUR",AK491,(AK491*'Master Data-C19RM'!$F$2)))))</f>
        <v>0</v>
      </c>
      <c r="AR491" s="925">
        <f>IF($O491="USD",_xlfn.IFNA(VLOOKUP($A491&amp;$E491&amp;$I491,PMsheet!$J:$K,2,0),0),(_xlfn.IFNA(VLOOKUP($A491&amp;$E491&amp;$I491,PMsheet!$J:$K,2,0),0)*'Master Data-C19RM'!$G$2))</f>
        <v>0</v>
      </c>
      <c r="AS491" s="926"/>
      <c r="AT491" s="926"/>
      <c r="AU491" s="926"/>
      <c r="AV491" s="926"/>
      <c r="AW491" s="514">
        <f t="shared" si="65"/>
        <v>0</v>
      </c>
      <c r="AX491" s="514">
        <f>IF(SETUP!$E$7="USD",(AW491*(IF(O491="USD",AR491,(AR491/'Master Data-C19RM'!$G$2)))),(AW491*(IF(O491="EUR",AR491,(AR491*'Master Data-C19RM'!$G$2)))))</f>
        <v>0</v>
      </c>
      <c r="AY491" s="845"/>
      <c r="AZ491" s="846"/>
      <c r="BA491" s="846"/>
      <c r="BB491" s="846"/>
      <c r="BC491" s="846"/>
      <c r="BD491" s="846"/>
      <c r="BE491" s="847"/>
      <c r="BF491" s="521">
        <f>'C19RM 2021-Lab &amp; Other HPS'!$U491+'C19RM 2021-Lab &amp; Other HPS'!$AB491+'C19RM 2021-Lab &amp; Other HPS'!$AP491+'C19RM 2021-Lab &amp; Other HPS'!$AI491+AW491+BD491</f>
        <v>0</v>
      </c>
      <c r="BG491" s="515">
        <f>'C19RM 2021-Lab &amp; Other HPS'!$V491+'C19RM 2021-Lab &amp; Other HPS'!$AC491+'C19RM 2021-Lab &amp; Other HPS'!$AQ491+'C19RM 2021-Lab &amp; Other HPS'!$AJ491+AX491+BE491</f>
        <v>0</v>
      </c>
      <c r="BH491" s="522" t="str" cm="1">
        <f t="array" ref="BH491">IF(A491&lt;&gt;"",IFERROR(INDEX(PMtbl[[WKst]:[Unit of measure*]],MATCH($A$437&amp;$A491&amp;$E491&amp;$I491,INDEX(PMtbl[Sec]&amp;PMtbl[Category]&amp;PMtbl[Each]&amp;PMtbl[Packaging],0,),0),11),""),"")</f>
        <v/>
      </c>
      <c r="BI491" s="818"/>
      <c r="BJ491" s="503" t="str" cm="1">
        <f t="array" ref="BJ491">IFERROR(INDEX(SETUP!$C$19:$G$121,MATCH((INDEX(PMtbl[[WKst]:[Unit of measure*]],MATCH($A491&amp;$E491&amp;$I491,INDEX(PMtbl[Category]&amp;PMtbl[Each]&amp;PMtbl[Packaging],0,),0),3)),SETUP!$D$19:$D$121,0),5),"")</f>
        <v/>
      </c>
      <c r="BK491" s="537"/>
      <c r="BL491" s="578"/>
      <c r="BO491" s="12">
        <f>IF(N491="",0,IF(SETUP!$E$7="USD",((IF(O491="USD",P491,(P491/'Master Data-C19RM'!$C$2)))),((IF(O491="EUR",P491,(P491*'Master Data-C19RM'!$C$2))))))</f>
        <v>0</v>
      </c>
      <c r="BP491" s="12">
        <f>IF(N491="",0,IF(SETUP!$E$7="USD",((IF(O491="USD",W491,(W491/'Master Data-C19RM'!$D$2)))),((IF(O491="EUR",W491,(W491*'Master Data-C19RM'!$D$2))))))</f>
        <v>0</v>
      </c>
      <c r="BQ491">
        <f>IF(N491="",0,IF(SETUP!$E$7="USD",((IF(O491="USD",AD491,(AD491/'Master Data-C19RM'!$E$2)))),((IF(O491="EUR",AD491,(AD491*'Master Data-C19RM'!$E$2))))))</f>
        <v>0</v>
      </c>
      <c r="BR491">
        <f>IF(N491="",0,IF(SETUP!$E$7="USD",((IF(O491="USD",AK491,(AK491/'Master Data-C19RM'!$F$2)))),((IF(O491="EUR",AK491,(AK491*'Master Data-C19RM'!$F$2))))))</f>
        <v>0</v>
      </c>
      <c r="BS491">
        <f>IF(N491="",0,IF(SETUP!$E$7="USD",((IF(O491="USD",AR491,(AR491/'Master Data-C19RM'!$G$2)))),((IF(O491="EUR",AR491,(AR491*'Master Data-C19RM'!$G$2))))))</f>
        <v>0</v>
      </c>
      <c r="BT491">
        <f>IF(N491="",0,IF(SETUP!$E$7="USD",((IF(O491="USD",AY491,(AY491/'Master Data-C19RM'!$H$2)))),((IF(O491="EUR",AY491,(AY491*'Master Data-C19RM'!$H$2))))))</f>
        <v>0</v>
      </c>
      <c r="BU491" s="12">
        <f t="shared" ref="BU491:BU540" si="67">IF(AND(L491="",(COUNTBLANK(A491:K491)=8)),1,0)</f>
        <v>0</v>
      </c>
      <c r="BV491" s="142">
        <f t="shared" ref="BV491:BV540" si="68">BF491</f>
        <v>0</v>
      </c>
    </row>
    <row r="492" spans="1:94" x14ac:dyDescent="0.35">
      <c r="A492" s="1165"/>
      <c r="B492" s="1165"/>
      <c r="C492" s="1165"/>
      <c r="D492" s="1165"/>
      <c r="E492" s="1166"/>
      <c r="F492" s="1166"/>
      <c r="G492" s="1166"/>
      <c r="H492" s="1166"/>
      <c r="I492" s="1166"/>
      <c r="J492" s="1166"/>
      <c r="K492" s="1166"/>
      <c r="L492" s="490" t="str" cm="1">
        <f t="array" ref="L492">IF(A492&lt;&gt;"",IFERROR(INDEX(PMtbl[[WKst]:[Unit of measure*]],MATCH($A$437&amp;$A492&amp;$E492&amp;$I492,INDEX(PMtbl[Sec]&amp;PMtbl[Category]&amp;PMtbl[Each]&amp;PMtbl[Packaging],0,),0),14),""),"")</f>
        <v/>
      </c>
      <c r="M492" s="479" t="str">
        <f>IF(L492="","",INDEX(SETUP!$E$20:$E$122,(MATCH(INDEX(PMsheet!$D:$E,MATCH(A492,PMsheet!E:E,0),1),SETUP!$D$20:$D$122,0))))</f>
        <v/>
      </c>
      <c r="N492" s="491">
        <f>IF($O492="USD",_xlfn.IFNA(VLOOKUP(A492&amp;E492&amp;I492,PMsheet!J:K,2,0),0),(_xlfn.IFNA(VLOOKUP(A492&amp;E492&amp;I492,PMsheet!J:K,2,0),0)*'Master Data-C19RM'!$C$2))</f>
        <v>0</v>
      </c>
      <c r="O492" s="492" t="str">
        <f>IF(L492="", "",SETUP!$E$7)</f>
        <v/>
      </c>
      <c r="P492" s="444">
        <f>IF($O492="USD",_xlfn.IFNA(VLOOKUP($A492&amp;$E492&amp;$I492,PMsheet!$J:$K,2,0),0),(_xlfn.IFNA(VLOOKUP($A492&amp;$E492&amp;$I492,PMsheet!$J:$K,2,0),0)*'Master Data-C19RM'!$C$2))</f>
        <v>0</v>
      </c>
      <c r="Q492" s="441"/>
      <c r="R492" s="441"/>
      <c r="S492" s="441"/>
      <c r="T492" s="441"/>
      <c r="U492" s="481">
        <f t="shared" si="61"/>
        <v>0</v>
      </c>
      <c r="V492" s="483">
        <f>IF(SETUP!$E$7="USD",(U492*(IF(O492="USD",P492,(P492/'Master Data-C19RM'!$C$2)))),(U492*(IF(O492="EUR",P492,(P492*'Master Data-C19RM'!$C$2)))))</f>
        <v>0</v>
      </c>
      <c r="W492" s="444">
        <f>IF($O492="USD",_xlfn.IFNA(VLOOKUP($A492&amp;$E492&amp;$I492,PMsheet!$J:$K,2,0),0),(_xlfn.IFNA(VLOOKUP($A492&amp;$E492&amp;$I492,PMsheet!$J:$K,2,0),0)*'Master Data-C19RM'!$D$2))</f>
        <v>0</v>
      </c>
      <c r="X492" s="441"/>
      <c r="Y492" s="441"/>
      <c r="Z492" s="441"/>
      <c r="AA492" s="441"/>
      <c r="AB492" s="481">
        <f t="shared" si="62"/>
        <v>0</v>
      </c>
      <c r="AC492" s="483">
        <f>IF(SETUP!$E$7="USD",(AB492*(IF(O492="USD",W492,(W492/'Master Data-C19RM'!$D$2)))),(AB492*(IF(O492="EUR",W492,(W492*'Master Data-C19RM'!$D$2)))))</f>
        <v>0</v>
      </c>
      <c r="AD492" s="444">
        <f>IF($O492="USD",_xlfn.IFNA(VLOOKUP($A492&amp;$E492&amp;$I492,PMsheet!$J:$K,2,0),0),(_xlfn.IFNA(VLOOKUP($A492&amp;$E492&amp;$I492,PMsheet!$J:$K,2,0),0)*'Master Data-C19RM'!$E$2))</f>
        <v>0</v>
      </c>
      <c r="AE492" s="441"/>
      <c r="AF492" s="441"/>
      <c r="AG492" s="441"/>
      <c r="AH492" s="441"/>
      <c r="AI492" s="512">
        <f t="shared" si="63"/>
        <v>0</v>
      </c>
      <c r="AJ492" s="513">
        <f>IF(SETUP!$E$7="USD",(AI492*(IF(O492="USD",AD492,(AD492/'Master Data-C19RM'!$E$2)))),(AI492*(IF(O492="EUR",AD492,(AD492*'Master Data-C19RM'!$E$2)))))</f>
        <v>0</v>
      </c>
      <c r="AK492" s="444">
        <f>IF($O492="USD",_xlfn.IFNA(VLOOKUP($A492&amp;$E492&amp;$I492,PMsheet!$J:$K,2,0),0),(_xlfn.IFNA(VLOOKUP($A492&amp;$E492&amp;$I492,PMsheet!$J:$K,2,0),0)*'Master Data-C19RM'!$F$2))</f>
        <v>0</v>
      </c>
      <c r="AL492" s="441"/>
      <c r="AM492" s="441"/>
      <c r="AN492" s="441"/>
      <c r="AO492" s="441"/>
      <c r="AP492" s="512">
        <f t="shared" si="66"/>
        <v>0</v>
      </c>
      <c r="AQ492" s="513">
        <f>IF(SETUP!$E$7="USD",(AP492*(IF(O492="USD",AK492,(AK492/'Master Data-C19RM'!$F$2)))),(AP492*(IF(O492="EUR",AK492,(AK492*'Master Data-C19RM'!$F$2)))))</f>
        <v>0</v>
      </c>
      <c r="AR492" s="924">
        <f>IF($O492="USD",_xlfn.IFNA(VLOOKUP($A492&amp;$E492&amp;$I492,PMsheet!$J:$K,2,0),0),(_xlfn.IFNA(VLOOKUP($A492&amp;$E492&amp;$I492,PMsheet!$J:$K,2,0),0)*'Master Data-C19RM'!$G$2))</f>
        <v>0</v>
      </c>
      <c r="AS492" s="572"/>
      <c r="AT492" s="572"/>
      <c r="AU492" s="572"/>
      <c r="AV492" s="572"/>
      <c r="AW492" s="512">
        <f t="shared" si="65"/>
        <v>0</v>
      </c>
      <c r="AX492" s="512">
        <f>IF(SETUP!$E$7="USD",(AW492*(IF(O492="USD",AR492,(AR492/'Master Data-C19RM'!$G$2)))),(AW492*(IF(O492="EUR",AR492,(AR492*'Master Data-C19RM'!$G$2)))))</f>
        <v>0</v>
      </c>
      <c r="AY492" s="845"/>
      <c r="AZ492" s="846"/>
      <c r="BA492" s="846"/>
      <c r="BB492" s="846"/>
      <c r="BC492" s="846"/>
      <c r="BD492" s="846"/>
      <c r="BE492" s="847"/>
      <c r="BF492" s="520">
        <f>'C19RM 2021-Lab &amp; Other HPS'!$U492+'C19RM 2021-Lab &amp; Other HPS'!$AB492+'C19RM 2021-Lab &amp; Other HPS'!$AP492+'C19RM 2021-Lab &amp; Other HPS'!$AI492+AW492+BD492</f>
        <v>0</v>
      </c>
      <c r="BG492" s="513">
        <f>'C19RM 2021-Lab &amp; Other HPS'!$V492+'C19RM 2021-Lab &amp; Other HPS'!$AC492+'C19RM 2021-Lab &amp; Other HPS'!$AQ492+'C19RM 2021-Lab &amp; Other HPS'!$AJ492+AX492+BE492</f>
        <v>0</v>
      </c>
      <c r="BH492" s="500" t="str" cm="1">
        <f t="array" ref="BH492">IF(A492&lt;&gt;"",IFERROR(INDEX(PMtbl[[WKst]:[Unit of measure*]],MATCH($A$437&amp;$A492&amp;$E492&amp;$I492,INDEX(PMtbl[Sec]&amp;PMtbl[Category]&amp;PMtbl[Each]&amp;PMtbl[Packaging],0,),0),11),""),"")</f>
        <v/>
      </c>
      <c r="BI492" s="819"/>
      <c r="BJ492" s="502" t="str" cm="1">
        <f t="array" ref="BJ492">IFERROR(INDEX(SETUP!$C$19:$G$121,MATCH((INDEX(PMtbl[[WKst]:[Unit of measure*]],MATCH($A492&amp;$E492&amp;$I492,INDEX(PMtbl[Category]&amp;PMtbl[Each]&amp;PMtbl[Packaging],0,),0),3)),SETUP!$D$19:$D$121,0),5),"")</f>
        <v/>
      </c>
      <c r="BK492" s="536"/>
      <c r="BL492" s="577"/>
      <c r="BO492" s="12">
        <f>IF(N492="",0,IF(SETUP!$E$7="USD",((IF(O492="USD",P492,(P492/'Master Data-C19RM'!$C$2)))),((IF(O492="EUR",P492,(P492*'Master Data-C19RM'!$C$2))))))</f>
        <v>0</v>
      </c>
      <c r="BP492" s="12">
        <f>IF(N492="",0,IF(SETUP!$E$7="USD",((IF(O492="USD",W492,(W492/'Master Data-C19RM'!$D$2)))),((IF(O492="EUR",W492,(W492*'Master Data-C19RM'!$D$2))))))</f>
        <v>0</v>
      </c>
      <c r="BQ492">
        <f>IF(N492="",0,IF(SETUP!$E$7="USD",((IF(O492="USD",AD492,(AD492/'Master Data-C19RM'!$E$2)))),((IF(O492="EUR",AD492,(AD492*'Master Data-C19RM'!$E$2))))))</f>
        <v>0</v>
      </c>
      <c r="BR492">
        <f>IF(N492="",0,IF(SETUP!$E$7="USD",((IF(O492="USD",AK492,(AK492/'Master Data-C19RM'!$F$2)))),((IF(O492="EUR",AK492,(AK492*'Master Data-C19RM'!$F$2))))))</f>
        <v>0</v>
      </c>
      <c r="BS492">
        <f>IF(N492="",0,IF(SETUP!$E$7="USD",((IF(O492="USD",AR492,(AR492/'Master Data-C19RM'!$G$2)))),((IF(O492="EUR",AR492,(AR492*'Master Data-C19RM'!$G$2))))))</f>
        <v>0</v>
      </c>
      <c r="BT492">
        <f>IF(N492="",0,IF(SETUP!$E$7="USD",((IF(O492="USD",AY492,(AY492/'Master Data-C19RM'!$H$2)))),((IF(O492="EUR",AY492,(AY492*'Master Data-C19RM'!$H$2))))))</f>
        <v>0</v>
      </c>
      <c r="BU492" s="12">
        <f t="shared" si="67"/>
        <v>0</v>
      </c>
      <c r="BV492" s="142">
        <f t="shared" si="68"/>
        <v>0</v>
      </c>
    </row>
    <row r="493" spans="1:94" x14ac:dyDescent="0.35">
      <c r="A493" s="1172"/>
      <c r="B493" s="1172"/>
      <c r="C493" s="1172"/>
      <c r="D493" s="1172"/>
      <c r="E493" s="1173"/>
      <c r="F493" s="1173"/>
      <c r="G493" s="1173"/>
      <c r="H493" s="1173"/>
      <c r="I493" s="1173"/>
      <c r="J493" s="1173"/>
      <c r="K493" s="1173"/>
      <c r="L493" s="493" t="str" cm="1">
        <f t="array" ref="L493">IF(A493&lt;&gt;"",IFERROR(INDEX(PMtbl[[WKst]:[Unit of measure*]],MATCH($A$437&amp;$A493&amp;$E493&amp;$I493,INDEX(PMtbl[Sec]&amp;PMtbl[Category]&amp;PMtbl[Each]&amp;PMtbl[Packaging],0,),0),14),""),"")</f>
        <v/>
      </c>
      <c r="M493" s="480" t="str">
        <f>IF(L493="","",INDEX(SETUP!$E$20:$E$122,(MATCH(INDEX(PMsheet!$D:$E,MATCH(A493,PMsheet!E:E,0),1),SETUP!$D$20:$D$122,0))))</f>
        <v/>
      </c>
      <c r="N493" s="494">
        <f>IF($O493="USD",_xlfn.IFNA(VLOOKUP(A493&amp;E493&amp;I493,PMsheet!J:K,2,0),0),(_xlfn.IFNA(VLOOKUP(A493&amp;E493&amp;I493,PMsheet!J:K,2,0),0)*'Master Data-C19RM'!$C$2))</f>
        <v>0</v>
      </c>
      <c r="O493" s="495" t="str">
        <f>IF(L493="", "",SETUP!$E$7)</f>
        <v/>
      </c>
      <c r="P493" s="445">
        <f>IF($O493="USD",_xlfn.IFNA(VLOOKUP($A493&amp;$E493&amp;$I493,PMsheet!$J:$K,2,0),0),(_xlfn.IFNA(VLOOKUP($A493&amp;$E493&amp;$I493,PMsheet!$J:$K,2,0),0)*'Master Data-C19RM'!$C$2))</f>
        <v>0</v>
      </c>
      <c r="Q493" s="440"/>
      <c r="R493" s="440"/>
      <c r="S493" s="440"/>
      <c r="T493" s="440"/>
      <c r="U493" s="482">
        <f t="shared" si="61"/>
        <v>0</v>
      </c>
      <c r="V493" s="484">
        <f>IF(SETUP!$E$7="USD",(U493*(IF(O493="USD",P493,(P493/'Master Data-C19RM'!$C$2)))),(U493*(IF(O493="EUR",P493,(P493*'Master Data-C19RM'!$C$2)))))</f>
        <v>0</v>
      </c>
      <c r="W493" s="445">
        <f>IF($O493="USD",_xlfn.IFNA(VLOOKUP($A493&amp;$E493&amp;$I493,PMsheet!$J:$K,2,0),0),(_xlfn.IFNA(VLOOKUP($A493&amp;$E493&amp;$I493,PMsheet!$J:$K,2,0),0)*'Master Data-C19RM'!$D$2))</f>
        <v>0</v>
      </c>
      <c r="X493" s="440"/>
      <c r="Y493" s="440"/>
      <c r="Z493" s="440"/>
      <c r="AA493" s="440"/>
      <c r="AB493" s="482">
        <f t="shared" si="62"/>
        <v>0</v>
      </c>
      <c r="AC493" s="484">
        <f>IF(SETUP!$E$7="USD",(AB493*(IF(O493="USD",W493,(W493/'Master Data-C19RM'!$D$2)))),(AB493*(IF(O493="EUR",W493,(W493*'Master Data-C19RM'!$D$2)))))</f>
        <v>0</v>
      </c>
      <c r="AD493" s="445">
        <f>IF($O493="USD",_xlfn.IFNA(VLOOKUP($A493&amp;$E493&amp;$I493,PMsheet!$J:$K,2,0),0),(_xlfn.IFNA(VLOOKUP($A493&amp;$E493&amp;$I493,PMsheet!$J:$K,2,0),0)*'Master Data-C19RM'!$E$2))</f>
        <v>0</v>
      </c>
      <c r="AE493" s="440"/>
      <c r="AF493" s="440"/>
      <c r="AG493" s="440"/>
      <c r="AH493" s="440"/>
      <c r="AI493" s="514">
        <f t="shared" si="63"/>
        <v>0</v>
      </c>
      <c r="AJ493" s="515">
        <f>IF(SETUP!$E$7="USD",(AI493*(IF(O493="USD",AD493,(AD493/'Master Data-C19RM'!$E$2)))),(AI493*(IF(O493="EUR",AD493,(AD493*'Master Data-C19RM'!$E$2)))))</f>
        <v>0</v>
      </c>
      <c r="AK493" s="445">
        <f>IF($O493="USD",_xlfn.IFNA(VLOOKUP($A493&amp;$E493&amp;$I493,PMsheet!$J:$K,2,0),0),(_xlfn.IFNA(VLOOKUP($A493&amp;$E493&amp;$I493,PMsheet!$J:$K,2,0),0)*'Master Data-C19RM'!$F$2))</f>
        <v>0</v>
      </c>
      <c r="AL493" s="440"/>
      <c r="AM493" s="440"/>
      <c r="AN493" s="440"/>
      <c r="AO493" s="440"/>
      <c r="AP493" s="514">
        <f t="shared" si="66"/>
        <v>0</v>
      </c>
      <c r="AQ493" s="515">
        <f>IF(SETUP!$E$7="USD",(AP493*(IF(O493="USD",AK493,(AK493/'Master Data-C19RM'!$F$2)))),(AP493*(IF(O493="EUR",AK493,(AK493*'Master Data-C19RM'!$F$2)))))</f>
        <v>0</v>
      </c>
      <c r="AR493" s="925">
        <f>IF($O493="USD",_xlfn.IFNA(VLOOKUP($A493&amp;$E493&amp;$I493,PMsheet!$J:$K,2,0),0),(_xlfn.IFNA(VLOOKUP($A493&amp;$E493&amp;$I493,PMsheet!$J:$K,2,0),0)*'Master Data-C19RM'!$G$2))</f>
        <v>0</v>
      </c>
      <c r="AS493" s="926"/>
      <c r="AT493" s="926"/>
      <c r="AU493" s="926"/>
      <c r="AV493" s="926"/>
      <c r="AW493" s="514">
        <f t="shared" si="65"/>
        <v>0</v>
      </c>
      <c r="AX493" s="514">
        <f>IF(SETUP!$E$7="USD",(AW493*(IF(O493="USD",AR493,(AR493/'Master Data-C19RM'!$G$2)))),(AW493*(IF(O493="EUR",AR493,(AR493*'Master Data-C19RM'!$G$2)))))</f>
        <v>0</v>
      </c>
      <c r="AY493" s="845"/>
      <c r="AZ493" s="846"/>
      <c r="BA493" s="846"/>
      <c r="BB493" s="846"/>
      <c r="BC493" s="846"/>
      <c r="BD493" s="846"/>
      <c r="BE493" s="847"/>
      <c r="BF493" s="521">
        <f>'C19RM 2021-Lab &amp; Other HPS'!$U493+'C19RM 2021-Lab &amp; Other HPS'!$AB493+'C19RM 2021-Lab &amp; Other HPS'!$AP493+'C19RM 2021-Lab &amp; Other HPS'!$AI493+AW493+BD493</f>
        <v>0</v>
      </c>
      <c r="BG493" s="515">
        <f>'C19RM 2021-Lab &amp; Other HPS'!$V493+'C19RM 2021-Lab &amp; Other HPS'!$AC493+'C19RM 2021-Lab &amp; Other HPS'!$AQ493+'C19RM 2021-Lab &amp; Other HPS'!$AJ493+AX493+BE493</f>
        <v>0</v>
      </c>
      <c r="BH493" s="522" t="str" cm="1">
        <f t="array" ref="BH493">IF(A493&lt;&gt;"",IFERROR(INDEX(PMtbl[[WKst]:[Unit of measure*]],MATCH($A$437&amp;$A493&amp;$E493&amp;$I493,INDEX(PMtbl[Sec]&amp;PMtbl[Category]&amp;PMtbl[Each]&amp;PMtbl[Packaging],0,),0),11),""),"")</f>
        <v/>
      </c>
      <c r="BI493" s="818"/>
      <c r="BJ493" s="503" t="str" cm="1">
        <f t="array" ref="BJ493">IFERROR(INDEX(SETUP!$C$19:$G$121,MATCH((INDEX(PMtbl[[WKst]:[Unit of measure*]],MATCH($A493&amp;$E493&amp;$I493,INDEX(PMtbl[Category]&amp;PMtbl[Each]&amp;PMtbl[Packaging],0,),0),3)),SETUP!$D$19:$D$121,0),5),"")</f>
        <v/>
      </c>
      <c r="BK493" s="537"/>
      <c r="BL493" s="578"/>
      <c r="BO493" s="12">
        <f>IF(N493="",0,IF(SETUP!$E$7="USD",((IF(O493="USD",P493,(P493/'Master Data-C19RM'!$C$2)))),((IF(O493="EUR",P493,(P493*'Master Data-C19RM'!$C$2))))))</f>
        <v>0</v>
      </c>
      <c r="BP493" s="12">
        <f>IF(N493="",0,IF(SETUP!$E$7="USD",((IF(O493="USD",W493,(W493/'Master Data-C19RM'!$D$2)))),((IF(O493="EUR",W493,(W493*'Master Data-C19RM'!$D$2))))))</f>
        <v>0</v>
      </c>
      <c r="BQ493">
        <f>IF(N493="",0,IF(SETUP!$E$7="USD",((IF(O493="USD",AD493,(AD493/'Master Data-C19RM'!$E$2)))),((IF(O493="EUR",AD493,(AD493*'Master Data-C19RM'!$E$2))))))</f>
        <v>0</v>
      </c>
      <c r="BR493">
        <f>IF(N493="",0,IF(SETUP!$E$7="USD",((IF(O493="USD",AK493,(AK493/'Master Data-C19RM'!$F$2)))),((IF(O493="EUR",AK493,(AK493*'Master Data-C19RM'!$F$2))))))</f>
        <v>0</v>
      </c>
      <c r="BS493">
        <f>IF(N493="",0,IF(SETUP!$E$7="USD",((IF(O493="USD",AR493,(AR493/'Master Data-C19RM'!$G$2)))),((IF(O493="EUR",AR493,(AR493*'Master Data-C19RM'!$G$2))))))</f>
        <v>0</v>
      </c>
      <c r="BT493">
        <f>IF(N493="",0,IF(SETUP!$E$7="USD",((IF(O493="USD",AY493,(AY493/'Master Data-C19RM'!$H$2)))),((IF(O493="EUR",AY493,(AY493*'Master Data-C19RM'!$H$2))))))</f>
        <v>0</v>
      </c>
      <c r="BU493" s="12">
        <f t="shared" si="67"/>
        <v>0</v>
      </c>
      <c r="BV493" s="142">
        <f t="shared" si="68"/>
        <v>0</v>
      </c>
    </row>
    <row r="494" spans="1:94" s="24" customFormat="1" x14ac:dyDescent="0.35">
      <c r="A494" s="1196"/>
      <c r="B494" s="1196"/>
      <c r="C494" s="1196"/>
      <c r="D494" s="1196"/>
      <c r="E494" s="1166"/>
      <c r="F494" s="1166"/>
      <c r="G494" s="1166"/>
      <c r="H494" s="1166"/>
      <c r="I494" s="1166"/>
      <c r="J494" s="1166"/>
      <c r="K494" s="1166"/>
      <c r="L494" s="490" t="str" cm="1">
        <f t="array" ref="L494">IF(A494&lt;&gt;"",IFERROR(INDEX(PMtbl[[WKst]:[Unit of measure*]],MATCH($A$437&amp;$A494&amp;$E494&amp;$I494,INDEX(PMtbl[Sec]&amp;PMtbl[Category]&amp;PMtbl[Each]&amp;PMtbl[Packaging],0,),0),14),""),"")</f>
        <v/>
      </c>
      <c r="M494" s="479" t="str">
        <f>IF(L494="","",INDEX(SETUP!$E$20:$E$122,(MATCH(INDEX(PMsheet!$D:$E,MATCH(A494,PMsheet!E:E,0),1),SETUP!$D$20:$D$122,0))))</f>
        <v/>
      </c>
      <c r="N494" s="491">
        <f>IF($O494="USD",_xlfn.IFNA(VLOOKUP(A494&amp;E494&amp;I494,PMsheet!J:K,2,0),0),(_xlfn.IFNA(VLOOKUP(A494&amp;E494&amp;I494,PMsheet!J:K,2,0),0)*'Master Data-C19RM'!$C$2))</f>
        <v>0</v>
      </c>
      <c r="O494" s="573" t="str">
        <f>IF(L494="", "",SETUP!$E$7)</f>
        <v/>
      </c>
      <c r="P494" s="444">
        <f>IF($O494="USD",_xlfn.IFNA(VLOOKUP($A494&amp;$E494&amp;$I494,PMsheet!$J:$K,2,0),0),(_xlfn.IFNA(VLOOKUP($A494&amp;$E494&amp;$I494,PMsheet!$J:$K,2,0),0)*'Master Data-C19RM'!$C$2))</f>
        <v>0</v>
      </c>
      <c r="Q494" s="441"/>
      <c r="R494" s="441"/>
      <c r="S494" s="441"/>
      <c r="T494" s="441"/>
      <c r="U494" s="481">
        <f t="shared" si="61"/>
        <v>0</v>
      </c>
      <c r="V494" s="483">
        <f>IF(SETUP!$E$7="USD",(U494*(IF(O494="USD",P494,(P494/'Master Data-C19RM'!$C$2)))),(U494*(IF(O494="EUR",P494,(P494*'Master Data-C19RM'!$C$2)))))</f>
        <v>0</v>
      </c>
      <c r="W494" s="444">
        <f>IF($O494="USD",_xlfn.IFNA(VLOOKUP($A494&amp;$E494&amp;$I494,PMsheet!$J:$K,2,0),0),(_xlfn.IFNA(VLOOKUP($A494&amp;$E494&amp;$I494,PMsheet!$J:$K,2,0),0)*'Master Data-C19RM'!$D$2))</f>
        <v>0</v>
      </c>
      <c r="X494" s="441"/>
      <c r="Y494" s="441"/>
      <c r="Z494" s="441"/>
      <c r="AA494" s="441"/>
      <c r="AB494" s="481">
        <f t="shared" si="62"/>
        <v>0</v>
      </c>
      <c r="AC494" s="483">
        <f>IF(SETUP!$E$7="USD",(AB494*(IF(O494="USD",W494,(W494/'Master Data-C19RM'!$D$2)))),(AB494*(IF(O494="EUR",W494,(W494*'Master Data-C19RM'!$D$2)))))</f>
        <v>0</v>
      </c>
      <c r="AD494" s="444">
        <f>IF($O494="USD",_xlfn.IFNA(VLOOKUP($A494&amp;$E494&amp;$I494,PMsheet!$J:$K,2,0),0),(_xlfn.IFNA(VLOOKUP($A494&amp;$E494&amp;$I494,PMsheet!$J:$K,2,0),0)*'Master Data-C19RM'!$E$2))</f>
        <v>0</v>
      </c>
      <c r="AE494" s="441"/>
      <c r="AF494" s="441"/>
      <c r="AG494" s="441"/>
      <c r="AH494" s="441"/>
      <c r="AI494" s="512">
        <f t="shared" si="63"/>
        <v>0</v>
      </c>
      <c r="AJ494" s="513">
        <f>IF(SETUP!$E$7="USD",(AI494*(IF(O494="USD",AD494,(AD494/'Master Data-C19RM'!$E$2)))),(AI494*(IF(O494="EUR",AD494,(AD494*'Master Data-C19RM'!$E$2)))))</f>
        <v>0</v>
      </c>
      <c r="AK494" s="456">
        <f>IF($O494="USD",_xlfn.IFNA(VLOOKUP($A494&amp;$E494&amp;$I494,PMsheet!$J:$K,2,0),0),(_xlfn.IFNA(VLOOKUP($A494&amp;$E494&amp;$I494,PMsheet!$J:$K,2,0),0)*'Master Data-C19RM'!$F$2))</f>
        <v>0</v>
      </c>
      <c r="AL494" s="572"/>
      <c r="AM494" s="572"/>
      <c r="AN494" s="572"/>
      <c r="AO494" s="572"/>
      <c r="AP494" s="512">
        <f t="shared" si="66"/>
        <v>0</v>
      </c>
      <c r="AQ494" s="513">
        <f>IF(SETUP!$E$7="USD",(AP494*(IF(O494="USD",AK494,(AK494/'Master Data-C19RM'!$F$2)))),(AP494*(IF(O494="EUR",AK494,(AK494*'Master Data-C19RM'!$F$2)))))</f>
        <v>0</v>
      </c>
      <c r="AR494" s="924">
        <f>IF($O494="USD",_xlfn.IFNA(VLOOKUP($A494&amp;$E494&amp;$I494,PMsheet!$J:$K,2,0),0),(_xlfn.IFNA(VLOOKUP($A494&amp;$E494&amp;$I494,PMsheet!$J:$K,2,0),0)*'Master Data-C19RM'!$G$2))</f>
        <v>0</v>
      </c>
      <c r="AS494" s="572"/>
      <c r="AT494" s="572"/>
      <c r="AU494" s="572"/>
      <c r="AV494" s="572"/>
      <c r="AW494" s="512">
        <f t="shared" si="65"/>
        <v>0</v>
      </c>
      <c r="AX494" s="512">
        <f>IF(SETUP!$E$7="USD",(AW494*(IF(O494="USD",AR494,(AR494/'Master Data-C19RM'!$G$2)))),(AW494*(IF(O494="EUR",AR494,(AR494*'Master Data-C19RM'!$G$2)))))</f>
        <v>0</v>
      </c>
      <c r="AY494" s="845"/>
      <c r="AZ494" s="846"/>
      <c r="BA494" s="846"/>
      <c r="BB494" s="846"/>
      <c r="BC494" s="846"/>
      <c r="BD494" s="846"/>
      <c r="BE494" s="847"/>
      <c r="BF494" s="520">
        <f>'C19RM 2021-Lab &amp; Other HPS'!$U494+'C19RM 2021-Lab &amp; Other HPS'!$AB494+'C19RM 2021-Lab &amp; Other HPS'!$AP494+'C19RM 2021-Lab &amp; Other HPS'!$AI494+AW494+BD494</f>
        <v>0</v>
      </c>
      <c r="BG494" s="513">
        <f>'C19RM 2021-Lab &amp; Other HPS'!$V494+'C19RM 2021-Lab &amp; Other HPS'!$AC494+'C19RM 2021-Lab &amp; Other HPS'!$AQ494+'C19RM 2021-Lab &amp; Other HPS'!$AJ494+AX494+BE494</f>
        <v>0</v>
      </c>
      <c r="BH494" s="500" t="str" cm="1">
        <f t="array" ref="BH494">IF(A494&lt;&gt;"",IFERROR(INDEX(PMtbl[[WKst]:[Unit of measure*]],MATCH($A$437&amp;$A494&amp;$E494&amp;$I494,INDEX(PMtbl[Sec]&amp;PMtbl[Category]&amp;PMtbl[Each]&amp;PMtbl[Packaging],0,),0),11),""),"")</f>
        <v/>
      </c>
      <c r="BI494" s="819"/>
      <c r="BJ494" s="502" t="str" cm="1">
        <f t="array" ref="BJ494">IFERROR(INDEX(SETUP!$C$19:$G$121,MATCH((INDEX(PMtbl[[WKst]:[Unit of measure*]],MATCH($A494&amp;$E494&amp;$I494,INDEX(PMtbl[Category]&amp;PMtbl[Each]&amp;PMtbl[Packaging],0,),0),3)),SETUP!$D$19:$D$121,0),5),"")</f>
        <v/>
      </c>
      <c r="BK494" s="536"/>
      <c r="BL494" s="577"/>
      <c r="BO494" s="12">
        <f>IF(N494="",0,IF(SETUP!$E$7="USD",((IF(O494="USD",P494,(P494/'Master Data-C19RM'!$C$2)))),((IF(O494="EUR",P494,(P494*'Master Data-C19RM'!$C$2))))))</f>
        <v>0</v>
      </c>
      <c r="BP494" s="12">
        <f>IF(N494="",0,IF(SETUP!$E$7="USD",((IF(O494="USD",W494,(W494/'Master Data-C19RM'!$D$2)))),((IF(O494="EUR",W494,(W494*'Master Data-C19RM'!$D$2))))))</f>
        <v>0</v>
      </c>
      <c r="BQ494">
        <f>IF(N494="",0,IF(SETUP!$E$7="USD",((IF(O494="USD",AD494,(AD494/'Master Data-C19RM'!$E$2)))),((IF(O494="EUR",AD494,(AD494*'Master Data-C19RM'!$E$2))))))</f>
        <v>0</v>
      </c>
      <c r="BR494">
        <f>IF(N494="",0,IF(SETUP!$E$7="USD",((IF(O494="USD",AK494,(AK494/'Master Data-C19RM'!$F$2)))),((IF(O494="EUR",AK494,(AK494*'Master Data-C19RM'!$F$2))))))</f>
        <v>0</v>
      </c>
      <c r="BS494">
        <f>IF(N494="",0,IF(SETUP!$E$7="USD",((IF(O494="USD",AR494,(AR494/'Master Data-C19RM'!$G$2)))),((IF(O494="EUR",AR494,(AR494*'Master Data-C19RM'!$G$2))))))</f>
        <v>0</v>
      </c>
      <c r="BT494">
        <f>IF(N494="",0,IF(SETUP!$E$7="USD",((IF(O494="USD",AY494,(AY494/'Master Data-C19RM'!$H$2)))),((IF(O494="EUR",AY494,(AY494*'Master Data-C19RM'!$H$2))))))</f>
        <v>0</v>
      </c>
      <c r="BU494" s="12">
        <f t="shared" si="67"/>
        <v>0</v>
      </c>
      <c r="BV494" s="142">
        <f t="shared" si="68"/>
        <v>0</v>
      </c>
      <c r="BW494"/>
      <c r="BX494"/>
      <c r="BY494"/>
      <c r="BZ494"/>
      <c r="CA494"/>
      <c r="CB494"/>
      <c r="CC494"/>
      <c r="CD494"/>
      <c r="CE494"/>
      <c r="CF494"/>
      <c r="CG494"/>
      <c r="CH494"/>
      <c r="CI494"/>
      <c r="CJ494"/>
      <c r="CK494"/>
      <c r="CL494"/>
      <c r="CM494"/>
      <c r="CN494"/>
      <c r="CO494"/>
      <c r="CP494"/>
    </row>
    <row r="495" spans="1:94" x14ac:dyDescent="0.35">
      <c r="A495" s="1172"/>
      <c r="B495" s="1172"/>
      <c r="C495" s="1172"/>
      <c r="D495" s="1172"/>
      <c r="E495" s="1173"/>
      <c r="F495" s="1173"/>
      <c r="G495" s="1173"/>
      <c r="H495" s="1173"/>
      <c r="I495" s="1173"/>
      <c r="J495" s="1173"/>
      <c r="K495" s="1173"/>
      <c r="L495" s="493" t="str" cm="1">
        <f t="array" ref="L495">IF(A495&lt;&gt;"",IFERROR(INDEX(PMtbl[[WKst]:[Unit of measure*]],MATCH($A$437&amp;$A495&amp;$E495&amp;$I495,INDEX(PMtbl[Sec]&amp;PMtbl[Category]&amp;PMtbl[Each]&amp;PMtbl[Packaging],0,),0),14),""),"")</f>
        <v/>
      </c>
      <c r="M495" s="480" t="str">
        <f>IF(L495="","",INDEX(SETUP!$E$20:$E$122,(MATCH(INDEX(PMsheet!$D:$E,MATCH(A495,PMsheet!E:E,0),1),SETUP!$D$20:$D$122,0))))</f>
        <v/>
      </c>
      <c r="N495" s="494">
        <f>IF($O495="USD",_xlfn.IFNA(VLOOKUP(A495&amp;E495&amp;I495,PMsheet!J:K,2,0),0),(_xlfn.IFNA(VLOOKUP(A495&amp;E495&amp;I495,PMsheet!J:K,2,0),0)*'Master Data-C19RM'!$C$2))</f>
        <v>0</v>
      </c>
      <c r="O495" s="495" t="str">
        <f>IF(L495="", "",SETUP!$E$7)</f>
        <v/>
      </c>
      <c r="P495" s="445">
        <f>IF($O495="USD",_xlfn.IFNA(VLOOKUP($A495&amp;$E495&amp;$I495,PMsheet!$J:$K,2,0),0),(_xlfn.IFNA(VLOOKUP($A495&amp;$E495&amp;$I495,PMsheet!$J:$K,2,0),0)*'Master Data-C19RM'!$C$2))</f>
        <v>0</v>
      </c>
      <c r="Q495" s="440"/>
      <c r="R495" s="440"/>
      <c r="S495" s="440"/>
      <c r="T495" s="440"/>
      <c r="U495" s="482">
        <f t="shared" si="61"/>
        <v>0</v>
      </c>
      <c r="V495" s="484">
        <f>IF(SETUP!$E$7="USD",(U495*(IF(O495="USD",P495,(P495/'Master Data-C19RM'!$C$2)))),(U495*(IF(O495="EUR",P495,(P495*'Master Data-C19RM'!$C$2)))))</f>
        <v>0</v>
      </c>
      <c r="W495" s="445">
        <f>IF($O495="USD",_xlfn.IFNA(VLOOKUP($A495&amp;$E495&amp;$I495,PMsheet!$J:$K,2,0),0),(_xlfn.IFNA(VLOOKUP($A495&amp;$E495&amp;$I495,PMsheet!$J:$K,2,0),0)*'Master Data-C19RM'!$D$2))</f>
        <v>0</v>
      </c>
      <c r="X495" s="440"/>
      <c r="Y495" s="440"/>
      <c r="Z495" s="440"/>
      <c r="AA495" s="440"/>
      <c r="AB495" s="482">
        <f t="shared" si="62"/>
        <v>0</v>
      </c>
      <c r="AC495" s="484">
        <f>IF(SETUP!$E$7="USD",(AB495*(IF(O495="USD",W495,(W495/'Master Data-C19RM'!$D$2)))),(AB495*(IF(O495="EUR",W495,(W495*'Master Data-C19RM'!$D$2)))))</f>
        <v>0</v>
      </c>
      <c r="AD495" s="445">
        <f>IF($O495="USD",_xlfn.IFNA(VLOOKUP($A495&amp;$E495&amp;$I495,PMsheet!$J:$K,2,0),0),(_xlfn.IFNA(VLOOKUP($A495&amp;$E495&amp;$I495,PMsheet!$J:$K,2,0),0)*'Master Data-C19RM'!$E$2))</f>
        <v>0</v>
      </c>
      <c r="AE495" s="440"/>
      <c r="AF495" s="440"/>
      <c r="AG495" s="440"/>
      <c r="AH495" s="440"/>
      <c r="AI495" s="514">
        <f t="shared" si="63"/>
        <v>0</v>
      </c>
      <c r="AJ495" s="515">
        <f>IF(SETUP!$E$7="USD",(AI495*(IF(O495="USD",AD495,(AD495/'Master Data-C19RM'!$E$2)))),(AI495*(IF(O495="EUR",AD495,(AD495*'Master Data-C19RM'!$E$2)))))</f>
        <v>0</v>
      </c>
      <c r="AK495" s="445">
        <f>IF($O495="USD",_xlfn.IFNA(VLOOKUP($A495&amp;$E495&amp;$I495,PMsheet!$J:$K,2,0),0),(_xlfn.IFNA(VLOOKUP($A495&amp;$E495&amp;$I495,PMsheet!$J:$K,2,0),0)*'Master Data-C19RM'!$F$2))</f>
        <v>0</v>
      </c>
      <c r="AL495" s="440"/>
      <c r="AM495" s="440"/>
      <c r="AN495" s="440"/>
      <c r="AO495" s="440"/>
      <c r="AP495" s="514">
        <f t="shared" si="66"/>
        <v>0</v>
      </c>
      <c r="AQ495" s="515">
        <f>IF(SETUP!$E$7="USD",(AP495*(IF(O495="USD",AK495,(AK495/'Master Data-C19RM'!$F$2)))),(AP495*(IF(O495="EUR",AK495,(AK495*'Master Data-C19RM'!$F$2)))))</f>
        <v>0</v>
      </c>
      <c r="AR495" s="925">
        <f>IF($O495="USD",_xlfn.IFNA(VLOOKUP($A495&amp;$E495&amp;$I495,PMsheet!$J:$K,2,0),0),(_xlfn.IFNA(VLOOKUP($A495&amp;$E495&amp;$I495,PMsheet!$J:$K,2,0),0)*'Master Data-C19RM'!$G$2))</f>
        <v>0</v>
      </c>
      <c r="AS495" s="926"/>
      <c r="AT495" s="926"/>
      <c r="AU495" s="926"/>
      <c r="AV495" s="926"/>
      <c r="AW495" s="514">
        <f t="shared" si="65"/>
        <v>0</v>
      </c>
      <c r="AX495" s="514">
        <f>IF(SETUP!$E$7="USD",(AW495*(IF(O495="USD",AR495,(AR495/'Master Data-C19RM'!$G$2)))),(AW495*(IF(O495="EUR",AR495,(AR495*'Master Data-C19RM'!$G$2)))))</f>
        <v>0</v>
      </c>
      <c r="AY495" s="845"/>
      <c r="AZ495" s="846"/>
      <c r="BA495" s="846"/>
      <c r="BB495" s="846"/>
      <c r="BC495" s="846"/>
      <c r="BD495" s="846"/>
      <c r="BE495" s="847"/>
      <c r="BF495" s="521">
        <f>'C19RM 2021-Lab &amp; Other HPS'!$U495+'C19RM 2021-Lab &amp; Other HPS'!$AB495+'C19RM 2021-Lab &amp; Other HPS'!$AP495+'C19RM 2021-Lab &amp; Other HPS'!$AI495+AW495+BD495</f>
        <v>0</v>
      </c>
      <c r="BG495" s="515">
        <f>'C19RM 2021-Lab &amp; Other HPS'!$V495+'C19RM 2021-Lab &amp; Other HPS'!$AC495+'C19RM 2021-Lab &amp; Other HPS'!$AQ495+'C19RM 2021-Lab &amp; Other HPS'!$AJ495+AX495+BE495</f>
        <v>0</v>
      </c>
      <c r="BH495" s="522" t="str" cm="1">
        <f t="array" ref="BH495">IF(A495&lt;&gt;"",IFERROR(INDEX(PMtbl[[WKst]:[Unit of measure*]],MATCH($A$437&amp;$A495&amp;$E495&amp;$I495,INDEX(PMtbl[Sec]&amp;PMtbl[Category]&amp;PMtbl[Each]&amp;PMtbl[Packaging],0,),0),11),""),"")</f>
        <v/>
      </c>
      <c r="BI495" s="818"/>
      <c r="BJ495" s="503" t="str" cm="1">
        <f t="array" ref="BJ495">IFERROR(INDEX(SETUP!$C$19:$G$121,MATCH((INDEX(PMtbl[[WKst]:[Unit of measure*]],MATCH($A495&amp;$E495&amp;$I495,INDEX(PMtbl[Category]&amp;PMtbl[Each]&amp;PMtbl[Packaging],0,),0),3)),SETUP!$D$19:$D$121,0),5),"")</f>
        <v/>
      </c>
      <c r="BK495" s="537"/>
      <c r="BL495" s="578"/>
      <c r="BO495" s="12">
        <f>IF(N495="",0,IF(SETUP!$E$7="USD",((IF(O495="USD",P495,(P495/'Master Data-C19RM'!$C$2)))),((IF(O495="EUR",P495,(P495*'Master Data-C19RM'!$C$2))))))</f>
        <v>0</v>
      </c>
      <c r="BP495" s="12">
        <f>IF(N495="",0,IF(SETUP!$E$7="USD",((IF(O495="USD",W495,(W495/'Master Data-C19RM'!$D$2)))),((IF(O495="EUR",W495,(W495*'Master Data-C19RM'!$D$2))))))</f>
        <v>0</v>
      </c>
      <c r="BQ495">
        <f>IF(N495="",0,IF(SETUP!$E$7="USD",((IF(O495="USD",AD495,(AD495/'Master Data-C19RM'!$E$2)))),((IF(O495="EUR",AD495,(AD495*'Master Data-C19RM'!$E$2))))))</f>
        <v>0</v>
      </c>
      <c r="BR495">
        <f>IF(N495="",0,IF(SETUP!$E$7="USD",((IF(O495="USD",AK495,(AK495/'Master Data-C19RM'!$F$2)))),((IF(O495="EUR",AK495,(AK495*'Master Data-C19RM'!$F$2))))))</f>
        <v>0</v>
      </c>
      <c r="BS495">
        <f>IF(N495="",0,IF(SETUP!$E$7="USD",((IF(O495="USD",AR495,(AR495/'Master Data-C19RM'!$G$2)))),((IF(O495="EUR",AR495,(AR495*'Master Data-C19RM'!$G$2))))))</f>
        <v>0</v>
      </c>
      <c r="BT495">
        <f>IF(N495="",0,IF(SETUP!$E$7="USD",((IF(O495="USD",AY495,(AY495/'Master Data-C19RM'!$H$2)))),((IF(O495="EUR",AY495,(AY495*'Master Data-C19RM'!$H$2))))))</f>
        <v>0</v>
      </c>
      <c r="BU495" s="12">
        <f t="shared" si="67"/>
        <v>0</v>
      </c>
      <c r="BV495" s="142">
        <f t="shared" si="68"/>
        <v>0</v>
      </c>
    </row>
    <row r="496" spans="1:94" x14ac:dyDescent="0.35">
      <c r="A496" s="1165"/>
      <c r="B496" s="1165"/>
      <c r="C496" s="1165"/>
      <c r="D496" s="1165"/>
      <c r="E496" s="1166"/>
      <c r="F496" s="1166"/>
      <c r="G496" s="1166"/>
      <c r="H496" s="1166"/>
      <c r="I496" s="1166"/>
      <c r="J496" s="1166"/>
      <c r="K496" s="1166"/>
      <c r="L496" s="490" t="str" cm="1">
        <f t="array" ref="L496">IF(A496&lt;&gt;"",IFERROR(INDEX(PMtbl[[WKst]:[Unit of measure*]],MATCH($A$437&amp;$A496&amp;$E496&amp;$I496,INDEX(PMtbl[Sec]&amp;PMtbl[Category]&amp;PMtbl[Each]&amp;PMtbl[Packaging],0,),0),14),""),"")</f>
        <v/>
      </c>
      <c r="M496" s="479" t="str">
        <f>IF(L496="","",INDEX(SETUP!$E$20:$E$122,(MATCH(INDEX(PMsheet!$D:$E,MATCH(A496,PMsheet!E:E,0),1),SETUP!$D$20:$D$122,0))))</f>
        <v/>
      </c>
      <c r="N496" s="491">
        <f>IF($O496="USD",_xlfn.IFNA(VLOOKUP(A496&amp;E496&amp;I496,PMsheet!J:K,2,0),0),(_xlfn.IFNA(VLOOKUP(A496&amp;E496&amp;I496,PMsheet!J:K,2,0),0)*'Master Data-C19RM'!$C$2))</f>
        <v>0</v>
      </c>
      <c r="O496" s="492" t="str">
        <f>IF(L496="", "",SETUP!$E$7)</f>
        <v/>
      </c>
      <c r="P496" s="444">
        <f>IF($O496="USD",_xlfn.IFNA(VLOOKUP($A496&amp;$E496&amp;$I496,PMsheet!$J:$K,2,0),0),(_xlfn.IFNA(VLOOKUP($A496&amp;$E496&amp;$I496,PMsheet!$J:$K,2,0),0)*'Master Data-C19RM'!$C$2))</f>
        <v>0</v>
      </c>
      <c r="Q496" s="441"/>
      <c r="R496" s="441"/>
      <c r="S496" s="441"/>
      <c r="T496" s="441"/>
      <c r="U496" s="481">
        <f t="shared" si="61"/>
        <v>0</v>
      </c>
      <c r="V496" s="483">
        <f>IF(SETUP!$E$7="USD",(U496*(IF(O496="USD",P496,(P496/'Master Data-C19RM'!$C$2)))),(U496*(IF(O496="EUR",P496,(P496*'Master Data-C19RM'!$C$2)))))</f>
        <v>0</v>
      </c>
      <c r="W496" s="444">
        <f>IF($O496="USD",_xlfn.IFNA(VLOOKUP($A496&amp;$E496&amp;$I496,PMsheet!$J:$K,2,0),0),(_xlfn.IFNA(VLOOKUP($A496&amp;$E496&amp;$I496,PMsheet!$J:$K,2,0),0)*'Master Data-C19RM'!$D$2))</f>
        <v>0</v>
      </c>
      <c r="X496" s="441"/>
      <c r="Y496" s="441"/>
      <c r="Z496" s="441"/>
      <c r="AA496" s="441"/>
      <c r="AB496" s="481">
        <f t="shared" si="62"/>
        <v>0</v>
      </c>
      <c r="AC496" s="483">
        <f>IF(SETUP!$E$7="USD",(AB496*(IF(O496="USD",W496,(W496/'Master Data-C19RM'!$D$2)))),(AB496*(IF(O496="EUR",W496,(W496*'Master Data-C19RM'!$D$2)))))</f>
        <v>0</v>
      </c>
      <c r="AD496" s="444">
        <f>IF($O496="USD",_xlfn.IFNA(VLOOKUP($A496&amp;$E496&amp;$I496,PMsheet!$J:$K,2,0),0),(_xlfn.IFNA(VLOOKUP($A496&amp;$E496&amp;$I496,PMsheet!$J:$K,2,0),0)*'Master Data-C19RM'!$E$2))</f>
        <v>0</v>
      </c>
      <c r="AE496" s="441"/>
      <c r="AF496" s="441"/>
      <c r="AG496" s="441"/>
      <c r="AH496" s="441"/>
      <c r="AI496" s="512">
        <f t="shared" si="63"/>
        <v>0</v>
      </c>
      <c r="AJ496" s="513">
        <f>IF(SETUP!$E$7="USD",(AI496*(IF(O496="USD",AD496,(AD496/'Master Data-C19RM'!$E$2)))),(AI496*(IF(O496="EUR",AD496,(AD496*'Master Data-C19RM'!$E$2)))))</f>
        <v>0</v>
      </c>
      <c r="AK496" s="444">
        <f>IF($O496="USD",_xlfn.IFNA(VLOOKUP($A496&amp;$E496&amp;$I496,PMsheet!$J:$K,2,0),0),(_xlfn.IFNA(VLOOKUP($A496&amp;$E496&amp;$I496,PMsheet!$J:$K,2,0),0)*'Master Data-C19RM'!$F$2))</f>
        <v>0</v>
      </c>
      <c r="AL496" s="441"/>
      <c r="AM496" s="441"/>
      <c r="AN496" s="441"/>
      <c r="AO496" s="441"/>
      <c r="AP496" s="512">
        <f t="shared" si="66"/>
        <v>0</v>
      </c>
      <c r="AQ496" s="513">
        <f>IF(SETUP!$E$7="USD",(AP496*(IF(O496="USD",AK496,(AK496/'Master Data-C19RM'!$F$2)))),(AP496*(IF(O496="EUR",AK496,(AK496*'Master Data-C19RM'!$F$2)))))</f>
        <v>0</v>
      </c>
      <c r="AR496" s="924">
        <f>IF($O496="USD",_xlfn.IFNA(VLOOKUP($A496&amp;$E496&amp;$I496,PMsheet!$J:$K,2,0),0),(_xlfn.IFNA(VLOOKUP($A496&amp;$E496&amp;$I496,PMsheet!$J:$K,2,0),0)*'Master Data-C19RM'!$G$2))</f>
        <v>0</v>
      </c>
      <c r="AS496" s="572"/>
      <c r="AT496" s="572"/>
      <c r="AU496" s="572"/>
      <c r="AV496" s="572"/>
      <c r="AW496" s="512">
        <f t="shared" si="65"/>
        <v>0</v>
      </c>
      <c r="AX496" s="512">
        <f>IF(SETUP!$E$7="USD",(AW496*(IF(O496="USD",AR496,(AR496/'Master Data-C19RM'!$G$2)))),(AW496*(IF(O496="EUR",AR496,(AR496*'Master Data-C19RM'!$G$2)))))</f>
        <v>0</v>
      </c>
      <c r="AY496" s="845"/>
      <c r="AZ496" s="846"/>
      <c r="BA496" s="846"/>
      <c r="BB496" s="846"/>
      <c r="BC496" s="846"/>
      <c r="BD496" s="846"/>
      <c r="BE496" s="847"/>
      <c r="BF496" s="520">
        <f>'C19RM 2021-Lab &amp; Other HPS'!$U496+'C19RM 2021-Lab &amp; Other HPS'!$AB496+'C19RM 2021-Lab &amp; Other HPS'!$AP496+'C19RM 2021-Lab &amp; Other HPS'!$AI496+AW496+BD496</f>
        <v>0</v>
      </c>
      <c r="BG496" s="513">
        <f>'C19RM 2021-Lab &amp; Other HPS'!$V496+'C19RM 2021-Lab &amp; Other HPS'!$AC496+'C19RM 2021-Lab &amp; Other HPS'!$AQ496+'C19RM 2021-Lab &amp; Other HPS'!$AJ496+AX496+BE496</f>
        <v>0</v>
      </c>
      <c r="BH496" s="500" t="str" cm="1">
        <f t="array" ref="BH496">IF(A496&lt;&gt;"",IFERROR(INDEX(PMtbl[[WKst]:[Unit of measure*]],MATCH($A$437&amp;$A496&amp;$E496&amp;$I496,INDEX(PMtbl[Sec]&amp;PMtbl[Category]&amp;PMtbl[Each]&amp;PMtbl[Packaging],0,),0),11),""),"")</f>
        <v/>
      </c>
      <c r="BI496" s="819"/>
      <c r="BJ496" s="502" t="str" cm="1">
        <f t="array" ref="BJ496">IFERROR(INDEX(SETUP!$C$19:$G$121,MATCH((INDEX(PMtbl[[WKst]:[Unit of measure*]],MATCH($A496&amp;$E496&amp;$I496,INDEX(PMtbl[Category]&amp;PMtbl[Each]&amp;PMtbl[Packaging],0,),0),3)),SETUP!$D$19:$D$121,0),5),"")</f>
        <v/>
      </c>
      <c r="BK496" s="536"/>
      <c r="BL496" s="577"/>
      <c r="BO496" s="12">
        <f>IF(N496="",0,IF(SETUP!$E$7="USD",((IF(O496="USD",P496,(P496/'Master Data-C19RM'!$C$2)))),((IF(O496="EUR",P496,(P496*'Master Data-C19RM'!$C$2))))))</f>
        <v>0</v>
      </c>
      <c r="BP496" s="12">
        <f>IF(N496="",0,IF(SETUP!$E$7="USD",((IF(O496="USD",W496,(W496/'Master Data-C19RM'!$D$2)))),((IF(O496="EUR",W496,(W496*'Master Data-C19RM'!$D$2))))))</f>
        <v>0</v>
      </c>
      <c r="BQ496">
        <f>IF(N496="",0,IF(SETUP!$E$7="USD",((IF(O496="USD",AD496,(AD496/'Master Data-C19RM'!$E$2)))),((IF(O496="EUR",AD496,(AD496*'Master Data-C19RM'!$E$2))))))</f>
        <v>0</v>
      </c>
      <c r="BR496">
        <f>IF(N496="",0,IF(SETUP!$E$7="USD",((IF(O496="USD",AK496,(AK496/'Master Data-C19RM'!$F$2)))),((IF(O496="EUR",AK496,(AK496*'Master Data-C19RM'!$F$2))))))</f>
        <v>0</v>
      </c>
      <c r="BS496">
        <f>IF(N496="",0,IF(SETUP!$E$7="USD",((IF(O496="USD",AR496,(AR496/'Master Data-C19RM'!$G$2)))),((IF(O496="EUR",AR496,(AR496*'Master Data-C19RM'!$G$2))))))</f>
        <v>0</v>
      </c>
      <c r="BT496">
        <f>IF(N496="",0,IF(SETUP!$E$7="USD",((IF(O496="USD",AY496,(AY496/'Master Data-C19RM'!$H$2)))),((IF(O496="EUR",AY496,(AY496*'Master Data-C19RM'!$H$2))))))</f>
        <v>0</v>
      </c>
      <c r="BU496" s="12">
        <f t="shared" si="67"/>
        <v>0</v>
      </c>
      <c r="BV496" s="142">
        <f t="shared" si="68"/>
        <v>0</v>
      </c>
    </row>
    <row r="497" spans="1:94" x14ac:dyDescent="0.35">
      <c r="A497" s="1172"/>
      <c r="B497" s="1172"/>
      <c r="C497" s="1172"/>
      <c r="D497" s="1172"/>
      <c r="E497" s="1173"/>
      <c r="F497" s="1173"/>
      <c r="G497" s="1173"/>
      <c r="H497" s="1173"/>
      <c r="I497" s="1173"/>
      <c r="J497" s="1173"/>
      <c r="K497" s="1173"/>
      <c r="L497" s="493" t="str" cm="1">
        <f t="array" ref="L497">IF(A497&lt;&gt;"",IFERROR(INDEX(PMtbl[[WKst]:[Unit of measure*]],MATCH($A$437&amp;$A497&amp;$E497&amp;$I497,INDEX(PMtbl[Sec]&amp;PMtbl[Category]&amp;PMtbl[Each]&amp;PMtbl[Packaging],0,),0),14),""),"")</f>
        <v/>
      </c>
      <c r="M497" s="480" t="str">
        <f>IF(L497="","",INDEX(SETUP!$E$20:$E$122,(MATCH(INDEX(PMsheet!$D:$E,MATCH(A497,PMsheet!E:E,0),1),SETUP!$D$20:$D$122,0))))</f>
        <v/>
      </c>
      <c r="N497" s="494">
        <f>IF($O497="USD",_xlfn.IFNA(VLOOKUP(A497&amp;E497&amp;I497,PMsheet!J:K,2,0),0),(_xlfn.IFNA(VLOOKUP(A497&amp;E497&amp;I497,PMsheet!J:K,2,0),0)*'Master Data-C19RM'!$C$2))</f>
        <v>0</v>
      </c>
      <c r="O497" s="495" t="str">
        <f>IF(L497="", "",SETUP!$E$7)</f>
        <v/>
      </c>
      <c r="P497" s="445">
        <f>IF($O497="USD",_xlfn.IFNA(VLOOKUP($A497&amp;$E497&amp;$I497,PMsheet!$J:$K,2,0),0),(_xlfn.IFNA(VLOOKUP($A497&amp;$E497&amp;$I497,PMsheet!$J:$K,2,0),0)*'Master Data-C19RM'!$C$2))</f>
        <v>0</v>
      </c>
      <c r="Q497" s="440"/>
      <c r="R497" s="440"/>
      <c r="S497" s="440"/>
      <c r="T497" s="440"/>
      <c r="U497" s="482">
        <f t="shared" si="61"/>
        <v>0</v>
      </c>
      <c r="V497" s="484">
        <f>IF(SETUP!$E$7="USD",(U497*(IF(O497="USD",P497,(P497/'Master Data-C19RM'!$C$2)))),(U497*(IF(O497="EUR",P497,(P497*'Master Data-C19RM'!$C$2)))))</f>
        <v>0</v>
      </c>
      <c r="W497" s="445">
        <f>IF($O497="USD",_xlfn.IFNA(VLOOKUP($A497&amp;$E497&amp;$I497,PMsheet!$J:$K,2,0),0),(_xlfn.IFNA(VLOOKUP($A497&amp;$E497&amp;$I497,PMsheet!$J:$K,2,0),0)*'Master Data-C19RM'!$D$2))</f>
        <v>0</v>
      </c>
      <c r="X497" s="440"/>
      <c r="Y497" s="440"/>
      <c r="Z497" s="440"/>
      <c r="AA497" s="440"/>
      <c r="AB497" s="482">
        <f t="shared" si="62"/>
        <v>0</v>
      </c>
      <c r="AC497" s="484">
        <f>IF(SETUP!$E$7="USD",(AB497*(IF(O497="USD",W497,(W497/'Master Data-C19RM'!$D$2)))),(AB497*(IF(O497="EUR",W497,(W497*'Master Data-C19RM'!$D$2)))))</f>
        <v>0</v>
      </c>
      <c r="AD497" s="445">
        <f>IF($O497="USD",_xlfn.IFNA(VLOOKUP($A497&amp;$E497&amp;$I497,PMsheet!$J:$K,2,0),0),(_xlfn.IFNA(VLOOKUP($A497&amp;$E497&amp;$I497,PMsheet!$J:$K,2,0),0)*'Master Data-C19RM'!$E$2))</f>
        <v>0</v>
      </c>
      <c r="AE497" s="440"/>
      <c r="AF497" s="440"/>
      <c r="AG497" s="440"/>
      <c r="AH497" s="440"/>
      <c r="AI497" s="514">
        <f t="shared" si="63"/>
        <v>0</v>
      </c>
      <c r="AJ497" s="515">
        <f>IF(SETUP!$E$7="USD",(AI497*(IF(O497="USD",AD497,(AD497/'Master Data-C19RM'!$E$2)))),(AI497*(IF(O497="EUR",AD497,(AD497*'Master Data-C19RM'!$E$2)))))</f>
        <v>0</v>
      </c>
      <c r="AK497" s="445">
        <f>IF($O497="USD",_xlfn.IFNA(VLOOKUP($A497&amp;$E497&amp;$I497,PMsheet!$J:$K,2,0),0),(_xlfn.IFNA(VLOOKUP($A497&amp;$E497&amp;$I497,PMsheet!$J:$K,2,0),0)*'Master Data-C19RM'!$F$2))</f>
        <v>0</v>
      </c>
      <c r="AL497" s="440"/>
      <c r="AM497" s="440"/>
      <c r="AN497" s="440"/>
      <c r="AO497" s="440"/>
      <c r="AP497" s="514">
        <f t="shared" si="66"/>
        <v>0</v>
      </c>
      <c r="AQ497" s="515">
        <f>IF(SETUP!$E$7="USD",(AP497*(IF(O497="USD",AK497,(AK497/'Master Data-C19RM'!$F$2)))),(AP497*(IF(O497="EUR",AK497,(AK497*'Master Data-C19RM'!$F$2)))))</f>
        <v>0</v>
      </c>
      <c r="AR497" s="925">
        <f>IF($O497="USD",_xlfn.IFNA(VLOOKUP($A497&amp;$E497&amp;$I497,PMsheet!$J:$K,2,0),0),(_xlfn.IFNA(VLOOKUP($A497&amp;$E497&amp;$I497,PMsheet!$J:$K,2,0),0)*'Master Data-C19RM'!$G$2))</f>
        <v>0</v>
      </c>
      <c r="AS497" s="926"/>
      <c r="AT497" s="926"/>
      <c r="AU497" s="926"/>
      <c r="AV497" s="926"/>
      <c r="AW497" s="514">
        <f t="shared" si="65"/>
        <v>0</v>
      </c>
      <c r="AX497" s="514">
        <f>IF(SETUP!$E$7="USD",(AW497*(IF(O497="USD",AR497,(AR497/'Master Data-C19RM'!$G$2)))),(AW497*(IF(O497="EUR",AR497,(AR497*'Master Data-C19RM'!$G$2)))))</f>
        <v>0</v>
      </c>
      <c r="AY497" s="845"/>
      <c r="AZ497" s="846"/>
      <c r="BA497" s="846"/>
      <c r="BB497" s="846"/>
      <c r="BC497" s="846"/>
      <c r="BD497" s="846"/>
      <c r="BE497" s="847"/>
      <c r="BF497" s="521">
        <f>'C19RM 2021-Lab &amp; Other HPS'!$U497+'C19RM 2021-Lab &amp; Other HPS'!$AB497+'C19RM 2021-Lab &amp; Other HPS'!$AP497+'C19RM 2021-Lab &amp; Other HPS'!$AI497+AW497+BD497</f>
        <v>0</v>
      </c>
      <c r="BG497" s="515">
        <f>'C19RM 2021-Lab &amp; Other HPS'!$V497+'C19RM 2021-Lab &amp; Other HPS'!$AC497+'C19RM 2021-Lab &amp; Other HPS'!$AQ497+'C19RM 2021-Lab &amp; Other HPS'!$AJ497+AX497+BE497</f>
        <v>0</v>
      </c>
      <c r="BH497" s="522" t="str" cm="1">
        <f t="array" ref="BH497">IF(A497&lt;&gt;"",IFERROR(INDEX(PMtbl[[WKst]:[Unit of measure*]],MATCH($A$437&amp;$A497&amp;$E497&amp;$I497,INDEX(PMtbl[Sec]&amp;PMtbl[Category]&amp;PMtbl[Each]&amp;PMtbl[Packaging],0,),0),11),""),"")</f>
        <v/>
      </c>
      <c r="BI497" s="818"/>
      <c r="BJ497" s="503" t="str" cm="1">
        <f t="array" ref="BJ497">IFERROR(INDEX(SETUP!$C$19:$G$121,MATCH((INDEX(PMtbl[[WKst]:[Unit of measure*]],MATCH($A497&amp;$E497&amp;$I497,INDEX(PMtbl[Category]&amp;PMtbl[Each]&amp;PMtbl[Packaging],0,),0),3)),SETUP!$D$19:$D$121,0),5),"")</f>
        <v/>
      </c>
      <c r="BK497" s="537"/>
      <c r="BL497" s="578"/>
      <c r="BO497" s="12">
        <f>IF(N497="",0,IF(SETUP!$E$7="USD",((IF(O497="USD",P497,(P497/'Master Data-C19RM'!$C$2)))),((IF(O497="EUR",P497,(P497*'Master Data-C19RM'!$C$2))))))</f>
        <v>0</v>
      </c>
      <c r="BP497" s="12">
        <f>IF(N497="",0,IF(SETUP!$E$7="USD",((IF(O497="USD",W497,(W497/'Master Data-C19RM'!$D$2)))),((IF(O497="EUR",W497,(W497*'Master Data-C19RM'!$D$2))))))</f>
        <v>0</v>
      </c>
      <c r="BQ497">
        <f>IF(N497="",0,IF(SETUP!$E$7="USD",((IF(O497="USD",AD497,(AD497/'Master Data-C19RM'!$E$2)))),((IF(O497="EUR",AD497,(AD497*'Master Data-C19RM'!$E$2))))))</f>
        <v>0</v>
      </c>
      <c r="BR497">
        <f>IF(N497="",0,IF(SETUP!$E$7="USD",((IF(O497="USD",AK497,(AK497/'Master Data-C19RM'!$F$2)))),((IF(O497="EUR",AK497,(AK497*'Master Data-C19RM'!$F$2))))))</f>
        <v>0</v>
      </c>
      <c r="BS497">
        <f>IF(N497="",0,IF(SETUP!$E$7="USD",((IF(O497="USD",AR497,(AR497/'Master Data-C19RM'!$G$2)))),((IF(O497="EUR",AR497,(AR497*'Master Data-C19RM'!$G$2))))))</f>
        <v>0</v>
      </c>
      <c r="BT497">
        <f>IF(N497="",0,IF(SETUP!$E$7="USD",((IF(O497="USD",AY497,(AY497/'Master Data-C19RM'!$H$2)))),((IF(O497="EUR",AY497,(AY497*'Master Data-C19RM'!$H$2))))))</f>
        <v>0</v>
      </c>
      <c r="BU497" s="12">
        <f t="shared" si="67"/>
        <v>0</v>
      </c>
      <c r="BV497" s="142">
        <f t="shared" si="68"/>
        <v>0</v>
      </c>
    </row>
    <row r="498" spans="1:94" s="24" customFormat="1" x14ac:dyDescent="0.35">
      <c r="A498" s="1196"/>
      <c r="B498" s="1196"/>
      <c r="C498" s="1196"/>
      <c r="D498" s="1196"/>
      <c r="E498" s="1166"/>
      <c r="F498" s="1166"/>
      <c r="G498" s="1166"/>
      <c r="H498" s="1166"/>
      <c r="I498" s="1166"/>
      <c r="J498" s="1166"/>
      <c r="K498" s="1166"/>
      <c r="L498" s="490" t="str" cm="1">
        <f t="array" ref="L498">IF(A498&lt;&gt;"",IFERROR(INDEX(PMtbl[[WKst]:[Unit of measure*]],MATCH($A$437&amp;$A498&amp;$E498&amp;$I498,INDEX(PMtbl[Sec]&amp;PMtbl[Category]&amp;PMtbl[Each]&amp;PMtbl[Packaging],0,),0),14),""),"")</f>
        <v/>
      </c>
      <c r="M498" s="479" t="str">
        <f>IF(L498="","",INDEX(SETUP!$E$20:$E$122,(MATCH(INDEX(PMsheet!$D:$E,MATCH(A498,PMsheet!E:E,0),1),SETUP!$D$20:$D$122,0))))</f>
        <v/>
      </c>
      <c r="N498" s="491">
        <f>IF($O498="USD",_xlfn.IFNA(VLOOKUP(A498&amp;E498&amp;I498,PMsheet!J:K,2,0),0),(_xlfn.IFNA(VLOOKUP(A498&amp;E498&amp;I498,PMsheet!J:K,2,0),0)*'Master Data-C19RM'!$C$2))</f>
        <v>0</v>
      </c>
      <c r="O498" s="573" t="str">
        <f>IF(L498="", "",SETUP!$E$7)</f>
        <v/>
      </c>
      <c r="P498" s="444">
        <f>IF($O498="USD",_xlfn.IFNA(VLOOKUP($A498&amp;$E498&amp;$I498,PMsheet!$J:$K,2,0),0),(_xlfn.IFNA(VLOOKUP($A498&amp;$E498&amp;$I498,PMsheet!$J:$K,2,0),0)*'Master Data-C19RM'!$C$2))</f>
        <v>0</v>
      </c>
      <c r="Q498" s="441"/>
      <c r="R498" s="441"/>
      <c r="S498" s="441"/>
      <c r="T498" s="441"/>
      <c r="U498" s="481">
        <f t="shared" si="61"/>
        <v>0</v>
      </c>
      <c r="V498" s="483">
        <f>IF(SETUP!$E$7="USD",(U498*(IF(O498="USD",P498,(P498/'Master Data-C19RM'!$C$2)))),(U498*(IF(O498="EUR",P498,(P498*'Master Data-C19RM'!$C$2)))))</f>
        <v>0</v>
      </c>
      <c r="W498" s="444">
        <f>IF($O498="USD",_xlfn.IFNA(VLOOKUP($A498&amp;$E498&amp;$I498,PMsheet!$J:$K,2,0),0),(_xlfn.IFNA(VLOOKUP($A498&amp;$E498&amp;$I498,PMsheet!$J:$K,2,0),0)*'Master Data-C19RM'!$D$2))</f>
        <v>0</v>
      </c>
      <c r="X498" s="441"/>
      <c r="Y498" s="441"/>
      <c r="Z498" s="441"/>
      <c r="AA498" s="441"/>
      <c r="AB498" s="481">
        <f t="shared" si="62"/>
        <v>0</v>
      </c>
      <c r="AC498" s="483">
        <f>IF(SETUP!$E$7="USD",(AB498*(IF(O498="USD",W498,(W498/'Master Data-C19RM'!$D$2)))),(AB498*(IF(O498="EUR",W498,(W498*'Master Data-C19RM'!$D$2)))))</f>
        <v>0</v>
      </c>
      <c r="AD498" s="444">
        <f>IF($O498="USD",_xlfn.IFNA(VLOOKUP($A498&amp;$E498&amp;$I498,PMsheet!$J:$K,2,0),0),(_xlfn.IFNA(VLOOKUP($A498&amp;$E498&amp;$I498,PMsheet!$J:$K,2,0),0)*'Master Data-C19RM'!$E$2))</f>
        <v>0</v>
      </c>
      <c r="AE498" s="441"/>
      <c r="AF498" s="441"/>
      <c r="AG498" s="441"/>
      <c r="AH498" s="441"/>
      <c r="AI498" s="512">
        <f t="shared" si="63"/>
        <v>0</v>
      </c>
      <c r="AJ498" s="513">
        <f>IF(SETUP!$E$7="USD",(AI498*(IF(O498="USD",AD498,(AD498/'Master Data-C19RM'!$E$2)))),(AI498*(IF(O498="EUR",AD498,(AD498*'Master Data-C19RM'!$E$2)))))</f>
        <v>0</v>
      </c>
      <c r="AK498" s="456">
        <f>IF($O498="USD",_xlfn.IFNA(VLOOKUP($A498&amp;$E498&amp;$I498,PMsheet!$J:$K,2,0),0),(_xlfn.IFNA(VLOOKUP($A498&amp;$E498&amp;$I498,PMsheet!$J:$K,2,0),0)*'Master Data-C19RM'!$F$2))</f>
        <v>0</v>
      </c>
      <c r="AL498" s="572"/>
      <c r="AM498" s="572"/>
      <c r="AN498" s="572"/>
      <c r="AO498" s="572"/>
      <c r="AP498" s="512">
        <f t="shared" si="66"/>
        <v>0</v>
      </c>
      <c r="AQ498" s="513">
        <f>IF(SETUP!$E$7="USD",(AP498*(IF(O498="USD",AK498,(AK498/'Master Data-C19RM'!$F$2)))),(AP498*(IF(O498="EUR",AK498,(AK498*'Master Data-C19RM'!$F$2)))))</f>
        <v>0</v>
      </c>
      <c r="AR498" s="924">
        <f>IF($O498="USD",_xlfn.IFNA(VLOOKUP($A498&amp;$E498&amp;$I498,PMsheet!$J:$K,2,0),0),(_xlfn.IFNA(VLOOKUP($A498&amp;$E498&amp;$I498,PMsheet!$J:$K,2,0),0)*'Master Data-C19RM'!$G$2))</f>
        <v>0</v>
      </c>
      <c r="AS498" s="572"/>
      <c r="AT498" s="572"/>
      <c r="AU498" s="572"/>
      <c r="AV498" s="572"/>
      <c r="AW498" s="512">
        <f t="shared" si="65"/>
        <v>0</v>
      </c>
      <c r="AX498" s="512">
        <f>IF(SETUP!$E$7="USD",(AW498*(IF(O498="USD",AR498,(AR498/'Master Data-C19RM'!$G$2)))),(AW498*(IF(O498="EUR",AR498,(AR498*'Master Data-C19RM'!$G$2)))))</f>
        <v>0</v>
      </c>
      <c r="AY498" s="845"/>
      <c r="AZ498" s="846"/>
      <c r="BA498" s="846"/>
      <c r="BB498" s="846"/>
      <c r="BC498" s="846"/>
      <c r="BD498" s="846"/>
      <c r="BE498" s="847"/>
      <c r="BF498" s="520">
        <f>'C19RM 2021-Lab &amp; Other HPS'!$U498+'C19RM 2021-Lab &amp; Other HPS'!$AB498+'C19RM 2021-Lab &amp; Other HPS'!$AP498+'C19RM 2021-Lab &amp; Other HPS'!$AI498+AW498+BD498</f>
        <v>0</v>
      </c>
      <c r="BG498" s="513">
        <f>'C19RM 2021-Lab &amp; Other HPS'!$V498+'C19RM 2021-Lab &amp; Other HPS'!$AC498+'C19RM 2021-Lab &amp; Other HPS'!$AQ498+'C19RM 2021-Lab &amp; Other HPS'!$AJ498+AX498+BE498</f>
        <v>0</v>
      </c>
      <c r="BH498" s="500" t="str" cm="1">
        <f t="array" ref="BH498">IF(A498&lt;&gt;"",IFERROR(INDEX(PMtbl[[WKst]:[Unit of measure*]],MATCH($A$437&amp;$A498&amp;$E498&amp;$I498,INDEX(PMtbl[Sec]&amp;PMtbl[Category]&amp;PMtbl[Each]&amp;PMtbl[Packaging],0,),0),11),""),"")</f>
        <v/>
      </c>
      <c r="BI498" s="819"/>
      <c r="BJ498" s="502" t="str" cm="1">
        <f t="array" ref="BJ498">IFERROR(INDEX(SETUP!$C$19:$G$121,MATCH((INDEX(PMtbl[[WKst]:[Unit of measure*]],MATCH($A498&amp;$E498&amp;$I498,INDEX(PMtbl[Category]&amp;PMtbl[Each]&amp;PMtbl[Packaging],0,),0),3)),SETUP!$D$19:$D$121,0),5),"")</f>
        <v/>
      </c>
      <c r="BK498" s="536"/>
      <c r="BL498" s="577"/>
      <c r="BO498" s="12">
        <f>IF(N498="",0,IF(SETUP!$E$7="USD",((IF(O498="USD",P498,(P498/'Master Data-C19RM'!$C$2)))),((IF(O498="EUR",P498,(P498*'Master Data-C19RM'!$C$2))))))</f>
        <v>0</v>
      </c>
      <c r="BP498" s="12">
        <f>IF(N498="",0,IF(SETUP!$E$7="USD",((IF(O498="USD",W498,(W498/'Master Data-C19RM'!$D$2)))),((IF(O498="EUR",W498,(W498*'Master Data-C19RM'!$D$2))))))</f>
        <v>0</v>
      </c>
      <c r="BQ498">
        <f>IF(N498="",0,IF(SETUP!$E$7="USD",((IF(O498="USD",AD498,(AD498/'Master Data-C19RM'!$E$2)))),((IF(O498="EUR",AD498,(AD498*'Master Data-C19RM'!$E$2))))))</f>
        <v>0</v>
      </c>
      <c r="BR498">
        <f>IF(N498="",0,IF(SETUP!$E$7="USD",((IF(O498="USD",AK498,(AK498/'Master Data-C19RM'!$F$2)))),((IF(O498="EUR",AK498,(AK498*'Master Data-C19RM'!$F$2))))))</f>
        <v>0</v>
      </c>
      <c r="BS498">
        <f>IF(N498="",0,IF(SETUP!$E$7="USD",((IF(O498="USD",AR498,(AR498/'Master Data-C19RM'!$G$2)))),((IF(O498="EUR",AR498,(AR498*'Master Data-C19RM'!$G$2))))))</f>
        <v>0</v>
      </c>
      <c r="BT498">
        <f>IF(N498="",0,IF(SETUP!$E$7="USD",((IF(O498="USD",AY498,(AY498/'Master Data-C19RM'!$H$2)))),((IF(O498="EUR",AY498,(AY498*'Master Data-C19RM'!$H$2))))))</f>
        <v>0</v>
      </c>
      <c r="BU498" s="12">
        <f t="shared" si="67"/>
        <v>0</v>
      </c>
      <c r="BV498" s="142">
        <f t="shared" si="68"/>
        <v>0</v>
      </c>
      <c r="BW498"/>
      <c r="BX498"/>
      <c r="BY498"/>
      <c r="BZ498"/>
      <c r="CA498"/>
      <c r="CB498"/>
      <c r="CC498"/>
      <c r="CD498"/>
      <c r="CE498"/>
      <c r="CF498"/>
      <c r="CG498"/>
      <c r="CH498"/>
      <c r="CI498"/>
      <c r="CJ498"/>
      <c r="CK498"/>
      <c r="CL498"/>
      <c r="CM498"/>
      <c r="CN498"/>
      <c r="CO498"/>
      <c r="CP498"/>
    </row>
    <row r="499" spans="1:94" x14ac:dyDescent="0.35">
      <c r="A499" s="1172"/>
      <c r="B499" s="1172"/>
      <c r="C499" s="1172"/>
      <c r="D499" s="1172"/>
      <c r="E499" s="1173"/>
      <c r="F499" s="1173"/>
      <c r="G499" s="1173"/>
      <c r="H499" s="1173"/>
      <c r="I499" s="1173"/>
      <c r="J499" s="1173"/>
      <c r="K499" s="1173"/>
      <c r="L499" s="493" t="str" cm="1">
        <f t="array" ref="L499">IF(A499&lt;&gt;"",IFERROR(INDEX(PMtbl[[WKst]:[Unit of measure*]],MATCH($A$437&amp;$A499&amp;$E499&amp;$I499,INDEX(PMtbl[Sec]&amp;PMtbl[Category]&amp;PMtbl[Each]&amp;PMtbl[Packaging],0,),0),14),""),"")</f>
        <v/>
      </c>
      <c r="M499" s="480" t="str">
        <f>IF(L499="","",INDEX(SETUP!$E$20:$E$122,(MATCH(INDEX(PMsheet!$D:$E,MATCH(A499,PMsheet!E:E,0),1),SETUP!$D$20:$D$122,0))))</f>
        <v/>
      </c>
      <c r="N499" s="494">
        <f>IF($O499="USD",_xlfn.IFNA(VLOOKUP(A499&amp;E499&amp;I499,PMsheet!J:K,2,0),0),(_xlfn.IFNA(VLOOKUP(A499&amp;E499&amp;I499,PMsheet!J:K,2,0),0)*'Master Data-C19RM'!$C$2))</f>
        <v>0</v>
      </c>
      <c r="O499" s="495" t="str">
        <f>IF(L499="", "",SETUP!$E$7)</f>
        <v/>
      </c>
      <c r="P499" s="445">
        <f>IF($O499="USD",_xlfn.IFNA(VLOOKUP($A499&amp;$E499&amp;$I499,PMsheet!$J:$K,2,0),0),(_xlfn.IFNA(VLOOKUP($A499&amp;$E499&amp;$I499,PMsheet!$J:$K,2,0),0)*'Master Data-C19RM'!$C$2))</f>
        <v>0</v>
      </c>
      <c r="Q499" s="440"/>
      <c r="R499" s="440"/>
      <c r="S499" s="440"/>
      <c r="T499" s="440"/>
      <c r="U499" s="482">
        <f t="shared" si="61"/>
        <v>0</v>
      </c>
      <c r="V499" s="484">
        <f>IF(SETUP!$E$7="USD",(U499*(IF(O499="USD",P499,(P499/'Master Data-C19RM'!$C$2)))),(U499*(IF(O499="EUR",P499,(P499*'Master Data-C19RM'!$C$2)))))</f>
        <v>0</v>
      </c>
      <c r="W499" s="445">
        <f>IF($O499="USD",_xlfn.IFNA(VLOOKUP($A499&amp;$E499&amp;$I499,PMsheet!$J:$K,2,0),0),(_xlfn.IFNA(VLOOKUP($A499&amp;$E499&amp;$I499,PMsheet!$J:$K,2,0),0)*'Master Data-C19RM'!$D$2))</f>
        <v>0</v>
      </c>
      <c r="X499" s="440"/>
      <c r="Y499" s="440"/>
      <c r="Z499" s="440"/>
      <c r="AA499" s="440"/>
      <c r="AB499" s="482">
        <f t="shared" si="62"/>
        <v>0</v>
      </c>
      <c r="AC499" s="484">
        <f>IF(SETUP!$E$7="USD",(AB499*(IF(O499="USD",W499,(W499/'Master Data-C19RM'!$D$2)))),(AB499*(IF(O499="EUR",W499,(W499*'Master Data-C19RM'!$D$2)))))</f>
        <v>0</v>
      </c>
      <c r="AD499" s="445">
        <f>IF($O499="USD",_xlfn.IFNA(VLOOKUP($A499&amp;$E499&amp;$I499,PMsheet!$J:$K,2,0),0),(_xlfn.IFNA(VLOOKUP($A499&amp;$E499&amp;$I499,PMsheet!$J:$K,2,0),0)*'Master Data-C19RM'!$E$2))</f>
        <v>0</v>
      </c>
      <c r="AE499" s="440"/>
      <c r="AF499" s="440"/>
      <c r="AG499" s="440"/>
      <c r="AH499" s="440"/>
      <c r="AI499" s="514">
        <f t="shared" si="63"/>
        <v>0</v>
      </c>
      <c r="AJ499" s="515">
        <f>IF(SETUP!$E$7="USD",(AI499*(IF(O499="USD",AD499,(AD499/'Master Data-C19RM'!$E$2)))),(AI499*(IF(O499="EUR",AD499,(AD499*'Master Data-C19RM'!$E$2)))))</f>
        <v>0</v>
      </c>
      <c r="AK499" s="445">
        <f>IF($O499="USD",_xlfn.IFNA(VLOOKUP($A499&amp;$E499&amp;$I499,PMsheet!$J:$K,2,0),0),(_xlfn.IFNA(VLOOKUP($A499&amp;$E499&amp;$I499,PMsheet!$J:$K,2,0),0)*'Master Data-C19RM'!$F$2))</f>
        <v>0</v>
      </c>
      <c r="AL499" s="440"/>
      <c r="AM499" s="440"/>
      <c r="AN499" s="440"/>
      <c r="AO499" s="440"/>
      <c r="AP499" s="514">
        <f t="shared" si="66"/>
        <v>0</v>
      </c>
      <c r="AQ499" s="515">
        <f>IF(SETUP!$E$7="USD",(AP499*(IF(O499="USD",AK499,(AK499/'Master Data-C19RM'!$F$2)))),(AP499*(IF(O499="EUR",AK499,(AK499*'Master Data-C19RM'!$F$2)))))</f>
        <v>0</v>
      </c>
      <c r="AR499" s="925">
        <f>IF($O499="USD",_xlfn.IFNA(VLOOKUP($A499&amp;$E499&amp;$I499,PMsheet!$J:$K,2,0),0),(_xlfn.IFNA(VLOOKUP($A499&amp;$E499&amp;$I499,PMsheet!$J:$K,2,0),0)*'Master Data-C19RM'!$G$2))</f>
        <v>0</v>
      </c>
      <c r="AS499" s="926"/>
      <c r="AT499" s="926"/>
      <c r="AU499" s="926"/>
      <c r="AV499" s="926"/>
      <c r="AW499" s="514">
        <f t="shared" si="65"/>
        <v>0</v>
      </c>
      <c r="AX499" s="514">
        <f>IF(SETUP!$E$7="USD",(AW499*(IF(O499="USD",AR499,(AR499/'Master Data-C19RM'!$G$2)))),(AW499*(IF(O499="EUR",AR499,(AR499*'Master Data-C19RM'!$G$2)))))</f>
        <v>0</v>
      </c>
      <c r="AY499" s="845"/>
      <c r="AZ499" s="846"/>
      <c r="BA499" s="846"/>
      <c r="BB499" s="846"/>
      <c r="BC499" s="846"/>
      <c r="BD499" s="846"/>
      <c r="BE499" s="847"/>
      <c r="BF499" s="521">
        <f>'C19RM 2021-Lab &amp; Other HPS'!$U499+'C19RM 2021-Lab &amp; Other HPS'!$AB499+'C19RM 2021-Lab &amp; Other HPS'!$AP499+'C19RM 2021-Lab &amp; Other HPS'!$AI499+AW499+BD499</f>
        <v>0</v>
      </c>
      <c r="BG499" s="515">
        <f>'C19RM 2021-Lab &amp; Other HPS'!$V499+'C19RM 2021-Lab &amp; Other HPS'!$AC499+'C19RM 2021-Lab &amp; Other HPS'!$AQ499+'C19RM 2021-Lab &amp; Other HPS'!$AJ499+AX499+BE499</f>
        <v>0</v>
      </c>
      <c r="BH499" s="522" t="str" cm="1">
        <f t="array" ref="BH499">IF(A499&lt;&gt;"",IFERROR(INDEX(PMtbl[[WKst]:[Unit of measure*]],MATCH($A$437&amp;$A499&amp;$E499&amp;$I499,INDEX(PMtbl[Sec]&amp;PMtbl[Category]&amp;PMtbl[Each]&amp;PMtbl[Packaging],0,),0),11),""),"")</f>
        <v/>
      </c>
      <c r="BI499" s="818"/>
      <c r="BJ499" s="503" t="str" cm="1">
        <f t="array" ref="BJ499">IFERROR(INDEX(SETUP!$C$19:$G$121,MATCH((INDEX(PMtbl[[WKst]:[Unit of measure*]],MATCH($A499&amp;$E499&amp;$I499,INDEX(PMtbl[Category]&amp;PMtbl[Each]&amp;PMtbl[Packaging],0,),0),3)),SETUP!$D$19:$D$121,0),5),"")</f>
        <v/>
      </c>
      <c r="BK499" s="537"/>
      <c r="BL499" s="578"/>
      <c r="BO499" s="12">
        <f>IF(N499="",0,IF(SETUP!$E$7="USD",((IF(O499="USD",P499,(P499/'Master Data-C19RM'!$C$2)))),((IF(O499="EUR",P499,(P499*'Master Data-C19RM'!$C$2))))))</f>
        <v>0</v>
      </c>
      <c r="BP499" s="12">
        <f>IF(N499="",0,IF(SETUP!$E$7="USD",((IF(O499="USD",W499,(W499/'Master Data-C19RM'!$D$2)))),((IF(O499="EUR",W499,(W499*'Master Data-C19RM'!$D$2))))))</f>
        <v>0</v>
      </c>
      <c r="BQ499">
        <f>IF(N499="",0,IF(SETUP!$E$7="USD",((IF(O499="USD",AD499,(AD499/'Master Data-C19RM'!$E$2)))),((IF(O499="EUR",AD499,(AD499*'Master Data-C19RM'!$E$2))))))</f>
        <v>0</v>
      </c>
      <c r="BR499">
        <f>IF(N499="",0,IF(SETUP!$E$7="USD",((IF(O499="USD",AK499,(AK499/'Master Data-C19RM'!$F$2)))),((IF(O499="EUR",AK499,(AK499*'Master Data-C19RM'!$F$2))))))</f>
        <v>0</v>
      </c>
      <c r="BS499">
        <f>IF(N499="",0,IF(SETUP!$E$7="USD",((IF(O499="USD",AR499,(AR499/'Master Data-C19RM'!$G$2)))),((IF(O499="EUR",AR499,(AR499*'Master Data-C19RM'!$G$2))))))</f>
        <v>0</v>
      </c>
      <c r="BT499">
        <f>IF(N499="",0,IF(SETUP!$E$7="USD",((IF(O499="USD",AY499,(AY499/'Master Data-C19RM'!$H$2)))),((IF(O499="EUR",AY499,(AY499*'Master Data-C19RM'!$H$2))))))</f>
        <v>0</v>
      </c>
      <c r="BU499" s="12">
        <f t="shared" si="67"/>
        <v>0</v>
      </c>
      <c r="BV499" s="142">
        <f t="shared" si="68"/>
        <v>0</v>
      </c>
    </row>
    <row r="500" spans="1:94" x14ac:dyDescent="0.35">
      <c r="A500" s="1165"/>
      <c r="B500" s="1165"/>
      <c r="C500" s="1165"/>
      <c r="D500" s="1165"/>
      <c r="E500" s="1166"/>
      <c r="F500" s="1166"/>
      <c r="G500" s="1166"/>
      <c r="H500" s="1166"/>
      <c r="I500" s="1166"/>
      <c r="J500" s="1166"/>
      <c r="K500" s="1166"/>
      <c r="L500" s="490" t="str" cm="1">
        <f t="array" ref="L500">IF(A500&lt;&gt;"",IFERROR(INDEX(PMtbl[[WKst]:[Unit of measure*]],MATCH($A$437&amp;$A500&amp;$E500&amp;$I500,INDEX(PMtbl[Sec]&amp;PMtbl[Category]&amp;PMtbl[Each]&amp;PMtbl[Packaging],0,),0),14),""),"")</f>
        <v/>
      </c>
      <c r="M500" s="479" t="str">
        <f>IF(L500="","",INDEX(SETUP!$E$20:$E$122,(MATCH(INDEX(PMsheet!$D:$E,MATCH(A500,PMsheet!E:E,0),1),SETUP!$D$20:$D$122,0))))</f>
        <v/>
      </c>
      <c r="N500" s="491">
        <f>IF($O500="USD",_xlfn.IFNA(VLOOKUP(A500&amp;E500&amp;I500,PMsheet!J:K,2,0),0),(_xlfn.IFNA(VLOOKUP(A500&amp;E500&amp;I500,PMsheet!J:K,2,0),0)*'Master Data-C19RM'!$C$2))</f>
        <v>0</v>
      </c>
      <c r="O500" s="492" t="str">
        <f>IF(L500="", "",SETUP!$E$7)</f>
        <v/>
      </c>
      <c r="P500" s="444">
        <f>IF($O500="USD",_xlfn.IFNA(VLOOKUP($A500&amp;$E500&amp;$I500,PMsheet!$J:$K,2,0),0),(_xlfn.IFNA(VLOOKUP($A500&amp;$E500&amp;$I500,PMsheet!$J:$K,2,0),0)*'Master Data-C19RM'!$C$2))</f>
        <v>0</v>
      </c>
      <c r="Q500" s="441"/>
      <c r="R500" s="441"/>
      <c r="S500" s="441"/>
      <c r="T500" s="441"/>
      <c r="U500" s="481">
        <f t="shared" si="61"/>
        <v>0</v>
      </c>
      <c r="V500" s="483">
        <f>IF(SETUP!$E$7="USD",(U500*(IF(O500="USD",P500,(P500/'Master Data-C19RM'!$C$2)))),(U500*(IF(O500="EUR",P500,(P500*'Master Data-C19RM'!$C$2)))))</f>
        <v>0</v>
      </c>
      <c r="W500" s="444">
        <f>IF($O500="USD",_xlfn.IFNA(VLOOKUP($A500&amp;$E500&amp;$I500,PMsheet!$J:$K,2,0),0),(_xlfn.IFNA(VLOOKUP($A500&amp;$E500&amp;$I500,PMsheet!$J:$K,2,0),0)*'Master Data-C19RM'!$D$2))</f>
        <v>0</v>
      </c>
      <c r="X500" s="441"/>
      <c r="Y500" s="441"/>
      <c r="Z500" s="441"/>
      <c r="AA500" s="441"/>
      <c r="AB500" s="481">
        <f t="shared" si="62"/>
        <v>0</v>
      </c>
      <c r="AC500" s="483">
        <f>IF(SETUP!$E$7="USD",(AB500*(IF(O500="USD",W500,(W500/'Master Data-C19RM'!$D$2)))),(AB500*(IF(O500="EUR",W500,(W500*'Master Data-C19RM'!$D$2)))))</f>
        <v>0</v>
      </c>
      <c r="AD500" s="444">
        <f>IF($O500="USD",_xlfn.IFNA(VLOOKUP($A500&amp;$E500&amp;$I500,PMsheet!$J:$K,2,0),0),(_xlfn.IFNA(VLOOKUP($A500&amp;$E500&amp;$I500,PMsheet!$J:$K,2,0),0)*'Master Data-C19RM'!$E$2))</f>
        <v>0</v>
      </c>
      <c r="AE500" s="441"/>
      <c r="AF500" s="441"/>
      <c r="AG500" s="441"/>
      <c r="AH500" s="441"/>
      <c r="AI500" s="512">
        <f t="shared" si="63"/>
        <v>0</v>
      </c>
      <c r="AJ500" s="513">
        <f>IF(SETUP!$E$7="USD",(AI500*(IF(O500="USD",AD500,(AD500/'Master Data-C19RM'!$E$2)))),(AI500*(IF(O500="EUR",AD500,(AD500*'Master Data-C19RM'!$E$2)))))</f>
        <v>0</v>
      </c>
      <c r="AK500" s="444">
        <f>IF($O500="USD",_xlfn.IFNA(VLOOKUP($A500&amp;$E500&amp;$I500,PMsheet!$J:$K,2,0),0),(_xlfn.IFNA(VLOOKUP($A500&amp;$E500&amp;$I500,PMsheet!$J:$K,2,0),0)*'Master Data-C19RM'!$F$2))</f>
        <v>0</v>
      </c>
      <c r="AL500" s="441"/>
      <c r="AM500" s="441"/>
      <c r="AN500" s="441"/>
      <c r="AO500" s="441"/>
      <c r="AP500" s="512">
        <f t="shared" si="66"/>
        <v>0</v>
      </c>
      <c r="AQ500" s="513">
        <f>IF(SETUP!$E$7="USD",(AP500*(IF(O500="USD",AK500,(AK500/'Master Data-C19RM'!$F$2)))),(AP500*(IF(O500="EUR",AK500,(AK500*'Master Data-C19RM'!$F$2)))))</f>
        <v>0</v>
      </c>
      <c r="AR500" s="924">
        <f>IF($O500="USD",_xlfn.IFNA(VLOOKUP($A500&amp;$E500&amp;$I500,PMsheet!$J:$K,2,0),0),(_xlfn.IFNA(VLOOKUP($A500&amp;$E500&amp;$I500,PMsheet!$J:$K,2,0),0)*'Master Data-C19RM'!$G$2))</f>
        <v>0</v>
      </c>
      <c r="AS500" s="572"/>
      <c r="AT500" s="572"/>
      <c r="AU500" s="572"/>
      <c r="AV500" s="572"/>
      <c r="AW500" s="512">
        <f t="shared" si="65"/>
        <v>0</v>
      </c>
      <c r="AX500" s="512">
        <f>IF(SETUP!$E$7="USD",(AW500*(IF(O500="USD",AR500,(AR500/'Master Data-C19RM'!$G$2)))),(AW500*(IF(O500="EUR",AR500,(AR500*'Master Data-C19RM'!$G$2)))))</f>
        <v>0</v>
      </c>
      <c r="AY500" s="845"/>
      <c r="AZ500" s="846"/>
      <c r="BA500" s="846"/>
      <c r="BB500" s="846"/>
      <c r="BC500" s="846"/>
      <c r="BD500" s="846"/>
      <c r="BE500" s="847"/>
      <c r="BF500" s="520">
        <f>'C19RM 2021-Lab &amp; Other HPS'!$U500+'C19RM 2021-Lab &amp; Other HPS'!$AB500+'C19RM 2021-Lab &amp; Other HPS'!$AP500+'C19RM 2021-Lab &amp; Other HPS'!$AI500+AW500+BD500</f>
        <v>0</v>
      </c>
      <c r="BG500" s="513">
        <f>'C19RM 2021-Lab &amp; Other HPS'!$V500+'C19RM 2021-Lab &amp; Other HPS'!$AC500+'C19RM 2021-Lab &amp; Other HPS'!$AQ500+'C19RM 2021-Lab &amp; Other HPS'!$AJ500+AX500+BE500</f>
        <v>0</v>
      </c>
      <c r="BH500" s="500" t="str" cm="1">
        <f t="array" ref="BH500">IF(A500&lt;&gt;"",IFERROR(INDEX(PMtbl[[WKst]:[Unit of measure*]],MATCH($A$437&amp;$A500&amp;$E500&amp;$I500,INDEX(PMtbl[Sec]&amp;PMtbl[Category]&amp;PMtbl[Each]&amp;PMtbl[Packaging],0,),0),11),""),"")</f>
        <v/>
      </c>
      <c r="BI500" s="819"/>
      <c r="BJ500" s="502" t="str" cm="1">
        <f t="array" ref="BJ500">IFERROR(INDEX(SETUP!$C$19:$G$121,MATCH((INDEX(PMtbl[[WKst]:[Unit of measure*]],MATCH($A500&amp;$E500&amp;$I500,INDEX(PMtbl[Category]&amp;PMtbl[Each]&amp;PMtbl[Packaging],0,),0),3)),SETUP!$D$19:$D$121,0),5),"")</f>
        <v/>
      </c>
      <c r="BK500" s="536"/>
      <c r="BL500" s="577"/>
      <c r="BO500" s="12">
        <f>IF(N500="",0,IF(SETUP!$E$7="USD",((IF(O500="USD",P500,(P500/'Master Data-C19RM'!$C$2)))),((IF(O500="EUR",P500,(P500*'Master Data-C19RM'!$C$2))))))</f>
        <v>0</v>
      </c>
      <c r="BP500" s="12">
        <f>IF(N500="",0,IF(SETUP!$E$7="USD",((IF(O500="USD",W500,(W500/'Master Data-C19RM'!$D$2)))),((IF(O500="EUR",W500,(W500*'Master Data-C19RM'!$D$2))))))</f>
        <v>0</v>
      </c>
      <c r="BQ500">
        <f>IF(N500="",0,IF(SETUP!$E$7="USD",((IF(O500="USD",AD500,(AD500/'Master Data-C19RM'!$E$2)))),((IF(O500="EUR",AD500,(AD500*'Master Data-C19RM'!$E$2))))))</f>
        <v>0</v>
      </c>
      <c r="BR500">
        <f>IF(N500="",0,IF(SETUP!$E$7="USD",((IF(O500="USD",AK500,(AK500/'Master Data-C19RM'!$F$2)))),((IF(O500="EUR",AK500,(AK500*'Master Data-C19RM'!$F$2))))))</f>
        <v>0</v>
      </c>
      <c r="BS500">
        <f>IF(N500="",0,IF(SETUP!$E$7="USD",((IF(O500="USD",AR500,(AR500/'Master Data-C19RM'!$G$2)))),((IF(O500="EUR",AR500,(AR500*'Master Data-C19RM'!$G$2))))))</f>
        <v>0</v>
      </c>
      <c r="BT500">
        <f>IF(N500="",0,IF(SETUP!$E$7="USD",((IF(O500="USD",AY500,(AY500/'Master Data-C19RM'!$H$2)))),((IF(O500="EUR",AY500,(AY500*'Master Data-C19RM'!$H$2))))))</f>
        <v>0</v>
      </c>
      <c r="BU500" s="12">
        <f t="shared" si="67"/>
        <v>0</v>
      </c>
      <c r="BV500" s="142">
        <f t="shared" si="68"/>
        <v>0</v>
      </c>
    </row>
    <row r="501" spans="1:94" x14ac:dyDescent="0.35">
      <c r="A501" s="1172"/>
      <c r="B501" s="1172"/>
      <c r="C501" s="1172"/>
      <c r="D501" s="1172"/>
      <c r="E501" s="1173"/>
      <c r="F501" s="1173"/>
      <c r="G501" s="1173"/>
      <c r="H501" s="1173"/>
      <c r="I501" s="1173"/>
      <c r="J501" s="1173"/>
      <c r="K501" s="1173"/>
      <c r="L501" s="493" t="str" cm="1">
        <f t="array" ref="L501">IF(A501&lt;&gt;"",IFERROR(INDEX(PMtbl[[WKst]:[Unit of measure*]],MATCH($A$437&amp;$A501&amp;$E501&amp;$I501,INDEX(PMtbl[Sec]&amp;PMtbl[Category]&amp;PMtbl[Each]&amp;PMtbl[Packaging],0,),0),14),""),"")</f>
        <v/>
      </c>
      <c r="M501" s="480" t="str">
        <f>IF(L501="","",INDEX(SETUP!$E$20:$E$122,(MATCH(INDEX(PMsheet!$D:$E,MATCH(A501,PMsheet!E:E,0),1),SETUP!$D$20:$D$122,0))))</f>
        <v/>
      </c>
      <c r="N501" s="494">
        <f>IF($O501="USD",_xlfn.IFNA(VLOOKUP(A501&amp;E501&amp;I501,PMsheet!J:K,2,0),0),(_xlfn.IFNA(VLOOKUP(A501&amp;E501&amp;I501,PMsheet!J:K,2,0),0)*'Master Data-C19RM'!$C$2))</f>
        <v>0</v>
      </c>
      <c r="O501" s="495" t="str">
        <f>IF(L501="", "",SETUP!$E$7)</f>
        <v/>
      </c>
      <c r="P501" s="445">
        <f>IF($O501="USD",_xlfn.IFNA(VLOOKUP($A501&amp;$E501&amp;$I501,PMsheet!$J:$K,2,0),0),(_xlfn.IFNA(VLOOKUP($A501&amp;$E501&amp;$I501,PMsheet!$J:$K,2,0),0)*'Master Data-C19RM'!$C$2))</f>
        <v>0</v>
      </c>
      <c r="Q501" s="440"/>
      <c r="R501" s="440"/>
      <c r="S501" s="440"/>
      <c r="T501" s="440"/>
      <c r="U501" s="482">
        <f t="shared" si="61"/>
        <v>0</v>
      </c>
      <c r="V501" s="484">
        <f>IF(SETUP!$E$7="USD",(U501*(IF(O501="USD",P501,(P501/'Master Data-C19RM'!$C$2)))),(U501*(IF(O501="EUR",P501,(P501*'Master Data-C19RM'!$C$2)))))</f>
        <v>0</v>
      </c>
      <c r="W501" s="445">
        <f>IF($O501="USD",_xlfn.IFNA(VLOOKUP($A501&amp;$E501&amp;$I501,PMsheet!$J:$K,2,0),0),(_xlfn.IFNA(VLOOKUP($A501&amp;$E501&amp;$I501,PMsheet!$J:$K,2,0),0)*'Master Data-C19RM'!$D$2))</f>
        <v>0</v>
      </c>
      <c r="X501" s="440"/>
      <c r="Y501" s="440"/>
      <c r="Z501" s="440"/>
      <c r="AA501" s="440"/>
      <c r="AB501" s="482">
        <f t="shared" si="62"/>
        <v>0</v>
      </c>
      <c r="AC501" s="484">
        <f>IF(SETUP!$E$7="USD",(AB501*(IF(O501="USD",W501,(W501/'Master Data-C19RM'!$D$2)))),(AB501*(IF(O501="EUR",W501,(W501*'Master Data-C19RM'!$D$2)))))</f>
        <v>0</v>
      </c>
      <c r="AD501" s="445">
        <f>IF($O501="USD",_xlfn.IFNA(VLOOKUP($A501&amp;$E501&amp;$I501,PMsheet!$J:$K,2,0),0),(_xlfn.IFNA(VLOOKUP($A501&amp;$E501&amp;$I501,PMsheet!$J:$K,2,0),0)*'Master Data-C19RM'!$E$2))</f>
        <v>0</v>
      </c>
      <c r="AE501" s="440"/>
      <c r="AF501" s="440"/>
      <c r="AG501" s="440"/>
      <c r="AH501" s="440"/>
      <c r="AI501" s="514">
        <f t="shared" si="63"/>
        <v>0</v>
      </c>
      <c r="AJ501" s="515">
        <f>IF(SETUP!$E$7="USD",(AI501*(IF(O501="USD",AD501,(AD501/'Master Data-C19RM'!$E$2)))),(AI501*(IF(O501="EUR",AD501,(AD501*'Master Data-C19RM'!$E$2)))))</f>
        <v>0</v>
      </c>
      <c r="AK501" s="445">
        <f>IF($O501="USD",_xlfn.IFNA(VLOOKUP($A501&amp;$E501&amp;$I501,PMsheet!$J:$K,2,0),0),(_xlfn.IFNA(VLOOKUP($A501&amp;$E501&amp;$I501,PMsheet!$J:$K,2,0),0)*'Master Data-C19RM'!$F$2))</f>
        <v>0</v>
      </c>
      <c r="AL501" s="440"/>
      <c r="AM501" s="440"/>
      <c r="AN501" s="440"/>
      <c r="AO501" s="440"/>
      <c r="AP501" s="514">
        <f t="shared" si="66"/>
        <v>0</v>
      </c>
      <c r="AQ501" s="515">
        <f>IF(SETUP!$E$7="USD",(AP501*(IF(O501="USD",AK501,(AK501/'Master Data-C19RM'!$F$2)))),(AP501*(IF(O501="EUR",AK501,(AK501*'Master Data-C19RM'!$F$2)))))</f>
        <v>0</v>
      </c>
      <c r="AR501" s="925">
        <f>IF($O501="USD",_xlfn.IFNA(VLOOKUP($A501&amp;$E501&amp;$I501,PMsheet!$J:$K,2,0),0),(_xlfn.IFNA(VLOOKUP($A501&amp;$E501&amp;$I501,PMsheet!$J:$K,2,0),0)*'Master Data-C19RM'!$G$2))</f>
        <v>0</v>
      </c>
      <c r="AS501" s="926"/>
      <c r="AT501" s="926"/>
      <c r="AU501" s="926"/>
      <c r="AV501" s="926"/>
      <c r="AW501" s="514">
        <f t="shared" si="65"/>
        <v>0</v>
      </c>
      <c r="AX501" s="514">
        <f>IF(SETUP!$E$7="USD",(AW501*(IF(O501="USD",AR501,(AR501/'Master Data-C19RM'!$G$2)))),(AW501*(IF(O501="EUR",AR501,(AR501*'Master Data-C19RM'!$G$2)))))</f>
        <v>0</v>
      </c>
      <c r="AY501" s="845"/>
      <c r="AZ501" s="846"/>
      <c r="BA501" s="846"/>
      <c r="BB501" s="846"/>
      <c r="BC501" s="846"/>
      <c r="BD501" s="846"/>
      <c r="BE501" s="847"/>
      <c r="BF501" s="521">
        <f>'C19RM 2021-Lab &amp; Other HPS'!$U501+'C19RM 2021-Lab &amp; Other HPS'!$AB501+'C19RM 2021-Lab &amp; Other HPS'!$AP501+'C19RM 2021-Lab &amp; Other HPS'!$AI501+AW501+BD501</f>
        <v>0</v>
      </c>
      <c r="BG501" s="515">
        <f>'C19RM 2021-Lab &amp; Other HPS'!$V501+'C19RM 2021-Lab &amp; Other HPS'!$AC501+'C19RM 2021-Lab &amp; Other HPS'!$AQ501+'C19RM 2021-Lab &amp; Other HPS'!$AJ501+AX501+BE501</f>
        <v>0</v>
      </c>
      <c r="BH501" s="522" t="str" cm="1">
        <f t="array" ref="BH501">IF(A501&lt;&gt;"",IFERROR(INDEX(PMtbl[[WKst]:[Unit of measure*]],MATCH($A$437&amp;$A501&amp;$E501&amp;$I501,INDEX(PMtbl[Sec]&amp;PMtbl[Category]&amp;PMtbl[Each]&amp;PMtbl[Packaging],0,),0),11),""),"")</f>
        <v/>
      </c>
      <c r="BI501" s="818"/>
      <c r="BJ501" s="503" t="str" cm="1">
        <f t="array" ref="BJ501">IFERROR(INDEX(SETUP!$C$19:$G$121,MATCH((INDEX(PMtbl[[WKst]:[Unit of measure*]],MATCH($A501&amp;$E501&amp;$I501,INDEX(PMtbl[Category]&amp;PMtbl[Each]&amp;PMtbl[Packaging],0,),0),3)),SETUP!$D$19:$D$121,0),5),"")</f>
        <v/>
      </c>
      <c r="BK501" s="537"/>
      <c r="BL501" s="578"/>
      <c r="BO501" s="12">
        <f>IF(N501="",0,IF(SETUP!$E$7="USD",((IF(O501="USD",P501,(P501/'Master Data-C19RM'!$C$2)))),((IF(O501="EUR",P501,(P501*'Master Data-C19RM'!$C$2))))))</f>
        <v>0</v>
      </c>
      <c r="BP501" s="12">
        <f>IF(N501="",0,IF(SETUP!$E$7="USD",((IF(O501="USD",W501,(W501/'Master Data-C19RM'!$D$2)))),((IF(O501="EUR",W501,(W501*'Master Data-C19RM'!$D$2))))))</f>
        <v>0</v>
      </c>
      <c r="BQ501">
        <f>IF(N501="",0,IF(SETUP!$E$7="USD",((IF(O501="USD",AD501,(AD501/'Master Data-C19RM'!$E$2)))),((IF(O501="EUR",AD501,(AD501*'Master Data-C19RM'!$E$2))))))</f>
        <v>0</v>
      </c>
      <c r="BR501">
        <f>IF(N501="",0,IF(SETUP!$E$7="USD",((IF(O501="USD",AK501,(AK501/'Master Data-C19RM'!$F$2)))),((IF(O501="EUR",AK501,(AK501*'Master Data-C19RM'!$F$2))))))</f>
        <v>0</v>
      </c>
      <c r="BS501">
        <f>IF(N501="",0,IF(SETUP!$E$7="USD",((IF(O501="USD",AR501,(AR501/'Master Data-C19RM'!$G$2)))),((IF(O501="EUR",AR501,(AR501*'Master Data-C19RM'!$G$2))))))</f>
        <v>0</v>
      </c>
      <c r="BT501">
        <f>IF(N501="",0,IF(SETUP!$E$7="USD",((IF(O501="USD",AY501,(AY501/'Master Data-C19RM'!$H$2)))),((IF(O501="EUR",AY501,(AY501*'Master Data-C19RM'!$H$2))))))</f>
        <v>0</v>
      </c>
      <c r="BU501" s="12">
        <f t="shared" si="67"/>
        <v>0</v>
      </c>
      <c r="BV501" s="142">
        <f t="shared" si="68"/>
        <v>0</v>
      </c>
    </row>
    <row r="502" spans="1:94" s="24" customFormat="1" x14ac:dyDescent="0.35">
      <c r="A502" s="1196"/>
      <c r="B502" s="1196"/>
      <c r="C502" s="1196"/>
      <c r="D502" s="1196"/>
      <c r="E502" s="1166"/>
      <c r="F502" s="1166"/>
      <c r="G502" s="1166"/>
      <c r="H502" s="1166"/>
      <c r="I502" s="1166"/>
      <c r="J502" s="1166"/>
      <c r="K502" s="1166"/>
      <c r="L502" s="490" t="str" cm="1">
        <f t="array" ref="L502">IF(A502&lt;&gt;"",IFERROR(INDEX(PMtbl[[WKst]:[Unit of measure*]],MATCH($A$437&amp;$A502&amp;$E502&amp;$I502,INDEX(PMtbl[Sec]&amp;PMtbl[Category]&amp;PMtbl[Each]&amp;PMtbl[Packaging],0,),0),14),""),"")</f>
        <v/>
      </c>
      <c r="M502" s="479" t="str">
        <f>IF(L502="","",INDEX(SETUP!$E$20:$E$122,(MATCH(INDEX(PMsheet!$D:$E,MATCH(A502,PMsheet!E:E,0),1),SETUP!$D$20:$D$122,0))))</f>
        <v/>
      </c>
      <c r="N502" s="491">
        <f>IF($O502="USD",_xlfn.IFNA(VLOOKUP(A502&amp;E502&amp;I502,PMsheet!J:K,2,0),0),(_xlfn.IFNA(VLOOKUP(A502&amp;E502&amp;I502,PMsheet!J:K,2,0),0)*'Master Data-C19RM'!$C$2))</f>
        <v>0</v>
      </c>
      <c r="O502" s="573" t="str">
        <f>IF(L502="", "",SETUP!$E$7)</f>
        <v/>
      </c>
      <c r="P502" s="444">
        <f>IF($O502="USD",_xlfn.IFNA(VLOOKUP($A502&amp;$E502&amp;$I502,PMsheet!$J:$K,2,0),0),(_xlfn.IFNA(VLOOKUP($A502&amp;$E502&amp;$I502,PMsheet!$J:$K,2,0),0)*'Master Data-C19RM'!$C$2))</f>
        <v>0</v>
      </c>
      <c r="Q502" s="441"/>
      <c r="R502" s="441"/>
      <c r="S502" s="441"/>
      <c r="T502" s="441"/>
      <c r="U502" s="481">
        <f t="shared" si="61"/>
        <v>0</v>
      </c>
      <c r="V502" s="483">
        <f>IF(SETUP!$E$7="USD",(U502*(IF(O502="USD",P502,(P502/'Master Data-C19RM'!$C$2)))),(U502*(IF(O502="EUR",P502,(P502*'Master Data-C19RM'!$C$2)))))</f>
        <v>0</v>
      </c>
      <c r="W502" s="444">
        <f>IF($O502="USD",_xlfn.IFNA(VLOOKUP($A502&amp;$E502&amp;$I502,PMsheet!$J:$K,2,0),0),(_xlfn.IFNA(VLOOKUP($A502&amp;$E502&amp;$I502,PMsheet!$J:$K,2,0),0)*'Master Data-C19RM'!$D$2))</f>
        <v>0</v>
      </c>
      <c r="X502" s="441"/>
      <c r="Y502" s="441"/>
      <c r="Z502" s="441"/>
      <c r="AA502" s="441"/>
      <c r="AB502" s="481">
        <f t="shared" si="62"/>
        <v>0</v>
      </c>
      <c r="AC502" s="483">
        <f>IF(SETUP!$E$7="USD",(AB502*(IF(O502="USD",W502,(W502/'Master Data-C19RM'!$D$2)))),(AB502*(IF(O502="EUR",W502,(W502*'Master Data-C19RM'!$D$2)))))</f>
        <v>0</v>
      </c>
      <c r="AD502" s="444">
        <f>IF($O502="USD",_xlfn.IFNA(VLOOKUP($A502&amp;$E502&amp;$I502,PMsheet!$J:$K,2,0),0),(_xlfn.IFNA(VLOOKUP($A502&amp;$E502&amp;$I502,PMsheet!$J:$K,2,0),0)*'Master Data-C19RM'!$E$2))</f>
        <v>0</v>
      </c>
      <c r="AE502" s="441"/>
      <c r="AF502" s="441"/>
      <c r="AG502" s="441"/>
      <c r="AH502" s="441"/>
      <c r="AI502" s="512">
        <f t="shared" si="63"/>
        <v>0</v>
      </c>
      <c r="AJ502" s="513">
        <f>IF(SETUP!$E$7="USD",(AI502*(IF(O502="USD",AD502,(AD502/'Master Data-C19RM'!$E$2)))),(AI502*(IF(O502="EUR",AD502,(AD502*'Master Data-C19RM'!$E$2)))))</f>
        <v>0</v>
      </c>
      <c r="AK502" s="456">
        <f>IF($O502="USD",_xlfn.IFNA(VLOOKUP($A502&amp;$E502&amp;$I502,PMsheet!$J:$K,2,0),0),(_xlfn.IFNA(VLOOKUP($A502&amp;$E502&amp;$I502,PMsheet!$J:$K,2,0),0)*'Master Data-C19RM'!$F$2))</f>
        <v>0</v>
      </c>
      <c r="AL502" s="572"/>
      <c r="AM502" s="572"/>
      <c r="AN502" s="572"/>
      <c r="AO502" s="572"/>
      <c r="AP502" s="512">
        <f t="shared" si="66"/>
        <v>0</v>
      </c>
      <c r="AQ502" s="513">
        <f>IF(SETUP!$E$7="USD",(AP502*(IF(O502="USD",AK502,(AK502/'Master Data-C19RM'!$F$2)))),(AP502*(IF(O502="EUR",AK502,(AK502*'Master Data-C19RM'!$F$2)))))</f>
        <v>0</v>
      </c>
      <c r="AR502" s="924">
        <f>IF($O502="USD",_xlfn.IFNA(VLOOKUP($A502&amp;$E502&amp;$I502,PMsheet!$J:$K,2,0),0),(_xlfn.IFNA(VLOOKUP($A502&amp;$E502&amp;$I502,PMsheet!$J:$K,2,0),0)*'Master Data-C19RM'!$G$2))</f>
        <v>0</v>
      </c>
      <c r="AS502" s="572"/>
      <c r="AT502" s="572"/>
      <c r="AU502" s="572"/>
      <c r="AV502" s="572"/>
      <c r="AW502" s="512">
        <f t="shared" si="65"/>
        <v>0</v>
      </c>
      <c r="AX502" s="512">
        <f>IF(SETUP!$E$7="USD",(AW502*(IF(O502="USD",AR502,(AR502/'Master Data-C19RM'!$G$2)))),(AW502*(IF(O502="EUR",AR502,(AR502*'Master Data-C19RM'!$G$2)))))</f>
        <v>0</v>
      </c>
      <c r="AY502" s="845"/>
      <c r="AZ502" s="846"/>
      <c r="BA502" s="846"/>
      <c r="BB502" s="846"/>
      <c r="BC502" s="846"/>
      <c r="BD502" s="846"/>
      <c r="BE502" s="847"/>
      <c r="BF502" s="520">
        <f>'C19RM 2021-Lab &amp; Other HPS'!$U502+'C19RM 2021-Lab &amp; Other HPS'!$AB502+'C19RM 2021-Lab &amp; Other HPS'!$AP502+'C19RM 2021-Lab &amp; Other HPS'!$AI502+AW502+BD502</f>
        <v>0</v>
      </c>
      <c r="BG502" s="513">
        <f>'C19RM 2021-Lab &amp; Other HPS'!$V502+'C19RM 2021-Lab &amp; Other HPS'!$AC502+'C19RM 2021-Lab &amp; Other HPS'!$AQ502+'C19RM 2021-Lab &amp; Other HPS'!$AJ502+AX502+BE502</f>
        <v>0</v>
      </c>
      <c r="BH502" s="500" t="str" cm="1">
        <f t="array" ref="BH502">IF(A502&lt;&gt;"",IFERROR(INDEX(PMtbl[[WKst]:[Unit of measure*]],MATCH($A$437&amp;$A502&amp;$E502&amp;$I502,INDEX(PMtbl[Sec]&amp;PMtbl[Category]&amp;PMtbl[Each]&amp;PMtbl[Packaging],0,),0),11),""),"")</f>
        <v/>
      </c>
      <c r="BI502" s="819"/>
      <c r="BJ502" s="502" t="str" cm="1">
        <f t="array" ref="BJ502">IFERROR(INDEX(SETUP!$C$19:$G$121,MATCH((INDEX(PMtbl[[WKst]:[Unit of measure*]],MATCH($A502&amp;$E502&amp;$I502,INDEX(PMtbl[Category]&amp;PMtbl[Each]&amp;PMtbl[Packaging],0,),0),3)),SETUP!$D$19:$D$121,0),5),"")</f>
        <v/>
      </c>
      <c r="BK502" s="536"/>
      <c r="BL502" s="577"/>
      <c r="BO502" s="12">
        <f>IF(N502="",0,IF(SETUP!$E$7="USD",((IF(O502="USD",P502,(P502/'Master Data-C19RM'!$C$2)))),((IF(O502="EUR",P502,(P502*'Master Data-C19RM'!$C$2))))))</f>
        <v>0</v>
      </c>
      <c r="BP502" s="12">
        <f>IF(N502="",0,IF(SETUP!$E$7="USD",((IF(O502="USD",W502,(W502/'Master Data-C19RM'!$D$2)))),((IF(O502="EUR",W502,(W502*'Master Data-C19RM'!$D$2))))))</f>
        <v>0</v>
      </c>
      <c r="BQ502">
        <f>IF(N502="",0,IF(SETUP!$E$7="USD",((IF(O502="USD",AD502,(AD502/'Master Data-C19RM'!$E$2)))),((IF(O502="EUR",AD502,(AD502*'Master Data-C19RM'!$E$2))))))</f>
        <v>0</v>
      </c>
      <c r="BR502">
        <f>IF(N502="",0,IF(SETUP!$E$7="USD",((IF(O502="USD",AK502,(AK502/'Master Data-C19RM'!$F$2)))),((IF(O502="EUR",AK502,(AK502*'Master Data-C19RM'!$F$2))))))</f>
        <v>0</v>
      </c>
      <c r="BS502">
        <f>IF(N502="",0,IF(SETUP!$E$7="USD",((IF(O502="USD",AR502,(AR502/'Master Data-C19RM'!$G$2)))),((IF(O502="EUR",AR502,(AR502*'Master Data-C19RM'!$G$2))))))</f>
        <v>0</v>
      </c>
      <c r="BT502">
        <f>IF(N502="",0,IF(SETUP!$E$7="USD",((IF(O502="USD",AY502,(AY502/'Master Data-C19RM'!$H$2)))),((IF(O502="EUR",AY502,(AY502*'Master Data-C19RM'!$H$2))))))</f>
        <v>0</v>
      </c>
      <c r="BU502" s="12">
        <f t="shared" si="67"/>
        <v>0</v>
      </c>
      <c r="BV502" s="142">
        <f t="shared" si="68"/>
        <v>0</v>
      </c>
      <c r="BW502"/>
      <c r="BX502"/>
      <c r="BY502"/>
      <c r="BZ502"/>
      <c r="CA502"/>
      <c r="CB502"/>
      <c r="CC502"/>
      <c r="CD502"/>
      <c r="CE502"/>
      <c r="CF502"/>
      <c r="CG502"/>
      <c r="CH502"/>
      <c r="CI502"/>
      <c r="CJ502"/>
      <c r="CK502"/>
      <c r="CL502"/>
      <c r="CM502"/>
      <c r="CN502"/>
      <c r="CO502"/>
      <c r="CP502"/>
    </row>
    <row r="503" spans="1:94" x14ac:dyDescent="0.35">
      <c r="A503" s="1172"/>
      <c r="B503" s="1172"/>
      <c r="C503" s="1172"/>
      <c r="D503" s="1172"/>
      <c r="E503" s="1173"/>
      <c r="F503" s="1173"/>
      <c r="G503" s="1173"/>
      <c r="H503" s="1173"/>
      <c r="I503" s="1173"/>
      <c r="J503" s="1173"/>
      <c r="K503" s="1173"/>
      <c r="L503" s="493" t="str" cm="1">
        <f t="array" ref="L503">IF(A503&lt;&gt;"",IFERROR(INDEX(PMtbl[[WKst]:[Unit of measure*]],MATCH($A$437&amp;$A503&amp;$E503&amp;$I503,INDEX(PMtbl[Sec]&amp;PMtbl[Category]&amp;PMtbl[Each]&amp;PMtbl[Packaging],0,),0),14),""),"")</f>
        <v/>
      </c>
      <c r="M503" s="480" t="str">
        <f>IF(L503="","",INDEX(SETUP!$E$20:$E$122,(MATCH(INDEX(PMsheet!$D:$E,MATCH(A503,PMsheet!E:E,0),1),SETUP!$D$20:$D$122,0))))</f>
        <v/>
      </c>
      <c r="N503" s="494">
        <f>IF($O503="USD",_xlfn.IFNA(VLOOKUP(A503&amp;E503&amp;I503,PMsheet!J:K,2,0),0),(_xlfn.IFNA(VLOOKUP(A503&amp;E503&amp;I503,PMsheet!J:K,2,0),0)*'Master Data-C19RM'!$C$2))</f>
        <v>0</v>
      </c>
      <c r="O503" s="495" t="str">
        <f>IF(L503="", "",SETUP!$E$7)</f>
        <v/>
      </c>
      <c r="P503" s="445">
        <f>IF($O503="USD",_xlfn.IFNA(VLOOKUP($A503&amp;$E503&amp;$I503,PMsheet!$J:$K,2,0),0),(_xlfn.IFNA(VLOOKUP($A503&amp;$E503&amp;$I503,PMsheet!$J:$K,2,0),0)*'Master Data-C19RM'!$C$2))</f>
        <v>0</v>
      </c>
      <c r="Q503" s="440"/>
      <c r="R503" s="440"/>
      <c r="S503" s="440"/>
      <c r="T503" s="440"/>
      <c r="U503" s="482">
        <f t="shared" si="61"/>
        <v>0</v>
      </c>
      <c r="V503" s="484">
        <f>IF(SETUP!$E$7="USD",(U503*(IF(O503="USD",P503,(P503/'Master Data-C19RM'!$C$2)))),(U503*(IF(O503="EUR",P503,(P503*'Master Data-C19RM'!$C$2)))))</f>
        <v>0</v>
      </c>
      <c r="W503" s="445">
        <f>IF($O503="USD",_xlfn.IFNA(VLOOKUP($A503&amp;$E503&amp;$I503,PMsheet!$J:$K,2,0),0),(_xlfn.IFNA(VLOOKUP($A503&amp;$E503&amp;$I503,PMsheet!$J:$K,2,0),0)*'Master Data-C19RM'!$D$2))</f>
        <v>0</v>
      </c>
      <c r="X503" s="440"/>
      <c r="Y503" s="440"/>
      <c r="Z503" s="440"/>
      <c r="AA503" s="440"/>
      <c r="AB503" s="482">
        <f t="shared" si="62"/>
        <v>0</v>
      </c>
      <c r="AC503" s="484">
        <f>IF(SETUP!$E$7="USD",(AB503*(IF(O503="USD",W503,(W503/'Master Data-C19RM'!$D$2)))),(AB503*(IF(O503="EUR",W503,(W503*'Master Data-C19RM'!$D$2)))))</f>
        <v>0</v>
      </c>
      <c r="AD503" s="445">
        <f>IF($O503="USD",_xlfn.IFNA(VLOOKUP($A503&amp;$E503&amp;$I503,PMsheet!$J:$K,2,0),0),(_xlfn.IFNA(VLOOKUP($A503&amp;$E503&amp;$I503,PMsheet!$J:$K,2,0),0)*'Master Data-C19RM'!$E$2))</f>
        <v>0</v>
      </c>
      <c r="AE503" s="440"/>
      <c r="AF503" s="440"/>
      <c r="AG503" s="440"/>
      <c r="AH503" s="440"/>
      <c r="AI503" s="514">
        <f t="shared" si="63"/>
        <v>0</v>
      </c>
      <c r="AJ503" s="515">
        <f>IF(SETUP!$E$7="USD",(AI503*(IF(O503="USD",AD503,(AD503/'Master Data-C19RM'!$E$2)))),(AI503*(IF(O503="EUR",AD503,(AD503*'Master Data-C19RM'!$E$2)))))</f>
        <v>0</v>
      </c>
      <c r="AK503" s="445">
        <f>IF($O503="USD",_xlfn.IFNA(VLOOKUP($A503&amp;$E503&amp;$I503,PMsheet!$J:$K,2,0),0),(_xlfn.IFNA(VLOOKUP($A503&amp;$E503&amp;$I503,PMsheet!$J:$K,2,0),0)*'Master Data-C19RM'!$F$2))</f>
        <v>0</v>
      </c>
      <c r="AL503" s="440"/>
      <c r="AM503" s="440"/>
      <c r="AN503" s="440"/>
      <c r="AO503" s="440"/>
      <c r="AP503" s="514">
        <f t="shared" si="66"/>
        <v>0</v>
      </c>
      <c r="AQ503" s="515">
        <f>IF(SETUP!$E$7="USD",(AP503*(IF(O503="USD",AK503,(AK503/'Master Data-C19RM'!$F$2)))),(AP503*(IF(O503="EUR",AK503,(AK503*'Master Data-C19RM'!$F$2)))))</f>
        <v>0</v>
      </c>
      <c r="AR503" s="925">
        <f>IF($O503="USD",_xlfn.IFNA(VLOOKUP($A503&amp;$E503&amp;$I503,PMsheet!$J:$K,2,0),0),(_xlfn.IFNA(VLOOKUP($A503&amp;$E503&amp;$I503,PMsheet!$J:$K,2,0),0)*'Master Data-C19RM'!$G$2))</f>
        <v>0</v>
      </c>
      <c r="AS503" s="926"/>
      <c r="AT503" s="926"/>
      <c r="AU503" s="926"/>
      <c r="AV503" s="926"/>
      <c r="AW503" s="514">
        <f t="shared" si="65"/>
        <v>0</v>
      </c>
      <c r="AX503" s="514">
        <f>IF(SETUP!$E$7="USD",(AW503*(IF(O503="USD",AR503,(AR503/'Master Data-C19RM'!$G$2)))),(AW503*(IF(O503="EUR",AR503,(AR503*'Master Data-C19RM'!$G$2)))))</f>
        <v>0</v>
      </c>
      <c r="AY503" s="845"/>
      <c r="AZ503" s="846"/>
      <c r="BA503" s="846"/>
      <c r="BB503" s="846"/>
      <c r="BC503" s="846"/>
      <c r="BD503" s="846"/>
      <c r="BE503" s="847"/>
      <c r="BF503" s="521">
        <f>'C19RM 2021-Lab &amp; Other HPS'!$U503+'C19RM 2021-Lab &amp; Other HPS'!$AB503+'C19RM 2021-Lab &amp; Other HPS'!$AP503+'C19RM 2021-Lab &amp; Other HPS'!$AI503+AW503+BD503</f>
        <v>0</v>
      </c>
      <c r="BG503" s="515">
        <f>'C19RM 2021-Lab &amp; Other HPS'!$V503+'C19RM 2021-Lab &amp; Other HPS'!$AC503+'C19RM 2021-Lab &amp; Other HPS'!$AQ503+'C19RM 2021-Lab &amp; Other HPS'!$AJ503+AX503+BE503</f>
        <v>0</v>
      </c>
      <c r="BH503" s="522" t="str" cm="1">
        <f t="array" ref="BH503">IF(A503&lt;&gt;"",IFERROR(INDEX(PMtbl[[WKst]:[Unit of measure*]],MATCH($A$437&amp;$A503&amp;$E503&amp;$I503,INDEX(PMtbl[Sec]&amp;PMtbl[Category]&amp;PMtbl[Each]&amp;PMtbl[Packaging],0,),0),11),""),"")</f>
        <v/>
      </c>
      <c r="BI503" s="818"/>
      <c r="BJ503" s="503" t="str" cm="1">
        <f t="array" ref="BJ503">IFERROR(INDEX(SETUP!$C$19:$G$121,MATCH((INDEX(PMtbl[[WKst]:[Unit of measure*]],MATCH($A503&amp;$E503&amp;$I503,INDEX(PMtbl[Category]&amp;PMtbl[Each]&amp;PMtbl[Packaging],0,),0),3)),SETUP!$D$19:$D$121,0),5),"")</f>
        <v/>
      </c>
      <c r="BK503" s="537"/>
      <c r="BL503" s="578"/>
      <c r="BO503" s="12">
        <f>IF(N503="",0,IF(SETUP!$E$7="USD",((IF(O503="USD",P503,(P503/'Master Data-C19RM'!$C$2)))),((IF(O503="EUR",P503,(P503*'Master Data-C19RM'!$C$2))))))</f>
        <v>0</v>
      </c>
      <c r="BP503" s="12">
        <f>IF(N503="",0,IF(SETUP!$E$7="USD",((IF(O503="USD",W503,(W503/'Master Data-C19RM'!$D$2)))),((IF(O503="EUR",W503,(W503*'Master Data-C19RM'!$D$2))))))</f>
        <v>0</v>
      </c>
      <c r="BQ503">
        <f>IF(N503="",0,IF(SETUP!$E$7="USD",((IF(O503="USD",AD503,(AD503/'Master Data-C19RM'!$E$2)))),((IF(O503="EUR",AD503,(AD503*'Master Data-C19RM'!$E$2))))))</f>
        <v>0</v>
      </c>
      <c r="BR503">
        <f>IF(N503="",0,IF(SETUP!$E$7="USD",((IF(O503="USD",AK503,(AK503/'Master Data-C19RM'!$F$2)))),((IF(O503="EUR",AK503,(AK503*'Master Data-C19RM'!$F$2))))))</f>
        <v>0</v>
      </c>
      <c r="BS503">
        <f>IF(N503="",0,IF(SETUP!$E$7="USD",((IF(O503="USD",AR503,(AR503/'Master Data-C19RM'!$G$2)))),((IF(O503="EUR",AR503,(AR503*'Master Data-C19RM'!$G$2))))))</f>
        <v>0</v>
      </c>
      <c r="BT503">
        <f>IF(N503="",0,IF(SETUP!$E$7="USD",((IF(O503="USD",AY503,(AY503/'Master Data-C19RM'!$H$2)))),((IF(O503="EUR",AY503,(AY503*'Master Data-C19RM'!$H$2))))))</f>
        <v>0</v>
      </c>
      <c r="BU503" s="12">
        <f t="shared" si="67"/>
        <v>0</v>
      </c>
      <c r="BV503" s="142">
        <f t="shared" si="68"/>
        <v>0</v>
      </c>
    </row>
    <row r="504" spans="1:94" x14ac:dyDescent="0.35">
      <c r="A504" s="1165"/>
      <c r="B504" s="1165"/>
      <c r="C504" s="1165"/>
      <c r="D504" s="1165"/>
      <c r="E504" s="1166"/>
      <c r="F504" s="1166"/>
      <c r="G504" s="1166"/>
      <c r="H504" s="1166"/>
      <c r="I504" s="1166"/>
      <c r="J504" s="1166"/>
      <c r="K504" s="1166"/>
      <c r="L504" s="490" t="str" cm="1">
        <f t="array" ref="L504">IF(A504&lt;&gt;"",IFERROR(INDEX(PMtbl[[WKst]:[Unit of measure*]],MATCH($A$437&amp;$A504&amp;$E504&amp;$I504,INDEX(PMtbl[Sec]&amp;PMtbl[Category]&amp;PMtbl[Each]&amp;PMtbl[Packaging],0,),0),14),""),"")</f>
        <v/>
      </c>
      <c r="M504" s="479" t="str">
        <f>IF(L504="","",INDEX(SETUP!$E$20:$E$122,(MATCH(INDEX(PMsheet!$D:$E,MATCH(A504,PMsheet!E:E,0),1),SETUP!$D$20:$D$122,0))))</f>
        <v/>
      </c>
      <c r="N504" s="491">
        <f>IF($O504="USD",_xlfn.IFNA(VLOOKUP(A504&amp;E504&amp;I504,PMsheet!J:K,2,0),0),(_xlfn.IFNA(VLOOKUP(A504&amp;E504&amp;I504,PMsheet!J:K,2,0),0)*'Master Data-C19RM'!$C$2))</f>
        <v>0</v>
      </c>
      <c r="O504" s="492" t="str">
        <f>IF(L504="", "",SETUP!$E$7)</f>
        <v/>
      </c>
      <c r="P504" s="444">
        <f>IF($O504="USD",_xlfn.IFNA(VLOOKUP($A504&amp;$E504&amp;$I504,PMsheet!$J:$K,2,0),0),(_xlfn.IFNA(VLOOKUP($A504&amp;$E504&amp;$I504,PMsheet!$J:$K,2,0),0)*'Master Data-C19RM'!$C$2))</f>
        <v>0</v>
      </c>
      <c r="Q504" s="441"/>
      <c r="R504" s="441"/>
      <c r="S504" s="441"/>
      <c r="T504" s="441"/>
      <c r="U504" s="481">
        <f t="shared" si="61"/>
        <v>0</v>
      </c>
      <c r="V504" s="483">
        <f>IF(SETUP!$E$7="USD",(U504*(IF(O504="USD",P504,(P504/'Master Data-C19RM'!$C$2)))),(U504*(IF(O504="EUR",P504,(P504*'Master Data-C19RM'!$C$2)))))</f>
        <v>0</v>
      </c>
      <c r="W504" s="444">
        <f>IF($O504="USD",_xlfn.IFNA(VLOOKUP($A504&amp;$E504&amp;$I504,PMsheet!$J:$K,2,0),0),(_xlfn.IFNA(VLOOKUP($A504&amp;$E504&amp;$I504,PMsheet!$J:$K,2,0),0)*'Master Data-C19RM'!$D$2))</f>
        <v>0</v>
      </c>
      <c r="X504" s="441"/>
      <c r="Y504" s="441"/>
      <c r="Z504" s="441"/>
      <c r="AA504" s="441"/>
      <c r="AB504" s="481">
        <f t="shared" si="62"/>
        <v>0</v>
      </c>
      <c r="AC504" s="483">
        <f>IF(SETUP!$E$7="USD",(AB504*(IF(O504="USD",W504,(W504/'Master Data-C19RM'!$D$2)))),(AB504*(IF(O504="EUR",W504,(W504*'Master Data-C19RM'!$D$2)))))</f>
        <v>0</v>
      </c>
      <c r="AD504" s="444">
        <f>IF($O504="USD",_xlfn.IFNA(VLOOKUP($A504&amp;$E504&amp;$I504,PMsheet!$J:$K,2,0),0),(_xlfn.IFNA(VLOOKUP($A504&amp;$E504&amp;$I504,PMsheet!$J:$K,2,0),0)*'Master Data-C19RM'!$E$2))</f>
        <v>0</v>
      </c>
      <c r="AE504" s="441"/>
      <c r="AF504" s="441"/>
      <c r="AG504" s="441"/>
      <c r="AH504" s="441"/>
      <c r="AI504" s="512">
        <f t="shared" si="63"/>
        <v>0</v>
      </c>
      <c r="AJ504" s="513">
        <f>IF(SETUP!$E$7="USD",(AI504*(IF(O504="USD",AD504,(AD504/'Master Data-C19RM'!$E$2)))),(AI504*(IF(O504="EUR",AD504,(AD504*'Master Data-C19RM'!$E$2)))))</f>
        <v>0</v>
      </c>
      <c r="AK504" s="444">
        <f>IF($O504="USD",_xlfn.IFNA(VLOOKUP($A504&amp;$E504&amp;$I504,PMsheet!$J:$K,2,0),0),(_xlfn.IFNA(VLOOKUP($A504&amp;$E504&amp;$I504,PMsheet!$J:$K,2,0),0)*'Master Data-C19RM'!$F$2))</f>
        <v>0</v>
      </c>
      <c r="AL504" s="441"/>
      <c r="AM504" s="441"/>
      <c r="AN504" s="441"/>
      <c r="AO504" s="441"/>
      <c r="AP504" s="512">
        <f t="shared" si="66"/>
        <v>0</v>
      </c>
      <c r="AQ504" s="513">
        <f>IF(SETUP!$E$7="USD",(AP504*(IF(O504="USD",AK504,(AK504/'Master Data-C19RM'!$F$2)))),(AP504*(IF(O504="EUR",AK504,(AK504*'Master Data-C19RM'!$F$2)))))</f>
        <v>0</v>
      </c>
      <c r="AR504" s="924">
        <f>IF($O504="USD",_xlfn.IFNA(VLOOKUP($A504&amp;$E504&amp;$I504,PMsheet!$J:$K,2,0),0),(_xlfn.IFNA(VLOOKUP($A504&amp;$E504&amp;$I504,PMsheet!$J:$K,2,0),0)*'Master Data-C19RM'!$G$2))</f>
        <v>0</v>
      </c>
      <c r="AS504" s="572"/>
      <c r="AT504" s="572"/>
      <c r="AU504" s="572"/>
      <c r="AV504" s="572"/>
      <c r="AW504" s="512">
        <f t="shared" si="65"/>
        <v>0</v>
      </c>
      <c r="AX504" s="512">
        <f>IF(SETUP!$E$7="USD",(AW504*(IF(O504="USD",AR504,(AR504/'Master Data-C19RM'!$G$2)))),(AW504*(IF(O504="EUR",AR504,(AR504*'Master Data-C19RM'!$G$2)))))</f>
        <v>0</v>
      </c>
      <c r="AY504" s="845"/>
      <c r="AZ504" s="846"/>
      <c r="BA504" s="846"/>
      <c r="BB504" s="846"/>
      <c r="BC504" s="846"/>
      <c r="BD504" s="846"/>
      <c r="BE504" s="847"/>
      <c r="BF504" s="520">
        <f>'C19RM 2021-Lab &amp; Other HPS'!$U504+'C19RM 2021-Lab &amp; Other HPS'!$AB504+'C19RM 2021-Lab &amp; Other HPS'!$AP504+'C19RM 2021-Lab &amp; Other HPS'!$AI504+AW504+BD504</f>
        <v>0</v>
      </c>
      <c r="BG504" s="513">
        <f>'C19RM 2021-Lab &amp; Other HPS'!$V504+'C19RM 2021-Lab &amp; Other HPS'!$AC504+'C19RM 2021-Lab &amp; Other HPS'!$AQ504+'C19RM 2021-Lab &amp; Other HPS'!$AJ504+AX504+BE504</f>
        <v>0</v>
      </c>
      <c r="BH504" s="500" t="str" cm="1">
        <f t="array" ref="BH504">IF(A504&lt;&gt;"",IFERROR(INDEX(PMtbl[[WKst]:[Unit of measure*]],MATCH($A$437&amp;$A504&amp;$E504&amp;$I504,INDEX(PMtbl[Sec]&amp;PMtbl[Category]&amp;PMtbl[Each]&amp;PMtbl[Packaging],0,),0),11),""),"")</f>
        <v/>
      </c>
      <c r="BI504" s="819"/>
      <c r="BJ504" s="502" t="str" cm="1">
        <f t="array" ref="BJ504">IFERROR(INDEX(SETUP!$C$19:$G$121,MATCH((INDEX(PMtbl[[WKst]:[Unit of measure*]],MATCH($A504&amp;$E504&amp;$I504,INDEX(PMtbl[Category]&amp;PMtbl[Each]&amp;PMtbl[Packaging],0,),0),3)),SETUP!$D$19:$D$121,0),5),"")</f>
        <v/>
      </c>
      <c r="BK504" s="536"/>
      <c r="BL504" s="577"/>
      <c r="BO504" s="12">
        <f>IF(N504="",0,IF(SETUP!$E$7="USD",((IF(O504="USD",P504,(P504/'Master Data-C19RM'!$C$2)))),((IF(O504="EUR",P504,(P504*'Master Data-C19RM'!$C$2))))))</f>
        <v>0</v>
      </c>
      <c r="BP504" s="12">
        <f>IF(N504="",0,IF(SETUP!$E$7="USD",((IF(O504="USD",W504,(W504/'Master Data-C19RM'!$D$2)))),((IF(O504="EUR",W504,(W504*'Master Data-C19RM'!$D$2))))))</f>
        <v>0</v>
      </c>
      <c r="BQ504">
        <f>IF(N504="",0,IF(SETUP!$E$7="USD",((IF(O504="USD",AD504,(AD504/'Master Data-C19RM'!$E$2)))),((IF(O504="EUR",AD504,(AD504*'Master Data-C19RM'!$E$2))))))</f>
        <v>0</v>
      </c>
      <c r="BR504">
        <f>IF(N504="",0,IF(SETUP!$E$7="USD",((IF(O504="USD",AK504,(AK504/'Master Data-C19RM'!$F$2)))),((IF(O504="EUR",AK504,(AK504*'Master Data-C19RM'!$F$2))))))</f>
        <v>0</v>
      </c>
      <c r="BS504">
        <f>IF(N504="",0,IF(SETUP!$E$7="USD",((IF(O504="USD",AR504,(AR504/'Master Data-C19RM'!$G$2)))),((IF(O504="EUR",AR504,(AR504*'Master Data-C19RM'!$G$2))))))</f>
        <v>0</v>
      </c>
      <c r="BT504">
        <f>IF(N504="",0,IF(SETUP!$E$7="USD",((IF(O504="USD",AY504,(AY504/'Master Data-C19RM'!$H$2)))),((IF(O504="EUR",AY504,(AY504*'Master Data-C19RM'!$H$2))))))</f>
        <v>0</v>
      </c>
      <c r="BU504" s="12">
        <f t="shared" si="67"/>
        <v>0</v>
      </c>
      <c r="BV504" s="142">
        <f t="shared" si="68"/>
        <v>0</v>
      </c>
    </row>
    <row r="505" spans="1:94" x14ac:dyDescent="0.35">
      <c r="A505" s="1172"/>
      <c r="B505" s="1172"/>
      <c r="C505" s="1172"/>
      <c r="D505" s="1172"/>
      <c r="E505" s="1173"/>
      <c r="F505" s="1173"/>
      <c r="G505" s="1173"/>
      <c r="H505" s="1173"/>
      <c r="I505" s="1173"/>
      <c r="J505" s="1173"/>
      <c r="K505" s="1173"/>
      <c r="L505" s="493" t="str" cm="1">
        <f t="array" ref="L505">IF(A505&lt;&gt;"",IFERROR(INDEX(PMtbl[[WKst]:[Unit of measure*]],MATCH($A$437&amp;$A505&amp;$E505&amp;$I505,INDEX(PMtbl[Sec]&amp;PMtbl[Category]&amp;PMtbl[Each]&amp;PMtbl[Packaging],0,),0),14),""),"")</f>
        <v/>
      </c>
      <c r="M505" s="480" t="str">
        <f>IF(L505="","",INDEX(SETUP!$E$20:$E$122,(MATCH(INDEX(PMsheet!$D:$E,MATCH(A505,PMsheet!E:E,0),1),SETUP!$D$20:$D$122,0))))</f>
        <v/>
      </c>
      <c r="N505" s="494">
        <f>IF($O505="USD",_xlfn.IFNA(VLOOKUP(A505&amp;E505&amp;I505,PMsheet!J:K,2,0),0),(_xlfn.IFNA(VLOOKUP(A505&amp;E505&amp;I505,PMsheet!J:K,2,0),0)*'Master Data-C19RM'!$C$2))</f>
        <v>0</v>
      </c>
      <c r="O505" s="495" t="str">
        <f>IF(L505="", "",SETUP!$E$7)</f>
        <v/>
      </c>
      <c r="P505" s="445">
        <f>IF($O505="USD",_xlfn.IFNA(VLOOKUP($A505&amp;$E505&amp;$I505,PMsheet!$J:$K,2,0),0),(_xlfn.IFNA(VLOOKUP($A505&amp;$E505&amp;$I505,PMsheet!$J:$K,2,0),0)*'Master Data-C19RM'!$C$2))</f>
        <v>0</v>
      </c>
      <c r="Q505" s="440"/>
      <c r="R505" s="440"/>
      <c r="S505" s="440"/>
      <c r="T505" s="440"/>
      <c r="U505" s="482">
        <f t="shared" si="61"/>
        <v>0</v>
      </c>
      <c r="V505" s="484">
        <f>IF(SETUP!$E$7="USD",(U505*(IF(O505="USD",P505,(P505/'Master Data-C19RM'!$C$2)))),(U505*(IF(O505="EUR",P505,(P505*'Master Data-C19RM'!$C$2)))))</f>
        <v>0</v>
      </c>
      <c r="W505" s="445">
        <f>IF($O505="USD",_xlfn.IFNA(VLOOKUP($A505&amp;$E505&amp;$I505,PMsheet!$J:$K,2,0),0),(_xlfn.IFNA(VLOOKUP($A505&amp;$E505&amp;$I505,PMsheet!$J:$K,2,0),0)*'Master Data-C19RM'!$D$2))</f>
        <v>0</v>
      </c>
      <c r="X505" s="440"/>
      <c r="Y505" s="440"/>
      <c r="Z505" s="440"/>
      <c r="AA505" s="440"/>
      <c r="AB505" s="482">
        <f t="shared" si="62"/>
        <v>0</v>
      </c>
      <c r="AC505" s="484">
        <f>IF(SETUP!$E$7="USD",(AB505*(IF(O505="USD",W505,(W505/'Master Data-C19RM'!$D$2)))),(AB505*(IF(O505="EUR",W505,(W505*'Master Data-C19RM'!$D$2)))))</f>
        <v>0</v>
      </c>
      <c r="AD505" s="445">
        <f>IF($O505="USD",_xlfn.IFNA(VLOOKUP($A505&amp;$E505&amp;$I505,PMsheet!$J:$K,2,0),0),(_xlfn.IFNA(VLOOKUP($A505&amp;$E505&amp;$I505,PMsheet!$J:$K,2,0),0)*'Master Data-C19RM'!$E$2))</f>
        <v>0</v>
      </c>
      <c r="AE505" s="440"/>
      <c r="AF505" s="440"/>
      <c r="AG505" s="440"/>
      <c r="AH505" s="440"/>
      <c r="AI505" s="514">
        <f t="shared" si="63"/>
        <v>0</v>
      </c>
      <c r="AJ505" s="515">
        <f>IF(SETUP!$E$7="USD",(AI505*(IF(O505="USD",AD505,(AD505/'Master Data-C19RM'!$E$2)))),(AI505*(IF(O505="EUR",AD505,(AD505*'Master Data-C19RM'!$E$2)))))</f>
        <v>0</v>
      </c>
      <c r="AK505" s="445">
        <f>IF($O505="USD",_xlfn.IFNA(VLOOKUP($A505&amp;$E505&amp;$I505,PMsheet!$J:$K,2,0),0),(_xlfn.IFNA(VLOOKUP($A505&amp;$E505&amp;$I505,PMsheet!$J:$K,2,0),0)*'Master Data-C19RM'!$F$2))</f>
        <v>0</v>
      </c>
      <c r="AL505" s="440"/>
      <c r="AM505" s="440"/>
      <c r="AN505" s="440"/>
      <c r="AO505" s="440"/>
      <c r="AP505" s="514">
        <f t="shared" si="66"/>
        <v>0</v>
      </c>
      <c r="AQ505" s="515">
        <f>IF(SETUP!$E$7="USD",(AP505*(IF(O505="USD",AK505,(AK505/'Master Data-C19RM'!$F$2)))),(AP505*(IF(O505="EUR",AK505,(AK505*'Master Data-C19RM'!$F$2)))))</f>
        <v>0</v>
      </c>
      <c r="AR505" s="925">
        <f>IF($O505="USD",_xlfn.IFNA(VLOOKUP($A505&amp;$E505&amp;$I505,PMsheet!$J:$K,2,0),0),(_xlfn.IFNA(VLOOKUP($A505&amp;$E505&amp;$I505,PMsheet!$J:$K,2,0),0)*'Master Data-C19RM'!$G$2))</f>
        <v>0</v>
      </c>
      <c r="AS505" s="926"/>
      <c r="AT505" s="926"/>
      <c r="AU505" s="926"/>
      <c r="AV505" s="926"/>
      <c r="AW505" s="514">
        <f t="shared" si="65"/>
        <v>0</v>
      </c>
      <c r="AX505" s="514">
        <f>IF(SETUP!$E$7="USD",(AW505*(IF(O505="USD",AR505,(AR505/'Master Data-C19RM'!$G$2)))),(AW505*(IF(O505="EUR",AR505,(AR505*'Master Data-C19RM'!$G$2)))))</f>
        <v>0</v>
      </c>
      <c r="AY505" s="845"/>
      <c r="AZ505" s="846"/>
      <c r="BA505" s="846"/>
      <c r="BB505" s="846"/>
      <c r="BC505" s="846"/>
      <c r="BD505" s="846"/>
      <c r="BE505" s="847"/>
      <c r="BF505" s="521">
        <f>'C19RM 2021-Lab &amp; Other HPS'!$U505+'C19RM 2021-Lab &amp; Other HPS'!$AB505+'C19RM 2021-Lab &amp; Other HPS'!$AP505+'C19RM 2021-Lab &amp; Other HPS'!$AI505+AW505+BD505</f>
        <v>0</v>
      </c>
      <c r="BG505" s="515">
        <f>'C19RM 2021-Lab &amp; Other HPS'!$V505+'C19RM 2021-Lab &amp; Other HPS'!$AC505+'C19RM 2021-Lab &amp; Other HPS'!$AQ505+'C19RM 2021-Lab &amp; Other HPS'!$AJ505+AX505+BE505</f>
        <v>0</v>
      </c>
      <c r="BH505" s="522" t="str" cm="1">
        <f t="array" ref="BH505">IF(A505&lt;&gt;"",IFERROR(INDEX(PMtbl[[WKst]:[Unit of measure*]],MATCH($A$437&amp;$A505&amp;$E505&amp;$I505,INDEX(PMtbl[Sec]&amp;PMtbl[Category]&amp;PMtbl[Each]&amp;PMtbl[Packaging],0,),0),11),""),"")</f>
        <v/>
      </c>
      <c r="BI505" s="818"/>
      <c r="BJ505" s="503" t="str" cm="1">
        <f t="array" ref="BJ505">IFERROR(INDEX(SETUP!$C$19:$G$121,MATCH((INDEX(PMtbl[[WKst]:[Unit of measure*]],MATCH($A505&amp;$E505&amp;$I505,INDEX(PMtbl[Category]&amp;PMtbl[Each]&amp;PMtbl[Packaging],0,),0),3)),SETUP!$D$19:$D$121,0),5),"")</f>
        <v/>
      </c>
      <c r="BK505" s="537"/>
      <c r="BL505" s="578"/>
      <c r="BO505" s="12">
        <f>IF(N505="",0,IF(SETUP!$E$7="USD",((IF(O505="USD",P505,(P505/'Master Data-C19RM'!$C$2)))),((IF(O505="EUR",P505,(P505*'Master Data-C19RM'!$C$2))))))</f>
        <v>0</v>
      </c>
      <c r="BP505" s="12">
        <f>IF(N505="",0,IF(SETUP!$E$7="USD",((IF(O505="USD",W505,(W505/'Master Data-C19RM'!$D$2)))),((IF(O505="EUR",W505,(W505*'Master Data-C19RM'!$D$2))))))</f>
        <v>0</v>
      </c>
      <c r="BQ505">
        <f>IF(N505="",0,IF(SETUP!$E$7="USD",((IF(O505="USD",AD505,(AD505/'Master Data-C19RM'!$E$2)))),((IF(O505="EUR",AD505,(AD505*'Master Data-C19RM'!$E$2))))))</f>
        <v>0</v>
      </c>
      <c r="BR505">
        <f>IF(N505="",0,IF(SETUP!$E$7="USD",((IF(O505="USD",AK505,(AK505/'Master Data-C19RM'!$F$2)))),((IF(O505="EUR",AK505,(AK505*'Master Data-C19RM'!$F$2))))))</f>
        <v>0</v>
      </c>
      <c r="BS505">
        <f>IF(N505="",0,IF(SETUP!$E$7="USD",((IF(O505="USD",AR505,(AR505/'Master Data-C19RM'!$G$2)))),((IF(O505="EUR",AR505,(AR505*'Master Data-C19RM'!$G$2))))))</f>
        <v>0</v>
      </c>
      <c r="BT505">
        <f>IF(N505="",0,IF(SETUP!$E$7="USD",((IF(O505="USD",AY505,(AY505/'Master Data-C19RM'!$H$2)))),((IF(O505="EUR",AY505,(AY505*'Master Data-C19RM'!$H$2))))))</f>
        <v>0</v>
      </c>
      <c r="BU505" s="12">
        <f t="shared" si="67"/>
        <v>0</v>
      </c>
      <c r="BV505" s="142">
        <f t="shared" si="68"/>
        <v>0</v>
      </c>
    </row>
    <row r="506" spans="1:94" s="24" customFormat="1" x14ac:dyDescent="0.35">
      <c r="A506" s="1196"/>
      <c r="B506" s="1196"/>
      <c r="C506" s="1196"/>
      <c r="D506" s="1196"/>
      <c r="E506" s="1166"/>
      <c r="F506" s="1166"/>
      <c r="G506" s="1166"/>
      <c r="H506" s="1166"/>
      <c r="I506" s="1166"/>
      <c r="J506" s="1166"/>
      <c r="K506" s="1166"/>
      <c r="L506" s="490" t="str" cm="1">
        <f t="array" ref="L506">IF(A506&lt;&gt;"",IFERROR(INDEX(PMtbl[[WKst]:[Unit of measure*]],MATCH($A$437&amp;$A506&amp;$E506&amp;$I506,INDEX(PMtbl[Sec]&amp;PMtbl[Category]&amp;PMtbl[Each]&amp;PMtbl[Packaging],0,),0),14),""),"")</f>
        <v/>
      </c>
      <c r="M506" s="479" t="str">
        <f>IF(L506="","",INDEX(SETUP!$E$20:$E$122,(MATCH(INDEX(PMsheet!$D:$E,MATCH(A506,PMsheet!E:E,0),1),SETUP!$D$20:$D$122,0))))</f>
        <v/>
      </c>
      <c r="N506" s="491">
        <f>IF($O506="USD",_xlfn.IFNA(VLOOKUP(A506&amp;E506&amp;I506,PMsheet!J:K,2,0),0),(_xlfn.IFNA(VLOOKUP(A506&amp;E506&amp;I506,PMsheet!J:K,2,0),0)*'Master Data-C19RM'!$C$2))</f>
        <v>0</v>
      </c>
      <c r="O506" s="573" t="str">
        <f>IF(L506="", "",SETUP!$E$7)</f>
        <v/>
      </c>
      <c r="P506" s="444">
        <f>IF($O506="USD",_xlfn.IFNA(VLOOKUP($A506&amp;$E506&amp;$I506,PMsheet!$J:$K,2,0),0),(_xlfn.IFNA(VLOOKUP($A506&amp;$E506&amp;$I506,PMsheet!$J:$K,2,0),0)*'Master Data-C19RM'!$C$2))</f>
        <v>0</v>
      </c>
      <c r="Q506" s="441"/>
      <c r="R506" s="441"/>
      <c r="S506" s="441"/>
      <c r="T506" s="441"/>
      <c r="U506" s="481">
        <f t="shared" si="61"/>
        <v>0</v>
      </c>
      <c r="V506" s="483">
        <f>IF(SETUP!$E$7="USD",(U506*(IF(O506="USD",P506,(P506/'Master Data-C19RM'!$C$2)))),(U506*(IF(O506="EUR",P506,(P506*'Master Data-C19RM'!$C$2)))))</f>
        <v>0</v>
      </c>
      <c r="W506" s="444">
        <f>IF($O506="USD",_xlfn.IFNA(VLOOKUP($A506&amp;$E506&amp;$I506,PMsheet!$J:$K,2,0),0),(_xlfn.IFNA(VLOOKUP($A506&amp;$E506&amp;$I506,PMsheet!$J:$K,2,0),0)*'Master Data-C19RM'!$D$2))</f>
        <v>0</v>
      </c>
      <c r="X506" s="441"/>
      <c r="Y506" s="441"/>
      <c r="Z506" s="441"/>
      <c r="AA506" s="441"/>
      <c r="AB506" s="481">
        <f t="shared" si="62"/>
        <v>0</v>
      </c>
      <c r="AC506" s="483">
        <f>IF(SETUP!$E$7="USD",(AB506*(IF(O506="USD",W506,(W506/'Master Data-C19RM'!$D$2)))),(AB506*(IF(O506="EUR",W506,(W506*'Master Data-C19RM'!$D$2)))))</f>
        <v>0</v>
      </c>
      <c r="AD506" s="444">
        <f>IF($O506="USD",_xlfn.IFNA(VLOOKUP($A506&amp;$E506&amp;$I506,PMsheet!$J:$K,2,0),0),(_xlfn.IFNA(VLOOKUP($A506&amp;$E506&amp;$I506,PMsheet!$J:$K,2,0),0)*'Master Data-C19RM'!$E$2))</f>
        <v>0</v>
      </c>
      <c r="AE506" s="441"/>
      <c r="AF506" s="441"/>
      <c r="AG506" s="441"/>
      <c r="AH506" s="441"/>
      <c r="AI506" s="512">
        <f t="shared" si="63"/>
        <v>0</v>
      </c>
      <c r="AJ506" s="513">
        <f>IF(SETUP!$E$7="USD",(AI506*(IF(O506="USD",AD506,(AD506/'Master Data-C19RM'!$E$2)))),(AI506*(IF(O506="EUR",AD506,(AD506*'Master Data-C19RM'!$E$2)))))</f>
        <v>0</v>
      </c>
      <c r="AK506" s="456">
        <f>IF($O506="USD",_xlfn.IFNA(VLOOKUP($A506&amp;$E506&amp;$I506,PMsheet!$J:$K,2,0),0),(_xlfn.IFNA(VLOOKUP($A506&amp;$E506&amp;$I506,PMsheet!$J:$K,2,0),0)*'Master Data-C19RM'!$F$2))</f>
        <v>0</v>
      </c>
      <c r="AL506" s="572"/>
      <c r="AM506" s="572"/>
      <c r="AN506" s="572"/>
      <c r="AO506" s="572"/>
      <c r="AP506" s="512">
        <f t="shared" si="66"/>
        <v>0</v>
      </c>
      <c r="AQ506" s="513">
        <f>IF(SETUP!$E$7="USD",(AP506*(IF(O506="USD",AK506,(AK506/'Master Data-C19RM'!$F$2)))),(AP506*(IF(O506="EUR",AK506,(AK506*'Master Data-C19RM'!$F$2)))))</f>
        <v>0</v>
      </c>
      <c r="AR506" s="924">
        <f>IF($O506="USD",_xlfn.IFNA(VLOOKUP($A506&amp;$E506&amp;$I506,PMsheet!$J:$K,2,0),0),(_xlfn.IFNA(VLOOKUP($A506&amp;$E506&amp;$I506,PMsheet!$J:$K,2,0),0)*'Master Data-C19RM'!$G$2))</f>
        <v>0</v>
      </c>
      <c r="AS506" s="572"/>
      <c r="AT506" s="572"/>
      <c r="AU506" s="572"/>
      <c r="AV506" s="572"/>
      <c r="AW506" s="512">
        <f t="shared" si="65"/>
        <v>0</v>
      </c>
      <c r="AX506" s="512">
        <f>IF(SETUP!$E$7="USD",(AW506*(IF(O506="USD",AR506,(AR506/'Master Data-C19RM'!$G$2)))),(AW506*(IF(O506="EUR",AR506,(AR506*'Master Data-C19RM'!$G$2)))))</f>
        <v>0</v>
      </c>
      <c r="AY506" s="845"/>
      <c r="AZ506" s="846"/>
      <c r="BA506" s="846"/>
      <c r="BB506" s="846"/>
      <c r="BC506" s="846"/>
      <c r="BD506" s="846"/>
      <c r="BE506" s="847"/>
      <c r="BF506" s="520">
        <f>'C19RM 2021-Lab &amp; Other HPS'!$U506+'C19RM 2021-Lab &amp; Other HPS'!$AB506+'C19RM 2021-Lab &amp; Other HPS'!$AP506+'C19RM 2021-Lab &amp; Other HPS'!$AI506+AW506+BD506</f>
        <v>0</v>
      </c>
      <c r="BG506" s="513">
        <f>'C19RM 2021-Lab &amp; Other HPS'!$V506+'C19RM 2021-Lab &amp; Other HPS'!$AC506+'C19RM 2021-Lab &amp; Other HPS'!$AQ506+'C19RM 2021-Lab &amp; Other HPS'!$AJ506+AX506+BE506</f>
        <v>0</v>
      </c>
      <c r="BH506" s="500" t="str" cm="1">
        <f t="array" ref="BH506">IF(A506&lt;&gt;"",IFERROR(INDEX(PMtbl[[WKst]:[Unit of measure*]],MATCH($A$437&amp;$A506&amp;$E506&amp;$I506,INDEX(PMtbl[Sec]&amp;PMtbl[Category]&amp;PMtbl[Each]&amp;PMtbl[Packaging],0,),0),11),""),"")</f>
        <v/>
      </c>
      <c r="BI506" s="819"/>
      <c r="BJ506" s="502" t="str" cm="1">
        <f t="array" ref="BJ506">IFERROR(INDEX(SETUP!$C$19:$G$121,MATCH((INDEX(PMtbl[[WKst]:[Unit of measure*]],MATCH($A506&amp;$E506&amp;$I506,INDEX(PMtbl[Category]&amp;PMtbl[Each]&amp;PMtbl[Packaging],0,),0),3)),SETUP!$D$19:$D$121,0),5),"")</f>
        <v/>
      </c>
      <c r="BK506" s="536"/>
      <c r="BL506" s="577"/>
      <c r="BO506" s="12">
        <f>IF(N506="",0,IF(SETUP!$E$7="USD",((IF(O506="USD",P506,(P506/'Master Data-C19RM'!$C$2)))),((IF(O506="EUR",P506,(P506*'Master Data-C19RM'!$C$2))))))</f>
        <v>0</v>
      </c>
      <c r="BP506" s="12">
        <f>IF(N506="",0,IF(SETUP!$E$7="USD",((IF(O506="USD",W506,(W506/'Master Data-C19RM'!$D$2)))),((IF(O506="EUR",W506,(W506*'Master Data-C19RM'!$D$2))))))</f>
        <v>0</v>
      </c>
      <c r="BQ506">
        <f>IF(N506="",0,IF(SETUP!$E$7="USD",((IF(O506="USD",AD506,(AD506/'Master Data-C19RM'!$E$2)))),((IF(O506="EUR",AD506,(AD506*'Master Data-C19RM'!$E$2))))))</f>
        <v>0</v>
      </c>
      <c r="BR506">
        <f>IF(N506="",0,IF(SETUP!$E$7="USD",((IF(O506="USD",AK506,(AK506/'Master Data-C19RM'!$F$2)))),((IF(O506="EUR",AK506,(AK506*'Master Data-C19RM'!$F$2))))))</f>
        <v>0</v>
      </c>
      <c r="BS506">
        <f>IF(N506="",0,IF(SETUP!$E$7="USD",((IF(O506="USD",AR506,(AR506/'Master Data-C19RM'!$G$2)))),((IF(O506="EUR",AR506,(AR506*'Master Data-C19RM'!$G$2))))))</f>
        <v>0</v>
      </c>
      <c r="BT506">
        <f>IF(N506="",0,IF(SETUP!$E$7="USD",((IF(O506="USD",AY506,(AY506/'Master Data-C19RM'!$H$2)))),((IF(O506="EUR",AY506,(AY506*'Master Data-C19RM'!$H$2))))))</f>
        <v>0</v>
      </c>
      <c r="BU506" s="12">
        <f t="shared" si="67"/>
        <v>0</v>
      </c>
      <c r="BV506" s="142">
        <f t="shared" si="68"/>
        <v>0</v>
      </c>
      <c r="BW506"/>
      <c r="BX506"/>
      <c r="BY506"/>
      <c r="BZ506"/>
      <c r="CA506"/>
      <c r="CB506"/>
      <c r="CC506"/>
      <c r="CD506"/>
      <c r="CE506"/>
      <c r="CF506"/>
      <c r="CG506"/>
      <c r="CH506"/>
      <c r="CI506"/>
      <c r="CJ506"/>
      <c r="CK506"/>
      <c r="CL506"/>
      <c r="CM506"/>
      <c r="CN506"/>
      <c r="CO506"/>
      <c r="CP506"/>
    </row>
    <row r="507" spans="1:94" x14ac:dyDescent="0.35">
      <c r="A507" s="1172"/>
      <c r="B507" s="1172"/>
      <c r="C507" s="1172"/>
      <c r="D507" s="1172"/>
      <c r="E507" s="1173"/>
      <c r="F507" s="1173"/>
      <c r="G507" s="1173"/>
      <c r="H507" s="1173"/>
      <c r="I507" s="1173"/>
      <c r="J507" s="1173"/>
      <c r="K507" s="1173"/>
      <c r="L507" s="493" t="str" cm="1">
        <f t="array" ref="L507">IF(A507&lt;&gt;"",IFERROR(INDEX(PMtbl[[WKst]:[Unit of measure*]],MATCH($A$437&amp;$A507&amp;$E507&amp;$I507,INDEX(PMtbl[Sec]&amp;PMtbl[Category]&amp;PMtbl[Each]&amp;PMtbl[Packaging],0,),0),14),""),"")</f>
        <v/>
      </c>
      <c r="M507" s="480" t="str">
        <f>IF(L507="","",INDEX(SETUP!$E$20:$E$122,(MATCH(INDEX(PMsheet!$D:$E,MATCH(A507,PMsheet!E:E,0),1),SETUP!$D$20:$D$122,0))))</f>
        <v/>
      </c>
      <c r="N507" s="494">
        <f>IF($O507="USD",_xlfn.IFNA(VLOOKUP(A507&amp;E507&amp;I507,PMsheet!J:K,2,0),0),(_xlfn.IFNA(VLOOKUP(A507&amp;E507&amp;I507,PMsheet!J:K,2,0),0)*'Master Data-C19RM'!$C$2))</f>
        <v>0</v>
      </c>
      <c r="O507" s="495" t="str">
        <f>IF(L507="", "",SETUP!$E$7)</f>
        <v/>
      </c>
      <c r="P507" s="445">
        <f>IF($O507="USD",_xlfn.IFNA(VLOOKUP($A507&amp;$E507&amp;$I507,PMsheet!$J:$K,2,0),0),(_xlfn.IFNA(VLOOKUP($A507&amp;$E507&amp;$I507,PMsheet!$J:$K,2,0),0)*'Master Data-C19RM'!$C$2))</f>
        <v>0</v>
      </c>
      <c r="Q507" s="440"/>
      <c r="R507" s="440"/>
      <c r="S507" s="440"/>
      <c r="T507" s="440"/>
      <c r="U507" s="482">
        <f t="shared" si="61"/>
        <v>0</v>
      </c>
      <c r="V507" s="484">
        <f>IF(SETUP!$E$7="USD",(U507*(IF(O507="USD",P507,(P507/'Master Data-C19RM'!$C$2)))),(U507*(IF(O507="EUR",P507,(P507*'Master Data-C19RM'!$C$2)))))</f>
        <v>0</v>
      </c>
      <c r="W507" s="445">
        <f>IF($O507="USD",_xlfn.IFNA(VLOOKUP($A507&amp;$E507&amp;$I507,PMsheet!$J:$K,2,0),0),(_xlfn.IFNA(VLOOKUP($A507&amp;$E507&amp;$I507,PMsheet!$J:$K,2,0),0)*'Master Data-C19RM'!$D$2))</f>
        <v>0</v>
      </c>
      <c r="X507" s="440"/>
      <c r="Y507" s="440"/>
      <c r="Z507" s="440"/>
      <c r="AA507" s="440"/>
      <c r="AB507" s="482">
        <f t="shared" si="62"/>
        <v>0</v>
      </c>
      <c r="AC507" s="484">
        <f>IF(SETUP!$E$7="USD",(AB507*(IF(O507="USD",W507,(W507/'Master Data-C19RM'!$D$2)))),(AB507*(IF(O507="EUR",W507,(W507*'Master Data-C19RM'!$D$2)))))</f>
        <v>0</v>
      </c>
      <c r="AD507" s="445">
        <f>IF($O507="USD",_xlfn.IFNA(VLOOKUP($A507&amp;$E507&amp;$I507,PMsheet!$J:$K,2,0),0),(_xlfn.IFNA(VLOOKUP($A507&amp;$E507&amp;$I507,PMsheet!$J:$K,2,0),0)*'Master Data-C19RM'!$E$2))</f>
        <v>0</v>
      </c>
      <c r="AE507" s="440"/>
      <c r="AF507" s="440"/>
      <c r="AG507" s="440"/>
      <c r="AH507" s="440"/>
      <c r="AI507" s="514">
        <f t="shared" si="63"/>
        <v>0</v>
      </c>
      <c r="AJ507" s="515">
        <f>IF(SETUP!$E$7="USD",(AI507*(IF(O507="USD",AD507,(AD507/'Master Data-C19RM'!$E$2)))),(AI507*(IF(O507="EUR",AD507,(AD507*'Master Data-C19RM'!$E$2)))))</f>
        <v>0</v>
      </c>
      <c r="AK507" s="445">
        <f>IF($O507="USD",_xlfn.IFNA(VLOOKUP($A507&amp;$E507&amp;$I507,PMsheet!$J:$K,2,0),0),(_xlfn.IFNA(VLOOKUP($A507&amp;$E507&amp;$I507,PMsheet!$J:$K,2,0),0)*'Master Data-C19RM'!$F$2))</f>
        <v>0</v>
      </c>
      <c r="AL507" s="440"/>
      <c r="AM507" s="440"/>
      <c r="AN507" s="440"/>
      <c r="AO507" s="440"/>
      <c r="AP507" s="514">
        <f t="shared" si="66"/>
        <v>0</v>
      </c>
      <c r="AQ507" s="515">
        <f>IF(SETUP!$E$7="USD",(AP507*(IF(O507="USD",AK507,(AK507/'Master Data-C19RM'!$F$2)))),(AP507*(IF(O507="EUR",AK507,(AK507*'Master Data-C19RM'!$F$2)))))</f>
        <v>0</v>
      </c>
      <c r="AR507" s="925">
        <f>IF($O507="USD",_xlfn.IFNA(VLOOKUP($A507&amp;$E507&amp;$I507,PMsheet!$J:$K,2,0),0),(_xlfn.IFNA(VLOOKUP($A507&amp;$E507&amp;$I507,PMsheet!$J:$K,2,0),0)*'Master Data-C19RM'!$G$2))</f>
        <v>0</v>
      </c>
      <c r="AS507" s="926"/>
      <c r="AT507" s="926"/>
      <c r="AU507" s="926"/>
      <c r="AV507" s="926"/>
      <c r="AW507" s="514">
        <f t="shared" si="65"/>
        <v>0</v>
      </c>
      <c r="AX507" s="514">
        <f>IF(SETUP!$E$7="USD",(AW507*(IF(O507="USD",AR507,(AR507/'Master Data-C19RM'!$G$2)))),(AW507*(IF(O507="EUR",AR507,(AR507*'Master Data-C19RM'!$G$2)))))</f>
        <v>0</v>
      </c>
      <c r="AY507" s="845"/>
      <c r="AZ507" s="846"/>
      <c r="BA507" s="846"/>
      <c r="BB507" s="846"/>
      <c r="BC507" s="846"/>
      <c r="BD507" s="846"/>
      <c r="BE507" s="847"/>
      <c r="BF507" s="521">
        <f>'C19RM 2021-Lab &amp; Other HPS'!$U507+'C19RM 2021-Lab &amp; Other HPS'!$AB507+'C19RM 2021-Lab &amp; Other HPS'!$AP507+'C19RM 2021-Lab &amp; Other HPS'!$AI507+AW507+BD507</f>
        <v>0</v>
      </c>
      <c r="BG507" s="515">
        <f>'C19RM 2021-Lab &amp; Other HPS'!$V507+'C19RM 2021-Lab &amp; Other HPS'!$AC507+'C19RM 2021-Lab &amp; Other HPS'!$AQ507+'C19RM 2021-Lab &amp; Other HPS'!$AJ507+AX507+BE507</f>
        <v>0</v>
      </c>
      <c r="BH507" s="522" t="str" cm="1">
        <f t="array" ref="BH507">IF(A507&lt;&gt;"",IFERROR(INDEX(PMtbl[[WKst]:[Unit of measure*]],MATCH($A$437&amp;$A507&amp;$E507&amp;$I507,INDEX(PMtbl[Sec]&amp;PMtbl[Category]&amp;PMtbl[Each]&amp;PMtbl[Packaging],0,),0),11),""),"")</f>
        <v/>
      </c>
      <c r="BI507" s="818"/>
      <c r="BJ507" s="503" t="str" cm="1">
        <f t="array" ref="BJ507">IFERROR(INDEX(SETUP!$C$19:$G$121,MATCH((INDEX(PMtbl[[WKst]:[Unit of measure*]],MATCH($A507&amp;$E507&amp;$I507,INDEX(PMtbl[Category]&amp;PMtbl[Each]&amp;PMtbl[Packaging],0,),0),3)),SETUP!$D$19:$D$121,0),5),"")</f>
        <v/>
      </c>
      <c r="BK507" s="537"/>
      <c r="BL507" s="578"/>
      <c r="BO507" s="12">
        <f>IF(N507="",0,IF(SETUP!$E$7="USD",((IF(O507="USD",P507,(P507/'Master Data-C19RM'!$C$2)))),((IF(O507="EUR",P507,(P507*'Master Data-C19RM'!$C$2))))))</f>
        <v>0</v>
      </c>
      <c r="BP507" s="12">
        <f>IF(N507="",0,IF(SETUP!$E$7="USD",((IF(O507="USD",W507,(W507/'Master Data-C19RM'!$D$2)))),((IF(O507="EUR",W507,(W507*'Master Data-C19RM'!$D$2))))))</f>
        <v>0</v>
      </c>
      <c r="BQ507">
        <f>IF(N507="",0,IF(SETUP!$E$7="USD",((IF(O507="USD",AD507,(AD507/'Master Data-C19RM'!$E$2)))),((IF(O507="EUR",AD507,(AD507*'Master Data-C19RM'!$E$2))))))</f>
        <v>0</v>
      </c>
      <c r="BR507">
        <f>IF(N507="",0,IF(SETUP!$E$7="USD",((IF(O507="USD",AK507,(AK507/'Master Data-C19RM'!$F$2)))),((IF(O507="EUR",AK507,(AK507*'Master Data-C19RM'!$F$2))))))</f>
        <v>0</v>
      </c>
      <c r="BS507">
        <f>IF(N507="",0,IF(SETUP!$E$7="USD",((IF(O507="USD",AR507,(AR507/'Master Data-C19RM'!$G$2)))),((IF(O507="EUR",AR507,(AR507*'Master Data-C19RM'!$G$2))))))</f>
        <v>0</v>
      </c>
      <c r="BT507">
        <f>IF(N507="",0,IF(SETUP!$E$7="USD",((IF(O507="USD",AY507,(AY507/'Master Data-C19RM'!$H$2)))),((IF(O507="EUR",AY507,(AY507*'Master Data-C19RM'!$H$2))))))</f>
        <v>0</v>
      </c>
      <c r="BU507" s="12">
        <f t="shared" si="67"/>
        <v>0</v>
      </c>
      <c r="BV507" s="142">
        <f t="shared" si="68"/>
        <v>0</v>
      </c>
    </row>
    <row r="508" spans="1:94" x14ac:dyDescent="0.35">
      <c r="A508" s="1165"/>
      <c r="B508" s="1165"/>
      <c r="C508" s="1165"/>
      <c r="D508" s="1165"/>
      <c r="E508" s="1166"/>
      <c r="F508" s="1166"/>
      <c r="G508" s="1166"/>
      <c r="H508" s="1166"/>
      <c r="I508" s="1166"/>
      <c r="J508" s="1166"/>
      <c r="K508" s="1166"/>
      <c r="L508" s="490" t="str" cm="1">
        <f t="array" ref="L508">IF(A508&lt;&gt;"",IFERROR(INDEX(PMtbl[[WKst]:[Unit of measure*]],MATCH($A$437&amp;$A508&amp;$E508&amp;$I508,INDEX(PMtbl[Sec]&amp;PMtbl[Category]&amp;PMtbl[Each]&amp;PMtbl[Packaging],0,),0),14),""),"")</f>
        <v/>
      </c>
      <c r="M508" s="479" t="str">
        <f>IF(L508="","",INDEX(SETUP!$E$20:$E$122,(MATCH(INDEX(PMsheet!$D:$E,MATCH(A508,PMsheet!E:E,0),1),SETUP!$D$20:$D$122,0))))</f>
        <v/>
      </c>
      <c r="N508" s="491">
        <f>IF($O508="USD",_xlfn.IFNA(VLOOKUP(A508&amp;E508&amp;I508,PMsheet!J:K,2,0),0),(_xlfn.IFNA(VLOOKUP(A508&amp;E508&amp;I508,PMsheet!J:K,2,0),0)*'Master Data-C19RM'!$C$2))</f>
        <v>0</v>
      </c>
      <c r="O508" s="492" t="str">
        <f>IF(L508="", "",SETUP!$E$7)</f>
        <v/>
      </c>
      <c r="P508" s="444">
        <f>IF($O508="USD",_xlfn.IFNA(VLOOKUP($A508&amp;$E508&amp;$I508,PMsheet!$J:$K,2,0),0),(_xlfn.IFNA(VLOOKUP($A508&amp;$E508&amp;$I508,PMsheet!$J:$K,2,0),0)*'Master Data-C19RM'!$C$2))</f>
        <v>0</v>
      </c>
      <c r="Q508" s="441"/>
      <c r="R508" s="441"/>
      <c r="S508" s="441"/>
      <c r="T508" s="441"/>
      <c r="U508" s="481">
        <f t="shared" si="61"/>
        <v>0</v>
      </c>
      <c r="V508" s="483">
        <f>IF(SETUP!$E$7="USD",(U508*(IF(O508="USD",P508,(P508/'Master Data-C19RM'!$C$2)))),(U508*(IF(O508="EUR",P508,(P508*'Master Data-C19RM'!$C$2)))))</f>
        <v>0</v>
      </c>
      <c r="W508" s="444">
        <f>IF($O508="USD",_xlfn.IFNA(VLOOKUP($A508&amp;$E508&amp;$I508,PMsheet!$J:$K,2,0),0),(_xlfn.IFNA(VLOOKUP($A508&amp;$E508&amp;$I508,PMsheet!$J:$K,2,0),0)*'Master Data-C19RM'!$D$2))</f>
        <v>0</v>
      </c>
      <c r="X508" s="441"/>
      <c r="Y508" s="441"/>
      <c r="Z508" s="441"/>
      <c r="AA508" s="441"/>
      <c r="AB508" s="481">
        <f t="shared" si="62"/>
        <v>0</v>
      </c>
      <c r="AC508" s="483">
        <f>IF(SETUP!$E$7="USD",(AB508*(IF(O508="USD",W508,(W508/'Master Data-C19RM'!$D$2)))),(AB508*(IF(O508="EUR",W508,(W508*'Master Data-C19RM'!$D$2)))))</f>
        <v>0</v>
      </c>
      <c r="AD508" s="444">
        <f>IF($O508="USD",_xlfn.IFNA(VLOOKUP($A508&amp;$E508&amp;$I508,PMsheet!$J:$K,2,0),0),(_xlfn.IFNA(VLOOKUP($A508&amp;$E508&amp;$I508,PMsheet!$J:$K,2,0),0)*'Master Data-C19RM'!$E$2))</f>
        <v>0</v>
      </c>
      <c r="AE508" s="441"/>
      <c r="AF508" s="441"/>
      <c r="AG508" s="441"/>
      <c r="AH508" s="441"/>
      <c r="AI508" s="512">
        <f t="shared" si="63"/>
        <v>0</v>
      </c>
      <c r="AJ508" s="513">
        <f>IF(SETUP!$E$7="USD",(AI508*(IF(O508="USD",AD508,(AD508/'Master Data-C19RM'!$E$2)))),(AI508*(IF(O508="EUR",AD508,(AD508*'Master Data-C19RM'!$E$2)))))</f>
        <v>0</v>
      </c>
      <c r="AK508" s="444">
        <f>IF($O508="USD",_xlfn.IFNA(VLOOKUP($A508&amp;$E508&amp;$I508,PMsheet!$J:$K,2,0),0),(_xlfn.IFNA(VLOOKUP($A508&amp;$E508&amp;$I508,PMsheet!$J:$K,2,0),0)*'Master Data-C19RM'!$F$2))</f>
        <v>0</v>
      </c>
      <c r="AL508" s="441"/>
      <c r="AM508" s="441"/>
      <c r="AN508" s="441"/>
      <c r="AO508" s="441"/>
      <c r="AP508" s="512">
        <f t="shared" si="66"/>
        <v>0</v>
      </c>
      <c r="AQ508" s="513">
        <f>IF(SETUP!$E$7="USD",(AP508*(IF(O508="USD",AK508,(AK508/'Master Data-C19RM'!$F$2)))),(AP508*(IF(O508="EUR",AK508,(AK508*'Master Data-C19RM'!$F$2)))))</f>
        <v>0</v>
      </c>
      <c r="AR508" s="924">
        <f>IF($O508="USD",_xlfn.IFNA(VLOOKUP($A508&amp;$E508&amp;$I508,PMsheet!$J:$K,2,0),0),(_xlfn.IFNA(VLOOKUP($A508&amp;$E508&amp;$I508,PMsheet!$J:$K,2,0),0)*'Master Data-C19RM'!$G$2))</f>
        <v>0</v>
      </c>
      <c r="AS508" s="572"/>
      <c r="AT508" s="572"/>
      <c r="AU508" s="572"/>
      <c r="AV508" s="572"/>
      <c r="AW508" s="512">
        <f t="shared" ref="AW508:AW542" si="69">SUM($AS508:$AV508)</f>
        <v>0</v>
      </c>
      <c r="AX508" s="512">
        <f>IF(SETUP!$E$7="USD",(AW508*(IF(O508="USD",AR508,(AR508/'Master Data-C19RM'!$G$2)))),(AW508*(IF(O508="EUR",AR508,(AR508*'Master Data-C19RM'!$G$2)))))</f>
        <v>0</v>
      </c>
      <c r="AY508" s="845"/>
      <c r="AZ508" s="846"/>
      <c r="BA508" s="846"/>
      <c r="BB508" s="846"/>
      <c r="BC508" s="846"/>
      <c r="BD508" s="846"/>
      <c r="BE508" s="847"/>
      <c r="BF508" s="520">
        <f>'C19RM 2021-Lab &amp; Other HPS'!$U508+'C19RM 2021-Lab &amp; Other HPS'!$AB508+'C19RM 2021-Lab &amp; Other HPS'!$AP508+'C19RM 2021-Lab &amp; Other HPS'!$AI508+AW508+BD508</f>
        <v>0</v>
      </c>
      <c r="BG508" s="513">
        <f>'C19RM 2021-Lab &amp; Other HPS'!$V508+'C19RM 2021-Lab &amp; Other HPS'!$AC508+'C19RM 2021-Lab &amp; Other HPS'!$AQ508+'C19RM 2021-Lab &amp; Other HPS'!$AJ508+AX508+BE508</f>
        <v>0</v>
      </c>
      <c r="BH508" s="500" t="str" cm="1">
        <f t="array" ref="BH508">IF(A508&lt;&gt;"",IFERROR(INDEX(PMtbl[[WKst]:[Unit of measure*]],MATCH($A$437&amp;$A508&amp;$E508&amp;$I508,INDEX(PMtbl[Sec]&amp;PMtbl[Category]&amp;PMtbl[Each]&amp;PMtbl[Packaging],0,),0),11),""),"")</f>
        <v/>
      </c>
      <c r="BI508" s="819"/>
      <c r="BJ508" s="502" t="str" cm="1">
        <f t="array" ref="BJ508">IFERROR(INDEX(SETUP!$C$19:$G$121,MATCH((INDEX(PMtbl[[WKst]:[Unit of measure*]],MATCH($A508&amp;$E508&amp;$I508,INDEX(PMtbl[Category]&amp;PMtbl[Each]&amp;PMtbl[Packaging],0,),0),3)),SETUP!$D$19:$D$121,0),5),"")</f>
        <v/>
      </c>
      <c r="BK508" s="536"/>
      <c r="BL508" s="577"/>
      <c r="BO508" s="12">
        <f>IF(N508="",0,IF(SETUP!$E$7="USD",((IF(O508="USD",P508,(P508/'Master Data-C19RM'!$C$2)))),((IF(O508="EUR",P508,(P508*'Master Data-C19RM'!$C$2))))))</f>
        <v>0</v>
      </c>
      <c r="BP508" s="12">
        <f>IF(N508="",0,IF(SETUP!$E$7="USD",((IF(O508="USD",W508,(W508/'Master Data-C19RM'!$D$2)))),((IF(O508="EUR",W508,(W508*'Master Data-C19RM'!$D$2))))))</f>
        <v>0</v>
      </c>
      <c r="BQ508">
        <f>IF(N508="",0,IF(SETUP!$E$7="USD",((IF(O508="USD",AD508,(AD508/'Master Data-C19RM'!$E$2)))),((IF(O508="EUR",AD508,(AD508*'Master Data-C19RM'!$E$2))))))</f>
        <v>0</v>
      </c>
      <c r="BR508">
        <f>IF(N508="",0,IF(SETUP!$E$7="USD",((IF(O508="USD",AK508,(AK508/'Master Data-C19RM'!$F$2)))),((IF(O508="EUR",AK508,(AK508*'Master Data-C19RM'!$F$2))))))</f>
        <v>0</v>
      </c>
      <c r="BS508">
        <f>IF(N508="",0,IF(SETUP!$E$7="USD",((IF(O508="USD",AR508,(AR508/'Master Data-C19RM'!$G$2)))),((IF(O508="EUR",AR508,(AR508*'Master Data-C19RM'!$G$2))))))</f>
        <v>0</v>
      </c>
      <c r="BT508">
        <f>IF(N508="",0,IF(SETUP!$E$7="USD",((IF(O508="USD",AY508,(AY508/'Master Data-C19RM'!$H$2)))),((IF(O508="EUR",AY508,(AY508*'Master Data-C19RM'!$H$2))))))</f>
        <v>0</v>
      </c>
      <c r="BU508" s="12">
        <f t="shared" si="67"/>
        <v>0</v>
      </c>
      <c r="BV508" s="142">
        <f t="shared" si="68"/>
        <v>0</v>
      </c>
    </row>
    <row r="509" spans="1:94" x14ac:dyDescent="0.35">
      <c r="A509" s="1172"/>
      <c r="B509" s="1172"/>
      <c r="C509" s="1172"/>
      <c r="D509" s="1172"/>
      <c r="E509" s="1173"/>
      <c r="F509" s="1173"/>
      <c r="G509" s="1173"/>
      <c r="H509" s="1173"/>
      <c r="I509" s="1173"/>
      <c r="J509" s="1173"/>
      <c r="K509" s="1173"/>
      <c r="L509" s="493" t="str" cm="1">
        <f t="array" ref="L509">IF(A509&lt;&gt;"",IFERROR(INDEX(PMtbl[[WKst]:[Unit of measure*]],MATCH($A$437&amp;$A509&amp;$E509&amp;$I509,INDEX(PMtbl[Sec]&amp;PMtbl[Category]&amp;PMtbl[Each]&amp;PMtbl[Packaging],0,),0),14),""),"")</f>
        <v/>
      </c>
      <c r="M509" s="480" t="str">
        <f>IF(L509="","",INDEX(SETUP!$E$20:$E$122,(MATCH(INDEX(PMsheet!$D:$E,MATCH(A509,PMsheet!E:E,0),1),SETUP!$D$20:$D$122,0))))</f>
        <v/>
      </c>
      <c r="N509" s="494">
        <f>IF($O509="USD",_xlfn.IFNA(VLOOKUP(A509&amp;E509&amp;I509,PMsheet!J:K,2,0),0),(_xlfn.IFNA(VLOOKUP(A509&amp;E509&amp;I509,PMsheet!J:K,2,0),0)*'Master Data-C19RM'!$C$2))</f>
        <v>0</v>
      </c>
      <c r="O509" s="495" t="str">
        <f>IF(L509="", "",SETUP!$E$7)</f>
        <v/>
      </c>
      <c r="P509" s="445">
        <f>IF($O509="USD",_xlfn.IFNA(VLOOKUP($A509&amp;$E509&amp;$I509,PMsheet!$J:$K,2,0),0),(_xlfn.IFNA(VLOOKUP($A509&amp;$E509&amp;$I509,PMsheet!$J:$K,2,0),0)*'Master Data-C19RM'!$C$2))</f>
        <v>0</v>
      </c>
      <c r="Q509" s="440"/>
      <c r="R509" s="440"/>
      <c r="S509" s="440"/>
      <c r="T509" s="440"/>
      <c r="U509" s="482">
        <f t="shared" si="61"/>
        <v>0</v>
      </c>
      <c r="V509" s="484">
        <f>IF(SETUP!$E$7="USD",(U509*(IF(O509="USD",P509,(P509/'Master Data-C19RM'!$C$2)))),(U509*(IF(O509="EUR",P509,(P509*'Master Data-C19RM'!$C$2)))))</f>
        <v>0</v>
      </c>
      <c r="W509" s="445">
        <f>IF($O509="USD",_xlfn.IFNA(VLOOKUP($A509&amp;$E509&amp;$I509,PMsheet!$J:$K,2,0),0),(_xlfn.IFNA(VLOOKUP($A509&amp;$E509&amp;$I509,PMsheet!$J:$K,2,0),0)*'Master Data-C19RM'!$D$2))</f>
        <v>0</v>
      </c>
      <c r="X509" s="440"/>
      <c r="Y509" s="440"/>
      <c r="Z509" s="440"/>
      <c r="AA509" s="440"/>
      <c r="AB509" s="482">
        <f t="shared" si="62"/>
        <v>0</v>
      </c>
      <c r="AC509" s="484">
        <f>IF(SETUP!$E$7="USD",(AB509*(IF(O509="USD",W509,(W509/'Master Data-C19RM'!$D$2)))),(AB509*(IF(O509="EUR",W509,(W509*'Master Data-C19RM'!$D$2)))))</f>
        <v>0</v>
      </c>
      <c r="AD509" s="445">
        <f>IF($O509="USD",_xlfn.IFNA(VLOOKUP($A509&amp;$E509&amp;$I509,PMsheet!$J:$K,2,0),0),(_xlfn.IFNA(VLOOKUP($A509&amp;$E509&amp;$I509,PMsheet!$J:$K,2,0),0)*'Master Data-C19RM'!$E$2))</f>
        <v>0</v>
      </c>
      <c r="AE509" s="440"/>
      <c r="AF509" s="440"/>
      <c r="AG509" s="440"/>
      <c r="AH509" s="440"/>
      <c r="AI509" s="514">
        <f t="shared" si="63"/>
        <v>0</v>
      </c>
      <c r="AJ509" s="515">
        <f>IF(SETUP!$E$7="USD",(AI509*(IF(O509="USD",AD509,(AD509/'Master Data-C19RM'!$E$2)))),(AI509*(IF(O509="EUR",AD509,(AD509*'Master Data-C19RM'!$E$2)))))</f>
        <v>0</v>
      </c>
      <c r="AK509" s="445">
        <f>IF($O509="USD",_xlfn.IFNA(VLOOKUP($A509&amp;$E509&amp;$I509,PMsheet!$J:$K,2,0),0),(_xlfn.IFNA(VLOOKUP($A509&amp;$E509&amp;$I509,PMsheet!$J:$K,2,0),0)*'Master Data-C19RM'!$F$2))</f>
        <v>0</v>
      </c>
      <c r="AL509" s="440"/>
      <c r="AM509" s="440"/>
      <c r="AN509" s="440"/>
      <c r="AO509" s="440"/>
      <c r="AP509" s="514">
        <f t="shared" si="66"/>
        <v>0</v>
      </c>
      <c r="AQ509" s="515">
        <f>IF(SETUP!$E$7="USD",(AP509*(IF(O509="USD",AK509,(AK509/'Master Data-C19RM'!$F$2)))),(AP509*(IF(O509="EUR",AK509,(AK509*'Master Data-C19RM'!$F$2)))))</f>
        <v>0</v>
      </c>
      <c r="AR509" s="925">
        <f>IF($O509="USD",_xlfn.IFNA(VLOOKUP($A509&amp;$E509&amp;$I509,PMsheet!$J:$K,2,0),0),(_xlfn.IFNA(VLOOKUP($A509&amp;$E509&amp;$I509,PMsheet!$J:$K,2,0),0)*'Master Data-C19RM'!$G$2))</f>
        <v>0</v>
      </c>
      <c r="AS509" s="926"/>
      <c r="AT509" s="926"/>
      <c r="AU509" s="926"/>
      <c r="AV509" s="926"/>
      <c r="AW509" s="514">
        <f t="shared" si="69"/>
        <v>0</v>
      </c>
      <c r="AX509" s="514">
        <f>IF(SETUP!$E$7="USD",(AW509*(IF(O509="USD",AR509,(AR509/'Master Data-C19RM'!$G$2)))),(AW509*(IF(O509="EUR",AR509,(AR509*'Master Data-C19RM'!$G$2)))))</f>
        <v>0</v>
      </c>
      <c r="AY509" s="845"/>
      <c r="AZ509" s="846"/>
      <c r="BA509" s="846"/>
      <c r="BB509" s="846"/>
      <c r="BC509" s="846"/>
      <c r="BD509" s="846"/>
      <c r="BE509" s="847"/>
      <c r="BF509" s="521">
        <f>'C19RM 2021-Lab &amp; Other HPS'!$U509+'C19RM 2021-Lab &amp; Other HPS'!$AB509+'C19RM 2021-Lab &amp; Other HPS'!$AP509+'C19RM 2021-Lab &amp; Other HPS'!$AI509+AW509+BD509</f>
        <v>0</v>
      </c>
      <c r="BG509" s="515">
        <f>'C19RM 2021-Lab &amp; Other HPS'!$V509+'C19RM 2021-Lab &amp; Other HPS'!$AC509+'C19RM 2021-Lab &amp; Other HPS'!$AQ509+'C19RM 2021-Lab &amp; Other HPS'!$AJ509+AX509+BE509</f>
        <v>0</v>
      </c>
      <c r="BH509" s="522" t="str" cm="1">
        <f t="array" ref="BH509">IF(A509&lt;&gt;"",IFERROR(INDEX(PMtbl[[WKst]:[Unit of measure*]],MATCH($A$437&amp;$A509&amp;$E509&amp;$I509,INDEX(PMtbl[Sec]&amp;PMtbl[Category]&amp;PMtbl[Each]&amp;PMtbl[Packaging],0,),0),11),""),"")</f>
        <v/>
      </c>
      <c r="BI509" s="818"/>
      <c r="BJ509" s="503" t="str" cm="1">
        <f t="array" ref="BJ509">IFERROR(INDEX(SETUP!$C$19:$G$121,MATCH((INDEX(PMtbl[[WKst]:[Unit of measure*]],MATCH($A509&amp;$E509&amp;$I509,INDEX(PMtbl[Category]&amp;PMtbl[Each]&amp;PMtbl[Packaging],0,),0),3)),SETUP!$D$19:$D$121,0),5),"")</f>
        <v/>
      </c>
      <c r="BK509" s="537"/>
      <c r="BL509" s="578"/>
      <c r="BO509" s="12">
        <f>IF(N509="",0,IF(SETUP!$E$7="USD",((IF(O509="USD",P509,(P509/'Master Data-C19RM'!$C$2)))),((IF(O509="EUR",P509,(P509*'Master Data-C19RM'!$C$2))))))</f>
        <v>0</v>
      </c>
      <c r="BP509" s="12">
        <f>IF(N509="",0,IF(SETUP!$E$7="USD",((IF(O509="USD",W509,(W509/'Master Data-C19RM'!$D$2)))),((IF(O509="EUR",W509,(W509*'Master Data-C19RM'!$D$2))))))</f>
        <v>0</v>
      </c>
      <c r="BQ509">
        <f>IF(N509="",0,IF(SETUP!$E$7="USD",((IF(O509="USD",AD509,(AD509/'Master Data-C19RM'!$E$2)))),((IF(O509="EUR",AD509,(AD509*'Master Data-C19RM'!$E$2))))))</f>
        <v>0</v>
      </c>
      <c r="BR509">
        <f>IF(N509="",0,IF(SETUP!$E$7="USD",((IF(O509="USD",AK509,(AK509/'Master Data-C19RM'!$F$2)))),((IF(O509="EUR",AK509,(AK509*'Master Data-C19RM'!$F$2))))))</f>
        <v>0</v>
      </c>
      <c r="BS509">
        <f>IF(N509="",0,IF(SETUP!$E$7="USD",((IF(O509="USD",AR509,(AR509/'Master Data-C19RM'!$G$2)))),((IF(O509="EUR",AR509,(AR509*'Master Data-C19RM'!$G$2))))))</f>
        <v>0</v>
      </c>
      <c r="BT509">
        <f>IF(N509="",0,IF(SETUP!$E$7="USD",((IF(O509="USD",AY509,(AY509/'Master Data-C19RM'!$H$2)))),((IF(O509="EUR",AY509,(AY509*'Master Data-C19RM'!$H$2))))))</f>
        <v>0</v>
      </c>
      <c r="BU509" s="12">
        <f t="shared" si="67"/>
        <v>0</v>
      </c>
      <c r="BV509" s="142">
        <f t="shared" si="68"/>
        <v>0</v>
      </c>
    </row>
    <row r="510" spans="1:94" s="24" customFormat="1" x14ac:dyDescent="0.35">
      <c r="A510" s="1196"/>
      <c r="B510" s="1196"/>
      <c r="C510" s="1196"/>
      <c r="D510" s="1196"/>
      <c r="E510" s="1166"/>
      <c r="F510" s="1166"/>
      <c r="G510" s="1166"/>
      <c r="H510" s="1166"/>
      <c r="I510" s="1166"/>
      <c r="J510" s="1166"/>
      <c r="K510" s="1166"/>
      <c r="L510" s="490" t="str" cm="1">
        <f t="array" ref="L510">IF(A510&lt;&gt;"",IFERROR(INDEX(PMtbl[[WKst]:[Unit of measure*]],MATCH($A$437&amp;$A510&amp;$E510&amp;$I510,INDEX(PMtbl[Sec]&amp;PMtbl[Category]&amp;PMtbl[Each]&amp;PMtbl[Packaging],0,),0),14),""),"")</f>
        <v/>
      </c>
      <c r="M510" s="479" t="str">
        <f>IF(L510="","",INDEX(SETUP!$E$20:$E$122,(MATCH(INDEX(PMsheet!$D:$E,MATCH(A510,PMsheet!E:E,0),1),SETUP!$D$20:$D$122,0))))</f>
        <v/>
      </c>
      <c r="N510" s="491">
        <f>IF($O510="USD",_xlfn.IFNA(VLOOKUP(A510&amp;E510&amp;I510,PMsheet!J:K,2,0),0),(_xlfn.IFNA(VLOOKUP(A510&amp;E510&amp;I510,PMsheet!J:K,2,0),0)*'Master Data-C19RM'!$C$2))</f>
        <v>0</v>
      </c>
      <c r="O510" s="573" t="str">
        <f>IF(L510="", "",SETUP!$E$7)</f>
        <v/>
      </c>
      <c r="P510" s="444">
        <f>IF($O510="USD",_xlfn.IFNA(VLOOKUP($A510&amp;$E510&amp;$I510,PMsheet!$J:$K,2,0),0),(_xlfn.IFNA(VLOOKUP($A510&amp;$E510&amp;$I510,PMsheet!$J:$K,2,0),0)*'Master Data-C19RM'!$C$2))</f>
        <v>0</v>
      </c>
      <c r="Q510" s="441"/>
      <c r="R510" s="441"/>
      <c r="S510" s="441"/>
      <c r="T510" s="441"/>
      <c r="U510" s="481">
        <f t="shared" si="61"/>
        <v>0</v>
      </c>
      <c r="V510" s="483">
        <f>IF(SETUP!$E$7="USD",(U510*(IF(O510="USD",P510,(P510/'Master Data-C19RM'!$C$2)))),(U510*(IF(O510="EUR",P510,(P510*'Master Data-C19RM'!$C$2)))))</f>
        <v>0</v>
      </c>
      <c r="W510" s="444">
        <f>IF($O510="USD",_xlfn.IFNA(VLOOKUP($A510&amp;$E510&amp;$I510,PMsheet!$J:$K,2,0),0),(_xlfn.IFNA(VLOOKUP($A510&amp;$E510&amp;$I510,PMsheet!$J:$K,2,0),0)*'Master Data-C19RM'!$D$2))</f>
        <v>0</v>
      </c>
      <c r="X510" s="441"/>
      <c r="Y510" s="441"/>
      <c r="Z510" s="441"/>
      <c r="AA510" s="441"/>
      <c r="AB510" s="481">
        <f t="shared" si="62"/>
        <v>0</v>
      </c>
      <c r="AC510" s="483">
        <f>IF(SETUP!$E$7="USD",(AB510*(IF(O510="USD",W510,(W510/'Master Data-C19RM'!$D$2)))),(AB510*(IF(O510="EUR",W510,(W510*'Master Data-C19RM'!$D$2)))))</f>
        <v>0</v>
      </c>
      <c r="AD510" s="444">
        <f>IF($O510="USD",_xlfn.IFNA(VLOOKUP($A510&amp;$E510&amp;$I510,PMsheet!$J:$K,2,0),0),(_xlfn.IFNA(VLOOKUP($A510&amp;$E510&amp;$I510,PMsheet!$J:$K,2,0),0)*'Master Data-C19RM'!$E$2))</f>
        <v>0</v>
      </c>
      <c r="AE510" s="441"/>
      <c r="AF510" s="441"/>
      <c r="AG510" s="441"/>
      <c r="AH510" s="441"/>
      <c r="AI510" s="512">
        <f t="shared" si="63"/>
        <v>0</v>
      </c>
      <c r="AJ510" s="513">
        <f>IF(SETUP!$E$7="USD",(AI510*(IF(O510="USD",AD510,(AD510/'Master Data-C19RM'!$E$2)))),(AI510*(IF(O510="EUR",AD510,(AD510*'Master Data-C19RM'!$E$2)))))</f>
        <v>0</v>
      </c>
      <c r="AK510" s="456">
        <f>IF($O510="USD",_xlfn.IFNA(VLOOKUP($A510&amp;$E510&amp;$I510,PMsheet!$J:$K,2,0),0),(_xlfn.IFNA(VLOOKUP($A510&amp;$E510&amp;$I510,PMsheet!$J:$K,2,0),0)*'Master Data-C19RM'!$F$2))</f>
        <v>0</v>
      </c>
      <c r="AL510" s="572"/>
      <c r="AM510" s="572"/>
      <c r="AN510" s="572"/>
      <c r="AO510" s="572"/>
      <c r="AP510" s="512">
        <f t="shared" si="66"/>
        <v>0</v>
      </c>
      <c r="AQ510" s="513">
        <f>IF(SETUP!$E$7="USD",(AP510*(IF(O510="USD",AK510,(AK510/'Master Data-C19RM'!$F$2)))),(AP510*(IF(O510="EUR",AK510,(AK510*'Master Data-C19RM'!$F$2)))))</f>
        <v>0</v>
      </c>
      <c r="AR510" s="924">
        <f>IF($O510="USD",_xlfn.IFNA(VLOOKUP($A510&amp;$E510&amp;$I510,PMsheet!$J:$K,2,0),0),(_xlfn.IFNA(VLOOKUP($A510&amp;$E510&amp;$I510,PMsheet!$J:$K,2,0),0)*'Master Data-C19RM'!$G$2))</f>
        <v>0</v>
      </c>
      <c r="AS510" s="572"/>
      <c r="AT510" s="572"/>
      <c r="AU510" s="572"/>
      <c r="AV510" s="572"/>
      <c r="AW510" s="512">
        <f t="shared" si="69"/>
        <v>0</v>
      </c>
      <c r="AX510" s="512">
        <f>IF(SETUP!$E$7="USD",(AW510*(IF(O510="USD",AR510,(AR510/'Master Data-C19RM'!$G$2)))),(AW510*(IF(O510="EUR",AR510,(AR510*'Master Data-C19RM'!$G$2)))))</f>
        <v>0</v>
      </c>
      <c r="AY510" s="845"/>
      <c r="AZ510" s="846"/>
      <c r="BA510" s="846"/>
      <c r="BB510" s="846"/>
      <c r="BC510" s="846"/>
      <c r="BD510" s="846"/>
      <c r="BE510" s="847"/>
      <c r="BF510" s="520">
        <f>'C19RM 2021-Lab &amp; Other HPS'!$U510+'C19RM 2021-Lab &amp; Other HPS'!$AB510+'C19RM 2021-Lab &amp; Other HPS'!$AP510+'C19RM 2021-Lab &amp; Other HPS'!$AI510+AW510+BD510</f>
        <v>0</v>
      </c>
      <c r="BG510" s="513">
        <f>'C19RM 2021-Lab &amp; Other HPS'!$V510+'C19RM 2021-Lab &amp; Other HPS'!$AC510+'C19RM 2021-Lab &amp; Other HPS'!$AQ510+'C19RM 2021-Lab &amp; Other HPS'!$AJ510+AX510+BE510</f>
        <v>0</v>
      </c>
      <c r="BH510" s="500" t="str" cm="1">
        <f t="array" ref="BH510">IF(A510&lt;&gt;"",IFERROR(INDEX(PMtbl[[WKst]:[Unit of measure*]],MATCH($A$437&amp;$A510&amp;$E510&amp;$I510,INDEX(PMtbl[Sec]&amp;PMtbl[Category]&amp;PMtbl[Each]&amp;PMtbl[Packaging],0,),0),11),""),"")</f>
        <v/>
      </c>
      <c r="BI510" s="819"/>
      <c r="BJ510" s="502" t="str" cm="1">
        <f t="array" ref="BJ510">IFERROR(INDEX(SETUP!$C$19:$G$121,MATCH((INDEX(PMtbl[[WKst]:[Unit of measure*]],MATCH($A510&amp;$E510&amp;$I510,INDEX(PMtbl[Category]&amp;PMtbl[Each]&amp;PMtbl[Packaging],0,),0),3)),SETUP!$D$19:$D$121,0),5),"")</f>
        <v/>
      </c>
      <c r="BK510" s="536"/>
      <c r="BL510" s="577"/>
      <c r="BO510" s="12">
        <f>IF(N510="",0,IF(SETUP!$E$7="USD",((IF(O510="USD",P510,(P510/'Master Data-C19RM'!$C$2)))),((IF(O510="EUR",P510,(P510*'Master Data-C19RM'!$C$2))))))</f>
        <v>0</v>
      </c>
      <c r="BP510" s="12">
        <f>IF(N510="",0,IF(SETUP!$E$7="USD",((IF(O510="USD",W510,(W510/'Master Data-C19RM'!$D$2)))),((IF(O510="EUR",W510,(W510*'Master Data-C19RM'!$D$2))))))</f>
        <v>0</v>
      </c>
      <c r="BQ510">
        <f>IF(N510="",0,IF(SETUP!$E$7="USD",((IF(O510="USD",AD510,(AD510/'Master Data-C19RM'!$E$2)))),((IF(O510="EUR",AD510,(AD510*'Master Data-C19RM'!$E$2))))))</f>
        <v>0</v>
      </c>
      <c r="BR510">
        <f>IF(N510="",0,IF(SETUP!$E$7="USD",((IF(O510="USD",AK510,(AK510/'Master Data-C19RM'!$F$2)))),((IF(O510="EUR",AK510,(AK510*'Master Data-C19RM'!$F$2))))))</f>
        <v>0</v>
      </c>
      <c r="BS510">
        <f>IF(N510="",0,IF(SETUP!$E$7="USD",((IF(O510="USD",AR510,(AR510/'Master Data-C19RM'!$G$2)))),((IF(O510="EUR",AR510,(AR510*'Master Data-C19RM'!$G$2))))))</f>
        <v>0</v>
      </c>
      <c r="BT510">
        <f>IF(N510="",0,IF(SETUP!$E$7="USD",((IF(O510="USD",AY510,(AY510/'Master Data-C19RM'!$H$2)))),((IF(O510="EUR",AY510,(AY510*'Master Data-C19RM'!$H$2))))))</f>
        <v>0</v>
      </c>
      <c r="BU510" s="12">
        <f t="shared" si="67"/>
        <v>0</v>
      </c>
      <c r="BV510" s="142">
        <f t="shared" si="68"/>
        <v>0</v>
      </c>
      <c r="BW510"/>
      <c r="BX510"/>
      <c r="BY510"/>
      <c r="BZ510"/>
      <c r="CA510"/>
      <c r="CB510"/>
      <c r="CC510"/>
      <c r="CD510"/>
      <c r="CE510"/>
      <c r="CF510"/>
      <c r="CG510"/>
      <c r="CH510"/>
      <c r="CI510"/>
      <c r="CJ510"/>
      <c r="CK510"/>
      <c r="CL510"/>
      <c r="CM510"/>
      <c r="CN510"/>
      <c r="CO510"/>
      <c r="CP510"/>
    </row>
    <row r="511" spans="1:94" x14ac:dyDescent="0.35">
      <c r="A511" s="1172"/>
      <c r="B511" s="1172"/>
      <c r="C511" s="1172"/>
      <c r="D511" s="1172"/>
      <c r="E511" s="1173"/>
      <c r="F511" s="1173"/>
      <c r="G511" s="1173"/>
      <c r="H511" s="1173"/>
      <c r="I511" s="1173"/>
      <c r="J511" s="1173"/>
      <c r="K511" s="1173"/>
      <c r="L511" s="493" t="str" cm="1">
        <f t="array" ref="L511">IF(A511&lt;&gt;"",IFERROR(INDEX(PMtbl[[WKst]:[Unit of measure*]],MATCH($A$437&amp;$A511&amp;$E511&amp;$I511,INDEX(PMtbl[Sec]&amp;PMtbl[Category]&amp;PMtbl[Each]&amp;PMtbl[Packaging],0,),0),14),""),"")</f>
        <v/>
      </c>
      <c r="M511" s="480" t="str">
        <f>IF(L511="","",INDEX(SETUP!$E$20:$E$122,(MATCH(INDEX(PMsheet!$D:$E,MATCH(A511,PMsheet!E:E,0),1),SETUP!$D$20:$D$122,0))))</f>
        <v/>
      </c>
      <c r="N511" s="494">
        <f>IF($O511="USD",_xlfn.IFNA(VLOOKUP(A511&amp;E511&amp;I511,PMsheet!J:K,2,0),0),(_xlfn.IFNA(VLOOKUP(A511&amp;E511&amp;I511,PMsheet!J:K,2,0),0)*'Master Data-C19RM'!$C$2))</f>
        <v>0</v>
      </c>
      <c r="O511" s="495" t="str">
        <f>IF(L511="", "",SETUP!$E$7)</f>
        <v/>
      </c>
      <c r="P511" s="445">
        <f>IF($O511="USD",_xlfn.IFNA(VLOOKUP($A511&amp;$E511&amp;$I511,PMsheet!$J:$K,2,0),0),(_xlfn.IFNA(VLOOKUP($A511&amp;$E511&amp;$I511,PMsheet!$J:$K,2,0),0)*'Master Data-C19RM'!$C$2))</f>
        <v>0</v>
      </c>
      <c r="Q511" s="440"/>
      <c r="R511" s="440"/>
      <c r="S511" s="440"/>
      <c r="T511" s="440"/>
      <c r="U511" s="482">
        <f t="shared" si="61"/>
        <v>0</v>
      </c>
      <c r="V511" s="484">
        <f>IF(SETUP!$E$7="USD",(U511*(IF(O511="USD",P511,(P511/'Master Data-C19RM'!$C$2)))),(U511*(IF(O511="EUR",P511,(P511*'Master Data-C19RM'!$C$2)))))</f>
        <v>0</v>
      </c>
      <c r="W511" s="445">
        <f>IF($O511="USD",_xlfn.IFNA(VLOOKUP($A511&amp;$E511&amp;$I511,PMsheet!$J:$K,2,0),0),(_xlfn.IFNA(VLOOKUP($A511&amp;$E511&amp;$I511,PMsheet!$J:$K,2,0),0)*'Master Data-C19RM'!$D$2))</f>
        <v>0</v>
      </c>
      <c r="X511" s="440"/>
      <c r="Y511" s="440"/>
      <c r="Z511" s="440"/>
      <c r="AA511" s="440"/>
      <c r="AB511" s="482">
        <f t="shared" si="62"/>
        <v>0</v>
      </c>
      <c r="AC511" s="484">
        <f>IF(SETUP!$E$7="USD",(AB511*(IF(O511="USD",W511,(W511/'Master Data-C19RM'!$D$2)))),(AB511*(IF(O511="EUR",W511,(W511*'Master Data-C19RM'!$D$2)))))</f>
        <v>0</v>
      </c>
      <c r="AD511" s="445">
        <f>IF($O511="USD",_xlfn.IFNA(VLOOKUP($A511&amp;$E511&amp;$I511,PMsheet!$J:$K,2,0),0),(_xlfn.IFNA(VLOOKUP($A511&amp;$E511&amp;$I511,PMsheet!$J:$K,2,0),0)*'Master Data-C19RM'!$E$2))</f>
        <v>0</v>
      </c>
      <c r="AE511" s="440"/>
      <c r="AF511" s="440"/>
      <c r="AG511" s="440"/>
      <c r="AH511" s="440"/>
      <c r="AI511" s="514">
        <f t="shared" si="63"/>
        <v>0</v>
      </c>
      <c r="AJ511" s="515">
        <f>IF(SETUP!$E$7="USD",(AI511*(IF(O511="USD",AD511,(AD511/'Master Data-C19RM'!$E$2)))),(AI511*(IF(O511="EUR",AD511,(AD511*'Master Data-C19RM'!$E$2)))))</f>
        <v>0</v>
      </c>
      <c r="AK511" s="445">
        <f>IF($O511="USD",_xlfn.IFNA(VLOOKUP($A511&amp;$E511&amp;$I511,PMsheet!$J:$K,2,0),0),(_xlfn.IFNA(VLOOKUP($A511&amp;$E511&amp;$I511,PMsheet!$J:$K,2,0),0)*'Master Data-C19RM'!$F$2))</f>
        <v>0</v>
      </c>
      <c r="AL511" s="440"/>
      <c r="AM511" s="440"/>
      <c r="AN511" s="440"/>
      <c r="AO511" s="440"/>
      <c r="AP511" s="514">
        <f t="shared" si="66"/>
        <v>0</v>
      </c>
      <c r="AQ511" s="515">
        <f>IF(SETUP!$E$7="USD",(AP511*(IF(O511="USD",AK511,(AK511/'Master Data-C19RM'!$F$2)))),(AP511*(IF(O511="EUR",AK511,(AK511*'Master Data-C19RM'!$F$2)))))</f>
        <v>0</v>
      </c>
      <c r="AR511" s="925">
        <f>IF($O511="USD",_xlfn.IFNA(VLOOKUP($A511&amp;$E511&amp;$I511,PMsheet!$J:$K,2,0),0),(_xlfn.IFNA(VLOOKUP($A511&amp;$E511&amp;$I511,PMsheet!$J:$K,2,0),0)*'Master Data-C19RM'!$G$2))</f>
        <v>0</v>
      </c>
      <c r="AS511" s="926"/>
      <c r="AT511" s="926"/>
      <c r="AU511" s="926"/>
      <c r="AV511" s="926"/>
      <c r="AW511" s="514">
        <f t="shared" si="69"/>
        <v>0</v>
      </c>
      <c r="AX511" s="514">
        <f>IF(SETUP!$E$7="USD",(AW511*(IF(O511="USD",AR511,(AR511/'Master Data-C19RM'!$G$2)))),(AW511*(IF(O511="EUR",AR511,(AR511*'Master Data-C19RM'!$G$2)))))</f>
        <v>0</v>
      </c>
      <c r="AY511" s="845"/>
      <c r="AZ511" s="846"/>
      <c r="BA511" s="846"/>
      <c r="BB511" s="846"/>
      <c r="BC511" s="846"/>
      <c r="BD511" s="846"/>
      <c r="BE511" s="847"/>
      <c r="BF511" s="521">
        <f>'C19RM 2021-Lab &amp; Other HPS'!$U511+'C19RM 2021-Lab &amp; Other HPS'!$AB511+'C19RM 2021-Lab &amp; Other HPS'!$AP511+'C19RM 2021-Lab &amp; Other HPS'!$AI511+AW511+BD511</f>
        <v>0</v>
      </c>
      <c r="BG511" s="515">
        <f>'C19RM 2021-Lab &amp; Other HPS'!$V511+'C19RM 2021-Lab &amp; Other HPS'!$AC511+'C19RM 2021-Lab &amp; Other HPS'!$AQ511+'C19RM 2021-Lab &amp; Other HPS'!$AJ511+AX511+BE511</f>
        <v>0</v>
      </c>
      <c r="BH511" s="522" t="str" cm="1">
        <f t="array" ref="BH511">IF(A511&lt;&gt;"",IFERROR(INDEX(PMtbl[[WKst]:[Unit of measure*]],MATCH($A$437&amp;$A511&amp;$E511&amp;$I511,INDEX(PMtbl[Sec]&amp;PMtbl[Category]&amp;PMtbl[Each]&amp;PMtbl[Packaging],0,),0),11),""),"")</f>
        <v/>
      </c>
      <c r="BI511" s="818"/>
      <c r="BJ511" s="503" t="str" cm="1">
        <f t="array" ref="BJ511">IFERROR(INDEX(SETUP!$C$19:$G$121,MATCH((INDEX(PMtbl[[WKst]:[Unit of measure*]],MATCH($A511&amp;$E511&amp;$I511,INDEX(PMtbl[Category]&amp;PMtbl[Each]&amp;PMtbl[Packaging],0,),0),3)),SETUP!$D$19:$D$121,0),5),"")</f>
        <v/>
      </c>
      <c r="BK511" s="537"/>
      <c r="BL511" s="578"/>
      <c r="BO511" s="12">
        <f>IF(N511="",0,IF(SETUP!$E$7="USD",((IF(O511="USD",P511,(P511/'Master Data-C19RM'!$C$2)))),((IF(O511="EUR",P511,(P511*'Master Data-C19RM'!$C$2))))))</f>
        <v>0</v>
      </c>
      <c r="BP511" s="12">
        <f>IF(N511="",0,IF(SETUP!$E$7="USD",((IF(O511="USD",W511,(W511/'Master Data-C19RM'!$D$2)))),((IF(O511="EUR",W511,(W511*'Master Data-C19RM'!$D$2))))))</f>
        <v>0</v>
      </c>
      <c r="BQ511">
        <f>IF(N511="",0,IF(SETUP!$E$7="USD",((IF(O511="USD",AD511,(AD511/'Master Data-C19RM'!$E$2)))),((IF(O511="EUR",AD511,(AD511*'Master Data-C19RM'!$E$2))))))</f>
        <v>0</v>
      </c>
      <c r="BR511">
        <f>IF(N511="",0,IF(SETUP!$E$7="USD",((IF(O511="USD",AK511,(AK511/'Master Data-C19RM'!$F$2)))),((IF(O511="EUR",AK511,(AK511*'Master Data-C19RM'!$F$2))))))</f>
        <v>0</v>
      </c>
      <c r="BS511">
        <f>IF(N511="",0,IF(SETUP!$E$7="USD",((IF(O511="USD",AR511,(AR511/'Master Data-C19RM'!$G$2)))),((IF(O511="EUR",AR511,(AR511*'Master Data-C19RM'!$G$2))))))</f>
        <v>0</v>
      </c>
      <c r="BT511">
        <f>IF(N511="",0,IF(SETUP!$E$7="USD",((IF(O511="USD",AY511,(AY511/'Master Data-C19RM'!$H$2)))),((IF(O511="EUR",AY511,(AY511*'Master Data-C19RM'!$H$2))))))</f>
        <v>0</v>
      </c>
      <c r="BU511" s="12">
        <f t="shared" si="67"/>
        <v>0</v>
      </c>
      <c r="BV511" s="142">
        <f t="shared" si="68"/>
        <v>0</v>
      </c>
    </row>
    <row r="512" spans="1:94" x14ac:dyDescent="0.35">
      <c r="A512" s="1165"/>
      <c r="B512" s="1165"/>
      <c r="C512" s="1165"/>
      <c r="D512" s="1165"/>
      <c r="E512" s="1166"/>
      <c r="F512" s="1166"/>
      <c r="G512" s="1166"/>
      <c r="H512" s="1166"/>
      <c r="I512" s="1166"/>
      <c r="J512" s="1166"/>
      <c r="K512" s="1166"/>
      <c r="L512" s="490" t="str" cm="1">
        <f t="array" ref="L512">IF(A512&lt;&gt;"",IFERROR(INDEX(PMtbl[[WKst]:[Unit of measure*]],MATCH($A$437&amp;$A512&amp;$E512&amp;$I512,INDEX(PMtbl[Sec]&amp;PMtbl[Category]&amp;PMtbl[Each]&amp;PMtbl[Packaging],0,),0),14),""),"")</f>
        <v/>
      </c>
      <c r="M512" s="479" t="str">
        <f>IF(L512="","",INDEX(SETUP!$E$20:$E$122,(MATCH(INDEX(PMsheet!$D:$E,MATCH(A512,PMsheet!E:E,0),1),SETUP!$D$20:$D$122,0))))</f>
        <v/>
      </c>
      <c r="N512" s="491">
        <f>IF($O512="USD",_xlfn.IFNA(VLOOKUP(A512&amp;E512&amp;I512,PMsheet!J:K,2,0),0),(_xlfn.IFNA(VLOOKUP(A512&amp;E512&amp;I512,PMsheet!J:K,2,0),0)*'Master Data-C19RM'!$C$2))</f>
        <v>0</v>
      </c>
      <c r="O512" s="492" t="str">
        <f>IF(L512="", "",SETUP!$E$7)</f>
        <v/>
      </c>
      <c r="P512" s="444">
        <f>IF($O512="USD",_xlfn.IFNA(VLOOKUP($A512&amp;$E512&amp;$I512,PMsheet!$J:$K,2,0),0),(_xlfn.IFNA(VLOOKUP($A512&amp;$E512&amp;$I512,PMsheet!$J:$K,2,0),0)*'Master Data-C19RM'!$C$2))</f>
        <v>0</v>
      </c>
      <c r="Q512" s="441"/>
      <c r="R512" s="441"/>
      <c r="S512" s="441"/>
      <c r="T512" s="441"/>
      <c r="U512" s="481">
        <f t="shared" si="61"/>
        <v>0</v>
      </c>
      <c r="V512" s="483">
        <f>IF(SETUP!$E$7="USD",(U512*(IF(O512="USD",P512,(P512/'Master Data-C19RM'!$C$2)))),(U512*(IF(O512="EUR",P512,(P512*'Master Data-C19RM'!$C$2)))))</f>
        <v>0</v>
      </c>
      <c r="W512" s="444">
        <f>IF($O512="USD",_xlfn.IFNA(VLOOKUP($A512&amp;$E512&amp;$I512,PMsheet!$J:$K,2,0),0),(_xlfn.IFNA(VLOOKUP($A512&amp;$E512&amp;$I512,PMsheet!$J:$K,2,0),0)*'Master Data-C19RM'!$D$2))</f>
        <v>0</v>
      </c>
      <c r="X512" s="441"/>
      <c r="Y512" s="441"/>
      <c r="Z512" s="441"/>
      <c r="AA512" s="441"/>
      <c r="AB512" s="481">
        <f t="shared" si="62"/>
        <v>0</v>
      </c>
      <c r="AC512" s="483">
        <f>IF(SETUP!$E$7="USD",(AB512*(IF(O512="USD",W512,(W512/'Master Data-C19RM'!$D$2)))),(AB512*(IF(O512="EUR",W512,(W512*'Master Data-C19RM'!$D$2)))))</f>
        <v>0</v>
      </c>
      <c r="AD512" s="444">
        <f>IF($O512="USD",_xlfn.IFNA(VLOOKUP($A512&amp;$E512&amp;$I512,PMsheet!$J:$K,2,0),0),(_xlfn.IFNA(VLOOKUP($A512&amp;$E512&amp;$I512,PMsheet!$J:$K,2,0),0)*'Master Data-C19RM'!$E$2))</f>
        <v>0</v>
      </c>
      <c r="AE512" s="441"/>
      <c r="AF512" s="441"/>
      <c r="AG512" s="441"/>
      <c r="AH512" s="441"/>
      <c r="AI512" s="512">
        <f t="shared" si="63"/>
        <v>0</v>
      </c>
      <c r="AJ512" s="513">
        <f>IF(SETUP!$E$7="USD",(AI512*(IF(O512="USD",AD512,(AD512/'Master Data-C19RM'!$E$2)))),(AI512*(IF(O512="EUR",AD512,(AD512*'Master Data-C19RM'!$E$2)))))</f>
        <v>0</v>
      </c>
      <c r="AK512" s="444">
        <f>IF($O512="USD",_xlfn.IFNA(VLOOKUP($A512&amp;$E512&amp;$I512,PMsheet!$J:$K,2,0),0),(_xlfn.IFNA(VLOOKUP($A512&amp;$E512&amp;$I512,PMsheet!$J:$K,2,0),0)*'Master Data-C19RM'!$F$2))</f>
        <v>0</v>
      </c>
      <c r="AL512" s="441"/>
      <c r="AM512" s="441"/>
      <c r="AN512" s="441"/>
      <c r="AO512" s="441"/>
      <c r="AP512" s="512">
        <f t="shared" si="66"/>
        <v>0</v>
      </c>
      <c r="AQ512" s="513">
        <f>IF(SETUP!$E$7="USD",(AP512*(IF(O512="USD",AK512,(AK512/'Master Data-C19RM'!$F$2)))),(AP512*(IF(O512="EUR",AK512,(AK512*'Master Data-C19RM'!$F$2)))))</f>
        <v>0</v>
      </c>
      <c r="AR512" s="924">
        <f>IF($O512="USD",_xlfn.IFNA(VLOOKUP($A512&amp;$E512&amp;$I512,PMsheet!$J:$K,2,0),0),(_xlfn.IFNA(VLOOKUP($A512&amp;$E512&amp;$I512,PMsheet!$J:$K,2,0),0)*'Master Data-C19RM'!$G$2))</f>
        <v>0</v>
      </c>
      <c r="AS512" s="572"/>
      <c r="AT512" s="572"/>
      <c r="AU512" s="572"/>
      <c r="AV512" s="572"/>
      <c r="AW512" s="512">
        <f t="shared" si="69"/>
        <v>0</v>
      </c>
      <c r="AX512" s="512">
        <f>IF(SETUP!$E$7="USD",(AW512*(IF(O512="USD",AR512,(AR512/'Master Data-C19RM'!$G$2)))),(AW512*(IF(O512="EUR",AR512,(AR512*'Master Data-C19RM'!$G$2)))))</f>
        <v>0</v>
      </c>
      <c r="AY512" s="845"/>
      <c r="AZ512" s="846"/>
      <c r="BA512" s="846"/>
      <c r="BB512" s="846"/>
      <c r="BC512" s="846"/>
      <c r="BD512" s="846"/>
      <c r="BE512" s="847"/>
      <c r="BF512" s="520">
        <f>'C19RM 2021-Lab &amp; Other HPS'!$U512+'C19RM 2021-Lab &amp; Other HPS'!$AB512+'C19RM 2021-Lab &amp; Other HPS'!$AP512+'C19RM 2021-Lab &amp; Other HPS'!$AI512+AW512+BD512</f>
        <v>0</v>
      </c>
      <c r="BG512" s="513">
        <f>'C19RM 2021-Lab &amp; Other HPS'!$V512+'C19RM 2021-Lab &amp; Other HPS'!$AC512+'C19RM 2021-Lab &amp; Other HPS'!$AQ512+'C19RM 2021-Lab &amp; Other HPS'!$AJ512+AX512+BE512</f>
        <v>0</v>
      </c>
      <c r="BH512" s="500" t="str" cm="1">
        <f t="array" ref="BH512">IF(A512&lt;&gt;"",IFERROR(INDEX(PMtbl[[WKst]:[Unit of measure*]],MATCH($A$437&amp;$A512&amp;$E512&amp;$I512,INDEX(PMtbl[Sec]&amp;PMtbl[Category]&amp;PMtbl[Each]&amp;PMtbl[Packaging],0,),0),11),""),"")</f>
        <v/>
      </c>
      <c r="BI512" s="819"/>
      <c r="BJ512" s="502" t="str" cm="1">
        <f t="array" ref="BJ512">IFERROR(INDEX(SETUP!$C$19:$G$121,MATCH((INDEX(PMtbl[[WKst]:[Unit of measure*]],MATCH($A512&amp;$E512&amp;$I512,INDEX(PMtbl[Category]&amp;PMtbl[Each]&amp;PMtbl[Packaging],0,),0),3)),SETUP!$D$19:$D$121,0),5),"")</f>
        <v/>
      </c>
      <c r="BK512" s="536"/>
      <c r="BL512" s="577"/>
      <c r="BO512" s="12">
        <f>IF(N512="",0,IF(SETUP!$E$7="USD",((IF(O512="USD",P512,(P512/'Master Data-C19RM'!$C$2)))),((IF(O512="EUR",P512,(P512*'Master Data-C19RM'!$C$2))))))</f>
        <v>0</v>
      </c>
      <c r="BP512" s="12">
        <f>IF(N512="",0,IF(SETUP!$E$7="USD",((IF(O512="USD",W512,(W512/'Master Data-C19RM'!$D$2)))),((IF(O512="EUR",W512,(W512*'Master Data-C19RM'!$D$2))))))</f>
        <v>0</v>
      </c>
      <c r="BQ512">
        <f>IF(N512="",0,IF(SETUP!$E$7="USD",((IF(O512="USD",AD512,(AD512/'Master Data-C19RM'!$E$2)))),((IF(O512="EUR",AD512,(AD512*'Master Data-C19RM'!$E$2))))))</f>
        <v>0</v>
      </c>
      <c r="BR512">
        <f>IF(N512="",0,IF(SETUP!$E$7="USD",((IF(O512="USD",AK512,(AK512/'Master Data-C19RM'!$F$2)))),((IF(O512="EUR",AK512,(AK512*'Master Data-C19RM'!$F$2))))))</f>
        <v>0</v>
      </c>
      <c r="BS512">
        <f>IF(N512="",0,IF(SETUP!$E$7="USD",((IF(O512="USD",AR512,(AR512/'Master Data-C19RM'!$G$2)))),((IF(O512="EUR",AR512,(AR512*'Master Data-C19RM'!$G$2))))))</f>
        <v>0</v>
      </c>
      <c r="BT512">
        <f>IF(N512="",0,IF(SETUP!$E$7="USD",((IF(O512="USD",AY512,(AY512/'Master Data-C19RM'!$H$2)))),((IF(O512="EUR",AY512,(AY512*'Master Data-C19RM'!$H$2))))))</f>
        <v>0</v>
      </c>
      <c r="BU512" s="12">
        <f t="shared" si="67"/>
        <v>0</v>
      </c>
      <c r="BV512" s="142">
        <f t="shared" si="68"/>
        <v>0</v>
      </c>
    </row>
    <row r="513" spans="1:94" x14ac:dyDescent="0.35">
      <c r="A513" s="1172"/>
      <c r="B513" s="1172"/>
      <c r="C513" s="1172"/>
      <c r="D513" s="1172"/>
      <c r="E513" s="1173"/>
      <c r="F513" s="1173"/>
      <c r="G513" s="1173"/>
      <c r="H513" s="1173"/>
      <c r="I513" s="1173"/>
      <c r="J513" s="1173"/>
      <c r="K513" s="1173"/>
      <c r="L513" s="493" t="str" cm="1">
        <f t="array" ref="L513">IF(A513&lt;&gt;"",IFERROR(INDEX(PMtbl[[WKst]:[Unit of measure*]],MATCH($A$437&amp;$A513&amp;$E513&amp;$I513,INDEX(PMtbl[Sec]&amp;PMtbl[Category]&amp;PMtbl[Each]&amp;PMtbl[Packaging],0,),0),14),""),"")</f>
        <v/>
      </c>
      <c r="M513" s="480" t="str">
        <f>IF(L513="","",INDEX(SETUP!$E$20:$E$122,(MATCH(INDEX(PMsheet!$D:$E,MATCH(A513,PMsheet!E:E,0),1),SETUP!$D$20:$D$122,0))))</f>
        <v/>
      </c>
      <c r="N513" s="494">
        <f>IF($O513="USD",_xlfn.IFNA(VLOOKUP(A513&amp;E513&amp;I513,PMsheet!J:K,2,0),0),(_xlfn.IFNA(VLOOKUP(A513&amp;E513&amp;I513,PMsheet!J:K,2,0),0)*'Master Data-C19RM'!$C$2))</f>
        <v>0</v>
      </c>
      <c r="O513" s="495" t="str">
        <f>IF(L513="", "",SETUP!$E$7)</f>
        <v/>
      </c>
      <c r="P513" s="445">
        <f>IF($O513="USD",_xlfn.IFNA(VLOOKUP($A513&amp;$E513&amp;$I513,PMsheet!$J:$K,2,0),0),(_xlfn.IFNA(VLOOKUP($A513&amp;$E513&amp;$I513,PMsheet!$J:$K,2,0),0)*'Master Data-C19RM'!$C$2))</f>
        <v>0</v>
      </c>
      <c r="Q513" s="440"/>
      <c r="R513" s="440"/>
      <c r="S513" s="440"/>
      <c r="T513" s="440"/>
      <c r="U513" s="482">
        <f t="shared" si="61"/>
        <v>0</v>
      </c>
      <c r="V513" s="484">
        <f>IF(SETUP!$E$7="USD",(U513*(IF(O513="USD",P513,(P513/'Master Data-C19RM'!$C$2)))),(U513*(IF(O513="EUR",P513,(P513*'Master Data-C19RM'!$C$2)))))</f>
        <v>0</v>
      </c>
      <c r="W513" s="445">
        <f>IF($O513="USD",_xlfn.IFNA(VLOOKUP($A513&amp;$E513&amp;$I513,PMsheet!$J:$K,2,0),0),(_xlfn.IFNA(VLOOKUP($A513&amp;$E513&amp;$I513,PMsheet!$J:$K,2,0),0)*'Master Data-C19RM'!$D$2))</f>
        <v>0</v>
      </c>
      <c r="X513" s="440"/>
      <c r="Y513" s="440"/>
      <c r="Z513" s="440"/>
      <c r="AA513" s="440"/>
      <c r="AB513" s="482">
        <f t="shared" si="62"/>
        <v>0</v>
      </c>
      <c r="AC513" s="484">
        <f>IF(SETUP!$E$7="USD",(AB513*(IF(O513="USD",W513,(W513/'Master Data-C19RM'!$D$2)))),(AB513*(IF(O513="EUR",W513,(W513*'Master Data-C19RM'!$D$2)))))</f>
        <v>0</v>
      </c>
      <c r="AD513" s="445">
        <f>IF($O513="USD",_xlfn.IFNA(VLOOKUP($A513&amp;$E513&amp;$I513,PMsheet!$J:$K,2,0),0),(_xlfn.IFNA(VLOOKUP($A513&amp;$E513&amp;$I513,PMsheet!$J:$K,2,0),0)*'Master Data-C19RM'!$E$2))</f>
        <v>0</v>
      </c>
      <c r="AE513" s="440"/>
      <c r="AF513" s="440"/>
      <c r="AG513" s="440"/>
      <c r="AH513" s="440"/>
      <c r="AI513" s="514">
        <f t="shared" si="63"/>
        <v>0</v>
      </c>
      <c r="AJ513" s="515">
        <f>IF(SETUP!$E$7="USD",(AI513*(IF(O513="USD",AD513,(AD513/'Master Data-C19RM'!$E$2)))),(AI513*(IF(O513="EUR",AD513,(AD513*'Master Data-C19RM'!$E$2)))))</f>
        <v>0</v>
      </c>
      <c r="AK513" s="445">
        <f>IF($O513="USD",_xlfn.IFNA(VLOOKUP($A513&amp;$E513&amp;$I513,PMsheet!$J:$K,2,0),0),(_xlfn.IFNA(VLOOKUP($A513&amp;$E513&amp;$I513,PMsheet!$J:$K,2,0),0)*'Master Data-C19RM'!$F$2))</f>
        <v>0</v>
      </c>
      <c r="AL513" s="440"/>
      <c r="AM513" s="440"/>
      <c r="AN513" s="440"/>
      <c r="AO513" s="440"/>
      <c r="AP513" s="514">
        <f t="shared" si="66"/>
        <v>0</v>
      </c>
      <c r="AQ513" s="515">
        <f>IF(SETUP!$E$7="USD",(AP513*(IF(O513="USD",AK513,(AK513/'Master Data-C19RM'!$F$2)))),(AP513*(IF(O513="EUR",AK513,(AK513*'Master Data-C19RM'!$F$2)))))</f>
        <v>0</v>
      </c>
      <c r="AR513" s="925">
        <f>IF($O513="USD",_xlfn.IFNA(VLOOKUP($A513&amp;$E513&amp;$I513,PMsheet!$J:$K,2,0),0),(_xlfn.IFNA(VLOOKUP($A513&amp;$E513&amp;$I513,PMsheet!$J:$K,2,0),0)*'Master Data-C19RM'!$G$2))</f>
        <v>0</v>
      </c>
      <c r="AS513" s="926"/>
      <c r="AT513" s="926"/>
      <c r="AU513" s="926"/>
      <c r="AV513" s="926"/>
      <c r="AW513" s="514">
        <f t="shared" si="69"/>
        <v>0</v>
      </c>
      <c r="AX513" s="514">
        <f>IF(SETUP!$E$7="USD",(AW513*(IF(O513="USD",AR513,(AR513/'Master Data-C19RM'!$G$2)))),(AW513*(IF(O513="EUR",AR513,(AR513*'Master Data-C19RM'!$G$2)))))</f>
        <v>0</v>
      </c>
      <c r="AY513" s="845"/>
      <c r="AZ513" s="846"/>
      <c r="BA513" s="846"/>
      <c r="BB513" s="846"/>
      <c r="BC513" s="846"/>
      <c r="BD513" s="846"/>
      <c r="BE513" s="847"/>
      <c r="BF513" s="521">
        <f>'C19RM 2021-Lab &amp; Other HPS'!$U513+'C19RM 2021-Lab &amp; Other HPS'!$AB513+'C19RM 2021-Lab &amp; Other HPS'!$AP513+'C19RM 2021-Lab &amp; Other HPS'!$AI513+AW513+BD513</f>
        <v>0</v>
      </c>
      <c r="BG513" s="515">
        <f>'C19RM 2021-Lab &amp; Other HPS'!$V513+'C19RM 2021-Lab &amp; Other HPS'!$AC513+'C19RM 2021-Lab &amp; Other HPS'!$AQ513+'C19RM 2021-Lab &amp; Other HPS'!$AJ513+AX513+BE513</f>
        <v>0</v>
      </c>
      <c r="BH513" s="522" t="str" cm="1">
        <f t="array" ref="BH513">IF(A513&lt;&gt;"",IFERROR(INDEX(PMtbl[[WKst]:[Unit of measure*]],MATCH($A$437&amp;$A513&amp;$E513&amp;$I513,INDEX(PMtbl[Sec]&amp;PMtbl[Category]&amp;PMtbl[Each]&amp;PMtbl[Packaging],0,),0),11),""),"")</f>
        <v/>
      </c>
      <c r="BI513" s="818"/>
      <c r="BJ513" s="503" t="str" cm="1">
        <f t="array" ref="BJ513">IFERROR(INDEX(SETUP!$C$19:$G$121,MATCH((INDEX(PMtbl[[WKst]:[Unit of measure*]],MATCH($A513&amp;$E513&amp;$I513,INDEX(PMtbl[Category]&amp;PMtbl[Each]&amp;PMtbl[Packaging],0,),0),3)),SETUP!$D$19:$D$121,0),5),"")</f>
        <v/>
      </c>
      <c r="BK513" s="537"/>
      <c r="BL513" s="578"/>
      <c r="BO513" s="12">
        <f>IF(N513="",0,IF(SETUP!$E$7="USD",((IF(O513="USD",P513,(P513/'Master Data-C19RM'!$C$2)))),((IF(O513="EUR",P513,(P513*'Master Data-C19RM'!$C$2))))))</f>
        <v>0</v>
      </c>
      <c r="BP513" s="12">
        <f>IF(N513="",0,IF(SETUP!$E$7="USD",((IF(O513="USD",W513,(W513/'Master Data-C19RM'!$D$2)))),((IF(O513="EUR",W513,(W513*'Master Data-C19RM'!$D$2))))))</f>
        <v>0</v>
      </c>
      <c r="BQ513">
        <f>IF(N513="",0,IF(SETUP!$E$7="USD",((IF(O513="USD",AD513,(AD513/'Master Data-C19RM'!$E$2)))),((IF(O513="EUR",AD513,(AD513*'Master Data-C19RM'!$E$2))))))</f>
        <v>0</v>
      </c>
      <c r="BR513">
        <f>IF(N513="",0,IF(SETUP!$E$7="USD",((IF(O513="USD",AK513,(AK513/'Master Data-C19RM'!$F$2)))),((IF(O513="EUR",AK513,(AK513*'Master Data-C19RM'!$F$2))))))</f>
        <v>0</v>
      </c>
      <c r="BS513">
        <f>IF(N513="",0,IF(SETUP!$E$7="USD",((IF(O513="USD",AR513,(AR513/'Master Data-C19RM'!$G$2)))),((IF(O513="EUR",AR513,(AR513*'Master Data-C19RM'!$G$2))))))</f>
        <v>0</v>
      </c>
      <c r="BT513">
        <f>IF(N513="",0,IF(SETUP!$E$7="USD",((IF(O513="USD",AY513,(AY513/'Master Data-C19RM'!$H$2)))),((IF(O513="EUR",AY513,(AY513*'Master Data-C19RM'!$H$2))))))</f>
        <v>0</v>
      </c>
      <c r="BU513" s="12">
        <f t="shared" si="67"/>
        <v>0</v>
      </c>
      <c r="BV513" s="142">
        <f t="shared" si="68"/>
        <v>0</v>
      </c>
    </row>
    <row r="514" spans="1:94" s="24" customFormat="1" x14ac:dyDescent="0.35">
      <c r="A514" s="1196"/>
      <c r="B514" s="1196"/>
      <c r="C514" s="1196"/>
      <c r="D514" s="1196"/>
      <c r="E514" s="1166"/>
      <c r="F514" s="1166"/>
      <c r="G514" s="1166"/>
      <c r="H514" s="1166"/>
      <c r="I514" s="1166"/>
      <c r="J514" s="1166"/>
      <c r="K514" s="1166"/>
      <c r="L514" s="490" t="str" cm="1">
        <f t="array" ref="L514">IF(A514&lt;&gt;"",IFERROR(INDEX(PMtbl[[WKst]:[Unit of measure*]],MATCH($A$437&amp;$A514&amp;$E514&amp;$I514,INDEX(PMtbl[Sec]&amp;PMtbl[Category]&amp;PMtbl[Each]&amp;PMtbl[Packaging],0,),0),14),""),"")</f>
        <v/>
      </c>
      <c r="M514" s="479" t="str">
        <f>IF(L514="","",INDEX(SETUP!$E$20:$E$122,(MATCH(INDEX(PMsheet!$D:$E,MATCH(A514,PMsheet!E:E,0),1),SETUP!$D$20:$D$122,0))))</f>
        <v/>
      </c>
      <c r="N514" s="491">
        <f>IF($O514="USD",_xlfn.IFNA(VLOOKUP(A514&amp;E514&amp;I514,PMsheet!J:K,2,0),0),(_xlfn.IFNA(VLOOKUP(A514&amp;E514&amp;I514,PMsheet!J:K,2,0),0)*'Master Data-C19RM'!$C$2))</f>
        <v>0</v>
      </c>
      <c r="O514" s="573" t="str">
        <f>IF(L514="", "",SETUP!$E$7)</f>
        <v/>
      </c>
      <c r="P514" s="444">
        <f>IF($O514="USD",_xlfn.IFNA(VLOOKUP($A514&amp;$E514&amp;$I514,PMsheet!$J:$K,2,0),0),(_xlfn.IFNA(VLOOKUP($A514&amp;$E514&amp;$I514,PMsheet!$J:$K,2,0),0)*'Master Data-C19RM'!$C$2))</f>
        <v>0</v>
      </c>
      <c r="Q514" s="441"/>
      <c r="R514" s="441"/>
      <c r="S514" s="441"/>
      <c r="T514" s="441"/>
      <c r="U514" s="481">
        <f t="shared" si="61"/>
        <v>0</v>
      </c>
      <c r="V514" s="483">
        <f>IF(SETUP!$E$7="USD",(U514*(IF(O514="USD",P514,(P514/'Master Data-C19RM'!$C$2)))),(U514*(IF(O514="EUR",P514,(P514*'Master Data-C19RM'!$C$2)))))</f>
        <v>0</v>
      </c>
      <c r="W514" s="444">
        <f>IF($O514="USD",_xlfn.IFNA(VLOOKUP($A514&amp;$E514&amp;$I514,PMsheet!$J:$K,2,0),0),(_xlfn.IFNA(VLOOKUP($A514&amp;$E514&amp;$I514,PMsheet!$J:$K,2,0),0)*'Master Data-C19RM'!$D$2))</f>
        <v>0</v>
      </c>
      <c r="X514" s="441"/>
      <c r="Y514" s="441"/>
      <c r="Z514" s="441"/>
      <c r="AA514" s="441"/>
      <c r="AB514" s="481">
        <f t="shared" si="62"/>
        <v>0</v>
      </c>
      <c r="AC514" s="483">
        <f>IF(SETUP!$E$7="USD",(AB514*(IF(O514="USD",W514,(W514/'Master Data-C19RM'!$D$2)))),(AB514*(IF(O514="EUR",W514,(W514*'Master Data-C19RM'!$D$2)))))</f>
        <v>0</v>
      </c>
      <c r="AD514" s="444">
        <f>IF($O514="USD",_xlfn.IFNA(VLOOKUP($A514&amp;$E514&amp;$I514,PMsheet!$J:$K,2,0),0),(_xlfn.IFNA(VLOOKUP($A514&amp;$E514&amp;$I514,PMsheet!$J:$K,2,0),0)*'Master Data-C19RM'!$E$2))</f>
        <v>0</v>
      </c>
      <c r="AE514" s="441"/>
      <c r="AF514" s="441"/>
      <c r="AG514" s="441"/>
      <c r="AH514" s="441"/>
      <c r="AI514" s="512">
        <f t="shared" si="63"/>
        <v>0</v>
      </c>
      <c r="AJ514" s="513">
        <f>IF(SETUP!$E$7="USD",(AI514*(IF(O514="USD",AD514,(AD514/'Master Data-C19RM'!$E$2)))),(AI514*(IF(O514="EUR",AD514,(AD514*'Master Data-C19RM'!$E$2)))))</f>
        <v>0</v>
      </c>
      <c r="AK514" s="456">
        <f>IF($O514="USD",_xlfn.IFNA(VLOOKUP($A514&amp;$E514&amp;$I514,PMsheet!$J:$K,2,0),0),(_xlfn.IFNA(VLOOKUP($A514&amp;$E514&amp;$I514,PMsheet!$J:$K,2,0),0)*'Master Data-C19RM'!$F$2))</f>
        <v>0</v>
      </c>
      <c r="AL514" s="572"/>
      <c r="AM514" s="572"/>
      <c r="AN514" s="572"/>
      <c r="AO514" s="572"/>
      <c r="AP514" s="512">
        <f t="shared" si="66"/>
        <v>0</v>
      </c>
      <c r="AQ514" s="513">
        <f>IF(SETUP!$E$7="USD",(AP514*(IF(O514="USD",AK514,(AK514/'Master Data-C19RM'!$F$2)))),(AP514*(IF(O514="EUR",AK514,(AK514*'Master Data-C19RM'!$F$2)))))</f>
        <v>0</v>
      </c>
      <c r="AR514" s="924">
        <f>IF($O514="USD",_xlfn.IFNA(VLOOKUP($A514&amp;$E514&amp;$I514,PMsheet!$J:$K,2,0),0),(_xlfn.IFNA(VLOOKUP($A514&amp;$E514&amp;$I514,PMsheet!$J:$K,2,0),0)*'Master Data-C19RM'!$G$2))</f>
        <v>0</v>
      </c>
      <c r="AS514" s="572"/>
      <c r="AT514" s="572"/>
      <c r="AU514" s="572"/>
      <c r="AV514" s="572"/>
      <c r="AW514" s="512">
        <f t="shared" si="69"/>
        <v>0</v>
      </c>
      <c r="AX514" s="512">
        <f>IF(SETUP!$E$7="USD",(AW514*(IF(O514="USD",AR514,(AR514/'Master Data-C19RM'!$G$2)))),(AW514*(IF(O514="EUR",AR514,(AR514*'Master Data-C19RM'!$G$2)))))</f>
        <v>0</v>
      </c>
      <c r="AY514" s="845"/>
      <c r="AZ514" s="846"/>
      <c r="BA514" s="846"/>
      <c r="BB514" s="846"/>
      <c r="BC514" s="846"/>
      <c r="BD514" s="846"/>
      <c r="BE514" s="847"/>
      <c r="BF514" s="520">
        <f>'C19RM 2021-Lab &amp; Other HPS'!$U514+'C19RM 2021-Lab &amp; Other HPS'!$AB514+'C19RM 2021-Lab &amp; Other HPS'!$AP514+'C19RM 2021-Lab &amp; Other HPS'!$AI514+AW514+BD514</f>
        <v>0</v>
      </c>
      <c r="BG514" s="513">
        <f>'C19RM 2021-Lab &amp; Other HPS'!$V514+'C19RM 2021-Lab &amp; Other HPS'!$AC514+'C19RM 2021-Lab &amp; Other HPS'!$AQ514+'C19RM 2021-Lab &amp; Other HPS'!$AJ514+AX514+BE514</f>
        <v>0</v>
      </c>
      <c r="BH514" s="500" t="str" cm="1">
        <f t="array" ref="BH514">IF(A514&lt;&gt;"",IFERROR(INDEX(PMtbl[[WKst]:[Unit of measure*]],MATCH($A$437&amp;$A514&amp;$E514&amp;$I514,INDEX(PMtbl[Sec]&amp;PMtbl[Category]&amp;PMtbl[Each]&amp;PMtbl[Packaging],0,),0),11),""),"")</f>
        <v/>
      </c>
      <c r="BI514" s="819"/>
      <c r="BJ514" s="502" t="str" cm="1">
        <f t="array" ref="BJ514">IFERROR(INDEX(SETUP!$C$19:$G$121,MATCH((INDEX(PMtbl[[WKst]:[Unit of measure*]],MATCH($A514&amp;$E514&amp;$I514,INDEX(PMtbl[Category]&amp;PMtbl[Each]&amp;PMtbl[Packaging],0,),0),3)),SETUP!$D$19:$D$121,0),5),"")</f>
        <v/>
      </c>
      <c r="BK514" s="536"/>
      <c r="BL514" s="577"/>
      <c r="BO514" s="12">
        <f>IF(N514="",0,IF(SETUP!$E$7="USD",((IF(O514="USD",P514,(P514/'Master Data-C19RM'!$C$2)))),((IF(O514="EUR",P514,(P514*'Master Data-C19RM'!$C$2))))))</f>
        <v>0</v>
      </c>
      <c r="BP514" s="12">
        <f>IF(N514="",0,IF(SETUP!$E$7="USD",((IF(O514="USD",W514,(W514/'Master Data-C19RM'!$D$2)))),((IF(O514="EUR",W514,(W514*'Master Data-C19RM'!$D$2))))))</f>
        <v>0</v>
      </c>
      <c r="BQ514">
        <f>IF(N514="",0,IF(SETUP!$E$7="USD",((IF(O514="USD",AD514,(AD514/'Master Data-C19RM'!$E$2)))),((IF(O514="EUR",AD514,(AD514*'Master Data-C19RM'!$E$2))))))</f>
        <v>0</v>
      </c>
      <c r="BR514">
        <f>IF(N514="",0,IF(SETUP!$E$7="USD",((IF(O514="USD",AK514,(AK514/'Master Data-C19RM'!$F$2)))),((IF(O514="EUR",AK514,(AK514*'Master Data-C19RM'!$F$2))))))</f>
        <v>0</v>
      </c>
      <c r="BS514">
        <f>IF(N514="",0,IF(SETUP!$E$7="USD",((IF(O514="USD",AR514,(AR514/'Master Data-C19RM'!$G$2)))),((IF(O514="EUR",AR514,(AR514*'Master Data-C19RM'!$G$2))))))</f>
        <v>0</v>
      </c>
      <c r="BT514">
        <f>IF(N514="",0,IF(SETUP!$E$7="USD",((IF(O514="USD",AY514,(AY514/'Master Data-C19RM'!$H$2)))),((IF(O514="EUR",AY514,(AY514*'Master Data-C19RM'!$H$2))))))</f>
        <v>0</v>
      </c>
      <c r="BU514" s="12">
        <f t="shared" si="67"/>
        <v>0</v>
      </c>
      <c r="BV514" s="142">
        <f t="shared" si="68"/>
        <v>0</v>
      </c>
      <c r="BW514"/>
      <c r="BX514"/>
      <c r="BY514"/>
      <c r="BZ514"/>
      <c r="CA514"/>
      <c r="CB514"/>
      <c r="CC514"/>
      <c r="CD514"/>
      <c r="CE514"/>
      <c r="CF514"/>
      <c r="CG514"/>
      <c r="CH514"/>
      <c r="CI514"/>
      <c r="CJ514"/>
      <c r="CK514"/>
      <c r="CL514"/>
      <c r="CM514"/>
      <c r="CN514"/>
      <c r="CO514"/>
      <c r="CP514"/>
    </row>
    <row r="515" spans="1:94" x14ac:dyDescent="0.35">
      <c r="A515" s="1172"/>
      <c r="B515" s="1172"/>
      <c r="C515" s="1172"/>
      <c r="D515" s="1172"/>
      <c r="E515" s="1173"/>
      <c r="F515" s="1173"/>
      <c r="G515" s="1173"/>
      <c r="H515" s="1173"/>
      <c r="I515" s="1173"/>
      <c r="J515" s="1173"/>
      <c r="K515" s="1173"/>
      <c r="L515" s="493" t="str" cm="1">
        <f t="array" ref="L515">IF(A515&lt;&gt;"",IFERROR(INDEX(PMtbl[[WKst]:[Unit of measure*]],MATCH($A$437&amp;$A515&amp;$E515&amp;$I515,INDEX(PMtbl[Sec]&amp;PMtbl[Category]&amp;PMtbl[Each]&amp;PMtbl[Packaging],0,),0),14),""),"")</f>
        <v/>
      </c>
      <c r="M515" s="480" t="str">
        <f>IF(L515="","",INDEX(SETUP!$E$20:$E$122,(MATCH(INDEX(PMsheet!$D:$E,MATCH(A515,PMsheet!E:E,0),1),SETUP!$D$20:$D$122,0))))</f>
        <v/>
      </c>
      <c r="N515" s="494">
        <f>IF($O515="USD",_xlfn.IFNA(VLOOKUP(A515&amp;E515&amp;I515,PMsheet!J:K,2,0),0),(_xlfn.IFNA(VLOOKUP(A515&amp;E515&amp;I515,PMsheet!J:K,2,0),0)*'Master Data-C19RM'!$C$2))</f>
        <v>0</v>
      </c>
      <c r="O515" s="495" t="str">
        <f>IF(L515="", "",SETUP!$E$7)</f>
        <v/>
      </c>
      <c r="P515" s="445">
        <f>IF($O515="USD",_xlfn.IFNA(VLOOKUP($A515&amp;$E515&amp;$I515,PMsheet!$J:$K,2,0),0),(_xlfn.IFNA(VLOOKUP($A515&amp;$E515&amp;$I515,PMsheet!$J:$K,2,0),0)*'Master Data-C19RM'!$C$2))</f>
        <v>0</v>
      </c>
      <c r="Q515" s="440"/>
      <c r="R515" s="440"/>
      <c r="S515" s="440"/>
      <c r="T515" s="440"/>
      <c r="U515" s="482">
        <f t="shared" si="61"/>
        <v>0</v>
      </c>
      <c r="V515" s="484">
        <f>IF(SETUP!$E$7="USD",(U515*(IF(O515="USD",P515,(P515/'Master Data-C19RM'!$C$2)))),(U515*(IF(O515="EUR",P515,(P515*'Master Data-C19RM'!$C$2)))))</f>
        <v>0</v>
      </c>
      <c r="W515" s="445">
        <f>IF($O515="USD",_xlfn.IFNA(VLOOKUP($A515&amp;$E515&amp;$I515,PMsheet!$J:$K,2,0),0),(_xlfn.IFNA(VLOOKUP($A515&amp;$E515&amp;$I515,PMsheet!$J:$K,2,0),0)*'Master Data-C19RM'!$D$2))</f>
        <v>0</v>
      </c>
      <c r="X515" s="440"/>
      <c r="Y515" s="440"/>
      <c r="Z515" s="440"/>
      <c r="AA515" s="440"/>
      <c r="AB515" s="482">
        <f t="shared" si="62"/>
        <v>0</v>
      </c>
      <c r="AC515" s="484">
        <f>IF(SETUP!$E$7="USD",(AB515*(IF(O515="USD",W515,(W515/'Master Data-C19RM'!$D$2)))),(AB515*(IF(O515="EUR",W515,(W515*'Master Data-C19RM'!$D$2)))))</f>
        <v>0</v>
      </c>
      <c r="AD515" s="445">
        <f>IF($O515="USD",_xlfn.IFNA(VLOOKUP($A515&amp;$E515&amp;$I515,PMsheet!$J:$K,2,0),0),(_xlfn.IFNA(VLOOKUP($A515&amp;$E515&amp;$I515,PMsheet!$J:$K,2,0),0)*'Master Data-C19RM'!$E$2))</f>
        <v>0</v>
      </c>
      <c r="AE515" s="440"/>
      <c r="AF515" s="440"/>
      <c r="AG515" s="440"/>
      <c r="AH515" s="440"/>
      <c r="AI515" s="514">
        <f t="shared" si="63"/>
        <v>0</v>
      </c>
      <c r="AJ515" s="515">
        <f>IF(SETUP!$E$7="USD",(AI515*(IF(O515="USD",AD515,(AD515/'Master Data-C19RM'!$E$2)))),(AI515*(IF(O515="EUR",AD515,(AD515*'Master Data-C19RM'!$E$2)))))</f>
        <v>0</v>
      </c>
      <c r="AK515" s="445">
        <f>IF($O515="USD",_xlfn.IFNA(VLOOKUP($A515&amp;$E515&amp;$I515,PMsheet!$J:$K,2,0),0),(_xlfn.IFNA(VLOOKUP($A515&amp;$E515&amp;$I515,PMsheet!$J:$K,2,0),0)*'Master Data-C19RM'!$F$2))</f>
        <v>0</v>
      </c>
      <c r="AL515" s="440"/>
      <c r="AM515" s="440"/>
      <c r="AN515" s="440"/>
      <c r="AO515" s="440"/>
      <c r="AP515" s="514">
        <f t="shared" si="66"/>
        <v>0</v>
      </c>
      <c r="AQ515" s="515">
        <f>IF(SETUP!$E$7="USD",(AP515*(IF(O515="USD",AK515,(AK515/'Master Data-C19RM'!$F$2)))),(AP515*(IF(O515="EUR",AK515,(AK515*'Master Data-C19RM'!$F$2)))))</f>
        <v>0</v>
      </c>
      <c r="AR515" s="925">
        <f>IF($O515="USD",_xlfn.IFNA(VLOOKUP($A515&amp;$E515&amp;$I515,PMsheet!$J:$K,2,0),0),(_xlfn.IFNA(VLOOKUP($A515&amp;$E515&amp;$I515,PMsheet!$J:$K,2,0),0)*'Master Data-C19RM'!$G$2))</f>
        <v>0</v>
      </c>
      <c r="AS515" s="926"/>
      <c r="AT515" s="926"/>
      <c r="AU515" s="926"/>
      <c r="AV515" s="926"/>
      <c r="AW515" s="514">
        <f t="shared" si="69"/>
        <v>0</v>
      </c>
      <c r="AX515" s="514">
        <f>IF(SETUP!$E$7="USD",(AW515*(IF(O515="USD",AR515,(AR515/'Master Data-C19RM'!$G$2)))),(AW515*(IF(O515="EUR",AR515,(AR515*'Master Data-C19RM'!$G$2)))))</f>
        <v>0</v>
      </c>
      <c r="AY515" s="845"/>
      <c r="AZ515" s="846"/>
      <c r="BA515" s="846"/>
      <c r="BB515" s="846"/>
      <c r="BC515" s="846"/>
      <c r="BD515" s="846"/>
      <c r="BE515" s="847"/>
      <c r="BF515" s="521">
        <f>'C19RM 2021-Lab &amp; Other HPS'!$U515+'C19RM 2021-Lab &amp; Other HPS'!$AB515+'C19RM 2021-Lab &amp; Other HPS'!$AP515+'C19RM 2021-Lab &amp; Other HPS'!$AI515+AW515+BD515</f>
        <v>0</v>
      </c>
      <c r="BG515" s="515">
        <f>'C19RM 2021-Lab &amp; Other HPS'!$V515+'C19RM 2021-Lab &amp; Other HPS'!$AC515+'C19RM 2021-Lab &amp; Other HPS'!$AQ515+'C19RM 2021-Lab &amp; Other HPS'!$AJ515+AX515+BE515</f>
        <v>0</v>
      </c>
      <c r="BH515" s="522" t="str" cm="1">
        <f t="array" ref="BH515">IF(A515&lt;&gt;"",IFERROR(INDEX(PMtbl[[WKst]:[Unit of measure*]],MATCH($A$437&amp;$A515&amp;$E515&amp;$I515,INDEX(PMtbl[Sec]&amp;PMtbl[Category]&amp;PMtbl[Each]&amp;PMtbl[Packaging],0,),0),11),""),"")</f>
        <v/>
      </c>
      <c r="BI515" s="818"/>
      <c r="BJ515" s="503" t="str" cm="1">
        <f t="array" ref="BJ515">IFERROR(INDEX(SETUP!$C$19:$G$121,MATCH((INDEX(PMtbl[[WKst]:[Unit of measure*]],MATCH($A515&amp;$E515&amp;$I515,INDEX(PMtbl[Category]&amp;PMtbl[Each]&amp;PMtbl[Packaging],0,),0),3)),SETUP!$D$19:$D$121,0),5),"")</f>
        <v/>
      </c>
      <c r="BK515" s="537"/>
      <c r="BL515" s="578"/>
      <c r="BO515" s="12">
        <f>IF(N515="",0,IF(SETUP!$E$7="USD",((IF(O515="USD",P515,(P515/'Master Data-C19RM'!$C$2)))),((IF(O515="EUR",P515,(P515*'Master Data-C19RM'!$C$2))))))</f>
        <v>0</v>
      </c>
      <c r="BP515" s="12">
        <f>IF(N515="",0,IF(SETUP!$E$7="USD",((IF(O515="USD",W515,(W515/'Master Data-C19RM'!$D$2)))),((IF(O515="EUR",W515,(W515*'Master Data-C19RM'!$D$2))))))</f>
        <v>0</v>
      </c>
      <c r="BQ515">
        <f>IF(N515="",0,IF(SETUP!$E$7="USD",((IF(O515="USD",AD515,(AD515/'Master Data-C19RM'!$E$2)))),((IF(O515="EUR",AD515,(AD515*'Master Data-C19RM'!$E$2))))))</f>
        <v>0</v>
      </c>
      <c r="BR515">
        <f>IF(N515="",0,IF(SETUP!$E$7="USD",((IF(O515="USD",AK515,(AK515/'Master Data-C19RM'!$F$2)))),((IF(O515="EUR",AK515,(AK515*'Master Data-C19RM'!$F$2))))))</f>
        <v>0</v>
      </c>
      <c r="BS515">
        <f>IF(N515="",0,IF(SETUP!$E$7="USD",((IF(O515="USD",AR515,(AR515/'Master Data-C19RM'!$G$2)))),((IF(O515="EUR",AR515,(AR515*'Master Data-C19RM'!$G$2))))))</f>
        <v>0</v>
      </c>
      <c r="BT515">
        <f>IF(N515="",0,IF(SETUP!$E$7="USD",((IF(O515="USD",AY515,(AY515/'Master Data-C19RM'!$H$2)))),((IF(O515="EUR",AY515,(AY515*'Master Data-C19RM'!$H$2))))))</f>
        <v>0</v>
      </c>
      <c r="BU515" s="12">
        <f t="shared" si="67"/>
        <v>0</v>
      </c>
      <c r="BV515" s="142">
        <f t="shared" si="68"/>
        <v>0</v>
      </c>
    </row>
    <row r="516" spans="1:94" x14ac:dyDescent="0.35">
      <c r="A516" s="1165"/>
      <c r="B516" s="1165"/>
      <c r="C516" s="1165"/>
      <c r="D516" s="1165"/>
      <c r="E516" s="1166"/>
      <c r="F516" s="1166"/>
      <c r="G516" s="1166"/>
      <c r="H516" s="1166"/>
      <c r="I516" s="1166"/>
      <c r="J516" s="1166"/>
      <c r="K516" s="1166"/>
      <c r="L516" s="490" t="str" cm="1">
        <f t="array" ref="L516">IF(A516&lt;&gt;"",IFERROR(INDEX(PMtbl[[WKst]:[Unit of measure*]],MATCH($A$437&amp;$A516&amp;$E516&amp;$I516,INDEX(PMtbl[Sec]&amp;PMtbl[Category]&amp;PMtbl[Each]&amp;PMtbl[Packaging],0,),0),14),""),"")</f>
        <v/>
      </c>
      <c r="M516" s="479" t="str">
        <f>IF(L516="","",INDEX(SETUP!$E$20:$E$122,(MATCH(INDEX(PMsheet!$D:$E,MATCH(A516,PMsheet!E:E,0),1),SETUP!$D$20:$D$122,0))))</f>
        <v/>
      </c>
      <c r="N516" s="491">
        <f>IF($O516="USD",_xlfn.IFNA(VLOOKUP(A516&amp;E516&amp;I516,PMsheet!J:K,2,0),0),(_xlfn.IFNA(VLOOKUP(A516&amp;E516&amp;I516,PMsheet!J:K,2,0),0)*'Master Data-C19RM'!$C$2))</f>
        <v>0</v>
      </c>
      <c r="O516" s="492" t="str">
        <f>IF(L516="", "",SETUP!$E$7)</f>
        <v/>
      </c>
      <c r="P516" s="444">
        <f>IF($O516="USD",_xlfn.IFNA(VLOOKUP($A516&amp;$E516&amp;$I516,PMsheet!$J:$K,2,0),0),(_xlfn.IFNA(VLOOKUP($A516&amp;$E516&amp;$I516,PMsheet!$J:$K,2,0),0)*'Master Data-C19RM'!$C$2))</f>
        <v>0</v>
      </c>
      <c r="Q516" s="441"/>
      <c r="R516" s="441"/>
      <c r="S516" s="441"/>
      <c r="T516" s="441"/>
      <c r="U516" s="481">
        <f t="shared" si="61"/>
        <v>0</v>
      </c>
      <c r="V516" s="483">
        <f>IF(SETUP!$E$7="USD",(U516*(IF(O516="USD",P516,(P516/'Master Data-C19RM'!$C$2)))),(U516*(IF(O516="EUR",P516,(P516*'Master Data-C19RM'!$C$2)))))</f>
        <v>0</v>
      </c>
      <c r="W516" s="444">
        <f>IF($O516="USD",_xlfn.IFNA(VLOOKUP($A516&amp;$E516&amp;$I516,PMsheet!$J:$K,2,0),0),(_xlfn.IFNA(VLOOKUP($A516&amp;$E516&amp;$I516,PMsheet!$J:$K,2,0),0)*'Master Data-C19RM'!$D$2))</f>
        <v>0</v>
      </c>
      <c r="X516" s="441"/>
      <c r="Y516" s="441"/>
      <c r="Z516" s="441"/>
      <c r="AA516" s="441"/>
      <c r="AB516" s="481">
        <f t="shared" si="62"/>
        <v>0</v>
      </c>
      <c r="AC516" s="483">
        <f>IF(SETUP!$E$7="USD",(AB516*(IF(O516="USD",W516,(W516/'Master Data-C19RM'!$D$2)))),(AB516*(IF(O516="EUR",W516,(W516*'Master Data-C19RM'!$D$2)))))</f>
        <v>0</v>
      </c>
      <c r="AD516" s="444">
        <f>IF($O516="USD",_xlfn.IFNA(VLOOKUP($A516&amp;$E516&amp;$I516,PMsheet!$J:$K,2,0),0),(_xlfn.IFNA(VLOOKUP($A516&amp;$E516&amp;$I516,PMsheet!$J:$K,2,0),0)*'Master Data-C19RM'!$E$2))</f>
        <v>0</v>
      </c>
      <c r="AE516" s="441"/>
      <c r="AF516" s="441"/>
      <c r="AG516" s="441"/>
      <c r="AH516" s="441"/>
      <c r="AI516" s="512">
        <f t="shared" si="63"/>
        <v>0</v>
      </c>
      <c r="AJ516" s="513">
        <f>IF(SETUP!$E$7="USD",(AI516*(IF(O516="USD",AD516,(AD516/'Master Data-C19RM'!$E$2)))),(AI516*(IF(O516="EUR",AD516,(AD516*'Master Data-C19RM'!$E$2)))))</f>
        <v>0</v>
      </c>
      <c r="AK516" s="444">
        <f>IF($O516="USD",_xlfn.IFNA(VLOOKUP($A516&amp;$E516&amp;$I516,PMsheet!$J:$K,2,0),0),(_xlfn.IFNA(VLOOKUP($A516&amp;$E516&amp;$I516,PMsheet!$J:$K,2,0),0)*'Master Data-C19RM'!$F$2))</f>
        <v>0</v>
      </c>
      <c r="AL516" s="441"/>
      <c r="AM516" s="441"/>
      <c r="AN516" s="441"/>
      <c r="AO516" s="441"/>
      <c r="AP516" s="512">
        <f t="shared" si="66"/>
        <v>0</v>
      </c>
      <c r="AQ516" s="513">
        <f>IF(SETUP!$E$7="USD",(AP516*(IF(O516="USD",AK516,(AK516/'Master Data-C19RM'!$F$2)))),(AP516*(IF(O516="EUR",AK516,(AK516*'Master Data-C19RM'!$F$2)))))</f>
        <v>0</v>
      </c>
      <c r="AR516" s="924">
        <f>IF($O516="USD",_xlfn.IFNA(VLOOKUP($A516&amp;$E516&amp;$I516,PMsheet!$J:$K,2,0),0),(_xlfn.IFNA(VLOOKUP($A516&amp;$E516&amp;$I516,PMsheet!$J:$K,2,0),0)*'Master Data-C19RM'!$G$2))</f>
        <v>0</v>
      </c>
      <c r="AS516" s="572"/>
      <c r="AT516" s="572"/>
      <c r="AU516" s="572"/>
      <c r="AV516" s="572"/>
      <c r="AW516" s="512">
        <f t="shared" si="69"/>
        <v>0</v>
      </c>
      <c r="AX516" s="512">
        <f>IF(SETUP!$E$7="USD",(AW516*(IF(O516="USD",AR516,(AR516/'Master Data-C19RM'!$G$2)))),(AW516*(IF(O516="EUR",AR516,(AR516*'Master Data-C19RM'!$G$2)))))</f>
        <v>0</v>
      </c>
      <c r="AY516" s="845"/>
      <c r="AZ516" s="846"/>
      <c r="BA516" s="846"/>
      <c r="BB516" s="846"/>
      <c r="BC516" s="846"/>
      <c r="BD516" s="846"/>
      <c r="BE516" s="847"/>
      <c r="BF516" s="520">
        <f>'C19RM 2021-Lab &amp; Other HPS'!$U516+'C19RM 2021-Lab &amp; Other HPS'!$AB516+'C19RM 2021-Lab &amp; Other HPS'!$AP516+'C19RM 2021-Lab &amp; Other HPS'!$AI516+AW516+BD516</f>
        <v>0</v>
      </c>
      <c r="BG516" s="513">
        <f>'C19RM 2021-Lab &amp; Other HPS'!$V516+'C19RM 2021-Lab &amp; Other HPS'!$AC516+'C19RM 2021-Lab &amp; Other HPS'!$AQ516+'C19RM 2021-Lab &amp; Other HPS'!$AJ516+AX516+BE516</f>
        <v>0</v>
      </c>
      <c r="BH516" s="500" t="str" cm="1">
        <f t="array" ref="BH516">IF(A516&lt;&gt;"",IFERROR(INDEX(PMtbl[[WKst]:[Unit of measure*]],MATCH($A$437&amp;$A516&amp;$E516&amp;$I516,INDEX(PMtbl[Sec]&amp;PMtbl[Category]&amp;PMtbl[Each]&amp;PMtbl[Packaging],0,),0),11),""),"")</f>
        <v/>
      </c>
      <c r="BI516" s="819"/>
      <c r="BJ516" s="502" t="str" cm="1">
        <f t="array" ref="BJ516">IFERROR(INDEX(SETUP!$C$19:$G$121,MATCH((INDEX(PMtbl[[WKst]:[Unit of measure*]],MATCH($A516&amp;$E516&amp;$I516,INDEX(PMtbl[Category]&amp;PMtbl[Each]&amp;PMtbl[Packaging],0,),0),3)),SETUP!$D$19:$D$121,0),5),"")</f>
        <v/>
      </c>
      <c r="BK516" s="536"/>
      <c r="BL516" s="577"/>
      <c r="BO516" s="12">
        <f>IF(N516="",0,IF(SETUP!$E$7="USD",((IF(O516="USD",P516,(P516/'Master Data-C19RM'!$C$2)))),((IF(O516="EUR",P516,(P516*'Master Data-C19RM'!$C$2))))))</f>
        <v>0</v>
      </c>
      <c r="BP516" s="12">
        <f>IF(N516="",0,IF(SETUP!$E$7="USD",((IF(O516="USD",W516,(W516/'Master Data-C19RM'!$D$2)))),((IF(O516="EUR",W516,(W516*'Master Data-C19RM'!$D$2))))))</f>
        <v>0</v>
      </c>
      <c r="BQ516">
        <f>IF(N516="",0,IF(SETUP!$E$7="USD",((IF(O516="USD",AD516,(AD516/'Master Data-C19RM'!$E$2)))),((IF(O516="EUR",AD516,(AD516*'Master Data-C19RM'!$E$2))))))</f>
        <v>0</v>
      </c>
      <c r="BR516">
        <f>IF(N516="",0,IF(SETUP!$E$7="USD",((IF(O516="USD",AK516,(AK516/'Master Data-C19RM'!$F$2)))),((IF(O516="EUR",AK516,(AK516*'Master Data-C19RM'!$F$2))))))</f>
        <v>0</v>
      </c>
      <c r="BS516">
        <f>IF(N516="",0,IF(SETUP!$E$7="USD",((IF(O516="USD",AR516,(AR516/'Master Data-C19RM'!$G$2)))),((IF(O516="EUR",AR516,(AR516*'Master Data-C19RM'!$G$2))))))</f>
        <v>0</v>
      </c>
      <c r="BT516">
        <f>IF(N516="",0,IF(SETUP!$E$7="USD",((IF(O516="USD",AY516,(AY516/'Master Data-C19RM'!$H$2)))),((IF(O516="EUR",AY516,(AY516*'Master Data-C19RM'!$H$2))))))</f>
        <v>0</v>
      </c>
      <c r="BU516" s="12">
        <f t="shared" si="67"/>
        <v>0</v>
      </c>
      <c r="BV516" s="142">
        <f t="shared" si="68"/>
        <v>0</v>
      </c>
    </row>
    <row r="517" spans="1:94" x14ac:dyDescent="0.35">
      <c r="A517" s="1172"/>
      <c r="B517" s="1172"/>
      <c r="C517" s="1172"/>
      <c r="D517" s="1172"/>
      <c r="E517" s="1173"/>
      <c r="F517" s="1173"/>
      <c r="G517" s="1173"/>
      <c r="H517" s="1173"/>
      <c r="I517" s="1173"/>
      <c r="J517" s="1173"/>
      <c r="K517" s="1173"/>
      <c r="L517" s="493" t="str" cm="1">
        <f t="array" ref="L517">IF(A517&lt;&gt;"",IFERROR(INDEX(PMtbl[[WKst]:[Unit of measure*]],MATCH($A$437&amp;$A517&amp;$E517&amp;$I517,INDEX(PMtbl[Sec]&amp;PMtbl[Category]&amp;PMtbl[Each]&amp;PMtbl[Packaging],0,),0),14),""),"")</f>
        <v/>
      </c>
      <c r="M517" s="480" t="str">
        <f>IF(L517="","",INDEX(SETUP!$E$20:$E$122,(MATCH(INDEX(PMsheet!$D:$E,MATCH(A517,PMsheet!E:E,0),1),SETUP!$D$20:$D$122,0))))</f>
        <v/>
      </c>
      <c r="N517" s="494">
        <f>IF($O517="USD",_xlfn.IFNA(VLOOKUP(A517&amp;E517&amp;I517,PMsheet!J:K,2,0),0),(_xlfn.IFNA(VLOOKUP(A517&amp;E517&amp;I517,PMsheet!J:K,2,0),0)*'Master Data-C19RM'!$C$2))</f>
        <v>0</v>
      </c>
      <c r="O517" s="495" t="str">
        <f>IF(L517="", "",SETUP!$E$7)</f>
        <v/>
      </c>
      <c r="P517" s="445">
        <f>IF($O517="USD",_xlfn.IFNA(VLOOKUP($A517&amp;$E517&amp;$I517,PMsheet!$J:$K,2,0),0),(_xlfn.IFNA(VLOOKUP($A517&amp;$E517&amp;$I517,PMsheet!$J:$K,2,0),0)*'Master Data-C19RM'!$C$2))</f>
        <v>0</v>
      </c>
      <c r="Q517" s="440"/>
      <c r="R517" s="440"/>
      <c r="S517" s="440"/>
      <c r="T517" s="440"/>
      <c r="U517" s="482">
        <f t="shared" si="61"/>
        <v>0</v>
      </c>
      <c r="V517" s="484">
        <f>IF(SETUP!$E$7="USD",(U517*(IF(O517="USD",P517,(P517/'Master Data-C19RM'!$C$2)))),(U517*(IF(O517="EUR",P517,(P517*'Master Data-C19RM'!$C$2)))))</f>
        <v>0</v>
      </c>
      <c r="W517" s="445">
        <f>IF($O517="USD",_xlfn.IFNA(VLOOKUP($A517&amp;$E517&amp;$I517,PMsheet!$J:$K,2,0),0),(_xlfn.IFNA(VLOOKUP($A517&amp;$E517&amp;$I517,PMsheet!$J:$K,2,0),0)*'Master Data-C19RM'!$D$2))</f>
        <v>0</v>
      </c>
      <c r="X517" s="440"/>
      <c r="Y517" s="440"/>
      <c r="Z517" s="440"/>
      <c r="AA517" s="440"/>
      <c r="AB517" s="482">
        <f t="shared" si="62"/>
        <v>0</v>
      </c>
      <c r="AC517" s="484">
        <f>IF(SETUP!$E$7="USD",(AB517*(IF(O517="USD",W517,(W517/'Master Data-C19RM'!$D$2)))),(AB517*(IF(O517="EUR",W517,(W517*'Master Data-C19RM'!$D$2)))))</f>
        <v>0</v>
      </c>
      <c r="AD517" s="445">
        <f>IF($O517="USD",_xlfn.IFNA(VLOOKUP($A517&amp;$E517&amp;$I517,PMsheet!$J:$K,2,0),0),(_xlfn.IFNA(VLOOKUP($A517&amp;$E517&amp;$I517,PMsheet!$J:$K,2,0),0)*'Master Data-C19RM'!$E$2))</f>
        <v>0</v>
      </c>
      <c r="AE517" s="440"/>
      <c r="AF517" s="440"/>
      <c r="AG517" s="440"/>
      <c r="AH517" s="440"/>
      <c r="AI517" s="514">
        <f t="shared" si="63"/>
        <v>0</v>
      </c>
      <c r="AJ517" s="515">
        <f>IF(SETUP!$E$7="USD",(AI517*(IF(O517="USD",AD517,(AD517/'Master Data-C19RM'!$E$2)))),(AI517*(IF(O517="EUR",AD517,(AD517*'Master Data-C19RM'!$E$2)))))</f>
        <v>0</v>
      </c>
      <c r="AK517" s="445">
        <f>IF($O517="USD",_xlfn.IFNA(VLOOKUP($A517&amp;$E517&amp;$I517,PMsheet!$J:$K,2,0),0),(_xlfn.IFNA(VLOOKUP($A517&amp;$E517&amp;$I517,PMsheet!$J:$K,2,0),0)*'Master Data-C19RM'!$F$2))</f>
        <v>0</v>
      </c>
      <c r="AL517" s="440"/>
      <c r="AM517" s="440"/>
      <c r="AN517" s="440"/>
      <c r="AO517" s="440"/>
      <c r="AP517" s="514">
        <f t="shared" si="66"/>
        <v>0</v>
      </c>
      <c r="AQ517" s="515">
        <f>IF(SETUP!$E$7="USD",(AP517*(IF(O517="USD",AK517,(AK517/'Master Data-C19RM'!$F$2)))),(AP517*(IF(O517="EUR",AK517,(AK517*'Master Data-C19RM'!$F$2)))))</f>
        <v>0</v>
      </c>
      <c r="AR517" s="925">
        <f>IF($O517="USD",_xlfn.IFNA(VLOOKUP($A517&amp;$E517&amp;$I517,PMsheet!$J:$K,2,0),0),(_xlfn.IFNA(VLOOKUP($A517&amp;$E517&amp;$I517,PMsheet!$J:$K,2,0),0)*'Master Data-C19RM'!$G$2))</f>
        <v>0</v>
      </c>
      <c r="AS517" s="926"/>
      <c r="AT517" s="926"/>
      <c r="AU517" s="926"/>
      <c r="AV517" s="926"/>
      <c r="AW517" s="514">
        <f t="shared" si="69"/>
        <v>0</v>
      </c>
      <c r="AX517" s="514">
        <f>IF(SETUP!$E$7="USD",(AW517*(IF(O517="USD",AR517,(AR517/'Master Data-C19RM'!$G$2)))),(AW517*(IF(O517="EUR",AR517,(AR517*'Master Data-C19RM'!$G$2)))))</f>
        <v>0</v>
      </c>
      <c r="AY517" s="845"/>
      <c r="AZ517" s="846"/>
      <c r="BA517" s="846"/>
      <c r="BB517" s="846"/>
      <c r="BC517" s="846"/>
      <c r="BD517" s="846"/>
      <c r="BE517" s="847"/>
      <c r="BF517" s="521">
        <f>'C19RM 2021-Lab &amp; Other HPS'!$U517+'C19RM 2021-Lab &amp; Other HPS'!$AB517+'C19RM 2021-Lab &amp; Other HPS'!$AP517+'C19RM 2021-Lab &amp; Other HPS'!$AI517+AW517+BD517</f>
        <v>0</v>
      </c>
      <c r="BG517" s="515">
        <f>'C19RM 2021-Lab &amp; Other HPS'!$V517+'C19RM 2021-Lab &amp; Other HPS'!$AC517+'C19RM 2021-Lab &amp; Other HPS'!$AQ517+'C19RM 2021-Lab &amp; Other HPS'!$AJ517+AX517+BE517</f>
        <v>0</v>
      </c>
      <c r="BH517" s="522" t="str" cm="1">
        <f t="array" ref="BH517">IF(A517&lt;&gt;"",IFERROR(INDEX(PMtbl[[WKst]:[Unit of measure*]],MATCH($A$437&amp;$A517&amp;$E517&amp;$I517,INDEX(PMtbl[Sec]&amp;PMtbl[Category]&amp;PMtbl[Each]&amp;PMtbl[Packaging],0,),0),11),""),"")</f>
        <v/>
      </c>
      <c r="BI517" s="818"/>
      <c r="BJ517" s="503" t="str" cm="1">
        <f t="array" ref="BJ517">IFERROR(INDEX(SETUP!$C$19:$G$121,MATCH((INDEX(PMtbl[[WKst]:[Unit of measure*]],MATCH($A517&amp;$E517&amp;$I517,INDEX(PMtbl[Category]&amp;PMtbl[Each]&amp;PMtbl[Packaging],0,),0),3)),SETUP!$D$19:$D$121,0),5),"")</f>
        <v/>
      </c>
      <c r="BK517" s="537"/>
      <c r="BL517" s="578"/>
      <c r="BO517" s="12">
        <f>IF(N517="",0,IF(SETUP!$E$7="USD",((IF(O517="USD",P517,(P517/'Master Data-C19RM'!$C$2)))),((IF(O517="EUR",P517,(P517*'Master Data-C19RM'!$C$2))))))</f>
        <v>0</v>
      </c>
      <c r="BP517" s="12">
        <f>IF(N517="",0,IF(SETUP!$E$7="USD",((IF(O517="USD",W517,(W517/'Master Data-C19RM'!$D$2)))),((IF(O517="EUR",W517,(W517*'Master Data-C19RM'!$D$2))))))</f>
        <v>0</v>
      </c>
      <c r="BQ517">
        <f>IF(N517="",0,IF(SETUP!$E$7="USD",((IF(O517="USD",AD517,(AD517/'Master Data-C19RM'!$E$2)))),((IF(O517="EUR",AD517,(AD517*'Master Data-C19RM'!$E$2))))))</f>
        <v>0</v>
      </c>
      <c r="BR517">
        <f>IF(N517="",0,IF(SETUP!$E$7="USD",((IF(O517="USD",AK517,(AK517/'Master Data-C19RM'!$F$2)))),((IF(O517="EUR",AK517,(AK517*'Master Data-C19RM'!$F$2))))))</f>
        <v>0</v>
      </c>
      <c r="BS517">
        <f>IF(N517="",0,IF(SETUP!$E$7="USD",((IF(O517="USD",AR517,(AR517/'Master Data-C19RM'!$G$2)))),((IF(O517="EUR",AR517,(AR517*'Master Data-C19RM'!$G$2))))))</f>
        <v>0</v>
      </c>
      <c r="BT517">
        <f>IF(N517="",0,IF(SETUP!$E$7="USD",((IF(O517="USD",AY517,(AY517/'Master Data-C19RM'!$H$2)))),((IF(O517="EUR",AY517,(AY517*'Master Data-C19RM'!$H$2))))))</f>
        <v>0</v>
      </c>
      <c r="BU517" s="12">
        <f t="shared" si="67"/>
        <v>0</v>
      </c>
      <c r="BV517" s="142">
        <f t="shared" si="68"/>
        <v>0</v>
      </c>
    </row>
    <row r="518" spans="1:94" s="24" customFormat="1" x14ac:dyDescent="0.35">
      <c r="A518" s="1196"/>
      <c r="B518" s="1196"/>
      <c r="C518" s="1196"/>
      <c r="D518" s="1196"/>
      <c r="E518" s="1166"/>
      <c r="F518" s="1166"/>
      <c r="G518" s="1166"/>
      <c r="H518" s="1166"/>
      <c r="I518" s="1166"/>
      <c r="J518" s="1166"/>
      <c r="K518" s="1166"/>
      <c r="L518" s="490" t="str" cm="1">
        <f t="array" ref="L518">IF(A518&lt;&gt;"",IFERROR(INDEX(PMtbl[[WKst]:[Unit of measure*]],MATCH($A$437&amp;$A518&amp;$E518&amp;$I518,INDEX(PMtbl[Sec]&amp;PMtbl[Category]&amp;PMtbl[Each]&amp;PMtbl[Packaging],0,),0),14),""),"")</f>
        <v/>
      </c>
      <c r="M518" s="479" t="str">
        <f>IF(L518="","",INDEX(SETUP!$E$20:$E$122,(MATCH(INDEX(PMsheet!$D:$E,MATCH(A518,PMsheet!E:E,0),1),SETUP!$D$20:$D$122,0))))</f>
        <v/>
      </c>
      <c r="N518" s="491">
        <f>IF($O518="USD",_xlfn.IFNA(VLOOKUP(A518&amp;E518&amp;I518,PMsheet!J:K,2,0),0),(_xlfn.IFNA(VLOOKUP(A518&amp;E518&amp;I518,PMsheet!J:K,2,0),0)*'Master Data-C19RM'!$C$2))</f>
        <v>0</v>
      </c>
      <c r="O518" s="573" t="str">
        <f>IF(L518="", "",SETUP!$E$7)</f>
        <v/>
      </c>
      <c r="P518" s="444">
        <f>IF($O518="USD",_xlfn.IFNA(VLOOKUP($A518&amp;$E518&amp;$I518,PMsheet!$J:$K,2,0),0),(_xlfn.IFNA(VLOOKUP($A518&amp;$E518&amp;$I518,PMsheet!$J:$K,2,0),0)*'Master Data-C19RM'!$C$2))</f>
        <v>0</v>
      </c>
      <c r="Q518" s="441"/>
      <c r="R518" s="441"/>
      <c r="S518" s="441"/>
      <c r="T518" s="441"/>
      <c r="U518" s="481">
        <f t="shared" si="61"/>
        <v>0</v>
      </c>
      <c r="V518" s="483">
        <f>IF(SETUP!$E$7="USD",(U518*(IF(O518="USD",P518,(P518/'Master Data-C19RM'!$C$2)))),(U518*(IF(O518="EUR",P518,(P518*'Master Data-C19RM'!$C$2)))))</f>
        <v>0</v>
      </c>
      <c r="W518" s="444">
        <f>IF($O518="USD",_xlfn.IFNA(VLOOKUP($A518&amp;$E518&amp;$I518,PMsheet!$J:$K,2,0),0),(_xlfn.IFNA(VLOOKUP($A518&amp;$E518&amp;$I518,PMsheet!$J:$K,2,0),0)*'Master Data-C19RM'!$D$2))</f>
        <v>0</v>
      </c>
      <c r="X518" s="441"/>
      <c r="Y518" s="441"/>
      <c r="Z518" s="441"/>
      <c r="AA518" s="441"/>
      <c r="AB518" s="481">
        <f t="shared" si="62"/>
        <v>0</v>
      </c>
      <c r="AC518" s="483">
        <f>IF(SETUP!$E$7="USD",(AB518*(IF(O518="USD",W518,(W518/'Master Data-C19RM'!$D$2)))),(AB518*(IF(O518="EUR",W518,(W518*'Master Data-C19RM'!$D$2)))))</f>
        <v>0</v>
      </c>
      <c r="AD518" s="444">
        <f>IF($O518="USD",_xlfn.IFNA(VLOOKUP($A518&amp;$E518&amp;$I518,PMsheet!$J:$K,2,0),0),(_xlfn.IFNA(VLOOKUP($A518&amp;$E518&amp;$I518,PMsheet!$J:$K,2,0),0)*'Master Data-C19RM'!$E$2))</f>
        <v>0</v>
      </c>
      <c r="AE518" s="441"/>
      <c r="AF518" s="441"/>
      <c r="AG518" s="441"/>
      <c r="AH518" s="441"/>
      <c r="AI518" s="512">
        <f t="shared" si="63"/>
        <v>0</v>
      </c>
      <c r="AJ518" s="513">
        <f>IF(SETUP!$E$7="USD",(AI518*(IF(O518="USD",AD518,(AD518/'Master Data-C19RM'!$E$2)))),(AI518*(IF(O518="EUR",AD518,(AD518*'Master Data-C19RM'!$E$2)))))</f>
        <v>0</v>
      </c>
      <c r="AK518" s="456">
        <f>IF($O518="USD",_xlfn.IFNA(VLOOKUP($A518&amp;$E518&amp;$I518,PMsheet!$J:$K,2,0),0),(_xlfn.IFNA(VLOOKUP($A518&amp;$E518&amp;$I518,PMsheet!$J:$K,2,0),0)*'Master Data-C19RM'!$F$2))</f>
        <v>0</v>
      </c>
      <c r="AL518" s="572"/>
      <c r="AM518" s="572"/>
      <c r="AN518" s="572"/>
      <c r="AO518" s="572"/>
      <c r="AP518" s="512">
        <f t="shared" si="66"/>
        <v>0</v>
      </c>
      <c r="AQ518" s="513">
        <f>IF(SETUP!$E$7="USD",(AP518*(IF(O518="USD",AK518,(AK518/'Master Data-C19RM'!$F$2)))),(AP518*(IF(O518="EUR",AK518,(AK518*'Master Data-C19RM'!$F$2)))))</f>
        <v>0</v>
      </c>
      <c r="AR518" s="924">
        <f>IF($O518="USD",_xlfn.IFNA(VLOOKUP($A518&amp;$E518&amp;$I518,PMsheet!$J:$K,2,0),0),(_xlfn.IFNA(VLOOKUP($A518&amp;$E518&amp;$I518,PMsheet!$J:$K,2,0),0)*'Master Data-C19RM'!$G$2))</f>
        <v>0</v>
      </c>
      <c r="AS518" s="572"/>
      <c r="AT518" s="572"/>
      <c r="AU518" s="572"/>
      <c r="AV518" s="572"/>
      <c r="AW518" s="512">
        <f t="shared" si="69"/>
        <v>0</v>
      </c>
      <c r="AX518" s="512">
        <f>IF(SETUP!$E$7="USD",(AW518*(IF(O518="USD",AR518,(AR518/'Master Data-C19RM'!$G$2)))),(AW518*(IF(O518="EUR",AR518,(AR518*'Master Data-C19RM'!$G$2)))))</f>
        <v>0</v>
      </c>
      <c r="AY518" s="845"/>
      <c r="AZ518" s="846"/>
      <c r="BA518" s="846"/>
      <c r="BB518" s="846"/>
      <c r="BC518" s="846"/>
      <c r="BD518" s="846"/>
      <c r="BE518" s="847"/>
      <c r="BF518" s="520">
        <f>'C19RM 2021-Lab &amp; Other HPS'!$U518+'C19RM 2021-Lab &amp; Other HPS'!$AB518+'C19RM 2021-Lab &amp; Other HPS'!$AP518+'C19RM 2021-Lab &amp; Other HPS'!$AI518+AW518+BD518</f>
        <v>0</v>
      </c>
      <c r="BG518" s="513">
        <f>'C19RM 2021-Lab &amp; Other HPS'!$V518+'C19RM 2021-Lab &amp; Other HPS'!$AC518+'C19RM 2021-Lab &amp; Other HPS'!$AQ518+'C19RM 2021-Lab &amp; Other HPS'!$AJ518+AX518+BE518</f>
        <v>0</v>
      </c>
      <c r="BH518" s="500" t="str" cm="1">
        <f t="array" ref="BH518">IF(A518&lt;&gt;"",IFERROR(INDEX(PMtbl[[WKst]:[Unit of measure*]],MATCH($A$437&amp;$A518&amp;$E518&amp;$I518,INDEX(PMtbl[Sec]&amp;PMtbl[Category]&amp;PMtbl[Each]&amp;PMtbl[Packaging],0,),0),11),""),"")</f>
        <v/>
      </c>
      <c r="BI518" s="819"/>
      <c r="BJ518" s="502" t="str" cm="1">
        <f t="array" ref="BJ518">IFERROR(INDEX(SETUP!$C$19:$G$121,MATCH((INDEX(PMtbl[[WKst]:[Unit of measure*]],MATCH($A518&amp;$E518&amp;$I518,INDEX(PMtbl[Category]&amp;PMtbl[Each]&amp;PMtbl[Packaging],0,),0),3)),SETUP!$D$19:$D$121,0),5),"")</f>
        <v/>
      </c>
      <c r="BK518" s="536"/>
      <c r="BL518" s="577"/>
      <c r="BO518" s="12">
        <f>IF(N518="",0,IF(SETUP!$E$7="USD",((IF(O518="USD",P518,(P518/'Master Data-C19RM'!$C$2)))),((IF(O518="EUR",P518,(P518*'Master Data-C19RM'!$C$2))))))</f>
        <v>0</v>
      </c>
      <c r="BP518" s="12">
        <f>IF(N518="",0,IF(SETUP!$E$7="USD",((IF(O518="USD",W518,(W518/'Master Data-C19RM'!$D$2)))),((IF(O518="EUR",W518,(W518*'Master Data-C19RM'!$D$2))))))</f>
        <v>0</v>
      </c>
      <c r="BQ518">
        <f>IF(N518="",0,IF(SETUP!$E$7="USD",((IF(O518="USD",AD518,(AD518/'Master Data-C19RM'!$E$2)))),((IF(O518="EUR",AD518,(AD518*'Master Data-C19RM'!$E$2))))))</f>
        <v>0</v>
      </c>
      <c r="BR518">
        <f>IF(N518="",0,IF(SETUP!$E$7="USD",((IF(O518="USD",AK518,(AK518/'Master Data-C19RM'!$F$2)))),((IF(O518="EUR",AK518,(AK518*'Master Data-C19RM'!$F$2))))))</f>
        <v>0</v>
      </c>
      <c r="BS518">
        <f>IF(N518="",0,IF(SETUP!$E$7="USD",((IF(O518="USD",AR518,(AR518/'Master Data-C19RM'!$G$2)))),((IF(O518="EUR",AR518,(AR518*'Master Data-C19RM'!$G$2))))))</f>
        <v>0</v>
      </c>
      <c r="BT518">
        <f>IF(N518="",0,IF(SETUP!$E$7="USD",((IF(O518="USD",AY518,(AY518/'Master Data-C19RM'!$H$2)))),((IF(O518="EUR",AY518,(AY518*'Master Data-C19RM'!$H$2))))))</f>
        <v>0</v>
      </c>
      <c r="BU518" s="12">
        <f t="shared" si="67"/>
        <v>0</v>
      </c>
      <c r="BV518" s="142">
        <f t="shared" si="68"/>
        <v>0</v>
      </c>
      <c r="BW518"/>
      <c r="BX518"/>
      <c r="BY518"/>
      <c r="BZ518"/>
      <c r="CA518"/>
      <c r="CB518"/>
      <c r="CC518"/>
      <c r="CD518"/>
      <c r="CE518"/>
      <c r="CF518"/>
      <c r="CG518"/>
      <c r="CH518"/>
      <c r="CI518"/>
      <c r="CJ518"/>
      <c r="CK518"/>
      <c r="CL518"/>
      <c r="CM518"/>
      <c r="CN518"/>
      <c r="CO518"/>
      <c r="CP518"/>
    </row>
    <row r="519" spans="1:94" x14ac:dyDescent="0.35">
      <c r="A519" s="1172"/>
      <c r="B519" s="1172"/>
      <c r="C519" s="1172"/>
      <c r="D519" s="1172"/>
      <c r="E519" s="1173"/>
      <c r="F519" s="1173"/>
      <c r="G519" s="1173"/>
      <c r="H519" s="1173"/>
      <c r="I519" s="1173"/>
      <c r="J519" s="1173"/>
      <c r="K519" s="1173"/>
      <c r="L519" s="493" t="str" cm="1">
        <f t="array" ref="L519">IF(A519&lt;&gt;"",IFERROR(INDEX(PMtbl[[WKst]:[Unit of measure*]],MATCH($A$437&amp;$A519&amp;$E519&amp;$I519,INDEX(PMtbl[Sec]&amp;PMtbl[Category]&amp;PMtbl[Each]&amp;PMtbl[Packaging],0,),0),14),""),"")</f>
        <v/>
      </c>
      <c r="M519" s="480" t="str">
        <f>IF(L519="","",INDEX(SETUP!$E$20:$E$122,(MATCH(INDEX(PMsheet!$D:$E,MATCH(A519,PMsheet!E:E,0),1),SETUP!$D$20:$D$122,0))))</f>
        <v/>
      </c>
      <c r="N519" s="494">
        <f>IF($O519="USD",_xlfn.IFNA(VLOOKUP(A519&amp;E519&amp;I519,PMsheet!J:K,2,0),0),(_xlfn.IFNA(VLOOKUP(A519&amp;E519&amp;I519,PMsheet!J:K,2,0),0)*'Master Data-C19RM'!$C$2))</f>
        <v>0</v>
      </c>
      <c r="O519" s="495" t="str">
        <f>IF(L519="", "",SETUP!$E$7)</f>
        <v/>
      </c>
      <c r="P519" s="445">
        <f>IF($O519="USD",_xlfn.IFNA(VLOOKUP($A519&amp;$E519&amp;$I519,PMsheet!$J:$K,2,0),0),(_xlfn.IFNA(VLOOKUP($A519&amp;$E519&amp;$I519,PMsheet!$J:$K,2,0),0)*'Master Data-C19RM'!$C$2))</f>
        <v>0</v>
      </c>
      <c r="Q519" s="440"/>
      <c r="R519" s="440"/>
      <c r="S519" s="440"/>
      <c r="T519" s="440"/>
      <c r="U519" s="482">
        <f t="shared" si="61"/>
        <v>0</v>
      </c>
      <c r="V519" s="484">
        <f>IF(SETUP!$E$7="USD",(U519*(IF(O519="USD",P519,(P519/'Master Data-C19RM'!$C$2)))),(U519*(IF(O519="EUR",P519,(P519*'Master Data-C19RM'!$C$2)))))</f>
        <v>0</v>
      </c>
      <c r="W519" s="445">
        <f>IF($O519="USD",_xlfn.IFNA(VLOOKUP($A519&amp;$E519&amp;$I519,PMsheet!$J:$K,2,0),0),(_xlfn.IFNA(VLOOKUP($A519&amp;$E519&amp;$I519,PMsheet!$J:$K,2,0),0)*'Master Data-C19RM'!$D$2))</f>
        <v>0</v>
      </c>
      <c r="X519" s="440"/>
      <c r="Y519" s="440"/>
      <c r="Z519" s="440"/>
      <c r="AA519" s="440"/>
      <c r="AB519" s="482">
        <f t="shared" si="62"/>
        <v>0</v>
      </c>
      <c r="AC519" s="484">
        <f>IF(SETUP!$E$7="USD",(AB519*(IF(O519="USD",W519,(W519/'Master Data-C19RM'!$D$2)))),(AB519*(IF(O519="EUR",W519,(W519*'Master Data-C19RM'!$D$2)))))</f>
        <v>0</v>
      </c>
      <c r="AD519" s="445">
        <f>IF($O519="USD",_xlfn.IFNA(VLOOKUP($A519&amp;$E519&amp;$I519,PMsheet!$J:$K,2,0),0),(_xlfn.IFNA(VLOOKUP($A519&amp;$E519&amp;$I519,PMsheet!$J:$K,2,0),0)*'Master Data-C19RM'!$E$2))</f>
        <v>0</v>
      </c>
      <c r="AE519" s="440"/>
      <c r="AF519" s="440"/>
      <c r="AG519" s="440"/>
      <c r="AH519" s="440"/>
      <c r="AI519" s="514">
        <f t="shared" si="63"/>
        <v>0</v>
      </c>
      <c r="AJ519" s="515">
        <f>IF(SETUP!$E$7="USD",(AI519*(IF(O519="USD",AD519,(AD519/'Master Data-C19RM'!$E$2)))),(AI519*(IF(O519="EUR",AD519,(AD519*'Master Data-C19RM'!$E$2)))))</f>
        <v>0</v>
      </c>
      <c r="AK519" s="445">
        <f>IF($O519="USD",_xlfn.IFNA(VLOOKUP($A519&amp;$E519&amp;$I519,PMsheet!$J:$K,2,0),0),(_xlfn.IFNA(VLOOKUP($A519&amp;$E519&amp;$I519,PMsheet!$J:$K,2,0),0)*'Master Data-C19RM'!$F$2))</f>
        <v>0</v>
      </c>
      <c r="AL519" s="440"/>
      <c r="AM519" s="440"/>
      <c r="AN519" s="440"/>
      <c r="AO519" s="440"/>
      <c r="AP519" s="514">
        <f t="shared" si="66"/>
        <v>0</v>
      </c>
      <c r="AQ519" s="515">
        <f>IF(SETUP!$E$7="USD",(AP519*(IF(O519="USD",AK519,(AK519/'Master Data-C19RM'!$F$2)))),(AP519*(IF(O519="EUR",AK519,(AK519*'Master Data-C19RM'!$F$2)))))</f>
        <v>0</v>
      </c>
      <c r="AR519" s="925">
        <f>IF($O519="USD",_xlfn.IFNA(VLOOKUP($A519&amp;$E519&amp;$I519,PMsheet!$J:$K,2,0),0),(_xlfn.IFNA(VLOOKUP($A519&amp;$E519&amp;$I519,PMsheet!$J:$K,2,0),0)*'Master Data-C19RM'!$G$2))</f>
        <v>0</v>
      </c>
      <c r="AS519" s="926"/>
      <c r="AT519" s="926"/>
      <c r="AU519" s="926"/>
      <c r="AV519" s="926"/>
      <c r="AW519" s="514">
        <f t="shared" si="69"/>
        <v>0</v>
      </c>
      <c r="AX519" s="514">
        <f>IF(SETUP!$E$7="USD",(AW519*(IF(O519="USD",AR519,(AR519/'Master Data-C19RM'!$G$2)))),(AW519*(IF(O519="EUR",AR519,(AR519*'Master Data-C19RM'!$G$2)))))</f>
        <v>0</v>
      </c>
      <c r="AY519" s="845"/>
      <c r="AZ519" s="846"/>
      <c r="BA519" s="846"/>
      <c r="BB519" s="846"/>
      <c r="BC519" s="846"/>
      <c r="BD519" s="846"/>
      <c r="BE519" s="847"/>
      <c r="BF519" s="521">
        <f>'C19RM 2021-Lab &amp; Other HPS'!$U519+'C19RM 2021-Lab &amp; Other HPS'!$AB519+'C19RM 2021-Lab &amp; Other HPS'!$AP519+'C19RM 2021-Lab &amp; Other HPS'!$AI519+AW519+BD519</f>
        <v>0</v>
      </c>
      <c r="BG519" s="515">
        <f>'C19RM 2021-Lab &amp; Other HPS'!$V519+'C19RM 2021-Lab &amp; Other HPS'!$AC519+'C19RM 2021-Lab &amp; Other HPS'!$AQ519+'C19RM 2021-Lab &amp; Other HPS'!$AJ519+AX519+BE519</f>
        <v>0</v>
      </c>
      <c r="BH519" s="522" t="str" cm="1">
        <f t="array" ref="BH519">IF(A519&lt;&gt;"",IFERROR(INDEX(PMtbl[[WKst]:[Unit of measure*]],MATCH($A$437&amp;$A519&amp;$E519&amp;$I519,INDEX(PMtbl[Sec]&amp;PMtbl[Category]&amp;PMtbl[Each]&amp;PMtbl[Packaging],0,),0),11),""),"")</f>
        <v/>
      </c>
      <c r="BI519" s="818"/>
      <c r="BJ519" s="503" t="str" cm="1">
        <f t="array" ref="BJ519">IFERROR(INDEX(SETUP!$C$19:$G$121,MATCH((INDEX(PMtbl[[WKst]:[Unit of measure*]],MATCH($A519&amp;$E519&amp;$I519,INDEX(PMtbl[Category]&amp;PMtbl[Each]&amp;PMtbl[Packaging],0,),0),3)),SETUP!$D$19:$D$121,0),5),"")</f>
        <v/>
      </c>
      <c r="BK519" s="537"/>
      <c r="BL519" s="578"/>
      <c r="BO519" s="12">
        <f>IF(N519="",0,IF(SETUP!$E$7="USD",((IF(O519="USD",P519,(P519/'Master Data-C19RM'!$C$2)))),((IF(O519="EUR",P519,(P519*'Master Data-C19RM'!$C$2))))))</f>
        <v>0</v>
      </c>
      <c r="BP519" s="12">
        <f>IF(N519="",0,IF(SETUP!$E$7="USD",((IF(O519="USD",W519,(W519/'Master Data-C19RM'!$D$2)))),((IF(O519="EUR",W519,(W519*'Master Data-C19RM'!$D$2))))))</f>
        <v>0</v>
      </c>
      <c r="BQ519">
        <f>IF(N519="",0,IF(SETUP!$E$7="USD",((IF(O519="USD",AD519,(AD519/'Master Data-C19RM'!$E$2)))),((IF(O519="EUR",AD519,(AD519*'Master Data-C19RM'!$E$2))))))</f>
        <v>0</v>
      </c>
      <c r="BR519">
        <f>IF(N519="",0,IF(SETUP!$E$7="USD",((IF(O519="USD",AK519,(AK519/'Master Data-C19RM'!$F$2)))),((IF(O519="EUR",AK519,(AK519*'Master Data-C19RM'!$F$2))))))</f>
        <v>0</v>
      </c>
      <c r="BS519">
        <f>IF(N519="",0,IF(SETUP!$E$7="USD",((IF(O519="USD",AR519,(AR519/'Master Data-C19RM'!$G$2)))),((IF(O519="EUR",AR519,(AR519*'Master Data-C19RM'!$G$2))))))</f>
        <v>0</v>
      </c>
      <c r="BT519">
        <f>IF(N519="",0,IF(SETUP!$E$7="USD",((IF(O519="USD",AY519,(AY519/'Master Data-C19RM'!$H$2)))),((IF(O519="EUR",AY519,(AY519*'Master Data-C19RM'!$H$2))))))</f>
        <v>0</v>
      </c>
      <c r="BU519" s="12">
        <f t="shared" si="67"/>
        <v>0</v>
      </c>
      <c r="BV519" s="142">
        <f t="shared" si="68"/>
        <v>0</v>
      </c>
    </row>
    <row r="520" spans="1:94" x14ac:dyDescent="0.35">
      <c r="A520" s="1165"/>
      <c r="B520" s="1165"/>
      <c r="C520" s="1165"/>
      <c r="D520" s="1165"/>
      <c r="E520" s="1166"/>
      <c r="F520" s="1166"/>
      <c r="G520" s="1166"/>
      <c r="H520" s="1166"/>
      <c r="I520" s="1166"/>
      <c r="J520" s="1166"/>
      <c r="K520" s="1166"/>
      <c r="L520" s="490" t="str" cm="1">
        <f t="array" ref="L520">IF(A520&lt;&gt;"",IFERROR(INDEX(PMtbl[[WKst]:[Unit of measure*]],MATCH($A$437&amp;$A520&amp;$E520&amp;$I520,INDEX(PMtbl[Sec]&amp;PMtbl[Category]&amp;PMtbl[Each]&amp;PMtbl[Packaging],0,),0),14),""),"")</f>
        <v/>
      </c>
      <c r="M520" s="479" t="str">
        <f>IF(L520="","",INDEX(SETUP!$E$20:$E$122,(MATCH(INDEX(PMsheet!$D:$E,MATCH(A520,PMsheet!E:E,0),1),SETUP!$D$20:$D$122,0))))</f>
        <v/>
      </c>
      <c r="N520" s="491">
        <f>IF($O520="USD",_xlfn.IFNA(VLOOKUP(A520&amp;E520&amp;I520,PMsheet!J:K,2,0),0),(_xlfn.IFNA(VLOOKUP(A520&amp;E520&amp;I520,PMsheet!J:K,2,0),0)*'Master Data-C19RM'!$C$2))</f>
        <v>0</v>
      </c>
      <c r="O520" s="492" t="str">
        <f>IF(L520="", "",SETUP!$E$7)</f>
        <v/>
      </c>
      <c r="P520" s="444">
        <f>IF($O520="USD",_xlfn.IFNA(VLOOKUP($A520&amp;$E520&amp;$I520,PMsheet!$J:$K,2,0),0),(_xlfn.IFNA(VLOOKUP($A520&amp;$E520&amp;$I520,PMsheet!$J:$K,2,0),0)*'Master Data-C19RM'!$C$2))</f>
        <v>0</v>
      </c>
      <c r="Q520" s="441"/>
      <c r="R520" s="441"/>
      <c r="S520" s="441"/>
      <c r="T520" s="441"/>
      <c r="U520" s="481">
        <f t="shared" si="61"/>
        <v>0</v>
      </c>
      <c r="V520" s="483">
        <f>IF(SETUP!$E$7="USD",(U520*(IF(O520="USD",P520,(P520/'Master Data-C19RM'!$C$2)))),(U520*(IF(O520="EUR",P520,(P520*'Master Data-C19RM'!$C$2)))))</f>
        <v>0</v>
      </c>
      <c r="W520" s="444">
        <f>IF($O520="USD",_xlfn.IFNA(VLOOKUP($A520&amp;$E520&amp;$I520,PMsheet!$J:$K,2,0),0),(_xlfn.IFNA(VLOOKUP($A520&amp;$E520&amp;$I520,PMsheet!$J:$K,2,0),0)*'Master Data-C19RM'!$D$2))</f>
        <v>0</v>
      </c>
      <c r="X520" s="441"/>
      <c r="Y520" s="441"/>
      <c r="Z520" s="441"/>
      <c r="AA520" s="441"/>
      <c r="AB520" s="481">
        <f t="shared" si="62"/>
        <v>0</v>
      </c>
      <c r="AC520" s="483">
        <f>IF(SETUP!$E$7="USD",(AB520*(IF(O520="USD",W520,(W520/'Master Data-C19RM'!$D$2)))),(AB520*(IF(O520="EUR",W520,(W520*'Master Data-C19RM'!$D$2)))))</f>
        <v>0</v>
      </c>
      <c r="AD520" s="444">
        <f>IF($O520="USD",_xlfn.IFNA(VLOOKUP($A520&amp;$E520&amp;$I520,PMsheet!$J:$K,2,0),0),(_xlfn.IFNA(VLOOKUP($A520&amp;$E520&amp;$I520,PMsheet!$J:$K,2,0),0)*'Master Data-C19RM'!$E$2))</f>
        <v>0</v>
      </c>
      <c r="AE520" s="441"/>
      <c r="AF520" s="441"/>
      <c r="AG520" s="441"/>
      <c r="AH520" s="441"/>
      <c r="AI520" s="512">
        <f t="shared" si="63"/>
        <v>0</v>
      </c>
      <c r="AJ520" s="513">
        <f>IF(SETUP!$E$7="USD",(AI520*(IF(O520="USD",AD520,(AD520/'Master Data-C19RM'!$E$2)))),(AI520*(IF(O520="EUR",AD520,(AD520*'Master Data-C19RM'!$E$2)))))</f>
        <v>0</v>
      </c>
      <c r="AK520" s="444">
        <f>IF($O520="USD",_xlfn.IFNA(VLOOKUP($A520&amp;$E520&amp;$I520,PMsheet!$J:$K,2,0),0),(_xlfn.IFNA(VLOOKUP($A520&amp;$E520&amp;$I520,PMsheet!$J:$K,2,0),0)*'Master Data-C19RM'!$F$2))</f>
        <v>0</v>
      </c>
      <c r="AL520" s="441"/>
      <c r="AM520" s="441"/>
      <c r="AN520" s="441"/>
      <c r="AO520" s="441"/>
      <c r="AP520" s="512">
        <f t="shared" si="66"/>
        <v>0</v>
      </c>
      <c r="AQ520" s="513">
        <f>IF(SETUP!$E$7="USD",(AP520*(IF(O520="USD",AK520,(AK520/'Master Data-C19RM'!$F$2)))),(AP520*(IF(O520="EUR",AK520,(AK520*'Master Data-C19RM'!$F$2)))))</f>
        <v>0</v>
      </c>
      <c r="AR520" s="924">
        <f>IF($O520="USD",_xlfn.IFNA(VLOOKUP($A520&amp;$E520&amp;$I520,PMsheet!$J:$K,2,0),0),(_xlfn.IFNA(VLOOKUP($A520&amp;$E520&amp;$I520,PMsheet!$J:$K,2,0),0)*'Master Data-C19RM'!$G$2))</f>
        <v>0</v>
      </c>
      <c r="AS520" s="572"/>
      <c r="AT520" s="572"/>
      <c r="AU520" s="572"/>
      <c r="AV520" s="572"/>
      <c r="AW520" s="512">
        <f t="shared" si="69"/>
        <v>0</v>
      </c>
      <c r="AX520" s="512">
        <f>IF(SETUP!$E$7="USD",(AW520*(IF(O520="USD",AR520,(AR520/'Master Data-C19RM'!$G$2)))),(AW520*(IF(O520="EUR",AR520,(AR520*'Master Data-C19RM'!$G$2)))))</f>
        <v>0</v>
      </c>
      <c r="AY520" s="845"/>
      <c r="AZ520" s="846"/>
      <c r="BA520" s="846"/>
      <c r="BB520" s="846"/>
      <c r="BC520" s="846"/>
      <c r="BD520" s="846"/>
      <c r="BE520" s="847"/>
      <c r="BF520" s="520">
        <f>'C19RM 2021-Lab &amp; Other HPS'!$U520+'C19RM 2021-Lab &amp; Other HPS'!$AB520+'C19RM 2021-Lab &amp; Other HPS'!$AP520+'C19RM 2021-Lab &amp; Other HPS'!$AI520+AW520+BD520</f>
        <v>0</v>
      </c>
      <c r="BG520" s="513">
        <f>'C19RM 2021-Lab &amp; Other HPS'!$V520+'C19RM 2021-Lab &amp; Other HPS'!$AC520+'C19RM 2021-Lab &amp; Other HPS'!$AQ520+'C19RM 2021-Lab &amp; Other HPS'!$AJ520+AX520+BE520</f>
        <v>0</v>
      </c>
      <c r="BH520" s="500" t="str" cm="1">
        <f t="array" ref="BH520">IF(A520&lt;&gt;"",IFERROR(INDEX(PMtbl[[WKst]:[Unit of measure*]],MATCH($A$437&amp;$A520&amp;$E520&amp;$I520,INDEX(PMtbl[Sec]&amp;PMtbl[Category]&amp;PMtbl[Each]&amp;PMtbl[Packaging],0,),0),11),""),"")</f>
        <v/>
      </c>
      <c r="BI520" s="819"/>
      <c r="BJ520" s="502" t="str" cm="1">
        <f t="array" ref="BJ520">IFERROR(INDEX(SETUP!$C$19:$G$121,MATCH((INDEX(PMtbl[[WKst]:[Unit of measure*]],MATCH($A520&amp;$E520&amp;$I520,INDEX(PMtbl[Category]&amp;PMtbl[Each]&amp;PMtbl[Packaging],0,),0),3)),SETUP!$D$19:$D$121,0),5),"")</f>
        <v/>
      </c>
      <c r="BK520" s="536"/>
      <c r="BL520" s="577"/>
      <c r="BO520" s="12">
        <f>IF(N520="",0,IF(SETUP!$E$7="USD",((IF(O520="USD",P520,(P520/'Master Data-C19RM'!$C$2)))),((IF(O520="EUR",P520,(P520*'Master Data-C19RM'!$C$2))))))</f>
        <v>0</v>
      </c>
      <c r="BP520" s="12">
        <f>IF(N520="",0,IF(SETUP!$E$7="USD",((IF(O520="USD",W520,(W520/'Master Data-C19RM'!$D$2)))),((IF(O520="EUR",W520,(W520*'Master Data-C19RM'!$D$2))))))</f>
        <v>0</v>
      </c>
      <c r="BQ520">
        <f>IF(N520="",0,IF(SETUP!$E$7="USD",((IF(O520="USD",AD520,(AD520/'Master Data-C19RM'!$E$2)))),((IF(O520="EUR",AD520,(AD520*'Master Data-C19RM'!$E$2))))))</f>
        <v>0</v>
      </c>
      <c r="BR520">
        <f>IF(N520="",0,IF(SETUP!$E$7="USD",((IF(O520="USD",AK520,(AK520/'Master Data-C19RM'!$F$2)))),((IF(O520="EUR",AK520,(AK520*'Master Data-C19RM'!$F$2))))))</f>
        <v>0</v>
      </c>
      <c r="BS520">
        <f>IF(N520="",0,IF(SETUP!$E$7="USD",((IF(O520="USD",AR520,(AR520/'Master Data-C19RM'!$G$2)))),((IF(O520="EUR",AR520,(AR520*'Master Data-C19RM'!$G$2))))))</f>
        <v>0</v>
      </c>
      <c r="BT520">
        <f>IF(N520="",0,IF(SETUP!$E$7="USD",((IF(O520="USD",AY520,(AY520/'Master Data-C19RM'!$H$2)))),((IF(O520="EUR",AY520,(AY520*'Master Data-C19RM'!$H$2))))))</f>
        <v>0</v>
      </c>
      <c r="BU520" s="12">
        <f t="shared" si="67"/>
        <v>0</v>
      </c>
      <c r="BV520" s="142">
        <f t="shared" si="68"/>
        <v>0</v>
      </c>
    </row>
    <row r="521" spans="1:94" x14ac:dyDescent="0.35">
      <c r="A521" s="1172"/>
      <c r="B521" s="1172"/>
      <c r="C521" s="1172"/>
      <c r="D521" s="1172"/>
      <c r="E521" s="1173"/>
      <c r="F521" s="1173"/>
      <c r="G521" s="1173"/>
      <c r="H521" s="1173"/>
      <c r="I521" s="1173"/>
      <c r="J521" s="1173"/>
      <c r="K521" s="1173"/>
      <c r="L521" s="493" t="str" cm="1">
        <f t="array" ref="L521">IF(A521&lt;&gt;"",IFERROR(INDEX(PMtbl[[WKst]:[Unit of measure*]],MATCH($A$437&amp;$A521&amp;$E521&amp;$I521,INDEX(PMtbl[Sec]&amp;PMtbl[Category]&amp;PMtbl[Each]&amp;PMtbl[Packaging],0,),0),14),""),"")</f>
        <v/>
      </c>
      <c r="M521" s="480" t="str">
        <f>IF(L521="","",INDEX(SETUP!$E$20:$E$122,(MATCH(INDEX(PMsheet!$D:$E,MATCH(A521,PMsheet!E:E,0),1),SETUP!$D$20:$D$122,0))))</f>
        <v/>
      </c>
      <c r="N521" s="494">
        <f>IF($O521="USD",_xlfn.IFNA(VLOOKUP(A521&amp;E521&amp;I521,PMsheet!J:K,2,0),0),(_xlfn.IFNA(VLOOKUP(A521&amp;E521&amp;I521,PMsheet!J:K,2,0),0)*'Master Data-C19RM'!$C$2))</f>
        <v>0</v>
      </c>
      <c r="O521" s="495" t="str">
        <f>IF(L521="", "",SETUP!$E$7)</f>
        <v/>
      </c>
      <c r="P521" s="445">
        <f>IF($O521="USD",_xlfn.IFNA(VLOOKUP($A521&amp;$E521&amp;$I521,PMsheet!$J:$K,2,0),0),(_xlfn.IFNA(VLOOKUP($A521&amp;$E521&amp;$I521,PMsheet!$J:$K,2,0),0)*'Master Data-C19RM'!$C$2))</f>
        <v>0</v>
      </c>
      <c r="Q521" s="440"/>
      <c r="R521" s="440"/>
      <c r="S521" s="440"/>
      <c r="T521" s="440"/>
      <c r="U521" s="482">
        <f t="shared" si="61"/>
        <v>0</v>
      </c>
      <c r="V521" s="484">
        <f>IF(SETUP!$E$7="USD",(U521*(IF(O521="USD",P521,(P521/'Master Data-C19RM'!$C$2)))),(U521*(IF(O521="EUR",P521,(P521*'Master Data-C19RM'!$C$2)))))</f>
        <v>0</v>
      </c>
      <c r="W521" s="445">
        <f>IF($O521="USD",_xlfn.IFNA(VLOOKUP($A521&amp;$E521&amp;$I521,PMsheet!$J:$K,2,0),0),(_xlfn.IFNA(VLOOKUP($A521&amp;$E521&amp;$I521,PMsheet!$J:$K,2,0),0)*'Master Data-C19RM'!$D$2))</f>
        <v>0</v>
      </c>
      <c r="X521" s="440"/>
      <c r="Y521" s="440"/>
      <c r="Z521" s="440"/>
      <c r="AA521" s="440"/>
      <c r="AB521" s="482">
        <f t="shared" si="62"/>
        <v>0</v>
      </c>
      <c r="AC521" s="484">
        <f>IF(SETUP!$E$7="USD",(AB521*(IF(O521="USD",W521,(W521/'Master Data-C19RM'!$D$2)))),(AB521*(IF(O521="EUR",W521,(W521*'Master Data-C19RM'!$D$2)))))</f>
        <v>0</v>
      </c>
      <c r="AD521" s="445">
        <f>IF($O521="USD",_xlfn.IFNA(VLOOKUP($A521&amp;$E521&amp;$I521,PMsheet!$J:$K,2,0),0),(_xlfn.IFNA(VLOOKUP($A521&amp;$E521&amp;$I521,PMsheet!$J:$K,2,0),0)*'Master Data-C19RM'!$E$2))</f>
        <v>0</v>
      </c>
      <c r="AE521" s="440"/>
      <c r="AF521" s="440"/>
      <c r="AG521" s="440"/>
      <c r="AH521" s="440"/>
      <c r="AI521" s="514">
        <f t="shared" si="63"/>
        <v>0</v>
      </c>
      <c r="AJ521" s="515">
        <f>IF(SETUP!$E$7="USD",(AI521*(IF(O521="USD",AD521,(AD521/'Master Data-C19RM'!$E$2)))),(AI521*(IF(O521="EUR",AD521,(AD521*'Master Data-C19RM'!$E$2)))))</f>
        <v>0</v>
      </c>
      <c r="AK521" s="445">
        <f>IF($O521="USD",_xlfn.IFNA(VLOOKUP($A521&amp;$E521&amp;$I521,PMsheet!$J:$K,2,0),0),(_xlfn.IFNA(VLOOKUP($A521&amp;$E521&amp;$I521,PMsheet!$J:$K,2,0),0)*'Master Data-C19RM'!$F$2))</f>
        <v>0</v>
      </c>
      <c r="AL521" s="440"/>
      <c r="AM521" s="440"/>
      <c r="AN521" s="440"/>
      <c r="AO521" s="440"/>
      <c r="AP521" s="514">
        <f t="shared" si="66"/>
        <v>0</v>
      </c>
      <c r="AQ521" s="515">
        <f>IF(SETUP!$E$7="USD",(AP521*(IF(O521="USD",AK521,(AK521/'Master Data-C19RM'!$F$2)))),(AP521*(IF(O521="EUR",AK521,(AK521*'Master Data-C19RM'!$F$2)))))</f>
        <v>0</v>
      </c>
      <c r="AR521" s="925">
        <f>IF($O521="USD",_xlfn.IFNA(VLOOKUP($A521&amp;$E521&amp;$I521,PMsheet!$J:$K,2,0),0),(_xlfn.IFNA(VLOOKUP($A521&amp;$E521&amp;$I521,PMsheet!$J:$K,2,0),0)*'Master Data-C19RM'!$G$2))</f>
        <v>0</v>
      </c>
      <c r="AS521" s="926"/>
      <c r="AT521" s="926"/>
      <c r="AU521" s="926"/>
      <c r="AV521" s="926"/>
      <c r="AW521" s="514">
        <f t="shared" si="69"/>
        <v>0</v>
      </c>
      <c r="AX521" s="514">
        <f>IF(SETUP!$E$7="USD",(AW521*(IF(O521="USD",AR521,(AR521/'Master Data-C19RM'!$G$2)))),(AW521*(IF(O521="EUR",AR521,(AR521*'Master Data-C19RM'!$G$2)))))</f>
        <v>0</v>
      </c>
      <c r="AY521" s="845"/>
      <c r="AZ521" s="846"/>
      <c r="BA521" s="846"/>
      <c r="BB521" s="846"/>
      <c r="BC521" s="846"/>
      <c r="BD521" s="846"/>
      <c r="BE521" s="847"/>
      <c r="BF521" s="521">
        <f>'C19RM 2021-Lab &amp; Other HPS'!$U521+'C19RM 2021-Lab &amp; Other HPS'!$AB521+'C19RM 2021-Lab &amp; Other HPS'!$AP521+'C19RM 2021-Lab &amp; Other HPS'!$AI521+AW521+BD521</f>
        <v>0</v>
      </c>
      <c r="BG521" s="515">
        <f>'C19RM 2021-Lab &amp; Other HPS'!$V521+'C19RM 2021-Lab &amp; Other HPS'!$AC521+'C19RM 2021-Lab &amp; Other HPS'!$AQ521+'C19RM 2021-Lab &amp; Other HPS'!$AJ521+AX521+BE521</f>
        <v>0</v>
      </c>
      <c r="BH521" s="522" t="str" cm="1">
        <f t="array" ref="BH521">IF(A521&lt;&gt;"",IFERROR(INDEX(PMtbl[[WKst]:[Unit of measure*]],MATCH($A$437&amp;$A521&amp;$E521&amp;$I521,INDEX(PMtbl[Sec]&amp;PMtbl[Category]&amp;PMtbl[Each]&amp;PMtbl[Packaging],0,),0),11),""),"")</f>
        <v/>
      </c>
      <c r="BI521" s="818"/>
      <c r="BJ521" s="503" t="str" cm="1">
        <f t="array" ref="BJ521">IFERROR(INDEX(SETUP!$C$19:$G$121,MATCH((INDEX(PMtbl[[WKst]:[Unit of measure*]],MATCH($A521&amp;$E521&amp;$I521,INDEX(PMtbl[Category]&amp;PMtbl[Each]&amp;PMtbl[Packaging],0,),0),3)),SETUP!$D$19:$D$121,0),5),"")</f>
        <v/>
      </c>
      <c r="BK521" s="537"/>
      <c r="BL521" s="578"/>
      <c r="BO521" s="12">
        <f>IF(N521="",0,IF(SETUP!$E$7="USD",((IF(O521="USD",P521,(P521/'Master Data-C19RM'!$C$2)))),((IF(O521="EUR",P521,(P521*'Master Data-C19RM'!$C$2))))))</f>
        <v>0</v>
      </c>
      <c r="BP521" s="12">
        <f>IF(N521="",0,IF(SETUP!$E$7="USD",((IF(O521="USD",W521,(W521/'Master Data-C19RM'!$D$2)))),((IF(O521="EUR",W521,(W521*'Master Data-C19RM'!$D$2))))))</f>
        <v>0</v>
      </c>
      <c r="BQ521">
        <f>IF(N521="",0,IF(SETUP!$E$7="USD",((IF(O521="USD",AD521,(AD521/'Master Data-C19RM'!$E$2)))),((IF(O521="EUR",AD521,(AD521*'Master Data-C19RM'!$E$2))))))</f>
        <v>0</v>
      </c>
      <c r="BR521">
        <f>IF(N521="",0,IF(SETUP!$E$7="USD",((IF(O521="USD",AK521,(AK521/'Master Data-C19RM'!$F$2)))),((IF(O521="EUR",AK521,(AK521*'Master Data-C19RM'!$F$2))))))</f>
        <v>0</v>
      </c>
      <c r="BS521">
        <f>IF(N521="",0,IF(SETUP!$E$7="USD",((IF(O521="USD",AR521,(AR521/'Master Data-C19RM'!$G$2)))),((IF(O521="EUR",AR521,(AR521*'Master Data-C19RM'!$G$2))))))</f>
        <v>0</v>
      </c>
      <c r="BT521">
        <f>IF(N521="",0,IF(SETUP!$E$7="USD",((IF(O521="USD",AY521,(AY521/'Master Data-C19RM'!$H$2)))),((IF(O521="EUR",AY521,(AY521*'Master Data-C19RM'!$H$2))))))</f>
        <v>0</v>
      </c>
      <c r="BU521" s="12">
        <f t="shared" si="67"/>
        <v>0</v>
      </c>
      <c r="BV521" s="142">
        <f t="shared" si="68"/>
        <v>0</v>
      </c>
    </row>
    <row r="522" spans="1:94" s="24" customFormat="1" x14ac:dyDescent="0.35">
      <c r="A522" s="1196"/>
      <c r="B522" s="1196"/>
      <c r="C522" s="1196"/>
      <c r="D522" s="1196"/>
      <c r="E522" s="1166"/>
      <c r="F522" s="1166"/>
      <c r="G522" s="1166"/>
      <c r="H522" s="1166"/>
      <c r="I522" s="1166"/>
      <c r="J522" s="1166"/>
      <c r="K522" s="1166"/>
      <c r="L522" s="490" t="str" cm="1">
        <f t="array" ref="L522">IF(A522&lt;&gt;"",IFERROR(INDEX(PMtbl[[WKst]:[Unit of measure*]],MATCH($A$437&amp;$A522&amp;$E522&amp;$I522,INDEX(PMtbl[Sec]&amp;PMtbl[Category]&amp;PMtbl[Each]&amp;PMtbl[Packaging],0,),0),14),""),"")</f>
        <v/>
      </c>
      <c r="M522" s="479" t="str">
        <f>IF(L522="","",INDEX(SETUP!$E$20:$E$122,(MATCH(INDEX(PMsheet!$D:$E,MATCH(A522,PMsheet!E:E,0),1),SETUP!$D$20:$D$122,0))))</f>
        <v/>
      </c>
      <c r="N522" s="491">
        <f>IF($O522="USD",_xlfn.IFNA(VLOOKUP(A522&amp;E522&amp;I522,PMsheet!J:K,2,0),0),(_xlfn.IFNA(VLOOKUP(A522&amp;E522&amp;I522,PMsheet!J:K,2,0),0)*'Master Data-C19RM'!$C$2))</f>
        <v>0</v>
      </c>
      <c r="O522" s="573" t="str">
        <f>IF(L522="", "",SETUP!$E$7)</f>
        <v/>
      </c>
      <c r="P522" s="444">
        <f>IF($O522="USD",_xlfn.IFNA(VLOOKUP($A522&amp;$E522&amp;$I522,PMsheet!$J:$K,2,0),0),(_xlfn.IFNA(VLOOKUP($A522&amp;$E522&amp;$I522,PMsheet!$J:$K,2,0),0)*'Master Data-C19RM'!$C$2))</f>
        <v>0</v>
      </c>
      <c r="Q522" s="441"/>
      <c r="R522" s="441"/>
      <c r="S522" s="441"/>
      <c r="T522" s="441"/>
      <c r="U522" s="481">
        <f t="shared" si="61"/>
        <v>0</v>
      </c>
      <c r="V522" s="483">
        <f>IF(SETUP!$E$7="USD",(U522*(IF(O522="USD",P522,(P522/'Master Data-C19RM'!$C$2)))),(U522*(IF(O522="EUR",P522,(P522*'Master Data-C19RM'!$C$2)))))</f>
        <v>0</v>
      </c>
      <c r="W522" s="444">
        <f>IF($O522="USD",_xlfn.IFNA(VLOOKUP($A522&amp;$E522&amp;$I522,PMsheet!$J:$K,2,0),0),(_xlfn.IFNA(VLOOKUP($A522&amp;$E522&amp;$I522,PMsheet!$J:$K,2,0),0)*'Master Data-C19RM'!$D$2))</f>
        <v>0</v>
      </c>
      <c r="X522" s="441"/>
      <c r="Y522" s="441"/>
      <c r="Z522" s="441"/>
      <c r="AA522" s="441"/>
      <c r="AB522" s="481">
        <f t="shared" si="62"/>
        <v>0</v>
      </c>
      <c r="AC522" s="483">
        <f>IF(SETUP!$E$7="USD",(AB522*(IF(O522="USD",W522,(W522/'Master Data-C19RM'!$D$2)))),(AB522*(IF(O522="EUR",W522,(W522*'Master Data-C19RM'!$D$2)))))</f>
        <v>0</v>
      </c>
      <c r="AD522" s="444">
        <f>IF($O522="USD",_xlfn.IFNA(VLOOKUP($A522&amp;$E522&amp;$I522,PMsheet!$J:$K,2,0),0),(_xlfn.IFNA(VLOOKUP($A522&amp;$E522&amp;$I522,PMsheet!$J:$K,2,0),0)*'Master Data-C19RM'!$E$2))</f>
        <v>0</v>
      </c>
      <c r="AE522" s="441"/>
      <c r="AF522" s="441"/>
      <c r="AG522" s="441"/>
      <c r="AH522" s="441"/>
      <c r="AI522" s="512">
        <f t="shared" si="63"/>
        <v>0</v>
      </c>
      <c r="AJ522" s="513">
        <f>IF(SETUP!$E$7="USD",(AI522*(IF(O522="USD",AD522,(AD522/'Master Data-C19RM'!$E$2)))),(AI522*(IF(O522="EUR",AD522,(AD522*'Master Data-C19RM'!$E$2)))))</f>
        <v>0</v>
      </c>
      <c r="AK522" s="456">
        <f>IF($O522="USD",_xlfn.IFNA(VLOOKUP($A522&amp;$E522&amp;$I522,PMsheet!$J:$K,2,0),0),(_xlfn.IFNA(VLOOKUP($A522&amp;$E522&amp;$I522,PMsheet!$J:$K,2,0),0)*'Master Data-C19RM'!$F$2))</f>
        <v>0</v>
      </c>
      <c r="AL522" s="572"/>
      <c r="AM522" s="572"/>
      <c r="AN522" s="572"/>
      <c r="AO522" s="572"/>
      <c r="AP522" s="512">
        <f t="shared" si="66"/>
        <v>0</v>
      </c>
      <c r="AQ522" s="513">
        <f>IF(SETUP!$E$7="USD",(AP522*(IF(O522="USD",AK522,(AK522/'Master Data-C19RM'!$F$2)))),(AP522*(IF(O522="EUR",AK522,(AK522*'Master Data-C19RM'!$F$2)))))</f>
        <v>0</v>
      </c>
      <c r="AR522" s="924">
        <f>IF($O522="USD",_xlfn.IFNA(VLOOKUP($A522&amp;$E522&amp;$I522,PMsheet!$J:$K,2,0),0),(_xlfn.IFNA(VLOOKUP($A522&amp;$E522&amp;$I522,PMsheet!$J:$K,2,0),0)*'Master Data-C19RM'!$G$2))</f>
        <v>0</v>
      </c>
      <c r="AS522" s="572"/>
      <c r="AT522" s="572"/>
      <c r="AU522" s="572"/>
      <c r="AV522" s="572"/>
      <c r="AW522" s="512">
        <f t="shared" si="69"/>
        <v>0</v>
      </c>
      <c r="AX522" s="512">
        <f>IF(SETUP!$E$7="USD",(AW522*(IF(O522="USD",AR522,(AR522/'Master Data-C19RM'!$G$2)))),(AW522*(IF(O522="EUR",AR522,(AR522*'Master Data-C19RM'!$G$2)))))</f>
        <v>0</v>
      </c>
      <c r="AY522" s="845"/>
      <c r="AZ522" s="846"/>
      <c r="BA522" s="846"/>
      <c r="BB522" s="846"/>
      <c r="BC522" s="846"/>
      <c r="BD522" s="846"/>
      <c r="BE522" s="847"/>
      <c r="BF522" s="520">
        <f>'C19RM 2021-Lab &amp; Other HPS'!$U522+'C19RM 2021-Lab &amp; Other HPS'!$AB522+'C19RM 2021-Lab &amp; Other HPS'!$AP522+'C19RM 2021-Lab &amp; Other HPS'!$AI522+AW522+BD522</f>
        <v>0</v>
      </c>
      <c r="BG522" s="513">
        <f>'C19RM 2021-Lab &amp; Other HPS'!$V522+'C19RM 2021-Lab &amp; Other HPS'!$AC522+'C19RM 2021-Lab &amp; Other HPS'!$AQ522+'C19RM 2021-Lab &amp; Other HPS'!$AJ522+AX522+BE522</f>
        <v>0</v>
      </c>
      <c r="BH522" s="500" t="str" cm="1">
        <f t="array" ref="BH522">IF(A522&lt;&gt;"",IFERROR(INDEX(PMtbl[[WKst]:[Unit of measure*]],MATCH($A$437&amp;$A522&amp;$E522&amp;$I522,INDEX(PMtbl[Sec]&amp;PMtbl[Category]&amp;PMtbl[Each]&amp;PMtbl[Packaging],0,),0),11),""),"")</f>
        <v/>
      </c>
      <c r="BI522" s="819"/>
      <c r="BJ522" s="502" t="str" cm="1">
        <f t="array" ref="BJ522">IFERROR(INDEX(SETUP!$C$19:$G$121,MATCH((INDEX(PMtbl[[WKst]:[Unit of measure*]],MATCH($A522&amp;$E522&amp;$I522,INDEX(PMtbl[Category]&amp;PMtbl[Each]&amp;PMtbl[Packaging],0,),0),3)),SETUP!$D$19:$D$121,0),5),"")</f>
        <v/>
      </c>
      <c r="BK522" s="536"/>
      <c r="BL522" s="577"/>
      <c r="BO522" s="12">
        <f>IF(N522="",0,IF(SETUP!$E$7="USD",((IF(O522="USD",P522,(P522/'Master Data-C19RM'!$C$2)))),((IF(O522="EUR",P522,(P522*'Master Data-C19RM'!$C$2))))))</f>
        <v>0</v>
      </c>
      <c r="BP522" s="12">
        <f>IF(N522="",0,IF(SETUP!$E$7="USD",((IF(O522="USD",W522,(W522/'Master Data-C19RM'!$D$2)))),((IF(O522="EUR",W522,(W522*'Master Data-C19RM'!$D$2))))))</f>
        <v>0</v>
      </c>
      <c r="BQ522">
        <f>IF(N522="",0,IF(SETUP!$E$7="USD",((IF(O522="USD",AD522,(AD522/'Master Data-C19RM'!$E$2)))),((IF(O522="EUR",AD522,(AD522*'Master Data-C19RM'!$E$2))))))</f>
        <v>0</v>
      </c>
      <c r="BR522">
        <f>IF(N522="",0,IF(SETUP!$E$7="USD",((IF(O522="USD",AK522,(AK522/'Master Data-C19RM'!$F$2)))),((IF(O522="EUR",AK522,(AK522*'Master Data-C19RM'!$F$2))))))</f>
        <v>0</v>
      </c>
      <c r="BS522">
        <f>IF(N522="",0,IF(SETUP!$E$7="USD",((IF(O522="USD",AR522,(AR522/'Master Data-C19RM'!$G$2)))),((IF(O522="EUR",AR522,(AR522*'Master Data-C19RM'!$G$2))))))</f>
        <v>0</v>
      </c>
      <c r="BT522">
        <f>IF(N522="",0,IF(SETUP!$E$7="USD",((IF(O522="USD",AY522,(AY522/'Master Data-C19RM'!$H$2)))),((IF(O522="EUR",AY522,(AY522*'Master Data-C19RM'!$H$2))))))</f>
        <v>0</v>
      </c>
      <c r="BU522" s="12">
        <f t="shared" si="67"/>
        <v>0</v>
      </c>
      <c r="BV522" s="142">
        <f t="shared" si="68"/>
        <v>0</v>
      </c>
      <c r="BW522"/>
      <c r="BX522"/>
      <c r="BY522"/>
      <c r="BZ522"/>
      <c r="CA522"/>
      <c r="CB522"/>
      <c r="CC522"/>
      <c r="CD522"/>
      <c r="CE522"/>
      <c r="CF522"/>
      <c r="CG522"/>
      <c r="CH522"/>
      <c r="CI522"/>
      <c r="CJ522"/>
      <c r="CK522"/>
      <c r="CL522"/>
      <c r="CM522"/>
      <c r="CN522"/>
      <c r="CO522"/>
      <c r="CP522"/>
    </row>
    <row r="523" spans="1:94" x14ac:dyDescent="0.35">
      <c r="A523" s="1172"/>
      <c r="B523" s="1172"/>
      <c r="C523" s="1172"/>
      <c r="D523" s="1172"/>
      <c r="E523" s="1173"/>
      <c r="F523" s="1173"/>
      <c r="G523" s="1173"/>
      <c r="H523" s="1173"/>
      <c r="I523" s="1173"/>
      <c r="J523" s="1173"/>
      <c r="K523" s="1173"/>
      <c r="L523" s="493" t="str" cm="1">
        <f t="array" ref="L523">IF(A523&lt;&gt;"",IFERROR(INDEX(PMtbl[[WKst]:[Unit of measure*]],MATCH($A$437&amp;$A523&amp;$E523&amp;$I523,INDEX(PMtbl[Sec]&amp;PMtbl[Category]&amp;PMtbl[Each]&amp;PMtbl[Packaging],0,),0),14),""),"")</f>
        <v/>
      </c>
      <c r="M523" s="480" t="str">
        <f>IF(L523="","",INDEX(SETUP!$E$20:$E$122,(MATCH(INDEX(PMsheet!$D:$E,MATCH(A523,PMsheet!E:E,0),1),SETUP!$D$20:$D$122,0))))</f>
        <v/>
      </c>
      <c r="N523" s="494">
        <f>IF($O523="USD",_xlfn.IFNA(VLOOKUP(A523&amp;E523&amp;I523,PMsheet!J:K,2,0),0),(_xlfn.IFNA(VLOOKUP(A523&amp;E523&amp;I523,PMsheet!J:K,2,0),0)*'Master Data-C19RM'!$C$2))</f>
        <v>0</v>
      </c>
      <c r="O523" s="495" t="str">
        <f>IF(L523="", "",SETUP!$E$7)</f>
        <v/>
      </c>
      <c r="P523" s="445">
        <f>IF($O523="USD",_xlfn.IFNA(VLOOKUP($A523&amp;$E523&amp;$I523,PMsheet!$J:$K,2,0),0),(_xlfn.IFNA(VLOOKUP($A523&amp;$E523&amp;$I523,PMsheet!$J:$K,2,0),0)*'Master Data-C19RM'!$C$2))</f>
        <v>0</v>
      </c>
      <c r="Q523" s="440"/>
      <c r="R523" s="440"/>
      <c r="S523" s="440"/>
      <c r="T523" s="440"/>
      <c r="U523" s="482">
        <f t="shared" si="61"/>
        <v>0</v>
      </c>
      <c r="V523" s="484">
        <f>IF(SETUP!$E$7="USD",(U523*(IF(O523="USD",P523,(P523/'Master Data-C19RM'!$C$2)))),(U523*(IF(O523="EUR",P523,(P523*'Master Data-C19RM'!$C$2)))))</f>
        <v>0</v>
      </c>
      <c r="W523" s="445">
        <f>IF($O523="USD",_xlfn.IFNA(VLOOKUP($A523&amp;$E523&amp;$I523,PMsheet!$J:$K,2,0),0),(_xlfn.IFNA(VLOOKUP($A523&amp;$E523&amp;$I523,PMsheet!$J:$K,2,0),0)*'Master Data-C19RM'!$D$2))</f>
        <v>0</v>
      </c>
      <c r="X523" s="440"/>
      <c r="Y523" s="440"/>
      <c r="Z523" s="440"/>
      <c r="AA523" s="440"/>
      <c r="AB523" s="482">
        <f t="shared" si="62"/>
        <v>0</v>
      </c>
      <c r="AC523" s="484">
        <f>IF(SETUP!$E$7="USD",(AB523*(IF(O523="USD",W523,(W523/'Master Data-C19RM'!$D$2)))),(AB523*(IF(O523="EUR",W523,(W523*'Master Data-C19RM'!$D$2)))))</f>
        <v>0</v>
      </c>
      <c r="AD523" s="445">
        <f>IF($O523="USD",_xlfn.IFNA(VLOOKUP($A523&amp;$E523&amp;$I523,PMsheet!$J:$K,2,0),0),(_xlfn.IFNA(VLOOKUP($A523&amp;$E523&amp;$I523,PMsheet!$J:$K,2,0),0)*'Master Data-C19RM'!$E$2))</f>
        <v>0</v>
      </c>
      <c r="AE523" s="440"/>
      <c r="AF523" s="440"/>
      <c r="AG523" s="440"/>
      <c r="AH523" s="440"/>
      <c r="AI523" s="514">
        <f t="shared" si="63"/>
        <v>0</v>
      </c>
      <c r="AJ523" s="515">
        <f>IF(SETUP!$E$7="USD",(AI523*(IF(O523="USD",AD523,(AD523/'Master Data-C19RM'!$E$2)))),(AI523*(IF(O523="EUR",AD523,(AD523*'Master Data-C19RM'!$E$2)))))</f>
        <v>0</v>
      </c>
      <c r="AK523" s="445">
        <f>IF($O523="USD",_xlfn.IFNA(VLOOKUP($A523&amp;$E523&amp;$I523,PMsheet!$J:$K,2,0),0),(_xlfn.IFNA(VLOOKUP($A523&amp;$E523&amp;$I523,PMsheet!$J:$K,2,0),0)*'Master Data-C19RM'!$F$2))</f>
        <v>0</v>
      </c>
      <c r="AL523" s="440"/>
      <c r="AM523" s="440"/>
      <c r="AN523" s="440"/>
      <c r="AO523" s="440"/>
      <c r="AP523" s="514">
        <f t="shared" si="66"/>
        <v>0</v>
      </c>
      <c r="AQ523" s="515">
        <f>IF(SETUP!$E$7="USD",(AP523*(IF(O523="USD",AK523,(AK523/'Master Data-C19RM'!$F$2)))),(AP523*(IF(O523="EUR",AK523,(AK523*'Master Data-C19RM'!$F$2)))))</f>
        <v>0</v>
      </c>
      <c r="AR523" s="925">
        <f>IF($O523="USD",_xlfn.IFNA(VLOOKUP($A523&amp;$E523&amp;$I523,PMsheet!$J:$K,2,0),0),(_xlfn.IFNA(VLOOKUP($A523&amp;$E523&amp;$I523,PMsheet!$J:$K,2,0),0)*'Master Data-C19RM'!$G$2))</f>
        <v>0</v>
      </c>
      <c r="AS523" s="926"/>
      <c r="AT523" s="926"/>
      <c r="AU523" s="926"/>
      <c r="AV523" s="926"/>
      <c r="AW523" s="514">
        <f t="shared" si="69"/>
        <v>0</v>
      </c>
      <c r="AX523" s="514">
        <f>IF(SETUP!$E$7="USD",(AW523*(IF(O523="USD",AR523,(AR523/'Master Data-C19RM'!$G$2)))),(AW523*(IF(O523="EUR",AR523,(AR523*'Master Data-C19RM'!$G$2)))))</f>
        <v>0</v>
      </c>
      <c r="AY523" s="845"/>
      <c r="AZ523" s="846"/>
      <c r="BA523" s="846"/>
      <c r="BB523" s="846"/>
      <c r="BC523" s="846"/>
      <c r="BD523" s="846"/>
      <c r="BE523" s="847"/>
      <c r="BF523" s="521">
        <f>'C19RM 2021-Lab &amp; Other HPS'!$U523+'C19RM 2021-Lab &amp; Other HPS'!$AB523+'C19RM 2021-Lab &amp; Other HPS'!$AP523+'C19RM 2021-Lab &amp; Other HPS'!$AI523+AW523+BD523</f>
        <v>0</v>
      </c>
      <c r="BG523" s="515">
        <f>'C19RM 2021-Lab &amp; Other HPS'!$V523+'C19RM 2021-Lab &amp; Other HPS'!$AC523+'C19RM 2021-Lab &amp; Other HPS'!$AQ523+'C19RM 2021-Lab &amp; Other HPS'!$AJ523+AX523+BE523</f>
        <v>0</v>
      </c>
      <c r="BH523" s="522" t="str" cm="1">
        <f t="array" ref="BH523">IF(A523&lt;&gt;"",IFERROR(INDEX(PMtbl[[WKst]:[Unit of measure*]],MATCH($A$437&amp;$A523&amp;$E523&amp;$I523,INDEX(PMtbl[Sec]&amp;PMtbl[Category]&amp;PMtbl[Each]&amp;PMtbl[Packaging],0,),0),11),""),"")</f>
        <v/>
      </c>
      <c r="BI523" s="818"/>
      <c r="BJ523" s="503" t="str" cm="1">
        <f t="array" ref="BJ523">IFERROR(INDEX(SETUP!$C$19:$G$121,MATCH((INDEX(PMtbl[[WKst]:[Unit of measure*]],MATCH($A523&amp;$E523&amp;$I523,INDEX(PMtbl[Category]&amp;PMtbl[Each]&amp;PMtbl[Packaging],0,),0),3)),SETUP!$D$19:$D$121,0),5),"")</f>
        <v/>
      </c>
      <c r="BK523" s="537"/>
      <c r="BL523" s="578"/>
      <c r="BO523" s="12">
        <f>IF(N523="",0,IF(SETUP!$E$7="USD",((IF(O523="USD",P523,(P523/'Master Data-C19RM'!$C$2)))),((IF(O523="EUR",P523,(P523*'Master Data-C19RM'!$C$2))))))</f>
        <v>0</v>
      </c>
      <c r="BP523" s="12">
        <f>IF(N523="",0,IF(SETUP!$E$7="USD",((IF(O523="USD",W523,(W523/'Master Data-C19RM'!$D$2)))),((IF(O523="EUR",W523,(W523*'Master Data-C19RM'!$D$2))))))</f>
        <v>0</v>
      </c>
      <c r="BQ523">
        <f>IF(N523="",0,IF(SETUP!$E$7="USD",((IF(O523="USD",AD523,(AD523/'Master Data-C19RM'!$E$2)))),((IF(O523="EUR",AD523,(AD523*'Master Data-C19RM'!$E$2))))))</f>
        <v>0</v>
      </c>
      <c r="BR523">
        <f>IF(N523="",0,IF(SETUP!$E$7="USD",((IF(O523="USD",AK523,(AK523/'Master Data-C19RM'!$F$2)))),((IF(O523="EUR",AK523,(AK523*'Master Data-C19RM'!$F$2))))))</f>
        <v>0</v>
      </c>
      <c r="BS523">
        <f>IF(N523="",0,IF(SETUP!$E$7="USD",((IF(O523="USD",AR523,(AR523/'Master Data-C19RM'!$G$2)))),((IF(O523="EUR",AR523,(AR523*'Master Data-C19RM'!$G$2))))))</f>
        <v>0</v>
      </c>
      <c r="BT523">
        <f>IF(N523="",0,IF(SETUP!$E$7="USD",((IF(O523="USD",AY523,(AY523/'Master Data-C19RM'!$H$2)))),((IF(O523="EUR",AY523,(AY523*'Master Data-C19RM'!$H$2))))))</f>
        <v>0</v>
      </c>
      <c r="BU523" s="12">
        <f t="shared" si="67"/>
        <v>0</v>
      </c>
      <c r="BV523" s="142">
        <f t="shared" si="68"/>
        <v>0</v>
      </c>
    </row>
    <row r="524" spans="1:94" x14ac:dyDescent="0.35">
      <c r="A524" s="1165"/>
      <c r="B524" s="1165"/>
      <c r="C524" s="1165"/>
      <c r="D524" s="1165"/>
      <c r="E524" s="1166"/>
      <c r="F524" s="1166"/>
      <c r="G524" s="1166"/>
      <c r="H524" s="1166"/>
      <c r="I524" s="1166"/>
      <c r="J524" s="1166"/>
      <c r="K524" s="1166"/>
      <c r="L524" s="490" t="str" cm="1">
        <f t="array" ref="L524">IF(A524&lt;&gt;"",IFERROR(INDEX(PMtbl[[WKst]:[Unit of measure*]],MATCH($A$437&amp;$A524&amp;$E524&amp;$I524,INDEX(PMtbl[Sec]&amp;PMtbl[Category]&amp;PMtbl[Each]&amp;PMtbl[Packaging],0,),0),14),""),"")</f>
        <v/>
      </c>
      <c r="M524" s="479" t="str">
        <f>IF(L524="","",INDEX(SETUP!$E$20:$E$122,(MATCH(INDEX(PMsheet!$D:$E,MATCH(A524,PMsheet!E:E,0),1),SETUP!$D$20:$D$122,0))))</f>
        <v/>
      </c>
      <c r="N524" s="491">
        <f>IF($O524="USD",_xlfn.IFNA(VLOOKUP(A524&amp;E524&amp;I524,PMsheet!J:K,2,0),0),(_xlfn.IFNA(VLOOKUP(A524&amp;E524&amp;I524,PMsheet!J:K,2,0),0)*'Master Data-C19RM'!$C$2))</f>
        <v>0</v>
      </c>
      <c r="O524" s="492" t="str">
        <f>IF(L524="", "",SETUP!$E$7)</f>
        <v/>
      </c>
      <c r="P524" s="444">
        <f>IF($O524="USD",_xlfn.IFNA(VLOOKUP($A524&amp;$E524&amp;$I524,PMsheet!$J:$K,2,0),0),(_xlfn.IFNA(VLOOKUP($A524&amp;$E524&amp;$I524,PMsheet!$J:$K,2,0),0)*'Master Data-C19RM'!$C$2))</f>
        <v>0</v>
      </c>
      <c r="Q524" s="441"/>
      <c r="R524" s="441"/>
      <c r="S524" s="441"/>
      <c r="T524" s="441"/>
      <c r="U524" s="481">
        <f t="shared" si="61"/>
        <v>0</v>
      </c>
      <c r="V524" s="483">
        <f>IF(SETUP!$E$7="USD",(U524*(IF(O524="USD",P524,(P524/'Master Data-C19RM'!$C$2)))),(U524*(IF(O524="EUR",P524,(P524*'Master Data-C19RM'!$C$2)))))</f>
        <v>0</v>
      </c>
      <c r="W524" s="444">
        <f>IF($O524="USD",_xlfn.IFNA(VLOOKUP($A524&amp;$E524&amp;$I524,PMsheet!$J:$K,2,0),0),(_xlfn.IFNA(VLOOKUP($A524&amp;$E524&amp;$I524,PMsheet!$J:$K,2,0),0)*'Master Data-C19RM'!$D$2))</f>
        <v>0</v>
      </c>
      <c r="X524" s="441"/>
      <c r="Y524" s="441"/>
      <c r="Z524" s="441"/>
      <c r="AA524" s="441"/>
      <c r="AB524" s="481">
        <f t="shared" si="62"/>
        <v>0</v>
      </c>
      <c r="AC524" s="483">
        <f>IF(SETUP!$E$7="USD",(AB524*(IF(O524="USD",W524,(W524/'Master Data-C19RM'!$D$2)))),(AB524*(IF(O524="EUR",W524,(W524*'Master Data-C19RM'!$D$2)))))</f>
        <v>0</v>
      </c>
      <c r="AD524" s="444">
        <f>IF($O524="USD",_xlfn.IFNA(VLOOKUP($A524&amp;$E524&amp;$I524,PMsheet!$J:$K,2,0),0),(_xlfn.IFNA(VLOOKUP($A524&amp;$E524&amp;$I524,PMsheet!$J:$K,2,0),0)*'Master Data-C19RM'!$E$2))</f>
        <v>0</v>
      </c>
      <c r="AE524" s="441"/>
      <c r="AF524" s="441"/>
      <c r="AG524" s="441"/>
      <c r="AH524" s="441"/>
      <c r="AI524" s="512">
        <f t="shared" si="63"/>
        <v>0</v>
      </c>
      <c r="AJ524" s="513">
        <f>IF(SETUP!$E$7="USD",(AI524*(IF(O524="USD",AD524,(AD524/'Master Data-C19RM'!$E$2)))),(AI524*(IF(O524="EUR",AD524,(AD524*'Master Data-C19RM'!$E$2)))))</f>
        <v>0</v>
      </c>
      <c r="AK524" s="444">
        <f>IF($O524="USD",_xlfn.IFNA(VLOOKUP($A524&amp;$E524&amp;$I524,PMsheet!$J:$K,2,0),0),(_xlfn.IFNA(VLOOKUP($A524&amp;$E524&amp;$I524,PMsheet!$J:$K,2,0),0)*'Master Data-C19RM'!$F$2))</f>
        <v>0</v>
      </c>
      <c r="AL524" s="441"/>
      <c r="AM524" s="441"/>
      <c r="AN524" s="441"/>
      <c r="AO524" s="441"/>
      <c r="AP524" s="512">
        <f t="shared" si="66"/>
        <v>0</v>
      </c>
      <c r="AQ524" s="513">
        <f>IF(SETUP!$E$7="USD",(AP524*(IF(O524="USD",AK524,(AK524/'Master Data-C19RM'!$F$2)))),(AP524*(IF(O524="EUR",AK524,(AK524*'Master Data-C19RM'!$F$2)))))</f>
        <v>0</v>
      </c>
      <c r="AR524" s="924">
        <f>IF($O524="USD",_xlfn.IFNA(VLOOKUP($A524&amp;$E524&amp;$I524,PMsheet!$J:$K,2,0),0),(_xlfn.IFNA(VLOOKUP($A524&amp;$E524&amp;$I524,PMsheet!$J:$K,2,0),0)*'Master Data-C19RM'!$G$2))</f>
        <v>0</v>
      </c>
      <c r="AS524" s="572"/>
      <c r="AT524" s="572"/>
      <c r="AU524" s="572"/>
      <c r="AV524" s="572"/>
      <c r="AW524" s="512">
        <f t="shared" si="69"/>
        <v>0</v>
      </c>
      <c r="AX524" s="512">
        <f>IF(SETUP!$E$7="USD",(AW524*(IF(O524="USD",AR524,(AR524/'Master Data-C19RM'!$G$2)))),(AW524*(IF(O524="EUR",AR524,(AR524*'Master Data-C19RM'!$G$2)))))</f>
        <v>0</v>
      </c>
      <c r="AY524" s="845"/>
      <c r="AZ524" s="846"/>
      <c r="BA524" s="846"/>
      <c r="BB524" s="846"/>
      <c r="BC524" s="846"/>
      <c r="BD524" s="846"/>
      <c r="BE524" s="847"/>
      <c r="BF524" s="520">
        <f>'C19RM 2021-Lab &amp; Other HPS'!$U524+'C19RM 2021-Lab &amp; Other HPS'!$AB524+'C19RM 2021-Lab &amp; Other HPS'!$AP524+'C19RM 2021-Lab &amp; Other HPS'!$AI524+AW524+BD524</f>
        <v>0</v>
      </c>
      <c r="BG524" s="513">
        <f>'C19RM 2021-Lab &amp; Other HPS'!$V524+'C19RM 2021-Lab &amp; Other HPS'!$AC524+'C19RM 2021-Lab &amp; Other HPS'!$AQ524+'C19RM 2021-Lab &amp; Other HPS'!$AJ524+AX524+BE524</f>
        <v>0</v>
      </c>
      <c r="BH524" s="500" t="str" cm="1">
        <f t="array" ref="BH524">IF(A524&lt;&gt;"",IFERROR(INDEX(PMtbl[[WKst]:[Unit of measure*]],MATCH($A$437&amp;$A524&amp;$E524&amp;$I524,INDEX(PMtbl[Sec]&amp;PMtbl[Category]&amp;PMtbl[Each]&amp;PMtbl[Packaging],0,),0),11),""),"")</f>
        <v/>
      </c>
      <c r="BI524" s="819"/>
      <c r="BJ524" s="502" t="str" cm="1">
        <f t="array" ref="BJ524">IFERROR(INDEX(SETUP!$C$19:$G$121,MATCH((INDEX(PMtbl[[WKst]:[Unit of measure*]],MATCH($A524&amp;$E524&amp;$I524,INDEX(PMtbl[Category]&amp;PMtbl[Each]&amp;PMtbl[Packaging],0,),0),3)),SETUP!$D$19:$D$121,0),5),"")</f>
        <v/>
      </c>
      <c r="BK524" s="536"/>
      <c r="BL524" s="577"/>
      <c r="BO524" s="12">
        <f>IF(N524="",0,IF(SETUP!$E$7="USD",((IF(O524="USD",P524,(P524/'Master Data-C19RM'!$C$2)))),((IF(O524="EUR",P524,(P524*'Master Data-C19RM'!$C$2))))))</f>
        <v>0</v>
      </c>
      <c r="BP524" s="12">
        <f>IF(N524="",0,IF(SETUP!$E$7="USD",((IF(O524="USD",W524,(W524/'Master Data-C19RM'!$D$2)))),((IF(O524="EUR",W524,(W524*'Master Data-C19RM'!$D$2))))))</f>
        <v>0</v>
      </c>
      <c r="BQ524">
        <f>IF(N524="",0,IF(SETUP!$E$7="USD",((IF(O524="USD",AD524,(AD524/'Master Data-C19RM'!$E$2)))),((IF(O524="EUR",AD524,(AD524*'Master Data-C19RM'!$E$2))))))</f>
        <v>0</v>
      </c>
      <c r="BR524">
        <f>IF(N524="",0,IF(SETUP!$E$7="USD",((IF(O524="USD",AK524,(AK524/'Master Data-C19RM'!$F$2)))),((IF(O524="EUR",AK524,(AK524*'Master Data-C19RM'!$F$2))))))</f>
        <v>0</v>
      </c>
      <c r="BS524">
        <f>IF(N524="",0,IF(SETUP!$E$7="USD",((IF(O524="USD",AR524,(AR524/'Master Data-C19RM'!$G$2)))),((IF(O524="EUR",AR524,(AR524*'Master Data-C19RM'!$G$2))))))</f>
        <v>0</v>
      </c>
      <c r="BT524">
        <f>IF(N524="",0,IF(SETUP!$E$7="USD",((IF(O524="USD",AY524,(AY524/'Master Data-C19RM'!$H$2)))),((IF(O524="EUR",AY524,(AY524*'Master Data-C19RM'!$H$2))))))</f>
        <v>0</v>
      </c>
      <c r="BU524" s="12">
        <f t="shared" si="67"/>
        <v>0</v>
      </c>
      <c r="BV524" s="142">
        <f t="shared" si="68"/>
        <v>0</v>
      </c>
    </row>
    <row r="525" spans="1:94" x14ac:dyDescent="0.35">
      <c r="A525" s="1172"/>
      <c r="B525" s="1172"/>
      <c r="C525" s="1172"/>
      <c r="D525" s="1172"/>
      <c r="E525" s="1173"/>
      <c r="F525" s="1173"/>
      <c r="G525" s="1173"/>
      <c r="H525" s="1173"/>
      <c r="I525" s="1173"/>
      <c r="J525" s="1173"/>
      <c r="K525" s="1173"/>
      <c r="L525" s="493" t="str" cm="1">
        <f t="array" ref="L525">IF(A525&lt;&gt;"",IFERROR(INDEX(PMtbl[[WKst]:[Unit of measure*]],MATCH($A$437&amp;$A525&amp;$E525&amp;$I525,INDEX(PMtbl[Sec]&amp;PMtbl[Category]&amp;PMtbl[Each]&amp;PMtbl[Packaging],0,),0),14),""),"")</f>
        <v/>
      </c>
      <c r="M525" s="480" t="str">
        <f>IF(L525="","",INDEX(SETUP!$E$20:$E$122,(MATCH(INDEX(PMsheet!$D:$E,MATCH(A525,PMsheet!E:E,0),1),SETUP!$D$20:$D$122,0))))</f>
        <v/>
      </c>
      <c r="N525" s="494">
        <f>IF($O525="USD",_xlfn.IFNA(VLOOKUP(A525&amp;E525&amp;I525,PMsheet!J:K,2,0),0),(_xlfn.IFNA(VLOOKUP(A525&amp;E525&amp;I525,PMsheet!J:K,2,0),0)*'Master Data-C19RM'!$C$2))</f>
        <v>0</v>
      </c>
      <c r="O525" s="495" t="str">
        <f>IF(L525="", "",SETUP!$E$7)</f>
        <v/>
      </c>
      <c r="P525" s="445">
        <f>IF($O525="USD",_xlfn.IFNA(VLOOKUP($A525&amp;$E525&amp;$I525,PMsheet!$J:$K,2,0),0),(_xlfn.IFNA(VLOOKUP($A525&amp;$E525&amp;$I525,PMsheet!$J:$K,2,0),0)*'Master Data-C19RM'!$C$2))</f>
        <v>0</v>
      </c>
      <c r="Q525" s="440"/>
      <c r="R525" s="440"/>
      <c r="S525" s="440"/>
      <c r="T525" s="440"/>
      <c r="U525" s="482">
        <f t="shared" si="61"/>
        <v>0</v>
      </c>
      <c r="V525" s="484">
        <f>IF(SETUP!$E$7="USD",(U525*(IF(O525="USD",P525,(P525/'Master Data-C19RM'!$C$2)))),(U525*(IF(O525="EUR",P525,(P525*'Master Data-C19RM'!$C$2)))))</f>
        <v>0</v>
      </c>
      <c r="W525" s="445">
        <f>IF($O525="USD",_xlfn.IFNA(VLOOKUP($A525&amp;$E525&amp;$I525,PMsheet!$J:$K,2,0),0),(_xlfn.IFNA(VLOOKUP($A525&amp;$E525&amp;$I525,PMsheet!$J:$K,2,0),0)*'Master Data-C19RM'!$D$2))</f>
        <v>0</v>
      </c>
      <c r="X525" s="440"/>
      <c r="Y525" s="440"/>
      <c r="Z525" s="440"/>
      <c r="AA525" s="440"/>
      <c r="AB525" s="482">
        <f t="shared" si="62"/>
        <v>0</v>
      </c>
      <c r="AC525" s="484">
        <f>IF(SETUP!$E$7="USD",(AB525*(IF(O525="USD",W525,(W525/'Master Data-C19RM'!$D$2)))),(AB525*(IF(O525="EUR",W525,(W525*'Master Data-C19RM'!$D$2)))))</f>
        <v>0</v>
      </c>
      <c r="AD525" s="445">
        <f>IF($O525="USD",_xlfn.IFNA(VLOOKUP($A525&amp;$E525&amp;$I525,PMsheet!$J:$K,2,0),0),(_xlfn.IFNA(VLOOKUP($A525&amp;$E525&amp;$I525,PMsheet!$J:$K,2,0),0)*'Master Data-C19RM'!$E$2))</f>
        <v>0</v>
      </c>
      <c r="AE525" s="440"/>
      <c r="AF525" s="440"/>
      <c r="AG525" s="440"/>
      <c r="AH525" s="440"/>
      <c r="AI525" s="514">
        <f t="shared" si="63"/>
        <v>0</v>
      </c>
      <c r="AJ525" s="515">
        <f>IF(SETUP!$E$7="USD",(AI525*(IF(O525="USD",AD525,(AD525/'Master Data-C19RM'!$E$2)))),(AI525*(IF(O525="EUR",AD525,(AD525*'Master Data-C19RM'!$E$2)))))</f>
        <v>0</v>
      </c>
      <c r="AK525" s="445">
        <f>IF($O525="USD",_xlfn.IFNA(VLOOKUP($A525&amp;$E525&amp;$I525,PMsheet!$J:$K,2,0),0),(_xlfn.IFNA(VLOOKUP($A525&amp;$E525&amp;$I525,PMsheet!$J:$K,2,0),0)*'Master Data-C19RM'!$F$2))</f>
        <v>0</v>
      </c>
      <c r="AL525" s="440"/>
      <c r="AM525" s="440"/>
      <c r="AN525" s="440"/>
      <c r="AO525" s="440"/>
      <c r="AP525" s="514">
        <f t="shared" si="66"/>
        <v>0</v>
      </c>
      <c r="AQ525" s="515">
        <f>IF(SETUP!$E$7="USD",(AP525*(IF(O525="USD",AK525,(AK525/'Master Data-C19RM'!$F$2)))),(AP525*(IF(O525="EUR",AK525,(AK525*'Master Data-C19RM'!$F$2)))))</f>
        <v>0</v>
      </c>
      <c r="AR525" s="925">
        <f>IF($O525="USD",_xlfn.IFNA(VLOOKUP($A525&amp;$E525&amp;$I525,PMsheet!$J:$K,2,0),0),(_xlfn.IFNA(VLOOKUP($A525&amp;$E525&amp;$I525,PMsheet!$J:$K,2,0),0)*'Master Data-C19RM'!$G$2))</f>
        <v>0</v>
      </c>
      <c r="AS525" s="926"/>
      <c r="AT525" s="926"/>
      <c r="AU525" s="926"/>
      <c r="AV525" s="926"/>
      <c r="AW525" s="514">
        <f t="shared" si="69"/>
        <v>0</v>
      </c>
      <c r="AX525" s="514">
        <f>IF(SETUP!$E$7="USD",(AW525*(IF(O525="USD",AR525,(AR525/'Master Data-C19RM'!$G$2)))),(AW525*(IF(O525="EUR",AR525,(AR525*'Master Data-C19RM'!$G$2)))))</f>
        <v>0</v>
      </c>
      <c r="AY525" s="845"/>
      <c r="AZ525" s="846"/>
      <c r="BA525" s="846"/>
      <c r="BB525" s="846"/>
      <c r="BC525" s="846"/>
      <c r="BD525" s="846"/>
      <c r="BE525" s="847"/>
      <c r="BF525" s="521">
        <f>'C19RM 2021-Lab &amp; Other HPS'!$U525+'C19RM 2021-Lab &amp; Other HPS'!$AB525+'C19RM 2021-Lab &amp; Other HPS'!$AP525+'C19RM 2021-Lab &amp; Other HPS'!$AI525+AW525+BD525</f>
        <v>0</v>
      </c>
      <c r="BG525" s="515">
        <f>'C19RM 2021-Lab &amp; Other HPS'!$V525+'C19RM 2021-Lab &amp; Other HPS'!$AC525+'C19RM 2021-Lab &amp; Other HPS'!$AQ525+'C19RM 2021-Lab &amp; Other HPS'!$AJ525+AX525+BE525</f>
        <v>0</v>
      </c>
      <c r="BH525" s="522" t="str" cm="1">
        <f t="array" ref="BH525">IF(A525&lt;&gt;"",IFERROR(INDEX(PMtbl[[WKst]:[Unit of measure*]],MATCH($A$437&amp;$A525&amp;$E525&amp;$I525,INDEX(PMtbl[Sec]&amp;PMtbl[Category]&amp;PMtbl[Each]&amp;PMtbl[Packaging],0,),0),11),""),"")</f>
        <v/>
      </c>
      <c r="BI525" s="818"/>
      <c r="BJ525" s="503" t="str" cm="1">
        <f t="array" ref="BJ525">IFERROR(INDEX(SETUP!$C$19:$G$121,MATCH((INDEX(PMtbl[[WKst]:[Unit of measure*]],MATCH($A525&amp;$E525&amp;$I525,INDEX(PMtbl[Category]&amp;PMtbl[Each]&amp;PMtbl[Packaging],0,),0),3)),SETUP!$D$19:$D$121,0),5),"")</f>
        <v/>
      </c>
      <c r="BK525" s="537"/>
      <c r="BL525" s="578"/>
      <c r="BO525" s="12">
        <f>IF(N525="",0,IF(SETUP!$E$7="USD",((IF(O525="USD",P525,(P525/'Master Data-C19RM'!$C$2)))),((IF(O525="EUR",P525,(P525*'Master Data-C19RM'!$C$2))))))</f>
        <v>0</v>
      </c>
      <c r="BP525" s="12">
        <f>IF(N525="",0,IF(SETUP!$E$7="USD",((IF(O525="USD",W525,(W525/'Master Data-C19RM'!$D$2)))),((IF(O525="EUR",W525,(W525*'Master Data-C19RM'!$D$2))))))</f>
        <v>0</v>
      </c>
      <c r="BQ525">
        <f>IF(N525="",0,IF(SETUP!$E$7="USD",((IF(O525="USD",AD525,(AD525/'Master Data-C19RM'!$E$2)))),((IF(O525="EUR",AD525,(AD525*'Master Data-C19RM'!$E$2))))))</f>
        <v>0</v>
      </c>
      <c r="BR525">
        <f>IF(N525="",0,IF(SETUP!$E$7="USD",((IF(O525="USD",AK525,(AK525/'Master Data-C19RM'!$F$2)))),((IF(O525="EUR",AK525,(AK525*'Master Data-C19RM'!$F$2))))))</f>
        <v>0</v>
      </c>
      <c r="BS525">
        <f>IF(N525="",0,IF(SETUP!$E$7="USD",((IF(O525="USD",AR525,(AR525/'Master Data-C19RM'!$G$2)))),((IF(O525="EUR",AR525,(AR525*'Master Data-C19RM'!$G$2))))))</f>
        <v>0</v>
      </c>
      <c r="BT525">
        <f>IF(N525="",0,IF(SETUP!$E$7="USD",((IF(O525="USD",AY525,(AY525/'Master Data-C19RM'!$H$2)))),((IF(O525="EUR",AY525,(AY525*'Master Data-C19RM'!$H$2))))))</f>
        <v>0</v>
      </c>
      <c r="BU525" s="12">
        <f t="shared" si="67"/>
        <v>0</v>
      </c>
      <c r="BV525" s="142">
        <f t="shared" si="68"/>
        <v>0</v>
      </c>
    </row>
    <row r="526" spans="1:94" s="24" customFormat="1" x14ac:dyDescent="0.35">
      <c r="A526" s="1196"/>
      <c r="B526" s="1196"/>
      <c r="C526" s="1196"/>
      <c r="D526" s="1196"/>
      <c r="E526" s="1166"/>
      <c r="F526" s="1166"/>
      <c r="G526" s="1166"/>
      <c r="H526" s="1166"/>
      <c r="I526" s="1166"/>
      <c r="J526" s="1166"/>
      <c r="K526" s="1166"/>
      <c r="L526" s="490" t="str" cm="1">
        <f t="array" ref="L526">IF(A526&lt;&gt;"",IFERROR(INDEX(PMtbl[[WKst]:[Unit of measure*]],MATCH($A$437&amp;$A526&amp;$E526&amp;$I526,INDEX(PMtbl[Sec]&amp;PMtbl[Category]&amp;PMtbl[Each]&amp;PMtbl[Packaging],0,),0),14),""),"")</f>
        <v/>
      </c>
      <c r="M526" s="479" t="str">
        <f>IF(L526="","",INDEX(SETUP!$E$20:$E$122,(MATCH(INDEX(PMsheet!$D:$E,MATCH(A526,PMsheet!E:E,0),1),SETUP!$D$20:$D$122,0))))</f>
        <v/>
      </c>
      <c r="N526" s="491">
        <f>IF($O526="USD",_xlfn.IFNA(VLOOKUP(A526&amp;E526&amp;I526,PMsheet!J:K,2,0),0),(_xlfn.IFNA(VLOOKUP(A526&amp;E526&amp;I526,PMsheet!J:K,2,0),0)*'Master Data-C19RM'!$C$2))</f>
        <v>0</v>
      </c>
      <c r="O526" s="573" t="str">
        <f>IF(L526="", "",SETUP!$E$7)</f>
        <v/>
      </c>
      <c r="P526" s="444">
        <f>IF($O526="USD",_xlfn.IFNA(VLOOKUP($A526&amp;$E526&amp;$I526,PMsheet!$J:$K,2,0),0),(_xlfn.IFNA(VLOOKUP($A526&amp;$E526&amp;$I526,PMsheet!$J:$K,2,0),0)*'Master Data-C19RM'!$C$2))</f>
        <v>0</v>
      </c>
      <c r="Q526" s="441"/>
      <c r="R526" s="441"/>
      <c r="S526" s="441"/>
      <c r="T526" s="441"/>
      <c r="U526" s="481">
        <f t="shared" si="61"/>
        <v>0</v>
      </c>
      <c r="V526" s="483">
        <f>IF(SETUP!$E$7="USD",(U526*(IF(O526="USD",P526,(P526/'Master Data-C19RM'!$C$2)))),(U526*(IF(O526="EUR",P526,(P526*'Master Data-C19RM'!$C$2)))))</f>
        <v>0</v>
      </c>
      <c r="W526" s="444">
        <f>IF($O526="USD",_xlfn.IFNA(VLOOKUP($A526&amp;$E526&amp;$I526,PMsheet!$J:$K,2,0),0),(_xlfn.IFNA(VLOOKUP($A526&amp;$E526&amp;$I526,PMsheet!$J:$K,2,0),0)*'Master Data-C19RM'!$D$2))</f>
        <v>0</v>
      </c>
      <c r="X526" s="441"/>
      <c r="Y526" s="441"/>
      <c r="Z526" s="441"/>
      <c r="AA526" s="441"/>
      <c r="AB526" s="481">
        <f t="shared" si="62"/>
        <v>0</v>
      </c>
      <c r="AC526" s="483">
        <f>IF(SETUP!$E$7="USD",(AB526*(IF(O526="USD",W526,(W526/'Master Data-C19RM'!$D$2)))),(AB526*(IF(O526="EUR",W526,(W526*'Master Data-C19RM'!$D$2)))))</f>
        <v>0</v>
      </c>
      <c r="AD526" s="444">
        <f>IF($O526="USD",_xlfn.IFNA(VLOOKUP($A526&amp;$E526&amp;$I526,PMsheet!$J:$K,2,0),0),(_xlfn.IFNA(VLOOKUP($A526&amp;$E526&amp;$I526,PMsheet!$J:$K,2,0),0)*'Master Data-C19RM'!$E$2))</f>
        <v>0</v>
      </c>
      <c r="AE526" s="441"/>
      <c r="AF526" s="441"/>
      <c r="AG526" s="441"/>
      <c r="AH526" s="441"/>
      <c r="AI526" s="512">
        <f t="shared" si="63"/>
        <v>0</v>
      </c>
      <c r="AJ526" s="513">
        <f>IF(SETUP!$E$7="USD",(AI526*(IF(O526="USD",AD526,(AD526/'Master Data-C19RM'!$E$2)))),(AI526*(IF(O526="EUR",AD526,(AD526*'Master Data-C19RM'!$E$2)))))</f>
        <v>0</v>
      </c>
      <c r="AK526" s="456">
        <f>IF($O526="USD",_xlfn.IFNA(VLOOKUP($A526&amp;$E526&amp;$I526,PMsheet!$J:$K,2,0),0),(_xlfn.IFNA(VLOOKUP($A526&amp;$E526&amp;$I526,PMsheet!$J:$K,2,0),0)*'Master Data-C19RM'!$F$2))</f>
        <v>0</v>
      </c>
      <c r="AL526" s="572"/>
      <c r="AM526" s="572"/>
      <c r="AN526" s="572"/>
      <c r="AO526" s="572"/>
      <c r="AP526" s="512">
        <f t="shared" si="66"/>
        <v>0</v>
      </c>
      <c r="AQ526" s="513">
        <f>IF(SETUP!$E$7="USD",(AP526*(IF(O526="USD",AK526,(AK526/'Master Data-C19RM'!$F$2)))),(AP526*(IF(O526="EUR",AK526,(AK526*'Master Data-C19RM'!$F$2)))))</f>
        <v>0</v>
      </c>
      <c r="AR526" s="924">
        <f>IF($O526="USD",_xlfn.IFNA(VLOOKUP($A526&amp;$E526&amp;$I526,PMsheet!$J:$K,2,0),0),(_xlfn.IFNA(VLOOKUP($A526&amp;$E526&amp;$I526,PMsheet!$J:$K,2,0),0)*'Master Data-C19RM'!$G$2))</f>
        <v>0</v>
      </c>
      <c r="AS526" s="572"/>
      <c r="AT526" s="572"/>
      <c r="AU526" s="572"/>
      <c r="AV526" s="572"/>
      <c r="AW526" s="512">
        <f t="shared" si="69"/>
        <v>0</v>
      </c>
      <c r="AX526" s="512">
        <f>IF(SETUP!$E$7="USD",(AW526*(IF(O526="USD",AR526,(AR526/'Master Data-C19RM'!$G$2)))),(AW526*(IF(O526="EUR",AR526,(AR526*'Master Data-C19RM'!$G$2)))))</f>
        <v>0</v>
      </c>
      <c r="AY526" s="845"/>
      <c r="AZ526" s="846"/>
      <c r="BA526" s="846"/>
      <c r="BB526" s="846"/>
      <c r="BC526" s="846"/>
      <c r="BD526" s="846"/>
      <c r="BE526" s="847"/>
      <c r="BF526" s="520">
        <f>'C19RM 2021-Lab &amp; Other HPS'!$U526+'C19RM 2021-Lab &amp; Other HPS'!$AB526+'C19RM 2021-Lab &amp; Other HPS'!$AP526+'C19RM 2021-Lab &amp; Other HPS'!$AI526+AW526+BD526</f>
        <v>0</v>
      </c>
      <c r="BG526" s="513">
        <f>'C19RM 2021-Lab &amp; Other HPS'!$V526+'C19RM 2021-Lab &amp; Other HPS'!$AC526+'C19RM 2021-Lab &amp; Other HPS'!$AQ526+'C19RM 2021-Lab &amp; Other HPS'!$AJ526+AX526+BE526</f>
        <v>0</v>
      </c>
      <c r="BH526" s="500" t="str" cm="1">
        <f t="array" ref="BH526">IF(A526&lt;&gt;"",IFERROR(INDEX(PMtbl[[WKst]:[Unit of measure*]],MATCH($A$437&amp;$A526&amp;$E526&amp;$I526,INDEX(PMtbl[Sec]&amp;PMtbl[Category]&amp;PMtbl[Each]&amp;PMtbl[Packaging],0,),0),11),""),"")</f>
        <v/>
      </c>
      <c r="BI526" s="819"/>
      <c r="BJ526" s="502" t="str" cm="1">
        <f t="array" ref="BJ526">IFERROR(INDEX(SETUP!$C$19:$G$121,MATCH((INDEX(PMtbl[[WKst]:[Unit of measure*]],MATCH($A526&amp;$E526&amp;$I526,INDEX(PMtbl[Category]&amp;PMtbl[Each]&amp;PMtbl[Packaging],0,),0),3)),SETUP!$D$19:$D$121,0),5),"")</f>
        <v/>
      </c>
      <c r="BK526" s="536"/>
      <c r="BL526" s="577"/>
      <c r="BO526" s="12">
        <f>IF(N526="",0,IF(SETUP!$E$7="USD",((IF(O526="USD",P526,(P526/'Master Data-C19RM'!$C$2)))),((IF(O526="EUR",P526,(P526*'Master Data-C19RM'!$C$2))))))</f>
        <v>0</v>
      </c>
      <c r="BP526" s="12">
        <f>IF(N526="",0,IF(SETUP!$E$7="USD",((IF(O526="USD",W526,(W526/'Master Data-C19RM'!$D$2)))),((IF(O526="EUR",W526,(W526*'Master Data-C19RM'!$D$2))))))</f>
        <v>0</v>
      </c>
      <c r="BQ526">
        <f>IF(N526="",0,IF(SETUP!$E$7="USD",((IF(O526="USD",AD526,(AD526/'Master Data-C19RM'!$E$2)))),((IF(O526="EUR",AD526,(AD526*'Master Data-C19RM'!$E$2))))))</f>
        <v>0</v>
      </c>
      <c r="BR526">
        <f>IF(N526="",0,IF(SETUP!$E$7="USD",((IF(O526="USD",AK526,(AK526/'Master Data-C19RM'!$F$2)))),((IF(O526="EUR",AK526,(AK526*'Master Data-C19RM'!$F$2))))))</f>
        <v>0</v>
      </c>
      <c r="BS526">
        <f>IF(N526="",0,IF(SETUP!$E$7="USD",((IF(O526="USD",AR526,(AR526/'Master Data-C19RM'!$G$2)))),((IF(O526="EUR",AR526,(AR526*'Master Data-C19RM'!$G$2))))))</f>
        <v>0</v>
      </c>
      <c r="BT526">
        <f>IF(N526="",0,IF(SETUP!$E$7="USD",((IF(O526="USD",AY526,(AY526/'Master Data-C19RM'!$H$2)))),((IF(O526="EUR",AY526,(AY526*'Master Data-C19RM'!$H$2))))))</f>
        <v>0</v>
      </c>
      <c r="BU526" s="12">
        <f t="shared" si="67"/>
        <v>0</v>
      </c>
      <c r="BV526" s="142">
        <f t="shared" si="68"/>
        <v>0</v>
      </c>
      <c r="BW526"/>
      <c r="BX526"/>
      <c r="BY526"/>
      <c r="BZ526"/>
      <c r="CA526"/>
      <c r="CB526"/>
      <c r="CC526"/>
      <c r="CD526"/>
      <c r="CE526"/>
      <c r="CF526"/>
      <c r="CG526"/>
      <c r="CH526"/>
      <c r="CI526"/>
      <c r="CJ526"/>
      <c r="CK526"/>
      <c r="CL526"/>
      <c r="CM526"/>
      <c r="CN526"/>
      <c r="CO526"/>
      <c r="CP526"/>
    </row>
    <row r="527" spans="1:94" x14ac:dyDescent="0.35">
      <c r="A527" s="1172"/>
      <c r="B527" s="1172"/>
      <c r="C527" s="1172"/>
      <c r="D527" s="1172"/>
      <c r="E527" s="1173"/>
      <c r="F527" s="1173"/>
      <c r="G527" s="1173"/>
      <c r="H527" s="1173"/>
      <c r="I527" s="1173"/>
      <c r="J527" s="1173"/>
      <c r="K527" s="1173"/>
      <c r="L527" s="493" t="str" cm="1">
        <f t="array" ref="L527">IF(A527&lt;&gt;"",IFERROR(INDEX(PMtbl[[WKst]:[Unit of measure*]],MATCH($A$437&amp;$A527&amp;$E527&amp;$I527,INDEX(PMtbl[Sec]&amp;PMtbl[Category]&amp;PMtbl[Each]&amp;PMtbl[Packaging],0,),0),14),""),"")</f>
        <v/>
      </c>
      <c r="M527" s="480" t="str">
        <f>IF(L527="","",INDEX(SETUP!$E$20:$E$122,(MATCH(INDEX(PMsheet!$D:$E,MATCH(A527,PMsheet!E:E,0),1),SETUP!$D$20:$D$122,0))))</f>
        <v/>
      </c>
      <c r="N527" s="494">
        <f>IF($O527="USD",_xlfn.IFNA(VLOOKUP(A527&amp;E527&amp;I527,PMsheet!J:K,2,0),0),(_xlfn.IFNA(VLOOKUP(A527&amp;E527&amp;I527,PMsheet!J:K,2,0),0)*'Master Data-C19RM'!$C$2))</f>
        <v>0</v>
      </c>
      <c r="O527" s="495" t="str">
        <f>IF(L527="", "",SETUP!$E$7)</f>
        <v/>
      </c>
      <c r="P527" s="445">
        <f>IF($O527="USD",_xlfn.IFNA(VLOOKUP($A527&amp;$E527&amp;$I527,PMsheet!$J:$K,2,0),0),(_xlfn.IFNA(VLOOKUP($A527&amp;$E527&amp;$I527,PMsheet!$J:$K,2,0),0)*'Master Data-C19RM'!$C$2))</f>
        <v>0</v>
      </c>
      <c r="Q527" s="440"/>
      <c r="R527" s="440"/>
      <c r="S527" s="440"/>
      <c r="T527" s="440"/>
      <c r="U527" s="482">
        <f t="shared" si="61"/>
        <v>0</v>
      </c>
      <c r="V527" s="484">
        <f>IF(SETUP!$E$7="USD",(U527*(IF(O527="USD",P527,(P527/'Master Data-C19RM'!$C$2)))),(U527*(IF(O527="EUR",P527,(P527*'Master Data-C19RM'!$C$2)))))</f>
        <v>0</v>
      </c>
      <c r="W527" s="445">
        <f>IF($O527="USD",_xlfn.IFNA(VLOOKUP($A527&amp;$E527&amp;$I527,PMsheet!$J:$K,2,0),0),(_xlfn.IFNA(VLOOKUP($A527&amp;$E527&amp;$I527,PMsheet!$J:$K,2,0),0)*'Master Data-C19RM'!$D$2))</f>
        <v>0</v>
      </c>
      <c r="X527" s="440"/>
      <c r="Y527" s="440"/>
      <c r="Z527" s="440"/>
      <c r="AA527" s="440"/>
      <c r="AB527" s="482">
        <f t="shared" si="62"/>
        <v>0</v>
      </c>
      <c r="AC527" s="484">
        <f>IF(SETUP!$E$7="USD",(AB527*(IF(O527="USD",W527,(W527/'Master Data-C19RM'!$D$2)))),(AB527*(IF(O527="EUR",W527,(W527*'Master Data-C19RM'!$D$2)))))</f>
        <v>0</v>
      </c>
      <c r="AD527" s="445">
        <f>IF($O527="USD",_xlfn.IFNA(VLOOKUP($A527&amp;$E527&amp;$I527,PMsheet!$J:$K,2,0),0),(_xlfn.IFNA(VLOOKUP($A527&amp;$E527&amp;$I527,PMsheet!$J:$K,2,0),0)*'Master Data-C19RM'!$E$2))</f>
        <v>0</v>
      </c>
      <c r="AE527" s="440"/>
      <c r="AF527" s="440"/>
      <c r="AG527" s="440"/>
      <c r="AH527" s="440"/>
      <c r="AI527" s="514">
        <f t="shared" si="63"/>
        <v>0</v>
      </c>
      <c r="AJ527" s="515">
        <f>IF(SETUP!$E$7="USD",(AI527*(IF(O527="USD",AD527,(AD527/'Master Data-C19RM'!$E$2)))),(AI527*(IF(O527="EUR",AD527,(AD527*'Master Data-C19RM'!$E$2)))))</f>
        <v>0</v>
      </c>
      <c r="AK527" s="445">
        <f>IF($O527="USD",_xlfn.IFNA(VLOOKUP($A527&amp;$E527&amp;$I527,PMsheet!$J:$K,2,0),0),(_xlfn.IFNA(VLOOKUP($A527&amp;$E527&amp;$I527,PMsheet!$J:$K,2,0),0)*'Master Data-C19RM'!$F$2))</f>
        <v>0</v>
      </c>
      <c r="AL527" s="440"/>
      <c r="AM527" s="440"/>
      <c r="AN527" s="440"/>
      <c r="AO527" s="440"/>
      <c r="AP527" s="514">
        <f t="shared" si="66"/>
        <v>0</v>
      </c>
      <c r="AQ527" s="515">
        <f>IF(SETUP!$E$7="USD",(AP527*(IF(O527="USD",AK527,(AK527/'Master Data-C19RM'!$F$2)))),(AP527*(IF(O527="EUR",AK527,(AK527*'Master Data-C19RM'!$F$2)))))</f>
        <v>0</v>
      </c>
      <c r="AR527" s="925">
        <f>IF($O527="USD",_xlfn.IFNA(VLOOKUP($A527&amp;$E527&amp;$I527,PMsheet!$J:$K,2,0),0),(_xlfn.IFNA(VLOOKUP($A527&amp;$E527&amp;$I527,PMsheet!$J:$K,2,0),0)*'Master Data-C19RM'!$G$2))</f>
        <v>0</v>
      </c>
      <c r="AS527" s="926"/>
      <c r="AT527" s="926"/>
      <c r="AU527" s="926"/>
      <c r="AV527" s="926"/>
      <c r="AW527" s="514">
        <f t="shared" si="69"/>
        <v>0</v>
      </c>
      <c r="AX527" s="514">
        <f>IF(SETUP!$E$7="USD",(AW527*(IF(O527="USD",AR527,(AR527/'Master Data-C19RM'!$G$2)))),(AW527*(IF(O527="EUR",AR527,(AR527*'Master Data-C19RM'!$G$2)))))</f>
        <v>0</v>
      </c>
      <c r="AY527" s="845"/>
      <c r="AZ527" s="846"/>
      <c r="BA527" s="846"/>
      <c r="BB527" s="846"/>
      <c r="BC527" s="846"/>
      <c r="BD527" s="846"/>
      <c r="BE527" s="847"/>
      <c r="BF527" s="521">
        <f>'C19RM 2021-Lab &amp; Other HPS'!$U527+'C19RM 2021-Lab &amp; Other HPS'!$AB527+'C19RM 2021-Lab &amp; Other HPS'!$AP527+'C19RM 2021-Lab &amp; Other HPS'!$AI527+AW527+BD527</f>
        <v>0</v>
      </c>
      <c r="BG527" s="515">
        <f>'C19RM 2021-Lab &amp; Other HPS'!$V527+'C19RM 2021-Lab &amp; Other HPS'!$AC527+'C19RM 2021-Lab &amp; Other HPS'!$AQ527+'C19RM 2021-Lab &amp; Other HPS'!$AJ527+AX527+BE527</f>
        <v>0</v>
      </c>
      <c r="BH527" s="522" t="str" cm="1">
        <f t="array" ref="BH527">IF(A527&lt;&gt;"",IFERROR(INDEX(PMtbl[[WKst]:[Unit of measure*]],MATCH($A$437&amp;$A527&amp;$E527&amp;$I527,INDEX(PMtbl[Sec]&amp;PMtbl[Category]&amp;PMtbl[Each]&amp;PMtbl[Packaging],0,),0),11),""),"")</f>
        <v/>
      </c>
      <c r="BI527" s="818"/>
      <c r="BJ527" s="503" t="str" cm="1">
        <f t="array" ref="BJ527">IFERROR(INDEX(SETUP!$C$19:$G$121,MATCH((INDEX(PMtbl[[WKst]:[Unit of measure*]],MATCH($A527&amp;$E527&amp;$I527,INDEX(PMtbl[Category]&amp;PMtbl[Each]&amp;PMtbl[Packaging],0,),0),3)),SETUP!$D$19:$D$121,0),5),"")</f>
        <v/>
      </c>
      <c r="BK527" s="537"/>
      <c r="BL527" s="578"/>
      <c r="BO527" s="12">
        <f>IF(N527="",0,IF(SETUP!$E$7="USD",((IF(O527="USD",P527,(P527/'Master Data-C19RM'!$C$2)))),((IF(O527="EUR",P527,(P527*'Master Data-C19RM'!$C$2))))))</f>
        <v>0</v>
      </c>
      <c r="BP527" s="12">
        <f>IF(N527="",0,IF(SETUP!$E$7="USD",((IF(O527="USD",W527,(W527/'Master Data-C19RM'!$D$2)))),((IF(O527="EUR",W527,(W527*'Master Data-C19RM'!$D$2))))))</f>
        <v>0</v>
      </c>
      <c r="BQ527">
        <f>IF(N527="",0,IF(SETUP!$E$7="USD",((IF(O527="USD",AD527,(AD527/'Master Data-C19RM'!$E$2)))),((IF(O527="EUR",AD527,(AD527*'Master Data-C19RM'!$E$2))))))</f>
        <v>0</v>
      </c>
      <c r="BR527">
        <f>IF(N527="",0,IF(SETUP!$E$7="USD",((IF(O527="USD",AK527,(AK527/'Master Data-C19RM'!$F$2)))),((IF(O527="EUR",AK527,(AK527*'Master Data-C19RM'!$F$2))))))</f>
        <v>0</v>
      </c>
      <c r="BS527">
        <f>IF(N527="",0,IF(SETUP!$E$7="USD",((IF(O527="USD",AR527,(AR527/'Master Data-C19RM'!$G$2)))),((IF(O527="EUR",AR527,(AR527*'Master Data-C19RM'!$G$2))))))</f>
        <v>0</v>
      </c>
      <c r="BT527">
        <f>IF(N527="",0,IF(SETUP!$E$7="USD",((IF(O527="USD",AY527,(AY527/'Master Data-C19RM'!$H$2)))),((IF(O527="EUR",AY527,(AY527*'Master Data-C19RM'!$H$2))))))</f>
        <v>0</v>
      </c>
      <c r="BU527" s="12">
        <f t="shared" si="67"/>
        <v>0</v>
      </c>
      <c r="BV527" s="142">
        <f t="shared" si="68"/>
        <v>0</v>
      </c>
    </row>
    <row r="528" spans="1:94" x14ac:dyDescent="0.35">
      <c r="A528" s="1165"/>
      <c r="B528" s="1165"/>
      <c r="C528" s="1165"/>
      <c r="D528" s="1165"/>
      <c r="E528" s="1166"/>
      <c r="F528" s="1166"/>
      <c r="G528" s="1166"/>
      <c r="H528" s="1166"/>
      <c r="I528" s="1166"/>
      <c r="J528" s="1166"/>
      <c r="K528" s="1166"/>
      <c r="L528" s="490" t="str" cm="1">
        <f t="array" ref="L528">IF(A528&lt;&gt;"",IFERROR(INDEX(PMtbl[[WKst]:[Unit of measure*]],MATCH($A$437&amp;$A528&amp;$E528&amp;$I528,INDEX(PMtbl[Sec]&amp;PMtbl[Category]&amp;PMtbl[Each]&amp;PMtbl[Packaging],0,),0),14),""),"")</f>
        <v/>
      </c>
      <c r="M528" s="479" t="str">
        <f>IF(L528="","",INDEX(SETUP!$E$20:$E$122,(MATCH(INDEX(PMsheet!$D:$E,MATCH(A528,PMsheet!E:E,0),1),SETUP!$D$20:$D$122,0))))</f>
        <v/>
      </c>
      <c r="N528" s="491">
        <f>IF($O528="USD",_xlfn.IFNA(VLOOKUP(A528&amp;E528&amp;I528,PMsheet!J:K,2,0),0),(_xlfn.IFNA(VLOOKUP(A528&amp;E528&amp;I528,PMsheet!J:K,2,0),0)*'Master Data-C19RM'!$C$2))</f>
        <v>0</v>
      </c>
      <c r="O528" s="492" t="str">
        <f>IF(L528="", "",SETUP!$E$7)</f>
        <v/>
      </c>
      <c r="P528" s="444">
        <f>IF($O528="USD",_xlfn.IFNA(VLOOKUP($A528&amp;$E528&amp;$I528,PMsheet!$J:$K,2,0),0),(_xlfn.IFNA(VLOOKUP($A528&amp;$E528&amp;$I528,PMsheet!$J:$K,2,0),0)*'Master Data-C19RM'!$C$2))</f>
        <v>0</v>
      </c>
      <c r="Q528" s="441"/>
      <c r="R528" s="441"/>
      <c r="S528" s="441"/>
      <c r="T528" s="441"/>
      <c r="U528" s="481">
        <f t="shared" si="61"/>
        <v>0</v>
      </c>
      <c r="V528" s="483">
        <f>IF(SETUP!$E$7="USD",(U528*(IF(O528="USD",P528,(P528/'Master Data-C19RM'!$C$2)))),(U528*(IF(O528="EUR",P528,(P528*'Master Data-C19RM'!$C$2)))))</f>
        <v>0</v>
      </c>
      <c r="W528" s="444">
        <f>IF($O528="USD",_xlfn.IFNA(VLOOKUP($A528&amp;$E528&amp;$I528,PMsheet!$J:$K,2,0),0),(_xlfn.IFNA(VLOOKUP($A528&amp;$E528&amp;$I528,PMsheet!$J:$K,2,0),0)*'Master Data-C19RM'!$D$2))</f>
        <v>0</v>
      </c>
      <c r="X528" s="441"/>
      <c r="Y528" s="441"/>
      <c r="Z528" s="441"/>
      <c r="AA528" s="441"/>
      <c r="AB528" s="481">
        <f t="shared" si="62"/>
        <v>0</v>
      </c>
      <c r="AC528" s="483">
        <f>IF(SETUP!$E$7="USD",(AB528*(IF(O528="USD",W528,(W528/'Master Data-C19RM'!$D$2)))),(AB528*(IF(O528="EUR",W528,(W528*'Master Data-C19RM'!$D$2)))))</f>
        <v>0</v>
      </c>
      <c r="AD528" s="444">
        <f>IF($O528="USD",_xlfn.IFNA(VLOOKUP($A528&amp;$E528&amp;$I528,PMsheet!$J:$K,2,0),0),(_xlfn.IFNA(VLOOKUP($A528&amp;$E528&amp;$I528,PMsheet!$J:$K,2,0),0)*'Master Data-C19RM'!$E$2))</f>
        <v>0</v>
      </c>
      <c r="AE528" s="441"/>
      <c r="AF528" s="441"/>
      <c r="AG528" s="441"/>
      <c r="AH528" s="441"/>
      <c r="AI528" s="512">
        <f t="shared" si="63"/>
        <v>0</v>
      </c>
      <c r="AJ528" s="513">
        <f>IF(SETUP!$E$7="USD",(AI528*(IF(O528="USD",AD528,(AD528/'Master Data-C19RM'!$E$2)))),(AI528*(IF(O528="EUR",AD528,(AD528*'Master Data-C19RM'!$E$2)))))</f>
        <v>0</v>
      </c>
      <c r="AK528" s="444">
        <f>IF($O528="USD",_xlfn.IFNA(VLOOKUP($A528&amp;$E528&amp;$I528,PMsheet!$J:$K,2,0),0),(_xlfn.IFNA(VLOOKUP($A528&amp;$E528&amp;$I528,PMsheet!$J:$K,2,0),0)*'Master Data-C19RM'!$F$2))</f>
        <v>0</v>
      </c>
      <c r="AL528" s="441"/>
      <c r="AM528" s="441"/>
      <c r="AN528" s="441"/>
      <c r="AO528" s="441"/>
      <c r="AP528" s="512">
        <f t="shared" si="66"/>
        <v>0</v>
      </c>
      <c r="AQ528" s="513">
        <f>IF(SETUP!$E$7="USD",(AP528*(IF(O528="USD",AK528,(AK528/'Master Data-C19RM'!$F$2)))),(AP528*(IF(O528="EUR",AK528,(AK528*'Master Data-C19RM'!$F$2)))))</f>
        <v>0</v>
      </c>
      <c r="AR528" s="924">
        <f>IF($O528="USD",_xlfn.IFNA(VLOOKUP($A528&amp;$E528&amp;$I528,PMsheet!$J:$K,2,0),0),(_xlfn.IFNA(VLOOKUP($A528&amp;$E528&amp;$I528,PMsheet!$J:$K,2,0),0)*'Master Data-C19RM'!$G$2))</f>
        <v>0</v>
      </c>
      <c r="AS528" s="572"/>
      <c r="AT528" s="572"/>
      <c r="AU528" s="572"/>
      <c r="AV528" s="572"/>
      <c r="AW528" s="512">
        <f t="shared" si="69"/>
        <v>0</v>
      </c>
      <c r="AX528" s="512">
        <f>IF(SETUP!$E$7="USD",(AW528*(IF(O528="USD",AR528,(AR528/'Master Data-C19RM'!$G$2)))),(AW528*(IF(O528="EUR",AR528,(AR528*'Master Data-C19RM'!$G$2)))))</f>
        <v>0</v>
      </c>
      <c r="AY528" s="845"/>
      <c r="AZ528" s="846"/>
      <c r="BA528" s="846"/>
      <c r="BB528" s="846"/>
      <c r="BC528" s="846"/>
      <c r="BD528" s="846"/>
      <c r="BE528" s="847"/>
      <c r="BF528" s="520">
        <f>'C19RM 2021-Lab &amp; Other HPS'!$U528+'C19RM 2021-Lab &amp; Other HPS'!$AB528+'C19RM 2021-Lab &amp; Other HPS'!$AP528+'C19RM 2021-Lab &amp; Other HPS'!$AI528+AW528+BD528</f>
        <v>0</v>
      </c>
      <c r="BG528" s="513">
        <f>'C19RM 2021-Lab &amp; Other HPS'!$V528+'C19RM 2021-Lab &amp; Other HPS'!$AC528+'C19RM 2021-Lab &amp; Other HPS'!$AQ528+'C19RM 2021-Lab &amp; Other HPS'!$AJ528+AX528+BE528</f>
        <v>0</v>
      </c>
      <c r="BH528" s="500" t="str" cm="1">
        <f t="array" ref="BH528">IF(A528&lt;&gt;"",IFERROR(INDEX(PMtbl[[WKst]:[Unit of measure*]],MATCH($A$437&amp;$A528&amp;$E528&amp;$I528,INDEX(PMtbl[Sec]&amp;PMtbl[Category]&amp;PMtbl[Each]&amp;PMtbl[Packaging],0,),0),11),""),"")</f>
        <v/>
      </c>
      <c r="BI528" s="819"/>
      <c r="BJ528" s="502" t="str" cm="1">
        <f t="array" ref="BJ528">IFERROR(INDEX(SETUP!$C$19:$G$121,MATCH((INDEX(PMtbl[[WKst]:[Unit of measure*]],MATCH($A528&amp;$E528&amp;$I528,INDEX(PMtbl[Category]&amp;PMtbl[Each]&amp;PMtbl[Packaging],0,),0),3)),SETUP!$D$19:$D$121,0),5),"")</f>
        <v/>
      </c>
      <c r="BK528" s="536"/>
      <c r="BL528" s="577"/>
      <c r="BO528" s="12">
        <f>IF(N528="",0,IF(SETUP!$E$7="USD",((IF(O528="USD",P528,(P528/'Master Data-C19RM'!$C$2)))),((IF(O528="EUR",P528,(P528*'Master Data-C19RM'!$C$2))))))</f>
        <v>0</v>
      </c>
      <c r="BP528" s="12">
        <f>IF(N528="",0,IF(SETUP!$E$7="USD",((IF(O528="USD",W528,(W528/'Master Data-C19RM'!$D$2)))),((IF(O528="EUR",W528,(W528*'Master Data-C19RM'!$D$2))))))</f>
        <v>0</v>
      </c>
      <c r="BQ528">
        <f>IF(N528="",0,IF(SETUP!$E$7="USD",((IF(O528="USD",AD528,(AD528/'Master Data-C19RM'!$E$2)))),((IF(O528="EUR",AD528,(AD528*'Master Data-C19RM'!$E$2))))))</f>
        <v>0</v>
      </c>
      <c r="BR528">
        <f>IF(N528="",0,IF(SETUP!$E$7="USD",((IF(O528="USD",AK528,(AK528/'Master Data-C19RM'!$F$2)))),((IF(O528="EUR",AK528,(AK528*'Master Data-C19RM'!$F$2))))))</f>
        <v>0</v>
      </c>
      <c r="BS528">
        <f>IF(N528="",0,IF(SETUP!$E$7="USD",((IF(O528="USD",AR528,(AR528/'Master Data-C19RM'!$G$2)))),((IF(O528="EUR",AR528,(AR528*'Master Data-C19RM'!$G$2))))))</f>
        <v>0</v>
      </c>
      <c r="BT528">
        <f>IF(N528="",0,IF(SETUP!$E$7="USD",((IF(O528="USD",AY528,(AY528/'Master Data-C19RM'!$H$2)))),((IF(O528="EUR",AY528,(AY528*'Master Data-C19RM'!$H$2))))))</f>
        <v>0</v>
      </c>
      <c r="BU528" s="12">
        <f t="shared" si="67"/>
        <v>0</v>
      </c>
      <c r="BV528" s="142">
        <f t="shared" si="68"/>
        <v>0</v>
      </c>
    </row>
    <row r="529" spans="1:94" x14ac:dyDescent="0.35">
      <c r="A529" s="1172"/>
      <c r="B529" s="1172"/>
      <c r="C529" s="1172"/>
      <c r="D529" s="1172"/>
      <c r="E529" s="1173"/>
      <c r="F529" s="1173"/>
      <c r="G529" s="1173"/>
      <c r="H529" s="1173"/>
      <c r="I529" s="1173"/>
      <c r="J529" s="1173"/>
      <c r="K529" s="1173"/>
      <c r="L529" s="493" t="str" cm="1">
        <f t="array" ref="L529">IF(A529&lt;&gt;"",IFERROR(INDEX(PMtbl[[WKst]:[Unit of measure*]],MATCH($A$437&amp;$A529&amp;$E529&amp;$I529,INDEX(PMtbl[Sec]&amp;PMtbl[Category]&amp;PMtbl[Each]&amp;PMtbl[Packaging],0,),0),14),""),"")</f>
        <v/>
      </c>
      <c r="M529" s="480" t="str">
        <f>IF(L529="","",INDEX(SETUP!$E$20:$E$122,(MATCH(INDEX(PMsheet!$D:$E,MATCH(A529,PMsheet!E:E,0),1),SETUP!$D$20:$D$122,0))))</f>
        <v/>
      </c>
      <c r="N529" s="494">
        <f>IF($O529="USD",_xlfn.IFNA(VLOOKUP(A529&amp;E529&amp;I529,PMsheet!J:K,2,0),0),(_xlfn.IFNA(VLOOKUP(A529&amp;E529&amp;I529,PMsheet!J:K,2,0),0)*'Master Data-C19RM'!$C$2))</f>
        <v>0</v>
      </c>
      <c r="O529" s="495" t="str">
        <f>IF(L529="", "",SETUP!$E$7)</f>
        <v/>
      </c>
      <c r="P529" s="445">
        <f>IF($O529="USD",_xlfn.IFNA(VLOOKUP($A529&amp;$E529&amp;$I529,PMsheet!$J:$K,2,0),0),(_xlfn.IFNA(VLOOKUP($A529&amp;$E529&amp;$I529,PMsheet!$J:$K,2,0),0)*'Master Data-C19RM'!$C$2))</f>
        <v>0</v>
      </c>
      <c r="Q529" s="440"/>
      <c r="R529" s="440"/>
      <c r="S529" s="440"/>
      <c r="T529" s="440"/>
      <c r="U529" s="482">
        <f t="shared" si="61"/>
        <v>0</v>
      </c>
      <c r="V529" s="484">
        <f>IF(SETUP!$E$7="USD",(U529*(IF(O529="USD",P529,(P529/'Master Data-C19RM'!$C$2)))),(U529*(IF(O529="EUR",P529,(P529*'Master Data-C19RM'!$C$2)))))</f>
        <v>0</v>
      </c>
      <c r="W529" s="445">
        <f>IF($O529="USD",_xlfn.IFNA(VLOOKUP($A529&amp;$E529&amp;$I529,PMsheet!$J:$K,2,0),0),(_xlfn.IFNA(VLOOKUP($A529&amp;$E529&amp;$I529,PMsheet!$J:$K,2,0),0)*'Master Data-C19RM'!$D$2))</f>
        <v>0</v>
      </c>
      <c r="X529" s="440"/>
      <c r="Y529" s="440"/>
      <c r="Z529" s="440"/>
      <c r="AA529" s="440"/>
      <c r="AB529" s="482">
        <f t="shared" si="62"/>
        <v>0</v>
      </c>
      <c r="AC529" s="484">
        <f>IF(SETUP!$E$7="USD",(AB529*(IF(O529="USD",W529,(W529/'Master Data-C19RM'!$D$2)))),(AB529*(IF(O529="EUR",W529,(W529*'Master Data-C19RM'!$D$2)))))</f>
        <v>0</v>
      </c>
      <c r="AD529" s="445">
        <f>IF($O529="USD",_xlfn.IFNA(VLOOKUP($A529&amp;$E529&amp;$I529,PMsheet!$J:$K,2,0),0),(_xlfn.IFNA(VLOOKUP($A529&amp;$E529&amp;$I529,PMsheet!$J:$K,2,0),0)*'Master Data-C19RM'!$E$2))</f>
        <v>0</v>
      </c>
      <c r="AE529" s="440"/>
      <c r="AF529" s="440"/>
      <c r="AG529" s="440"/>
      <c r="AH529" s="440"/>
      <c r="AI529" s="514">
        <f t="shared" si="63"/>
        <v>0</v>
      </c>
      <c r="AJ529" s="515">
        <f>IF(SETUP!$E$7="USD",(AI529*(IF(O529="USD",AD529,(AD529/'Master Data-C19RM'!$E$2)))),(AI529*(IF(O529="EUR",AD529,(AD529*'Master Data-C19RM'!$E$2)))))</f>
        <v>0</v>
      </c>
      <c r="AK529" s="445">
        <f>IF($O529="USD",_xlfn.IFNA(VLOOKUP($A529&amp;$E529&amp;$I529,PMsheet!$J:$K,2,0),0),(_xlfn.IFNA(VLOOKUP($A529&amp;$E529&amp;$I529,PMsheet!$J:$K,2,0),0)*'Master Data-C19RM'!$F$2))</f>
        <v>0</v>
      </c>
      <c r="AL529" s="440"/>
      <c r="AM529" s="440"/>
      <c r="AN529" s="440"/>
      <c r="AO529" s="440"/>
      <c r="AP529" s="514">
        <f t="shared" si="66"/>
        <v>0</v>
      </c>
      <c r="AQ529" s="515">
        <f>IF(SETUP!$E$7="USD",(AP529*(IF(O529="USD",AK529,(AK529/'Master Data-C19RM'!$F$2)))),(AP529*(IF(O529="EUR",AK529,(AK529*'Master Data-C19RM'!$F$2)))))</f>
        <v>0</v>
      </c>
      <c r="AR529" s="925">
        <f>IF($O529="USD",_xlfn.IFNA(VLOOKUP($A529&amp;$E529&amp;$I529,PMsheet!$J:$K,2,0),0),(_xlfn.IFNA(VLOOKUP($A529&amp;$E529&amp;$I529,PMsheet!$J:$K,2,0),0)*'Master Data-C19RM'!$G$2))</f>
        <v>0</v>
      </c>
      <c r="AS529" s="926"/>
      <c r="AT529" s="926"/>
      <c r="AU529" s="926"/>
      <c r="AV529" s="926"/>
      <c r="AW529" s="514">
        <f t="shared" si="69"/>
        <v>0</v>
      </c>
      <c r="AX529" s="514">
        <f>IF(SETUP!$E$7="USD",(AW529*(IF(O529="USD",AR529,(AR529/'Master Data-C19RM'!$G$2)))),(AW529*(IF(O529="EUR",AR529,(AR529*'Master Data-C19RM'!$G$2)))))</f>
        <v>0</v>
      </c>
      <c r="AY529" s="845"/>
      <c r="AZ529" s="846"/>
      <c r="BA529" s="846"/>
      <c r="BB529" s="846"/>
      <c r="BC529" s="846"/>
      <c r="BD529" s="846"/>
      <c r="BE529" s="847"/>
      <c r="BF529" s="521">
        <f>'C19RM 2021-Lab &amp; Other HPS'!$U529+'C19RM 2021-Lab &amp; Other HPS'!$AB529+'C19RM 2021-Lab &amp; Other HPS'!$AP529+'C19RM 2021-Lab &amp; Other HPS'!$AI529+AW529+BD529</f>
        <v>0</v>
      </c>
      <c r="BG529" s="515">
        <f>'C19RM 2021-Lab &amp; Other HPS'!$V529+'C19RM 2021-Lab &amp; Other HPS'!$AC529+'C19RM 2021-Lab &amp; Other HPS'!$AQ529+'C19RM 2021-Lab &amp; Other HPS'!$AJ529+AX529+BE529</f>
        <v>0</v>
      </c>
      <c r="BH529" s="522" t="str" cm="1">
        <f t="array" ref="BH529">IF(A529&lt;&gt;"",IFERROR(INDEX(PMtbl[[WKst]:[Unit of measure*]],MATCH($A$437&amp;$A529&amp;$E529&amp;$I529,INDEX(PMtbl[Sec]&amp;PMtbl[Category]&amp;PMtbl[Each]&amp;PMtbl[Packaging],0,),0),11),""),"")</f>
        <v/>
      </c>
      <c r="BI529" s="818"/>
      <c r="BJ529" s="503" t="str" cm="1">
        <f t="array" ref="BJ529">IFERROR(INDEX(SETUP!$C$19:$G$121,MATCH((INDEX(PMtbl[[WKst]:[Unit of measure*]],MATCH($A529&amp;$E529&amp;$I529,INDEX(PMtbl[Category]&amp;PMtbl[Each]&amp;PMtbl[Packaging],0,),0),3)),SETUP!$D$19:$D$121,0),5),"")</f>
        <v/>
      </c>
      <c r="BK529" s="537"/>
      <c r="BL529" s="578"/>
      <c r="BO529" s="12">
        <f>IF(N529="",0,IF(SETUP!$E$7="USD",((IF(O529="USD",P529,(P529/'Master Data-C19RM'!$C$2)))),((IF(O529="EUR",P529,(P529*'Master Data-C19RM'!$C$2))))))</f>
        <v>0</v>
      </c>
      <c r="BP529" s="12">
        <f>IF(N529="",0,IF(SETUP!$E$7="USD",((IF(O529="USD",W529,(W529/'Master Data-C19RM'!$D$2)))),((IF(O529="EUR",W529,(W529*'Master Data-C19RM'!$D$2))))))</f>
        <v>0</v>
      </c>
      <c r="BQ529">
        <f>IF(N529="",0,IF(SETUP!$E$7="USD",((IF(O529="USD",AD529,(AD529/'Master Data-C19RM'!$E$2)))),((IF(O529="EUR",AD529,(AD529*'Master Data-C19RM'!$E$2))))))</f>
        <v>0</v>
      </c>
      <c r="BR529">
        <f>IF(N529="",0,IF(SETUP!$E$7="USD",((IF(O529="USD",AK529,(AK529/'Master Data-C19RM'!$F$2)))),((IF(O529="EUR",AK529,(AK529*'Master Data-C19RM'!$F$2))))))</f>
        <v>0</v>
      </c>
      <c r="BS529">
        <f>IF(N529="",0,IF(SETUP!$E$7="USD",((IF(O529="USD",AR529,(AR529/'Master Data-C19RM'!$G$2)))),((IF(O529="EUR",AR529,(AR529*'Master Data-C19RM'!$G$2))))))</f>
        <v>0</v>
      </c>
      <c r="BT529">
        <f>IF(N529="",0,IF(SETUP!$E$7="USD",((IF(O529="USD",AY529,(AY529/'Master Data-C19RM'!$H$2)))),((IF(O529="EUR",AY529,(AY529*'Master Data-C19RM'!$H$2))))))</f>
        <v>0</v>
      </c>
      <c r="BU529" s="12">
        <f t="shared" si="67"/>
        <v>0</v>
      </c>
      <c r="BV529" s="142">
        <f t="shared" si="68"/>
        <v>0</v>
      </c>
    </row>
    <row r="530" spans="1:94" s="24" customFormat="1" x14ac:dyDescent="0.35">
      <c r="A530" s="1196"/>
      <c r="B530" s="1196"/>
      <c r="C530" s="1196"/>
      <c r="D530" s="1196"/>
      <c r="E530" s="1166"/>
      <c r="F530" s="1166"/>
      <c r="G530" s="1166"/>
      <c r="H530" s="1166"/>
      <c r="I530" s="1166"/>
      <c r="J530" s="1166"/>
      <c r="K530" s="1166"/>
      <c r="L530" s="490" t="str" cm="1">
        <f t="array" ref="L530">IF(A530&lt;&gt;"",IFERROR(INDEX(PMtbl[[WKst]:[Unit of measure*]],MATCH($A$437&amp;$A530&amp;$E530&amp;$I530,INDEX(PMtbl[Sec]&amp;PMtbl[Category]&amp;PMtbl[Each]&amp;PMtbl[Packaging],0,),0),14),""),"")</f>
        <v/>
      </c>
      <c r="M530" s="479" t="str">
        <f>IF(L530="","",INDEX(SETUP!$E$20:$E$122,(MATCH(INDEX(PMsheet!$D:$E,MATCH(A530,PMsheet!E:E,0),1),SETUP!$D$20:$D$122,0))))</f>
        <v/>
      </c>
      <c r="N530" s="491">
        <f>IF($O530="USD",_xlfn.IFNA(VLOOKUP(A530&amp;E530&amp;I530,PMsheet!J:K,2,0),0),(_xlfn.IFNA(VLOOKUP(A530&amp;E530&amp;I530,PMsheet!J:K,2,0),0)*'Master Data-C19RM'!$C$2))</f>
        <v>0</v>
      </c>
      <c r="O530" s="573" t="str">
        <f>IF(L530="", "",SETUP!$E$7)</f>
        <v/>
      </c>
      <c r="P530" s="444">
        <f>IF($O530="USD",_xlfn.IFNA(VLOOKUP($A530&amp;$E530&amp;$I530,PMsheet!$J:$K,2,0),0),(_xlfn.IFNA(VLOOKUP($A530&amp;$E530&amp;$I530,PMsheet!$J:$K,2,0),0)*'Master Data-C19RM'!$C$2))</f>
        <v>0</v>
      </c>
      <c r="Q530" s="441"/>
      <c r="R530" s="441"/>
      <c r="S530" s="441"/>
      <c r="T530" s="441"/>
      <c r="U530" s="481">
        <f t="shared" si="61"/>
        <v>0</v>
      </c>
      <c r="V530" s="483">
        <f>IF(SETUP!$E$7="USD",(U530*(IF(O530="USD",P530,(P530/'Master Data-C19RM'!$C$2)))),(U530*(IF(O530="EUR",P530,(P530*'Master Data-C19RM'!$C$2)))))</f>
        <v>0</v>
      </c>
      <c r="W530" s="444">
        <f>IF($O530="USD",_xlfn.IFNA(VLOOKUP($A530&amp;$E530&amp;$I530,PMsheet!$J:$K,2,0),0),(_xlfn.IFNA(VLOOKUP($A530&amp;$E530&amp;$I530,PMsheet!$J:$K,2,0),0)*'Master Data-C19RM'!$D$2))</f>
        <v>0</v>
      </c>
      <c r="X530" s="441"/>
      <c r="Y530" s="441"/>
      <c r="Z530" s="441"/>
      <c r="AA530" s="441"/>
      <c r="AB530" s="481">
        <f t="shared" si="62"/>
        <v>0</v>
      </c>
      <c r="AC530" s="483">
        <f>IF(SETUP!$E$7="USD",(AB530*(IF(O530="USD",W530,(W530/'Master Data-C19RM'!$D$2)))),(AB530*(IF(O530="EUR",W530,(W530*'Master Data-C19RM'!$D$2)))))</f>
        <v>0</v>
      </c>
      <c r="AD530" s="444">
        <f>IF($O530="USD",_xlfn.IFNA(VLOOKUP($A530&amp;$E530&amp;$I530,PMsheet!$J:$K,2,0),0),(_xlfn.IFNA(VLOOKUP($A530&amp;$E530&amp;$I530,PMsheet!$J:$K,2,0),0)*'Master Data-C19RM'!$E$2))</f>
        <v>0</v>
      </c>
      <c r="AE530" s="441"/>
      <c r="AF530" s="441"/>
      <c r="AG530" s="441"/>
      <c r="AH530" s="441"/>
      <c r="AI530" s="512">
        <f t="shared" si="63"/>
        <v>0</v>
      </c>
      <c r="AJ530" s="513">
        <f>IF(SETUP!$E$7="USD",(AI530*(IF(O530="USD",AD530,(AD530/'Master Data-C19RM'!$E$2)))),(AI530*(IF(O530="EUR",AD530,(AD530*'Master Data-C19RM'!$E$2)))))</f>
        <v>0</v>
      </c>
      <c r="AK530" s="456">
        <f>IF($O530="USD",_xlfn.IFNA(VLOOKUP($A530&amp;$E530&amp;$I530,PMsheet!$J:$K,2,0),0),(_xlfn.IFNA(VLOOKUP($A530&amp;$E530&amp;$I530,PMsheet!$J:$K,2,0),0)*'Master Data-C19RM'!$F$2))</f>
        <v>0</v>
      </c>
      <c r="AL530" s="572"/>
      <c r="AM530" s="572"/>
      <c r="AN530" s="572"/>
      <c r="AO530" s="572"/>
      <c r="AP530" s="512">
        <f t="shared" si="66"/>
        <v>0</v>
      </c>
      <c r="AQ530" s="513">
        <f>IF(SETUP!$E$7="USD",(AP530*(IF(O530="USD",AK530,(AK530/'Master Data-C19RM'!$F$2)))),(AP530*(IF(O530="EUR",AK530,(AK530*'Master Data-C19RM'!$F$2)))))</f>
        <v>0</v>
      </c>
      <c r="AR530" s="924">
        <f>IF($O530="USD",_xlfn.IFNA(VLOOKUP($A530&amp;$E530&amp;$I530,PMsheet!$J:$K,2,0),0),(_xlfn.IFNA(VLOOKUP($A530&amp;$E530&amp;$I530,PMsheet!$J:$K,2,0),0)*'Master Data-C19RM'!$G$2))</f>
        <v>0</v>
      </c>
      <c r="AS530" s="572"/>
      <c r="AT530" s="572"/>
      <c r="AU530" s="572"/>
      <c r="AV530" s="572"/>
      <c r="AW530" s="512">
        <f t="shared" si="69"/>
        <v>0</v>
      </c>
      <c r="AX530" s="512">
        <f>IF(SETUP!$E$7="USD",(AW530*(IF(O530="USD",AR530,(AR530/'Master Data-C19RM'!$G$2)))),(AW530*(IF(O530="EUR",AR530,(AR530*'Master Data-C19RM'!$G$2)))))</f>
        <v>0</v>
      </c>
      <c r="AY530" s="845"/>
      <c r="AZ530" s="846"/>
      <c r="BA530" s="846"/>
      <c r="BB530" s="846"/>
      <c r="BC530" s="846"/>
      <c r="BD530" s="846"/>
      <c r="BE530" s="847"/>
      <c r="BF530" s="520">
        <f>'C19RM 2021-Lab &amp; Other HPS'!$U530+'C19RM 2021-Lab &amp; Other HPS'!$AB530+'C19RM 2021-Lab &amp; Other HPS'!$AP530+'C19RM 2021-Lab &amp; Other HPS'!$AI530+AW530+BD530</f>
        <v>0</v>
      </c>
      <c r="BG530" s="513">
        <f>'C19RM 2021-Lab &amp; Other HPS'!$V530+'C19RM 2021-Lab &amp; Other HPS'!$AC530+'C19RM 2021-Lab &amp; Other HPS'!$AQ530+'C19RM 2021-Lab &amp; Other HPS'!$AJ530+AX530+BE530</f>
        <v>0</v>
      </c>
      <c r="BH530" s="500" t="str" cm="1">
        <f t="array" ref="BH530">IF(A530&lt;&gt;"",IFERROR(INDEX(PMtbl[[WKst]:[Unit of measure*]],MATCH($A$437&amp;$A530&amp;$E530&amp;$I530,INDEX(PMtbl[Sec]&amp;PMtbl[Category]&amp;PMtbl[Each]&amp;PMtbl[Packaging],0,),0),11),""),"")</f>
        <v/>
      </c>
      <c r="BI530" s="819"/>
      <c r="BJ530" s="502" t="str" cm="1">
        <f t="array" ref="BJ530">IFERROR(INDEX(SETUP!$C$19:$G$121,MATCH((INDEX(PMtbl[[WKst]:[Unit of measure*]],MATCH($A530&amp;$E530&amp;$I530,INDEX(PMtbl[Category]&amp;PMtbl[Each]&amp;PMtbl[Packaging],0,),0),3)),SETUP!$D$19:$D$121,0),5),"")</f>
        <v/>
      </c>
      <c r="BK530" s="536"/>
      <c r="BL530" s="577"/>
      <c r="BO530" s="12">
        <f>IF(N530="",0,IF(SETUP!$E$7="USD",((IF(O530="USD",P530,(P530/'Master Data-C19RM'!$C$2)))),((IF(O530="EUR",P530,(P530*'Master Data-C19RM'!$C$2))))))</f>
        <v>0</v>
      </c>
      <c r="BP530" s="12">
        <f>IF(N530="",0,IF(SETUP!$E$7="USD",((IF(O530="USD",W530,(W530/'Master Data-C19RM'!$D$2)))),((IF(O530="EUR",W530,(W530*'Master Data-C19RM'!$D$2))))))</f>
        <v>0</v>
      </c>
      <c r="BQ530">
        <f>IF(N530="",0,IF(SETUP!$E$7="USD",((IF(O530="USD",AD530,(AD530/'Master Data-C19RM'!$E$2)))),((IF(O530="EUR",AD530,(AD530*'Master Data-C19RM'!$E$2))))))</f>
        <v>0</v>
      </c>
      <c r="BR530">
        <f>IF(N530="",0,IF(SETUP!$E$7="USD",((IF(O530="USD",AK530,(AK530/'Master Data-C19RM'!$F$2)))),((IF(O530="EUR",AK530,(AK530*'Master Data-C19RM'!$F$2))))))</f>
        <v>0</v>
      </c>
      <c r="BS530">
        <f>IF(N530="",0,IF(SETUP!$E$7="USD",((IF(O530="USD",AR530,(AR530/'Master Data-C19RM'!$G$2)))),((IF(O530="EUR",AR530,(AR530*'Master Data-C19RM'!$G$2))))))</f>
        <v>0</v>
      </c>
      <c r="BT530">
        <f>IF(N530="",0,IF(SETUP!$E$7="USD",((IF(O530="USD",AY530,(AY530/'Master Data-C19RM'!$H$2)))),((IF(O530="EUR",AY530,(AY530*'Master Data-C19RM'!$H$2))))))</f>
        <v>0</v>
      </c>
      <c r="BU530" s="12">
        <f t="shared" si="67"/>
        <v>0</v>
      </c>
      <c r="BV530" s="142">
        <f t="shared" si="68"/>
        <v>0</v>
      </c>
      <c r="BW530"/>
      <c r="BX530"/>
      <c r="BY530"/>
      <c r="BZ530"/>
      <c r="CA530"/>
      <c r="CB530"/>
      <c r="CC530"/>
      <c r="CD530"/>
      <c r="CE530"/>
      <c r="CF530"/>
      <c r="CG530"/>
      <c r="CH530"/>
      <c r="CI530"/>
      <c r="CJ530"/>
      <c r="CK530"/>
      <c r="CL530"/>
      <c r="CM530"/>
      <c r="CN530"/>
      <c r="CO530"/>
      <c r="CP530"/>
    </row>
    <row r="531" spans="1:94" x14ac:dyDescent="0.35">
      <c r="A531" s="1172"/>
      <c r="B531" s="1172"/>
      <c r="C531" s="1172"/>
      <c r="D531" s="1172"/>
      <c r="E531" s="1173"/>
      <c r="F531" s="1173"/>
      <c r="G531" s="1173"/>
      <c r="H531" s="1173"/>
      <c r="I531" s="1173"/>
      <c r="J531" s="1173"/>
      <c r="K531" s="1173"/>
      <c r="L531" s="493" t="str" cm="1">
        <f t="array" ref="L531">IF(A531&lt;&gt;"",IFERROR(INDEX(PMtbl[[WKst]:[Unit of measure*]],MATCH($A$437&amp;$A531&amp;$E531&amp;$I531,INDEX(PMtbl[Sec]&amp;PMtbl[Category]&amp;PMtbl[Each]&amp;PMtbl[Packaging],0,),0),14),""),"")</f>
        <v/>
      </c>
      <c r="M531" s="480" t="str">
        <f>IF(L531="","",INDEX(SETUP!$E$20:$E$122,(MATCH(INDEX(PMsheet!$D:$E,MATCH(A531,PMsheet!E:E,0),1),SETUP!$D$20:$D$122,0))))</f>
        <v/>
      </c>
      <c r="N531" s="494">
        <f>IF($O531="USD",_xlfn.IFNA(VLOOKUP(A531&amp;E531&amp;I531,PMsheet!J:K,2,0),0),(_xlfn.IFNA(VLOOKUP(A531&amp;E531&amp;I531,PMsheet!J:K,2,0),0)*'Master Data-C19RM'!$C$2))</f>
        <v>0</v>
      </c>
      <c r="O531" s="495" t="str">
        <f>IF(L531="", "",SETUP!$E$7)</f>
        <v/>
      </c>
      <c r="P531" s="445">
        <f>IF($O531="USD",_xlfn.IFNA(VLOOKUP($A531&amp;$E531&amp;$I531,PMsheet!$J:$K,2,0),0),(_xlfn.IFNA(VLOOKUP($A531&amp;$E531&amp;$I531,PMsheet!$J:$K,2,0),0)*'Master Data-C19RM'!$C$2))</f>
        <v>0</v>
      </c>
      <c r="Q531" s="440"/>
      <c r="R531" s="440"/>
      <c r="S531" s="440"/>
      <c r="T531" s="440"/>
      <c r="U531" s="482">
        <f t="shared" si="61"/>
        <v>0</v>
      </c>
      <c r="V531" s="484">
        <f>IF(SETUP!$E$7="USD",(U531*(IF(O531="USD",P531,(P531/'Master Data-C19RM'!$C$2)))),(U531*(IF(O531="EUR",P531,(P531*'Master Data-C19RM'!$C$2)))))</f>
        <v>0</v>
      </c>
      <c r="W531" s="445">
        <f>IF($O531="USD",_xlfn.IFNA(VLOOKUP($A531&amp;$E531&amp;$I531,PMsheet!$J:$K,2,0),0),(_xlfn.IFNA(VLOOKUP($A531&amp;$E531&amp;$I531,PMsheet!$J:$K,2,0),0)*'Master Data-C19RM'!$D$2))</f>
        <v>0</v>
      </c>
      <c r="X531" s="440"/>
      <c r="Y531" s="440"/>
      <c r="Z531" s="440"/>
      <c r="AA531" s="440"/>
      <c r="AB531" s="482">
        <f t="shared" si="62"/>
        <v>0</v>
      </c>
      <c r="AC531" s="484">
        <f>IF(SETUP!$E$7="USD",(AB531*(IF(O531="USD",W531,(W531/'Master Data-C19RM'!$D$2)))),(AB531*(IF(O531="EUR",W531,(W531*'Master Data-C19RM'!$D$2)))))</f>
        <v>0</v>
      </c>
      <c r="AD531" s="445">
        <f>IF($O531="USD",_xlfn.IFNA(VLOOKUP($A531&amp;$E531&amp;$I531,PMsheet!$J:$K,2,0),0),(_xlfn.IFNA(VLOOKUP($A531&amp;$E531&amp;$I531,PMsheet!$J:$K,2,0),0)*'Master Data-C19RM'!$E$2))</f>
        <v>0</v>
      </c>
      <c r="AE531" s="440"/>
      <c r="AF531" s="440"/>
      <c r="AG531" s="440"/>
      <c r="AH531" s="440"/>
      <c r="AI531" s="514">
        <f t="shared" si="63"/>
        <v>0</v>
      </c>
      <c r="AJ531" s="515">
        <f>IF(SETUP!$E$7="USD",(AI531*(IF(O531="USD",AD531,(AD531/'Master Data-C19RM'!$E$2)))),(AI531*(IF(O531="EUR",AD531,(AD531*'Master Data-C19RM'!$E$2)))))</f>
        <v>0</v>
      </c>
      <c r="AK531" s="445">
        <f>IF($O531="USD",_xlfn.IFNA(VLOOKUP($A531&amp;$E531&amp;$I531,PMsheet!$J:$K,2,0),0),(_xlfn.IFNA(VLOOKUP($A531&amp;$E531&amp;$I531,PMsheet!$J:$K,2,0),0)*'Master Data-C19RM'!$F$2))</f>
        <v>0</v>
      </c>
      <c r="AL531" s="440"/>
      <c r="AM531" s="440"/>
      <c r="AN531" s="440"/>
      <c r="AO531" s="440"/>
      <c r="AP531" s="514">
        <f t="shared" si="66"/>
        <v>0</v>
      </c>
      <c r="AQ531" s="515">
        <f>IF(SETUP!$E$7="USD",(AP531*(IF(O531="USD",AK531,(AK531/'Master Data-C19RM'!$F$2)))),(AP531*(IF(O531="EUR",AK531,(AK531*'Master Data-C19RM'!$F$2)))))</f>
        <v>0</v>
      </c>
      <c r="AR531" s="925">
        <f>IF($O531="USD",_xlfn.IFNA(VLOOKUP($A531&amp;$E531&amp;$I531,PMsheet!$J:$K,2,0),0),(_xlfn.IFNA(VLOOKUP($A531&amp;$E531&amp;$I531,PMsheet!$J:$K,2,0),0)*'Master Data-C19RM'!$G$2))</f>
        <v>0</v>
      </c>
      <c r="AS531" s="926"/>
      <c r="AT531" s="926"/>
      <c r="AU531" s="926"/>
      <c r="AV531" s="926"/>
      <c r="AW531" s="514">
        <f t="shared" si="69"/>
        <v>0</v>
      </c>
      <c r="AX531" s="514">
        <f>IF(SETUP!$E$7="USD",(AW531*(IF(O531="USD",AR531,(AR531/'Master Data-C19RM'!$G$2)))),(AW531*(IF(O531="EUR",AR531,(AR531*'Master Data-C19RM'!$G$2)))))</f>
        <v>0</v>
      </c>
      <c r="AY531" s="845"/>
      <c r="AZ531" s="846"/>
      <c r="BA531" s="846"/>
      <c r="BB531" s="846"/>
      <c r="BC531" s="846"/>
      <c r="BD531" s="846"/>
      <c r="BE531" s="847"/>
      <c r="BF531" s="521">
        <f>'C19RM 2021-Lab &amp; Other HPS'!$U531+'C19RM 2021-Lab &amp; Other HPS'!$AB531+'C19RM 2021-Lab &amp; Other HPS'!$AP531+'C19RM 2021-Lab &amp; Other HPS'!$AI531+AW531+BD531</f>
        <v>0</v>
      </c>
      <c r="BG531" s="515">
        <f>'C19RM 2021-Lab &amp; Other HPS'!$V531+'C19RM 2021-Lab &amp; Other HPS'!$AC531+'C19RM 2021-Lab &amp; Other HPS'!$AQ531+'C19RM 2021-Lab &amp; Other HPS'!$AJ531+AX531+BE531</f>
        <v>0</v>
      </c>
      <c r="BH531" s="522" t="str" cm="1">
        <f t="array" ref="BH531">IF(A531&lt;&gt;"",IFERROR(INDEX(PMtbl[[WKst]:[Unit of measure*]],MATCH($A$437&amp;$A531&amp;$E531&amp;$I531,INDEX(PMtbl[Sec]&amp;PMtbl[Category]&amp;PMtbl[Each]&amp;PMtbl[Packaging],0,),0),11),""),"")</f>
        <v/>
      </c>
      <c r="BI531" s="818"/>
      <c r="BJ531" s="503" t="str" cm="1">
        <f t="array" ref="BJ531">IFERROR(INDEX(SETUP!$C$19:$G$121,MATCH((INDEX(PMtbl[[WKst]:[Unit of measure*]],MATCH($A531&amp;$E531&amp;$I531,INDEX(PMtbl[Category]&amp;PMtbl[Each]&amp;PMtbl[Packaging],0,),0),3)),SETUP!$D$19:$D$121,0),5),"")</f>
        <v/>
      </c>
      <c r="BK531" s="537"/>
      <c r="BL531" s="578"/>
      <c r="BO531" s="12">
        <f>IF(N531="",0,IF(SETUP!$E$7="USD",((IF(O531="USD",P531,(P531/'Master Data-C19RM'!$C$2)))),((IF(O531="EUR",P531,(P531*'Master Data-C19RM'!$C$2))))))</f>
        <v>0</v>
      </c>
      <c r="BP531" s="12">
        <f>IF(N531="",0,IF(SETUP!$E$7="USD",((IF(O531="USD",W531,(W531/'Master Data-C19RM'!$D$2)))),((IF(O531="EUR",W531,(W531*'Master Data-C19RM'!$D$2))))))</f>
        <v>0</v>
      </c>
      <c r="BQ531">
        <f>IF(N531="",0,IF(SETUP!$E$7="USD",((IF(O531="USD",AD531,(AD531/'Master Data-C19RM'!$E$2)))),((IF(O531="EUR",AD531,(AD531*'Master Data-C19RM'!$E$2))))))</f>
        <v>0</v>
      </c>
      <c r="BR531">
        <f>IF(N531="",0,IF(SETUP!$E$7="USD",((IF(O531="USD",AK531,(AK531/'Master Data-C19RM'!$F$2)))),((IF(O531="EUR",AK531,(AK531*'Master Data-C19RM'!$F$2))))))</f>
        <v>0</v>
      </c>
      <c r="BS531">
        <f>IF(N531="",0,IF(SETUP!$E$7="USD",((IF(O531="USD",AR531,(AR531/'Master Data-C19RM'!$G$2)))),((IF(O531="EUR",AR531,(AR531*'Master Data-C19RM'!$G$2))))))</f>
        <v>0</v>
      </c>
      <c r="BT531">
        <f>IF(N531="",0,IF(SETUP!$E$7="USD",((IF(O531="USD",AY531,(AY531/'Master Data-C19RM'!$H$2)))),((IF(O531="EUR",AY531,(AY531*'Master Data-C19RM'!$H$2))))))</f>
        <v>0</v>
      </c>
      <c r="BU531" s="12">
        <f t="shared" si="67"/>
        <v>0</v>
      </c>
      <c r="BV531" s="142">
        <f t="shared" si="68"/>
        <v>0</v>
      </c>
    </row>
    <row r="532" spans="1:94" x14ac:dyDescent="0.35">
      <c r="A532" s="1165"/>
      <c r="B532" s="1165"/>
      <c r="C532" s="1165"/>
      <c r="D532" s="1165"/>
      <c r="E532" s="1166"/>
      <c r="F532" s="1166"/>
      <c r="G532" s="1166"/>
      <c r="H532" s="1166"/>
      <c r="I532" s="1166"/>
      <c r="J532" s="1166"/>
      <c r="K532" s="1166"/>
      <c r="L532" s="490" t="str" cm="1">
        <f t="array" ref="L532">IF(A532&lt;&gt;"",IFERROR(INDEX(PMtbl[[WKst]:[Unit of measure*]],MATCH($A$437&amp;$A532&amp;$E532&amp;$I532,INDEX(PMtbl[Sec]&amp;PMtbl[Category]&amp;PMtbl[Each]&amp;PMtbl[Packaging],0,),0),14),""),"")</f>
        <v/>
      </c>
      <c r="M532" s="479" t="str">
        <f>IF(L532="","",INDEX(SETUP!$E$20:$E$122,(MATCH(INDEX(PMsheet!$D:$E,MATCH(A532,PMsheet!E:E,0),1),SETUP!$D$20:$D$122,0))))</f>
        <v/>
      </c>
      <c r="N532" s="491">
        <f>IF($O532="USD",_xlfn.IFNA(VLOOKUP(A532&amp;E532&amp;I532,PMsheet!J:K,2,0),0),(_xlfn.IFNA(VLOOKUP(A532&amp;E532&amp;I532,PMsheet!J:K,2,0),0)*'Master Data-C19RM'!$C$2))</f>
        <v>0</v>
      </c>
      <c r="O532" s="492" t="str">
        <f>IF(L532="", "",SETUP!$E$7)</f>
        <v/>
      </c>
      <c r="P532" s="444">
        <f>IF($O532="USD",_xlfn.IFNA(VLOOKUP($A532&amp;$E532&amp;$I532,PMsheet!$J:$K,2,0),0),(_xlfn.IFNA(VLOOKUP($A532&amp;$E532&amp;$I532,PMsheet!$J:$K,2,0),0)*'Master Data-C19RM'!$C$2))</f>
        <v>0</v>
      </c>
      <c r="Q532" s="441"/>
      <c r="R532" s="441"/>
      <c r="S532" s="441"/>
      <c r="T532" s="441"/>
      <c r="U532" s="481">
        <f t="shared" si="61"/>
        <v>0</v>
      </c>
      <c r="V532" s="483">
        <f>IF(SETUP!$E$7="USD",(U532*(IF(O532="USD",P532,(P532/'Master Data-C19RM'!$C$2)))),(U532*(IF(O532="EUR",P532,(P532*'Master Data-C19RM'!$C$2)))))</f>
        <v>0</v>
      </c>
      <c r="W532" s="444">
        <f>IF($O532="USD",_xlfn.IFNA(VLOOKUP($A532&amp;$E532&amp;$I532,PMsheet!$J:$K,2,0),0),(_xlfn.IFNA(VLOOKUP($A532&amp;$E532&amp;$I532,PMsheet!$J:$K,2,0),0)*'Master Data-C19RM'!$D$2))</f>
        <v>0</v>
      </c>
      <c r="X532" s="441"/>
      <c r="Y532" s="441"/>
      <c r="Z532" s="441"/>
      <c r="AA532" s="441"/>
      <c r="AB532" s="481">
        <f t="shared" si="62"/>
        <v>0</v>
      </c>
      <c r="AC532" s="483">
        <f>IF(SETUP!$E$7="USD",(AB532*(IF(O532="USD",W532,(W532/'Master Data-C19RM'!$D$2)))),(AB532*(IF(O532="EUR",W532,(W532*'Master Data-C19RM'!$D$2)))))</f>
        <v>0</v>
      </c>
      <c r="AD532" s="444">
        <f>IF($O532="USD",_xlfn.IFNA(VLOOKUP($A532&amp;$E532&amp;$I532,PMsheet!$J:$K,2,0),0),(_xlfn.IFNA(VLOOKUP($A532&amp;$E532&amp;$I532,PMsheet!$J:$K,2,0),0)*'Master Data-C19RM'!$E$2))</f>
        <v>0</v>
      </c>
      <c r="AE532" s="441"/>
      <c r="AF532" s="441"/>
      <c r="AG532" s="441"/>
      <c r="AH532" s="441"/>
      <c r="AI532" s="512">
        <f t="shared" si="63"/>
        <v>0</v>
      </c>
      <c r="AJ532" s="513">
        <f>IF(SETUP!$E$7="USD",(AI532*(IF(O532="USD",AD532,(AD532/'Master Data-C19RM'!$E$2)))),(AI532*(IF(O532="EUR",AD532,(AD532*'Master Data-C19RM'!$E$2)))))</f>
        <v>0</v>
      </c>
      <c r="AK532" s="444">
        <f>IF($O532="USD",_xlfn.IFNA(VLOOKUP($A532&amp;$E532&amp;$I532,PMsheet!$J:$K,2,0),0),(_xlfn.IFNA(VLOOKUP($A532&amp;$E532&amp;$I532,PMsheet!$J:$K,2,0),0)*'Master Data-C19RM'!$F$2))</f>
        <v>0</v>
      </c>
      <c r="AL532" s="441"/>
      <c r="AM532" s="441"/>
      <c r="AN532" s="441"/>
      <c r="AO532" s="441"/>
      <c r="AP532" s="512">
        <f t="shared" si="66"/>
        <v>0</v>
      </c>
      <c r="AQ532" s="513">
        <f>IF(SETUP!$E$7="USD",(AP532*(IF(O532="USD",AK532,(AK532/'Master Data-C19RM'!$F$2)))),(AP532*(IF(O532="EUR",AK532,(AK532*'Master Data-C19RM'!$F$2)))))</f>
        <v>0</v>
      </c>
      <c r="AR532" s="924">
        <f>IF($O532="USD",_xlfn.IFNA(VLOOKUP($A532&amp;$E532&amp;$I532,PMsheet!$J:$K,2,0),0),(_xlfn.IFNA(VLOOKUP($A532&amp;$E532&amp;$I532,PMsheet!$J:$K,2,0),0)*'Master Data-C19RM'!$G$2))</f>
        <v>0</v>
      </c>
      <c r="AS532" s="572"/>
      <c r="AT532" s="572"/>
      <c r="AU532" s="572"/>
      <c r="AV532" s="572"/>
      <c r="AW532" s="512">
        <f t="shared" si="69"/>
        <v>0</v>
      </c>
      <c r="AX532" s="512">
        <f>IF(SETUP!$E$7="USD",(AW532*(IF(O532="USD",AR532,(AR532/'Master Data-C19RM'!$G$2)))),(AW532*(IF(O532="EUR",AR532,(AR532*'Master Data-C19RM'!$G$2)))))</f>
        <v>0</v>
      </c>
      <c r="AY532" s="845"/>
      <c r="AZ532" s="846"/>
      <c r="BA532" s="846"/>
      <c r="BB532" s="846"/>
      <c r="BC532" s="846"/>
      <c r="BD532" s="846"/>
      <c r="BE532" s="847"/>
      <c r="BF532" s="520">
        <f>'C19RM 2021-Lab &amp; Other HPS'!$U532+'C19RM 2021-Lab &amp; Other HPS'!$AB532+'C19RM 2021-Lab &amp; Other HPS'!$AP532+'C19RM 2021-Lab &amp; Other HPS'!$AI532+AW532+BD532</f>
        <v>0</v>
      </c>
      <c r="BG532" s="513">
        <f>'C19RM 2021-Lab &amp; Other HPS'!$V532+'C19RM 2021-Lab &amp; Other HPS'!$AC532+'C19RM 2021-Lab &amp; Other HPS'!$AQ532+'C19RM 2021-Lab &amp; Other HPS'!$AJ532+AX532+BE532</f>
        <v>0</v>
      </c>
      <c r="BH532" s="500" t="str" cm="1">
        <f t="array" ref="BH532">IF(A532&lt;&gt;"",IFERROR(INDEX(PMtbl[[WKst]:[Unit of measure*]],MATCH($A$437&amp;$A532&amp;$E532&amp;$I532,INDEX(PMtbl[Sec]&amp;PMtbl[Category]&amp;PMtbl[Each]&amp;PMtbl[Packaging],0,),0),11),""),"")</f>
        <v/>
      </c>
      <c r="BI532" s="819"/>
      <c r="BJ532" s="502" t="str" cm="1">
        <f t="array" ref="BJ532">IFERROR(INDEX(SETUP!$C$19:$G$121,MATCH((INDEX(PMtbl[[WKst]:[Unit of measure*]],MATCH($A532&amp;$E532&amp;$I532,INDEX(PMtbl[Category]&amp;PMtbl[Each]&amp;PMtbl[Packaging],0,),0),3)),SETUP!$D$19:$D$121,0),5),"")</f>
        <v/>
      </c>
      <c r="BK532" s="536"/>
      <c r="BL532" s="577"/>
      <c r="BO532" s="12">
        <f>IF(N532="",0,IF(SETUP!$E$7="USD",((IF(O532="USD",P532,(P532/'Master Data-C19RM'!$C$2)))),((IF(O532="EUR",P532,(P532*'Master Data-C19RM'!$C$2))))))</f>
        <v>0</v>
      </c>
      <c r="BP532" s="12">
        <f>IF(N532="",0,IF(SETUP!$E$7="USD",((IF(O532="USD",W532,(W532/'Master Data-C19RM'!$D$2)))),((IF(O532="EUR",W532,(W532*'Master Data-C19RM'!$D$2))))))</f>
        <v>0</v>
      </c>
      <c r="BQ532">
        <f>IF(N532="",0,IF(SETUP!$E$7="USD",((IF(O532="USD",AD532,(AD532/'Master Data-C19RM'!$E$2)))),((IF(O532="EUR",AD532,(AD532*'Master Data-C19RM'!$E$2))))))</f>
        <v>0</v>
      </c>
      <c r="BR532">
        <f>IF(N532="",0,IF(SETUP!$E$7="USD",((IF(O532="USD",AK532,(AK532/'Master Data-C19RM'!$F$2)))),((IF(O532="EUR",AK532,(AK532*'Master Data-C19RM'!$F$2))))))</f>
        <v>0</v>
      </c>
      <c r="BS532">
        <f>IF(N532="",0,IF(SETUP!$E$7="USD",((IF(O532="USD",AR532,(AR532/'Master Data-C19RM'!$G$2)))),((IF(O532="EUR",AR532,(AR532*'Master Data-C19RM'!$G$2))))))</f>
        <v>0</v>
      </c>
      <c r="BT532">
        <f>IF(N532="",0,IF(SETUP!$E$7="USD",((IF(O532="USD",AY532,(AY532/'Master Data-C19RM'!$H$2)))),((IF(O532="EUR",AY532,(AY532*'Master Data-C19RM'!$H$2))))))</f>
        <v>0</v>
      </c>
      <c r="BU532" s="12">
        <f t="shared" si="67"/>
        <v>0</v>
      </c>
      <c r="BV532" s="142">
        <f t="shared" si="68"/>
        <v>0</v>
      </c>
    </row>
    <row r="533" spans="1:94" x14ac:dyDescent="0.35">
      <c r="A533" s="1172"/>
      <c r="B533" s="1172"/>
      <c r="C533" s="1172"/>
      <c r="D533" s="1172"/>
      <c r="E533" s="1173"/>
      <c r="F533" s="1173"/>
      <c r="G533" s="1173"/>
      <c r="H533" s="1173"/>
      <c r="I533" s="1173"/>
      <c r="J533" s="1173"/>
      <c r="K533" s="1173"/>
      <c r="L533" s="493" t="str" cm="1">
        <f t="array" ref="L533">IF(A533&lt;&gt;"",IFERROR(INDEX(PMtbl[[WKst]:[Unit of measure*]],MATCH($A$437&amp;$A533&amp;$E533&amp;$I533,INDEX(PMtbl[Sec]&amp;PMtbl[Category]&amp;PMtbl[Each]&amp;PMtbl[Packaging],0,),0),14),""),"")</f>
        <v/>
      </c>
      <c r="M533" s="480" t="str">
        <f>IF(L533="","",INDEX(SETUP!$E$20:$E$122,(MATCH(INDEX(PMsheet!$D:$E,MATCH(A533,PMsheet!E:E,0),1),SETUP!$D$20:$D$122,0))))</f>
        <v/>
      </c>
      <c r="N533" s="494">
        <f>IF($O533="USD",_xlfn.IFNA(VLOOKUP(A533&amp;E533&amp;I533,PMsheet!J:K,2,0),0),(_xlfn.IFNA(VLOOKUP(A533&amp;E533&amp;I533,PMsheet!J:K,2,0),0)*'Master Data-C19RM'!$C$2))</f>
        <v>0</v>
      </c>
      <c r="O533" s="495" t="str">
        <f>IF(L533="", "",SETUP!$E$7)</f>
        <v/>
      </c>
      <c r="P533" s="445">
        <f>IF($O533="USD",_xlfn.IFNA(VLOOKUP($A533&amp;$E533&amp;$I533,PMsheet!$J:$K,2,0),0),(_xlfn.IFNA(VLOOKUP($A533&amp;$E533&amp;$I533,PMsheet!$J:$K,2,0),0)*'Master Data-C19RM'!$C$2))</f>
        <v>0</v>
      </c>
      <c r="Q533" s="440"/>
      <c r="R533" s="440"/>
      <c r="S533" s="440"/>
      <c r="T533" s="440"/>
      <c r="U533" s="482">
        <f t="shared" si="61"/>
        <v>0</v>
      </c>
      <c r="V533" s="484">
        <f>IF(SETUP!$E$7="USD",(U533*(IF(O533="USD",P533,(P533/'Master Data-C19RM'!$C$2)))),(U533*(IF(O533="EUR",P533,(P533*'Master Data-C19RM'!$C$2)))))</f>
        <v>0</v>
      </c>
      <c r="W533" s="445">
        <f>IF($O533="USD",_xlfn.IFNA(VLOOKUP($A533&amp;$E533&amp;$I533,PMsheet!$J:$K,2,0),0),(_xlfn.IFNA(VLOOKUP($A533&amp;$E533&amp;$I533,PMsheet!$J:$K,2,0),0)*'Master Data-C19RM'!$D$2))</f>
        <v>0</v>
      </c>
      <c r="X533" s="440"/>
      <c r="Y533" s="440"/>
      <c r="Z533" s="440"/>
      <c r="AA533" s="440"/>
      <c r="AB533" s="482">
        <f t="shared" si="62"/>
        <v>0</v>
      </c>
      <c r="AC533" s="484">
        <f>IF(SETUP!$E$7="USD",(AB533*(IF(O533="USD",W533,(W533/'Master Data-C19RM'!$D$2)))),(AB533*(IF(O533="EUR",W533,(W533*'Master Data-C19RM'!$D$2)))))</f>
        <v>0</v>
      </c>
      <c r="AD533" s="445">
        <f>IF($O533="USD",_xlfn.IFNA(VLOOKUP($A533&amp;$E533&amp;$I533,PMsheet!$J:$K,2,0),0),(_xlfn.IFNA(VLOOKUP($A533&amp;$E533&amp;$I533,PMsheet!$J:$K,2,0),0)*'Master Data-C19RM'!$E$2))</f>
        <v>0</v>
      </c>
      <c r="AE533" s="440"/>
      <c r="AF533" s="440"/>
      <c r="AG533" s="440"/>
      <c r="AH533" s="440"/>
      <c r="AI533" s="514">
        <f t="shared" si="63"/>
        <v>0</v>
      </c>
      <c r="AJ533" s="515">
        <f>IF(SETUP!$E$7="USD",(AI533*(IF(O533="USD",AD533,(AD533/'Master Data-C19RM'!$E$2)))),(AI533*(IF(O533="EUR",AD533,(AD533*'Master Data-C19RM'!$E$2)))))</f>
        <v>0</v>
      </c>
      <c r="AK533" s="445">
        <f>IF($O533="USD",_xlfn.IFNA(VLOOKUP($A533&amp;$E533&amp;$I533,PMsheet!$J:$K,2,0),0),(_xlfn.IFNA(VLOOKUP($A533&amp;$E533&amp;$I533,PMsheet!$J:$K,2,0),0)*'Master Data-C19RM'!$F$2))</f>
        <v>0</v>
      </c>
      <c r="AL533" s="440"/>
      <c r="AM533" s="440"/>
      <c r="AN533" s="440"/>
      <c r="AO533" s="440"/>
      <c r="AP533" s="514">
        <f t="shared" si="66"/>
        <v>0</v>
      </c>
      <c r="AQ533" s="515">
        <f>IF(SETUP!$E$7="USD",(AP533*(IF(O533="USD",AK533,(AK533/'Master Data-C19RM'!$F$2)))),(AP533*(IF(O533="EUR",AK533,(AK533*'Master Data-C19RM'!$F$2)))))</f>
        <v>0</v>
      </c>
      <c r="AR533" s="925">
        <f>IF($O533="USD",_xlfn.IFNA(VLOOKUP($A533&amp;$E533&amp;$I533,PMsheet!$J:$K,2,0),0),(_xlfn.IFNA(VLOOKUP($A533&amp;$E533&amp;$I533,PMsheet!$J:$K,2,0),0)*'Master Data-C19RM'!$G$2))</f>
        <v>0</v>
      </c>
      <c r="AS533" s="926"/>
      <c r="AT533" s="926"/>
      <c r="AU533" s="926"/>
      <c r="AV533" s="926"/>
      <c r="AW533" s="514">
        <f t="shared" si="69"/>
        <v>0</v>
      </c>
      <c r="AX533" s="514">
        <f>IF(SETUP!$E$7="USD",(AW533*(IF(O533="USD",AR533,(AR533/'Master Data-C19RM'!$G$2)))),(AW533*(IF(O533="EUR",AR533,(AR533*'Master Data-C19RM'!$G$2)))))</f>
        <v>0</v>
      </c>
      <c r="AY533" s="845"/>
      <c r="AZ533" s="846"/>
      <c r="BA533" s="846"/>
      <c r="BB533" s="846"/>
      <c r="BC533" s="846"/>
      <c r="BD533" s="846"/>
      <c r="BE533" s="847"/>
      <c r="BF533" s="521">
        <f>'C19RM 2021-Lab &amp; Other HPS'!$U533+'C19RM 2021-Lab &amp; Other HPS'!$AB533+'C19RM 2021-Lab &amp; Other HPS'!$AP533+'C19RM 2021-Lab &amp; Other HPS'!$AI533+AW533+BD533</f>
        <v>0</v>
      </c>
      <c r="BG533" s="515">
        <f>'C19RM 2021-Lab &amp; Other HPS'!$V533+'C19RM 2021-Lab &amp; Other HPS'!$AC533+'C19RM 2021-Lab &amp; Other HPS'!$AQ533+'C19RM 2021-Lab &amp; Other HPS'!$AJ533+AX533+BE533</f>
        <v>0</v>
      </c>
      <c r="BH533" s="522" t="str" cm="1">
        <f t="array" ref="BH533">IF(A533&lt;&gt;"",IFERROR(INDEX(PMtbl[[WKst]:[Unit of measure*]],MATCH($A$437&amp;$A533&amp;$E533&amp;$I533,INDEX(PMtbl[Sec]&amp;PMtbl[Category]&amp;PMtbl[Each]&amp;PMtbl[Packaging],0,),0),11),""),"")</f>
        <v/>
      </c>
      <c r="BI533" s="818"/>
      <c r="BJ533" s="503" t="str" cm="1">
        <f t="array" ref="BJ533">IFERROR(INDEX(SETUP!$C$19:$G$121,MATCH((INDEX(PMtbl[[WKst]:[Unit of measure*]],MATCH($A533&amp;$E533&amp;$I533,INDEX(PMtbl[Category]&amp;PMtbl[Each]&amp;PMtbl[Packaging],0,),0),3)),SETUP!$D$19:$D$121,0),5),"")</f>
        <v/>
      </c>
      <c r="BK533" s="537"/>
      <c r="BL533" s="578"/>
      <c r="BO533" s="12">
        <f>IF(N533="",0,IF(SETUP!$E$7="USD",((IF(O533="USD",P533,(P533/'Master Data-C19RM'!$C$2)))),((IF(O533="EUR",P533,(P533*'Master Data-C19RM'!$C$2))))))</f>
        <v>0</v>
      </c>
      <c r="BP533" s="12">
        <f>IF(N533="",0,IF(SETUP!$E$7="USD",((IF(O533="USD",W533,(W533/'Master Data-C19RM'!$D$2)))),((IF(O533="EUR",W533,(W533*'Master Data-C19RM'!$D$2))))))</f>
        <v>0</v>
      </c>
      <c r="BQ533">
        <f>IF(N533="",0,IF(SETUP!$E$7="USD",((IF(O533="USD",AD533,(AD533/'Master Data-C19RM'!$E$2)))),((IF(O533="EUR",AD533,(AD533*'Master Data-C19RM'!$E$2))))))</f>
        <v>0</v>
      </c>
      <c r="BR533">
        <f>IF(N533="",0,IF(SETUP!$E$7="USD",((IF(O533="USD",AK533,(AK533/'Master Data-C19RM'!$F$2)))),((IF(O533="EUR",AK533,(AK533*'Master Data-C19RM'!$F$2))))))</f>
        <v>0</v>
      </c>
      <c r="BS533">
        <f>IF(N533="",0,IF(SETUP!$E$7="USD",((IF(O533="USD",AR533,(AR533/'Master Data-C19RM'!$G$2)))),((IF(O533="EUR",AR533,(AR533*'Master Data-C19RM'!$G$2))))))</f>
        <v>0</v>
      </c>
      <c r="BT533">
        <f>IF(N533="",0,IF(SETUP!$E$7="USD",((IF(O533="USD",AY533,(AY533/'Master Data-C19RM'!$H$2)))),((IF(O533="EUR",AY533,(AY533*'Master Data-C19RM'!$H$2))))))</f>
        <v>0</v>
      </c>
      <c r="BU533" s="12">
        <f t="shared" si="67"/>
        <v>0</v>
      </c>
      <c r="BV533" s="142">
        <f t="shared" si="68"/>
        <v>0</v>
      </c>
    </row>
    <row r="534" spans="1:94" s="24" customFormat="1" x14ac:dyDescent="0.35">
      <c r="A534" s="1196"/>
      <c r="B534" s="1196"/>
      <c r="C534" s="1196"/>
      <c r="D534" s="1196"/>
      <c r="E534" s="1166"/>
      <c r="F534" s="1166"/>
      <c r="G534" s="1166"/>
      <c r="H534" s="1166"/>
      <c r="I534" s="1166"/>
      <c r="J534" s="1166"/>
      <c r="K534" s="1166"/>
      <c r="L534" s="490" t="str" cm="1">
        <f t="array" ref="L534">IF(A534&lt;&gt;"",IFERROR(INDEX(PMtbl[[WKst]:[Unit of measure*]],MATCH($A$437&amp;$A534&amp;$E534&amp;$I534,INDEX(PMtbl[Sec]&amp;PMtbl[Category]&amp;PMtbl[Each]&amp;PMtbl[Packaging],0,),0),14),""),"")</f>
        <v/>
      </c>
      <c r="M534" s="479" t="str">
        <f>IF(L534="","",INDEX(SETUP!$E$20:$E$122,(MATCH(INDEX(PMsheet!$D:$E,MATCH(A534,PMsheet!E:E,0),1),SETUP!$D$20:$D$122,0))))</f>
        <v/>
      </c>
      <c r="N534" s="491">
        <f>IF($O534="USD",_xlfn.IFNA(VLOOKUP(A534&amp;E534&amp;I534,PMsheet!J:K,2,0),0),(_xlfn.IFNA(VLOOKUP(A534&amp;E534&amp;I534,PMsheet!J:K,2,0),0)*'Master Data-C19RM'!$C$2))</f>
        <v>0</v>
      </c>
      <c r="O534" s="573" t="str">
        <f>IF(L534="", "",SETUP!$E$7)</f>
        <v/>
      </c>
      <c r="P534" s="444">
        <f>IF($O534="USD",_xlfn.IFNA(VLOOKUP($A534&amp;$E534&amp;$I534,PMsheet!$J:$K,2,0),0),(_xlfn.IFNA(VLOOKUP($A534&amp;$E534&amp;$I534,PMsheet!$J:$K,2,0),0)*'Master Data-C19RM'!$C$2))</f>
        <v>0</v>
      </c>
      <c r="Q534" s="441"/>
      <c r="R534" s="441"/>
      <c r="S534" s="441"/>
      <c r="T534" s="441"/>
      <c r="U534" s="481">
        <f t="shared" si="61"/>
        <v>0</v>
      </c>
      <c r="V534" s="483">
        <f>IF(SETUP!$E$7="USD",(U534*(IF(O534="USD",P534,(P534/'Master Data-C19RM'!$C$2)))),(U534*(IF(O534="EUR",P534,(P534*'Master Data-C19RM'!$C$2)))))</f>
        <v>0</v>
      </c>
      <c r="W534" s="444">
        <f>IF($O534="USD",_xlfn.IFNA(VLOOKUP($A534&amp;$E534&amp;$I534,PMsheet!$J:$K,2,0),0),(_xlfn.IFNA(VLOOKUP($A534&amp;$E534&amp;$I534,PMsheet!$J:$K,2,0),0)*'Master Data-C19RM'!$D$2))</f>
        <v>0</v>
      </c>
      <c r="X534" s="441"/>
      <c r="Y534" s="441"/>
      <c r="Z534" s="441"/>
      <c r="AA534" s="441"/>
      <c r="AB534" s="481">
        <f t="shared" si="62"/>
        <v>0</v>
      </c>
      <c r="AC534" s="483">
        <f>IF(SETUP!$E$7="USD",(AB534*(IF(O534="USD",W534,(W534/'Master Data-C19RM'!$D$2)))),(AB534*(IF(O534="EUR",W534,(W534*'Master Data-C19RM'!$D$2)))))</f>
        <v>0</v>
      </c>
      <c r="AD534" s="444">
        <f>IF($O534="USD",_xlfn.IFNA(VLOOKUP($A534&amp;$E534&amp;$I534,PMsheet!$J:$K,2,0),0),(_xlfn.IFNA(VLOOKUP($A534&amp;$E534&amp;$I534,PMsheet!$J:$K,2,0),0)*'Master Data-C19RM'!$E$2))</f>
        <v>0</v>
      </c>
      <c r="AE534" s="441"/>
      <c r="AF534" s="441"/>
      <c r="AG534" s="441"/>
      <c r="AH534" s="441"/>
      <c r="AI534" s="512">
        <f t="shared" si="63"/>
        <v>0</v>
      </c>
      <c r="AJ534" s="513">
        <f>IF(SETUP!$E$7="USD",(AI534*(IF(O534="USD",AD534,(AD534/'Master Data-C19RM'!$E$2)))),(AI534*(IF(O534="EUR",AD534,(AD534*'Master Data-C19RM'!$E$2)))))</f>
        <v>0</v>
      </c>
      <c r="AK534" s="456">
        <f>IF($O534="USD",_xlfn.IFNA(VLOOKUP($A534&amp;$E534&amp;$I534,PMsheet!$J:$K,2,0),0),(_xlfn.IFNA(VLOOKUP($A534&amp;$E534&amp;$I534,PMsheet!$J:$K,2,0),0)*'Master Data-C19RM'!$F$2))</f>
        <v>0</v>
      </c>
      <c r="AL534" s="572"/>
      <c r="AM534" s="572"/>
      <c r="AN534" s="572"/>
      <c r="AO534" s="572"/>
      <c r="AP534" s="512">
        <f t="shared" si="66"/>
        <v>0</v>
      </c>
      <c r="AQ534" s="513">
        <f>IF(SETUP!$E$7="USD",(AP534*(IF(O534="USD",AK534,(AK534/'Master Data-C19RM'!$F$2)))),(AP534*(IF(O534="EUR",AK534,(AK534*'Master Data-C19RM'!$F$2)))))</f>
        <v>0</v>
      </c>
      <c r="AR534" s="924">
        <f>IF($O534="USD",_xlfn.IFNA(VLOOKUP($A534&amp;$E534&amp;$I534,PMsheet!$J:$K,2,0),0),(_xlfn.IFNA(VLOOKUP($A534&amp;$E534&amp;$I534,PMsheet!$J:$K,2,0),0)*'Master Data-C19RM'!$G$2))</f>
        <v>0</v>
      </c>
      <c r="AS534" s="572"/>
      <c r="AT534" s="572"/>
      <c r="AU534" s="572"/>
      <c r="AV534" s="572"/>
      <c r="AW534" s="512">
        <f t="shared" si="69"/>
        <v>0</v>
      </c>
      <c r="AX534" s="512">
        <f>IF(SETUP!$E$7="USD",(AW534*(IF(O534="USD",AR534,(AR534/'Master Data-C19RM'!$G$2)))),(AW534*(IF(O534="EUR",AR534,(AR534*'Master Data-C19RM'!$G$2)))))</f>
        <v>0</v>
      </c>
      <c r="AY534" s="845"/>
      <c r="AZ534" s="846"/>
      <c r="BA534" s="846"/>
      <c r="BB534" s="846"/>
      <c r="BC534" s="846"/>
      <c r="BD534" s="846"/>
      <c r="BE534" s="847"/>
      <c r="BF534" s="520">
        <f>'C19RM 2021-Lab &amp; Other HPS'!$U534+'C19RM 2021-Lab &amp; Other HPS'!$AB534+'C19RM 2021-Lab &amp; Other HPS'!$AP534+'C19RM 2021-Lab &amp; Other HPS'!$AI534+AW534+BD534</f>
        <v>0</v>
      </c>
      <c r="BG534" s="513">
        <f>'C19RM 2021-Lab &amp; Other HPS'!$V534+'C19RM 2021-Lab &amp; Other HPS'!$AC534+'C19RM 2021-Lab &amp; Other HPS'!$AQ534+'C19RM 2021-Lab &amp; Other HPS'!$AJ534+AX534+BE534</f>
        <v>0</v>
      </c>
      <c r="BH534" s="500" t="str" cm="1">
        <f t="array" ref="BH534">IF(A534&lt;&gt;"",IFERROR(INDEX(PMtbl[[WKst]:[Unit of measure*]],MATCH($A$437&amp;$A534&amp;$E534&amp;$I534,INDEX(PMtbl[Sec]&amp;PMtbl[Category]&amp;PMtbl[Each]&amp;PMtbl[Packaging],0,),0),11),""),"")</f>
        <v/>
      </c>
      <c r="BI534" s="819"/>
      <c r="BJ534" s="502" t="str" cm="1">
        <f t="array" ref="BJ534">IFERROR(INDEX(SETUP!$C$19:$G$121,MATCH((INDEX(PMtbl[[WKst]:[Unit of measure*]],MATCH($A534&amp;$E534&amp;$I534,INDEX(PMtbl[Category]&amp;PMtbl[Each]&amp;PMtbl[Packaging],0,),0),3)),SETUP!$D$19:$D$121,0),5),"")</f>
        <v/>
      </c>
      <c r="BK534" s="536"/>
      <c r="BL534" s="577"/>
      <c r="BO534" s="12">
        <f>IF(N534="",0,IF(SETUP!$E$7="USD",((IF(O534="USD",P534,(P534/'Master Data-C19RM'!$C$2)))),((IF(O534="EUR",P534,(P534*'Master Data-C19RM'!$C$2))))))</f>
        <v>0</v>
      </c>
      <c r="BP534" s="12">
        <f>IF(N534="",0,IF(SETUP!$E$7="USD",((IF(O534="USD",W534,(W534/'Master Data-C19RM'!$D$2)))),((IF(O534="EUR",W534,(W534*'Master Data-C19RM'!$D$2))))))</f>
        <v>0</v>
      </c>
      <c r="BQ534">
        <f>IF(N534="",0,IF(SETUP!$E$7="USD",((IF(O534="USD",AD534,(AD534/'Master Data-C19RM'!$E$2)))),((IF(O534="EUR",AD534,(AD534*'Master Data-C19RM'!$E$2))))))</f>
        <v>0</v>
      </c>
      <c r="BR534">
        <f>IF(N534="",0,IF(SETUP!$E$7="USD",((IF(O534="USD",AK534,(AK534/'Master Data-C19RM'!$F$2)))),((IF(O534="EUR",AK534,(AK534*'Master Data-C19RM'!$F$2))))))</f>
        <v>0</v>
      </c>
      <c r="BS534">
        <f>IF(N534="",0,IF(SETUP!$E$7="USD",((IF(O534="USD",AR534,(AR534/'Master Data-C19RM'!$G$2)))),((IF(O534="EUR",AR534,(AR534*'Master Data-C19RM'!$G$2))))))</f>
        <v>0</v>
      </c>
      <c r="BT534">
        <f>IF(N534="",0,IF(SETUP!$E$7="USD",((IF(O534="USD",AY534,(AY534/'Master Data-C19RM'!$H$2)))),((IF(O534="EUR",AY534,(AY534*'Master Data-C19RM'!$H$2))))))</f>
        <v>0</v>
      </c>
      <c r="BU534" s="12">
        <f t="shared" si="67"/>
        <v>0</v>
      </c>
      <c r="BV534" s="142">
        <f t="shared" si="68"/>
        <v>0</v>
      </c>
      <c r="BW534"/>
      <c r="BX534"/>
      <c r="BY534"/>
      <c r="BZ534"/>
      <c r="CA534"/>
      <c r="CB534"/>
      <c r="CC534"/>
      <c r="CD534"/>
      <c r="CE534"/>
      <c r="CF534"/>
      <c r="CG534"/>
      <c r="CH534"/>
      <c r="CI534"/>
      <c r="CJ534"/>
      <c r="CK534"/>
      <c r="CL534"/>
      <c r="CM534"/>
      <c r="CN534"/>
      <c r="CO534"/>
      <c r="CP534"/>
    </row>
    <row r="535" spans="1:94" x14ac:dyDescent="0.35">
      <c r="A535" s="1172"/>
      <c r="B535" s="1172"/>
      <c r="C535" s="1172"/>
      <c r="D535" s="1172"/>
      <c r="E535" s="1173"/>
      <c r="F535" s="1173"/>
      <c r="G535" s="1173"/>
      <c r="H535" s="1173"/>
      <c r="I535" s="1173"/>
      <c r="J535" s="1173"/>
      <c r="K535" s="1173"/>
      <c r="L535" s="493" t="str" cm="1">
        <f t="array" ref="L535">IF(A535&lt;&gt;"",IFERROR(INDEX(PMtbl[[WKst]:[Unit of measure*]],MATCH($A$437&amp;$A535&amp;$E535&amp;$I535,INDEX(PMtbl[Sec]&amp;PMtbl[Category]&amp;PMtbl[Each]&amp;PMtbl[Packaging],0,),0),14),""),"")</f>
        <v/>
      </c>
      <c r="M535" s="480" t="str">
        <f>IF(L535="","",INDEX(SETUP!$E$20:$E$122,(MATCH(INDEX(PMsheet!$D:$E,MATCH(A535,PMsheet!E:E,0),1),SETUP!$D$20:$D$122,0))))</f>
        <v/>
      </c>
      <c r="N535" s="494">
        <f>IF($O535="USD",_xlfn.IFNA(VLOOKUP(A535&amp;E535&amp;I535,PMsheet!J:K,2,0),0),(_xlfn.IFNA(VLOOKUP(A535&amp;E535&amp;I535,PMsheet!J:K,2,0),0)*'Master Data-C19RM'!$C$2))</f>
        <v>0</v>
      </c>
      <c r="O535" s="495" t="str">
        <f>IF(L535="", "",SETUP!$E$7)</f>
        <v/>
      </c>
      <c r="P535" s="445">
        <f>IF($O535="USD",_xlfn.IFNA(VLOOKUP($A535&amp;$E535&amp;$I535,PMsheet!$J:$K,2,0),0),(_xlfn.IFNA(VLOOKUP($A535&amp;$E535&amp;$I535,PMsheet!$J:$K,2,0),0)*'Master Data-C19RM'!$C$2))</f>
        <v>0</v>
      </c>
      <c r="Q535" s="440"/>
      <c r="R535" s="440"/>
      <c r="S535" s="440"/>
      <c r="T535" s="440"/>
      <c r="U535" s="482">
        <f t="shared" si="61"/>
        <v>0</v>
      </c>
      <c r="V535" s="484">
        <f>IF(SETUP!$E$7="USD",(U535*(IF(O535="USD",P535,(P535/'Master Data-C19RM'!$C$2)))),(U535*(IF(O535="EUR",P535,(P535*'Master Data-C19RM'!$C$2)))))</f>
        <v>0</v>
      </c>
      <c r="W535" s="445">
        <f>IF($O535="USD",_xlfn.IFNA(VLOOKUP($A535&amp;$E535&amp;$I535,PMsheet!$J:$K,2,0),0),(_xlfn.IFNA(VLOOKUP($A535&amp;$E535&amp;$I535,PMsheet!$J:$K,2,0),0)*'Master Data-C19RM'!$D$2))</f>
        <v>0</v>
      </c>
      <c r="X535" s="440"/>
      <c r="Y535" s="440"/>
      <c r="Z535" s="440"/>
      <c r="AA535" s="440"/>
      <c r="AB535" s="482">
        <f t="shared" si="62"/>
        <v>0</v>
      </c>
      <c r="AC535" s="484">
        <f>IF(SETUP!$E$7="USD",(AB535*(IF(O535="USD",W535,(W535/'Master Data-C19RM'!$D$2)))),(AB535*(IF(O535="EUR",W535,(W535*'Master Data-C19RM'!$D$2)))))</f>
        <v>0</v>
      </c>
      <c r="AD535" s="445">
        <f>IF($O535="USD",_xlfn.IFNA(VLOOKUP($A535&amp;$E535&amp;$I535,PMsheet!$J:$K,2,0),0),(_xlfn.IFNA(VLOOKUP($A535&amp;$E535&amp;$I535,PMsheet!$J:$K,2,0),0)*'Master Data-C19RM'!$E$2))</f>
        <v>0</v>
      </c>
      <c r="AE535" s="440"/>
      <c r="AF535" s="440"/>
      <c r="AG535" s="440"/>
      <c r="AH535" s="440"/>
      <c r="AI535" s="514">
        <f t="shared" si="63"/>
        <v>0</v>
      </c>
      <c r="AJ535" s="515">
        <f>IF(SETUP!$E$7="USD",(AI535*(IF(O535="USD",AD535,(AD535/'Master Data-C19RM'!$E$2)))),(AI535*(IF(O535="EUR",AD535,(AD535*'Master Data-C19RM'!$E$2)))))</f>
        <v>0</v>
      </c>
      <c r="AK535" s="445">
        <f>IF($O535="USD",_xlfn.IFNA(VLOOKUP($A535&amp;$E535&amp;$I535,PMsheet!$J:$K,2,0),0),(_xlfn.IFNA(VLOOKUP($A535&amp;$E535&amp;$I535,PMsheet!$J:$K,2,0),0)*'Master Data-C19RM'!$F$2))</f>
        <v>0</v>
      </c>
      <c r="AL535" s="440"/>
      <c r="AM535" s="440"/>
      <c r="AN535" s="440"/>
      <c r="AO535" s="440"/>
      <c r="AP535" s="514">
        <f t="shared" si="66"/>
        <v>0</v>
      </c>
      <c r="AQ535" s="515">
        <f>IF(SETUP!$E$7="USD",(AP535*(IF(O535="USD",AK535,(AK535/'Master Data-C19RM'!$F$2)))),(AP535*(IF(O535="EUR",AK535,(AK535*'Master Data-C19RM'!$F$2)))))</f>
        <v>0</v>
      </c>
      <c r="AR535" s="925">
        <f>IF($O535="USD",_xlfn.IFNA(VLOOKUP($A535&amp;$E535&amp;$I535,PMsheet!$J:$K,2,0),0),(_xlfn.IFNA(VLOOKUP($A535&amp;$E535&amp;$I535,PMsheet!$J:$K,2,0),0)*'Master Data-C19RM'!$G$2))</f>
        <v>0</v>
      </c>
      <c r="AS535" s="926"/>
      <c r="AT535" s="926"/>
      <c r="AU535" s="926"/>
      <c r="AV535" s="926"/>
      <c r="AW535" s="514">
        <f t="shared" si="69"/>
        <v>0</v>
      </c>
      <c r="AX535" s="514">
        <f>IF(SETUP!$E$7="USD",(AW535*(IF(O535="USD",AR535,(AR535/'Master Data-C19RM'!$G$2)))),(AW535*(IF(O535="EUR",AR535,(AR535*'Master Data-C19RM'!$G$2)))))</f>
        <v>0</v>
      </c>
      <c r="AY535" s="845"/>
      <c r="AZ535" s="846"/>
      <c r="BA535" s="846"/>
      <c r="BB535" s="846"/>
      <c r="BC535" s="846"/>
      <c r="BD535" s="846"/>
      <c r="BE535" s="847"/>
      <c r="BF535" s="521">
        <f>'C19RM 2021-Lab &amp; Other HPS'!$U535+'C19RM 2021-Lab &amp; Other HPS'!$AB535+'C19RM 2021-Lab &amp; Other HPS'!$AP535+'C19RM 2021-Lab &amp; Other HPS'!$AI535+AW535+BD535</f>
        <v>0</v>
      </c>
      <c r="BG535" s="515">
        <f>'C19RM 2021-Lab &amp; Other HPS'!$V535+'C19RM 2021-Lab &amp; Other HPS'!$AC535+'C19RM 2021-Lab &amp; Other HPS'!$AQ535+'C19RM 2021-Lab &amp; Other HPS'!$AJ535+AX535+BE535</f>
        <v>0</v>
      </c>
      <c r="BH535" s="522" t="str" cm="1">
        <f t="array" ref="BH535">IF(A535&lt;&gt;"",IFERROR(INDEX(PMtbl[[WKst]:[Unit of measure*]],MATCH($A$437&amp;$A535&amp;$E535&amp;$I535,INDEX(PMtbl[Sec]&amp;PMtbl[Category]&amp;PMtbl[Each]&amp;PMtbl[Packaging],0,),0),11),""),"")</f>
        <v/>
      </c>
      <c r="BI535" s="818"/>
      <c r="BJ535" s="503" t="str" cm="1">
        <f t="array" ref="BJ535">IFERROR(INDEX(SETUP!$C$19:$G$121,MATCH((INDEX(PMtbl[[WKst]:[Unit of measure*]],MATCH($A535&amp;$E535&amp;$I535,INDEX(PMtbl[Category]&amp;PMtbl[Each]&amp;PMtbl[Packaging],0,),0),3)),SETUP!$D$19:$D$121,0),5),"")</f>
        <v/>
      </c>
      <c r="BK535" s="537"/>
      <c r="BL535" s="578"/>
      <c r="BO535" s="12">
        <f>IF(N535="",0,IF(SETUP!$E$7="USD",((IF(O535="USD",P535,(P535/'Master Data-C19RM'!$C$2)))),((IF(O535="EUR",P535,(P535*'Master Data-C19RM'!$C$2))))))</f>
        <v>0</v>
      </c>
      <c r="BP535" s="12">
        <f>IF(N535="",0,IF(SETUP!$E$7="USD",((IF(O535="USD",W535,(W535/'Master Data-C19RM'!$D$2)))),((IF(O535="EUR",W535,(W535*'Master Data-C19RM'!$D$2))))))</f>
        <v>0</v>
      </c>
      <c r="BQ535">
        <f>IF(N535="",0,IF(SETUP!$E$7="USD",((IF(O535="USD",AD535,(AD535/'Master Data-C19RM'!$E$2)))),((IF(O535="EUR",AD535,(AD535*'Master Data-C19RM'!$E$2))))))</f>
        <v>0</v>
      </c>
      <c r="BR535">
        <f>IF(N535="",0,IF(SETUP!$E$7="USD",((IF(O535="USD",AK535,(AK535/'Master Data-C19RM'!$F$2)))),((IF(O535="EUR",AK535,(AK535*'Master Data-C19RM'!$F$2))))))</f>
        <v>0</v>
      </c>
      <c r="BS535">
        <f>IF(N535="",0,IF(SETUP!$E$7="USD",((IF(O535="USD",AR535,(AR535/'Master Data-C19RM'!$G$2)))),((IF(O535="EUR",AR535,(AR535*'Master Data-C19RM'!$G$2))))))</f>
        <v>0</v>
      </c>
      <c r="BT535">
        <f>IF(N535="",0,IF(SETUP!$E$7="USD",((IF(O535="USD",AY535,(AY535/'Master Data-C19RM'!$H$2)))),((IF(O535="EUR",AY535,(AY535*'Master Data-C19RM'!$H$2))))))</f>
        <v>0</v>
      </c>
      <c r="BU535" s="12">
        <f t="shared" si="67"/>
        <v>0</v>
      </c>
      <c r="BV535" s="142">
        <f t="shared" si="68"/>
        <v>0</v>
      </c>
    </row>
    <row r="536" spans="1:94" x14ac:dyDescent="0.35">
      <c r="A536" s="1165"/>
      <c r="B536" s="1165"/>
      <c r="C536" s="1165"/>
      <c r="D536" s="1165"/>
      <c r="E536" s="1166"/>
      <c r="F536" s="1166"/>
      <c r="G536" s="1166"/>
      <c r="H536" s="1166"/>
      <c r="I536" s="1166"/>
      <c r="J536" s="1166"/>
      <c r="K536" s="1166"/>
      <c r="L536" s="490" t="str" cm="1">
        <f t="array" ref="L536">IF(A536&lt;&gt;"",IFERROR(INDEX(PMtbl[[WKst]:[Unit of measure*]],MATCH($A$437&amp;$A536&amp;$E536&amp;$I536,INDEX(PMtbl[Sec]&amp;PMtbl[Category]&amp;PMtbl[Each]&amp;PMtbl[Packaging],0,),0),14),""),"")</f>
        <v/>
      </c>
      <c r="M536" s="479" t="str">
        <f>IF(L536="","",INDEX(SETUP!$E$20:$E$122,(MATCH(INDEX(PMsheet!$D:$E,MATCH(A536,PMsheet!E:E,0),1),SETUP!$D$20:$D$122,0))))</f>
        <v/>
      </c>
      <c r="N536" s="491">
        <f>IF($O536="USD",_xlfn.IFNA(VLOOKUP(A536&amp;E536&amp;I536,PMsheet!J:K,2,0),0),(_xlfn.IFNA(VLOOKUP(A536&amp;E536&amp;I536,PMsheet!J:K,2,0),0)*'Master Data-C19RM'!$C$2))</f>
        <v>0</v>
      </c>
      <c r="O536" s="492" t="str">
        <f>IF(L536="", "",SETUP!$E$7)</f>
        <v/>
      </c>
      <c r="P536" s="444">
        <f>IF($O536="USD",_xlfn.IFNA(VLOOKUP($A536&amp;$E536&amp;$I536,PMsheet!$J:$K,2,0),0),(_xlfn.IFNA(VLOOKUP($A536&amp;$E536&amp;$I536,PMsheet!$J:$K,2,0),0)*'Master Data-C19RM'!$C$2))</f>
        <v>0</v>
      </c>
      <c r="Q536" s="441"/>
      <c r="R536" s="441"/>
      <c r="S536" s="441"/>
      <c r="T536" s="441"/>
      <c r="U536" s="481">
        <f t="shared" si="61"/>
        <v>0</v>
      </c>
      <c r="V536" s="483">
        <f>IF(SETUP!$E$7="USD",(U536*(IF(O536="USD",P536,(P536/'Master Data-C19RM'!$C$2)))),(U536*(IF(O536="EUR",P536,(P536*'Master Data-C19RM'!$C$2)))))</f>
        <v>0</v>
      </c>
      <c r="W536" s="444">
        <f>IF($O536="USD",_xlfn.IFNA(VLOOKUP($A536&amp;$E536&amp;$I536,PMsheet!$J:$K,2,0),0),(_xlfn.IFNA(VLOOKUP($A536&amp;$E536&amp;$I536,PMsheet!$J:$K,2,0),0)*'Master Data-C19RM'!$D$2))</f>
        <v>0</v>
      </c>
      <c r="X536" s="441"/>
      <c r="Y536" s="441"/>
      <c r="Z536" s="441"/>
      <c r="AA536" s="441"/>
      <c r="AB536" s="481">
        <f t="shared" si="62"/>
        <v>0</v>
      </c>
      <c r="AC536" s="483">
        <f>IF(SETUP!$E$7="USD",(AB536*(IF(O536="USD",W536,(W536/'Master Data-C19RM'!$D$2)))),(AB536*(IF(O536="EUR",W536,(W536*'Master Data-C19RM'!$D$2)))))</f>
        <v>0</v>
      </c>
      <c r="AD536" s="444">
        <f>IF($O536="USD",_xlfn.IFNA(VLOOKUP($A536&amp;$E536&amp;$I536,PMsheet!$J:$K,2,0),0),(_xlfn.IFNA(VLOOKUP($A536&amp;$E536&amp;$I536,PMsheet!$J:$K,2,0),0)*'Master Data-C19RM'!$E$2))</f>
        <v>0</v>
      </c>
      <c r="AE536" s="441"/>
      <c r="AF536" s="441"/>
      <c r="AG536" s="441"/>
      <c r="AH536" s="441"/>
      <c r="AI536" s="512">
        <f t="shared" si="63"/>
        <v>0</v>
      </c>
      <c r="AJ536" s="513">
        <f>IF(SETUP!$E$7="USD",(AI536*(IF(O536="USD",AD536,(AD536/'Master Data-C19RM'!$E$2)))),(AI536*(IF(O536="EUR",AD536,(AD536*'Master Data-C19RM'!$E$2)))))</f>
        <v>0</v>
      </c>
      <c r="AK536" s="444">
        <f>IF($O536="USD",_xlfn.IFNA(VLOOKUP($A536&amp;$E536&amp;$I536,PMsheet!$J:$K,2,0),0),(_xlfn.IFNA(VLOOKUP($A536&amp;$E536&amp;$I536,PMsheet!$J:$K,2,0),0)*'Master Data-C19RM'!$F$2))</f>
        <v>0</v>
      </c>
      <c r="AL536" s="441"/>
      <c r="AM536" s="441"/>
      <c r="AN536" s="441"/>
      <c r="AO536" s="441"/>
      <c r="AP536" s="512">
        <f t="shared" si="66"/>
        <v>0</v>
      </c>
      <c r="AQ536" s="513">
        <f>IF(SETUP!$E$7="USD",(AP536*(IF(O536="USD",AK536,(AK536/'Master Data-C19RM'!$F$2)))),(AP536*(IF(O536="EUR",AK536,(AK536*'Master Data-C19RM'!$F$2)))))</f>
        <v>0</v>
      </c>
      <c r="AR536" s="924">
        <f>IF($O536="USD",_xlfn.IFNA(VLOOKUP($A536&amp;$E536&amp;$I536,PMsheet!$J:$K,2,0),0),(_xlfn.IFNA(VLOOKUP($A536&amp;$E536&amp;$I536,PMsheet!$J:$K,2,0),0)*'Master Data-C19RM'!$G$2))</f>
        <v>0</v>
      </c>
      <c r="AS536" s="572"/>
      <c r="AT536" s="572"/>
      <c r="AU536" s="572"/>
      <c r="AV536" s="572"/>
      <c r="AW536" s="512">
        <f t="shared" si="69"/>
        <v>0</v>
      </c>
      <c r="AX536" s="512">
        <f>IF(SETUP!$E$7="USD",(AW536*(IF(O536="USD",AR536,(AR536/'Master Data-C19RM'!$G$2)))),(AW536*(IF(O536="EUR",AR536,(AR536*'Master Data-C19RM'!$G$2)))))</f>
        <v>0</v>
      </c>
      <c r="AY536" s="845"/>
      <c r="AZ536" s="846"/>
      <c r="BA536" s="846"/>
      <c r="BB536" s="846"/>
      <c r="BC536" s="846"/>
      <c r="BD536" s="846"/>
      <c r="BE536" s="847"/>
      <c r="BF536" s="520">
        <f>'C19RM 2021-Lab &amp; Other HPS'!$U536+'C19RM 2021-Lab &amp; Other HPS'!$AB536+'C19RM 2021-Lab &amp; Other HPS'!$AP536+'C19RM 2021-Lab &amp; Other HPS'!$AI536+AW536+BD536</f>
        <v>0</v>
      </c>
      <c r="BG536" s="513">
        <f>'C19RM 2021-Lab &amp; Other HPS'!$V536+'C19RM 2021-Lab &amp; Other HPS'!$AC536+'C19RM 2021-Lab &amp; Other HPS'!$AQ536+'C19RM 2021-Lab &amp; Other HPS'!$AJ536+AX536+BE536</f>
        <v>0</v>
      </c>
      <c r="BH536" s="500" t="str" cm="1">
        <f t="array" ref="BH536">IF(A536&lt;&gt;"",IFERROR(INDEX(PMtbl[[WKst]:[Unit of measure*]],MATCH($A$437&amp;$A536&amp;$E536&amp;$I536,INDEX(PMtbl[Sec]&amp;PMtbl[Category]&amp;PMtbl[Each]&amp;PMtbl[Packaging],0,),0),11),""),"")</f>
        <v/>
      </c>
      <c r="BI536" s="819"/>
      <c r="BJ536" s="502" t="str" cm="1">
        <f t="array" ref="BJ536">IFERROR(INDEX(SETUP!$C$19:$G$121,MATCH((INDEX(PMtbl[[WKst]:[Unit of measure*]],MATCH($A536&amp;$E536&amp;$I536,INDEX(PMtbl[Category]&amp;PMtbl[Each]&amp;PMtbl[Packaging],0,),0),3)),SETUP!$D$19:$D$121,0),5),"")</f>
        <v/>
      </c>
      <c r="BK536" s="536"/>
      <c r="BL536" s="577"/>
      <c r="BO536" s="12">
        <f>IF(N536="",0,IF(SETUP!$E$7="USD",((IF(O536="USD",P536,(P536/'Master Data-C19RM'!$C$2)))),((IF(O536="EUR",P536,(P536*'Master Data-C19RM'!$C$2))))))</f>
        <v>0</v>
      </c>
      <c r="BP536" s="12">
        <f>IF(N536="",0,IF(SETUP!$E$7="USD",((IF(O536="USD",W536,(W536/'Master Data-C19RM'!$D$2)))),((IF(O536="EUR",W536,(W536*'Master Data-C19RM'!$D$2))))))</f>
        <v>0</v>
      </c>
      <c r="BQ536">
        <f>IF(N536="",0,IF(SETUP!$E$7="USD",((IF(O536="USD",AD536,(AD536/'Master Data-C19RM'!$E$2)))),((IF(O536="EUR",AD536,(AD536*'Master Data-C19RM'!$E$2))))))</f>
        <v>0</v>
      </c>
      <c r="BR536">
        <f>IF(N536="",0,IF(SETUP!$E$7="USD",((IF(O536="USD",AK536,(AK536/'Master Data-C19RM'!$F$2)))),((IF(O536="EUR",AK536,(AK536*'Master Data-C19RM'!$F$2))))))</f>
        <v>0</v>
      </c>
      <c r="BS536">
        <f>IF(N536="",0,IF(SETUP!$E$7="USD",((IF(O536="USD",AR536,(AR536/'Master Data-C19RM'!$G$2)))),((IF(O536="EUR",AR536,(AR536*'Master Data-C19RM'!$G$2))))))</f>
        <v>0</v>
      </c>
      <c r="BT536">
        <f>IF(N536="",0,IF(SETUP!$E$7="USD",((IF(O536="USD",AY536,(AY536/'Master Data-C19RM'!$H$2)))),((IF(O536="EUR",AY536,(AY536*'Master Data-C19RM'!$H$2))))))</f>
        <v>0</v>
      </c>
      <c r="BU536" s="12">
        <f t="shared" si="67"/>
        <v>0</v>
      </c>
      <c r="BV536" s="142">
        <f t="shared" si="68"/>
        <v>0</v>
      </c>
    </row>
    <row r="537" spans="1:94" x14ac:dyDescent="0.35">
      <c r="A537" s="1172"/>
      <c r="B537" s="1172"/>
      <c r="C537" s="1172"/>
      <c r="D537" s="1172"/>
      <c r="E537" s="1173"/>
      <c r="F537" s="1173"/>
      <c r="G537" s="1173"/>
      <c r="H537" s="1173"/>
      <c r="I537" s="1173"/>
      <c r="J537" s="1173"/>
      <c r="K537" s="1173"/>
      <c r="L537" s="493" t="str" cm="1">
        <f t="array" ref="L537">IF(A537&lt;&gt;"",IFERROR(INDEX(PMtbl[[WKst]:[Unit of measure*]],MATCH($A$437&amp;$A537&amp;$E537&amp;$I537,INDEX(PMtbl[Sec]&amp;PMtbl[Category]&amp;PMtbl[Each]&amp;PMtbl[Packaging],0,),0),14),""),"")</f>
        <v/>
      </c>
      <c r="M537" s="480" t="str">
        <f>IF(L537="","",INDEX(SETUP!$E$20:$E$122,(MATCH(INDEX(PMsheet!$D:$E,MATCH(A537,PMsheet!E:E,0),1),SETUP!$D$20:$D$122,0))))</f>
        <v/>
      </c>
      <c r="N537" s="494">
        <f>IF($O537="USD",_xlfn.IFNA(VLOOKUP(A537&amp;E537&amp;I537,PMsheet!J:K,2,0),0),(_xlfn.IFNA(VLOOKUP(A537&amp;E537&amp;I537,PMsheet!J:K,2,0),0)*'Master Data-C19RM'!$C$2))</f>
        <v>0</v>
      </c>
      <c r="O537" s="495" t="str">
        <f>IF(L537="", "",SETUP!$E$7)</f>
        <v/>
      </c>
      <c r="P537" s="445">
        <f>IF($O537="USD",_xlfn.IFNA(VLOOKUP($A537&amp;$E537&amp;$I537,PMsheet!$J:$K,2,0),0),(_xlfn.IFNA(VLOOKUP($A537&amp;$E537&amp;$I537,PMsheet!$J:$K,2,0),0)*'Master Data-C19RM'!$C$2))</f>
        <v>0</v>
      </c>
      <c r="Q537" s="440"/>
      <c r="R537" s="440"/>
      <c r="S537" s="440"/>
      <c r="T537" s="440"/>
      <c r="U537" s="482">
        <f t="shared" si="61"/>
        <v>0</v>
      </c>
      <c r="V537" s="484">
        <f>IF(SETUP!$E$7="USD",(U537*(IF(O537="USD",P537,(P537/'Master Data-C19RM'!$C$2)))),(U537*(IF(O537="EUR",P537,(P537*'Master Data-C19RM'!$C$2)))))</f>
        <v>0</v>
      </c>
      <c r="W537" s="445">
        <f>IF($O537="USD",_xlfn.IFNA(VLOOKUP($A537&amp;$E537&amp;$I537,PMsheet!$J:$K,2,0),0),(_xlfn.IFNA(VLOOKUP($A537&amp;$E537&amp;$I537,PMsheet!$J:$K,2,0),0)*'Master Data-C19RM'!$D$2))</f>
        <v>0</v>
      </c>
      <c r="X537" s="440"/>
      <c r="Y537" s="440"/>
      <c r="Z537" s="440"/>
      <c r="AA537" s="440"/>
      <c r="AB537" s="482">
        <f t="shared" si="62"/>
        <v>0</v>
      </c>
      <c r="AC537" s="484">
        <f>IF(SETUP!$E$7="USD",(AB537*(IF(O537="USD",W537,(W537/'Master Data-C19RM'!$D$2)))),(AB537*(IF(O537="EUR",W537,(W537*'Master Data-C19RM'!$D$2)))))</f>
        <v>0</v>
      </c>
      <c r="AD537" s="445">
        <f>IF($O537="USD",_xlfn.IFNA(VLOOKUP($A537&amp;$E537&amp;$I537,PMsheet!$J:$K,2,0),0),(_xlfn.IFNA(VLOOKUP($A537&amp;$E537&amp;$I537,PMsheet!$J:$K,2,0),0)*'Master Data-C19RM'!$E$2))</f>
        <v>0</v>
      </c>
      <c r="AE537" s="440"/>
      <c r="AF537" s="440"/>
      <c r="AG537" s="440"/>
      <c r="AH537" s="440"/>
      <c r="AI537" s="514">
        <f t="shared" si="63"/>
        <v>0</v>
      </c>
      <c r="AJ537" s="515">
        <f>IF(SETUP!$E$7="USD",(AI537*(IF(O537="USD",AD537,(AD537/'Master Data-C19RM'!$E$2)))),(AI537*(IF(O537="EUR",AD537,(AD537*'Master Data-C19RM'!$E$2)))))</f>
        <v>0</v>
      </c>
      <c r="AK537" s="445">
        <f>IF($O537="USD",_xlfn.IFNA(VLOOKUP($A537&amp;$E537&amp;$I537,PMsheet!$J:$K,2,0),0),(_xlfn.IFNA(VLOOKUP($A537&amp;$E537&amp;$I537,PMsheet!$J:$K,2,0),0)*'Master Data-C19RM'!$F$2))</f>
        <v>0</v>
      </c>
      <c r="AL537" s="440"/>
      <c r="AM537" s="440"/>
      <c r="AN537" s="440"/>
      <c r="AO537" s="440"/>
      <c r="AP537" s="514">
        <f t="shared" si="66"/>
        <v>0</v>
      </c>
      <c r="AQ537" s="515">
        <f>IF(SETUP!$E$7="USD",(AP537*(IF(O537="USD",AK537,(AK537/'Master Data-C19RM'!$F$2)))),(AP537*(IF(O537="EUR",AK537,(AK537*'Master Data-C19RM'!$F$2)))))</f>
        <v>0</v>
      </c>
      <c r="AR537" s="925">
        <f>IF($O537="USD",_xlfn.IFNA(VLOOKUP($A537&amp;$E537&amp;$I537,PMsheet!$J:$K,2,0),0),(_xlfn.IFNA(VLOOKUP($A537&amp;$E537&amp;$I537,PMsheet!$J:$K,2,0),0)*'Master Data-C19RM'!$G$2))</f>
        <v>0</v>
      </c>
      <c r="AS537" s="926"/>
      <c r="AT537" s="926"/>
      <c r="AU537" s="926"/>
      <c r="AV537" s="926"/>
      <c r="AW537" s="514">
        <f t="shared" si="69"/>
        <v>0</v>
      </c>
      <c r="AX537" s="514">
        <f>IF(SETUP!$E$7="USD",(AW537*(IF(O537="USD",AR537,(AR537/'Master Data-C19RM'!$G$2)))),(AW537*(IF(O537="EUR",AR537,(AR537*'Master Data-C19RM'!$G$2)))))</f>
        <v>0</v>
      </c>
      <c r="AY537" s="845"/>
      <c r="AZ537" s="846"/>
      <c r="BA537" s="846"/>
      <c r="BB537" s="846"/>
      <c r="BC537" s="846"/>
      <c r="BD537" s="846"/>
      <c r="BE537" s="847"/>
      <c r="BF537" s="521">
        <f>'C19RM 2021-Lab &amp; Other HPS'!$U537+'C19RM 2021-Lab &amp; Other HPS'!$AB537+'C19RM 2021-Lab &amp; Other HPS'!$AP537+'C19RM 2021-Lab &amp; Other HPS'!$AI537+AW537+BD537</f>
        <v>0</v>
      </c>
      <c r="BG537" s="515">
        <f>'C19RM 2021-Lab &amp; Other HPS'!$V537+'C19RM 2021-Lab &amp; Other HPS'!$AC537+'C19RM 2021-Lab &amp; Other HPS'!$AQ537+'C19RM 2021-Lab &amp; Other HPS'!$AJ537+AX537+BE537</f>
        <v>0</v>
      </c>
      <c r="BH537" s="522" t="str" cm="1">
        <f t="array" ref="BH537">IF(A537&lt;&gt;"",IFERROR(INDEX(PMtbl[[WKst]:[Unit of measure*]],MATCH($A$437&amp;$A537&amp;$E537&amp;$I537,INDEX(PMtbl[Sec]&amp;PMtbl[Category]&amp;PMtbl[Each]&amp;PMtbl[Packaging],0,),0),11),""),"")</f>
        <v/>
      </c>
      <c r="BI537" s="818"/>
      <c r="BJ537" s="503" t="str" cm="1">
        <f t="array" ref="BJ537">IFERROR(INDEX(SETUP!$C$19:$G$121,MATCH((INDEX(PMtbl[[WKst]:[Unit of measure*]],MATCH($A537&amp;$E537&amp;$I537,INDEX(PMtbl[Category]&amp;PMtbl[Each]&amp;PMtbl[Packaging],0,),0),3)),SETUP!$D$19:$D$121,0),5),"")</f>
        <v/>
      </c>
      <c r="BK537" s="537"/>
      <c r="BL537" s="578"/>
      <c r="BO537" s="12">
        <f>IF(N537="",0,IF(SETUP!$E$7="USD",((IF(O537="USD",P537,(P537/'Master Data-C19RM'!$C$2)))),((IF(O537="EUR",P537,(P537*'Master Data-C19RM'!$C$2))))))</f>
        <v>0</v>
      </c>
      <c r="BP537" s="12">
        <f>IF(N537="",0,IF(SETUP!$E$7="USD",((IF(O537="USD",W537,(W537/'Master Data-C19RM'!$D$2)))),((IF(O537="EUR",W537,(W537*'Master Data-C19RM'!$D$2))))))</f>
        <v>0</v>
      </c>
      <c r="BQ537">
        <f>IF(N537="",0,IF(SETUP!$E$7="USD",((IF(O537="USD",AD537,(AD537/'Master Data-C19RM'!$E$2)))),((IF(O537="EUR",AD537,(AD537*'Master Data-C19RM'!$E$2))))))</f>
        <v>0</v>
      </c>
      <c r="BR537">
        <f>IF(N537="",0,IF(SETUP!$E$7="USD",((IF(O537="USD",AK537,(AK537/'Master Data-C19RM'!$F$2)))),((IF(O537="EUR",AK537,(AK537*'Master Data-C19RM'!$F$2))))))</f>
        <v>0</v>
      </c>
      <c r="BS537">
        <f>IF(N537="",0,IF(SETUP!$E$7="USD",((IF(O537="USD",AR537,(AR537/'Master Data-C19RM'!$G$2)))),((IF(O537="EUR",AR537,(AR537*'Master Data-C19RM'!$G$2))))))</f>
        <v>0</v>
      </c>
      <c r="BT537">
        <f>IF(N537="",0,IF(SETUP!$E$7="USD",((IF(O537="USD",AY537,(AY537/'Master Data-C19RM'!$H$2)))),((IF(O537="EUR",AY537,(AY537*'Master Data-C19RM'!$H$2))))))</f>
        <v>0</v>
      </c>
      <c r="BU537" s="12">
        <f t="shared" si="67"/>
        <v>0</v>
      </c>
      <c r="BV537" s="142">
        <f t="shared" si="68"/>
        <v>0</v>
      </c>
    </row>
    <row r="538" spans="1:94" s="24" customFormat="1" x14ac:dyDescent="0.35">
      <c r="A538" s="1196"/>
      <c r="B538" s="1196"/>
      <c r="C538" s="1196"/>
      <c r="D538" s="1196"/>
      <c r="E538" s="1166"/>
      <c r="F538" s="1166"/>
      <c r="G538" s="1166"/>
      <c r="H538" s="1166"/>
      <c r="I538" s="1166"/>
      <c r="J538" s="1166"/>
      <c r="K538" s="1166"/>
      <c r="L538" s="490" t="str" cm="1">
        <f t="array" ref="L538">IF(A538&lt;&gt;"",IFERROR(INDEX(PMtbl[[WKst]:[Unit of measure*]],MATCH($A$437&amp;$A538&amp;$E538&amp;$I538,INDEX(PMtbl[Sec]&amp;PMtbl[Category]&amp;PMtbl[Each]&amp;PMtbl[Packaging],0,),0),14),""),"")</f>
        <v/>
      </c>
      <c r="M538" s="479" t="str">
        <f>IF(L538="","",INDEX(SETUP!$E$20:$E$122,(MATCH(INDEX(PMsheet!$D:$E,MATCH(A538,PMsheet!E:E,0),1),SETUP!$D$20:$D$122,0))))</f>
        <v/>
      </c>
      <c r="N538" s="491">
        <f>IF($O538="USD",_xlfn.IFNA(VLOOKUP(A538&amp;E538&amp;I538,PMsheet!J:K,2,0),0),(_xlfn.IFNA(VLOOKUP(A538&amp;E538&amp;I538,PMsheet!J:K,2,0),0)*'Master Data-C19RM'!$C$2))</f>
        <v>0</v>
      </c>
      <c r="O538" s="573" t="str">
        <f>IF(L538="", "",SETUP!$E$7)</f>
        <v/>
      </c>
      <c r="P538" s="444">
        <f>IF($O538="USD",_xlfn.IFNA(VLOOKUP($A538&amp;$E538&amp;$I538,PMsheet!$J:$K,2,0),0),(_xlfn.IFNA(VLOOKUP($A538&amp;$E538&amp;$I538,PMsheet!$J:$K,2,0),0)*'Master Data-C19RM'!$C$2))</f>
        <v>0</v>
      </c>
      <c r="Q538" s="441"/>
      <c r="R538" s="441"/>
      <c r="S538" s="441"/>
      <c r="T538" s="441"/>
      <c r="U538" s="481">
        <f t="shared" si="61"/>
        <v>0</v>
      </c>
      <c r="V538" s="483">
        <f>IF(SETUP!$E$7="USD",(U538*(IF(O538="USD",P538,(P538/'Master Data-C19RM'!$C$2)))),(U538*(IF(O538="EUR",P538,(P538*'Master Data-C19RM'!$C$2)))))</f>
        <v>0</v>
      </c>
      <c r="W538" s="444">
        <f>IF($O538="USD",_xlfn.IFNA(VLOOKUP($A538&amp;$E538&amp;$I538,PMsheet!$J:$K,2,0),0),(_xlfn.IFNA(VLOOKUP($A538&amp;$E538&amp;$I538,PMsheet!$J:$K,2,0),0)*'Master Data-C19RM'!$D$2))</f>
        <v>0</v>
      </c>
      <c r="X538" s="441"/>
      <c r="Y538" s="441"/>
      <c r="Z538" s="441"/>
      <c r="AA538" s="441"/>
      <c r="AB538" s="481">
        <f t="shared" si="62"/>
        <v>0</v>
      </c>
      <c r="AC538" s="483">
        <f>IF(SETUP!$E$7="USD",(AB538*(IF(O538="USD",W538,(W538/'Master Data-C19RM'!$D$2)))),(AB538*(IF(O538="EUR",W538,(W538*'Master Data-C19RM'!$D$2)))))</f>
        <v>0</v>
      </c>
      <c r="AD538" s="444">
        <f>IF($O538="USD",_xlfn.IFNA(VLOOKUP($A538&amp;$E538&amp;$I538,PMsheet!$J:$K,2,0),0),(_xlfn.IFNA(VLOOKUP($A538&amp;$E538&amp;$I538,PMsheet!$J:$K,2,0),0)*'Master Data-C19RM'!$E$2))</f>
        <v>0</v>
      </c>
      <c r="AE538" s="441"/>
      <c r="AF538" s="441"/>
      <c r="AG538" s="441"/>
      <c r="AH538" s="441"/>
      <c r="AI538" s="512">
        <f t="shared" si="63"/>
        <v>0</v>
      </c>
      <c r="AJ538" s="513">
        <f>IF(SETUP!$E$7="USD",(AI538*(IF(O538="USD",AD538,(AD538/'Master Data-C19RM'!$E$2)))),(AI538*(IF(O538="EUR",AD538,(AD538*'Master Data-C19RM'!$E$2)))))</f>
        <v>0</v>
      </c>
      <c r="AK538" s="456">
        <f>IF($O538="USD",_xlfn.IFNA(VLOOKUP($A538&amp;$E538&amp;$I538,PMsheet!$J:$K,2,0),0),(_xlfn.IFNA(VLOOKUP($A538&amp;$E538&amp;$I538,PMsheet!$J:$K,2,0),0)*'Master Data-C19RM'!$F$2))</f>
        <v>0</v>
      </c>
      <c r="AL538" s="572"/>
      <c r="AM538" s="572"/>
      <c r="AN538" s="572"/>
      <c r="AO538" s="572"/>
      <c r="AP538" s="512">
        <f t="shared" si="66"/>
        <v>0</v>
      </c>
      <c r="AQ538" s="513">
        <f>IF(SETUP!$E$7="USD",(AP538*(IF(O538="USD",AK538,(AK538/'Master Data-C19RM'!$F$2)))),(AP538*(IF(O538="EUR",AK538,(AK538*'Master Data-C19RM'!$F$2)))))</f>
        <v>0</v>
      </c>
      <c r="AR538" s="924">
        <f>IF($O538="USD",_xlfn.IFNA(VLOOKUP($A538&amp;$E538&amp;$I538,PMsheet!$J:$K,2,0),0),(_xlfn.IFNA(VLOOKUP($A538&amp;$E538&amp;$I538,PMsheet!$J:$K,2,0),0)*'Master Data-C19RM'!$G$2))</f>
        <v>0</v>
      </c>
      <c r="AS538" s="572"/>
      <c r="AT538" s="572"/>
      <c r="AU538" s="572"/>
      <c r="AV538" s="572"/>
      <c r="AW538" s="512">
        <f t="shared" si="69"/>
        <v>0</v>
      </c>
      <c r="AX538" s="512">
        <f>IF(SETUP!$E$7="USD",(AW538*(IF(O538="USD",AR538,(AR538/'Master Data-C19RM'!$G$2)))),(AW538*(IF(O538="EUR",AR538,(AR538*'Master Data-C19RM'!$G$2)))))</f>
        <v>0</v>
      </c>
      <c r="AY538" s="845"/>
      <c r="AZ538" s="846"/>
      <c r="BA538" s="846"/>
      <c r="BB538" s="846"/>
      <c r="BC538" s="846"/>
      <c r="BD538" s="846"/>
      <c r="BE538" s="847"/>
      <c r="BF538" s="520">
        <f>'C19RM 2021-Lab &amp; Other HPS'!$U538+'C19RM 2021-Lab &amp; Other HPS'!$AB538+'C19RM 2021-Lab &amp; Other HPS'!$AP538+'C19RM 2021-Lab &amp; Other HPS'!$AI538+AW538+BD538</f>
        <v>0</v>
      </c>
      <c r="BG538" s="513">
        <f>'C19RM 2021-Lab &amp; Other HPS'!$V538+'C19RM 2021-Lab &amp; Other HPS'!$AC538+'C19RM 2021-Lab &amp; Other HPS'!$AQ538+'C19RM 2021-Lab &amp; Other HPS'!$AJ538+AX538+BE538</f>
        <v>0</v>
      </c>
      <c r="BH538" s="500" t="str" cm="1">
        <f t="array" ref="BH538">IF(A538&lt;&gt;"",IFERROR(INDEX(PMtbl[[WKst]:[Unit of measure*]],MATCH($A$437&amp;$A538&amp;$E538&amp;$I538,INDEX(PMtbl[Sec]&amp;PMtbl[Category]&amp;PMtbl[Each]&amp;PMtbl[Packaging],0,),0),11),""),"")</f>
        <v/>
      </c>
      <c r="BI538" s="819"/>
      <c r="BJ538" s="502" t="str" cm="1">
        <f t="array" ref="BJ538">IFERROR(INDEX(SETUP!$C$19:$G$121,MATCH((INDEX(PMtbl[[WKst]:[Unit of measure*]],MATCH($A538&amp;$E538&amp;$I538,INDEX(PMtbl[Category]&amp;PMtbl[Each]&amp;PMtbl[Packaging],0,),0),3)),SETUP!$D$19:$D$121,0),5),"")</f>
        <v/>
      </c>
      <c r="BK538" s="536"/>
      <c r="BL538" s="577"/>
      <c r="BO538" s="12">
        <f>IF(N538="",0,IF(SETUP!$E$7="USD",((IF(O538="USD",P538,(P538/'Master Data-C19RM'!$C$2)))),((IF(O538="EUR",P538,(P538*'Master Data-C19RM'!$C$2))))))</f>
        <v>0</v>
      </c>
      <c r="BP538" s="12">
        <f>IF(N538="",0,IF(SETUP!$E$7="USD",((IF(O538="USD",W538,(W538/'Master Data-C19RM'!$D$2)))),((IF(O538="EUR",W538,(W538*'Master Data-C19RM'!$D$2))))))</f>
        <v>0</v>
      </c>
      <c r="BQ538">
        <f>IF(N538="",0,IF(SETUP!$E$7="USD",((IF(O538="USD",AD538,(AD538/'Master Data-C19RM'!$E$2)))),((IF(O538="EUR",AD538,(AD538*'Master Data-C19RM'!$E$2))))))</f>
        <v>0</v>
      </c>
      <c r="BR538">
        <f>IF(N538="",0,IF(SETUP!$E$7="USD",((IF(O538="USD",AK538,(AK538/'Master Data-C19RM'!$F$2)))),((IF(O538="EUR",AK538,(AK538*'Master Data-C19RM'!$F$2))))))</f>
        <v>0</v>
      </c>
      <c r="BS538">
        <f>IF(N538="",0,IF(SETUP!$E$7="USD",((IF(O538="USD",AR538,(AR538/'Master Data-C19RM'!$G$2)))),((IF(O538="EUR",AR538,(AR538*'Master Data-C19RM'!$G$2))))))</f>
        <v>0</v>
      </c>
      <c r="BT538">
        <f>IF(N538="",0,IF(SETUP!$E$7="USD",((IF(O538="USD",AY538,(AY538/'Master Data-C19RM'!$H$2)))),((IF(O538="EUR",AY538,(AY538*'Master Data-C19RM'!$H$2))))))</f>
        <v>0</v>
      </c>
      <c r="BU538" s="12">
        <f t="shared" si="67"/>
        <v>0</v>
      </c>
      <c r="BV538" s="142">
        <f t="shared" si="68"/>
        <v>0</v>
      </c>
      <c r="BW538"/>
      <c r="BX538"/>
      <c r="BY538"/>
      <c r="BZ538"/>
      <c r="CA538"/>
      <c r="CB538"/>
      <c r="CC538"/>
      <c r="CD538"/>
      <c r="CE538"/>
      <c r="CF538"/>
      <c r="CG538"/>
      <c r="CH538"/>
      <c r="CI538"/>
      <c r="CJ538"/>
      <c r="CK538"/>
      <c r="CL538"/>
      <c r="CM538"/>
      <c r="CN538"/>
      <c r="CO538"/>
      <c r="CP538"/>
    </row>
    <row r="539" spans="1:94" x14ac:dyDescent="0.35">
      <c r="A539" s="1172"/>
      <c r="B539" s="1172"/>
      <c r="C539" s="1172"/>
      <c r="D539" s="1172"/>
      <c r="E539" s="1173"/>
      <c r="F539" s="1173"/>
      <c r="G539" s="1173"/>
      <c r="H539" s="1173"/>
      <c r="I539" s="1173"/>
      <c r="J539" s="1173"/>
      <c r="K539" s="1173"/>
      <c r="L539" s="493" t="str" cm="1">
        <f t="array" ref="L539">IF(A539&lt;&gt;"",IFERROR(INDEX(PMtbl[[WKst]:[Unit of measure*]],MATCH($A$437&amp;$A539&amp;$E539&amp;$I539,INDEX(PMtbl[Sec]&amp;PMtbl[Category]&amp;PMtbl[Each]&amp;PMtbl[Packaging],0,),0),14),""),"")</f>
        <v/>
      </c>
      <c r="M539" s="480" t="str">
        <f>IF(L539="","",INDEX(SETUP!$E$20:$E$122,(MATCH(INDEX(PMsheet!$D:$E,MATCH(A539,PMsheet!E:E,0),1),SETUP!$D$20:$D$122,0))))</f>
        <v/>
      </c>
      <c r="N539" s="494">
        <f>IF($O539="USD",_xlfn.IFNA(VLOOKUP(A539&amp;E539&amp;I539,PMsheet!J:K,2,0),0),(_xlfn.IFNA(VLOOKUP(A539&amp;E539&amp;I539,PMsheet!J:K,2,0),0)*'Master Data-C19RM'!$C$2))</f>
        <v>0</v>
      </c>
      <c r="O539" s="495" t="str">
        <f>IF(L539="", "",SETUP!$E$7)</f>
        <v/>
      </c>
      <c r="P539" s="445">
        <f>IF($O539="USD",_xlfn.IFNA(VLOOKUP($A539&amp;$E539&amp;$I539,PMsheet!$J:$K,2,0),0),(_xlfn.IFNA(VLOOKUP($A539&amp;$E539&amp;$I539,PMsheet!$J:$K,2,0),0)*'Master Data-C19RM'!$C$2))</f>
        <v>0</v>
      </c>
      <c r="Q539" s="440"/>
      <c r="R539" s="440"/>
      <c r="S539" s="440"/>
      <c r="T539" s="440"/>
      <c r="U539" s="482">
        <f t="shared" si="61"/>
        <v>0</v>
      </c>
      <c r="V539" s="484">
        <f>IF(SETUP!$E$7="USD",(U539*(IF(O539="USD",P539,(P539/'Master Data-C19RM'!$C$2)))),(U539*(IF(O539="EUR",P539,(P539*'Master Data-C19RM'!$C$2)))))</f>
        <v>0</v>
      </c>
      <c r="W539" s="445">
        <f>IF($O539="USD",_xlfn.IFNA(VLOOKUP($A539&amp;$E539&amp;$I539,PMsheet!$J:$K,2,0),0),(_xlfn.IFNA(VLOOKUP($A539&amp;$E539&amp;$I539,PMsheet!$J:$K,2,0),0)*'Master Data-C19RM'!$D$2))</f>
        <v>0</v>
      </c>
      <c r="X539" s="440"/>
      <c r="Y539" s="440"/>
      <c r="Z539" s="440"/>
      <c r="AA539" s="440"/>
      <c r="AB539" s="482">
        <f t="shared" si="62"/>
        <v>0</v>
      </c>
      <c r="AC539" s="484">
        <f>IF(SETUP!$E$7="USD",(AB539*(IF(O539="USD",W539,(W539/'Master Data-C19RM'!$D$2)))),(AB539*(IF(O539="EUR",W539,(W539*'Master Data-C19RM'!$D$2)))))</f>
        <v>0</v>
      </c>
      <c r="AD539" s="445">
        <f>IF($O539="USD",_xlfn.IFNA(VLOOKUP($A539&amp;$E539&amp;$I539,PMsheet!$J:$K,2,0),0),(_xlfn.IFNA(VLOOKUP($A539&amp;$E539&amp;$I539,PMsheet!$J:$K,2,0),0)*'Master Data-C19RM'!$E$2))</f>
        <v>0</v>
      </c>
      <c r="AE539" s="440"/>
      <c r="AF539" s="440"/>
      <c r="AG539" s="440"/>
      <c r="AH539" s="440"/>
      <c r="AI539" s="514">
        <f t="shared" si="63"/>
        <v>0</v>
      </c>
      <c r="AJ539" s="515">
        <f>IF(SETUP!$E$7="USD",(AI539*(IF(O539="USD",AD539,(AD539/'Master Data-C19RM'!$E$2)))),(AI539*(IF(O539="EUR",AD539,(AD539*'Master Data-C19RM'!$E$2)))))</f>
        <v>0</v>
      </c>
      <c r="AK539" s="445">
        <f>IF($O539="USD",_xlfn.IFNA(VLOOKUP($A539&amp;$E539&amp;$I539,PMsheet!$J:$K,2,0),0),(_xlfn.IFNA(VLOOKUP($A539&amp;$E539&amp;$I539,PMsheet!$J:$K,2,0),0)*'Master Data-C19RM'!$F$2))</f>
        <v>0</v>
      </c>
      <c r="AL539" s="440"/>
      <c r="AM539" s="440"/>
      <c r="AN539" s="440"/>
      <c r="AO539" s="440"/>
      <c r="AP539" s="514">
        <f t="shared" si="66"/>
        <v>0</v>
      </c>
      <c r="AQ539" s="515">
        <f>IF(SETUP!$E$7="USD",(AP539*(IF(O539="USD",AK539,(AK539/'Master Data-C19RM'!$F$2)))),(AP539*(IF(O539="EUR",AK539,(AK539*'Master Data-C19RM'!$F$2)))))</f>
        <v>0</v>
      </c>
      <c r="AR539" s="925">
        <f>IF($O539="USD",_xlfn.IFNA(VLOOKUP($A539&amp;$E539&amp;$I539,PMsheet!$J:$K,2,0),0),(_xlfn.IFNA(VLOOKUP($A539&amp;$E539&amp;$I539,PMsheet!$J:$K,2,0),0)*'Master Data-C19RM'!$G$2))</f>
        <v>0</v>
      </c>
      <c r="AS539" s="926"/>
      <c r="AT539" s="926"/>
      <c r="AU539" s="926"/>
      <c r="AV539" s="926"/>
      <c r="AW539" s="514">
        <f t="shared" si="69"/>
        <v>0</v>
      </c>
      <c r="AX539" s="514">
        <f>IF(SETUP!$E$7="USD",(AW539*(IF(O539="USD",AR539,(AR539/'Master Data-C19RM'!$G$2)))),(AW539*(IF(O539="EUR",AR539,(AR539*'Master Data-C19RM'!$G$2)))))</f>
        <v>0</v>
      </c>
      <c r="AY539" s="845"/>
      <c r="AZ539" s="846"/>
      <c r="BA539" s="846"/>
      <c r="BB539" s="846"/>
      <c r="BC539" s="846"/>
      <c r="BD539" s="846"/>
      <c r="BE539" s="847"/>
      <c r="BF539" s="521">
        <f>'C19RM 2021-Lab &amp; Other HPS'!$U539+'C19RM 2021-Lab &amp; Other HPS'!$AB539+'C19RM 2021-Lab &amp; Other HPS'!$AP539+'C19RM 2021-Lab &amp; Other HPS'!$AI539+AW539+BD539</f>
        <v>0</v>
      </c>
      <c r="BG539" s="515">
        <f>'C19RM 2021-Lab &amp; Other HPS'!$V539+'C19RM 2021-Lab &amp; Other HPS'!$AC539+'C19RM 2021-Lab &amp; Other HPS'!$AQ539+'C19RM 2021-Lab &amp; Other HPS'!$AJ539+AX539+BE539</f>
        <v>0</v>
      </c>
      <c r="BH539" s="522" t="str" cm="1">
        <f t="array" ref="BH539">IF(A539&lt;&gt;"",IFERROR(INDEX(PMtbl[[WKst]:[Unit of measure*]],MATCH($A$437&amp;$A539&amp;$E539&amp;$I539,INDEX(PMtbl[Sec]&amp;PMtbl[Category]&amp;PMtbl[Each]&amp;PMtbl[Packaging],0,),0),11),""),"")</f>
        <v/>
      </c>
      <c r="BI539" s="818"/>
      <c r="BJ539" s="503" t="str" cm="1">
        <f t="array" ref="BJ539">IFERROR(INDEX(SETUP!$C$19:$G$121,MATCH((INDEX(PMtbl[[WKst]:[Unit of measure*]],MATCH($A539&amp;$E539&amp;$I539,INDEX(PMtbl[Category]&amp;PMtbl[Each]&amp;PMtbl[Packaging],0,),0),3)),SETUP!$D$19:$D$121,0),5),"")</f>
        <v/>
      </c>
      <c r="BK539" s="537"/>
      <c r="BL539" s="578"/>
      <c r="BO539" s="12">
        <f>IF(N539="",0,IF(SETUP!$E$7="USD",((IF(O539="USD",P539,(P539/'Master Data-C19RM'!$C$2)))),((IF(O539="EUR",P539,(P539*'Master Data-C19RM'!$C$2))))))</f>
        <v>0</v>
      </c>
      <c r="BP539" s="12">
        <f>IF(N539="",0,IF(SETUP!$E$7="USD",((IF(O539="USD",W539,(W539/'Master Data-C19RM'!$D$2)))),((IF(O539="EUR",W539,(W539*'Master Data-C19RM'!$D$2))))))</f>
        <v>0</v>
      </c>
      <c r="BQ539">
        <f>IF(N539="",0,IF(SETUP!$E$7="USD",((IF(O539="USD",AD539,(AD539/'Master Data-C19RM'!$E$2)))),((IF(O539="EUR",AD539,(AD539*'Master Data-C19RM'!$E$2))))))</f>
        <v>0</v>
      </c>
      <c r="BR539">
        <f>IF(N539="",0,IF(SETUP!$E$7="USD",((IF(O539="USD",AK539,(AK539/'Master Data-C19RM'!$F$2)))),((IF(O539="EUR",AK539,(AK539*'Master Data-C19RM'!$F$2))))))</f>
        <v>0</v>
      </c>
      <c r="BS539">
        <f>IF(N539="",0,IF(SETUP!$E$7="USD",((IF(O539="USD",AR539,(AR539/'Master Data-C19RM'!$G$2)))),((IF(O539="EUR",AR539,(AR539*'Master Data-C19RM'!$G$2))))))</f>
        <v>0</v>
      </c>
      <c r="BT539">
        <f>IF(N539="",0,IF(SETUP!$E$7="USD",((IF(O539="USD",AY539,(AY539/'Master Data-C19RM'!$H$2)))),((IF(O539="EUR",AY539,(AY539*'Master Data-C19RM'!$H$2))))))</f>
        <v>0</v>
      </c>
      <c r="BU539" s="12">
        <f t="shared" si="67"/>
        <v>0</v>
      </c>
      <c r="BV539" s="142">
        <f t="shared" si="68"/>
        <v>0</v>
      </c>
    </row>
    <row r="540" spans="1:94" x14ac:dyDescent="0.35">
      <c r="A540" s="1165"/>
      <c r="B540" s="1165"/>
      <c r="C540" s="1165"/>
      <c r="D540" s="1165"/>
      <c r="E540" s="1166"/>
      <c r="F540" s="1166"/>
      <c r="G540" s="1166"/>
      <c r="H540" s="1166"/>
      <c r="I540" s="1166"/>
      <c r="J540" s="1166"/>
      <c r="K540" s="1166"/>
      <c r="L540" s="490" t="str" cm="1">
        <f t="array" ref="L540">IF(A540&lt;&gt;"",IFERROR(INDEX(PMtbl[[WKst]:[Unit of measure*]],MATCH($A$437&amp;$A540&amp;$E540&amp;$I540,INDEX(PMtbl[Sec]&amp;PMtbl[Category]&amp;PMtbl[Each]&amp;PMtbl[Packaging],0,),0),14),""),"")</f>
        <v/>
      </c>
      <c r="M540" s="479" t="str">
        <f>IF(L540="","",INDEX(SETUP!$E$20:$E$122,(MATCH(INDEX(PMsheet!$D:$E,MATCH(A540,PMsheet!E:E,0),1),SETUP!$D$20:$D$122,0))))</f>
        <v/>
      </c>
      <c r="N540" s="491">
        <f>IF($O540="USD",_xlfn.IFNA(VLOOKUP(A540&amp;E540&amp;I540,PMsheet!J:K,2,0),0),(_xlfn.IFNA(VLOOKUP(A540&amp;E540&amp;I540,PMsheet!J:K,2,0),0)*'Master Data-C19RM'!$C$2))</f>
        <v>0</v>
      </c>
      <c r="O540" s="492" t="str">
        <f>IF(L540="", "",SETUP!$E$7)</f>
        <v/>
      </c>
      <c r="P540" s="444">
        <f>IF($O540="USD",_xlfn.IFNA(VLOOKUP($A540&amp;$E540&amp;$I540,PMsheet!$J:$K,2,0),0),(_xlfn.IFNA(VLOOKUP($A540&amp;$E540&amp;$I540,PMsheet!$J:$K,2,0),0)*'Master Data-C19RM'!$C$2))</f>
        <v>0</v>
      </c>
      <c r="Q540" s="441"/>
      <c r="R540" s="441"/>
      <c r="S540" s="441"/>
      <c r="T540" s="441"/>
      <c r="U540" s="481">
        <f t="shared" si="61"/>
        <v>0</v>
      </c>
      <c r="V540" s="483">
        <f>IF(SETUP!$E$7="USD",(U540*(IF(O540="USD",P540,(P540/'Master Data-C19RM'!$C$2)))),(U540*(IF(O540="EUR",P540,(P540*'Master Data-C19RM'!$C$2)))))</f>
        <v>0</v>
      </c>
      <c r="W540" s="444">
        <f>IF($O540="USD",_xlfn.IFNA(VLOOKUP($A540&amp;$E540&amp;$I540,PMsheet!$J:$K,2,0),0),(_xlfn.IFNA(VLOOKUP($A540&amp;$E540&amp;$I540,PMsheet!$J:$K,2,0),0)*'Master Data-C19RM'!$D$2))</f>
        <v>0</v>
      </c>
      <c r="X540" s="441"/>
      <c r="Y540" s="441"/>
      <c r="Z540" s="441"/>
      <c r="AA540" s="441"/>
      <c r="AB540" s="481">
        <f t="shared" si="62"/>
        <v>0</v>
      </c>
      <c r="AC540" s="483">
        <f>IF(SETUP!$E$7="USD",(AB540*(IF(O540="USD",W540,(W540/'Master Data-C19RM'!$D$2)))),(AB540*(IF(O540="EUR",W540,(W540*'Master Data-C19RM'!$D$2)))))</f>
        <v>0</v>
      </c>
      <c r="AD540" s="444">
        <f>IF($O540="USD",_xlfn.IFNA(VLOOKUP($A540&amp;$E540&amp;$I540,PMsheet!$J:$K,2,0),0),(_xlfn.IFNA(VLOOKUP($A540&amp;$E540&amp;$I540,PMsheet!$J:$K,2,0),0)*'Master Data-C19RM'!$E$2))</f>
        <v>0</v>
      </c>
      <c r="AE540" s="441"/>
      <c r="AF540" s="441"/>
      <c r="AG540" s="441"/>
      <c r="AH540" s="441"/>
      <c r="AI540" s="512">
        <f t="shared" si="63"/>
        <v>0</v>
      </c>
      <c r="AJ540" s="513">
        <f>IF(SETUP!$E$7="USD",(AI540*(IF(O540="USD",AD540,(AD540/'Master Data-C19RM'!$E$2)))),(AI540*(IF(O540="EUR",AD540,(AD540*'Master Data-C19RM'!$E$2)))))</f>
        <v>0</v>
      </c>
      <c r="AK540" s="444">
        <f>IF($O540="USD",_xlfn.IFNA(VLOOKUP($A540&amp;$E540&amp;$I540,PMsheet!$J:$K,2,0),0),(_xlfn.IFNA(VLOOKUP($A540&amp;$E540&amp;$I540,PMsheet!$J:$K,2,0),0)*'Master Data-C19RM'!$F$2))</f>
        <v>0</v>
      </c>
      <c r="AL540" s="441"/>
      <c r="AM540" s="441"/>
      <c r="AN540" s="441"/>
      <c r="AO540" s="441"/>
      <c r="AP540" s="512">
        <f t="shared" si="66"/>
        <v>0</v>
      </c>
      <c r="AQ540" s="513">
        <f>IF(SETUP!$E$7="USD",(AP540*(IF(O540="USD",AK540,(AK540/'Master Data-C19RM'!$F$2)))),(AP540*(IF(O540="EUR",AK540,(AK540*'Master Data-C19RM'!$F$2)))))</f>
        <v>0</v>
      </c>
      <c r="AR540" s="924">
        <f>IF($O540="USD",_xlfn.IFNA(VLOOKUP($A540&amp;$E540&amp;$I540,PMsheet!$J:$K,2,0),0),(_xlfn.IFNA(VLOOKUP($A540&amp;$E540&amp;$I540,PMsheet!$J:$K,2,0),0)*'Master Data-C19RM'!$G$2))</f>
        <v>0</v>
      </c>
      <c r="AS540" s="572"/>
      <c r="AT540" s="572"/>
      <c r="AU540" s="572"/>
      <c r="AV540" s="572"/>
      <c r="AW540" s="512">
        <f t="shared" si="69"/>
        <v>0</v>
      </c>
      <c r="AX540" s="512">
        <f>IF(SETUP!$E$7="USD",(AW540*(IF(O540="USD",AR540,(AR540/'Master Data-C19RM'!$G$2)))),(AW540*(IF(O540="EUR",AR540,(AR540*'Master Data-C19RM'!$G$2)))))</f>
        <v>0</v>
      </c>
      <c r="AY540" s="845"/>
      <c r="AZ540" s="846"/>
      <c r="BA540" s="846"/>
      <c r="BB540" s="846"/>
      <c r="BC540" s="846"/>
      <c r="BD540" s="846"/>
      <c r="BE540" s="847"/>
      <c r="BF540" s="520">
        <f>'C19RM 2021-Lab &amp; Other HPS'!$U540+'C19RM 2021-Lab &amp; Other HPS'!$AB540+'C19RM 2021-Lab &amp; Other HPS'!$AP540+'C19RM 2021-Lab &amp; Other HPS'!$AI540+AW540+BD540</f>
        <v>0</v>
      </c>
      <c r="BG540" s="513">
        <f>'C19RM 2021-Lab &amp; Other HPS'!$V540+'C19RM 2021-Lab &amp; Other HPS'!$AC540+'C19RM 2021-Lab &amp; Other HPS'!$AQ540+'C19RM 2021-Lab &amp; Other HPS'!$AJ540+AX540+BE540</f>
        <v>0</v>
      </c>
      <c r="BH540" s="500" t="str" cm="1">
        <f t="array" ref="BH540">IF(A540&lt;&gt;"",IFERROR(INDEX(PMtbl[[WKst]:[Unit of measure*]],MATCH($A$437&amp;$A540&amp;$E540&amp;$I540,INDEX(PMtbl[Sec]&amp;PMtbl[Category]&amp;PMtbl[Each]&amp;PMtbl[Packaging],0,),0),11),""),"")</f>
        <v/>
      </c>
      <c r="BI540" s="819"/>
      <c r="BJ540" s="502" t="str" cm="1">
        <f t="array" ref="BJ540">IFERROR(INDEX(SETUP!$C$19:$G$121,MATCH((INDEX(PMtbl[[WKst]:[Unit of measure*]],MATCH($A540&amp;$E540&amp;$I540,INDEX(PMtbl[Category]&amp;PMtbl[Each]&amp;PMtbl[Packaging],0,),0),3)),SETUP!$D$19:$D$121,0),5),"")</f>
        <v/>
      </c>
      <c r="BK540" s="536"/>
      <c r="BL540" s="577"/>
      <c r="BO540" s="12">
        <f>IF(N540="",0,IF(SETUP!$E$7="USD",((IF(O540="USD",P540,(P540/'Master Data-C19RM'!$C$2)))),((IF(O540="EUR",P540,(P540*'Master Data-C19RM'!$C$2))))))</f>
        <v>0</v>
      </c>
      <c r="BP540" s="12">
        <f>IF(N540="",0,IF(SETUP!$E$7="USD",((IF(O540="USD",W540,(W540/'Master Data-C19RM'!$D$2)))),((IF(O540="EUR",W540,(W540*'Master Data-C19RM'!$D$2))))))</f>
        <v>0</v>
      </c>
      <c r="BQ540">
        <f>IF(N540="",0,IF(SETUP!$E$7="USD",((IF(O540="USD",AD540,(AD540/'Master Data-C19RM'!$E$2)))),((IF(O540="EUR",AD540,(AD540*'Master Data-C19RM'!$E$2))))))</f>
        <v>0</v>
      </c>
      <c r="BR540">
        <f>IF(N540="",0,IF(SETUP!$E$7="USD",((IF(O540="USD",AK540,(AK540/'Master Data-C19RM'!$F$2)))),((IF(O540="EUR",AK540,(AK540*'Master Data-C19RM'!$F$2))))))</f>
        <v>0</v>
      </c>
      <c r="BS540">
        <f>IF(N540="",0,IF(SETUP!$E$7="USD",((IF(O540="USD",AR540,(AR540/'Master Data-C19RM'!$G$2)))),((IF(O540="EUR",AR540,(AR540*'Master Data-C19RM'!$G$2))))))</f>
        <v>0</v>
      </c>
      <c r="BT540">
        <f>IF(N540="",0,IF(SETUP!$E$7="USD",((IF(O540="USD",AY540,(AY540/'Master Data-C19RM'!$H$2)))),((IF(O540="EUR",AY540,(AY540*'Master Data-C19RM'!$H$2))))))</f>
        <v>0</v>
      </c>
      <c r="BU540" s="12">
        <f t="shared" si="67"/>
        <v>0</v>
      </c>
      <c r="BV540" s="142">
        <f t="shared" si="68"/>
        <v>0</v>
      </c>
    </row>
    <row r="541" spans="1:94" x14ac:dyDescent="0.35">
      <c r="A541" s="1172"/>
      <c r="B541" s="1172"/>
      <c r="C541" s="1172"/>
      <c r="D541" s="1172"/>
      <c r="E541" s="1173"/>
      <c r="F541" s="1173"/>
      <c r="G541" s="1173"/>
      <c r="H541" s="1173"/>
      <c r="I541" s="1173"/>
      <c r="J541" s="1173"/>
      <c r="K541" s="1173"/>
      <c r="L541" s="493" t="str" cm="1">
        <f t="array" ref="L541">IF(A541&lt;&gt;"",IFERROR(INDEX(PMtbl[[WKst]:[Unit of measure*]],MATCH($A$437&amp;$A541&amp;$E541&amp;$I541,INDEX(PMtbl[Sec]&amp;PMtbl[Category]&amp;PMtbl[Each]&amp;PMtbl[Packaging],0,),0),14),""),"")</f>
        <v/>
      </c>
      <c r="M541" s="480" t="str">
        <f>IF(L541="","",INDEX(SETUP!$E$20:$E$122,(MATCH(INDEX(PMsheet!$D:$E,MATCH(A541,PMsheet!E:E,0),1),SETUP!$D$20:$D$122,0))))</f>
        <v/>
      </c>
      <c r="N541" s="494">
        <f>IF($O541="USD",_xlfn.IFNA(VLOOKUP(A541&amp;E541&amp;I541,PMsheet!J:K,2,0),0),(_xlfn.IFNA(VLOOKUP(A541&amp;E541&amp;I541,PMsheet!J:K,2,0),0)*'Master Data-C19RM'!$C$2))</f>
        <v>0</v>
      </c>
      <c r="O541" s="495" t="str">
        <f>IF(L541="", "",SETUP!$E$7)</f>
        <v/>
      </c>
      <c r="P541" s="445">
        <f>IF($O541="USD",_xlfn.IFNA(VLOOKUP($A541&amp;$E541&amp;$I541,PMsheet!$J:$K,2,0),0),(_xlfn.IFNA(VLOOKUP($A541&amp;$E541&amp;$I541,PMsheet!$J:$K,2,0),0)*'Master Data-C19RM'!$C$2))</f>
        <v>0</v>
      </c>
      <c r="Q541" s="440"/>
      <c r="R541" s="440"/>
      <c r="S541" s="440"/>
      <c r="T541" s="440"/>
      <c r="U541" s="482">
        <f t="shared" si="61"/>
        <v>0</v>
      </c>
      <c r="V541" s="484">
        <f>IF(SETUP!$E$7="USD",(U541*(IF(O541="USD",P541,(P541/'Master Data-C19RM'!$C$2)))),(U541*(IF(O541="EUR",P541,(P541*'Master Data-C19RM'!$C$2)))))</f>
        <v>0</v>
      </c>
      <c r="W541" s="445">
        <f>IF($O541="USD",_xlfn.IFNA(VLOOKUP($A541&amp;$E541&amp;$I541,PMsheet!$J:$K,2,0),0),(_xlfn.IFNA(VLOOKUP($A541&amp;$E541&amp;$I541,PMsheet!$J:$K,2,0),0)*'Master Data-C19RM'!$D$2))</f>
        <v>0</v>
      </c>
      <c r="X541" s="440"/>
      <c r="Y541" s="440"/>
      <c r="Z541" s="440"/>
      <c r="AA541" s="440"/>
      <c r="AB541" s="482">
        <f t="shared" si="62"/>
        <v>0</v>
      </c>
      <c r="AC541" s="484">
        <f>IF(SETUP!$E$7="USD",(AB541*(IF(O541="USD",W541,(W541/'Master Data-C19RM'!$D$2)))),(AB541*(IF(O541="EUR",W541,(W541*'Master Data-C19RM'!$D$2)))))</f>
        <v>0</v>
      </c>
      <c r="AD541" s="445">
        <f>IF($O541="USD",_xlfn.IFNA(VLOOKUP($A541&amp;$E541&amp;$I541,PMsheet!$J:$K,2,0),0),(_xlfn.IFNA(VLOOKUP($A541&amp;$E541&amp;$I541,PMsheet!$J:$K,2,0),0)*'Master Data-C19RM'!$E$2))</f>
        <v>0</v>
      </c>
      <c r="AE541" s="440"/>
      <c r="AF541" s="440"/>
      <c r="AG541" s="440"/>
      <c r="AH541" s="440"/>
      <c r="AI541" s="514">
        <f t="shared" si="63"/>
        <v>0</v>
      </c>
      <c r="AJ541" s="515">
        <f>IF(SETUP!$E$7="USD",(AI541*(IF(O541="USD",AD541,(AD541/'Master Data-C19RM'!$E$2)))),(AI541*(IF(O541="EUR",AD541,(AD541*'Master Data-C19RM'!$E$2)))))</f>
        <v>0</v>
      </c>
      <c r="AK541" s="445">
        <f>IF($O541="USD",_xlfn.IFNA(VLOOKUP($A541&amp;$E541&amp;$I541,PMsheet!$J:$K,2,0),0),(_xlfn.IFNA(VLOOKUP($A541&amp;$E541&amp;$I541,PMsheet!$J:$K,2,0),0)*'Master Data-C19RM'!$F$2))</f>
        <v>0</v>
      </c>
      <c r="AL541" s="440"/>
      <c r="AM541" s="440"/>
      <c r="AN541" s="440"/>
      <c r="AO541" s="440"/>
      <c r="AP541" s="514">
        <f t="shared" si="66"/>
        <v>0</v>
      </c>
      <c r="AQ541" s="515">
        <f>IF(SETUP!$E$7="USD",(AP541*(IF(O541="USD",AK541,(AK541/'Master Data-C19RM'!$F$2)))),(AP541*(IF(O541="EUR",AK541,(AK541*'Master Data-C19RM'!$F$2)))))</f>
        <v>0</v>
      </c>
      <c r="AR541" s="925">
        <f>IF($O541="USD",_xlfn.IFNA(VLOOKUP($A541&amp;$E541&amp;$I541,PMsheet!$J:$K,2,0),0),(_xlfn.IFNA(VLOOKUP($A541&amp;$E541&amp;$I541,PMsheet!$J:$K,2,0),0)*'Master Data-C19RM'!$G$2))</f>
        <v>0</v>
      </c>
      <c r="AS541" s="926"/>
      <c r="AT541" s="926"/>
      <c r="AU541" s="926"/>
      <c r="AV541" s="926"/>
      <c r="AW541" s="514">
        <f t="shared" si="69"/>
        <v>0</v>
      </c>
      <c r="AX541" s="514">
        <f>IF(SETUP!$E$7="USD",(AW541*(IF(O541="USD",AR541,(AR541/'Master Data-C19RM'!$G$2)))),(AW541*(IF(O541="EUR",AR541,(AR541*'Master Data-C19RM'!$G$2)))))</f>
        <v>0</v>
      </c>
      <c r="AY541" s="845"/>
      <c r="AZ541" s="846"/>
      <c r="BA541" s="846"/>
      <c r="BB541" s="846"/>
      <c r="BC541" s="846"/>
      <c r="BD541" s="846"/>
      <c r="BE541" s="847"/>
      <c r="BF541" s="521">
        <f>'C19RM 2021-Lab &amp; Other HPS'!$U541+'C19RM 2021-Lab &amp; Other HPS'!$AB541+'C19RM 2021-Lab &amp; Other HPS'!$AP541+'C19RM 2021-Lab &amp; Other HPS'!$AI541+AW541+BD541</f>
        <v>0</v>
      </c>
      <c r="BG541" s="515">
        <f>'C19RM 2021-Lab &amp; Other HPS'!$V541+'C19RM 2021-Lab &amp; Other HPS'!$AC541+'C19RM 2021-Lab &amp; Other HPS'!$AQ541+'C19RM 2021-Lab &amp; Other HPS'!$AJ541+AX541+BE541</f>
        <v>0</v>
      </c>
      <c r="BH541" s="522" t="str" cm="1">
        <f t="array" ref="BH541">IF(A541&lt;&gt;"",IFERROR(INDEX(PMtbl[[WKst]:[Unit of measure*]],MATCH($A$437&amp;$A541&amp;$E541&amp;$I541,INDEX(PMtbl[Sec]&amp;PMtbl[Category]&amp;PMtbl[Each]&amp;PMtbl[Packaging],0,),0),11),""),"")</f>
        <v/>
      </c>
      <c r="BI541" s="818"/>
      <c r="BJ541" s="503" t="str" cm="1">
        <f t="array" ref="BJ541">IFERROR(INDEX(SETUP!$C$19:$G$121,MATCH((INDEX(PMtbl[[WKst]:[Unit of measure*]],MATCH($A541&amp;$E541&amp;$I541,INDEX(PMtbl[Category]&amp;PMtbl[Each]&amp;PMtbl[Packaging],0,),0),3)),SETUP!$D$19:$D$121,0),5),"")</f>
        <v/>
      </c>
      <c r="BK541" s="537" t="str" cm="1">
        <f t="array" ref="BK541">IFERROR(IF((INDEX(SETUP!$C$19:$G$121,MATCH((INDEX(PMtbl[[WKst]:[Unit of measure*]],MATCH($A541&amp;$E541&amp;$I541,INDEX(PMtbl[Category]&amp;PMtbl[Each]&amp;PMtbl[Packaging],0,),0),3)),SETUP!$D$19:$D$121,0),4))="Upfront",0,INDEX(SETUP!$C$19:$G$121,MATCH((INDEX(PMtbl[[WKst]:[Unit of measure*]],MATCH($A541&amp;$E541&amp;$I541,INDEX(PMtbl[Category]&amp;PMtbl[Each]&amp;PMtbl[Packaging],0,),0),3)),SETUP!$D$19:$D$121,0),5)),"")</f>
        <v/>
      </c>
      <c r="BL541" s="578" t="str" cm="1">
        <f t="array" ref="BL541">IF(E541&lt;&gt;"",IFERROR(INDEX(PMtbl[[WKst]:[Unit of measure*]],MATCH($A$437&amp;$A541&amp;$E541&amp;$I541,INDEX(PMtbl[Sec]&amp;PMtbl[Category]&amp;PMtbl[Each]&amp;PMtbl[Packaging],0,),0),11),""),"")</f>
        <v/>
      </c>
      <c r="BO541" s="12">
        <f>IF(N541="",0,IF(SETUP!$E$7="USD",((IF(O541="USD",P541,(P541/'Master Data-C19RM'!$C$2)))),((IF(O541="EUR",P541,(P541*'Master Data-C19RM'!$C$2))))))</f>
        <v>0</v>
      </c>
      <c r="BP541" s="12">
        <f>IF(N541="",0,IF(SETUP!$E$7="USD",((IF(O541="USD",W541,(W541/'Master Data-C19RM'!$D$2)))),((IF(O541="EUR",W541,(W541*'Master Data-C19RM'!$D$2))))))</f>
        <v>0</v>
      </c>
      <c r="BQ541">
        <f>IF(N541="",0,IF(SETUP!$E$7="USD",((IF(O541="USD",AD541,(AD541/'Master Data-C19RM'!$E$2)))),((IF(O541="EUR",AD541,(AD541*'Master Data-C19RM'!$E$2))))))</f>
        <v>0</v>
      </c>
      <c r="BR541">
        <f>IF(N541="",0,IF(SETUP!$E$7="USD",((IF(O541="USD",AK541,(AK541/'Master Data-C19RM'!$F$2)))),((IF(O541="EUR",AK541,(AK541*'Master Data-C19RM'!$F$2))))))</f>
        <v>0</v>
      </c>
      <c r="BS541">
        <f>IF(N541="",0,IF(SETUP!$E$7="USD",((IF(O541="USD",AR541,(AR541/'Master Data-C19RM'!$G$2)))),((IF(O541="EUR",AR541,(AR541*'Master Data-C19RM'!$G$2))))))</f>
        <v>0</v>
      </c>
      <c r="BT541">
        <f>IF(N541="",0,IF(SETUP!$E$7="USD",((IF(O541="USD",AY541,(AY541/'Master Data-C19RM'!$H$2)))),((IF(O541="EUR",AY541,(AY541*'Master Data-C19RM'!$H$2))))))</f>
        <v>0</v>
      </c>
      <c r="BU541" s="12">
        <f t="shared" si="59"/>
        <v>0</v>
      </c>
      <c r="BV541" s="142">
        <f t="shared" si="60"/>
        <v>0</v>
      </c>
    </row>
    <row r="542" spans="1:94" s="24" customFormat="1" ht="15" thickBot="1" x14ac:dyDescent="0.4">
      <c r="A542" s="1258"/>
      <c r="B542" s="1258"/>
      <c r="C542" s="1258"/>
      <c r="D542" s="1258"/>
      <c r="E542" s="1181"/>
      <c r="F542" s="1181"/>
      <c r="G542" s="1181"/>
      <c r="H542" s="1181"/>
      <c r="I542" s="1181"/>
      <c r="J542" s="1181"/>
      <c r="K542" s="1181"/>
      <c r="L542" s="506" t="str" cm="1">
        <f t="array" ref="L542">IF(A542&lt;&gt;"",IFERROR(INDEX(PMtbl[[WKst]:[Unit of measure*]],MATCH($A$437&amp;$A542&amp;$E542&amp;$I542,INDEX(PMtbl[Sec]&amp;PMtbl[Category]&amp;PMtbl[Each]&amp;PMtbl[Packaging],0,),0),14),""),"")</f>
        <v/>
      </c>
      <c r="M542" s="507" t="str">
        <f>IF(L542="","",INDEX(SETUP!$E$20:$E$122,(MATCH(INDEX(PMsheet!$D:$E,MATCH(A542,PMsheet!E:E,0),1),SETUP!$D$20:$D$122,0))))</f>
        <v/>
      </c>
      <c r="N542" s="528">
        <f>IF($O542="USD",_xlfn.IFNA(VLOOKUP(A542&amp;E542&amp;I542,PMsheet!J:K,2,0),0),(_xlfn.IFNA(VLOOKUP(A542&amp;E542&amp;I542,PMsheet!J:K,2,0),0)*'Master Data-C19RM'!$C$2))</f>
        <v>0</v>
      </c>
      <c r="O542" s="839" t="str">
        <f>IF(L542="", "",SETUP!$E$7)</f>
        <v/>
      </c>
      <c r="P542" s="460">
        <f>IF($O542="USD",_xlfn.IFNA(VLOOKUP($A542&amp;$E542&amp;$I542,PMsheet!$J:$K,2,0),0),(_xlfn.IFNA(VLOOKUP($A542&amp;$E542&amp;$I542,PMsheet!$J:$K,2,0),0)*'Master Data-C19RM'!$C$2))</f>
        <v>0</v>
      </c>
      <c r="Q542" s="459"/>
      <c r="R542" s="459"/>
      <c r="S542" s="459"/>
      <c r="T542" s="459"/>
      <c r="U542" s="510">
        <f t="shared" si="61"/>
        <v>0</v>
      </c>
      <c r="V542" s="511">
        <f>IF(SETUP!$E$7="USD",(U542*(IF(O542="USD",P542,(P542/'Master Data-C19RM'!$C$2)))),(U542*(IF(O542="EUR",P542,(P542*'Master Data-C19RM'!$C$2)))))</f>
        <v>0</v>
      </c>
      <c r="W542" s="460">
        <f>IF($O542="USD",_xlfn.IFNA(VLOOKUP($A542&amp;$E542&amp;$I542,PMsheet!$J:$K,2,0),0),(_xlfn.IFNA(VLOOKUP($A542&amp;$E542&amp;$I542,PMsheet!$J:$K,2,0),0)*'Master Data-C19RM'!$D$2))</f>
        <v>0</v>
      </c>
      <c r="X542" s="459"/>
      <c r="Y542" s="459"/>
      <c r="Z542" s="459"/>
      <c r="AA542" s="459"/>
      <c r="AB542" s="510">
        <f t="shared" si="62"/>
        <v>0</v>
      </c>
      <c r="AC542" s="511">
        <f>IF(SETUP!$E$7="USD",(AB542*(IF(O542="USD",W542,(W542/'Master Data-C19RM'!$D$2)))),(AB542*(IF(O542="EUR",W542,(W542*'Master Data-C19RM'!$D$2)))))</f>
        <v>0</v>
      </c>
      <c r="AD542" s="460">
        <f>IF($O542="USD",_xlfn.IFNA(VLOOKUP($A542&amp;$E542&amp;$I542,PMsheet!$J:$K,2,0),0),(_xlfn.IFNA(VLOOKUP($A542&amp;$E542&amp;$I542,PMsheet!$J:$K,2,0),0)*'Master Data-C19RM'!$E$2))</f>
        <v>0</v>
      </c>
      <c r="AE542" s="459"/>
      <c r="AF542" s="459"/>
      <c r="AG542" s="459"/>
      <c r="AH542" s="459"/>
      <c r="AI542" s="516">
        <f t="shared" si="63"/>
        <v>0</v>
      </c>
      <c r="AJ542" s="517">
        <f>IF(SETUP!$E$7="USD",(AI542*(IF(O542="USD",AD542,(AD542/'Master Data-C19RM'!$E$2)))),(AI542*(IF(O542="EUR",AD542,(AD542*'Master Data-C19RM'!$E$2)))))</f>
        <v>0</v>
      </c>
      <c r="AK542" s="458">
        <f>IF($O542="USD",_xlfn.IFNA(VLOOKUP($A542&amp;$E542&amp;$I542,PMsheet!$J:$K,2,0),0),(_xlfn.IFNA(VLOOKUP($A542&amp;$E542&amp;$I542,PMsheet!$J:$K,2,0),0)*'Master Data-C19RM'!$F$2))</f>
        <v>0</v>
      </c>
      <c r="AL542" s="840"/>
      <c r="AM542" s="840"/>
      <c r="AN542" s="840"/>
      <c r="AO542" s="840"/>
      <c r="AP542" s="516">
        <f t="shared" si="66"/>
        <v>0</v>
      </c>
      <c r="AQ542" s="517">
        <f>IF(SETUP!$E$7="USD",(AP542*(IF(O542="USD",AK542,(AK542/'Master Data-C19RM'!$F$2)))),(AP542*(IF(O542="EUR",AK542,(AK542*'Master Data-C19RM'!$F$2)))))</f>
        <v>0</v>
      </c>
      <c r="AR542" s="927">
        <f>IF($O542="USD",_xlfn.IFNA(VLOOKUP($A542&amp;$E542&amp;$I542,PMsheet!$J:$K,2,0),0),(_xlfn.IFNA(VLOOKUP($A542&amp;$E542&amp;$I542,PMsheet!$J:$K,2,0),0)*'Master Data-C19RM'!$G$2))</f>
        <v>0</v>
      </c>
      <c r="AS542" s="840"/>
      <c r="AT542" s="840"/>
      <c r="AU542" s="840"/>
      <c r="AV542" s="840"/>
      <c r="AW542" s="516">
        <f t="shared" si="69"/>
        <v>0</v>
      </c>
      <c r="AX542" s="516">
        <f>IF(SETUP!$E$7="USD",(AW542*(IF(O542="USD",AR542,(AR542/'Master Data-C19RM'!$G$2)))),(AW542*(IF(O542="EUR",AR542,(AR542*'Master Data-C19RM'!$G$2)))))</f>
        <v>0</v>
      </c>
      <c r="AY542" s="848"/>
      <c r="AZ542" s="849"/>
      <c r="BA542" s="849"/>
      <c r="BB542" s="849"/>
      <c r="BC542" s="849"/>
      <c r="BD542" s="849"/>
      <c r="BE542" s="850"/>
      <c r="BF542" s="523">
        <f>'C19RM 2021-Lab &amp; Other HPS'!$U542+'C19RM 2021-Lab &amp; Other HPS'!$AB542+'C19RM 2021-Lab &amp; Other HPS'!$AP542+'C19RM 2021-Lab &amp; Other HPS'!$AI542+AW542+BD542</f>
        <v>0</v>
      </c>
      <c r="BG542" s="517">
        <f>'C19RM 2021-Lab &amp; Other HPS'!$V542+'C19RM 2021-Lab &amp; Other HPS'!$AC542+'C19RM 2021-Lab &amp; Other HPS'!$AQ542+'C19RM 2021-Lab &amp; Other HPS'!$AJ542+AX542+BE542</f>
        <v>0</v>
      </c>
      <c r="BH542" s="524" t="str" cm="1">
        <f t="array" ref="BH542">IF(A542&lt;&gt;"",IFERROR(INDEX(PMtbl[[WKst]:[Unit of measure*]],MATCH($A$437&amp;$A542&amp;$E542&amp;$I542,INDEX(PMtbl[Sec]&amp;PMtbl[Category]&amp;PMtbl[Each]&amp;PMtbl[Packaging],0,),0),11),""),"")</f>
        <v/>
      </c>
      <c r="BI542" s="821"/>
      <c r="BJ542" s="527" t="str" cm="1">
        <f t="array" ref="BJ542">IFERROR(INDEX(SETUP!$C$19:$G$121,MATCH((INDEX(PMtbl[[WKst]:[Unit of measure*]],MATCH($A542&amp;$E542&amp;$I542,INDEX(PMtbl[Category]&amp;PMtbl[Each]&amp;PMtbl[Packaging],0,),0),3)),SETUP!$D$19:$D$121,0),5),"")</f>
        <v/>
      </c>
      <c r="BK542" s="536" t="str" cm="1">
        <f t="array" ref="BK542">IFERROR(IF((INDEX(SETUP!$C$19:$G$121,MATCH((INDEX(PMtbl[[WKst]:[Unit of measure*]],MATCH($A542&amp;$E542&amp;$I542,INDEX(PMtbl[Category]&amp;PMtbl[Each]&amp;PMtbl[Packaging],0,),0),3)),SETUP!$D$19:$D$121,0),4))="Upfront",0,INDEX(SETUP!$C$19:$G$121,MATCH((INDEX(PMtbl[[WKst]:[Unit of measure*]],MATCH($A542&amp;$E542&amp;$I542,INDEX(PMtbl[Category]&amp;PMtbl[Each]&amp;PMtbl[Packaging],0,),0),3)),SETUP!$D$19:$D$121,0),5)),"")</f>
        <v/>
      </c>
      <c r="BL542" s="577" t="str" cm="1">
        <f t="array" ref="BL542">IF(E542&lt;&gt;"",IFERROR(INDEX(PMtbl[[WKst]:[Unit of measure*]],MATCH($A$437&amp;$A542&amp;$E542&amp;$I542,INDEX(PMtbl[Sec]&amp;PMtbl[Category]&amp;PMtbl[Each]&amp;PMtbl[Packaging],0,),0),11),""),"")</f>
        <v/>
      </c>
      <c r="BO542" s="12">
        <f>IF(N542="",0,IF(SETUP!$E$7="USD",((IF(O542="USD",P542,(P542/'Master Data-C19RM'!$C$2)))),((IF(O542="EUR",P542,(P542*'Master Data-C19RM'!$C$2))))))</f>
        <v>0</v>
      </c>
      <c r="BP542" s="12">
        <f>IF(N542="",0,IF(SETUP!$E$7="USD",((IF(O542="USD",W542,(W542/'Master Data-C19RM'!$D$2)))),((IF(O542="EUR",W542,(W542*'Master Data-C19RM'!$D$2))))))</f>
        <v>0</v>
      </c>
      <c r="BQ542">
        <f>IF(N542="",0,IF(SETUP!$E$7="USD",((IF(O542="USD",AD542,(AD542/'Master Data-C19RM'!$E$2)))),((IF(O542="EUR",AD542,(AD542*'Master Data-C19RM'!$E$2))))))</f>
        <v>0</v>
      </c>
      <c r="BR542">
        <f>IF(N542="",0,IF(SETUP!$E$7="USD",((IF(O542="USD",AK542,(AK542/'Master Data-C19RM'!$F$2)))),((IF(O542="EUR",AK542,(AK542*'Master Data-C19RM'!$F$2))))))</f>
        <v>0</v>
      </c>
      <c r="BS542">
        <f>IF(N542="",0,IF(SETUP!$E$7="USD",((IF(O542="USD",AR542,(AR542/'Master Data-C19RM'!$G$2)))),((IF(O542="EUR",AR542,(AR542*'Master Data-C19RM'!$G$2))))))</f>
        <v>0</v>
      </c>
      <c r="BT542">
        <f>IF(N542="",0,IF(SETUP!$E$7="USD",((IF(O542="USD",AY542,(AY542/'Master Data-C19RM'!$H$2)))),((IF(O542="EUR",AY542,(AY542*'Master Data-C19RM'!$H$2))))))</f>
        <v>0</v>
      </c>
      <c r="BU542" s="12">
        <f t="shared" si="59"/>
        <v>0</v>
      </c>
      <c r="BV542" s="142">
        <f t="shared" si="60"/>
        <v>0</v>
      </c>
      <c r="BW542"/>
      <c r="BX542"/>
      <c r="BY542"/>
      <c r="BZ542"/>
      <c r="CA542"/>
      <c r="CB542"/>
      <c r="CC542"/>
      <c r="CD542"/>
      <c r="CE542"/>
      <c r="CF542"/>
      <c r="CG542"/>
      <c r="CH542"/>
      <c r="CI542"/>
      <c r="CJ542"/>
      <c r="CK542"/>
      <c r="CL542"/>
      <c r="CM542"/>
      <c r="CN542"/>
      <c r="CO542"/>
      <c r="CP542"/>
    </row>
    <row r="543" spans="1:94" ht="15" thickBot="1" x14ac:dyDescent="0.4">
      <c r="C543" s="53" t="s">
        <v>135</v>
      </c>
    </row>
    <row r="544" spans="1:94" ht="23" customHeight="1" thickBot="1" x14ac:dyDescent="0.4">
      <c r="A544" s="1140">
        <v>6</v>
      </c>
      <c r="B544" s="1142" t="s">
        <v>3038</v>
      </c>
      <c r="C544" s="1142"/>
      <c r="D544" s="1134" t="s">
        <v>3036</v>
      </c>
      <c r="E544" s="1134"/>
      <c r="F544" s="1134"/>
      <c r="G544" s="1135"/>
      <c r="H544"/>
      <c r="I544"/>
      <c r="J544"/>
      <c r="K544"/>
      <c r="L544"/>
      <c r="O544" s="1145" t="str">
        <f>CONCATENATE(J7," ",SETUP!E7)</f>
        <v xml:space="preserve">Total Amount in </v>
      </c>
      <c r="P544" s="532" t="s">
        <v>125</v>
      </c>
      <c r="Q544" s="532" t="s">
        <v>126</v>
      </c>
      <c r="R544" s="532" t="s">
        <v>127</v>
      </c>
      <c r="S544" s="532" t="s">
        <v>128</v>
      </c>
      <c r="T544" s="532" t="s">
        <v>661</v>
      </c>
      <c r="U544" s="533" t="s">
        <v>129</v>
      </c>
      <c r="V544" s="17"/>
      <c r="W544" s="17"/>
      <c r="X544" s="17"/>
      <c r="Y544" s="17"/>
      <c r="Z544" s="17"/>
      <c r="AA544" s="17"/>
      <c r="AB544" s="17"/>
      <c r="AC544" s="17"/>
      <c r="AD544" s="17"/>
      <c r="AE544" s="17"/>
      <c r="AF544" s="17"/>
      <c r="AG544" s="17"/>
      <c r="AH544" s="17"/>
      <c r="AI544" s="52"/>
      <c r="AJ544" s="43"/>
      <c r="AK544" s="17"/>
      <c r="AL544" s="17"/>
      <c r="AM544" s="17"/>
      <c r="AN544" s="17"/>
      <c r="AO544" s="17"/>
      <c r="AP544" s="52"/>
      <c r="AQ544" s="43"/>
      <c r="BK544" s="12"/>
    </row>
    <row r="545" spans="1:94" ht="40" customHeight="1" thickBot="1" x14ac:dyDescent="0.4">
      <c r="A545" s="1141"/>
      <c r="B545" s="1143"/>
      <c r="C545" s="1143"/>
      <c r="D545" s="1194" t="s">
        <v>3037</v>
      </c>
      <c r="E545" s="1194"/>
      <c r="F545" s="1194"/>
      <c r="G545" s="1195"/>
      <c r="H545"/>
      <c r="I545"/>
      <c r="J545"/>
      <c r="K545"/>
      <c r="L545"/>
      <c r="O545" s="1146"/>
      <c r="P545" s="534">
        <f>SUM(V550:V649)</f>
        <v>0</v>
      </c>
      <c r="Q545" s="534">
        <f>SUM(AC550:AC649)</f>
        <v>0</v>
      </c>
      <c r="R545" s="534">
        <f>SUM(AJ550:AJ649)</f>
        <v>0</v>
      </c>
      <c r="S545" s="534">
        <f>SUM(AQ550:AQ649)</f>
        <v>0</v>
      </c>
      <c r="T545" s="534">
        <f>SUM(AX550:AX649)</f>
        <v>0</v>
      </c>
      <c r="U545" s="535">
        <f>SUM(P545:T545)</f>
        <v>0</v>
      </c>
      <c r="V545" s="17"/>
      <c r="W545" s="17"/>
      <c r="X545" s="17"/>
      <c r="Y545" s="17"/>
      <c r="Z545" s="17"/>
      <c r="AA545" s="17"/>
      <c r="AB545" s="17"/>
      <c r="AC545" s="17"/>
      <c r="AD545" s="17"/>
      <c r="AE545" s="17"/>
      <c r="AF545" s="17"/>
      <c r="AG545" s="17"/>
      <c r="AH545" s="17"/>
      <c r="AI545" s="52"/>
      <c r="AJ545" s="43"/>
      <c r="AK545" s="17"/>
      <c r="AL545" s="17"/>
      <c r="AM545" s="17"/>
      <c r="AN545" s="17"/>
      <c r="AO545" s="17"/>
      <c r="AP545" s="52"/>
      <c r="AQ545" s="43"/>
      <c r="BK545" s="12"/>
    </row>
    <row r="546" spans="1:94" ht="222" customHeight="1" thickBot="1" x14ac:dyDescent="0.4">
      <c r="A546" s="1147" t="str">
        <f>IF($L$1=2,Language!$E$291,IF($L$1=3,Language!$F$291,Language!$G$291))</f>
        <v>1. Column A: Select the Item Category from the drop-down menu.
2. Column E: Select the Product Details from the drop-down menu.
3. Column I: Select the Additional Details from the drop-down menu; for Additional Details that require mentioning further or specific details in Comments, please use the Comments column BI to provide this information.
4. Column N: Once the full product information has been entered (steps 1-3 above), if a reference price is available, it will automatically populate in column N and in column P, W, AD, AK and AR. The Reference Price displayed will be in the grant currency selected in the SETUP worksheet.
5. Column O: The currency displayed in this column is defaulted to the grant currency selected in the SETUP worksheet. If the PR/ Implementer needs to use a unit cost in an alternative currency (USD/ EUR), please select the relevant currency for each product using the drop-down menu available in this column.
6. Column N, P, W, AD, AK, AR: In case a reference price did not automatically populate (step 4, above) for the product selected, or in case the reference price is inaccurate for this PR/ Implementer, insert the unit cost per product. The unit cost should be in the grant currency (USD or EUR). If the PR/ Implementer needs to use a unit cost in an alternative currency (USD/ EUR), follow step 5.
7. If a reference price was available (step 4) and you have changed the unit cost to more than or less than 30% of the reference price, the cell will display in red. Please double check that the unit cost is aligned with the product details selected. If everything is correct, you can proceed; the red color will not result in errors in the file.
8. Column Q, R, S, T, X, Y, Z, AA, AE, AF, AG, AH, AL, AM, AN, AO, AS, AT, AU, AV: Insert the quantity per product that will be procured in the relevant quarter in which the order will be confirmed/ placed with manufacturers.
9. Column BI is optional and should be used if you have any relevant comments to communicate to the Country Team/ LFA.</v>
      </c>
      <c r="B546" s="1148"/>
      <c r="C546" s="1148"/>
      <c r="D546" s="1148"/>
      <c r="E546" s="1148"/>
      <c r="F546" s="1148"/>
      <c r="G546" s="1148"/>
      <c r="H546" s="1148"/>
      <c r="I546" s="1148"/>
      <c r="J546" s="1148"/>
      <c r="K546" s="1148"/>
      <c r="L546" s="1148"/>
      <c r="M546" s="1148"/>
      <c r="N546" s="1148"/>
      <c r="O546" s="1149"/>
      <c r="P546" s="33"/>
      <c r="Q546" s="25"/>
      <c r="R546" s="25"/>
      <c r="S546" s="25"/>
      <c r="T546" s="25"/>
      <c r="U546" s="25"/>
      <c r="V546" s="25"/>
      <c r="W546" s="25"/>
      <c r="X546" s="25"/>
      <c r="Y546" s="25"/>
      <c r="Z546" s="25"/>
      <c r="AA546" s="25"/>
      <c r="AB546" s="25"/>
      <c r="AC546" s="25"/>
      <c r="AD546" s="25"/>
      <c r="AE546" s="25"/>
      <c r="AF546" s="25"/>
      <c r="AG546" s="26"/>
      <c r="AH546" s="26"/>
      <c r="AI546" s="150"/>
      <c r="AJ546" s="26"/>
      <c r="AK546" s="25"/>
      <c r="AL546" s="25"/>
      <c r="AM546" s="25"/>
      <c r="AN546" s="26"/>
      <c r="AO546" s="26"/>
      <c r="AP546" s="150"/>
      <c r="AQ546" s="26"/>
      <c r="BK546" s="12"/>
    </row>
    <row r="547" spans="1:94" s="452" customFormat="1" ht="15" thickBot="1" x14ac:dyDescent="0.4">
      <c r="A547" s="464"/>
      <c r="B547" s="472"/>
      <c r="C547" s="465"/>
      <c r="D547" s="473"/>
      <c r="E547" s="473"/>
      <c r="F547" s="474"/>
      <c r="G547" s="474"/>
      <c r="H547" s="474"/>
      <c r="I547" s="474"/>
      <c r="J547" s="474"/>
      <c r="K547" s="474"/>
      <c r="L547" s="475"/>
      <c r="M547" s="475"/>
      <c r="N547" s="475"/>
      <c r="O547" s="476"/>
      <c r="P547" s="434" t="s">
        <v>130</v>
      </c>
      <c r="Q547" s="435" t="str">
        <f>Q440</f>
        <v>Jan21 - Mar21</v>
      </c>
      <c r="R547" s="435" t="str">
        <f>R440</f>
        <v>Apr21 - Jun21</v>
      </c>
      <c r="S547" s="435" t="str">
        <f>S440</f>
        <v>Jul21 - Sep21</v>
      </c>
      <c r="T547" s="436" t="str">
        <f>T440</f>
        <v>Oct21 - Dec21</v>
      </c>
      <c r="U547" s="446"/>
      <c r="V547" s="447"/>
      <c r="W547" s="434" t="s">
        <v>130</v>
      </c>
      <c r="X547" s="435" t="str">
        <f>X440</f>
        <v>Jan22 - Mar22</v>
      </c>
      <c r="Y547" s="435" t="str">
        <f>Y440</f>
        <v>Apr22 - Jun22</v>
      </c>
      <c r="Z547" s="435" t="str">
        <f>Z440</f>
        <v>Jul22 - Sep22</v>
      </c>
      <c r="AA547" s="436" t="str">
        <f>AA440</f>
        <v>Oct22 - Dec22</v>
      </c>
      <c r="AB547" s="446"/>
      <c r="AC547" s="447"/>
      <c r="AD547" s="434" t="s">
        <v>130</v>
      </c>
      <c r="AE547" s="435" t="str">
        <f>AE440</f>
        <v>Jan23 - Mar23</v>
      </c>
      <c r="AF547" s="435" t="str">
        <f>AF440</f>
        <v>Apr23 - Jun23</v>
      </c>
      <c r="AG547" s="435" t="str">
        <f>AG440</f>
        <v>Jul23 - Sep23</v>
      </c>
      <c r="AH547" s="436" t="str">
        <f>AH440</f>
        <v>Oct23 - Dec23</v>
      </c>
      <c r="AI547" s="446"/>
      <c r="AJ547" s="447"/>
      <c r="AK547" s="434" t="s">
        <v>130</v>
      </c>
      <c r="AL547" s="435" t="str">
        <f>AL440</f>
        <v>Jan24 - Mar24</v>
      </c>
      <c r="AM547" s="435" t="str">
        <f>AM440</f>
        <v>Apr24 - Jun24</v>
      </c>
      <c r="AN547" s="435" t="str">
        <f>AN440</f>
        <v>Jul24 - Sep24</v>
      </c>
      <c r="AO547" s="436" t="str">
        <f>AO440</f>
        <v>Oct24 - Dec24</v>
      </c>
      <c r="AP547" s="446"/>
      <c r="AQ547" s="447"/>
      <c r="AR547" s="434" t="s">
        <v>130</v>
      </c>
      <c r="AS547" s="823" t="str">
        <f>AS440</f>
        <v>Jan25 - Mar25</v>
      </c>
      <c r="AT547" s="823" t="str">
        <f>AT440</f>
        <v>Apr25 - Jun25</v>
      </c>
      <c r="AU547" s="823" t="str">
        <f>AU440</f>
        <v>Jul25 - Sep25</v>
      </c>
      <c r="AV547" s="817" t="str">
        <f>AV440</f>
        <v>Oct25 - Dec25</v>
      </c>
      <c r="AW547" s="447"/>
      <c r="AX547" s="447"/>
      <c r="AY547" s="434" t="s">
        <v>130</v>
      </c>
      <c r="AZ547" s="816" t="str">
        <f>AZ440</f>
        <v>-</v>
      </c>
      <c r="BA547" s="816" t="str">
        <f t="shared" ref="BA547:BC547" si="70">BA440</f>
        <v>-</v>
      </c>
      <c r="BB547" s="816" t="str">
        <f t="shared" si="70"/>
        <v>-</v>
      </c>
      <c r="BC547" s="817" t="str">
        <f t="shared" si="70"/>
        <v>-</v>
      </c>
      <c r="BD547" s="447"/>
      <c r="BE547" s="447"/>
      <c r="BF547" s="455"/>
      <c r="BG547" s="455"/>
      <c r="BH547" s="455"/>
      <c r="BI547" s="455"/>
      <c r="BJ547" s="455"/>
      <c r="BP547" s="54"/>
      <c r="BQ547" s="54"/>
      <c r="BR547" s="54"/>
      <c r="BS547" s="54"/>
      <c r="BT547" s="54"/>
      <c r="BV547" s="54"/>
      <c r="BW547" s="54"/>
      <c r="BX547" s="54"/>
      <c r="BY547" s="54"/>
      <c r="BZ547" s="54"/>
      <c r="CA547" s="54"/>
      <c r="CB547" s="54"/>
      <c r="CC547" s="54"/>
      <c r="CD547" s="54"/>
      <c r="CE547" s="54"/>
      <c r="CF547" s="54"/>
      <c r="CG547" s="54"/>
      <c r="CH547" s="54"/>
      <c r="CI547" s="54"/>
      <c r="CJ547" s="54"/>
      <c r="CK547" s="54"/>
      <c r="CL547" s="54"/>
      <c r="CM547" s="54"/>
      <c r="CN547" s="54"/>
      <c r="CO547" s="54"/>
      <c r="CP547" s="54"/>
    </row>
    <row r="548" spans="1:94" s="547" customFormat="1" ht="15.75" customHeight="1" thickBot="1" x14ac:dyDescent="0.4">
      <c r="A548" s="1174" t="str">
        <f>A226</f>
        <v>Item Category</v>
      </c>
      <c r="B548" s="1174"/>
      <c r="C548" s="1174"/>
      <c r="D548" s="1174"/>
      <c r="E548" s="1174" t="str">
        <f>E226</f>
        <v>Product Details</v>
      </c>
      <c r="F548" s="1174"/>
      <c r="G548" s="1174"/>
      <c r="H548" s="1174"/>
      <c r="I548" s="1170" t="str">
        <f>I226</f>
        <v>Additional Details</v>
      </c>
      <c r="J548" s="1170"/>
      <c r="K548" s="1170"/>
      <c r="L548" s="1156" t="str">
        <f>L226</f>
        <v>Unit of measure</v>
      </c>
      <c r="M548" s="1157" t="str">
        <f>M226</f>
        <v>Procurement Channel</v>
      </c>
      <c r="N548" s="1157" t="str">
        <f>N226</f>
        <v>Reference Price (In Payment Currency)</v>
      </c>
      <c r="O548" s="1158" t="str">
        <f>O226</f>
        <v>Payment Currency</v>
      </c>
      <c r="P548" s="1167" t="str">
        <f>P226</f>
        <v>2021</v>
      </c>
      <c r="Q548" s="1168"/>
      <c r="R548" s="1168"/>
      <c r="S548" s="1168"/>
      <c r="T548" s="1168"/>
      <c r="U548" s="1168"/>
      <c r="V548" s="1169"/>
      <c r="W548" s="1167" t="str">
        <f>W226</f>
        <v>2022</v>
      </c>
      <c r="X548" s="1168"/>
      <c r="Y548" s="1168"/>
      <c r="Z548" s="1168"/>
      <c r="AA548" s="1168"/>
      <c r="AB548" s="1168"/>
      <c r="AC548" s="1169"/>
      <c r="AD548" s="1167" t="str">
        <f>AD226</f>
        <v>2023</v>
      </c>
      <c r="AE548" s="1168"/>
      <c r="AF548" s="1168"/>
      <c r="AG548" s="1168"/>
      <c r="AH548" s="1168"/>
      <c r="AI548" s="1168"/>
      <c r="AJ548" s="1169"/>
      <c r="AK548" s="1167" t="str">
        <f>AK226</f>
        <v>2024</v>
      </c>
      <c r="AL548" s="1168"/>
      <c r="AM548" s="1168"/>
      <c r="AN548" s="1168"/>
      <c r="AO548" s="1168"/>
      <c r="AP548" s="1168"/>
      <c r="AQ548" s="1169"/>
      <c r="AR548" s="1167" t="str">
        <f>AR226</f>
        <v>2025</v>
      </c>
      <c r="AS548" s="1168"/>
      <c r="AT548" s="1168"/>
      <c r="AU548" s="1168"/>
      <c r="AV548" s="1168"/>
      <c r="AW548" s="1168"/>
      <c r="AX548" s="1169"/>
      <c r="AY548" s="1167" t="str">
        <f>AY226</f>
        <v/>
      </c>
      <c r="AZ548" s="1168"/>
      <c r="BA548" s="1168"/>
      <c r="BB548" s="1168"/>
      <c r="BC548" s="1168"/>
      <c r="BD548" s="1168"/>
      <c r="BE548" s="1169"/>
      <c r="BF548" s="1252" t="str">
        <f>BF226</f>
        <v>Total grant period</v>
      </c>
      <c r="BG548" s="1253"/>
      <c r="BH548" s="1174" t="str">
        <f>BH12</f>
        <v>Cost Input</v>
      </c>
      <c r="BI548" s="1228" t="str">
        <f>BI226</f>
        <v>Comments</v>
      </c>
      <c r="BJ548" s="1230" t="str">
        <f>BJ226</f>
        <v>Delivery Lead Time</v>
      </c>
      <c r="BK548" s="1232" t="e">
        <f>BK226</f>
        <v>#N/A</v>
      </c>
      <c r="BL548" s="546" t="e">
        <f>BL226</f>
        <v>#REF!</v>
      </c>
      <c r="BP548" s="54"/>
      <c r="BQ548" s="54"/>
      <c r="BR548" s="54"/>
      <c r="BS548" s="54"/>
      <c r="BT548" s="54"/>
      <c r="BU548" s="452"/>
      <c r="BV548" s="54"/>
      <c r="BW548" s="54"/>
      <c r="BX548" s="54"/>
      <c r="BY548" s="54"/>
      <c r="BZ548" s="54"/>
      <c r="CA548" s="54"/>
      <c r="CB548" s="54"/>
      <c r="CC548" s="54"/>
      <c r="CD548" s="54"/>
      <c r="CE548" s="54"/>
      <c r="CF548" s="54"/>
      <c r="CG548" s="54"/>
      <c r="CH548" s="54"/>
      <c r="CI548" s="54"/>
      <c r="CJ548" s="54"/>
      <c r="CK548" s="54"/>
      <c r="CL548" s="54"/>
      <c r="CM548" s="54"/>
      <c r="CN548" s="54"/>
      <c r="CO548" s="54"/>
      <c r="CP548" s="54"/>
    </row>
    <row r="549" spans="1:94" s="548" customFormat="1" ht="42.5" thickBot="1" x14ac:dyDescent="0.4">
      <c r="A549" s="1175"/>
      <c r="B549" s="1175"/>
      <c r="C549" s="1175"/>
      <c r="D549" s="1175"/>
      <c r="E549" s="1175"/>
      <c r="F549" s="1175"/>
      <c r="G549" s="1175"/>
      <c r="H549" s="1175"/>
      <c r="I549" s="1171"/>
      <c r="J549" s="1171"/>
      <c r="K549" s="1171"/>
      <c r="L549" s="1159"/>
      <c r="M549" s="1160"/>
      <c r="N549" s="1160"/>
      <c r="O549" s="1161"/>
      <c r="P549" s="449" t="str">
        <f t="shared" ref="P549:BE549" si="71">P13</f>
        <v>Y1 Unit cost</v>
      </c>
      <c r="Q549" s="450" t="str">
        <f t="shared" si="71"/>
        <v>Y1 Q1 quantity</v>
      </c>
      <c r="R549" s="450" t="str">
        <f t="shared" si="71"/>
        <v>Y1 Q2 quantity</v>
      </c>
      <c r="S549" s="450" t="str">
        <f t="shared" si="71"/>
        <v>Y1 Q3 quantity</v>
      </c>
      <c r="T549" s="450" t="str">
        <f t="shared" si="71"/>
        <v>Y1 Q4 quantity</v>
      </c>
      <c r="U549" s="450" t="str">
        <f t="shared" si="71"/>
        <v>Y1 Total quantity</v>
      </c>
      <c r="V549" s="451" t="str">
        <f t="shared" si="71"/>
        <v>Y1 Total cost (In Grant Currency -)</v>
      </c>
      <c r="W549" s="449" t="str">
        <f t="shared" si="71"/>
        <v>Y2 Unit cost</v>
      </c>
      <c r="X549" s="450" t="str">
        <f t="shared" si="71"/>
        <v>Y2 Q1 quantity</v>
      </c>
      <c r="Y549" s="450" t="str">
        <f t="shared" si="71"/>
        <v>Y2 Q2 quantity</v>
      </c>
      <c r="Z549" s="450" t="str">
        <f t="shared" si="71"/>
        <v>Y2 Q3 quantity</v>
      </c>
      <c r="AA549" s="450" t="str">
        <f t="shared" si="71"/>
        <v>Y2 Q4 quantity</v>
      </c>
      <c r="AB549" s="450" t="str">
        <f t="shared" si="71"/>
        <v>Y2 Total quantity</v>
      </c>
      <c r="AC549" s="451" t="str">
        <f t="shared" si="71"/>
        <v>Y2 Total cost (In Grant Currency -)</v>
      </c>
      <c r="AD549" s="449" t="str">
        <f t="shared" si="71"/>
        <v>Y3 Unit cost</v>
      </c>
      <c r="AE549" s="450" t="str">
        <f t="shared" si="71"/>
        <v>Y3 Q1 quantity</v>
      </c>
      <c r="AF549" s="450" t="str">
        <f t="shared" si="71"/>
        <v>Y3 Q2 quantity</v>
      </c>
      <c r="AG549" s="450" t="str">
        <f t="shared" si="71"/>
        <v>Y3 Q3 quantity</v>
      </c>
      <c r="AH549" s="450" t="str">
        <f t="shared" si="71"/>
        <v>Y3 Q4 quantity</v>
      </c>
      <c r="AI549" s="450" t="str">
        <f t="shared" si="71"/>
        <v>Y3 Total quantity</v>
      </c>
      <c r="AJ549" s="451" t="str">
        <f t="shared" si="71"/>
        <v>Y3 Total cost (In Grant Currency -)</v>
      </c>
      <c r="AK549" s="449" t="str">
        <f t="shared" si="71"/>
        <v>Y4 Unit cost</v>
      </c>
      <c r="AL549" s="450" t="str">
        <f t="shared" si="71"/>
        <v>Y4 Q1 quantity</v>
      </c>
      <c r="AM549" s="450" t="str">
        <f t="shared" si="71"/>
        <v>Y4 Q2 quantity</v>
      </c>
      <c r="AN549" s="450" t="str">
        <f t="shared" si="71"/>
        <v>Y4 Q3 quantity</v>
      </c>
      <c r="AO549" s="450" t="str">
        <f t="shared" si="71"/>
        <v>Y4 Q4 quantity</v>
      </c>
      <c r="AP549" s="450" t="str">
        <f t="shared" si="71"/>
        <v>Y4 Total quantity</v>
      </c>
      <c r="AQ549" s="451" t="str">
        <f t="shared" si="71"/>
        <v>Y4 Total cost (In Grant Currency -)</v>
      </c>
      <c r="AR549" s="450" t="str">
        <f t="shared" si="71"/>
        <v>Y5 Unit cost</v>
      </c>
      <c r="AS549" s="450" t="str">
        <f t="shared" si="71"/>
        <v>Y5 Q1 quantity</v>
      </c>
      <c r="AT549" s="450" t="str">
        <f t="shared" si="71"/>
        <v>Y5 Q2 quantity</v>
      </c>
      <c r="AU549" s="450" t="str">
        <f t="shared" si="71"/>
        <v>Y5 Q3 quantity</v>
      </c>
      <c r="AV549" s="450" t="str">
        <f t="shared" si="71"/>
        <v>Y5 Q4 quantity</v>
      </c>
      <c r="AW549" s="450" t="str">
        <f t="shared" si="71"/>
        <v>Y5 Total quantity</v>
      </c>
      <c r="AX549" s="450" t="str">
        <f t="shared" si="71"/>
        <v>Y5 Total cost (In Grant Currency -)</v>
      </c>
      <c r="AY549" s="449" t="str">
        <f t="shared" si="71"/>
        <v>Y6 Unit cost</v>
      </c>
      <c r="AZ549" s="450" t="str">
        <f t="shared" si="71"/>
        <v>Y6 Q1 quantity</v>
      </c>
      <c r="BA549" s="450" t="str">
        <f t="shared" si="71"/>
        <v>Y6 Q2 quantity</v>
      </c>
      <c r="BB549" s="450" t="str">
        <f t="shared" si="71"/>
        <v>Y6 Q3 quantity</v>
      </c>
      <c r="BC549" s="450" t="str">
        <f t="shared" si="71"/>
        <v>Y6 Q4 quantity</v>
      </c>
      <c r="BD549" s="450" t="str">
        <f t="shared" si="71"/>
        <v>Y6 Total quantity</v>
      </c>
      <c r="BE549" s="451" t="str">
        <f t="shared" si="71"/>
        <v>Y6 Total cost (In Grant Currency -)</v>
      </c>
      <c r="BF549" s="461" t="str">
        <f>BF13</f>
        <v>Total quantity</v>
      </c>
      <c r="BG549" s="451" t="str">
        <f>BG13</f>
        <v>Total cost (In Grant Currency -)</v>
      </c>
      <c r="BH549" s="1175"/>
      <c r="BI549" s="1229"/>
      <c r="BJ549" s="1231"/>
      <c r="BK549" s="1232"/>
      <c r="BL549" s="546" t="str">
        <f>BL13</f>
        <v>Cost Input</v>
      </c>
      <c r="BP549" s="54"/>
      <c r="BQ549" s="54"/>
      <c r="BR549" s="54"/>
      <c r="BS549" s="54"/>
      <c r="BT549" s="54"/>
      <c r="BU549" s="452"/>
      <c r="BV549" s="54"/>
      <c r="BW549" s="54"/>
      <c r="BX549" s="54"/>
      <c r="BY549" s="54"/>
      <c r="BZ549" s="54"/>
      <c r="CA549" s="54"/>
      <c r="CB549" s="54"/>
      <c r="CC549" s="54"/>
      <c r="CD549" s="54"/>
      <c r="CE549" s="54"/>
      <c r="CF549" s="54"/>
      <c r="CG549" s="54"/>
      <c r="CH549" s="54"/>
      <c r="CI549" s="54"/>
      <c r="CJ549" s="54"/>
      <c r="CK549" s="54"/>
      <c r="CL549" s="54"/>
      <c r="CM549" s="54"/>
      <c r="CN549" s="54"/>
      <c r="CO549" s="54"/>
      <c r="CP549" s="54"/>
    </row>
    <row r="550" spans="1:94" x14ac:dyDescent="0.35">
      <c r="A550" s="1178"/>
      <c r="B550" s="1178"/>
      <c r="C550" s="1178"/>
      <c r="D550" s="1178"/>
      <c r="E550" s="1179"/>
      <c r="F550" s="1179"/>
      <c r="G550" s="1179"/>
      <c r="H550" s="1179"/>
      <c r="I550" s="1179"/>
      <c r="J550" s="1179"/>
      <c r="K550" s="1179"/>
      <c r="L550" s="487" t="str" cm="1">
        <f t="array" ref="L550">IF(A550&lt;&gt;"",IFERROR(INDEX(PMtbl[[WKst]:[Unit of measure*]],MATCH($A$544&amp;$A550&amp;$E550&amp;$I550,INDEX(PMtbl[Sec]&amp;PMtbl[Category]&amp;PMtbl[Each]&amp;PMtbl[Packaging],0,),0),14),""),"")</f>
        <v/>
      </c>
      <c r="M550" s="478" t="str">
        <f>IF(L550="","",INDEX(SETUP!$E$20:$E$122,(MATCH(INDEX(PMsheet!$D:$E,MATCH(A550,PMsheet!E:E,0),1),SETUP!$D$20:$D$122,0))))</f>
        <v/>
      </c>
      <c r="N550" s="488">
        <f>IF($O550="USD",_xlfn.IFNA(VLOOKUP(A550&amp;E550&amp;I550,PMsheet!J:K,2,0),0),(_xlfn.IFNA(VLOOKUP(A550&amp;E550&amp;I550,PMsheet!J:K,2,0),0)*'Master Data-C19RM'!$C$2))</f>
        <v>0</v>
      </c>
      <c r="O550" s="489" t="str">
        <f>IF(L550="", "",SETUP!$E$7)</f>
        <v/>
      </c>
      <c r="P550" s="442">
        <f>IF($O550="USD",_xlfn.IFNA(VLOOKUP($A550&amp;$E550&amp;$I550,PMsheet!$J:$K,2,0),0),(_xlfn.IFNA(VLOOKUP($A550&amp;$E550&amp;$I550,PMsheet!$J:$K,2,0),0)*'Master Data-C19RM'!$C$2))</f>
        <v>0</v>
      </c>
      <c r="Q550" s="443"/>
      <c r="R550" s="443"/>
      <c r="S550" s="443"/>
      <c r="T550" s="443"/>
      <c r="U550" s="497">
        <f>SUM($Q550:$T550)</f>
        <v>0</v>
      </c>
      <c r="V550" s="498">
        <f>IF(SETUP!$E$7="USD",(U550*(IF(O550="USD",P550,(P550/'Master Data-C19RM'!$C$2)))),(U550*(IF(O550="EUR",P550,(P550*'Master Data-C19RM'!$C$2)))))</f>
        <v>0</v>
      </c>
      <c r="W550" s="442">
        <f>IF($O550="USD",_xlfn.IFNA(VLOOKUP($A550&amp;$E550&amp;$I550,PMsheet!$J:$K,2,0),0),(_xlfn.IFNA(VLOOKUP($A550&amp;$E550&amp;$I550,PMsheet!$J:$K,2,0),0)*'Master Data-C19RM'!$D$2))</f>
        <v>0</v>
      </c>
      <c r="X550" s="443"/>
      <c r="Y550" s="443"/>
      <c r="Z550" s="443"/>
      <c r="AA550" s="443"/>
      <c r="AB550" s="497">
        <f>SUM($X550:$AA550)</f>
        <v>0</v>
      </c>
      <c r="AC550" s="498">
        <f>IF(SETUP!$E$7="USD",(AB550*(IF(O550="USD",W550,(W550/'Master Data-C19RM'!$D$2)))),(AB550*(IF(O550="EUR",W550,(W550*'Master Data-C19RM'!$D$2)))))</f>
        <v>0</v>
      </c>
      <c r="AD550" s="442">
        <f>IF($O550="USD",_xlfn.IFNA(VLOOKUP($A550&amp;$E550&amp;$I550,PMsheet!$J:$K,2,0),0),(_xlfn.IFNA(VLOOKUP($A550&amp;$E550&amp;$I550,PMsheet!$J:$K,2,0),0)*'Master Data-C19RM'!$E$2))</f>
        <v>0</v>
      </c>
      <c r="AE550" s="443"/>
      <c r="AF550" s="443"/>
      <c r="AG550" s="443"/>
      <c r="AH550" s="443"/>
      <c r="AI550" s="529">
        <f>SUM($AE550:$AH550)</f>
        <v>0</v>
      </c>
      <c r="AJ550" s="530">
        <f>IF(SETUP!$E$7="USD",(AI550*(IF(O550="USD",AD550,(AD550/'Master Data-C19RM'!$E$2)))),(AI550*(IF(O550="EUR",AD550,(AD550*'Master Data-C19RM'!$E$2)))))</f>
        <v>0</v>
      </c>
      <c r="AK550" s="442">
        <f>IF($O550="USD",_xlfn.IFNA(VLOOKUP($A550&amp;$E550&amp;$I550,PMsheet!$J:$K,2,0),0),(_xlfn.IFNA(VLOOKUP($A550&amp;$E550&amp;$I550,PMsheet!$J:$K,2,0),0)*'Master Data-C19RM'!$F$2))</f>
        <v>0</v>
      </c>
      <c r="AL550" s="443"/>
      <c r="AM550" s="443"/>
      <c r="AN550" s="443"/>
      <c r="AO550" s="443"/>
      <c r="AP550" s="529">
        <f>SUM($AL550:$AO550)</f>
        <v>0</v>
      </c>
      <c r="AQ550" s="530">
        <f>IF(SETUP!$E$7="USD",(AP550*(IF(O550="USD",AK550,(AK550/'Master Data-C19RM'!$F$2)))),(AP550*(IF(O550="EUR",AK550,(AK550*'Master Data-C19RM'!$F$2)))))</f>
        <v>0</v>
      </c>
      <c r="AR550" s="928">
        <f>IF($O550="USD",_xlfn.IFNA(VLOOKUP($A550&amp;$E550&amp;$I550,PMsheet!$J:$K,2,0),0),(_xlfn.IFNA(VLOOKUP($A550&amp;$E550&amp;$I550,PMsheet!$J:$K,2,0),0)*'Master Data-C19RM'!$G$2))</f>
        <v>0</v>
      </c>
      <c r="AS550" s="929"/>
      <c r="AT550" s="929"/>
      <c r="AU550" s="929"/>
      <c r="AV550" s="929"/>
      <c r="AW550" s="529">
        <f>SUM($AS550:$AV550)</f>
        <v>0</v>
      </c>
      <c r="AX550" s="529">
        <f>IF(SETUP!$E$7="USD",(AW550*(IF(O550="USD",AR550,(AR550/'Master Data-C19RM'!$G$2)))),(AW550*(IF(O550="EUR",AR550,(AR550*'Master Data-C19RM'!$G$2)))))</f>
        <v>0</v>
      </c>
      <c r="AY550" s="855"/>
      <c r="AZ550" s="856"/>
      <c r="BA550" s="856"/>
      <c r="BB550" s="856"/>
      <c r="BC550" s="856"/>
      <c r="BD550" s="856"/>
      <c r="BE550" s="857"/>
      <c r="BF550" s="531">
        <f>'C19RM 2021-Lab &amp; Other HPS'!$U550+'C19RM 2021-Lab &amp; Other HPS'!$AB550+'C19RM 2021-Lab &amp; Other HPS'!$AP550+'C19RM 2021-Lab &amp; Other HPS'!$AI550+AW550+BD550</f>
        <v>0</v>
      </c>
      <c r="BG550" s="530">
        <f>'C19RM 2021-Lab &amp; Other HPS'!$V550+'C19RM 2021-Lab &amp; Other HPS'!$AC550+'C19RM 2021-Lab &amp; Other HPS'!$AQ550+'C19RM 2021-Lab &amp; Other HPS'!$AJ550+AX550+BE550</f>
        <v>0</v>
      </c>
      <c r="BH550" s="522" t="str" cm="1">
        <f t="array" ref="BH550">IF(A550&lt;&gt;"",IFERROR(INDEX(PMtbl[[WKst]:[Unit of measure*]],MATCH($A$544&amp;$A550&amp;$E550&amp;$I550,INDEX(PMtbl[Sec]&amp;PMtbl[Category]&amp;PMtbl[Each]&amp;PMtbl[Packaging],0,),0),11),""),"")</f>
        <v/>
      </c>
      <c r="BI550" s="818"/>
      <c r="BJ550" s="503" t="str" cm="1">
        <f t="array" ref="BJ550">IFERROR(INDEX(SETUP!$C$19:$G$121,MATCH((INDEX(PMtbl[[WKst]:[Unit of measure*]],MATCH($A550&amp;$E550&amp;$I550,INDEX(PMtbl[Category]&amp;PMtbl[Each]&amp;PMtbl[Packaging],0,),0),3)),SETUP!$D$19:$D$121,0),5),"")</f>
        <v/>
      </c>
      <c r="BK550" s="580" t="str" cm="1">
        <f t="array" ref="BK550">IFERROR(IF((INDEX(SETUP!$C$19:$G$121,MATCH((INDEX(PMtbl[[WKst]:[Unit of measure*]],MATCH($A550&amp;$E550&amp;$I550,INDEX(PMtbl[Category]&amp;PMtbl[Each]&amp;PMtbl[Packaging],0,),0),3)),SETUP!$D$19:$D$121,0),4))="Upfront",0,INDEX(SETUP!$C$19:$G$121,MATCH((INDEX(PMtbl[[WKst]:[Unit of measure*]],MATCH($A550&amp;$E550&amp;$I550,INDEX(PMtbl[Category]&amp;PMtbl[Each]&amp;PMtbl[Packaging],0,),0),3)),SETUP!$D$19:$D$121,0),5)),"")</f>
        <v/>
      </c>
      <c r="BL550" s="203" t="str" cm="1">
        <f t="array" ref="BL550">IF(E550&lt;&gt;"",IFERROR(INDEX(PMtbl[[WKst]:[Unit of measure*]],MATCH($A$544&amp;$A550&amp;$E550&amp;$I550,INDEX(PMtbl[Sec]&amp;PMtbl[Category]&amp;PMtbl[Each]&amp;PMtbl[Packaging],0,),0),11),""),"")</f>
        <v/>
      </c>
      <c r="BO550" s="12">
        <f>IF(N550="",0,IF(SETUP!$E$7="USD",((IF(O550="USD",P550,(P550/'Master Data-C19RM'!$C$2)))),((IF(O550="EUR",P550,(P550*'Master Data-C19RM'!$C$2))))))</f>
        <v>0</v>
      </c>
      <c r="BP550" s="12">
        <f>IF(N550="",0,IF(SETUP!$E$7="USD",((IF(O550="USD",W550,(W550/'Master Data-C19RM'!$D$2)))),((IF(O550="EUR",W550,(W550*'Master Data-C19RM'!$D$2))))))</f>
        <v>0</v>
      </c>
      <c r="BQ550">
        <f>IF(N550="",0,IF(SETUP!$E$7="USD",((IF(O550="USD",AD550,(AD550/'Master Data-C19RM'!$E$2)))),((IF(O550="EUR",AD550,(AD550*'Master Data-C19RM'!$E$2))))))</f>
        <v>0</v>
      </c>
      <c r="BR550">
        <f>IF(N550="",0,IF(SETUP!$E$7="USD",((IF(O550="USD",AK550,(AK550/'Master Data-C19RM'!$F$2)))),((IF(O550="EUR",AK550,(AK550*'Master Data-C19RM'!$F$2))))))</f>
        <v>0</v>
      </c>
      <c r="BS550">
        <f>IF(N550="",0,IF(SETUP!$E$7="USD",((IF(O550="USD",AR550,(AR550/'Master Data-C19RM'!$G$2)))),((IF(O550="EUR",AR550,(AR550*'Master Data-C19RM'!$G$2))))))</f>
        <v>0</v>
      </c>
      <c r="BT550">
        <f>IF(N550="",0,IF(SETUP!$E$7="USD",((IF(O550="USD",AY550,(AY550/'Master Data-C19RM'!$H$2)))),((IF(O550="EUR",AY550,(AY550*'Master Data-C19RM'!$H$2))))))</f>
        <v>0</v>
      </c>
      <c r="BU550" s="12">
        <f t="shared" ref="BU550:BU613" si="72">IF(AND(L550="",(COUNTBLANK(A550:K550)=8)),1,0)</f>
        <v>0</v>
      </c>
      <c r="BV550" s="142">
        <f t="shared" ref="BV550:BV613" si="73">BF550</f>
        <v>0</v>
      </c>
    </row>
    <row r="551" spans="1:94" x14ac:dyDescent="0.35">
      <c r="A551" s="1165"/>
      <c r="B551" s="1165"/>
      <c r="C551" s="1165"/>
      <c r="D551" s="1165"/>
      <c r="E551" s="1166"/>
      <c r="F551" s="1166"/>
      <c r="G551" s="1166"/>
      <c r="H551" s="1166"/>
      <c r="I551" s="1166"/>
      <c r="J551" s="1166"/>
      <c r="K551" s="1166"/>
      <c r="L551" s="490" t="str" cm="1">
        <f t="array" ref="L551">IF(A551&lt;&gt;"",IFERROR(INDEX(PMtbl[[WKst]:[Unit of measure*]],MATCH($A$544&amp;$A551&amp;$E551&amp;$I551,INDEX(PMtbl[Sec]&amp;PMtbl[Category]&amp;PMtbl[Each]&amp;PMtbl[Packaging],0,),0),14),""),"")</f>
        <v/>
      </c>
      <c r="M551" s="479" t="str">
        <f>IF(L551="","",INDEX(SETUP!$E$20:$E$122,(MATCH(INDEX(PMsheet!$D:$E,MATCH(A551,PMsheet!E:E,0),1),SETUP!$D$20:$D$122,0))))</f>
        <v/>
      </c>
      <c r="N551" s="491">
        <f>IF($O551="USD",_xlfn.IFNA(VLOOKUP(A551&amp;E551&amp;I551,PMsheet!J:K,2,0),0),(_xlfn.IFNA(VLOOKUP(A551&amp;E551&amp;I551,PMsheet!J:K,2,0),0)*'Master Data-C19RM'!$C$2))</f>
        <v>0</v>
      </c>
      <c r="O551" s="492" t="str">
        <f>IF(L551="", "",SETUP!$E$7)</f>
        <v/>
      </c>
      <c r="P551" s="444">
        <f>IF($O551="USD",_xlfn.IFNA(VLOOKUP($A551&amp;$E551&amp;$I551,PMsheet!$J:$K,2,0),0),(_xlfn.IFNA(VLOOKUP($A551&amp;$E551&amp;$I551,PMsheet!$J:$K,2,0),0)*'Master Data-C19RM'!$C$2))</f>
        <v>0</v>
      </c>
      <c r="Q551" s="441"/>
      <c r="R551" s="441"/>
      <c r="S551" s="441"/>
      <c r="T551" s="441"/>
      <c r="U551" s="481">
        <f t="shared" ref="U551:U599" si="74">SUM($Q551:$T551)</f>
        <v>0</v>
      </c>
      <c r="V551" s="483">
        <f>IF(SETUP!$E$7="USD",(U551*(IF(O551="USD",P551,(P551/'Master Data-C19RM'!$C$2)))),(U551*(IF(O551="EUR",P551,(P551*'Master Data-C19RM'!$C$2)))))</f>
        <v>0</v>
      </c>
      <c r="W551" s="444">
        <f>IF($O551="USD",_xlfn.IFNA(VLOOKUP($A551&amp;$E551&amp;$I551,PMsheet!$J:$K,2,0),0),(_xlfn.IFNA(VLOOKUP($A551&amp;$E551&amp;$I551,PMsheet!$J:$K,2,0),0)*'Master Data-C19RM'!$D$2))</f>
        <v>0</v>
      </c>
      <c r="X551" s="441"/>
      <c r="Y551" s="441"/>
      <c r="Z551" s="441"/>
      <c r="AA551" s="441"/>
      <c r="AB551" s="481">
        <f t="shared" ref="AB551:AB599" si="75">SUM($X551:$AA551)</f>
        <v>0</v>
      </c>
      <c r="AC551" s="483">
        <f>IF(SETUP!$E$7="USD",(AB551*(IF(O551="USD",W551,(W551/'Master Data-C19RM'!$D$2)))),(AB551*(IF(O551="EUR",W551,(W551*'Master Data-C19RM'!$D$2)))))</f>
        <v>0</v>
      </c>
      <c r="AD551" s="444">
        <f>IF($O551="USD",_xlfn.IFNA(VLOOKUP($A551&amp;$E551&amp;$I551,PMsheet!$J:$K,2,0),0),(_xlfn.IFNA(VLOOKUP($A551&amp;$E551&amp;$I551,PMsheet!$J:$K,2,0),0)*'Master Data-C19RM'!$E$2))</f>
        <v>0</v>
      </c>
      <c r="AE551" s="441"/>
      <c r="AF551" s="441"/>
      <c r="AG551" s="441"/>
      <c r="AH551" s="441"/>
      <c r="AI551" s="512">
        <f t="shared" ref="AI551:AI599" si="76">SUM($AE551:$AH551)</f>
        <v>0</v>
      </c>
      <c r="AJ551" s="513">
        <f>IF(SETUP!$E$7="USD",(AI551*(IF(O551="USD",AD551,(AD551/'Master Data-C19RM'!$E$2)))),(AI551*(IF(O551="EUR",AD551,(AD551*'Master Data-C19RM'!$E$2)))))</f>
        <v>0</v>
      </c>
      <c r="AK551" s="444">
        <f>IF($O551="USD",_xlfn.IFNA(VLOOKUP($A551&amp;$E551&amp;$I551,PMsheet!$J:$K,2,0),0),(_xlfn.IFNA(VLOOKUP($A551&amp;$E551&amp;$I551,PMsheet!$J:$K,2,0),0)*'Master Data-C19RM'!$F$2))</f>
        <v>0</v>
      </c>
      <c r="AL551" s="441"/>
      <c r="AM551" s="441"/>
      <c r="AN551" s="441"/>
      <c r="AO551" s="441"/>
      <c r="AP551" s="512">
        <f t="shared" ref="AP551:AP599" si="77">SUM($AL551:$AO551)</f>
        <v>0</v>
      </c>
      <c r="AQ551" s="513">
        <f>IF(SETUP!$E$7="USD",(AP551*(IF(O551="USD",AK551,(AK551/'Master Data-C19RM'!$F$2)))),(AP551*(IF(O551="EUR",AK551,(AK551*'Master Data-C19RM'!$F$2)))))</f>
        <v>0</v>
      </c>
      <c r="AR551" s="924">
        <f>IF($O551="USD",_xlfn.IFNA(VLOOKUP($A551&amp;$E551&amp;$I551,PMsheet!$J:$K,2,0),0),(_xlfn.IFNA(VLOOKUP($A551&amp;$E551&amp;$I551,PMsheet!$J:$K,2,0),0)*'Master Data-C19RM'!$G$2))</f>
        <v>0</v>
      </c>
      <c r="AS551" s="572"/>
      <c r="AT551" s="572"/>
      <c r="AU551" s="572"/>
      <c r="AV551" s="572"/>
      <c r="AW551" s="512">
        <f t="shared" ref="AW551:AW614" si="78">SUM($AS551:$AV551)</f>
        <v>0</v>
      </c>
      <c r="AX551" s="512">
        <f>IF(SETUP!$E$7="USD",(AW551*(IF(O551="USD",AR551,(AR551/'Master Data-C19RM'!$G$2)))),(AW551*(IF(O551="EUR",AR551,(AR551*'Master Data-C19RM'!$G$2)))))</f>
        <v>0</v>
      </c>
      <c r="AY551" s="845"/>
      <c r="AZ551" s="846"/>
      <c r="BA551" s="846"/>
      <c r="BB551" s="846"/>
      <c r="BC551" s="846"/>
      <c r="BD551" s="846"/>
      <c r="BE551" s="847"/>
      <c r="BF551" s="520">
        <f>'C19RM 2021-Lab &amp; Other HPS'!$U551+'C19RM 2021-Lab &amp; Other HPS'!$AB551+'C19RM 2021-Lab &amp; Other HPS'!$AP551+'C19RM 2021-Lab &amp; Other HPS'!$AI551+AW551+BD551</f>
        <v>0</v>
      </c>
      <c r="BG551" s="513">
        <f>'C19RM 2021-Lab &amp; Other HPS'!$V551+'C19RM 2021-Lab &amp; Other HPS'!$AC551+'C19RM 2021-Lab &amp; Other HPS'!$AQ551+'C19RM 2021-Lab &amp; Other HPS'!$AJ551+AX551+BE551</f>
        <v>0</v>
      </c>
      <c r="BH551" s="500" t="str" cm="1">
        <f t="array" ref="BH551">IF(A551&lt;&gt;"",IFERROR(INDEX(PMtbl[[WKst]:[Unit of measure*]],MATCH($A$544&amp;$A551&amp;$E551&amp;$I551,INDEX(PMtbl[Sec]&amp;PMtbl[Category]&amp;PMtbl[Each]&amp;PMtbl[Packaging],0,),0),11),""),"")</f>
        <v/>
      </c>
      <c r="BI551" s="819"/>
      <c r="BJ551" s="502" t="str" cm="1">
        <f t="array" ref="BJ551">IFERROR(INDEX(SETUP!$C$19:$G$121,MATCH((INDEX(PMtbl[[WKst]:[Unit of measure*]],MATCH($A551&amp;$E551&amp;$I551,INDEX(PMtbl[Category]&amp;PMtbl[Each]&amp;PMtbl[Packaging],0,),0),3)),SETUP!$D$19:$D$121,0),5),"")</f>
        <v/>
      </c>
      <c r="BK551" s="542" t="str" cm="1">
        <f t="array" ref="BK551">IFERROR(IF((INDEX(SETUP!$C$19:$G$121,MATCH((INDEX(PMtbl[[WKst]:[Unit of measure*]],MATCH($A551&amp;$E551&amp;$I551,INDEX(PMtbl[Category]&amp;PMtbl[Each]&amp;PMtbl[Packaging],0,),0),3)),SETUP!$D$19:$D$121,0),4))="Upfront",0,INDEX(SETUP!$C$19:$G$121,MATCH((INDEX(PMtbl[[WKst]:[Unit of measure*]],MATCH($A551&amp;$E551&amp;$I551,INDEX(PMtbl[Category]&amp;PMtbl[Each]&amp;PMtbl[Packaging],0,),0),3)),SETUP!$D$19:$D$121,0),5)),"")</f>
        <v/>
      </c>
      <c r="BL551" s="200" t="str" cm="1">
        <f t="array" ref="BL551">IF(E551&lt;&gt;"",IFERROR(INDEX(PMtbl[[WKst]:[Unit of measure*]],MATCH($A$544&amp;$A551&amp;$E551&amp;$I551,INDEX(PMtbl[Sec]&amp;PMtbl[Category]&amp;PMtbl[Each]&amp;PMtbl[Packaging],0,),0),11),""),"")</f>
        <v/>
      </c>
      <c r="BO551" s="12">
        <f>IF(N551="",0,IF(SETUP!$E$7="USD",((IF(O551="USD",P551,(P551/'Master Data-C19RM'!$C$2)))),((IF(O551="EUR",P551,(P551*'Master Data-C19RM'!$C$2))))))</f>
        <v>0</v>
      </c>
      <c r="BP551" s="12">
        <f>IF(N551="",0,IF(SETUP!$E$7="USD",((IF(O551="USD",W551,(W551/'Master Data-C19RM'!$D$2)))),((IF(O551="EUR",W551,(W551*'Master Data-C19RM'!$D$2))))))</f>
        <v>0</v>
      </c>
      <c r="BQ551">
        <f>IF(N551="",0,IF(SETUP!$E$7="USD",((IF(O551="USD",AD551,(AD551/'Master Data-C19RM'!$E$2)))),((IF(O551="EUR",AD551,(AD551*'Master Data-C19RM'!$E$2))))))</f>
        <v>0</v>
      </c>
      <c r="BR551">
        <f>IF(N551="",0,IF(SETUP!$E$7="USD",((IF(O551="USD",AK551,(AK551/'Master Data-C19RM'!$F$2)))),((IF(O551="EUR",AK551,(AK551*'Master Data-C19RM'!$F$2))))))</f>
        <v>0</v>
      </c>
      <c r="BS551">
        <f>IF(N551="",0,IF(SETUP!$E$7="USD",((IF(O551="USD",AR551,(AR551/'Master Data-C19RM'!$G$2)))),((IF(O551="EUR",AR551,(AR551*'Master Data-C19RM'!$G$2))))))</f>
        <v>0</v>
      </c>
      <c r="BT551">
        <f>IF(N551="",0,IF(SETUP!$E$7="USD",((IF(O551="USD",AY551,(AY551/'Master Data-C19RM'!$H$2)))),((IF(O551="EUR",AY551,(AY551*'Master Data-C19RM'!$H$2))))))</f>
        <v>0</v>
      </c>
      <c r="BU551" s="12">
        <f t="shared" si="72"/>
        <v>0</v>
      </c>
      <c r="BV551" s="142">
        <f t="shared" si="73"/>
        <v>0</v>
      </c>
    </row>
    <row r="552" spans="1:94" x14ac:dyDescent="0.35">
      <c r="A552" s="1192"/>
      <c r="B552" s="1192"/>
      <c r="C552" s="1192"/>
      <c r="D552" s="1192"/>
      <c r="E552" s="1173"/>
      <c r="F552" s="1173"/>
      <c r="G552" s="1173"/>
      <c r="H552" s="1173"/>
      <c r="I552" s="1173"/>
      <c r="J552" s="1173"/>
      <c r="K552" s="1173"/>
      <c r="L552" s="493" t="str" cm="1">
        <f t="array" ref="L552">IF(A552&lt;&gt;"",IFERROR(INDEX(PMtbl[[WKst]:[Unit of measure*]],MATCH($A$544&amp;$A552&amp;$E552&amp;$I552,INDEX(PMtbl[Sec]&amp;PMtbl[Category]&amp;PMtbl[Each]&amp;PMtbl[Packaging],0,),0),14),""),"")</f>
        <v/>
      </c>
      <c r="M552" s="480" t="str">
        <f>IF(L552="","",INDEX(SETUP!$E$20:$E$122,(MATCH(INDEX(PMsheet!$D:$E,MATCH(A552,PMsheet!E:E,0),1),SETUP!$D$20:$D$122,0))))</f>
        <v/>
      </c>
      <c r="N552" s="494">
        <f>IF($O552="USD",_xlfn.IFNA(VLOOKUP(A552&amp;E552&amp;I552,PMsheet!J:K,2,0),0),(_xlfn.IFNA(VLOOKUP(A552&amp;E552&amp;I552,PMsheet!J:K,2,0),0)*'Master Data-C19RM'!$C$2))</f>
        <v>0</v>
      </c>
      <c r="O552" s="495" t="str">
        <f>IF(L552="", "",SETUP!$E$7)</f>
        <v/>
      </c>
      <c r="P552" s="445">
        <f>IF($O552="USD",_xlfn.IFNA(VLOOKUP($A552&amp;$E552&amp;$I552,PMsheet!$J:$K,2,0),0),(_xlfn.IFNA(VLOOKUP($A552&amp;$E552&amp;$I552,PMsheet!$J:$K,2,0),0)*'Master Data-C19RM'!$C$2))</f>
        <v>0</v>
      </c>
      <c r="Q552" s="440"/>
      <c r="R552" s="440"/>
      <c r="S552" s="440"/>
      <c r="T552" s="440"/>
      <c r="U552" s="482">
        <f t="shared" si="74"/>
        <v>0</v>
      </c>
      <c r="V552" s="484">
        <f>IF(SETUP!$E$7="USD",(U552*(IF(O552="USD",P552,(P552/'Master Data-C19RM'!$C$2)))),(U552*(IF(O552="EUR",P552,(P552*'Master Data-C19RM'!$C$2)))))</f>
        <v>0</v>
      </c>
      <c r="W552" s="445">
        <f>IF($O552="USD",_xlfn.IFNA(VLOOKUP($A552&amp;$E552&amp;$I552,PMsheet!$J:$K,2,0),0),(_xlfn.IFNA(VLOOKUP($A552&amp;$E552&amp;$I552,PMsheet!$J:$K,2,0),0)*'Master Data-C19RM'!$D$2))</f>
        <v>0</v>
      </c>
      <c r="X552" s="440"/>
      <c r="Y552" s="440"/>
      <c r="Z552" s="440"/>
      <c r="AA552" s="440"/>
      <c r="AB552" s="482">
        <f t="shared" si="75"/>
        <v>0</v>
      </c>
      <c r="AC552" s="484">
        <f>IF(SETUP!$E$7="USD",(AB552*(IF(O552="USD",W552,(W552/'Master Data-C19RM'!$D$2)))),(AB552*(IF(O552="EUR",W552,(W552*'Master Data-C19RM'!$D$2)))))</f>
        <v>0</v>
      </c>
      <c r="AD552" s="445">
        <f>IF($O552="USD",_xlfn.IFNA(VLOOKUP($A552&amp;$E552&amp;$I552,PMsheet!$J:$K,2,0),0),(_xlfn.IFNA(VLOOKUP($A552&amp;$E552&amp;$I552,PMsheet!$J:$K,2,0),0)*'Master Data-C19RM'!$E$2))</f>
        <v>0</v>
      </c>
      <c r="AE552" s="440"/>
      <c r="AF552" s="440"/>
      <c r="AG552" s="440"/>
      <c r="AH552" s="440"/>
      <c r="AI552" s="514">
        <f t="shared" si="76"/>
        <v>0</v>
      </c>
      <c r="AJ552" s="515">
        <f>IF(SETUP!$E$7="USD",(AI552*(IF(O552="USD",AD552,(AD552/'Master Data-C19RM'!$E$2)))),(AI552*(IF(O552="EUR",AD552,(AD552*'Master Data-C19RM'!$E$2)))))</f>
        <v>0</v>
      </c>
      <c r="AK552" s="445">
        <f>IF($O552="USD",_xlfn.IFNA(VLOOKUP($A552&amp;$E552&amp;$I552,PMsheet!$J:$K,2,0),0),(_xlfn.IFNA(VLOOKUP($A552&amp;$E552&amp;$I552,PMsheet!$J:$K,2,0),0)*'Master Data-C19RM'!$F$2))</f>
        <v>0</v>
      </c>
      <c r="AL552" s="440"/>
      <c r="AM552" s="440"/>
      <c r="AN552" s="440"/>
      <c r="AO552" s="440"/>
      <c r="AP552" s="514">
        <f t="shared" si="77"/>
        <v>0</v>
      </c>
      <c r="AQ552" s="515">
        <f>IF(SETUP!$E$7="USD",(AP552*(IF(O552="USD",AK552,(AK552/'Master Data-C19RM'!$F$2)))),(AP552*(IF(O552="EUR",AK552,(AK552*'Master Data-C19RM'!$F$2)))))</f>
        <v>0</v>
      </c>
      <c r="AR552" s="925">
        <f>IF($O552="USD",_xlfn.IFNA(VLOOKUP($A552&amp;$E552&amp;$I552,PMsheet!$J:$K,2,0),0),(_xlfn.IFNA(VLOOKUP($A552&amp;$E552&amp;$I552,PMsheet!$J:$K,2,0),0)*'Master Data-C19RM'!$G$2))</f>
        <v>0</v>
      </c>
      <c r="AS552" s="926"/>
      <c r="AT552" s="926"/>
      <c r="AU552" s="926"/>
      <c r="AV552" s="926"/>
      <c r="AW552" s="514">
        <f t="shared" si="78"/>
        <v>0</v>
      </c>
      <c r="AX552" s="514">
        <f>IF(SETUP!$E$7="USD",(AW552*(IF(O552="USD",AR552,(AR552/'Master Data-C19RM'!$G$2)))),(AW552*(IF(O552="EUR",AR552,(AR552*'Master Data-C19RM'!$G$2)))))</f>
        <v>0</v>
      </c>
      <c r="AY552" s="845"/>
      <c r="AZ552" s="846"/>
      <c r="BA552" s="846"/>
      <c r="BB552" s="846"/>
      <c r="BC552" s="846"/>
      <c r="BD552" s="846"/>
      <c r="BE552" s="847"/>
      <c r="BF552" s="521">
        <f>'C19RM 2021-Lab &amp; Other HPS'!$U552+'C19RM 2021-Lab &amp; Other HPS'!$AB552+'C19RM 2021-Lab &amp; Other HPS'!$AP552+'C19RM 2021-Lab &amp; Other HPS'!$AI552+AW552+BD552</f>
        <v>0</v>
      </c>
      <c r="BG552" s="515">
        <f>'C19RM 2021-Lab &amp; Other HPS'!$V552+'C19RM 2021-Lab &amp; Other HPS'!$AC552+'C19RM 2021-Lab &amp; Other HPS'!$AQ552+'C19RM 2021-Lab &amp; Other HPS'!$AJ552+AX552+BE552</f>
        <v>0</v>
      </c>
      <c r="BH552" s="522" t="str" cm="1">
        <f t="array" ref="BH552">IF(A552&lt;&gt;"",IFERROR(INDEX(PMtbl[[WKst]:[Unit of measure*]],MATCH($A$544&amp;$A552&amp;$E552&amp;$I552,INDEX(PMtbl[Sec]&amp;PMtbl[Category]&amp;PMtbl[Each]&amp;PMtbl[Packaging],0,),0),11),""),"")</f>
        <v/>
      </c>
      <c r="BI552" s="818"/>
      <c r="BJ552" s="503" t="str" cm="1">
        <f t="array" ref="BJ552">IFERROR(INDEX(SETUP!$C$19:$G$121,MATCH((INDEX(PMtbl[[WKst]:[Unit of measure*]],MATCH($A552&amp;$E552&amp;$I552,INDEX(PMtbl[Category]&amp;PMtbl[Each]&amp;PMtbl[Packaging],0,),0),3)),SETUP!$D$19:$D$121,0),5),"")</f>
        <v/>
      </c>
      <c r="BK552" s="543" t="str" cm="1">
        <f t="array" ref="BK552">IFERROR(IF((INDEX(SETUP!$C$19:$G$121,MATCH((INDEX(PMtbl[[WKst]:[Unit of measure*]],MATCH($A552&amp;$E552&amp;$I552,INDEX(PMtbl[Category]&amp;PMtbl[Each]&amp;PMtbl[Packaging],0,),0),3)),SETUP!$D$19:$D$121,0),4))="Upfront",0,INDEX(SETUP!$C$19:$G$121,MATCH((INDEX(PMtbl[[WKst]:[Unit of measure*]],MATCH($A552&amp;$E552&amp;$I552,INDEX(PMtbl[Category]&amp;PMtbl[Each]&amp;PMtbl[Packaging],0,),0),3)),SETUP!$D$19:$D$121,0),5)),"")</f>
        <v/>
      </c>
      <c r="BL552" s="201" t="str" cm="1">
        <f t="array" ref="BL552">IF(E552&lt;&gt;"",IFERROR(INDEX(PMtbl[[WKst]:[Unit of measure*]],MATCH($A$544&amp;$A552&amp;$E552&amp;$I552,INDEX(PMtbl[Sec]&amp;PMtbl[Category]&amp;PMtbl[Each]&amp;PMtbl[Packaging],0,),0),11),""),"")</f>
        <v/>
      </c>
      <c r="BO552" s="12">
        <f>IF(N552="",0,IF(SETUP!$E$7="USD",((IF(O552="USD",P552,(P552/'Master Data-C19RM'!$C$2)))),((IF(O552="EUR",P552,(P552*'Master Data-C19RM'!$C$2))))))</f>
        <v>0</v>
      </c>
      <c r="BP552" s="12">
        <f>IF(N552="",0,IF(SETUP!$E$7="USD",((IF(O552="USD",W552,(W552/'Master Data-C19RM'!$D$2)))),((IF(O552="EUR",W552,(W552*'Master Data-C19RM'!$D$2))))))</f>
        <v>0</v>
      </c>
      <c r="BQ552">
        <f>IF(N552="",0,IF(SETUP!$E$7="USD",((IF(O552="USD",AD552,(AD552/'Master Data-C19RM'!$E$2)))),((IF(O552="EUR",AD552,(AD552*'Master Data-C19RM'!$E$2))))))</f>
        <v>0</v>
      </c>
      <c r="BR552">
        <f>IF(N552="",0,IF(SETUP!$E$7="USD",((IF(O552="USD",AK552,(AK552/'Master Data-C19RM'!$F$2)))),((IF(O552="EUR",AK552,(AK552*'Master Data-C19RM'!$F$2))))))</f>
        <v>0</v>
      </c>
      <c r="BS552">
        <f>IF(N552="",0,IF(SETUP!$E$7="USD",((IF(O552="USD",AR552,(AR552/'Master Data-C19RM'!$G$2)))),((IF(O552="EUR",AR552,(AR552*'Master Data-C19RM'!$G$2))))))</f>
        <v>0</v>
      </c>
      <c r="BT552">
        <f>IF(N552="",0,IF(SETUP!$E$7="USD",((IF(O552="USD",AY552,(AY552/'Master Data-C19RM'!$H$2)))),((IF(O552="EUR",AY552,(AY552*'Master Data-C19RM'!$H$2))))))</f>
        <v>0</v>
      </c>
      <c r="BU552" s="12">
        <f t="shared" si="72"/>
        <v>0</v>
      </c>
      <c r="BV552" s="142">
        <f t="shared" si="73"/>
        <v>0</v>
      </c>
    </row>
    <row r="553" spans="1:94" x14ac:dyDescent="0.35">
      <c r="A553" s="1165"/>
      <c r="B553" s="1165"/>
      <c r="C553" s="1165"/>
      <c r="D553" s="1165"/>
      <c r="E553" s="1166"/>
      <c r="F553" s="1166"/>
      <c r="G553" s="1166"/>
      <c r="H553" s="1166"/>
      <c r="I553" s="1166"/>
      <c r="J553" s="1166"/>
      <c r="K553" s="1166"/>
      <c r="L553" s="490" t="str" cm="1">
        <f t="array" ref="L553">IF(A553&lt;&gt;"",IFERROR(INDEX(PMtbl[[WKst]:[Unit of measure*]],MATCH($A$544&amp;$A553&amp;$E553&amp;$I553,INDEX(PMtbl[Sec]&amp;PMtbl[Category]&amp;PMtbl[Each]&amp;PMtbl[Packaging],0,),0),14),""),"")</f>
        <v/>
      </c>
      <c r="M553" s="479" t="str">
        <f>IF(L553="","",INDEX(SETUP!$E$20:$E$122,(MATCH(INDEX(PMsheet!$D:$E,MATCH(A553,PMsheet!E:E,0),1),SETUP!$D$20:$D$122,0))))</f>
        <v/>
      </c>
      <c r="N553" s="491">
        <f>IF($O553="USD",_xlfn.IFNA(VLOOKUP(A553&amp;E553&amp;I553,PMsheet!J:K,2,0),0),(_xlfn.IFNA(VLOOKUP(A553&amp;E553&amp;I553,PMsheet!J:K,2,0),0)*'Master Data-C19RM'!$C$2))</f>
        <v>0</v>
      </c>
      <c r="O553" s="492" t="str">
        <f>IF(L553="", "",SETUP!$E$7)</f>
        <v/>
      </c>
      <c r="P553" s="444">
        <f>IF($O553="USD",_xlfn.IFNA(VLOOKUP($A553&amp;$E553&amp;$I553,PMsheet!$J:$K,2,0),0),(_xlfn.IFNA(VLOOKUP($A553&amp;$E553&amp;$I553,PMsheet!$J:$K,2,0),0)*'Master Data-C19RM'!$C$2))</f>
        <v>0</v>
      </c>
      <c r="Q553" s="441"/>
      <c r="R553" s="441"/>
      <c r="S553" s="441"/>
      <c r="T553" s="441"/>
      <c r="U553" s="481">
        <f t="shared" si="74"/>
        <v>0</v>
      </c>
      <c r="V553" s="483">
        <f>IF(SETUP!$E$7="USD",(U553*(IF(O553="USD",P553,(P553/'Master Data-C19RM'!$C$2)))),(U553*(IF(O553="EUR",P553,(P553*'Master Data-C19RM'!$C$2)))))</f>
        <v>0</v>
      </c>
      <c r="W553" s="444">
        <f>IF($O553="USD",_xlfn.IFNA(VLOOKUP($A553&amp;$E553&amp;$I553,PMsheet!$J:$K,2,0),0),(_xlfn.IFNA(VLOOKUP($A553&amp;$E553&amp;$I553,PMsheet!$J:$K,2,0),0)*'Master Data-C19RM'!$D$2))</f>
        <v>0</v>
      </c>
      <c r="X553" s="441"/>
      <c r="Y553" s="441"/>
      <c r="Z553" s="441"/>
      <c r="AA553" s="441"/>
      <c r="AB553" s="481">
        <f t="shared" si="75"/>
        <v>0</v>
      </c>
      <c r="AC553" s="483">
        <f>IF(SETUP!$E$7="USD",(AB553*(IF(O553="USD",W553,(W553/'Master Data-C19RM'!$D$2)))),(AB553*(IF(O553="EUR",W553,(W553*'Master Data-C19RM'!$D$2)))))</f>
        <v>0</v>
      </c>
      <c r="AD553" s="444">
        <f>IF($O553="USD",_xlfn.IFNA(VLOOKUP($A553&amp;$E553&amp;$I553,PMsheet!$J:$K,2,0),0),(_xlfn.IFNA(VLOOKUP($A553&amp;$E553&amp;$I553,PMsheet!$J:$K,2,0),0)*'Master Data-C19RM'!$E$2))</f>
        <v>0</v>
      </c>
      <c r="AE553" s="441"/>
      <c r="AF553" s="441"/>
      <c r="AG553" s="441"/>
      <c r="AH553" s="441"/>
      <c r="AI553" s="512">
        <f t="shared" si="76"/>
        <v>0</v>
      </c>
      <c r="AJ553" s="513">
        <f>IF(SETUP!$E$7="USD",(AI553*(IF(O553="USD",AD553,(AD553/'Master Data-C19RM'!$E$2)))),(AI553*(IF(O553="EUR",AD553,(AD553*'Master Data-C19RM'!$E$2)))))</f>
        <v>0</v>
      </c>
      <c r="AK553" s="444">
        <f>IF($O553="USD",_xlfn.IFNA(VLOOKUP($A553&amp;$E553&amp;$I553,PMsheet!$J:$K,2,0),0),(_xlfn.IFNA(VLOOKUP($A553&amp;$E553&amp;$I553,PMsheet!$J:$K,2,0),0)*'Master Data-C19RM'!$F$2))</f>
        <v>0</v>
      </c>
      <c r="AL553" s="441"/>
      <c r="AM553" s="441"/>
      <c r="AN553" s="441"/>
      <c r="AO553" s="441"/>
      <c r="AP553" s="512">
        <f t="shared" si="77"/>
        <v>0</v>
      </c>
      <c r="AQ553" s="513">
        <f>IF(SETUP!$E$7="USD",(AP553*(IF(O553="USD",AK553,(AK553/'Master Data-C19RM'!$F$2)))),(AP553*(IF(O553="EUR",AK553,(AK553*'Master Data-C19RM'!$F$2)))))</f>
        <v>0</v>
      </c>
      <c r="AR553" s="924">
        <f>IF($O553="USD",_xlfn.IFNA(VLOOKUP($A553&amp;$E553&amp;$I553,PMsheet!$J:$K,2,0),0),(_xlfn.IFNA(VLOOKUP($A553&amp;$E553&amp;$I553,PMsheet!$J:$K,2,0),0)*'Master Data-C19RM'!$G$2))</f>
        <v>0</v>
      </c>
      <c r="AS553" s="572"/>
      <c r="AT553" s="572"/>
      <c r="AU553" s="572"/>
      <c r="AV553" s="572"/>
      <c r="AW553" s="512">
        <f t="shared" si="78"/>
        <v>0</v>
      </c>
      <c r="AX553" s="512">
        <f>IF(SETUP!$E$7="USD",(AW553*(IF(O553="USD",AR553,(AR553/'Master Data-C19RM'!$G$2)))),(AW553*(IF(O553="EUR",AR553,(AR553*'Master Data-C19RM'!$G$2)))))</f>
        <v>0</v>
      </c>
      <c r="AY553" s="845"/>
      <c r="AZ553" s="846"/>
      <c r="BA553" s="846"/>
      <c r="BB553" s="846"/>
      <c r="BC553" s="846"/>
      <c r="BD553" s="846"/>
      <c r="BE553" s="847"/>
      <c r="BF553" s="520">
        <f>'C19RM 2021-Lab &amp; Other HPS'!$U553+'C19RM 2021-Lab &amp; Other HPS'!$AB553+'C19RM 2021-Lab &amp; Other HPS'!$AP553+'C19RM 2021-Lab &amp; Other HPS'!$AI553+AW553+BD553</f>
        <v>0</v>
      </c>
      <c r="BG553" s="513">
        <f>'C19RM 2021-Lab &amp; Other HPS'!$V553+'C19RM 2021-Lab &amp; Other HPS'!$AC553+'C19RM 2021-Lab &amp; Other HPS'!$AQ553+'C19RM 2021-Lab &amp; Other HPS'!$AJ553+AX553+BE553</f>
        <v>0</v>
      </c>
      <c r="BH553" s="500" t="str" cm="1">
        <f t="array" ref="BH553">IF(A553&lt;&gt;"",IFERROR(INDEX(PMtbl[[WKst]:[Unit of measure*]],MATCH($A$544&amp;$A553&amp;$E553&amp;$I553,INDEX(PMtbl[Sec]&amp;PMtbl[Category]&amp;PMtbl[Each]&amp;PMtbl[Packaging],0,),0),11),""),"")</f>
        <v/>
      </c>
      <c r="BI553" s="819"/>
      <c r="BJ553" s="502" t="str" cm="1">
        <f t="array" ref="BJ553">IFERROR(INDEX(SETUP!$C$19:$G$121,MATCH((INDEX(PMtbl[[WKst]:[Unit of measure*]],MATCH($A553&amp;$E553&amp;$I553,INDEX(PMtbl[Category]&amp;PMtbl[Each]&amp;PMtbl[Packaging],0,),0),3)),SETUP!$D$19:$D$121,0),5),"")</f>
        <v/>
      </c>
      <c r="BK553" s="542" t="str" cm="1">
        <f t="array" ref="BK553">IFERROR(IF((INDEX(SETUP!$C$19:$G$121,MATCH((INDEX(PMtbl[[WKst]:[Unit of measure*]],MATCH($A553&amp;$E553&amp;$I553,INDEX(PMtbl[Category]&amp;PMtbl[Each]&amp;PMtbl[Packaging],0,),0),3)),SETUP!$D$19:$D$121,0),4))="Upfront",0,INDEX(SETUP!$C$19:$G$121,MATCH((INDEX(PMtbl[[WKst]:[Unit of measure*]],MATCH($A553&amp;$E553&amp;$I553,INDEX(PMtbl[Category]&amp;PMtbl[Each]&amp;PMtbl[Packaging],0,),0),3)),SETUP!$D$19:$D$121,0),5)),"")</f>
        <v/>
      </c>
      <c r="BL553" s="200" t="str" cm="1">
        <f t="array" ref="BL553">IF(E553&lt;&gt;"",IFERROR(INDEX(PMtbl[[WKst]:[Unit of measure*]],MATCH($A$544&amp;$A553&amp;$E553&amp;$I553,INDEX(PMtbl[Sec]&amp;PMtbl[Category]&amp;PMtbl[Each]&amp;PMtbl[Packaging],0,),0),11),""),"")</f>
        <v/>
      </c>
      <c r="BO553" s="12">
        <f>IF(N553="",0,IF(SETUP!$E$7="USD",((IF(O553="USD",P553,(P553/'Master Data-C19RM'!$C$2)))),((IF(O553="EUR",P553,(P553*'Master Data-C19RM'!$C$2))))))</f>
        <v>0</v>
      </c>
      <c r="BP553" s="12">
        <f>IF(N553="",0,IF(SETUP!$E$7="USD",((IF(O553="USD",W553,(W553/'Master Data-C19RM'!$D$2)))),((IF(O553="EUR",W553,(W553*'Master Data-C19RM'!$D$2))))))</f>
        <v>0</v>
      </c>
      <c r="BQ553">
        <f>IF(N553="",0,IF(SETUP!$E$7="USD",((IF(O553="USD",AD553,(AD553/'Master Data-C19RM'!$E$2)))),((IF(O553="EUR",AD553,(AD553*'Master Data-C19RM'!$E$2))))))</f>
        <v>0</v>
      </c>
      <c r="BR553">
        <f>IF(N553="",0,IF(SETUP!$E$7="USD",((IF(O553="USD",AK553,(AK553/'Master Data-C19RM'!$F$2)))),((IF(O553="EUR",AK553,(AK553*'Master Data-C19RM'!$F$2))))))</f>
        <v>0</v>
      </c>
      <c r="BS553">
        <f>IF(N553="",0,IF(SETUP!$E$7="USD",((IF(O553="USD",AR553,(AR553/'Master Data-C19RM'!$G$2)))),((IF(O553="EUR",AR553,(AR553*'Master Data-C19RM'!$G$2))))))</f>
        <v>0</v>
      </c>
      <c r="BT553">
        <f>IF(N553="",0,IF(SETUP!$E$7="USD",((IF(O553="USD",AY553,(AY553/'Master Data-C19RM'!$H$2)))),((IF(O553="EUR",AY553,(AY553*'Master Data-C19RM'!$H$2))))))</f>
        <v>0</v>
      </c>
      <c r="BU553" s="12">
        <f t="shared" si="72"/>
        <v>0</v>
      </c>
      <c r="BV553" s="142">
        <f t="shared" si="73"/>
        <v>0</v>
      </c>
    </row>
    <row r="554" spans="1:94" x14ac:dyDescent="0.35">
      <c r="A554" s="1192"/>
      <c r="B554" s="1192"/>
      <c r="C554" s="1192"/>
      <c r="D554" s="1192"/>
      <c r="E554" s="1173"/>
      <c r="F554" s="1173"/>
      <c r="G554" s="1173"/>
      <c r="H554" s="1173"/>
      <c r="I554" s="1173"/>
      <c r="J554" s="1173"/>
      <c r="K554" s="1173"/>
      <c r="L554" s="493" t="str" cm="1">
        <f t="array" ref="L554">IF(A554&lt;&gt;"",IFERROR(INDEX(PMtbl[[WKst]:[Unit of measure*]],MATCH($A$544&amp;$A554&amp;$E554&amp;$I554,INDEX(PMtbl[Sec]&amp;PMtbl[Category]&amp;PMtbl[Each]&amp;PMtbl[Packaging],0,),0),14),""),"")</f>
        <v/>
      </c>
      <c r="M554" s="480" t="str">
        <f>IF(L554="","",INDEX(SETUP!$E$20:$E$122,(MATCH(INDEX(PMsheet!$D:$E,MATCH(A554,PMsheet!E:E,0),1),SETUP!$D$20:$D$122,0))))</f>
        <v/>
      </c>
      <c r="N554" s="494">
        <f>IF($O554="USD",_xlfn.IFNA(VLOOKUP(A554&amp;E554&amp;I554,PMsheet!J:K,2,0),0),(_xlfn.IFNA(VLOOKUP(A554&amp;E554&amp;I554,PMsheet!J:K,2,0),0)*'Master Data-C19RM'!$C$2))</f>
        <v>0</v>
      </c>
      <c r="O554" s="495" t="str">
        <f>IF(L554="", "",SETUP!$E$7)</f>
        <v/>
      </c>
      <c r="P554" s="445">
        <f>IF($O554="USD",_xlfn.IFNA(VLOOKUP($A554&amp;$E554&amp;$I554,PMsheet!$J:$K,2,0),0),(_xlfn.IFNA(VLOOKUP($A554&amp;$E554&amp;$I554,PMsheet!$J:$K,2,0),0)*'Master Data-C19RM'!$C$2))</f>
        <v>0</v>
      </c>
      <c r="Q554" s="440"/>
      <c r="R554" s="440"/>
      <c r="S554" s="440"/>
      <c r="T554" s="440"/>
      <c r="U554" s="482">
        <f t="shared" si="74"/>
        <v>0</v>
      </c>
      <c r="V554" s="484">
        <f>IF(SETUP!$E$7="USD",(U554*(IF(O554="USD",P554,(P554/'Master Data-C19RM'!$C$2)))),(U554*(IF(O554="EUR",P554,(P554*'Master Data-C19RM'!$C$2)))))</f>
        <v>0</v>
      </c>
      <c r="W554" s="445">
        <f>IF($O554="USD",_xlfn.IFNA(VLOOKUP($A554&amp;$E554&amp;$I554,PMsheet!$J:$K,2,0),0),(_xlfn.IFNA(VLOOKUP($A554&amp;$E554&amp;$I554,PMsheet!$J:$K,2,0),0)*'Master Data-C19RM'!$D$2))</f>
        <v>0</v>
      </c>
      <c r="X554" s="440"/>
      <c r="Y554" s="440"/>
      <c r="Z554" s="440"/>
      <c r="AA554" s="440"/>
      <c r="AB554" s="482">
        <f t="shared" si="75"/>
        <v>0</v>
      </c>
      <c r="AC554" s="484">
        <f>IF(SETUP!$E$7="USD",(AB554*(IF(O554="USD",W554,(W554/'Master Data-C19RM'!$D$2)))),(AB554*(IF(O554="EUR",W554,(W554*'Master Data-C19RM'!$D$2)))))</f>
        <v>0</v>
      </c>
      <c r="AD554" s="445">
        <f>IF($O554="USD",_xlfn.IFNA(VLOOKUP($A554&amp;$E554&amp;$I554,PMsheet!$J:$K,2,0),0),(_xlfn.IFNA(VLOOKUP($A554&amp;$E554&amp;$I554,PMsheet!$J:$K,2,0),0)*'Master Data-C19RM'!$E$2))</f>
        <v>0</v>
      </c>
      <c r="AE554" s="440"/>
      <c r="AF554" s="440"/>
      <c r="AG554" s="440"/>
      <c r="AH554" s="440"/>
      <c r="AI554" s="514">
        <f t="shared" si="76"/>
        <v>0</v>
      </c>
      <c r="AJ554" s="515">
        <f>IF(SETUP!$E$7="USD",(AI554*(IF(O554="USD",AD554,(AD554/'Master Data-C19RM'!$E$2)))),(AI554*(IF(O554="EUR",AD554,(AD554*'Master Data-C19RM'!$E$2)))))</f>
        <v>0</v>
      </c>
      <c r="AK554" s="445">
        <f>IF($O554="USD",_xlfn.IFNA(VLOOKUP($A554&amp;$E554&amp;$I554,PMsheet!$J:$K,2,0),0),(_xlfn.IFNA(VLOOKUP($A554&amp;$E554&amp;$I554,PMsheet!$J:$K,2,0),0)*'Master Data-C19RM'!$F$2))</f>
        <v>0</v>
      </c>
      <c r="AL554" s="440"/>
      <c r="AM554" s="440"/>
      <c r="AN554" s="440"/>
      <c r="AO554" s="440"/>
      <c r="AP554" s="514">
        <f t="shared" si="77"/>
        <v>0</v>
      </c>
      <c r="AQ554" s="515">
        <f>IF(SETUP!$E$7="USD",(AP554*(IF(O554="USD",AK554,(AK554/'Master Data-C19RM'!$F$2)))),(AP554*(IF(O554="EUR",AK554,(AK554*'Master Data-C19RM'!$F$2)))))</f>
        <v>0</v>
      </c>
      <c r="AR554" s="925">
        <f>IF($O554="USD",_xlfn.IFNA(VLOOKUP($A554&amp;$E554&amp;$I554,PMsheet!$J:$K,2,0),0),(_xlfn.IFNA(VLOOKUP($A554&amp;$E554&amp;$I554,PMsheet!$J:$K,2,0),0)*'Master Data-C19RM'!$G$2))</f>
        <v>0</v>
      </c>
      <c r="AS554" s="926"/>
      <c r="AT554" s="926"/>
      <c r="AU554" s="926"/>
      <c r="AV554" s="926"/>
      <c r="AW554" s="514">
        <f t="shared" si="78"/>
        <v>0</v>
      </c>
      <c r="AX554" s="514">
        <f>IF(SETUP!$E$7="USD",(AW554*(IF(O554="USD",AR554,(AR554/'Master Data-C19RM'!$G$2)))),(AW554*(IF(O554="EUR",AR554,(AR554*'Master Data-C19RM'!$G$2)))))</f>
        <v>0</v>
      </c>
      <c r="AY554" s="845"/>
      <c r="AZ554" s="846"/>
      <c r="BA554" s="846"/>
      <c r="BB554" s="846"/>
      <c r="BC554" s="846"/>
      <c r="BD554" s="846"/>
      <c r="BE554" s="847"/>
      <c r="BF554" s="521">
        <f>'C19RM 2021-Lab &amp; Other HPS'!$U554+'C19RM 2021-Lab &amp; Other HPS'!$AB554+'C19RM 2021-Lab &amp; Other HPS'!$AP554+'C19RM 2021-Lab &amp; Other HPS'!$AI554+AW554+BD554</f>
        <v>0</v>
      </c>
      <c r="BG554" s="515">
        <f>'C19RM 2021-Lab &amp; Other HPS'!$V554+'C19RM 2021-Lab &amp; Other HPS'!$AC554+'C19RM 2021-Lab &amp; Other HPS'!$AQ554+'C19RM 2021-Lab &amp; Other HPS'!$AJ554+AX554+BE554</f>
        <v>0</v>
      </c>
      <c r="BH554" s="522" t="str" cm="1">
        <f t="array" ref="BH554">IF(A554&lt;&gt;"",IFERROR(INDEX(PMtbl[[WKst]:[Unit of measure*]],MATCH($A$544&amp;$A554&amp;$E554&amp;$I554,INDEX(PMtbl[Sec]&amp;PMtbl[Category]&amp;PMtbl[Each]&amp;PMtbl[Packaging],0,),0),11),""),"")</f>
        <v/>
      </c>
      <c r="BI554" s="818"/>
      <c r="BJ554" s="503" t="str" cm="1">
        <f t="array" ref="BJ554">IFERROR(INDEX(SETUP!$C$19:$G$121,MATCH((INDEX(PMtbl[[WKst]:[Unit of measure*]],MATCH($A554&amp;$E554&amp;$I554,INDEX(PMtbl[Category]&amp;PMtbl[Each]&amp;PMtbl[Packaging],0,),0),3)),SETUP!$D$19:$D$121,0),5),"")</f>
        <v/>
      </c>
      <c r="BK554" s="543" t="str" cm="1">
        <f t="array" ref="BK554">IFERROR(IF((INDEX(SETUP!$C$19:$G$121,MATCH((INDEX(PMtbl[[WKst]:[Unit of measure*]],MATCH($A554&amp;$E554&amp;$I554,INDEX(PMtbl[Category]&amp;PMtbl[Each]&amp;PMtbl[Packaging],0,),0),3)),SETUP!$D$19:$D$121,0),4))="Upfront",0,INDEX(SETUP!$C$19:$G$121,MATCH((INDEX(PMtbl[[WKst]:[Unit of measure*]],MATCH($A554&amp;$E554&amp;$I554,INDEX(PMtbl[Category]&amp;PMtbl[Each]&amp;PMtbl[Packaging],0,),0),3)),SETUP!$D$19:$D$121,0),5)),"")</f>
        <v/>
      </c>
      <c r="BL554" s="201" t="str" cm="1">
        <f t="array" ref="BL554">IF(E554&lt;&gt;"",IFERROR(INDEX(PMtbl[[WKst]:[Unit of measure*]],MATCH($A$544&amp;$A554&amp;$E554&amp;$I554,INDEX(PMtbl[Sec]&amp;PMtbl[Category]&amp;PMtbl[Each]&amp;PMtbl[Packaging],0,),0),11),""),"")</f>
        <v/>
      </c>
      <c r="BO554" s="12">
        <f>IF(N554="",0,IF(SETUP!$E$7="USD",((IF(O554="USD",P554,(P554/'Master Data-C19RM'!$C$2)))),((IF(O554="EUR",P554,(P554*'Master Data-C19RM'!$C$2))))))</f>
        <v>0</v>
      </c>
      <c r="BP554" s="12">
        <f>IF(N554="",0,IF(SETUP!$E$7="USD",((IF(O554="USD",W554,(W554/'Master Data-C19RM'!$D$2)))),((IF(O554="EUR",W554,(W554*'Master Data-C19RM'!$D$2))))))</f>
        <v>0</v>
      </c>
      <c r="BQ554">
        <f>IF(N554="",0,IF(SETUP!$E$7="USD",((IF(O554="USD",AD554,(AD554/'Master Data-C19RM'!$E$2)))),((IF(O554="EUR",AD554,(AD554*'Master Data-C19RM'!$E$2))))))</f>
        <v>0</v>
      </c>
      <c r="BR554">
        <f>IF(N554="",0,IF(SETUP!$E$7="USD",((IF(O554="USD",AK554,(AK554/'Master Data-C19RM'!$F$2)))),((IF(O554="EUR",AK554,(AK554*'Master Data-C19RM'!$F$2))))))</f>
        <v>0</v>
      </c>
      <c r="BS554">
        <f>IF(N554="",0,IF(SETUP!$E$7="USD",((IF(O554="USD",AR554,(AR554/'Master Data-C19RM'!$G$2)))),((IF(O554="EUR",AR554,(AR554*'Master Data-C19RM'!$G$2))))))</f>
        <v>0</v>
      </c>
      <c r="BT554">
        <f>IF(N554="",0,IF(SETUP!$E$7="USD",((IF(O554="USD",AY554,(AY554/'Master Data-C19RM'!$H$2)))),((IF(O554="EUR",AY554,(AY554*'Master Data-C19RM'!$H$2))))))</f>
        <v>0</v>
      </c>
      <c r="BU554" s="12">
        <f t="shared" si="72"/>
        <v>0</v>
      </c>
      <c r="BV554" s="142">
        <f t="shared" si="73"/>
        <v>0</v>
      </c>
    </row>
    <row r="555" spans="1:94" x14ac:dyDescent="0.35">
      <c r="A555" s="1165"/>
      <c r="B555" s="1165"/>
      <c r="C555" s="1165"/>
      <c r="D555" s="1165"/>
      <c r="E555" s="1166"/>
      <c r="F555" s="1166"/>
      <c r="G555" s="1166"/>
      <c r="H555" s="1166"/>
      <c r="I555" s="1166"/>
      <c r="J555" s="1166"/>
      <c r="K555" s="1166"/>
      <c r="L555" s="490" t="str" cm="1">
        <f t="array" ref="L555">IF(A555&lt;&gt;"",IFERROR(INDEX(PMtbl[[WKst]:[Unit of measure*]],MATCH($A$544&amp;$A555&amp;$E555&amp;$I555,INDEX(PMtbl[Sec]&amp;PMtbl[Category]&amp;PMtbl[Each]&amp;PMtbl[Packaging],0,),0),14),""),"")</f>
        <v/>
      </c>
      <c r="M555" s="479" t="str">
        <f>IF(L555="","",INDEX(SETUP!$E$20:$E$122,(MATCH(INDEX(PMsheet!$D:$E,MATCH(A555,PMsheet!E:E,0),1),SETUP!$D$20:$D$122,0))))</f>
        <v/>
      </c>
      <c r="N555" s="491">
        <f>IF($O555="USD",_xlfn.IFNA(VLOOKUP(A555&amp;E555&amp;I555,PMsheet!J:K,2,0),0),(_xlfn.IFNA(VLOOKUP(A555&amp;E555&amp;I555,PMsheet!J:K,2,0),0)*'Master Data-C19RM'!$C$2))</f>
        <v>0</v>
      </c>
      <c r="O555" s="492" t="str">
        <f>IF(L555="", "",SETUP!$E$7)</f>
        <v/>
      </c>
      <c r="P555" s="444">
        <f>IF($O555="USD",_xlfn.IFNA(VLOOKUP($A555&amp;$E555&amp;$I555,PMsheet!$J:$K,2,0),0),(_xlfn.IFNA(VLOOKUP($A555&amp;$E555&amp;$I555,PMsheet!$J:$K,2,0),0)*'Master Data-C19RM'!$C$2))</f>
        <v>0</v>
      </c>
      <c r="Q555" s="441"/>
      <c r="R555" s="441"/>
      <c r="S555" s="441"/>
      <c r="T555" s="441"/>
      <c r="U555" s="481">
        <f t="shared" si="74"/>
        <v>0</v>
      </c>
      <c r="V555" s="483">
        <f>IF(SETUP!$E$7="USD",(U555*(IF(O555="USD",P555,(P555/'Master Data-C19RM'!$C$2)))),(U555*(IF(O555="EUR",P555,(P555*'Master Data-C19RM'!$C$2)))))</f>
        <v>0</v>
      </c>
      <c r="W555" s="444">
        <f>IF($O555="USD",_xlfn.IFNA(VLOOKUP($A555&amp;$E555&amp;$I555,PMsheet!$J:$K,2,0),0),(_xlfn.IFNA(VLOOKUP($A555&amp;$E555&amp;$I555,PMsheet!$J:$K,2,0),0)*'Master Data-C19RM'!$D$2))</f>
        <v>0</v>
      </c>
      <c r="X555" s="441"/>
      <c r="Y555" s="441"/>
      <c r="Z555" s="441"/>
      <c r="AA555" s="441"/>
      <c r="AB555" s="481">
        <f t="shared" si="75"/>
        <v>0</v>
      </c>
      <c r="AC555" s="483">
        <f>IF(SETUP!$E$7="USD",(AB555*(IF(O555="USD",W555,(W555/'Master Data-C19RM'!$D$2)))),(AB555*(IF(O555="EUR",W555,(W555*'Master Data-C19RM'!$D$2)))))</f>
        <v>0</v>
      </c>
      <c r="AD555" s="444">
        <f>IF($O555="USD",_xlfn.IFNA(VLOOKUP($A555&amp;$E555&amp;$I555,PMsheet!$J:$K,2,0),0),(_xlfn.IFNA(VLOOKUP($A555&amp;$E555&amp;$I555,PMsheet!$J:$K,2,0),0)*'Master Data-C19RM'!$E$2))</f>
        <v>0</v>
      </c>
      <c r="AE555" s="441"/>
      <c r="AF555" s="441"/>
      <c r="AG555" s="441"/>
      <c r="AH555" s="441"/>
      <c r="AI555" s="512">
        <f t="shared" si="76"/>
        <v>0</v>
      </c>
      <c r="AJ555" s="513">
        <f>IF(SETUP!$E$7="USD",(AI555*(IF(O555="USD",AD555,(AD555/'Master Data-C19RM'!$E$2)))),(AI555*(IF(O555="EUR",AD555,(AD555*'Master Data-C19RM'!$E$2)))))</f>
        <v>0</v>
      </c>
      <c r="AK555" s="444">
        <f>IF($O555="USD",_xlfn.IFNA(VLOOKUP($A555&amp;$E555&amp;$I555,PMsheet!$J:$K,2,0),0),(_xlfn.IFNA(VLOOKUP($A555&amp;$E555&amp;$I555,PMsheet!$J:$K,2,0),0)*'Master Data-C19RM'!$F$2))</f>
        <v>0</v>
      </c>
      <c r="AL555" s="441"/>
      <c r="AM555" s="441"/>
      <c r="AN555" s="441"/>
      <c r="AO555" s="441"/>
      <c r="AP555" s="512">
        <f t="shared" si="77"/>
        <v>0</v>
      </c>
      <c r="AQ555" s="513">
        <f>IF(SETUP!$E$7="USD",(AP555*(IF(O555="USD",AK555,(AK555/'Master Data-C19RM'!$F$2)))),(AP555*(IF(O555="EUR",AK555,(AK555*'Master Data-C19RM'!$F$2)))))</f>
        <v>0</v>
      </c>
      <c r="AR555" s="924">
        <f>IF($O555="USD",_xlfn.IFNA(VLOOKUP($A555&amp;$E555&amp;$I555,PMsheet!$J:$K,2,0),0),(_xlfn.IFNA(VLOOKUP($A555&amp;$E555&amp;$I555,PMsheet!$J:$K,2,0),0)*'Master Data-C19RM'!$G$2))</f>
        <v>0</v>
      </c>
      <c r="AS555" s="572"/>
      <c r="AT555" s="572"/>
      <c r="AU555" s="572"/>
      <c r="AV555" s="572"/>
      <c r="AW555" s="512">
        <f t="shared" si="78"/>
        <v>0</v>
      </c>
      <c r="AX555" s="512">
        <f>IF(SETUP!$E$7="USD",(AW555*(IF(O555="USD",AR555,(AR555/'Master Data-C19RM'!$G$2)))),(AW555*(IF(O555="EUR",AR555,(AR555*'Master Data-C19RM'!$G$2)))))</f>
        <v>0</v>
      </c>
      <c r="AY555" s="845"/>
      <c r="AZ555" s="846"/>
      <c r="BA555" s="846"/>
      <c r="BB555" s="846"/>
      <c r="BC555" s="846"/>
      <c r="BD555" s="846"/>
      <c r="BE555" s="847"/>
      <c r="BF555" s="520">
        <f>'C19RM 2021-Lab &amp; Other HPS'!$U555+'C19RM 2021-Lab &amp; Other HPS'!$AB555+'C19RM 2021-Lab &amp; Other HPS'!$AP555+'C19RM 2021-Lab &amp; Other HPS'!$AI555+AW555+BD555</f>
        <v>0</v>
      </c>
      <c r="BG555" s="513">
        <f>'C19RM 2021-Lab &amp; Other HPS'!$V555+'C19RM 2021-Lab &amp; Other HPS'!$AC555+'C19RM 2021-Lab &amp; Other HPS'!$AQ555+'C19RM 2021-Lab &amp; Other HPS'!$AJ555+AX555+BE555</f>
        <v>0</v>
      </c>
      <c r="BH555" s="500" t="str" cm="1">
        <f t="array" ref="BH555">IF(A555&lt;&gt;"",IFERROR(INDEX(PMtbl[[WKst]:[Unit of measure*]],MATCH($A$544&amp;$A555&amp;$E555&amp;$I555,INDEX(PMtbl[Sec]&amp;PMtbl[Category]&amp;PMtbl[Each]&amp;PMtbl[Packaging],0,),0),11),""),"")</f>
        <v/>
      </c>
      <c r="BI555" s="819"/>
      <c r="BJ555" s="502" t="str" cm="1">
        <f t="array" ref="BJ555">IFERROR(INDEX(SETUP!$C$19:$G$121,MATCH((INDEX(PMtbl[[WKst]:[Unit of measure*]],MATCH($A555&amp;$E555&amp;$I555,INDEX(PMtbl[Category]&amp;PMtbl[Each]&amp;PMtbl[Packaging],0,),0),3)),SETUP!$D$19:$D$121,0),5),"")</f>
        <v/>
      </c>
      <c r="BK555" s="542" t="str" cm="1">
        <f t="array" ref="BK555">IFERROR(IF((INDEX(SETUP!$C$19:$G$121,MATCH((INDEX(PMtbl[[WKst]:[Unit of measure*]],MATCH($A555&amp;$E555&amp;$I555,INDEX(PMtbl[Category]&amp;PMtbl[Each]&amp;PMtbl[Packaging],0,),0),3)),SETUP!$D$19:$D$121,0),4))="Upfront",0,INDEX(SETUP!$C$19:$G$121,MATCH((INDEX(PMtbl[[WKst]:[Unit of measure*]],MATCH($A555&amp;$E555&amp;$I555,INDEX(PMtbl[Category]&amp;PMtbl[Each]&amp;PMtbl[Packaging],0,),0),3)),SETUP!$D$19:$D$121,0),5)),"")</f>
        <v/>
      </c>
      <c r="BL555" s="200" t="str" cm="1">
        <f t="array" ref="BL555">IF(E555&lt;&gt;"",IFERROR(INDEX(PMtbl[[WKst]:[Unit of measure*]],MATCH($A$544&amp;$A555&amp;$E555&amp;$I555,INDEX(PMtbl[Sec]&amp;PMtbl[Category]&amp;PMtbl[Each]&amp;PMtbl[Packaging],0,),0),11),""),"")</f>
        <v/>
      </c>
      <c r="BO555" s="12">
        <f>IF(N555="",0,IF(SETUP!$E$7="USD",((IF(O555="USD",P555,(P555/'Master Data-C19RM'!$C$2)))),((IF(O555="EUR",P555,(P555*'Master Data-C19RM'!$C$2))))))</f>
        <v>0</v>
      </c>
      <c r="BP555" s="12">
        <f>IF(N555="",0,IF(SETUP!$E$7="USD",((IF(O555="USD",W555,(W555/'Master Data-C19RM'!$D$2)))),((IF(O555="EUR",W555,(W555*'Master Data-C19RM'!$D$2))))))</f>
        <v>0</v>
      </c>
      <c r="BQ555">
        <f>IF(N555="",0,IF(SETUP!$E$7="USD",((IF(O555="USD",AD555,(AD555/'Master Data-C19RM'!$E$2)))),((IF(O555="EUR",AD555,(AD555*'Master Data-C19RM'!$E$2))))))</f>
        <v>0</v>
      </c>
      <c r="BR555">
        <f>IF(N555="",0,IF(SETUP!$E$7="USD",((IF(O555="USD",AK555,(AK555/'Master Data-C19RM'!$F$2)))),((IF(O555="EUR",AK555,(AK555*'Master Data-C19RM'!$F$2))))))</f>
        <v>0</v>
      </c>
      <c r="BS555">
        <f>IF(N555="",0,IF(SETUP!$E$7="USD",((IF(O555="USD",AR555,(AR555/'Master Data-C19RM'!$G$2)))),((IF(O555="EUR",AR555,(AR555*'Master Data-C19RM'!$G$2))))))</f>
        <v>0</v>
      </c>
      <c r="BT555">
        <f>IF(N555="",0,IF(SETUP!$E$7="USD",((IF(O555="USD",AY555,(AY555/'Master Data-C19RM'!$H$2)))),((IF(O555="EUR",AY555,(AY555*'Master Data-C19RM'!$H$2))))))</f>
        <v>0</v>
      </c>
      <c r="BU555" s="12">
        <f t="shared" si="72"/>
        <v>0</v>
      </c>
      <c r="BV555" s="142">
        <f t="shared" si="73"/>
        <v>0</v>
      </c>
    </row>
    <row r="556" spans="1:94" x14ac:dyDescent="0.35">
      <c r="A556" s="1192"/>
      <c r="B556" s="1192"/>
      <c r="C556" s="1192"/>
      <c r="D556" s="1192"/>
      <c r="E556" s="1173"/>
      <c r="F556" s="1173"/>
      <c r="G556" s="1173"/>
      <c r="H556" s="1173"/>
      <c r="I556" s="1173"/>
      <c r="J556" s="1173"/>
      <c r="K556" s="1173"/>
      <c r="L556" s="493" t="str" cm="1">
        <f t="array" ref="L556">IF(A556&lt;&gt;"",IFERROR(INDEX(PMtbl[[WKst]:[Unit of measure*]],MATCH($A$544&amp;$A556&amp;$E556&amp;$I556,INDEX(PMtbl[Sec]&amp;PMtbl[Category]&amp;PMtbl[Each]&amp;PMtbl[Packaging],0,),0),14),""),"")</f>
        <v/>
      </c>
      <c r="M556" s="480" t="str">
        <f>IF(L556="","",INDEX(SETUP!$E$20:$E$122,(MATCH(INDEX(PMsheet!$D:$E,MATCH(A556,PMsheet!E:E,0),1),SETUP!$D$20:$D$122,0))))</f>
        <v/>
      </c>
      <c r="N556" s="494">
        <f>IF($O556="USD",_xlfn.IFNA(VLOOKUP(A556&amp;E556&amp;I556,PMsheet!J:K,2,0),0),(_xlfn.IFNA(VLOOKUP(A556&amp;E556&amp;I556,PMsheet!J:K,2,0),0)*'Master Data-C19RM'!$C$2))</f>
        <v>0</v>
      </c>
      <c r="O556" s="495" t="str">
        <f>IF(L556="", "",SETUP!$E$7)</f>
        <v/>
      </c>
      <c r="P556" s="445">
        <f>IF($O556="USD",_xlfn.IFNA(VLOOKUP($A556&amp;$E556&amp;$I556,PMsheet!$J:$K,2,0),0),(_xlfn.IFNA(VLOOKUP($A556&amp;$E556&amp;$I556,PMsheet!$J:$K,2,0),0)*'Master Data-C19RM'!$C$2))</f>
        <v>0</v>
      </c>
      <c r="Q556" s="440"/>
      <c r="R556" s="440"/>
      <c r="S556" s="440"/>
      <c r="T556" s="440"/>
      <c r="U556" s="482">
        <f t="shared" si="74"/>
        <v>0</v>
      </c>
      <c r="V556" s="484">
        <f>IF(SETUP!$E$7="USD",(U556*(IF(O556="USD",P556,(P556/'Master Data-C19RM'!$C$2)))),(U556*(IF(O556="EUR",P556,(P556*'Master Data-C19RM'!$C$2)))))</f>
        <v>0</v>
      </c>
      <c r="W556" s="445">
        <f>IF($O556="USD",_xlfn.IFNA(VLOOKUP($A556&amp;$E556&amp;$I556,PMsheet!$J:$K,2,0),0),(_xlfn.IFNA(VLOOKUP($A556&amp;$E556&amp;$I556,PMsheet!$J:$K,2,0),0)*'Master Data-C19RM'!$D$2))</f>
        <v>0</v>
      </c>
      <c r="X556" s="440"/>
      <c r="Y556" s="440"/>
      <c r="Z556" s="440"/>
      <c r="AA556" s="440"/>
      <c r="AB556" s="482">
        <f t="shared" si="75"/>
        <v>0</v>
      </c>
      <c r="AC556" s="484">
        <f>IF(SETUP!$E$7="USD",(AB556*(IF(O556="USD",W556,(W556/'Master Data-C19RM'!$D$2)))),(AB556*(IF(O556="EUR",W556,(W556*'Master Data-C19RM'!$D$2)))))</f>
        <v>0</v>
      </c>
      <c r="AD556" s="445">
        <f>IF($O556="USD",_xlfn.IFNA(VLOOKUP($A556&amp;$E556&amp;$I556,PMsheet!$J:$K,2,0),0),(_xlfn.IFNA(VLOOKUP($A556&amp;$E556&amp;$I556,PMsheet!$J:$K,2,0),0)*'Master Data-C19RM'!$E$2))</f>
        <v>0</v>
      </c>
      <c r="AE556" s="440"/>
      <c r="AF556" s="440"/>
      <c r="AG556" s="440"/>
      <c r="AH556" s="440"/>
      <c r="AI556" s="514">
        <f t="shared" si="76"/>
        <v>0</v>
      </c>
      <c r="AJ556" s="515">
        <f>IF(SETUP!$E$7="USD",(AI556*(IF(O556="USD",AD556,(AD556/'Master Data-C19RM'!$E$2)))),(AI556*(IF(O556="EUR",AD556,(AD556*'Master Data-C19RM'!$E$2)))))</f>
        <v>0</v>
      </c>
      <c r="AK556" s="445">
        <f>IF($O556="USD",_xlfn.IFNA(VLOOKUP($A556&amp;$E556&amp;$I556,PMsheet!$J:$K,2,0),0),(_xlfn.IFNA(VLOOKUP($A556&amp;$E556&amp;$I556,PMsheet!$J:$K,2,0),0)*'Master Data-C19RM'!$F$2))</f>
        <v>0</v>
      </c>
      <c r="AL556" s="440"/>
      <c r="AM556" s="440"/>
      <c r="AN556" s="440"/>
      <c r="AO556" s="440"/>
      <c r="AP556" s="514">
        <f t="shared" si="77"/>
        <v>0</v>
      </c>
      <c r="AQ556" s="515">
        <f>IF(SETUP!$E$7="USD",(AP556*(IF(O556="USD",AK556,(AK556/'Master Data-C19RM'!$F$2)))),(AP556*(IF(O556="EUR",AK556,(AK556*'Master Data-C19RM'!$F$2)))))</f>
        <v>0</v>
      </c>
      <c r="AR556" s="925">
        <f>IF($O556="USD",_xlfn.IFNA(VLOOKUP($A556&amp;$E556&amp;$I556,PMsheet!$J:$K,2,0),0),(_xlfn.IFNA(VLOOKUP($A556&amp;$E556&amp;$I556,PMsheet!$J:$K,2,0),0)*'Master Data-C19RM'!$G$2))</f>
        <v>0</v>
      </c>
      <c r="AS556" s="926"/>
      <c r="AT556" s="926"/>
      <c r="AU556" s="926"/>
      <c r="AV556" s="926"/>
      <c r="AW556" s="514">
        <f t="shared" si="78"/>
        <v>0</v>
      </c>
      <c r="AX556" s="514">
        <f>IF(SETUP!$E$7="USD",(AW556*(IF(O556="USD",AR556,(AR556/'Master Data-C19RM'!$G$2)))),(AW556*(IF(O556="EUR",AR556,(AR556*'Master Data-C19RM'!$G$2)))))</f>
        <v>0</v>
      </c>
      <c r="AY556" s="845"/>
      <c r="AZ556" s="846"/>
      <c r="BA556" s="846"/>
      <c r="BB556" s="846"/>
      <c r="BC556" s="846"/>
      <c r="BD556" s="846"/>
      <c r="BE556" s="847"/>
      <c r="BF556" s="521">
        <f>'C19RM 2021-Lab &amp; Other HPS'!$U556+'C19RM 2021-Lab &amp; Other HPS'!$AB556+'C19RM 2021-Lab &amp; Other HPS'!$AP556+'C19RM 2021-Lab &amp; Other HPS'!$AI556+AW556+BD556</f>
        <v>0</v>
      </c>
      <c r="BG556" s="515">
        <f>'C19RM 2021-Lab &amp; Other HPS'!$V556+'C19RM 2021-Lab &amp; Other HPS'!$AC556+'C19RM 2021-Lab &amp; Other HPS'!$AQ556+'C19RM 2021-Lab &amp; Other HPS'!$AJ556+AX556+BE556</f>
        <v>0</v>
      </c>
      <c r="BH556" s="522" t="str" cm="1">
        <f t="array" ref="BH556">IF(A556&lt;&gt;"",IFERROR(INDEX(PMtbl[[WKst]:[Unit of measure*]],MATCH($A$544&amp;$A556&amp;$E556&amp;$I556,INDEX(PMtbl[Sec]&amp;PMtbl[Category]&amp;PMtbl[Each]&amp;PMtbl[Packaging],0,),0),11),""),"")</f>
        <v/>
      </c>
      <c r="BI556" s="818"/>
      <c r="BJ556" s="503" t="str" cm="1">
        <f t="array" ref="BJ556">IFERROR(INDEX(SETUP!$C$19:$G$121,MATCH((INDEX(PMtbl[[WKst]:[Unit of measure*]],MATCH($A556&amp;$E556&amp;$I556,INDEX(PMtbl[Category]&amp;PMtbl[Each]&amp;PMtbl[Packaging],0,),0),3)),SETUP!$D$19:$D$121,0),5),"")</f>
        <v/>
      </c>
      <c r="BK556" s="543" t="str" cm="1">
        <f t="array" ref="BK556">IFERROR(IF((INDEX(SETUP!$C$19:$G$121,MATCH((INDEX(PMtbl[[WKst]:[Unit of measure*]],MATCH($A556&amp;$E556&amp;$I556,INDEX(PMtbl[Category]&amp;PMtbl[Each]&amp;PMtbl[Packaging],0,),0),3)),SETUP!$D$19:$D$121,0),4))="Upfront",0,INDEX(SETUP!$C$19:$G$121,MATCH((INDEX(PMtbl[[WKst]:[Unit of measure*]],MATCH($A556&amp;$E556&amp;$I556,INDEX(PMtbl[Category]&amp;PMtbl[Each]&amp;PMtbl[Packaging],0,),0),3)),SETUP!$D$19:$D$121,0),5)),"")</f>
        <v/>
      </c>
      <c r="BL556" s="201" t="str" cm="1">
        <f t="array" ref="BL556">IF(E556&lt;&gt;"",IFERROR(INDEX(PMtbl[[WKst]:[Unit of measure*]],MATCH($A$544&amp;$A556&amp;$E556&amp;$I556,INDEX(PMtbl[Sec]&amp;PMtbl[Category]&amp;PMtbl[Each]&amp;PMtbl[Packaging],0,),0),11),""),"")</f>
        <v/>
      </c>
      <c r="BO556" s="12">
        <f>IF(N556="",0,IF(SETUP!$E$7="USD",((IF(O556="USD",P556,(P556/'Master Data-C19RM'!$C$2)))),((IF(O556="EUR",P556,(P556*'Master Data-C19RM'!$C$2))))))</f>
        <v>0</v>
      </c>
      <c r="BP556" s="12">
        <f>IF(N556="",0,IF(SETUP!$E$7="USD",((IF(O556="USD",W556,(W556/'Master Data-C19RM'!$D$2)))),((IF(O556="EUR",W556,(W556*'Master Data-C19RM'!$D$2))))))</f>
        <v>0</v>
      </c>
      <c r="BQ556">
        <f>IF(N556="",0,IF(SETUP!$E$7="USD",((IF(O556="USD",AD556,(AD556/'Master Data-C19RM'!$E$2)))),((IF(O556="EUR",AD556,(AD556*'Master Data-C19RM'!$E$2))))))</f>
        <v>0</v>
      </c>
      <c r="BR556">
        <f>IF(N556="",0,IF(SETUP!$E$7="USD",((IF(O556="USD",AK556,(AK556/'Master Data-C19RM'!$F$2)))),((IF(O556="EUR",AK556,(AK556*'Master Data-C19RM'!$F$2))))))</f>
        <v>0</v>
      </c>
      <c r="BS556">
        <f>IF(N556="",0,IF(SETUP!$E$7="USD",((IF(O556="USD",AR556,(AR556/'Master Data-C19RM'!$G$2)))),((IF(O556="EUR",AR556,(AR556*'Master Data-C19RM'!$G$2))))))</f>
        <v>0</v>
      </c>
      <c r="BT556">
        <f>IF(N556="",0,IF(SETUP!$E$7="USD",((IF(O556="USD",AY556,(AY556/'Master Data-C19RM'!$H$2)))),((IF(O556="EUR",AY556,(AY556*'Master Data-C19RM'!$H$2))))))</f>
        <v>0</v>
      </c>
      <c r="BU556" s="12">
        <f t="shared" si="72"/>
        <v>0</v>
      </c>
      <c r="BV556" s="142">
        <f t="shared" si="73"/>
        <v>0</v>
      </c>
    </row>
    <row r="557" spans="1:94" x14ac:dyDescent="0.35">
      <c r="A557" s="1165"/>
      <c r="B557" s="1165"/>
      <c r="C557" s="1165"/>
      <c r="D557" s="1165"/>
      <c r="E557" s="1166"/>
      <c r="F557" s="1166"/>
      <c r="G557" s="1166"/>
      <c r="H557" s="1166"/>
      <c r="I557" s="1166"/>
      <c r="J557" s="1166"/>
      <c r="K557" s="1166"/>
      <c r="L557" s="490" t="str" cm="1">
        <f t="array" ref="L557">IF(A557&lt;&gt;"",IFERROR(INDEX(PMtbl[[WKst]:[Unit of measure*]],MATCH($A$544&amp;$A557&amp;$E557&amp;$I557,INDEX(PMtbl[Sec]&amp;PMtbl[Category]&amp;PMtbl[Each]&amp;PMtbl[Packaging],0,),0),14),""),"")</f>
        <v/>
      </c>
      <c r="M557" s="479" t="str">
        <f>IF(L557="","",INDEX(SETUP!$E$20:$E$122,(MATCH(INDEX(PMsheet!$D:$E,MATCH(A557,PMsheet!E:E,0),1),SETUP!$D$20:$D$122,0))))</f>
        <v/>
      </c>
      <c r="N557" s="491">
        <f>IF($O557="USD",_xlfn.IFNA(VLOOKUP(A557&amp;E557&amp;I557,PMsheet!J:K,2,0),0),(_xlfn.IFNA(VLOOKUP(A557&amp;E557&amp;I557,PMsheet!J:K,2,0),0)*'Master Data-C19RM'!$C$2))</f>
        <v>0</v>
      </c>
      <c r="O557" s="492" t="str">
        <f>IF(L557="", "",SETUP!$E$7)</f>
        <v/>
      </c>
      <c r="P557" s="444">
        <f>IF($O557="USD",_xlfn.IFNA(VLOOKUP($A557&amp;$E557&amp;$I557,PMsheet!$J:$K,2,0),0),(_xlfn.IFNA(VLOOKUP($A557&amp;$E557&amp;$I557,PMsheet!$J:$K,2,0),0)*'Master Data-C19RM'!$C$2))</f>
        <v>0</v>
      </c>
      <c r="Q557" s="441"/>
      <c r="R557" s="441"/>
      <c r="S557" s="441"/>
      <c r="T557" s="441"/>
      <c r="U557" s="481">
        <f t="shared" si="74"/>
        <v>0</v>
      </c>
      <c r="V557" s="483">
        <f>IF(SETUP!$E$7="USD",(U557*(IF(O557="USD",P557,(P557/'Master Data-C19RM'!$C$2)))),(U557*(IF(O557="EUR",P557,(P557*'Master Data-C19RM'!$C$2)))))</f>
        <v>0</v>
      </c>
      <c r="W557" s="444">
        <f>IF($O557="USD",_xlfn.IFNA(VLOOKUP($A557&amp;$E557&amp;$I557,PMsheet!$J:$K,2,0),0),(_xlfn.IFNA(VLOOKUP($A557&amp;$E557&amp;$I557,PMsheet!$J:$K,2,0),0)*'Master Data-C19RM'!$D$2))</f>
        <v>0</v>
      </c>
      <c r="X557" s="441"/>
      <c r="Y557" s="441"/>
      <c r="Z557" s="441"/>
      <c r="AA557" s="441"/>
      <c r="AB557" s="481">
        <f t="shared" si="75"/>
        <v>0</v>
      </c>
      <c r="AC557" s="483">
        <f>IF(SETUP!$E$7="USD",(AB557*(IF(O557="USD",W557,(W557/'Master Data-C19RM'!$D$2)))),(AB557*(IF(O557="EUR",W557,(W557*'Master Data-C19RM'!$D$2)))))</f>
        <v>0</v>
      </c>
      <c r="AD557" s="444">
        <f>IF($O557="USD",_xlfn.IFNA(VLOOKUP($A557&amp;$E557&amp;$I557,PMsheet!$J:$K,2,0),0),(_xlfn.IFNA(VLOOKUP($A557&amp;$E557&amp;$I557,PMsheet!$J:$K,2,0),0)*'Master Data-C19RM'!$E$2))</f>
        <v>0</v>
      </c>
      <c r="AE557" s="441"/>
      <c r="AF557" s="441"/>
      <c r="AG557" s="441"/>
      <c r="AH557" s="441"/>
      <c r="AI557" s="512">
        <f t="shared" si="76"/>
        <v>0</v>
      </c>
      <c r="AJ557" s="513">
        <f>IF(SETUP!$E$7="USD",(AI557*(IF(O557="USD",AD557,(AD557/'Master Data-C19RM'!$E$2)))),(AI557*(IF(O557="EUR",AD557,(AD557*'Master Data-C19RM'!$E$2)))))</f>
        <v>0</v>
      </c>
      <c r="AK557" s="444">
        <f>IF($O557="USD",_xlfn.IFNA(VLOOKUP($A557&amp;$E557&amp;$I557,PMsheet!$J:$K,2,0),0),(_xlfn.IFNA(VLOOKUP($A557&amp;$E557&amp;$I557,PMsheet!$J:$K,2,0),0)*'Master Data-C19RM'!$F$2))</f>
        <v>0</v>
      </c>
      <c r="AL557" s="441"/>
      <c r="AM557" s="441"/>
      <c r="AN557" s="441"/>
      <c r="AO557" s="441"/>
      <c r="AP557" s="512">
        <f t="shared" si="77"/>
        <v>0</v>
      </c>
      <c r="AQ557" s="513">
        <f>IF(SETUP!$E$7="USD",(AP557*(IF(O557="USD",AK557,(AK557/'Master Data-C19RM'!$F$2)))),(AP557*(IF(O557="EUR",AK557,(AK557*'Master Data-C19RM'!$F$2)))))</f>
        <v>0</v>
      </c>
      <c r="AR557" s="924">
        <f>IF($O557="USD",_xlfn.IFNA(VLOOKUP($A557&amp;$E557&amp;$I557,PMsheet!$J:$K,2,0),0),(_xlfn.IFNA(VLOOKUP($A557&amp;$E557&amp;$I557,PMsheet!$J:$K,2,0),0)*'Master Data-C19RM'!$G$2))</f>
        <v>0</v>
      </c>
      <c r="AS557" s="572"/>
      <c r="AT557" s="572"/>
      <c r="AU557" s="572"/>
      <c r="AV557" s="572"/>
      <c r="AW557" s="512">
        <f t="shared" si="78"/>
        <v>0</v>
      </c>
      <c r="AX557" s="512">
        <f>IF(SETUP!$E$7="USD",(AW557*(IF(O557="USD",AR557,(AR557/'Master Data-C19RM'!$G$2)))),(AW557*(IF(O557="EUR",AR557,(AR557*'Master Data-C19RM'!$G$2)))))</f>
        <v>0</v>
      </c>
      <c r="AY557" s="845"/>
      <c r="AZ557" s="846"/>
      <c r="BA557" s="846"/>
      <c r="BB557" s="846"/>
      <c r="BC557" s="846"/>
      <c r="BD557" s="846"/>
      <c r="BE557" s="847"/>
      <c r="BF557" s="520">
        <f>'C19RM 2021-Lab &amp; Other HPS'!$U557+'C19RM 2021-Lab &amp; Other HPS'!$AB557+'C19RM 2021-Lab &amp; Other HPS'!$AP557+'C19RM 2021-Lab &amp; Other HPS'!$AI557+AW557+BD557</f>
        <v>0</v>
      </c>
      <c r="BG557" s="513">
        <f>'C19RM 2021-Lab &amp; Other HPS'!$V557+'C19RM 2021-Lab &amp; Other HPS'!$AC557+'C19RM 2021-Lab &amp; Other HPS'!$AQ557+'C19RM 2021-Lab &amp; Other HPS'!$AJ557+AX557+BE557</f>
        <v>0</v>
      </c>
      <c r="BH557" s="500" t="str" cm="1">
        <f t="array" ref="BH557">IF(A557&lt;&gt;"",IFERROR(INDEX(PMtbl[[WKst]:[Unit of measure*]],MATCH($A$544&amp;$A557&amp;$E557&amp;$I557,INDEX(PMtbl[Sec]&amp;PMtbl[Category]&amp;PMtbl[Each]&amp;PMtbl[Packaging],0,),0),11),""),"")</f>
        <v/>
      </c>
      <c r="BI557" s="819"/>
      <c r="BJ557" s="502" t="str" cm="1">
        <f t="array" ref="BJ557">IFERROR(INDEX(SETUP!$C$19:$G$121,MATCH((INDEX(PMtbl[[WKst]:[Unit of measure*]],MATCH($A557&amp;$E557&amp;$I557,INDEX(PMtbl[Category]&amp;PMtbl[Each]&amp;PMtbl[Packaging],0,),0),3)),SETUP!$D$19:$D$121,0),5),"")</f>
        <v/>
      </c>
      <c r="BK557" s="542" t="str" cm="1">
        <f t="array" ref="BK557">IFERROR(IF((INDEX(SETUP!$C$19:$G$121,MATCH((INDEX(PMtbl[[WKst]:[Unit of measure*]],MATCH($A557&amp;$E557&amp;$I557,INDEX(PMtbl[Category]&amp;PMtbl[Each]&amp;PMtbl[Packaging],0,),0),3)),SETUP!$D$19:$D$121,0),4))="Upfront",0,INDEX(SETUP!$C$19:$G$121,MATCH((INDEX(PMtbl[[WKst]:[Unit of measure*]],MATCH($A557&amp;$E557&amp;$I557,INDEX(PMtbl[Category]&amp;PMtbl[Each]&amp;PMtbl[Packaging],0,),0),3)),SETUP!$D$19:$D$121,0),5)),"")</f>
        <v/>
      </c>
      <c r="BL557" s="200" t="str" cm="1">
        <f t="array" ref="BL557">IF(E557&lt;&gt;"",IFERROR(INDEX(PMtbl[[WKst]:[Unit of measure*]],MATCH($A$544&amp;$A557&amp;$E557&amp;$I557,INDEX(PMtbl[Sec]&amp;PMtbl[Category]&amp;PMtbl[Each]&amp;PMtbl[Packaging],0,),0),11),""),"")</f>
        <v/>
      </c>
      <c r="BO557" s="12">
        <f>IF(N557="",0,IF(SETUP!$E$7="USD",((IF(O557="USD",P557,(P557/'Master Data-C19RM'!$C$2)))),((IF(O557="EUR",P557,(P557*'Master Data-C19RM'!$C$2))))))</f>
        <v>0</v>
      </c>
      <c r="BP557" s="12">
        <f>IF(N557="",0,IF(SETUP!$E$7="USD",((IF(O557="USD",W557,(W557/'Master Data-C19RM'!$D$2)))),((IF(O557="EUR",W557,(W557*'Master Data-C19RM'!$D$2))))))</f>
        <v>0</v>
      </c>
      <c r="BQ557">
        <f>IF(N557="",0,IF(SETUP!$E$7="USD",((IF(O557="USD",AD557,(AD557/'Master Data-C19RM'!$E$2)))),((IF(O557="EUR",AD557,(AD557*'Master Data-C19RM'!$E$2))))))</f>
        <v>0</v>
      </c>
      <c r="BR557">
        <f>IF(N557="",0,IF(SETUP!$E$7="USD",((IF(O557="USD",AK557,(AK557/'Master Data-C19RM'!$F$2)))),((IF(O557="EUR",AK557,(AK557*'Master Data-C19RM'!$F$2))))))</f>
        <v>0</v>
      </c>
      <c r="BS557">
        <f>IF(N557="",0,IF(SETUP!$E$7="USD",((IF(O557="USD",AR557,(AR557/'Master Data-C19RM'!$G$2)))),((IF(O557="EUR",AR557,(AR557*'Master Data-C19RM'!$G$2))))))</f>
        <v>0</v>
      </c>
      <c r="BT557">
        <f>IF(N557="",0,IF(SETUP!$E$7="USD",((IF(O557="USD",AY557,(AY557/'Master Data-C19RM'!$H$2)))),((IF(O557="EUR",AY557,(AY557*'Master Data-C19RM'!$H$2))))))</f>
        <v>0</v>
      </c>
      <c r="BU557" s="12">
        <f t="shared" si="72"/>
        <v>0</v>
      </c>
      <c r="BV557" s="142">
        <f t="shared" si="73"/>
        <v>0</v>
      </c>
    </row>
    <row r="558" spans="1:94" x14ac:dyDescent="0.35">
      <c r="A558" s="1192"/>
      <c r="B558" s="1192"/>
      <c r="C558" s="1192"/>
      <c r="D558" s="1192"/>
      <c r="E558" s="1173"/>
      <c r="F558" s="1173"/>
      <c r="G558" s="1173"/>
      <c r="H558" s="1173"/>
      <c r="I558" s="1173"/>
      <c r="J558" s="1173"/>
      <c r="K558" s="1173"/>
      <c r="L558" s="493" t="str" cm="1">
        <f t="array" ref="L558">IF(A558&lt;&gt;"",IFERROR(INDEX(PMtbl[[WKst]:[Unit of measure*]],MATCH($A$544&amp;$A558&amp;$E558&amp;$I558,INDEX(PMtbl[Sec]&amp;PMtbl[Category]&amp;PMtbl[Each]&amp;PMtbl[Packaging],0,),0),14),""),"")</f>
        <v/>
      </c>
      <c r="M558" s="480" t="str">
        <f>IF(L558="","",INDEX(SETUP!$E$20:$E$122,(MATCH(INDEX(PMsheet!$D:$E,MATCH(A558,PMsheet!E:E,0),1),SETUP!$D$20:$D$122,0))))</f>
        <v/>
      </c>
      <c r="N558" s="494">
        <f>IF($O558="USD",_xlfn.IFNA(VLOOKUP(A558&amp;E558&amp;I558,PMsheet!J:K,2,0),0),(_xlfn.IFNA(VLOOKUP(A558&amp;E558&amp;I558,PMsheet!J:K,2,0),0)*'Master Data-C19RM'!$C$2))</f>
        <v>0</v>
      </c>
      <c r="O558" s="495" t="str">
        <f>IF(L558="", "",SETUP!$E$7)</f>
        <v/>
      </c>
      <c r="P558" s="445">
        <f>IF($O558="USD",_xlfn.IFNA(VLOOKUP($A558&amp;$E558&amp;$I558,PMsheet!$J:$K,2,0),0),(_xlfn.IFNA(VLOOKUP($A558&amp;$E558&amp;$I558,PMsheet!$J:$K,2,0),0)*'Master Data-C19RM'!$C$2))</f>
        <v>0</v>
      </c>
      <c r="Q558" s="440"/>
      <c r="R558" s="440"/>
      <c r="S558" s="440"/>
      <c r="T558" s="440"/>
      <c r="U558" s="482">
        <f t="shared" si="74"/>
        <v>0</v>
      </c>
      <c r="V558" s="484">
        <f>IF(SETUP!$E$7="USD",(U558*(IF(O558="USD",P558,(P558/'Master Data-C19RM'!$C$2)))),(U558*(IF(O558="EUR",P558,(P558*'Master Data-C19RM'!$C$2)))))</f>
        <v>0</v>
      </c>
      <c r="W558" s="445">
        <f>IF($O558="USD",_xlfn.IFNA(VLOOKUP($A558&amp;$E558&amp;$I558,PMsheet!$J:$K,2,0),0),(_xlfn.IFNA(VLOOKUP($A558&amp;$E558&amp;$I558,PMsheet!$J:$K,2,0),0)*'Master Data-C19RM'!$D$2))</f>
        <v>0</v>
      </c>
      <c r="X558" s="440"/>
      <c r="Y558" s="440"/>
      <c r="Z558" s="440"/>
      <c r="AA558" s="440"/>
      <c r="AB558" s="482">
        <f t="shared" si="75"/>
        <v>0</v>
      </c>
      <c r="AC558" s="484">
        <f>IF(SETUP!$E$7="USD",(AB558*(IF(O558="USD",W558,(W558/'Master Data-C19RM'!$D$2)))),(AB558*(IF(O558="EUR",W558,(W558*'Master Data-C19RM'!$D$2)))))</f>
        <v>0</v>
      </c>
      <c r="AD558" s="445">
        <f>IF($O558="USD",_xlfn.IFNA(VLOOKUP($A558&amp;$E558&amp;$I558,PMsheet!$J:$K,2,0),0),(_xlfn.IFNA(VLOOKUP($A558&amp;$E558&amp;$I558,PMsheet!$J:$K,2,0),0)*'Master Data-C19RM'!$E$2))</f>
        <v>0</v>
      </c>
      <c r="AE558" s="440"/>
      <c r="AF558" s="440"/>
      <c r="AG558" s="440"/>
      <c r="AH558" s="440"/>
      <c r="AI558" s="514">
        <f t="shared" si="76"/>
        <v>0</v>
      </c>
      <c r="AJ558" s="515">
        <f>IF(SETUP!$E$7="USD",(AI558*(IF(O558="USD",AD558,(AD558/'Master Data-C19RM'!$E$2)))),(AI558*(IF(O558="EUR",AD558,(AD558*'Master Data-C19RM'!$E$2)))))</f>
        <v>0</v>
      </c>
      <c r="AK558" s="445">
        <f>IF($O558="USD",_xlfn.IFNA(VLOOKUP($A558&amp;$E558&amp;$I558,PMsheet!$J:$K,2,0),0),(_xlfn.IFNA(VLOOKUP($A558&amp;$E558&amp;$I558,PMsheet!$J:$K,2,0),0)*'Master Data-C19RM'!$F$2))</f>
        <v>0</v>
      </c>
      <c r="AL558" s="440"/>
      <c r="AM558" s="440"/>
      <c r="AN558" s="440"/>
      <c r="AO558" s="440"/>
      <c r="AP558" s="514">
        <f t="shared" si="77"/>
        <v>0</v>
      </c>
      <c r="AQ558" s="515">
        <f>IF(SETUP!$E$7="USD",(AP558*(IF(O558="USD",AK558,(AK558/'Master Data-C19RM'!$F$2)))),(AP558*(IF(O558="EUR",AK558,(AK558*'Master Data-C19RM'!$F$2)))))</f>
        <v>0</v>
      </c>
      <c r="AR558" s="925">
        <f>IF($O558="USD",_xlfn.IFNA(VLOOKUP($A558&amp;$E558&amp;$I558,PMsheet!$J:$K,2,0),0),(_xlfn.IFNA(VLOOKUP($A558&amp;$E558&amp;$I558,PMsheet!$J:$K,2,0),0)*'Master Data-C19RM'!$G$2))</f>
        <v>0</v>
      </c>
      <c r="AS558" s="926"/>
      <c r="AT558" s="926"/>
      <c r="AU558" s="926"/>
      <c r="AV558" s="926"/>
      <c r="AW558" s="514">
        <f t="shared" si="78"/>
        <v>0</v>
      </c>
      <c r="AX558" s="514">
        <f>IF(SETUP!$E$7="USD",(AW558*(IF(O558="USD",AR558,(AR558/'Master Data-C19RM'!$G$2)))),(AW558*(IF(O558="EUR",AR558,(AR558*'Master Data-C19RM'!$G$2)))))</f>
        <v>0</v>
      </c>
      <c r="AY558" s="845"/>
      <c r="AZ558" s="846"/>
      <c r="BA558" s="846"/>
      <c r="BB558" s="846"/>
      <c r="BC558" s="846"/>
      <c r="BD558" s="846"/>
      <c r="BE558" s="847"/>
      <c r="BF558" s="521">
        <f>'C19RM 2021-Lab &amp; Other HPS'!$U558+'C19RM 2021-Lab &amp; Other HPS'!$AB558+'C19RM 2021-Lab &amp; Other HPS'!$AP558+'C19RM 2021-Lab &amp; Other HPS'!$AI558+AW558+BD558</f>
        <v>0</v>
      </c>
      <c r="BG558" s="515">
        <f>'C19RM 2021-Lab &amp; Other HPS'!$V558+'C19RM 2021-Lab &amp; Other HPS'!$AC558+'C19RM 2021-Lab &amp; Other HPS'!$AQ558+'C19RM 2021-Lab &amp; Other HPS'!$AJ558+AX558+BE558</f>
        <v>0</v>
      </c>
      <c r="BH558" s="522" t="str" cm="1">
        <f t="array" ref="BH558">IF(A558&lt;&gt;"",IFERROR(INDEX(PMtbl[[WKst]:[Unit of measure*]],MATCH($A$544&amp;$A558&amp;$E558&amp;$I558,INDEX(PMtbl[Sec]&amp;PMtbl[Category]&amp;PMtbl[Each]&amp;PMtbl[Packaging],0,),0),11),""),"")</f>
        <v/>
      </c>
      <c r="BI558" s="818"/>
      <c r="BJ558" s="503" t="str" cm="1">
        <f t="array" ref="BJ558">IFERROR(INDEX(SETUP!$C$19:$G$121,MATCH((INDEX(PMtbl[[WKst]:[Unit of measure*]],MATCH($A558&amp;$E558&amp;$I558,INDEX(PMtbl[Category]&amp;PMtbl[Each]&amp;PMtbl[Packaging],0,),0),3)),SETUP!$D$19:$D$121,0),5),"")</f>
        <v/>
      </c>
      <c r="BK558" s="543" t="str" cm="1">
        <f t="array" ref="BK558">IFERROR(IF((INDEX(SETUP!$C$19:$G$121,MATCH((INDEX(PMtbl[[WKst]:[Unit of measure*]],MATCH($A558&amp;$E558&amp;$I558,INDEX(PMtbl[Category]&amp;PMtbl[Each]&amp;PMtbl[Packaging],0,),0),3)),SETUP!$D$19:$D$121,0),4))="Upfront",0,INDEX(SETUP!$C$19:$G$121,MATCH((INDEX(PMtbl[[WKst]:[Unit of measure*]],MATCH($A558&amp;$E558&amp;$I558,INDEX(PMtbl[Category]&amp;PMtbl[Each]&amp;PMtbl[Packaging],0,),0),3)),SETUP!$D$19:$D$121,0),5)),"")</f>
        <v/>
      </c>
      <c r="BL558" s="201" t="str" cm="1">
        <f t="array" ref="BL558">IF(E558&lt;&gt;"",IFERROR(INDEX(PMtbl[[WKst]:[Unit of measure*]],MATCH($A$544&amp;$A558&amp;$E558&amp;$I558,INDEX(PMtbl[Sec]&amp;PMtbl[Category]&amp;PMtbl[Each]&amp;PMtbl[Packaging],0,),0),11),""),"")</f>
        <v/>
      </c>
      <c r="BO558" s="12">
        <f>IF(N558="",0,IF(SETUP!$E$7="USD",((IF(O558="USD",P558,(P558/'Master Data-C19RM'!$C$2)))),((IF(O558="EUR",P558,(P558*'Master Data-C19RM'!$C$2))))))</f>
        <v>0</v>
      </c>
      <c r="BP558" s="12">
        <f>IF(N558="",0,IF(SETUP!$E$7="USD",((IF(O558="USD",W558,(W558/'Master Data-C19RM'!$D$2)))),((IF(O558="EUR",W558,(W558*'Master Data-C19RM'!$D$2))))))</f>
        <v>0</v>
      </c>
      <c r="BQ558">
        <f>IF(N558="",0,IF(SETUP!$E$7="USD",((IF(O558="USD",AD558,(AD558/'Master Data-C19RM'!$E$2)))),((IF(O558="EUR",AD558,(AD558*'Master Data-C19RM'!$E$2))))))</f>
        <v>0</v>
      </c>
      <c r="BR558">
        <f>IF(N558="",0,IF(SETUP!$E$7="USD",((IF(O558="USD",AK558,(AK558/'Master Data-C19RM'!$F$2)))),((IF(O558="EUR",AK558,(AK558*'Master Data-C19RM'!$F$2))))))</f>
        <v>0</v>
      </c>
      <c r="BS558">
        <f>IF(N558="",0,IF(SETUP!$E$7="USD",((IF(O558="USD",AR558,(AR558/'Master Data-C19RM'!$G$2)))),((IF(O558="EUR",AR558,(AR558*'Master Data-C19RM'!$G$2))))))</f>
        <v>0</v>
      </c>
      <c r="BT558">
        <f>IF(N558="",0,IF(SETUP!$E$7="USD",((IF(O558="USD",AY558,(AY558/'Master Data-C19RM'!$H$2)))),((IF(O558="EUR",AY558,(AY558*'Master Data-C19RM'!$H$2))))))</f>
        <v>0</v>
      </c>
      <c r="BU558" s="12">
        <f t="shared" si="72"/>
        <v>0</v>
      </c>
      <c r="BV558" s="142">
        <f t="shared" si="73"/>
        <v>0</v>
      </c>
    </row>
    <row r="559" spans="1:94" x14ac:dyDescent="0.35">
      <c r="A559" s="1165"/>
      <c r="B559" s="1165"/>
      <c r="C559" s="1165"/>
      <c r="D559" s="1165"/>
      <c r="E559" s="1166"/>
      <c r="F559" s="1166"/>
      <c r="G559" s="1166"/>
      <c r="H559" s="1166"/>
      <c r="I559" s="1166"/>
      <c r="J559" s="1166"/>
      <c r="K559" s="1166"/>
      <c r="L559" s="490" t="str" cm="1">
        <f t="array" ref="L559">IF(A559&lt;&gt;"",IFERROR(INDEX(PMtbl[[WKst]:[Unit of measure*]],MATCH($A$544&amp;$A559&amp;$E559&amp;$I559,INDEX(PMtbl[Sec]&amp;PMtbl[Category]&amp;PMtbl[Each]&amp;PMtbl[Packaging],0,),0),14),""),"")</f>
        <v/>
      </c>
      <c r="M559" s="479" t="str">
        <f>IF(L559="","",INDEX(SETUP!$E$20:$E$122,(MATCH(INDEX(PMsheet!$D:$E,MATCH(A559,PMsheet!E:E,0),1),SETUP!$D$20:$D$122,0))))</f>
        <v/>
      </c>
      <c r="N559" s="491">
        <f>IF($O559="USD",_xlfn.IFNA(VLOOKUP(A559&amp;E559&amp;I559,PMsheet!J:K,2,0),0),(_xlfn.IFNA(VLOOKUP(A559&amp;E559&amp;I559,PMsheet!J:K,2,0),0)*'Master Data-C19RM'!$C$2))</f>
        <v>0</v>
      </c>
      <c r="O559" s="492" t="str">
        <f>IF(L559="", "",SETUP!$E$7)</f>
        <v/>
      </c>
      <c r="P559" s="444">
        <f>IF($O559="USD",_xlfn.IFNA(VLOOKUP($A559&amp;$E559&amp;$I559,PMsheet!$J:$K,2,0),0),(_xlfn.IFNA(VLOOKUP($A559&amp;$E559&amp;$I559,PMsheet!$J:$K,2,0),0)*'Master Data-C19RM'!$C$2))</f>
        <v>0</v>
      </c>
      <c r="Q559" s="441"/>
      <c r="R559" s="441"/>
      <c r="S559" s="441"/>
      <c r="T559" s="441"/>
      <c r="U559" s="481">
        <f t="shared" si="74"/>
        <v>0</v>
      </c>
      <c r="V559" s="483">
        <f>IF(SETUP!$E$7="USD",(U559*(IF(O559="USD",P559,(P559/'Master Data-C19RM'!$C$2)))),(U559*(IF(O559="EUR",P559,(P559*'Master Data-C19RM'!$C$2)))))</f>
        <v>0</v>
      </c>
      <c r="W559" s="444">
        <f>IF($O559="USD",_xlfn.IFNA(VLOOKUP($A559&amp;$E559&amp;$I559,PMsheet!$J:$K,2,0),0),(_xlfn.IFNA(VLOOKUP($A559&amp;$E559&amp;$I559,PMsheet!$J:$K,2,0),0)*'Master Data-C19RM'!$D$2))</f>
        <v>0</v>
      </c>
      <c r="X559" s="441"/>
      <c r="Y559" s="441"/>
      <c r="Z559" s="441"/>
      <c r="AA559" s="441"/>
      <c r="AB559" s="481">
        <f t="shared" si="75"/>
        <v>0</v>
      </c>
      <c r="AC559" s="483">
        <f>IF(SETUP!$E$7="USD",(AB559*(IF(O559="USD",W559,(W559/'Master Data-C19RM'!$D$2)))),(AB559*(IF(O559="EUR",W559,(W559*'Master Data-C19RM'!$D$2)))))</f>
        <v>0</v>
      </c>
      <c r="AD559" s="444">
        <f>IF($O559="USD",_xlfn.IFNA(VLOOKUP($A559&amp;$E559&amp;$I559,PMsheet!$J:$K,2,0),0),(_xlfn.IFNA(VLOOKUP($A559&amp;$E559&amp;$I559,PMsheet!$J:$K,2,0),0)*'Master Data-C19RM'!$E$2))</f>
        <v>0</v>
      </c>
      <c r="AE559" s="441"/>
      <c r="AF559" s="441"/>
      <c r="AG559" s="441"/>
      <c r="AH559" s="441"/>
      <c r="AI559" s="512">
        <f t="shared" si="76"/>
        <v>0</v>
      </c>
      <c r="AJ559" s="513">
        <f>IF(SETUP!$E$7="USD",(AI559*(IF(O559="USD",AD559,(AD559/'Master Data-C19RM'!$E$2)))),(AI559*(IF(O559="EUR",AD559,(AD559*'Master Data-C19RM'!$E$2)))))</f>
        <v>0</v>
      </c>
      <c r="AK559" s="444">
        <f>IF($O559="USD",_xlfn.IFNA(VLOOKUP($A559&amp;$E559&amp;$I559,PMsheet!$J:$K,2,0),0),(_xlfn.IFNA(VLOOKUP($A559&amp;$E559&amp;$I559,PMsheet!$J:$K,2,0),0)*'Master Data-C19RM'!$F$2))</f>
        <v>0</v>
      </c>
      <c r="AL559" s="441"/>
      <c r="AM559" s="441"/>
      <c r="AN559" s="441"/>
      <c r="AO559" s="441"/>
      <c r="AP559" s="512">
        <f t="shared" si="77"/>
        <v>0</v>
      </c>
      <c r="AQ559" s="513">
        <f>IF(SETUP!$E$7="USD",(AP559*(IF(O559="USD",AK559,(AK559/'Master Data-C19RM'!$F$2)))),(AP559*(IF(O559="EUR",AK559,(AK559*'Master Data-C19RM'!$F$2)))))</f>
        <v>0</v>
      </c>
      <c r="AR559" s="924">
        <f>IF($O559="USD",_xlfn.IFNA(VLOOKUP($A559&amp;$E559&amp;$I559,PMsheet!$J:$K,2,0),0),(_xlfn.IFNA(VLOOKUP($A559&amp;$E559&amp;$I559,PMsheet!$J:$K,2,0),0)*'Master Data-C19RM'!$G$2))</f>
        <v>0</v>
      </c>
      <c r="AS559" s="572"/>
      <c r="AT559" s="572"/>
      <c r="AU559" s="572"/>
      <c r="AV559" s="572"/>
      <c r="AW559" s="512">
        <f t="shared" si="78"/>
        <v>0</v>
      </c>
      <c r="AX559" s="512">
        <f>IF(SETUP!$E$7="USD",(AW559*(IF(O559="USD",AR559,(AR559/'Master Data-C19RM'!$G$2)))),(AW559*(IF(O559="EUR",AR559,(AR559*'Master Data-C19RM'!$G$2)))))</f>
        <v>0</v>
      </c>
      <c r="AY559" s="845"/>
      <c r="AZ559" s="846"/>
      <c r="BA559" s="846"/>
      <c r="BB559" s="846"/>
      <c r="BC559" s="846"/>
      <c r="BD559" s="846"/>
      <c r="BE559" s="847"/>
      <c r="BF559" s="520">
        <f>'C19RM 2021-Lab &amp; Other HPS'!$U559+'C19RM 2021-Lab &amp; Other HPS'!$AB559+'C19RM 2021-Lab &amp; Other HPS'!$AP559+'C19RM 2021-Lab &amp; Other HPS'!$AI559+AW559+BD559</f>
        <v>0</v>
      </c>
      <c r="BG559" s="513">
        <f>'C19RM 2021-Lab &amp; Other HPS'!$V559+'C19RM 2021-Lab &amp; Other HPS'!$AC559+'C19RM 2021-Lab &amp; Other HPS'!$AQ559+'C19RM 2021-Lab &amp; Other HPS'!$AJ559+AX559+BE559</f>
        <v>0</v>
      </c>
      <c r="BH559" s="500" t="str" cm="1">
        <f t="array" ref="BH559">IF(A559&lt;&gt;"",IFERROR(INDEX(PMtbl[[WKst]:[Unit of measure*]],MATCH($A$544&amp;$A559&amp;$E559&amp;$I559,INDEX(PMtbl[Sec]&amp;PMtbl[Category]&amp;PMtbl[Each]&amp;PMtbl[Packaging],0,),0),11),""),"")</f>
        <v/>
      </c>
      <c r="BI559" s="819"/>
      <c r="BJ559" s="502" t="str" cm="1">
        <f t="array" ref="BJ559">IFERROR(INDEX(SETUP!$C$19:$G$121,MATCH((INDEX(PMtbl[[WKst]:[Unit of measure*]],MATCH($A559&amp;$E559&amp;$I559,INDEX(PMtbl[Category]&amp;PMtbl[Each]&amp;PMtbl[Packaging],0,),0),3)),SETUP!$D$19:$D$121,0),5),"")</f>
        <v/>
      </c>
      <c r="BK559" s="542" t="str" cm="1">
        <f t="array" ref="BK559">IFERROR(IF((INDEX(SETUP!$C$19:$G$121,MATCH((INDEX(PMtbl[[WKst]:[Unit of measure*]],MATCH($A559&amp;$E559&amp;$I559,INDEX(PMtbl[Category]&amp;PMtbl[Each]&amp;PMtbl[Packaging],0,),0),3)),SETUP!$D$19:$D$121,0),4))="Upfront",0,INDEX(SETUP!$C$19:$G$121,MATCH((INDEX(PMtbl[[WKst]:[Unit of measure*]],MATCH($A559&amp;$E559&amp;$I559,INDEX(PMtbl[Category]&amp;PMtbl[Each]&amp;PMtbl[Packaging],0,),0),3)),SETUP!$D$19:$D$121,0),5)),"")</f>
        <v/>
      </c>
      <c r="BL559" s="200" t="str" cm="1">
        <f t="array" ref="BL559">IF(E559&lt;&gt;"",IFERROR(INDEX(PMtbl[[WKst]:[Unit of measure*]],MATCH($A$544&amp;$A559&amp;$E559&amp;$I559,INDEX(PMtbl[Sec]&amp;PMtbl[Category]&amp;PMtbl[Each]&amp;PMtbl[Packaging],0,),0),11),""),"")</f>
        <v/>
      </c>
      <c r="BO559" s="12">
        <f>IF(N559="",0,IF(SETUP!$E$7="USD",((IF(O559="USD",P559,(P559/'Master Data-C19RM'!$C$2)))),((IF(O559="EUR",P559,(P559*'Master Data-C19RM'!$C$2))))))</f>
        <v>0</v>
      </c>
      <c r="BP559" s="12">
        <f>IF(N559="",0,IF(SETUP!$E$7="USD",((IF(O559="USD",W559,(W559/'Master Data-C19RM'!$D$2)))),((IF(O559="EUR",W559,(W559*'Master Data-C19RM'!$D$2))))))</f>
        <v>0</v>
      </c>
      <c r="BQ559">
        <f>IF(N559="",0,IF(SETUP!$E$7="USD",((IF(O559="USD",AD559,(AD559/'Master Data-C19RM'!$E$2)))),((IF(O559="EUR",AD559,(AD559*'Master Data-C19RM'!$E$2))))))</f>
        <v>0</v>
      </c>
      <c r="BR559">
        <f>IF(N559="",0,IF(SETUP!$E$7="USD",((IF(O559="USD",AK559,(AK559/'Master Data-C19RM'!$F$2)))),((IF(O559="EUR",AK559,(AK559*'Master Data-C19RM'!$F$2))))))</f>
        <v>0</v>
      </c>
      <c r="BS559">
        <f>IF(N559="",0,IF(SETUP!$E$7="USD",((IF(O559="USD",AR559,(AR559/'Master Data-C19RM'!$G$2)))),((IF(O559="EUR",AR559,(AR559*'Master Data-C19RM'!$G$2))))))</f>
        <v>0</v>
      </c>
      <c r="BT559">
        <f>IF(N559="",0,IF(SETUP!$E$7="USD",((IF(O559="USD",AY559,(AY559/'Master Data-C19RM'!$H$2)))),((IF(O559="EUR",AY559,(AY559*'Master Data-C19RM'!$H$2))))))</f>
        <v>0</v>
      </c>
      <c r="BU559" s="12">
        <f t="shared" si="72"/>
        <v>0</v>
      </c>
      <c r="BV559" s="142">
        <f t="shared" si="73"/>
        <v>0</v>
      </c>
    </row>
    <row r="560" spans="1:94" x14ac:dyDescent="0.35">
      <c r="A560" s="1192"/>
      <c r="B560" s="1192"/>
      <c r="C560" s="1192"/>
      <c r="D560" s="1192"/>
      <c r="E560" s="1173"/>
      <c r="F560" s="1173"/>
      <c r="G560" s="1173"/>
      <c r="H560" s="1173"/>
      <c r="I560" s="1173"/>
      <c r="J560" s="1173"/>
      <c r="K560" s="1173"/>
      <c r="L560" s="493" t="str" cm="1">
        <f t="array" ref="L560">IF(A560&lt;&gt;"",IFERROR(INDEX(PMtbl[[WKst]:[Unit of measure*]],MATCH($A$544&amp;$A560&amp;$E560&amp;$I560,INDEX(PMtbl[Sec]&amp;PMtbl[Category]&amp;PMtbl[Each]&amp;PMtbl[Packaging],0,),0),14),""),"")</f>
        <v/>
      </c>
      <c r="M560" s="480" t="str">
        <f>IF(L560="","",INDEX(SETUP!$E$20:$E$122,(MATCH(INDEX(PMsheet!$D:$E,MATCH(A560,PMsheet!E:E,0),1),SETUP!$D$20:$D$122,0))))</f>
        <v/>
      </c>
      <c r="N560" s="494">
        <f>IF($O560="USD",_xlfn.IFNA(VLOOKUP(A560&amp;E560&amp;I560,PMsheet!J:K,2,0),0),(_xlfn.IFNA(VLOOKUP(A560&amp;E560&amp;I560,PMsheet!J:K,2,0),0)*'Master Data-C19RM'!$C$2))</f>
        <v>0</v>
      </c>
      <c r="O560" s="495" t="str">
        <f>IF(L560="", "",SETUP!$E$7)</f>
        <v/>
      </c>
      <c r="P560" s="445">
        <f>IF($O560="USD",_xlfn.IFNA(VLOOKUP($A560&amp;$E560&amp;$I560,PMsheet!$J:$K,2,0),0),(_xlfn.IFNA(VLOOKUP($A560&amp;$E560&amp;$I560,PMsheet!$J:$K,2,0),0)*'Master Data-C19RM'!$C$2))</f>
        <v>0</v>
      </c>
      <c r="Q560" s="440"/>
      <c r="R560" s="440"/>
      <c r="S560" s="440"/>
      <c r="T560" s="440"/>
      <c r="U560" s="482">
        <f t="shared" si="74"/>
        <v>0</v>
      </c>
      <c r="V560" s="484">
        <f>IF(SETUP!$E$7="USD",(U560*(IF(O560="USD",P560,(P560/'Master Data-C19RM'!$C$2)))),(U560*(IF(O560="EUR",P560,(P560*'Master Data-C19RM'!$C$2)))))</f>
        <v>0</v>
      </c>
      <c r="W560" s="445">
        <f>IF($O560="USD",_xlfn.IFNA(VLOOKUP($A560&amp;$E560&amp;$I560,PMsheet!$J:$K,2,0),0),(_xlfn.IFNA(VLOOKUP($A560&amp;$E560&amp;$I560,PMsheet!$J:$K,2,0),0)*'Master Data-C19RM'!$D$2))</f>
        <v>0</v>
      </c>
      <c r="X560" s="440"/>
      <c r="Y560" s="440"/>
      <c r="Z560" s="440"/>
      <c r="AA560" s="440"/>
      <c r="AB560" s="482">
        <f t="shared" si="75"/>
        <v>0</v>
      </c>
      <c r="AC560" s="484">
        <f>IF(SETUP!$E$7="USD",(AB560*(IF(O560="USD",W560,(W560/'Master Data-C19RM'!$D$2)))),(AB560*(IF(O560="EUR",W560,(W560*'Master Data-C19RM'!$D$2)))))</f>
        <v>0</v>
      </c>
      <c r="AD560" s="445">
        <f>IF($O560="USD",_xlfn.IFNA(VLOOKUP($A560&amp;$E560&amp;$I560,PMsheet!$J:$K,2,0),0),(_xlfn.IFNA(VLOOKUP($A560&amp;$E560&amp;$I560,PMsheet!$J:$K,2,0),0)*'Master Data-C19RM'!$E$2))</f>
        <v>0</v>
      </c>
      <c r="AE560" s="440"/>
      <c r="AF560" s="440"/>
      <c r="AG560" s="440"/>
      <c r="AH560" s="440"/>
      <c r="AI560" s="514">
        <f t="shared" si="76"/>
        <v>0</v>
      </c>
      <c r="AJ560" s="515">
        <f>IF(SETUP!$E$7="USD",(AI560*(IF(O560="USD",AD560,(AD560/'Master Data-C19RM'!$E$2)))),(AI560*(IF(O560="EUR",AD560,(AD560*'Master Data-C19RM'!$E$2)))))</f>
        <v>0</v>
      </c>
      <c r="AK560" s="445">
        <f>IF($O560="USD",_xlfn.IFNA(VLOOKUP($A560&amp;$E560&amp;$I560,PMsheet!$J:$K,2,0),0),(_xlfn.IFNA(VLOOKUP($A560&amp;$E560&amp;$I560,PMsheet!$J:$K,2,0),0)*'Master Data-C19RM'!$F$2))</f>
        <v>0</v>
      </c>
      <c r="AL560" s="440"/>
      <c r="AM560" s="440"/>
      <c r="AN560" s="440"/>
      <c r="AO560" s="440"/>
      <c r="AP560" s="514">
        <f t="shared" si="77"/>
        <v>0</v>
      </c>
      <c r="AQ560" s="515">
        <f>IF(SETUP!$E$7="USD",(AP560*(IF(O560="USD",AK560,(AK560/'Master Data-C19RM'!$F$2)))),(AP560*(IF(O560="EUR",AK560,(AK560*'Master Data-C19RM'!$F$2)))))</f>
        <v>0</v>
      </c>
      <c r="AR560" s="925">
        <f>IF($O560="USD",_xlfn.IFNA(VLOOKUP($A560&amp;$E560&amp;$I560,PMsheet!$J:$K,2,0),0),(_xlfn.IFNA(VLOOKUP($A560&amp;$E560&amp;$I560,PMsheet!$J:$K,2,0),0)*'Master Data-C19RM'!$G$2))</f>
        <v>0</v>
      </c>
      <c r="AS560" s="926"/>
      <c r="AT560" s="926"/>
      <c r="AU560" s="926"/>
      <c r="AV560" s="926"/>
      <c r="AW560" s="514">
        <f t="shared" si="78"/>
        <v>0</v>
      </c>
      <c r="AX560" s="514">
        <f>IF(SETUP!$E$7="USD",(AW560*(IF(O560="USD",AR560,(AR560/'Master Data-C19RM'!$G$2)))),(AW560*(IF(O560="EUR",AR560,(AR560*'Master Data-C19RM'!$G$2)))))</f>
        <v>0</v>
      </c>
      <c r="AY560" s="845"/>
      <c r="AZ560" s="846"/>
      <c r="BA560" s="846"/>
      <c r="BB560" s="846"/>
      <c r="BC560" s="846"/>
      <c r="BD560" s="846"/>
      <c r="BE560" s="847"/>
      <c r="BF560" s="521">
        <f>'C19RM 2021-Lab &amp; Other HPS'!$U560+'C19RM 2021-Lab &amp; Other HPS'!$AB560+'C19RM 2021-Lab &amp; Other HPS'!$AP560+'C19RM 2021-Lab &amp; Other HPS'!$AI560+AW560+BD560</f>
        <v>0</v>
      </c>
      <c r="BG560" s="515">
        <f>'C19RM 2021-Lab &amp; Other HPS'!$V560+'C19RM 2021-Lab &amp; Other HPS'!$AC560+'C19RM 2021-Lab &amp; Other HPS'!$AQ560+'C19RM 2021-Lab &amp; Other HPS'!$AJ560+AX560+BE560</f>
        <v>0</v>
      </c>
      <c r="BH560" s="522" t="str" cm="1">
        <f t="array" ref="BH560">IF(A560&lt;&gt;"",IFERROR(INDEX(PMtbl[[WKst]:[Unit of measure*]],MATCH($A$544&amp;$A560&amp;$E560&amp;$I560,INDEX(PMtbl[Sec]&amp;PMtbl[Category]&amp;PMtbl[Each]&amp;PMtbl[Packaging],0,),0),11),""),"")</f>
        <v/>
      </c>
      <c r="BI560" s="818"/>
      <c r="BJ560" s="503" t="str" cm="1">
        <f t="array" ref="BJ560">IFERROR(INDEX(SETUP!$C$19:$G$121,MATCH((INDEX(PMtbl[[WKst]:[Unit of measure*]],MATCH($A560&amp;$E560&amp;$I560,INDEX(PMtbl[Category]&amp;PMtbl[Each]&amp;PMtbl[Packaging],0,),0),3)),SETUP!$D$19:$D$121,0),5),"")</f>
        <v/>
      </c>
      <c r="BK560" s="543" t="str" cm="1">
        <f t="array" ref="BK560">IFERROR(IF((INDEX(SETUP!$C$19:$G$121,MATCH((INDEX(PMtbl[[WKst]:[Unit of measure*]],MATCH($A560&amp;$E560&amp;$I560,INDEX(PMtbl[Category]&amp;PMtbl[Each]&amp;PMtbl[Packaging],0,),0),3)),SETUP!$D$19:$D$121,0),4))="Upfront",0,INDEX(SETUP!$C$19:$G$121,MATCH((INDEX(PMtbl[[WKst]:[Unit of measure*]],MATCH($A560&amp;$E560&amp;$I560,INDEX(PMtbl[Category]&amp;PMtbl[Each]&amp;PMtbl[Packaging],0,),0),3)),SETUP!$D$19:$D$121,0),5)),"")</f>
        <v/>
      </c>
      <c r="BL560" s="201" t="str" cm="1">
        <f t="array" ref="BL560">IF(E560&lt;&gt;"",IFERROR(INDEX(PMtbl[[WKst]:[Unit of measure*]],MATCH($A$544&amp;$A560&amp;$E560&amp;$I560,INDEX(PMtbl[Sec]&amp;PMtbl[Category]&amp;PMtbl[Each]&amp;PMtbl[Packaging],0,),0),11),""),"")</f>
        <v/>
      </c>
      <c r="BO560" s="12">
        <f>IF(N560="",0,IF(SETUP!$E$7="USD",((IF(O560="USD",P560,(P560/'Master Data-C19RM'!$C$2)))),((IF(O560="EUR",P560,(P560*'Master Data-C19RM'!$C$2))))))</f>
        <v>0</v>
      </c>
      <c r="BP560" s="12">
        <f>IF(N560="",0,IF(SETUP!$E$7="USD",((IF(O560="USD",W560,(W560/'Master Data-C19RM'!$D$2)))),((IF(O560="EUR",W560,(W560*'Master Data-C19RM'!$D$2))))))</f>
        <v>0</v>
      </c>
      <c r="BQ560">
        <f>IF(N560="",0,IF(SETUP!$E$7="USD",((IF(O560="USD",AD560,(AD560/'Master Data-C19RM'!$E$2)))),((IF(O560="EUR",AD560,(AD560*'Master Data-C19RM'!$E$2))))))</f>
        <v>0</v>
      </c>
      <c r="BR560">
        <f>IF(N560="",0,IF(SETUP!$E$7="USD",((IF(O560="USD",AK560,(AK560/'Master Data-C19RM'!$F$2)))),((IF(O560="EUR",AK560,(AK560*'Master Data-C19RM'!$F$2))))))</f>
        <v>0</v>
      </c>
      <c r="BS560">
        <f>IF(N560="",0,IF(SETUP!$E$7="USD",((IF(O560="USD",AR560,(AR560/'Master Data-C19RM'!$G$2)))),((IF(O560="EUR",AR560,(AR560*'Master Data-C19RM'!$G$2))))))</f>
        <v>0</v>
      </c>
      <c r="BT560">
        <f>IF(N560="",0,IF(SETUP!$E$7="USD",((IF(O560="USD",AY560,(AY560/'Master Data-C19RM'!$H$2)))),((IF(O560="EUR",AY560,(AY560*'Master Data-C19RM'!$H$2))))))</f>
        <v>0</v>
      </c>
      <c r="BU560" s="12">
        <f t="shared" si="72"/>
        <v>0</v>
      </c>
      <c r="BV560" s="142">
        <f t="shared" si="73"/>
        <v>0</v>
      </c>
    </row>
    <row r="561" spans="1:74" x14ac:dyDescent="0.35">
      <c r="A561" s="1165"/>
      <c r="B561" s="1165"/>
      <c r="C561" s="1165"/>
      <c r="D561" s="1165"/>
      <c r="E561" s="1166"/>
      <c r="F561" s="1166"/>
      <c r="G561" s="1166"/>
      <c r="H561" s="1166"/>
      <c r="I561" s="1166"/>
      <c r="J561" s="1166"/>
      <c r="K561" s="1166"/>
      <c r="L561" s="490" t="str" cm="1">
        <f t="array" ref="L561">IF(A561&lt;&gt;"",IFERROR(INDEX(PMtbl[[WKst]:[Unit of measure*]],MATCH($A$544&amp;$A561&amp;$E561&amp;$I561,INDEX(PMtbl[Sec]&amp;PMtbl[Category]&amp;PMtbl[Each]&amp;PMtbl[Packaging],0,),0),14),""),"")</f>
        <v/>
      </c>
      <c r="M561" s="479" t="str">
        <f>IF(L561="","",INDEX(SETUP!$E$20:$E$122,(MATCH(INDEX(PMsheet!$D:$E,MATCH(A561,PMsheet!E:E,0),1),SETUP!$D$20:$D$122,0))))</f>
        <v/>
      </c>
      <c r="N561" s="491">
        <f>IF($O561="USD",_xlfn.IFNA(VLOOKUP(A561&amp;E561&amp;I561,PMsheet!J:K,2,0),0),(_xlfn.IFNA(VLOOKUP(A561&amp;E561&amp;I561,PMsheet!J:K,2,0),0)*'Master Data-C19RM'!$C$2))</f>
        <v>0</v>
      </c>
      <c r="O561" s="492" t="str">
        <f>IF(L561="", "",SETUP!$E$7)</f>
        <v/>
      </c>
      <c r="P561" s="444">
        <f>IF($O561="USD",_xlfn.IFNA(VLOOKUP($A561&amp;$E561&amp;$I561,PMsheet!$J:$K,2,0),0),(_xlfn.IFNA(VLOOKUP($A561&amp;$E561&amp;$I561,PMsheet!$J:$K,2,0),0)*'Master Data-C19RM'!$C$2))</f>
        <v>0</v>
      </c>
      <c r="Q561" s="441"/>
      <c r="R561" s="441"/>
      <c r="S561" s="441"/>
      <c r="T561" s="441"/>
      <c r="U561" s="481">
        <f t="shared" si="74"/>
        <v>0</v>
      </c>
      <c r="V561" s="483">
        <f>IF(SETUP!$E$7="USD",(U561*(IF(O561="USD",P561,(P561/'Master Data-C19RM'!$C$2)))),(U561*(IF(O561="EUR",P561,(P561*'Master Data-C19RM'!$C$2)))))</f>
        <v>0</v>
      </c>
      <c r="W561" s="444">
        <f>IF($O561="USD",_xlfn.IFNA(VLOOKUP($A561&amp;$E561&amp;$I561,PMsheet!$J:$K,2,0),0),(_xlfn.IFNA(VLOOKUP($A561&amp;$E561&amp;$I561,PMsheet!$J:$K,2,0),0)*'Master Data-C19RM'!$D$2))</f>
        <v>0</v>
      </c>
      <c r="X561" s="441"/>
      <c r="Y561" s="441"/>
      <c r="Z561" s="441"/>
      <c r="AA561" s="441"/>
      <c r="AB561" s="481">
        <f t="shared" si="75"/>
        <v>0</v>
      </c>
      <c r="AC561" s="483">
        <f>IF(SETUP!$E$7="USD",(AB561*(IF(O561="USD",W561,(W561/'Master Data-C19RM'!$D$2)))),(AB561*(IF(O561="EUR",W561,(W561*'Master Data-C19RM'!$D$2)))))</f>
        <v>0</v>
      </c>
      <c r="AD561" s="444">
        <f>IF($O561="USD",_xlfn.IFNA(VLOOKUP($A561&amp;$E561&amp;$I561,PMsheet!$J:$K,2,0),0),(_xlfn.IFNA(VLOOKUP($A561&amp;$E561&amp;$I561,PMsheet!$J:$K,2,0),0)*'Master Data-C19RM'!$E$2))</f>
        <v>0</v>
      </c>
      <c r="AE561" s="441"/>
      <c r="AF561" s="441"/>
      <c r="AG561" s="441"/>
      <c r="AH561" s="441"/>
      <c r="AI561" s="512">
        <f t="shared" si="76"/>
        <v>0</v>
      </c>
      <c r="AJ561" s="513">
        <f>IF(SETUP!$E$7="USD",(AI561*(IF(O561="USD",AD561,(AD561/'Master Data-C19RM'!$E$2)))),(AI561*(IF(O561="EUR",AD561,(AD561*'Master Data-C19RM'!$E$2)))))</f>
        <v>0</v>
      </c>
      <c r="AK561" s="444">
        <f>IF($O561="USD",_xlfn.IFNA(VLOOKUP($A561&amp;$E561&amp;$I561,PMsheet!$J:$K,2,0),0),(_xlfn.IFNA(VLOOKUP($A561&amp;$E561&amp;$I561,PMsheet!$J:$K,2,0),0)*'Master Data-C19RM'!$F$2))</f>
        <v>0</v>
      </c>
      <c r="AL561" s="441"/>
      <c r="AM561" s="441"/>
      <c r="AN561" s="441"/>
      <c r="AO561" s="441"/>
      <c r="AP561" s="512">
        <f t="shared" si="77"/>
        <v>0</v>
      </c>
      <c r="AQ561" s="513">
        <f>IF(SETUP!$E$7="USD",(AP561*(IF(O561="USD",AK561,(AK561/'Master Data-C19RM'!$F$2)))),(AP561*(IF(O561="EUR",AK561,(AK561*'Master Data-C19RM'!$F$2)))))</f>
        <v>0</v>
      </c>
      <c r="AR561" s="924">
        <f>IF($O561="USD",_xlfn.IFNA(VLOOKUP($A561&amp;$E561&amp;$I561,PMsheet!$J:$K,2,0),0),(_xlfn.IFNA(VLOOKUP($A561&amp;$E561&amp;$I561,PMsheet!$J:$K,2,0),0)*'Master Data-C19RM'!$G$2))</f>
        <v>0</v>
      </c>
      <c r="AS561" s="572"/>
      <c r="AT561" s="572"/>
      <c r="AU561" s="572"/>
      <c r="AV561" s="572"/>
      <c r="AW561" s="512">
        <f t="shared" si="78"/>
        <v>0</v>
      </c>
      <c r="AX561" s="512">
        <f>IF(SETUP!$E$7="USD",(AW561*(IF(O561="USD",AR561,(AR561/'Master Data-C19RM'!$G$2)))),(AW561*(IF(O561="EUR",AR561,(AR561*'Master Data-C19RM'!$G$2)))))</f>
        <v>0</v>
      </c>
      <c r="AY561" s="845"/>
      <c r="AZ561" s="846"/>
      <c r="BA561" s="846"/>
      <c r="BB561" s="846"/>
      <c r="BC561" s="846"/>
      <c r="BD561" s="846"/>
      <c r="BE561" s="847"/>
      <c r="BF561" s="520">
        <f>'C19RM 2021-Lab &amp; Other HPS'!$U561+'C19RM 2021-Lab &amp; Other HPS'!$AB561+'C19RM 2021-Lab &amp; Other HPS'!$AP561+'C19RM 2021-Lab &amp; Other HPS'!$AI561+AW561+BD561</f>
        <v>0</v>
      </c>
      <c r="BG561" s="513">
        <f>'C19RM 2021-Lab &amp; Other HPS'!$V561+'C19RM 2021-Lab &amp; Other HPS'!$AC561+'C19RM 2021-Lab &amp; Other HPS'!$AQ561+'C19RM 2021-Lab &amp; Other HPS'!$AJ561+AX561+BE561</f>
        <v>0</v>
      </c>
      <c r="BH561" s="500" t="str" cm="1">
        <f t="array" ref="BH561">IF(A561&lt;&gt;"",IFERROR(INDEX(PMtbl[[WKst]:[Unit of measure*]],MATCH($A$544&amp;$A561&amp;$E561&amp;$I561,INDEX(PMtbl[Sec]&amp;PMtbl[Category]&amp;PMtbl[Each]&amp;PMtbl[Packaging],0,),0),11),""),"")</f>
        <v/>
      </c>
      <c r="BI561" s="819"/>
      <c r="BJ561" s="502" t="str" cm="1">
        <f t="array" ref="BJ561">IFERROR(INDEX(SETUP!$C$19:$G$121,MATCH((INDEX(PMtbl[[WKst]:[Unit of measure*]],MATCH($A561&amp;$E561&amp;$I561,INDEX(PMtbl[Category]&amp;PMtbl[Each]&amp;PMtbl[Packaging],0,),0),3)),SETUP!$D$19:$D$121,0),5),"")</f>
        <v/>
      </c>
      <c r="BK561" s="542" t="str" cm="1">
        <f t="array" ref="BK561">IFERROR(IF((INDEX(SETUP!$C$19:$G$121,MATCH((INDEX(PMtbl[[WKst]:[Unit of measure*]],MATCH($A561&amp;$E561&amp;$I561,INDEX(PMtbl[Category]&amp;PMtbl[Each]&amp;PMtbl[Packaging],0,),0),3)),SETUP!$D$19:$D$121,0),4))="Upfront",0,INDEX(SETUP!$C$19:$G$121,MATCH((INDEX(PMtbl[[WKst]:[Unit of measure*]],MATCH($A561&amp;$E561&amp;$I561,INDEX(PMtbl[Category]&amp;PMtbl[Each]&amp;PMtbl[Packaging],0,),0),3)),SETUP!$D$19:$D$121,0),5)),"")</f>
        <v/>
      </c>
      <c r="BL561" s="200" t="str" cm="1">
        <f t="array" ref="BL561">IF(E561&lt;&gt;"",IFERROR(INDEX(PMtbl[[WKst]:[Unit of measure*]],MATCH($A$544&amp;$A561&amp;$E561&amp;$I561,INDEX(PMtbl[Sec]&amp;PMtbl[Category]&amp;PMtbl[Each]&amp;PMtbl[Packaging],0,),0),11),""),"")</f>
        <v/>
      </c>
      <c r="BO561" s="12">
        <f>IF(N561="",0,IF(SETUP!$E$7="USD",((IF(O561="USD",P561,(P561/'Master Data-C19RM'!$C$2)))),((IF(O561="EUR",P561,(P561*'Master Data-C19RM'!$C$2))))))</f>
        <v>0</v>
      </c>
      <c r="BP561" s="12">
        <f>IF(N561="",0,IF(SETUP!$E$7="USD",((IF(O561="USD",W561,(W561/'Master Data-C19RM'!$D$2)))),((IF(O561="EUR",W561,(W561*'Master Data-C19RM'!$D$2))))))</f>
        <v>0</v>
      </c>
      <c r="BQ561">
        <f>IF(N561="",0,IF(SETUP!$E$7="USD",((IF(O561="USD",AD561,(AD561/'Master Data-C19RM'!$E$2)))),((IF(O561="EUR",AD561,(AD561*'Master Data-C19RM'!$E$2))))))</f>
        <v>0</v>
      </c>
      <c r="BR561">
        <f>IF(N561="",0,IF(SETUP!$E$7="USD",((IF(O561="USD",AK561,(AK561/'Master Data-C19RM'!$F$2)))),((IF(O561="EUR",AK561,(AK561*'Master Data-C19RM'!$F$2))))))</f>
        <v>0</v>
      </c>
      <c r="BS561">
        <f>IF(N561="",0,IF(SETUP!$E$7="USD",((IF(O561="USD",AR561,(AR561/'Master Data-C19RM'!$G$2)))),((IF(O561="EUR",AR561,(AR561*'Master Data-C19RM'!$G$2))))))</f>
        <v>0</v>
      </c>
      <c r="BT561">
        <f>IF(N561="",0,IF(SETUP!$E$7="USD",((IF(O561="USD",AY561,(AY561/'Master Data-C19RM'!$H$2)))),((IF(O561="EUR",AY561,(AY561*'Master Data-C19RM'!$H$2))))))</f>
        <v>0</v>
      </c>
      <c r="BU561" s="12">
        <f t="shared" si="72"/>
        <v>0</v>
      </c>
      <c r="BV561" s="142">
        <f t="shared" si="73"/>
        <v>0</v>
      </c>
    </row>
    <row r="562" spans="1:74" x14ac:dyDescent="0.35">
      <c r="A562" s="1192"/>
      <c r="B562" s="1192"/>
      <c r="C562" s="1192"/>
      <c r="D562" s="1192"/>
      <c r="E562" s="1173"/>
      <c r="F562" s="1173"/>
      <c r="G562" s="1173"/>
      <c r="H562" s="1173"/>
      <c r="I562" s="1173"/>
      <c r="J562" s="1173"/>
      <c r="K562" s="1173"/>
      <c r="L562" s="493" t="str" cm="1">
        <f t="array" ref="L562">IF(A562&lt;&gt;"",IFERROR(INDEX(PMtbl[[WKst]:[Unit of measure*]],MATCH($A$544&amp;$A562&amp;$E562&amp;$I562,INDEX(PMtbl[Sec]&amp;PMtbl[Category]&amp;PMtbl[Each]&amp;PMtbl[Packaging],0,),0),14),""),"")</f>
        <v/>
      </c>
      <c r="M562" s="480" t="str">
        <f>IF(L562="","",INDEX(SETUP!$E$20:$E$122,(MATCH(INDEX(PMsheet!$D:$E,MATCH(A562,PMsheet!E:E,0),1),SETUP!$D$20:$D$122,0))))</f>
        <v/>
      </c>
      <c r="N562" s="494">
        <f>IF($O562="USD",_xlfn.IFNA(VLOOKUP(A562&amp;E562&amp;I562,PMsheet!J:K,2,0),0),(_xlfn.IFNA(VLOOKUP(A562&amp;E562&amp;I562,PMsheet!J:K,2,0),0)*'Master Data-C19RM'!$C$2))</f>
        <v>0</v>
      </c>
      <c r="O562" s="495" t="str">
        <f>IF(L562="", "",SETUP!$E$7)</f>
        <v/>
      </c>
      <c r="P562" s="445">
        <f>IF($O562="USD",_xlfn.IFNA(VLOOKUP($A562&amp;$E562&amp;$I562,PMsheet!$J:$K,2,0),0),(_xlfn.IFNA(VLOOKUP($A562&amp;$E562&amp;$I562,PMsheet!$J:$K,2,0),0)*'Master Data-C19RM'!$C$2))</f>
        <v>0</v>
      </c>
      <c r="Q562" s="440"/>
      <c r="R562" s="440"/>
      <c r="S562" s="440"/>
      <c r="T562" s="440"/>
      <c r="U562" s="482">
        <f t="shared" si="74"/>
        <v>0</v>
      </c>
      <c r="V562" s="484">
        <f>IF(SETUP!$E$7="USD",(U562*(IF(O562="USD",P562,(P562/'Master Data-C19RM'!$C$2)))),(U562*(IF(O562="EUR",P562,(P562*'Master Data-C19RM'!$C$2)))))</f>
        <v>0</v>
      </c>
      <c r="W562" s="445">
        <f>IF($O562="USD",_xlfn.IFNA(VLOOKUP($A562&amp;$E562&amp;$I562,PMsheet!$J:$K,2,0),0),(_xlfn.IFNA(VLOOKUP($A562&amp;$E562&amp;$I562,PMsheet!$J:$K,2,0),0)*'Master Data-C19RM'!$D$2))</f>
        <v>0</v>
      </c>
      <c r="X562" s="440"/>
      <c r="Y562" s="440"/>
      <c r="Z562" s="440"/>
      <c r="AA562" s="440"/>
      <c r="AB562" s="482">
        <f t="shared" si="75"/>
        <v>0</v>
      </c>
      <c r="AC562" s="484">
        <f>IF(SETUP!$E$7="USD",(AB562*(IF(O562="USD",W562,(W562/'Master Data-C19RM'!$D$2)))),(AB562*(IF(O562="EUR",W562,(W562*'Master Data-C19RM'!$D$2)))))</f>
        <v>0</v>
      </c>
      <c r="AD562" s="445">
        <f>IF($O562="USD",_xlfn.IFNA(VLOOKUP($A562&amp;$E562&amp;$I562,PMsheet!$J:$K,2,0),0),(_xlfn.IFNA(VLOOKUP($A562&amp;$E562&amp;$I562,PMsheet!$J:$K,2,0),0)*'Master Data-C19RM'!$E$2))</f>
        <v>0</v>
      </c>
      <c r="AE562" s="440"/>
      <c r="AF562" s="440"/>
      <c r="AG562" s="440"/>
      <c r="AH562" s="440"/>
      <c r="AI562" s="514">
        <f t="shared" si="76"/>
        <v>0</v>
      </c>
      <c r="AJ562" s="515">
        <f>IF(SETUP!$E$7="USD",(AI562*(IF(O562="USD",AD562,(AD562/'Master Data-C19RM'!$E$2)))),(AI562*(IF(O562="EUR",AD562,(AD562*'Master Data-C19RM'!$E$2)))))</f>
        <v>0</v>
      </c>
      <c r="AK562" s="445">
        <f>IF($O562="USD",_xlfn.IFNA(VLOOKUP($A562&amp;$E562&amp;$I562,PMsheet!$J:$K,2,0),0),(_xlfn.IFNA(VLOOKUP($A562&amp;$E562&amp;$I562,PMsheet!$J:$K,2,0),0)*'Master Data-C19RM'!$F$2))</f>
        <v>0</v>
      </c>
      <c r="AL562" s="440"/>
      <c r="AM562" s="440"/>
      <c r="AN562" s="440"/>
      <c r="AO562" s="440"/>
      <c r="AP562" s="514">
        <f t="shared" si="77"/>
        <v>0</v>
      </c>
      <c r="AQ562" s="515">
        <f>IF(SETUP!$E$7="USD",(AP562*(IF(O562="USD",AK562,(AK562/'Master Data-C19RM'!$F$2)))),(AP562*(IF(O562="EUR",AK562,(AK562*'Master Data-C19RM'!$F$2)))))</f>
        <v>0</v>
      </c>
      <c r="AR562" s="925">
        <f>IF($O562="USD",_xlfn.IFNA(VLOOKUP($A562&amp;$E562&amp;$I562,PMsheet!$J:$K,2,0),0),(_xlfn.IFNA(VLOOKUP($A562&amp;$E562&amp;$I562,PMsheet!$J:$K,2,0),0)*'Master Data-C19RM'!$G$2))</f>
        <v>0</v>
      </c>
      <c r="AS562" s="926"/>
      <c r="AT562" s="926"/>
      <c r="AU562" s="926"/>
      <c r="AV562" s="926"/>
      <c r="AW562" s="514">
        <f t="shared" si="78"/>
        <v>0</v>
      </c>
      <c r="AX562" s="514">
        <f>IF(SETUP!$E$7="USD",(AW562*(IF(O562="USD",AR562,(AR562/'Master Data-C19RM'!$G$2)))),(AW562*(IF(O562="EUR",AR562,(AR562*'Master Data-C19RM'!$G$2)))))</f>
        <v>0</v>
      </c>
      <c r="AY562" s="845"/>
      <c r="AZ562" s="846"/>
      <c r="BA562" s="846"/>
      <c r="BB562" s="846"/>
      <c r="BC562" s="846"/>
      <c r="BD562" s="846"/>
      <c r="BE562" s="847"/>
      <c r="BF562" s="521">
        <f>'C19RM 2021-Lab &amp; Other HPS'!$U562+'C19RM 2021-Lab &amp; Other HPS'!$AB562+'C19RM 2021-Lab &amp; Other HPS'!$AP562+'C19RM 2021-Lab &amp; Other HPS'!$AI562+AW562+BD562</f>
        <v>0</v>
      </c>
      <c r="BG562" s="515">
        <f>'C19RM 2021-Lab &amp; Other HPS'!$V562+'C19RM 2021-Lab &amp; Other HPS'!$AC562+'C19RM 2021-Lab &amp; Other HPS'!$AQ562+'C19RM 2021-Lab &amp; Other HPS'!$AJ562+AX562+BE562</f>
        <v>0</v>
      </c>
      <c r="BH562" s="522" t="str" cm="1">
        <f t="array" ref="BH562">IF(A562&lt;&gt;"",IFERROR(INDEX(PMtbl[[WKst]:[Unit of measure*]],MATCH($A$544&amp;$A562&amp;$E562&amp;$I562,INDEX(PMtbl[Sec]&amp;PMtbl[Category]&amp;PMtbl[Each]&amp;PMtbl[Packaging],0,),0),11),""),"")</f>
        <v/>
      </c>
      <c r="BI562" s="818"/>
      <c r="BJ562" s="503" t="str" cm="1">
        <f t="array" ref="BJ562">IFERROR(INDEX(SETUP!$C$19:$G$121,MATCH((INDEX(PMtbl[[WKst]:[Unit of measure*]],MATCH($A562&amp;$E562&amp;$I562,INDEX(PMtbl[Category]&amp;PMtbl[Each]&amp;PMtbl[Packaging],0,),0),3)),SETUP!$D$19:$D$121,0),5),"")</f>
        <v/>
      </c>
      <c r="BK562" s="543" t="str" cm="1">
        <f t="array" ref="BK562">IFERROR(IF((INDEX(SETUP!$C$19:$G$121,MATCH((INDEX(PMtbl[[WKst]:[Unit of measure*]],MATCH($A562&amp;$E562&amp;$I562,INDEX(PMtbl[Category]&amp;PMtbl[Each]&amp;PMtbl[Packaging],0,),0),3)),SETUP!$D$19:$D$121,0),4))="Upfront",0,INDEX(SETUP!$C$19:$G$121,MATCH((INDEX(PMtbl[[WKst]:[Unit of measure*]],MATCH($A562&amp;$E562&amp;$I562,INDEX(PMtbl[Category]&amp;PMtbl[Each]&amp;PMtbl[Packaging],0,),0),3)),SETUP!$D$19:$D$121,0),5)),"")</f>
        <v/>
      </c>
      <c r="BL562" s="201" t="str" cm="1">
        <f t="array" ref="BL562">IF(E562&lt;&gt;"",IFERROR(INDEX(PMtbl[[WKst]:[Unit of measure*]],MATCH($A$544&amp;$A562&amp;$E562&amp;$I562,INDEX(PMtbl[Sec]&amp;PMtbl[Category]&amp;PMtbl[Each]&amp;PMtbl[Packaging],0,),0),11),""),"")</f>
        <v/>
      </c>
      <c r="BO562" s="12">
        <f>IF(N562="",0,IF(SETUP!$E$7="USD",((IF(O562="USD",P562,(P562/'Master Data-C19RM'!$C$2)))),((IF(O562="EUR",P562,(P562*'Master Data-C19RM'!$C$2))))))</f>
        <v>0</v>
      </c>
      <c r="BP562" s="12">
        <f>IF(N562="",0,IF(SETUP!$E$7="USD",((IF(O562="USD",W562,(W562/'Master Data-C19RM'!$D$2)))),((IF(O562="EUR",W562,(W562*'Master Data-C19RM'!$D$2))))))</f>
        <v>0</v>
      </c>
      <c r="BQ562">
        <f>IF(N562="",0,IF(SETUP!$E$7="USD",((IF(O562="USD",AD562,(AD562/'Master Data-C19RM'!$E$2)))),((IF(O562="EUR",AD562,(AD562*'Master Data-C19RM'!$E$2))))))</f>
        <v>0</v>
      </c>
      <c r="BR562">
        <f>IF(N562="",0,IF(SETUP!$E$7="USD",((IF(O562="USD",AK562,(AK562/'Master Data-C19RM'!$F$2)))),((IF(O562="EUR",AK562,(AK562*'Master Data-C19RM'!$F$2))))))</f>
        <v>0</v>
      </c>
      <c r="BS562">
        <f>IF(N562="",0,IF(SETUP!$E$7="USD",((IF(O562="USD",AR562,(AR562/'Master Data-C19RM'!$G$2)))),((IF(O562="EUR",AR562,(AR562*'Master Data-C19RM'!$G$2))))))</f>
        <v>0</v>
      </c>
      <c r="BT562">
        <f>IF(N562="",0,IF(SETUP!$E$7="USD",((IF(O562="USD",AY562,(AY562/'Master Data-C19RM'!$H$2)))),((IF(O562="EUR",AY562,(AY562*'Master Data-C19RM'!$H$2))))))</f>
        <v>0</v>
      </c>
      <c r="BU562" s="12">
        <f t="shared" si="72"/>
        <v>0</v>
      </c>
      <c r="BV562" s="142">
        <f t="shared" si="73"/>
        <v>0</v>
      </c>
    </row>
    <row r="563" spans="1:74" x14ac:dyDescent="0.35">
      <c r="A563" s="1165"/>
      <c r="B563" s="1165"/>
      <c r="C563" s="1165"/>
      <c r="D563" s="1165"/>
      <c r="E563" s="1166"/>
      <c r="F563" s="1166"/>
      <c r="G563" s="1166"/>
      <c r="H563" s="1166"/>
      <c r="I563" s="1166"/>
      <c r="J563" s="1166"/>
      <c r="K563" s="1166"/>
      <c r="L563" s="490" t="str" cm="1">
        <f t="array" ref="L563">IF(A563&lt;&gt;"",IFERROR(INDEX(PMtbl[[WKst]:[Unit of measure*]],MATCH($A$544&amp;$A563&amp;$E563&amp;$I563,INDEX(PMtbl[Sec]&amp;PMtbl[Category]&amp;PMtbl[Each]&amp;PMtbl[Packaging],0,),0),14),""),"")</f>
        <v/>
      </c>
      <c r="M563" s="479" t="str">
        <f>IF(L563="","",INDEX(SETUP!$E$20:$E$122,(MATCH(INDEX(PMsheet!$D:$E,MATCH(A563,PMsheet!E:E,0),1),SETUP!$D$20:$D$122,0))))</f>
        <v/>
      </c>
      <c r="N563" s="491">
        <f>IF($O563="USD",_xlfn.IFNA(VLOOKUP(A563&amp;E563&amp;I563,PMsheet!J:K,2,0),0),(_xlfn.IFNA(VLOOKUP(A563&amp;E563&amp;I563,PMsheet!J:K,2,0),0)*'Master Data-C19RM'!$C$2))</f>
        <v>0</v>
      </c>
      <c r="O563" s="492" t="str">
        <f>IF(L563="", "",SETUP!$E$7)</f>
        <v/>
      </c>
      <c r="P563" s="444">
        <f>IF($O563="USD",_xlfn.IFNA(VLOOKUP($A563&amp;$E563&amp;$I563,PMsheet!$J:$K,2,0),0),(_xlfn.IFNA(VLOOKUP($A563&amp;$E563&amp;$I563,PMsheet!$J:$K,2,0),0)*'Master Data-C19RM'!$C$2))</f>
        <v>0</v>
      </c>
      <c r="Q563" s="441"/>
      <c r="R563" s="441"/>
      <c r="S563" s="441"/>
      <c r="T563" s="441"/>
      <c r="U563" s="481">
        <f t="shared" si="74"/>
        <v>0</v>
      </c>
      <c r="V563" s="483">
        <f>IF(SETUP!$E$7="USD",(U563*(IF(O563="USD",P563,(P563/'Master Data-C19RM'!$C$2)))),(U563*(IF(O563="EUR",P563,(P563*'Master Data-C19RM'!$C$2)))))</f>
        <v>0</v>
      </c>
      <c r="W563" s="444">
        <f>IF($O563="USD",_xlfn.IFNA(VLOOKUP($A563&amp;$E563&amp;$I563,PMsheet!$J:$K,2,0),0),(_xlfn.IFNA(VLOOKUP($A563&amp;$E563&amp;$I563,PMsheet!$J:$K,2,0),0)*'Master Data-C19RM'!$D$2))</f>
        <v>0</v>
      </c>
      <c r="X563" s="441"/>
      <c r="Y563" s="441"/>
      <c r="Z563" s="441"/>
      <c r="AA563" s="441"/>
      <c r="AB563" s="481">
        <f t="shared" si="75"/>
        <v>0</v>
      </c>
      <c r="AC563" s="483">
        <f>IF(SETUP!$E$7="USD",(AB563*(IF(O563="USD",W563,(W563/'Master Data-C19RM'!$D$2)))),(AB563*(IF(O563="EUR",W563,(W563*'Master Data-C19RM'!$D$2)))))</f>
        <v>0</v>
      </c>
      <c r="AD563" s="444">
        <f>IF($O563="USD",_xlfn.IFNA(VLOOKUP($A563&amp;$E563&amp;$I563,PMsheet!$J:$K,2,0),0),(_xlfn.IFNA(VLOOKUP($A563&amp;$E563&amp;$I563,PMsheet!$J:$K,2,0),0)*'Master Data-C19RM'!$E$2))</f>
        <v>0</v>
      </c>
      <c r="AE563" s="441"/>
      <c r="AF563" s="441"/>
      <c r="AG563" s="441"/>
      <c r="AH563" s="441"/>
      <c r="AI563" s="512">
        <f t="shared" si="76"/>
        <v>0</v>
      </c>
      <c r="AJ563" s="513">
        <f>IF(SETUP!$E$7="USD",(AI563*(IF(O563="USD",AD563,(AD563/'Master Data-C19RM'!$E$2)))),(AI563*(IF(O563="EUR",AD563,(AD563*'Master Data-C19RM'!$E$2)))))</f>
        <v>0</v>
      </c>
      <c r="AK563" s="444">
        <f>IF($O563="USD",_xlfn.IFNA(VLOOKUP($A563&amp;$E563&amp;$I563,PMsheet!$J:$K,2,0),0),(_xlfn.IFNA(VLOOKUP($A563&amp;$E563&amp;$I563,PMsheet!$J:$K,2,0),0)*'Master Data-C19RM'!$F$2))</f>
        <v>0</v>
      </c>
      <c r="AL563" s="441"/>
      <c r="AM563" s="441"/>
      <c r="AN563" s="441"/>
      <c r="AO563" s="441"/>
      <c r="AP563" s="512">
        <f t="shared" si="77"/>
        <v>0</v>
      </c>
      <c r="AQ563" s="513">
        <f>IF(SETUP!$E$7="USD",(AP563*(IF(O563="USD",AK563,(AK563/'Master Data-C19RM'!$F$2)))),(AP563*(IF(O563="EUR",AK563,(AK563*'Master Data-C19RM'!$F$2)))))</f>
        <v>0</v>
      </c>
      <c r="AR563" s="924">
        <f>IF($O563="USD",_xlfn.IFNA(VLOOKUP($A563&amp;$E563&amp;$I563,PMsheet!$J:$K,2,0),0),(_xlfn.IFNA(VLOOKUP($A563&amp;$E563&amp;$I563,PMsheet!$J:$K,2,0),0)*'Master Data-C19RM'!$G$2))</f>
        <v>0</v>
      </c>
      <c r="AS563" s="572"/>
      <c r="AT563" s="572"/>
      <c r="AU563" s="572"/>
      <c r="AV563" s="572"/>
      <c r="AW563" s="512">
        <f t="shared" si="78"/>
        <v>0</v>
      </c>
      <c r="AX563" s="512">
        <f>IF(SETUP!$E$7="USD",(AW563*(IF(O563="USD",AR563,(AR563/'Master Data-C19RM'!$G$2)))),(AW563*(IF(O563="EUR",AR563,(AR563*'Master Data-C19RM'!$G$2)))))</f>
        <v>0</v>
      </c>
      <c r="AY563" s="845"/>
      <c r="AZ563" s="846"/>
      <c r="BA563" s="846"/>
      <c r="BB563" s="846"/>
      <c r="BC563" s="846"/>
      <c r="BD563" s="846"/>
      <c r="BE563" s="847"/>
      <c r="BF563" s="520">
        <f>'C19RM 2021-Lab &amp; Other HPS'!$U563+'C19RM 2021-Lab &amp; Other HPS'!$AB563+'C19RM 2021-Lab &amp; Other HPS'!$AP563+'C19RM 2021-Lab &amp; Other HPS'!$AI563+AW563+BD563</f>
        <v>0</v>
      </c>
      <c r="BG563" s="513">
        <f>'C19RM 2021-Lab &amp; Other HPS'!$V563+'C19RM 2021-Lab &amp; Other HPS'!$AC563+'C19RM 2021-Lab &amp; Other HPS'!$AQ563+'C19RM 2021-Lab &amp; Other HPS'!$AJ563+AX563+BE563</f>
        <v>0</v>
      </c>
      <c r="BH563" s="500" t="str" cm="1">
        <f t="array" ref="BH563">IF(A563&lt;&gt;"",IFERROR(INDEX(PMtbl[[WKst]:[Unit of measure*]],MATCH($A$544&amp;$A563&amp;$E563&amp;$I563,INDEX(PMtbl[Sec]&amp;PMtbl[Category]&amp;PMtbl[Each]&amp;PMtbl[Packaging],0,),0),11),""),"")</f>
        <v/>
      </c>
      <c r="BI563" s="819"/>
      <c r="BJ563" s="502" t="str" cm="1">
        <f t="array" ref="BJ563">IFERROR(INDEX(SETUP!$C$19:$G$121,MATCH((INDEX(PMtbl[[WKst]:[Unit of measure*]],MATCH($A563&amp;$E563&amp;$I563,INDEX(PMtbl[Category]&amp;PMtbl[Each]&amp;PMtbl[Packaging],0,),0),3)),SETUP!$D$19:$D$121,0),5),"")</f>
        <v/>
      </c>
      <c r="BK563" s="542" t="str" cm="1">
        <f t="array" ref="BK563">IFERROR(IF((INDEX(SETUP!$C$19:$G$121,MATCH((INDEX(PMtbl[[WKst]:[Unit of measure*]],MATCH($A563&amp;$E563&amp;$I563,INDEX(PMtbl[Category]&amp;PMtbl[Each]&amp;PMtbl[Packaging],0,),0),3)),SETUP!$D$19:$D$121,0),4))="Upfront",0,INDEX(SETUP!$C$19:$G$121,MATCH((INDEX(PMtbl[[WKst]:[Unit of measure*]],MATCH($A563&amp;$E563&amp;$I563,INDEX(PMtbl[Category]&amp;PMtbl[Each]&amp;PMtbl[Packaging],0,),0),3)),SETUP!$D$19:$D$121,0),5)),"")</f>
        <v/>
      </c>
      <c r="BL563" s="200" t="str" cm="1">
        <f t="array" ref="BL563">IF(E563&lt;&gt;"",IFERROR(INDEX(PMtbl[[WKst]:[Unit of measure*]],MATCH($A$544&amp;$A563&amp;$E563&amp;$I563,INDEX(PMtbl[Sec]&amp;PMtbl[Category]&amp;PMtbl[Each]&amp;PMtbl[Packaging],0,),0),11),""),"")</f>
        <v/>
      </c>
      <c r="BO563" s="12">
        <f>IF(N563="",0,IF(SETUP!$E$7="USD",((IF(O563="USD",P563,(P563/'Master Data-C19RM'!$C$2)))),((IF(O563="EUR",P563,(P563*'Master Data-C19RM'!$C$2))))))</f>
        <v>0</v>
      </c>
      <c r="BP563" s="12">
        <f>IF(N563="",0,IF(SETUP!$E$7="USD",((IF(O563="USD",W563,(W563/'Master Data-C19RM'!$D$2)))),((IF(O563="EUR",W563,(W563*'Master Data-C19RM'!$D$2))))))</f>
        <v>0</v>
      </c>
      <c r="BQ563">
        <f>IF(N563="",0,IF(SETUP!$E$7="USD",((IF(O563="USD",AD563,(AD563/'Master Data-C19RM'!$E$2)))),((IF(O563="EUR",AD563,(AD563*'Master Data-C19RM'!$E$2))))))</f>
        <v>0</v>
      </c>
      <c r="BR563">
        <f>IF(N563="",0,IF(SETUP!$E$7="USD",((IF(O563="USD",AK563,(AK563/'Master Data-C19RM'!$F$2)))),((IF(O563="EUR",AK563,(AK563*'Master Data-C19RM'!$F$2))))))</f>
        <v>0</v>
      </c>
      <c r="BS563">
        <f>IF(N563="",0,IF(SETUP!$E$7="USD",((IF(O563="USD",AR563,(AR563/'Master Data-C19RM'!$G$2)))),((IF(O563="EUR",AR563,(AR563*'Master Data-C19RM'!$G$2))))))</f>
        <v>0</v>
      </c>
      <c r="BT563">
        <f>IF(N563="",0,IF(SETUP!$E$7="USD",((IF(O563="USD",AY563,(AY563/'Master Data-C19RM'!$H$2)))),((IF(O563="EUR",AY563,(AY563*'Master Data-C19RM'!$H$2))))))</f>
        <v>0</v>
      </c>
      <c r="BU563" s="12">
        <f t="shared" si="72"/>
        <v>0</v>
      </c>
      <c r="BV563" s="142">
        <f t="shared" si="73"/>
        <v>0</v>
      </c>
    </row>
    <row r="564" spans="1:74" x14ac:dyDescent="0.35">
      <c r="A564" s="1192"/>
      <c r="B564" s="1192"/>
      <c r="C564" s="1192"/>
      <c r="D564" s="1192"/>
      <c r="E564" s="1173"/>
      <c r="F564" s="1173"/>
      <c r="G564" s="1173"/>
      <c r="H564" s="1173"/>
      <c r="I564" s="1173"/>
      <c r="J564" s="1173"/>
      <c r="K564" s="1173"/>
      <c r="L564" s="493" t="str" cm="1">
        <f t="array" ref="L564">IF(A564&lt;&gt;"",IFERROR(INDEX(PMtbl[[WKst]:[Unit of measure*]],MATCH($A$544&amp;$A564&amp;$E564&amp;$I564,INDEX(PMtbl[Sec]&amp;PMtbl[Category]&amp;PMtbl[Each]&amp;PMtbl[Packaging],0,),0),14),""),"")</f>
        <v/>
      </c>
      <c r="M564" s="480" t="str">
        <f>IF(L564="","",INDEX(SETUP!$E$20:$E$122,(MATCH(INDEX(PMsheet!$D:$E,MATCH(A564,PMsheet!E:E,0),1),SETUP!$D$20:$D$122,0))))</f>
        <v/>
      </c>
      <c r="N564" s="494">
        <f>IF($O564="USD",_xlfn.IFNA(VLOOKUP(A564&amp;E564&amp;I564,PMsheet!J:K,2,0),0),(_xlfn.IFNA(VLOOKUP(A564&amp;E564&amp;I564,PMsheet!J:K,2,0),0)*'Master Data-C19RM'!$C$2))</f>
        <v>0</v>
      </c>
      <c r="O564" s="495" t="str">
        <f>IF(L564="", "",SETUP!$E$7)</f>
        <v/>
      </c>
      <c r="P564" s="445">
        <f>IF($O564="USD",_xlfn.IFNA(VLOOKUP($A564&amp;$E564&amp;$I564,PMsheet!$J:$K,2,0),0),(_xlfn.IFNA(VLOOKUP($A564&amp;$E564&amp;$I564,PMsheet!$J:$K,2,0),0)*'Master Data-C19RM'!$C$2))</f>
        <v>0</v>
      </c>
      <c r="Q564" s="440"/>
      <c r="R564" s="440"/>
      <c r="S564" s="440"/>
      <c r="T564" s="440"/>
      <c r="U564" s="482">
        <f t="shared" si="74"/>
        <v>0</v>
      </c>
      <c r="V564" s="484">
        <f>IF(SETUP!$E$7="USD",(U564*(IF(O564="USD",P564,(P564/'Master Data-C19RM'!$C$2)))),(U564*(IF(O564="EUR",P564,(P564*'Master Data-C19RM'!$C$2)))))</f>
        <v>0</v>
      </c>
      <c r="W564" s="445">
        <f>IF($O564="USD",_xlfn.IFNA(VLOOKUP($A564&amp;$E564&amp;$I564,PMsheet!$J:$K,2,0),0),(_xlfn.IFNA(VLOOKUP($A564&amp;$E564&amp;$I564,PMsheet!$J:$K,2,0),0)*'Master Data-C19RM'!$D$2))</f>
        <v>0</v>
      </c>
      <c r="X564" s="440"/>
      <c r="Y564" s="440"/>
      <c r="Z564" s="440"/>
      <c r="AA564" s="440"/>
      <c r="AB564" s="482">
        <f t="shared" si="75"/>
        <v>0</v>
      </c>
      <c r="AC564" s="484">
        <f>IF(SETUP!$E$7="USD",(AB564*(IF(O564="USD",W564,(W564/'Master Data-C19RM'!$D$2)))),(AB564*(IF(O564="EUR",W564,(W564*'Master Data-C19RM'!$D$2)))))</f>
        <v>0</v>
      </c>
      <c r="AD564" s="445">
        <f>IF($O564="USD",_xlfn.IFNA(VLOOKUP($A564&amp;$E564&amp;$I564,PMsheet!$J:$K,2,0),0),(_xlfn.IFNA(VLOOKUP($A564&amp;$E564&amp;$I564,PMsheet!$J:$K,2,0),0)*'Master Data-C19RM'!$E$2))</f>
        <v>0</v>
      </c>
      <c r="AE564" s="440"/>
      <c r="AF564" s="440"/>
      <c r="AG564" s="440"/>
      <c r="AH564" s="440"/>
      <c r="AI564" s="514">
        <f t="shared" si="76"/>
        <v>0</v>
      </c>
      <c r="AJ564" s="515">
        <f>IF(SETUP!$E$7="USD",(AI564*(IF(O564="USD",AD564,(AD564/'Master Data-C19RM'!$E$2)))),(AI564*(IF(O564="EUR",AD564,(AD564*'Master Data-C19RM'!$E$2)))))</f>
        <v>0</v>
      </c>
      <c r="AK564" s="445">
        <f>IF($O564="USD",_xlfn.IFNA(VLOOKUP($A564&amp;$E564&amp;$I564,PMsheet!$J:$K,2,0),0),(_xlfn.IFNA(VLOOKUP($A564&amp;$E564&amp;$I564,PMsheet!$J:$K,2,0),0)*'Master Data-C19RM'!$F$2))</f>
        <v>0</v>
      </c>
      <c r="AL564" s="440"/>
      <c r="AM564" s="440"/>
      <c r="AN564" s="440"/>
      <c r="AO564" s="440"/>
      <c r="AP564" s="514">
        <f t="shared" si="77"/>
        <v>0</v>
      </c>
      <c r="AQ564" s="515">
        <f>IF(SETUP!$E$7="USD",(AP564*(IF(O564="USD",AK564,(AK564/'Master Data-C19RM'!$F$2)))),(AP564*(IF(O564="EUR",AK564,(AK564*'Master Data-C19RM'!$F$2)))))</f>
        <v>0</v>
      </c>
      <c r="AR564" s="925">
        <f>IF($O564="USD",_xlfn.IFNA(VLOOKUP($A564&amp;$E564&amp;$I564,PMsheet!$J:$K,2,0),0),(_xlfn.IFNA(VLOOKUP($A564&amp;$E564&amp;$I564,PMsheet!$J:$K,2,0),0)*'Master Data-C19RM'!$G$2))</f>
        <v>0</v>
      </c>
      <c r="AS564" s="926"/>
      <c r="AT564" s="926"/>
      <c r="AU564" s="926"/>
      <c r="AV564" s="926"/>
      <c r="AW564" s="514">
        <f t="shared" si="78"/>
        <v>0</v>
      </c>
      <c r="AX564" s="514">
        <f>IF(SETUP!$E$7="USD",(AW564*(IF(O564="USD",AR564,(AR564/'Master Data-C19RM'!$G$2)))),(AW564*(IF(O564="EUR",AR564,(AR564*'Master Data-C19RM'!$G$2)))))</f>
        <v>0</v>
      </c>
      <c r="AY564" s="845"/>
      <c r="AZ564" s="846"/>
      <c r="BA564" s="846"/>
      <c r="BB564" s="846"/>
      <c r="BC564" s="846"/>
      <c r="BD564" s="846"/>
      <c r="BE564" s="847"/>
      <c r="BF564" s="521">
        <f>'C19RM 2021-Lab &amp; Other HPS'!$U564+'C19RM 2021-Lab &amp; Other HPS'!$AB564+'C19RM 2021-Lab &amp; Other HPS'!$AP564+'C19RM 2021-Lab &amp; Other HPS'!$AI564+AW564+BD564</f>
        <v>0</v>
      </c>
      <c r="BG564" s="515">
        <f>'C19RM 2021-Lab &amp; Other HPS'!$V564+'C19RM 2021-Lab &amp; Other HPS'!$AC564+'C19RM 2021-Lab &amp; Other HPS'!$AQ564+'C19RM 2021-Lab &amp; Other HPS'!$AJ564+AX564+BE564</f>
        <v>0</v>
      </c>
      <c r="BH564" s="522" t="str" cm="1">
        <f t="array" ref="BH564">IF(A564&lt;&gt;"",IFERROR(INDEX(PMtbl[[WKst]:[Unit of measure*]],MATCH($A$544&amp;$A564&amp;$E564&amp;$I564,INDEX(PMtbl[Sec]&amp;PMtbl[Category]&amp;PMtbl[Each]&amp;PMtbl[Packaging],0,),0),11),""),"")</f>
        <v/>
      </c>
      <c r="BI564" s="818"/>
      <c r="BJ564" s="503" t="str" cm="1">
        <f t="array" ref="BJ564">IFERROR(INDEX(SETUP!$C$19:$G$121,MATCH((INDEX(PMtbl[[WKst]:[Unit of measure*]],MATCH($A564&amp;$E564&amp;$I564,INDEX(PMtbl[Category]&amp;PMtbl[Each]&amp;PMtbl[Packaging],0,),0),3)),SETUP!$D$19:$D$121,0),5),"")</f>
        <v/>
      </c>
      <c r="BK564" s="543" t="str" cm="1">
        <f t="array" ref="BK564">IFERROR(IF((INDEX(SETUP!$C$19:$G$121,MATCH((INDEX(PMtbl[[WKst]:[Unit of measure*]],MATCH($A564&amp;$E564&amp;$I564,INDEX(PMtbl[Category]&amp;PMtbl[Each]&amp;PMtbl[Packaging],0,),0),3)),SETUP!$D$19:$D$121,0),4))="Upfront",0,INDEX(SETUP!$C$19:$G$121,MATCH((INDEX(PMtbl[[WKst]:[Unit of measure*]],MATCH($A564&amp;$E564&amp;$I564,INDEX(PMtbl[Category]&amp;PMtbl[Each]&amp;PMtbl[Packaging],0,),0),3)),SETUP!$D$19:$D$121,0),5)),"")</f>
        <v/>
      </c>
      <c r="BL564" s="201" t="str" cm="1">
        <f t="array" ref="BL564">IF(E564&lt;&gt;"",IFERROR(INDEX(PMtbl[[WKst]:[Unit of measure*]],MATCH($A$544&amp;$A564&amp;$E564&amp;$I564,INDEX(PMtbl[Sec]&amp;PMtbl[Category]&amp;PMtbl[Each]&amp;PMtbl[Packaging],0,),0),11),""),"")</f>
        <v/>
      </c>
      <c r="BO564" s="12">
        <f>IF(N564="",0,IF(SETUP!$E$7="USD",((IF(O564="USD",P564,(P564/'Master Data-C19RM'!$C$2)))),((IF(O564="EUR",P564,(P564*'Master Data-C19RM'!$C$2))))))</f>
        <v>0</v>
      </c>
      <c r="BP564" s="12">
        <f>IF(N564="",0,IF(SETUP!$E$7="USD",((IF(O564="USD",W564,(W564/'Master Data-C19RM'!$D$2)))),((IF(O564="EUR",W564,(W564*'Master Data-C19RM'!$D$2))))))</f>
        <v>0</v>
      </c>
      <c r="BQ564">
        <f>IF(N564="",0,IF(SETUP!$E$7="USD",((IF(O564="USD",AD564,(AD564/'Master Data-C19RM'!$E$2)))),((IF(O564="EUR",AD564,(AD564*'Master Data-C19RM'!$E$2))))))</f>
        <v>0</v>
      </c>
      <c r="BR564">
        <f>IF(N564="",0,IF(SETUP!$E$7="USD",((IF(O564="USD",AK564,(AK564/'Master Data-C19RM'!$F$2)))),((IF(O564="EUR",AK564,(AK564*'Master Data-C19RM'!$F$2))))))</f>
        <v>0</v>
      </c>
      <c r="BS564">
        <f>IF(N564="",0,IF(SETUP!$E$7="USD",((IF(O564="USD",AR564,(AR564/'Master Data-C19RM'!$G$2)))),((IF(O564="EUR",AR564,(AR564*'Master Data-C19RM'!$G$2))))))</f>
        <v>0</v>
      </c>
      <c r="BT564">
        <f>IF(N564="",0,IF(SETUP!$E$7="USD",((IF(O564="USD",AY564,(AY564/'Master Data-C19RM'!$H$2)))),((IF(O564="EUR",AY564,(AY564*'Master Data-C19RM'!$H$2))))))</f>
        <v>0</v>
      </c>
      <c r="BU564" s="12">
        <f t="shared" si="72"/>
        <v>0</v>
      </c>
      <c r="BV564" s="142">
        <f t="shared" si="73"/>
        <v>0</v>
      </c>
    </row>
    <row r="565" spans="1:74" x14ac:dyDescent="0.35">
      <c r="A565" s="1165"/>
      <c r="B565" s="1165"/>
      <c r="C565" s="1165"/>
      <c r="D565" s="1165"/>
      <c r="E565" s="1166"/>
      <c r="F565" s="1166"/>
      <c r="G565" s="1166"/>
      <c r="H565" s="1166"/>
      <c r="I565" s="1166"/>
      <c r="J565" s="1166"/>
      <c r="K565" s="1166"/>
      <c r="L565" s="490" t="str" cm="1">
        <f t="array" ref="L565">IF(A565&lt;&gt;"",IFERROR(INDEX(PMtbl[[WKst]:[Unit of measure*]],MATCH($A$544&amp;$A565&amp;$E565&amp;$I565,INDEX(PMtbl[Sec]&amp;PMtbl[Category]&amp;PMtbl[Each]&amp;PMtbl[Packaging],0,),0),14),""),"")</f>
        <v/>
      </c>
      <c r="M565" s="479" t="str">
        <f>IF(L565="","",INDEX(SETUP!$E$20:$E$122,(MATCH(INDEX(PMsheet!$D:$E,MATCH(A565,PMsheet!E:E,0),1),SETUP!$D$20:$D$122,0))))</f>
        <v/>
      </c>
      <c r="N565" s="491">
        <f>IF($O565="USD",_xlfn.IFNA(VLOOKUP(A565&amp;E565&amp;I565,PMsheet!J:K,2,0),0),(_xlfn.IFNA(VLOOKUP(A565&amp;E565&amp;I565,PMsheet!J:K,2,0),0)*'Master Data-C19RM'!$C$2))</f>
        <v>0</v>
      </c>
      <c r="O565" s="492" t="str">
        <f>IF(L565="", "",SETUP!$E$7)</f>
        <v/>
      </c>
      <c r="P565" s="444">
        <f>IF($O565="USD",_xlfn.IFNA(VLOOKUP($A565&amp;$E565&amp;$I565,PMsheet!$J:$K,2,0),0),(_xlfn.IFNA(VLOOKUP($A565&amp;$E565&amp;$I565,PMsheet!$J:$K,2,0),0)*'Master Data-C19RM'!$C$2))</f>
        <v>0</v>
      </c>
      <c r="Q565" s="441"/>
      <c r="R565" s="441"/>
      <c r="S565" s="441"/>
      <c r="T565" s="441"/>
      <c r="U565" s="481">
        <f t="shared" si="74"/>
        <v>0</v>
      </c>
      <c r="V565" s="483">
        <f>IF(SETUP!$E$7="USD",(U565*(IF(O565="USD",P565,(P565/'Master Data-C19RM'!$C$2)))),(U565*(IF(O565="EUR",P565,(P565*'Master Data-C19RM'!$C$2)))))</f>
        <v>0</v>
      </c>
      <c r="W565" s="444">
        <f>IF($O565="USD",_xlfn.IFNA(VLOOKUP($A565&amp;$E565&amp;$I565,PMsheet!$J:$K,2,0),0),(_xlfn.IFNA(VLOOKUP($A565&amp;$E565&amp;$I565,PMsheet!$J:$K,2,0),0)*'Master Data-C19RM'!$D$2))</f>
        <v>0</v>
      </c>
      <c r="X565" s="441"/>
      <c r="Y565" s="441"/>
      <c r="Z565" s="441"/>
      <c r="AA565" s="441"/>
      <c r="AB565" s="481">
        <f t="shared" si="75"/>
        <v>0</v>
      </c>
      <c r="AC565" s="483">
        <f>IF(SETUP!$E$7="USD",(AB565*(IF(O565="USD",W565,(W565/'Master Data-C19RM'!$D$2)))),(AB565*(IF(O565="EUR",W565,(W565*'Master Data-C19RM'!$D$2)))))</f>
        <v>0</v>
      </c>
      <c r="AD565" s="444">
        <f>IF($O565="USD",_xlfn.IFNA(VLOOKUP($A565&amp;$E565&amp;$I565,PMsheet!$J:$K,2,0),0),(_xlfn.IFNA(VLOOKUP($A565&amp;$E565&amp;$I565,PMsheet!$J:$K,2,0),0)*'Master Data-C19RM'!$E$2))</f>
        <v>0</v>
      </c>
      <c r="AE565" s="441"/>
      <c r="AF565" s="441"/>
      <c r="AG565" s="441"/>
      <c r="AH565" s="441"/>
      <c r="AI565" s="512">
        <f t="shared" si="76"/>
        <v>0</v>
      </c>
      <c r="AJ565" s="513">
        <f>IF(SETUP!$E$7="USD",(AI565*(IF(O565="USD",AD565,(AD565/'Master Data-C19RM'!$E$2)))),(AI565*(IF(O565="EUR",AD565,(AD565*'Master Data-C19RM'!$E$2)))))</f>
        <v>0</v>
      </c>
      <c r="AK565" s="444">
        <f>IF($O565="USD",_xlfn.IFNA(VLOOKUP($A565&amp;$E565&amp;$I565,PMsheet!$J:$K,2,0),0),(_xlfn.IFNA(VLOOKUP($A565&amp;$E565&amp;$I565,PMsheet!$J:$K,2,0),0)*'Master Data-C19RM'!$F$2))</f>
        <v>0</v>
      </c>
      <c r="AL565" s="441"/>
      <c r="AM565" s="441"/>
      <c r="AN565" s="441"/>
      <c r="AO565" s="441"/>
      <c r="AP565" s="512">
        <f t="shared" si="77"/>
        <v>0</v>
      </c>
      <c r="AQ565" s="513">
        <f>IF(SETUP!$E$7="USD",(AP565*(IF(O565="USD",AK565,(AK565/'Master Data-C19RM'!$F$2)))),(AP565*(IF(O565="EUR",AK565,(AK565*'Master Data-C19RM'!$F$2)))))</f>
        <v>0</v>
      </c>
      <c r="AR565" s="924">
        <f>IF($O565="USD",_xlfn.IFNA(VLOOKUP($A565&amp;$E565&amp;$I565,PMsheet!$J:$K,2,0),0),(_xlfn.IFNA(VLOOKUP($A565&amp;$E565&amp;$I565,PMsheet!$J:$K,2,0),0)*'Master Data-C19RM'!$G$2))</f>
        <v>0</v>
      </c>
      <c r="AS565" s="572"/>
      <c r="AT565" s="572"/>
      <c r="AU565" s="572"/>
      <c r="AV565" s="572"/>
      <c r="AW565" s="512">
        <f t="shared" si="78"/>
        <v>0</v>
      </c>
      <c r="AX565" s="512">
        <f>IF(SETUP!$E$7="USD",(AW565*(IF(O565="USD",AR565,(AR565/'Master Data-C19RM'!$G$2)))),(AW565*(IF(O565="EUR",AR565,(AR565*'Master Data-C19RM'!$G$2)))))</f>
        <v>0</v>
      </c>
      <c r="AY565" s="845"/>
      <c r="AZ565" s="846"/>
      <c r="BA565" s="846"/>
      <c r="BB565" s="846"/>
      <c r="BC565" s="846"/>
      <c r="BD565" s="846"/>
      <c r="BE565" s="847"/>
      <c r="BF565" s="520">
        <f>'C19RM 2021-Lab &amp; Other HPS'!$U565+'C19RM 2021-Lab &amp; Other HPS'!$AB565+'C19RM 2021-Lab &amp; Other HPS'!$AP565+'C19RM 2021-Lab &amp; Other HPS'!$AI565+AW565+BD565</f>
        <v>0</v>
      </c>
      <c r="BG565" s="513">
        <f>'C19RM 2021-Lab &amp; Other HPS'!$V565+'C19RM 2021-Lab &amp; Other HPS'!$AC565+'C19RM 2021-Lab &amp; Other HPS'!$AQ565+'C19RM 2021-Lab &amp; Other HPS'!$AJ565+AX565+BE565</f>
        <v>0</v>
      </c>
      <c r="BH565" s="500" t="str" cm="1">
        <f t="array" ref="BH565">IF(A565&lt;&gt;"",IFERROR(INDEX(PMtbl[[WKst]:[Unit of measure*]],MATCH($A$544&amp;$A565&amp;$E565&amp;$I565,INDEX(PMtbl[Sec]&amp;PMtbl[Category]&amp;PMtbl[Each]&amp;PMtbl[Packaging],0,),0),11),""),"")</f>
        <v/>
      </c>
      <c r="BI565" s="819"/>
      <c r="BJ565" s="502" t="str" cm="1">
        <f t="array" ref="BJ565">IFERROR(INDEX(SETUP!$C$19:$G$121,MATCH((INDEX(PMtbl[[WKst]:[Unit of measure*]],MATCH($A565&amp;$E565&amp;$I565,INDEX(PMtbl[Category]&amp;PMtbl[Each]&amp;PMtbl[Packaging],0,),0),3)),SETUP!$D$19:$D$121,0),5),"")</f>
        <v/>
      </c>
      <c r="BK565" s="542" t="str" cm="1">
        <f t="array" ref="BK565">IFERROR(IF((INDEX(SETUP!$C$19:$G$121,MATCH((INDEX(PMtbl[[WKst]:[Unit of measure*]],MATCH($A565&amp;$E565&amp;$I565,INDEX(PMtbl[Category]&amp;PMtbl[Each]&amp;PMtbl[Packaging],0,),0),3)),SETUP!$D$19:$D$121,0),4))="Upfront",0,INDEX(SETUP!$C$19:$G$121,MATCH((INDEX(PMtbl[[WKst]:[Unit of measure*]],MATCH($A565&amp;$E565&amp;$I565,INDEX(PMtbl[Category]&amp;PMtbl[Each]&amp;PMtbl[Packaging],0,),0),3)),SETUP!$D$19:$D$121,0),5)),"")</f>
        <v/>
      </c>
      <c r="BL565" s="200" t="str" cm="1">
        <f t="array" ref="BL565">IF(E565&lt;&gt;"",IFERROR(INDEX(PMtbl[[WKst]:[Unit of measure*]],MATCH($A$544&amp;$A565&amp;$E565&amp;$I565,INDEX(PMtbl[Sec]&amp;PMtbl[Category]&amp;PMtbl[Each]&amp;PMtbl[Packaging],0,),0),11),""),"")</f>
        <v/>
      </c>
      <c r="BO565" s="12">
        <f>IF(N565="",0,IF(SETUP!$E$7="USD",((IF(O565="USD",P565,(P565/'Master Data-C19RM'!$C$2)))),((IF(O565="EUR",P565,(P565*'Master Data-C19RM'!$C$2))))))</f>
        <v>0</v>
      </c>
      <c r="BP565" s="12">
        <f>IF(N565="",0,IF(SETUP!$E$7="USD",((IF(O565="USD",W565,(W565/'Master Data-C19RM'!$D$2)))),((IF(O565="EUR",W565,(W565*'Master Data-C19RM'!$D$2))))))</f>
        <v>0</v>
      </c>
      <c r="BQ565">
        <f>IF(N565="",0,IF(SETUP!$E$7="USD",((IF(O565="USD",AD565,(AD565/'Master Data-C19RM'!$E$2)))),((IF(O565="EUR",AD565,(AD565*'Master Data-C19RM'!$E$2))))))</f>
        <v>0</v>
      </c>
      <c r="BR565">
        <f>IF(N565="",0,IF(SETUP!$E$7="USD",((IF(O565="USD",AK565,(AK565/'Master Data-C19RM'!$F$2)))),((IF(O565="EUR",AK565,(AK565*'Master Data-C19RM'!$F$2))))))</f>
        <v>0</v>
      </c>
      <c r="BS565">
        <f>IF(N565="",0,IF(SETUP!$E$7="USD",((IF(O565="USD",AR565,(AR565/'Master Data-C19RM'!$G$2)))),((IF(O565="EUR",AR565,(AR565*'Master Data-C19RM'!$G$2))))))</f>
        <v>0</v>
      </c>
      <c r="BT565">
        <f>IF(N565="",0,IF(SETUP!$E$7="USD",((IF(O565="USD",AY565,(AY565/'Master Data-C19RM'!$H$2)))),((IF(O565="EUR",AY565,(AY565*'Master Data-C19RM'!$H$2))))))</f>
        <v>0</v>
      </c>
      <c r="BU565" s="12">
        <f t="shared" si="72"/>
        <v>0</v>
      </c>
      <c r="BV565" s="142">
        <f t="shared" si="73"/>
        <v>0</v>
      </c>
    </row>
    <row r="566" spans="1:74" x14ac:dyDescent="0.35">
      <c r="A566" s="1192"/>
      <c r="B566" s="1192"/>
      <c r="C566" s="1192"/>
      <c r="D566" s="1192"/>
      <c r="E566" s="1173"/>
      <c r="F566" s="1173"/>
      <c r="G566" s="1173"/>
      <c r="H566" s="1173"/>
      <c r="I566" s="1173"/>
      <c r="J566" s="1173"/>
      <c r="K566" s="1173"/>
      <c r="L566" s="493" t="str" cm="1">
        <f t="array" ref="L566">IF(A566&lt;&gt;"",IFERROR(INDEX(PMtbl[[WKst]:[Unit of measure*]],MATCH($A$544&amp;$A566&amp;$E566&amp;$I566,INDEX(PMtbl[Sec]&amp;PMtbl[Category]&amp;PMtbl[Each]&amp;PMtbl[Packaging],0,),0),14),""),"")</f>
        <v/>
      </c>
      <c r="M566" s="480" t="str">
        <f>IF(L566="","",INDEX(SETUP!$E$20:$E$122,(MATCH(INDEX(PMsheet!$D:$E,MATCH(A566,PMsheet!E:E,0),1),SETUP!$D$20:$D$122,0))))</f>
        <v/>
      </c>
      <c r="N566" s="494">
        <f>IF($O566="USD",_xlfn.IFNA(VLOOKUP(A566&amp;E566&amp;I566,PMsheet!J:K,2,0),0),(_xlfn.IFNA(VLOOKUP(A566&amp;E566&amp;I566,PMsheet!J:K,2,0),0)*'Master Data-C19RM'!$C$2))</f>
        <v>0</v>
      </c>
      <c r="O566" s="495" t="str">
        <f>IF(L566="", "",SETUP!$E$7)</f>
        <v/>
      </c>
      <c r="P566" s="445">
        <f>IF($O566="USD",_xlfn.IFNA(VLOOKUP($A566&amp;$E566&amp;$I566,PMsheet!$J:$K,2,0),0),(_xlfn.IFNA(VLOOKUP($A566&amp;$E566&amp;$I566,PMsheet!$J:$K,2,0),0)*'Master Data-C19RM'!$C$2))</f>
        <v>0</v>
      </c>
      <c r="Q566" s="440"/>
      <c r="R566" s="440"/>
      <c r="S566" s="440"/>
      <c r="T566" s="440"/>
      <c r="U566" s="482">
        <f t="shared" si="74"/>
        <v>0</v>
      </c>
      <c r="V566" s="484">
        <f>IF(SETUP!$E$7="USD",(U566*(IF(O566="USD",P566,(P566/'Master Data-C19RM'!$C$2)))),(U566*(IF(O566="EUR",P566,(P566*'Master Data-C19RM'!$C$2)))))</f>
        <v>0</v>
      </c>
      <c r="W566" s="445">
        <f>IF($O566="USD",_xlfn.IFNA(VLOOKUP($A566&amp;$E566&amp;$I566,PMsheet!$J:$K,2,0),0),(_xlfn.IFNA(VLOOKUP($A566&amp;$E566&amp;$I566,PMsheet!$J:$K,2,0),0)*'Master Data-C19RM'!$D$2))</f>
        <v>0</v>
      </c>
      <c r="X566" s="440"/>
      <c r="Y566" s="440"/>
      <c r="Z566" s="440"/>
      <c r="AA566" s="440"/>
      <c r="AB566" s="482">
        <f t="shared" si="75"/>
        <v>0</v>
      </c>
      <c r="AC566" s="484">
        <f>IF(SETUP!$E$7="USD",(AB566*(IF(O566="USD",W566,(W566/'Master Data-C19RM'!$D$2)))),(AB566*(IF(O566="EUR",W566,(W566*'Master Data-C19RM'!$D$2)))))</f>
        <v>0</v>
      </c>
      <c r="AD566" s="445">
        <f>IF($O566="USD",_xlfn.IFNA(VLOOKUP($A566&amp;$E566&amp;$I566,PMsheet!$J:$K,2,0),0),(_xlfn.IFNA(VLOOKUP($A566&amp;$E566&amp;$I566,PMsheet!$J:$K,2,0),0)*'Master Data-C19RM'!$E$2))</f>
        <v>0</v>
      </c>
      <c r="AE566" s="440"/>
      <c r="AF566" s="440"/>
      <c r="AG566" s="440"/>
      <c r="AH566" s="440"/>
      <c r="AI566" s="514">
        <f t="shared" si="76"/>
        <v>0</v>
      </c>
      <c r="AJ566" s="515">
        <f>IF(SETUP!$E$7="USD",(AI566*(IF(O566="USD",AD566,(AD566/'Master Data-C19RM'!$E$2)))),(AI566*(IF(O566="EUR",AD566,(AD566*'Master Data-C19RM'!$E$2)))))</f>
        <v>0</v>
      </c>
      <c r="AK566" s="445">
        <f>IF($O566="USD",_xlfn.IFNA(VLOOKUP($A566&amp;$E566&amp;$I566,PMsheet!$J:$K,2,0),0),(_xlfn.IFNA(VLOOKUP($A566&amp;$E566&amp;$I566,PMsheet!$J:$K,2,0),0)*'Master Data-C19RM'!$F$2))</f>
        <v>0</v>
      </c>
      <c r="AL566" s="440"/>
      <c r="AM566" s="440"/>
      <c r="AN566" s="440"/>
      <c r="AO566" s="440"/>
      <c r="AP566" s="514">
        <f t="shared" si="77"/>
        <v>0</v>
      </c>
      <c r="AQ566" s="515">
        <f>IF(SETUP!$E$7="USD",(AP566*(IF(O566="USD",AK566,(AK566/'Master Data-C19RM'!$F$2)))),(AP566*(IF(O566="EUR",AK566,(AK566*'Master Data-C19RM'!$F$2)))))</f>
        <v>0</v>
      </c>
      <c r="AR566" s="925">
        <f>IF($O566="USD",_xlfn.IFNA(VLOOKUP($A566&amp;$E566&amp;$I566,PMsheet!$J:$K,2,0),0),(_xlfn.IFNA(VLOOKUP($A566&amp;$E566&amp;$I566,PMsheet!$J:$K,2,0),0)*'Master Data-C19RM'!$G$2))</f>
        <v>0</v>
      </c>
      <c r="AS566" s="926"/>
      <c r="AT566" s="926"/>
      <c r="AU566" s="926"/>
      <c r="AV566" s="926"/>
      <c r="AW566" s="514">
        <f t="shared" si="78"/>
        <v>0</v>
      </c>
      <c r="AX566" s="514">
        <f>IF(SETUP!$E$7="USD",(AW566*(IF(O566="USD",AR566,(AR566/'Master Data-C19RM'!$G$2)))),(AW566*(IF(O566="EUR",AR566,(AR566*'Master Data-C19RM'!$G$2)))))</f>
        <v>0</v>
      </c>
      <c r="AY566" s="845"/>
      <c r="AZ566" s="846"/>
      <c r="BA566" s="846"/>
      <c r="BB566" s="846"/>
      <c r="BC566" s="846"/>
      <c r="BD566" s="846"/>
      <c r="BE566" s="847"/>
      <c r="BF566" s="521">
        <f>'C19RM 2021-Lab &amp; Other HPS'!$U566+'C19RM 2021-Lab &amp; Other HPS'!$AB566+'C19RM 2021-Lab &amp; Other HPS'!$AP566+'C19RM 2021-Lab &amp; Other HPS'!$AI566+AW566+BD566</f>
        <v>0</v>
      </c>
      <c r="BG566" s="515">
        <f>'C19RM 2021-Lab &amp; Other HPS'!$V566+'C19RM 2021-Lab &amp; Other HPS'!$AC566+'C19RM 2021-Lab &amp; Other HPS'!$AQ566+'C19RM 2021-Lab &amp; Other HPS'!$AJ566+AX566+BE566</f>
        <v>0</v>
      </c>
      <c r="BH566" s="522" t="str" cm="1">
        <f t="array" ref="BH566">IF(A566&lt;&gt;"",IFERROR(INDEX(PMtbl[[WKst]:[Unit of measure*]],MATCH($A$544&amp;$A566&amp;$E566&amp;$I566,INDEX(PMtbl[Sec]&amp;PMtbl[Category]&amp;PMtbl[Each]&amp;PMtbl[Packaging],0,),0),11),""),"")</f>
        <v/>
      </c>
      <c r="BI566" s="818"/>
      <c r="BJ566" s="503" t="str" cm="1">
        <f t="array" ref="BJ566">IFERROR(INDEX(SETUP!$C$19:$G$121,MATCH((INDEX(PMtbl[[WKst]:[Unit of measure*]],MATCH($A566&amp;$E566&amp;$I566,INDEX(PMtbl[Category]&amp;PMtbl[Each]&amp;PMtbl[Packaging],0,),0),3)),SETUP!$D$19:$D$121,0),5),"")</f>
        <v/>
      </c>
      <c r="BK566" s="543" t="str" cm="1">
        <f t="array" ref="BK566">IFERROR(IF((INDEX(SETUP!$C$19:$G$121,MATCH((INDEX(PMtbl[[WKst]:[Unit of measure*]],MATCH($A566&amp;$E566&amp;$I566,INDEX(PMtbl[Category]&amp;PMtbl[Each]&amp;PMtbl[Packaging],0,),0),3)),SETUP!$D$19:$D$121,0),4))="Upfront",0,INDEX(SETUP!$C$19:$G$121,MATCH((INDEX(PMtbl[[WKst]:[Unit of measure*]],MATCH($A566&amp;$E566&amp;$I566,INDEX(PMtbl[Category]&amp;PMtbl[Each]&amp;PMtbl[Packaging],0,),0),3)),SETUP!$D$19:$D$121,0),5)),"")</f>
        <v/>
      </c>
      <c r="BL566" s="201" t="str" cm="1">
        <f t="array" ref="BL566">IF(E566&lt;&gt;"",IFERROR(INDEX(PMtbl[[WKst]:[Unit of measure*]],MATCH($A$544&amp;$A566&amp;$E566&amp;$I566,INDEX(PMtbl[Sec]&amp;PMtbl[Category]&amp;PMtbl[Each]&amp;PMtbl[Packaging],0,),0),11),""),"")</f>
        <v/>
      </c>
      <c r="BO566" s="12">
        <f>IF(N566="",0,IF(SETUP!$E$7="USD",((IF(O566="USD",P566,(P566/'Master Data-C19RM'!$C$2)))),((IF(O566="EUR",P566,(P566*'Master Data-C19RM'!$C$2))))))</f>
        <v>0</v>
      </c>
      <c r="BP566" s="12">
        <f>IF(N566="",0,IF(SETUP!$E$7="USD",((IF(O566="USD",W566,(W566/'Master Data-C19RM'!$D$2)))),((IF(O566="EUR",W566,(W566*'Master Data-C19RM'!$D$2))))))</f>
        <v>0</v>
      </c>
      <c r="BQ566">
        <f>IF(N566="",0,IF(SETUP!$E$7="USD",((IF(O566="USD",AD566,(AD566/'Master Data-C19RM'!$E$2)))),((IF(O566="EUR",AD566,(AD566*'Master Data-C19RM'!$E$2))))))</f>
        <v>0</v>
      </c>
      <c r="BR566">
        <f>IF(N566="",0,IF(SETUP!$E$7="USD",((IF(O566="USD",AK566,(AK566/'Master Data-C19RM'!$F$2)))),((IF(O566="EUR",AK566,(AK566*'Master Data-C19RM'!$F$2))))))</f>
        <v>0</v>
      </c>
      <c r="BS566">
        <f>IF(N566="",0,IF(SETUP!$E$7="USD",((IF(O566="USD",AR566,(AR566/'Master Data-C19RM'!$G$2)))),((IF(O566="EUR",AR566,(AR566*'Master Data-C19RM'!$G$2))))))</f>
        <v>0</v>
      </c>
      <c r="BT566">
        <f>IF(N566="",0,IF(SETUP!$E$7="USD",((IF(O566="USD",AY566,(AY566/'Master Data-C19RM'!$H$2)))),((IF(O566="EUR",AY566,(AY566*'Master Data-C19RM'!$H$2))))))</f>
        <v>0</v>
      </c>
      <c r="BU566" s="12">
        <f t="shared" si="72"/>
        <v>0</v>
      </c>
      <c r="BV566" s="142">
        <f t="shared" si="73"/>
        <v>0</v>
      </c>
    </row>
    <row r="567" spans="1:74" x14ac:dyDescent="0.35">
      <c r="A567" s="1165"/>
      <c r="B567" s="1165"/>
      <c r="C567" s="1165"/>
      <c r="D567" s="1165"/>
      <c r="E567" s="1166"/>
      <c r="F567" s="1166"/>
      <c r="G567" s="1166"/>
      <c r="H567" s="1166"/>
      <c r="I567" s="1166"/>
      <c r="J567" s="1166"/>
      <c r="K567" s="1166"/>
      <c r="L567" s="490" t="str" cm="1">
        <f t="array" ref="L567">IF(A567&lt;&gt;"",IFERROR(INDEX(PMtbl[[WKst]:[Unit of measure*]],MATCH($A$544&amp;$A567&amp;$E567&amp;$I567,INDEX(PMtbl[Sec]&amp;PMtbl[Category]&amp;PMtbl[Each]&amp;PMtbl[Packaging],0,),0),14),""),"")</f>
        <v/>
      </c>
      <c r="M567" s="479" t="str">
        <f>IF(L567="","",INDEX(SETUP!$E$20:$E$122,(MATCH(INDEX(PMsheet!$D:$E,MATCH(A567,PMsheet!E:E,0),1),SETUP!$D$20:$D$122,0))))</f>
        <v/>
      </c>
      <c r="N567" s="491">
        <f>IF($O567="USD",_xlfn.IFNA(VLOOKUP(A567&amp;E567&amp;I567,PMsheet!J:K,2,0),0),(_xlfn.IFNA(VLOOKUP(A567&amp;E567&amp;I567,PMsheet!J:K,2,0),0)*'Master Data-C19RM'!$C$2))</f>
        <v>0</v>
      </c>
      <c r="O567" s="492" t="str">
        <f>IF(L567="", "",SETUP!$E$7)</f>
        <v/>
      </c>
      <c r="P567" s="444">
        <f>IF($O567="USD",_xlfn.IFNA(VLOOKUP($A567&amp;$E567&amp;$I567,PMsheet!$J:$K,2,0),0),(_xlfn.IFNA(VLOOKUP($A567&amp;$E567&amp;$I567,PMsheet!$J:$K,2,0),0)*'Master Data-C19RM'!$C$2))</f>
        <v>0</v>
      </c>
      <c r="Q567" s="441"/>
      <c r="R567" s="441"/>
      <c r="S567" s="441"/>
      <c r="T567" s="441"/>
      <c r="U567" s="481">
        <f t="shared" si="74"/>
        <v>0</v>
      </c>
      <c r="V567" s="483">
        <f>IF(SETUP!$E$7="USD",(U567*(IF(O567="USD",P567,(P567/'Master Data-C19RM'!$C$2)))),(U567*(IF(O567="EUR",P567,(P567*'Master Data-C19RM'!$C$2)))))</f>
        <v>0</v>
      </c>
      <c r="W567" s="444">
        <f>IF($O567="USD",_xlfn.IFNA(VLOOKUP($A567&amp;$E567&amp;$I567,PMsheet!$J:$K,2,0),0),(_xlfn.IFNA(VLOOKUP($A567&amp;$E567&amp;$I567,PMsheet!$J:$K,2,0),0)*'Master Data-C19RM'!$D$2))</f>
        <v>0</v>
      </c>
      <c r="X567" s="441"/>
      <c r="Y567" s="441"/>
      <c r="Z567" s="441"/>
      <c r="AA567" s="441"/>
      <c r="AB567" s="481">
        <f t="shared" si="75"/>
        <v>0</v>
      </c>
      <c r="AC567" s="483">
        <f>IF(SETUP!$E$7="USD",(AB567*(IF(O567="USD",W567,(W567/'Master Data-C19RM'!$D$2)))),(AB567*(IF(O567="EUR",W567,(W567*'Master Data-C19RM'!$D$2)))))</f>
        <v>0</v>
      </c>
      <c r="AD567" s="444">
        <f>IF($O567="USD",_xlfn.IFNA(VLOOKUP($A567&amp;$E567&amp;$I567,PMsheet!$J:$K,2,0),0),(_xlfn.IFNA(VLOOKUP($A567&amp;$E567&amp;$I567,PMsheet!$J:$K,2,0),0)*'Master Data-C19RM'!$E$2))</f>
        <v>0</v>
      </c>
      <c r="AE567" s="441"/>
      <c r="AF567" s="441"/>
      <c r="AG567" s="441"/>
      <c r="AH567" s="441"/>
      <c r="AI567" s="512">
        <f t="shared" si="76"/>
        <v>0</v>
      </c>
      <c r="AJ567" s="513">
        <f>IF(SETUP!$E$7="USD",(AI567*(IF(O567="USD",AD567,(AD567/'Master Data-C19RM'!$E$2)))),(AI567*(IF(O567="EUR",AD567,(AD567*'Master Data-C19RM'!$E$2)))))</f>
        <v>0</v>
      </c>
      <c r="AK567" s="444">
        <f>IF($O567="USD",_xlfn.IFNA(VLOOKUP($A567&amp;$E567&amp;$I567,PMsheet!$J:$K,2,0),0),(_xlfn.IFNA(VLOOKUP($A567&amp;$E567&amp;$I567,PMsheet!$J:$K,2,0),0)*'Master Data-C19RM'!$F$2))</f>
        <v>0</v>
      </c>
      <c r="AL567" s="441"/>
      <c r="AM567" s="441"/>
      <c r="AN567" s="441"/>
      <c r="AO567" s="441"/>
      <c r="AP567" s="512">
        <f t="shared" si="77"/>
        <v>0</v>
      </c>
      <c r="AQ567" s="513">
        <f>IF(SETUP!$E$7="USD",(AP567*(IF(O567="USD",AK567,(AK567/'Master Data-C19RM'!$F$2)))),(AP567*(IF(O567="EUR",AK567,(AK567*'Master Data-C19RM'!$F$2)))))</f>
        <v>0</v>
      </c>
      <c r="AR567" s="924">
        <f>IF($O567="USD",_xlfn.IFNA(VLOOKUP($A567&amp;$E567&amp;$I567,PMsheet!$J:$K,2,0),0),(_xlfn.IFNA(VLOOKUP($A567&amp;$E567&amp;$I567,PMsheet!$J:$K,2,0),0)*'Master Data-C19RM'!$G$2))</f>
        <v>0</v>
      </c>
      <c r="AS567" s="572"/>
      <c r="AT567" s="572"/>
      <c r="AU567" s="572"/>
      <c r="AV567" s="572"/>
      <c r="AW567" s="512">
        <f t="shared" si="78"/>
        <v>0</v>
      </c>
      <c r="AX567" s="512">
        <f>IF(SETUP!$E$7="USD",(AW567*(IF(O567="USD",AR567,(AR567/'Master Data-C19RM'!$G$2)))),(AW567*(IF(O567="EUR",AR567,(AR567*'Master Data-C19RM'!$G$2)))))</f>
        <v>0</v>
      </c>
      <c r="AY567" s="845"/>
      <c r="AZ567" s="846"/>
      <c r="BA567" s="846"/>
      <c r="BB567" s="846"/>
      <c r="BC567" s="846"/>
      <c r="BD567" s="846"/>
      <c r="BE567" s="847"/>
      <c r="BF567" s="520">
        <f>'C19RM 2021-Lab &amp; Other HPS'!$U567+'C19RM 2021-Lab &amp; Other HPS'!$AB567+'C19RM 2021-Lab &amp; Other HPS'!$AP567+'C19RM 2021-Lab &amp; Other HPS'!$AI567+AW567+BD567</f>
        <v>0</v>
      </c>
      <c r="BG567" s="513">
        <f>'C19RM 2021-Lab &amp; Other HPS'!$V567+'C19RM 2021-Lab &amp; Other HPS'!$AC567+'C19RM 2021-Lab &amp; Other HPS'!$AQ567+'C19RM 2021-Lab &amp; Other HPS'!$AJ567+AX567+BE567</f>
        <v>0</v>
      </c>
      <c r="BH567" s="500" t="str" cm="1">
        <f t="array" ref="BH567">IF(A567&lt;&gt;"",IFERROR(INDEX(PMtbl[[WKst]:[Unit of measure*]],MATCH($A$544&amp;$A567&amp;$E567&amp;$I567,INDEX(PMtbl[Sec]&amp;PMtbl[Category]&amp;PMtbl[Each]&amp;PMtbl[Packaging],0,),0),11),""),"")</f>
        <v/>
      </c>
      <c r="BI567" s="819"/>
      <c r="BJ567" s="502" t="str" cm="1">
        <f t="array" ref="BJ567">IFERROR(INDEX(SETUP!$C$19:$G$121,MATCH((INDEX(PMtbl[[WKst]:[Unit of measure*]],MATCH($A567&amp;$E567&amp;$I567,INDEX(PMtbl[Category]&amp;PMtbl[Each]&amp;PMtbl[Packaging],0,),0),3)),SETUP!$D$19:$D$121,0),5),"")</f>
        <v/>
      </c>
      <c r="BK567" s="542" t="str" cm="1">
        <f t="array" ref="BK567">IFERROR(IF((INDEX(SETUP!$C$19:$G$121,MATCH((INDEX(PMtbl[[WKst]:[Unit of measure*]],MATCH($A567&amp;$E567&amp;$I567,INDEX(PMtbl[Category]&amp;PMtbl[Each]&amp;PMtbl[Packaging],0,),0),3)),SETUP!$D$19:$D$121,0),4))="Upfront",0,INDEX(SETUP!$C$19:$G$121,MATCH((INDEX(PMtbl[[WKst]:[Unit of measure*]],MATCH($A567&amp;$E567&amp;$I567,INDEX(PMtbl[Category]&amp;PMtbl[Each]&amp;PMtbl[Packaging],0,),0),3)),SETUP!$D$19:$D$121,0),5)),"")</f>
        <v/>
      </c>
      <c r="BL567" s="200" t="str" cm="1">
        <f t="array" ref="BL567">IF(E567&lt;&gt;"",IFERROR(INDEX(PMtbl[[WKst]:[Unit of measure*]],MATCH($A$544&amp;$A567&amp;$E567&amp;$I567,INDEX(PMtbl[Sec]&amp;PMtbl[Category]&amp;PMtbl[Each]&amp;PMtbl[Packaging],0,),0),11),""),"")</f>
        <v/>
      </c>
      <c r="BO567" s="12">
        <f>IF(N567="",0,IF(SETUP!$E$7="USD",((IF(O567="USD",P567,(P567/'Master Data-C19RM'!$C$2)))),((IF(O567="EUR",P567,(P567*'Master Data-C19RM'!$C$2))))))</f>
        <v>0</v>
      </c>
      <c r="BP567" s="12">
        <f>IF(N567="",0,IF(SETUP!$E$7="USD",((IF(O567="USD",W567,(W567/'Master Data-C19RM'!$D$2)))),((IF(O567="EUR",W567,(W567*'Master Data-C19RM'!$D$2))))))</f>
        <v>0</v>
      </c>
      <c r="BQ567">
        <f>IF(N567="",0,IF(SETUP!$E$7="USD",((IF(O567="USD",AD567,(AD567/'Master Data-C19RM'!$E$2)))),((IF(O567="EUR",AD567,(AD567*'Master Data-C19RM'!$E$2))))))</f>
        <v>0</v>
      </c>
      <c r="BR567">
        <f>IF(N567="",0,IF(SETUP!$E$7="USD",((IF(O567="USD",AK567,(AK567/'Master Data-C19RM'!$F$2)))),((IF(O567="EUR",AK567,(AK567*'Master Data-C19RM'!$F$2))))))</f>
        <v>0</v>
      </c>
      <c r="BS567">
        <f>IF(N567="",0,IF(SETUP!$E$7="USD",((IF(O567="USD",AR567,(AR567/'Master Data-C19RM'!$G$2)))),((IF(O567="EUR",AR567,(AR567*'Master Data-C19RM'!$G$2))))))</f>
        <v>0</v>
      </c>
      <c r="BT567">
        <f>IF(N567="",0,IF(SETUP!$E$7="USD",((IF(O567="USD",AY567,(AY567/'Master Data-C19RM'!$H$2)))),((IF(O567="EUR",AY567,(AY567*'Master Data-C19RM'!$H$2))))))</f>
        <v>0</v>
      </c>
      <c r="BU567" s="12">
        <f t="shared" si="72"/>
        <v>0</v>
      </c>
      <c r="BV567" s="142">
        <f t="shared" si="73"/>
        <v>0</v>
      </c>
    </row>
    <row r="568" spans="1:74" x14ac:dyDescent="0.35">
      <c r="A568" s="1192"/>
      <c r="B568" s="1192"/>
      <c r="C568" s="1192"/>
      <c r="D568" s="1192"/>
      <c r="E568" s="1173"/>
      <c r="F568" s="1173"/>
      <c r="G568" s="1173"/>
      <c r="H568" s="1173"/>
      <c r="I568" s="1173"/>
      <c r="J568" s="1173"/>
      <c r="K568" s="1173"/>
      <c r="L568" s="493" t="str" cm="1">
        <f t="array" ref="L568">IF(A568&lt;&gt;"",IFERROR(INDEX(PMtbl[[WKst]:[Unit of measure*]],MATCH($A$544&amp;$A568&amp;$E568&amp;$I568,INDEX(PMtbl[Sec]&amp;PMtbl[Category]&amp;PMtbl[Each]&amp;PMtbl[Packaging],0,),0),14),""),"")</f>
        <v/>
      </c>
      <c r="M568" s="480" t="str">
        <f>IF(L568="","",INDEX(SETUP!$E$20:$E$122,(MATCH(INDEX(PMsheet!$D:$E,MATCH(A568,PMsheet!E:E,0),1),SETUP!$D$20:$D$122,0))))</f>
        <v/>
      </c>
      <c r="N568" s="494">
        <f>IF($O568="USD",_xlfn.IFNA(VLOOKUP(A568&amp;E568&amp;I568,PMsheet!J:K,2,0),0),(_xlfn.IFNA(VLOOKUP(A568&amp;E568&amp;I568,PMsheet!J:K,2,0),0)*'Master Data-C19RM'!$C$2))</f>
        <v>0</v>
      </c>
      <c r="O568" s="495" t="str">
        <f>IF(L568="", "",SETUP!$E$7)</f>
        <v/>
      </c>
      <c r="P568" s="445">
        <f>IF($O568="USD",_xlfn.IFNA(VLOOKUP($A568&amp;$E568&amp;$I568,PMsheet!$J:$K,2,0),0),(_xlfn.IFNA(VLOOKUP($A568&amp;$E568&amp;$I568,PMsheet!$J:$K,2,0),0)*'Master Data-C19RM'!$C$2))</f>
        <v>0</v>
      </c>
      <c r="Q568" s="440"/>
      <c r="R568" s="440"/>
      <c r="S568" s="440"/>
      <c r="T568" s="440"/>
      <c r="U568" s="482">
        <f t="shared" si="74"/>
        <v>0</v>
      </c>
      <c r="V568" s="484">
        <f>IF(SETUP!$E$7="USD",(U568*(IF(O568="USD",P568,(P568/'Master Data-C19RM'!$C$2)))),(U568*(IF(O568="EUR",P568,(P568*'Master Data-C19RM'!$C$2)))))</f>
        <v>0</v>
      </c>
      <c r="W568" s="445">
        <f>IF($O568="USD",_xlfn.IFNA(VLOOKUP($A568&amp;$E568&amp;$I568,PMsheet!$J:$K,2,0),0),(_xlfn.IFNA(VLOOKUP($A568&amp;$E568&amp;$I568,PMsheet!$J:$K,2,0),0)*'Master Data-C19RM'!$D$2))</f>
        <v>0</v>
      </c>
      <c r="X568" s="440"/>
      <c r="Y568" s="440"/>
      <c r="Z568" s="440"/>
      <c r="AA568" s="440"/>
      <c r="AB568" s="482">
        <f t="shared" si="75"/>
        <v>0</v>
      </c>
      <c r="AC568" s="484">
        <f>IF(SETUP!$E$7="USD",(AB568*(IF(O568="USD",W568,(W568/'Master Data-C19RM'!$D$2)))),(AB568*(IF(O568="EUR",W568,(W568*'Master Data-C19RM'!$D$2)))))</f>
        <v>0</v>
      </c>
      <c r="AD568" s="445">
        <f>IF($O568="USD",_xlfn.IFNA(VLOOKUP($A568&amp;$E568&amp;$I568,PMsheet!$J:$K,2,0),0),(_xlfn.IFNA(VLOOKUP($A568&amp;$E568&amp;$I568,PMsheet!$J:$K,2,0),0)*'Master Data-C19RM'!$E$2))</f>
        <v>0</v>
      </c>
      <c r="AE568" s="440"/>
      <c r="AF568" s="440"/>
      <c r="AG568" s="440"/>
      <c r="AH568" s="440"/>
      <c r="AI568" s="514">
        <f t="shared" si="76"/>
        <v>0</v>
      </c>
      <c r="AJ568" s="515">
        <f>IF(SETUP!$E$7="USD",(AI568*(IF(O568="USD",AD568,(AD568/'Master Data-C19RM'!$E$2)))),(AI568*(IF(O568="EUR",AD568,(AD568*'Master Data-C19RM'!$E$2)))))</f>
        <v>0</v>
      </c>
      <c r="AK568" s="445">
        <f>IF($O568="USD",_xlfn.IFNA(VLOOKUP($A568&amp;$E568&amp;$I568,PMsheet!$J:$K,2,0),0),(_xlfn.IFNA(VLOOKUP($A568&amp;$E568&amp;$I568,PMsheet!$J:$K,2,0),0)*'Master Data-C19RM'!$F$2))</f>
        <v>0</v>
      </c>
      <c r="AL568" s="440"/>
      <c r="AM568" s="440"/>
      <c r="AN568" s="440"/>
      <c r="AO568" s="440"/>
      <c r="AP568" s="514">
        <f t="shared" si="77"/>
        <v>0</v>
      </c>
      <c r="AQ568" s="515">
        <f>IF(SETUP!$E$7="USD",(AP568*(IF(O568="USD",AK568,(AK568/'Master Data-C19RM'!$F$2)))),(AP568*(IF(O568="EUR",AK568,(AK568*'Master Data-C19RM'!$F$2)))))</f>
        <v>0</v>
      </c>
      <c r="AR568" s="925">
        <f>IF($O568="USD",_xlfn.IFNA(VLOOKUP($A568&amp;$E568&amp;$I568,PMsheet!$J:$K,2,0),0),(_xlfn.IFNA(VLOOKUP($A568&amp;$E568&amp;$I568,PMsheet!$J:$K,2,0),0)*'Master Data-C19RM'!$G$2))</f>
        <v>0</v>
      </c>
      <c r="AS568" s="926"/>
      <c r="AT568" s="926"/>
      <c r="AU568" s="926"/>
      <c r="AV568" s="926"/>
      <c r="AW568" s="514">
        <f t="shared" si="78"/>
        <v>0</v>
      </c>
      <c r="AX568" s="514">
        <f>IF(SETUP!$E$7="USD",(AW568*(IF(O568="USD",AR568,(AR568/'Master Data-C19RM'!$G$2)))),(AW568*(IF(O568="EUR",AR568,(AR568*'Master Data-C19RM'!$G$2)))))</f>
        <v>0</v>
      </c>
      <c r="AY568" s="845"/>
      <c r="AZ568" s="846"/>
      <c r="BA568" s="846"/>
      <c r="BB568" s="846"/>
      <c r="BC568" s="846"/>
      <c r="BD568" s="846"/>
      <c r="BE568" s="847"/>
      <c r="BF568" s="521">
        <f>'C19RM 2021-Lab &amp; Other HPS'!$U568+'C19RM 2021-Lab &amp; Other HPS'!$AB568+'C19RM 2021-Lab &amp; Other HPS'!$AP568+'C19RM 2021-Lab &amp; Other HPS'!$AI568+AW568+BD568</f>
        <v>0</v>
      </c>
      <c r="BG568" s="515">
        <f>'C19RM 2021-Lab &amp; Other HPS'!$V568+'C19RM 2021-Lab &amp; Other HPS'!$AC568+'C19RM 2021-Lab &amp; Other HPS'!$AQ568+'C19RM 2021-Lab &amp; Other HPS'!$AJ568+AX568+BE568</f>
        <v>0</v>
      </c>
      <c r="BH568" s="522" t="str" cm="1">
        <f t="array" ref="BH568">IF(A568&lt;&gt;"",IFERROR(INDEX(PMtbl[[WKst]:[Unit of measure*]],MATCH($A$544&amp;$A568&amp;$E568&amp;$I568,INDEX(PMtbl[Sec]&amp;PMtbl[Category]&amp;PMtbl[Each]&amp;PMtbl[Packaging],0,),0),11),""),"")</f>
        <v/>
      </c>
      <c r="BI568" s="818"/>
      <c r="BJ568" s="503" t="str" cm="1">
        <f t="array" ref="BJ568">IFERROR(INDEX(SETUP!$C$19:$G$121,MATCH((INDEX(PMtbl[[WKst]:[Unit of measure*]],MATCH($A568&amp;$E568&amp;$I568,INDEX(PMtbl[Category]&amp;PMtbl[Each]&amp;PMtbl[Packaging],0,),0),3)),SETUP!$D$19:$D$121,0),5),"")</f>
        <v/>
      </c>
      <c r="BK568" s="543" t="str" cm="1">
        <f t="array" ref="BK568">IFERROR(IF((INDEX(SETUP!$C$19:$G$121,MATCH((INDEX(PMtbl[[WKst]:[Unit of measure*]],MATCH($A568&amp;$E568&amp;$I568,INDEX(PMtbl[Category]&amp;PMtbl[Each]&amp;PMtbl[Packaging],0,),0),3)),SETUP!$D$19:$D$121,0),4))="Upfront",0,INDEX(SETUP!$C$19:$G$121,MATCH((INDEX(PMtbl[[WKst]:[Unit of measure*]],MATCH($A568&amp;$E568&amp;$I568,INDEX(PMtbl[Category]&amp;PMtbl[Each]&amp;PMtbl[Packaging],0,),0),3)),SETUP!$D$19:$D$121,0),5)),"")</f>
        <v/>
      </c>
      <c r="BL568" s="201" t="str" cm="1">
        <f t="array" ref="BL568">IF(E568&lt;&gt;"",IFERROR(INDEX(PMtbl[[WKst]:[Unit of measure*]],MATCH($A$544&amp;$A568&amp;$E568&amp;$I568,INDEX(PMtbl[Sec]&amp;PMtbl[Category]&amp;PMtbl[Each]&amp;PMtbl[Packaging],0,),0),11),""),"")</f>
        <v/>
      </c>
      <c r="BO568" s="12">
        <f>IF(N568="",0,IF(SETUP!$E$7="USD",((IF(O568="USD",P568,(P568/'Master Data-C19RM'!$C$2)))),((IF(O568="EUR",P568,(P568*'Master Data-C19RM'!$C$2))))))</f>
        <v>0</v>
      </c>
      <c r="BP568" s="12">
        <f>IF(N568="",0,IF(SETUP!$E$7="USD",((IF(O568="USD",W568,(W568/'Master Data-C19RM'!$D$2)))),((IF(O568="EUR",W568,(W568*'Master Data-C19RM'!$D$2))))))</f>
        <v>0</v>
      </c>
      <c r="BQ568">
        <f>IF(N568="",0,IF(SETUP!$E$7="USD",((IF(O568="USD",AD568,(AD568/'Master Data-C19RM'!$E$2)))),((IF(O568="EUR",AD568,(AD568*'Master Data-C19RM'!$E$2))))))</f>
        <v>0</v>
      </c>
      <c r="BR568">
        <f>IF(N568="",0,IF(SETUP!$E$7="USD",((IF(O568="USD",AK568,(AK568/'Master Data-C19RM'!$F$2)))),((IF(O568="EUR",AK568,(AK568*'Master Data-C19RM'!$F$2))))))</f>
        <v>0</v>
      </c>
      <c r="BS568">
        <f>IF(N568="",0,IF(SETUP!$E$7="USD",((IF(O568="USD",AR568,(AR568/'Master Data-C19RM'!$G$2)))),((IF(O568="EUR",AR568,(AR568*'Master Data-C19RM'!$G$2))))))</f>
        <v>0</v>
      </c>
      <c r="BT568">
        <f>IF(N568="",0,IF(SETUP!$E$7="USD",((IF(O568="USD",AY568,(AY568/'Master Data-C19RM'!$H$2)))),((IF(O568="EUR",AY568,(AY568*'Master Data-C19RM'!$H$2))))))</f>
        <v>0</v>
      </c>
      <c r="BU568" s="12">
        <f t="shared" si="72"/>
        <v>0</v>
      </c>
      <c r="BV568" s="142">
        <f t="shared" si="73"/>
        <v>0</v>
      </c>
    </row>
    <row r="569" spans="1:74" x14ac:dyDescent="0.35">
      <c r="A569" s="1165"/>
      <c r="B569" s="1165"/>
      <c r="C569" s="1165"/>
      <c r="D569" s="1165"/>
      <c r="E569" s="1166"/>
      <c r="F569" s="1166"/>
      <c r="G569" s="1166"/>
      <c r="H569" s="1166"/>
      <c r="I569" s="1166"/>
      <c r="J569" s="1166"/>
      <c r="K569" s="1166"/>
      <c r="L569" s="490" t="str" cm="1">
        <f t="array" ref="L569">IF(A569&lt;&gt;"",IFERROR(INDEX(PMtbl[[WKst]:[Unit of measure*]],MATCH($A$544&amp;$A569&amp;$E569&amp;$I569,INDEX(PMtbl[Sec]&amp;PMtbl[Category]&amp;PMtbl[Each]&amp;PMtbl[Packaging],0,),0),14),""),"")</f>
        <v/>
      </c>
      <c r="M569" s="479" t="str">
        <f>IF(L569="","",INDEX(SETUP!$E$20:$E$122,(MATCH(INDEX(PMsheet!$D:$E,MATCH(A569,PMsheet!E:E,0),1),SETUP!$D$20:$D$122,0))))</f>
        <v/>
      </c>
      <c r="N569" s="491">
        <f>IF($O569="USD",_xlfn.IFNA(VLOOKUP(A569&amp;E569&amp;I569,PMsheet!J:K,2,0),0),(_xlfn.IFNA(VLOOKUP(A569&amp;E569&amp;I569,PMsheet!J:K,2,0),0)*'Master Data-C19RM'!$C$2))</f>
        <v>0</v>
      </c>
      <c r="O569" s="492" t="str">
        <f>IF(L569="", "",SETUP!$E$7)</f>
        <v/>
      </c>
      <c r="P569" s="444">
        <f>IF($O569="USD",_xlfn.IFNA(VLOOKUP($A569&amp;$E569&amp;$I569,PMsheet!$J:$K,2,0),0),(_xlfn.IFNA(VLOOKUP($A569&amp;$E569&amp;$I569,PMsheet!$J:$K,2,0),0)*'Master Data-C19RM'!$C$2))</f>
        <v>0</v>
      </c>
      <c r="Q569" s="441"/>
      <c r="R569" s="441"/>
      <c r="S569" s="441"/>
      <c r="T569" s="441"/>
      <c r="U569" s="481">
        <f t="shared" si="74"/>
        <v>0</v>
      </c>
      <c r="V569" s="483">
        <f>IF(SETUP!$E$7="USD",(U569*(IF(O569="USD",P569,(P569/'Master Data-C19RM'!$C$2)))),(U569*(IF(O569="EUR",P569,(P569*'Master Data-C19RM'!$C$2)))))</f>
        <v>0</v>
      </c>
      <c r="W569" s="444">
        <f>IF($O569="USD",_xlfn.IFNA(VLOOKUP($A569&amp;$E569&amp;$I569,PMsheet!$J:$K,2,0),0),(_xlfn.IFNA(VLOOKUP($A569&amp;$E569&amp;$I569,PMsheet!$J:$K,2,0),0)*'Master Data-C19RM'!$D$2))</f>
        <v>0</v>
      </c>
      <c r="X569" s="441"/>
      <c r="Y569" s="441"/>
      <c r="Z569" s="441"/>
      <c r="AA569" s="441"/>
      <c r="AB569" s="481">
        <f t="shared" si="75"/>
        <v>0</v>
      </c>
      <c r="AC569" s="483">
        <f>IF(SETUP!$E$7="USD",(AB569*(IF(O569="USD",W569,(W569/'Master Data-C19RM'!$D$2)))),(AB569*(IF(O569="EUR",W569,(W569*'Master Data-C19RM'!$D$2)))))</f>
        <v>0</v>
      </c>
      <c r="AD569" s="444">
        <f>IF($O569="USD",_xlfn.IFNA(VLOOKUP($A569&amp;$E569&amp;$I569,PMsheet!$J:$K,2,0),0),(_xlfn.IFNA(VLOOKUP($A569&amp;$E569&amp;$I569,PMsheet!$J:$K,2,0),0)*'Master Data-C19RM'!$E$2))</f>
        <v>0</v>
      </c>
      <c r="AE569" s="441"/>
      <c r="AF569" s="441"/>
      <c r="AG569" s="441"/>
      <c r="AH569" s="441"/>
      <c r="AI569" s="512">
        <f t="shared" si="76"/>
        <v>0</v>
      </c>
      <c r="AJ569" s="513">
        <f>IF(SETUP!$E$7="USD",(AI569*(IF(O569="USD",AD569,(AD569/'Master Data-C19RM'!$E$2)))),(AI569*(IF(O569="EUR",AD569,(AD569*'Master Data-C19RM'!$E$2)))))</f>
        <v>0</v>
      </c>
      <c r="AK569" s="444">
        <f>IF($O569="USD",_xlfn.IFNA(VLOOKUP($A569&amp;$E569&amp;$I569,PMsheet!$J:$K,2,0),0),(_xlfn.IFNA(VLOOKUP($A569&amp;$E569&amp;$I569,PMsheet!$J:$K,2,0),0)*'Master Data-C19RM'!$F$2))</f>
        <v>0</v>
      </c>
      <c r="AL569" s="441"/>
      <c r="AM569" s="441"/>
      <c r="AN569" s="441"/>
      <c r="AO569" s="441"/>
      <c r="AP569" s="512">
        <f t="shared" si="77"/>
        <v>0</v>
      </c>
      <c r="AQ569" s="513">
        <f>IF(SETUP!$E$7="USD",(AP569*(IF(O569="USD",AK569,(AK569/'Master Data-C19RM'!$F$2)))),(AP569*(IF(O569="EUR",AK569,(AK569*'Master Data-C19RM'!$F$2)))))</f>
        <v>0</v>
      </c>
      <c r="AR569" s="924">
        <f>IF($O569="USD",_xlfn.IFNA(VLOOKUP($A569&amp;$E569&amp;$I569,PMsheet!$J:$K,2,0),0),(_xlfn.IFNA(VLOOKUP($A569&amp;$E569&amp;$I569,PMsheet!$J:$K,2,0),0)*'Master Data-C19RM'!$G$2))</f>
        <v>0</v>
      </c>
      <c r="AS569" s="572"/>
      <c r="AT569" s="572"/>
      <c r="AU569" s="572"/>
      <c r="AV569" s="572"/>
      <c r="AW569" s="512">
        <f t="shared" si="78"/>
        <v>0</v>
      </c>
      <c r="AX569" s="512">
        <f>IF(SETUP!$E$7="USD",(AW569*(IF(O569="USD",AR569,(AR569/'Master Data-C19RM'!$G$2)))),(AW569*(IF(O569="EUR",AR569,(AR569*'Master Data-C19RM'!$G$2)))))</f>
        <v>0</v>
      </c>
      <c r="AY569" s="845"/>
      <c r="AZ569" s="846"/>
      <c r="BA569" s="846"/>
      <c r="BB569" s="846"/>
      <c r="BC569" s="846"/>
      <c r="BD569" s="846"/>
      <c r="BE569" s="847"/>
      <c r="BF569" s="520">
        <f>'C19RM 2021-Lab &amp; Other HPS'!$U569+'C19RM 2021-Lab &amp; Other HPS'!$AB569+'C19RM 2021-Lab &amp; Other HPS'!$AP569+'C19RM 2021-Lab &amp; Other HPS'!$AI569+AW569+BD569</f>
        <v>0</v>
      </c>
      <c r="BG569" s="513">
        <f>'C19RM 2021-Lab &amp; Other HPS'!$V569+'C19RM 2021-Lab &amp; Other HPS'!$AC569+'C19RM 2021-Lab &amp; Other HPS'!$AQ569+'C19RM 2021-Lab &amp; Other HPS'!$AJ569+AX569+BE569</f>
        <v>0</v>
      </c>
      <c r="BH569" s="500" t="str" cm="1">
        <f t="array" ref="BH569">IF(A569&lt;&gt;"",IFERROR(INDEX(PMtbl[[WKst]:[Unit of measure*]],MATCH($A$544&amp;$A569&amp;$E569&amp;$I569,INDEX(PMtbl[Sec]&amp;PMtbl[Category]&amp;PMtbl[Each]&amp;PMtbl[Packaging],0,),0),11),""),"")</f>
        <v/>
      </c>
      <c r="BI569" s="819"/>
      <c r="BJ569" s="502" t="str" cm="1">
        <f t="array" ref="BJ569">IFERROR(INDEX(SETUP!$C$19:$G$121,MATCH((INDEX(PMtbl[[WKst]:[Unit of measure*]],MATCH($A569&amp;$E569&amp;$I569,INDEX(PMtbl[Category]&amp;PMtbl[Each]&amp;PMtbl[Packaging],0,),0),3)),SETUP!$D$19:$D$121,0),5),"")</f>
        <v/>
      </c>
      <c r="BK569" s="542" t="str" cm="1">
        <f t="array" ref="BK569">IFERROR(IF((INDEX(SETUP!$C$19:$G$121,MATCH((INDEX(PMtbl[[WKst]:[Unit of measure*]],MATCH($A569&amp;$E569&amp;$I569,INDEX(PMtbl[Category]&amp;PMtbl[Each]&amp;PMtbl[Packaging],0,),0),3)),SETUP!$D$19:$D$121,0),4))="Upfront",0,INDEX(SETUP!$C$19:$G$121,MATCH((INDEX(PMtbl[[WKst]:[Unit of measure*]],MATCH($A569&amp;$E569&amp;$I569,INDEX(PMtbl[Category]&amp;PMtbl[Each]&amp;PMtbl[Packaging],0,),0),3)),SETUP!$D$19:$D$121,0),5)),"")</f>
        <v/>
      </c>
      <c r="BL569" s="200" t="str" cm="1">
        <f t="array" ref="BL569">IF(E569&lt;&gt;"",IFERROR(INDEX(PMtbl[[WKst]:[Unit of measure*]],MATCH($A$544&amp;$A569&amp;$E569&amp;$I569,INDEX(PMtbl[Sec]&amp;PMtbl[Category]&amp;PMtbl[Each]&amp;PMtbl[Packaging],0,),0),11),""),"")</f>
        <v/>
      </c>
      <c r="BO569" s="12">
        <f>IF(N569="",0,IF(SETUP!$E$7="USD",((IF(O569="USD",P569,(P569/'Master Data-C19RM'!$C$2)))),((IF(O569="EUR",P569,(P569*'Master Data-C19RM'!$C$2))))))</f>
        <v>0</v>
      </c>
      <c r="BP569" s="12">
        <f>IF(N569="",0,IF(SETUP!$E$7="USD",((IF(O569="USD",W569,(W569/'Master Data-C19RM'!$D$2)))),((IF(O569="EUR",W569,(W569*'Master Data-C19RM'!$D$2))))))</f>
        <v>0</v>
      </c>
      <c r="BQ569">
        <f>IF(N569="",0,IF(SETUP!$E$7="USD",((IF(O569="USD",AD569,(AD569/'Master Data-C19RM'!$E$2)))),((IF(O569="EUR",AD569,(AD569*'Master Data-C19RM'!$E$2))))))</f>
        <v>0</v>
      </c>
      <c r="BR569">
        <f>IF(N569="",0,IF(SETUP!$E$7="USD",((IF(O569="USD",AK569,(AK569/'Master Data-C19RM'!$F$2)))),((IF(O569="EUR",AK569,(AK569*'Master Data-C19RM'!$F$2))))))</f>
        <v>0</v>
      </c>
      <c r="BS569">
        <f>IF(N569="",0,IF(SETUP!$E$7="USD",((IF(O569="USD",AR569,(AR569/'Master Data-C19RM'!$G$2)))),((IF(O569="EUR",AR569,(AR569*'Master Data-C19RM'!$G$2))))))</f>
        <v>0</v>
      </c>
      <c r="BT569">
        <f>IF(N569="",0,IF(SETUP!$E$7="USD",((IF(O569="USD",AY569,(AY569/'Master Data-C19RM'!$H$2)))),((IF(O569="EUR",AY569,(AY569*'Master Data-C19RM'!$H$2))))))</f>
        <v>0</v>
      </c>
      <c r="BU569" s="12">
        <f t="shared" si="72"/>
        <v>0</v>
      </c>
      <c r="BV569" s="142">
        <f t="shared" si="73"/>
        <v>0</v>
      </c>
    </row>
    <row r="570" spans="1:74" x14ac:dyDescent="0.35">
      <c r="A570" s="1192"/>
      <c r="B570" s="1192"/>
      <c r="C570" s="1192"/>
      <c r="D570" s="1192"/>
      <c r="E570" s="1173"/>
      <c r="F570" s="1173"/>
      <c r="G570" s="1173"/>
      <c r="H570" s="1173"/>
      <c r="I570" s="1173"/>
      <c r="J570" s="1173"/>
      <c r="K570" s="1173"/>
      <c r="L570" s="493" t="str" cm="1">
        <f t="array" ref="L570">IF(A570&lt;&gt;"",IFERROR(INDEX(PMtbl[[WKst]:[Unit of measure*]],MATCH($A$544&amp;$A570&amp;$E570&amp;$I570,INDEX(PMtbl[Sec]&amp;PMtbl[Category]&amp;PMtbl[Each]&amp;PMtbl[Packaging],0,),0),14),""),"")</f>
        <v/>
      </c>
      <c r="M570" s="480" t="str">
        <f>IF(L570="","",INDEX(SETUP!$E$20:$E$122,(MATCH(INDEX(PMsheet!$D:$E,MATCH(A570,PMsheet!E:E,0),1),SETUP!$D$20:$D$122,0))))</f>
        <v/>
      </c>
      <c r="N570" s="494">
        <f>IF($O570="USD",_xlfn.IFNA(VLOOKUP(A570&amp;E570&amp;I570,PMsheet!J:K,2,0),0),(_xlfn.IFNA(VLOOKUP(A570&amp;E570&amp;I570,PMsheet!J:K,2,0),0)*'Master Data-C19RM'!$C$2))</f>
        <v>0</v>
      </c>
      <c r="O570" s="495" t="str">
        <f>IF(L570="", "",SETUP!$E$7)</f>
        <v/>
      </c>
      <c r="P570" s="445">
        <f>IF($O570="USD",_xlfn.IFNA(VLOOKUP($A570&amp;$E570&amp;$I570,PMsheet!$J:$K,2,0),0),(_xlfn.IFNA(VLOOKUP($A570&amp;$E570&amp;$I570,PMsheet!$J:$K,2,0),0)*'Master Data-C19RM'!$C$2))</f>
        <v>0</v>
      </c>
      <c r="Q570" s="440"/>
      <c r="R570" s="440"/>
      <c r="S570" s="440"/>
      <c r="T570" s="440"/>
      <c r="U570" s="482">
        <f t="shared" si="74"/>
        <v>0</v>
      </c>
      <c r="V570" s="484">
        <f>IF(SETUP!$E$7="USD",(U570*(IF(O570="USD",P570,(P570/'Master Data-C19RM'!$C$2)))),(U570*(IF(O570="EUR",P570,(P570*'Master Data-C19RM'!$C$2)))))</f>
        <v>0</v>
      </c>
      <c r="W570" s="445">
        <f>IF($O570="USD",_xlfn.IFNA(VLOOKUP($A570&amp;$E570&amp;$I570,PMsheet!$J:$K,2,0),0),(_xlfn.IFNA(VLOOKUP($A570&amp;$E570&amp;$I570,PMsheet!$J:$K,2,0),0)*'Master Data-C19RM'!$D$2))</f>
        <v>0</v>
      </c>
      <c r="X570" s="440"/>
      <c r="Y570" s="440"/>
      <c r="Z570" s="440"/>
      <c r="AA570" s="440"/>
      <c r="AB570" s="482">
        <f t="shared" si="75"/>
        <v>0</v>
      </c>
      <c r="AC570" s="484">
        <f>IF(SETUP!$E$7="USD",(AB570*(IF(O570="USD",W570,(W570/'Master Data-C19RM'!$D$2)))),(AB570*(IF(O570="EUR",W570,(W570*'Master Data-C19RM'!$D$2)))))</f>
        <v>0</v>
      </c>
      <c r="AD570" s="445">
        <f>IF($O570="USD",_xlfn.IFNA(VLOOKUP($A570&amp;$E570&amp;$I570,PMsheet!$J:$K,2,0),0),(_xlfn.IFNA(VLOOKUP($A570&amp;$E570&amp;$I570,PMsheet!$J:$K,2,0),0)*'Master Data-C19RM'!$E$2))</f>
        <v>0</v>
      </c>
      <c r="AE570" s="440"/>
      <c r="AF570" s="440"/>
      <c r="AG570" s="440"/>
      <c r="AH570" s="440"/>
      <c r="AI570" s="514">
        <f t="shared" si="76"/>
        <v>0</v>
      </c>
      <c r="AJ570" s="515">
        <f>IF(SETUP!$E$7="USD",(AI570*(IF(O570="USD",AD570,(AD570/'Master Data-C19RM'!$E$2)))),(AI570*(IF(O570="EUR",AD570,(AD570*'Master Data-C19RM'!$E$2)))))</f>
        <v>0</v>
      </c>
      <c r="AK570" s="445">
        <f>IF($O570="USD",_xlfn.IFNA(VLOOKUP($A570&amp;$E570&amp;$I570,PMsheet!$J:$K,2,0),0),(_xlfn.IFNA(VLOOKUP($A570&amp;$E570&amp;$I570,PMsheet!$J:$K,2,0),0)*'Master Data-C19RM'!$F$2))</f>
        <v>0</v>
      </c>
      <c r="AL570" s="440"/>
      <c r="AM570" s="440"/>
      <c r="AN570" s="440"/>
      <c r="AO570" s="440"/>
      <c r="AP570" s="514">
        <f t="shared" si="77"/>
        <v>0</v>
      </c>
      <c r="AQ570" s="515">
        <f>IF(SETUP!$E$7="USD",(AP570*(IF(O570="USD",AK570,(AK570/'Master Data-C19RM'!$F$2)))),(AP570*(IF(O570="EUR",AK570,(AK570*'Master Data-C19RM'!$F$2)))))</f>
        <v>0</v>
      </c>
      <c r="AR570" s="925">
        <f>IF($O570="USD",_xlfn.IFNA(VLOOKUP($A570&amp;$E570&amp;$I570,PMsheet!$J:$K,2,0),0),(_xlfn.IFNA(VLOOKUP($A570&amp;$E570&amp;$I570,PMsheet!$J:$K,2,0),0)*'Master Data-C19RM'!$G$2))</f>
        <v>0</v>
      </c>
      <c r="AS570" s="926"/>
      <c r="AT570" s="926"/>
      <c r="AU570" s="926"/>
      <c r="AV570" s="926"/>
      <c r="AW570" s="514">
        <f t="shared" si="78"/>
        <v>0</v>
      </c>
      <c r="AX570" s="514">
        <f>IF(SETUP!$E$7="USD",(AW570*(IF(O570="USD",AR570,(AR570/'Master Data-C19RM'!$G$2)))),(AW570*(IF(O570="EUR",AR570,(AR570*'Master Data-C19RM'!$G$2)))))</f>
        <v>0</v>
      </c>
      <c r="AY570" s="845"/>
      <c r="AZ570" s="846"/>
      <c r="BA570" s="846"/>
      <c r="BB570" s="846"/>
      <c r="BC570" s="846"/>
      <c r="BD570" s="846"/>
      <c r="BE570" s="847"/>
      <c r="BF570" s="521">
        <f>'C19RM 2021-Lab &amp; Other HPS'!$U570+'C19RM 2021-Lab &amp; Other HPS'!$AB570+'C19RM 2021-Lab &amp; Other HPS'!$AP570+'C19RM 2021-Lab &amp; Other HPS'!$AI570+AW570+BD570</f>
        <v>0</v>
      </c>
      <c r="BG570" s="515">
        <f>'C19RM 2021-Lab &amp; Other HPS'!$V570+'C19RM 2021-Lab &amp; Other HPS'!$AC570+'C19RM 2021-Lab &amp; Other HPS'!$AQ570+'C19RM 2021-Lab &amp; Other HPS'!$AJ570+AX570+BE570</f>
        <v>0</v>
      </c>
      <c r="BH570" s="522" t="str" cm="1">
        <f t="array" ref="BH570">IF(A570&lt;&gt;"",IFERROR(INDEX(PMtbl[[WKst]:[Unit of measure*]],MATCH($A$544&amp;$A570&amp;$E570&amp;$I570,INDEX(PMtbl[Sec]&amp;PMtbl[Category]&amp;PMtbl[Each]&amp;PMtbl[Packaging],0,),0),11),""),"")</f>
        <v/>
      </c>
      <c r="BI570" s="818"/>
      <c r="BJ570" s="503" t="str" cm="1">
        <f t="array" ref="BJ570">IFERROR(INDEX(SETUP!$C$19:$G$121,MATCH((INDEX(PMtbl[[WKst]:[Unit of measure*]],MATCH($A570&amp;$E570&amp;$I570,INDEX(PMtbl[Category]&amp;PMtbl[Each]&amp;PMtbl[Packaging],0,),0),3)),SETUP!$D$19:$D$121,0),5),"")</f>
        <v/>
      </c>
      <c r="BK570" s="543" t="str" cm="1">
        <f t="array" ref="BK570">IFERROR(IF((INDEX(SETUP!$C$19:$G$121,MATCH((INDEX(PMtbl[[WKst]:[Unit of measure*]],MATCH($A570&amp;$E570&amp;$I570,INDEX(PMtbl[Category]&amp;PMtbl[Each]&amp;PMtbl[Packaging],0,),0),3)),SETUP!$D$19:$D$121,0),4))="Upfront",0,INDEX(SETUP!$C$19:$G$121,MATCH((INDEX(PMtbl[[WKst]:[Unit of measure*]],MATCH($A570&amp;$E570&amp;$I570,INDEX(PMtbl[Category]&amp;PMtbl[Each]&amp;PMtbl[Packaging],0,),0),3)),SETUP!$D$19:$D$121,0),5)),"")</f>
        <v/>
      </c>
      <c r="BL570" s="201" t="str" cm="1">
        <f t="array" ref="BL570">IF(E570&lt;&gt;"",IFERROR(INDEX(PMtbl[[WKst]:[Unit of measure*]],MATCH($A$544&amp;$A570&amp;$E570&amp;$I570,INDEX(PMtbl[Sec]&amp;PMtbl[Category]&amp;PMtbl[Each]&amp;PMtbl[Packaging],0,),0),11),""),"")</f>
        <v/>
      </c>
      <c r="BO570" s="12">
        <f>IF(N570="",0,IF(SETUP!$E$7="USD",((IF(O570="USD",P570,(P570/'Master Data-C19RM'!$C$2)))),((IF(O570="EUR",P570,(P570*'Master Data-C19RM'!$C$2))))))</f>
        <v>0</v>
      </c>
      <c r="BP570" s="12">
        <f>IF(N570="",0,IF(SETUP!$E$7="USD",((IF(O570="USD",W570,(W570/'Master Data-C19RM'!$D$2)))),((IF(O570="EUR",W570,(W570*'Master Data-C19RM'!$D$2))))))</f>
        <v>0</v>
      </c>
      <c r="BQ570">
        <f>IF(N570="",0,IF(SETUP!$E$7="USD",((IF(O570="USD",AD570,(AD570/'Master Data-C19RM'!$E$2)))),((IF(O570="EUR",AD570,(AD570*'Master Data-C19RM'!$E$2))))))</f>
        <v>0</v>
      </c>
      <c r="BR570">
        <f>IF(N570="",0,IF(SETUP!$E$7="USD",((IF(O570="USD",AK570,(AK570/'Master Data-C19RM'!$F$2)))),((IF(O570="EUR",AK570,(AK570*'Master Data-C19RM'!$F$2))))))</f>
        <v>0</v>
      </c>
      <c r="BS570">
        <f>IF(N570="",0,IF(SETUP!$E$7="USD",((IF(O570="USD",AR570,(AR570/'Master Data-C19RM'!$G$2)))),((IF(O570="EUR",AR570,(AR570*'Master Data-C19RM'!$G$2))))))</f>
        <v>0</v>
      </c>
      <c r="BT570">
        <f>IF(N570="",0,IF(SETUP!$E$7="USD",((IF(O570="USD",AY570,(AY570/'Master Data-C19RM'!$H$2)))),((IF(O570="EUR",AY570,(AY570*'Master Data-C19RM'!$H$2))))))</f>
        <v>0</v>
      </c>
      <c r="BU570" s="12">
        <f t="shared" si="72"/>
        <v>0</v>
      </c>
      <c r="BV570" s="142">
        <f t="shared" si="73"/>
        <v>0</v>
      </c>
    </row>
    <row r="571" spans="1:74" x14ac:dyDescent="0.35">
      <c r="A571" s="1165"/>
      <c r="B571" s="1165"/>
      <c r="C571" s="1165"/>
      <c r="D571" s="1165"/>
      <c r="E571" s="1166"/>
      <c r="F571" s="1166"/>
      <c r="G571" s="1166"/>
      <c r="H571" s="1166"/>
      <c r="I571" s="1166"/>
      <c r="J571" s="1166"/>
      <c r="K571" s="1166"/>
      <c r="L571" s="490" t="str" cm="1">
        <f t="array" ref="L571">IF(A571&lt;&gt;"",IFERROR(INDEX(PMtbl[[WKst]:[Unit of measure*]],MATCH($A$544&amp;$A571&amp;$E571&amp;$I571,INDEX(PMtbl[Sec]&amp;PMtbl[Category]&amp;PMtbl[Each]&amp;PMtbl[Packaging],0,),0),14),""),"")</f>
        <v/>
      </c>
      <c r="M571" s="479" t="str">
        <f>IF(L571="","",INDEX(SETUP!$E$20:$E$122,(MATCH(INDEX(PMsheet!$D:$E,MATCH(A571,PMsheet!E:E,0),1),SETUP!$D$20:$D$122,0))))</f>
        <v/>
      </c>
      <c r="N571" s="491">
        <f>IF($O571="USD",_xlfn.IFNA(VLOOKUP(A571&amp;E571&amp;I571,PMsheet!J:K,2,0),0),(_xlfn.IFNA(VLOOKUP(A571&amp;E571&amp;I571,PMsheet!J:K,2,0),0)*'Master Data-C19RM'!$C$2))</f>
        <v>0</v>
      </c>
      <c r="O571" s="492" t="str">
        <f>IF(L571="", "",SETUP!$E$7)</f>
        <v/>
      </c>
      <c r="P571" s="444">
        <f>IF($O571="USD",_xlfn.IFNA(VLOOKUP($A571&amp;$E571&amp;$I571,PMsheet!$J:$K,2,0),0),(_xlfn.IFNA(VLOOKUP($A571&amp;$E571&amp;$I571,PMsheet!$J:$K,2,0),0)*'Master Data-C19RM'!$C$2))</f>
        <v>0</v>
      </c>
      <c r="Q571" s="441"/>
      <c r="R571" s="441"/>
      <c r="S571" s="441"/>
      <c r="T571" s="441"/>
      <c r="U571" s="481">
        <f t="shared" si="74"/>
        <v>0</v>
      </c>
      <c r="V571" s="483">
        <f>IF(SETUP!$E$7="USD",(U571*(IF(O571="USD",P571,(P571/'Master Data-C19RM'!$C$2)))),(U571*(IF(O571="EUR",P571,(P571*'Master Data-C19RM'!$C$2)))))</f>
        <v>0</v>
      </c>
      <c r="W571" s="444">
        <f>IF($O571="USD",_xlfn.IFNA(VLOOKUP($A571&amp;$E571&amp;$I571,PMsheet!$J:$K,2,0),0),(_xlfn.IFNA(VLOOKUP($A571&amp;$E571&amp;$I571,PMsheet!$J:$K,2,0),0)*'Master Data-C19RM'!$D$2))</f>
        <v>0</v>
      </c>
      <c r="X571" s="441"/>
      <c r="Y571" s="441"/>
      <c r="Z571" s="441"/>
      <c r="AA571" s="441"/>
      <c r="AB571" s="481">
        <f t="shared" si="75"/>
        <v>0</v>
      </c>
      <c r="AC571" s="483">
        <f>IF(SETUP!$E$7="USD",(AB571*(IF(O571="USD",W571,(W571/'Master Data-C19RM'!$D$2)))),(AB571*(IF(O571="EUR",W571,(W571*'Master Data-C19RM'!$D$2)))))</f>
        <v>0</v>
      </c>
      <c r="AD571" s="444">
        <f>IF($O571="USD",_xlfn.IFNA(VLOOKUP($A571&amp;$E571&amp;$I571,PMsheet!$J:$K,2,0),0),(_xlfn.IFNA(VLOOKUP($A571&amp;$E571&amp;$I571,PMsheet!$J:$K,2,0),0)*'Master Data-C19RM'!$E$2))</f>
        <v>0</v>
      </c>
      <c r="AE571" s="441"/>
      <c r="AF571" s="441"/>
      <c r="AG571" s="441"/>
      <c r="AH571" s="441"/>
      <c r="AI571" s="512">
        <f t="shared" si="76"/>
        <v>0</v>
      </c>
      <c r="AJ571" s="513">
        <f>IF(SETUP!$E$7="USD",(AI571*(IF(O571="USD",AD571,(AD571/'Master Data-C19RM'!$E$2)))),(AI571*(IF(O571="EUR",AD571,(AD571*'Master Data-C19RM'!$E$2)))))</f>
        <v>0</v>
      </c>
      <c r="AK571" s="444">
        <f>IF($O571="USD",_xlfn.IFNA(VLOOKUP($A571&amp;$E571&amp;$I571,PMsheet!$J:$K,2,0),0),(_xlfn.IFNA(VLOOKUP($A571&amp;$E571&amp;$I571,PMsheet!$J:$K,2,0),0)*'Master Data-C19RM'!$F$2))</f>
        <v>0</v>
      </c>
      <c r="AL571" s="441"/>
      <c r="AM571" s="441"/>
      <c r="AN571" s="441"/>
      <c r="AO571" s="441"/>
      <c r="AP571" s="512">
        <f t="shared" si="77"/>
        <v>0</v>
      </c>
      <c r="AQ571" s="513">
        <f>IF(SETUP!$E$7="USD",(AP571*(IF(O571="USD",AK571,(AK571/'Master Data-C19RM'!$F$2)))),(AP571*(IF(O571="EUR",AK571,(AK571*'Master Data-C19RM'!$F$2)))))</f>
        <v>0</v>
      </c>
      <c r="AR571" s="924">
        <f>IF($O571="USD",_xlfn.IFNA(VLOOKUP($A571&amp;$E571&amp;$I571,PMsheet!$J:$K,2,0),0),(_xlfn.IFNA(VLOOKUP($A571&amp;$E571&amp;$I571,PMsheet!$J:$K,2,0),0)*'Master Data-C19RM'!$G$2))</f>
        <v>0</v>
      </c>
      <c r="AS571" s="572"/>
      <c r="AT571" s="572"/>
      <c r="AU571" s="572"/>
      <c r="AV571" s="572"/>
      <c r="AW571" s="512">
        <f t="shared" si="78"/>
        <v>0</v>
      </c>
      <c r="AX571" s="512">
        <f>IF(SETUP!$E$7="USD",(AW571*(IF(O571="USD",AR571,(AR571/'Master Data-C19RM'!$G$2)))),(AW571*(IF(O571="EUR",AR571,(AR571*'Master Data-C19RM'!$G$2)))))</f>
        <v>0</v>
      </c>
      <c r="AY571" s="845"/>
      <c r="AZ571" s="846"/>
      <c r="BA571" s="846"/>
      <c r="BB571" s="846"/>
      <c r="BC571" s="846"/>
      <c r="BD571" s="846"/>
      <c r="BE571" s="847"/>
      <c r="BF571" s="520">
        <f>'C19RM 2021-Lab &amp; Other HPS'!$U571+'C19RM 2021-Lab &amp; Other HPS'!$AB571+'C19RM 2021-Lab &amp; Other HPS'!$AP571+'C19RM 2021-Lab &amp; Other HPS'!$AI571+AW571+BD571</f>
        <v>0</v>
      </c>
      <c r="BG571" s="513">
        <f>'C19RM 2021-Lab &amp; Other HPS'!$V571+'C19RM 2021-Lab &amp; Other HPS'!$AC571+'C19RM 2021-Lab &amp; Other HPS'!$AQ571+'C19RM 2021-Lab &amp; Other HPS'!$AJ571+AX571+BE571</f>
        <v>0</v>
      </c>
      <c r="BH571" s="500" t="str" cm="1">
        <f t="array" ref="BH571">IF(A571&lt;&gt;"",IFERROR(INDEX(PMtbl[[WKst]:[Unit of measure*]],MATCH($A$544&amp;$A571&amp;$E571&amp;$I571,INDEX(PMtbl[Sec]&amp;PMtbl[Category]&amp;PMtbl[Each]&amp;PMtbl[Packaging],0,),0),11),""),"")</f>
        <v/>
      </c>
      <c r="BI571" s="819"/>
      <c r="BJ571" s="502" t="str" cm="1">
        <f t="array" ref="BJ571">IFERROR(INDEX(SETUP!$C$19:$G$121,MATCH((INDEX(PMtbl[[WKst]:[Unit of measure*]],MATCH($A571&amp;$E571&amp;$I571,INDEX(PMtbl[Category]&amp;PMtbl[Each]&amp;PMtbl[Packaging],0,),0),3)),SETUP!$D$19:$D$121,0),5),"")</f>
        <v/>
      </c>
      <c r="BK571" s="542" t="str" cm="1">
        <f t="array" ref="BK571">IFERROR(IF((INDEX(SETUP!$C$19:$G$121,MATCH((INDEX(PMtbl[[WKst]:[Unit of measure*]],MATCH($A571&amp;$E571&amp;$I571,INDEX(PMtbl[Category]&amp;PMtbl[Each]&amp;PMtbl[Packaging],0,),0),3)),SETUP!$D$19:$D$121,0),4))="Upfront",0,INDEX(SETUP!$C$19:$G$121,MATCH((INDEX(PMtbl[[WKst]:[Unit of measure*]],MATCH($A571&amp;$E571&amp;$I571,INDEX(PMtbl[Category]&amp;PMtbl[Each]&amp;PMtbl[Packaging],0,),0),3)),SETUP!$D$19:$D$121,0),5)),"")</f>
        <v/>
      </c>
      <c r="BL571" s="200" t="str" cm="1">
        <f t="array" ref="BL571">IF(E571&lt;&gt;"",IFERROR(INDEX(PMtbl[[WKst]:[Unit of measure*]],MATCH($A$544&amp;$A571&amp;$E571&amp;$I571,INDEX(PMtbl[Sec]&amp;PMtbl[Category]&amp;PMtbl[Each]&amp;PMtbl[Packaging],0,),0),11),""),"")</f>
        <v/>
      </c>
      <c r="BO571" s="12">
        <f>IF(N571="",0,IF(SETUP!$E$7="USD",((IF(O571="USD",P571,(P571/'Master Data-C19RM'!$C$2)))),((IF(O571="EUR",P571,(P571*'Master Data-C19RM'!$C$2))))))</f>
        <v>0</v>
      </c>
      <c r="BP571" s="12">
        <f>IF(N571="",0,IF(SETUP!$E$7="USD",((IF(O571="USD",W571,(W571/'Master Data-C19RM'!$D$2)))),((IF(O571="EUR",W571,(W571*'Master Data-C19RM'!$D$2))))))</f>
        <v>0</v>
      </c>
      <c r="BQ571">
        <f>IF(N571="",0,IF(SETUP!$E$7="USD",((IF(O571="USD",AD571,(AD571/'Master Data-C19RM'!$E$2)))),((IF(O571="EUR",AD571,(AD571*'Master Data-C19RM'!$E$2))))))</f>
        <v>0</v>
      </c>
      <c r="BR571">
        <f>IF(N571="",0,IF(SETUP!$E$7="USD",((IF(O571="USD",AK571,(AK571/'Master Data-C19RM'!$F$2)))),((IF(O571="EUR",AK571,(AK571*'Master Data-C19RM'!$F$2))))))</f>
        <v>0</v>
      </c>
      <c r="BS571">
        <f>IF(N571="",0,IF(SETUP!$E$7="USD",((IF(O571="USD",AR571,(AR571/'Master Data-C19RM'!$G$2)))),((IF(O571="EUR",AR571,(AR571*'Master Data-C19RM'!$G$2))))))</f>
        <v>0</v>
      </c>
      <c r="BT571">
        <f>IF(N571="",0,IF(SETUP!$E$7="USD",((IF(O571="USD",AY571,(AY571/'Master Data-C19RM'!$H$2)))),((IF(O571="EUR",AY571,(AY571*'Master Data-C19RM'!$H$2))))))</f>
        <v>0</v>
      </c>
      <c r="BU571" s="12">
        <f t="shared" si="72"/>
        <v>0</v>
      </c>
      <c r="BV571" s="142">
        <f t="shared" si="73"/>
        <v>0</v>
      </c>
    </row>
    <row r="572" spans="1:74" x14ac:dyDescent="0.35">
      <c r="A572" s="1192"/>
      <c r="B572" s="1192"/>
      <c r="C572" s="1192"/>
      <c r="D572" s="1192"/>
      <c r="E572" s="1173"/>
      <c r="F572" s="1173"/>
      <c r="G572" s="1173"/>
      <c r="H572" s="1173"/>
      <c r="I572" s="1173"/>
      <c r="J572" s="1173"/>
      <c r="K572" s="1173"/>
      <c r="L572" s="493" t="str" cm="1">
        <f t="array" ref="L572">IF(A572&lt;&gt;"",IFERROR(INDEX(PMtbl[[WKst]:[Unit of measure*]],MATCH($A$544&amp;$A572&amp;$E572&amp;$I572,INDEX(PMtbl[Sec]&amp;PMtbl[Category]&amp;PMtbl[Each]&amp;PMtbl[Packaging],0,),0),14),""),"")</f>
        <v/>
      </c>
      <c r="M572" s="480" t="str">
        <f>IF(L572="","",INDEX(SETUP!$E$20:$E$122,(MATCH(INDEX(PMsheet!$D:$E,MATCH(A572,PMsheet!E:E,0),1),SETUP!$D$20:$D$122,0))))</f>
        <v/>
      </c>
      <c r="N572" s="494">
        <f>IF($O572="USD",_xlfn.IFNA(VLOOKUP(A572&amp;E572&amp;I572,PMsheet!J:K,2,0),0),(_xlfn.IFNA(VLOOKUP(A572&amp;E572&amp;I572,PMsheet!J:K,2,0),0)*'Master Data-C19RM'!$C$2))</f>
        <v>0</v>
      </c>
      <c r="O572" s="495" t="str">
        <f>IF(L572="", "",SETUP!$E$7)</f>
        <v/>
      </c>
      <c r="P572" s="445">
        <f>IF($O572="USD",_xlfn.IFNA(VLOOKUP($A572&amp;$E572&amp;$I572,PMsheet!$J:$K,2,0),0),(_xlfn.IFNA(VLOOKUP($A572&amp;$E572&amp;$I572,PMsheet!$J:$K,2,0),0)*'Master Data-C19RM'!$C$2))</f>
        <v>0</v>
      </c>
      <c r="Q572" s="440"/>
      <c r="R572" s="440"/>
      <c r="S572" s="440"/>
      <c r="T572" s="440"/>
      <c r="U572" s="482">
        <f t="shared" si="74"/>
        <v>0</v>
      </c>
      <c r="V572" s="484">
        <f>IF(SETUP!$E$7="USD",(U572*(IF(O572="USD",P572,(P572/'Master Data-C19RM'!$C$2)))),(U572*(IF(O572="EUR",P572,(P572*'Master Data-C19RM'!$C$2)))))</f>
        <v>0</v>
      </c>
      <c r="W572" s="445">
        <f>IF($O572="USD",_xlfn.IFNA(VLOOKUP($A572&amp;$E572&amp;$I572,PMsheet!$J:$K,2,0),0),(_xlfn.IFNA(VLOOKUP($A572&amp;$E572&amp;$I572,PMsheet!$J:$K,2,0),0)*'Master Data-C19RM'!$D$2))</f>
        <v>0</v>
      </c>
      <c r="X572" s="440"/>
      <c r="Y572" s="440"/>
      <c r="Z572" s="440"/>
      <c r="AA572" s="440"/>
      <c r="AB572" s="482">
        <f t="shared" si="75"/>
        <v>0</v>
      </c>
      <c r="AC572" s="484">
        <f>IF(SETUP!$E$7="USD",(AB572*(IF(O572="USD",W572,(W572/'Master Data-C19RM'!$D$2)))),(AB572*(IF(O572="EUR",W572,(W572*'Master Data-C19RM'!$D$2)))))</f>
        <v>0</v>
      </c>
      <c r="AD572" s="445">
        <f>IF($O572="USD",_xlfn.IFNA(VLOOKUP($A572&amp;$E572&amp;$I572,PMsheet!$J:$K,2,0),0),(_xlfn.IFNA(VLOOKUP($A572&amp;$E572&amp;$I572,PMsheet!$J:$K,2,0),0)*'Master Data-C19RM'!$E$2))</f>
        <v>0</v>
      </c>
      <c r="AE572" s="440"/>
      <c r="AF572" s="440"/>
      <c r="AG572" s="440"/>
      <c r="AH572" s="440"/>
      <c r="AI572" s="514">
        <f t="shared" si="76"/>
        <v>0</v>
      </c>
      <c r="AJ572" s="515">
        <f>IF(SETUP!$E$7="USD",(AI572*(IF(O572="USD",AD572,(AD572/'Master Data-C19RM'!$E$2)))),(AI572*(IF(O572="EUR",AD572,(AD572*'Master Data-C19RM'!$E$2)))))</f>
        <v>0</v>
      </c>
      <c r="AK572" s="445">
        <f>IF($O572="USD",_xlfn.IFNA(VLOOKUP($A572&amp;$E572&amp;$I572,PMsheet!$J:$K,2,0),0),(_xlfn.IFNA(VLOOKUP($A572&amp;$E572&amp;$I572,PMsheet!$J:$K,2,0),0)*'Master Data-C19RM'!$F$2))</f>
        <v>0</v>
      </c>
      <c r="AL572" s="440"/>
      <c r="AM572" s="440"/>
      <c r="AN572" s="440"/>
      <c r="AO572" s="440"/>
      <c r="AP572" s="514">
        <f t="shared" si="77"/>
        <v>0</v>
      </c>
      <c r="AQ572" s="515">
        <f>IF(SETUP!$E$7="USD",(AP572*(IF(O572="USD",AK572,(AK572/'Master Data-C19RM'!$F$2)))),(AP572*(IF(O572="EUR",AK572,(AK572*'Master Data-C19RM'!$F$2)))))</f>
        <v>0</v>
      </c>
      <c r="AR572" s="925">
        <f>IF($O572="USD",_xlfn.IFNA(VLOOKUP($A572&amp;$E572&amp;$I572,PMsheet!$J:$K,2,0),0),(_xlfn.IFNA(VLOOKUP($A572&amp;$E572&amp;$I572,PMsheet!$J:$K,2,0),0)*'Master Data-C19RM'!$G$2))</f>
        <v>0</v>
      </c>
      <c r="AS572" s="926"/>
      <c r="AT572" s="926"/>
      <c r="AU572" s="926"/>
      <c r="AV572" s="926"/>
      <c r="AW572" s="514">
        <f t="shared" si="78"/>
        <v>0</v>
      </c>
      <c r="AX572" s="514">
        <f>IF(SETUP!$E$7="USD",(AW572*(IF(O572="USD",AR572,(AR572/'Master Data-C19RM'!$G$2)))),(AW572*(IF(O572="EUR",AR572,(AR572*'Master Data-C19RM'!$G$2)))))</f>
        <v>0</v>
      </c>
      <c r="AY572" s="845"/>
      <c r="AZ572" s="846"/>
      <c r="BA572" s="846"/>
      <c r="BB572" s="846"/>
      <c r="BC572" s="846"/>
      <c r="BD572" s="846"/>
      <c r="BE572" s="847"/>
      <c r="BF572" s="521">
        <f>'C19RM 2021-Lab &amp; Other HPS'!$U572+'C19RM 2021-Lab &amp; Other HPS'!$AB572+'C19RM 2021-Lab &amp; Other HPS'!$AP572+'C19RM 2021-Lab &amp; Other HPS'!$AI572+AW572+BD572</f>
        <v>0</v>
      </c>
      <c r="BG572" s="515">
        <f>'C19RM 2021-Lab &amp; Other HPS'!$V572+'C19RM 2021-Lab &amp; Other HPS'!$AC572+'C19RM 2021-Lab &amp; Other HPS'!$AQ572+'C19RM 2021-Lab &amp; Other HPS'!$AJ572+AX572+BE572</f>
        <v>0</v>
      </c>
      <c r="BH572" s="522" t="str" cm="1">
        <f t="array" ref="BH572">IF(A572&lt;&gt;"",IFERROR(INDEX(PMtbl[[WKst]:[Unit of measure*]],MATCH($A$544&amp;$A572&amp;$E572&amp;$I572,INDEX(PMtbl[Sec]&amp;PMtbl[Category]&amp;PMtbl[Each]&amp;PMtbl[Packaging],0,),0),11),""),"")</f>
        <v/>
      </c>
      <c r="BI572" s="818"/>
      <c r="BJ572" s="503" t="str" cm="1">
        <f t="array" ref="BJ572">IFERROR(INDEX(SETUP!$C$19:$G$121,MATCH((INDEX(PMtbl[[WKst]:[Unit of measure*]],MATCH($A572&amp;$E572&amp;$I572,INDEX(PMtbl[Category]&amp;PMtbl[Each]&amp;PMtbl[Packaging],0,),0),3)),SETUP!$D$19:$D$121,0),5),"")</f>
        <v/>
      </c>
      <c r="BK572" s="543" t="str" cm="1">
        <f t="array" ref="BK572">IFERROR(IF((INDEX(SETUP!$C$19:$G$121,MATCH((INDEX(PMtbl[[WKst]:[Unit of measure*]],MATCH($A572&amp;$E572&amp;$I572,INDEX(PMtbl[Category]&amp;PMtbl[Each]&amp;PMtbl[Packaging],0,),0),3)),SETUP!$D$19:$D$121,0),4))="Upfront",0,INDEX(SETUP!$C$19:$G$121,MATCH((INDEX(PMtbl[[WKst]:[Unit of measure*]],MATCH($A572&amp;$E572&amp;$I572,INDEX(PMtbl[Category]&amp;PMtbl[Each]&amp;PMtbl[Packaging],0,),0),3)),SETUP!$D$19:$D$121,0),5)),"")</f>
        <v/>
      </c>
      <c r="BL572" s="201" t="str" cm="1">
        <f t="array" ref="BL572">IF(E572&lt;&gt;"",IFERROR(INDEX(PMtbl[[WKst]:[Unit of measure*]],MATCH($A$544&amp;$A572&amp;$E572&amp;$I572,INDEX(PMtbl[Sec]&amp;PMtbl[Category]&amp;PMtbl[Each]&amp;PMtbl[Packaging],0,),0),11),""),"")</f>
        <v/>
      </c>
      <c r="BO572" s="12">
        <f>IF(N572="",0,IF(SETUP!$E$7="USD",((IF(O572="USD",P572,(P572/'Master Data-C19RM'!$C$2)))),((IF(O572="EUR",P572,(P572*'Master Data-C19RM'!$C$2))))))</f>
        <v>0</v>
      </c>
      <c r="BP572" s="12">
        <f>IF(N572="",0,IF(SETUP!$E$7="USD",((IF(O572="USD",W572,(W572/'Master Data-C19RM'!$D$2)))),((IF(O572="EUR",W572,(W572*'Master Data-C19RM'!$D$2))))))</f>
        <v>0</v>
      </c>
      <c r="BQ572">
        <f>IF(N572="",0,IF(SETUP!$E$7="USD",((IF(O572="USD",AD572,(AD572/'Master Data-C19RM'!$E$2)))),((IF(O572="EUR",AD572,(AD572*'Master Data-C19RM'!$E$2))))))</f>
        <v>0</v>
      </c>
      <c r="BR572">
        <f>IF(N572="",0,IF(SETUP!$E$7="USD",((IF(O572="USD",AK572,(AK572/'Master Data-C19RM'!$F$2)))),((IF(O572="EUR",AK572,(AK572*'Master Data-C19RM'!$F$2))))))</f>
        <v>0</v>
      </c>
      <c r="BS572">
        <f>IF(N572="",0,IF(SETUP!$E$7="USD",((IF(O572="USD",AR572,(AR572/'Master Data-C19RM'!$G$2)))),((IF(O572="EUR",AR572,(AR572*'Master Data-C19RM'!$G$2))))))</f>
        <v>0</v>
      </c>
      <c r="BT572">
        <f>IF(N572="",0,IF(SETUP!$E$7="USD",((IF(O572="USD",AY572,(AY572/'Master Data-C19RM'!$H$2)))),((IF(O572="EUR",AY572,(AY572*'Master Data-C19RM'!$H$2))))))</f>
        <v>0</v>
      </c>
      <c r="BU572" s="12">
        <f t="shared" si="72"/>
        <v>0</v>
      </c>
      <c r="BV572" s="142">
        <f t="shared" si="73"/>
        <v>0</v>
      </c>
    </row>
    <row r="573" spans="1:74" x14ac:dyDescent="0.35">
      <c r="A573" s="1165"/>
      <c r="B573" s="1165"/>
      <c r="C573" s="1165"/>
      <c r="D573" s="1165"/>
      <c r="E573" s="1166"/>
      <c r="F573" s="1166"/>
      <c r="G573" s="1166"/>
      <c r="H573" s="1166"/>
      <c r="I573" s="1166"/>
      <c r="J573" s="1166"/>
      <c r="K573" s="1166"/>
      <c r="L573" s="490" t="str" cm="1">
        <f t="array" ref="L573">IF(A573&lt;&gt;"",IFERROR(INDEX(PMtbl[[WKst]:[Unit of measure*]],MATCH($A$544&amp;$A573&amp;$E573&amp;$I573,INDEX(PMtbl[Sec]&amp;PMtbl[Category]&amp;PMtbl[Each]&amp;PMtbl[Packaging],0,),0),14),""),"")</f>
        <v/>
      </c>
      <c r="M573" s="479" t="str">
        <f>IF(L573="","",INDEX(SETUP!$E$20:$E$122,(MATCH(INDEX(PMsheet!$D:$E,MATCH(A573,PMsheet!E:E,0),1),SETUP!$D$20:$D$122,0))))</f>
        <v/>
      </c>
      <c r="N573" s="491">
        <f>IF($O573="USD",_xlfn.IFNA(VLOOKUP(A573&amp;E573&amp;I573,PMsheet!J:K,2,0),0),(_xlfn.IFNA(VLOOKUP(A573&amp;E573&amp;I573,PMsheet!J:K,2,0),0)*'Master Data-C19RM'!$C$2))</f>
        <v>0</v>
      </c>
      <c r="O573" s="492" t="str">
        <f>IF(L573="", "",SETUP!$E$7)</f>
        <v/>
      </c>
      <c r="P573" s="444">
        <f>IF($O573="USD",_xlfn.IFNA(VLOOKUP($A573&amp;$E573&amp;$I573,PMsheet!$J:$K,2,0),0),(_xlfn.IFNA(VLOOKUP($A573&amp;$E573&amp;$I573,PMsheet!$J:$K,2,0),0)*'Master Data-C19RM'!$C$2))</f>
        <v>0</v>
      </c>
      <c r="Q573" s="441"/>
      <c r="R573" s="441"/>
      <c r="S573" s="441"/>
      <c r="T573" s="441"/>
      <c r="U573" s="481">
        <f t="shared" si="74"/>
        <v>0</v>
      </c>
      <c r="V573" s="483">
        <f>IF(SETUP!$E$7="USD",(U573*(IF(O573="USD",P573,(P573/'Master Data-C19RM'!$C$2)))),(U573*(IF(O573="EUR",P573,(P573*'Master Data-C19RM'!$C$2)))))</f>
        <v>0</v>
      </c>
      <c r="W573" s="444">
        <f>IF($O573="USD",_xlfn.IFNA(VLOOKUP($A573&amp;$E573&amp;$I573,PMsheet!$J:$K,2,0),0),(_xlfn.IFNA(VLOOKUP($A573&amp;$E573&amp;$I573,PMsheet!$J:$K,2,0),0)*'Master Data-C19RM'!$D$2))</f>
        <v>0</v>
      </c>
      <c r="X573" s="441"/>
      <c r="Y573" s="441"/>
      <c r="Z573" s="441"/>
      <c r="AA573" s="441"/>
      <c r="AB573" s="481">
        <f t="shared" si="75"/>
        <v>0</v>
      </c>
      <c r="AC573" s="483">
        <f>IF(SETUP!$E$7="USD",(AB573*(IF(O573="USD",W573,(W573/'Master Data-C19RM'!$D$2)))),(AB573*(IF(O573="EUR",W573,(W573*'Master Data-C19RM'!$D$2)))))</f>
        <v>0</v>
      </c>
      <c r="AD573" s="444">
        <f>IF($O573="USD",_xlfn.IFNA(VLOOKUP($A573&amp;$E573&amp;$I573,PMsheet!$J:$K,2,0),0),(_xlfn.IFNA(VLOOKUP($A573&amp;$E573&amp;$I573,PMsheet!$J:$K,2,0),0)*'Master Data-C19RM'!$E$2))</f>
        <v>0</v>
      </c>
      <c r="AE573" s="441"/>
      <c r="AF573" s="441"/>
      <c r="AG573" s="441"/>
      <c r="AH573" s="441"/>
      <c r="AI573" s="512">
        <f t="shared" si="76"/>
        <v>0</v>
      </c>
      <c r="AJ573" s="513">
        <f>IF(SETUP!$E$7="USD",(AI573*(IF(O573="USD",AD573,(AD573/'Master Data-C19RM'!$E$2)))),(AI573*(IF(O573="EUR",AD573,(AD573*'Master Data-C19RM'!$E$2)))))</f>
        <v>0</v>
      </c>
      <c r="AK573" s="444">
        <f>IF($O573="USD",_xlfn.IFNA(VLOOKUP($A573&amp;$E573&amp;$I573,PMsheet!$J:$K,2,0),0),(_xlfn.IFNA(VLOOKUP($A573&amp;$E573&amp;$I573,PMsheet!$J:$K,2,0),0)*'Master Data-C19RM'!$F$2))</f>
        <v>0</v>
      </c>
      <c r="AL573" s="441"/>
      <c r="AM573" s="441"/>
      <c r="AN573" s="441"/>
      <c r="AO573" s="441"/>
      <c r="AP573" s="512">
        <f t="shared" si="77"/>
        <v>0</v>
      </c>
      <c r="AQ573" s="513">
        <f>IF(SETUP!$E$7="USD",(AP573*(IF(O573="USD",AK573,(AK573/'Master Data-C19RM'!$F$2)))),(AP573*(IF(O573="EUR",AK573,(AK573*'Master Data-C19RM'!$F$2)))))</f>
        <v>0</v>
      </c>
      <c r="AR573" s="924">
        <f>IF($O573="USD",_xlfn.IFNA(VLOOKUP($A573&amp;$E573&amp;$I573,PMsheet!$J:$K,2,0),0),(_xlfn.IFNA(VLOOKUP($A573&amp;$E573&amp;$I573,PMsheet!$J:$K,2,0),0)*'Master Data-C19RM'!$G$2))</f>
        <v>0</v>
      </c>
      <c r="AS573" s="572"/>
      <c r="AT573" s="572"/>
      <c r="AU573" s="572"/>
      <c r="AV573" s="572"/>
      <c r="AW573" s="512">
        <f t="shared" si="78"/>
        <v>0</v>
      </c>
      <c r="AX573" s="512">
        <f>IF(SETUP!$E$7="USD",(AW573*(IF(O573="USD",AR573,(AR573/'Master Data-C19RM'!$G$2)))),(AW573*(IF(O573="EUR",AR573,(AR573*'Master Data-C19RM'!$G$2)))))</f>
        <v>0</v>
      </c>
      <c r="AY573" s="845"/>
      <c r="AZ573" s="846"/>
      <c r="BA573" s="846"/>
      <c r="BB573" s="846"/>
      <c r="BC573" s="846"/>
      <c r="BD573" s="846"/>
      <c r="BE573" s="847"/>
      <c r="BF573" s="520">
        <f>'C19RM 2021-Lab &amp; Other HPS'!$U573+'C19RM 2021-Lab &amp; Other HPS'!$AB573+'C19RM 2021-Lab &amp; Other HPS'!$AP573+'C19RM 2021-Lab &amp; Other HPS'!$AI573+AW573+BD573</f>
        <v>0</v>
      </c>
      <c r="BG573" s="513">
        <f>'C19RM 2021-Lab &amp; Other HPS'!$V573+'C19RM 2021-Lab &amp; Other HPS'!$AC573+'C19RM 2021-Lab &amp; Other HPS'!$AQ573+'C19RM 2021-Lab &amp; Other HPS'!$AJ573+AX573+BE573</f>
        <v>0</v>
      </c>
      <c r="BH573" s="500" t="str" cm="1">
        <f t="array" ref="BH573">IF(A573&lt;&gt;"",IFERROR(INDEX(PMtbl[[WKst]:[Unit of measure*]],MATCH($A$544&amp;$A573&amp;$E573&amp;$I573,INDEX(PMtbl[Sec]&amp;PMtbl[Category]&amp;PMtbl[Each]&amp;PMtbl[Packaging],0,),0),11),""),"")</f>
        <v/>
      </c>
      <c r="BI573" s="819"/>
      <c r="BJ573" s="502" t="str" cm="1">
        <f t="array" ref="BJ573">IFERROR(INDEX(SETUP!$C$19:$G$121,MATCH((INDEX(PMtbl[[WKst]:[Unit of measure*]],MATCH($A573&amp;$E573&amp;$I573,INDEX(PMtbl[Category]&amp;PMtbl[Each]&amp;PMtbl[Packaging],0,),0),3)),SETUP!$D$19:$D$121,0),5),"")</f>
        <v/>
      </c>
      <c r="BK573" s="542" t="str" cm="1">
        <f t="array" ref="BK573">IFERROR(IF((INDEX(SETUP!$C$19:$G$121,MATCH((INDEX(PMtbl[[WKst]:[Unit of measure*]],MATCH($A573&amp;$E573&amp;$I573,INDEX(PMtbl[Category]&amp;PMtbl[Each]&amp;PMtbl[Packaging],0,),0),3)),SETUP!$D$19:$D$121,0),4))="Upfront",0,INDEX(SETUP!$C$19:$G$121,MATCH((INDEX(PMtbl[[WKst]:[Unit of measure*]],MATCH($A573&amp;$E573&amp;$I573,INDEX(PMtbl[Category]&amp;PMtbl[Each]&amp;PMtbl[Packaging],0,),0),3)),SETUP!$D$19:$D$121,0),5)),"")</f>
        <v/>
      </c>
      <c r="BL573" s="200" t="str" cm="1">
        <f t="array" ref="BL573">IF(E573&lt;&gt;"",IFERROR(INDEX(PMtbl[[WKst]:[Unit of measure*]],MATCH($A$544&amp;$A573&amp;$E573&amp;$I573,INDEX(PMtbl[Sec]&amp;PMtbl[Category]&amp;PMtbl[Each]&amp;PMtbl[Packaging],0,),0),11),""),"")</f>
        <v/>
      </c>
      <c r="BO573" s="12">
        <f>IF(N573="",0,IF(SETUP!$E$7="USD",((IF(O573="USD",P573,(P573/'Master Data-C19RM'!$C$2)))),((IF(O573="EUR",P573,(P573*'Master Data-C19RM'!$C$2))))))</f>
        <v>0</v>
      </c>
      <c r="BP573" s="12">
        <f>IF(N573="",0,IF(SETUP!$E$7="USD",((IF(O573="USD",W573,(W573/'Master Data-C19RM'!$D$2)))),((IF(O573="EUR",W573,(W573*'Master Data-C19RM'!$D$2))))))</f>
        <v>0</v>
      </c>
      <c r="BQ573">
        <f>IF(N573="",0,IF(SETUP!$E$7="USD",((IF(O573="USD",AD573,(AD573/'Master Data-C19RM'!$E$2)))),((IF(O573="EUR",AD573,(AD573*'Master Data-C19RM'!$E$2))))))</f>
        <v>0</v>
      </c>
      <c r="BR573">
        <f>IF(N573="",0,IF(SETUP!$E$7="USD",((IF(O573="USD",AK573,(AK573/'Master Data-C19RM'!$F$2)))),((IF(O573="EUR",AK573,(AK573*'Master Data-C19RM'!$F$2))))))</f>
        <v>0</v>
      </c>
      <c r="BS573">
        <f>IF(N573="",0,IF(SETUP!$E$7="USD",((IF(O573="USD",AR573,(AR573/'Master Data-C19RM'!$G$2)))),((IF(O573="EUR",AR573,(AR573*'Master Data-C19RM'!$G$2))))))</f>
        <v>0</v>
      </c>
      <c r="BT573">
        <f>IF(N573="",0,IF(SETUP!$E$7="USD",((IF(O573="USD",AY573,(AY573/'Master Data-C19RM'!$H$2)))),((IF(O573="EUR",AY573,(AY573*'Master Data-C19RM'!$H$2))))))</f>
        <v>0</v>
      </c>
      <c r="BU573" s="12">
        <f t="shared" si="72"/>
        <v>0</v>
      </c>
      <c r="BV573" s="142">
        <f t="shared" si="73"/>
        <v>0</v>
      </c>
    </row>
    <row r="574" spans="1:74" x14ac:dyDescent="0.35">
      <c r="A574" s="1192"/>
      <c r="B574" s="1192"/>
      <c r="C574" s="1192"/>
      <c r="D574" s="1192"/>
      <c r="E574" s="1173"/>
      <c r="F574" s="1173"/>
      <c r="G574" s="1173"/>
      <c r="H574" s="1173"/>
      <c r="I574" s="1173"/>
      <c r="J574" s="1173"/>
      <c r="K574" s="1173"/>
      <c r="L574" s="493" t="str" cm="1">
        <f t="array" ref="L574">IF(A574&lt;&gt;"",IFERROR(INDEX(PMtbl[[WKst]:[Unit of measure*]],MATCH($A$544&amp;$A574&amp;$E574&amp;$I574,INDEX(PMtbl[Sec]&amp;PMtbl[Category]&amp;PMtbl[Each]&amp;PMtbl[Packaging],0,),0),14),""),"")</f>
        <v/>
      </c>
      <c r="M574" s="480" t="str">
        <f>IF(L574="","",INDEX(SETUP!$E$20:$E$122,(MATCH(INDEX(PMsheet!$D:$E,MATCH(A574,PMsheet!E:E,0),1),SETUP!$D$20:$D$122,0))))</f>
        <v/>
      </c>
      <c r="N574" s="494">
        <f>IF($O574="USD",_xlfn.IFNA(VLOOKUP(A574&amp;E574&amp;I574,PMsheet!J:K,2,0),0),(_xlfn.IFNA(VLOOKUP(A574&amp;E574&amp;I574,PMsheet!J:K,2,0),0)*'Master Data-C19RM'!$C$2))</f>
        <v>0</v>
      </c>
      <c r="O574" s="495" t="str">
        <f>IF(L574="", "",SETUP!$E$7)</f>
        <v/>
      </c>
      <c r="P574" s="445">
        <f>IF($O574="USD",_xlfn.IFNA(VLOOKUP($A574&amp;$E574&amp;$I574,PMsheet!$J:$K,2,0),0),(_xlfn.IFNA(VLOOKUP($A574&amp;$E574&amp;$I574,PMsheet!$J:$K,2,0),0)*'Master Data-C19RM'!$C$2))</f>
        <v>0</v>
      </c>
      <c r="Q574" s="440"/>
      <c r="R574" s="440"/>
      <c r="S574" s="440"/>
      <c r="T574" s="440"/>
      <c r="U574" s="482">
        <f t="shared" si="74"/>
        <v>0</v>
      </c>
      <c r="V574" s="484">
        <f>IF(SETUP!$E$7="USD",(U574*(IF(O574="USD",P574,(P574/'Master Data-C19RM'!$C$2)))),(U574*(IF(O574="EUR",P574,(P574*'Master Data-C19RM'!$C$2)))))</f>
        <v>0</v>
      </c>
      <c r="W574" s="445">
        <f>IF($O574="USD",_xlfn.IFNA(VLOOKUP($A574&amp;$E574&amp;$I574,PMsheet!$J:$K,2,0),0),(_xlfn.IFNA(VLOOKUP($A574&amp;$E574&amp;$I574,PMsheet!$J:$K,2,0),0)*'Master Data-C19RM'!$D$2))</f>
        <v>0</v>
      </c>
      <c r="X574" s="440"/>
      <c r="Y574" s="440"/>
      <c r="Z574" s="440"/>
      <c r="AA574" s="440"/>
      <c r="AB574" s="482">
        <f t="shared" si="75"/>
        <v>0</v>
      </c>
      <c r="AC574" s="484">
        <f>IF(SETUP!$E$7="USD",(AB574*(IF(O574="USD",W574,(W574/'Master Data-C19RM'!$D$2)))),(AB574*(IF(O574="EUR",W574,(W574*'Master Data-C19RM'!$D$2)))))</f>
        <v>0</v>
      </c>
      <c r="AD574" s="445">
        <f>IF($O574="USD",_xlfn.IFNA(VLOOKUP($A574&amp;$E574&amp;$I574,PMsheet!$J:$K,2,0),0),(_xlfn.IFNA(VLOOKUP($A574&amp;$E574&amp;$I574,PMsheet!$J:$K,2,0),0)*'Master Data-C19RM'!$E$2))</f>
        <v>0</v>
      </c>
      <c r="AE574" s="440"/>
      <c r="AF574" s="440"/>
      <c r="AG574" s="440"/>
      <c r="AH574" s="440"/>
      <c r="AI574" s="514">
        <f t="shared" si="76"/>
        <v>0</v>
      </c>
      <c r="AJ574" s="515">
        <f>IF(SETUP!$E$7="USD",(AI574*(IF(O574="USD",AD574,(AD574/'Master Data-C19RM'!$E$2)))),(AI574*(IF(O574="EUR",AD574,(AD574*'Master Data-C19RM'!$E$2)))))</f>
        <v>0</v>
      </c>
      <c r="AK574" s="445">
        <f>IF($O574="USD",_xlfn.IFNA(VLOOKUP($A574&amp;$E574&amp;$I574,PMsheet!$J:$K,2,0),0),(_xlfn.IFNA(VLOOKUP($A574&amp;$E574&amp;$I574,PMsheet!$J:$K,2,0),0)*'Master Data-C19RM'!$F$2))</f>
        <v>0</v>
      </c>
      <c r="AL574" s="440"/>
      <c r="AM574" s="440"/>
      <c r="AN574" s="440"/>
      <c r="AO574" s="440"/>
      <c r="AP574" s="514">
        <f t="shared" si="77"/>
        <v>0</v>
      </c>
      <c r="AQ574" s="515">
        <f>IF(SETUP!$E$7="USD",(AP574*(IF(O574="USD",AK574,(AK574/'Master Data-C19RM'!$F$2)))),(AP574*(IF(O574="EUR",AK574,(AK574*'Master Data-C19RM'!$F$2)))))</f>
        <v>0</v>
      </c>
      <c r="AR574" s="925">
        <f>IF($O574="USD",_xlfn.IFNA(VLOOKUP($A574&amp;$E574&amp;$I574,PMsheet!$J:$K,2,0),0),(_xlfn.IFNA(VLOOKUP($A574&amp;$E574&amp;$I574,PMsheet!$J:$K,2,0),0)*'Master Data-C19RM'!$G$2))</f>
        <v>0</v>
      </c>
      <c r="AS574" s="926"/>
      <c r="AT574" s="926"/>
      <c r="AU574" s="926"/>
      <c r="AV574" s="926"/>
      <c r="AW574" s="514">
        <f t="shared" si="78"/>
        <v>0</v>
      </c>
      <c r="AX574" s="514">
        <f>IF(SETUP!$E$7="USD",(AW574*(IF(O574="USD",AR574,(AR574/'Master Data-C19RM'!$G$2)))),(AW574*(IF(O574="EUR",AR574,(AR574*'Master Data-C19RM'!$G$2)))))</f>
        <v>0</v>
      </c>
      <c r="AY574" s="845"/>
      <c r="AZ574" s="846"/>
      <c r="BA574" s="846"/>
      <c r="BB574" s="846"/>
      <c r="BC574" s="846"/>
      <c r="BD574" s="846"/>
      <c r="BE574" s="847"/>
      <c r="BF574" s="521">
        <f>'C19RM 2021-Lab &amp; Other HPS'!$U574+'C19RM 2021-Lab &amp; Other HPS'!$AB574+'C19RM 2021-Lab &amp; Other HPS'!$AP574+'C19RM 2021-Lab &amp; Other HPS'!$AI574+AW574+BD574</f>
        <v>0</v>
      </c>
      <c r="BG574" s="515">
        <f>'C19RM 2021-Lab &amp; Other HPS'!$V574+'C19RM 2021-Lab &amp; Other HPS'!$AC574+'C19RM 2021-Lab &amp; Other HPS'!$AQ574+'C19RM 2021-Lab &amp; Other HPS'!$AJ574+AX574+BE574</f>
        <v>0</v>
      </c>
      <c r="BH574" s="522" t="str" cm="1">
        <f t="array" ref="BH574">IF(A574&lt;&gt;"",IFERROR(INDEX(PMtbl[[WKst]:[Unit of measure*]],MATCH($A$544&amp;$A574&amp;$E574&amp;$I574,INDEX(PMtbl[Sec]&amp;PMtbl[Category]&amp;PMtbl[Each]&amp;PMtbl[Packaging],0,),0),11),""),"")</f>
        <v/>
      </c>
      <c r="BI574" s="818"/>
      <c r="BJ574" s="503" t="str" cm="1">
        <f t="array" ref="BJ574">IFERROR(INDEX(SETUP!$C$19:$G$121,MATCH((INDEX(PMtbl[[WKst]:[Unit of measure*]],MATCH($A574&amp;$E574&amp;$I574,INDEX(PMtbl[Category]&amp;PMtbl[Each]&amp;PMtbl[Packaging],0,),0),3)),SETUP!$D$19:$D$121,0),5),"")</f>
        <v/>
      </c>
      <c r="BK574" s="543" t="str" cm="1">
        <f t="array" ref="BK574">IFERROR(IF((INDEX(SETUP!$C$19:$G$121,MATCH((INDEX(PMtbl[[WKst]:[Unit of measure*]],MATCH($A574&amp;$E574&amp;$I574,INDEX(PMtbl[Category]&amp;PMtbl[Each]&amp;PMtbl[Packaging],0,),0),3)),SETUP!$D$19:$D$121,0),4))="Upfront",0,INDEX(SETUP!$C$19:$G$121,MATCH((INDEX(PMtbl[[WKst]:[Unit of measure*]],MATCH($A574&amp;$E574&amp;$I574,INDEX(PMtbl[Category]&amp;PMtbl[Each]&amp;PMtbl[Packaging],0,),0),3)),SETUP!$D$19:$D$121,0),5)),"")</f>
        <v/>
      </c>
      <c r="BL574" s="201" t="str" cm="1">
        <f t="array" ref="BL574">IF(E574&lt;&gt;"",IFERROR(INDEX(PMtbl[[WKst]:[Unit of measure*]],MATCH($A$544&amp;$A574&amp;$E574&amp;$I574,INDEX(PMtbl[Sec]&amp;PMtbl[Category]&amp;PMtbl[Each]&amp;PMtbl[Packaging],0,),0),11),""),"")</f>
        <v/>
      </c>
      <c r="BO574" s="12">
        <f>IF(N574="",0,IF(SETUP!$E$7="USD",((IF(O574="USD",P574,(P574/'Master Data-C19RM'!$C$2)))),((IF(O574="EUR",P574,(P574*'Master Data-C19RM'!$C$2))))))</f>
        <v>0</v>
      </c>
      <c r="BP574" s="12">
        <f>IF(N574="",0,IF(SETUP!$E$7="USD",((IF(O574="USD",W574,(W574/'Master Data-C19RM'!$D$2)))),((IF(O574="EUR",W574,(W574*'Master Data-C19RM'!$D$2))))))</f>
        <v>0</v>
      </c>
      <c r="BQ574">
        <f>IF(N574="",0,IF(SETUP!$E$7="USD",((IF(O574="USD",AD574,(AD574/'Master Data-C19RM'!$E$2)))),((IF(O574="EUR",AD574,(AD574*'Master Data-C19RM'!$E$2))))))</f>
        <v>0</v>
      </c>
      <c r="BR574">
        <f>IF(N574="",0,IF(SETUP!$E$7="USD",((IF(O574="USD",AK574,(AK574/'Master Data-C19RM'!$F$2)))),((IF(O574="EUR",AK574,(AK574*'Master Data-C19RM'!$F$2))))))</f>
        <v>0</v>
      </c>
      <c r="BS574">
        <f>IF(N574="",0,IF(SETUP!$E$7="USD",((IF(O574="USD",AR574,(AR574/'Master Data-C19RM'!$G$2)))),((IF(O574="EUR",AR574,(AR574*'Master Data-C19RM'!$G$2))))))</f>
        <v>0</v>
      </c>
      <c r="BT574">
        <f>IF(N574="",0,IF(SETUP!$E$7="USD",((IF(O574="USD",AY574,(AY574/'Master Data-C19RM'!$H$2)))),((IF(O574="EUR",AY574,(AY574*'Master Data-C19RM'!$H$2))))))</f>
        <v>0</v>
      </c>
      <c r="BU574" s="12">
        <f t="shared" si="72"/>
        <v>0</v>
      </c>
      <c r="BV574" s="142">
        <f t="shared" si="73"/>
        <v>0</v>
      </c>
    </row>
    <row r="575" spans="1:74" x14ac:dyDescent="0.35">
      <c r="A575" s="1165"/>
      <c r="B575" s="1165"/>
      <c r="C575" s="1165"/>
      <c r="D575" s="1165"/>
      <c r="E575" s="1166"/>
      <c r="F575" s="1166"/>
      <c r="G575" s="1166"/>
      <c r="H575" s="1166"/>
      <c r="I575" s="1166"/>
      <c r="J575" s="1166"/>
      <c r="K575" s="1166"/>
      <c r="L575" s="490" t="str" cm="1">
        <f t="array" ref="L575">IF(A575&lt;&gt;"",IFERROR(INDEX(PMtbl[[WKst]:[Unit of measure*]],MATCH($A$544&amp;$A575&amp;$E575&amp;$I575,INDEX(PMtbl[Sec]&amp;PMtbl[Category]&amp;PMtbl[Each]&amp;PMtbl[Packaging],0,),0),14),""),"")</f>
        <v/>
      </c>
      <c r="M575" s="479" t="str">
        <f>IF(L575="","",INDEX(SETUP!$E$20:$E$122,(MATCH(INDEX(PMsheet!$D:$E,MATCH(A575,PMsheet!E:E,0),1),SETUP!$D$20:$D$122,0))))</f>
        <v/>
      </c>
      <c r="N575" s="491">
        <f>IF($O575="USD",_xlfn.IFNA(VLOOKUP(A575&amp;E575&amp;I575,PMsheet!J:K,2,0),0),(_xlfn.IFNA(VLOOKUP(A575&amp;E575&amp;I575,PMsheet!J:K,2,0),0)*'Master Data-C19RM'!$C$2))</f>
        <v>0</v>
      </c>
      <c r="O575" s="492" t="str">
        <f>IF(L575="", "",SETUP!$E$7)</f>
        <v/>
      </c>
      <c r="P575" s="444">
        <f>IF($O575="USD",_xlfn.IFNA(VLOOKUP($A575&amp;$E575&amp;$I575,PMsheet!$J:$K,2,0),0),(_xlfn.IFNA(VLOOKUP($A575&amp;$E575&amp;$I575,PMsheet!$J:$K,2,0),0)*'Master Data-C19RM'!$C$2))</f>
        <v>0</v>
      </c>
      <c r="Q575" s="441"/>
      <c r="R575" s="441"/>
      <c r="S575" s="441"/>
      <c r="T575" s="441"/>
      <c r="U575" s="481">
        <f t="shared" si="74"/>
        <v>0</v>
      </c>
      <c r="V575" s="483">
        <f>IF(SETUP!$E$7="USD",(U575*(IF(O575="USD",P575,(P575/'Master Data-C19RM'!$C$2)))),(U575*(IF(O575="EUR",P575,(P575*'Master Data-C19RM'!$C$2)))))</f>
        <v>0</v>
      </c>
      <c r="W575" s="444">
        <f>IF($O575="USD",_xlfn.IFNA(VLOOKUP($A575&amp;$E575&amp;$I575,PMsheet!$J:$K,2,0),0),(_xlfn.IFNA(VLOOKUP($A575&amp;$E575&amp;$I575,PMsheet!$J:$K,2,0),0)*'Master Data-C19RM'!$D$2))</f>
        <v>0</v>
      </c>
      <c r="X575" s="441"/>
      <c r="Y575" s="441"/>
      <c r="Z575" s="441"/>
      <c r="AA575" s="441"/>
      <c r="AB575" s="481">
        <f t="shared" si="75"/>
        <v>0</v>
      </c>
      <c r="AC575" s="483">
        <f>IF(SETUP!$E$7="USD",(AB575*(IF(O575="USD",W575,(W575/'Master Data-C19RM'!$D$2)))),(AB575*(IF(O575="EUR",W575,(W575*'Master Data-C19RM'!$D$2)))))</f>
        <v>0</v>
      </c>
      <c r="AD575" s="444">
        <f>IF($O575="USD",_xlfn.IFNA(VLOOKUP($A575&amp;$E575&amp;$I575,PMsheet!$J:$K,2,0),0),(_xlfn.IFNA(VLOOKUP($A575&amp;$E575&amp;$I575,PMsheet!$J:$K,2,0),0)*'Master Data-C19RM'!$E$2))</f>
        <v>0</v>
      </c>
      <c r="AE575" s="441"/>
      <c r="AF575" s="441"/>
      <c r="AG575" s="441"/>
      <c r="AH575" s="441"/>
      <c r="AI575" s="512">
        <f t="shared" si="76"/>
        <v>0</v>
      </c>
      <c r="AJ575" s="513">
        <f>IF(SETUP!$E$7="USD",(AI575*(IF(O575="USD",AD575,(AD575/'Master Data-C19RM'!$E$2)))),(AI575*(IF(O575="EUR",AD575,(AD575*'Master Data-C19RM'!$E$2)))))</f>
        <v>0</v>
      </c>
      <c r="AK575" s="444">
        <f>IF($O575="USD",_xlfn.IFNA(VLOOKUP($A575&amp;$E575&amp;$I575,PMsheet!$J:$K,2,0),0),(_xlfn.IFNA(VLOOKUP($A575&amp;$E575&amp;$I575,PMsheet!$J:$K,2,0),0)*'Master Data-C19RM'!$F$2))</f>
        <v>0</v>
      </c>
      <c r="AL575" s="441"/>
      <c r="AM575" s="441"/>
      <c r="AN575" s="441"/>
      <c r="AO575" s="441"/>
      <c r="AP575" s="512">
        <f t="shared" si="77"/>
        <v>0</v>
      </c>
      <c r="AQ575" s="513">
        <f>IF(SETUP!$E$7="USD",(AP575*(IF(O575="USD",AK575,(AK575/'Master Data-C19RM'!$F$2)))),(AP575*(IF(O575="EUR",AK575,(AK575*'Master Data-C19RM'!$F$2)))))</f>
        <v>0</v>
      </c>
      <c r="AR575" s="924">
        <f>IF($O575="USD",_xlfn.IFNA(VLOOKUP($A575&amp;$E575&amp;$I575,PMsheet!$J:$K,2,0),0),(_xlfn.IFNA(VLOOKUP($A575&amp;$E575&amp;$I575,PMsheet!$J:$K,2,0),0)*'Master Data-C19RM'!$G$2))</f>
        <v>0</v>
      </c>
      <c r="AS575" s="572"/>
      <c r="AT575" s="572"/>
      <c r="AU575" s="572"/>
      <c r="AV575" s="572"/>
      <c r="AW575" s="512">
        <f t="shared" si="78"/>
        <v>0</v>
      </c>
      <c r="AX575" s="512">
        <f>IF(SETUP!$E$7="USD",(AW575*(IF(O575="USD",AR575,(AR575/'Master Data-C19RM'!$G$2)))),(AW575*(IF(O575="EUR",AR575,(AR575*'Master Data-C19RM'!$G$2)))))</f>
        <v>0</v>
      </c>
      <c r="AY575" s="845"/>
      <c r="AZ575" s="846"/>
      <c r="BA575" s="846"/>
      <c r="BB575" s="846"/>
      <c r="BC575" s="846"/>
      <c r="BD575" s="846"/>
      <c r="BE575" s="847"/>
      <c r="BF575" s="520">
        <f>'C19RM 2021-Lab &amp; Other HPS'!$U575+'C19RM 2021-Lab &amp; Other HPS'!$AB575+'C19RM 2021-Lab &amp; Other HPS'!$AP575+'C19RM 2021-Lab &amp; Other HPS'!$AI575+AW575+BD575</f>
        <v>0</v>
      </c>
      <c r="BG575" s="513">
        <f>'C19RM 2021-Lab &amp; Other HPS'!$V575+'C19RM 2021-Lab &amp; Other HPS'!$AC575+'C19RM 2021-Lab &amp; Other HPS'!$AQ575+'C19RM 2021-Lab &amp; Other HPS'!$AJ575+AX575+BE575</f>
        <v>0</v>
      </c>
      <c r="BH575" s="500" t="str" cm="1">
        <f t="array" ref="BH575">IF(A575&lt;&gt;"",IFERROR(INDEX(PMtbl[[WKst]:[Unit of measure*]],MATCH($A$544&amp;$A575&amp;$E575&amp;$I575,INDEX(PMtbl[Sec]&amp;PMtbl[Category]&amp;PMtbl[Each]&amp;PMtbl[Packaging],0,),0),11),""),"")</f>
        <v/>
      </c>
      <c r="BI575" s="819"/>
      <c r="BJ575" s="502" t="str" cm="1">
        <f t="array" ref="BJ575">IFERROR(INDEX(SETUP!$C$19:$G$121,MATCH((INDEX(PMtbl[[WKst]:[Unit of measure*]],MATCH($A575&amp;$E575&amp;$I575,INDEX(PMtbl[Category]&amp;PMtbl[Each]&amp;PMtbl[Packaging],0,),0),3)),SETUP!$D$19:$D$121,0),5),"")</f>
        <v/>
      </c>
      <c r="BK575" s="542" t="str" cm="1">
        <f t="array" ref="BK575">IFERROR(IF((INDEX(SETUP!$C$19:$G$121,MATCH((INDEX(PMtbl[[WKst]:[Unit of measure*]],MATCH($A575&amp;$E575&amp;$I575,INDEX(PMtbl[Category]&amp;PMtbl[Each]&amp;PMtbl[Packaging],0,),0),3)),SETUP!$D$19:$D$121,0),4))="Upfront",0,INDEX(SETUP!$C$19:$G$121,MATCH((INDEX(PMtbl[[WKst]:[Unit of measure*]],MATCH($A575&amp;$E575&amp;$I575,INDEX(PMtbl[Category]&amp;PMtbl[Each]&amp;PMtbl[Packaging],0,),0),3)),SETUP!$D$19:$D$121,0),5)),"")</f>
        <v/>
      </c>
      <c r="BL575" s="200" t="str" cm="1">
        <f t="array" ref="BL575">IF(E575&lt;&gt;"",IFERROR(INDEX(PMtbl[[WKst]:[Unit of measure*]],MATCH($A$544&amp;$A575&amp;$E575&amp;$I575,INDEX(PMtbl[Sec]&amp;PMtbl[Category]&amp;PMtbl[Each]&amp;PMtbl[Packaging],0,),0),11),""),"")</f>
        <v/>
      </c>
      <c r="BO575" s="12">
        <f>IF(N575="",0,IF(SETUP!$E$7="USD",((IF(O575="USD",P575,(P575/'Master Data-C19RM'!$C$2)))),((IF(O575="EUR",P575,(P575*'Master Data-C19RM'!$C$2))))))</f>
        <v>0</v>
      </c>
      <c r="BP575" s="12">
        <f>IF(N575="",0,IF(SETUP!$E$7="USD",((IF(O575="USD",W575,(W575/'Master Data-C19RM'!$D$2)))),((IF(O575="EUR",W575,(W575*'Master Data-C19RM'!$D$2))))))</f>
        <v>0</v>
      </c>
      <c r="BQ575">
        <f>IF(N575="",0,IF(SETUP!$E$7="USD",((IF(O575="USD",AD575,(AD575/'Master Data-C19RM'!$E$2)))),((IF(O575="EUR",AD575,(AD575*'Master Data-C19RM'!$E$2))))))</f>
        <v>0</v>
      </c>
      <c r="BR575">
        <f>IF(N575="",0,IF(SETUP!$E$7="USD",((IF(O575="USD",AK575,(AK575/'Master Data-C19RM'!$F$2)))),((IF(O575="EUR",AK575,(AK575*'Master Data-C19RM'!$F$2))))))</f>
        <v>0</v>
      </c>
      <c r="BS575">
        <f>IF(N575="",0,IF(SETUP!$E$7="USD",((IF(O575="USD",AR575,(AR575/'Master Data-C19RM'!$G$2)))),((IF(O575="EUR",AR575,(AR575*'Master Data-C19RM'!$G$2))))))</f>
        <v>0</v>
      </c>
      <c r="BT575">
        <f>IF(N575="",0,IF(SETUP!$E$7="USD",((IF(O575="USD",AY575,(AY575/'Master Data-C19RM'!$H$2)))),((IF(O575="EUR",AY575,(AY575*'Master Data-C19RM'!$H$2))))))</f>
        <v>0</v>
      </c>
      <c r="BU575" s="12">
        <f t="shared" si="72"/>
        <v>0</v>
      </c>
      <c r="BV575" s="142">
        <f t="shared" si="73"/>
        <v>0</v>
      </c>
    </row>
    <row r="576" spans="1:74" x14ac:dyDescent="0.35">
      <c r="A576" s="1192"/>
      <c r="B576" s="1192"/>
      <c r="C576" s="1192"/>
      <c r="D576" s="1192"/>
      <c r="E576" s="1173"/>
      <c r="F576" s="1173"/>
      <c r="G576" s="1173"/>
      <c r="H576" s="1173"/>
      <c r="I576" s="1173"/>
      <c r="J576" s="1173"/>
      <c r="K576" s="1173"/>
      <c r="L576" s="493" t="str" cm="1">
        <f t="array" ref="L576">IF(A576&lt;&gt;"",IFERROR(INDEX(PMtbl[[WKst]:[Unit of measure*]],MATCH($A$544&amp;$A576&amp;$E576&amp;$I576,INDEX(PMtbl[Sec]&amp;PMtbl[Category]&amp;PMtbl[Each]&amp;PMtbl[Packaging],0,),0),14),""),"")</f>
        <v/>
      </c>
      <c r="M576" s="480" t="str">
        <f>IF(L576="","",INDEX(SETUP!$E$20:$E$122,(MATCH(INDEX(PMsheet!$D:$E,MATCH(A576,PMsheet!E:E,0),1),SETUP!$D$20:$D$122,0))))</f>
        <v/>
      </c>
      <c r="N576" s="494">
        <f>IF($O576="USD",_xlfn.IFNA(VLOOKUP(A576&amp;E576&amp;I576,PMsheet!J:K,2,0),0),(_xlfn.IFNA(VLOOKUP(A576&amp;E576&amp;I576,PMsheet!J:K,2,0),0)*'Master Data-C19RM'!$C$2))</f>
        <v>0</v>
      </c>
      <c r="O576" s="495" t="str">
        <f>IF(L576="", "",SETUP!$E$7)</f>
        <v/>
      </c>
      <c r="P576" s="445">
        <f>IF($O576="USD",_xlfn.IFNA(VLOOKUP($A576&amp;$E576&amp;$I576,PMsheet!$J:$K,2,0),0),(_xlfn.IFNA(VLOOKUP($A576&amp;$E576&amp;$I576,PMsheet!$J:$K,2,0),0)*'Master Data-C19RM'!$C$2))</f>
        <v>0</v>
      </c>
      <c r="Q576" s="440"/>
      <c r="R576" s="440"/>
      <c r="S576" s="440"/>
      <c r="T576" s="440"/>
      <c r="U576" s="482">
        <f t="shared" si="74"/>
        <v>0</v>
      </c>
      <c r="V576" s="484">
        <f>IF(SETUP!$E$7="USD",(U576*(IF(O576="USD",P576,(P576/'Master Data-C19RM'!$C$2)))),(U576*(IF(O576="EUR",P576,(P576*'Master Data-C19RM'!$C$2)))))</f>
        <v>0</v>
      </c>
      <c r="W576" s="445">
        <f>IF($O576="USD",_xlfn.IFNA(VLOOKUP($A576&amp;$E576&amp;$I576,PMsheet!$J:$K,2,0),0),(_xlfn.IFNA(VLOOKUP($A576&amp;$E576&amp;$I576,PMsheet!$J:$K,2,0),0)*'Master Data-C19RM'!$D$2))</f>
        <v>0</v>
      </c>
      <c r="X576" s="440"/>
      <c r="Y576" s="440"/>
      <c r="Z576" s="440"/>
      <c r="AA576" s="440"/>
      <c r="AB576" s="482">
        <f t="shared" si="75"/>
        <v>0</v>
      </c>
      <c r="AC576" s="484">
        <f>IF(SETUP!$E$7="USD",(AB576*(IF(O576="USD",W576,(W576/'Master Data-C19RM'!$D$2)))),(AB576*(IF(O576="EUR",W576,(W576*'Master Data-C19RM'!$D$2)))))</f>
        <v>0</v>
      </c>
      <c r="AD576" s="445">
        <f>IF($O576="USD",_xlfn.IFNA(VLOOKUP($A576&amp;$E576&amp;$I576,PMsheet!$J:$K,2,0),0),(_xlfn.IFNA(VLOOKUP($A576&amp;$E576&amp;$I576,PMsheet!$J:$K,2,0),0)*'Master Data-C19RM'!$E$2))</f>
        <v>0</v>
      </c>
      <c r="AE576" s="440"/>
      <c r="AF576" s="440"/>
      <c r="AG576" s="440"/>
      <c r="AH576" s="440"/>
      <c r="AI576" s="514">
        <f t="shared" si="76"/>
        <v>0</v>
      </c>
      <c r="AJ576" s="515">
        <f>IF(SETUP!$E$7="USD",(AI576*(IF(O576="USD",AD576,(AD576/'Master Data-C19RM'!$E$2)))),(AI576*(IF(O576="EUR",AD576,(AD576*'Master Data-C19RM'!$E$2)))))</f>
        <v>0</v>
      </c>
      <c r="AK576" s="445">
        <f>IF($O576="USD",_xlfn.IFNA(VLOOKUP($A576&amp;$E576&amp;$I576,PMsheet!$J:$K,2,0),0),(_xlfn.IFNA(VLOOKUP($A576&amp;$E576&amp;$I576,PMsheet!$J:$K,2,0),0)*'Master Data-C19RM'!$F$2))</f>
        <v>0</v>
      </c>
      <c r="AL576" s="440"/>
      <c r="AM576" s="440"/>
      <c r="AN576" s="440"/>
      <c r="AO576" s="440"/>
      <c r="AP576" s="514">
        <f t="shared" si="77"/>
        <v>0</v>
      </c>
      <c r="AQ576" s="515">
        <f>IF(SETUP!$E$7="USD",(AP576*(IF(O576="USD",AK576,(AK576/'Master Data-C19RM'!$F$2)))),(AP576*(IF(O576="EUR",AK576,(AK576*'Master Data-C19RM'!$F$2)))))</f>
        <v>0</v>
      </c>
      <c r="AR576" s="925">
        <f>IF($O576="USD",_xlfn.IFNA(VLOOKUP($A576&amp;$E576&amp;$I576,PMsheet!$J:$K,2,0),0),(_xlfn.IFNA(VLOOKUP($A576&amp;$E576&amp;$I576,PMsheet!$J:$K,2,0),0)*'Master Data-C19RM'!$G$2))</f>
        <v>0</v>
      </c>
      <c r="AS576" s="926"/>
      <c r="AT576" s="926"/>
      <c r="AU576" s="926"/>
      <c r="AV576" s="926"/>
      <c r="AW576" s="514">
        <f t="shared" si="78"/>
        <v>0</v>
      </c>
      <c r="AX576" s="514">
        <f>IF(SETUP!$E$7="USD",(AW576*(IF(O576="USD",AR576,(AR576/'Master Data-C19RM'!$G$2)))),(AW576*(IF(O576="EUR",AR576,(AR576*'Master Data-C19RM'!$G$2)))))</f>
        <v>0</v>
      </c>
      <c r="AY576" s="845"/>
      <c r="AZ576" s="846"/>
      <c r="BA576" s="846"/>
      <c r="BB576" s="846"/>
      <c r="BC576" s="846"/>
      <c r="BD576" s="846"/>
      <c r="BE576" s="847"/>
      <c r="BF576" s="521">
        <f>'C19RM 2021-Lab &amp; Other HPS'!$U576+'C19RM 2021-Lab &amp; Other HPS'!$AB576+'C19RM 2021-Lab &amp; Other HPS'!$AP576+'C19RM 2021-Lab &amp; Other HPS'!$AI576+AW576+BD576</f>
        <v>0</v>
      </c>
      <c r="BG576" s="515">
        <f>'C19RM 2021-Lab &amp; Other HPS'!$V576+'C19RM 2021-Lab &amp; Other HPS'!$AC576+'C19RM 2021-Lab &amp; Other HPS'!$AQ576+'C19RM 2021-Lab &amp; Other HPS'!$AJ576+AX576+BE576</f>
        <v>0</v>
      </c>
      <c r="BH576" s="522" t="str" cm="1">
        <f t="array" ref="BH576">IF(A576&lt;&gt;"",IFERROR(INDEX(PMtbl[[WKst]:[Unit of measure*]],MATCH($A$544&amp;$A576&amp;$E576&amp;$I576,INDEX(PMtbl[Sec]&amp;PMtbl[Category]&amp;PMtbl[Each]&amp;PMtbl[Packaging],0,),0),11),""),"")</f>
        <v/>
      </c>
      <c r="BI576" s="818"/>
      <c r="BJ576" s="503" t="str" cm="1">
        <f t="array" ref="BJ576">IFERROR(INDEX(SETUP!$C$19:$G$121,MATCH((INDEX(PMtbl[[WKst]:[Unit of measure*]],MATCH($A576&amp;$E576&amp;$I576,INDEX(PMtbl[Category]&amp;PMtbl[Each]&amp;PMtbl[Packaging],0,),0),3)),SETUP!$D$19:$D$121,0),5),"")</f>
        <v/>
      </c>
      <c r="BK576" s="543" t="str" cm="1">
        <f t="array" ref="BK576">IFERROR(IF((INDEX(SETUP!$C$19:$G$121,MATCH((INDEX(PMtbl[[WKst]:[Unit of measure*]],MATCH($A576&amp;$E576&amp;$I576,INDEX(PMtbl[Category]&amp;PMtbl[Each]&amp;PMtbl[Packaging],0,),0),3)),SETUP!$D$19:$D$121,0),4))="Upfront",0,INDEX(SETUP!$C$19:$G$121,MATCH((INDEX(PMtbl[[WKst]:[Unit of measure*]],MATCH($A576&amp;$E576&amp;$I576,INDEX(PMtbl[Category]&amp;PMtbl[Each]&amp;PMtbl[Packaging],0,),0),3)),SETUP!$D$19:$D$121,0),5)),"")</f>
        <v/>
      </c>
      <c r="BL576" s="201" t="str" cm="1">
        <f t="array" ref="BL576">IF(E576&lt;&gt;"",IFERROR(INDEX(PMtbl[[WKst]:[Unit of measure*]],MATCH($A$544&amp;$A576&amp;$E576&amp;$I576,INDEX(PMtbl[Sec]&amp;PMtbl[Category]&amp;PMtbl[Each]&amp;PMtbl[Packaging],0,),0),11),""),"")</f>
        <v/>
      </c>
      <c r="BO576" s="12">
        <f>IF(N576="",0,IF(SETUP!$E$7="USD",((IF(O576="USD",P576,(P576/'Master Data-C19RM'!$C$2)))),((IF(O576="EUR",P576,(P576*'Master Data-C19RM'!$C$2))))))</f>
        <v>0</v>
      </c>
      <c r="BP576" s="12">
        <f>IF(N576="",0,IF(SETUP!$E$7="USD",((IF(O576="USD",W576,(W576/'Master Data-C19RM'!$D$2)))),((IF(O576="EUR",W576,(W576*'Master Data-C19RM'!$D$2))))))</f>
        <v>0</v>
      </c>
      <c r="BQ576">
        <f>IF(N576="",0,IF(SETUP!$E$7="USD",((IF(O576="USD",AD576,(AD576/'Master Data-C19RM'!$E$2)))),((IF(O576="EUR",AD576,(AD576*'Master Data-C19RM'!$E$2))))))</f>
        <v>0</v>
      </c>
      <c r="BR576">
        <f>IF(N576="",0,IF(SETUP!$E$7="USD",((IF(O576="USD",AK576,(AK576/'Master Data-C19RM'!$F$2)))),((IF(O576="EUR",AK576,(AK576*'Master Data-C19RM'!$F$2))))))</f>
        <v>0</v>
      </c>
      <c r="BS576">
        <f>IF(N576="",0,IF(SETUP!$E$7="USD",((IF(O576="USD",AR576,(AR576/'Master Data-C19RM'!$G$2)))),((IF(O576="EUR",AR576,(AR576*'Master Data-C19RM'!$G$2))))))</f>
        <v>0</v>
      </c>
      <c r="BT576">
        <f>IF(N576="",0,IF(SETUP!$E$7="USD",((IF(O576="USD",AY576,(AY576/'Master Data-C19RM'!$H$2)))),((IF(O576="EUR",AY576,(AY576*'Master Data-C19RM'!$H$2))))))</f>
        <v>0</v>
      </c>
      <c r="BU576" s="12">
        <f t="shared" si="72"/>
        <v>0</v>
      </c>
      <c r="BV576" s="142">
        <f t="shared" si="73"/>
        <v>0</v>
      </c>
    </row>
    <row r="577" spans="1:74" x14ac:dyDescent="0.35">
      <c r="A577" s="1165"/>
      <c r="B577" s="1165"/>
      <c r="C577" s="1165"/>
      <c r="D577" s="1165"/>
      <c r="E577" s="1166"/>
      <c r="F577" s="1166"/>
      <c r="G577" s="1166"/>
      <c r="H577" s="1166"/>
      <c r="I577" s="1166"/>
      <c r="J577" s="1166"/>
      <c r="K577" s="1166"/>
      <c r="L577" s="490" t="str" cm="1">
        <f t="array" ref="L577">IF(A577&lt;&gt;"",IFERROR(INDEX(PMtbl[[WKst]:[Unit of measure*]],MATCH($A$544&amp;$A577&amp;$E577&amp;$I577,INDEX(PMtbl[Sec]&amp;PMtbl[Category]&amp;PMtbl[Each]&amp;PMtbl[Packaging],0,),0),14),""),"")</f>
        <v/>
      </c>
      <c r="M577" s="479" t="str">
        <f>IF(L577="","",INDEX(SETUP!$E$20:$E$122,(MATCH(INDEX(PMsheet!$D:$E,MATCH(A577,PMsheet!E:E,0),1),SETUP!$D$20:$D$122,0))))</f>
        <v/>
      </c>
      <c r="N577" s="491">
        <f>IF($O577="USD",_xlfn.IFNA(VLOOKUP(A577&amp;E577&amp;I577,PMsheet!J:K,2,0),0),(_xlfn.IFNA(VLOOKUP(A577&amp;E577&amp;I577,PMsheet!J:K,2,0),0)*'Master Data-C19RM'!$C$2))</f>
        <v>0</v>
      </c>
      <c r="O577" s="492" t="str">
        <f>IF(L577="", "",SETUP!$E$7)</f>
        <v/>
      </c>
      <c r="P577" s="444">
        <f>IF($O577="USD",_xlfn.IFNA(VLOOKUP($A577&amp;$E577&amp;$I577,PMsheet!$J:$K,2,0),0),(_xlfn.IFNA(VLOOKUP($A577&amp;$E577&amp;$I577,PMsheet!$J:$K,2,0),0)*'Master Data-C19RM'!$C$2))</f>
        <v>0</v>
      </c>
      <c r="Q577" s="441"/>
      <c r="R577" s="441"/>
      <c r="S577" s="441"/>
      <c r="T577" s="441"/>
      <c r="U577" s="481">
        <f t="shared" si="74"/>
        <v>0</v>
      </c>
      <c r="V577" s="483">
        <f>IF(SETUP!$E$7="USD",(U577*(IF(O577="USD",P577,(P577/'Master Data-C19RM'!$C$2)))),(U577*(IF(O577="EUR",P577,(P577*'Master Data-C19RM'!$C$2)))))</f>
        <v>0</v>
      </c>
      <c r="W577" s="444">
        <f>IF($O577="USD",_xlfn.IFNA(VLOOKUP($A577&amp;$E577&amp;$I577,PMsheet!$J:$K,2,0),0),(_xlfn.IFNA(VLOOKUP($A577&amp;$E577&amp;$I577,PMsheet!$J:$K,2,0),0)*'Master Data-C19RM'!$D$2))</f>
        <v>0</v>
      </c>
      <c r="X577" s="441"/>
      <c r="Y577" s="441"/>
      <c r="Z577" s="441"/>
      <c r="AA577" s="441"/>
      <c r="AB577" s="481">
        <f t="shared" si="75"/>
        <v>0</v>
      </c>
      <c r="AC577" s="483">
        <f>IF(SETUP!$E$7="USD",(AB577*(IF(O577="USD",W577,(W577/'Master Data-C19RM'!$D$2)))),(AB577*(IF(O577="EUR",W577,(W577*'Master Data-C19RM'!$D$2)))))</f>
        <v>0</v>
      </c>
      <c r="AD577" s="444">
        <f>IF($O577="USD",_xlfn.IFNA(VLOOKUP($A577&amp;$E577&amp;$I577,PMsheet!$J:$K,2,0),0),(_xlfn.IFNA(VLOOKUP($A577&amp;$E577&amp;$I577,PMsheet!$J:$K,2,0),0)*'Master Data-C19RM'!$E$2))</f>
        <v>0</v>
      </c>
      <c r="AE577" s="441"/>
      <c r="AF577" s="441"/>
      <c r="AG577" s="441"/>
      <c r="AH577" s="441"/>
      <c r="AI577" s="512">
        <f t="shared" si="76"/>
        <v>0</v>
      </c>
      <c r="AJ577" s="513">
        <f>IF(SETUP!$E$7="USD",(AI577*(IF(O577="USD",AD577,(AD577/'Master Data-C19RM'!$E$2)))),(AI577*(IF(O577="EUR",AD577,(AD577*'Master Data-C19RM'!$E$2)))))</f>
        <v>0</v>
      </c>
      <c r="AK577" s="444">
        <f>IF($O577="USD",_xlfn.IFNA(VLOOKUP($A577&amp;$E577&amp;$I577,PMsheet!$J:$K,2,0),0),(_xlfn.IFNA(VLOOKUP($A577&amp;$E577&amp;$I577,PMsheet!$J:$K,2,0),0)*'Master Data-C19RM'!$F$2))</f>
        <v>0</v>
      </c>
      <c r="AL577" s="441"/>
      <c r="AM577" s="441"/>
      <c r="AN577" s="441"/>
      <c r="AO577" s="441"/>
      <c r="AP577" s="512">
        <f t="shared" si="77"/>
        <v>0</v>
      </c>
      <c r="AQ577" s="513">
        <f>IF(SETUP!$E$7="USD",(AP577*(IF(O577="USD",AK577,(AK577/'Master Data-C19RM'!$F$2)))),(AP577*(IF(O577="EUR",AK577,(AK577*'Master Data-C19RM'!$F$2)))))</f>
        <v>0</v>
      </c>
      <c r="AR577" s="924">
        <f>IF($O577="USD",_xlfn.IFNA(VLOOKUP($A577&amp;$E577&amp;$I577,PMsheet!$J:$K,2,0),0),(_xlfn.IFNA(VLOOKUP($A577&amp;$E577&amp;$I577,PMsheet!$J:$K,2,0),0)*'Master Data-C19RM'!$G$2))</f>
        <v>0</v>
      </c>
      <c r="AS577" s="572"/>
      <c r="AT577" s="572"/>
      <c r="AU577" s="572"/>
      <c r="AV577" s="572"/>
      <c r="AW577" s="512">
        <f t="shared" si="78"/>
        <v>0</v>
      </c>
      <c r="AX577" s="512">
        <f>IF(SETUP!$E$7="USD",(AW577*(IF(O577="USD",AR577,(AR577/'Master Data-C19RM'!$G$2)))),(AW577*(IF(O577="EUR",AR577,(AR577*'Master Data-C19RM'!$G$2)))))</f>
        <v>0</v>
      </c>
      <c r="AY577" s="845"/>
      <c r="AZ577" s="846"/>
      <c r="BA577" s="846"/>
      <c r="BB577" s="846"/>
      <c r="BC577" s="846"/>
      <c r="BD577" s="846"/>
      <c r="BE577" s="847"/>
      <c r="BF577" s="520">
        <f>'C19RM 2021-Lab &amp; Other HPS'!$U577+'C19RM 2021-Lab &amp; Other HPS'!$AB577+'C19RM 2021-Lab &amp; Other HPS'!$AP577+'C19RM 2021-Lab &amp; Other HPS'!$AI577+AW577+BD577</f>
        <v>0</v>
      </c>
      <c r="BG577" s="513">
        <f>'C19RM 2021-Lab &amp; Other HPS'!$V577+'C19RM 2021-Lab &amp; Other HPS'!$AC577+'C19RM 2021-Lab &amp; Other HPS'!$AQ577+'C19RM 2021-Lab &amp; Other HPS'!$AJ577+AX577+BE577</f>
        <v>0</v>
      </c>
      <c r="BH577" s="500" t="str" cm="1">
        <f t="array" ref="BH577">IF(A577&lt;&gt;"",IFERROR(INDEX(PMtbl[[WKst]:[Unit of measure*]],MATCH($A$544&amp;$A577&amp;$E577&amp;$I577,INDEX(PMtbl[Sec]&amp;PMtbl[Category]&amp;PMtbl[Each]&amp;PMtbl[Packaging],0,),0),11),""),"")</f>
        <v/>
      </c>
      <c r="BI577" s="819"/>
      <c r="BJ577" s="502" t="str" cm="1">
        <f t="array" ref="BJ577">IFERROR(INDEX(SETUP!$C$19:$G$121,MATCH((INDEX(PMtbl[[WKst]:[Unit of measure*]],MATCH($A577&amp;$E577&amp;$I577,INDEX(PMtbl[Category]&amp;PMtbl[Each]&amp;PMtbl[Packaging],0,),0),3)),SETUP!$D$19:$D$121,0),5),"")</f>
        <v/>
      </c>
      <c r="BK577" s="542" t="str" cm="1">
        <f t="array" ref="BK577">IFERROR(IF((INDEX(SETUP!$C$19:$G$121,MATCH((INDEX(PMtbl[[WKst]:[Unit of measure*]],MATCH($A577&amp;$E577&amp;$I577,INDEX(PMtbl[Category]&amp;PMtbl[Each]&amp;PMtbl[Packaging],0,),0),3)),SETUP!$D$19:$D$121,0),4))="Upfront",0,INDEX(SETUP!$C$19:$G$121,MATCH((INDEX(PMtbl[[WKst]:[Unit of measure*]],MATCH($A577&amp;$E577&amp;$I577,INDEX(PMtbl[Category]&amp;PMtbl[Each]&amp;PMtbl[Packaging],0,),0),3)),SETUP!$D$19:$D$121,0),5)),"")</f>
        <v/>
      </c>
      <c r="BL577" s="200" t="str" cm="1">
        <f t="array" ref="BL577">IF(E577&lt;&gt;"",IFERROR(INDEX(PMtbl[[WKst]:[Unit of measure*]],MATCH($A$544&amp;$A577&amp;$E577&amp;$I577,INDEX(PMtbl[Sec]&amp;PMtbl[Category]&amp;PMtbl[Each]&amp;PMtbl[Packaging],0,),0),11),""),"")</f>
        <v/>
      </c>
      <c r="BO577" s="12">
        <f>IF(N577="",0,IF(SETUP!$E$7="USD",((IF(O577="USD",P577,(P577/'Master Data-C19RM'!$C$2)))),((IF(O577="EUR",P577,(P577*'Master Data-C19RM'!$C$2))))))</f>
        <v>0</v>
      </c>
      <c r="BP577" s="12">
        <f>IF(N577="",0,IF(SETUP!$E$7="USD",((IF(O577="USD",W577,(W577/'Master Data-C19RM'!$D$2)))),((IF(O577="EUR",W577,(W577*'Master Data-C19RM'!$D$2))))))</f>
        <v>0</v>
      </c>
      <c r="BQ577">
        <f>IF(N577="",0,IF(SETUP!$E$7="USD",((IF(O577="USD",AD577,(AD577/'Master Data-C19RM'!$E$2)))),((IF(O577="EUR",AD577,(AD577*'Master Data-C19RM'!$E$2))))))</f>
        <v>0</v>
      </c>
      <c r="BR577">
        <f>IF(N577="",0,IF(SETUP!$E$7="USD",((IF(O577="USD",AK577,(AK577/'Master Data-C19RM'!$F$2)))),((IF(O577="EUR",AK577,(AK577*'Master Data-C19RM'!$F$2))))))</f>
        <v>0</v>
      </c>
      <c r="BS577">
        <f>IF(N577="",0,IF(SETUP!$E$7="USD",((IF(O577="USD",AR577,(AR577/'Master Data-C19RM'!$G$2)))),((IF(O577="EUR",AR577,(AR577*'Master Data-C19RM'!$G$2))))))</f>
        <v>0</v>
      </c>
      <c r="BT577">
        <f>IF(N577="",0,IF(SETUP!$E$7="USD",((IF(O577="USD",AY577,(AY577/'Master Data-C19RM'!$H$2)))),((IF(O577="EUR",AY577,(AY577*'Master Data-C19RM'!$H$2))))))</f>
        <v>0</v>
      </c>
      <c r="BU577" s="12">
        <f t="shared" si="72"/>
        <v>0</v>
      </c>
      <c r="BV577" s="142">
        <f t="shared" si="73"/>
        <v>0</v>
      </c>
    </row>
    <row r="578" spans="1:74" x14ac:dyDescent="0.35">
      <c r="A578" s="1192"/>
      <c r="B578" s="1192"/>
      <c r="C578" s="1192"/>
      <c r="D578" s="1192"/>
      <c r="E578" s="1173"/>
      <c r="F578" s="1173"/>
      <c r="G578" s="1173"/>
      <c r="H578" s="1173"/>
      <c r="I578" s="1173"/>
      <c r="J578" s="1173"/>
      <c r="K578" s="1173"/>
      <c r="L578" s="493" t="str" cm="1">
        <f t="array" ref="L578">IF(A578&lt;&gt;"",IFERROR(INDEX(PMtbl[[WKst]:[Unit of measure*]],MATCH($A$544&amp;$A578&amp;$E578&amp;$I578,INDEX(PMtbl[Sec]&amp;PMtbl[Category]&amp;PMtbl[Each]&amp;PMtbl[Packaging],0,),0),14),""),"")</f>
        <v/>
      </c>
      <c r="M578" s="480" t="str">
        <f>IF(L578="","",INDEX(SETUP!$E$20:$E$122,(MATCH(INDEX(PMsheet!$D:$E,MATCH(A578,PMsheet!E:E,0),1),SETUP!$D$20:$D$122,0))))</f>
        <v/>
      </c>
      <c r="N578" s="494">
        <f>IF($O578="USD",_xlfn.IFNA(VLOOKUP(A578&amp;E578&amp;I578,PMsheet!J:K,2,0),0),(_xlfn.IFNA(VLOOKUP(A578&amp;E578&amp;I578,PMsheet!J:K,2,0),0)*'Master Data-C19RM'!$C$2))</f>
        <v>0</v>
      </c>
      <c r="O578" s="495" t="str">
        <f>IF(L578="", "",SETUP!$E$7)</f>
        <v/>
      </c>
      <c r="P578" s="445">
        <f>IF($O578="USD",_xlfn.IFNA(VLOOKUP($A578&amp;$E578&amp;$I578,PMsheet!$J:$K,2,0),0),(_xlfn.IFNA(VLOOKUP($A578&amp;$E578&amp;$I578,PMsheet!$J:$K,2,0),0)*'Master Data-C19RM'!$C$2))</f>
        <v>0</v>
      </c>
      <c r="Q578" s="440"/>
      <c r="R578" s="440"/>
      <c r="S578" s="440"/>
      <c r="T578" s="440"/>
      <c r="U578" s="482">
        <f t="shared" si="74"/>
        <v>0</v>
      </c>
      <c r="V578" s="484">
        <f>IF(SETUP!$E$7="USD",(U578*(IF(O578="USD",P578,(P578/'Master Data-C19RM'!$C$2)))),(U578*(IF(O578="EUR",P578,(P578*'Master Data-C19RM'!$C$2)))))</f>
        <v>0</v>
      </c>
      <c r="W578" s="445">
        <f>IF($O578="USD",_xlfn.IFNA(VLOOKUP($A578&amp;$E578&amp;$I578,PMsheet!$J:$K,2,0),0),(_xlfn.IFNA(VLOOKUP($A578&amp;$E578&amp;$I578,PMsheet!$J:$K,2,0),0)*'Master Data-C19RM'!$D$2))</f>
        <v>0</v>
      </c>
      <c r="X578" s="440"/>
      <c r="Y578" s="440"/>
      <c r="Z578" s="440"/>
      <c r="AA578" s="440"/>
      <c r="AB578" s="482">
        <f t="shared" si="75"/>
        <v>0</v>
      </c>
      <c r="AC578" s="484">
        <f>IF(SETUP!$E$7="USD",(AB578*(IF(O578="USD",W578,(W578/'Master Data-C19RM'!$D$2)))),(AB578*(IF(O578="EUR",W578,(W578*'Master Data-C19RM'!$D$2)))))</f>
        <v>0</v>
      </c>
      <c r="AD578" s="445">
        <f>IF($O578="USD",_xlfn.IFNA(VLOOKUP($A578&amp;$E578&amp;$I578,PMsheet!$J:$K,2,0),0),(_xlfn.IFNA(VLOOKUP($A578&amp;$E578&amp;$I578,PMsheet!$J:$K,2,0),0)*'Master Data-C19RM'!$E$2))</f>
        <v>0</v>
      </c>
      <c r="AE578" s="440"/>
      <c r="AF578" s="440"/>
      <c r="AG578" s="440"/>
      <c r="AH578" s="440"/>
      <c r="AI578" s="514">
        <f t="shared" si="76"/>
        <v>0</v>
      </c>
      <c r="AJ578" s="515">
        <f>IF(SETUP!$E$7="USD",(AI578*(IF(O578="USD",AD578,(AD578/'Master Data-C19RM'!$E$2)))),(AI578*(IF(O578="EUR",AD578,(AD578*'Master Data-C19RM'!$E$2)))))</f>
        <v>0</v>
      </c>
      <c r="AK578" s="445">
        <f>IF($O578="USD",_xlfn.IFNA(VLOOKUP($A578&amp;$E578&amp;$I578,PMsheet!$J:$K,2,0),0),(_xlfn.IFNA(VLOOKUP($A578&amp;$E578&amp;$I578,PMsheet!$J:$K,2,0),0)*'Master Data-C19RM'!$F$2))</f>
        <v>0</v>
      </c>
      <c r="AL578" s="440"/>
      <c r="AM578" s="440"/>
      <c r="AN578" s="440"/>
      <c r="AO578" s="440"/>
      <c r="AP578" s="514">
        <f t="shared" si="77"/>
        <v>0</v>
      </c>
      <c r="AQ578" s="515">
        <f>IF(SETUP!$E$7="USD",(AP578*(IF(O578="USD",AK578,(AK578/'Master Data-C19RM'!$F$2)))),(AP578*(IF(O578="EUR",AK578,(AK578*'Master Data-C19RM'!$F$2)))))</f>
        <v>0</v>
      </c>
      <c r="AR578" s="925">
        <f>IF($O578="USD",_xlfn.IFNA(VLOOKUP($A578&amp;$E578&amp;$I578,PMsheet!$J:$K,2,0),0),(_xlfn.IFNA(VLOOKUP($A578&amp;$E578&amp;$I578,PMsheet!$J:$K,2,0),0)*'Master Data-C19RM'!$G$2))</f>
        <v>0</v>
      </c>
      <c r="AS578" s="926"/>
      <c r="AT578" s="926"/>
      <c r="AU578" s="926"/>
      <c r="AV578" s="926"/>
      <c r="AW578" s="514">
        <f t="shared" si="78"/>
        <v>0</v>
      </c>
      <c r="AX578" s="514">
        <f>IF(SETUP!$E$7="USD",(AW578*(IF(O578="USD",AR578,(AR578/'Master Data-C19RM'!$G$2)))),(AW578*(IF(O578="EUR",AR578,(AR578*'Master Data-C19RM'!$G$2)))))</f>
        <v>0</v>
      </c>
      <c r="AY578" s="845"/>
      <c r="AZ578" s="846"/>
      <c r="BA578" s="846"/>
      <c r="BB578" s="846"/>
      <c r="BC578" s="846"/>
      <c r="BD578" s="846"/>
      <c r="BE578" s="847"/>
      <c r="BF578" s="521">
        <f>'C19RM 2021-Lab &amp; Other HPS'!$U578+'C19RM 2021-Lab &amp; Other HPS'!$AB578+'C19RM 2021-Lab &amp; Other HPS'!$AP578+'C19RM 2021-Lab &amp; Other HPS'!$AI578+AW578+BD578</f>
        <v>0</v>
      </c>
      <c r="BG578" s="515">
        <f>'C19RM 2021-Lab &amp; Other HPS'!$V578+'C19RM 2021-Lab &amp; Other HPS'!$AC578+'C19RM 2021-Lab &amp; Other HPS'!$AQ578+'C19RM 2021-Lab &amp; Other HPS'!$AJ578+AX578+BE578</f>
        <v>0</v>
      </c>
      <c r="BH578" s="522" t="str" cm="1">
        <f t="array" ref="BH578">IF(A578&lt;&gt;"",IFERROR(INDEX(PMtbl[[WKst]:[Unit of measure*]],MATCH($A$544&amp;$A578&amp;$E578&amp;$I578,INDEX(PMtbl[Sec]&amp;PMtbl[Category]&amp;PMtbl[Each]&amp;PMtbl[Packaging],0,),0),11),""),"")</f>
        <v/>
      </c>
      <c r="BI578" s="818"/>
      <c r="BJ578" s="503" t="str" cm="1">
        <f t="array" ref="BJ578">IFERROR(INDEX(SETUP!$C$19:$G$121,MATCH((INDEX(PMtbl[[WKst]:[Unit of measure*]],MATCH($A578&amp;$E578&amp;$I578,INDEX(PMtbl[Category]&amp;PMtbl[Each]&amp;PMtbl[Packaging],0,),0),3)),SETUP!$D$19:$D$121,0),5),"")</f>
        <v/>
      </c>
      <c r="BK578" s="543" t="str" cm="1">
        <f t="array" ref="BK578">IFERROR(IF((INDEX(SETUP!$C$19:$G$121,MATCH((INDEX(PMtbl[[WKst]:[Unit of measure*]],MATCH($A578&amp;$E578&amp;$I578,INDEX(PMtbl[Category]&amp;PMtbl[Each]&amp;PMtbl[Packaging],0,),0),3)),SETUP!$D$19:$D$121,0),4))="Upfront",0,INDEX(SETUP!$C$19:$G$121,MATCH((INDEX(PMtbl[[WKst]:[Unit of measure*]],MATCH($A578&amp;$E578&amp;$I578,INDEX(PMtbl[Category]&amp;PMtbl[Each]&amp;PMtbl[Packaging],0,),0),3)),SETUP!$D$19:$D$121,0),5)),"")</f>
        <v/>
      </c>
      <c r="BL578" s="201" t="str" cm="1">
        <f t="array" ref="BL578">IF(E578&lt;&gt;"",IFERROR(INDEX(PMtbl[[WKst]:[Unit of measure*]],MATCH($A$544&amp;$A578&amp;$E578&amp;$I578,INDEX(PMtbl[Sec]&amp;PMtbl[Category]&amp;PMtbl[Each]&amp;PMtbl[Packaging],0,),0),11),""),"")</f>
        <v/>
      </c>
      <c r="BO578" s="12">
        <f>IF(N578="",0,IF(SETUP!$E$7="USD",((IF(O578="USD",P578,(P578/'Master Data-C19RM'!$C$2)))),((IF(O578="EUR",P578,(P578*'Master Data-C19RM'!$C$2))))))</f>
        <v>0</v>
      </c>
      <c r="BP578" s="12">
        <f>IF(N578="",0,IF(SETUP!$E$7="USD",((IF(O578="USD",W578,(W578/'Master Data-C19RM'!$D$2)))),((IF(O578="EUR",W578,(W578*'Master Data-C19RM'!$D$2))))))</f>
        <v>0</v>
      </c>
      <c r="BQ578">
        <f>IF(N578="",0,IF(SETUP!$E$7="USD",((IF(O578="USD",AD578,(AD578/'Master Data-C19RM'!$E$2)))),((IF(O578="EUR",AD578,(AD578*'Master Data-C19RM'!$E$2))))))</f>
        <v>0</v>
      </c>
      <c r="BR578">
        <f>IF(N578="",0,IF(SETUP!$E$7="USD",((IF(O578="USD",AK578,(AK578/'Master Data-C19RM'!$F$2)))),((IF(O578="EUR",AK578,(AK578*'Master Data-C19RM'!$F$2))))))</f>
        <v>0</v>
      </c>
      <c r="BS578">
        <f>IF(N578="",0,IF(SETUP!$E$7="USD",((IF(O578="USD",AR578,(AR578/'Master Data-C19RM'!$G$2)))),((IF(O578="EUR",AR578,(AR578*'Master Data-C19RM'!$G$2))))))</f>
        <v>0</v>
      </c>
      <c r="BT578">
        <f>IF(N578="",0,IF(SETUP!$E$7="USD",((IF(O578="USD",AY578,(AY578/'Master Data-C19RM'!$H$2)))),((IF(O578="EUR",AY578,(AY578*'Master Data-C19RM'!$H$2))))))</f>
        <v>0</v>
      </c>
      <c r="BU578" s="12">
        <f t="shared" si="72"/>
        <v>0</v>
      </c>
      <c r="BV578" s="142">
        <f t="shared" si="73"/>
        <v>0</v>
      </c>
    </row>
    <row r="579" spans="1:74" x14ac:dyDescent="0.35">
      <c r="A579" s="1165"/>
      <c r="B579" s="1165"/>
      <c r="C579" s="1165"/>
      <c r="D579" s="1165"/>
      <c r="E579" s="1166"/>
      <c r="F579" s="1166"/>
      <c r="G579" s="1166"/>
      <c r="H579" s="1166"/>
      <c r="I579" s="1166"/>
      <c r="J579" s="1166"/>
      <c r="K579" s="1166"/>
      <c r="L579" s="490" t="str" cm="1">
        <f t="array" ref="L579">IF(A579&lt;&gt;"",IFERROR(INDEX(PMtbl[[WKst]:[Unit of measure*]],MATCH($A$544&amp;$A579&amp;$E579&amp;$I579,INDEX(PMtbl[Sec]&amp;PMtbl[Category]&amp;PMtbl[Each]&amp;PMtbl[Packaging],0,),0),14),""),"")</f>
        <v/>
      </c>
      <c r="M579" s="479" t="str">
        <f>IF(L579="","",INDEX(SETUP!$E$20:$E$122,(MATCH(INDEX(PMsheet!$D:$E,MATCH(A579,PMsheet!E:E,0),1),SETUP!$D$20:$D$122,0))))</f>
        <v/>
      </c>
      <c r="N579" s="491">
        <f>IF($O579="USD",_xlfn.IFNA(VLOOKUP(A579&amp;E579&amp;I579,PMsheet!J:K,2,0),0),(_xlfn.IFNA(VLOOKUP(A579&amp;E579&amp;I579,PMsheet!J:K,2,0),0)*'Master Data-C19RM'!$C$2))</f>
        <v>0</v>
      </c>
      <c r="O579" s="492" t="str">
        <f>IF(L579="", "",SETUP!$E$7)</f>
        <v/>
      </c>
      <c r="P579" s="444">
        <f>IF($O579="USD",_xlfn.IFNA(VLOOKUP($A579&amp;$E579&amp;$I579,PMsheet!$J:$K,2,0),0),(_xlfn.IFNA(VLOOKUP($A579&amp;$E579&amp;$I579,PMsheet!$J:$K,2,0),0)*'Master Data-C19RM'!$C$2))</f>
        <v>0</v>
      </c>
      <c r="Q579" s="441"/>
      <c r="R579" s="441"/>
      <c r="S579" s="441"/>
      <c r="T579" s="441"/>
      <c r="U579" s="481">
        <f t="shared" si="74"/>
        <v>0</v>
      </c>
      <c r="V579" s="483">
        <f>IF(SETUP!$E$7="USD",(U579*(IF(O579="USD",P579,(P579/'Master Data-C19RM'!$C$2)))),(U579*(IF(O579="EUR",P579,(P579*'Master Data-C19RM'!$C$2)))))</f>
        <v>0</v>
      </c>
      <c r="W579" s="444">
        <f>IF($O579="USD",_xlfn.IFNA(VLOOKUP($A579&amp;$E579&amp;$I579,PMsheet!$J:$K,2,0),0),(_xlfn.IFNA(VLOOKUP($A579&amp;$E579&amp;$I579,PMsheet!$J:$K,2,0),0)*'Master Data-C19RM'!$D$2))</f>
        <v>0</v>
      </c>
      <c r="X579" s="441"/>
      <c r="Y579" s="441"/>
      <c r="Z579" s="441"/>
      <c r="AA579" s="441"/>
      <c r="AB579" s="481">
        <f t="shared" si="75"/>
        <v>0</v>
      </c>
      <c r="AC579" s="483">
        <f>IF(SETUP!$E$7="USD",(AB579*(IF(O579="USD",W579,(W579/'Master Data-C19RM'!$D$2)))),(AB579*(IF(O579="EUR",W579,(W579*'Master Data-C19RM'!$D$2)))))</f>
        <v>0</v>
      </c>
      <c r="AD579" s="444">
        <f>IF($O579="USD",_xlfn.IFNA(VLOOKUP($A579&amp;$E579&amp;$I579,PMsheet!$J:$K,2,0),0),(_xlfn.IFNA(VLOOKUP($A579&amp;$E579&amp;$I579,PMsheet!$J:$K,2,0),0)*'Master Data-C19RM'!$E$2))</f>
        <v>0</v>
      </c>
      <c r="AE579" s="441"/>
      <c r="AF579" s="441"/>
      <c r="AG579" s="441"/>
      <c r="AH579" s="441"/>
      <c r="AI579" s="512">
        <f t="shared" si="76"/>
        <v>0</v>
      </c>
      <c r="AJ579" s="513">
        <f>IF(SETUP!$E$7="USD",(AI579*(IF(O579="USD",AD579,(AD579/'Master Data-C19RM'!$E$2)))),(AI579*(IF(O579="EUR",AD579,(AD579*'Master Data-C19RM'!$E$2)))))</f>
        <v>0</v>
      </c>
      <c r="AK579" s="444">
        <f>IF($O579="USD",_xlfn.IFNA(VLOOKUP($A579&amp;$E579&amp;$I579,PMsheet!$J:$K,2,0),0),(_xlfn.IFNA(VLOOKUP($A579&amp;$E579&amp;$I579,PMsheet!$J:$K,2,0),0)*'Master Data-C19RM'!$F$2))</f>
        <v>0</v>
      </c>
      <c r="AL579" s="441"/>
      <c r="AM579" s="441"/>
      <c r="AN579" s="441"/>
      <c r="AO579" s="441"/>
      <c r="AP579" s="512">
        <f t="shared" si="77"/>
        <v>0</v>
      </c>
      <c r="AQ579" s="513">
        <f>IF(SETUP!$E$7="USD",(AP579*(IF(O579="USD",AK579,(AK579/'Master Data-C19RM'!$F$2)))),(AP579*(IF(O579="EUR",AK579,(AK579*'Master Data-C19RM'!$F$2)))))</f>
        <v>0</v>
      </c>
      <c r="AR579" s="924">
        <f>IF($O579="USD",_xlfn.IFNA(VLOOKUP($A579&amp;$E579&amp;$I579,PMsheet!$J:$K,2,0),0),(_xlfn.IFNA(VLOOKUP($A579&amp;$E579&amp;$I579,PMsheet!$J:$K,2,0),0)*'Master Data-C19RM'!$G$2))</f>
        <v>0</v>
      </c>
      <c r="AS579" s="572"/>
      <c r="AT579" s="572"/>
      <c r="AU579" s="572"/>
      <c r="AV579" s="572"/>
      <c r="AW579" s="512">
        <f t="shared" si="78"/>
        <v>0</v>
      </c>
      <c r="AX579" s="512">
        <f>IF(SETUP!$E$7="USD",(AW579*(IF(O579="USD",AR579,(AR579/'Master Data-C19RM'!$G$2)))),(AW579*(IF(O579="EUR",AR579,(AR579*'Master Data-C19RM'!$G$2)))))</f>
        <v>0</v>
      </c>
      <c r="AY579" s="845"/>
      <c r="AZ579" s="846"/>
      <c r="BA579" s="846"/>
      <c r="BB579" s="846"/>
      <c r="BC579" s="846"/>
      <c r="BD579" s="846"/>
      <c r="BE579" s="847"/>
      <c r="BF579" s="520">
        <f>'C19RM 2021-Lab &amp; Other HPS'!$U579+'C19RM 2021-Lab &amp; Other HPS'!$AB579+'C19RM 2021-Lab &amp; Other HPS'!$AP579+'C19RM 2021-Lab &amp; Other HPS'!$AI579+AW579+BD579</f>
        <v>0</v>
      </c>
      <c r="BG579" s="513">
        <f>'C19RM 2021-Lab &amp; Other HPS'!$V579+'C19RM 2021-Lab &amp; Other HPS'!$AC579+'C19RM 2021-Lab &amp; Other HPS'!$AQ579+'C19RM 2021-Lab &amp; Other HPS'!$AJ579+AX579+BE579</f>
        <v>0</v>
      </c>
      <c r="BH579" s="500" t="str" cm="1">
        <f t="array" ref="BH579">IF(A579&lt;&gt;"",IFERROR(INDEX(PMtbl[[WKst]:[Unit of measure*]],MATCH($A$544&amp;$A579&amp;$E579&amp;$I579,INDEX(PMtbl[Sec]&amp;PMtbl[Category]&amp;PMtbl[Each]&amp;PMtbl[Packaging],0,),0),11),""),"")</f>
        <v/>
      </c>
      <c r="BI579" s="819"/>
      <c r="BJ579" s="502" t="str" cm="1">
        <f t="array" ref="BJ579">IFERROR(INDEX(SETUP!$C$19:$G$121,MATCH((INDEX(PMtbl[[WKst]:[Unit of measure*]],MATCH($A579&amp;$E579&amp;$I579,INDEX(PMtbl[Category]&amp;PMtbl[Each]&amp;PMtbl[Packaging],0,),0),3)),SETUP!$D$19:$D$121,0),5),"")</f>
        <v/>
      </c>
      <c r="BK579" s="542" t="str" cm="1">
        <f t="array" ref="BK579">IFERROR(IF((INDEX(SETUP!$C$19:$G$121,MATCH((INDEX(PMtbl[[WKst]:[Unit of measure*]],MATCH($A579&amp;$E579&amp;$I579,INDEX(PMtbl[Category]&amp;PMtbl[Each]&amp;PMtbl[Packaging],0,),0),3)),SETUP!$D$19:$D$121,0),4))="Upfront",0,INDEX(SETUP!$C$19:$G$121,MATCH((INDEX(PMtbl[[WKst]:[Unit of measure*]],MATCH($A579&amp;$E579&amp;$I579,INDEX(PMtbl[Category]&amp;PMtbl[Each]&amp;PMtbl[Packaging],0,),0),3)),SETUP!$D$19:$D$121,0),5)),"")</f>
        <v/>
      </c>
      <c r="BL579" s="200" t="str" cm="1">
        <f t="array" ref="BL579">IF(E579&lt;&gt;"",IFERROR(INDEX(PMtbl[[WKst]:[Unit of measure*]],MATCH($A$544&amp;$A579&amp;$E579&amp;$I579,INDEX(PMtbl[Sec]&amp;PMtbl[Category]&amp;PMtbl[Each]&amp;PMtbl[Packaging],0,),0),11),""),"")</f>
        <v/>
      </c>
      <c r="BO579" s="12">
        <f>IF(N579="",0,IF(SETUP!$E$7="USD",((IF(O579="USD",P579,(P579/'Master Data-C19RM'!$C$2)))),((IF(O579="EUR",P579,(P579*'Master Data-C19RM'!$C$2))))))</f>
        <v>0</v>
      </c>
      <c r="BP579" s="12">
        <f>IF(N579="",0,IF(SETUP!$E$7="USD",((IF(O579="USD",W579,(W579/'Master Data-C19RM'!$D$2)))),((IF(O579="EUR",W579,(W579*'Master Data-C19RM'!$D$2))))))</f>
        <v>0</v>
      </c>
      <c r="BQ579">
        <f>IF(N579="",0,IF(SETUP!$E$7="USD",((IF(O579="USD",AD579,(AD579/'Master Data-C19RM'!$E$2)))),((IF(O579="EUR",AD579,(AD579*'Master Data-C19RM'!$E$2))))))</f>
        <v>0</v>
      </c>
      <c r="BR579">
        <f>IF(N579="",0,IF(SETUP!$E$7="USD",((IF(O579="USD",AK579,(AK579/'Master Data-C19RM'!$F$2)))),((IF(O579="EUR",AK579,(AK579*'Master Data-C19RM'!$F$2))))))</f>
        <v>0</v>
      </c>
      <c r="BS579">
        <f>IF(N579="",0,IF(SETUP!$E$7="USD",((IF(O579="USD",AR579,(AR579/'Master Data-C19RM'!$G$2)))),((IF(O579="EUR",AR579,(AR579*'Master Data-C19RM'!$G$2))))))</f>
        <v>0</v>
      </c>
      <c r="BT579">
        <f>IF(N579="",0,IF(SETUP!$E$7="USD",((IF(O579="USD",AY579,(AY579/'Master Data-C19RM'!$H$2)))),((IF(O579="EUR",AY579,(AY579*'Master Data-C19RM'!$H$2))))))</f>
        <v>0</v>
      </c>
      <c r="BU579" s="12">
        <f t="shared" si="72"/>
        <v>0</v>
      </c>
      <c r="BV579" s="142">
        <f t="shared" si="73"/>
        <v>0</v>
      </c>
    </row>
    <row r="580" spans="1:74" x14ac:dyDescent="0.35">
      <c r="A580" s="1192"/>
      <c r="B580" s="1192"/>
      <c r="C580" s="1192"/>
      <c r="D580" s="1192"/>
      <c r="E580" s="1173"/>
      <c r="F580" s="1173"/>
      <c r="G580" s="1173"/>
      <c r="H580" s="1173"/>
      <c r="I580" s="1173"/>
      <c r="J580" s="1173"/>
      <c r="K580" s="1173"/>
      <c r="L580" s="493" t="str" cm="1">
        <f t="array" ref="L580">IF(A580&lt;&gt;"",IFERROR(INDEX(PMtbl[[WKst]:[Unit of measure*]],MATCH($A$544&amp;$A580&amp;$E580&amp;$I580,INDEX(PMtbl[Sec]&amp;PMtbl[Category]&amp;PMtbl[Each]&amp;PMtbl[Packaging],0,),0),14),""),"")</f>
        <v/>
      </c>
      <c r="M580" s="480" t="str">
        <f>IF(L580="","",INDEX(SETUP!$E$20:$E$122,(MATCH(INDEX(PMsheet!$D:$E,MATCH(A580,PMsheet!E:E,0),1),SETUP!$D$20:$D$122,0))))</f>
        <v/>
      </c>
      <c r="N580" s="494">
        <f>IF($O580="USD",_xlfn.IFNA(VLOOKUP(A580&amp;E580&amp;I580,PMsheet!J:K,2,0),0),(_xlfn.IFNA(VLOOKUP(A580&amp;E580&amp;I580,PMsheet!J:K,2,0),0)*'Master Data-C19RM'!$C$2))</f>
        <v>0</v>
      </c>
      <c r="O580" s="495" t="str">
        <f>IF(L580="", "",SETUP!$E$7)</f>
        <v/>
      </c>
      <c r="P580" s="445">
        <f>IF($O580="USD",_xlfn.IFNA(VLOOKUP($A580&amp;$E580&amp;$I580,PMsheet!$J:$K,2,0),0),(_xlfn.IFNA(VLOOKUP($A580&amp;$E580&amp;$I580,PMsheet!$J:$K,2,0),0)*'Master Data-C19RM'!$C$2))</f>
        <v>0</v>
      </c>
      <c r="Q580" s="440"/>
      <c r="R580" s="440"/>
      <c r="S580" s="440"/>
      <c r="T580" s="440"/>
      <c r="U580" s="482">
        <f t="shared" si="74"/>
        <v>0</v>
      </c>
      <c r="V580" s="484">
        <f>IF(SETUP!$E$7="USD",(U580*(IF(O580="USD",P580,(P580/'Master Data-C19RM'!$C$2)))),(U580*(IF(O580="EUR",P580,(P580*'Master Data-C19RM'!$C$2)))))</f>
        <v>0</v>
      </c>
      <c r="W580" s="445">
        <f>IF($O580="USD",_xlfn.IFNA(VLOOKUP($A580&amp;$E580&amp;$I580,PMsheet!$J:$K,2,0),0),(_xlfn.IFNA(VLOOKUP($A580&amp;$E580&amp;$I580,PMsheet!$J:$K,2,0),0)*'Master Data-C19RM'!$D$2))</f>
        <v>0</v>
      </c>
      <c r="X580" s="440"/>
      <c r="Y580" s="440"/>
      <c r="Z580" s="440"/>
      <c r="AA580" s="440"/>
      <c r="AB580" s="482">
        <f t="shared" si="75"/>
        <v>0</v>
      </c>
      <c r="AC580" s="484">
        <f>IF(SETUP!$E$7="USD",(AB580*(IF(O580="USD",W580,(W580/'Master Data-C19RM'!$D$2)))),(AB580*(IF(O580="EUR",W580,(W580*'Master Data-C19RM'!$D$2)))))</f>
        <v>0</v>
      </c>
      <c r="AD580" s="445">
        <f>IF($O580="USD",_xlfn.IFNA(VLOOKUP($A580&amp;$E580&amp;$I580,PMsheet!$J:$K,2,0),0),(_xlfn.IFNA(VLOOKUP($A580&amp;$E580&amp;$I580,PMsheet!$J:$K,2,0),0)*'Master Data-C19RM'!$E$2))</f>
        <v>0</v>
      </c>
      <c r="AE580" s="440"/>
      <c r="AF580" s="440"/>
      <c r="AG580" s="440"/>
      <c r="AH580" s="440"/>
      <c r="AI580" s="514">
        <f t="shared" si="76"/>
        <v>0</v>
      </c>
      <c r="AJ580" s="515">
        <f>IF(SETUP!$E$7="USD",(AI580*(IF(O580="USD",AD580,(AD580/'Master Data-C19RM'!$E$2)))),(AI580*(IF(O580="EUR",AD580,(AD580*'Master Data-C19RM'!$E$2)))))</f>
        <v>0</v>
      </c>
      <c r="AK580" s="445">
        <f>IF($O580="USD",_xlfn.IFNA(VLOOKUP($A580&amp;$E580&amp;$I580,PMsheet!$J:$K,2,0),0),(_xlfn.IFNA(VLOOKUP($A580&amp;$E580&amp;$I580,PMsheet!$J:$K,2,0),0)*'Master Data-C19RM'!$F$2))</f>
        <v>0</v>
      </c>
      <c r="AL580" s="440"/>
      <c r="AM580" s="440"/>
      <c r="AN580" s="440"/>
      <c r="AO580" s="440"/>
      <c r="AP580" s="514">
        <f t="shared" si="77"/>
        <v>0</v>
      </c>
      <c r="AQ580" s="515">
        <f>IF(SETUP!$E$7="USD",(AP580*(IF(O580="USD",AK580,(AK580/'Master Data-C19RM'!$F$2)))),(AP580*(IF(O580="EUR",AK580,(AK580*'Master Data-C19RM'!$F$2)))))</f>
        <v>0</v>
      </c>
      <c r="AR580" s="925">
        <f>IF($O580="USD",_xlfn.IFNA(VLOOKUP($A580&amp;$E580&amp;$I580,PMsheet!$J:$K,2,0),0),(_xlfn.IFNA(VLOOKUP($A580&amp;$E580&amp;$I580,PMsheet!$J:$K,2,0),0)*'Master Data-C19RM'!$G$2))</f>
        <v>0</v>
      </c>
      <c r="AS580" s="926"/>
      <c r="AT580" s="926"/>
      <c r="AU580" s="926"/>
      <c r="AV580" s="926"/>
      <c r="AW580" s="514">
        <f t="shared" si="78"/>
        <v>0</v>
      </c>
      <c r="AX580" s="514">
        <f>IF(SETUP!$E$7="USD",(AW580*(IF(O580="USD",AR580,(AR580/'Master Data-C19RM'!$G$2)))),(AW580*(IF(O580="EUR",AR580,(AR580*'Master Data-C19RM'!$G$2)))))</f>
        <v>0</v>
      </c>
      <c r="AY580" s="845"/>
      <c r="AZ580" s="846"/>
      <c r="BA580" s="846"/>
      <c r="BB580" s="846"/>
      <c r="BC580" s="846"/>
      <c r="BD580" s="846"/>
      <c r="BE580" s="847"/>
      <c r="BF580" s="521">
        <f>'C19RM 2021-Lab &amp; Other HPS'!$U580+'C19RM 2021-Lab &amp; Other HPS'!$AB580+'C19RM 2021-Lab &amp; Other HPS'!$AP580+'C19RM 2021-Lab &amp; Other HPS'!$AI580+AW580+BD580</f>
        <v>0</v>
      </c>
      <c r="BG580" s="515">
        <f>'C19RM 2021-Lab &amp; Other HPS'!$V580+'C19RM 2021-Lab &amp; Other HPS'!$AC580+'C19RM 2021-Lab &amp; Other HPS'!$AQ580+'C19RM 2021-Lab &amp; Other HPS'!$AJ580+AX580+BE580</f>
        <v>0</v>
      </c>
      <c r="BH580" s="522" t="str" cm="1">
        <f t="array" ref="BH580">IF(A580&lt;&gt;"",IFERROR(INDEX(PMtbl[[WKst]:[Unit of measure*]],MATCH($A$544&amp;$A580&amp;$E580&amp;$I580,INDEX(PMtbl[Sec]&amp;PMtbl[Category]&amp;PMtbl[Each]&amp;PMtbl[Packaging],0,),0),11),""),"")</f>
        <v/>
      </c>
      <c r="BI580" s="818"/>
      <c r="BJ580" s="503" t="str" cm="1">
        <f t="array" ref="BJ580">IFERROR(INDEX(SETUP!$C$19:$G$121,MATCH((INDEX(PMtbl[[WKst]:[Unit of measure*]],MATCH($A580&amp;$E580&amp;$I580,INDEX(PMtbl[Category]&amp;PMtbl[Each]&amp;PMtbl[Packaging],0,),0),3)),SETUP!$D$19:$D$121,0),5),"")</f>
        <v/>
      </c>
      <c r="BK580" s="543" t="str" cm="1">
        <f t="array" ref="BK580">IFERROR(IF((INDEX(SETUP!$C$19:$G$121,MATCH((INDEX(PMtbl[[WKst]:[Unit of measure*]],MATCH($A580&amp;$E580&amp;$I580,INDEX(PMtbl[Category]&amp;PMtbl[Each]&amp;PMtbl[Packaging],0,),0),3)),SETUP!$D$19:$D$121,0),4))="Upfront",0,INDEX(SETUP!$C$19:$G$121,MATCH((INDEX(PMtbl[[WKst]:[Unit of measure*]],MATCH($A580&amp;$E580&amp;$I580,INDEX(PMtbl[Category]&amp;PMtbl[Each]&amp;PMtbl[Packaging],0,),0),3)),SETUP!$D$19:$D$121,0),5)),"")</f>
        <v/>
      </c>
      <c r="BL580" s="201" t="str" cm="1">
        <f t="array" ref="BL580">IF(E580&lt;&gt;"",IFERROR(INDEX(PMtbl[[WKst]:[Unit of measure*]],MATCH($A$544&amp;$A580&amp;$E580&amp;$I580,INDEX(PMtbl[Sec]&amp;PMtbl[Category]&amp;PMtbl[Each]&amp;PMtbl[Packaging],0,),0),11),""),"")</f>
        <v/>
      </c>
      <c r="BO580" s="12">
        <f>IF(N580="",0,IF(SETUP!$E$7="USD",((IF(O580="USD",P580,(P580/'Master Data-C19RM'!$C$2)))),((IF(O580="EUR",P580,(P580*'Master Data-C19RM'!$C$2))))))</f>
        <v>0</v>
      </c>
      <c r="BP580" s="12">
        <f>IF(N580="",0,IF(SETUP!$E$7="USD",((IF(O580="USD",W580,(W580/'Master Data-C19RM'!$D$2)))),((IF(O580="EUR",W580,(W580*'Master Data-C19RM'!$D$2))))))</f>
        <v>0</v>
      </c>
      <c r="BQ580">
        <f>IF(N580="",0,IF(SETUP!$E$7="USD",((IF(O580="USD",AD580,(AD580/'Master Data-C19RM'!$E$2)))),((IF(O580="EUR",AD580,(AD580*'Master Data-C19RM'!$E$2))))))</f>
        <v>0</v>
      </c>
      <c r="BR580">
        <f>IF(N580="",0,IF(SETUP!$E$7="USD",((IF(O580="USD",AK580,(AK580/'Master Data-C19RM'!$F$2)))),((IF(O580="EUR",AK580,(AK580*'Master Data-C19RM'!$F$2))))))</f>
        <v>0</v>
      </c>
      <c r="BS580">
        <f>IF(N580="",0,IF(SETUP!$E$7="USD",((IF(O580="USD",AR580,(AR580/'Master Data-C19RM'!$G$2)))),((IF(O580="EUR",AR580,(AR580*'Master Data-C19RM'!$G$2))))))</f>
        <v>0</v>
      </c>
      <c r="BT580">
        <f>IF(N580="",0,IF(SETUP!$E$7="USD",((IF(O580="USD",AY580,(AY580/'Master Data-C19RM'!$H$2)))),((IF(O580="EUR",AY580,(AY580*'Master Data-C19RM'!$H$2))))))</f>
        <v>0</v>
      </c>
      <c r="BU580" s="12">
        <f t="shared" si="72"/>
        <v>0</v>
      </c>
      <c r="BV580" s="142">
        <f t="shared" si="73"/>
        <v>0</v>
      </c>
    </row>
    <row r="581" spans="1:74" x14ac:dyDescent="0.35">
      <c r="A581" s="1165"/>
      <c r="B581" s="1165"/>
      <c r="C581" s="1165"/>
      <c r="D581" s="1165"/>
      <c r="E581" s="1166"/>
      <c r="F581" s="1166"/>
      <c r="G581" s="1166"/>
      <c r="H581" s="1166"/>
      <c r="I581" s="1166"/>
      <c r="J581" s="1166"/>
      <c r="K581" s="1166"/>
      <c r="L581" s="490" t="str" cm="1">
        <f t="array" ref="L581">IF(A581&lt;&gt;"",IFERROR(INDEX(PMtbl[[WKst]:[Unit of measure*]],MATCH($A$544&amp;$A581&amp;$E581&amp;$I581,INDEX(PMtbl[Sec]&amp;PMtbl[Category]&amp;PMtbl[Each]&amp;PMtbl[Packaging],0,),0),14),""),"")</f>
        <v/>
      </c>
      <c r="M581" s="479" t="str">
        <f>IF(L581="","",INDEX(SETUP!$E$20:$E$122,(MATCH(INDEX(PMsheet!$D:$E,MATCH(A581,PMsheet!E:E,0),1),SETUP!$D$20:$D$122,0))))</f>
        <v/>
      </c>
      <c r="N581" s="491">
        <f>IF($O581="USD",_xlfn.IFNA(VLOOKUP(A581&amp;E581&amp;I581,PMsheet!J:K,2,0),0),(_xlfn.IFNA(VLOOKUP(A581&amp;E581&amp;I581,PMsheet!J:K,2,0),0)*'Master Data-C19RM'!$C$2))</f>
        <v>0</v>
      </c>
      <c r="O581" s="492" t="str">
        <f>IF(L581="", "",SETUP!$E$7)</f>
        <v/>
      </c>
      <c r="P581" s="444">
        <f>IF($O581="USD",_xlfn.IFNA(VLOOKUP($A581&amp;$E581&amp;$I581,PMsheet!$J:$K,2,0),0),(_xlfn.IFNA(VLOOKUP($A581&amp;$E581&amp;$I581,PMsheet!$J:$K,2,0),0)*'Master Data-C19RM'!$C$2))</f>
        <v>0</v>
      </c>
      <c r="Q581" s="441"/>
      <c r="R581" s="441"/>
      <c r="S581" s="441"/>
      <c r="T581" s="441"/>
      <c r="U581" s="481">
        <f t="shared" si="74"/>
        <v>0</v>
      </c>
      <c r="V581" s="483">
        <f>IF(SETUP!$E$7="USD",(U581*(IF(O581="USD",P581,(P581/'Master Data-C19RM'!$C$2)))),(U581*(IF(O581="EUR",P581,(P581*'Master Data-C19RM'!$C$2)))))</f>
        <v>0</v>
      </c>
      <c r="W581" s="444">
        <f>IF($O581="USD",_xlfn.IFNA(VLOOKUP($A581&amp;$E581&amp;$I581,PMsheet!$J:$K,2,0),0),(_xlfn.IFNA(VLOOKUP($A581&amp;$E581&amp;$I581,PMsheet!$J:$K,2,0),0)*'Master Data-C19RM'!$D$2))</f>
        <v>0</v>
      </c>
      <c r="X581" s="441"/>
      <c r="Y581" s="441"/>
      <c r="Z581" s="441"/>
      <c r="AA581" s="441"/>
      <c r="AB581" s="481">
        <f t="shared" si="75"/>
        <v>0</v>
      </c>
      <c r="AC581" s="483">
        <f>IF(SETUP!$E$7="USD",(AB581*(IF(O581="USD",W581,(W581/'Master Data-C19RM'!$D$2)))),(AB581*(IF(O581="EUR",W581,(W581*'Master Data-C19RM'!$D$2)))))</f>
        <v>0</v>
      </c>
      <c r="AD581" s="444">
        <f>IF($O581="USD",_xlfn.IFNA(VLOOKUP($A581&amp;$E581&amp;$I581,PMsheet!$J:$K,2,0),0),(_xlfn.IFNA(VLOOKUP($A581&amp;$E581&amp;$I581,PMsheet!$J:$K,2,0),0)*'Master Data-C19RM'!$E$2))</f>
        <v>0</v>
      </c>
      <c r="AE581" s="441"/>
      <c r="AF581" s="441"/>
      <c r="AG581" s="441"/>
      <c r="AH581" s="441"/>
      <c r="AI581" s="512">
        <f t="shared" si="76"/>
        <v>0</v>
      </c>
      <c r="AJ581" s="513">
        <f>IF(SETUP!$E$7="USD",(AI581*(IF(O581="USD",AD581,(AD581/'Master Data-C19RM'!$E$2)))),(AI581*(IF(O581="EUR",AD581,(AD581*'Master Data-C19RM'!$E$2)))))</f>
        <v>0</v>
      </c>
      <c r="AK581" s="444">
        <f>IF($O581="USD",_xlfn.IFNA(VLOOKUP($A581&amp;$E581&amp;$I581,PMsheet!$J:$K,2,0),0),(_xlfn.IFNA(VLOOKUP($A581&amp;$E581&amp;$I581,PMsheet!$J:$K,2,0),0)*'Master Data-C19RM'!$F$2))</f>
        <v>0</v>
      </c>
      <c r="AL581" s="441"/>
      <c r="AM581" s="441"/>
      <c r="AN581" s="441"/>
      <c r="AO581" s="441"/>
      <c r="AP581" s="512">
        <f t="shared" si="77"/>
        <v>0</v>
      </c>
      <c r="AQ581" s="513">
        <f>IF(SETUP!$E$7="USD",(AP581*(IF(O581="USD",AK581,(AK581/'Master Data-C19RM'!$F$2)))),(AP581*(IF(O581="EUR",AK581,(AK581*'Master Data-C19RM'!$F$2)))))</f>
        <v>0</v>
      </c>
      <c r="AR581" s="924">
        <f>IF($O581="USD",_xlfn.IFNA(VLOOKUP($A581&amp;$E581&amp;$I581,PMsheet!$J:$K,2,0),0),(_xlfn.IFNA(VLOOKUP($A581&amp;$E581&amp;$I581,PMsheet!$J:$K,2,0),0)*'Master Data-C19RM'!$G$2))</f>
        <v>0</v>
      </c>
      <c r="AS581" s="572"/>
      <c r="AT581" s="572"/>
      <c r="AU581" s="572"/>
      <c r="AV581" s="572"/>
      <c r="AW581" s="512">
        <f t="shared" si="78"/>
        <v>0</v>
      </c>
      <c r="AX581" s="512">
        <f>IF(SETUP!$E$7="USD",(AW581*(IF(O581="USD",AR581,(AR581/'Master Data-C19RM'!$G$2)))),(AW581*(IF(O581="EUR",AR581,(AR581*'Master Data-C19RM'!$G$2)))))</f>
        <v>0</v>
      </c>
      <c r="AY581" s="845"/>
      <c r="AZ581" s="846"/>
      <c r="BA581" s="846"/>
      <c r="BB581" s="846"/>
      <c r="BC581" s="846"/>
      <c r="BD581" s="846"/>
      <c r="BE581" s="847"/>
      <c r="BF581" s="520">
        <f>'C19RM 2021-Lab &amp; Other HPS'!$U581+'C19RM 2021-Lab &amp; Other HPS'!$AB581+'C19RM 2021-Lab &amp; Other HPS'!$AP581+'C19RM 2021-Lab &amp; Other HPS'!$AI581+AW581+BD581</f>
        <v>0</v>
      </c>
      <c r="BG581" s="513">
        <f>'C19RM 2021-Lab &amp; Other HPS'!$V581+'C19RM 2021-Lab &amp; Other HPS'!$AC581+'C19RM 2021-Lab &amp; Other HPS'!$AQ581+'C19RM 2021-Lab &amp; Other HPS'!$AJ581+AX581+BE581</f>
        <v>0</v>
      </c>
      <c r="BH581" s="500" t="str" cm="1">
        <f t="array" ref="BH581">IF(A581&lt;&gt;"",IFERROR(INDEX(PMtbl[[WKst]:[Unit of measure*]],MATCH($A$544&amp;$A581&amp;$E581&amp;$I581,INDEX(PMtbl[Sec]&amp;PMtbl[Category]&amp;PMtbl[Each]&amp;PMtbl[Packaging],0,),0),11),""),"")</f>
        <v/>
      </c>
      <c r="BI581" s="819"/>
      <c r="BJ581" s="502" t="str" cm="1">
        <f t="array" ref="BJ581">IFERROR(INDEX(SETUP!$C$19:$G$121,MATCH((INDEX(PMtbl[[WKst]:[Unit of measure*]],MATCH($A581&amp;$E581&amp;$I581,INDEX(PMtbl[Category]&amp;PMtbl[Each]&amp;PMtbl[Packaging],0,),0),3)),SETUP!$D$19:$D$121,0),5),"")</f>
        <v/>
      </c>
      <c r="BK581" s="542" t="str" cm="1">
        <f t="array" ref="BK581">IFERROR(IF((INDEX(SETUP!$C$19:$G$121,MATCH((INDEX(PMtbl[[WKst]:[Unit of measure*]],MATCH($A581&amp;$E581&amp;$I581,INDEX(PMtbl[Category]&amp;PMtbl[Each]&amp;PMtbl[Packaging],0,),0),3)),SETUP!$D$19:$D$121,0),4))="Upfront",0,INDEX(SETUP!$C$19:$G$121,MATCH((INDEX(PMtbl[[WKst]:[Unit of measure*]],MATCH($A581&amp;$E581&amp;$I581,INDEX(PMtbl[Category]&amp;PMtbl[Each]&amp;PMtbl[Packaging],0,),0),3)),SETUP!$D$19:$D$121,0),5)),"")</f>
        <v/>
      </c>
      <c r="BL581" s="200" t="str" cm="1">
        <f t="array" ref="BL581">IF(E581&lt;&gt;"",IFERROR(INDEX(PMtbl[[WKst]:[Unit of measure*]],MATCH($A$544&amp;$A581&amp;$E581&amp;$I581,INDEX(PMtbl[Sec]&amp;PMtbl[Category]&amp;PMtbl[Each]&amp;PMtbl[Packaging],0,),0),11),""),"")</f>
        <v/>
      </c>
      <c r="BO581" s="12">
        <f>IF(N581="",0,IF(SETUP!$E$7="USD",((IF(O581="USD",P581,(P581/'Master Data-C19RM'!$C$2)))),((IF(O581="EUR",P581,(P581*'Master Data-C19RM'!$C$2))))))</f>
        <v>0</v>
      </c>
      <c r="BP581" s="12">
        <f>IF(N581="",0,IF(SETUP!$E$7="USD",((IF(O581="USD",W581,(W581/'Master Data-C19RM'!$D$2)))),((IF(O581="EUR",W581,(W581*'Master Data-C19RM'!$D$2))))))</f>
        <v>0</v>
      </c>
      <c r="BQ581">
        <f>IF(N581="",0,IF(SETUP!$E$7="USD",((IF(O581="USD",AD581,(AD581/'Master Data-C19RM'!$E$2)))),((IF(O581="EUR",AD581,(AD581*'Master Data-C19RM'!$E$2))))))</f>
        <v>0</v>
      </c>
      <c r="BR581">
        <f>IF(N581="",0,IF(SETUP!$E$7="USD",((IF(O581="USD",AK581,(AK581/'Master Data-C19RM'!$F$2)))),((IF(O581="EUR",AK581,(AK581*'Master Data-C19RM'!$F$2))))))</f>
        <v>0</v>
      </c>
      <c r="BS581">
        <f>IF(N581="",0,IF(SETUP!$E$7="USD",((IF(O581="USD",AR581,(AR581/'Master Data-C19RM'!$G$2)))),((IF(O581="EUR",AR581,(AR581*'Master Data-C19RM'!$G$2))))))</f>
        <v>0</v>
      </c>
      <c r="BT581">
        <f>IF(N581="",0,IF(SETUP!$E$7="USD",((IF(O581="USD",AY581,(AY581/'Master Data-C19RM'!$H$2)))),((IF(O581="EUR",AY581,(AY581*'Master Data-C19RM'!$H$2))))))</f>
        <v>0</v>
      </c>
      <c r="BU581" s="12">
        <f t="shared" si="72"/>
        <v>0</v>
      </c>
      <c r="BV581" s="142">
        <f t="shared" si="73"/>
        <v>0</v>
      </c>
    </row>
    <row r="582" spans="1:74" x14ac:dyDescent="0.35">
      <c r="A582" s="1192"/>
      <c r="B582" s="1192"/>
      <c r="C582" s="1192"/>
      <c r="D582" s="1192"/>
      <c r="E582" s="1173"/>
      <c r="F582" s="1173"/>
      <c r="G582" s="1173"/>
      <c r="H582" s="1173"/>
      <c r="I582" s="1173"/>
      <c r="J582" s="1173"/>
      <c r="K582" s="1173"/>
      <c r="L582" s="493" t="str" cm="1">
        <f t="array" ref="L582">IF(A582&lt;&gt;"",IFERROR(INDEX(PMtbl[[WKst]:[Unit of measure*]],MATCH($A$544&amp;$A582&amp;$E582&amp;$I582,INDEX(PMtbl[Sec]&amp;PMtbl[Category]&amp;PMtbl[Each]&amp;PMtbl[Packaging],0,),0),14),""),"")</f>
        <v/>
      </c>
      <c r="M582" s="480" t="str">
        <f>IF(L582="","",INDEX(SETUP!$E$20:$E$122,(MATCH(INDEX(PMsheet!$D:$E,MATCH(A582,PMsheet!E:E,0),1),SETUP!$D$20:$D$122,0))))</f>
        <v/>
      </c>
      <c r="N582" s="494">
        <f>IF($O582="USD",_xlfn.IFNA(VLOOKUP(A582&amp;E582&amp;I582,PMsheet!J:K,2,0),0),(_xlfn.IFNA(VLOOKUP(A582&amp;E582&amp;I582,PMsheet!J:K,2,0),0)*'Master Data-C19RM'!$C$2))</f>
        <v>0</v>
      </c>
      <c r="O582" s="495" t="str">
        <f>IF(L582="", "",SETUP!$E$7)</f>
        <v/>
      </c>
      <c r="P582" s="445">
        <f>IF($O582="USD",_xlfn.IFNA(VLOOKUP($A582&amp;$E582&amp;$I582,PMsheet!$J:$K,2,0),0),(_xlfn.IFNA(VLOOKUP($A582&amp;$E582&amp;$I582,PMsheet!$J:$K,2,0),0)*'Master Data-C19RM'!$C$2))</f>
        <v>0</v>
      </c>
      <c r="Q582" s="440"/>
      <c r="R582" s="440"/>
      <c r="S582" s="440"/>
      <c r="T582" s="440"/>
      <c r="U582" s="482">
        <f t="shared" si="74"/>
        <v>0</v>
      </c>
      <c r="V582" s="484">
        <f>IF(SETUP!$E$7="USD",(U582*(IF(O582="USD",P582,(P582/'Master Data-C19RM'!$C$2)))),(U582*(IF(O582="EUR",P582,(P582*'Master Data-C19RM'!$C$2)))))</f>
        <v>0</v>
      </c>
      <c r="W582" s="445">
        <f>IF($O582="USD",_xlfn.IFNA(VLOOKUP($A582&amp;$E582&amp;$I582,PMsheet!$J:$K,2,0),0),(_xlfn.IFNA(VLOOKUP($A582&amp;$E582&amp;$I582,PMsheet!$J:$K,2,0),0)*'Master Data-C19RM'!$D$2))</f>
        <v>0</v>
      </c>
      <c r="X582" s="440"/>
      <c r="Y582" s="440"/>
      <c r="Z582" s="440"/>
      <c r="AA582" s="440"/>
      <c r="AB582" s="482">
        <f t="shared" si="75"/>
        <v>0</v>
      </c>
      <c r="AC582" s="484">
        <f>IF(SETUP!$E$7="USD",(AB582*(IF(O582="USD",W582,(W582/'Master Data-C19RM'!$D$2)))),(AB582*(IF(O582="EUR",W582,(W582*'Master Data-C19RM'!$D$2)))))</f>
        <v>0</v>
      </c>
      <c r="AD582" s="445">
        <f>IF($O582="USD",_xlfn.IFNA(VLOOKUP($A582&amp;$E582&amp;$I582,PMsheet!$J:$K,2,0),0),(_xlfn.IFNA(VLOOKUP($A582&amp;$E582&amp;$I582,PMsheet!$J:$K,2,0),0)*'Master Data-C19RM'!$E$2))</f>
        <v>0</v>
      </c>
      <c r="AE582" s="440"/>
      <c r="AF582" s="440"/>
      <c r="AG582" s="440"/>
      <c r="AH582" s="440"/>
      <c r="AI582" s="514">
        <f t="shared" si="76"/>
        <v>0</v>
      </c>
      <c r="AJ582" s="515">
        <f>IF(SETUP!$E$7="USD",(AI582*(IF(O582="USD",AD582,(AD582/'Master Data-C19RM'!$E$2)))),(AI582*(IF(O582="EUR",AD582,(AD582*'Master Data-C19RM'!$E$2)))))</f>
        <v>0</v>
      </c>
      <c r="AK582" s="445">
        <f>IF($O582="USD",_xlfn.IFNA(VLOOKUP($A582&amp;$E582&amp;$I582,PMsheet!$J:$K,2,0),0),(_xlfn.IFNA(VLOOKUP($A582&amp;$E582&amp;$I582,PMsheet!$J:$K,2,0),0)*'Master Data-C19RM'!$F$2))</f>
        <v>0</v>
      </c>
      <c r="AL582" s="440"/>
      <c r="AM582" s="440"/>
      <c r="AN582" s="440"/>
      <c r="AO582" s="440"/>
      <c r="AP582" s="514">
        <f t="shared" si="77"/>
        <v>0</v>
      </c>
      <c r="AQ582" s="515">
        <f>IF(SETUP!$E$7="USD",(AP582*(IF(O582="USD",AK582,(AK582/'Master Data-C19RM'!$F$2)))),(AP582*(IF(O582="EUR",AK582,(AK582*'Master Data-C19RM'!$F$2)))))</f>
        <v>0</v>
      </c>
      <c r="AR582" s="925">
        <f>IF($O582="USD",_xlfn.IFNA(VLOOKUP($A582&amp;$E582&amp;$I582,PMsheet!$J:$K,2,0),0),(_xlfn.IFNA(VLOOKUP($A582&amp;$E582&amp;$I582,PMsheet!$J:$K,2,0),0)*'Master Data-C19RM'!$G$2))</f>
        <v>0</v>
      </c>
      <c r="AS582" s="926"/>
      <c r="AT582" s="926"/>
      <c r="AU582" s="926"/>
      <c r="AV582" s="926"/>
      <c r="AW582" s="514">
        <f t="shared" si="78"/>
        <v>0</v>
      </c>
      <c r="AX582" s="514">
        <f>IF(SETUP!$E$7="USD",(AW582*(IF(O582="USD",AR582,(AR582/'Master Data-C19RM'!$G$2)))),(AW582*(IF(O582="EUR",AR582,(AR582*'Master Data-C19RM'!$G$2)))))</f>
        <v>0</v>
      </c>
      <c r="AY582" s="845"/>
      <c r="AZ582" s="846"/>
      <c r="BA582" s="846"/>
      <c r="BB582" s="846"/>
      <c r="BC582" s="846"/>
      <c r="BD582" s="846"/>
      <c r="BE582" s="847"/>
      <c r="BF582" s="521">
        <f>'C19RM 2021-Lab &amp; Other HPS'!$U582+'C19RM 2021-Lab &amp; Other HPS'!$AB582+'C19RM 2021-Lab &amp; Other HPS'!$AP582+'C19RM 2021-Lab &amp; Other HPS'!$AI582+AW582+BD582</f>
        <v>0</v>
      </c>
      <c r="BG582" s="515">
        <f>'C19RM 2021-Lab &amp; Other HPS'!$V582+'C19RM 2021-Lab &amp; Other HPS'!$AC582+'C19RM 2021-Lab &amp; Other HPS'!$AQ582+'C19RM 2021-Lab &amp; Other HPS'!$AJ582+AX582+BE582</f>
        <v>0</v>
      </c>
      <c r="BH582" s="522" t="str" cm="1">
        <f t="array" ref="BH582">IF(A582&lt;&gt;"",IFERROR(INDEX(PMtbl[[WKst]:[Unit of measure*]],MATCH($A$544&amp;$A582&amp;$E582&amp;$I582,INDEX(PMtbl[Sec]&amp;PMtbl[Category]&amp;PMtbl[Each]&amp;PMtbl[Packaging],0,),0),11),""),"")</f>
        <v/>
      </c>
      <c r="BI582" s="818"/>
      <c r="BJ582" s="503" t="str" cm="1">
        <f t="array" ref="BJ582">IFERROR(INDEX(SETUP!$C$19:$G$121,MATCH((INDEX(PMtbl[[WKst]:[Unit of measure*]],MATCH($A582&amp;$E582&amp;$I582,INDEX(PMtbl[Category]&amp;PMtbl[Each]&amp;PMtbl[Packaging],0,),0),3)),SETUP!$D$19:$D$121,0),5),"")</f>
        <v/>
      </c>
      <c r="BK582" s="543" t="str" cm="1">
        <f t="array" ref="BK582">IFERROR(IF((INDEX(SETUP!$C$19:$G$121,MATCH((INDEX(PMtbl[[WKst]:[Unit of measure*]],MATCH($A582&amp;$E582&amp;$I582,INDEX(PMtbl[Category]&amp;PMtbl[Each]&amp;PMtbl[Packaging],0,),0),3)),SETUP!$D$19:$D$121,0),4))="Upfront",0,INDEX(SETUP!$C$19:$G$121,MATCH((INDEX(PMtbl[[WKst]:[Unit of measure*]],MATCH($A582&amp;$E582&amp;$I582,INDEX(PMtbl[Category]&amp;PMtbl[Each]&amp;PMtbl[Packaging],0,),0),3)),SETUP!$D$19:$D$121,0),5)),"")</f>
        <v/>
      </c>
      <c r="BL582" s="201" t="str" cm="1">
        <f t="array" ref="BL582">IF(E582&lt;&gt;"",IFERROR(INDEX(PMtbl[[WKst]:[Unit of measure*]],MATCH($A$544&amp;$A582&amp;$E582&amp;$I582,INDEX(PMtbl[Sec]&amp;PMtbl[Category]&amp;PMtbl[Each]&amp;PMtbl[Packaging],0,),0),11),""),"")</f>
        <v/>
      </c>
      <c r="BO582" s="12">
        <f>IF(N582="",0,IF(SETUP!$E$7="USD",((IF(O582="USD",P582,(P582/'Master Data-C19RM'!$C$2)))),((IF(O582="EUR",P582,(P582*'Master Data-C19RM'!$C$2))))))</f>
        <v>0</v>
      </c>
      <c r="BP582" s="12">
        <f>IF(N582="",0,IF(SETUP!$E$7="USD",((IF(O582="USD",W582,(W582/'Master Data-C19RM'!$D$2)))),((IF(O582="EUR",W582,(W582*'Master Data-C19RM'!$D$2))))))</f>
        <v>0</v>
      </c>
      <c r="BQ582">
        <f>IF(N582="",0,IF(SETUP!$E$7="USD",((IF(O582="USD",AD582,(AD582/'Master Data-C19RM'!$E$2)))),((IF(O582="EUR",AD582,(AD582*'Master Data-C19RM'!$E$2))))))</f>
        <v>0</v>
      </c>
      <c r="BR582">
        <f>IF(N582="",0,IF(SETUP!$E$7="USD",((IF(O582="USD",AK582,(AK582/'Master Data-C19RM'!$F$2)))),((IF(O582="EUR",AK582,(AK582*'Master Data-C19RM'!$F$2))))))</f>
        <v>0</v>
      </c>
      <c r="BS582">
        <f>IF(N582="",0,IF(SETUP!$E$7="USD",((IF(O582="USD",AR582,(AR582/'Master Data-C19RM'!$G$2)))),((IF(O582="EUR",AR582,(AR582*'Master Data-C19RM'!$G$2))))))</f>
        <v>0</v>
      </c>
      <c r="BT582">
        <f>IF(N582="",0,IF(SETUP!$E$7="USD",((IF(O582="USD",AY582,(AY582/'Master Data-C19RM'!$H$2)))),((IF(O582="EUR",AY582,(AY582*'Master Data-C19RM'!$H$2))))))</f>
        <v>0</v>
      </c>
      <c r="BU582" s="12">
        <f t="shared" si="72"/>
        <v>0</v>
      </c>
      <c r="BV582" s="142">
        <f t="shared" si="73"/>
        <v>0</v>
      </c>
    </row>
    <row r="583" spans="1:74" x14ac:dyDescent="0.35">
      <c r="A583" s="1165"/>
      <c r="B583" s="1165"/>
      <c r="C583" s="1165"/>
      <c r="D583" s="1165"/>
      <c r="E583" s="1166"/>
      <c r="F583" s="1166"/>
      <c r="G583" s="1166"/>
      <c r="H583" s="1166"/>
      <c r="I583" s="1166"/>
      <c r="J583" s="1166"/>
      <c r="K583" s="1166"/>
      <c r="L583" s="490" t="str" cm="1">
        <f t="array" ref="L583">IF(A583&lt;&gt;"",IFERROR(INDEX(PMtbl[[WKst]:[Unit of measure*]],MATCH($A$544&amp;$A583&amp;$E583&amp;$I583,INDEX(PMtbl[Sec]&amp;PMtbl[Category]&amp;PMtbl[Each]&amp;PMtbl[Packaging],0,),0),14),""),"")</f>
        <v/>
      </c>
      <c r="M583" s="479" t="str">
        <f>IF(L583="","",INDEX(SETUP!$E$20:$E$122,(MATCH(INDEX(PMsheet!$D:$E,MATCH(A583,PMsheet!E:E,0),1),SETUP!$D$20:$D$122,0))))</f>
        <v/>
      </c>
      <c r="N583" s="491">
        <f>IF($O583="USD",_xlfn.IFNA(VLOOKUP(A583&amp;E583&amp;I583,PMsheet!J:K,2,0),0),(_xlfn.IFNA(VLOOKUP(A583&amp;E583&amp;I583,PMsheet!J:K,2,0),0)*'Master Data-C19RM'!$C$2))</f>
        <v>0</v>
      </c>
      <c r="O583" s="492" t="str">
        <f>IF(L583="", "",SETUP!$E$7)</f>
        <v/>
      </c>
      <c r="P583" s="444">
        <f>IF($O583="USD",_xlfn.IFNA(VLOOKUP($A583&amp;$E583&amp;$I583,PMsheet!$J:$K,2,0),0),(_xlfn.IFNA(VLOOKUP($A583&amp;$E583&amp;$I583,PMsheet!$J:$K,2,0),0)*'Master Data-C19RM'!$C$2))</f>
        <v>0</v>
      </c>
      <c r="Q583" s="441"/>
      <c r="R583" s="441"/>
      <c r="S583" s="441"/>
      <c r="T583" s="441"/>
      <c r="U583" s="481">
        <f t="shared" si="74"/>
        <v>0</v>
      </c>
      <c r="V583" s="483">
        <f>IF(SETUP!$E$7="USD",(U583*(IF(O583="USD",P583,(P583/'Master Data-C19RM'!$C$2)))),(U583*(IF(O583="EUR",P583,(P583*'Master Data-C19RM'!$C$2)))))</f>
        <v>0</v>
      </c>
      <c r="W583" s="444">
        <f>IF($O583="USD",_xlfn.IFNA(VLOOKUP($A583&amp;$E583&amp;$I583,PMsheet!$J:$K,2,0),0),(_xlfn.IFNA(VLOOKUP($A583&amp;$E583&amp;$I583,PMsheet!$J:$K,2,0),0)*'Master Data-C19RM'!$D$2))</f>
        <v>0</v>
      </c>
      <c r="X583" s="441"/>
      <c r="Y583" s="441"/>
      <c r="Z583" s="441"/>
      <c r="AA583" s="441"/>
      <c r="AB583" s="481">
        <f t="shared" si="75"/>
        <v>0</v>
      </c>
      <c r="AC583" s="483">
        <f>IF(SETUP!$E$7="USD",(AB583*(IF(O583="USD",W583,(W583/'Master Data-C19RM'!$D$2)))),(AB583*(IF(O583="EUR",W583,(W583*'Master Data-C19RM'!$D$2)))))</f>
        <v>0</v>
      </c>
      <c r="AD583" s="444">
        <f>IF($O583="USD",_xlfn.IFNA(VLOOKUP($A583&amp;$E583&amp;$I583,PMsheet!$J:$K,2,0),0),(_xlfn.IFNA(VLOOKUP($A583&amp;$E583&amp;$I583,PMsheet!$J:$K,2,0),0)*'Master Data-C19RM'!$E$2))</f>
        <v>0</v>
      </c>
      <c r="AE583" s="441"/>
      <c r="AF583" s="441"/>
      <c r="AG583" s="441"/>
      <c r="AH583" s="441"/>
      <c r="AI583" s="512">
        <f t="shared" si="76"/>
        <v>0</v>
      </c>
      <c r="AJ583" s="513">
        <f>IF(SETUP!$E$7="USD",(AI583*(IF(O583="USD",AD583,(AD583/'Master Data-C19RM'!$E$2)))),(AI583*(IF(O583="EUR",AD583,(AD583*'Master Data-C19RM'!$E$2)))))</f>
        <v>0</v>
      </c>
      <c r="AK583" s="444">
        <f>IF($O583="USD",_xlfn.IFNA(VLOOKUP($A583&amp;$E583&amp;$I583,PMsheet!$J:$K,2,0),0),(_xlfn.IFNA(VLOOKUP($A583&amp;$E583&amp;$I583,PMsheet!$J:$K,2,0),0)*'Master Data-C19RM'!$F$2))</f>
        <v>0</v>
      </c>
      <c r="AL583" s="441"/>
      <c r="AM583" s="441"/>
      <c r="AN583" s="441"/>
      <c r="AO583" s="441"/>
      <c r="AP583" s="512">
        <f t="shared" si="77"/>
        <v>0</v>
      </c>
      <c r="AQ583" s="513">
        <f>IF(SETUP!$E$7="USD",(AP583*(IF(O583="USD",AK583,(AK583/'Master Data-C19RM'!$F$2)))),(AP583*(IF(O583="EUR",AK583,(AK583*'Master Data-C19RM'!$F$2)))))</f>
        <v>0</v>
      </c>
      <c r="AR583" s="924">
        <f>IF($O583="USD",_xlfn.IFNA(VLOOKUP($A583&amp;$E583&amp;$I583,PMsheet!$J:$K,2,0),0),(_xlfn.IFNA(VLOOKUP($A583&amp;$E583&amp;$I583,PMsheet!$J:$K,2,0),0)*'Master Data-C19RM'!$G$2))</f>
        <v>0</v>
      </c>
      <c r="AS583" s="572"/>
      <c r="AT583" s="572"/>
      <c r="AU583" s="572"/>
      <c r="AV583" s="572"/>
      <c r="AW583" s="512">
        <f t="shared" si="78"/>
        <v>0</v>
      </c>
      <c r="AX583" s="512">
        <f>IF(SETUP!$E$7="USD",(AW583*(IF(O583="USD",AR583,(AR583/'Master Data-C19RM'!$G$2)))),(AW583*(IF(O583="EUR",AR583,(AR583*'Master Data-C19RM'!$G$2)))))</f>
        <v>0</v>
      </c>
      <c r="AY583" s="845"/>
      <c r="AZ583" s="846"/>
      <c r="BA583" s="846"/>
      <c r="BB583" s="846"/>
      <c r="BC583" s="846"/>
      <c r="BD583" s="846"/>
      <c r="BE583" s="847"/>
      <c r="BF583" s="520">
        <f>'C19RM 2021-Lab &amp; Other HPS'!$U583+'C19RM 2021-Lab &amp; Other HPS'!$AB583+'C19RM 2021-Lab &amp; Other HPS'!$AP583+'C19RM 2021-Lab &amp; Other HPS'!$AI583+AW583+BD583</f>
        <v>0</v>
      </c>
      <c r="BG583" s="513">
        <f>'C19RM 2021-Lab &amp; Other HPS'!$V583+'C19RM 2021-Lab &amp; Other HPS'!$AC583+'C19RM 2021-Lab &amp; Other HPS'!$AQ583+'C19RM 2021-Lab &amp; Other HPS'!$AJ583+AX583+BE583</f>
        <v>0</v>
      </c>
      <c r="BH583" s="500" t="str" cm="1">
        <f t="array" ref="BH583">IF(A583&lt;&gt;"",IFERROR(INDEX(PMtbl[[WKst]:[Unit of measure*]],MATCH($A$544&amp;$A583&amp;$E583&amp;$I583,INDEX(PMtbl[Sec]&amp;PMtbl[Category]&amp;PMtbl[Each]&amp;PMtbl[Packaging],0,),0),11),""),"")</f>
        <v/>
      </c>
      <c r="BI583" s="819"/>
      <c r="BJ583" s="502" t="str" cm="1">
        <f t="array" ref="BJ583">IFERROR(INDEX(SETUP!$C$19:$G$121,MATCH((INDEX(PMtbl[[WKst]:[Unit of measure*]],MATCH($A583&amp;$E583&amp;$I583,INDEX(PMtbl[Category]&amp;PMtbl[Each]&amp;PMtbl[Packaging],0,),0),3)),SETUP!$D$19:$D$121,0),5),"")</f>
        <v/>
      </c>
      <c r="BK583" s="542" t="str" cm="1">
        <f t="array" ref="BK583">IFERROR(IF((INDEX(SETUP!$C$19:$G$121,MATCH((INDEX(PMtbl[[WKst]:[Unit of measure*]],MATCH($A583&amp;$E583&amp;$I583,INDEX(PMtbl[Category]&amp;PMtbl[Each]&amp;PMtbl[Packaging],0,),0),3)),SETUP!$D$19:$D$121,0),4))="Upfront",0,INDEX(SETUP!$C$19:$G$121,MATCH((INDEX(PMtbl[[WKst]:[Unit of measure*]],MATCH($A583&amp;$E583&amp;$I583,INDEX(PMtbl[Category]&amp;PMtbl[Each]&amp;PMtbl[Packaging],0,),0),3)),SETUP!$D$19:$D$121,0),5)),"")</f>
        <v/>
      </c>
      <c r="BL583" s="200" t="str" cm="1">
        <f t="array" ref="BL583">IF(E583&lt;&gt;"",IFERROR(INDEX(PMtbl[[WKst]:[Unit of measure*]],MATCH($A$544&amp;$A583&amp;$E583&amp;$I583,INDEX(PMtbl[Sec]&amp;PMtbl[Category]&amp;PMtbl[Each]&amp;PMtbl[Packaging],0,),0),11),""),"")</f>
        <v/>
      </c>
      <c r="BO583" s="12">
        <f>IF(N583="",0,IF(SETUP!$E$7="USD",((IF(O583="USD",P583,(P583/'Master Data-C19RM'!$C$2)))),((IF(O583="EUR",P583,(P583*'Master Data-C19RM'!$C$2))))))</f>
        <v>0</v>
      </c>
      <c r="BP583" s="12">
        <f>IF(N583="",0,IF(SETUP!$E$7="USD",((IF(O583="USD",W583,(W583/'Master Data-C19RM'!$D$2)))),((IF(O583="EUR",W583,(W583*'Master Data-C19RM'!$D$2))))))</f>
        <v>0</v>
      </c>
      <c r="BQ583">
        <f>IF(N583="",0,IF(SETUP!$E$7="USD",((IF(O583="USD",AD583,(AD583/'Master Data-C19RM'!$E$2)))),((IF(O583="EUR",AD583,(AD583*'Master Data-C19RM'!$E$2))))))</f>
        <v>0</v>
      </c>
      <c r="BR583">
        <f>IF(N583="",0,IF(SETUP!$E$7="USD",((IF(O583="USD",AK583,(AK583/'Master Data-C19RM'!$F$2)))),((IF(O583="EUR",AK583,(AK583*'Master Data-C19RM'!$F$2))))))</f>
        <v>0</v>
      </c>
      <c r="BS583">
        <f>IF(N583="",0,IF(SETUP!$E$7="USD",((IF(O583="USD",AR583,(AR583/'Master Data-C19RM'!$G$2)))),((IF(O583="EUR",AR583,(AR583*'Master Data-C19RM'!$G$2))))))</f>
        <v>0</v>
      </c>
      <c r="BT583">
        <f>IF(N583="",0,IF(SETUP!$E$7="USD",((IF(O583="USD",AY583,(AY583/'Master Data-C19RM'!$H$2)))),((IF(O583="EUR",AY583,(AY583*'Master Data-C19RM'!$H$2))))))</f>
        <v>0</v>
      </c>
      <c r="BU583" s="12">
        <f t="shared" si="72"/>
        <v>0</v>
      </c>
      <c r="BV583" s="142">
        <f t="shared" si="73"/>
        <v>0</v>
      </c>
    </row>
    <row r="584" spans="1:74" x14ac:dyDescent="0.35">
      <c r="A584" s="1192"/>
      <c r="B584" s="1192"/>
      <c r="C584" s="1192"/>
      <c r="D584" s="1192"/>
      <c r="E584" s="1173"/>
      <c r="F584" s="1173"/>
      <c r="G584" s="1173"/>
      <c r="H584" s="1173"/>
      <c r="I584" s="1173"/>
      <c r="J584" s="1173"/>
      <c r="K584" s="1173"/>
      <c r="L584" s="493" t="str" cm="1">
        <f t="array" ref="L584">IF(A584&lt;&gt;"",IFERROR(INDEX(PMtbl[[WKst]:[Unit of measure*]],MATCH($A$544&amp;$A584&amp;$E584&amp;$I584,INDEX(PMtbl[Sec]&amp;PMtbl[Category]&amp;PMtbl[Each]&amp;PMtbl[Packaging],0,),0),14),""),"")</f>
        <v/>
      </c>
      <c r="M584" s="480" t="str">
        <f>IF(L584="","",INDEX(SETUP!$E$20:$E$122,(MATCH(INDEX(PMsheet!$D:$E,MATCH(A584,PMsheet!E:E,0),1),SETUP!$D$20:$D$122,0))))</f>
        <v/>
      </c>
      <c r="N584" s="494">
        <f>IF($O584="USD",_xlfn.IFNA(VLOOKUP(A584&amp;E584&amp;I584,PMsheet!J:K,2,0),0),(_xlfn.IFNA(VLOOKUP(A584&amp;E584&amp;I584,PMsheet!J:K,2,0),0)*'Master Data-C19RM'!$C$2))</f>
        <v>0</v>
      </c>
      <c r="O584" s="495" t="str">
        <f>IF(L584="", "",SETUP!$E$7)</f>
        <v/>
      </c>
      <c r="P584" s="445">
        <f>IF($O584="USD",_xlfn.IFNA(VLOOKUP($A584&amp;$E584&amp;$I584,PMsheet!$J:$K,2,0),0),(_xlfn.IFNA(VLOOKUP($A584&amp;$E584&amp;$I584,PMsheet!$J:$K,2,0),0)*'Master Data-C19RM'!$C$2))</f>
        <v>0</v>
      </c>
      <c r="Q584" s="440"/>
      <c r="R584" s="440"/>
      <c r="S584" s="440"/>
      <c r="T584" s="440"/>
      <c r="U584" s="482">
        <f t="shared" si="74"/>
        <v>0</v>
      </c>
      <c r="V584" s="484">
        <f>IF(SETUP!$E$7="USD",(U584*(IF(O584="USD",P584,(P584/'Master Data-C19RM'!$C$2)))),(U584*(IF(O584="EUR",P584,(P584*'Master Data-C19RM'!$C$2)))))</f>
        <v>0</v>
      </c>
      <c r="W584" s="445">
        <f>IF($O584="USD",_xlfn.IFNA(VLOOKUP($A584&amp;$E584&amp;$I584,PMsheet!$J:$K,2,0),0),(_xlfn.IFNA(VLOOKUP($A584&amp;$E584&amp;$I584,PMsheet!$J:$K,2,0),0)*'Master Data-C19RM'!$D$2))</f>
        <v>0</v>
      </c>
      <c r="X584" s="440"/>
      <c r="Y584" s="440"/>
      <c r="Z584" s="440"/>
      <c r="AA584" s="440"/>
      <c r="AB584" s="482">
        <f t="shared" si="75"/>
        <v>0</v>
      </c>
      <c r="AC584" s="484">
        <f>IF(SETUP!$E$7="USD",(AB584*(IF(O584="USD",W584,(W584/'Master Data-C19RM'!$D$2)))),(AB584*(IF(O584="EUR",W584,(W584*'Master Data-C19RM'!$D$2)))))</f>
        <v>0</v>
      </c>
      <c r="AD584" s="445">
        <f>IF($O584="USD",_xlfn.IFNA(VLOOKUP($A584&amp;$E584&amp;$I584,PMsheet!$J:$K,2,0),0),(_xlfn.IFNA(VLOOKUP($A584&amp;$E584&amp;$I584,PMsheet!$J:$K,2,0),0)*'Master Data-C19RM'!$E$2))</f>
        <v>0</v>
      </c>
      <c r="AE584" s="440"/>
      <c r="AF584" s="440"/>
      <c r="AG584" s="440"/>
      <c r="AH584" s="440"/>
      <c r="AI584" s="514">
        <f t="shared" si="76"/>
        <v>0</v>
      </c>
      <c r="AJ584" s="515">
        <f>IF(SETUP!$E$7="USD",(AI584*(IF(O584="USD",AD584,(AD584/'Master Data-C19RM'!$E$2)))),(AI584*(IF(O584="EUR",AD584,(AD584*'Master Data-C19RM'!$E$2)))))</f>
        <v>0</v>
      </c>
      <c r="AK584" s="445">
        <f>IF($O584="USD",_xlfn.IFNA(VLOOKUP($A584&amp;$E584&amp;$I584,PMsheet!$J:$K,2,0),0),(_xlfn.IFNA(VLOOKUP($A584&amp;$E584&amp;$I584,PMsheet!$J:$K,2,0),0)*'Master Data-C19RM'!$F$2))</f>
        <v>0</v>
      </c>
      <c r="AL584" s="440"/>
      <c r="AM584" s="440"/>
      <c r="AN584" s="440"/>
      <c r="AO584" s="440"/>
      <c r="AP584" s="514">
        <f t="shared" si="77"/>
        <v>0</v>
      </c>
      <c r="AQ584" s="515">
        <f>IF(SETUP!$E$7="USD",(AP584*(IF(O584="USD",AK584,(AK584/'Master Data-C19RM'!$F$2)))),(AP584*(IF(O584="EUR",AK584,(AK584*'Master Data-C19RM'!$F$2)))))</f>
        <v>0</v>
      </c>
      <c r="AR584" s="925">
        <f>IF($O584="USD",_xlfn.IFNA(VLOOKUP($A584&amp;$E584&amp;$I584,PMsheet!$J:$K,2,0),0),(_xlfn.IFNA(VLOOKUP($A584&amp;$E584&amp;$I584,PMsheet!$J:$K,2,0),0)*'Master Data-C19RM'!$G$2))</f>
        <v>0</v>
      </c>
      <c r="AS584" s="926"/>
      <c r="AT584" s="926"/>
      <c r="AU584" s="926"/>
      <c r="AV584" s="926"/>
      <c r="AW584" s="514">
        <f t="shared" si="78"/>
        <v>0</v>
      </c>
      <c r="AX584" s="514">
        <f>IF(SETUP!$E$7="USD",(AW584*(IF(O584="USD",AR584,(AR584/'Master Data-C19RM'!$G$2)))),(AW584*(IF(O584="EUR",AR584,(AR584*'Master Data-C19RM'!$G$2)))))</f>
        <v>0</v>
      </c>
      <c r="AY584" s="845"/>
      <c r="AZ584" s="846"/>
      <c r="BA584" s="846"/>
      <c r="BB584" s="846"/>
      <c r="BC584" s="846"/>
      <c r="BD584" s="846"/>
      <c r="BE584" s="847"/>
      <c r="BF584" s="521">
        <f>'C19RM 2021-Lab &amp; Other HPS'!$U584+'C19RM 2021-Lab &amp; Other HPS'!$AB584+'C19RM 2021-Lab &amp; Other HPS'!$AP584+'C19RM 2021-Lab &amp; Other HPS'!$AI584+AW584+BD584</f>
        <v>0</v>
      </c>
      <c r="BG584" s="515">
        <f>'C19RM 2021-Lab &amp; Other HPS'!$V584+'C19RM 2021-Lab &amp; Other HPS'!$AC584+'C19RM 2021-Lab &amp; Other HPS'!$AQ584+'C19RM 2021-Lab &amp; Other HPS'!$AJ584+AX584+BE584</f>
        <v>0</v>
      </c>
      <c r="BH584" s="522" t="str" cm="1">
        <f t="array" ref="BH584">IF(A584&lt;&gt;"",IFERROR(INDEX(PMtbl[[WKst]:[Unit of measure*]],MATCH($A$544&amp;$A584&amp;$E584&amp;$I584,INDEX(PMtbl[Sec]&amp;PMtbl[Category]&amp;PMtbl[Each]&amp;PMtbl[Packaging],0,),0),11),""),"")</f>
        <v/>
      </c>
      <c r="BI584" s="818"/>
      <c r="BJ584" s="503" t="str" cm="1">
        <f t="array" ref="BJ584">IFERROR(INDEX(SETUP!$C$19:$G$121,MATCH((INDEX(PMtbl[[WKst]:[Unit of measure*]],MATCH($A584&amp;$E584&amp;$I584,INDEX(PMtbl[Category]&amp;PMtbl[Each]&amp;PMtbl[Packaging],0,),0),3)),SETUP!$D$19:$D$121,0),5),"")</f>
        <v/>
      </c>
      <c r="BK584" s="543" t="str" cm="1">
        <f t="array" ref="BK584">IFERROR(IF((INDEX(SETUP!$C$19:$G$121,MATCH((INDEX(PMtbl[[WKst]:[Unit of measure*]],MATCH($A584&amp;$E584&amp;$I584,INDEX(PMtbl[Category]&amp;PMtbl[Each]&amp;PMtbl[Packaging],0,),0),3)),SETUP!$D$19:$D$121,0),4))="Upfront",0,INDEX(SETUP!$C$19:$G$121,MATCH((INDEX(PMtbl[[WKst]:[Unit of measure*]],MATCH($A584&amp;$E584&amp;$I584,INDEX(PMtbl[Category]&amp;PMtbl[Each]&amp;PMtbl[Packaging],0,),0),3)),SETUP!$D$19:$D$121,0),5)),"")</f>
        <v/>
      </c>
      <c r="BL584" s="201" t="str" cm="1">
        <f t="array" ref="BL584">IF(E584&lt;&gt;"",IFERROR(INDEX(PMtbl[[WKst]:[Unit of measure*]],MATCH($A$544&amp;$A584&amp;$E584&amp;$I584,INDEX(PMtbl[Sec]&amp;PMtbl[Category]&amp;PMtbl[Each]&amp;PMtbl[Packaging],0,),0),11),""),"")</f>
        <v/>
      </c>
      <c r="BO584" s="12">
        <f>IF(N584="",0,IF(SETUP!$E$7="USD",((IF(O584="USD",P584,(P584/'Master Data-C19RM'!$C$2)))),((IF(O584="EUR",P584,(P584*'Master Data-C19RM'!$C$2))))))</f>
        <v>0</v>
      </c>
      <c r="BP584" s="12">
        <f>IF(N584="",0,IF(SETUP!$E$7="USD",((IF(O584="USD",W584,(W584/'Master Data-C19RM'!$D$2)))),((IF(O584="EUR",W584,(W584*'Master Data-C19RM'!$D$2))))))</f>
        <v>0</v>
      </c>
      <c r="BQ584">
        <f>IF(N584="",0,IF(SETUP!$E$7="USD",((IF(O584="USD",AD584,(AD584/'Master Data-C19RM'!$E$2)))),((IF(O584="EUR",AD584,(AD584*'Master Data-C19RM'!$E$2))))))</f>
        <v>0</v>
      </c>
      <c r="BR584">
        <f>IF(N584="",0,IF(SETUP!$E$7="USD",((IF(O584="USD",AK584,(AK584/'Master Data-C19RM'!$F$2)))),((IF(O584="EUR",AK584,(AK584*'Master Data-C19RM'!$F$2))))))</f>
        <v>0</v>
      </c>
      <c r="BS584">
        <f>IF(N584="",0,IF(SETUP!$E$7="USD",((IF(O584="USD",AR584,(AR584/'Master Data-C19RM'!$G$2)))),((IF(O584="EUR",AR584,(AR584*'Master Data-C19RM'!$G$2))))))</f>
        <v>0</v>
      </c>
      <c r="BT584">
        <f>IF(N584="",0,IF(SETUP!$E$7="USD",((IF(O584="USD",AY584,(AY584/'Master Data-C19RM'!$H$2)))),((IF(O584="EUR",AY584,(AY584*'Master Data-C19RM'!$H$2))))))</f>
        <v>0</v>
      </c>
      <c r="BU584" s="12">
        <f t="shared" si="72"/>
        <v>0</v>
      </c>
      <c r="BV584" s="142">
        <f t="shared" si="73"/>
        <v>0</v>
      </c>
    </row>
    <row r="585" spans="1:74" x14ac:dyDescent="0.35">
      <c r="A585" s="1165"/>
      <c r="B585" s="1165"/>
      <c r="C585" s="1165"/>
      <c r="D585" s="1165"/>
      <c r="E585" s="1166"/>
      <c r="F585" s="1166"/>
      <c r="G585" s="1166"/>
      <c r="H585" s="1166"/>
      <c r="I585" s="1166"/>
      <c r="J585" s="1166"/>
      <c r="K585" s="1166"/>
      <c r="L585" s="490" t="str" cm="1">
        <f t="array" ref="L585">IF(A585&lt;&gt;"",IFERROR(INDEX(PMtbl[[WKst]:[Unit of measure*]],MATCH($A$544&amp;$A585&amp;$E585&amp;$I585,INDEX(PMtbl[Sec]&amp;PMtbl[Category]&amp;PMtbl[Each]&amp;PMtbl[Packaging],0,),0),14),""),"")</f>
        <v/>
      </c>
      <c r="M585" s="479" t="str">
        <f>IF(L585="","",INDEX(SETUP!$E$20:$E$122,(MATCH(INDEX(PMsheet!$D:$E,MATCH(A585,PMsheet!E:E,0),1),SETUP!$D$20:$D$122,0))))</f>
        <v/>
      </c>
      <c r="N585" s="491">
        <f>IF($O585="USD",_xlfn.IFNA(VLOOKUP(A585&amp;E585&amp;I585,PMsheet!J:K,2,0),0),(_xlfn.IFNA(VLOOKUP(A585&amp;E585&amp;I585,PMsheet!J:K,2,0),0)*'Master Data-C19RM'!$C$2))</f>
        <v>0</v>
      </c>
      <c r="O585" s="492" t="str">
        <f>IF(L585="", "",SETUP!$E$7)</f>
        <v/>
      </c>
      <c r="P585" s="444">
        <f>IF($O585="USD",_xlfn.IFNA(VLOOKUP($A585&amp;$E585&amp;$I585,PMsheet!$J:$K,2,0),0),(_xlfn.IFNA(VLOOKUP($A585&amp;$E585&amp;$I585,PMsheet!$J:$K,2,0),0)*'Master Data-C19RM'!$C$2))</f>
        <v>0</v>
      </c>
      <c r="Q585" s="441"/>
      <c r="R585" s="441"/>
      <c r="S585" s="441"/>
      <c r="T585" s="441"/>
      <c r="U585" s="481">
        <f t="shared" si="74"/>
        <v>0</v>
      </c>
      <c r="V585" s="483">
        <f>IF(SETUP!$E$7="USD",(U585*(IF(O585="USD",P585,(P585/'Master Data-C19RM'!$C$2)))),(U585*(IF(O585="EUR",P585,(P585*'Master Data-C19RM'!$C$2)))))</f>
        <v>0</v>
      </c>
      <c r="W585" s="444">
        <f>IF($O585="USD",_xlfn.IFNA(VLOOKUP($A585&amp;$E585&amp;$I585,PMsheet!$J:$K,2,0),0),(_xlfn.IFNA(VLOOKUP($A585&amp;$E585&amp;$I585,PMsheet!$J:$K,2,0),0)*'Master Data-C19RM'!$D$2))</f>
        <v>0</v>
      </c>
      <c r="X585" s="441"/>
      <c r="Y585" s="441"/>
      <c r="Z585" s="441"/>
      <c r="AA585" s="441"/>
      <c r="AB585" s="481">
        <f t="shared" si="75"/>
        <v>0</v>
      </c>
      <c r="AC585" s="483">
        <f>IF(SETUP!$E$7="USD",(AB585*(IF(O585="USD",W585,(W585/'Master Data-C19RM'!$D$2)))),(AB585*(IF(O585="EUR",W585,(W585*'Master Data-C19RM'!$D$2)))))</f>
        <v>0</v>
      </c>
      <c r="AD585" s="444">
        <f>IF($O585="USD",_xlfn.IFNA(VLOOKUP($A585&amp;$E585&amp;$I585,PMsheet!$J:$K,2,0),0),(_xlfn.IFNA(VLOOKUP($A585&amp;$E585&amp;$I585,PMsheet!$J:$K,2,0),0)*'Master Data-C19RM'!$E$2))</f>
        <v>0</v>
      </c>
      <c r="AE585" s="441"/>
      <c r="AF585" s="441"/>
      <c r="AG585" s="441"/>
      <c r="AH585" s="441"/>
      <c r="AI585" s="512">
        <f t="shared" si="76"/>
        <v>0</v>
      </c>
      <c r="AJ585" s="513">
        <f>IF(SETUP!$E$7="USD",(AI585*(IF(O585="USD",AD585,(AD585/'Master Data-C19RM'!$E$2)))),(AI585*(IF(O585="EUR",AD585,(AD585*'Master Data-C19RM'!$E$2)))))</f>
        <v>0</v>
      </c>
      <c r="AK585" s="444">
        <f>IF($O585="USD",_xlfn.IFNA(VLOOKUP($A585&amp;$E585&amp;$I585,PMsheet!$J:$K,2,0),0),(_xlfn.IFNA(VLOOKUP($A585&amp;$E585&amp;$I585,PMsheet!$J:$K,2,0),0)*'Master Data-C19RM'!$F$2))</f>
        <v>0</v>
      </c>
      <c r="AL585" s="441"/>
      <c r="AM585" s="441"/>
      <c r="AN585" s="441"/>
      <c r="AO585" s="441"/>
      <c r="AP585" s="512">
        <f t="shared" si="77"/>
        <v>0</v>
      </c>
      <c r="AQ585" s="513">
        <f>IF(SETUP!$E$7="USD",(AP585*(IF(O585="USD",AK585,(AK585/'Master Data-C19RM'!$F$2)))),(AP585*(IF(O585="EUR",AK585,(AK585*'Master Data-C19RM'!$F$2)))))</f>
        <v>0</v>
      </c>
      <c r="AR585" s="924">
        <f>IF($O585="USD",_xlfn.IFNA(VLOOKUP($A585&amp;$E585&amp;$I585,PMsheet!$J:$K,2,0),0),(_xlfn.IFNA(VLOOKUP($A585&amp;$E585&amp;$I585,PMsheet!$J:$K,2,0),0)*'Master Data-C19RM'!$G$2))</f>
        <v>0</v>
      </c>
      <c r="AS585" s="572"/>
      <c r="AT585" s="572"/>
      <c r="AU585" s="572"/>
      <c r="AV585" s="572"/>
      <c r="AW585" s="512">
        <f t="shared" si="78"/>
        <v>0</v>
      </c>
      <c r="AX585" s="512">
        <f>IF(SETUP!$E$7="USD",(AW585*(IF(O585="USD",AR585,(AR585/'Master Data-C19RM'!$G$2)))),(AW585*(IF(O585="EUR",AR585,(AR585*'Master Data-C19RM'!$G$2)))))</f>
        <v>0</v>
      </c>
      <c r="AY585" s="845"/>
      <c r="AZ585" s="846"/>
      <c r="BA585" s="846"/>
      <c r="BB585" s="846"/>
      <c r="BC585" s="846"/>
      <c r="BD585" s="846"/>
      <c r="BE585" s="847"/>
      <c r="BF585" s="520">
        <f>'C19RM 2021-Lab &amp; Other HPS'!$U585+'C19RM 2021-Lab &amp; Other HPS'!$AB585+'C19RM 2021-Lab &amp; Other HPS'!$AP585+'C19RM 2021-Lab &amp; Other HPS'!$AI585+AW585+BD585</f>
        <v>0</v>
      </c>
      <c r="BG585" s="513">
        <f>'C19RM 2021-Lab &amp; Other HPS'!$V585+'C19RM 2021-Lab &amp; Other HPS'!$AC585+'C19RM 2021-Lab &amp; Other HPS'!$AQ585+'C19RM 2021-Lab &amp; Other HPS'!$AJ585+AX585+BE585</f>
        <v>0</v>
      </c>
      <c r="BH585" s="500" t="str" cm="1">
        <f t="array" ref="BH585">IF(A585&lt;&gt;"",IFERROR(INDEX(PMtbl[[WKst]:[Unit of measure*]],MATCH($A$544&amp;$A585&amp;$E585&amp;$I585,INDEX(PMtbl[Sec]&amp;PMtbl[Category]&amp;PMtbl[Each]&amp;PMtbl[Packaging],0,),0),11),""),"")</f>
        <v/>
      </c>
      <c r="BI585" s="819"/>
      <c r="BJ585" s="502" t="str" cm="1">
        <f t="array" ref="BJ585">IFERROR(INDEX(SETUP!$C$19:$G$121,MATCH((INDEX(PMtbl[[WKst]:[Unit of measure*]],MATCH($A585&amp;$E585&amp;$I585,INDEX(PMtbl[Category]&amp;PMtbl[Each]&amp;PMtbl[Packaging],0,),0),3)),SETUP!$D$19:$D$121,0),5),"")</f>
        <v/>
      </c>
      <c r="BK585" s="542" t="str" cm="1">
        <f t="array" ref="BK585">IFERROR(IF((INDEX(SETUP!$C$19:$G$121,MATCH((INDEX(PMtbl[[WKst]:[Unit of measure*]],MATCH($A585&amp;$E585&amp;$I585,INDEX(PMtbl[Category]&amp;PMtbl[Each]&amp;PMtbl[Packaging],0,),0),3)),SETUP!$D$19:$D$121,0),4))="Upfront",0,INDEX(SETUP!$C$19:$G$121,MATCH((INDEX(PMtbl[[WKst]:[Unit of measure*]],MATCH($A585&amp;$E585&amp;$I585,INDEX(PMtbl[Category]&amp;PMtbl[Each]&amp;PMtbl[Packaging],0,),0),3)),SETUP!$D$19:$D$121,0),5)),"")</f>
        <v/>
      </c>
      <c r="BL585" s="200" t="str" cm="1">
        <f t="array" ref="BL585">IF(E585&lt;&gt;"",IFERROR(INDEX(PMtbl[[WKst]:[Unit of measure*]],MATCH($A$544&amp;$A585&amp;$E585&amp;$I585,INDEX(PMtbl[Sec]&amp;PMtbl[Category]&amp;PMtbl[Each]&amp;PMtbl[Packaging],0,),0),11),""),"")</f>
        <v/>
      </c>
      <c r="BO585" s="12">
        <f>IF(N585="",0,IF(SETUP!$E$7="USD",((IF(O585="USD",P585,(P585/'Master Data-C19RM'!$C$2)))),((IF(O585="EUR",P585,(P585*'Master Data-C19RM'!$C$2))))))</f>
        <v>0</v>
      </c>
      <c r="BP585" s="12">
        <f>IF(N585="",0,IF(SETUP!$E$7="USD",((IF(O585="USD",W585,(W585/'Master Data-C19RM'!$D$2)))),((IF(O585="EUR",W585,(W585*'Master Data-C19RM'!$D$2))))))</f>
        <v>0</v>
      </c>
      <c r="BQ585">
        <f>IF(N585="",0,IF(SETUP!$E$7="USD",((IF(O585="USD",AD585,(AD585/'Master Data-C19RM'!$E$2)))),((IF(O585="EUR",AD585,(AD585*'Master Data-C19RM'!$E$2))))))</f>
        <v>0</v>
      </c>
      <c r="BR585">
        <f>IF(N585="",0,IF(SETUP!$E$7="USD",((IF(O585="USD",AK585,(AK585/'Master Data-C19RM'!$F$2)))),((IF(O585="EUR",AK585,(AK585*'Master Data-C19RM'!$F$2))))))</f>
        <v>0</v>
      </c>
      <c r="BS585">
        <f>IF(N585="",0,IF(SETUP!$E$7="USD",((IF(O585="USD",AR585,(AR585/'Master Data-C19RM'!$G$2)))),((IF(O585="EUR",AR585,(AR585*'Master Data-C19RM'!$G$2))))))</f>
        <v>0</v>
      </c>
      <c r="BT585">
        <f>IF(N585="",0,IF(SETUP!$E$7="USD",((IF(O585="USD",AY585,(AY585/'Master Data-C19RM'!$H$2)))),((IF(O585="EUR",AY585,(AY585*'Master Data-C19RM'!$H$2))))))</f>
        <v>0</v>
      </c>
      <c r="BU585" s="12">
        <f t="shared" si="72"/>
        <v>0</v>
      </c>
      <c r="BV585" s="142">
        <f t="shared" si="73"/>
        <v>0</v>
      </c>
    </row>
    <row r="586" spans="1:74" x14ac:dyDescent="0.35">
      <c r="A586" s="1192"/>
      <c r="B586" s="1192"/>
      <c r="C586" s="1192"/>
      <c r="D586" s="1192"/>
      <c r="E586" s="1173"/>
      <c r="F586" s="1173"/>
      <c r="G586" s="1173"/>
      <c r="H586" s="1173"/>
      <c r="I586" s="1173"/>
      <c r="J586" s="1173"/>
      <c r="K586" s="1173"/>
      <c r="L586" s="493" t="str" cm="1">
        <f t="array" ref="L586">IF(A586&lt;&gt;"",IFERROR(INDEX(PMtbl[[WKst]:[Unit of measure*]],MATCH($A$544&amp;$A586&amp;$E586&amp;$I586,INDEX(PMtbl[Sec]&amp;PMtbl[Category]&amp;PMtbl[Each]&amp;PMtbl[Packaging],0,),0),14),""),"")</f>
        <v/>
      </c>
      <c r="M586" s="480" t="str">
        <f>IF(L586="","",INDEX(SETUP!$E$20:$E$122,(MATCH(INDEX(PMsheet!$D:$E,MATCH(A586,PMsheet!E:E,0),1),SETUP!$D$20:$D$122,0))))</f>
        <v/>
      </c>
      <c r="N586" s="494">
        <f>IF($O586="USD",_xlfn.IFNA(VLOOKUP(A586&amp;E586&amp;I586,PMsheet!J:K,2,0),0),(_xlfn.IFNA(VLOOKUP(A586&amp;E586&amp;I586,PMsheet!J:K,2,0),0)*'Master Data-C19RM'!$C$2))</f>
        <v>0</v>
      </c>
      <c r="O586" s="495" t="str">
        <f>IF(L586="", "",SETUP!$E$7)</f>
        <v/>
      </c>
      <c r="P586" s="445">
        <f>IF($O586="USD",_xlfn.IFNA(VLOOKUP($A586&amp;$E586&amp;$I586,PMsheet!$J:$K,2,0),0),(_xlfn.IFNA(VLOOKUP($A586&amp;$E586&amp;$I586,PMsheet!$J:$K,2,0),0)*'Master Data-C19RM'!$C$2))</f>
        <v>0</v>
      </c>
      <c r="Q586" s="440"/>
      <c r="R586" s="440"/>
      <c r="S586" s="440"/>
      <c r="T586" s="440"/>
      <c r="U586" s="482">
        <f t="shared" si="74"/>
        <v>0</v>
      </c>
      <c r="V586" s="484">
        <f>IF(SETUP!$E$7="USD",(U586*(IF(O586="USD",P586,(P586/'Master Data-C19RM'!$C$2)))),(U586*(IF(O586="EUR",P586,(P586*'Master Data-C19RM'!$C$2)))))</f>
        <v>0</v>
      </c>
      <c r="W586" s="445">
        <f>IF($O586="USD",_xlfn.IFNA(VLOOKUP($A586&amp;$E586&amp;$I586,PMsheet!$J:$K,2,0),0),(_xlfn.IFNA(VLOOKUP($A586&amp;$E586&amp;$I586,PMsheet!$J:$K,2,0),0)*'Master Data-C19RM'!$D$2))</f>
        <v>0</v>
      </c>
      <c r="X586" s="440"/>
      <c r="Y586" s="440"/>
      <c r="Z586" s="440"/>
      <c r="AA586" s="440"/>
      <c r="AB586" s="482">
        <f t="shared" si="75"/>
        <v>0</v>
      </c>
      <c r="AC586" s="484">
        <f>IF(SETUP!$E$7="USD",(AB586*(IF(O586="USD",W586,(W586/'Master Data-C19RM'!$D$2)))),(AB586*(IF(O586="EUR",W586,(W586*'Master Data-C19RM'!$D$2)))))</f>
        <v>0</v>
      </c>
      <c r="AD586" s="445">
        <f>IF($O586="USD",_xlfn.IFNA(VLOOKUP($A586&amp;$E586&amp;$I586,PMsheet!$J:$K,2,0),0),(_xlfn.IFNA(VLOOKUP($A586&amp;$E586&amp;$I586,PMsheet!$J:$K,2,0),0)*'Master Data-C19RM'!$E$2))</f>
        <v>0</v>
      </c>
      <c r="AE586" s="440"/>
      <c r="AF586" s="440"/>
      <c r="AG586" s="440"/>
      <c r="AH586" s="440"/>
      <c r="AI586" s="514">
        <f t="shared" si="76"/>
        <v>0</v>
      </c>
      <c r="AJ586" s="515">
        <f>IF(SETUP!$E$7="USD",(AI586*(IF(O586="USD",AD586,(AD586/'Master Data-C19RM'!$E$2)))),(AI586*(IF(O586="EUR",AD586,(AD586*'Master Data-C19RM'!$E$2)))))</f>
        <v>0</v>
      </c>
      <c r="AK586" s="445">
        <f>IF($O586="USD",_xlfn.IFNA(VLOOKUP($A586&amp;$E586&amp;$I586,PMsheet!$J:$K,2,0),0),(_xlfn.IFNA(VLOOKUP($A586&amp;$E586&amp;$I586,PMsheet!$J:$K,2,0),0)*'Master Data-C19RM'!$F$2))</f>
        <v>0</v>
      </c>
      <c r="AL586" s="440"/>
      <c r="AM586" s="440"/>
      <c r="AN586" s="440"/>
      <c r="AO586" s="440"/>
      <c r="AP586" s="514">
        <f t="shared" si="77"/>
        <v>0</v>
      </c>
      <c r="AQ586" s="515">
        <f>IF(SETUP!$E$7="USD",(AP586*(IF(O586="USD",AK586,(AK586/'Master Data-C19RM'!$F$2)))),(AP586*(IF(O586="EUR",AK586,(AK586*'Master Data-C19RM'!$F$2)))))</f>
        <v>0</v>
      </c>
      <c r="AR586" s="925">
        <f>IF($O586="USD",_xlfn.IFNA(VLOOKUP($A586&amp;$E586&amp;$I586,PMsheet!$J:$K,2,0),0),(_xlfn.IFNA(VLOOKUP($A586&amp;$E586&amp;$I586,PMsheet!$J:$K,2,0),0)*'Master Data-C19RM'!$G$2))</f>
        <v>0</v>
      </c>
      <c r="AS586" s="926"/>
      <c r="AT586" s="926"/>
      <c r="AU586" s="926"/>
      <c r="AV586" s="926"/>
      <c r="AW586" s="514">
        <f t="shared" si="78"/>
        <v>0</v>
      </c>
      <c r="AX586" s="514">
        <f>IF(SETUP!$E$7="USD",(AW586*(IF(O586="USD",AR586,(AR586/'Master Data-C19RM'!$G$2)))),(AW586*(IF(O586="EUR",AR586,(AR586*'Master Data-C19RM'!$G$2)))))</f>
        <v>0</v>
      </c>
      <c r="AY586" s="845"/>
      <c r="AZ586" s="846"/>
      <c r="BA586" s="846"/>
      <c r="BB586" s="846"/>
      <c r="BC586" s="846"/>
      <c r="BD586" s="846"/>
      <c r="BE586" s="847"/>
      <c r="BF586" s="521">
        <f>'C19RM 2021-Lab &amp; Other HPS'!$U586+'C19RM 2021-Lab &amp; Other HPS'!$AB586+'C19RM 2021-Lab &amp; Other HPS'!$AP586+'C19RM 2021-Lab &amp; Other HPS'!$AI586+AW586+BD586</f>
        <v>0</v>
      </c>
      <c r="BG586" s="515">
        <f>'C19RM 2021-Lab &amp; Other HPS'!$V586+'C19RM 2021-Lab &amp; Other HPS'!$AC586+'C19RM 2021-Lab &amp; Other HPS'!$AQ586+'C19RM 2021-Lab &amp; Other HPS'!$AJ586+AX586+BE586</f>
        <v>0</v>
      </c>
      <c r="BH586" s="522" t="str" cm="1">
        <f t="array" ref="BH586">IF(A586&lt;&gt;"",IFERROR(INDEX(PMtbl[[WKst]:[Unit of measure*]],MATCH($A$544&amp;$A586&amp;$E586&amp;$I586,INDEX(PMtbl[Sec]&amp;PMtbl[Category]&amp;PMtbl[Each]&amp;PMtbl[Packaging],0,),0),11),""),"")</f>
        <v/>
      </c>
      <c r="BI586" s="818"/>
      <c r="BJ586" s="503" t="str" cm="1">
        <f t="array" ref="BJ586">IFERROR(INDEX(SETUP!$C$19:$G$121,MATCH((INDEX(PMtbl[[WKst]:[Unit of measure*]],MATCH($A586&amp;$E586&amp;$I586,INDEX(PMtbl[Category]&amp;PMtbl[Each]&amp;PMtbl[Packaging],0,),0),3)),SETUP!$D$19:$D$121,0),5),"")</f>
        <v/>
      </c>
      <c r="BK586" s="543" t="str" cm="1">
        <f t="array" ref="BK586">IFERROR(IF((INDEX(SETUP!$C$19:$G$121,MATCH((INDEX(PMtbl[[WKst]:[Unit of measure*]],MATCH($A586&amp;$E586&amp;$I586,INDEX(PMtbl[Category]&amp;PMtbl[Each]&amp;PMtbl[Packaging],0,),0),3)),SETUP!$D$19:$D$121,0),4))="Upfront",0,INDEX(SETUP!$C$19:$G$121,MATCH((INDEX(PMtbl[[WKst]:[Unit of measure*]],MATCH($A586&amp;$E586&amp;$I586,INDEX(PMtbl[Category]&amp;PMtbl[Each]&amp;PMtbl[Packaging],0,),0),3)),SETUP!$D$19:$D$121,0),5)),"")</f>
        <v/>
      </c>
      <c r="BL586" s="201" t="str" cm="1">
        <f t="array" ref="BL586">IF(E586&lt;&gt;"",IFERROR(INDEX(PMtbl[[WKst]:[Unit of measure*]],MATCH($A$544&amp;$A586&amp;$E586&amp;$I586,INDEX(PMtbl[Sec]&amp;PMtbl[Category]&amp;PMtbl[Each]&amp;PMtbl[Packaging],0,),0),11),""),"")</f>
        <v/>
      </c>
      <c r="BO586" s="12">
        <f>IF(N586="",0,IF(SETUP!$E$7="USD",((IF(O586="USD",P586,(P586/'Master Data-C19RM'!$C$2)))),((IF(O586="EUR",P586,(P586*'Master Data-C19RM'!$C$2))))))</f>
        <v>0</v>
      </c>
      <c r="BP586" s="12">
        <f>IF(N586="",0,IF(SETUP!$E$7="USD",((IF(O586="USD",W586,(W586/'Master Data-C19RM'!$D$2)))),((IF(O586="EUR",W586,(W586*'Master Data-C19RM'!$D$2))))))</f>
        <v>0</v>
      </c>
      <c r="BQ586">
        <f>IF(N586="",0,IF(SETUP!$E$7="USD",((IF(O586="USD",AD586,(AD586/'Master Data-C19RM'!$E$2)))),((IF(O586="EUR",AD586,(AD586*'Master Data-C19RM'!$E$2))))))</f>
        <v>0</v>
      </c>
      <c r="BR586">
        <f>IF(N586="",0,IF(SETUP!$E$7="USD",((IF(O586="USD",AK586,(AK586/'Master Data-C19RM'!$F$2)))),((IF(O586="EUR",AK586,(AK586*'Master Data-C19RM'!$F$2))))))</f>
        <v>0</v>
      </c>
      <c r="BS586">
        <f>IF(N586="",0,IF(SETUP!$E$7="USD",((IF(O586="USD",AR586,(AR586/'Master Data-C19RM'!$G$2)))),((IF(O586="EUR",AR586,(AR586*'Master Data-C19RM'!$G$2))))))</f>
        <v>0</v>
      </c>
      <c r="BT586">
        <f>IF(N586="",0,IF(SETUP!$E$7="USD",((IF(O586="USD",AY586,(AY586/'Master Data-C19RM'!$H$2)))),((IF(O586="EUR",AY586,(AY586*'Master Data-C19RM'!$H$2))))))</f>
        <v>0</v>
      </c>
      <c r="BU586" s="12">
        <f t="shared" si="72"/>
        <v>0</v>
      </c>
      <c r="BV586" s="142">
        <f t="shared" si="73"/>
        <v>0</v>
      </c>
    </row>
    <row r="587" spans="1:74" x14ac:dyDescent="0.35">
      <c r="A587" s="1165"/>
      <c r="B587" s="1165"/>
      <c r="C587" s="1165"/>
      <c r="D587" s="1165"/>
      <c r="E587" s="1166"/>
      <c r="F587" s="1166"/>
      <c r="G587" s="1166"/>
      <c r="H587" s="1166"/>
      <c r="I587" s="1166"/>
      <c r="J587" s="1166"/>
      <c r="K587" s="1166"/>
      <c r="L587" s="490" t="str" cm="1">
        <f t="array" ref="L587">IF(A587&lt;&gt;"",IFERROR(INDEX(PMtbl[[WKst]:[Unit of measure*]],MATCH($A$544&amp;$A587&amp;$E587&amp;$I587,INDEX(PMtbl[Sec]&amp;PMtbl[Category]&amp;PMtbl[Each]&amp;PMtbl[Packaging],0,),0),14),""),"")</f>
        <v/>
      </c>
      <c r="M587" s="479" t="str">
        <f>IF(L587="","",INDEX(SETUP!$E$20:$E$122,(MATCH(INDEX(PMsheet!$D:$E,MATCH(A587,PMsheet!E:E,0),1),SETUP!$D$20:$D$122,0))))</f>
        <v/>
      </c>
      <c r="N587" s="491">
        <f>IF($O587="USD",_xlfn.IFNA(VLOOKUP(A587&amp;E587&amp;I587,PMsheet!J:K,2,0),0),(_xlfn.IFNA(VLOOKUP(A587&amp;E587&amp;I587,PMsheet!J:K,2,0),0)*'Master Data-C19RM'!$C$2))</f>
        <v>0</v>
      </c>
      <c r="O587" s="492" t="str">
        <f>IF(L587="", "",SETUP!$E$7)</f>
        <v/>
      </c>
      <c r="P587" s="444">
        <f>IF($O587="USD",_xlfn.IFNA(VLOOKUP($A587&amp;$E587&amp;$I587,PMsheet!$J:$K,2,0),0),(_xlfn.IFNA(VLOOKUP($A587&amp;$E587&amp;$I587,PMsheet!$J:$K,2,0),0)*'Master Data-C19RM'!$C$2))</f>
        <v>0</v>
      </c>
      <c r="Q587" s="441"/>
      <c r="R587" s="441"/>
      <c r="S587" s="441"/>
      <c r="T587" s="441"/>
      <c r="U587" s="481">
        <f t="shared" si="74"/>
        <v>0</v>
      </c>
      <c r="V587" s="483">
        <f>IF(SETUP!$E$7="USD",(U587*(IF(O587="USD",P587,(P587/'Master Data-C19RM'!$C$2)))),(U587*(IF(O587="EUR",P587,(P587*'Master Data-C19RM'!$C$2)))))</f>
        <v>0</v>
      </c>
      <c r="W587" s="444">
        <f>IF($O587="USD",_xlfn.IFNA(VLOOKUP($A587&amp;$E587&amp;$I587,PMsheet!$J:$K,2,0),0),(_xlfn.IFNA(VLOOKUP($A587&amp;$E587&amp;$I587,PMsheet!$J:$K,2,0),0)*'Master Data-C19RM'!$D$2))</f>
        <v>0</v>
      </c>
      <c r="X587" s="441"/>
      <c r="Y587" s="441"/>
      <c r="Z587" s="441"/>
      <c r="AA587" s="441"/>
      <c r="AB587" s="481">
        <f t="shared" si="75"/>
        <v>0</v>
      </c>
      <c r="AC587" s="483">
        <f>IF(SETUP!$E$7="USD",(AB587*(IF(O587="USD",W587,(W587/'Master Data-C19RM'!$D$2)))),(AB587*(IF(O587="EUR",W587,(W587*'Master Data-C19RM'!$D$2)))))</f>
        <v>0</v>
      </c>
      <c r="AD587" s="444">
        <f>IF($O587="USD",_xlfn.IFNA(VLOOKUP($A587&amp;$E587&amp;$I587,PMsheet!$J:$K,2,0),0),(_xlfn.IFNA(VLOOKUP($A587&amp;$E587&amp;$I587,PMsheet!$J:$K,2,0),0)*'Master Data-C19RM'!$E$2))</f>
        <v>0</v>
      </c>
      <c r="AE587" s="441"/>
      <c r="AF587" s="441"/>
      <c r="AG587" s="441"/>
      <c r="AH587" s="441"/>
      <c r="AI587" s="512">
        <f t="shared" si="76"/>
        <v>0</v>
      </c>
      <c r="AJ587" s="513">
        <f>IF(SETUP!$E$7="USD",(AI587*(IF(O587="USD",AD587,(AD587/'Master Data-C19RM'!$E$2)))),(AI587*(IF(O587="EUR",AD587,(AD587*'Master Data-C19RM'!$E$2)))))</f>
        <v>0</v>
      </c>
      <c r="AK587" s="444">
        <f>IF($O587="USD",_xlfn.IFNA(VLOOKUP($A587&amp;$E587&amp;$I587,PMsheet!$J:$K,2,0),0),(_xlfn.IFNA(VLOOKUP($A587&amp;$E587&amp;$I587,PMsheet!$J:$K,2,0),0)*'Master Data-C19RM'!$F$2))</f>
        <v>0</v>
      </c>
      <c r="AL587" s="441"/>
      <c r="AM587" s="441"/>
      <c r="AN587" s="441"/>
      <c r="AO587" s="441"/>
      <c r="AP587" s="512">
        <f t="shared" si="77"/>
        <v>0</v>
      </c>
      <c r="AQ587" s="513">
        <f>IF(SETUP!$E$7="USD",(AP587*(IF(O587="USD",AK587,(AK587/'Master Data-C19RM'!$F$2)))),(AP587*(IF(O587="EUR",AK587,(AK587*'Master Data-C19RM'!$F$2)))))</f>
        <v>0</v>
      </c>
      <c r="AR587" s="924">
        <f>IF($O587="USD",_xlfn.IFNA(VLOOKUP($A587&amp;$E587&amp;$I587,PMsheet!$J:$K,2,0),0),(_xlfn.IFNA(VLOOKUP($A587&amp;$E587&amp;$I587,PMsheet!$J:$K,2,0),0)*'Master Data-C19RM'!$G$2))</f>
        <v>0</v>
      </c>
      <c r="AS587" s="572"/>
      <c r="AT587" s="572"/>
      <c r="AU587" s="572"/>
      <c r="AV587" s="572"/>
      <c r="AW587" s="512">
        <f t="shared" si="78"/>
        <v>0</v>
      </c>
      <c r="AX587" s="512">
        <f>IF(SETUP!$E$7="USD",(AW587*(IF(O587="USD",AR587,(AR587/'Master Data-C19RM'!$G$2)))),(AW587*(IF(O587="EUR",AR587,(AR587*'Master Data-C19RM'!$G$2)))))</f>
        <v>0</v>
      </c>
      <c r="AY587" s="845"/>
      <c r="AZ587" s="846"/>
      <c r="BA587" s="846"/>
      <c r="BB587" s="846"/>
      <c r="BC587" s="846"/>
      <c r="BD587" s="846"/>
      <c r="BE587" s="847"/>
      <c r="BF587" s="520">
        <f>'C19RM 2021-Lab &amp; Other HPS'!$U587+'C19RM 2021-Lab &amp; Other HPS'!$AB587+'C19RM 2021-Lab &amp; Other HPS'!$AP587+'C19RM 2021-Lab &amp; Other HPS'!$AI587+AW587+BD587</f>
        <v>0</v>
      </c>
      <c r="BG587" s="513">
        <f>'C19RM 2021-Lab &amp; Other HPS'!$V587+'C19RM 2021-Lab &amp; Other HPS'!$AC587+'C19RM 2021-Lab &amp; Other HPS'!$AQ587+'C19RM 2021-Lab &amp; Other HPS'!$AJ587+AX587+BE587</f>
        <v>0</v>
      </c>
      <c r="BH587" s="500" t="str" cm="1">
        <f t="array" ref="BH587">IF(A587&lt;&gt;"",IFERROR(INDEX(PMtbl[[WKst]:[Unit of measure*]],MATCH($A$544&amp;$A587&amp;$E587&amp;$I587,INDEX(PMtbl[Sec]&amp;PMtbl[Category]&amp;PMtbl[Each]&amp;PMtbl[Packaging],0,),0),11),""),"")</f>
        <v/>
      </c>
      <c r="BI587" s="819"/>
      <c r="BJ587" s="502" t="str" cm="1">
        <f t="array" ref="BJ587">IFERROR(INDEX(SETUP!$C$19:$G$121,MATCH((INDEX(PMtbl[[WKst]:[Unit of measure*]],MATCH($A587&amp;$E587&amp;$I587,INDEX(PMtbl[Category]&amp;PMtbl[Each]&amp;PMtbl[Packaging],0,),0),3)),SETUP!$D$19:$D$121,0),5),"")</f>
        <v/>
      </c>
      <c r="BK587" s="542" t="str" cm="1">
        <f t="array" ref="BK587">IFERROR(IF((INDEX(SETUP!$C$19:$G$121,MATCH((INDEX(PMtbl[[WKst]:[Unit of measure*]],MATCH($A587&amp;$E587&amp;$I587,INDEX(PMtbl[Category]&amp;PMtbl[Each]&amp;PMtbl[Packaging],0,),0),3)),SETUP!$D$19:$D$121,0),4))="Upfront",0,INDEX(SETUP!$C$19:$G$121,MATCH((INDEX(PMtbl[[WKst]:[Unit of measure*]],MATCH($A587&amp;$E587&amp;$I587,INDEX(PMtbl[Category]&amp;PMtbl[Each]&amp;PMtbl[Packaging],0,),0),3)),SETUP!$D$19:$D$121,0),5)),"")</f>
        <v/>
      </c>
      <c r="BL587" s="200" t="str" cm="1">
        <f t="array" ref="BL587">IF(E587&lt;&gt;"",IFERROR(INDEX(PMtbl[[WKst]:[Unit of measure*]],MATCH($A$544&amp;$A587&amp;$E587&amp;$I587,INDEX(PMtbl[Sec]&amp;PMtbl[Category]&amp;PMtbl[Each]&amp;PMtbl[Packaging],0,),0),11),""),"")</f>
        <v/>
      </c>
      <c r="BO587" s="12">
        <f>IF(N587="",0,IF(SETUP!$E$7="USD",((IF(O587="USD",P587,(P587/'Master Data-C19RM'!$C$2)))),((IF(O587="EUR",P587,(P587*'Master Data-C19RM'!$C$2))))))</f>
        <v>0</v>
      </c>
      <c r="BP587" s="12">
        <f>IF(N587="",0,IF(SETUP!$E$7="USD",((IF(O587="USD",W587,(W587/'Master Data-C19RM'!$D$2)))),((IF(O587="EUR",W587,(W587*'Master Data-C19RM'!$D$2))))))</f>
        <v>0</v>
      </c>
      <c r="BQ587">
        <f>IF(N587="",0,IF(SETUP!$E$7="USD",((IF(O587="USD",AD587,(AD587/'Master Data-C19RM'!$E$2)))),((IF(O587="EUR",AD587,(AD587*'Master Data-C19RM'!$E$2))))))</f>
        <v>0</v>
      </c>
      <c r="BR587">
        <f>IF(N587="",0,IF(SETUP!$E$7="USD",((IF(O587="USD",AK587,(AK587/'Master Data-C19RM'!$F$2)))),((IF(O587="EUR",AK587,(AK587*'Master Data-C19RM'!$F$2))))))</f>
        <v>0</v>
      </c>
      <c r="BS587">
        <f>IF(N587="",0,IF(SETUP!$E$7="USD",((IF(O587="USD",AR587,(AR587/'Master Data-C19RM'!$G$2)))),((IF(O587="EUR",AR587,(AR587*'Master Data-C19RM'!$G$2))))))</f>
        <v>0</v>
      </c>
      <c r="BT587">
        <f>IF(N587="",0,IF(SETUP!$E$7="USD",((IF(O587="USD",AY587,(AY587/'Master Data-C19RM'!$H$2)))),((IF(O587="EUR",AY587,(AY587*'Master Data-C19RM'!$H$2))))))</f>
        <v>0</v>
      </c>
      <c r="BU587" s="12">
        <f t="shared" si="72"/>
        <v>0</v>
      </c>
      <c r="BV587" s="142">
        <f t="shared" si="73"/>
        <v>0</v>
      </c>
    </row>
    <row r="588" spans="1:74" x14ac:dyDescent="0.35">
      <c r="A588" s="1192"/>
      <c r="B588" s="1192"/>
      <c r="C588" s="1192"/>
      <c r="D588" s="1192"/>
      <c r="E588" s="1173"/>
      <c r="F588" s="1173"/>
      <c r="G588" s="1173"/>
      <c r="H588" s="1173"/>
      <c r="I588" s="1173"/>
      <c r="J588" s="1173"/>
      <c r="K588" s="1173"/>
      <c r="L588" s="493" t="str" cm="1">
        <f t="array" ref="L588">IF(A588&lt;&gt;"",IFERROR(INDEX(PMtbl[[WKst]:[Unit of measure*]],MATCH($A$544&amp;$A588&amp;$E588&amp;$I588,INDEX(PMtbl[Sec]&amp;PMtbl[Category]&amp;PMtbl[Each]&amp;PMtbl[Packaging],0,),0),14),""),"")</f>
        <v/>
      </c>
      <c r="M588" s="480" t="str">
        <f>IF(L588="","",INDEX(SETUP!$E$20:$E$122,(MATCH(INDEX(PMsheet!$D:$E,MATCH(A588,PMsheet!E:E,0),1),SETUP!$D$20:$D$122,0))))</f>
        <v/>
      </c>
      <c r="N588" s="494">
        <f>IF($O588="USD",_xlfn.IFNA(VLOOKUP(A588&amp;E588&amp;I588,PMsheet!J:K,2,0),0),(_xlfn.IFNA(VLOOKUP(A588&amp;E588&amp;I588,PMsheet!J:K,2,0),0)*'Master Data-C19RM'!$C$2))</f>
        <v>0</v>
      </c>
      <c r="O588" s="495" t="str">
        <f>IF(L588="", "",SETUP!$E$7)</f>
        <v/>
      </c>
      <c r="P588" s="445">
        <f>IF($O588="USD",_xlfn.IFNA(VLOOKUP($A588&amp;$E588&amp;$I588,PMsheet!$J:$K,2,0),0),(_xlfn.IFNA(VLOOKUP($A588&amp;$E588&amp;$I588,PMsheet!$J:$K,2,0),0)*'Master Data-C19RM'!$C$2))</f>
        <v>0</v>
      </c>
      <c r="Q588" s="440"/>
      <c r="R588" s="440"/>
      <c r="S588" s="440"/>
      <c r="T588" s="440"/>
      <c r="U588" s="482">
        <f t="shared" si="74"/>
        <v>0</v>
      </c>
      <c r="V588" s="484">
        <f>IF(SETUP!$E$7="USD",(U588*(IF(O588="USD",P588,(P588/'Master Data-C19RM'!$C$2)))),(U588*(IF(O588="EUR",P588,(P588*'Master Data-C19RM'!$C$2)))))</f>
        <v>0</v>
      </c>
      <c r="W588" s="445">
        <f>IF($O588="USD",_xlfn.IFNA(VLOOKUP($A588&amp;$E588&amp;$I588,PMsheet!$J:$K,2,0),0),(_xlfn.IFNA(VLOOKUP($A588&amp;$E588&amp;$I588,PMsheet!$J:$K,2,0),0)*'Master Data-C19RM'!$D$2))</f>
        <v>0</v>
      </c>
      <c r="X588" s="440"/>
      <c r="Y588" s="440"/>
      <c r="Z588" s="440"/>
      <c r="AA588" s="440"/>
      <c r="AB588" s="482">
        <f t="shared" si="75"/>
        <v>0</v>
      </c>
      <c r="AC588" s="484">
        <f>IF(SETUP!$E$7="USD",(AB588*(IF(O588="USD",W588,(W588/'Master Data-C19RM'!$D$2)))),(AB588*(IF(O588="EUR",W588,(W588*'Master Data-C19RM'!$D$2)))))</f>
        <v>0</v>
      </c>
      <c r="AD588" s="445">
        <f>IF($O588="USD",_xlfn.IFNA(VLOOKUP($A588&amp;$E588&amp;$I588,PMsheet!$J:$K,2,0),0),(_xlfn.IFNA(VLOOKUP($A588&amp;$E588&amp;$I588,PMsheet!$J:$K,2,0),0)*'Master Data-C19RM'!$E$2))</f>
        <v>0</v>
      </c>
      <c r="AE588" s="440"/>
      <c r="AF588" s="440"/>
      <c r="AG588" s="440"/>
      <c r="AH588" s="440"/>
      <c r="AI588" s="514">
        <f t="shared" si="76"/>
        <v>0</v>
      </c>
      <c r="AJ588" s="515">
        <f>IF(SETUP!$E$7="USD",(AI588*(IF(O588="USD",AD588,(AD588/'Master Data-C19RM'!$E$2)))),(AI588*(IF(O588="EUR",AD588,(AD588*'Master Data-C19RM'!$E$2)))))</f>
        <v>0</v>
      </c>
      <c r="AK588" s="445">
        <f>IF($O588="USD",_xlfn.IFNA(VLOOKUP($A588&amp;$E588&amp;$I588,PMsheet!$J:$K,2,0),0),(_xlfn.IFNA(VLOOKUP($A588&amp;$E588&amp;$I588,PMsheet!$J:$K,2,0),0)*'Master Data-C19RM'!$F$2))</f>
        <v>0</v>
      </c>
      <c r="AL588" s="440"/>
      <c r="AM588" s="440"/>
      <c r="AN588" s="440"/>
      <c r="AO588" s="440"/>
      <c r="AP588" s="514">
        <f t="shared" si="77"/>
        <v>0</v>
      </c>
      <c r="AQ588" s="515">
        <f>IF(SETUP!$E$7="USD",(AP588*(IF(O588="USD",AK588,(AK588/'Master Data-C19RM'!$F$2)))),(AP588*(IF(O588="EUR",AK588,(AK588*'Master Data-C19RM'!$F$2)))))</f>
        <v>0</v>
      </c>
      <c r="AR588" s="925">
        <f>IF($O588="USD",_xlfn.IFNA(VLOOKUP($A588&amp;$E588&amp;$I588,PMsheet!$J:$K,2,0),0),(_xlfn.IFNA(VLOOKUP($A588&amp;$E588&amp;$I588,PMsheet!$J:$K,2,0),0)*'Master Data-C19RM'!$G$2))</f>
        <v>0</v>
      </c>
      <c r="AS588" s="926"/>
      <c r="AT588" s="926"/>
      <c r="AU588" s="926"/>
      <c r="AV588" s="926"/>
      <c r="AW588" s="514">
        <f t="shared" si="78"/>
        <v>0</v>
      </c>
      <c r="AX588" s="514">
        <f>IF(SETUP!$E$7="USD",(AW588*(IF(O588="USD",AR588,(AR588/'Master Data-C19RM'!$G$2)))),(AW588*(IF(O588="EUR",AR588,(AR588*'Master Data-C19RM'!$G$2)))))</f>
        <v>0</v>
      </c>
      <c r="AY588" s="845"/>
      <c r="AZ588" s="846"/>
      <c r="BA588" s="846"/>
      <c r="BB588" s="846"/>
      <c r="BC588" s="846"/>
      <c r="BD588" s="846"/>
      <c r="BE588" s="847"/>
      <c r="BF588" s="521">
        <f>'C19RM 2021-Lab &amp; Other HPS'!$U588+'C19RM 2021-Lab &amp; Other HPS'!$AB588+'C19RM 2021-Lab &amp; Other HPS'!$AP588+'C19RM 2021-Lab &amp; Other HPS'!$AI588+AW588+BD588</f>
        <v>0</v>
      </c>
      <c r="BG588" s="515">
        <f>'C19RM 2021-Lab &amp; Other HPS'!$V588+'C19RM 2021-Lab &amp; Other HPS'!$AC588+'C19RM 2021-Lab &amp; Other HPS'!$AQ588+'C19RM 2021-Lab &amp; Other HPS'!$AJ588+AX588+BE588</f>
        <v>0</v>
      </c>
      <c r="BH588" s="522" t="str" cm="1">
        <f t="array" ref="BH588">IF(A588&lt;&gt;"",IFERROR(INDEX(PMtbl[[WKst]:[Unit of measure*]],MATCH($A$544&amp;$A588&amp;$E588&amp;$I588,INDEX(PMtbl[Sec]&amp;PMtbl[Category]&amp;PMtbl[Each]&amp;PMtbl[Packaging],0,),0),11),""),"")</f>
        <v/>
      </c>
      <c r="BI588" s="818"/>
      <c r="BJ588" s="503" t="str" cm="1">
        <f t="array" ref="BJ588">IFERROR(INDEX(SETUP!$C$19:$G$121,MATCH((INDEX(PMtbl[[WKst]:[Unit of measure*]],MATCH($A588&amp;$E588&amp;$I588,INDEX(PMtbl[Category]&amp;PMtbl[Each]&amp;PMtbl[Packaging],0,),0),3)),SETUP!$D$19:$D$121,0),5),"")</f>
        <v/>
      </c>
      <c r="BK588" s="543" t="str" cm="1">
        <f t="array" ref="BK588">IFERROR(IF((INDEX(SETUP!$C$19:$G$121,MATCH((INDEX(PMtbl[[WKst]:[Unit of measure*]],MATCH($A588&amp;$E588&amp;$I588,INDEX(PMtbl[Category]&amp;PMtbl[Each]&amp;PMtbl[Packaging],0,),0),3)),SETUP!$D$19:$D$121,0),4))="Upfront",0,INDEX(SETUP!$C$19:$G$121,MATCH((INDEX(PMtbl[[WKst]:[Unit of measure*]],MATCH($A588&amp;$E588&amp;$I588,INDEX(PMtbl[Category]&amp;PMtbl[Each]&amp;PMtbl[Packaging],0,),0),3)),SETUP!$D$19:$D$121,0),5)),"")</f>
        <v/>
      </c>
      <c r="BL588" s="201" t="str" cm="1">
        <f t="array" ref="BL588">IF(E588&lt;&gt;"",IFERROR(INDEX(PMtbl[[WKst]:[Unit of measure*]],MATCH($A$544&amp;$A588&amp;$E588&amp;$I588,INDEX(PMtbl[Sec]&amp;PMtbl[Category]&amp;PMtbl[Each]&amp;PMtbl[Packaging],0,),0),11),""),"")</f>
        <v/>
      </c>
      <c r="BO588" s="12">
        <f>IF(N588="",0,IF(SETUP!$E$7="USD",((IF(O588="USD",P588,(P588/'Master Data-C19RM'!$C$2)))),((IF(O588="EUR",P588,(P588*'Master Data-C19RM'!$C$2))))))</f>
        <v>0</v>
      </c>
      <c r="BP588" s="12">
        <f>IF(N588="",0,IF(SETUP!$E$7="USD",((IF(O588="USD",W588,(W588/'Master Data-C19RM'!$D$2)))),((IF(O588="EUR",W588,(W588*'Master Data-C19RM'!$D$2))))))</f>
        <v>0</v>
      </c>
      <c r="BQ588">
        <f>IF(N588="",0,IF(SETUP!$E$7="USD",((IF(O588="USD",AD588,(AD588/'Master Data-C19RM'!$E$2)))),((IF(O588="EUR",AD588,(AD588*'Master Data-C19RM'!$E$2))))))</f>
        <v>0</v>
      </c>
      <c r="BR588">
        <f>IF(N588="",0,IF(SETUP!$E$7="USD",((IF(O588="USD",AK588,(AK588/'Master Data-C19RM'!$F$2)))),((IF(O588="EUR",AK588,(AK588*'Master Data-C19RM'!$F$2))))))</f>
        <v>0</v>
      </c>
      <c r="BS588">
        <f>IF(N588="",0,IF(SETUP!$E$7="USD",((IF(O588="USD",AR588,(AR588/'Master Data-C19RM'!$G$2)))),((IF(O588="EUR",AR588,(AR588*'Master Data-C19RM'!$G$2))))))</f>
        <v>0</v>
      </c>
      <c r="BT588">
        <f>IF(N588="",0,IF(SETUP!$E$7="USD",((IF(O588="USD",AY588,(AY588/'Master Data-C19RM'!$H$2)))),((IF(O588="EUR",AY588,(AY588*'Master Data-C19RM'!$H$2))))))</f>
        <v>0</v>
      </c>
      <c r="BU588" s="12">
        <f t="shared" si="72"/>
        <v>0</v>
      </c>
      <c r="BV588" s="142">
        <f t="shared" si="73"/>
        <v>0</v>
      </c>
    </row>
    <row r="589" spans="1:74" x14ac:dyDescent="0.35">
      <c r="A589" s="1165"/>
      <c r="B589" s="1165"/>
      <c r="C589" s="1165"/>
      <c r="D589" s="1165"/>
      <c r="E589" s="1166"/>
      <c r="F589" s="1166"/>
      <c r="G589" s="1166"/>
      <c r="H589" s="1166"/>
      <c r="I589" s="1166"/>
      <c r="J589" s="1166"/>
      <c r="K589" s="1166"/>
      <c r="L589" s="490" t="str" cm="1">
        <f t="array" ref="L589">IF(A589&lt;&gt;"",IFERROR(INDEX(PMtbl[[WKst]:[Unit of measure*]],MATCH($A$544&amp;$A589&amp;$E589&amp;$I589,INDEX(PMtbl[Sec]&amp;PMtbl[Category]&amp;PMtbl[Each]&amp;PMtbl[Packaging],0,),0),14),""),"")</f>
        <v/>
      </c>
      <c r="M589" s="479" t="str">
        <f>IF(L589="","",INDEX(SETUP!$E$20:$E$122,(MATCH(INDEX(PMsheet!$D:$E,MATCH(A589,PMsheet!E:E,0),1),SETUP!$D$20:$D$122,0))))</f>
        <v/>
      </c>
      <c r="N589" s="491">
        <f>IF($O589="USD",_xlfn.IFNA(VLOOKUP(A589&amp;E589&amp;I589,PMsheet!J:K,2,0),0),(_xlfn.IFNA(VLOOKUP(A589&amp;E589&amp;I589,PMsheet!J:K,2,0),0)*'Master Data-C19RM'!$C$2))</f>
        <v>0</v>
      </c>
      <c r="O589" s="492" t="str">
        <f>IF(L589="", "",SETUP!$E$7)</f>
        <v/>
      </c>
      <c r="P589" s="444">
        <f>IF($O589="USD",_xlfn.IFNA(VLOOKUP($A589&amp;$E589&amp;$I589,PMsheet!$J:$K,2,0),0),(_xlfn.IFNA(VLOOKUP($A589&amp;$E589&amp;$I589,PMsheet!$J:$K,2,0),0)*'Master Data-C19RM'!$C$2))</f>
        <v>0</v>
      </c>
      <c r="Q589" s="441"/>
      <c r="R589" s="441"/>
      <c r="S589" s="441"/>
      <c r="T589" s="441"/>
      <c r="U589" s="481">
        <f t="shared" si="74"/>
        <v>0</v>
      </c>
      <c r="V589" s="483">
        <f>IF(SETUP!$E$7="USD",(U589*(IF(O589="USD",P589,(P589/'Master Data-C19RM'!$C$2)))),(U589*(IF(O589="EUR",P589,(P589*'Master Data-C19RM'!$C$2)))))</f>
        <v>0</v>
      </c>
      <c r="W589" s="444">
        <f>IF($O589="USD",_xlfn.IFNA(VLOOKUP($A589&amp;$E589&amp;$I589,PMsheet!$J:$K,2,0),0),(_xlfn.IFNA(VLOOKUP($A589&amp;$E589&amp;$I589,PMsheet!$J:$K,2,0),0)*'Master Data-C19RM'!$D$2))</f>
        <v>0</v>
      </c>
      <c r="X589" s="441"/>
      <c r="Y589" s="441"/>
      <c r="Z589" s="441"/>
      <c r="AA589" s="441"/>
      <c r="AB589" s="481">
        <f t="shared" si="75"/>
        <v>0</v>
      </c>
      <c r="AC589" s="483">
        <f>IF(SETUP!$E$7="USD",(AB589*(IF(O589="USD",W589,(W589/'Master Data-C19RM'!$D$2)))),(AB589*(IF(O589="EUR",W589,(W589*'Master Data-C19RM'!$D$2)))))</f>
        <v>0</v>
      </c>
      <c r="AD589" s="444">
        <f>IF($O589="USD",_xlfn.IFNA(VLOOKUP($A589&amp;$E589&amp;$I589,PMsheet!$J:$K,2,0),0),(_xlfn.IFNA(VLOOKUP($A589&amp;$E589&amp;$I589,PMsheet!$J:$K,2,0),0)*'Master Data-C19RM'!$E$2))</f>
        <v>0</v>
      </c>
      <c r="AE589" s="441"/>
      <c r="AF589" s="441"/>
      <c r="AG589" s="441"/>
      <c r="AH589" s="441"/>
      <c r="AI589" s="512">
        <f t="shared" si="76"/>
        <v>0</v>
      </c>
      <c r="AJ589" s="513">
        <f>IF(SETUP!$E$7="USD",(AI589*(IF(O589="USD",AD589,(AD589/'Master Data-C19RM'!$E$2)))),(AI589*(IF(O589="EUR",AD589,(AD589*'Master Data-C19RM'!$E$2)))))</f>
        <v>0</v>
      </c>
      <c r="AK589" s="444">
        <f>IF($O589="USD",_xlfn.IFNA(VLOOKUP($A589&amp;$E589&amp;$I589,PMsheet!$J:$K,2,0),0),(_xlfn.IFNA(VLOOKUP($A589&amp;$E589&amp;$I589,PMsheet!$J:$K,2,0),0)*'Master Data-C19RM'!$F$2))</f>
        <v>0</v>
      </c>
      <c r="AL589" s="441"/>
      <c r="AM589" s="441"/>
      <c r="AN589" s="441"/>
      <c r="AO589" s="441"/>
      <c r="AP589" s="512">
        <f t="shared" si="77"/>
        <v>0</v>
      </c>
      <c r="AQ589" s="513">
        <f>IF(SETUP!$E$7="USD",(AP589*(IF(O589="USD",AK589,(AK589/'Master Data-C19RM'!$F$2)))),(AP589*(IF(O589="EUR",AK589,(AK589*'Master Data-C19RM'!$F$2)))))</f>
        <v>0</v>
      </c>
      <c r="AR589" s="924">
        <f>IF($O589="USD",_xlfn.IFNA(VLOOKUP($A589&amp;$E589&amp;$I589,PMsheet!$J:$K,2,0),0),(_xlfn.IFNA(VLOOKUP($A589&amp;$E589&amp;$I589,PMsheet!$J:$K,2,0),0)*'Master Data-C19RM'!$G$2))</f>
        <v>0</v>
      </c>
      <c r="AS589" s="572"/>
      <c r="AT589" s="572"/>
      <c r="AU589" s="572"/>
      <c r="AV589" s="572"/>
      <c r="AW589" s="512">
        <f t="shared" si="78"/>
        <v>0</v>
      </c>
      <c r="AX589" s="512">
        <f>IF(SETUP!$E$7="USD",(AW589*(IF(O589="USD",AR589,(AR589/'Master Data-C19RM'!$G$2)))),(AW589*(IF(O589="EUR",AR589,(AR589*'Master Data-C19RM'!$G$2)))))</f>
        <v>0</v>
      </c>
      <c r="AY589" s="845"/>
      <c r="AZ589" s="846"/>
      <c r="BA589" s="846"/>
      <c r="BB589" s="846"/>
      <c r="BC589" s="846"/>
      <c r="BD589" s="846"/>
      <c r="BE589" s="847"/>
      <c r="BF589" s="520">
        <f>'C19RM 2021-Lab &amp; Other HPS'!$U589+'C19RM 2021-Lab &amp; Other HPS'!$AB589+'C19RM 2021-Lab &amp; Other HPS'!$AP589+'C19RM 2021-Lab &amp; Other HPS'!$AI589+AW589+BD589</f>
        <v>0</v>
      </c>
      <c r="BG589" s="513">
        <f>'C19RM 2021-Lab &amp; Other HPS'!$V589+'C19RM 2021-Lab &amp; Other HPS'!$AC589+'C19RM 2021-Lab &amp; Other HPS'!$AQ589+'C19RM 2021-Lab &amp; Other HPS'!$AJ589+AX589+BE589</f>
        <v>0</v>
      </c>
      <c r="BH589" s="500" t="str" cm="1">
        <f t="array" ref="BH589">IF(A589&lt;&gt;"",IFERROR(INDEX(PMtbl[[WKst]:[Unit of measure*]],MATCH($A$544&amp;$A589&amp;$E589&amp;$I589,INDEX(PMtbl[Sec]&amp;PMtbl[Category]&amp;PMtbl[Each]&amp;PMtbl[Packaging],0,),0),11),""),"")</f>
        <v/>
      </c>
      <c r="BI589" s="819"/>
      <c r="BJ589" s="502" t="str" cm="1">
        <f t="array" ref="BJ589">IFERROR(INDEX(SETUP!$C$19:$G$121,MATCH((INDEX(PMtbl[[WKst]:[Unit of measure*]],MATCH($A589&amp;$E589&amp;$I589,INDEX(PMtbl[Category]&amp;PMtbl[Each]&amp;PMtbl[Packaging],0,),0),3)),SETUP!$D$19:$D$121,0),5),"")</f>
        <v/>
      </c>
      <c r="BK589" s="542" t="str" cm="1">
        <f t="array" ref="BK589">IFERROR(IF((INDEX(SETUP!$C$19:$G$121,MATCH((INDEX(PMtbl[[WKst]:[Unit of measure*]],MATCH($A589&amp;$E589&amp;$I589,INDEX(PMtbl[Category]&amp;PMtbl[Each]&amp;PMtbl[Packaging],0,),0),3)),SETUP!$D$19:$D$121,0),4))="Upfront",0,INDEX(SETUP!$C$19:$G$121,MATCH((INDEX(PMtbl[[WKst]:[Unit of measure*]],MATCH($A589&amp;$E589&amp;$I589,INDEX(PMtbl[Category]&amp;PMtbl[Each]&amp;PMtbl[Packaging],0,),0),3)),SETUP!$D$19:$D$121,0),5)),"")</f>
        <v/>
      </c>
      <c r="BL589" s="200" t="str" cm="1">
        <f t="array" ref="BL589">IF(E589&lt;&gt;"",IFERROR(INDEX(PMtbl[[WKst]:[Unit of measure*]],MATCH($A$544&amp;$A589&amp;$E589&amp;$I589,INDEX(PMtbl[Sec]&amp;PMtbl[Category]&amp;PMtbl[Each]&amp;PMtbl[Packaging],0,),0),11),""),"")</f>
        <v/>
      </c>
      <c r="BO589" s="12">
        <f>IF(N589="",0,IF(SETUP!$E$7="USD",((IF(O589="USD",P589,(P589/'Master Data-C19RM'!$C$2)))),((IF(O589="EUR",P589,(P589*'Master Data-C19RM'!$C$2))))))</f>
        <v>0</v>
      </c>
      <c r="BP589" s="12">
        <f>IF(N589="",0,IF(SETUP!$E$7="USD",((IF(O589="USD",W589,(W589/'Master Data-C19RM'!$D$2)))),((IF(O589="EUR",W589,(W589*'Master Data-C19RM'!$D$2))))))</f>
        <v>0</v>
      </c>
      <c r="BQ589">
        <f>IF(N589="",0,IF(SETUP!$E$7="USD",((IF(O589="USD",AD589,(AD589/'Master Data-C19RM'!$E$2)))),((IF(O589="EUR",AD589,(AD589*'Master Data-C19RM'!$E$2))))))</f>
        <v>0</v>
      </c>
      <c r="BR589">
        <f>IF(N589="",0,IF(SETUP!$E$7="USD",((IF(O589="USD",AK589,(AK589/'Master Data-C19RM'!$F$2)))),((IF(O589="EUR",AK589,(AK589*'Master Data-C19RM'!$F$2))))))</f>
        <v>0</v>
      </c>
      <c r="BS589">
        <f>IF(N589="",0,IF(SETUP!$E$7="USD",((IF(O589="USD",AR589,(AR589/'Master Data-C19RM'!$G$2)))),((IF(O589="EUR",AR589,(AR589*'Master Data-C19RM'!$G$2))))))</f>
        <v>0</v>
      </c>
      <c r="BT589">
        <f>IF(N589="",0,IF(SETUP!$E$7="USD",((IF(O589="USD",AY589,(AY589/'Master Data-C19RM'!$H$2)))),((IF(O589="EUR",AY589,(AY589*'Master Data-C19RM'!$H$2))))))</f>
        <v>0</v>
      </c>
      <c r="BU589" s="12">
        <f t="shared" si="72"/>
        <v>0</v>
      </c>
      <c r="BV589" s="142">
        <f t="shared" si="73"/>
        <v>0</v>
      </c>
    </row>
    <row r="590" spans="1:74" x14ac:dyDescent="0.35">
      <c r="A590" s="1172"/>
      <c r="B590" s="1172"/>
      <c r="C590" s="1172"/>
      <c r="D590" s="1172"/>
      <c r="E590" s="1173"/>
      <c r="F590" s="1173"/>
      <c r="G590" s="1173"/>
      <c r="H590" s="1173"/>
      <c r="I590" s="1173"/>
      <c r="J590" s="1173"/>
      <c r="K590" s="1173"/>
      <c r="L590" s="493" t="str" cm="1">
        <f t="array" ref="L590">IF(A590&lt;&gt;"",IFERROR(INDEX(PMtbl[[WKst]:[Unit of measure*]],MATCH($A$544&amp;$A590&amp;$E590&amp;$I590,INDEX(PMtbl[Sec]&amp;PMtbl[Category]&amp;PMtbl[Each]&amp;PMtbl[Packaging],0,),0),14),""),"")</f>
        <v/>
      </c>
      <c r="M590" s="480" t="str">
        <f>IF(L590="","",INDEX(SETUP!$E$20:$E$122,(MATCH(INDEX(PMsheet!$D:$E,MATCH(A590,PMsheet!E:E,0),1),SETUP!$D$20:$D$122,0))))</f>
        <v/>
      </c>
      <c r="N590" s="494">
        <f>IF($O590="USD",_xlfn.IFNA(VLOOKUP(A590&amp;E590&amp;I590,PMsheet!J:K,2,0),0),(_xlfn.IFNA(VLOOKUP(A590&amp;E590&amp;I590,PMsheet!J:K,2,0),0)*'Master Data-C19RM'!$C$2))</f>
        <v>0</v>
      </c>
      <c r="O590" s="495" t="str">
        <f>IF(L590="", "",SETUP!$E$7)</f>
        <v/>
      </c>
      <c r="P590" s="445">
        <f>IF($O590="USD",_xlfn.IFNA(VLOOKUP($A590&amp;$E590&amp;$I590,PMsheet!$J:$K,2,0),0),(_xlfn.IFNA(VLOOKUP($A590&amp;$E590&amp;$I590,PMsheet!$J:$K,2,0),0)*'Master Data-C19RM'!$C$2))</f>
        <v>0</v>
      </c>
      <c r="Q590" s="440"/>
      <c r="R590" s="440"/>
      <c r="S590" s="440"/>
      <c r="T590" s="440"/>
      <c r="U590" s="482">
        <f t="shared" si="74"/>
        <v>0</v>
      </c>
      <c r="V590" s="484">
        <f>IF(SETUP!$E$7="USD",(U590*(IF(O590="USD",P590,(P590/'Master Data-C19RM'!$C$2)))),(U590*(IF(O590="EUR",P590,(P590*'Master Data-C19RM'!$C$2)))))</f>
        <v>0</v>
      </c>
      <c r="W590" s="445">
        <f>IF($O590="USD",_xlfn.IFNA(VLOOKUP($A590&amp;$E590&amp;$I590,PMsheet!$J:$K,2,0),0),(_xlfn.IFNA(VLOOKUP($A590&amp;$E590&amp;$I590,PMsheet!$J:$K,2,0),0)*'Master Data-C19RM'!$D$2))</f>
        <v>0</v>
      </c>
      <c r="X590" s="440"/>
      <c r="Y590" s="440"/>
      <c r="Z590" s="440"/>
      <c r="AA590" s="440"/>
      <c r="AB590" s="482">
        <f t="shared" si="75"/>
        <v>0</v>
      </c>
      <c r="AC590" s="484">
        <f>IF(SETUP!$E$7="USD",(AB590*(IF(O590="USD",W590,(W590/'Master Data-C19RM'!$D$2)))),(AB590*(IF(O590="EUR",W590,(W590*'Master Data-C19RM'!$D$2)))))</f>
        <v>0</v>
      </c>
      <c r="AD590" s="445">
        <f>IF($O590="USD",_xlfn.IFNA(VLOOKUP($A590&amp;$E590&amp;$I590,PMsheet!$J:$K,2,0),0),(_xlfn.IFNA(VLOOKUP($A590&amp;$E590&amp;$I590,PMsheet!$J:$K,2,0),0)*'Master Data-C19RM'!$E$2))</f>
        <v>0</v>
      </c>
      <c r="AE590" s="440"/>
      <c r="AF590" s="440"/>
      <c r="AG590" s="440"/>
      <c r="AH590" s="440"/>
      <c r="AI590" s="514">
        <f t="shared" si="76"/>
        <v>0</v>
      </c>
      <c r="AJ590" s="515">
        <f>IF(SETUP!$E$7="USD",(AI590*(IF(O590="USD",AD590,(AD590/'Master Data-C19RM'!$E$2)))),(AI590*(IF(O590="EUR",AD590,(AD590*'Master Data-C19RM'!$E$2)))))</f>
        <v>0</v>
      </c>
      <c r="AK590" s="445">
        <f>IF($O590="USD",_xlfn.IFNA(VLOOKUP($A590&amp;$E590&amp;$I590,PMsheet!$J:$K,2,0),0),(_xlfn.IFNA(VLOOKUP($A590&amp;$E590&amp;$I590,PMsheet!$J:$K,2,0),0)*'Master Data-C19RM'!$F$2))</f>
        <v>0</v>
      </c>
      <c r="AL590" s="440"/>
      <c r="AM590" s="440"/>
      <c r="AN590" s="440"/>
      <c r="AO590" s="440"/>
      <c r="AP590" s="514">
        <f t="shared" si="77"/>
        <v>0</v>
      </c>
      <c r="AQ590" s="515">
        <f>IF(SETUP!$E$7="USD",(AP590*(IF(O590="USD",AK590,(AK590/'Master Data-C19RM'!$F$2)))),(AP590*(IF(O590="EUR",AK590,(AK590*'Master Data-C19RM'!$F$2)))))</f>
        <v>0</v>
      </c>
      <c r="AR590" s="925">
        <f>IF($O590="USD",_xlfn.IFNA(VLOOKUP($A590&amp;$E590&amp;$I590,PMsheet!$J:$K,2,0),0),(_xlfn.IFNA(VLOOKUP($A590&amp;$E590&amp;$I590,PMsheet!$J:$K,2,0),0)*'Master Data-C19RM'!$G$2))</f>
        <v>0</v>
      </c>
      <c r="AS590" s="926"/>
      <c r="AT590" s="926"/>
      <c r="AU590" s="926"/>
      <c r="AV590" s="926"/>
      <c r="AW590" s="514">
        <f t="shared" si="78"/>
        <v>0</v>
      </c>
      <c r="AX590" s="514">
        <f>IF(SETUP!$E$7="USD",(AW590*(IF(O590="USD",AR590,(AR590/'Master Data-C19RM'!$G$2)))),(AW590*(IF(O590="EUR",AR590,(AR590*'Master Data-C19RM'!$G$2)))))</f>
        <v>0</v>
      </c>
      <c r="AY590" s="845"/>
      <c r="AZ590" s="846"/>
      <c r="BA590" s="846"/>
      <c r="BB590" s="846"/>
      <c r="BC590" s="846"/>
      <c r="BD590" s="846"/>
      <c r="BE590" s="847"/>
      <c r="BF590" s="521">
        <f>'C19RM 2021-Lab &amp; Other HPS'!$U590+'C19RM 2021-Lab &amp; Other HPS'!$AB590+'C19RM 2021-Lab &amp; Other HPS'!$AP590+'C19RM 2021-Lab &amp; Other HPS'!$AI590+AW590+BD590</f>
        <v>0</v>
      </c>
      <c r="BG590" s="515">
        <f>'C19RM 2021-Lab &amp; Other HPS'!$V590+'C19RM 2021-Lab &amp; Other HPS'!$AC590+'C19RM 2021-Lab &amp; Other HPS'!$AQ590+'C19RM 2021-Lab &amp; Other HPS'!$AJ590+AX590+BE590</f>
        <v>0</v>
      </c>
      <c r="BH590" s="522" t="str" cm="1">
        <f t="array" ref="BH590">IF(A590&lt;&gt;"",IFERROR(INDEX(PMtbl[[WKst]:[Unit of measure*]],MATCH($A$544&amp;$A590&amp;$E590&amp;$I590,INDEX(PMtbl[Sec]&amp;PMtbl[Category]&amp;PMtbl[Each]&amp;PMtbl[Packaging],0,),0),11),""),"")</f>
        <v/>
      </c>
      <c r="BI590" s="818"/>
      <c r="BJ590" s="503" t="str" cm="1">
        <f t="array" ref="BJ590">IFERROR(INDEX(SETUP!$C$19:$G$121,MATCH((INDEX(PMtbl[[WKst]:[Unit of measure*]],MATCH($A590&amp;$E590&amp;$I590,INDEX(PMtbl[Category]&amp;PMtbl[Each]&amp;PMtbl[Packaging],0,),0),3)),SETUP!$D$19:$D$121,0),5),"")</f>
        <v/>
      </c>
      <c r="BK590" s="543" t="str" cm="1">
        <f t="array" ref="BK590">IFERROR(IF((INDEX(SETUP!$C$19:$G$121,MATCH((INDEX(PMtbl[[WKst]:[Unit of measure*]],MATCH($A590&amp;$E590&amp;$I590,INDEX(PMtbl[Category]&amp;PMtbl[Each]&amp;PMtbl[Packaging],0,),0),3)),SETUP!$D$19:$D$121,0),4))="Upfront",0,INDEX(SETUP!$C$19:$G$121,MATCH((INDEX(PMtbl[[WKst]:[Unit of measure*]],MATCH($A590&amp;$E590&amp;$I590,INDEX(PMtbl[Category]&amp;PMtbl[Each]&amp;PMtbl[Packaging],0,),0),3)),SETUP!$D$19:$D$121,0),5)),"")</f>
        <v/>
      </c>
      <c r="BL590" s="201" t="str" cm="1">
        <f t="array" ref="BL590">IF(E590&lt;&gt;"",IFERROR(INDEX(PMtbl[[WKst]:[Unit of measure*]],MATCH($A$544&amp;$A590&amp;$E590&amp;$I590,INDEX(PMtbl[Sec]&amp;PMtbl[Category]&amp;PMtbl[Each]&amp;PMtbl[Packaging],0,),0),11),""),"")</f>
        <v/>
      </c>
      <c r="BO590" s="12">
        <f>IF(N590="",0,IF(SETUP!$E$7="USD",((IF(O590="USD",P590,(P590/'Master Data-C19RM'!$C$2)))),((IF(O590="EUR",P590,(P590*'Master Data-C19RM'!$C$2))))))</f>
        <v>0</v>
      </c>
      <c r="BP590" s="12">
        <f>IF(N590="",0,IF(SETUP!$E$7="USD",((IF(O590="USD",W590,(W590/'Master Data-C19RM'!$D$2)))),((IF(O590="EUR",W590,(W590*'Master Data-C19RM'!$D$2))))))</f>
        <v>0</v>
      </c>
      <c r="BQ590">
        <f>IF(N590="",0,IF(SETUP!$E$7="USD",((IF(O590="USD",AD590,(AD590/'Master Data-C19RM'!$E$2)))),((IF(O590="EUR",AD590,(AD590*'Master Data-C19RM'!$E$2))))))</f>
        <v>0</v>
      </c>
      <c r="BR590">
        <f>IF(N590="",0,IF(SETUP!$E$7="USD",((IF(O590="USD",AK590,(AK590/'Master Data-C19RM'!$F$2)))),((IF(O590="EUR",AK590,(AK590*'Master Data-C19RM'!$F$2))))))</f>
        <v>0</v>
      </c>
      <c r="BS590">
        <f>IF(N590="",0,IF(SETUP!$E$7="USD",((IF(O590="USD",AR590,(AR590/'Master Data-C19RM'!$G$2)))),((IF(O590="EUR",AR590,(AR590*'Master Data-C19RM'!$G$2))))))</f>
        <v>0</v>
      </c>
      <c r="BT590">
        <f>IF(N590="",0,IF(SETUP!$E$7="USD",((IF(O590="USD",AY590,(AY590/'Master Data-C19RM'!$H$2)))),((IF(O590="EUR",AY590,(AY590*'Master Data-C19RM'!$H$2))))))</f>
        <v>0</v>
      </c>
      <c r="BU590" s="12">
        <f t="shared" si="72"/>
        <v>0</v>
      </c>
      <c r="BV590" s="142">
        <f t="shared" si="73"/>
        <v>0</v>
      </c>
    </row>
    <row r="591" spans="1:74" x14ac:dyDescent="0.35">
      <c r="A591" s="1165"/>
      <c r="B591" s="1165"/>
      <c r="C591" s="1165"/>
      <c r="D591" s="1165"/>
      <c r="E591" s="1166"/>
      <c r="F591" s="1166"/>
      <c r="G591" s="1166"/>
      <c r="H591" s="1166"/>
      <c r="I591" s="1166"/>
      <c r="J591" s="1166"/>
      <c r="K591" s="1166"/>
      <c r="L591" s="490" t="str" cm="1">
        <f t="array" ref="L591">IF(A591&lt;&gt;"",IFERROR(INDEX(PMtbl[[WKst]:[Unit of measure*]],MATCH($A$544&amp;$A591&amp;$E591&amp;$I591,INDEX(PMtbl[Sec]&amp;PMtbl[Category]&amp;PMtbl[Each]&amp;PMtbl[Packaging],0,),0),14),""),"")</f>
        <v/>
      </c>
      <c r="M591" s="479" t="str">
        <f>IF(L591="","",INDEX(SETUP!$E$20:$E$122,(MATCH(INDEX(PMsheet!$D:$E,MATCH(A591,PMsheet!E:E,0),1),SETUP!$D$20:$D$122,0))))</f>
        <v/>
      </c>
      <c r="N591" s="491">
        <f>IF($O591="USD",_xlfn.IFNA(VLOOKUP(A591&amp;E591&amp;I591,PMsheet!J:K,2,0),0),(_xlfn.IFNA(VLOOKUP(A591&amp;E591&amp;I591,PMsheet!J:K,2,0),0)*'Master Data-C19RM'!$C$2))</f>
        <v>0</v>
      </c>
      <c r="O591" s="492" t="str">
        <f>IF(L591="", "",SETUP!$E$7)</f>
        <v/>
      </c>
      <c r="P591" s="444">
        <f>IF($O591="USD",_xlfn.IFNA(VLOOKUP($A591&amp;$E591&amp;$I591,PMsheet!$J:$K,2,0),0),(_xlfn.IFNA(VLOOKUP($A591&amp;$E591&amp;$I591,PMsheet!$J:$K,2,0),0)*'Master Data-C19RM'!$C$2))</f>
        <v>0</v>
      </c>
      <c r="Q591" s="441"/>
      <c r="R591" s="441"/>
      <c r="S591" s="441"/>
      <c r="T591" s="441"/>
      <c r="U591" s="481">
        <f t="shared" si="74"/>
        <v>0</v>
      </c>
      <c r="V591" s="483">
        <f>IF(SETUP!$E$7="USD",(U591*(IF(O591="USD",P591,(P591/'Master Data-C19RM'!$C$2)))),(U591*(IF(O591="EUR",P591,(P591*'Master Data-C19RM'!$C$2)))))</f>
        <v>0</v>
      </c>
      <c r="W591" s="444">
        <f>IF($O591="USD",_xlfn.IFNA(VLOOKUP($A591&amp;$E591&amp;$I591,PMsheet!$J:$K,2,0),0),(_xlfn.IFNA(VLOOKUP($A591&amp;$E591&amp;$I591,PMsheet!$J:$K,2,0),0)*'Master Data-C19RM'!$D$2))</f>
        <v>0</v>
      </c>
      <c r="X591" s="441"/>
      <c r="Y591" s="441"/>
      <c r="Z591" s="441"/>
      <c r="AA591" s="441"/>
      <c r="AB591" s="481">
        <f t="shared" si="75"/>
        <v>0</v>
      </c>
      <c r="AC591" s="483">
        <f>IF(SETUP!$E$7="USD",(AB591*(IF(O591="USD",W591,(W591/'Master Data-C19RM'!$D$2)))),(AB591*(IF(O591="EUR",W591,(W591*'Master Data-C19RM'!$D$2)))))</f>
        <v>0</v>
      </c>
      <c r="AD591" s="444">
        <f>IF($O591="USD",_xlfn.IFNA(VLOOKUP($A591&amp;$E591&amp;$I591,PMsheet!$J:$K,2,0),0),(_xlfn.IFNA(VLOOKUP($A591&amp;$E591&amp;$I591,PMsheet!$J:$K,2,0),0)*'Master Data-C19RM'!$E$2))</f>
        <v>0</v>
      </c>
      <c r="AE591" s="441"/>
      <c r="AF591" s="441"/>
      <c r="AG591" s="441"/>
      <c r="AH591" s="441"/>
      <c r="AI591" s="512">
        <f t="shared" si="76"/>
        <v>0</v>
      </c>
      <c r="AJ591" s="513">
        <f>IF(SETUP!$E$7="USD",(AI591*(IF(O591="USD",AD591,(AD591/'Master Data-C19RM'!$E$2)))),(AI591*(IF(O591="EUR",AD591,(AD591*'Master Data-C19RM'!$E$2)))))</f>
        <v>0</v>
      </c>
      <c r="AK591" s="444">
        <f>IF($O591="USD",_xlfn.IFNA(VLOOKUP($A591&amp;$E591&amp;$I591,PMsheet!$J:$K,2,0),0),(_xlfn.IFNA(VLOOKUP($A591&amp;$E591&amp;$I591,PMsheet!$J:$K,2,0),0)*'Master Data-C19RM'!$F$2))</f>
        <v>0</v>
      </c>
      <c r="AL591" s="441"/>
      <c r="AM591" s="441"/>
      <c r="AN591" s="441"/>
      <c r="AO591" s="441"/>
      <c r="AP591" s="512">
        <f t="shared" si="77"/>
        <v>0</v>
      </c>
      <c r="AQ591" s="513">
        <f>IF(SETUP!$E$7="USD",(AP591*(IF(O591="USD",AK591,(AK591/'Master Data-C19RM'!$F$2)))),(AP591*(IF(O591="EUR",AK591,(AK591*'Master Data-C19RM'!$F$2)))))</f>
        <v>0</v>
      </c>
      <c r="AR591" s="924">
        <f>IF($O591="USD",_xlfn.IFNA(VLOOKUP($A591&amp;$E591&amp;$I591,PMsheet!$J:$K,2,0),0),(_xlfn.IFNA(VLOOKUP($A591&amp;$E591&amp;$I591,PMsheet!$J:$K,2,0),0)*'Master Data-C19RM'!$G$2))</f>
        <v>0</v>
      </c>
      <c r="AS591" s="572"/>
      <c r="AT591" s="572"/>
      <c r="AU591" s="572"/>
      <c r="AV591" s="572"/>
      <c r="AW591" s="512">
        <f t="shared" si="78"/>
        <v>0</v>
      </c>
      <c r="AX591" s="512">
        <f>IF(SETUP!$E$7="USD",(AW591*(IF(O591="USD",AR591,(AR591/'Master Data-C19RM'!$G$2)))),(AW591*(IF(O591="EUR",AR591,(AR591*'Master Data-C19RM'!$G$2)))))</f>
        <v>0</v>
      </c>
      <c r="AY591" s="845"/>
      <c r="AZ591" s="846"/>
      <c r="BA591" s="846"/>
      <c r="BB591" s="846"/>
      <c r="BC591" s="846"/>
      <c r="BD591" s="846"/>
      <c r="BE591" s="847"/>
      <c r="BF591" s="520">
        <f>'C19RM 2021-Lab &amp; Other HPS'!$U591+'C19RM 2021-Lab &amp; Other HPS'!$AB591+'C19RM 2021-Lab &amp; Other HPS'!$AP591+'C19RM 2021-Lab &amp; Other HPS'!$AI591+AW591+BD591</f>
        <v>0</v>
      </c>
      <c r="BG591" s="513">
        <f>'C19RM 2021-Lab &amp; Other HPS'!$V591+'C19RM 2021-Lab &amp; Other HPS'!$AC591+'C19RM 2021-Lab &amp; Other HPS'!$AQ591+'C19RM 2021-Lab &amp; Other HPS'!$AJ591+AX591+BE591</f>
        <v>0</v>
      </c>
      <c r="BH591" s="500" t="str" cm="1">
        <f t="array" ref="BH591">IF(A591&lt;&gt;"",IFERROR(INDEX(PMtbl[[WKst]:[Unit of measure*]],MATCH($A$544&amp;$A591&amp;$E591&amp;$I591,INDEX(PMtbl[Sec]&amp;PMtbl[Category]&amp;PMtbl[Each]&amp;PMtbl[Packaging],0,),0),11),""),"")</f>
        <v/>
      </c>
      <c r="BI591" s="819"/>
      <c r="BJ591" s="502" t="str" cm="1">
        <f t="array" ref="BJ591">IFERROR(INDEX(SETUP!$C$19:$G$121,MATCH((INDEX(PMtbl[[WKst]:[Unit of measure*]],MATCH($A591&amp;$E591&amp;$I591,INDEX(PMtbl[Category]&amp;PMtbl[Each]&amp;PMtbl[Packaging],0,),0),3)),SETUP!$D$19:$D$121,0),5),"")</f>
        <v/>
      </c>
      <c r="BK591" s="542" t="str" cm="1">
        <f t="array" ref="BK591">IFERROR(IF((INDEX(SETUP!$C$19:$G$121,MATCH((INDEX(PMtbl[[WKst]:[Unit of measure*]],MATCH($A591&amp;$E591&amp;$I591,INDEX(PMtbl[Category]&amp;PMtbl[Each]&amp;PMtbl[Packaging],0,),0),3)),SETUP!$D$19:$D$121,0),4))="Upfront",0,INDEX(SETUP!$C$19:$G$121,MATCH((INDEX(PMtbl[[WKst]:[Unit of measure*]],MATCH($A591&amp;$E591&amp;$I591,INDEX(PMtbl[Category]&amp;PMtbl[Each]&amp;PMtbl[Packaging],0,),0),3)),SETUP!$D$19:$D$121,0),5)),"")</f>
        <v/>
      </c>
      <c r="BL591" s="200" t="str" cm="1">
        <f t="array" ref="BL591">IF(E591&lt;&gt;"",IFERROR(INDEX(PMtbl[[WKst]:[Unit of measure*]],MATCH($A$544&amp;$A591&amp;$E591&amp;$I591,INDEX(PMtbl[Sec]&amp;PMtbl[Category]&amp;PMtbl[Each]&amp;PMtbl[Packaging],0,),0),11),""),"")</f>
        <v/>
      </c>
      <c r="BO591" s="12">
        <f>IF(N591="",0,IF(SETUP!$E$7="USD",((IF(O591="USD",P591,(P591/'Master Data-C19RM'!$C$2)))),((IF(O591="EUR",P591,(P591*'Master Data-C19RM'!$C$2))))))</f>
        <v>0</v>
      </c>
      <c r="BP591" s="12">
        <f>IF(N591="",0,IF(SETUP!$E$7="USD",((IF(O591="USD",W591,(W591/'Master Data-C19RM'!$D$2)))),((IF(O591="EUR",W591,(W591*'Master Data-C19RM'!$D$2))))))</f>
        <v>0</v>
      </c>
      <c r="BQ591">
        <f>IF(N591="",0,IF(SETUP!$E$7="USD",((IF(O591="USD",AD591,(AD591/'Master Data-C19RM'!$E$2)))),((IF(O591="EUR",AD591,(AD591*'Master Data-C19RM'!$E$2))))))</f>
        <v>0</v>
      </c>
      <c r="BR591">
        <f>IF(N591="",0,IF(SETUP!$E$7="USD",((IF(O591="USD",AK591,(AK591/'Master Data-C19RM'!$F$2)))),((IF(O591="EUR",AK591,(AK591*'Master Data-C19RM'!$F$2))))))</f>
        <v>0</v>
      </c>
      <c r="BS591">
        <f>IF(N591="",0,IF(SETUP!$E$7="USD",((IF(O591="USD",AR591,(AR591/'Master Data-C19RM'!$G$2)))),((IF(O591="EUR",AR591,(AR591*'Master Data-C19RM'!$G$2))))))</f>
        <v>0</v>
      </c>
      <c r="BT591">
        <f>IF(N591="",0,IF(SETUP!$E$7="USD",((IF(O591="USD",AY591,(AY591/'Master Data-C19RM'!$H$2)))),((IF(O591="EUR",AY591,(AY591*'Master Data-C19RM'!$H$2))))))</f>
        <v>0</v>
      </c>
      <c r="BU591" s="12">
        <f t="shared" si="72"/>
        <v>0</v>
      </c>
      <c r="BV591" s="142">
        <f t="shared" si="73"/>
        <v>0</v>
      </c>
    </row>
    <row r="592" spans="1:74" x14ac:dyDescent="0.35">
      <c r="A592" s="1172"/>
      <c r="B592" s="1172"/>
      <c r="C592" s="1172"/>
      <c r="D592" s="1172"/>
      <c r="E592" s="1173"/>
      <c r="F592" s="1173"/>
      <c r="G592" s="1173"/>
      <c r="H592" s="1173"/>
      <c r="I592" s="1173"/>
      <c r="J592" s="1173"/>
      <c r="K592" s="1173"/>
      <c r="L592" s="493" t="str" cm="1">
        <f t="array" ref="L592">IF(A592&lt;&gt;"",IFERROR(INDEX(PMtbl[[WKst]:[Unit of measure*]],MATCH($A$544&amp;$A592&amp;$E592&amp;$I592,INDEX(PMtbl[Sec]&amp;PMtbl[Category]&amp;PMtbl[Each]&amp;PMtbl[Packaging],0,),0),14),""),"")</f>
        <v/>
      </c>
      <c r="M592" s="480" t="str">
        <f>IF(L592="","",INDEX(SETUP!$E$20:$E$122,(MATCH(INDEX(PMsheet!$D:$E,MATCH(A592,PMsheet!E:E,0),1),SETUP!$D$20:$D$122,0))))</f>
        <v/>
      </c>
      <c r="N592" s="494">
        <f>IF($O592="USD",_xlfn.IFNA(VLOOKUP(A592&amp;E592&amp;I592,PMsheet!J:K,2,0),0),(_xlfn.IFNA(VLOOKUP(A592&amp;E592&amp;I592,PMsheet!J:K,2,0),0)*'Master Data-C19RM'!$C$2))</f>
        <v>0</v>
      </c>
      <c r="O592" s="495" t="str">
        <f>IF(L592="", "",SETUP!$E$7)</f>
        <v/>
      </c>
      <c r="P592" s="445">
        <f>IF($O592="USD",_xlfn.IFNA(VLOOKUP($A592&amp;$E592&amp;$I592,PMsheet!$J:$K,2,0),0),(_xlfn.IFNA(VLOOKUP($A592&amp;$E592&amp;$I592,PMsheet!$J:$K,2,0),0)*'Master Data-C19RM'!$C$2))</f>
        <v>0</v>
      </c>
      <c r="Q592" s="440"/>
      <c r="R592" s="440"/>
      <c r="S592" s="440"/>
      <c r="T592" s="440"/>
      <c r="U592" s="482">
        <f t="shared" si="74"/>
        <v>0</v>
      </c>
      <c r="V592" s="484">
        <f>IF(SETUP!$E$7="USD",(U592*(IF(O592="USD",P592,(P592/'Master Data-C19RM'!$C$2)))),(U592*(IF(O592="EUR",P592,(P592*'Master Data-C19RM'!$C$2)))))</f>
        <v>0</v>
      </c>
      <c r="W592" s="445">
        <f>IF($O592="USD",_xlfn.IFNA(VLOOKUP($A592&amp;$E592&amp;$I592,PMsheet!$J:$K,2,0),0),(_xlfn.IFNA(VLOOKUP($A592&amp;$E592&amp;$I592,PMsheet!$J:$K,2,0),0)*'Master Data-C19RM'!$D$2))</f>
        <v>0</v>
      </c>
      <c r="X592" s="440"/>
      <c r="Y592" s="440"/>
      <c r="Z592" s="440"/>
      <c r="AA592" s="440"/>
      <c r="AB592" s="482">
        <f t="shared" si="75"/>
        <v>0</v>
      </c>
      <c r="AC592" s="484">
        <f>IF(SETUP!$E$7="USD",(AB592*(IF(O592="USD",W592,(W592/'Master Data-C19RM'!$D$2)))),(AB592*(IF(O592="EUR",W592,(W592*'Master Data-C19RM'!$D$2)))))</f>
        <v>0</v>
      </c>
      <c r="AD592" s="445">
        <f>IF($O592="USD",_xlfn.IFNA(VLOOKUP($A592&amp;$E592&amp;$I592,PMsheet!$J:$K,2,0),0),(_xlfn.IFNA(VLOOKUP($A592&amp;$E592&amp;$I592,PMsheet!$J:$K,2,0),0)*'Master Data-C19RM'!$E$2))</f>
        <v>0</v>
      </c>
      <c r="AE592" s="440"/>
      <c r="AF592" s="440"/>
      <c r="AG592" s="440"/>
      <c r="AH592" s="440"/>
      <c r="AI592" s="514">
        <f t="shared" si="76"/>
        <v>0</v>
      </c>
      <c r="AJ592" s="515">
        <f>IF(SETUP!$E$7="USD",(AI592*(IF(O592="USD",AD592,(AD592/'Master Data-C19RM'!$E$2)))),(AI592*(IF(O592="EUR",AD592,(AD592*'Master Data-C19RM'!$E$2)))))</f>
        <v>0</v>
      </c>
      <c r="AK592" s="445">
        <f>IF($O592="USD",_xlfn.IFNA(VLOOKUP($A592&amp;$E592&amp;$I592,PMsheet!$J:$K,2,0),0),(_xlfn.IFNA(VLOOKUP($A592&amp;$E592&amp;$I592,PMsheet!$J:$K,2,0),0)*'Master Data-C19RM'!$F$2))</f>
        <v>0</v>
      </c>
      <c r="AL592" s="440"/>
      <c r="AM592" s="440"/>
      <c r="AN592" s="440"/>
      <c r="AO592" s="440"/>
      <c r="AP592" s="514">
        <f t="shared" si="77"/>
        <v>0</v>
      </c>
      <c r="AQ592" s="515">
        <f>IF(SETUP!$E$7="USD",(AP592*(IF(O592="USD",AK592,(AK592/'Master Data-C19RM'!$F$2)))),(AP592*(IF(O592="EUR",AK592,(AK592*'Master Data-C19RM'!$F$2)))))</f>
        <v>0</v>
      </c>
      <c r="AR592" s="925">
        <f>IF($O592="USD",_xlfn.IFNA(VLOOKUP($A592&amp;$E592&amp;$I592,PMsheet!$J:$K,2,0),0),(_xlfn.IFNA(VLOOKUP($A592&amp;$E592&amp;$I592,PMsheet!$J:$K,2,0),0)*'Master Data-C19RM'!$G$2))</f>
        <v>0</v>
      </c>
      <c r="AS592" s="926"/>
      <c r="AT592" s="926"/>
      <c r="AU592" s="926"/>
      <c r="AV592" s="926"/>
      <c r="AW592" s="514">
        <f t="shared" si="78"/>
        <v>0</v>
      </c>
      <c r="AX592" s="514">
        <f>IF(SETUP!$E$7="USD",(AW592*(IF(O592="USD",AR592,(AR592/'Master Data-C19RM'!$G$2)))),(AW592*(IF(O592="EUR",AR592,(AR592*'Master Data-C19RM'!$G$2)))))</f>
        <v>0</v>
      </c>
      <c r="AY592" s="845"/>
      <c r="AZ592" s="846"/>
      <c r="BA592" s="846"/>
      <c r="BB592" s="846"/>
      <c r="BC592" s="846"/>
      <c r="BD592" s="846"/>
      <c r="BE592" s="847"/>
      <c r="BF592" s="521">
        <f>'C19RM 2021-Lab &amp; Other HPS'!$U592+'C19RM 2021-Lab &amp; Other HPS'!$AB592+'C19RM 2021-Lab &amp; Other HPS'!$AP592+'C19RM 2021-Lab &amp; Other HPS'!$AI592+AW592+BD592</f>
        <v>0</v>
      </c>
      <c r="BG592" s="515">
        <f>'C19RM 2021-Lab &amp; Other HPS'!$V592+'C19RM 2021-Lab &amp; Other HPS'!$AC592+'C19RM 2021-Lab &amp; Other HPS'!$AQ592+'C19RM 2021-Lab &amp; Other HPS'!$AJ592+AX592+BE592</f>
        <v>0</v>
      </c>
      <c r="BH592" s="522" t="str" cm="1">
        <f t="array" ref="BH592">IF(A592&lt;&gt;"",IFERROR(INDEX(PMtbl[[WKst]:[Unit of measure*]],MATCH($A$544&amp;$A592&amp;$E592&amp;$I592,INDEX(PMtbl[Sec]&amp;PMtbl[Category]&amp;PMtbl[Each]&amp;PMtbl[Packaging],0,),0),11),""),"")</f>
        <v/>
      </c>
      <c r="BI592" s="818"/>
      <c r="BJ592" s="503" t="str" cm="1">
        <f t="array" ref="BJ592">IFERROR(INDEX(SETUP!$C$19:$G$121,MATCH((INDEX(PMtbl[[WKst]:[Unit of measure*]],MATCH($A592&amp;$E592&amp;$I592,INDEX(PMtbl[Category]&amp;PMtbl[Each]&amp;PMtbl[Packaging],0,),0),3)),SETUP!$D$19:$D$121,0),5),"")</f>
        <v/>
      </c>
      <c r="BK592" s="543" t="str" cm="1">
        <f t="array" ref="BK592">IFERROR(IF((INDEX(SETUP!$C$19:$G$121,MATCH((INDEX(PMtbl[[WKst]:[Unit of measure*]],MATCH($A592&amp;$E592&amp;$I592,INDEX(PMtbl[Category]&amp;PMtbl[Each]&amp;PMtbl[Packaging],0,),0),3)),SETUP!$D$19:$D$121,0),4))="Upfront",0,INDEX(SETUP!$C$19:$G$121,MATCH((INDEX(PMtbl[[WKst]:[Unit of measure*]],MATCH($A592&amp;$E592&amp;$I592,INDEX(PMtbl[Category]&amp;PMtbl[Each]&amp;PMtbl[Packaging],0,),0),3)),SETUP!$D$19:$D$121,0),5)),"")</f>
        <v/>
      </c>
      <c r="BL592" s="201" t="str" cm="1">
        <f t="array" ref="BL592">IF(E592&lt;&gt;"",IFERROR(INDEX(PMtbl[[WKst]:[Unit of measure*]],MATCH($A$544&amp;$A592&amp;$E592&amp;$I592,INDEX(PMtbl[Sec]&amp;PMtbl[Category]&amp;PMtbl[Each]&amp;PMtbl[Packaging],0,),0),11),""),"")</f>
        <v/>
      </c>
      <c r="BO592" s="12">
        <f>IF(N592="",0,IF(SETUP!$E$7="USD",((IF(O592="USD",P592,(P592/'Master Data-C19RM'!$C$2)))),((IF(O592="EUR",P592,(P592*'Master Data-C19RM'!$C$2))))))</f>
        <v>0</v>
      </c>
      <c r="BP592" s="12">
        <f>IF(N592="",0,IF(SETUP!$E$7="USD",((IF(O592="USD",W592,(W592/'Master Data-C19RM'!$D$2)))),((IF(O592="EUR",W592,(W592*'Master Data-C19RM'!$D$2))))))</f>
        <v>0</v>
      </c>
      <c r="BQ592">
        <f>IF(N592="",0,IF(SETUP!$E$7="USD",((IF(O592="USD",AD592,(AD592/'Master Data-C19RM'!$E$2)))),((IF(O592="EUR",AD592,(AD592*'Master Data-C19RM'!$E$2))))))</f>
        <v>0</v>
      </c>
      <c r="BR592">
        <f>IF(N592="",0,IF(SETUP!$E$7="USD",((IF(O592="USD",AK592,(AK592/'Master Data-C19RM'!$F$2)))),((IF(O592="EUR",AK592,(AK592*'Master Data-C19RM'!$F$2))))))</f>
        <v>0</v>
      </c>
      <c r="BS592">
        <f>IF(N592="",0,IF(SETUP!$E$7="USD",((IF(O592="USD",AR592,(AR592/'Master Data-C19RM'!$G$2)))),((IF(O592="EUR",AR592,(AR592*'Master Data-C19RM'!$G$2))))))</f>
        <v>0</v>
      </c>
      <c r="BT592">
        <f>IF(N592="",0,IF(SETUP!$E$7="USD",((IF(O592="USD",AY592,(AY592/'Master Data-C19RM'!$H$2)))),((IF(O592="EUR",AY592,(AY592*'Master Data-C19RM'!$H$2))))))</f>
        <v>0</v>
      </c>
      <c r="BU592" s="12">
        <f t="shared" si="72"/>
        <v>0</v>
      </c>
      <c r="BV592" s="142">
        <f t="shared" si="73"/>
        <v>0</v>
      </c>
    </row>
    <row r="593" spans="1:74" x14ac:dyDescent="0.35">
      <c r="A593" s="1165"/>
      <c r="B593" s="1165"/>
      <c r="C593" s="1165"/>
      <c r="D593" s="1165"/>
      <c r="E593" s="1166"/>
      <c r="F593" s="1166"/>
      <c r="G593" s="1166"/>
      <c r="H593" s="1166"/>
      <c r="I593" s="1166"/>
      <c r="J593" s="1166"/>
      <c r="K593" s="1166"/>
      <c r="L593" s="490" t="str" cm="1">
        <f t="array" ref="L593">IF(A593&lt;&gt;"",IFERROR(INDEX(PMtbl[[WKst]:[Unit of measure*]],MATCH($A$544&amp;$A593&amp;$E593&amp;$I593,INDEX(PMtbl[Sec]&amp;PMtbl[Category]&amp;PMtbl[Each]&amp;PMtbl[Packaging],0,),0),14),""),"")</f>
        <v/>
      </c>
      <c r="M593" s="479" t="str">
        <f>IF(L593="","",INDEX(SETUP!$E$20:$E$122,(MATCH(INDEX(PMsheet!$D:$E,MATCH(A593,PMsheet!E:E,0),1),SETUP!$D$20:$D$122,0))))</f>
        <v/>
      </c>
      <c r="N593" s="491">
        <f>IF($O593="USD",_xlfn.IFNA(VLOOKUP(A593&amp;E593&amp;I593,PMsheet!J:K,2,0),0),(_xlfn.IFNA(VLOOKUP(A593&amp;E593&amp;I593,PMsheet!J:K,2,0),0)*'Master Data-C19RM'!$C$2))</f>
        <v>0</v>
      </c>
      <c r="O593" s="492" t="str">
        <f>IF(L593="", "",SETUP!$E$7)</f>
        <v/>
      </c>
      <c r="P593" s="444">
        <f>IF($O593="USD",_xlfn.IFNA(VLOOKUP($A593&amp;$E593&amp;$I593,PMsheet!$J:$K,2,0),0),(_xlfn.IFNA(VLOOKUP($A593&amp;$E593&amp;$I593,PMsheet!$J:$K,2,0),0)*'Master Data-C19RM'!$C$2))</f>
        <v>0</v>
      </c>
      <c r="Q593" s="441"/>
      <c r="R593" s="441"/>
      <c r="S593" s="441"/>
      <c r="T593" s="441"/>
      <c r="U593" s="481">
        <f t="shared" si="74"/>
        <v>0</v>
      </c>
      <c r="V593" s="483">
        <f>IF(SETUP!$E$7="USD",(U593*(IF(O593="USD",P593,(P593/'Master Data-C19RM'!$C$2)))),(U593*(IF(O593="EUR",P593,(P593*'Master Data-C19RM'!$C$2)))))</f>
        <v>0</v>
      </c>
      <c r="W593" s="444">
        <f>IF($O593="USD",_xlfn.IFNA(VLOOKUP($A593&amp;$E593&amp;$I593,PMsheet!$J:$K,2,0),0),(_xlfn.IFNA(VLOOKUP($A593&amp;$E593&amp;$I593,PMsheet!$J:$K,2,0),0)*'Master Data-C19RM'!$D$2))</f>
        <v>0</v>
      </c>
      <c r="X593" s="441"/>
      <c r="Y593" s="441"/>
      <c r="Z593" s="441"/>
      <c r="AA593" s="441"/>
      <c r="AB593" s="481">
        <f t="shared" si="75"/>
        <v>0</v>
      </c>
      <c r="AC593" s="483">
        <f>IF(SETUP!$E$7="USD",(AB593*(IF(O593="USD",W593,(W593/'Master Data-C19RM'!$D$2)))),(AB593*(IF(O593="EUR",W593,(W593*'Master Data-C19RM'!$D$2)))))</f>
        <v>0</v>
      </c>
      <c r="AD593" s="444">
        <f>IF($O593="USD",_xlfn.IFNA(VLOOKUP($A593&amp;$E593&amp;$I593,PMsheet!$J:$K,2,0),0),(_xlfn.IFNA(VLOOKUP($A593&amp;$E593&amp;$I593,PMsheet!$J:$K,2,0),0)*'Master Data-C19RM'!$E$2))</f>
        <v>0</v>
      </c>
      <c r="AE593" s="441"/>
      <c r="AF593" s="441"/>
      <c r="AG593" s="441"/>
      <c r="AH593" s="441"/>
      <c r="AI593" s="512">
        <f t="shared" si="76"/>
        <v>0</v>
      </c>
      <c r="AJ593" s="513">
        <f>IF(SETUP!$E$7="USD",(AI593*(IF(O593="USD",AD593,(AD593/'Master Data-C19RM'!$E$2)))),(AI593*(IF(O593="EUR",AD593,(AD593*'Master Data-C19RM'!$E$2)))))</f>
        <v>0</v>
      </c>
      <c r="AK593" s="444">
        <f>IF($O593="USD",_xlfn.IFNA(VLOOKUP($A593&amp;$E593&amp;$I593,PMsheet!$J:$K,2,0),0),(_xlfn.IFNA(VLOOKUP($A593&amp;$E593&amp;$I593,PMsheet!$J:$K,2,0),0)*'Master Data-C19RM'!$F$2))</f>
        <v>0</v>
      </c>
      <c r="AL593" s="441"/>
      <c r="AM593" s="441"/>
      <c r="AN593" s="441"/>
      <c r="AO593" s="441"/>
      <c r="AP593" s="512">
        <f t="shared" si="77"/>
        <v>0</v>
      </c>
      <c r="AQ593" s="513">
        <f>IF(SETUP!$E$7="USD",(AP593*(IF(O593="USD",AK593,(AK593/'Master Data-C19RM'!$F$2)))),(AP593*(IF(O593="EUR",AK593,(AK593*'Master Data-C19RM'!$F$2)))))</f>
        <v>0</v>
      </c>
      <c r="AR593" s="924">
        <f>IF($O593="USD",_xlfn.IFNA(VLOOKUP($A593&amp;$E593&amp;$I593,PMsheet!$J:$K,2,0),0),(_xlfn.IFNA(VLOOKUP($A593&amp;$E593&amp;$I593,PMsheet!$J:$K,2,0),0)*'Master Data-C19RM'!$G$2))</f>
        <v>0</v>
      </c>
      <c r="AS593" s="572"/>
      <c r="AT593" s="572"/>
      <c r="AU593" s="572"/>
      <c r="AV593" s="572"/>
      <c r="AW593" s="512">
        <f t="shared" si="78"/>
        <v>0</v>
      </c>
      <c r="AX593" s="512">
        <f>IF(SETUP!$E$7="USD",(AW593*(IF(O593="USD",AR593,(AR593/'Master Data-C19RM'!$G$2)))),(AW593*(IF(O593="EUR",AR593,(AR593*'Master Data-C19RM'!$G$2)))))</f>
        <v>0</v>
      </c>
      <c r="AY593" s="845"/>
      <c r="AZ593" s="846"/>
      <c r="BA593" s="846"/>
      <c r="BB593" s="846"/>
      <c r="BC593" s="846"/>
      <c r="BD593" s="846"/>
      <c r="BE593" s="847"/>
      <c r="BF593" s="520">
        <f>'C19RM 2021-Lab &amp; Other HPS'!$U593+'C19RM 2021-Lab &amp; Other HPS'!$AB593+'C19RM 2021-Lab &amp; Other HPS'!$AP593+'C19RM 2021-Lab &amp; Other HPS'!$AI593+AW593+BD593</f>
        <v>0</v>
      </c>
      <c r="BG593" s="513">
        <f>'C19RM 2021-Lab &amp; Other HPS'!$V593+'C19RM 2021-Lab &amp; Other HPS'!$AC593+'C19RM 2021-Lab &amp; Other HPS'!$AQ593+'C19RM 2021-Lab &amp; Other HPS'!$AJ593+AX593+BE593</f>
        <v>0</v>
      </c>
      <c r="BH593" s="500" t="str" cm="1">
        <f t="array" ref="BH593">IF(A593&lt;&gt;"",IFERROR(INDEX(PMtbl[[WKst]:[Unit of measure*]],MATCH($A$544&amp;$A593&amp;$E593&amp;$I593,INDEX(PMtbl[Sec]&amp;PMtbl[Category]&amp;PMtbl[Each]&amp;PMtbl[Packaging],0,),0),11),""),"")</f>
        <v/>
      </c>
      <c r="BI593" s="819"/>
      <c r="BJ593" s="502" t="str" cm="1">
        <f t="array" ref="BJ593">IFERROR(INDEX(SETUP!$C$19:$G$121,MATCH((INDEX(PMtbl[[WKst]:[Unit of measure*]],MATCH($A593&amp;$E593&amp;$I593,INDEX(PMtbl[Category]&amp;PMtbl[Each]&amp;PMtbl[Packaging],0,),0),3)),SETUP!$D$19:$D$121,0),5),"")</f>
        <v/>
      </c>
      <c r="BK593" s="542" t="str" cm="1">
        <f t="array" ref="BK593">IFERROR(IF((INDEX(SETUP!$C$19:$G$121,MATCH((INDEX(PMtbl[[WKst]:[Unit of measure*]],MATCH($A593&amp;$E593&amp;$I593,INDEX(PMtbl[Category]&amp;PMtbl[Each]&amp;PMtbl[Packaging],0,),0),3)),SETUP!$D$19:$D$121,0),4))="Upfront",0,INDEX(SETUP!$C$19:$G$121,MATCH((INDEX(PMtbl[[WKst]:[Unit of measure*]],MATCH($A593&amp;$E593&amp;$I593,INDEX(PMtbl[Category]&amp;PMtbl[Each]&amp;PMtbl[Packaging],0,),0),3)),SETUP!$D$19:$D$121,0),5)),"")</f>
        <v/>
      </c>
      <c r="BL593" s="200" t="str" cm="1">
        <f t="array" ref="BL593">IF(E593&lt;&gt;"",IFERROR(INDEX(PMtbl[[WKst]:[Unit of measure*]],MATCH($A$544&amp;$A593&amp;$E593&amp;$I593,INDEX(PMtbl[Sec]&amp;PMtbl[Category]&amp;PMtbl[Each]&amp;PMtbl[Packaging],0,),0),11),""),"")</f>
        <v/>
      </c>
      <c r="BO593" s="12">
        <f>IF(N593="",0,IF(SETUP!$E$7="USD",((IF(O593="USD",P593,(P593/'Master Data-C19RM'!$C$2)))),((IF(O593="EUR",P593,(P593*'Master Data-C19RM'!$C$2))))))</f>
        <v>0</v>
      </c>
      <c r="BP593" s="12">
        <f>IF(N593="",0,IF(SETUP!$E$7="USD",((IF(O593="USD",W593,(W593/'Master Data-C19RM'!$D$2)))),((IF(O593="EUR",W593,(W593*'Master Data-C19RM'!$D$2))))))</f>
        <v>0</v>
      </c>
      <c r="BQ593">
        <f>IF(N593="",0,IF(SETUP!$E$7="USD",((IF(O593="USD",AD593,(AD593/'Master Data-C19RM'!$E$2)))),((IF(O593="EUR",AD593,(AD593*'Master Data-C19RM'!$E$2))))))</f>
        <v>0</v>
      </c>
      <c r="BR593">
        <f>IF(N593="",0,IF(SETUP!$E$7="USD",((IF(O593="USD",AK593,(AK593/'Master Data-C19RM'!$F$2)))),((IF(O593="EUR",AK593,(AK593*'Master Data-C19RM'!$F$2))))))</f>
        <v>0</v>
      </c>
      <c r="BS593">
        <f>IF(N593="",0,IF(SETUP!$E$7="USD",((IF(O593="USD",AR593,(AR593/'Master Data-C19RM'!$G$2)))),((IF(O593="EUR",AR593,(AR593*'Master Data-C19RM'!$G$2))))))</f>
        <v>0</v>
      </c>
      <c r="BT593">
        <f>IF(N593="",0,IF(SETUP!$E$7="USD",((IF(O593="USD",AY593,(AY593/'Master Data-C19RM'!$H$2)))),((IF(O593="EUR",AY593,(AY593*'Master Data-C19RM'!$H$2))))))</f>
        <v>0</v>
      </c>
      <c r="BU593" s="12">
        <f t="shared" si="72"/>
        <v>0</v>
      </c>
      <c r="BV593" s="142">
        <f t="shared" si="73"/>
        <v>0</v>
      </c>
    </row>
    <row r="594" spans="1:74" x14ac:dyDescent="0.35">
      <c r="A594" s="1172"/>
      <c r="B594" s="1172"/>
      <c r="C594" s="1172"/>
      <c r="D594" s="1172"/>
      <c r="E594" s="1173"/>
      <c r="F594" s="1173"/>
      <c r="G594" s="1173"/>
      <c r="H594" s="1173"/>
      <c r="I594" s="1173"/>
      <c r="J594" s="1173"/>
      <c r="K594" s="1173"/>
      <c r="L594" s="493" t="str" cm="1">
        <f t="array" ref="L594">IF(A594&lt;&gt;"",IFERROR(INDEX(PMtbl[[WKst]:[Unit of measure*]],MATCH($A$544&amp;$A594&amp;$E594&amp;$I594,INDEX(PMtbl[Sec]&amp;PMtbl[Category]&amp;PMtbl[Each]&amp;PMtbl[Packaging],0,),0),14),""),"")</f>
        <v/>
      </c>
      <c r="M594" s="480" t="str">
        <f>IF(L594="","",INDEX(SETUP!$E$20:$E$122,(MATCH(INDEX(PMsheet!$D:$E,MATCH(A594,PMsheet!E:E,0),1),SETUP!$D$20:$D$122,0))))</f>
        <v/>
      </c>
      <c r="N594" s="494">
        <f>IF($O594="USD",_xlfn.IFNA(VLOOKUP(A594&amp;E594&amp;I594,PMsheet!J:K,2,0),0),(_xlfn.IFNA(VLOOKUP(A594&amp;E594&amp;I594,PMsheet!J:K,2,0),0)*'Master Data-C19RM'!$C$2))</f>
        <v>0</v>
      </c>
      <c r="O594" s="495" t="str">
        <f>IF(L594="", "",SETUP!$E$7)</f>
        <v/>
      </c>
      <c r="P594" s="445">
        <f>IF($O594="USD",_xlfn.IFNA(VLOOKUP($A594&amp;$E594&amp;$I594,PMsheet!$J:$K,2,0),0),(_xlfn.IFNA(VLOOKUP($A594&amp;$E594&amp;$I594,PMsheet!$J:$K,2,0),0)*'Master Data-C19RM'!$C$2))</f>
        <v>0</v>
      </c>
      <c r="Q594" s="440"/>
      <c r="R594" s="440"/>
      <c r="S594" s="440"/>
      <c r="T594" s="440"/>
      <c r="U594" s="482">
        <f t="shared" si="74"/>
        <v>0</v>
      </c>
      <c r="V594" s="484">
        <f>IF(SETUP!$E$7="USD",(U594*(IF(O594="USD",P594,(P594/'Master Data-C19RM'!$C$2)))),(U594*(IF(O594="EUR",P594,(P594*'Master Data-C19RM'!$C$2)))))</f>
        <v>0</v>
      </c>
      <c r="W594" s="445">
        <f>IF($O594="USD",_xlfn.IFNA(VLOOKUP($A594&amp;$E594&amp;$I594,PMsheet!$J:$K,2,0),0),(_xlfn.IFNA(VLOOKUP($A594&amp;$E594&amp;$I594,PMsheet!$J:$K,2,0),0)*'Master Data-C19RM'!$D$2))</f>
        <v>0</v>
      </c>
      <c r="X594" s="440"/>
      <c r="Y594" s="440"/>
      <c r="Z594" s="440"/>
      <c r="AA594" s="440"/>
      <c r="AB594" s="482">
        <f t="shared" si="75"/>
        <v>0</v>
      </c>
      <c r="AC594" s="484">
        <f>IF(SETUP!$E$7="USD",(AB594*(IF(O594="USD",W594,(W594/'Master Data-C19RM'!$D$2)))),(AB594*(IF(O594="EUR",W594,(W594*'Master Data-C19RM'!$D$2)))))</f>
        <v>0</v>
      </c>
      <c r="AD594" s="445">
        <f>IF($O594="USD",_xlfn.IFNA(VLOOKUP($A594&amp;$E594&amp;$I594,PMsheet!$J:$K,2,0),0),(_xlfn.IFNA(VLOOKUP($A594&amp;$E594&amp;$I594,PMsheet!$J:$K,2,0),0)*'Master Data-C19RM'!$E$2))</f>
        <v>0</v>
      </c>
      <c r="AE594" s="440"/>
      <c r="AF594" s="440"/>
      <c r="AG594" s="440"/>
      <c r="AH594" s="440"/>
      <c r="AI594" s="514">
        <f t="shared" si="76"/>
        <v>0</v>
      </c>
      <c r="AJ594" s="515">
        <f>IF(SETUP!$E$7="USD",(AI594*(IF(O594="USD",AD594,(AD594/'Master Data-C19RM'!$E$2)))),(AI594*(IF(O594="EUR",AD594,(AD594*'Master Data-C19RM'!$E$2)))))</f>
        <v>0</v>
      </c>
      <c r="AK594" s="445">
        <f>IF($O594="USD",_xlfn.IFNA(VLOOKUP($A594&amp;$E594&amp;$I594,PMsheet!$J:$K,2,0),0),(_xlfn.IFNA(VLOOKUP($A594&amp;$E594&amp;$I594,PMsheet!$J:$K,2,0),0)*'Master Data-C19RM'!$F$2))</f>
        <v>0</v>
      </c>
      <c r="AL594" s="440"/>
      <c r="AM594" s="440"/>
      <c r="AN594" s="440"/>
      <c r="AO594" s="440"/>
      <c r="AP594" s="514">
        <f t="shared" si="77"/>
        <v>0</v>
      </c>
      <c r="AQ594" s="515">
        <f>IF(SETUP!$E$7="USD",(AP594*(IF(O594="USD",AK594,(AK594/'Master Data-C19RM'!$F$2)))),(AP594*(IF(O594="EUR",AK594,(AK594*'Master Data-C19RM'!$F$2)))))</f>
        <v>0</v>
      </c>
      <c r="AR594" s="925">
        <f>IF($O594="USD",_xlfn.IFNA(VLOOKUP($A594&amp;$E594&amp;$I594,PMsheet!$J:$K,2,0),0),(_xlfn.IFNA(VLOOKUP($A594&amp;$E594&amp;$I594,PMsheet!$J:$K,2,0),0)*'Master Data-C19RM'!$G$2))</f>
        <v>0</v>
      </c>
      <c r="AS594" s="926"/>
      <c r="AT594" s="926"/>
      <c r="AU594" s="926"/>
      <c r="AV594" s="926"/>
      <c r="AW594" s="514">
        <f t="shared" si="78"/>
        <v>0</v>
      </c>
      <c r="AX594" s="514">
        <f>IF(SETUP!$E$7="USD",(AW594*(IF(O594="USD",AR594,(AR594/'Master Data-C19RM'!$G$2)))),(AW594*(IF(O594="EUR",AR594,(AR594*'Master Data-C19RM'!$G$2)))))</f>
        <v>0</v>
      </c>
      <c r="AY594" s="845"/>
      <c r="AZ594" s="846"/>
      <c r="BA594" s="846"/>
      <c r="BB594" s="846"/>
      <c r="BC594" s="846"/>
      <c r="BD594" s="846"/>
      <c r="BE594" s="847"/>
      <c r="BF594" s="521">
        <f>'C19RM 2021-Lab &amp; Other HPS'!$U594+'C19RM 2021-Lab &amp; Other HPS'!$AB594+'C19RM 2021-Lab &amp; Other HPS'!$AP594+'C19RM 2021-Lab &amp; Other HPS'!$AI594+AW594+BD594</f>
        <v>0</v>
      </c>
      <c r="BG594" s="515">
        <f>'C19RM 2021-Lab &amp; Other HPS'!$V594+'C19RM 2021-Lab &amp; Other HPS'!$AC594+'C19RM 2021-Lab &amp; Other HPS'!$AQ594+'C19RM 2021-Lab &amp; Other HPS'!$AJ594+AX594+BE594</f>
        <v>0</v>
      </c>
      <c r="BH594" s="522" t="str" cm="1">
        <f t="array" ref="BH594">IF(A594&lt;&gt;"",IFERROR(INDEX(PMtbl[[WKst]:[Unit of measure*]],MATCH($A$544&amp;$A594&amp;$E594&amp;$I594,INDEX(PMtbl[Sec]&amp;PMtbl[Category]&amp;PMtbl[Each]&amp;PMtbl[Packaging],0,),0),11),""),"")</f>
        <v/>
      </c>
      <c r="BI594" s="818"/>
      <c r="BJ594" s="503" t="str" cm="1">
        <f t="array" ref="BJ594">IFERROR(INDEX(SETUP!$C$19:$G$121,MATCH((INDEX(PMtbl[[WKst]:[Unit of measure*]],MATCH($A594&amp;$E594&amp;$I594,INDEX(PMtbl[Category]&amp;PMtbl[Each]&amp;PMtbl[Packaging],0,),0),3)),SETUP!$D$19:$D$121,0),5),"")</f>
        <v/>
      </c>
      <c r="BK594" s="543" t="str" cm="1">
        <f t="array" ref="BK594">IFERROR(IF((INDEX(SETUP!$C$19:$G$121,MATCH((INDEX(PMtbl[[WKst]:[Unit of measure*]],MATCH($A594&amp;$E594&amp;$I594,INDEX(PMtbl[Category]&amp;PMtbl[Each]&amp;PMtbl[Packaging],0,),0),3)),SETUP!$D$19:$D$121,0),4))="Upfront",0,INDEX(SETUP!$C$19:$G$121,MATCH((INDEX(PMtbl[[WKst]:[Unit of measure*]],MATCH($A594&amp;$E594&amp;$I594,INDEX(PMtbl[Category]&amp;PMtbl[Each]&amp;PMtbl[Packaging],0,),0),3)),SETUP!$D$19:$D$121,0),5)),"")</f>
        <v/>
      </c>
      <c r="BL594" s="201" t="str" cm="1">
        <f t="array" ref="BL594">IF(E594&lt;&gt;"",IFERROR(INDEX(PMtbl[[WKst]:[Unit of measure*]],MATCH($A$544&amp;$A594&amp;$E594&amp;$I594,INDEX(PMtbl[Sec]&amp;PMtbl[Category]&amp;PMtbl[Each]&amp;PMtbl[Packaging],0,),0),11),""),"")</f>
        <v/>
      </c>
      <c r="BO594" s="12">
        <f>IF(N594="",0,IF(SETUP!$E$7="USD",((IF(O594="USD",P594,(P594/'Master Data-C19RM'!$C$2)))),((IF(O594="EUR",P594,(P594*'Master Data-C19RM'!$C$2))))))</f>
        <v>0</v>
      </c>
      <c r="BP594" s="12">
        <f>IF(N594="",0,IF(SETUP!$E$7="USD",((IF(O594="USD",W594,(W594/'Master Data-C19RM'!$D$2)))),((IF(O594="EUR",W594,(W594*'Master Data-C19RM'!$D$2))))))</f>
        <v>0</v>
      </c>
      <c r="BQ594">
        <f>IF(N594="",0,IF(SETUP!$E$7="USD",((IF(O594="USD",AD594,(AD594/'Master Data-C19RM'!$E$2)))),((IF(O594="EUR",AD594,(AD594*'Master Data-C19RM'!$E$2))))))</f>
        <v>0</v>
      </c>
      <c r="BR594">
        <f>IF(N594="",0,IF(SETUP!$E$7="USD",((IF(O594="USD",AK594,(AK594/'Master Data-C19RM'!$F$2)))),((IF(O594="EUR",AK594,(AK594*'Master Data-C19RM'!$F$2))))))</f>
        <v>0</v>
      </c>
      <c r="BS594">
        <f>IF(N594="",0,IF(SETUP!$E$7="USD",((IF(O594="USD",AR594,(AR594/'Master Data-C19RM'!$G$2)))),((IF(O594="EUR",AR594,(AR594*'Master Data-C19RM'!$G$2))))))</f>
        <v>0</v>
      </c>
      <c r="BT594">
        <f>IF(N594="",0,IF(SETUP!$E$7="USD",((IF(O594="USD",AY594,(AY594/'Master Data-C19RM'!$H$2)))),((IF(O594="EUR",AY594,(AY594*'Master Data-C19RM'!$H$2))))))</f>
        <v>0</v>
      </c>
      <c r="BU594" s="12">
        <f t="shared" si="72"/>
        <v>0</v>
      </c>
      <c r="BV594" s="142">
        <f t="shared" si="73"/>
        <v>0</v>
      </c>
    </row>
    <row r="595" spans="1:74" x14ac:dyDescent="0.35">
      <c r="A595" s="1165"/>
      <c r="B595" s="1165"/>
      <c r="C595" s="1165"/>
      <c r="D595" s="1165"/>
      <c r="E595" s="1166"/>
      <c r="F595" s="1166"/>
      <c r="G595" s="1166"/>
      <c r="H595" s="1166"/>
      <c r="I595" s="1166"/>
      <c r="J595" s="1166"/>
      <c r="K595" s="1166"/>
      <c r="L595" s="490" t="str" cm="1">
        <f t="array" ref="L595">IF(A595&lt;&gt;"",IFERROR(INDEX(PMtbl[[WKst]:[Unit of measure*]],MATCH($A$544&amp;$A595&amp;$E595&amp;$I595,INDEX(PMtbl[Sec]&amp;PMtbl[Category]&amp;PMtbl[Each]&amp;PMtbl[Packaging],0,),0),14),""),"")</f>
        <v/>
      </c>
      <c r="M595" s="479" t="str">
        <f>IF(L595="","",INDEX(SETUP!$E$20:$E$122,(MATCH(INDEX(PMsheet!$D:$E,MATCH(A595,PMsheet!E:E,0),1),SETUP!$D$20:$D$122,0))))</f>
        <v/>
      </c>
      <c r="N595" s="491">
        <f>IF($O595="USD",_xlfn.IFNA(VLOOKUP(A595&amp;E595&amp;I595,PMsheet!J:K,2,0),0),(_xlfn.IFNA(VLOOKUP(A595&amp;E595&amp;I595,PMsheet!J:K,2,0),0)*'Master Data-C19RM'!$C$2))</f>
        <v>0</v>
      </c>
      <c r="O595" s="492" t="str">
        <f>IF(L595="", "",SETUP!$E$7)</f>
        <v/>
      </c>
      <c r="P595" s="444">
        <f>IF($O595="USD",_xlfn.IFNA(VLOOKUP($A595&amp;$E595&amp;$I595,PMsheet!$J:$K,2,0),0),(_xlfn.IFNA(VLOOKUP($A595&amp;$E595&amp;$I595,PMsheet!$J:$K,2,0),0)*'Master Data-C19RM'!$C$2))</f>
        <v>0</v>
      </c>
      <c r="Q595" s="441"/>
      <c r="R595" s="441"/>
      <c r="S595" s="441"/>
      <c r="T595" s="441"/>
      <c r="U595" s="481">
        <f t="shared" si="74"/>
        <v>0</v>
      </c>
      <c r="V595" s="483">
        <f>IF(SETUP!$E$7="USD",(U595*(IF(O595="USD",P595,(P595/'Master Data-C19RM'!$C$2)))),(U595*(IF(O595="EUR",P595,(P595*'Master Data-C19RM'!$C$2)))))</f>
        <v>0</v>
      </c>
      <c r="W595" s="444">
        <f>IF($O595="USD",_xlfn.IFNA(VLOOKUP($A595&amp;$E595&amp;$I595,PMsheet!$J:$K,2,0),0),(_xlfn.IFNA(VLOOKUP($A595&amp;$E595&amp;$I595,PMsheet!$J:$K,2,0),0)*'Master Data-C19RM'!$D$2))</f>
        <v>0</v>
      </c>
      <c r="X595" s="441"/>
      <c r="Y595" s="441"/>
      <c r="Z595" s="441"/>
      <c r="AA595" s="441"/>
      <c r="AB595" s="481">
        <f t="shared" si="75"/>
        <v>0</v>
      </c>
      <c r="AC595" s="483">
        <f>IF(SETUP!$E$7="USD",(AB595*(IF(O595="USD",W595,(W595/'Master Data-C19RM'!$D$2)))),(AB595*(IF(O595="EUR",W595,(W595*'Master Data-C19RM'!$D$2)))))</f>
        <v>0</v>
      </c>
      <c r="AD595" s="444">
        <f>IF($O595="USD",_xlfn.IFNA(VLOOKUP($A595&amp;$E595&amp;$I595,PMsheet!$J:$K,2,0),0),(_xlfn.IFNA(VLOOKUP($A595&amp;$E595&amp;$I595,PMsheet!$J:$K,2,0),0)*'Master Data-C19RM'!$E$2))</f>
        <v>0</v>
      </c>
      <c r="AE595" s="441"/>
      <c r="AF595" s="441"/>
      <c r="AG595" s="441"/>
      <c r="AH595" s="441"/>
      <c r="AI595" s="512">
        <f t="shared" si="76"/>
        <v>0</v>
      </c>
      <c r="AJ595" s="513">
        <f>IF(SETUP!$E$7="USD",(AI595*(IF(O595="USD",AD595,(AD595/'Master Data-C19RM'!$E$2)))),(AI595*(IF(O595="EUR",AD595,(AD595*'Master Data-C19RM'!$E$2)))))</f>
        <v>0</v>
      </c>
      <c r="AK595" s="444">
        <f>IF($O595="USD",_xlfn.IFNA(VLOOKUP($A595&amp;$E595&amp;$I595,PMsheet!$J:$K,2,0),0),(_xlfn.IFNA(VLOOKUP($A595&amp;$E595&amp;$I595,PMsheet!$J:$K,2,0),0)*'Master Data-C19RM'!$F$2))</f>
        <v>0</v>
      </c>
      <c r="AL595" s="441"/>
      <c r="AM595" s="441"/>
      <c r="AN595" s="441"/>
      <c r="AO595" s="441"/>
      <c r="AP595" s="512">
        <f t="shared" si="77"/>
        <v>0</v>
      </c>
      <c r="AQ595" s="513">
        <f>IF(SETUP!$E$7="USD",(AP595*(IF(O595="USD",AK595,(AK595/'Master Data-C19RM'!$F$2)))),(AP595*(IF(O595="EUR",AK595,(AK595*'Master Data-C19RM'!$F$2)))))</f>
        <v>0</v>
      </c>
      <c r="AR595" s="924">
        <f>IF($O595="USD",_xlfn.IFNA(VLOOKUP($A595&amp;$E595&amp;$I595,PMsheet!$J:$K,2,0),0),(_xlfn.IFNA(VLOOKUP($A595&amp;$E595&amp;$I595,PMsheet!$J:$K,2,0),0)*'Master Data-C19RM'!$G$2))</f>
        <v>0</v>
      </c>
      <c r="AS595" s="572"/>
      <c r="AT595" s="572"/>
      <c r="AU595" s="572"/>
      <c r="AV595" s="572"/>
      <c r="AW595" s="512">
        <f t="shared" si="78"/>
        <v>0</v>
      </c>
      <c r="AX595" s="512">
        <f>IF(SETUP!$E$7="USD",(AW595*(IF(O595="USD",AR595,(AR595/'Master Data-C19RM'!$G$2)))),(AW595*(IF(O595="EUR",AR595,(AR595*'Master Data-C19RM'!$G$2)))))</f>
        <v>0</v>
      </c>
      <c r="AY595" s="845"/>
      <c r="AZ595" s="846"/>
      <c r="BA595" s="846"/>
      <c r="BB595" s="846"/>
      <c r="BC595" s="846"/>
      <c r="BD595" s="846"/>
      <c r="BE595" s="847"/>
      <c r="BF595" s="520">
        <f>'C19RM 2021-Lab &amp; Other HPS'!$U595+'C19RM 2021-Lab &amp; Other HPS'!$AB595+'C19RM 2021-Lab &amp; Other HPS'!$AP595+'C19RM 2021-Lab &amp; Other HPS'!$AI595+AW595+BD595</f>
        <v>0</v>
      </c>
      <c r="BG595" s="513">
        <f>'C19RM 2021-Lab &amp; Other HPS'!$V595+'C19RM 2021-Lab &amp; Other HPS'!$AC595+'C19RM 2021-Lab &amp; Other HPS'!$AQ595+'C19RM 2021-Lab &amp; Other HPS'!$AJ595+AX595+BE595</f>
        <v>0</v>
      </c>
      <c r="BH595" s="500" t="str" cm="1">
        <f t="array" ref="BH595">IF(A595&lt;&gt;"",IFERROR(INDEX(PMtbl[[WKst]:[Unit of measure*]],MATCH($A$544&amp;$A595&amp;$E595&amp;$I595,INDEX(PMtbl[Sec]&amp;PMtbl[Category]&amp;PMtbl[Each]&amp;PMtbl[Packaging],0,),0),11),""),"")</f>
        <v/>
      </c>
      <c r="BI595" s="819"/>
      <c r="BJ595" s="502" t="str" cm="1">
        <f t="array" ref="BJ595">IFERROR(INDEX(SETUP!$C$19:$G$121,MATCH((INDEX(PMtbl[[WKst]:[Unit of measure*]],MATCH($A595&amp;$E595&amp;$I595,INDEX(PMtbl[Category]&amp;PMtbl[Each]&amp;PMtbl[Packaging],0,),0),3)),SETUP!$D$19:$D$121,0),5),"")</f>
        <v/>
      </c>
      <c r="BK595" s="542" t="str" cm="1">
        <f t="array" ref="BK595">IFERROR(IF((INDEX(SETUP!$C$19:$G$121,MATCH((INDEX(PMtbl[[WKst]:[Unit of measure*]],MATCH($A595&amp;$E595&amp;$I595,INDEX(PMtbl[Category]&amp;PMtbl[Each]&amp;PMtbl[Packaging],0,),0),3)),SETUP!$D$19:$D$121,0),4))="Upfront",0,INDEX(SETUP!$C$19:$G$121,MATCH((INDEX(PMtbl[[WKst]:[Unit of measure*]],MATCH($A595&amp;$E595&amp;$I595,INDEX(PMtbl[Category]&amp;PMtbl[Each]&amp;PMtbl[Packaging],0,),0),3)),SETUP!$D$19:$D$121,0),5)),"")</f>
        <v/>
      </c>
      <c r="BL595" s="200" t="str" cm="1">
        <f t="array" ref="BL595">IF(E595&lt;&gt;"",IFERROR(INDEX(PMtbl[[WKst]:[Unit of measure*]],MATCH($A$544&amp;$A595&amp;$E595&amp;$I595,INDEX(PMtbl[Sec]&amp;PMtbl[Category]&amp;PMtbl[Each]&amp;PMtbl[Packaging],0,),0),11),""),"")</f>
        <v/>
      </c>
      <c r="BO595" s="12">
        <f>IF(N595="",0,IF(SETUP!$E$7="USD",((IF(O595="USD",P595,(P595/'Master Data-C19RM'!$C$2)))),((IF(O595="EUR",P595,(P595*'Master Data-C19RM'!$C$2))))))</f>
        <v>0</v>
      </c>
      <c r="BP595" s="12">
        <f>IF(N595="",0,IF(SETUP!$E$7="USD",((IF(O595="USD",W595,(W595/'Master Data-C19RM'!$D$2)))),((IF(O595="EUR",W595,(W595*'Master Data-C19RM'!$D$2))))))</f>
        <v>0</v>
      </c>
      <c r="BQ595">
        <f>IF(N595="",0,IF(SETUP!$E$7="USD",((IF(O595="USD",AD595,(AD595/'Master Data-C19RM'!$E$2)))),((IF(O595="EUR",AD595,(AD595*'Master Data-C19RM'!$E$2))))))</f>
        <v>0</v>
      </c>
      <c r="BR595">
        <f>IF(N595="",0,IF(SETUP!$E$7="USD",((IF(O595="USD",AK595,(AK595/'Master Data-C19RM'!$F$2)))),((IF(O595="EUR",AK595,(AK595*'Master Data-C19RM'!$F$2))))))</f>
        <v>0</v>
      </c>
      <c r="BS595">
        <f>IF(N595="",0,IF(SETUP!$E$7="USD",((IF(O595="USD",AR595,(AR595/'Master Data-C19RM'!$G$2)))),((IF(O595="EUR",AR595,(AR595*'Master Data-C19RM'!$G$2))))))</f>
        <v>0</v>
      </c>
      <c r="BT595">
        <f>IF(N595="",0,IF(SETUP!$E$7="USD",((IF(O595="USD",AY595,(AY595/'Master Data-C19RM'!$H$2)))),((IF(O595="EUR",AY595,(AY595*'Master Data-C19RM'!$H$2))))))</f>
        <v>0</v>
      </c>
      <c r="BU595" s="12">
        <f t="shared" si="72"/>
        <v>0</v>
      </c>
      <c r="BV595" s="142">
        <f t="shared" si="73"/>
        <v>0</v>
      </c>
    </row>
    <row r="596" spans="1:74" x14ac:dyDescent="0.35">
      <c r="A596" s="1172"/>
      <c r="B596" s="1172"/>
      <c r="C596" s="1172"/>
      <c r="D596" s="1172"/>
      <c r="E596" s="1173"/>
      <c r="F596" s="1173"/>
      <c r="G596" s="1173"/>
      <c r="H596" s="1173"/>
      <c r="I596" s="1173"/>
      <c r="J596" s="1173"/>
      <c r="K596" s="1173"/>
      <c r="L596" s="493" t="str" cm="1">
        <f t="array" ref="L596">IF(A596&lt;&gt;"",IFERROR(INDEX(PMtbl[[WKst]:[Unit of measure*]],MATCH($A$544&amp;$A596&amp;$E596&amp;$I596,INDEX(PMtbl[Sec]&amp;PMtbl[Category]&amp;PMtbl[Each]&amp;PMtbl[Packaging],0,),0),14),""),"")</f>
        <v/>
      </c>
      <c r="M596" s="480" t="str">
        <f>IF(L596="","",INDEX(SETUP!$E$20:$E$122,(MATCH(INDEX(PMsheet!$D:$E,MATCH(A596,PMsheet!E:E,0),1),SETUP!$D$20:$D$122,0))))</f>
        <v/>
      </c>
      <c r="N596" s="494">
        <f>IF($O596="USD",_xlfn.IFNA(VLOOKUP(A596&amp;E596&amp;I596,PMsheet!J:K,2,0),0),(_xlfn.IFNA(VLOOKUP(A596&amp;E596&amp;I596,PMsheet!J:K,2,0),0)*'Master Data-C19RM'!$C$2))</f>
        <v>0</v>
      </c>
      <c r="O596" s="495" t="str">
        <f>IF(L596="", "",SETUP!$E$7)</f>
        <v/>
      </c>
      <c r="P596" s="445">
        <f>IF($O596="USD",_xlfn.IFNA(VLOOKUP($A596&amp;$E596&amp;$I596,PMsheet!$J:$K,2,0),0),(_xlfn.IFNA(VLOOKUP($A596&amp;$E596&amp;$I596,PMsheet!$J:$K,2,0),0)*'Master Data-C19RM'!$C$2))</f>
        <v>0</v>
      </c>
      <c r="Q596" s="440"/>
      <c r="R596" s="440"/>
      <c r="S596" s="440"/>
      <c r="T596" s="440"/>
      <c r="U596" s="482">
        <f t="shared" si="74"/>
        <v>0</v>
      </c>
      <c r="V596" s="484">
        <f>IF(SETUP!$E$7="USD",(U596*(IF(O596="USD",P596,(P596/'Master Data-C19RM'!$C$2)))),(U596*(IF(O596="EUR",P596,(P596*'Master Data-C19RM'!$C$2)))))</f>
        <v>0</v>
      </c>
      <c r="W596" s="445">
        <f>IF($O596="USD",_xlfn.IFNA(VLOOKUP($A596&amp;$E596&amp;$I596,PMsheet!$J:$K,2,0),0),(_xlfn.IFNA(VLOOKUP($A596&amp;$E596&amp;$I596,PMsheet!$J:$K,2,0),0)*'Master Data-C19RM'!$D$2))</f>
        <v>0</v>
      </c>
      <c r="X596" s="440"/>
      <c r="Y596" s="440"/>
      <c r="Z596" s="440"/>
      <c r="AA596" s="440"/>
      <c r="AB596" s="482">
        <f t="shared" si="75"/>
        <v>0</v>
      </c>
      <c r="AC596" s="484">
        <f>IF(SETUP!$E$7="USD",(AB596*(IF(O596="USD",W596,(W596/'Master Data-C19RM'!$D$2)))),(AB596*(IF(O596="EUR",W596,(W596*'Master Data-C19RM'!$D$2)))))</f>
        <v>0</v>
      </c>
      <c r="AD596" s="445">
        <f>IF($O596="USD",_xlfn.IFNA(VLOOKUP($A596&amp;$E596&amp;$I596,PMsheet!$J:$K,2,0),0),(_xlfn.IFNA(VLOOKUP($A596&amp;$E596&amp;$I596,PMsheet!$J:$K,2,0),0)*'Master Data-C19RM'!$E$2))</f>
        <v>0</v>
      </c>
      <c r="AE596" s="440"/>
      <c r="AF596" s="440"/>
      <c r="AG596" s="440"/>
      <c r="AH596" s="440"/>
      <c r="AI596" s="514">
        <f t="shared" si="76"/>
        <v>0</v>
      </c>
      <c r="AJ596" s="515">
        <f>IF(SETUP!$E$7="USD",(AI596*(IF(O596="USD",AD596,(AD596/'Master Data-C19RM'!$E$2)))),(AI596*(IF(O596="EUR",AD596,(AD596*'Master Data-C19RM'!$E$2)))))</f>
        <v>0</v>
      </c>
      <c r="AK596" s="445">
        <f>IF($O596="USD",_xlfn.IFNA(VLOOKUP($A596&amp;$E596&amp;$I596,PMsheet!$J:$K,2,0),0),(_xlfn.IFNA(VLOOKUP($A596&amp;$E596&amp;$I596,PMsheet!$J:$K,2,0),0)*'Master Data-C19RM'!$F$2))</f>
        <v>0</v>
      </c>
      <c r="AL596" s="440"/>
      <c r="AM596" s="440"/>
      <c r="AN596" s="440"/>
      <c r="AO596" s="440"/>
      <c r="AP596" s="514">
        <f t="shared" si="77"/>
        <v>0</v>
      </c>
      <c r="AQ596" s="515">
        <f>IF(SETUP!$E$7="USD",(AP596*(IF(O596="USD",AK596,(AK596/'Master Data-C19RM'!$F$2)))),(AP596*(IF(O596="EUR",AK596,(AK596*'Master Data-C19RM'!$F$2)))))</f>
        <v>0</v>
      </c>
      <c r="AR596" s="925">
        <f>IF($O596="USD",_xlfn.IFNA(VLOOKUP($A596&amp;$E596&amp;$I596,PMsheet!$J:$K,2,0),0),(_xlfn.IFNA(VLOOKUP($A596&amp;$E596&amp;$I596,PMsheet!$J:$K,2,0),0)*'Master Data-C19RM'!$G$2))</f>
        <v>0</v>
      </c>
      <c r="AS596" s="926"/>
      <c r="AT596" s="926"/>
      <c r="AU596" s="926"/>
      <c r="AV596" s="926"/>
      <c r="AW596" s="514">
        <f t="shared" si="78"/>
        <v>0</v>
      </c>
      <c r="AX596" s="514">
        <f>IF(SETUP!$E$7="USD",(AW596*(IF(O596="USD",AR596,(AR596/'Master Data-C19RM'!$G$2)))),(AW596*(IF(O596="EUR",AR596,(AR596*'Master Data-C19RM'!$G$2)))))</f>
        <v>0</v>
      </c>
      <c r="AY596" s="845"/>
      <c r="AZ596" s="846"/>
      <c r="BA596" s="846"/>
      <c r="BB596" s="846"/>
      <c r="BC596" s="846"/>
      <c r="BD596" s="846"/>
      <c r="BE596" s="847"/>
      <c r="BF596" s="521">
        <f>'C19RM 2021-Lab &amp; Other HPS'!$U596+'C19RM 2021-Lab &amp; Other HPS'!$AB596+'C19RM 2021-Lab &amp; Other HPS'!$AP596+'C19RM 2021-Lab &amp; Other HPS'!$AI596+AW596+BD596</f>
        <v>0</v>
      </c>
      <c r="BG596" s="515">
        <f>'C19RM 2021-Lab &amp; Other HPS'!$V596+'C19RM 2021-Lab &amp; Other HPS'!$AC596+'C19RM 2021-Lab &amp; Other HPS'!$AQ596+'C19RM 2021-Lab &amp; Other HPS'!$AJ596+AX596+BE596</f>
        <v>0</v>
      </c>
      <c r="BH596" s="522" t="str" cm="1">
        <f t="array" ref="BH596">IF(A596&lt;&gt;"",IFERROR(INDEX(PMtbl[[WKst]:[Unit of measure*]],MATCH($A$544&amp;$A596&amp;$E596&amp;$I596,INDEX(PMtbl[Sec]&amp;PMtbl[Category]&amp;PMtbl[Each]&amp;PMtbl[Packaging],0,),0),11),""),"")</f>
        <v/>
      </c>
      <c r="BI596" s="818"/>
      <c r="BJ596" s="503" t="str" cm="1">
        <f t="array" ref="BJ596">IFERROR(INDEX(SETUP!$C$19:$G$121,MATCH((INDEX(PMtbl[[WKst]:[Unit of measure*]],MATCH($A596&amp;$E596&amp;$I596,INDEX(PMtbl[Category]&amp;PMtbl[Each]&amp;PMtbl[Packaging],0,),0),3)),SETUP!$D$19:$D$121,0),5),"")</f>
        <v/>
      </c>
      <c r="BK596" s="543" t="str" cm="1">
        <f t="array" ref="BK596">IFERROR(IF((INDEX(SETUP!$C$19:$G$121,MATCH((INDEX(PMtbl[[WKst]:[Unit of measure*]],MATCH($A596&amp;$E596&amp;$I596,INDEX(PMtbl[Category]&amp;PMtbl[Each]&amp;PMtbl[Packaging],0,),0),3)),SETUP!$D$19:$D$121,0),4))="Upfront",0,INDEX(SETUP!$C$19:$G$121,MATCH((INDEX(PMtbl[[WKst]:[Unit of measure*]],MATCH($A596&amp;$E596&amp;$I596,INDEX(PMtbl[Category]&amp;PMtbl[Each]&amp;PMtbl[Packaging],0,),0),3)),SETUP!$D$19:$D$121,0),5)),"")</f>
        <v/>
      </c>
      <c r="BL596" s="201" t="str" cm="1">
        <f t="array" ref="BL596">IF(E596&lt;&gt;"",IFERROR(INDEX(PMtbl[[WKst]:[Unit of measure*]],MATCH($A$544&amp;$A596&amp;$E596&amp;$I596,INDEX(PMtbl[Sec]&amp;PMtbl[Category]&amp;PMtbl[Each]&amp;PMtbl[Packaging],0,),0),11),""),"")</f>
        <v/>
      </c>
      <c r="BO596" s="12">
        <f>IF(N596="",0,IF(SETUP!$E$7="USD",((IF(O596="USD",P596,(P596/'Master Data-C19RM'!$C$2)))),((IF(O596="EUR",P596,(P596*'Master Data-C19RM'!$C$2))))))</f>
        <v>0</v>
      </c>
      <c r="BP596" s="12">
        <f>IF(N596="",0,IF(SETUP!$E$7="USD",((IF(O596="USD",W596,(W596/'Master Data-C19RM'!$D$2)))),((IF(O596="EUR",W596,(W596*'Master Data-C19RM'!$D$2))))))</f>
        <v>0</v>
      </c>
      <c r="BQ596">
        <f>IF(N596="",0,IF(SETUP!$E$7="USD",((IF(O596="USD",AD596,(AD596/'Master Data-C19RM'!$E$2)))),((IF(O596="EUR",AD596,(AD596*'Master Data-C19RM'!$E$2))))))</f>
        <v>0</v>
      </c>
      <c r="BR596">
        <f>IF(N596="",0,IF(SETUP!$E$7="USD",((IF(O596="USD",AK596,(AK596/'Master Data-C19RM'!$F$2)))),((IF(O596="EUR",AK596,(AK596*'Master Data-C19RM'!$F$2))))))</f>
        <v>0</v>
      </c>
      <c r="BS596">
        <f>IF(N596="",0,IF(SETUP!$E$7="USD",((IF(O596="USD",AR596,(AR596/'Master Data-C19RM'!$G$2)))),((IF(O596="EUR",AR596,(AR596*'Master Data-C19RM'!$G$2))))))</f>
        <v>0</v>
      </c>
      <c r="BT596">
        <f>IF(N596="",0,IF(SETUP!$E$7="USD",((IF(O596="USD",AY596,(AY596/'Master Data-C19RM'!$H$2)))),((IF(O596="EUR",AY596,(AY596*'Master Data-C19RM'!$H$2))))))</f>
        <v>0</v>
      </c>
      <c r="BU596" s="12">
        <f t="shared" si="72"/>
        <v>0</v>
      </c>
      <c r="BV596" s="142">
        <f t="shared" si="73"/>
        <v>0</v>
      </c>
    </row>
    <row r="597" spans="1:74" x14ac:dyDescent="0.35">
      <c r="A597" s="1165"/>
      <c r="B597" s="1165"/>
      <c r="C597" s="1165"/>
      <c r="D597" s="1165"/>
      <c r="E597" s="1166"/>
      <c r="F597" s="1166"/>
      <c r="G597" s="1166"/>
      <c r="H597" s="1166"/>
      <c r="I597" s="1166"/>
      <c r="J597" s="1166"/>
      <c r="K597" s="1166"/>
      <c r="L597" s="490" t="str" cm="1">
        <f t="array" ref="L597">IF(A597&lt;&gt;"",IFERROR(INDEX(PMtbl[[WKst]:[Unit of measure*]],MATCH($A$544&amp;$A597&amp;$E597&amp;$I597,INDEX(PMtbl[Sec]&amp;PMtbl[Category]&amp;PMtbl[Each]&amp;PMtbl[Packaging],0,),0),14),""),"")</f>
        <v/>
      </c>
      <c r="M597" s="479" t="str">
        <f>IF(L597="","",INDEX(SETUP!$E$20:$E$122,(MATCH(INDEX(PMsheet!$D:$E,MATCH(A597,PMsheet!E:E,0),1),SETUP!$D$20:$D$122,0))))</f>
        <v/>
      </c>
      <c r="N597" s="491">
        <f>IF($O597="USD",_xlfn.IFNA(VLOOKUP(A597&amp;E597&amp;I597,PMsheet!J:K,2,0),0),(_xlfn.IFNA(VLOOKUP(A597&amp;E597&amp;I597,PMsheet!J:K,2,0),0)*'Master Data-C19RM'!$C$2))</f>
        <v>0</v>
      </c>
      <c r="O597" s="492" t="str">
        <f>IF(L597="", "",SETUP!$E$7)</f>
        <v/>
      </c>
      <c r="P597" s="444">
        <f>IF($O597="USD",_xlfn.IFNA(VLOOKUP($A597&amp;$E597&amp;$I597,PMsheet!$J:$K,2,0),0),(_xlfn.IFNA(VLOOKUP($A597&amp;$E597&amp;$I597,PMsheet!$J:$K,2,0),0)*'Master Data-C19RM'!$C$2))</f>
        <v>0</v>
      </c>
      <c r="Q597" s="441"/>
      <c r="R597" s="441"/>
      <c r="S597" s="441"/>
      <c r="T597" s="441"/>
      <c r="U597" s="481">
        <f t="shared" si="74"/>
        <v>0</v>
      </c>
      <c r="V597" s="483">
        <f>IF(SETUP!$E$7="USD",(U597*(IF(O597="USD",P597,(P597/'Master Data-C19RM'!$C$2)))),(U597*(IF(O597="EUR",P597,(P597*'Master Data-C19RM'!$C$2)))))</f>
        <v>0</v>
      </c>
      <c r="W597" s="444">
        <f>IF($O597="USD",_xlfn.IFNA(VLOOKUP($A597&amp;$E597&amp;$I597,PMsheet!$J:$K,2,0),0),(_xlfn.IFNA(VLOOKUP($A597&amp;$E597&amp;$I597,PMsheet!$J:$K,2,0),0)*'Master Data-C19RM'!$D$2))</f>
        <v>0</v>
      </c>
      <c r="X597" s="441"/>
      <c r="Y597" s="441"/>
      <c r="Z597" s="441"/>
      <c r="AA597" s="441"/>
      <c r="AB597" s="481">
        <f t="shared" si="75"/>
        <v>0</v>
      </c>
      <c r="AC597" s="483">
        <f>IF(SETUP!$E$7="USD",(AB597*(IF(O597="USD",W597,(W597/'Master Data-C19RM'!$D$2)))),(AB597*(IF(O597="EUR",W597,(W597*'Master Data-C19RM'!$D$2)))))</f>
        <v>0</v>
      </c>
      <c r="AD597" s="444">
        <f>IF($O597="USD",_xlfn.IFNA(VLOOKUP($A597&amp;$E597&amp;$I597,PMsheet!$J:$K,2,0),0),(_xlfn.IFNA(VLOOKUP($A597&amp;$E597&amp;$I597,PMsheet!$J:$K,2,0),0)*'Master Data-C19RM'!$E$2))</f>
        <v>0</v>
      </c>
      <c r="AE597" s="441"/>
      <c r="AF597" s="441"/>
      <c r="AG597" s="441"/>
      <c r="AH597" s="441"/>
      <c r="AI597" s="512">
        <f t="shared" si="76"/>
        <v>0</v>
      </c>
      <c r="AJ597" s="513">
        <f>IF(SETUP!$E$7="USD",(AI597*(IF(O597="USD",AD597,(AD597/'Master Data-C19RM'!$E$2)))),(AI597*(IF(O597="EUR",AD597,(AD597*'Master Data-C19RM'!$E$2)))))</f>
        <v>0</v>
      </c>
      <c r="AK597" s="444">
        <f>IF($O597="USD",_xlfn.IFNA(VLOOKUP($A597&amp;$E597&amp;$I597,PMsheet!$J:$K,2,0),0),(_xlfn.IFNA(VLOOKUP($A597&amp;$E597&amp;$I597,PMsheet!$J:$K,2,0),0)*'Master Data-C19RM'!$F$2))</f>
        <v>0</v>
      </c>
      <c r="AL597" s="441"/>
      <c r="AM597" s="441"/>
      <c r="AN597" s="441"/>
      <c r="AO597" s="441"/>
      <c r="AP597" s="512">
        <f t="shared" si="77"/>
        <v>0</v>
      </c>
      <c r="AQ597" s="513">
        <f>IF(SETUP!$E$7="USD",(AP597*(IF(O597="USD",AK597,(AK597/'Master Data-C19RM'!$F$2)))),(AP597*(IF(O597="EUR",AK597,(AK597*'Master Data-C19RM'!$F$2)))))</f>
        <v>0</v>
      </c>
      <c r="AR597" s="924">
        <f>IF($O597="USD",_xlfn.IFNA(VLOOKUP($A597&amp;$E597&amp;$I597,PMsheet!$J:$K,2,0),0),(_xlfn.IFNA(VLOOKUP($A597&amp;$E597&amp;$I597,PMsheet!$J:$K,2,0),0)*'Master Data-C19RM'!$G$2))</f>
        <v>0</v>
      </c>
      <c r="AS597" s="572"/>
      <c r="AT597" s="572"/>
      <c r="AU597" s="572"/>
      <c r="AV597" s="572"/>
      <c r="AW597" s="512">
        <f t="shared" si="78"/>
        <v>0</v>
      </c>
      <c r="AX597" s="512">
        <f>IF(SETUP!$E$7="USD",(AW597*(IF(O597="USD",AR597,(AR597/'Master Data-C19RM'!$G$2)))),(AW597*(IF(O597="EUR",AR597,(AR597*'Master Data-C19RM'!$G$2)))))</f>
        <v>0</v>
      </c>
      <c r="AY597" s="845"/>
      <c r="AZ597" s="846"/>
      <c r="BA597" s="846"/>
      <c r="BB597" s="846"/>
      <c r="BC597" s="846"/>
      <c r="BD597" s="846"/>
      <c r="BE597" s="847"/>
      <c r="BF597" s="520">
        <f>'C19RM 2021-Lab &amp; Other HPS'!$U597+'C19RM 2021-Lab &amp; Other HPS'!$AB597+'C19RM 2021-Lab &amp; Other HPS'!$AP597+'C19RM 2021-Lab &amp; Other HPS'!$AI597+AW597+BD597</f>
        <v>0</v>
      </c>
      <c r="BG597" s="513">
        <f>'C19RM 2021-Lab &amp; Other HPS'!$V597+'C19RM 2021-Lab &amp; Other HPS'!$AC597+'C19RM 2021-Lab &amp; Other HPS'!$AQ597+'C19RM 2021-Lab &amp; Other HPS'!$AJ597+AX597+BE597</f>
        <v>0</v>
      </c>
      <c r="BH597" s="500" t="str" cm="1">
        <f t="array" ref="BH597">IF(A597&lt;&gt;"",IFERROR(INDEX(PMtbl[[WKst]:[Unit of measure*]],MATCH($A$544&amp;$A597&amp;$E597&amp;$I597,INDEX(PMtbl[Sec]&amp;PMtbl[Category]&amp;PMtbl[Each]&amp;PMtbl[Packaging],0,),0),11),""),"")</f>
        <v/>
      </c>
      <c r="BI597" s="819"/>
      <c r="BJ597" s="502" t="str" cm="1">
        <f t="array" ref="BJ597">IFERROR(INDEX(SETUP!$C$19:$G$121,MATCH((INDEX(PMtbl[[WKst]:[Unit of measure*]],MATCH($A597&amp;$E597&amp;$I597,INDEX(PMtbl[Category]&amp;PMtbl[Each]&amp;PMtbl[Packaging],0,),0),3)),SETUP!$D$19:$D$121,0),5),"")</f>
        <v/>
      </c>
      <c r="BK597" s="542" t="str" cm="1">
        <f t="array" ref="BK597">IFERROR(IF((INDEX(SETUP!$C$19:$G$121,MATCH((INDEX(PMtbl[[WKst]:[Unit of measure*]],MATCH($A597&amp;$E597&amp;$I597,INDEX(PMtbl[Category]&amp;PMtbl[Each]&amp;PMtbl[Packaging],0,),0),3)),SETUP!$D$19:$D$121,0),4))="Upfront",0,INDEX(SETUP!$C$19:$G$121,MATCH((INDEX(PMtbl[[WKst]:[Unit of measure*]],MATCH($A597&amp;$E597&amp;$I597,INDEX(PMtbl[Category]&amp;PMtbl[Each]&amp;PMtbl[Packaging],0,),0),3)),SETUP!$D$19:$D$121,0),5)),"")</f>
        <v/>
      </c>
      <c r="BL597" s="200" t="str" cm="1">
        <f t="array" ref="BL597">IF(E597&lt;&gt;"",IFERROR(INDEX(PMtbl[[WKst]:[Unit of measure*]],MATCH($A$544&amp;$A597&amp;$E597&amp;$I597,INDEX(PMtbl[Sec]&amp;PMtbl[Category]&amp;PMtbl[Each]&amp;PMtbl[Packaging],0,),0),11),""),"")</f>
        <v/>
      </c>
      <c r="BO597" s="12">
        <f>IF(N597="",0,IF(SETUP!$E$7="USD",((IF(O597="USD",P597,(P597/'Master Data-C19RM'!$C$2)))),((IF(O597="EUR",P597,(P597*'Master Data-C19RM'!$C$2))))))</f>
        <v>0</v>
      </c>
      <c r="BP597" s="12">
        <f>IF(N597="",0,IF(SETUP!$E$7="USD",((IF(O597="USD",W597,(W597/'Master Data-C19RM'!$D$2)))),((IF(O597="EUR",W597,(W597*'Master Data-C19RM'!$D$2))))))</f>
        <v>0</v>
      </c>
      <c r="BQ597">
        <f>IF(N597="",0,IF(SETUP!$E$7="USD",((IF(O597="USD",AD597,(AD597/'Master Data-C19RM'!$E$2)))),((IF(O597="EUR",AD597,(AD597*'Master Data-C19RM'!$E$2))))))</f>
        <v>0</v>
      </c>
      <c r="BR597">
        <f>IF(N597="",0,IF(SETUP!$E$7="USD",((IF(O597="USD",AK597,(AK597/'Master Data-C19RM'!$F$2)))),((IF(O597="EUR",AK597,(AK597*'Master Data-C19RM'!$F$2))))))</f>
        <v>0</v>
      </c>
      <c r="BS597">
        <f>IF(N597="",0,IF(SETUP!$E$7="USD",((IF(O597="USD",AR597,(AR597/'Master Data-C19RM'!$G$2)))),((IF(O597="EUR",AR597,(AR597*'Master Data-C19RM'!$G$2))))))</f>
        <v>0</v>
      </c>
      <c r="BT597">
        <f>IF(N597="",0,IF(SETUP!$E$7="USD",((IF(O597="USD",AY597,(AY597/'Master Data-C19RM'!$H$2)))),((IF(O597="EUR",AY597,(AY597*'Master Data-C19RM'!$H$2))))))</f>
        <v>0</v>
      </c>
      <c r="BU597" s="12">
        <f t="shared" si="72"/>
        <v>0</v>
      </c>
      <c r="BV597" s="142">
        <f t="shared" si="73"/>
        <v>0</v>
      </c>
    </row>
    <row r="598" spans="1:74" ht="14.15" customHeight="1" x14ac:dyDescent="0.35">
      <c r="A598" s="1172"/>
      <c r="B598" s="1172"/>
      <c r="C598" s="1172"/>
      <c r="D598" s="1172"/>
      <c r="E598" s="1173"/>
      <c r="F598" s="1173"/>
      <c r="G598" s="1173"/>
      <c r="H598" s="1173"/>
      <c r="I598" s="1173"/>
      <c r="J598" s="1173"/>
      <c r="K598" s="1173"/>
      <c r="L598" s="493" t="str" cm="1">
        <f t="array" ref="L598">IF(A598&lt;&gt;"",IFERROR(INDEX(PMtbl[[WKst]:[Unit of measure*]],MATCH($A$544&amp;$A598&amp;$E598&amp;$I598,INDEX(PMtbl[Sec]&amp;PMtbl[Category]&amp;PMtbl[Each]&amp;PMtbl[Packaging],0,),0),14),""),"")</f>
        <v/>
      </c>
      <c r="M598" s="480" t="str">
        <f>IF(L598="","",INDEX(SETUP!$E$20:$E$122,(MATCH(INDEX(PMsheet!$D:$E,MATCH(A598,PMsheet!E:E,0),1),SETUP!$D$20:$D$122,0))))</f>
        <v/>
      </c>
      <c r="N598" s="494">
        <f>IF($O598="USD",_xlfn.IFNA(VLOOKUP(A598&amp;E598&amp;I598,PMsheet!J:K,2,0),0),(_xlfn.IFNA(VLOOKUP(A598&amp;E598&amp;I598,PMsheet!J:K,2,0),0)*'Master Data-C19RM'!$C$2))</f>
        <v>0</v>
      </c>
      <c r="O598" s="495" t="str">
        <f>IF(L598="", "",SETUP!$E$7)</f>
        <v/>
      </c>
      <c r="P598" s="445">
        <f>IF($O598="USD",_xlfn.IFNA(VLOOKUP($A598&amp;$E598&amp;$I598,PMsheet!$J:$K,2,0),0),(_xlfn.IFNA(VLOOKUP($A598&amp;$E598&amp;$I598,PMsheet!$J:$K,2,0),0)*'Master Data-C19RM'!$C$2))</f>
        <v>0</v>
      </c>
      <c r="Q598" s="440"/>
      <c r="R598" s="440"/>
      <c r="S598" s="440"/>
      <c r="T598" s="440"/>
      <c r="U598" s="482">
        <f t="shared" si="74"/>
        <v>0</v>
      </c>
      <c r="V598" s="484">
        <f>IF(SETUP!$E$7="USD",(U598*(IF(O598="USD",P598,(P598/'Master Data-C19RM'!$C$2)))),(U598*(IF(O598="EUR",P598,(P598*'Master Data-C19RM'!$C$2)))))</f>
        <v>0</v>
      </c>
      <c r="W598" s="445">
        <f>IF($O598="USD",_xlfn.IFNA(VLOOKUP($A598&amp;$E598&amp;$I598,PMsheet!$J:$K,2,0),0),(_xlfn.IFNA(VLOOKUP($A598&amp;$E598&amp;$I598,PMsheet!$J:$K,2,0),0)*'Master Data-C19RM'!$D$2))</f>
        <v>0</v>
      </c>
      <c r="X598" s="440"/>
      <c r="Y598" s="440"/>
      <c r="Z598" s="440"/>
      <c r="AA598" s="440"/>
      <c r="AB598" s="482">
        <f t="shared" si="75"/>
        <v>0</v>
      </c>
      <c r="AC598" s="484">
        <f>IF(SETUP!$E$7="USD",(AB598*(IF(O598="USD",W598,(W598/'Master Data-C19RM'!$D$2)))),(AB598*(IF(O598="EUR",W598,(W598*'Master Data-C19RM'!$D$2)))))</f>
        <v>0</v>
      </c>
      <c r="AD598" s="445">
        <f>IF($O598="USD",_xlfn.IFNA(VLOOKUP($A598&amp;$E598&amp;$I598,PMsheet!$J:$K,2,0),0),(_xlfn.IFNA(VLOOKUP($A598&amp;$E598&amp;$I598,PMsheet!$J:$K,2,0),0)*'Master Data-C19RM'!$E$2))</f>
        <v>0</v>
      </c>
      <c r="AE598" s="440"/>
      <c r="AF598" s="440"/>
      <c r="AG598" s="440"/>
      <c r="AH598" s="440"/>
      <c r="AI598" s="514">
        <f t="shared" si="76"/>
        <v>0</v>
      </c>
      <c r="AJ598" s="515">
        <f>IF(SETUP!$E$7="USD",(AI598*(IF(O598="USD",AD598,(AD598/'Master Data-C19RM'!$E$2)))),(AI598*(IF(O598="EUR",AD598,(AD598*'Master Data-C19RM'!$E$2)))))</f>
        <v>0</v>
      </c>
      <c r="AK598" s="445">
        <f>IF($O598="USD",_xlfn.IFNA(VLOOKUP($A598&amp;$E598&amp;$I598,PMsheet!$J:$K,2,0),0),(_xlfn.IFNA(VLOOKUP($A598&amp;$E598&amp;$I598,PMsheet!$J:$K,2,0),0)*'Master Data-C19RM'!$F$2))</f>
        <v>0</v>
      </c>
      <c r="AL598" s="440"/>
      <c r="AM598" s="440"/>
      <c r="AN598" s="440"/>
      <c r="AO598" s="440"/>
      <c r="AP598" s="514">
        <f t="shared" si="77"/>
        <v>0</v>
      </c>
      <c r="AQ598" s="515">
        <f>IF(SETUP!$E$7="USD",(AP598*(IF(O598="USD",AK598,(AK598/'Master Data-C19RM'!$F$2)))),(AP598*(IF(O598="EUR",AK598,(AK598*'Master Data-C19RM'!$F$2)))))</f>
        <v>0</v>
      </c>
      <c r="AR598" s="925">
        <f>IF($O598="USD",_xlfn.IFNA(VLOOKUP($A598&amp;$E598&amp;$I598,PMsheet!$J:$K,2,0),0),(_xlfn.IFNA(VLOOKUP($A598&amp;$E598&amp;$I598,PMsheet!$J:$K,2,0),0)*'Master Data-C19RM'!$G$2))</f>
        <v>0</v>
      </c>
      <c r="AS598" s="926"/>
      <c r="AT598" s="926"/>
      <c r="AU598" s="926"/>
      <c r="AV598" s="926"/>
      <c r="AW598" s="514">
        <f t="shared" si="78"/>
        <v>0</v>
      </c>
      <c r="AX598" s="514">
        <f>IF(SETUP!$E$7="USD",(AW598*(IF(O598="USD",AR598,(AR598/'Master Data-C19RM'!$G$2)))),(AW598*(IF(O598="EUR",AR598,(AR598*'Master Data-C19RM'!$G$2)))))</f>
        <v>0</v>
      </c>
      <c r="AY598" s="845"/>
      <c r="AZ598" s="846"/>
      <c r="BA598" s="846"/>
      <c r="BB598" s="846"/>
      <c r="BC598" s="846"/>
      <c r="BD598" s="846"/>
      <c r="BE598" s="847"/>
      <c r="BF598" s="521">
        <f>'C19RM 2021-Lab &amp; Other HPS'!$U598+'C19RM 2021-Lab &amp; Other HPS'!$AB598+'C19RM 2021-Lab &amp; Other HPS'!$AP598+'C19RM 2021-Lab &amp; Other HPS'!$AI598+AW598+BD598</f>
        <v>0</v>
      </c>
      <c r="BG598" s="515">
        <f>'C19RM 2021-Lab &amp; Other HPS'!$V598+'C19RM 2021-Lab &amp; Other HPS'!$AC598+'C19RM 2021-Lab &amp; Other HPS'!$AQ598+'C19RM 2021-Lab &amp; Other HPS'!$AJ598+AX598+BE598</f>
        <v>0</v>
      </c>
      <c r="BH598" s="522" t="str" cm="1">
        <f t="array" ref="BH598">IF(A598&lt;&gt;"",IFERROR(INDEX(PMtbl[[WKst]:[Unit of measure*]],MATCH($A$544&amp;$A598&amp;$E598&amp;$I598,INDEX(PMtbl[Sec]&amp;PMtbl[Category]&amp;PMtbl[Each]&amp;PMtbl[Packaging],0,),0),11),""),"")</f>
        <v/>
      </c>
      <c r="BI598" s="818"/>
      <c r="BJ598" s="503" t="str" cm="1">
        <f t="array" ref="BJ598">IFERROR(INDEX(SETUP!$C$19:$G$121,MATCH((INDEX(PMtbl[[WKst]:[Unit of measure*]],MATCH($A598&amp;$E598&amp;$I598,INDEX(PMtbl[Category]&amp;PMtbl[Each]&amp;PMtbl[Packaging],0,),0),3)),SETUP!$D$19:$D$121,0),5),"")</f>
        <v/>
      </c>
      <c r="BK598" s="543" t="str" cm="1">
        <f t="array" ref="BK598">IFERROR(IF((INDEX(SETUP!$C$19:$G$121,MATCH((INDEX(PMtbl[[WKst]:[Unit of measure*]],MATCH($A598&amp;$E598&amp;$I598,INDEX(PMtbl[Category]&amp;PMtbl[Each]&amp;PMtbl[Packaging],0,),0),3)),SETUP!$D$19:$D$121,0),4))="Upfront",0,INDEX(SETUP!$C$19:$G$121,MATCH((INDEX(PMtbl[[WKst]:[Unit of measure*]],MATCH($A598&amp;$E598&amp;$I598,INDEX(PMtbl[Category]&amp;PMtbl[Each]&amp;PMtbl[Packaging],0,),0),3)),SETUP!$D$19:$D$121,0),5)),"")</f>
        <v/>
      </c>
      <c r="BL598" s="201" t="str" cm="1">
        <f t="array" ref="BL598">IF(E598&lt;&gt;"",IFERROR(INDEX(PMtbl[[WKst]:[Unit of measure*]],MATCH($A$544&amp;$A598&amp;$E598&amp;$I598,INDEX(PMtbl[Sec]&amp;PMtbl[Category]&amp;PMtbl[Each]&amp;PMtbl[Packaging],0,),0),11),""),"")</f>
        <v/>
      </c>
      <c r="BO598" s="12">
        <f>IF(N598="",0,IF(SETUP!$E$7="USD",((IF(O598="USD",P598,(P598/'Master Data-C19RM'!$C$2)))),((IF(O598="EUR",P598,(P598*'Master Data-C19RM'!$C$2))))))</f>
        <v>0</v>
      </c>
      <c r="BP598" s="12">
        <f>IF(N598="",0,IF(SETUP!$E$7="USD",((IF(O598="USD",W598,(W598/'Master Data-C19RM'!$D$2)))),((IF(O598="EUR",W598,(W598*'Master Data-C19RM'!$D$2))))))</f>
        <v>0</v>
      </c>
      <c r="BQ598">
        <f>IF(N598="",0,IF(SETUP!$E$7="USD",((IF(O598="USD",AD598,(AD598/'Master Data-C19RM'!$E$2)))),((IF(O598="EUR",AD598,(AD598*'Master Data-C19RM'!$E$2))))))</f>
        <v>0</v>
      </c>
      <c r="BR598">
        <f>IF(N598="",0,IF(SETUP!$E$7="USD",((IF(O598="USD",AK598,(AK598/'Master Data-C19RM'!$F$2)))),((IF(O598="EUR",AK598,(AK598*'Master Data-C19RM'!$F$2))))))</f>
        <v>0</v>
      </c>
      <c r="BS598">
        <f>IF(N598="",0,IF(SETUP!$E$7="USD",((IF(O598="USD",AR598,(AR598/'Master Data-C19RM'!$G$2)))),((IF(O598="EUR",AR598,(AR598*'Master Data-C19RM'!$G$2))))))</f>
        <v>0</v>
      </c>
      <c r="BT598">
        <f>IF(N598="",0,IF(SETUP!$E$7="USD",((IF(O598="USD",AY598,(AY598/'Master Data-C19RM'!$H$2)))),((IF(O598="EUR",AY598,(AY598*'Master Data-C19RM'!$H$2))))))</f>
        <v>0</v>
      </c>
      <c r="BU598" s="12">
        <f t="shared" si="72"/>
        <v>0</v>
      </c>
      <c r="BV598" s="142">
        <f t="shared" si="73"/>
        <v>0</v>
      </c>
    </row>
    <row r="599" spans="1:74" x14ac:dyDescent="0.35">
      <c r="A599" s="1165"/>
      <c r="B599" s="1165"/>
      <c r="C599" s="1165"/>
      <c r="D599" s="1165"/>
      <c r="E599" s="1166"/>
      <c r="F599" s="1166"/>
      <c r="G599" s="1166"/>
      <c r="H599" s="1166"/>
      <c r="I599" s="1166"/>
      <c r="J599" s="1166"/>
      <c r="K599" s="1166"/>
      <c r="L599" s="490" t="str" cm="1">
        <f t="array" ref="L599">IF(A599&lt;&gt;"",IFERROR(INDEX(PMtbl[[WKst]:[Unit of measure*]],MATCH($A$544&amp;$A599&amp;$E599&amp;$I599,INDEX(PMtbl[Sec]&amp;PMtbl[Category]&amp;PMtbl[Each]&amp;PMtbl[Packaging],0,),0),14),""),"")</f>
        <v/>
      </c>
      <c r="M599" s="479" t="str">
        <f>IF(L599="","",INDEX(SETUP!$E$20:$E$122,(MATCH(INDEX(PMsheet!$D:$E,MATCH(A599,PMsheet!E:E,0),1),SETUP!$D$20:$D$122,0))))</f>
        <v/>
      </c>
      <c r="N599" s="491">
        <f>IF($O599="USD",_xlfn.IFNA(VLOOKUP(A599&amp;E599&amp;I599,PMsheet!J:K,2,0),0),(_xlfn.IFNA(VLOOKUP(A599&amp;E599&amp;I599,PMsheet!J:K,2,0),0)*'Master Data-C19RM'!$C$2))</f>
        <v>0</v>
      </c>
      <c r="O599" s="492" t="str">
        <f>IF(L599="", "",SETUP!$E$7)</f>
        <v/>
      </c>
      <c r="P599" s="444">
        <f>IF($O599="USD",_xlfn.IFNA(VLOOKUP($A599&amp;$E599&amp;$I599,PMsheet!$J:$K,2,0),0),(_xlfn.IFNA(VLOOKUP($A599&amp;$E599&amp;$I599,PMsheet!$J:$K,2,0),0)*'Master Data-C19RM'!$C$2))</f>
        <v>0</v>
      </c>
      <c r="Q599" s="441"/>
      <c r="R599" s="441"/>
      <c r="S599" s="441"/>
      <c r="T599" s="441"/>
      <c r="U599" s="481">
        <f t="shared" si="74"/>
        <v>0</v>
      </c>
      <c r="V599" s="483">
        <f>IF(SETUP!$E$7="USD",(U599*(IF(O599="USD",P599,(P599/'Master Data-C19RM'!$C$2)))),(U599*(IF(O599="EUR",P599,(P599*'Master Data-C19RM'!$C$2)))))</f>
        <v>0</v>
      </c>
      <c r="W599" s="444">
        <f>IF($O599="USD",_xlfn.IFNA(VLOOKUP($A599&amp;$E599&amp;$I599,PMsheet!$J:$K,2,0),0),(_xlfn.IFNA(VLOOKUP($A599&amp;$E599&amp;$I599,PMsheet!$J:$K,2,0),0)*'Master Data-C19RM'!$D$2))</f>
        <v>0</v>
      </c>
      <c r="X599" s="441"/>
      <c r="Y599" s="441"/>
      <c r="Z599" s="441"/>
      <c r="AA599" s="441"/>
      <c r="AB599" s="481">
        <f t="shared" si="75"/>
        <v>0</v>
      </c>
      <c r="AC599" s="483">
        <f>IF(SETUP!$E$7="USD",(AB599*(IF(O599="USD",W599,(W599/'Master Data-C19RM'!$D$2)))),(AB599*(IF(O599="EUR",W599,(W599*'Master Data-C19RM'!$D$2)))))</f>
        <v>0</v>
      </c>
      <c r="AD599" s="444">
        <f>IF($O599="USD",_xlfn.IFNA(VLOOKUP($A599&amp;$E599&amp;$I599,PMsheet!$J:$K,2,0),0),(_xlfn.IFNA(VLOOKUP($A599&amp;$E599&amp;$I599,PMsheet!$J:$K,2,0),0)*'Master Data-C19RM'!$E$2))</f>
        <v>0</v>
      </c>
      <c r="AE599" s="441"/>
      <c r="AF599" s="441"/>
      <c r="AG599" s="441"/>
      <c r="AH599" s="441"/>
      <c r="AI599" s="512">
        <f t="shared" si="76"/>
        <v>0</v>
      </c>
      <c r="AJ599" s="513">
        <f>IF(SETUP!$E$7="USD",(AI599*(IF(O599="USD",AD599,(AD599/'Master Data-C19RM'!$E$2)))),(AI599*(IF(O599="EUR",AD599,(AD599*'Master Data-C19RM'!$E$2)))))</f>
        <v>0</v>
      </c>
      <c r="AK599" s="444">
        <f>IF($O599="USD",_xlfn.IFNA(VLOOKUP($A599&amp;$E599&amp;$I599,PMsheet!$J:$K,2,0),0),(_xlfn.IFNA(VLOOKUP($A599&amp;$E599&amp;$I599,PMsheet!$J:$K,2,0),0)*'Master Data-C19RM'!$F$2))</f>
        <v>0</v>
      </c>
      <c r="AL599" s="441"/>
      <c r="AM599" s="441"/>
      <c r="AN599" s="441"/>
      <c r="AO599" s="441"/>
      <c r="AP599" s="512">
        <f t="shared" si="77"/>
        <v>0</v>
      </c>
      <c r="AQ599" s="513">
        <f>IF(SETUP!$E$7="USD",(AP599*(IF(O599="USD",AK599,(AK599/'Master Data-C19RM'!$F$2)))),(AP599*(IF(O599="EUR",AK599,(AK599*'Master Data-C19RM'!$F$2)))))</f>
        <v>0</v>
      </c>
      <c r="AR599" s="924">
        <f>IF($O599="USD",_xlfn.IFNA(VLOOKUP($A599&amp;$E599&amp;$I599,PMsheet!$J:$K,2,0),0),(_xlfn.IFNA(VLOOKUP($A599&amp;$E599&amp;$I599,PMsheet!$J:$K,2,0),0)*'Master Data-C19RM'!$G$2))</f>
        <v>0</v>
      </c>
      <c r="AS599" s="572"/>
      <c r="AT599" s="572"/>
      <c r="AU599" s="572"/>
      <c r="AV599" s="572"/>
      <c r="AW599" s="512">
        <f t="shared" si="78"/>
        <v>0</v>
      </c>
      <c r="AX599" s="512">
        <f>IF(SETUP!$E$7="USD",(AW599*(IF(O599="USD",AR599,(AR599/'Master Data-C19RM'!$G$2)))),(AW599*(IF(O599="EUR",AR599,(AR599*'Master Data-C19RM'!$G$2)))))</f>
        <v>0</v>
      </c>
      <c r="AY599" s="845"/>
      <c r="AZ599" s="846"/>
      <c r="BA599" s="846"/>
      <c r="BB599" s="846"/>
      <c r="BC599" s="846"/>
      <c r="BD599" s="846"/>
      <c r="BE599" s="847"/>
      <c r="BF599" s="520">
        <f>'C19RM 2021-Lab &amp; Other HPS'!$U599+'C19RM 2021-Lab &amp; Other HPS'!$AB599+'C19RM 2021-Lab &amp; Other HPS'!$AP599+'C19RM 2021-Lab &amp; Other HPS'!$AI599+AW599+BD599</f>
        <v>0</v>
      </c>
      <c r="BG599" s="513">
        <f>'C19RM 2021-Lab &amp; Other HPS'!$V599+'C19RM 2021-Lab &amp; Other HPS'!$AC599+'C19RM 2021-Lab &amp; Other HPS'!$AQ599+'C19RM 2021-Lab &amp; Other HPS'!$AJ599+AX599+BE599</f>
        <v>0</v>
      </c>
      <c r="BH599" s="500" t="str" cm="1">
        <f t="array" ref="BH599">IF(A599&lt;&gt;"",IFERROR(INDEX(PMtbl[[WKst]:[Unit of measure*]],MATCH($A$544&amp;$A599&amp;$E599&amp;$I599,INDEX(PMtbl[Sec]&amp;PMtbl[Category]&amp;PMtbl[Each]&amp;PMtbl[Packaging],0,),0),11),""),"")</f>
        <v/>
      </c>
      <c r="BI599" s="819"/>
      <c r="BJ599" s="502" t="str" cm="1">
        <f t="array" ref="BJ599">IFERROR(INDEX(SETUP!$C$19:$G$121,MATCH((INDEX(PMtbl[[WKst]:[Unit of measure*]],MATCH($A599&amp;$E599&amp;$I599,INDEX(PMtbl[Category]&amp;PMtbl[Each]&amp;PMtbl[Packaging],0,),0),3)),SETUP!$D$19:$D$121,0),5),"")</f>
        <v/>
      </c>
      <c r="BK599" s="542" t="str" cm="1">
        <f t="array" ref="BK599">IFERROR(IF((INDEX(SETUP!$C$19:$G$121,MATCH((INDEX(PMtbl[[WKst]:[Unit of measure*]],MATCH($A599&amp;$E599&amp;$I599,INDEX(PMtbl[Category]&amp;PMtbl[Each]&amp;PMtbl[Packaging],0,),0),3)),SETUP!$D$19:$D$121,0),4))="Upfront",0,INDEX(SETUP!$C$19:$G$121,MATCH((INDEX(PMtbl[[WKst]:[Unit of measure*]],MATCH($A599&amp;$E599&amp;$I599,INDEX(PMtbl[Category]&amp;PMtbl[Each]&amp;PMtbl[Packaging],0,),0),3)),SETUP!$D$19:$D$121,0),5)),"")</f>
        <v/>
      </c>
      <c r="BL599" s="200" t="str" cm="1">
        <f t="array" ref="BL599">IF(E599&lt;&gt;"",IFERROR(INDEX(PMtbl[[WKst]:[Unit of measure*]],MATCH($A$544&amp;$A599&amp;$E599&amp;$I599,INDEX(PMtbl[Sec]&amp;PMtbl[Category]&amp;PMtbl[Each]&amp;PMtbl[Packaging],0,),0),11),""),"")</f>
        <v/>
      </c>
      <c r="BO599" s="12">
        <f>IF(N599="",0,IF(SETUP!$E$7="USD",((IF(O599="USD",P599,(P599/'Master Data-C19RM'!$C$2)))),((IF(O599="EUR",P599,(P599*'Master Data-C19RM'!$C$2))))))</f>
        <v>0</v>
      </c>
      <c r="BP599" s="12">
        <f>IF(N599="",0,IF(SETUP!$E$7="USD",((IF(O599="USD",W599,(W599/'Master Data-C19RM'!$D$2)))),((IF(O599="EUR",W599,(W599*'Master Data-C19RM'!$D$2))))))</f>
        <v>0</v>
      </c>
      <c r="BQ599">
        <f>IF(N599="",0,IF(SETUP!$E$7="USD",((IF(O599="USD",AD599,(AD599/'Master Data-C19RM'!$E$2)))),((IF(O599="EUR",AD599,(AD599*'Master Data-C19RM'!$E$2))))))</f>
        <v>0</v>
      </c>
      <c r="BR599">
        <f>IF(N599="",0,IF(SETUP!$E$7="USD",((IF(O599="USD",AK599,(AK599/'Master Data-C19RM'!$F$2)))),((IF(O599="EUR",AK599,(AK599*'Master Data-C19RM'!$F$2))))))</f>
        <v>0</v>
      </c>
      <c r="BS599">
        <f>IF(N599="",0,IF(SETUP!$E$7="USD",((IF(O599="USD",AR599,(AR599/'Master Data-C19RM'!$G$2)))),((IF(O599="EUR",AR599,(AR599*'Master Data-C19RM'!$G$2))))))</f>
        <v>0</v>
      </c>
      <c r="BT599">
        <f>IF(N599="",0,IF(SETUP!$E$7="USD",((IF(O599="USD",AY599,(AY599/'Master Data-C19RM'!$H$2)))),((IF(O599="EUR",AY599,(AY599*'Master Data-C19RM'!$H$2))))))</f>
        <v>0</v>
      </c>
      <c r="BU599" s="12">
        <f t="shared" si="72"/>
        <v>0</v>
      </c>
      <c r="BV599" s="142">
        <f t="shared" si="73"/>
        <v>0</v>
      </c>
    </row>
    <row r="600" spans="1:74" x14ac:dyDescent="0.35">
      <c r="A600" s="1172"/>
      <c r="B600" s="1172"/>
      <c r="C600" s="1172"/>
      <c r="D600" s="1172"/>
      <c r="E600" s="1173"/>
      <c r="F600" s="1173"/>
      <c r="G600" s="1173"/>
      <c r="H600" s="1173"/>
      <c r="I600" s="1173"/>
      <c r="J600" s="1173"/>
      <c r="K600" s="1173"/>
      <c r="L600" s="493" t="str" cm="1">
        <f t="array" ref="L600">IF(A600&lt;&gt;"",IFERROR(INDEX(PMtbl[[WKst]:[Unit of measure*]],MATCH($A$544&amp;$A600&amp;$E600&amp;$I600,INDEX(PMtbl[Sec]&amp;PMtbl[Category]&amp;PMtbl[Each]&amp;PMtbl[Packaging],0,),0),14),""),"")</f>
        <v/>
      </c>
      <c r="M600" s="480" t="str">
        <f>IF(L600="","",INDEX(SETUP!$E$20:$E$122,(MATCH(INDEX(PMsheet!$D:$E,MATCH(A600,PMsheet!E:E,0),1),SETUP!$D$20:$D$122,0))))</f>
        <v/>
      </c>
      <c r="N600" s="494">
        <f>IF($O600="USD",_xlfn.IFNA(VLOOKUP(A600&amp;E600&amp;I600,PMsheet!J:K,2,0),0),(_xlfn.IFNA(VLOOKUP(A600&amp;E600&amp;I600,PMsheet!J:K,2,0),0)*'Master Data-C19RM'!$C$2))</f>
        <v>0</v>
      </c>
      <c r="O600" s="495" t="str">
        <f>IF(L600="", "",SETUP!$E$7)</f>
        <v/>
      </c>
      <c r="P600" s="445">
        <f>IF($O600="USD",_xlfn.IFNA(VLOOKUP($A600&amp;$E600&amp;$I600,PMsheet!$J:$K,2,0),0),(_xlfn.IFNA(VLOOKUP($A600&amp;$E600&amp;$I600,PMsheet!$J:$K,2,0),0)*'Master Data-C19RM'!$C$2))</f>
        <v>0</v>
      </c>
      <c r="Q600" s="440"/>
      <c r="R600" s="440"/>
      <c r="S600" s="440"/>
      <c r="T600" s="440"/>
      <c r="U600" s="482">
        <f>SUM($Q600:$T600)</f>
        <v>0</v>
      </c>
      <c r="V600" s="484">
        <f>IF(SETUP!$E$7="USD",(U600*(IF(O600="USD",P600,(P600/'Master Data-C19RM'!$C$2)))),(U600*(IF(O600="EUR",P600,(P600*'Master Data-C19RM'!$C$2)))))</f>
        <v>0</v>
      </c>
      <c r="W600" s="445">
        <f>IF($O600="USD",_xlfn.IFNA(VLOOKUP($A600&amp;$E600&amp;$I600,PMsheet!$J:$K,2,0),0),(_xlfn.IFNA(VLOOKUP($A600&amp;$E600&amp;$I600,PMsheet!$J:$K,2,0),0)*'Master Data-C19RM'!$D$2))</f>
        <v>0</v>
      </c>
      <c r="X600" s="440"/>
      <c r="Y600" s="440"/>
      <c r="Z600" s="440"/>
      <c r="AA600" s="440"/>
      <c r="AB600" s="482">
        <f>SUM($X600:$AA600)</f>
        <v>0</v>
      </c>
      <c r="AC600" s="484">
        <f>IF(SETUP!$E$7="USD",(AB600*(IF(O600="USD",W600,(W600/'Master Data-C19RM'!$D$2)))),(AB600*(IF(O600="EUR",W600,(W600*'Master Data-C19RM'!$D$2)))))</f>
        <v>0</v>
      </c>
      <c r="AD600" s="445">
        <f>IF($O600="USD",_xlfn.IFNA(VLOOKUP($A600&amp;$E600&amp;$I600,PMsheet!$J:$K,2,0),0),(_xlfn.IFNA(VLOOKUP($A600&amp;$E600&amp;$I600,PMsheet!$J:$K,2,0),0)*'Master Data-C19RM'!$E$2))</f>
        <v>0</v>
      </c>
      <c r="AE600" s="440"/>
      <c r="AF600" s="440"/>
      <c r="AG600" s="440"/>
      <c r="AH600" s="440"/>
      <c r="AI600" s="514">
        <f>SUM($AE600:$AH600)</f>
        <v>0</v>
      </c>
      <c r="AJ600" s="515">
        <f>IF(SETUP!$E$7="USD",(AI600*(IF(O600="USD",AD600,(AD600/'Master Data-C19RM'!$E$2)))),(AI600*(IF(O600="EUR",AD600,(AD600*'Master Data-C19RM'!$E$2)))))</f>
        <v>0</v>
      </c>
      <c r="AK600" s="445">
        <f>IF($O600="USD",_xlfn.IFNA(VLOOKUP($A600&amp;$E600&amp;$I600,PMsheet!$J:$K,2,0),0),(_xlfn.IFNA(VLOOKUP($A600&amp;$E600&amp;$I600,PMsheet!$J:$K,2,0),0)*'Master Data-C19RM'!$F$2))</f>
        <v>0</v>
      </c>
      <c r="AL600" s="440"/>
      <c r="AM600" s="440"/>
      <c r="AN600" s="440"/>
      <c r="AO600" s="440"/>
      <c r="AP600" s="514">
        <f>SUM($AL600:$AO600)</f>
        <v>0</v>
      </c>
      <c r="AQ600" s="515">
        <f>IF(SETUP!$E$7="USD",(AP600*(IF(O600="USD",AK600,(AK600/'Master Data-C19RM'!$F$2)))),(AP600*(IF(O600="EUR",AK600,(AK600*'Master Data-C19RM'!$F$2)))))</f>
        <v>0</v>
      </c>
      <c r="AR600" s="925">
        <f>IF($O600="USD",_xlfn.IFNA(VLOOKUP($A600&amp;$E600&amp;$I600,PMsheet!$J:$K,2,0),0),(_xlfn.IFNA(VLOOKUP($A600&amp;$E600&amp;$I600,PMsheet!$J:$K,2,0),0)*'Master Data-C19RM'!$G$2))</f>
        <v>0</v>
      </c>
      <c r="AS600" s="926"/>
      <c r="AT600" s="926"/>
      <c r="AU600" s="926"/>
      <c r="AV600" s="926"/>
      <c r="AW600" s="514">
        <f t="shared" si="78"/>
        <v>0</v>
      </c>
      <c r="AX600" s="514">
        <f>IF(SETUP!$E$7="USD",(AW600*(IF(O600="USD",AR600,(AR600/'Master Data-C19RM'!$G$2)))),(AW600*(IF(O600="EUR",AR600,(AR600*'Master Data-C19RM'!$G$2)))))</f>
        <v>0</v>
      </c>
      <c r="AY600" s="845"/>
      <c r="AZ600" s="846"/>
      <c r="BA600" s="846"/>
      <c r="BB600" s="846"/>
      <c r="BC600" s="846"/>
      <c r="BD600" s="846"/>
      <c r="BE600" s="847"/>
      <c r="BF600" s="521">
        <f>'C19RM 2021-Lab &amp; Other HPS'!$U600+'C19RM 2021-Lab &amp; Other HPS'!$AB600+'C19RM 2021-Lab &amp; Other HPS'!$AP600+'C19RM 2021-Lab &amp; Other HPS'!$AI600+AW600+BD600</f>
        <v>0</v>
      </c>
      <c r="BG600" s="515">
        <f>'C19RM 2021-Lab &amp; Other HPS'!$V600+'C19RM 2021-Lab &amp; Other HPS'!$AC600+'C19RM 2021-Lab &amp; Other HPS'!$AQ600+'C19RM 2021-Lab &amp; Other HPS'!$AJ600+AX600+BE600</f>
        <v>0</v>
      </c>
      <c r="BH600" s="522" t="str" cm="1">
        <f t="array" ref="BH600">IF(A600&lt;&gt;"",IFERROR(INDEX(PMtbl[[WKst]:[Unit of measure*]],MATCH($A$544&amp;$A600&amp;$E600&amp;$I600,INDEX(PMtbl[Sec]&amp;PMtbl[Category]&amp;PMtbl[Each]&amp;PMtbl[Packaging],0,),0),11),""),"")</f>
        <v/>
      </c>
      <c r="BI600" s="818"/>
      <c r="BJ600" s="503" t="str" cm="1">
        <f t="array" ref="BJ600">IFERROR(INDEX(SETUP!$C$19:$G$121,MATCH((INDEX(PMtbl[[WKst]:[Unit of measure*]],MATCH($A600&amp;$E600&amp;$I600,INDEX(PMtbl[Category]&amp;PMtbl[Each]&amp;PMtbl[Packaging],0,),0),3)),SETUP!$D$19:$D$121,0),5),"")</f>
        <v/>
      </c>
      <c r="BK600" s="543" t="str" cm="1">
        <f t="array" ref="BK600">IFERROR(IF((INDEX(SETUP!$C$19:$G$121,MATCH((INDEX(PMtbl[[WKst]:[Unit of measure*]],MATCH($A600&amp;$E600&amp;$I600,INDEX(PMtbl[Category]&amp;PMtbl[Each]&amp;PMtbl[Packaging],0,),0),3)),SETUP!$D$19:$D$121,0),4))="Upfront",0,INDEX(SETUP!$C$19:$G$121,MATCH((INDEX(PMtbl[[WKst]:[Unit of measure*]],MATCH($A600&amp;$E600&amp;$I600,INDEX(PMtbl[Category]&amp;PMtbl[Each]&amp;PMtbl[Packaging],0,),0),3)),SETUP!$D$19:$D$121,0),5)),"")</f>
        <v/>
      </c>
      <c r="BL600" s="201" t="str" cm="1">
        <f t="array" ref="BL600">IF(E600&lt;&gt;"",IFERROR(INDEX(PMtbl[[WKst]:[Unit of measure*]],MATCH($A$544&amp;$A600&amp;$E600&amp;$I600,INDEX(PMtbl[Sec]&amp;PMtbl[Category]&amp;PMtbl[Each]&amp;PMtbl[Packaging],0,),0),11),""),"")</f>
        <v/>
      </c>
      <c r="BO600" s="12">
        <f>IF(N600="",0,IF(SETUP!$E$7="USD",((IF(O600="USD",P600,(P600/'Master Data-C19RM'!$C$2)))),((IF(O600="EUR",P600,(P600*'Master Data-C19RM'!$C$2))))))</f>
        <v>0</v>
      </c>
      <c r="BP600" s="12">
        <f>IF(N600="",0,IF(SETUP!$E$7="USD",((IF(O600="USD",W600,(W600/'Master Data-C19RM'!$D$2)))),((IF(O600="EUR",W600,(W600*'Master Data-C19RM'!$D$2))))))</f>
        <v>0</v>
      </c>
      <c r="BQ600">
        <f>IF(N600="",0,IF(SETUP!$E$7="USD",((IF(O600="USD",AD600,(AD600/'Master Data-C19RM'!$E$2)))),((IF(O600="EUR",AD600,(AD600*'Master Data-C19RM'!$E$2))))))</f>
        <v>0</v>
      </c>
      <c r="BR600">
        <f>IF(N600="",0,IF(SETUP!$E$7="USD",((IF(O600="USD",AK600,(AK600/'Master Data-C19RM'!$F$2)))),((IF(O600="EUR",AK600,(AK600*'Master Data-C19RM'!$F$2))))))</f>
        <v>0</v>
      </c>
      <c r="BS600">
        <f>IF(N600="",0,IF(SETUP!$E$7="USD",((IF(O600="USD",AR600,(AR600/'Master Data-C19RM'!$G$2)))),((IF(O600="EUR",AR600,(AR600*'Master Data-C19RM'!$G$2))))))</f>
        <v>0</v>
      </c>
      <c r="BT600">
        <f>IF(N600="",0,IF(SETUP!$E$7="USD",((IF(O600="USD",AY600,(AY600/'Master Data-C19RM'!$H$2)))),((IF(O600="EUR",AY600,(AY600*'Master Data-C19RM'!$H$2))))))</f>
        <v>0</v>
      </c>
      <c r="BU600" s="12">
        <f t="shared" si="72"/>
        <v>0</v>
      </c>
      <c r="BV600" s="142">
        <f t="shared" si="73"/>
        <v>0</v>
      </c>
    </row>
    <row r="601" spans="1:74" x14ac:dyDescent="0.35">
      <c r="A601" s="1165"/>
      <c r="B601" s="1165"/>
      <c r="C601" s="1165"/>
      <c r="D601" s="1165"/>
      <c r="E601" s="1166"/>
      <c r="F601" s="1166"/>
      <c r="G601" s="1166"/>
      <c r="H601" s="1166"/>
      <c r="I601" s="1166"/>
      <c r="J601" s="1166"/>
      <c r="K601" s="1166"/>
      <c r="L601" s="490" t="str" cm="1">
        <f t="array" ref="L601">IF(A601&lt;&gt;"",IFERROR(INDEX(PMtbl[[WKst]:[Unit of measure*]],MATCH($A$544&amp;$A601&amp;$E601&amp;$I601,INDEX(PMtbl[Sec]&amp;PMtbl[Category]&amp;PMtbl[Each]&amp;PMtbl[Packaging],0,),0),14),""),"")</f>
        <v/>
      </c>
      <c r="M601" s="479" t="str">
        <f>IF(L601="","",INDEX(SETUP!$E$20:$E$122,(MATCH(INDEX(PMsheet!$D:$E,MATCH(A601,PMsheet!E:E,0),1),SETUP!$D$20:$D$122,0))))</f>
        <v/>
      </c>
      <c r="N601" s="491">
        <f>IF($O601="USD",_xlfn.IFNA(VLOOKUP(A601&amp;E601&amp;I601,PMsheet!J:K,2,0),0),(_xlfn.IFNA(VLOOKUP(A601&amp;E601&amp;I601,PMsheet!J:K,2,0),0)*'Master Data-C19RM'!$C$2))</f>
        <v>0</v>
      </c>
      <c r="O601" s="492" t="str">
        <f>IF(L601="", "",SETUP!$E$7)</f>
        <v/>
      </c>
      <c r="P601" s="444">
        <f>IF($O601="USD",_xlfn.IFNA(VLOOKUP($A601&amp;$E601&amp;$I601,PMsheet!$J:$K,2,0),0),(_xlfn.IFNA(VLOOKUP($A601&amp;$E601&amp;$I601,PMsheet!$J:$K,2,0),0)*'Master Data-C19RM'!$C$2))</f>
        <v>0</v>
      </c>
      <c r="Q601" s="441"/>
      <c r="R601" s="441"/>
      <c r="S601" s="441"/>
      <c r="T601" s="441"/>
      <c r="U601" s="481">
        <f t="shared" ref="U601:U648" si="79">SUM($Q601:$T601)</f>
        <v>0</v>
      </c>
      <c r="V601" s="483">
        <f>IF(SETUP!$E$7="USD",(U601*(IF(O601="USD",P601,(P601/'Master Data-C19RM'!$C$2)))),(U601*(IF(O601="EUR",P601,(P601*'Master Data-C19RM'!$C$2)))))</f>
        <v>0</v>
      </c>
      <c r="W601" s="444">
        <f>IF($O601="USD",_xlfn.IFNA(VLOOKUP($A601&amp;$E601&amp;$I601,PMsheet!$J:$K,2,0),0),(_xlfn.IFNA(VLOOKUP($A601&amp;$E601&amp;$I601,PMsheet!$J:$K,2,0),0)*'Master Data-C19RM'!$D$2))</f>
        <v>0</v>
      </c>
      <c r="X601" s="441"/>
      <c r="Y601" s="441"/>
      <c r="Z601" s="441"/>
      <c r="AA601" s="441"/>
      <c r="AB601" s="481">
        <f t="shared" ref="AB601:AB648" si="80">SUM($X601:$AA601)</f>
        <v>0</v>
      </c>
      <c r="AC601" s="483">
        <f>IF(SETUP!$E$7="USD",(AB601*(IF(O601="USD",W601,(W601/'Master Data-C19RM'!$D$2)))),(AB601*(IF(O601="EUR",W601,(W601*'Master Data-C19RM'!$D$2)))))</f>
        <v>0</v>
      </c>
      <c r="AD601" s="444">
        <f>IF($O601="USD",_xlfn.IFNA(VLOOKUP($A601&amp;$E601&amp;$I601,PMsheet!$J:$K,2,0),0),(_xlfn.IFNA(VLOOKUP($A601&amp;$E601&amp;$I601,PMsheet!$J:$K,2,0),0)*'Master Data-C19RM'!$E$2))</f>
        <v>0</v>
      </c>
      <c r="AE601" s="441"/>
      <c r="AF601" s="441"/>
      <c r="AG601" s="441"/>
      <c r="AH601" s="441"/>
      <c r="AI601" s="512">
        <f t="shared" ref="AI601:AI648" si="81">SUM($AE601:$AH601)</f>
        <v>0</v>
      </c>
      <c r="AJ601" s="513">
        <f>IF(SETUP!$E$7="USD",(AI601*(IF(O601="USD",AD601,(AD601/'Master Data-C19RM'!$E$2)))),(AI601*(IF(O601="EUR",AD601,(AD601*'Master Data-C19RM'!$E$2)))))</f>
        <v>0</v>
      </c>
      <c r="AK601" s="444">
        <f>IF($O601="USD",_xlfn.IFNA(VLOOKUP($A601&amp;$E601&amp;$I601,PMsheet!$J:$K,2,0),0),(_xlfn.IFNA(VLOOKUP($A601&amp;$E601&amp;$I601,PMsheet!$J:$K,2,0),0)*'Master Data-C19RM'!$F$2))</f>
        <v>0</v>
      </c>
      <c r="AL601" s="441"/>
      <c r="AM601" s="441"/>
      <c r="AN601" s="441"/>
      <c r="AO601" s="441"/>
      <c r="AP601" s="512">
        <f t="shared" ref="AP601:AP648" si="82">SUM($AL601:$AO601)</f>
        <v>0</v>
      </c>
      <c r="AQ601" s="513">
        <f>IF(SETUP!$E$7="USD",(AP601*(IF(O601="USD",AK601,(AK601/'Master Data-C19RM'!$F$2)))),(AP601*(IF(O601="EUR",AK601,(AK601*'Master Data-C19RM'!$F$2)))))</f>
        <v>0</v>
      </c>
      <c r="AR601" s="924">
        <f>IF($O601="USD",_xlfn.IFNA(VLOOKUP($A601&amp;$E601&amp;$I601,PMsheet!$J:$K,2,0),0),(_xlfn.IFNA(VLOOKUP($A601&amp;$E601&amp;$I601,PMsheet!$J:$K,2,0),0)*'Master Data-C19RM'!$G$2))</f>
        <v>0</v>
      </c>
      <c r="AS601" s="572"/>
      <c r="AT601" s="572"/>
      <c r="AU601" s="572"/>
      <c r="AV601" s="572"/>
      <c r="AW601" s="512">
        <f t="shared" si="78"/>
        <v>0</v>
      </c>
      <c r="AX601" s="512">
        <f>IF(SETUP!$E$7="USD",(AW601*(IF(O601="USD",AR601,(AR601/'Master Data-C19RM'!$G$2)))),(AW601*(IF(O601="EUR",AR601,(AR601*'Master Data-C19RM'!$G$2)))))</f>
        <v>0</v>
      </c>
      <c r="AY601" s="845"/>
      <c r="AZ601" s="846"/>
      <c r="BA601" s="846"/>
      <c r="BB601" s="846"/>
      <c r="BC601" s="846"/>
      <c r="BD601" s="846"/>
      <c r="BE601" s="847"/>
      <c r="BF601" s="520">
        <f>'C19RM 2021-Lab &amp; Other HPS'!$U601+'C19RM 2021-Lab &amp; Other HPS'!$AB601+'C19RM 2021-Lab &amp; Other HPS'!$AP601+'C19RM 2021-Lab &amp; Other HPS'!$AI601+AW601+BD601</f>
        <v>0</v>
      </c>
      <c r="BG601" s="513">
        <f>'C19RM 2021-Lab &amp; Other HPS'!$V601+'C19RM 2021-Lab &amp; Other HPS'!$AC601+'C19RM 2021-Lab &amp; Other HPS'!$AQ601+'C19RM 2021-Lab &amp; Other HPS'!$AJ601+AX601+BE601</f>
        <v>0</v>
      </c>
      <c r="BH601" s="500" t="str" cm="1">
        <f t="array" ref="BH601">IF(A601&lt;&gt;"",IFERROR(INDEX(PMtbl[[WKst]:[Unit of measure*]],MATCH($A$544&amp;$A601&amp;$E601&amp;$I601,INDEX(PMtbl[Sec]&amp;PMtbl[Category]&amp;PMtbl[Each]&amp;PMtbl[Packaging],0,),0),11),""),"")</f>
        <v/>
      </c>
      <c r="BI601" s="819"/>
      <c r="BJ601" s="502" t="str" cm="1">
        <f t="array" ref="BJ601">IFERROR(INDEX(SETUP!$C$19:$G$121,MATCH((INDEX(PMtbl[[WKst]:[Unit of measure*]],MATCH($A601&amp;$E601&amp;$I601,INDEX(PMtbl[Category]&amp;PMtbl[Each]&amp;PMtbl[Packaging],0,),0),3)),SETUP!$D$19:$D$121,0),5),"")</f>
        <v/>
      </c>
      <c r="BK601" s="542" t="str" cm="1">
        <f t="array" ref="BK601">IFERROR(IF((INDEX(SETUP!$C$19:$G$121,MATCH((INDEX(PMtbl[[WKst]:[Unit of measure*]],MATCH($A601&amp;$E601&amp;$I601,INDEX(PMtbl[Category]&amp;PMtbl[Each]&amp;PMtbl[Packaging],0,),0),3)),SETUP!$D$19:$D$121,0),4))="Upfront",0,INDEX(SETUP!$C$19:$G$121,MATCH((INDEX(PMtbl[[WKst]:[Unit of measure*]],MATCH($A601&amp;$E601&amp;$I601,INDEX(PMtbl[Category]&amp;PMtbl[Each]&amp;PMtbl[Packaging],0,),0),3)),SETUP!$D$19:$D$121,0),5)),"")</f>
        <v/>
      </c>
      <c r="BL601" s="200" t="str" cm="1">
        <f t="array" ref="BL601">IF(E601&lt;&gt;"",IFERROR(INDEX(PMtbl[[WKst]:[Unit of measure*]],MATCH($A$544&amp;$A601&amp;$E601&amp;$I601,INDEX(PMtbl[Sec]&amp;PMtbl[Category]&amp;PMtbl[Each]&amp;PMtbl[Packaging],0,),0),11),""),"")</f>
        <v/>
      </c>
      <c r="BO601" s="12">
        <f>IF(N601="",0,IF(SETUP!$E$7="USD",((IF(O601="USD",P601,(P601/'Master Data-C19RM'!$C$2)))),((IF(O601="EUR",P601,(P601*'Master Data-C19RM'!$C$2))))))</f>
        <v>0</v>
      </c>
      <c r="BP601" s="12">
        <f>IF(N601="",0,IF(SETUP!$E$7="USD",((IF(O601="USD",W601,(W601/'Master Data-C19RM'!$D$2)))),((IF(O601="EUR",W601,(W601*'Master Data-C19RM'!$D$2))))))</f>
        <v>0</v>
      </c>
      <c r="BQ601">
        <f>IF(N601="",0,IF(SETUP!$E$7="USD",((IF(O601="USD",AD601,(AD601/'Master Data-C19RM'!$E$2)))),((IF(O601="EUR",AD601,(AD601*'Master Data-C19RM'!$E$2))))))</f>
        <v>0</v>
      </c>
      <c r="BR601">
        <f>IF(N601="",0,IF(SETUP!$E$7="USD",((IF(O601="USD",AK601,(AK601/'Master Data-C19RM'!$F$2)))),((IF(O601="EUR",AK601,(AK601*'Master Data-C19RM'!$F$2))))))</f>
        <v>0</v>
      </c>
      <c r="BS601">
        <f>IF(N601="",0,IF(SETUP!$E$7="USD",((IF(O601="USD",AR601,(AR601/'Master Data-C19RM'!$G$2)))),((IF(O601="EUR",AR601,(AR601*'Master Data-C19RM'!$G$2))))))</f>
        <v>0</v>
      </c>
      <c r="BT601">
        <f>IF(N601="",0,IF(SETUP!$E$7="USD",((IF(O601="USD",AY601,(AY601/'Master Data-C19RM'!$H$2)))),((IF(O601="EUR",AY601,(AY601*'Master Data-C19RM'!$H$2))))))</f>
        <v>0</v>
      </c>
      <c r="BU601" s="12">
        <f t="shared" si="72"/>
        <v>0</v>
      </c>
      <c r="BV601" s="142">
        <f t="shared" si="73"/>
        <v>0</v>
      </c>
    </row>
    <row r="602" spans="1:74" x14ac:dyDescent="0.35">
      <c r="A602" s="1192"/>
      <c r="B602" s="1192"/>
      <c r="C602" s="1192"/>
      <c r="D602" s="1192"/>
      <c r="E602" s="1173"/>
      <c r="F602" s="1173"/>
      <c r="G602" s="1173"/>
      <c r="H602" s="1173"/>
      <c r="I602" s="1173"/>
      <c r="J602" s="1173"/>
      <c r="K602" s="1173"/>
      <c r="L602" s="493" t="str" cm="1">
        <f t="array" ref="L602">IF(A602&lt;&gt;"",IFERROR(INDEX(PMtbl[[WKst]:[Unit of measure*]],MATCH($A$544&amp;$A602&amp;$E602&amp;$I602,INDEX(PMtbl[Sec]&amp;PMtbl[Category]&amp;PMtbl[Each]&amp;PMtbl[Packaging],0,),0),14),""),"")</f>
        <v/>
      </c>
      <c r="M602" s="480" t="str">
        <f>IF(L602="","",INDEX(SETUP!$E$20:$E$122,(MATCH(INDEX(PMsheet!$D:$E,MATCH(A602,PMsheet!E:E,0),1),SETUP!$D$20:$D$122,0))))</f>
        <v/>
      </c>
      <c r="N602" s="494">
        <f>IF($O602="USD",_xlfn.IFNA(VLOOKUP(A602&amp;E602&amp;I602,PMsheet!J:K,2,0),0),(_xlfn.IFNA(VLOOKUP(A602&amp;E602&amp;I602,PMsheet!J:K,2,0),0)*'Master Data-C19RM'!$C$2))</f>
        <v>0</v>
      </c>
      <c r="O602" s="495" t="str">
        <f>IF(L602="", "",SETUP!$E$7)</f>
        <v/>
      </c>
      <c r="P602" s="445">
        <f>IF($O602="USD",_xlfn.IFNA(VLOOKUP($A602&amp;$E602&amp;$I602,PMsheet!$J:$K,2,0),0),(_xlfn.IFNA(VLOOKUP($A602&amp;$E602&amp;$I602,PMsheet!$J:$K,2,0),0)*'Master Data-C19RM'!$C$2))</f>
        <v>0</v>
      </c>
      <c r="Q602" s="440"/>
      <c r="R602" s="440"/>
      <c r="S602" s="440"/>
      <c r="T602" s="440"/>
      <c r="U602" s="482">
        <f t="shared" si="79"/>
        <v>0</v>
      </c>
      <c r="V602" s="484">
        <f>IF(SETUP!$E$7="USD",(U602*(IF(O602="USD",P602,(P602/'Master Data-C19RM'!$C$2)))),(U602*(IF(O602="EUR",P602,(P602*'Master Data-C19RM'!$C$2)))))</f>
        <v>0</v>
      </c>
      <c r="W602" s="445">
        <f>IF($O602="USD",_xlfn.IFNA(VLOOKUP($A602&amp;$E602&amp;$I602,PMsheet!$J:$K,2,0),0),(_xlfn.IFNA(VLOOKUP($A602&amp;$E602&amp;$I602,PMsheet!$J:$K,2,0),0)*'Master Data-C19RM'!$D$2))</f>
        <v>0</v>
      </c>
      <c r="X602" s="440"/>
      <c r="Y602" s="440"/>
      <c r="Z602" s="440"/>
      <c r="AA602" s="440"/>
      <c r="AB602" s="482">
        <f t="shared" si="80"/>
        <v>0</v>
      </c>
      <c r="AC602" s="484">
        <f>IF(SETUP!$E$7="USD",(AB602*(IF(O602="USD",W602,(W602/'Master Data-C19RM'!$D$2)))),(AB602*(IF(O602="EUR",W602,(W602*'Master Data-C19RM'!$D$2)))))</f>
        <v>0</v>
      </c>
      <c r="AD602" s="445">
        <f>IF($O602="USD",_xlfn.IFNA(VLOOKUP($A602&amp;$E602&amp;$I602,PMsheet!$J:$K,2,0),0),(_xlfn.IFNA(VLOOKUP($A602&amp;$E602&amp;$I602,PMsheet!$J:$K,2,0),0)*'Master Data-C19RM'!$E$2))</f>
        <v>0</v>
      </c>
      <c r="AE602" s="440"/>
      <c r="AF602" s="440"/>
      <c r="AG602" s="440"/>
      <c r="AH602" s="440"/>
      <c r="AI602" s="514">
        <f t="shared" si="81"/>
        <v>0</v>
      </c>
      <c r="AJ602" s="515">
        <f>IF(SETUP!$E$7="USD",(AI602*(IF(O602="USD",AD602,(AD602/'Master Data-C19RM'!$E$2)))),(AI602*(IF(O602="EUR",AD602,(AD602*'Master Data-C19RM'!$E$2)))))</f>
        <v>0</v>
      </c>
      <c r="AK602" s="445">
        <f>IF($O602="USD",_xlfn.IFNA(VLOOKUP($A602&amp;$E602&amp;$I602,PMsheet!$J:$K,2,0),0),(_xlfn.IFNA(VLOOKUP($A602&amp;$E602&amp;$I602,PMsheet!$J:$K,2,0),0)*'Master Data-C19RM'!$F$2))</f>
        <v>0</v>
      </c>
      <c r="AL602" s="440"/>
      <c r="AM602" s="440"/>
      <c r="AN602" s="440"/>
      <c r="AO602" s="440"/>
      <c r="AP602" s="514">
        <f t="shared" si="82"/>
        <v>0</v>
      </c>
      <c r="AQ602" s="515">
        <f>IF(SETUP!$E$7="USD",(AP602*(IF(O602="USD",AK602,(AK602/'Master Data-C19RM'!$F$2)))),(AP602*(IF(O602="EUR",AK602,(AK602*'Master Data-C19RM'!$F$2)))))</f>
        <v>0</v>
      </c>
      <c r="AR602" s="925">
        <f>IF($O602="USD",_xlfn.IFNA(VLOOKUP($A602&amp;$E602&amp;$I602,PMsheet!$J:$K,2,0),0),(_xlfn.IFNA(VLOOKUP($A602&amp;$E602&amp;$I602,PMsheet!$J:$K,2,0),0)*'Master Data-C19RM'!$G$2))</f>
        <v>0</v>
      </c>
      <c r="AS602" s="926"/>
      <c r="AT602" s="926"/>
      <c r="AU602" s="926"/>
      <c r="AV602" s="926"/>
      <c r="AW602" s="514">
        <f t="shared" si="78"/>
        <v>0</v>
      </c>
      <c r="AX602" s="514">
        <f>IF(SETUP!$E$7="USD",(AW602*(IF(O602="USD",AR602,(AR602/'Master Data-C19RM'!$G$2)))),(AW602*(IF(O602="EUR",AR602,(AR602*'Master Data-C19RM'!$G$2)))))</f>
        <v>0</v>
      </c>
      <c r="AY602" s="845"/>
      <c r="AZ602" s="846"/>
      <c r="BA602" s="846"/>
      <c r="BB602" s="846"/>
      <c r="BC602" s="846"/>
      <c r="BD602" s="846"/>
      <c r="BE602" s="847"/>
      <c r="BF602" s="521">
        <f>'C19RM 2021-Lab &amp; Other HPS'!$U602+'C19RM 2021-Lab &amp; Other HPS'!$AB602+'C19RM 2021-Lab &amp; Other HPS'!$AP602+'C19RM 2021-Lab &amp; Other HPS'!$AI602+AW602+BD602</f>
        <v>0</v>
      </c>
      <c r="BG602" s="515">
        <f>'C19RM 2021-Lab &amp; Other HPS'!$V602+'C19RM 2021-Lab &amp; Other HPS'!$AC602+'C19RM 2021-Lab &amp; Other HPS'!$AQ602+'C19RM 2021-Lab &amp; Other HPS'!$AJ602+AX602+BE602</f>
        <v>0</v>
      </c>
      <c r="BH602" s="522" t="str" cm="1">
        <f t="array" ref="BH602">IF(A602&lt;&gt;"",IFERROR(INDEX(PMtbl[[WKst]:[Unit of measure*]],MATCH($A$544&amp;$A602&amp;$E602&amp;$I602,INDEX(PMtbl[Sec]&amp;PMtbl[Category]&amp;PMtbl[Each]&amp;PMtbl[Packaging],0,),0),11),""),"")</f>
        <v/>
      </c>
      <c r="BI602" s="818"/>
      <c r="BJ602" s="503" t="str" cm="1">
        <f t="array" ref="BJ602">IFERROR(INDEX(SETUP!$C$19:$G$121,MATCH((INDEX(PMtbl[[WKst]:[Unit of measure*]],MATCH($A602&amp;$E602&amp;$I602,INDEX(PMtbl[Category]&amp;PMtbl[Each]&amp;PMtbl[Packaging],0,),0),3)),SETUP!$D$19:$D$121,0),5),"")</f>
        <v/>
      </c>
      <c r="BK602" s="543" t="str" cm="1">
        <f t="array" ref="BK602">IFERROR(IF((INDEX(SETUP!$C$19:$G$121,MATCH((INDEX(PMtbl[[WKst]:[Unit of measure*]],MATCH($A602&amp;$E602&amp;$I602,INDEX(PMtbl[Category]&amp;PMtbl[Each]&amp;PMtbl[Packaging],0,),0),3)),SETUP!$D$19:$D$121,0),4))="Upfront",0,INDEX(SETUP!$C$19:$G$121,MATCH((INDEX(PMtbl[[WKst]:[Unit of measure*]],MATCH($A602&amp;$E602&amp;$I602,INDEX(PMtbl[Category]&amp;PMtbl[Each]&amp;PMtbl[Packaging],0,),0),3)),SETUP!$D$19:$D$121,0),5)),"")</f>
        <v/>
      </c>
      <c r="BL602" s="201" t="str" cm="1">
        <f t="array" ref="BL602">IF(E602&lt;&gt;"",IFERROR(INDEX(PMtbl[[WKst]:[Unit of measure*]],MATCH($A$544&amp;$A602&amp;$E602&amp;$I602,INDEX(PMtbl[Sec]&amp;PMtbl[Category]&amp;PMtbl[Each]&amp;PMtbl[Packaging],0,),0),11),""),"")</f>
        <v/>
      </c>
      <c r="BO602" s="12">
        <f>IF(N602="",0,IF(SETUP!$E$7="USD",((IF(O602="USD",P602,(P602/'Master Data-C19RM'!$C$2)))),((IF(O602="EUR",P602,(P602*'Master Data-C19RM'!$C$2))))))</f>
        <v>0</v>
      </c>
      <c r="BP602" s="12">
        <f>IF(N602="",0,IF(SETUP!$E$7="USD",((IF(O602="USD",W602,(W602/'Master Data-C19RM'!$D$2)))),((IF(O602="EUR",W602,(W602*'Master Data-C19RM'!$D$2))))))</f>
        <v>0</v>
      </c>
      <c r="BQ602">
        <f>IF(N602="",0,IF(SETUP!$E$7="USD",((IF(O602="USD",AD602,(AD602/'Master Data-C19RM'!$E$2)))),((IF(O602="EUR",AD602,(AD602*'Master Data-C19RM'!$E$2))))))</f>
        <v>0</v>
      </c>
      <c r="BR602">
        <f>IF(N602="",0,IF(SETUP!$E$7="USD",((IF(O602="USD",AK602,(AK602/'Master Data-C19RM'!$F$2)))),((IF(O602="EUR",AK602,(AK602*'Master Data-C19RM'!$F$2))))))</f>
        <v>0</v>
      </c>
      <c r="BS602">
        <f>IF(N602="",0,IF(SETUP!$E$7="USD",((IF(O602="USD",AR602,(AR602/'Master Data-C19RM'!$G$2)))),((IF(O602="EUR",AR602,(AR602*'Master Data-C19RM'!$G$2))))))</f>
        <v>0</v>
      </c>
      <c r="BT602">
        <f>IF(N602="",0,IF(SETUP!$E$7="USD",((IF(O602="USD",AY602,(AY602/'Master Data-C19RM'!$H$2)))),((IF(O602="EUR",AY602,(AY602*'Master Data-C19RM'!$H$2))))))</f>
        <v>0</v>
      </c>
      <c r="BU602" s="12">
        <f t="shared" si="72"/>
        <v>0</v>
      </c>
      <c r="BV602" s="142">
        <f t="shared" si="73"/>
        <v>0</v>
      </c>
    </row>
    <row r="603" spans="1:74" x14ac:dyDescent="0.35">
      <c r="A603" s="1165"/>
      <c r="B603" s="1165"/>
      <c r="C603" s="1165"/>
      <c r="D603" s="1165"/>
      <c r="E603" s="1166"/>
      <c r="F603" s="1166"/>
      <c r="G603" s="1166"/>
      <c r="H603" s="1166"/>
      <c r="I603" s="1166"/>
      <c r="J603" s="1166"/>
      <c r="K603" s="1166"/>
      <c r="L603" s="490" t="str" cm="1">
        <f t="array" ref="L603">IF(A603&lt;&gt;"",IFERROR(INDEX(PMtbl[[WKst]:[Unit of measure*]],MATCH($A$544&amp;$A603&amp;$E603&amp;$I603,INDEX(PMtbl[Sec]&amp;PMtbl[Category]&amp;PMtbl[Each]&amp;PMtbl[Packaging],0,),0),14),""),"")</f>
        <v/>
      </c>
      <c r="M603" s="479" t="str">
        <f>IF(L603="","",INDEX(SETUP!$E$20:$E$122,(MATCH(INDEX(PMsheet!$D:$E,MATCH(A603,PMsheet!E:E,0),1),SETUP!$D$20:$D$122,0))))</f>
        <v/>
      </c>
      <c r="N603" s="491">
        <f>IF($O603="USD",_xlfn.IFNA(VLOOKUP(A603&amp;E603&amp;I603,PMsheet!J:K,2,0),0),(_xlfn.IFNA(VLOOKUP(A603&amp;E603&amp;I603,PMsheet!J:K,2,0),0)*'Master Data-C19RM'!$C$2))</f>
        <v>0</v>
      </c>
      <c r="O603" s="492" t="str">
        <f>IF(L603="", "",SETUP!$E$7)</f>
        <v/>
      </c>
      <c r="P603" s="444">
        <f>IF($O603="USD",_xlfn.IFNA(VLOOKUP($A603&amp;$E603&amp;$I603,PMsheet!$J:$K,2,0),0),(_xlfn.IFNA(VLOOKUP($A603&amp;$E603&amp;$I603,PMsheet!$J:$K,2,0),0)*'Master Data-C19RM'!$C$2))</f>
        <v>0</v>
      </c>
      <c r="Q603" s="441"/>
      <c r="R603" s="441"/>
      <c r="S603" s="441"/>
      <c r="T603" s="441"/>
      <c r="U603" s="481">
        <f t="shared" si="79"/>
        <v>0</v>
      </c>
      <c r="V603" s="483">
        <f>IF(SETUP!$E$7="USD",(U603*(IF(O603="USD",P603,(P603/'Master Data-C19RM'!$C$2)))),(U603*(IF(O603="EUR",P603,(P603*'Master Data-C19RM'!$C$2)))))</f>
        <v>0</v>
      </c>
      <c r="W603" s="444">
        <f>IF($O603="USD",_xlfn.IFNA(VLOOKUP($A603&amp;$E603&amp;$I603,PMsheet!$J:$K,2,0),0),(_xlfn.IFNA(VLOOKUP($A603&amp;$E603&amp;$I603,PMsheet!$J:$K,2,0),0)*'Master Data-C19RM'!$D$2))</f>
        <v>0</v>
      </c>
      <c r="X603" s="441"/>
      <c r="Y603" s="441"/>
      <c r="Z603" s="441"/>
      <c r="AA603" s="441"/>
      <c r="AB603" s="481">
        <f t="shared" si="80"/>
        <v>0</v>
      </c>
      <c r="AC603" s="483">
        <f>IF(SETUP!$E$7="USD",(AB603*(IF(O603="USD",W603,(W603/'Master Data-C19RM'!$D$2)))),(AB603*(IF(O603="EUR",W603,(W603*'Master Data-C19RM'!$D$2)))))</f>
        <v>0</v>
      </c>
      <c r="AD603" s="444">
        <f>IF($O603="USD",_xlfn.IFNA(VLOOKUP($A603&amp;$E603&amp;$I603,PMsheet!$J:$K,2,0),0),(_xlfn.IFNA(VLOOKUP($A603&amp;$E603&amp;$I603,PMsheet!$J:$K,2,0),0)*'Master Data-C19RM'!$E$2))</f>
        <v>0</v>
      </c>
      <c r="AE603" s="441"/>
      <c r="AF603" s="441"/>
      <c r="AG603" s="441"/>
      <c r="AH603" s="441"/>
      <c r="AI603" s="512">
        <f t="shared" si="81"/>
        <v>0</v>
      </c>
      <c r="AJ603" s="513">
        <f>IF(SETUP!$E$7="USD",(AI603*(IF(O603="USD",AD603,(AD603/'Master Data-C19RM'!$E$2)))),(AI603*(IF(O603="EUR",AD603,(AD603*'Master Data-C19RM'!$E$2)))))</f>
        <v>0</v>
      </c>
      <c r="AK603" s="444">
        <f>IF($O603="USD",_xlfn.IFNA(VLOOKUP($A603&amp;$E603&amp;$I603,PMsheet!$J:$K,2,0),0),(_xlfn.IFNA(VLOOKUP($A603&amp;$E603&amp;$I603,PMsheet!$J:$K,2,0),0)*'Master Data-C19RM'!$F$2))</f>
        <v>0</v>
      </c>
      <c r="AL603" s="441"/>
      <c r="AM603" s="441"/>
      <c r="AN603" s="441"/>
      <c r="AO603" s="441"/>
      <c r="AP603" s="512">
        <f t="shared" si="82"/>
        <v>0</v>
      </c>
      <c r="AQ603" s="513">
        <f>IF(SETUP!$E$7="USD",(AP603*(IF(O603="USD",AK603,(AK603/'Master Data-C19RM'!$F$2)))),(AP603*(IF(O603="EUR",AK603,(AK603*'Master Data-C19RM'!$F$2)))))</f>
        <v>0</v>
      </c>
      <c r="AR603" s="924">
        <f>IF($O603="USD",_xlfn.IFNA(VLOOKUP($A603&amp;$E603&amp;$I603,PMsheet!$J:$K,2,0),0),(_xlfn.IFNA(VLOOKUP($A603&amp;$E603&amp;$I603,PMsheet!$J:$K,2,0),0)*'Master Data-C19RM'!$G$2))</f>
        <v>0</v>
      </c>
      <c r="AS603" s="572"/>
      <c r="AT603" s="572"/>
      <c r="AU603" s="572"/>
      <c r="AV603" s="572"/>
      <c r="AW603" s="512">
        <f t="shared" si="78"/>
        <v>0</v>
      </c>
      <c r="AX603" s="512">
        <f>IF(SETUP!$E$7="USD",(AW603*(IF(O603="USD",AR603,(AR603/'Master Data-C19RM'!$G$2)))),(AW603*(IF(O603="EUR",AR603,(AR603*'Master Data-C19RM'!$G$2)))))</f>
        <v>0</v>
      </c>
      <c r="AY603" s="845"/>
      <c r="AZ603" s="846"/>
      <c r="BA603" s="846"/>
      <c r="BB603" s="846"/>
      <c r="BC603" s="846"/>
      <c r="BD603" s="846"/>
      <c r="BE603" s="847"/>
      <c r="BF603" s="520">
        <f>'C19RM 2021-Lab &amp; Other HPS'!$U603+'C19RM 2021-Lab &amp; Other HPS'!$AB603+'C19RM 2021-Lab &amp; Other HPS'!$AP603+'C19RM 2021-Lab &amp; Other HPS'!$AI603+AW603+BD603</f>
        <v>0</v>
      </c>
      <c r="BG603" s="513">
        <f>'C19RM 2021-Lab &amp; Other HPS'!$V603+'C19RM 2021-Lab &amp; Other HPS'!$AC603+'C19RM 2021-Lab &amp; Other HPS'!$AQ603+'C19RM 2021-Lab &amp; Other HPS'!$AJ603+AX603+BE603</f>
        <v>0</v>
      </c>
      <c r="BH603" s="500" t="str" cm="1">
        <f t="array" ref="BH603">IF(A603&lt;&gt;"",IFERROR(INDEX(PMtbl[[WKst]:[Unit of measure*]],MATCH($A$544&amp;$A603&amp;$E603&amp;$I603,INDEX(PMtbl[Sec]&amp;PMtbl[Category]&amp;PMtbl[Each]&amp;PMtbl[Packaging],0,),0),11),""),"")</f>
        <v/>
      </c>
      <c r="BI603" s="819"/>
      <c r="BJ603" s="502" t="str" cm="1">
        <f t="array" ref="BJ603">IFERROR(INDEX(SETUP!$C$19:$G$121,MATCH((INDEX(PMtbl[[WKst]:[Unit of measure*]],MATCH($A603&amp;$E603&amp;$I603,INDEX(PMtbl[Category]&amp;PMtbl[Each]&amp;PMtbl[Packaging],0,),0),3)),SETUP!$D$19:$D$121,0),5),"")</f>
        <v/>
      </c>
      <c r="BK603" s="542" t="str" cm="1">
        <f t="array" ref="BK603">IFERROR(IF((INDEX(SETUP!$C$19:$G$121,MATCH((INDEX(PMtbl[[WKst]:[Unit of measure*]],MATCH($A603&amp;$E603&amp;$I603,INDEX(PMtbl[Category]&amp;PMtbl[Each]&amp;PMtbl[Packaging],0,),0),3)),SETUP!$D$19:$D$121,0),4))="Upfront",0,INDEX(SETUP!$C$19:$G$121,MATCH((INDEX(PMtbl[[WKst]:[Unit of measure*]],MATCH($A603&amp;$E603&amp;$I603,INDEX(PMtbl[Category]&amp;PMtbl[Each]&amp;PMtbl[Packaging],0,),0),3)),SETUP!$D$19:$D$121,0),5)),"")</f>
        <v/>
      </c>
      <c r="BL603" s="200" t="str" cm="1">
        <f t="array" ref="BL603">IF(E603&lt;&gt;"",IFERROR(INDEX(PMtbl[[WKst]:[Unit of measure*]],MATCH($A$544&amp;$A603&amp;$E603&amp;$I603,INDEX(PMtbl[Sec]&amp;PMtbl[Category]&amp;PMtbl[Each]&amp;PMtbl[Packaging],0,),0),11),""),"")</f>
        <v/>
      </c>
      <c r="BO603" s="12">
        <f>IF(N603="",0,IF(SETUP!$E$7="USD",((IF(O603="USD",P603,(P603/'Master Data-C19RM'!$C$2)))),((IF(O603="EUR",P603,(P603*'Master Data-C19RM'!$C$2))))))</f>
        <v>0</v>
      </c>
      <c r="BP603" s="12">
        <f>IF(N603="",0,IF(SETUP!$E$7="USD",((IF(O603="USD",W603,(W603/'Master Data-C19RM'!$D$2)))),((IF(O603="EUR",W603,(W603*'Master Data-C19RM'!$D$2))))))</f>
        <v>0</v>
      </c>
      <c r="BQ603">
        <f>IF(N603="",0,IF(SETUP!$E$7="USD",((IF(O603="USD",AD603,(AD603/'Master Data-C19RM'!$E$2)))),((IF(O603="EUR",AD603,(AD603*'Master Data-C19RM'!$E$2))))))</f>
        <v>0</v>
      </c>
      <c r="BR603">
        <f>IF(N603="",0,IF(SETUP!$E$7="USD",((IF(O603="USD",AK603,(AK603/'Master Data-C19RM'!$F$2)))),((IF(O603="EUR",AK603,(AK603*'Master Data-C19RM'!$F$2))))))</f>
        <v>0</v>
      </c>
      <c r="BS603">
        <f>IF(N603="",0,IF(SETUP!$E$7="USD",((IF(O603="USD",AR603,(AR603/'Master Data-C19RM'!$G$2)))),((IF(O603="EUR",AR603,(AR603*'Master Data-C19RM'!$G$2))))))</f>
        <v>0</v>
      </c>
      <c r="BT603">
        <f>IF(N603="",0,IF(SETUP!$E$7="USD",((IF(O603="USD",AY603,(AY603/'Master Data-C19RM'!$H$2)))),((IF(O603="EUR",AY603,(AY603*'Master Data-C19RM'!$H$2))))))</f>
        <v>0</v>
      </c>
      <c r="BU603" s="12">
        <f t="shared" si="72"/>
        <v>0</v>
      </c>
      <c r="BV603" s="142">
        <f t="shared" si="73"/>
        <v>0</v>
      </c>
    </row>
    <row r="604" spans="1:74" x14ac:dyDescent="0.35">
      <c r="A604" s="1192"/>
      <c r="B604" s="1192"/>
      <c r="C604" s="1192"/>
      <c r="D604" s="1192"/>
      <c r="E604" s="1173"/>
      <c r="F604" s="1173"/>
      <c r="G604" s="1173"/>
      <c r="H604" s="1173"/>
      <c r="I604" s="1173"/>
      <c r="J604" s="1173"/>
      <c r="K604" s="1173"/>
      <c r="L604" s="493" t="str" cm="1">
        <f t="array" ref="L604">IF(A604&lt;&gt;"",IFERROR(INDEX(PMtbl[[WKst]:[Unit of measure*]],MATCH($A$544&amp;$A604&amp;$E604&amp;$I604,INDEX(PMtbl[Sec]&amp;PMtbl[Category]&amp;PMtbl[Each]&amp;PMtbl[Packaging],0,),0),14),""),"")</f>
        <v/>
      </c>
      <c r="M604" s="480" t="str">
        <f>IF(L604="","",INDEX(SETUP!$E$20:$E$122,(MATCH(INDEX(PMsheet!$D:$E,MATCH(A604,PMsheet!E:E,0),1),SETUP!$D$20:$D$122,0))))</f>
        <v/>
      </c>
      <c r="N604" s="494">
        <f>IF($O604="USD",_xlfn.IFNA(VLOOKUP(A604&amp;E604&amp;I604,PMsheet!J:K,2,0),0),(_xlfn.IFNA(VLOOKUP(A604&amp;E604&amp;I604,PMsheet!J:K,2,0),0)*'Master Data-C19RM'!$C$2))</f>
        <v>0</v>
      </c>
      <c r="O604" s="495" t="str">
        <f>IF(L604="", "",SETUP!$E$7)</f>
        <v/>
      </c>
      <c r="P604" s="445">
        <f>IF($O604="USD",_xlfn.IFNA(VLOOKUP($A604&amp;$E604&amp;$I604,PMsheet!$J:$K,2,0),0),(_xlfn.IFNA(VLOOKUP($A604&amp;$E604&amp;$I604,PMsheet!$J:$K,2,0),0)*'Master Data-C19RM'!$C$2))</f>
        <v>0</v>
      </c>
      <c r="Q604" s="440"/>
      <c r="R604" s="440"/>
      <c r="S604" s="440"/>
      <c r="T604" s="440"/>
      <c r="U604" s="482">
        <f t="shared" si="79"/>
        <v>0</v>
      </c>
      <c r="V604" s="484">
        <f>IF(SETUP!$E$7="USD",(U604*(IF(O604="USD",P604,(P604/'Master Data-C19RM'!$C$2)))),(U604*(IF(O604="EUR",P604,(P604*'Master Data-C19RM'!$C$2)))))</f>
        <v>0</v>
      </c>
      <c r="W604" s="445">
        <f>IF($O604="USD",_xlfn.IFNA(VLOOKUP($A604&amp;$E604&amp;$I604,PMsheet!$J:$K,2,0),0),(_xlfn.IFNA(VLOOKUP($A604&amp;$E604&amp;$I604,PMsheet!$J:$K,2,0),0)*'Master Data-C19RM'!$D$2))</f>
        <v>0</v>
      </c>
      <c r="X604" s="440"/>
      <c r="Y604" s="440"/>
      <c r="Z604" s="440"/>
      <c r="AA604" s="440"/>
      <c r="AB604" s="482">
        <f t="shared" si="80"/>
        <v>0</v>
      </c>
      <c r="AC604" s="484">
        <f>IF(SETUP!$E$7="USD",(AB604*(IF(O604="USD",W604,(W604/'Master Data-C19RM'!$D$2)))),(AB604*(IF(O604="EUR",W604,(W604*'Master Data-C19RM'!$D$2)))))</f>
        <v>0</v>
      </c>
      <c r="AD604" s="445">
        <f>IF($O604="USD",_xlfn.IFNA(VLOOKUP($A604&amp;$E604&amp;$I604,PMsheet!$J:$K,2,0),0),(_xlfn.IFNA(VLOOKUP($A604&amp;$E604&amp;$I604,PMsheet!$J:$K,2,0),0)*'Master Data-C19RM'!$E$2))</f>
        <v>0</v>
      </c>
      <c r="AE604" s="440"/>
      <c r="AF604" s="440"/>
      <c r="AG604" s="440"/>
      <c r="AH604" s="440"/>
      <c r="AI604" s="514">
        <f t="shared" si="81"/>
        <v>0</v>
      </c>
      <c r="AJ604" s="515">
        <f>IF(SETUP!$E$7="USD",(AI604*(IF(O604="USD",AD604,(AD604/'Master Data-C19RM'!$E$2)))),(AI604*(IF(O604="EUR",AD604,(AD604*'Master Data-C19RM'!$E$2)))))</f>
        <v>0</v>
      </c>
      <c r="AK604" s="445">
        <f>IF($O604="USD",_xlfn.IFNA(VLOOKUP($A604&amp;$E604&amp;$I604,PMsheet!$J:$K,2,0),0),(_xlfn.IFNA(VLOOKUP($A604&amp;$E604&amp;$I604,PMsheet!$J:$K,2,0),0)*'Master Data-C19RM'!$F$2))</f>
        <v>0</v>
      </c>
      <c r="AL604" s="440"/>
      <c r="AM604" s="440"/>
      <c r="AN604" s="440"/>
      <c r="AO604" s="440"/>
      <c r="AP604" s="514">
        <f t="shared" si="82"/>
        <v>0</v>
      </c>
      <c r="AQ604" s="515">
        <f>IF(SETUP!$E$7="USD",(AP604*(IF(O604="USD",AK604,(AK604/'Master Data-C19RM'!$F$2)))),(AP604*(IF(O604="EUR",AK604,(AK604*'Master Data-C19RM'!$F$2)))))</f>
        <v>0</v>
      </c>
      <c r="AR604" s="925">
        <f>IF($O604="USD",_xlfn.IFNA(VLOOKUP($A604&amp;$E604&amp;$I604,PMsheet!$J:$K,2,0),0),(_xlfn.IFNA(VLOOKUP($A604&amp;$E604&amp;$I604,PMsheet!$J:$K,2,0),0)*'Master Data-C19RM'!$G$2))</f>
        <v>0</v>
      </c>
      <c r="AS604" s="926"/>
      <c r="AT604" s="926"/>
      <c r="AU604" s="926"/>
      <c r="AV604" s="926"/>
      <c r="AW604" s="514">
        <f t="shared" si="78"/>
        <v>0</v>
      </c>
      <c r="AX604" s="514">
        <f>IF(SETUP!$E$7="USD",(AW604*(IF(O604="USD",AR604,(AR604/'Master Data-C19RM'!$G$2)))),(AW604*(IF(O604="EUR",AR604,(AR604*'Master Data-C19RM'!$G$2)))))</f>
        <v>0</v>
      </c>
      <c r="AY604" s="845"/>
      <c r="AZ604" s="846"/>
      <c r="BA604" s="846"/>
      <c r="BB604" s="846"/>
      <c r="BC604" s="846"/>
      <c r="BD604" s="846"/>
      <c r="BE604" s="847"/>
      <c r="BF604" s="521">
        <f>'C19RM 2021-Lab &amp; Other HPS'!$U604+'C19RM 2021-Lab &amp; Other HPS'!$AB604+'C19RM 2021-Lab &amp; Other HPS'!$AP604+'C19RM 2021-Lab &amp; Other HPS'!$AI604+AW604+BD604</f>
        <v>0</v>
      </c>
      <c r="BG604" s="515">
        <f>'C19RM 2021-Lab &amp; Other HPS'!$V604+'C19RM 2021-Lab &amp; Other HPS'!$AC604+'C19RM 2021-Lab &amp; Other HPS'!$AQ604+'C19RM 2021-Lab &amp; Other HPS'!$AJ604+AX604+BE604</f>
        <v>0</v>
      </c>
      <c r="BH604" s="522" t="str" cm="1">
        <f t="array" ref="BH604">IF(A604&lt;&gt;"",IFERROR(INDEX(PMtbl[[WKst]:[Unit of measure*]],MATCH($A$544&amp;$A604&amp;$E604&amp;$I604,INDEX(PMtbl[Sec]&amp;PMtbl[Category]&amp;PMtbl[Each]&amp;PMtbl[Packaging],0,),0),11),""),"")</f>
        <v/>
      </c>
      <c r="BI604" s="818"/>
      <c r="BJ604" s="503" t="str" cm="1">
        <f t="array" ref="BJ604">IFERROR(INDEX(SETUP!$C$19:$G$121,MATCH((INDEX(PMtbl[[WKst]:[Unit of measure*]],MATCH($A604&amp;$E604&amp;$I604,INDEX(PMtbl[Category]&amp;PMtbl[Each]&amp;PMtbl[Packaging],0,),0),3)),SETUP!$D$19:$D$121,0),5),"")</f>
        <v/>
      </c>
      <c r="BK604" s="543" t="str" cm="1">
        <f t="array" ref="BK604">IFERROR(IF((INDEX(SETUP!$C$19:$G$121,MATCH((INDEX(PMtbl[[WKst]:[Unit of measure*]],MATCH($A604&amp;$E604&amp;$I604,INDEX(PMtbl[Category]&amp;PMtbl[Each]&amp;PMtbl[Packaging],0,),0),3)),SETUP!$D$19:$D$121,0),4))="Upfront",0,INDEX(SETUP!$C$19:$G$121,MATCH((INDEX(PMtbl[[WKst]:[Unit of measure*]],MATCH($A604&amp;$E604&amp;$I604,INDEX(PMtbl[Category]&amp;PMtbl[Each]&amp;PMtbl[Packaging],0,),0),3)),SETUP!$D$19:$D$121,0),5)),"")</f>
        <v/>
      </c>
      <c r="BL604" s="201" t="str" cm="1">
        <f t="array" ref="BL604">IF(E604&lt;&gt;"",IFERROR(INDEX(PMtbl[[WKst]:[Unit of measure*]],MATCH($A$544&amp;$A604&amp;$E604&amp;$I604,INDEX(PMtbl[Sec]&amp;PMtbl[Category]&amp;PMtbl[Each]&amp;PMtbl[Packaging],0,),0),11),""),"")</f>
        <v/>
      </c>
      <c r="BO604" s="12">
        <f>IF(N604="",0,IF(SETUP!$E$7="USD",((IF(O604="USD",P604,(P604/'Master Data-C19RM'!$C$2)))),((IF(O604="EUR",P604,(P604*'Master Data-C19RM'!$C$2))))))</f>
        <v>0</v>
      </c>
      <c r="BP604" s="12">
        <f>IF(N604="",0,IF(SETUP!$E$7="USD",((IF(O604="USD",W604,(W604/'Master Data-C19RM'!$D$2)))),((IF(O604="EUR",W604,(W604*'Master Data-C19RM'!$D$2))))))</f>
        <v>0</v>
      </c>
      <c r="BQ604">
        <f>IF(N604="",0,IF(SETUP!$E$7="USD",((IF(O604="USD",AD604,(AD604/'Master Data-C19RM'!$E$2)))),((IF(O604="EUR",AD604,(AD604*'Master Data-C19RM'!$E$2))))))</f>
        <v>0</v>
      </c>
      <c r="BR604">
        <f>IF(N604="",0,IF(SETUP!$E$7="USD",((IF(O604="USD",AK604,(AK604/'Master Data-C19RM'!$F$2)))),((IF(O604="EUR",AK604,(AK604*'Master Data-C19RM'!$F$2))))))</f>
        <v>0</v>
      </c>
      <c r="BS604">
        <f>IF(N604="",0,IF(SETUP!$E$7="USD",((IF(O604="USD",AR604,(AR604/'Master Data-C19RM'!$G$2)))),((IF(O604="EUR",AR604,(AR604*'Master Data-C19RM'!$G$2))))))</f>
        <v>0</v>
      </c>
      <c r="BT604">
        <f>IF(N604="",0,IF(SETUP!$E$7="USD",((IF(O604="USD",AY604,(AY604/'Master Data-C19RM'!$H$2)))),((IF(O604="EUR",AY604,(AY604*'Master Data-C19RM'!$H$2))))))</f>
        <v>0</v>
      </c>
      <c r="BU604" s="12">
        <f t="shared" si="72"/>
        <v>0</v>
      </c>
      <c r="BV604" s="142">
        <f t="shared" si="73"/>
        <v>0</v>
      </c>
    </row>
    <row r="605" spans="1:74" x14ac:dyDescent="0.35">
      <c r="A605" s="1165"/>
      <c r="B605" s="1165"/>
      <c r="C605" s="1165"/>
      <c r="D605" s="1165"/>
      <c r="E605" s="1166"/>
      <c r="F605" s="1166"/>
      <c r="G605" s="1166"/>
      <c r="H605" s="1166"/>
      <c r="I605" s="1166"/>
      <c r="J605" s="1166"/>
      <c r="K605" s="1166"/>
      <c r="L605" s="490" t="str" cm="1">
        <f t="array" ref="L605">IF(A605&lt;&gt;"",IFERROR(INDEX(PMtbl[[WKst]:[Unit of measure*]],MATCH($A$544&amp;$A605&amp;$E605&amp;$I605,INDEX(PMtbl[Sec]&amp;PMtbl[Category]&amp;PMtbl[Each]&amp;PMtbl[Packaging],0,),0),14),""),"")</f>
        <v/>
      </c>
      <c r="M605" s="479" t="str">
        <f>IF(L605="","",INDEX(SETUP!$E$20:$E$122,(MATCH(INDEX(PMsheet!$D:$E,MATCH(A605,PMsheet!E:E,0),1),SETUP!$D$20:$D$122,0))))</f>
        <v/>
      </c>
      <c r="N605" s="491">
        <f>IF($O605="USD",_xlfn.IFNA(VLOOKUP(A605&amp;E605&amp;I605,PMsheet!J:K,2,0),0),(_xlfn.IFNA(VLOOKUP(A605&amp;E605&amp;I605,PMsheet!J:K,2,0),0)*'Master Data-C19RM'!$C$2))</f>
        <v>0</v>
      </c>
      <c r="O605" s="492" t="str">
        <f>IF(L605="", "",SETUP!$E$7)</f>
        <v/>
      </c>
      <c r="P605" s="444">
        <f>IF($O605="USD",_xlfn.IFNA(VLOOKUP($A605&amp;$E605&amp;$I605,PMsheet!$J:$K,2,0),0),(_xlfn.IFNA(VLOOKUP($A605&amp;$E605&amp;$I605,PMsheet!$J:$K,2,0),0)*'Master Data-C19RM'!$C$2))</f>
        <v>0</v>
      </c>
      <c r="Q605" s="441"/>
      <c r="R605" s="441"/>
      <c r="S605" s="441"/>
      <c r="T605" s="441"/>
      <c r="U605" s="481">
        <f t="shared" si="79"/>
        <v>0</v>
      </c>
      <c r="V605" s="483">
        <f>IF(SETUP!$E$7="USD",(U605*(IF(O605="USD",P605,(P605/'Master Data-C19RM'!$C$2)))),(U605*(IF(O605="EUR",P605,(P605*'Master Data-C19RM'!$C$2)))))</f>
        <v>0</v>
      </c>
      <c r="W605" s="444">
        <f>IF($O605="USD",_xlfn.IFNA(VLOOKUP($A605&amp;$E605&amp;$I605,PMsheet!$J:$K,2,0),0),(_xlfn.IFNA(VLOOKUP($A605&amp;$E605&amp;$I605,PMsheet!$J:$K,2,0),0)*'Master Data-C19RM'!$D$2))</f>
        <v>0</v>
      </c>
      <c r="X605" s="441"/>
      <c r="Y605" s="441"/>
      <c r="Z605" s="441"/>
      <c r="AA605" s="441"/>
      <c r="AB605" s="481">
        <f t="shared" si="80"/>
        <v>0</v>
      </c>
      <c r="AC605" s="483">
        <f>IF(SETUP!$E$7="USD",(AB605*(IF(O605="USD",W605,(W605/'Master Data-C19RM'!$D$2)))),(AB605*(IF(O605="EUR",W605,(W605*'Master Data-C19RM'!$D$2)))))</f>
        <v>0</v>
      </c>
      <c r="AD605" s="444">
        <f>IF($O605="USD",_xlfn.IFNA(VLOOKUP($A605&amp;$E605&amp;$I605,PMsheet!$J:$K,2,0),0),(_xlfn.IFNA(VLOOKUP($A605&amp;$E605&amp;$I605,PMsheet!$J:$K,2,0),0)*'Master Data-C19RM'!$E$2))</f>
        <v>0</v>
      </c>
      <c r="AE605" s="441"/>
      <c r="AF605" s="441"/>
      <c r="AG605" s="441"/>
      <c r="AH605" s="441"/>
      <c r="AI605" s="512">
        <f t="shared" si="81"/>
        <v>0</v>
      </c>
      <c r="AJ605" s="513">
        <f>IF(SETUP!$E$7="USD",(AI605*(IF(O605="USD",AD605,(AD605/'Master Data-C19RM'!$E$2)))),(AI605*(IF(O605="EUR",AD605,(AD605*'Master Data-C19RM'!$E$2)))))</f>
        <v>0</v>
      </c>
      <c r="AK605" s="444">
        <f>IF($O605="USD",_xlfn.IFNA(VLOOKUP($A605&amp;$E605&amp;$I605,PMsheet!$J:$K,2,0),0),(_xlfn.IFNA(VLOOKUP($A605&amp;$E605&amp;$I605,PMsheet!$J:$K,2,0),0)*'Master Data-C19RM'!$F$2))</f>
        <v>0</v>
      </c>
      <c r="AL605" s="441"/>
      <c r="AM605" s="441"/>
      <c r="AN605" s="441"/>
      <c r="AO605" s="441"/>
      <c r="AP605" s="512">
        <f t="shared" si="82"/>
        <v>0</v>
      </c>
      <c r="AQ605" s="513">
        <f>IF(SETUP!$E$7="USD",(AP605*(IF(O605="USD",AK605,(AK605/'Master Data-C19RM'!$F$2)))),(AP605*(IF(O605="EUR",AK605,(AK605*'Master Data-C19RM'!$F$2)))))</f>
        <v>0</v>
      </c>
      <c r="AR605" s="924">
        <f>IF($O605="USD",_xlfn.IFNA(VLOOKUP($A605&amp;$E605&amp;$I605,PMsheet!$J:$K,2,0),0),(_xlfn.IFNA(VLOOKUP($A605&amp;$E605&amp;$I605,PMsheet!$J:$K,2,0),0)*'Master Data-C19RM'!$G$2))</f>
        <v>0</v>
      </c>
      <c r="AS605" s="572"/>
      <c r="AT605" s="572"/>
      <c r="AU605" s="572"/>
      <c r="AV605" s="572"/>
      <c r="AW605" s="512">
        <f t="shared" si="78"/>
        <v>0</v>
      </c>
      <c r="AX605" s="512">
        <f>IF(SETUP!$E$7="USD",(AW605*(IF(O605="USD",AR605,(AR605/'Master Data-C19RM'!$G$2)))),(AW605*(IF(O605="EUR",AR605,(AR605*'Master Data-C19RM'!$G$2)))))</f>
        <v>0</v>
      </c>
      <c r="AY605" s="845"/>
      <c r="AZ605" s="846"/>
      <c r="BA605" s="846"/>
      <c r="BB605" s="846"/>
      <c r="BC605" s="846"/>
      <c r="BD605" s="846"/>
      <c r="BE605" s="847"/>
      <c r="BF605" s="520">
        <f>'C19RM 2021-Lab &amp; Other HPS'!$U605+'C19RM 2021-Lab &amp; Other HPS'!$AB605+'C19RM 2021-Lab &amp; Other HPS'!$AP605+'C19RM 2021-Lab &amp; Other HPS'!$AI605+AW605+BD605</f>
        <v>0</v>
      </c>
      <c r="BG605" s="513">
        <f>'C19RM 2021-Lab &amp; Other HPS'!$V605+'C19RM 2021-Lab &amp; Other HPS'!$AC605+'C19RM 2021-Lab &amp; Other HPS'!$AQ605+'C19RM 2021-Lab &amp; Other HPS'!$AJ605+AX605+BE605</f>
        <v>0</v>
      </c>
      <c r="BH605" s="500" t="str" cm="1">
        <f t="array" ref="BH605">IF(A605&lt;&gt;"",IFERROR(INDEX(PMtbl[[WKst]:[Unit of measure*]],MATCH($A$544&amp;$A605&amp;$E605&amp;$I605,INDEX(PMtbl[Sec]&amp;PMtbl[Category]&amp;PMtbl[Each]&amp;PMtbl[Packaging],0,),0),11),""),"")</f>
        <v/>
      </c>
      <c r="BI605" s="819"/>
      <c r="BJ605" s="502" t="str" cm="1">
        <f t="array" ref="BJ605">IFERROR(INDEX(SETUP!$C$19:$G$121,MATCH((INDEX(PMtbl[[WKst]:[Unit of measure*]],MATCH($A605&amp;$E605&amp;$I605,INDEX(PMtbl[Category]&amp;PMtbl[Each]&amp;PMtbl[Packaging],0,),0),3)),SETUP!$D$19:$D$121,0),5),"")</f>
        <v/>
      </c>
      <c r="BK605" s="542" t="str" cm="1">
        <f t="array" ref="BK605">IFERROR(IF((INDEX(SETUP!$C$19:$G$121,MATCH((INDEX(PMtbl[[WKst]:[Unit of measure*]],MATCH($A605&amp;$E605&amp;$I605,INDEX(PMtbl[Category]&amp;PMtbl[Each]&amp;PMtbl[Packaging],0,),0),3)),SETUP!$D$19:$D$121,0),4))="Upfront",0,INDEX(SETUP!$C$19:$G$121,MATCH((INDEX(PMtbl[[WKst]:[Unit of measure*]],MATCH($A605&amp;$E605&amp;$I605,INDEX(PMtbl[Category]&amp;PMtbl[Each]&amp;PMtbl[Packaging],0,),0),3)),SETUP!$D$19:$D$121,0),5)),"")</f>
        <v/>
      </c>
      <c r="BL605" s="200" t="str" cm="1">
        <f t="array" ref="BL605">IF(E605&lt;&gt;"",IFERROR(INDEX(PMtbl[[WKst]:[Unit of measure*]],MATCH($A$544&amp;$A605&amp;$E605&amp;$I605,INDEX(PMtbl[Sec]&amp;PMtbl[Category]&amp;PMtbl[Each]&amp;PMtbl[Packaging],0,),0),11),""),"")</f>
        <v/>
      </c>
      <c r="BO605" s="12">
        <f>IF(N605="",0,IF(SETUP!$E$7="USD",((IF(O605="USD",P605,(P605/'Master Data-C19RM'!$C$2)))),((IF(O605="EUR",P605,(P605*'Master Data-C19RM'!$C$2))))))</f>
        <v>0</v>
      </c>
      <c r="BP605" s="12">
        <f>IF(N605="",0,IF(SETUP!$E$7="USD",((IF(O605="USD",W605,(W605/'Master Data-C19RM'!$D$2)))),((IF(O605="EUR",W605,(W605*'Master Data-C19RM'!$D$2))))))</f>
        <v>0</v>
      </c>
      <c r="BQ605">
        <f>IF(N605="",0,IF(SETUP!$E$7="USD",((IF(O605="USD",AD605,(AD605/'Master Data-C19RM'!$E$2)))),((IF(O605="EUR",AD605,(AD605*'Master Data-C19RM'!$E$2))))))</f>
        <v>0</v>
      </c>
      <c r="BR605">
        <f>IF(N605="",0,IF(SETUP!$E$7="USD",((IF(O605="USD",AK605,(AK605/'Master Data-C19RM'!$F$2)))),((IF(O605="EUR",AK605,(AK605*'Master Data-C19RM'!$F$2))))))</f>
        <v>0</v>
      </c>
      <c r="BS605">
        <f>IF(N605="",0,IF(SETUP!$E$7="USD",((IF(O605="USD",AR605,(AR605/'Master Data-C19RM'!$G$2)))),((IF(O605="EUR",AR605,(AR605*'Master Data-C19RM'!$G$2))))))</f>
        <v>0</v>
      </c>
      <c r="BT605">
        <f>IF(N605="",0,IF(SETUP!$E$7="USD",((IF(O605="USD",AY605,(AY605/'Master Data-C19RM'!$H$2)))),((IF(O605="EUR",AY605,(AY605*'Master Data-C19RM'!$H$2))))))</f>
        <v>0</v>
      </c>
      <c r="BU605" s="12">
        <f t="shared" si="72"/>
        <v>0</v>
      </c>
      <c r="BV605" s="142">
        <f t="shared" si="73"/>
        <v>0</v>
      </c>
    </row>
    <row r="606" spans="1:74" x14ac:dyDescent="0.35">
      <c r="A606" s="1192"/>
      <c r="B606" s="1192"/>
      <c r="C606" s="1192"/>
      <c r="D606" s="1192"/>
      <c r="E606" s="1173"/>
      <c r="F606" s="1173"/>
      <c r="G606" s="1173"/>
      <c r="H606" s="1173"/>
      <c r="I606" s="1173"/>
      <c r="J606" s="1173"/>
      <c r="K606" s="1173"/>
      <c r="L606" s="493" t="str" cm="1">
        <f t="array" ref="L606">IF(A606&lt;&gt;"",IFERROR(INDEX(PMtbl[[WKst]:[Unit of measure*]],MATCH($A$544&amp;$A606&amp;$E606&amp;$I606,INDEX(PMtbl[Sec]&amp;PMtbl[Category]&amp;PMtbl[Each]&amp;PMtbl[Packaging],0,),0),14),""),"")</f>
        <v/>
      </c>
      <c r="M606" s="480" t="str">
        <f>IF(L606="","",INDEX(SETUP!$E$20:$E$122,(MATCH(INDEX(PMsheet!$D:$E,MATCH(A606,PMsheet!E:E,0),1),SETUP!$D$20:$D$122,0))))</f>
        <v/>
      </c>
      <c r="N606" s="494">
        <f>IF($O606="USD",_xlfn.IFNA(VLOOKUP(A606&amp;E606&amp;I606,PMsheet!J:K,2,0),0),(_xlfn.IFNA(VLOOKUP(A606&amp;E606&amp;I606,PMsheet!J:K,2,0),0)*'Master Data-C19RM'!$C$2))</f>
        <v>0</v>
      </c>
      <c r="O606" s="495" t="str">
        <f>IF(L606="", "",SETUP!$E$7)</f>
        <v/>
      </c>
      <c r="P606" s="445">
        <f>IF($O606="USD",_xlfn.IFNA(VLOOKUP($A606&amp;$E606&amp;$I606,PMsheet!$J:$K,2,0),0),(_xlfn.IFNA(VLOOKUP($A606&amp;$E606&amp;$I606,PMsheet!$J:$K,2,0),0)*'Master Data-C19RM'!$C$2))</f>
        <v>0</v>
      </c>
      <c r="Q606" s="440"/>
      <c r="R606" s="440"/>
      <c r="S606" s="440"/>
      <c r="T606" s="440"/>
      <c r="U606" s="482">
        <f t="shared" si="79"/>
        <v>0</v>
      </c>
      <c r="V606" s="484">
        <f>IF(SETUP!$E$7="USD",(U606*(IF(O606="USD",P606,(P606/'Master Data-C19RM'!$C$2)))),(U606*(IF(O606="EUR",P606,(P606*'Master Data-C19RM'!$C$2)))))</f>
        <v>0</v>
      </c>
      <c r="W606" s="445">
        <f>IF($O606="USD",_xlfn.IFNA(VLOOKUP($A606&amp;$E606&amp;$I606,PMsheet!$J:$K,2,0),0),(_xlfn.IFNA(VLOOKUP($A606&amp;$E606&amp;$I606,PMsheet!$J:$K,2,0),0)*'Master Data-C19RM'!$D$2))</f>
        <v>0</v>
      </c>
      <c r="X606" s="440"/>
      <c r="Y606" s="440"/>
      <c r="Z606" s="440"/>
      <c r="AA606" s="440"/>
      <c r="AB606" s="482">
        <f t="shared" si="80"/>
        <v>0</v>
      </c>
      <c r="AC606" s="484">
        <f>IF(SETUP!$E$7="USD",(AB606*(IF(O606="USD",W606,(W606/'Master Data-C19RM'!$D$2)))),(AB606*(IF(O606="EUR",W606,(W606*'Master Data-C19RM'!$D$2)))))</f>
        <v>0</v>
      </c>
      <c r="AD606" s="445">
        <f>IF($O606="USD",_xlfn.IFNA(VLOOKUP($A606&amp;$E606&amp;$I606,PMsheet!$J:$K,2,0),0),(_xlfn.IFNA(VLOOKUP($A606&amp;$E606&amp;$I606,PMsheet!$J:$K,2,0),0)*'Master Data-C19RM'!$E$2))</f>
        <v>0</v>
      </c>
      <c r="AE606" s="440"/>
      <c r="AF606" s="440"/>
      <c r="AG606" s="440"/>
      <c r="AH606" s="440"/>
      <c r="AI606" s="514">
        <f t="shared" si="81"/>
        <v>0</v>
      </c>
      <c r="AJ606" s="515">
        <f>IF(SETUP!$E$7="USD",(AI606*(IF(O606="USD",AD606,(AD606/'Master Data-C19RM'!$E$2)))),(AI606*(IF(O606="EUR",AD606,(AD606*'Master Data-C19RM'!$E$2)))))</f>
        <v>0</v>
      </c>
      <c r="AK606" s="445">
        <f>IF($O606="USD",_xlfn.IFNA(VLOOKUP($A606&amp;$E606&amp;$I606,PMsheet!$J:$K,2,0),0),(_xlfn.IFNA(VLOOKUP($A606&amp;$E606&amp;$I606,PMsheet!$J:$K,2,0),0)*'Master Data-C19RM'!$F$2))</f>
        <v>0</v>
      </c>
      <c r="AL606" s="440"/>
      <c r="AM606" s="440"/>
      <c r="AN606" s="440"/>
      <c r="AO606" s="440"/>
      <c r="AP606" s="514">
        <f t="shared" si="82"/>
        <v>0</v>
      </c>
      <c r="AQ606" s="515">
        <f>IF(SETUP!$E$7="USD",(AP606*(IF(O606="USD",AK606,(AK606/'Master Data-C19RM'!$F$2)))),(AP606*(IF(O606="EUR",AK606,(AK606*'Master Data-C19RM'!$F$2)))))</f>
        <v>0</v>
      </c>
      <c r="AR606" s="925">
        <f>IF($O606="USD",_xlfn.IFNA(VLOOKUP($A606&amp;$E606&amp;$I606,PMsheet!$J:$K,2,0),0),(_xlfn.IFNA(VLOOKUP($A606&amp;$E606&amp;$I606,PMsheet!$J:$K,2,0),0)*'Master Data-C19RM'!$G$2))</f>
        <v>0</v>
      </c>
      <c r="AS606" s="926"/>
      <c r="AT606" s="926"/>
      <c r="AU606" s="926"/>
      <c r="AV606" s="926"/>
      <c r="AW606" s="514">
        <f t="shared" si="78"/>
        <v>0</v>
      </c>
      <c r="AX606" s="514">
        <f>IF(SETUP!$E$7="USD",(AW606*(IF(O606="USD",AR606,(AR606/'Master Data-C19RM'!$G$2)))),(AW606*(IF(O606="EUR",AR606,(AR606*'Master Data-C19RM'!$G$2)))))</f>
        <v>0</v>
      </c>
      <c r="AY606" s="845"/>
      <c r="AZ606" s="846"/>
      <c r="BA606" s="846"/>
      <c r="BB606" s="846"/>
      <c r="BC606" s="846"/>
      <c r="BD606" s="846"/>
      <c r="BE606" s="847"/>
      <c r="BF606" s="521">
        <f>'C19RM 2021-Lab &amp; Other HPS'!$U606+'C19RM 2021-Lab &amp; Other HPS'!$AB606+'C19RM 2021-Lab &amp; Other HPS'!$AP606+'C19RM 2021-Lab &amp; Other HPS'!$AI606+AW606+BD606</f>
        <v>0</v>
      </c>
      <c r="BG606" s="515">
        <f>'C19RM 2021-Lab &amp; Other HPS'!$V606+'C19RM 2021-Lab &amp; Other HPS'!$AC606+'C19RM 2021-Lab &amp; Other HPS'!$AQ606+'C19RM 2021-Lab &amp; Other HPS'!$AJ606+AX606+BE606</f>
        <v>0</v>
      </c>
      <c r="BH606" s="522" t="str" cm="1">
        <f t="array" ref="BH606">IF(A606&lt;&gt;"",IFERROR(INDEX(PMtbl[[WKst]:[Unit of measure*]],MATCH($A$544&amp;$A606&amp;$E606&amp;$I606,INDEX(PMtbl[Sec]&amp;PMtbl[Category]&amp;PMtbl[Each]&amp;PMtbl[Packaging],0,),0),11),""),"")</f>
        <v/>
      </c>
      <c r="BI606" s="818"/>
      <c r="BJ606" s="503" t="str" cm="1">
        <f t="array" ref="BJ606">IFERROR(INDEX(SETUP!$C$19:$G$121,MATCH((INDEX(PMtbl[[WKst]:[Unit of measure*]],MATCH($A606&amp;$E606&amp;$I606,INDEX(PMtbl[Category]&amp;PMtbl[Each]&amp;PMtbl[Packaging],0,),0),3)),SETUP!$D$19:$D$121,0),5),"")</f>
        <v/>
      </c>
      <c r="BK606" s="543" t="str" cm="1">
        <f t="array" ref="BK606">IFERROR(IF((INDEX(SETUP!$C$19:$G$121,MATCH((INDEX(PMtbl[[WKst]:[Unit of measure*]],MATCH($A606&amp;$E606&amp;$I606,INDEX(PMtbl[Category]&amp;PMtbl[Each]&amp;PMtbl[Packaging],0,),0),3)),SETUP!$D$19:$D$121,0),4))="Upfront",0,INDEX(SETUP!$C$19:$G$121,MATCH((INDEX(PMtbl[[WKst]:[Unit of measure*]],MATCH($A606&amp;$E606&amp;$I606,INDEX(PMtbl[Category]&amp;PMtbl[Each]&amp;PMtbl[Packaging],0,),0),3)),SETUP!$D$19:$D$121,0),5)),"")</f>
        <v/>
      </c>
      <c r="BL606" s="201" t="str" cm="1">
        <f t="array" ref="BL606">IF(E606&lt;&gt;"",IFERROR(INDEX(PMtbl[[WKst]:[Unit of measure*]],MATCH($A$544&amp;$A606&amp;$E606&amp;$I606,INDEX(PMtbl[Sec]&amp;PMtbl[Category]&amp;PMtbl[Each]&amp;PMtbl[Packaging],0,),0),11),""),"")</f>
        <v/>
      </c>
      <c r="BO606" s="12">
        <f>IF(N606="",0,IF(SETUP!$E$7="USD",((IF(O606="USD",P606,(P606/'Master Data-C19RM'!$C$2)))),((IF(O606="EUR",P606,(P606*'Master Data-C19RM'!$C$2))))))</f>
        <v>0</v>
      </c>
      <c r="BP606" s="12">
        <f>IF(N606="",0,IF(SETUP!$E$7="USD",((IF(O606="USD",W606,(W606/'Master Data-C19RM'!$D$2)))),((IF(O606="EUR",W606,(W606*'Master Data-C19RM'!$D$2))))))</f>
        <v>0</v>
      </c>
      <c r="BQ606">
        <f>IF(N606="",0,IF(SETUP!$E$7="USD",((IF(O606="USD",AD606,(AD606/'Master Data-C19RM'!$E$2)))),((IF(O606="EUR",AD606,(AD606*'Master Data-C19RM'!$E$2))))))</f>
        <v>0</v>
      </c>
      <c r="BR606">
        <f>IF(N606="",0,IF(SETUP!$E$7="USD",((IF(O606="USD",AK606,(AK606/'Master Data-C19RM'!$F$2)))),((IF(O606="EUR",AK606,(AK606*'Master Data-C19RM'!$F$2))))))</f>
        <v>0</v>
      </c>
      <c r="BS606">
        <f>IF(N606="",0,IF(SETUP!$E$7="USD",((IF(O606="USD",AR606,(AR606/'Master Data-C19RM'!$G$2)))),((IF(O606="EUR",AR606,(AR606*'Master Data-C19RM'!$G$2))))))</f>
        <v>0</v>
      </c>
      <c r="BT606">
        <f>IF(N606="",0,IF(SETUP!$E$7="USD",((IF(O606="USD",AY606,(AY606/'Master Data-C19RM'!$H$2)))),((IF(O606="EUR",AY606,(AY606*'Master Data-C19RM'!$H$2))))))</f>
        <v>0</v>
      </c>
      <c r="BU606" s="12">
        <f t="shared" si="72"/>
        <v>0</v>
      </c>
      <c r="BV606" s="142">
        <f t="shared" si="73"/>
        <v>0</v>
      </c>
    </row>
    <row r="607" spans="1:74" x14ac:dyDescent="0.35">
      <c r="A607" s="1165"/>
      <c r="B607" s="1165"/>
      <c r="C607" s="1165"/>
      <c r="D607" s="1165"/>
      <c r="E607" s="1166"/>
      <c r="F607" s="1166"/>
      <c r="G607" s="1166"/>
      <c r="H607" s="1166"/>
      <c r="I607" s="1166"/>
      <c r="J607" s="1166"/>
      <c r="K607" s="1166"/>
      <c r="L607" s="490" t="str" cm="1">
        <f t="array" ref="L607">IF(A607&lt;&gt;"",IFERROR(INDEX(PMtbl[[WKst]:[Unit of measure*]],MATCH($A$544&amp;$A607&amp;$E607&amp;$I607,INDEX(PMtbl[Sec]&amp;PMtbl[Category]&amp;PMtbl[Each]&amp;PMtbl[Packaging],0,),0),14),""),"")</f>
        <v/>
      </c>
      <c r="M607" s="479" t="str">
        <f>IF(L607="","",INDEX(SETUP!$E$20:$E$122,(MATCH(INDEX(PMsheet!$D:$E,MATCH(A607,PMsheet!E:E,0),1),SETUP!$D$20:$D$122,0))))</f>
        <v/>
      </c>
      <c r="N607" s="491">
        <f>IF($O607="USD",_xlfn.IFNA(VLOOKUP(A607&amp;E607&amp;I607,PMsheet!J:K,2,0),0),(_xlfn.IFNA(VLOOKUP(A607&amp;E607&amp;I607,PMsheet!J:K,2,0),0)*'Master Data-C19RM'!$C$2))</f>
        <v>0</v>
      </c>
      <c r="O607" s="492" t="str">
        <f>IF(L607="", "",SETUP!$E$7)</f>
        <v/>
      </c>
      <c r="P607" s="444">
        <f>IF($O607="USD",_xlfn.IFNA(VLOOKUP($A607&amp;$E607&amp;$I607,PMsheet!$J:$K,2,0),0),(_xlfn.IFNA(VLOOKUP($A607&amp;$E607&amp;$I607,PMsheet!$J:$K,2,0),0)*'Master Data-C19RM'!$C$2))</f>
        <v>0</v>
      </c>
      <c r="Q607" s="441"/>
      <c r="R607" s="441"/>
      <c r="S607" s="441"/>
      <c r="T607" s="441"/>
      <c r="U607" s="481">
        <f t="shared" si="79"/>
        <v>0</v>
      </c>
      <c r="V607" s="483">
        <f>IF(SETUP!$E$7="USD",(U607*(IF(O607="USD",P607,(P607/'Master Data-C19RM'!$C$2)))),(U607*(IF(O607="EUR",P607,(P607*'Master Data-C19RM'!$C$2)))))</f>
        <v>0</v>
      </c>
      <c r="W607" s="444">
        <f>IF($O607="USD",_xlfn.IFNA(VLOOKUP($A607&amp;$E607&amp;$I607,PMsheet!$J:$K,2,0),0),(_xlfn.IFNA(VLOOKUP($A607&amp;$E607&amp;$I607,PMsheet!$J:$K,2,0),0)*'Master Data-C19RM'!$D$2))</f>
        <v>0</v>
      </c>
      <c r="X607" s="441"/>
      <c r="Y607" s="441"/>
      <c r="Z607" s="441"/>
      <c r="AA607" s="441"/>
      <c r="AB607" s="481">
        <f t="shared" si="80"/>
        <v>0</v>
      </c>
      <c r="AC607" s="483">
        <f>IF(SETUP!$E$7="USD",(AB607*(IF(O607="USD",W607,(W607/'Master Data-C19RM'!$D$2)))),(AB607*(IF(O607="EUR",W607,(W607*'Master Data-C19RM'!$D$2)))))</f>
        <v>0</v>
      </c>
      <c r="AD607" s="444">
        <f>IF($O607="USD",_xlfn.IFNA(VLOOKUP($A607&amp;$E607&amp;$I607,PMsheet!$J:$K,2,0),0),(_xlfn.IFNA(VLOOKUP($A607&amp;$E607&amp;$I607,PMsheet!$J:$K,2,0),0)*'Master Data-C19RM'!$E$2))</f>
        <v>0</v>
      </c>
      <c r="AE607" s="441"/>
      <c r="AF607" s="441"/>
      <c r="AG607" s="441"/>
      <c r="AH607" s="441"/>
      <c r="AI607" s="512">
        <f t="shared" si="81"/>
        <v>0</v>
      </c>
      <c r="AJ607" s="513">
        <f>IF(SETUP!$E$7="USD",(AI607*(IF(O607="USD",AD607,(AD607/'Master Data-C19RM'!$E$2)))),(AI607*(IF(O607="EUR",AD607,(AD607*'Master Data-C19RM'!$E$2)))))</f>
        <v>0</v>
      </c>
      <c r="AK607" s="444">
        <f>IF($O607="USD",_xlfn.IFNA(VLOOKUP($A607&amp;$E607&amp;$I607,PMsheet!$J:$K,2,0),0),(_xlfn.IFNA(VLOOKUP($A607&amp;$E607&amp;$I607,PMsheet!$J:$K,2,0),0)*'Master Data-C19RM'!$F$2))</f>
        <v>0</v>
      </c>
      <c r="AL607" s="441"/>
      <c r="AM607" s="441"/>
      <c r="AN607" s="441"/>
      <c r="AO607" s="441"/>
      <c r="AP607" s="512">
        <f t="shared" si="82"/>
        <v>0</v>
      </c>
      <c r="AQ607" s="513">
        <f>IF(SETUP!$E$7="USD",(AP607*(IF(O607="USD",AK607,(AK607/'Master Data-C19RM'!$F$2)))),(AP607*(IF(O607="EUR",AK607,(AK607*'Master Data-C19RM'!$F$2)))))</f>
        <v>0</v>
      </c>
      <c r="AR607" s="924">
        <f>IF($O607="USD",_xlfn.IFNA(VLOOKUP($A607&amp;$E607&amp;$I607,PMsheet!$J:$K,2,0),0),(_xlfn.IFNA(VLOOKUP($A607&amp;$E607&amp;$I607,PMsheet!$J:$K,2,0),0)*'Master Data-C19RM'!$G$2))</f>
        <v>0</v>
      </c>
      <c r="AS607" s="572"/>
      <c r="AT607" s="572"/>
      <c r="AU607" s="572"/>
      <c r="AV607" s="572"/>
      <c r="AW607" s="512">
        <f t="shared" si="78"/>
        <v>0</v>
      </c>
      <c r="AX607" s="512">
        <f>IF(SETUP!$E$7="USD",(AW607*(IF(O607="USD",AR607,(AR607/'Master Data-C19RM'!$G$2)))),(AW607*(IF(O607="EUR",AR607,(AR607*'Master Data-C19RM'!$G$2)))))</f>
        <v>0</v>
      </c>
      <c r="AY607" s="845"/>
      <c r="AZ607" s="846"/>
      <c r="BA607" s="846"/>
      <c r="BB607" s="846"/>
      <c r="BC607" s="846"/>
      <c r="BD607" s="846"/>
      <c r="BE607" s="847"/>
      <c r="BF607" s="520">
        <f>'C19RM 2021-Lab &amp; Other HPS'!$U607+'C19RM 2021-Lab &amp; Other HPS'!$AB607+'C19RM 2021-Lab &amp; Other HPS'!$AP607+'C19RM 2021-Lab &amp; Other HPS'!$AI607+AW607+BD607</f>
        <v>0</v>
      </c>
      <c r="BG607" s="513">
        <f>'C19RM 2021-Lab &amp; Other HPS'!$V607+'C19RM 2021-Lab &amp; Other HPS'!$AC607+'C19RM 2021-Lab &amp; Other HPS'!$AQ607+'C19RM 2021-Lab &amp; Other HPS'!$AJ607+AX607+BE607</f>
        <v>0</v>
      </c>
      <c r="BH607" s="500" t="str" cm="1">
        <f t="array" ref="BH607">IF(A607&lt;&gt;"",IFERROR(INDEX(PMtbl[[WKst]:[Unit of measure*]],MATCH($A$544&amp;$A607&amp;$E607&amp;$I607,INDEX(PMtbl[Sec]&amp;PMtbl[Category]&amp;PMtbl[Each]&amp;PMtbl[Packaging],0,),0),11),""),"")</f>
        <v/>
      </c>
      <c r="BI607" s="819"/>
      <c r="BJ607" s="502" t="str" cm="1">
        <f t="array" ref="BJ607">IFERROR(INDEX(SETUP!$C$19:$G$121,MATCH((INDEX(PMtbl[[WKst]:[Unit of measure*]],MATCH($A607&amp;$E607&amp;$I607,INDEX(PMtbl[Category]&amp;PMtbl[Each]&amp;PMtbl[Packaging],0,),0),3)),SETUP!$D$19:$D$121,0),5),"")</f>
        <v/>
      </c>
      <c r="BK607" s="542" t="str" cm="1">
        <f t="array" ref="BK607">IFERROR(IF((INDEX(SETUP!$C$19:$G$121,MATCH((INDEX(PMtbl[[WKst]:[Unit of measure*]],MATCH($A607&amp;$E607&amp;$I607,INDEX(PMtbl[Category]&amp;PMtbl[Each]&amp;PMtbl[Packaging],0,),0),3)),SETUP!$D$19:$D$121,0),4))="Upfront",0,INDEX(SETUP!$C$19:$G$121,MATCH((INDEX(PMtbl[[WKst]:[Unit of measure*]],MATCH($A607&amp;$E607&amp;$I607,INDEX(PMtbl[Category]&amp;PMtbl[Each]&amp;PMtbl[Packaging],0,),0),3)),SETUP!$D$19:$D$121,0),5)),"")</f>
        <v/>
      </c>
      <c r="BL607" s="200" t="str" cm="1">
        <f t="array" ref="BL607">IF(E607&lt;&gt;"",IFERROR(INDEX(PMtbl[[WKst]:[Unit of measure*]],MATCH($A$544&amp;$A607&amp;$E607&amp;$I607,INDEX(PMtbl[Sec]&amp;PMtbl[Category]&amp;PMtbl[Each]&amp;PMtbl[Packaging],0,),0),11),""),"")</f>
        <v/>
      </c>
      <c r="BO607" s="12">
        <f>IF(N607="",0,IF(SETUP!$E$7="USD",((IF(O607="USD",P607,(P607/'Master Data-C19RM'!$C$2)))),((IF(O607="EUR",P607,(P607*'Master Data-C19RM'!$C$2))))))</f>
        <v>0</v>
      </c>
      <c r="BP607" s="12">
        <f>IF(N607="",0,IF(SETUP!$E$7="USD",((IF(O607="USD",W607,(W607/'Master Data-C19RM'!$D$2)))),((IF(O607="EUR",W607,(W607*'Master Data-C19RM'!$D$2))))))</f>
        <v>0</v>
      </c>
      <c r="BQ607">
        <f>IF(N607="",0,IF(SETUP!$E$7="USD",((IF(O607="USD",AD607,(AD607/'Master Data-C19RM'!$E$2)))),((IF(O607="EUR",AD607,(AD607*'Master Data-C19RM'!$E$2))))))</f>
        <v>0</v>
      </c>
      <c r="BR607">
        <f>IF(N607="",0,IF(SETUP!$E$7="USD",((IF(O607="USD",AK607,(AK607/'Master Data-C19RM'!$F$2)))),((IF(O607="EUR",AK607,(AK607*'Master Data-C19RM'!$F$2))))))</f>
        <v>0</v>
      </c>
      <c r="BS607">
        <f>IF(N607="",0,IF(SETUP!$E$7="USD",((IF(O607="USD",AR607,(AR607/'Master Data-C19RM'!$G$2)))),((IF(O607="EUR",AR607,(AR607*'Master Data-C19RM'!$G$2))))))</f>
        <v>0</v>
      </c>
      <c r="BT607">
        <f>IF(N607="",0,IF(SETUP!$E$7="USD",((IF(O607="USD",AY607,(AY607/'Master Data-C19RM'!$H$2)))),((IF(O607="EUR",AY607,(AY607*'Master Data-C19RM'!$H$2))))))</f>
        <v>0</v>
      </c>
      <c r="BU607" s="12">
        <f t="shared" si="72"/>
        <v>0</v>
      </c>
      <c r="BV607" s="142">
        <f t="shared" si="73"/>
        <v>0</v>
      </c>
    </row>
    <row r="608" spans="1:74" x14ac:dyDescent="0.35">
      <c r="A608" s="1192"/>
      <c r="B608" s="1192"/>
      <c r="C608" s="1192"/>
      <c r="D608" s="1192"/>
      <c r="E608" s="1173"/>
      <c r="F608" s="1173"/>
      <c r="G608" s="1173"/>
      <c r="H608" s="1173"/>
      <c r="I608" s="1173"/>
      <c r="J608" s="1173"/>
      <c r="K608" s="1173"/>
      <c r="L608" s="493" t="str" cm="1">
        <f t="array" ref="L608">IF(A608&lt;&gt;"",IFERROR(INDEX(PMtbl[[WKst]:[Unit of measure*]],MATCH($A$544&amp;$A608&amp;$E608&amp;$I608,INDEX(PMtbl[Sec]&amp;PMtbl[Category]&amp;PMtbl[Each]&amp;PMtbl[Packaging],0,),0),14),""),"")</f>
        <v/>
      </c>
      <c r="M608" s="480" t="str">
        <f>IF(L608="","",INDEX(SETUP!$E$20:$E$122,(MATCH(INDEX(PMsheet!$D:$E,MATCH(A608,PMsheet!E:E,0),1),SETUP!$D$20:$D$122,0))))</f>
        <v/>
      </c>
      <c r="N608" s="494">
        <f>IF($O608="USD",_xlfn.IFNA(VLOOKUP(A608&amp;E608&amp;I608,PMsheet!J:K,2,0),0),(_xlfn.IFNA(VLOOKUP(A608&amp;E608&amp;I608,PMsheet!J:K,2,0),0)*'Master Data-C19RM'!$C$2))</f>
        <v>0</v>
      </c>
      <c r="O608" s="495" t="str">
        <f>IF(L608="", "",SETUP!$E$7)</f>
        <v/>
      </c>
      <c r="P608" s="445">
        <f>IF($O608="USD",_xlfn.IFNA(VLOOKUP($A608&amp;$E608&amp;$I608,PMsheet!$J:$K,2,0),0),(_xlfn.IFNA(VLOOKUP($A608&amp;$E608&amp;$I608,PMsheet!$J:$K,2,0),0)*'Master Data-C19RM'!$C$2))</f>
        <v>0</v>
      </c>
      <c r="Q608" s="440"/>
      <c r="R608" s="440"/>
      <c r="S608" s="440"/>
      <c r="T608" s="440"/>
      <c r="U608" s="482">
        <f t="shared" si="79"/>
        <v>0</v>
      </c>
      <c r="V608" s="484">
        <f>IF(SETUP!$E$7="USD",(U608*(IF(O608="USD",P608,(P608/'Master Data-C19RM'!$C$2)))),(U608*(IF(O608="EUR",P608,(P608*'Master Data-C19RM'!$C$2)))))</f>
        <v>0</v>
      </c>
      <c r="W608" s="445">
        <f>IF($O608="USD",_xlfn.IFNA(VLOOKUP($A608&amp;$E608&amp;$I608,PMsheet!$J:$K,2,0),0),(_xlfn.IFNA(VLOOKUP($A608&amp;$E608&amp;$I608,PMsheet!$J:$K,2,0),0)*'Master Data-C19RM'!$D$2))</f>
        <v>0</v>
      </c>
      <c r="X608" s="440"/>
      <c r="Y608" s="440"/>
      <c r="Z608" s="440"/>
      <c r="AA608" s="440"/>
      <c r="AB608" s="482">
        <f t="shared" si="80"/>
        <v>0</v>
      </c>
      <c r="AC608" s="484">
        <f>IF(SETUP!$E$7="USD",(AB608*(IF(O608="USD",W608,(W608/'Master Data-C19RM'!$D$2)))),(AB608*(IF(O608="EUR",W608,(W608*'Master Data-C19RM'!$D$2)))))</f>
        <v>0</v>
      </c>
      <c r="AD608" s="445">
        <f>IF($O608="USD",_xlfn.IFNA(VLOOKUP($A608&amp;$E608&amp;$I608,PMsheet!$J:$K,2,0),0),(_xlfn.IFNA(VLOOKUP($A608&amp;$E608&amp;$I608,PMsheet!$J:$K,2,0),0)*'Master Data-C19RM'!$E$2))</f>
        <v>0</v>
      </c>
      <c r="AE608" s="440"/>
      <c r="AF608" s="440"/>
      <c r="AG608" s="440"/>
      <c r="AH608" s="440"/>
      <c r="AI608" s="514">
        <f t="shared" si="81"/>
        <v>0</v>
      </c>
      <c r="AJ608" s="515">
        <f>IF(SETUP!$E$7="USD",(AI608*(IF(O608="USD",AD608,(AD608/'Master Data-C19RM'!$E$2)))),(AI608*(IF(O608="EUR",AD608,(AD608*'Master Data-C19RM'!$E$2)))))</f>
        <v>0</v>
      </c>
      <c r="AK608" s="445">
        <f>IF($O608="USD",_xlfn.IFNA(VLOOKUP($A608&amp;$E608&amp;$I608,PMsheet!$J:$K,2,0),0),(_xlfn.IFNA(VLOOKUP($A608&amp;$E608&amp;$I608,PMsheet!$J:$K,2,0),0)*'Master Data-C19RM'!$F$2))</f>
        <v>0</v>
      </c>
      <c r="AL608" s="440"/>
      <c r="AM608" s="440"/>
      <c r="AN608" s="440"/>
      <c r="AO608" s="440"/>
      <c r="AP608" s="514">
        <f t="shared" si="82"/>
        <v>0</v>
      </c>
      <c r="AQ608" s="515">
        <f>IF(SETUP!$E$7="USD",(AP608*(IF(O608="USD",AK608,(AK608/'Master Data-C19RM'!$F$2)))),(AP608*(IF(O608="EUR",AK608,(AK608*'Master Data-C19RM'!$F$2)))))</f>
        <v>0</v>
      </c>
      <c r="AR608" s="925">
        <f>IF($O608="USD",_xlfn.IFNA(VLOOKUP($A608&amp;$E608&amp;$I608,PMsheet!$J:$K,2,0),0),(_xlfn.IFNA(VLOOKUP($A608&amp;$E608&amp;$I608,PMsheet!$J:$K,2,0),0)*'Master Data-C19RM'!$G$2))</f>
        <v>0</v>
      </c>
      <c r="AS608" s="926"/>
      <c r="AT608" s="926"/>
      <c r="AU608" s="926"/>
      <c r="AV608" s="926"/>
      <c r="AW608" s="514">
        <f t="shared" si="78"/>
        <v>0</v>
      </c>
      <c r="AX608" s="514">
        <f>IF(SETUP!$E$7="USD",(AW608*(IF(O608="USD",AR608,(AR608/'Master Data-C19RM'!$G$2)))),(AW608*(IF(O608="EUR",AR608,(AR608*'Master Data-C19RM'!$G$2)))))</f>
        <v>0</v>
      </c>
      <c r="AY608" s="845"/>
      <c r="AZ608" s="846"/>
      <c r="BA608" s="846"/>
      <c r="BB608" s="846"/>
      <c r="BC608" s="846"/>
      <c r="BD608" s="846"/>
      <c r="BE608" s="847"/>
      <c r="BF608" s="521">
        <f>'C19RM 2021-Lab &amp; Other HPS'!$U608+'C19RM 2021-Lab &amp; Other HPS'!$AB608+'C19RM 2021-Lab &amp; Other HPS'!$AP608+'C19RM 2021-Lab &amp; Other HPS'!$AI608+AW608+BD608</f>
        <v>0</v>
      </c>
      <c r="BG608" s="515">
        <f>'C19RM 2021-Lab &amp; Other HPS'!$V608+'C19RM 2021-Lab &amp; Other HPS'!$AC608+'C19RM 2021-Lab &amp; Other HPS'!$AQ608+'C19RM 2021-Lab &amp; Other HPS'!$AJ608+AX608+BE608</f>
        <v>0</v>
      </c>
      <c r="BH608" s="522" t="str" cm="1">
        <f t="array" ref="BH608">IF(A608&lt;&gt;"",IFERROR(INDEX(PMtbl[[WKst]:[Unit of measure*]],MATCH($A$544&amp;$A608&amp;$E608&amp;$I608,INDEX(PMtbl[Sec]&amp;PMtbl[Category]&amp;PMtbl[Each]&amp;PMtbl[Packaging],0,),0),11),""),"")</f>
        <v/>
      </c>
      <c r="BI608" s="818"/>
      <c r="BJ608" s="503" t="str" cm="1">
        <f t="array" ref="BJ608">IFERROR(INDEX(SETUP!$C$19:$G$121,MATCH((INDEX(PMtbl[[WKst]:[Unit of measure*]],MATCH($A608&amp;$E608&amp;$I608,INDEX(PMtbl[Category]&amp;PMtbl[Each]&amp;PMtbl[Packaging],0,),0),3)),SETUP!$D$19:$D$121,0),5),"")</f>
        <v/>
      </c>
      <c r="BK608" s="543" t="str" cm="1">
        <f t="array" ref="BK608">IFERROR(IF((INDEX(SETUP!$C$19:$G$121,MATCH((INDEX(PMtbl[[WKst]:[Unit of measure*]],MATCH($A608&amp;$E608&amp;$I608,INDEX(PMtbl[Category]&amp;PMtbl[Each]&amp;PMtbl[Packaging],0,),0),3)),SETUP!$D$19:$D$121,0),4))="Upfront",0,INDEX(SETUP!$C$19:$G$121,MATCH((INDEX(PMtbl[[WKst]:[Unit of measure*]],MATCH($A608&amp;$E608&amp;$I608,INDEX(PMtbl[Category]&amp;PMtbl[Each]&amp;PMtbl[Packaging],0,),0),3)),SETUP!$D$19:$D$121,0),5)),"")</f>
        <v/>
      </c>
      <c r="BL608" s="201" t="str" cm="1">
        <f t="array" ref="BL608">IF(E608&lt;&gt;"",IFERROR(INDEX(PMtbl[[WKst]:[Unit of measure*]],MATCH($A$544&amp;$A608&amp;$E608&amp;$I608,INDEX(PMtbl[Sec]&amp;PMtbl[Category]&amp;PMtbl[Each]&amp;PMtbl[Packaging],0,),0),11),""),"")</f>
        <v/>
      </c>
      <c r="BO608" s="12">
        <f>IF(N608="",0,IF(SETUP!$E$7="USD",((IF(O608="USD",P608,(P608/'Master Data-C19RM'!$C$2)))),((IF(O608="EUR",P608,(P608*'Master Data-C19RM'!$C$2))))))</f>
        <v>0</v>
      </c>
      <c r="BP608" s="12">
        <f>IF(N608="",0,IF(SETUP!$E$7="USD",((IF(O608="USD",W608,(W608/'Master Data-C19RM'!$D$2)))),((IF(O608="EUR",W608,(W608*'Master Data-C19RM'!$D$2))))))</f>
        <v>0</v>
      </c>
      <c r="BQ608">
        <f>IF(N608="",0,IF(SETUP!$E$7="USD",((IF(O608="USD",AD608,(AD608/'Master Data-C19RM'!$E$2)))),((IF(O608="EUR",AD608,(AD608*'Master Data-C19RM'!$E$2))))))</f>
        <v>0</v>
      </c>
      <c r="BR608">
        <f>IF(N608="",0,IF(SETUP!$E$7="USD",((IF(O608="USD",AK608,(AK608/'Master Data-C19RM'!$F$2)))),((IF(O608="EUR",AK608,(AK608*'Master Data-C19RM'!$F$2))))))</f>
        <v>0</v>
      </c>
      <c r="BS608">
        <f>IF(N608="",0,IF(SETUP!$E$7="USD",((IF(O608="USD",AR608,(AR608/'Master Data-C19RM'!$G$2)))),((IF(O608="EUR",AR608,(AR608*'Master Data-C19RM'!$G$2))))))</f>
        <v>0</v>
      </c>
      <c r="BT608">
        <f>IF(N608="",0,IF(SETUP!$E$7="USD",((IF(O608="USD",AY608,(AY608/'Master Data-C19RM'!$H$2)))),((IF(O608="EUR",AY608,(AY608*'Master Data-C19RM'!$H$2))))))</f>
        <v>0</v>
      </c>
      <c r="BU608" s="12">
        <f t="shared" si="72"/>
        <v>0</v>
      </c>
      <c r="BV608" s="142">
        <f t="shared" si="73"/>
        <v>0</v>
      </c>
    </row>
    <row r="609" spans="1:74" x14ac:dyDescent="0.35">
      <c r="A609" s="1165"/>
      <c r="B609" s="1165"/>
      <c r="C609" s="1165"/>
      <c r="D609" s="1165"/>
      <c r="E609" s="1166"/>
      <c r="F609" s="1166"/>
      <c r="G609" s="1166"/>
      <c r="H609" s="1166"/>
      <c r="I609" s="1166"/>
      <c r="J609" s="1166"/>
      <c r="K609" s="1166"/>
      <c r="L609" s="490" t="str" cm="1">
        <f t="array" ref="L609">IF(A609&lt;&gt;"",IFERROR(INDEX(PMtbl[[WKst]:[Unit of measure*]],MATCH($A$544&amp;$A609&amp;$E609&amp;$I609,INDEX(PMtbl[Sec]&amp;PMtbl[Category]&amp;PMtbl[Each]&amp;PMtbl[Packaging],0,),0),14),""),"")</f>
        <v/>
      </c>
      <c r="M609" s="479" t="str">
        <f>IF(L609="","",INDEX(SETUP!$E$20:$E$122,(MATCH(INDEX(PMsheet!$D:$E,MATCH(A609,PMsheet!E:E,0),1),SETUP!$D$20:$D$122,0))))</f>
        <v/>
      </c>
      <c r="N609" s="491">
        <f>IF($O609="USD",_xlfn.IFNA(VLOOKUP(A609&amp;E609&amp;I609,PMsheet!J:K,2,0),0),(_xlfn.IFNA(VLOOKUP(A609&amp;E609&amp;I609,PMsheet!J:K,2,0),0)*'Master Data-C19RM'!$C$2))</f>
        <v>0</v>
      </c>
      <c r="O609" s="492" t="str">
        <f>IF(L609="", "",SETUP!$E$7)</f>
        <v/>
      </c>
      <c r="P609" s="444">
        <f>IF($O609="USD",_xlfn.IFNA(VLOOKUP($A609&amp;$E609&amp;$I609,PMsheet!$J:$K,2,0),0),(_xlfn.IFNA(VLOOKUP($A609&amp;$E609&amp;$I609,PMsheet!$J:$K,2,0),0)*'Master Data-C19RM'!$C$2))</f>
        <v>0</v>
      </c>
      <c r="Q609" s="441"/>
      <c r="R609" s="441"/>
      <c r="S609" s="441"/>
      <c r="T609" s="441"/>
      <c r="U609" s="481">
        <f t="shared" si="79"/>
        <v>0</v>
      </c>
      <c r="V609" s="483">
        <f>IF(SETUP!$E$7="USD",(U609*(IF(O609="USD",P609,(P609/'Master Data-C19RM'!$C$2)))),(U609*(IF(O609="EUR",P609,(P609*'Master Data-C19RM'!$C$2)))))</f>
        <v>0</v>
      </c>
      <c r="W609" s="444">
        <f>IF($O609="USD",_xlfn.IFNA(VLOOKUP($A609&amp;$E609&amp;$I609,PMsheet!$J:$K,2,0),0),(_xlfn.IFNA(VLOOKUP($A609&amp;$E609&amp;$I609,PMsheet!$J:$K,2,0),0)*'Master Data-C19RM'!$D$2))</f>
        <v>0</v>
      </c>
      <c r="X609" s="441"/>
      <c r="Y609" s="441"/>
      <c r="Z609" s="441"/>
      <c r="AA609" s="441"/>
      <c r="AB609" s="481">
        <f t="shared" si="80"/>
        <v>0</v>
      </c>
      <c r="AC609" s="483">
        <f>IF(SETUP!$E$7="USD",(AB609*(IF(O609="USD",W609,(W609/'Master Data-C19RM'!$D$2)))),(AB609*(IF(O609="EUR",W609,(W609*'Master Data-C19RM'!$D$2)))))</f>
        <v>0</v>
      </c>
      <c r="AD609" s="444">
        <f>IF($O609="USD",_xlfn.IFNA(VLOOKUP($A609&amp;$E609&amp;$I609,PMsheet!$J:$K,2,0),0),(_xlfn.IFNA(VLOOKUP($A609&amp;$E609&amp;$I609,PMsheet!$J:$K,2,0),0)*'Master Data-C19RM'!$E$2))</f>
        <v>0</v>
      </c>
      <c r="AE609" s="441"/>
      <c r="AF609" s="441"/>
      <c r="AG609" s="441"/>
      <c r="AH609" s="441"/>
      <c r="AI609" s="512">
        <f t="shared" si="81"/>
        <v>0</v>
      </c>
      <c r="AJ609" s="513">
        <f>IF(SETUP!$E$7="USD",(AI609*(IF(O609="USD",AD609,(AD609/'Master Data-C19RM'!$E$2)))),(AI609*(IF(O609="EUR",AD609,(AD609*'Master Data-C19RM'!$E$2)))))</f>
        <v>0</v>
      </c>
      <c r="AK609" s="444">
        <f>IF($O609="USD",_xlfn.IFNA(VLOOKUP($A609&amp;$E609&amp;$I609,PMsheet!$J:$K,2,0),0),(_xlfn.IFNA(VLOOKUP($A609&amp;$E609&amp;$I609,PMsheet!$J:$K,2,0),0)*'Master Data-C19RM'!$F$2))</f>
        <v>0</v>
      </c>
      <c r="AL609" s="441"/>
      <c r="AM609" s="441"/>
      <c r="AN609" s="441"/>
      <c r="AO609" s="441"/>
      <c r="AP609" s="512">
        <f t="shared" si="82"/>
        <v>0</v>
      </c>
      <c r="AQ609" s="513">
        <f>IF(SETUP!$E$7="USD",(AP609*(IF(O609="USD",AK609,(AK609/'Master Data-C19RM'!$F$2)))),(AP609*(IF(O609="EUR",AK609,(AK609*'Master Data-C19RM'!$F$2)))))</f>
        <v>0</v>
      </c>
      <c r="AR609" s="924">
        <f>IF($O609="USD",_xlfn.IFNA(VLOOKUP($A609&amp;$E609&amp;$I609,PMsheet!$J:$K,2,0),0),(_xlfn.IFNA(VLOOKUP($A609&amp;$E609&amp;$I609,PMsheet!$J:$K,2,0),0)*'Master Data-C19RM'!$G$2))</f>
        <v>0</v>
      </c>
      <c r="AS609" s="572"/>
      <c r="AT609" s="572"/>
      <c r="AU609" s="572"/>
      <c r="AV609" s="572"/>
      <c r="AW609" s="512">
        <f t="shared" si="78"/>
        <v>0</v>
      </c>
      <c r="AX609" s="512">
        <f>IF(SETUP!$E$7="USD",(AW609*(IF(O609="USD",AR609,(AR609/'Master Data-C19RM'!$G$2)))),(AW609*(IF(O609="EUR",AR609,(AR609*'Master Data-C19RM'!$G$2)))))</f>
        <v>0</v>
      </c>
      <c r="AY609" s="845"/>
      <c r="AZ609" s="846"/>
      <c r="BA609" s="846"/>
      <c r="BB609" s="846"/>
      <c r="BC609" s="846"/>
      <c r="BD609" s="846"/>
      <c r="BE609" s="847"/>
      <c r="BF609" s="520">
        <f>'C19RM 2021-Lab &amp; Other HPS'!$U609+'C19RM 2021-Lab &amp; Other HPS'!$AB609+'C19RM 2021-Lab &amp; Other HPS'!$AP609+'C19RM 2021-Lab &amp; Other HPS'!$AI609+AW609+BD609</f>
        <v>0</v>
      </c>
      <c r="BG609" s="513">
        <f>'C19RM 2021-Lab &amp; Other HPS'!$V609+'C19RM 2021-Lab &amp; Other HPS'!$AC609+'C19RM 2021-Lab &amp; Other HPS'!$AQ609+'C19RM 2021-Lab &amp; Other HPS'!$AJ609+AX609+BE609</f>
        <v>0</v>
      </c>
      <c r="BH609" s="500" t="str" cm="1">
        <f t="array" ref="BH609">IF(A609&lt;&gt;"",IFERROR(INDEX(PMtbl[[WKst]:[Unit of measure*]],MATCH($A$544&amp;$A609&amp;$E609&amp;$I609,INDEX(PMtbl[Sec]&amp;PMtbl[Category]&amp;PMtbl[Each]&amp;PMtbl[Packaging],0,),0),11),""),"")</f>
        <v/>
      </c>
      <c r="BI609" s="819"/>
      <c r="BJ609" s="502" t="str" cm="1">
        <f t="array" ref="BJ609">IFERROR(INDEX(SETUP!$C$19:$G$121,MATCH((INDEX(PMtbl[[WKst]:[Unit of measure*]],MATCH($A609&amp;$E609&amp;$I609,INDEX(PMtbl[Category]&amp;PMtbl[Each]&amp;PMtbl[Packaging],0,),0),3)),SETUP!$D$19:$D$121,0),5),"")</f>
        <v/>
      </c>
      <c r="BK609" s="542" t="str" cm="1">
        <f t="array" ref="BK609">IFERROR(IF((INDEX(SETUP!$C$19:$G$121,MATCH((INDEX(PMtbl[[WKst]:[Unit of measure*]],MATCH($A609&amp;$E609&amp;$I609,INDEX(PMtbl[Category]&amp;PMtbl[Each]&amp;PMtbl[Packaging],0,),0),3)),SETUP!$D$19:$D$121,0),4))="Upfront",0,INDEX(SETUP!$C$19:$G$121,MATCH((INDEX(PMtbl[[WKst]:[Unit of measure*]],MATCH($A609&amp;$E609&amp;$I609,INDEX(PMtbl[Category]&amp;PMtbl[Each]&amp;PMtbl[Packaging],0,),0),3)),SETUP!$D$19:$D$121,0),5)),"")</f>
        <v/>
      </c>
      <c r="BL609" s="200" t="str" cm="1">
        <f t="array" ref="BL609">IF(E609&lt;&gt;"",IFERROR(INDEX(PMtbl[[WKst]:[Unit of measure*]],MATCH($A$544&amp;$A609&amp;$E609&amp;$I609,INDEX(PMtbl[Sec]&amp;PMtbl[Category]&amp;PMtbl[Each]&amp;PMtbl[Packaging],0,),0),11),""),"")</f>
        <v/>
      </c>
      <c r="BO609" s="12">
        <f>IF(N609="",0,IF(SETUP!$E$7="USD",((IF(O609="USD",P609,(P609/'Master Data-C19RM'!$C$2)))),((IF(O609="EUR",P609,(P609*'Master Data-C19RM'!$C$2))))))</f>
        <v>0</v>
      </c>
      <c r="BP609" s="12">
        <f>IF(N609="",0,IF(SETUP!$E$7="USD",((IF(O609="USD",W609,(W609/'Master Data-C19RM'!$D$2)))),((IF(O609="EUR",W609,(W609*'Master Data-C19RM'!$D$2))))))</f>
        <v>0</v>
      </c>
      <c r="BQ609">
        <f>IF(N609="",0,IF(SETUP!$E$7="USD",((IF(O609="USD",AD609,(AD609/'Master Data-C19RM'!$E$2)))),((IF(O609="EUR",AD609,(AD609*'Master Data-C19RM'!$E$2))))))</f>
        <v>0</v>
      </c>
      <c r="BR609">
        <f>IF(N609="",0,IF(SETUP!$E$7="USD",((IF(O609="USD",AK609,(AK609/'Master Data-C19RM'!$F$2)))),((IF(O609="EUR",AK609,(AK609*'Master Data-C19RM'!$F$2))))))</f>
        <v>0</v>
      </c>
      <c r="BS609">
        <f>IF(N609="",0,IF(SETUP!$E$7="USD",((IF(O609="USD",AR609,(AR609/'Master Data-C19RM'!$G$2)))),((IF(O609="EUR",AR609,(AR609*'Master Data-C19RM'!$G$2))))))</f>
        <v>0</v>
      </c>
      <c r="BT609">
        <f>IF(N609="",0,IF(SETUP!$E$7="USD",((IF(O609="USD",AY609,(AY609/'Master Data-C19RM'!$H$2)))),((IF(O609="EUR",AY609,(AY609*'Master Data-C19RM'!$H$2))))))</f>
        <v>0</v>
      </c>
      <c r="BU609" s="12">
        <f t="shared" si="72"/>
        <v>0</v>
      </c>
      <c r="BV609" s="142">
        <f t="shared" si="73"/>
        <v>0</v>
      </c>
    </row>
    <row r="610" spans="1:74" x14ac:dyDescent="0.35">
      <c r="A610" s="1192"/>
      <c r="B610" s="1192"/>
      <c r="C610" s="1192"/>
      <c r="D610" s="1192"/>
      <c r="E610" s="1173"/>
      <c r="F610" s="1173"/>
      <c r="G610" s="1173"/>
      <c r="H610" s="1173"/>
      <c r="I610" s="1173"/>
      <c r="J610" s="1173"/>
      <c r="K610" s="1173"/>
      <c r="L610" s="493" t="str" cm="1">
        <f t="array" ref="L610">IF(A610&lt;&gt;"",IFERROR(INDEX(PMtbl[[WKst]:[Unit of measure*]],MATCH($A$544&amp;$A610&amp;$E610&amp;$I610,INDEX(PMtbl[Sec]&amp;PMtbl[Category]&amp;PMtbl[Each]&amp;PMtbl[Packaging],0,),0),14),""),"")</f>
        <v/>
      </c>
      <c r="M610" s="480" t="str">
        <f>IF(L610="","",INDEX(SETUP!$E$20:$E$122,(MATCH(INDEX(PMsheet!$D:$E,MATCH(A610,PMsheet!E:E,0),1),SETUP!$D$20:$D$122,0))))</f>
        <v/>
      </c>
      <c r="N610" s="494">
        <f>IF($O610="USD",_xlfn.IFNA(VLOOKUP(A610&amp;E610&amp;I610,PMsheet!J:K,2,0),0),(_xlfn.IFNA(VLOOKUP(A610&amp;E610&amp;I610,PMsheet!J:K,2,0),0)*'Master Data-C19RM'!$C$2))</f>
        <v>0</v>
      </c>
      <c r="O610" s="495" t="str">
        <f>IF(L610="", "",SETUP!$E$7)</f>
        <v/>
      </c>
      <c r="P610" s="445">
        <f>IF($O610="USD",_xlfn.IFNA(VLOOKUP($A610&amp;$E610&amp;$I610,PMsheet!$J:$K,2,0),0),(_xlfn.IFNA(VLOOKUP($A610&amp;$E610&amp;$I610,PMsheet!$J:$K,2,0),0)*'Master Data-C19RM'!$C$2))</f>
        <v>0</v>
      </c>
      <c r="Q610" s="440"/>
      <c r="R610" s="440"/>
      <c r="S610" s="440"/>
      <c r="T610" s="440"/>
      <c r="U610" s="482">
        <f t="shared" si="79"/>
        <v>0</v>
      </c>
      <c r="V610" s="484">
        <f>IF(SETUP!$E$7="USD",(U610*(IF(O610="USD",P610,(P610/'Master Data-C19RM'!$C$2)))),(U610*(IF(O610="EUR",P610,(P610*'Master Data-C19RM'!$C$2)))))</f>
        <v>0</v>
      </c>
      <c r="W610" s="445">
        <f>IF($O610="USD",_xlfn.IFNA(VLOOKUP($A610&amp;$E610&amp;$I610,PMsheet!$J:$K,2,0),0),(_xlfn.IFNA(VLOOKUP($A610&amp;$E610&amp;$I610,PMsheet!$J:$K,2,0),0)*'Master Data-C19RM'!$D$2))</f>
        <v>0</v>
      </c>
      <c r="X610" s="440"/>
      <c r="Y610" s="440"/>
      <c r="Z610" s="440"/>
      <c r="AA610" s="440"/>
      <c r="AB610" s="482">
        <f t="shared" si="80"/>
        <v>0</v>
      </c>
      <c r="AC610" s="484">
        <f>IF(SETUP!$E$7="USD",(AB610*(IF(O610="USD",W610,(W610/'Master Data-C19RM'!$D$2)))),(AB610*(IF(O610="EUR",W610,(W610*'Master Data-C19RM'!$D$2)))))</f>
        <v>0</v>
      </c>
      <c r="AD610" s="445">
        <f>IF($O610="USD",_xlfn.IFNA(VLOOKUP($A610&amp;$E610&amp;$I610,PMsheet!$J:$K,2,0),0),(_xlfn.IFNA(VLOOKUP($A610&amp;$E610&amp;$I610,PMsheet!$J:$K,2,0),0)*'Master Data-C19RM'!$E$2))</f>
        <v>0</v>
      </c>
      <c r="AE610" s="440"/>
      <c r="AF610" s="440"/>
      <c r="AG610" s="440"/>
      <c r="AH610" s="440"/>
      <c r="AI610" s="514">
        <f t="shared" si="81"/>
        <v>0</v>
      </c>
      <c r="AJ610" s="515">
        <f>IF(SETUP!$E$7="USD",(AI610*(IF(O610="USD",AD610,(AD610/'Master Data-C19RM'!$E$2)))),(AI610*(IF(O610="EUR",AD610,(AD610*'Master Data-C19RM'!$E$2)))))</f>
        <v>0</v>
      </c>
      <c r="AK610" s="445">
        <f>IF($O610="USD",_xlfn.IFNA(VLOOKUP($A610&amp;$E610&amp;$I610,PMsheet!$J:$K,2,0),0),(_xlfn.IFNA(VLOOKUP($A610&amp;$E610&amp;$I610,PMsheet!$J:$K,2,0),0)*'Master Data-C19RM'!$F$2))</f>
        <v>0</v>
      </c>
      <c r="AL610" s="440"/>
      <c r="AM610" s="440"/>
      <c r="AN610" s="440"/>
      <c r="AO610" s="440"/>
      <c r="AP610" s="514">
        <f t="shared" si="82"/>
        <v>0</v>
      </c>
      <c r="AQ610" s="515">
        <f>IF(SETUP!$E$7="USD",(AP610*(IF(O610="USD",AK610,(AK610/'Master Data-C19RM'!$F$2)))),(AP610*(IF(O610="EUR",AK610,(AK610*'Master Data-C19RM'!$F$2)))))</f>
        <v>0</v>
      </c>
      <c r="AR610" s="925">
        <f>IF($O610="USD",_xlfn.IFNA(VLOOKUP($A610&amp;$E610&amp;$I610,PMsheet!$J:$K,2,0),0),(_xlfn.IFNA(VLOOKUP($A610&amp;$E610&amp;$I610,PMsheet!$J:$K,2,0),0)*'Master Data-C19RM'!$G$2))</f>
        <v>0</v>
      </c>
      <c r="AS610" s="926"/>
      <c r="AT610" s="926"/>
      <c r="AU610" s="926"/>
      <c r="AV610" s="926"/>
      <c r="AW610" s="514">
        <f t="shared" si="78"/>
        <v>0</v>
      </c>
      <c r="AX610" s="514">
        <f>IF(SETUP!$E$7="USD",(AW610*(IF(O610="USD",AR610,(AR610/'Master Data-C19RM'!$G$2)))),(AW610*(IF(O610="EUR",AR610,(AR610*'Master Data-C19RM'!$G$2)))))</f>
        <v>0</v>
      </c>
      <c r="AY610" s="845"/>
      <c r="AZ610" s="846"/>
      <c r="BA610" s="846"/>
      <c r="BB610" s="846"/>
      <c r="BC610" s="846"/>
      <c r="BD610" s="846"/>
      <c r="BE610" s="847"/>
      <c r="BF610" s="521">
        <f>'C19RM 2021-Lab &amp; Other HPS'!$U610+'C19RM 2021-Lab &amp; Other HPS'!$AB610+'C19RM 2021-Lab &amp; Other HPS'!$AP610+'C19RM 2021-Lab &amp; Other HPS'!$AI610+AW610+BD610</f>
        <v>0</v>
      </c>
      <c r="BG610" s="515">
        <f>'C19RM 2021-Lab &amp; Other HPS'!$V610+'C19RM 2021-Lab &amp; Other HPS'!$AC610+'C19RM 2021-Lab &amp; Other HPS'!$AQ610+'C19RM 2021-Lab &amp; Other HPS'!$AJ610+AX610+BE610</f>
        <v>0</v>
      </c>
      <c r="BH610" s="522" t="str" cm="1">
        <f t="array" ref="BH610">IF(A610&lt;&gt;"",IFERROR(INDEX(PMtbl[[WKst]:[Unit of measure*]],MATCH($A$544&amp;$A610&amp;$E610&amp;$I610,INDEX(PMtbl[Sec]&amp;PMtbl[Category]&amp;PMtbl[Each]&amp;PMtbl[Packaging],0,),0),11),""),"")</f>
        <v/>
      </c>
      <c r="BI610" s="818"/>
      <c r="BJ610" s="503" t="str" cm="1">
        <f t="array" ref="BJ610">IFERROR(INDEX(SETUP!$C$19:$G$121,MATCH((INDEX(PMtbl[[WKst]:[Unit of measure*]],MATCH($A610&amp;$E610&amp;$I610,INDEX(PMtbl[Category]&amp;PMtbl[Each]&amp;PMtbl[Packaging],0,),0),3)),SETUP!$D$19:$D$121,0),5),"")</f>
        <v/>
      </c>
      <c r="BK610" s="543" t="str" cm="1">
        <f t="array" ref="BK610">IFERROR(IF((INDEX(SETUP!$C$19:$G$121,MATCH((INDEX(PMtbl[[WKst]:[Unit of measure*]],MATCH($A610&amp;$E610&amp;$I610,INDEX(PMtbl[Category]&amp;PMtbl[Each]&amp;PMtbl[Packaging],0,),0),3)),SETUP!$D$19:$D$121,0),4))="Upfront",0,INDEX(SETUP!$C$19:$G$121,MATCH((INDEX(PMtbl[[WKst]:[Unit of measure*]],MATCH($A610&amp;$E610&amp;$I610,INDEX(PMtbl[Category]&amp;PMtbl[Each]&amp;PMtbl[Packaging],0,),0),3)),SETUP!$D$19:$D$121,0),5)),"")</f>
        <v/>
      </c>
      <c r="BL610" s="201" t="str" cm="1">
        <f t="array" ref="BL610">IF(E610&lt;&gt;"",IFERROR(INDEX(PMtbl[[WKst]:[Unit of measure*]],MATCH($A$544&amp;$A610&amp;$E610&amp;$I610,INDEX(PMtbl[Sec]&amp;PMtbl[Category]&amp;PMtbl[Each]&amp;PMtbl[Packaging],0,),0),11),""),"")</f>
        <v/>
      </c>
      <c r="BO610" s="12">
        <f>IF(N610="",0,IF(SETUP!$E$7="USD",((IF(O610="USD",P610,(P610/'Master Data-C19RM'!$C$2)))),((IF(O610="EUR",P610,(P610*'Master Data-C19RM'!$C$2))))))</f>
        <v>0</v>
      </c>
      <c r="BP610" s="12">
        <f>IF(N610="",0,IF(SETUP!$E$7="USD",((IF(O610="USD",W610,(W610/'Master Data-C19RM'!$D$2)))),((IF(O610="EUR",W610,(W610*'Master Data-C19RM'!$D$2))))))</f>
        <v>0</v>
      </c>
      <c r="BQ610">
        <f>IF(N610="",0,IF(SETUP!$E$7="USD",((IF(O610="USD",AD610,(AD610/'Master Data-C19RM'!$E$2)))),((IF(O610="EUR",AD610,(AD610*'Master Data-C19RM'!$E$2))))))</f>
        <v>0</v>
      </c>
      <c r="BR610">
        <f>IF(N610="",0,IF(SETUP!$E$7="USD",((IF(O610="USD",AK610,(AK610/'Master Data-C19RM'!$F$2)))),((IF(O610="EUR",AK610,(AK610*'Master Data-C19RM'!$F$2))))))</f>
        <v>0</v>
      </c>
      <c r="BS610">
        <f>IF(N610="",0,IF(SETUP!$E$7="USD",((IF(O610="USD",AR610,(AR610/'Master Data-C19RM'!$G$2)))),((IF(O610="EUR",AR610,(AR610*'Master Data-C19RM'!$G$2))))))</f>
        <v>0</v>
      </c>
      <c r="BT610">
        <f>IF(N610="",0,IF(SETUP!$E$7="USD",((IF(O610="USD",AY610,(AY610/'Master Data-C19RM'!$H$2)))),((IF(O610="EUR",AY610,(AY610*'Master Data-C19RM'!$H$2))))))</f>
        <v>0</v>
      </c>
      <c r="BU610" s="12">
        <f t="shared" si="72"/>
        <v>0</v>
      </c>
      <c r="BV610" s="142">
        <f t="shared" si="73"/>
        <v>0</v>
      </c>
    </row>
    <row r="611" spans="1:74" x14ac:dyDescent="0.35">
      <c r="A611" s="1165"/>
      <c r="B611" s="1165"/>
      <c r="C611" s="1165"/>
      <c r="D611" s="1165"/>
      <c r="E611" s="1166"/>
      <c r="F611" s="1166"/>
      <c r="G611" s="1166"/>
      <c r="H611" s="1166"/>
      <c r="I611" s="1166"/>
      <c r="J611" s="1166"/>
      <c r="K611" s="1166"/>
      <c r="L611" s="490" t="str" cm="1">
        <f t="array" ref="L611">IF(A611&lt;&gt;"",IFERROR(INDEX(PMtbl[[WKst]:[Unit of measure*]],MATCH($A$544&amp;$A611&amp;$E611&amp;$I611,INDEX(PMtbl[Sec]&amp;PMtbl[Category]&amp;PMtbl[Each]&amp;PMtbl[Packaging],0,),0),14),""),"")</f>
        <v/>
      </c>
      <c r="M611" s="479" t="str">
        <f>IF(L611="","",INDEX(SETUP!$E$20:$E$122,(MATCH(INDEX(PMsheet!$D:$E,MATCH(A611,PMsheet!E:E,0),1),SETUP!$D$20:$D$122,0))))</f>
        <v/>
      </c>
      <c r="N611" s="491">
        <f>IF($O611="USD",_xlfn.IFNA(VLOOKUP(A611&amp;E611&amp;I611,PMsheet!J:K,2,0),0),(_xlfn.IFNA(VLOOKUP(A611&amp;E611&amp;I611,PMsheet!J:K,2,0),0)*'Master Data-C19RM'!$C$2))</f>
        <v>0</v>
      </c>
      <c r="O611" s="492" t="str">
        <f>IF(L611="", "",SETUP!$E$7)</f>
        <v/>
      </c>
      <c r="P611" s="444">
        <f>IF($O611="USD",_xlfn.IFNA(VLOOKUP($A611&amp;$E611&amp;$I611,PMsheet!$J:$K,2,0),0),(_xlfn.IFNA(VLOOKUP($A611&amp;$E611&amp;$I611,PMsheet!$J:$K,2,0),0)*'Master Data-C19RM'!$C$2))</f>
        <v>0</v>
      </c>
      <c r="Q611" s="441"/>
      <c r="R611" s="441"/>
      <c r="S611" s="441"/>
      <c r="T611" s="441"/>
      <c r="U611" s="481">
        <f t="shared" si="79"/>
        <v>0</v>
      </c>
      <c r="V611" s="483">
        <f>IF(SETUP!$E$7="USD",(U611*(IF(O611="USD",P611,(P611/'Master Data-C19RM'!$C$2)))),(U611*(IF(O611="EUR",P611,(P611*'Master Data-C19RM'!$C$2)))))</f>
        <v>0</v>
      </c>
      <c r="W611" s="444">
        <f>IF($O611="USD",_xlfn.IFNA(VLOOKUP($A611&amp;$E611&amp;$I611,PMsheet!$J:$K,2,0),0),(_xlfn.IFNA(VLOOKUP($A611&amp;$E611&amp;$I611,PMsheet!$J:$K,2,0),0)*'Master Data-C19RM'!$D$2))</f>
        <v>0</v>
      </c>
      <c r="X611" s="441"/>
      <c r="Y611" s="441"/>
      <c r="Z611" s="441"/>
      <c r="AA611" s="441"/>
      <c r="AB611" s="481">
        <f t="shared" si="80"/>
        <v>0</v>
      </c>
      <c r="AC611" s="483">
        <f>IF(SETUP!$E$7="USD",(AB611*(IF(O611="USD",W611,(W611/'Master Data-C19RM'!$D$2)))),(AB611*(IF(O611="EUR",W611,(W611*'Master Data-C19RM'!$D$2)))))</f>
        <v>0</v>
      </c>
      <c r="AD611" s="444">
        <f>IF($O611="USD",_xlfn.IFNA(VLOOKUP($A611&amp;$E611&amp;$I611,PMsheet!$J:$K,2,0),0),(_xlfn.IFNA(VLOOKUP($A611&amp;$E611&amp;$I611,PMsheet!$J:$K,2,0),0)*'Master Data-C19RM'!$E$2))</f>
        <v>0</v>
      </c>
      <c r="AE611" s="441"/>
      <c r="AF611" s="441"/>
      <c r="AG611" s="441"/>
      <c r="AH611" s="441"/>
      <c r="AI611" s="512">
        <f t="shared" si="81"/>
        <v>0</v>
      </c>
      <c r="AJ611" s="513">
        <f>IF(SETUP!$E$7="USD",(AI611*(IF(O611="USD",AD611,(AD611/'Master Data-C19RM'!$E$2)))),(AI611*(IF(O611="EUR",AD611,(AD611*'Master Data-C19RM'!$E$2)))))</f>
        <v>0</v>
      </c>
      <c r="AK611" s="444">
        <f>IF($O611="USD",_xlfn.IFNA(VLOOKUP($A611&amp;$E611&amp;$I611,PMsheet!$J:$K,2,0),0),(_xlfn.IFNA(VLOOKUP($A611&amp;$E611&amp;$I611,PMsheet!$J:$K,2,0),0)*'Master Data-C19RM'!$F$2))</f>
        <v>0</v>
      </c>
      <c r="AL611" s="441"/>
      <c r="AM611" s="441"/>
      <c r="AN611" s="441"/>
      <c r="AO611" s="441"/>
      <c r="AP611" s="512">
        <f t="shared" si="82"/>
        <v>0</v>
      </c>
      <c r="AQ611" s="513">
        <f>IF(SETUP!$E$7="USD",(AP611*(IF(O611="USD",AK611,(AK611/'Master Data-C19RM'!$F$2)))),(AP611*(IF(O611="EUR",AK611,(AK611*'Master Data-C19RM'!$F$2)))))</f>
        <v>0</v>
      </c>
      <c r="AR611" s="924">
        <f>IF($O611="USD",_xlfn.IFNA(VLOOKUP($A611&amp;$E611&amp;$I611,PMsheet!$J:$K,2,0),0),(_xlfn.IFNA(VLOOKUP($A611&amp;$E611&amp;$I611,PMsheet!$J:$K,2,0),0)*'Master Data-C19RM'!$G$2))</f>
        <v>0</v>
      </c>
      <c r="AS611" s="572"/>
      <c r="AT611" s="572"/>
      <c r="AU611" s="572"/>
      <c r="AV611" s="572"/>
      <c r="AW611" s="512">
        <f t="shared" si="78"/>
        <v>0</v>
      </c>
      <c r="AX611" s="512">
        <f>IF(SETUP!$E$7="USD",(AW611*(IF(O611="USD",AR611,(AR611/'Master Data-C19RM'!$G$2)))),(AW611*(IF(O611="EUR",AR611,(AR611*'Master Data-C19RM'!$G$2)))))</f>
        <v>0</v>
      </c>
      <c r="AY611" s="845"/>
      <c r="AZ611" s="846"/>
      <c r="BA611" s="846"/>
      <c r="BB611" s="846"/>
      <c r="BC611" s="846"/>
      <c r="BD611" s="846"/>
      <c r="BE611" s="847"/>
      <c r="BF611" s="520">
        <f>'C19RM 2021-Lab &amp; Other HPS'!$U611+'C19RM 2021-Lab &amp; Other HPS'!$AB611+'C19RM 2021-Lab &amp; Other HPS'!$AP611+'C19RM 2021-Lab &amp; Other HPS'!$AI611+AW611+BD611</f>
        <v>0</v>
      </c>
      <c r="BG611" s="513">
        <f>'C19RM 2021-Lab &amp; Other HPS'!$V611+'C19RM 2021-Lab &amp; Other HPS'!$AC611+'C19RM 2021-Lab &amp; Other HPS'!$AQ611+'C19RM 2021-Lab &amp; Other HPS'!$AJ611+AX611+BE611</f>
        <v>0</v>
      </c>
      <c r="BH611" s="500" t="str" cm="1">
        <f t="array" ref="BH611">IF(A611&lt;&gt;"",IFERROR(INDEX(PMtbl[[WKst]:[Unit of measure*]],MATCH($A$544&amp;$A611&amp;$E611&amp;$I611,INDEX(PMtbl[Sec]&amp;PMtbl[Category]&amp;PMtbl[Each]&amp;PMtbl[Packaging],0,),0),11),""),"")</f>
        <v/>
      </c>
      <c r="BI611" s="819"/>
      <c r="BJ611" s="502" t="str" cm="1">
        <f t="array" ref="BJ611">IFERROR(INDEX(SETUP!$C$19:$G$121,MATCH((INDEX(PMtbl[[WKst]:[Unit of measure*]],MATCH($A611&amp;$E611&amp;$I611,INDEX(PMtbl[Category]&amp;PMtbl[Each]&amp;PMtbl[Packaging],0,),0),3)),SETUP!$D$19:$D$121,0),5),"")</f>
        <v/>
      </c>
      <c r="BK611" s="542" t="str" cm="1">
        <f t="array" ref="BK611">IFERROR(IF((INDEX(SETUP!$C$19:$G$121,MATCH((INDEX(PMtbl[[WKst]:[Unit of measure*]],MATCH($A611&amp;$E611&amp;$I611,INDEX(PMtbl[Category]&amp;PMtbl[Each]&amp;PMtbl[Packaging],0,),0),3)),SETUP!$D$19:$D$121,0),4))="Upfront",0,INDEX(SETUP!$C$19:$G$121,MATCH((INDEX(PMtbl[[WKst]:[Unit of measure*]],MATCH($A611&amp;$E611&amp;$I611,INDEX(PMtbl[Category]&amp;PMtbl[Each]&amp;PMtbl[Packaging],0,),0),3)),SETUP!$D$19:$D$121,0),5)),"")</f>
        <v/>
      </c>
      <c r="BL611" s="200" t="str" cm="1">
        <f t="array" ref="BL611">IF(E611&lt;&gt;"",IFERROR(INDEX(PMtbl[[WKst]:[Unit of measure*]],MATCH($A$544&amp;$A611&amp;$E611&amp;$I611,INDEX(PMtbl[Sec]&amp;PMtbl[Category]&amp;PMtbl[Each]&amp;PMtbl[Packaging],0,),0),11),""),"")</f>
        <v/>
      </c>
      <c r="BO611" s="12">
        <f>IF(N611="",0,IF(SETUP!$E$7="USD",((IF(O611="USD",P611,(P611/'Master Data-C19RM'!$C$2)))),((IF(O611="EUR",P611,(P611*'Master Data-C19RM'!$C$2))))))</f>
        <v>0</v>
      </c>
      <c r="BP611" s="12">
        <f>IF(N611="",0,IF(SETUP!$E$7="USD",((IF(O611="USD",W611,(W611/'Master Data-C19RM'!$D$2)))),((IF(O611="EUR",W611,(W611*'Master Data-C19RM'!$D$2))))))</f>
        <v>0</v>
      </c>
      <c r="BQ611">
        <f>IF(N611="",0,IF(SETUP!$E$7="USD",((IF(O611="USD",AD611,(AD611/'Master Data-C19RM'!$E$2)))),((IF(O611="EUR",AD611,(AD611*'Master Data-C19RM'!$E$2))))))</f>
        <v>0</v>
      </c>
      <c r="BR611">
        <f>IF(N611="",0,IF(SETUP!$E$7="USD",((IF(O611="USD",AK611,(AK611/'Master Data-C19RM'!$F$2)))),((IF(O611="EUR",AK611,(AK611*'Master Data-C19RM'!$F$2))))))</f>
        <v>0</v>
      </c>
      <c r="BS611">
        <f>IF(N611="",0,IF(SETUP!$E$7="USD",((IF(O611="USD",AR611,(AR611/'Master Data-C19RM'!$G$2)))),((IF(O611="EUR",AR611,(AR611*'Master Data-C19RM'!$G$2))))))</f>
        <v>0</v>
      </c>
      <c r="BT611">
        <f>IF(N611="",0,IF(SETUP!$E$7="USD",((IF(O611="USD",AY611,(AY611/'Master Data-C19RM'!$H$2)))),((IF(O611="EUR",AY611,(AY611*'Master Data-C19RM'!$H$2))))))</f>
        <v>0</v>
      </c>
      <c r="BU611" s="12">
        <f t="shared" si="72"/>
        <v>0</v>
      </c>
      <c r="BV611" s="142">
        <f t="shared" si="73"/>
        <v>0</v>
      </c>
    </row>
    <row r="612" spans="1:74" x14ac:dyDescent="0.35">
      <c r="A612" s="1192"/>
      <c r="B612" s="1192"/>
      <c r="C612" s="1192"/>
      <c r="D612" s="1192"/>
      <c r="E612" s="1173"/>
      <c r="F612" s="1173"/>
      <c r="G612" s="1173"/>
      <c r="H612" s="1173"/>
      <c r="I612" s="1173"/>
      <c r="J612" s="1173"/>
      <c r="K612" s="1173"/>
      <c r="L612" s="493" t="str" cm="1">
        <f t="array" ref="L612">IF(A612&lt;&gt;"",IFERROR(INDEX(PMtbl[[WKst]:[Unit of measure*]],MATCH($A$544&amp;$A612&amp;$E612&amp;$I612,INDEX(PMtbl[Sec]&amp;PMtbl[Category]&amp;PMtbl[Each]&amp;PMtbl[Packaging],0,),0),14),""),"")</f>
        <v/>
      </c>
      <c r="M612" s="480" t="str">
        <f>IF(L612="","",INDEX(SETUP!$E$20:$E$122,(MATCH(INDEX(PMsheet!$D:$E,MATCH(A612,PMsheet!E:E,0),1),SETUP!$D$20:$D$122,0))))</f>
        <v/>
      </c>
      <c r="N612" s="494">
        <f>IF($O612="USD",_xlfn.IFNA(VLOOKUP(A612&amp;E612&amp;I612,PMsheet!J:K,2,0),0),(_xlfn.IFNA(VLOOKUP(A612&amp;E612&amp;I612,PMsheet!J:K,2,0),0)*'Master Data-C19RM'!$C$2))</f>
        <v>0</v>
      </c>
      <c r="O612" s="495" t="str">
        <f>IF(L612="", "",SETUP!$E$7)</f>
        <v/>
      </c>
      <c r="P612" s="445">
        <f>IF($O612="USD",_xlfn.IFNA(VLOOKUP($A612&amp;$E612&amp;$I612,PMsheet!$J:$K,2,0),0),(_xlfn.IFNA(VLOOKUP($A612&amp;$E612&amp;$I612,PMsheet!$J:$K,2,0),0)*'Master Data-C19RM'!$C$2))</f>
        <v>0</v>
      </c>
      <c r="Q612" s="440"/>
      <c r="R612" s="440"/>
      <c r="S612" s="440"/>
      <c r="T612" s="440"/>
      <c r="U612" s="482">
        <f t="shared" si="79"/>
        <v>0</v>
      </c>
      <c r="V612" s="484">
        <f>IF(SETUP!$E$7="USD",(U612*(IF(O612="USD",P612,(P612/'Master Data-C19RM'!$C$2)))),(U612*(IF(O612="EUR",P612,(P612*'Master Data-C19RM'!$C$2)))))</f>
        <v>0</v>
      </c>
      <c r="W612" s="445">
        <f>IF($O612="USD",_xlfn.IFNA(VLOOKUP($A612&amp;$E612&amp;$I612,PMsheet!$J:$K,2,0),0),(_xlfn.IFNA(VLOOKUP($A612&amp;$E612&amp;$I612,PMsheet!$J:$K,2,0),0)*'Master Data-C19RM'!$D$2))</f>
        <v>0</v>
      </c>
      <c r="X612" s="440"/>
      <c r="Y612" s="440"/>
      <c r="Z612" s="440"/>
      <c r="AA612" s="440"/>
      <c r="AB612" s="482">
        <f t="shared" si="80"/>
        <v>0</v>
      </c>
      <c r="AC612" s="484">
        <f>IF(SETUP!$E$7="USD",(AB612*(IF(O612="USD",W612,(W612/'Master Data-C19RM'!$D$2)))),(AB612*(IF(O612="EUR",W612,(W612*'Master Data-C19RM'!$D$2)))))</f>
        <v>0</v>
      </c>
      <c r="AD612" s="445">
        <f>IF($O612="USD",_xlfn.IFNA(VLOOKUP($A612&amp;$E612&amp;$I612,PMsheet!$J:$K,2,0),0),(_xlfn.IFNA(VLOOKUP($A612&amp;$E612&amp;$I612,PMsheet!$J:$K,2,0),0)*'Master Data-C19RM'!$E$2))</f>
        <v>0</v>
      </c>
      <c r="AE612" s="440"/>
      <c r="AF612" s="440"/>
      <c r="AG612" s="440"/>
      <c r="AH612" s="440"/>
      <c r="AI612" s="514">
        <f t="shared" si="81"/>
        <v>0</v>
      </c>
      <c r="AJ612" s="515">
        <f>IF(SETUP!$E$7="USD",(AI612*(IF(O612="USD",AD612,(AD612/'Master Data-C19RM'!$E$2)))),(AI612*(IF(O612="EUR",AD612,(AD612*'Master Data-C19RM'!$E$2)))))</f>
        <v>0</v>
      </c>
      <c r="AK612" s="445">
        <f>IF($O612="USD",_xlfn.IFNA(VLOOKUP($A612&amp;$E612&amp;$I612,PMsheet!$J:$K,2,0),0),(_xlfn.IFNA(VLOOKUP($A612&amp;$E612&amp;$I612,PMsheet!$J:$K,2,0),0)*'Master Data-C19RM'!$F$2))</f>
        <v>0</v>
      </c>
      <c r="AL612" s="440"/>
      <c r="AM612" s="440"/>
      <c r="AN612" s="440"/>
      <c r="AO612" s="440"/>
      <c r="AP612" s="514">
        <f t="shared" si="82"/>
        <v>0</v>
      </c>
      <c r="AQ612" s="515">
        <f>IF(SETUP!$E$7="USD",(AP612*(IF(O612="USD",AK612,(AK612/'Master Data-C19RM'!$F$2)))),(AP612*(IF(O612="EUR",AK612,(AK612*'Master Data-C19RM'!$F$2)))))</f>
        <v>0</v>
      </c>
      <c r="AR612" s="925">
        <f>IF($O612="USD",_xlfn.IFNA(VLOOKUP($A612&amp;$E612&amp;$I612,PMsheet!$J:$K,2,0),0),(_xlfn.IFNA(VLOOKUP($A612&amp;$E612&amp;$I612,PMsheet!$J:$K,2,0),0)*'Master Data-C19RM'!$G$2))</f>
        <v>0</v>
      </c>
      <c r="AS612" s="926"/>
      <c r="AT612" s="926"/>
      <c r="AU612" s="926"/>
      <c r="AV612" s="926"/>
      <c r="AW612" s="514">
        <f t="shared" si="78"/>
        <v>0</v>
      </c>
      <c r="AX612" s="514">
        <f>IF(SETUP!$E$7="USD",(AW612*(IF(O612="USD",AR612,(AR612/'Master Data-C19RM'!$G$2)))),(AW612*(IF(O612="EUR",AR612,(AR612*'Master Data-C19RM'!$G$2)))))</f>
        <v>0</v>
      </c>
      <c r="AY612" s="845"/>
      <c r="AZ612" s="846"/>
      <c r="BA612" s="846"/>
      <c r="BB612" s="846"/>
      <c r="BC612" s="846"/>
      <c r="BD612" s="846"/>
      <c r="BE612" s="847"/>
      <c r="BF612" s="521">
        <f>'C19RM 2021-Lab &amp; Other HPS'!$U612+'C19RM 2021-Lab &amp; Other HPS'!$AB612+'C19RM 2021-Lab &amp; Other HPS'!$AP612+'C19RM 2021-Lab &amp; Other HPS'!$AI612+AW612+BD612</f>
        <v>0</v>
      </c>
      <c r="BG612" s="515">
        <f>'C19RM 2021-Lab &amp; Other HPS'!$V612+'C19RM 2021-Lab &amp; Other HPS'!$AC612+'C19RM 2021-Lab &amp; Other HPS'!$AQ612+'C19RM 2021-Lab &amp; Other HPS'!$AJ612+AX612+BE612</f>
        <v>0</v>
      </c>
      <c r="BH612" s="522" t="str" cm="1">
        <f t="array" ref="BH612">IF(A612&lt;&gt;"",IFERROR(INDEX(PMtbl[[WKst]:[Unit of measure*]],MATCH($A$544&amp;$A612&amp;$E612&amp;$I612,INDEX(PMtbl[Sec]&amp;PMtbl[Category]&amp;PMtbl[Each]&amp;PMtbl[Packaging],0,),0),11),""),"")</f>
        <v/>
      </c>
      <c r="BI612" s="818"/>
      <c r="BJ612" s="503" t="str" cm="1">
        <f t="array" ref="BJ612">IFERROR(INDEX(SETUP!$C$19:$G$121,MATCH((INDEX(PMtbl[[WKst]:[Unit of measure*]],MATCH($A612&amp;$E612&amp;$I612,INDEX(PMtbl[Category]&amp;PMtbl[Each]&amp;PMtbl[Packaging],0,),0),3)),SETUP!$D$19:$D$121,0),5),"")</f>
        <v/>
      </c>
      <c r="BK612" s="543" t="str" cm="1">
        <f t="array" ref="BK612">IFERROR(IF((INDEX(SETUP!$C$19:$G$121,MATCH((INDEX(PMtbl[[WKst]:[Unit of measure*]],MATCH($A612&amp;$E612&amp;$I612,INDEX(PMtbl[Category]&amp;PMtbl[Each]&amp;PMtbl[Packaging],0,),0),3)),SETUP!$D$19:$D$121,0),4))="Upfront",0,INDEX(SETUP!$C$19:$G$121,MATCH((INDEX(PMtbl[[WKst]:[Unit of measure*]],MATCH($A612&amp;$E612&amp;$I612,INDEX(PMtbl[Category]&amp;PMtbl[Each]&amp;PMtbl[Packaging],0,),0),3)),SETUP!$D$19:$D$121,0),5)),"")</f>
        <v/>
      </c>
      <c r="BL612" s="201" t="str" cm="1">
        <f t="array" ref="BL612">IF(E612&lt;&gt;"",IFERROR(INDEX(PMtbl[[WKst]:[Unit of measure*]],MATCH($A$544&amp;$A612&amp;$E612&amp;$I612,INDEX(PMtbl[Sec]&amp;PMtbl[Category]&amp;PMtbl[Each]&amp;PMtbl[Packaging],0,),0),11),""),"")</f>
        <v/>
      </c>
      <c r="BO612" s="12">
        <f>IF(N612="",0,IF(SETUP!$E$7="USD",((IF(O612="USD",P612,(P612/'Master Data-C19RM'!$C$2)))),((IF(O612="EUR",P612,(P612*'Master Data-C19RM'!$C$2))))))</f>
        <v>0</v>
      </c>
      <c r="BP612" s="12">
        <f>IF(N612="",0,IF(SETUP!$E$7="USD",((IF(O612="USD",W612,(W612/'Master Data-C19RM'!$D$2)))),((IF(O612="EUR",W612,(W612*'Master Data-C19RM'!$D$2))))))</f>
        <v>0</v>
      </c>
      <c r="BQ612">
        <f>IF(N612="",0,IF(SETUP!$E$7="USD",((IF(O612="USD",AD612,(AD612/'Master Data-C19RM'!$E$2)))),((IF(O612="EUR",AD612,(AD612*'Master Data-C19RM'!$E$2))))))</f>
        <v>0</v>
      </c>
      <c r="BR612">
        <f>IF(N612="",0,IF(SETUP!$E$7="USD",((IF(O612="USD",AK612,(AK612/'Master Data-C19RM'!$F$2)))),((IF(O612="EUR",AK612,(AK612*'Master Data-C19RM'!$F$2))))))</f>
        <v>0</v>
      </c>
      <c r="BS612">
        <f>IF(N612="",0,IF(SETUP!$E$7="USD",((IF(O612="USD",AR612,(AR612/'Master Data-C19RM'!$G$2)))),((IF(O612="EUR",AR612,(AR612*'Master Data-C19RM'!$G$2))))))</f>
        <v>0</v>
      </c>
      <c r="BT612">
        <f>IF(N612="",0,IF(SETUP!$E$7="USD",((IF(O612="USD",AY612,(AY612/'Master Data-C19RM'!$H$2)))),((IF(O612="EUR",AY612,(AY612*'Master Data-C19RM'!$H$2))))))</f>
        <v>0</v>
      </c>
      <c r="BU612" s="12">
        <f t="shared" si="72"/>
        <v>0</v>
      </c>
      <c r="BV612" s="142">
        <f t="shared" si="73"/>
        <v>0</v>
      </c>
    </row>
    <row r="613" spans="1:74" x14ac:dyDescent="0.35">
      <c r="A613" s="1165"/>
      <c r="B613" s="1165"/>
      <c r="C613" s="1165"/>
      <c r="D613" s="1165"/>
      <c r="E613" s="1166"/>
      <c r="F613" s="1166"/>
      <c r="G613" s="1166"/>
      <c r="H613" s="1166"/>
      <c r="I613" s="1166"/>
      <c r="J613" s="1166"/>
      <c r="K613" s="1166"/>
      <c r="L613" s="490" t="str" cm="1">
        <f t="array" ref="L613">IF(A613&lt;&gt;"",IFERROR(INDEX(PMtbl[[WKst]:[Unit of measure*]],MATCH($A$544&amp;$A613&amp;$E613&amp;$I613,INDEX(PMtbl[Sec]&amp;PMtbl[Category]&amp;PMtbl[Each]&amp;PMtbl[Packaging],0,),0),14),""),"")</f>
        <v/>
      </c>
      <c r="M613" s="479" t="str">
        <f>IF(L613="","",INDEX(SETUP!$E$20:$E$122,(MATCH(INDEX(PMsheet!$D:$E,MATCH(A613,PMsheet!E:E,0),1),SETUP!$D$20:$D$122,0))))</f>
        <v/>
      </c>
      <c r="N613" s="491">
        <f>IF($O613="USD",_xlfn.IFNA(VLOOKUP(A613&amp;E613&amp;I613,PMsheet!J:K,2,0),0),(_xlfn.IFNA(VLOOKUP(A613&amp;E613&amp;I613,PMsheet!J:K,2,0),0)*'Master Data-C19RM'!$C$2))</f>
        <v>0</v>
      </c>
      <c r="O613" s="492" t="str">
        <f>IF(L613="", "",SETUP!$E$7)</f>
        <v/>
      </c>
      <c r="P613" s="444">
        <f>IF($O613="USD",_xlfn.IFNA(VLOOKUP($A613&amp;$E613&amp;$I613,PMsheet!$J:$K,2,0),0),(_xlfn.IFNA(VLOOKUP($A613&amp;$E613&amp;$I613,PMsheet!$J:$K,2,0),0)*'Master Data-C19RM'!$C$2))</f>
        <v>0</v>
      </c>
      <c r="Q613" s="441"/>
      <c r="R613" s="441"/>
      <c r="S613" s="441"/>
      <c r="T613" s="441"/>
      <c r="U613" s="481">
        <f t="shared" si="79"/>
        <v>0</v>
      </c>
      <c r="V613" s="483">
        <f>IF(SETUP!$E$7="USD",(U613*(IF(O613="USD",P613,(P613/'Master Data-C19RM'!$C$2)))),(U613*(IF(O613="EUR",P613,(P613*'Master Data-C19RM'!$C$2)))))</f>
        <v>0</v>
      </c>
      <c r="W613" s="444">
        <f>IF($O613="USD",_xlfn.IFNA(VLOOKUP($A613&amp;$E613&amp;$I613,PMsheet!$J:$K,2,0),0),(_xlfn.IFNA(VLOOKUP($A613&amp;$E613&amp;$I613,PMsheet!$J:$K,2,0),0)*'Master Data-C19RM'!$D$2))</f>
        <v>0</v>
      </c>
      <c r="X613" s="441"/>
      <c r="Y613" s="441"/>
      <c r="Z613" s="441"/>
      <c r="AA613" s="441"/>
      <c r="AB613" s="481">
        <f t="shared" si="80"/>
        <v>0</v>
      </c>
      <c r="AC613" s="483">
        <f>IF(SETUP!$E$7="USD",(AB613*(IF(O613="USD",W613,(W613/'Master Data-C19RM'!$D$2)))),(AB613*(IF(O613="EUR",W613,(W613*'Master Data-C19RM'!$D$2)))))</f>
        <v>0</v>
      </c>
      <c r="AD613" s="444">
        <f>IF($O613="USD",_xlfn.IFNA(VLOOKUP($A613&amp;$E613&amp;$I613,PMsheet!$J:$K,2,0),0),(_xlfn.IFNA(VLOOKUP($A613&amp;$E613&amp;$I613,PMsheet!$J:$K,2,0),0)*'Master Data-C19RM'!$E$2))</f>
        <v>0</v>
      </c>
      <c r="AE613" s="441"/>
      <c r="AF613" s="441"/>
      <c r="AG613" s="441"/>
      <c r="AH613" s="441"/>
      <c r="AI613" s="512">
        <f t="shared" si="81"/>
        <v>0</v>
      </c>
      <c r="AJ613" s="513">
        <f>IF(SETUP!$E$7="USD",(AI613*(IF(O613="USD",AD613,(AD613/'Master Data-C19RM'!$E$2)))),(AI613*(IF(O613="EUR",AD613,(AD613*'Master Data-C19RM'!$E$2)))))</f>
        <v>0</v>
      </c>
      <c r="AK613" s="444">
        <f>IF($O613="USD",_xlfn.IFNA(VLOOKUP($A613&amp;$E613&amp;$I613,PMsheet!$J:$K,2,0),0),(_xlfn.IFNA(VLOOKUP($A613&amp;$E613&amp;$I613,PMsheet!$J:$K,2,0),0)*'Master Data-C19RM'!$F$2))</f>
        <v>0</v>
      </c>
      <c r="AL613" s="441"/>
      <c r="AM613" s="441"/>
      <c r="AN613" s="441"/>
      <c r="AO613" s="441"/>
      <c r="AP613" s="512">
        <f t="shared" si="82"/>
        <v>0</v>
      </c>
      <c r="AQ613" s="513">
        <f>IF(SETUP!$E$7="USD",(AP613*(IF(O613="USD",AK613,(AK613/'Master Data-C19RM'!$F$2)))),(AP613*(IF(O613="EUR",AK613,(AK613*'Master Data-C19RM'!$F$2)))))</f>
        <v>0</v>
      </c>
      <c r="AR613" s="924">
        <f>IF($O613="USD",_xlfn.IFNA(VLOOKUP($A613&amp;$E613&amp;$I613,PMsheet!$J:$K,2,0),0),(_xlfn.IFNA(VLOOKUP($A613&amp;$E613&amp;$I613,PMsheet!$J:$K,2,0),0)*'Master Data-C19RM'!$G$2))</f>
        <v>0</v>
      </c>
      <c r="AS613" s="572"/>
      <c r="AT613" s="572"/>
      <c r="AU613" s="572"/>
      <c r="AV613" s="572"/>
      <c r="AW613" s="512">
        <f t="shared" si="78"/>
        <v>0</v>
      </c>
      <c r="AX613" s="512">
        <f>IF(SETUP!$E$7="USD",(AW613*(IF(O613="USD",AR613,(AR613/'Master Data-C19RM'!$G$2)))),(AW613*(IF(O613="EUR",AR613,(AR613*'Master Data-C19RM'!$G$2)))))</f>
        <v>0</v>
      </c>
      <c r="AY613" s="845"/>
      <c r="AZ613" s="846"/>
      <c r="BA613" s="846"/>
      <c r="BB613" s="846"/>
      <c r="BC613" s="846"/>
      <c r="BD613" s="846"/>
      <c r="BE613" s="847"/>
      <c r="BF613" s="520">
        <f>'C19RM 2021-Lab &amp; Other HPS'!$U613+'C19RM 2021-Lab &amp; Other HPS'!$AB613+'C19RM 2021-Lab &amp; Other HPS'!$AP613+'C19RM 2021-Lab &amp; Other HPS'!$AI613+AW613+BD613</f>
        <v>0</v>
      </c>
      <c r="BG613" s="513">
        <f>'C19RM 2021-Lab &amp; Other HPS'!$V613+'C19RM 2021-Lab &amp; Other HPS'!$AC613+'C19RM 2021-Lab &amp; Other HPS'!$AQ613+'C19RM 2021-Lab &amp; Other HPS'!$AJ613+AX613+BE613</f>
        <v>0</v>
      </c>
      <c r="BH613" s="500" t="str" cm="1">
        <f t="array" ref="BH613">IF(A613&lt;&gt;"",IFERROR(INDEX(PMtbl[[WKst]:[Unit of measure*]],MATCH($A$544&amp;$A613&amp;$E613&amp;$I613,INDEX(PMtbl[Sec]&amp;PMtbl[Category]&amp;PMtbl[Each]&amp;PMtbl[Packaging],0,),0),11),""),"")</f>
        <v/>
      </c>
      <c r="BI613" s="819"/>
      <c r="BJ613" s="502" t="str" cm="1">
        <f t="array" ref="BJ613">IFERROR(INDEX(SETUP!$C$19:$G$121,MATCH((INDEX(PMtbl[[WKst]:[Unit of measure*]],MATCH($A613&amp;$E613&amp;$I613,INDEX(PMtbl[Category]&amp;PMtbl[Each]&amp;PMtbl[Packaging],0,),0),3)),SETUP!$D$19:$D$121,0),5),"")</f>
        <v/>
      </c>
      <c r="BK613" s="542" t="str" cm="1">
        <f t="array" ref="BK613">IFERROR(IF((INDEX(SETUP!$C$19:$G$121,MATCH((INDEX(PMtbl[[WKst]:[Unit of measure*]],MATCH($A613&amp;$E613&amp;$I613,INDEX(PMtbl[Category]&amp;PMtbl[Each]&amp;PMtbl[Packaging],0,),0),3)),SETUP!$D$19:$D$121,0),4))="Upfront",0,INDEX(SETUP!$C$19:$G$121,MATCH((INDEX(PMtbl[[WKst]:[Unit of measure*]],MATCH($A613&amp;$E613&amp;$I613,INDEX(PMtbl[Category]&amp;PMtbl[Each]&amp;PMtbl[Packaging],0,),0),3)),SETUP!$D$19:$D$121,0),5)),"")</f>
        <v/>
      </c>
      <c r="BL613" s="200" t="str" cm="1">
        <f t="array" ref="BL613">IF(E613&lt;&gt;"",IFERROR(INDEX(PMtbl[[WKst]:[Unit of measure*]],MATCH($A$544&amp;$A613&amp;$E613&amp;$I613,INDEX(PMtbl[Sec]&amp;PMtbl[Category]&amp;PMtbl[Each]&amp;PMtbl[Packaging],0,),0),11),""),"")</f>
        <v/>
      </c>
      <c r="BO613" s="12">
        <f>IF(N613="",0,IF(SETUP!$E$7="USD",((IF(O613="USD",P613,(P613/'Master Data-C19RM'!$C$2)))),((IF(O613="EUR",P613,(P613*'Master Data-C19RM'!$C$2))))))</f>
        <v>0</v>
      </c>
      <c r="BP613" s="12">
        <f>IF(N613="",0,IF(SETUP!$E$7="USD",((IF(O613="USD",W613,(W613/'Master Data-C19RM'!$D$2)))),((IF(O613="EUR",W613,(W613*'Master Data-C19RM'!$D$2))))))</f>
        <v>0</v>
      </c>
      <c r="BQ613">
        <f>IF(N613="",0,IF(SETUP!$E$7="USD",((IF(O613="USD",AD613,(AD613/'Master Data-C19RM'!$E$2)))),((IF(O613="EUR",AD613,(AD613*'Master Data-C19RM'!$E$2))))))</f>
        <v>0</v>
      </c>
      <c r="BR613">
        <f>IF(N613="",0,IF(SETUP!$E$7="USD",((IF(O613="USD",AK613,(AK613/'Master Data-C19RM'!$F$2)))),((IF(O613="EUR",AK613,(AK613*'Master Data-C19RM'!$F$2))))))</f>
        <v>0</v>
      </c>
      <c r="BS613">
        <f>IF(N613="",0,IF(SETUP!$E$7="USD",((IF(O613="USD",AR613,(AR613/'Master Data-C19RM'!$G$2)))),((IF(O613="EUR",AR613,(AR613*'Master Data-C19RM'!$G$2))))))</f>
        <v>0</v>
      </c>
      <c r="BT613">
        <f>IF(N613="",0,IF(SETUP!$E$7="USD",((IF(O613="USD",AY613,(AY613/'Master Data-C19RM'!$H$2)))),((IF(O613="EUR",AY613,(AY613*'Master Data-C19RM'!$H$2))))))</f>
        <v>0</v>
      </c>
      <c r="BU613" s="12">
        <f t="shared" si="72"/>
        <v>0</v>
      </c>
      <c r="BV613" s="142">
        <f t="shared" si="73"/>
        <v>0</v>
      </c>
    </row>
    <row r="614" spans="1:74" x14ac:dyDescent="0.35">
      <c r="A614" s="1192"/>
      <c r="B614" s="1192"/>
      <c r="C614" s="1192"/>
      <c r="D614" s="1192"/>
      <c r="E614" s="1173"/>
      <c r="F614" s="1173"/>
      <c r="G614" s="1173"/>
      <c r="H614" s="1173"/>
      <c r="I614" s="1173"/>
      <c r="J614" s="1173"/>
      <c r="K614" s="1173"/>
      <c r="L614" s="493" t="str" cm="1">
        <f t="array" ref="L614">IF(A614&lt;&gt;"",IFERROR(INDEX(PMtbl[[WKst]:[Unit of measure*]],MATCH($A$544&amp;$A614&amp;$E614&amp;$I614,INDEX(PMtbl[Sec]&amp;PMtbl[Category]&amp;PMtbl[Each]&amp;PMtbl[Packaging],0,),0),14),""),"")</f>
        <v/>
      </c>
      <c r="M614" s="480" t="str">
        <f>IF(L614="","",INDEX(SETUP!$E$20:$E$122,(MATCH(INDEX(PMsheet!$D:$E,MATCH(A614,PMsheet!E:E,0),1),SETUP!$D$20:$D$122,0))))</f>
        <v/>
      </c>
      <c r="N614" s="494">
        <f>IF($O614="USD",_xlfn.IFNA(VLOOKUP(A614&amp;E614&amp;I614,PMsheet!J:K,2,0),0),(_xlfn.IFNA(VLOOKUP(A614&amp;E614&amp;I614,PMsheet!J:K,2,0),0)*'Master Data-C19RM'!$C$2))</f>
        <v>0</v>
      </c>
      <c r="O614" s="495" t="str">
        <f>IF(L614="", "",SETUP!$E$7)</f>
        <v/>
      </c>
      <c r="P614" s="445">
        <f>IF($O614="USD",_xlfn.IFNA(VLOOKUP($A614&amp;$E614&amp;$I614,PMsheet!$J:$K,2,0),0),(_xlfn.IFNA(VLOOKUP($A614&amp;$E614&amp;$I614,PMsheet!$J:$K,2,0),0)*'Master Data-C19RM'!$C$2))</f>
        <v>0</v>
      </c>
      <c r="Q614" s="440"/>
      <c r="R614" s="440"/>
      <c r="S614" s="440"/>
      <c r="T614" s="440"/>
      <c r="U614" s="482">
        <f t="shared" si="79"/>
        <v>0</v>
      </c>
      <c r="V614" s="484">
        <f>IF(SETUP!$E$7="USD",(U614*(IF(O614="USD",P614,(P614/'Master Data-C19RM'!$C$2)))),(U614*(IF(O614="EUR",P614,(P614*'Master Data-C19RM'!$C$2)))))</f>
        <v>0</v>
      </c>
      <c r="W614" s="445">
        <f>IF($O614="USD",_xlfn.IFNA(VLOOKUP($A614&amp;$E614&amp;$I614,PMsheet!$J:$K,2,0),0),(_xlfn.IFNA(VLOOKUP($A614&amp;$E614&amp;$I614,PMsheet!$J:$K,2,0),0)*'Master Data-C19RM'!$D$2))</f>
        <v>0</v>
      </c>
      <c r="X614" s="440"/>
      <c r="Y614" s="440"/>
      <c r="Z614" s="440"/>
      <c r="AA614" s="440"/>
      <c r="AB614" s="482">
        <f t="shared" si="80"/>
        <v>0</v>
      </c>
      <c r="AC614" s="484">
        <f>IF(SETUP!$E$7="USD",(AB614*(IF(O614="USD",W614,(W614/'Master Data-C19RM'!$D$2)))),(AB614*(IF(O614="EUR",W614,(W614*'Master Data-C19RM'!$D$2)))))</f>
        <v>0</v>
      </c>
      <c r="AD614" s="445">
        <f>IF($O614="USD",_xlfn.IFNA(VLOOKUP($A614&amp;$E614&amp;$I614,PMsheet!$J:$K,2,0),0),(_xlfn.IFNA(VLOOKUP($A614&amp;$E614&amp;$I614,PMsheet!$J:$K,2,0),0)*'Master Data-C19RM'!$E$2))</f>
        <v>0</v>
      </c>
      <c r="AE614" s="440"/>
      <c r="AF614" s="440"/>
      <c r="AG614" s="440"/>
      <c r="AH614" s="440"/>
      <c r="AI614" s="514">
        <f t="shared" si="81"/>
        <v>0</v>
      </c>
      <c r="AJ614" s="515">
        <f>IF(SETUP!$E$7="USD",(AI614*(IF(O614="USD",AD614,(AD614/'Master Data-C19RM'!$E$2)))),(AI614*(IF(O614="EUR",AD614,(AD614*'Master Data-C19RM'!$E$2)))))</f>
        <v>0</v>
      </c>
      <c r="AK614" s="445">
        <f>IF($O614="USD",_xlfn.IFNA(VLOOKUP($A614&amp;$E614&amp;$I614,PMsheet!$J:$K,2,0),0),(_xlfn.IFNA(VLOOKUP($A614&amp;$E614&amp;$I614,PMsheet!$J:$K,2,0),0)*'Master Data-C19RM'!$F$2))</f>
        <v>0</v>
      </c>
      <c r="AL614" s="440"/>
      <c r="AM614" s="440"/>
      <c r="AN614" s="440"/>
      <c r="AO614" s="440"/>
      <c r="AP614" s="514">
        <f t="shared" si="82"/>
        <v>0</v>
      </c>
      <c r="AQ614" s="515">
        <f>IF(SETUP!$E$7="USD",(AP614*(IF(O614="USD",AK614,(AK614/'Master Data-C19RM'!$F$2)))),(AP614*(IF(O614="EUR",AK614,(AK614*'Master Data-C19RM'!$F$2)))))</f>
        <v>0</v>
      </c>
      <c r="AR614" s="925">
        <f>IF($O614="USD",_xlfn.IFNA(VLOOKUP($A614&amp;$E614&amp;$I614,PMsheet!$J:$K,2,0),0),(_xlfn.IFNA(VLOOKUP($A614&amp;$E614&amp;$I614,PMsheet!$J:$K,2,0),0)*'Master Data-C19RM'!$G$2))</f>
        <v>0</v>
      </c>
      <c r="AS614" s="926"/>
      <c r="AT614" s="926"/>
      <c r="AU614" s="926"/>
      <c r="AV614" s="926"/>
      <c r="AW614" s="514">
        <f t="shared" si="78"/>
        <v>0</v>
      </c>
      <c r="AX614" s="514">
        <f>IF(SETUP!$E$7="USD",(AW614*(IF(O614="USD",AR614,(AR614/'Master Data-C19RM'!$G$2)))),(AW614*(IF(O614="EUR",AR614,(AR614*'Master Data-C19RM'!$G$2)))))</f>
        <v>0</v>
      </c>
      <c r="AY614" s="845"/>
      <c r="AZ614" s="846"/>
      <c r="BA614" s="846"/>
      <c r="BB614" s="846"/>
      <c r="BC614" s="846"/>
      <c r="BD614" s="846"/>
      <c r="BE614" s="847"/>
      <c r="BF614" s="521">
        <f>'C19RM 2021-Lab &amp; Other HPS'!$U614+'C19RM 2021-Lab &amp; Other HPS'!$AB614+'C19RM 2021-Lab &amp; Other HPS'!$AP614+'C19RM 2021-Lab &amp; Other HPS'!$AI614+AW614+BD614</f>
        <v>0</v>
      </c>
      <c r="BG614" s="515">
        <f>'C19RM 2021-Lab &amp; Other HPS'!$V614+'C19RM 2021-Lab &amp; Other HPS'!$AC614+'C19RM 2021-Lab &amp; Other HPS'!$AQ614+'C19RM 2021-Lab &amp; Other HPS'!$AJ614+AX614+BE614</f>
        <v>0</v>
      </c>
      <c r="BH614" s="522" t="str" cm="1">
        <f t="array" ref="BH614">IF(A614&lt;&gt;"",IFERROR(INDEX(PMtbl[[WKst]:[Unit of measure*]],MATCH($A$544&amp;$A614&amp;$E614&amp;$I614,INDEX(PMtbl[Sec]&amp;PMtbl[Category]&amp;PMtbl[Each]&amp;PMtbl[Packaging],0,),0),11),""),"")</f>
        <v/>
      </c>
      <c r="BI614" s="818"/>
      <c r="BJ614" s="503" t="str" cm="1">
        <f t="array" ref="BJ614">IFERROR(INDEX(SETUP!$C$19:$G$121,MATCH((INDEX(PMtbl[[WKst]:[Unit of measure*]],MATCH($A614&amp;$E614&amp;$I614,INDEX(PMtbl[Category]&amp;PMtbl[Each]&amp;PMtbl[Packaging],0,),0),3)),SETUP!$D$19:$D$121,0),5),"")</f>
        <v/>
      </c>
      <c r="BK614" s="543" t="str" cm="1">
        <f t="array" ref="BK614">IFERROR(IF((INDEX(SETUP!$C$19:$G$121,MATCH((INDEX(PMtbl[[WKst]:[Unit of measure*]],MATCH($A614&amp;$E614&amp;$I614,INDEX(PMtbl[Category]&amp;PMtbl[Each]&amp;PMtbl[Packaging],0,),0),3)),SETUP!$D$19:$D$121,0),4))="Upfront",0,INDEX(SETUP!$C$19:$G$121,MATCH((INDEX(PMtbl[[WKst]:[Unit of measure*]],MATCH($A614&amp;$E614&amp;$I614,INDEX(PMtbl[Category]&amp;PMtbl[Each]&amp;PMtbl[Packaging],0,),0),3)),SETUP!$D$19:$D$121,0),5)),"")</f>
        <v/>
      </c>
      <c r="BL614" s="201" t="str" cm="1">
        <f t="array" ref="BL614">IF(E614&lt;&gt;"",IFERROR(INDEX(PMtbl[[WKst]:[Unit of measure*]],MATCH($A$544&amp;$A614&amp;$E614&amp;$I614,INDEX(PMtbl[Sec]&amp;PMtbl[Category]&amp;PMtbl[Each]&amp;PMtbl[Packaging],0,),0),11),""),"")</f>
        <v/>
      </c>
      <c r="BO614" s="12">
        <f>IF(N614="",0,IF(SETUP!$E$7="USD",((IF(O614="USD",P614,(P614/'Master Data-C19RM'!$C$2)))),((IF(O614="EUR",P614,(P614*'Master Data-C19RM'!$C$2))))))</f>
        <v>0</v>
      </c>
      <c r="BP614" s="12">
        <f>IF(N614="",0,IF(SETUP!$E$7="USD",((IF(O614="USD",W614,(W614/'Master Data-C19RM'!$D$2)))),((IF(O614="EUR",W614,(W614*'Master Data-C19RM'!$D$2))))))</f>
        <v>0</v>
      </c>
      <c r="BQ614">
        <f>IF(N614="",0,IF(SETUP!$E$7="USD",((IF(O614="USD",AD614,(AD614/'Master Data-C19RM'!$E$2)))),((IF(O614="EUR",AD614,(AD614*'Master Data-C19RM'!$E$2))))))</f>
        <v>0</v>
      </c>
      <c r="BR614">
        <f>IF(N614="",0,IF(SETUP!$E$7="USD",((IF(O614="USD",AK614,(AK614/'Master Data-C19RM'!$F$2)))),((IF(O614="EUR",AK614,(AK614*'Master Data-C19RM'!$F$2))))))</f>
        <v>0</v>
      </c>
      <c r="BS614">
        <f>IF(N614="",0,IF(SETUP!$E$7="USD",((IF(O614="USD",AR614,(AR614/'Master Data-C19RM'!$G$2)))),((IF(O614="EUR",AR614,(AR614*'Master Data-C19RM'!$G$2))))))</f>
        <v>0</v>
      </c>
      <c r="BT614">
        <f>IF(N614="",0,IF(SETUP!$E$7="USD",((IF(O614="USD",AY614,(AY614/'Master Data-C19RM'!$H$2)))),((IF(O614="EUR",AY614,(AY614*'Master Data-C19RM'!$H$2))))))</f>
        <v>0</v>
      </c>
      <c r="BU614" s="12">
        <f t="shared" ref="BU614:BU648" si="83">IF(AND(L614="",(COUNTBLANK(A614:K614)=8)),1,0)</f>
        <v>0</v>
      </c>
      <c r="BV614" s="142">
        <f t="shared" ref="BV614:BV648" si="84">BF614</f>
        <v>0</v>
      </c>
    </row>
    <row r="615" spans="1:74" x14ac:dyDescent="0.35">
      <c r="A615" s="1165"/>
      <c r="B615" s="1165"/>
      <c r="C615" s="1165"/>
      <c r="D615" s="1165"/>
      <c r="E615" s="1166"/>
      <c r="F615" s="1166"/>
      <c r="G615" s="1166"/>
      <c r="H615" s="1166"/>
      <c r="I615" s="1166"/>
      <c r="J615" s="1166"/>
      <c r="K615" s="1166"/>
      <c r="L615" s="490" t="str" cm="1">
        <f t="array" ref="L615">IF(A615&lt;&gt;"",IFERROR(INDEX(PMtbl[[WKst]:[Unit of measure*]],MATCH($A$544&amp;$A615&amp;$E615&amp;$I615,INDEX(PMtbl[Sec]&amp;PMtbl[Category]&amp;PMtbl[Each]&amp;PMtbl[Packaging],0,),0),14),""),"")</f>
        <v/>
      </c>
      <c r="M615" s="479" t="str">
        <f>IF(L615="","",INDEX(SETUP!$E$20:$E$122,(MATCH(INDEX(PMsheet!$D:$E,MATCH(A615,PMsheet!E:E,0),1),SETUP!$D$20:$D$122,0))))</f>
        <v/>
      </c>
      <c r="N615" s="491">
        <f>IF($O615="USD",_xlfn.IFNA(VLOOKUP(A615&amp;E615&amp;I615,PMsheet!J:K,2,0),0),(_xlfn.IFNA(VLOOKUP(A615&amp;E615&amp;I615,PMsheet!J:K,2,0),0)*'Master Data-C19RM'!$C$2))</f>
        <v>0</v>
      </c>
      <c r="O615" s="492" t="str">
        <f>IF(L615="", "",SETUP!$E$7)</f>
        <v/>
      </c>
      <c r="P615" s="444">
        <f>IF($O615="USD",_xlfn.IFNA(VLOOKUP($A615&amp;$E615&amp;$I615,PMsheet!$J:$K,2,0),0),(_xlfn.IFNA(VLOOKUP($A615&amp;$E615&amp;$I615,PMsheet!$J:$K,2,0),0)*'Master Data-C19RM'!$C$2))</f>
        <v>0</v>
      </c>
      <c r="Q615" s="441"/>
      <c r="R615" s="441"/>
      <c r="S615" s="441"/>
      <c r="T615" s="441"/>
      <c r="U615" s="481">
        <f t="shared" si="79"/>
        <v>0</v>
      </c>
      <c r="V615" s="483">
        <f>IF(SETUP!$E$7="USD",(U615*(IF(O615="USD",P615,(P615/'Master Data-C19RM'!$C$2)))),(U615*(IF(O615="EUR",P615,(P615*'Master Data-C19RM'!$C$2)))))</f>
        <v>0</v>
      </c>
      <c r="W615" s="444">
        <f>IF($O615="USD",_xlfn.IFNA(VLOOKUP($A615&amp;$E615&amp;$I615,PMsheet!$J:$K,2,0),0),(_xlfn.IFNA(VLOOKUP($A615&amp;$E615&amp;$I615,PMsheet!$J:$K,2,0),0)*'Master Data-C19RM'!$D$2))</f>
        <v>0</v>
      </c>
      <c r="X615" s="441"/>
      <c r="Y615" s="441"/>
      <c r="Z615" s="441"/>
      <c r="AA615" s="441"/>
      <c r="AB615" s="481">
        <f t="shared" si="80"/>
        <v>0</v>
      </c>
      <c r="AC615" s="483">
        <f>IF(SETUP!$E$7="USD",(AB615*(IF(O615="USD",W615,(W615/'Master Data-C19RM'!$D$2)))),(AB615*(IF(O615="EUR",W615,(W615*'Master Data-C19RM'!$D$2)))))</f>
        <v>0</v>
      </c>
      <c r="AD615" s="444">
        <f>IF($O615="USD",_xlfn.IFNA(VLOOKUP($A615&amp;$E615&amp;$I615,PMsheet!$J:$K,2,0),0),(_xlfn.IFNA(VLOOKUP($A615&amp;$E615&amp;$I615,PMsheet!$J:$K,2,0),0)*'Master Data-C19RM'!$E$2))</f>
        <v>0</v>
      </c>
      <c r="AE615" s="441"/>
      <c r="AF615" s="441"/>
      <c r="AG615" s="441"/>
      <c r="AH615" s="441"/>
      <c r="AI615" s="512">
        <f t="shared" si="81"/>
        <v>0</v>
      </c>
      <c r="AJ615" s="513">
        <f>IF(SETUP!$E$7="USD",(AI615*(IF(O615="USD",AD615,(AD615/'Master Data-C19RM'!$E$2)))),(AI615*(IF(O615="EUR",AD615,(AD615*'Master Data-C19RM'!$E$2)))))</f>
        <v>0</v>
      </c>
      <c r="AK615" s="444">
        <f>IF($O615="USD",_xlfn.IFNA(VLOOKUP($A615&amp;$E615&amp;$I615,PMsheet!$J:$K,2,0),0),(_xlfn.IFNA(VLOOKUP($A615&amp;$E615&amp;$I615,PMsheet!$J:$K,2,0),0)*'Master Data-C19RM'!$F$2))</f>
        <v>0</v>
      </c>
      <c r="AL615" s="441"/>
      <c r="AM615" s="441"/>
      <c r="AN615" s="441"/>
      <c r="AO615" s="441"/>
      <c r="AP615" s="512">
        <f t="shared" si="82"/>
        <v>0</v>
      </c>
      <c r="AQ615" s="513">
        <f>IF(SETUP!$E$7="USD",(AP615*(IF(O615="USD",AK615,(AK615/'Master Data-C19RM'!$F$2)))),(AP615*(IF(O615="EUR",AK615,(AK615*'Master Data-C19RM'!$F$2)))))</f>
        <v>0</v>
      </c>
      <c r="AR615" s="924">
        <f>IF($O615="USD",_xlfn.IFNA(VLOOKUP($A615&amp;$E615&amp;$I615,PMsheet!$J:$K,2,0),0),(_xlfn.IFNA(VLOOKUP($A615&amp;$E615&amp;$I615,PMsheet!$J:$K,2,0),0)*'Master Data-C19RM'!$G$2))</f>
        <v>0</v>
      </c>
      <c r="AS615" s="572"/>
      <c r="AT615" s="572"/>
      <c r="AU615" s="572"/>
      <c r="AV615" s="572"/>
      <c r="AW615" s="512">
        <f t="shared" ref="AW615:AW648" si="85">SUM($AS615:$AV615)</f>
        <v>0</v>
      </c>
      <c r="AX615" s="512">
        <f>IF(SETUP!$E$7="USD",(AW615*(IF(O615="USD",AR615,(AR615/'Master Data-C19RM'!$G$2)))),(AW615*(IF(O615="EUR",AR615,(AR615*'Master Data-C19RM'!$G$2)))))</f>
        <v>0</v>
      </c>
      <c r="AY615" s="845"/>
      <c r="AZ615" s="846"/>
      <c r="BA615" s="846"/>
      <c r="BB615" s="846"/>
      <c r="BC615" s="846"/>
      <c r="BD615" s="846"/>
      <c r="BE615" s="847"/>
      <c r="BF615" s="520">
        <f>'C19RM 2021-Lab &amp; Other HPS'!$U615+'C19RM 2021-Lab &amp; Other HPS'!$AB615+'C19RM 2021-Lab &amp; Other HPS'!$AP615+'C19RM 2021-Lab &amp; Other HPS'!$AI615+AW615+BD615</f>
        <v>0</v>
      </c>
      <c r="BG615" s="513">
        <f>'C19RM 2021-Lab &amp; Other HPS'!$V615+'C19RM 2021-Lab &amp; Other HPS'!$AC615+'C19RM 2021-Lab &amp; Other HPS'!$AQ615+'C19RM 2021-Lab &amp; Other HPS'!$AJ615+AX615+BE615</f>
        <v>0</v>
      </c>
      <c r="BH615" s="500" t="str" cm="1">
        <f t="array" ref="BH615">IF(A615&lt;&gt;"",IFERROR(INDEX(PMtbl[[WKst]:[Unit of measure*]],MATCH($A$544&amp;$A615&amp;$E615&amp;$I615,INDEX(PMtbl[Sec]&amp;PMtbl[Category]&amp;PMtbl[Each]&amp;PMtbl[Packaging],0,),0),11),""),"")</f>
        <v/>
      </c>
      <c r="BI615" s="819"/>
      <c r="BJ615" s="502" t="str" cm="1">
        <f t="array" ref="BJ615">IFERROR(INDEX(SETUP!$C$19:$G$121,MATCH((INDEX(PMtbl[[WKst]:[Unit of measure*]],MATCH($A615&amp;$E615&amp;$I615,INDEX(PMtbl[Category]&amp;PMtbl[Each]&amp;PMtbl[Packaging],0,),0),3)),SETUP!$D$19:$D$121,0),5),"")</f>
        <v/>
      </c>
      <c r="BK615" s="542" t="str" cm="1">
        <f t="array" ref="BK615">IFERROR(IF((INDEX(SETUP!$C$19:$G$121,MATCH((INDEX(PMtbl[[WKst]:[Unit of measure*]],MATCH($A615&amp;$E615&amp;$I615,INDEX(PMtbl[Category]&amp;PMtbl[Each]&amp;PMtbl[Packaging],0,),0),3)),SETUP!$D$19:$D$121,0),4))="Upfront",0,INDEX(SETUP!$C$19:$G$121,MATCH((INDEX(PMtbl[[WKst]:[Unit of measure*]],MATCH($A615&amp;$E615&amp;$I615,INDEX(PMtbl[Category]&amp;PMtbl[Each]&amp;PMtbl[Packaging],0,),0),3)),SETUP!$D$19:$D$121,0),5)),"")</f>
        <v/>
      </c>
      <c r="BL615" s="200" t="str" cm="1">
        <f t="array" ref="BL615">IF(E615&lt;&gt;"",IFERROR(INDEX(PMtbl[[WKst]:[Unit of measure*]],MATCH($A$544&amp;$A615&amp;$E615&amp;$I615,INDEX(PMtbl[Sec]&amp;PMtbl[Category]&amp;PMtbl[Each]&amp;PMtbl[Packaging],0,),0),11),""),"")</f>
        <v/>
      </c>
      <c r="BO615" s="12">
        <f>IF(N615="",0,IF(SETUP!$E$7="USD",((IF(O615="USD",P615,(P615/'Master Data-C19RM'!$C$2)))),((IF(O615="EUR",P615,(P615*'Master Data-C19RM'!$C$2))))))</f>
        <v>0</v>
      </c>
      <c r="BP615" s="12">
        <f>IF(N615="",0,IF(SETUP!$E$7="USD",((IF(O615="USD",W615,(W615/'Master Data-C19RM'!$D$2)))),((IF(O615="EUR",W615,(W615*'Master Data-C19RM'!$D$2))))))</f>
        <v>0</v>
      </c>
      <c r="BQ615">
        <f>IF(N615="",0,IF(SETUP!$E$7="USD",((IF(O615="USD",AD615,(AD615/'Master Data-C19RM'!$E$2)))),((IF(O615="EUR",AD615,(AD615*'Master Data-C19RM'!$E$2))))))</f>
        <v>0</v>
      </c>
      <c r="BR615">
        <f>IF(N615="",0,IF(SETUP!$E$7="USD",((IF(O615="USD",AK615,(AK615/'Master Data-C19RM'!$F$2)))),((IF(O615="EUR",AK615,(AK615*'Master Data-C19RM'!$F$2))))))</f>
        <v>0</v>
      </c>
      <c r="BS615">
        <f>IF(N615="",0,IF(SETUP!$E$7="USD",((IF(O615="USD",AR615,(AR615/'Master Data-C19RM'!$G$2)))),((IF(O615="EUR",AR615,(AR615*'Master Data-C19RM'!$G$2))))))</f>
        <v>0</v>
      </c>
      <c r="BT615">
        <f>IF(N615="",0,IF(SETUP!$E$7="USD",((IF(O615="USD",AY615,(AY615/'Master Data-C19RM'!$H$2)))),((IF(O615="EUR",AY615,(AY615*'Master Data-C19RM'!$H$2))))))</f>
        <v>0</v>
      </c>
      <c r="BU615" s="12">
        <f t="shared" si="83"/>
        <v>0</v>
      </c>
      <c r="BV615" s="142">
        <f t="shared" si="84"/>
        <v>0</v>
      </c>
    </row>
    <row r="616" spans="1:74" x14ac:dyDescent="0.35">
      <c r="A616" s="1192"/>
      <c r="B616" s="1192"/>
      <c r="C616" s="1192"/>
      <c r="D616" s="1192"/>
      <c r="E616" s="1173"/>
      <c r="F616" s="1173"/>
      <c r="G616" s="1173"/>
      <c r="H616" s="1173"/>
      <c r="I616" s="1173"/>
      <c r="J616" s="1173"/>
      <c r="K616" s="1173"/>
      <c r="L616" s="493" t="str" cm="1">
        <f t="array" ref="L616">IF(A616&lt;&gt;"",IFERROR(INDEX(PMtbl[[WKst]:[Unit of measure*]],MATCH($A$544&amp;$A616&amp;$E616&amp;$I616,INDEX(PMtbl[Sec]&amp;PMtbl[Category]&amp;PMtbl[Each]&amp;PMtbl[Packaging],0,),0),14),""),"")</f>
        <v/>
      </c>
      <c r="M616" s="480" t="str">
        <f>IF(L616="","",INDEX(SETUP!$E$20:$E$122,(MATCH(INDEX(PMsheet!$D:$E,MATCH(A616,PMsheet!E:E,0),1),SETUP!$D$20:$D$122,0))))</f>
        <v/>
      </c>
      <c r="N616" s="494">
        <f>IF($O616="USD",_xlfn.IFNA(VLOOKUP(A616&amp;E616&amp;I616,PMsheet!J:K,2,0),0),(_xlfn.IFNA(VLOOKUP(A616&amp;E616&amp;I616,PMsheet!J:K,2,0),0)*'Master Data-C19RM'!$C$2))</f>
        <v>0</v>
      </c>
      <c r="O616" s="495" t="str">
        <f>IF(L616="", "",SETUP!$E$7)</f>
        <v/>
      </c>
      <c r="P616" s="445">
        <f>IF($O616="USD",_xlfn.IFNA(VLOOKUP($A616&amp;$E616&amp;$I616,PMsheet!$J:$K,2,0),0),(_xlfn.IFNA(VLOOKUP($A616&amp;$E616&amp;$I616,PMsheet!$J:$K,2,0),0)*'Master Data-C19RM'!$C$2))</f>
        <v>0</v>
      </c>
      <c r="Q616" s="440"/>
      <c r="R616" s="440"/>
      <c r="S616" s="440"/>
      <c r="T616" s="440"/>
      <c r="U616" s="482">
        <f t="shared" si="79"/>
        <v>0</v>
      </c>
      <c r="V616" s="484">
        <f>IF(SETUP!$E$7="USD",(U616*(IF(O616="USD",P616,(P616/'Master Data-C19RM'!$C$2)))),(U616*(IF(O616="EUR",P616,(P616*'Master Data-C19RM'!$C$2)))))</f>
        <v>0</v>
      </c>
      <c r="W616" s="445">
        <f>IF($O616="USD",_xlfn.IFNA(VLOOKUP($A616&amp;$E616&amp;$I616,PMsheet!$J:$K,2,0),0),(_xlfn.IFNA(VLOOKUP($A616&amp;$E616&amp;$I616,PMsheet!$J:$K,2,0),0)*'Master Data-C19RM'!$D$2))</f>
        <v>0</v>
      </c>
      <c r="X616" s="440"/>
      <c r="Y616" s="440"/>
      <c r="Z616" s="440"/>
      <c r="AA616" s="440"/>
      <c r="AB616" s="482">
        <f t="shared" si="80"/>
        <v>0</v>
      </c>
      <c r="AC616" s="484">
        <f>IF(SETUP!$E$7="USD",(AB616*(IF(O616="USD",W616,(W616/'Master Data-C19RM'!$D$2)))),(AB616*(IF(O616="EUR",W616,(W616*'Master Data-C19RM'!$D$2)))))</f>
        <v>0</v>
      </c>
      <c r="AD616" s="445">
        <f>IF($O616="USD",_xlfn.IFNA(VLOOKUP($A616&amp;$E616&amp;$I616,PMsheet!$J:$K,2,0),0),(_xlfn.IFNA(VLOOKUP($A616&amp;$E616&amp;$I616,PMsheet!$J:$K,2,0),0)*'Master Data-C19RM'!$E$2))</f>
        <v>0</v>
      </c>
      <c r="AE616" s="440"/>
      <c r="AF616" s="440"/>
      <c r="AG616" s="440"/>
      <c r="AH616" s="440"/>
      <c r="AI616" s="514">
        <f t="shared" si="81"/>
        <v>0</v>
      </c>
      <c r="AJ616" s="515">
        <f>IF(SETUP!$E$7="USD",(AI616*(IF(O616="USD",AD616,(AD616/'Master Data-C19RM'!$E$2)))),(AI616*(IF(O616="EUR",AD616,(AD616*'Master Data-C19RM'!$E$2)))))</f>
        <v>0</v>
      </c>
      <c r="AK616" s="445">
        <f>IF($O616="USD",_xlfn.IFNA(VLOOKUP($A616&amp;$E616&amp;$I616,PMsheet!$J:$K,2,0),0),(_xlfn.IFNA(VLOOKUP($A616&amp;$E616&amp;$I616,PMsheet!$J:$K,2,0),0)*'Master Data-C19RM'!$F$2))</f>
        <v>0</v>
      </c>
      <c r="AL616" s="440"/>
      <c r="AM616" s="440"/>
      <c r="AN616" s="440"/>
      <c r="AO616" s="440"/>
      <c r="AP616" s="514">
        <f t="shared" si="82"/>
        <v>0</v>
      </c>
      <c r="AQ616" s="515">
        <f>IF(SETUP!$E$7="USD",(AP616*(IF(O616="USD",AK616,(AK616/'Master Data-C19RM'!$F$2)))),(AP616*(IF(O616="EUR",AK616,(AK616*'Master Data-C19RM'!$F$2)))))</f>
        <v>0</v>
      </c>
      <c r="AR616" s="925">
        <f>IF($O616="USD",_xlfn.IFNA(VLOOKUP($A616&amp;$E616&amp;$I616,PMsheet!$J:$K,2,0),0),(_xlfn.IFNA(VLOOKUP($A616&amp;$E616&amp;$I616,PMsheet!$J:$K,2,0),0)*'Master Data-C19RM'!$G$2))</f>
        <v>0</v>
      </c>
      <c r="AS616" s="926"/>
      <c r="AT616" s="926"/>
      <c r="AU616" s="926"/>
      <c r="AV616" s="926"/>
      <c r="AW616" s="514">
        <f t="shared" si="85"/>
        <v>0</v>
      </c>
      <c r="AX616" s="514">
        <f>IF(SETUP!$E$7="USD",(AW616*(IF(O616="USD",AR616,(AR616/'Master Data-C19RM'!$G$2)))),(AW616*(IF(O616="EUR",AR616,(AR616*'Master Data-C19RM'!$G$2)))))</f>
        <v>0</v>
      </c>
      <c r="AY616" s="845"/>
      <c r="AZ616" s="846"/>
      <c r="BA616" s="846"/>
      <c r="BB616" s="846"/>
      <c r="BC616" s="846"/>
      <c r="BD616" s="846"/>
      <c r="BE616" s="847"/>
      <c r="BF616" s="521">
        <f>'C19RM 2021-Lab &amp; Other HPS'!$U616+'C19RM 2021-Lab &amp; Other HPS'!$AB616+'C19RM 2021-Lab &amp; Other HPS'!$AP616+'C19RM 2021-Lab &amp; Other HPS'!$AI616+AW616+BD616</f>
        <v>0</v>
      </c>
      <c r="BG616" s="515">
        <f>'C19RM 2021-Lab &amp; Other HPS'!$V616+'C19RM 2021-Lab &amp; Other HPS'!$AC616+'C19RM 2021-Lab &amp; Other HPS'!$AQ616+'C19RM 2021-Lab &amp; Other HPS'!$AJ616+AX616+BE616</f>
        <v>0</v>
      </c>
      <c r="BH616" s="522" t="str" cm="1">
        <f t="array" ref="BH616">IF(A616&lt;&gt;"",IFERROR(INDEX(PMtbl[[WKst]:[Unit of measure*]],MATCH($A$544&amp;$A616&amp;$E616&amp;$I616,INDEX(PMtbl[Sec]&amp;PMtbl[Category]&amp;PMtbl[Each]&amp;PMtbl[Packaging],0,),0),11),""),"")</f>
        <v/>
      </c>
      <c r="BI616" s="818"/>
      <c r="BJ616" s="503" t="str" cm="1">
        <f t="array" ref="BJ616">IFERROR(INDEX(SETUP!$C$19:$G$121,MATCH((INDEX(PMtbl[[WKst]:[Unit of measure*]],MATCH($A616&amp;$E616&amp;$I616,INDEX(PMtbl[Category]&amp;PMtbl[Each]&amp;PMtbl[Packaging],0,),0),3)),SETUP!$D$19:$D$121,0),5),"")</f>
        <v/>
      </c>
      <c r="BK616" s="543" t="str" cm="1">
        <f t="array" ref="BK616">IFERROR(IF((INDEX(SETUP!$C$19:$G$121,MATCH((INDEX(PMtbl[[WKst]:[Unit of measure*]],MATCH($A616&amp;$E616&amp;$I616,INDEX(PMtbl[Category]&amp;PMtbl[Each]&amp;PMtbl[Packaging],0,),0),3)),SETUP!$D$19:$D$121,0),4))="Upfront",0,INDEX(SETUP!$C$19:$G$121,MATCH((INDEX(PMtbl[[WKst]:[Unit of measure*]],MATCH($A616&amp;$E616&amp;$I616,INDEX(PMtbl[Category]&amp;PMtbl[Each]&amp;PMtbl[Packaging],0,),0),3)),SETUP!$D$19:$D$121,0),5)),"")</f>
        <v/>
      </c>
      <c r="BL616" s="201" t="str" cm="1">
        <f t="array" ref="BL616">IF(E616&lt;&gt;"",IFERROR(INDEX(PMtbl[[WKst]:[Unit of measure*]],MATCH($A$544&amp;$A616&amp;$E616&amp;$I616,INDEX(PMtbl[Sec]&amp;PMtbl[Category]&amp;PMtbl[Each]&amp;PMtbl[Packaging],0,),0),11),""),"")</f>
        <v/>
      </c>
      <c r="BO616" s="12">
        <f>IF(N616="",0,IF(SETUP!$E$7="USD",((IF(O616="USD",P616,(P616/'Master Data-C19RM'!$C$2)))),((IF(O616="EUR",P616,(P616*'Master Data-C19RM'!$C$2))))))</f>
        <v>0</v>
      </c>
      <c r="BP616" s="12">
        <f>IF(N616="",0,IF(SETUP!$E$7="USD",((IF(O616="USD",W616,(W616/'Master Data-C19RM'!$D$2)))),((IF(O616="EUR",W616,(W616*'Master Data-C19RM'!$D$2))))))</f>
        <v>0</v>
      </c>
      <c r="BQ616">
        <f>IF(N616="",0,IF(SETUP!$E$7="USD",((IF(O616="USD",AD616,(AD616/'Master Data-C19RM'!$E$2)))),((IF(O616="EUR",AD616,(AD616*'Master Data-C19RM'!$E$2))))))</f>
        <v>0</v>
      </c>
      <c r="BR616">
        <f>IF(N616="",0,IF(SETUP!$E$7="USD",((IF(O616="USD",AK616,(AK616/'Master Data-C19RM'!$F$2)))),((IF(O616="EUR",AK616,(AK616*'Master Data-C19RM'!$F$2))))))</f>
        <v>0</v>
      </c>
      <c r="BS616">
        <f>IF(N616="",0,IF(SETUP!$E$7="USD",((IF(O616="USD",AR616,(AR616/'Master Data-C19RM'!$G$2)))),((IF(O616="EUR",AR616,(AR616*'Master Data-C19RM'!$G$2))))))</f>
        <v>0</v>
      </c>
      <c r="BT616">
        <f>IF(N616="",0,IF(SETUP!$E$7="USD",((IF(O616="USD",AY616,(AY616/'Master Data-C19RM'!$H$2)))),((IF(O616="EUR",AY616,(AY616*'Master Data-C19RM'!$H$2))))))</f>
        <v>0</v>
      </c>
      <c r="BU616" s="12">
        <f t="shared" si="83"/>
        <v>0</v>
      </c>
      <c r="BV616" s="142">
        <f t="shared" si="84"/>
        <v>0</v>
      </c>
    </row>
    <row r="617" spans="1:74" x14ac:dyDescent="0.35">
      <c r="A617" s="1165"/>
      <c r="B617" s="1165"/>
      <c r="C617" s="1165"/>
      <c r="D617" s="1165"/>
      <c r="E617" s="1166"/>
      <c r="F617" s="1166"/>
      <c r="G617" s="1166"/>
      <c r="H617" s="1166"/>
      <c r="I617" s="1166"/>
      <c r="J617" s="1166"/>
      <c r="K617" s="1166"/>
      <c r="L617" s="490" t="str" cm="1">
        <f t="array" ref="L617">IF(A617&lt;&gt;"",IFERROR(INDEX(PMtbl[[WKst]:[Unit of measure*]],MATCH($A$544&amp;$A617&amp;$E617&amp;$I617,INDEX(PMtbl[Sec]&amp;PMtbl[Category]&amp;PMtbl[Each]&amp;PMtbl[Packaging],0,),0),14),""),"")</f>
        <v/>
      </c>
      <c r="M617" s="479" t="str">
        <f>IF(L617="","",INDEX(SETUP!$E$20:$E$122,(MATCH(INDEX(PMsheet!$D:$E,MATCH(A617,PMsheet!E:E,0),1),SETUP!$D$20:$D$122,0))))</f>
        <v/>
      </c>
      <c r="N617" s="491">
        <f>IF($O617="USD",_xlfn.IFNA(VLOOKUP(A617&amp;E617&amp;I617,PMsheet!J:K,2,0),0),(_xlfn.IFNA(VLOOKUP(A617&amp;E617&amp;I617,PMsheet!J:K,2,0),0)*'Master Data-C19RM'!$C$2))</f>
        <v>0</v>
      </c>
      <c r="O617" s="492" t="str">
        <f>IF(L617="", "",SETUP!$E$7)</f>
        <v/>
      </c>
      <c r="P617" s="444">
        <f>IF($O617="USD",_xlfn.IFNA(VLOOKUP($A617&amp;$E617&amp;$I617,PMsheet!$J:$K,2,0),0),(_xlfn.IFNA(VLOOKUP($A617&amp;$E617&amp;$I617,PMsheet!$J:$K,2,0),0)*'Master Data-C19RM'!$C$2))</f>
        <v>0</v>
      </c>
      <c r="Q617" s="441"/>
      <c r="R617" s="441"/>
      <c r="S617" s="441"/>
      <c r="T617" s="441"/>
      <c r="U617" s="481">
        <f t="shared" si="79"/>
        <v>0</v>
      </c>
      <c r="V617" s="483">
        <f>IF(SETUP!$E$7="USD",(U617*(IF(O617="USD",P617,(P617/'Master Data-C19RM'!$C$2)))),(U617*(IF(O617="EUR",P617,(P617*'Master Data-C19RM'!$C$2)))))</f>
        <v>0</v>
      </c>
      <c r="W617" s="444">
        <f>IF($O617="USD",_xlfn.IFNA(VLOOKUP($A617&amp;$E617&amp;$I617,PMsheet!$J:$K,2,0),0),(_xlfn.IFNA(VLOOKUP($A617&amp;$E617&amp;$I617,PMsheet!$J:$K,2,0),0)*'Master Data-C19RM'!$D$2))</f>
        <v>0</v>
      </c>
      <c r="X617" s="441"/>
      <c r="Y617" s="441"/>
      <c r="Z617" s="441"/>
      <c r="AA617" s="441"/>
      <c r="AB617" s="481">
        <f t="shared" si="80"/>
        <v>0</v>
      </c>
      <c r="AC617" s="483">
        <f>IF(SETUP!$E$7="USD",(AB617*(IF(O617="USD",W617,(W617/'Master Data-C19RM'!$D$2)))),(AB617*(IF(O617="EUR",W617,(W617*'Master Data-C19RM'!$D$2)))))</f>
        <v>0</v>
      </c>
      <c r="AD617" s="444">
        <f>IF($O617="USD",_xlfn.IFNA(VLOOKUP($A617&amp;$E617&amp;$I617,PMsheet!$J:$K,2,0),0),(_xlfn.IFNA(VLOOKUP($A617&amp;$E617&amp;$I617,PMsheet!$J:$K,2,0),0)*'Master Data-C19RM'!$E$2))</f>
        <v>0</v>
      </c>
      <c r="AE617" s="441"/>
      <c r="AF617" s="441"/>
      <c r="AG617" s="441"/>
      <c r="AH617" s="441"/>
      <c r="AI617" s="512">
        <f t="shared" si="81"/>
        <v>0</v>
      </c>
      <c r="AJ617" s="513">
        <f>IF(SETUP!$E$7="USD",(AI617*(IF(O617="USD",AD617,(AD617/'Master Data-C19RM'!$E$2)))),(AI617*(IF(O617="EUR",AD617,(AD617*'Master Data-C19RM'!$E$2)))))</f>
        <v>0</v>
      </c>
      <c r="AK617" s="444">
        <f>IF($O617="USD",_xlfn.IFNA(VLOOKUP($A617&amp;$E617&amp;$I617,PMsheet!$J:$K,2,0),0),(_xlfn.IFNA(VLOOKUP($A617&amp;$E617&amp;$I617,PMsheet!$J:$K,2,0),0)*'Master Data-C19RM'!$F$2))</f>
        <v>0</v>
      </c>
      <c r="AL617" s="441"/>
      <c r="AM617" s="441"/>
      <c r="AN617" s="441"/>
      <c r="AO617" s="441"/>
      <c r="AP617" s="512">
        <f t="shared" si="82"/>
        <v>0</v>
      </c>
      <c r="AQ617" s="513">
        <f>IF(SETUP!$E$7="USD",(AP617*(IF(O617="USD",AK617,(AK617/'Master Data-C19RM'!$F$2)))),(AP617*(IF(O617="EUR",AK617,(AK617*'Master Data-C19RM'!$F$2)))))</f>
        <v>0</v>
      </c>
      <c r="AR617" s="924">
        <f>IF($O617="USD",_xlfn.IFNA(VLOOKUP($A617&amp;$E617&amp;$I617,PMsheet!$J:$K,2,0),0),(_xlfn.IFNA(VLOOKUP($A617&amp;$E617&amp;$I617,PMsheet!$J:$K,2,0),0)*'Master Data-C19RM'!$G$2))</f>
        <v>0</v>
      </c>
      <c r="AS617" s="572"/>
      <c r="AT617" s="572"/>
      <c r="AU617" s="572"/>
      <c r="AV617" s="572"/>
      <c r="AW617" s="512">
        <f t="shared" si="85"/>
        <v>0</v>
      </c>
      <c r="AX617" s="512">
        <f>IF(SETUP!$E$7="USD",(AW617*(IF(O617="USD",AR617,(AR617/'Master Data-C19RM'!$G$2)))),(AW617*(IF(O617="EUR",AR617,(AR617*'Master Data-C19RM'!$G$2)))))</f>
        <v>0</v>
      </c>
      <c r="AY617" s="845"/>
      <c r="AZ617" s="846"/>
      <c r="BA617" s="846"/>
      <c r="BB617" s="846"/>
      <c r="BC617" s="846"/>
      <c r="BD617" s="846"/>
      <c r="BE617" s="847"/>
      <c r="BF617" s="520">
        <f>'C19RM 2021-Lab &amp; Other HPS'!$U617+'C19RM 2021-Lab &amp; Other HPS'!$AB617+'C19RM 2021-Lab &amp; Other HPS'!$AP617+'C19RM 2021-Lab &amp; Other HPS'!$AI617+AW617+BD617</f>
        <v>0</v>
      </c>
      <c r="BG617" s="513">
        <f>'C19RM 2021-Lab &amp; Other HPS'!$V617+'C19RM 2021-Lab &amp; Other HPS'!$AC617+'C19RM 2021-Lab &amp; Other HPS'!$AQ617+'C19RM 2021-Lab &amp; Other HPS'!$AJ617+AX617+BE617</f>
        <v>0</v>
      </c>
      <c r="BH617" s="500" t="str" cm="1">
        <f t="array" ref="BH617">IF(A617&lt;&gt;"",IFERROR(INDEX(PMtbl[[WKst]:[Unit of measure*]],MATCH($A$544&amp;$A617&amp;$E617&amp;$I617,INDEX(PMtbl[Sec]&amp;PMtbl[Category]&amp;PMtbl[Each]&amp;PMtbl[Packaging],0,),0),11),""),"")</f>
        <v/>
      </c>
      <c r="BI617" s="819"/>
      <c r="BJ617" s="502" t="str" cm="1">
        <f t="array" ref="BJ617">IFERROR(INDEX(SETUP!$C$19:$G$121,MATCH((INDEX(PMtbl[[WKst]:[Unit of measure*]],MATCH($A617&amp;$E617&amp;$I617,INDEX(PMtbl[Category]&amp;PMtbl[Each]&amp;PMtbl[Packaging],0,),0),3)),SETUP!$D$19:$D$121,0),5),"")</f>
        <v/>
      </c>
      <c r="BK617" s="542" t="str" cm="1">
        <f t="array" ref="BK617">IFERROR(IF((INDEX(SETUP!$C$19:$G$121,MATCH((INDEX(PMtbl[[WKst]:[Unit of measure*]],MATCH($A617&amp;$E617&amp;$I617,INDEX(PMtbl[Category]&amp;PMtbl[Each]&amp;PMtbl[Packaging],0,),0),3)),SETUP!$D$19:$D$121,0),4))="Upfront",0,INDEX(SETUP!$C$19:$G$121,MATCH((INDEX(PMtbl[[WKst]:[Unit of measure*]],MATCH($A617&amp;$E617&amp;$I617,INDEX(PMtbl[Category]&amp;PMtbl[Each]&amp;PMtbl[Packaging],0,),0),3)),SETUP!$D$19:$D$121,0),5)),"")</f>
        <v/>
      </c>
      <c r="BL617" s="200" t="str" cm="1">
        <f t="array" ref="BL617">IF(E617&lt;&gt;"",IFERROR(INDEX(PMtbl[[WKst]:[Unit of measure*]],MATCH($A$544&amp;$A617&amp;$E617&amp;$I617,INDEX(PMtbl[Sec]&amp;PMtbl[Category]&amp;PMtbl[Each]&amp;PMtbl[Packaging],0,),0),11),""),"")</f>
        <v/>
      </c>
      <c r="BO617" s="12">
        <f>IF(N617="",0,IF(SETUP!$E$7="USD",((IF(O617="USD",P617,(P617/'Master Data-C19RM'!$C$2)))),((IF(O617="EUR",P617,(P617*'Master Data-C19RM'!$C$2))))))</f>
        <v>0</v>
      </c>
      <c r="BP617" s="12">
        <f>IF(N617="",0,IF(SETUP!$E$7="USD",((IF(O617="USD",W617,(W617/'Master Data-C19RM'!$D$2)))),((IF(O617="EUR",W617,(W617*'Master Data-C19RM'!$D$2))))))</f>
        <v>0</v>
      </c>
      <c r="BQ617">
        <f>IF(N617="",0,IF(SETUP!$E$7="USD",((IF(O617="USD",AD617,(AD617/'Master Data-C19RM'!$E$2)))),((IF(O617="EUR",AD617,(AD617*'Master Data-C19RM'!$E$2))))))</f>
        <v>0</v>
      </c>
      <c r="BR617">
        <f>IF(N617="",0,IF(SETUP!$E$7="USD",((IF(O617="USD",AK617,(AK617/'Master Data-C19RM'!$F$2)))),((IF(O617="EUR",AK617,(AK617*'Master Data-C19RM'!$F$2))))))</f>
        <v>0</v>
      </c>
      <c r="BS617">
        <f>IF(N617="",0,IF(SETUP!$E$7="USD",((IF(O617="USD",AR617,(AR617/'Master Data-C19RM'!$G$2)))),((IF(O617="EUR",AR617,(AR617*'Master Data-C19RM'!$G$2))))))</f>
        <v>0</v>
      </c>
      <c r="BT617">
        <f>IF(N617="",0,IF(SETUP!$E$7="USD",((IF(O617="USD",AY617,(AY617/'Master Data-C19RM'!$H$2)))),((IF(O617="EUR",AY617,(AY617*'Master Data-C19RM'!$H$2))))))</f>
        <v>0</v>
      </c>
      <c r="BU617" s="12">
        <f t="shared" si="83"/>
        <v>0</v>
      </c>
      <c r="BV617" s="142">
        <f t="shared" si="84"/>
        <v>0</v>
      </c>
    </row>
    <row r="618" spans="1:74" x14ac:dyDescent="0.35">
      <c r="A618" s="1192"/>
      <c r="B618" s="1192"/>
      <c r="C618" s="1192"/>
      <c r="D618" s="1192"/>
      <c r="E618" s="1173"/>
      <c r="F618" s="1173"/>
      <c r="G618" s="1173"/>
      <c r="H618" s="1173"/>
      <c r="I618" s="1173"/>
      <c r="J618" s="1173"/>
      <c r="K618" s="1173"/>
      <c r="L618" s="493" t="str" cm="1">
        <f t="array" ref="L618">IF(A618&lt;&gt;"",IFERROR(INDEX(PMtbl[[WKst]:[Unit of measure*]],MATCH($A$544&amp;$A618&amp;$E618&amp;$I618,INDEX(PMtbl[Sec]&amp;PMtbl[Category]&amp;PMtbl[Each]&amp;PMtbl[Packaging],0,),0),14),""),"")</f>
        <v/>
      </c>
      <c r="M618" s="480" t="str">
        <f>IF(L618="","",INDEX(SETUP!$E$20:$E$122,(MATCH(INDEX(PMsheet!$D:$E,MATCH(A618,PMsheet!E:E,0),1),SETUP!$D$20:$D$122,0))))</f>
        <v/>
      </c>
      <c r="N618" s="494">
        <f>IF($O618="USD",_xlfn.IFNA(VLOOKUP(A618&amp;E618&amp;I618,PMsheet!J:K,2,0),0),(_xlfn.IFNA(VLOOKUP(A618&amp;E618&amp;I618,PMsheet!J:K,2,0),0)*'Master Data-C19RM'!$C$2))</f>
        <v>0</v>
      </c>
      <c r="O618" s="495" t="str">
        <f>IF(L618="", "",SETUP!$E$7)</f>
        <v/>
      </c>
      <c r="P618" s="445">
        <f>IF($O618="USD",_xlfn.IFNA(VLOOKUP($A618&amp;$E618&amp;$I618,PMsheet!$J:$K,2,0),0),(_xlfn.IFNA(VLOOKUP($A618&amp;$E618&amp;$I618,PMsheet!$J:$K,2,0),0)*'Master Data-C19RM'!$C$2))</f>
        <v>0</v>
      </c>
      <c r="Q618" s="440"/>
      <c r="R618" s="440"/>
      <c r="S618" s="440"/>
      <c r="T618" s="440"/>
      <c r="U618" s="482">
        <f t="shared" si="79"/>
        <v>0</v>
      </c>
      <c r="V618" s="484">
        <f>IF(SETUP!$E$7="USD",(U618*(IF(O618="USD",P618,(P618/'Master Data-C19RM'!$C$2)))),(U618*(IF(O618="EUR",P618,(P618*'Master Data-C19RM'!$C$2)))))</f>
        <v>0</v>
      </c>
      <c r="W618" s="445">
        <f>IF($O618="USD",_xlfn.IFNA(VLOOKUP($A618&amp;$E618&amp;$I618,PMsheet!$J:$K,2,0),0),(_xlfn.IFNA(VLOOKUP($A618&amp;$E618&amp;$I618,PMsheet!$J:$K,2,0),0)*'Master Data-C19RM'!$D$2))</f>
        <v>0</v>
      </c>
      <c r="X618" s="440"/>
      <c r="Y618" s="440"/>
      <c r="Z618" s="440"/>
      <c r="AA618" s="440"/>
      <c r="AB618" s="482">
        <f t="shared" si="80"/>
        <v>0</v>
      </c>
      <c r="AC618" s="484">
        <f>IF(SETUP!$E$7="USD",(AB618*(IF(O618="USD",W618,(W618/'Master Data-C19RM'!$D$2)))),(AB618*(IF(O618="EUR",W618,(W618*'Master Data-C19RM'!$D$2)))))</f>
        <v>0</v>
      </c>
      <c r="AD618" s="445">
        <f>IF($O618="USD",_xlfn.IFNA(VLOOKUP($A618&amp;$E618&amp;$I618,PMsheet!$J:$K,2,0),0),(_xlfn.IFNA(VLOOKUP($A618&amp;$E618&amp;$I618,PMsheet!$J:$K,2,0),0)*'Master Data-C19RM'!$E$2))</f>
        <v>0</v>
      </c>
      <c r="AE618" s="440"/>
      <c r="AF618" s="440"/>
      <c r="AG618" s="440"/>
      <c r="AH618" s="440"/>
      <c r="AI618" s="514">
        <f t="shared" si="81"/>
        <v>0</v>
      </c>
      <c r="AJ618" s="515">
        <f>IF(SETUP!$E$7="USD",(AI618*(IF(O618="USD",AD618,(AD618/'Master Data-C19RM'!$E$2)))),(AI618*(IF(O618="EUR",AD618,(AD618*'Master Data-C19RM'!$E$2)))))</f>
        <v>0</v>
      </c>
      <c r="AK618" s="445">
        <f>IF($O618="USD",_xlfn.IFNA(VLOOKUP($A618&amp;$E618&amp;$I618,PMsheet!$J:$K,2,0),0),(_xlfn.IFNA(VLOOKUP($A618&amp;$E618&amp;$I618,PMsheet!$J:$K,2,0),0)*'Master Data-C19RM'!$F$2))</f>
        <v>0</v>
      </c>
      <c r="AL618" s="440"/>
      <c r="AM618" s="440"/>
      <c r="AN618" s="440"/>
      <c r="AO618" s="440"/>
      <c r="AP618" s="514">
        <f t="shared" si="82"/>
        <v>0</v>
      </c>
      <c r="AQ618" s="515">
        <f>IF(SETUP!$E$7="USD",(AP618*(IF(O618="USD",AK618,(AK618/'Master Data-C19RM'!$F$2)))),(AP618*(IF(O618="EUR",AK618,(AK618*'Master Data-C19RM'!$F$2)))))</f>
        <v>0</v>
      </c>
      <c r="AR618" s="925">
        <f>IF($O618="USD",_xlfn.IFNA(VLOOKUP($A618&amp;$E618&amp;$I618,PMsheet!$J:$K,2,0),0),(_xlfn.IFNA(VLOOKUP($A618&amp;$E618&amp;$I618,PMsheet!$J:$K,2,0),0)*'Master Data-C19RM'!$G$2))</f>
        <v>0</v>
      </c>
      <c r="AS618" s="926"/>
      <c r="AT618" s="926"/>
      <c r="AU618" s="926"/>
      <c r="AV618" s="926"/>
      <c r="AW618" s="514">
        <f t="shared" si="85"/>
        <v>0</v>
      </c>
      <c r="AX618" s="514">
        <f>IF(SETUP!$E$7="USD",(AW618*(IF(O618="USD",AR618,(AR618/'Master Data-C19RM'!$G$2)))),(AW618*(IF(O618="EUR",AR618,(AR618*'Master Data-C19RM'!$G$2)))))</f>
        <v>0</v>
      </c>
      <c r="AY618" s="845"/>
      <c r="AZ618" s="846"/>
      <c r="BA618" s="846"/>
      <c r="BB618" s="846"/>
      <c r="BC618" s="846"/>
      <c r="BD618" s="846"/>
      <c r="BE618" s="847"/>
      <c r="BF618" s="521">
        <f>'C19RM 2021-Lab &amp; Other HPS'!$U618+'C19RM 2021-Lab &amp; Other HPS'!$AB618+'C19RM 2021-Lab &amp; Other HPS'!$AP618+'C19RM 2021-Lab &amp; Other HPS'!$AI618+AW618+BD618</f>
        <v>0</v>
      </c>
      <c r="BG618" s="515">
        <f>'C19RM 2021-Lab &amp; Other HPS'!$V618+'C19RM 2021-Lab &amp; Other HPS'!$AC618+'C19RM 2021-Lab &amp; Other HPS'!$AQ618+'C19RM 2021-Lab &amp; Other HPS'!$AJ618+AX618+BE618</f>
        <v>0</v>
      </c>
      <c r="BH618" s="522" t="str" cm="1">
        <f t="array" ref="BH618">IF(A618&lt;&gt;"",IFERROR(INDEX(PMtbl[[WKst]:[Unit of measure*]],MATCH($A$544&amp;$A618&amp;$E618&amp;$I618,INDEX(PMtbl[Sec]&amp;PMtbl[Category]&amp;PMtbl[Each]&amp;PMtbl[Packaging],0,),0),11),""),"")</f>
        <v/>
      </c>
      <c r="BI618" s="818"/>
      <c r="BJ618" s="503" t="str" cm="1">
        <f t="array" ref="BJ618">IFERROR(INDEX(SETUP!$C$19:$G$121,MATCH((INDEX(PMtbl[[WKst]:[Unit of measure*]],MATCH($A618&amp;$E618&amp;$I618,INDEX(PMtbl[Category]&amp;PMtbl[Each]&amp;PMtbl[Packaging],0,),0),3)),SETUP!$D$19:$D$121,0),5),"")</f>
        <v/>
      </c>
      <c r="BK618" s="543" t="str" cm="1">
        <f t="array" ref="BK618">IFERROR(IF((INDEX(SETUP!$C$19:$G$121,MATCH((INDEX(PMtbl[[WKst]:[Unit of measure*]],MATCH($A618&amp;$E618&amp;$I618,INDEX(PMtbl[Category]&amp;PMtbl[Each]&amp;PMtbl[Packaging],0,),0),3)),SETUP!$D$19:$D$121,0),4))="Upfront",0,INDEX(SETUP!$C$19:$G$121,MATCH((INDEX(PMtbl[[WKst]:[Unit of measure*]],MATCH($A618&amp;$E618&amp;$I618,INDEX(PMtbl[Category]&amp;PMtbl[Each]&amp;PMtbl[Packaging],0,),0),3)),SETUP!$D$19:$D$121,0),5)),"")</f>
        <v/>
      </c>
      <c r="BL618" s="201" t="str" cm="1">
        <f t="array" ref="BL618">IF(E618&lt;&gt;"",IFERROR(INDEX(PMtbl[[WKst]:[Unit of measure*]],MATCH($A$544&amp;$A618&amp;$E618&amp;$I618,INDEX(PMtbl[Sec]&amp;PMtbl[Category]&amp;PMtbl[Each]&amp;PMtbl[Packaging],0,),0),11),""),"")</f>
        <v/>
      </c>
      <c r="BO618" s="12">
        <f>IF(N618="",0,IF(SETUP!$E$7="USD",((IF(O618="USD",P618,(P618/'Master Data-C19RM'!$C$2)))),((IF(O618="EUR",P618,(P618*'Master Data-C19RM'!$C$2))))))</f>
        <v>0</v>
      </c>
      <c r="BP618" s="12">
        <f>IF(N618="",0,IF(SETUP!$E$7="USD",((IF(O618="USD",W618,(W618/'Master Data-C19RM'!$D$2)))),((IF(O618="EUR",W618,(W618*'Master Data-C19RM'!$D$2))))))</f>
        <v>0</v>
      </c>
      <c r="BQ618">
        <f>IF(N618="",0,IF(SETUP!$E$7="USD",((IF(O618="USD",AD618,(AD618/'Master Data-C19RM'!$E$2)))),((IF(O618="EUR",AD618,(AD618*'Master Data-C19RM'!$E$2))))))</f>
        <v>0</v>
      </c>
      <c r="BR618">
        <f>IF(N618="",0,IF(SETUP!$E$7="USD",((IF(O618="USD",AK618,(AK618/'Master Data-C19RM'!$F$2)))),((IF(O618="EUR",AK618,(AK618*'Master Data-C19RM'!$F$2))))))</f>
        <v>0</v>
      </c>
      <c r="BS618">
        <f>IF(N618="",0,IF(SETUP!$E$7="USD",((IF(O618="USD",AR618,(AR618/'Master Data-C19RM'!$G$2)))),((IF(O618="EUR",AR618,(AR618*'Master Data-C19RM'!$G$2))))))</f>
        <v>0</v>
      </c>
      <c r="BT618">
        <f>IF(N618="",0,IF(SETUP!$E$7="USD",((IF(O618="USD",AY618,(AY618/'Master Data-C19RM'!$H$2)))),((IF(O618="EUR",AY618,(AY618*'Master Data-C19RM'!$H$2))))))</f>
        <v>0</v>
      </c>
      <c r="BU618" s="12">
        <f t="shared" si="83"/>
        <v>0</v>
      </c>
      <c r="BV618" s="142">
        <f t="shared" si="84"/>
        <v>0</v>
      </c>
    </row>
    <row r="619" spans="1:74" x14ac:dyDescent="0.35">
      <c r="A619" s="1165"/>
      <c r="B619" s="1165"/>
      <c r="C619" s="1165"/>
      <c r="D619" s="1165"/>
      <c r="E619" s="1166"/>
      <c r="F619" s="1166"/>
      <c r="G619" s="1166"/>
      <c r="H619" s="1166"/>
      <c r="I619" s="1166"/>
      <c r="J619" s="1166"/>
      <c r="K619" s="1166"/>
      <c r="L619" s="490" t="str" cm="1">
        <f t="array" ref="L619">IF(A619&lt;&gt;"",IFERROR(INDEX(PMtbl[[WKst]:[Unit of measure*]],MATCH($A$544&amp;$A619&amp;$E619&amp;$I619,INDEX(PMtbl[Sec]&amp;PMtbl[Category]&amp;PMtbl[Each]&amp;PMtbl[Packaging],0,),0),14),""),"")</f>
        <v/>
      </c>
      <c r="M619" s="479" t="str">
        <f>IF(L619="","",INDEX(SETUP!$E$20:$E$122,(MATCH(INDEX(PMsheet!$D:$E,MATCH(A619,PMsheet!E:E,0),1),SETUP!$D$20:$D$122,0))))</f>
        <v/>
      </c>
      <c r="N619" s="491">
        <f>IF($O619="USD",_xlfn.IFNA(VLOOKUP(A619&amp;E619&amp;I619,PMsheet!J:K,2,0),0),(_xlfn.IFNA(VLOOKUP(A619&amp;E619&amp;I619,PMsheet!J:K,2,0),0)*'Master Data-C19RM'!$C$2))</f>
        <v>0</v>
      </c>
      <c r="O619" s="492" t="str">
        <f>IF(L619="", "",SETUP!$E$7)</f>
        <v/>
      </c>
      <c r="P619" s="444">
        <f>IF($O619="USD",_xlfn.IFNA(VLOOKUP($A619&amp;$E619&amp;$I619,PMsheet!$J:$K,2,0),0),(_xlfn.IFNA(VLOOKUP($A619&amp;$E619&amp;$I619,PMsheet!$J:$K,2,0),0)*'Master Data-C19RM'!$C$2))</f>
        <v>0</v>
      </c>
      <c r="Q619" s="441"/>
      <c r="R619" s="441"/>
      <c r="S619" s="441"/>
      <c r="T619" s="441"/>
      <c r="U619" s="481">
        <f t="shared" si="79"/>
        <v>0</v>
      </c>
      <c r="V619" s="483">
        <f>IF(SETUP!$E$7="USD",(U619*(IF(O619="USD",P619,(P619/'Master Data-C19RM'!$C$2)))),(U619*(IF(O619="EUR",P619,(P619*'Master Data-C19RM'!$C$2)))))</f>
        <v>0</v>
      </c>
      <c r="W619" s="444">
        <f>IF($O619="USD",_xlfn.IFNA(VLOOKUP($A619&amp;$E619&amp;$I619,PMsheet!$J:$K,2,0),0),(_xlfn.IFNA(VLOOKUP($A619&amp;$E619&amp;$I619,PMsheet!$J:$K,2,0),0)*'Master Data-C19RM'!$D$2))</f>
        <v>0</v>
      </c>
      <c r="X619" s="441"/>
      <c r="Y619" s="441"/>
      <c r="Z619" s="441"/>
      <c r="AA619" s="441"/>
      <c r="AB619" s="481">
        <f t="shared" si="80"/>
        <v>0</v>
      </c>
      <c r="AC619" s="483">
        <f>IF(SETUP!$E$7="USD",(AB619*(IF(O619="USD",W619,(W619/'Master Data-C19RM'!$D$2)))),(AB619*(IF(O619="EUR",W619,(W619*'Master Data-C19RM'!$D$2)))))</f>
        <v>0</v>
      </c>
      <c r="AD619" s="444">
        <f>IF($O619="USD",_xlfn.IFNA(VLOOKUP($A619&amp;$E619&amp;$I619,PMsheet!$J:$K,2,0),0),(_xlfn.IFNA(VLOOKUP($A619&amp;$E619&amp;$I619,PMsheet!$J:$K,2,0),0)*'Master Data-C19RM'!$E$2))</f>
        <v>0</v>
      </c>
      <c r="AE619" s="441"/>
      <c r="AF619" s="441"/>
      <c r="AG619" s="441"/>
      <c r="AH619" s="441"/>
      <c r="AI619" s="512">
        <f t="shared" si="81"/>
        <v>0</v>
      </c>
      <c r="AJ619" s="513">
        <f>IF(SETUP!$E$7="USD",(AI619*(IF(O619="USD",AD619,(AD619/'Master Data-C19RM'!$E$2)))),(AI619*(IF(O619="EUR",AD619,(AD619*'Master Data-C19RM'!$E$2)))))</f>
        <v>0</v>
      </c>
      <c r="AK619" s="444">
        <f>IF($O619="USD",_xlfn.IFNA(VLOOKUP($A619&amp;$E619&amp;$I619,PMsheet!$J:$K,2,0),0),(_xlfn.IFNA(VLOOKUP($A619&amp;$E619&amp;$I619,PMsheet!$J:$K,2,0),0)*'Master Data-C19RM'!$F$2))</f>
        <v>0</v>
      </c>
      <c r="AL619" s="441"/>
      <c r="AM619" s="441"/>
      <c r="AN619" s="441"/>
      <c r="AO619" s="441"/>
      <c r="AP619" s="512">
        <f t="shared" si="82"/>
        <v>0</v>
      </c>
      <c r="AQ619" s="513">
        <f>IF(SETUP!$E$7="USD",(AP619*(IF(O619="USD",AK619,(AK619/'Master Data-C19RM'!$F$2)))),(AP619*(IF(O619="EUR",AK619,(AK619*'Master Data-C19RM'!$F$2)))))</f>
        <v>0</v>
      </c>
      <c r="AR619" s="924">
        <f>IF($O619="USD",_xlfn.IFNA(VLOOKUP($A619&amp;$E619&amp;$I619,PMsheet!$J:$K,2,0),0),(_xlfn.IFNA(VLOOKUP($A619&amp;$E619&amp;$I619,PMsheet!$J:$K,2,0),0)*'Master Data-C19RM'!$G$2))</f>
        <v>0</v>
      </c>
      <c r="AS619" s="572"/>
      <c r="AT619" s="572"/>
      <c r="AU619" s="572"/>
      <c r="AV619" s="572"/>
      <c r="AW619" s="512">
        <f t="shared" si="85"/>
        <v>0</v>
      </c>
      <c r="AX619" s="512">
        <f>IF(SETUP!$E$7="USD",(AW619*(IF(O619="USD",AR619,(AR619/'Master Data-C19RM'!$G$2)))),(AW619*(IF(O619="EUR",AR619,(AR619*'Master Data-C19RM'!$G$2)))))</f>
        <v>0</v>
      </c>
      <c r="AY619" s="845"/>
      <c r="AZ619" s="846"/>
      <c r="BA619" s="846"/>
      <c r="BB619" s="846"/>
      <c r="BC619" s="846"/>
      <c r="BD619" s="846"/>
      <c r="BE619" s="847"/>
      <c r="BF619" s="520">
        <f>'C19RM 2021-Lab &amp; Other HPS'!$U619+'C19RM 2021-Lab &amp; Other HPS'!$AB619+'C19RM 2021-Lab &amp; Other HPS'!$AP619+'C19RM 2021-Lab &amp; Other HPS'!$AI619+AW619+BD619</f>
        <v>0</v>
      </c>
      <c r="BG619" s="513">
        <f>'C19RM 2021-Lab &amp; Other HPS'!$V619+'C19RM 2021-Lab &amp; Other HPS'!$AC619+'C19RM 2021-Lab &amp; Other HPS'!$AQ619+'C19RM 2021-Lab &amp; Other HPS'!$AJ619+AX619+BE619</f>
        <v>0</v>
      </c>
      <c r="BH619" s="500" t="str" cm="1">
        <f t="array" ref="BH619">IF(A619&lt;&gt;"",IFERROR(INDEX(PMtbl[[WKst]:[Unit of measure*]],MATCH($A$544&amp;$A619&amp;$E619&amp;$I619,INDEX(PMtbl[Sec]&amp;PMtbl[Category]&amp;PMtbl[Each]&amp;PMtbl[Packaging],0,),0),11),""),"")</f>
        <v/>
      </c>
      <c r="BI619" s="819"/>
      <c r="BJ619" s="502" t="str" cm="1">
        <f t="array" ref="BJ619">IFERROR(INDEX(SETUP!$C$19:$G$121,MATCH((INDEX(PMtbl[[WKst]:[Unit of measure*]],MATCH($A619&amp;$E619&amp;$I619,INDEX(PMtbl[Category]&amp;PMtbl[Each]&amp;PMtbl[Packaging],0,),0),3)),SETUP!$D$19:$D$121,0),5),"")</f>
        <v/>
      </c>
      <c r="BK619" s="542" t="str" cm="1">
        <f t="array" ref="BK619">IFERROR(IF((INDEX(SETUP!$C$19:$G$121,MATCH((INDEX(PMtbl[[WKst]:[Unit of measure*]],MATCH($A619&amp;$E619&amp;$I619,INDEX(PMtbl[Category]&amp;PMtbl[Each]&amp;PMtbl[Packaging],0,),0),3)),SETUP!$D$19:$D$121,0),4))="Upfront",0,INDEX(SETUP!$C$19:$G$121,MATCH((INDEX(PMtbl[[WKst]:[Unit of measure*]],MATCH($A619&amp;$E619&amp;$I619,INDEX(PMtbl[Category]&amp;PMtbl[Each]&amp;PMtbl[Packaging],0,),0),3)),SETUP!$D$19:$D$121,0),5)),"")</f>
        <v/>
      </c>
      <c r="BL619" s="200" t="str" cm="1">
        <f t="array" ref="BL619">IF(E619&lt;&gt;"",IFERROR(INDEX(PMtbl[[WKst]:[Unit of measure*]],MATCH($A$544&amp;$A619&amp;$E619&amp;$I619,INDEX(PMtbl[Sec]&amp;PMtbl[Category]&amp;PMtbl[Each]&amp;PMtbl[Packaging],0,),0),11),""),"")</f>
        <v/>
      </c>
      <c r="BO619" s="12">
        <f>IF(N619="",0,IF(SETUP!$E$7="USD",((IF(O619="USD",P619,(P619/'Master Data-C19RM'!$C$2)))),((IF(O619="EUR",P619,(P619*'Master Data-C19RM'!$C$2))))))</f>
        <v>0</v>
      </c>
      <c r="BP619" s="12">
        <f>IF(N619="",0,IF(SETUP!$E$7="USD",((IF(O619="USD",W619,(W619/'Master Data-C19RM'!$D$2)))),((IF(O619="EUR",W619,(W619*'Master Data-C19RM'!$D$2))))))</f>
        <v>0</v>
      </c>
      <c r="BQ619">
        <f>IF(N619="",0,IF(SETUP!$E$7="USD",((IF(O619="USD",AD619,(AD619/'Master Data-C19RM'!$E$2)))),((IF(O619="EUR",AD619,(AD619*'Master Data-C19RM'!$E$2))))))</f>
        <v>0</v>
      </c>
      <c r="BR619">
        <f>IF(N619="",0,IF(SETUP!$E$7="USD",((IF(O619="USD",AK619,(AK619/'Master Data-C19RM'!$F$2)))),((IF(O619="EUR",AK619,(AK619*'Master Data-C19RM'!$F$2))))))</f>
        <v>0</v>
      </c>
      <c r="BS619">
        <f>IF(N619="",0,IF(SETUP!$E$7="USD",((IF(O619="USD",AR619,(AR619/'Master Data-C19RM'!$G$2)))),((IF(O619="EUR",AR619,(AR619*'Master Data-C19RM'!$G$2))))))</f>
        <v>0</v>
      </c>
      <c r="BT619">
        <f>IF(N619="",0,IF(SETUP!$E$7="USD",((IF(O619="USD",AY619,(AY619/'Master Data-C19RM'!$H$2)))),((IF(O619="EUR",AY619,(AY619*'Master Data-C19RM'!$H$2))))))</f>
        <v>0</v>
      </c>
      <c r="BU619" s="12">
        <f t="shared" si="83"/>
        <v>0</v>
      </c>
      <c r="BV619" s="142">
        <f t="shared" si="84"/>
        <v>0</v>
      </c>
    </row>
    <row r="620" spans="1:74" x14ac:dyDescent="0.35">
      <c r="A620" s="1192"/>
      <c r="B620" s="1192"/>
      <c r="C620" s="1192"/>
      <c r="D620" s="1192"/>
      <c r="E620" s="1173"/>
      <c r="F620" s="1173"/>
      <c r="G620" s="1173"/>
      <c r="H620" s="1173"/>
      <c r="I620" s="1173"/>
      <c r="J620" s="1173"/>
      <c r="K620" s="1173"/>
      <c r="L620" s="493" t="str" cm="1">
        <f t="array" ref="L620">IF(A620&lt;&gt;"",IFERROR(INDEX(PMtbl[[WKst]:[Unit of measure*]],MATCH($A$544&amp;$A620&amp;$E620&amp;$I620,INDEX(PMtbl[Sec]&amp;PMtbl[Category]&amp;PMtbl[Each]&amp;PMtbl[Packaging],0,),0),14),""),"")</f>
        <v/>
      </c>
      <c r="M620" s="480" t="str">
        <f>IF(L620="","",INDEX(SETUP!$E$20:$E$122,(MATCH(INDEX(PMsheet!$D:$E,MATCH(A620,PMsheet!E:E,0),1),SETUP!$D$20:$D$122,0))))</f>
        <v/>
      </c>
      <c r="N620" s="494">
        <f>IF($O620="USD",_xlfn.IFNA(VLOOKUP(A620&amp;E620&amp;I620,PMsheet!J:K,2,0),0),(_xlfn.IFNA(VLOOKUP(A620&amp;E620&amp;I620,PMsheet!J:K,2,0),0)*'Master Data-C19RM'!$C$2))</f>
        <v>0</v>
      </c>
      <c r="O620" s="495" t="str">
        <f>IF(L620="", "",SETUP!$E$7)</f>
        <v/>
      </c>
      <c r="P620" s="445">
        <f>IF($O620="USD",_xlfn.IFNA(VLOOKUP($A620&amp;$E620&amp;$I620,PMsheet!$J:$K,2,0),0),(_xlfn.IFNA(VLOOKUP($A620&amp;$E620&amp;$I620,PMsheet!$J:$K,2,0),0)*'Master Data-C19RM'!$C$2))</f>
        <v>0</v>
      </c>
      <c r="Q620" s="440"/>
      <c r="R620" s="440"/>
      <c r="S620" s="440"/>
      <c r="T620" s="440"/>
      <c r="U620" s="482">
        <f t="shared" si="79"/>
        <v>0</v>
      </c>
      <c r="V620" s="484">
        <f>IF(SETUP!$E$7="USD",(U620*(IF(O620="USD",P620,(P620/'Master Data-C19RM'!$C$2)))),(U620*(IF(O620="EUR",P620,(P620*'Master Data-C19RM'!$C$2)))))</f>
        <v>0</v>
      </c>
      <c r="W620" s="445">
        <f>IF($O620="USD",_xlfn.IFNA(VLOOKUP($A620&amp;$E620&amp;$I620,PMsheet!$J:$K,2,0),0),(_xlfn.IFNA(VLOOKUP($A620&amp;$E620&amp;$I620,PMsheet!$J:$K,2,0),0)*'Master Data-C19RM'!$D$2))</f>
        <v>0</v>
      </c>
      <c r="X620" s="440"/>
      <c r="Y620" s="440"/>
      <c r="Z620" s="440"/>
      <c r="AA620" s="440"/>
      <c r="AB620" s="482">
        <f t="shared" si="80"/>
        <v>0</v>
      </c>
      <c r="AC620" s="484">
        <f>IF(SETUP!$E$7="USD",(AB620*(IF(O620="USD",W620,(W620/'Master Data-C19RM'!$D$2)))),(AB620*(IF(O620="EUR",W620,(W620*'Master Data-C19RM'!$D$2)))))</f>
        <v>0</v>
      </c>
      <c r="AD620" s="445">
        <f>IF($O620="USD",_xlfn.IFNA(VLOOKUP($A620&amp;$E620&amp;$I620,PMsheet!$J:$K,2,0),0),(_xlfn.IFNA(VLOOKUP($A620&amp;$E620&amp;$I620,PMsheet!$J:$K,2,0),0)*'Master Data-C19RM'!$E$2))</f>
        <v>0</v>
      </c>
      <c r="AE620" s="440"/>
      <c r="AF620" s="440"/>
      <c r="AG620" s="440"/>
      <c r="AH620" s="440"/>
      <c r="AI620" s="514">
        <f t="shared" si="81"/>
        <v>0</v>
      </c>
      <c r="AJ620" s="515">
        <f>IF(SETUP!$E$7="USD",(AI620*(IF(O620="USD",AD620,(AD620/'Master Data-C19RM'!$E$2)))),(AI620*(IF(O620="EUR",AD620,(AD620*'Master Data-C19RM'!$E$2)))))</f>
        <v>0</v>
      </c>
      <c r="AK620" s="445">
        <f>IF($O620="USD",_xlfn.IFNA(VLOOKUP($A620&amp;$E620&amp;$I620,PMsheet!$J:$K,2,0),0),(_xlfn.IFNA(VLOOKUP($A620&amp;$E620&amp;$I620,PMsheet!$J:$K,2,0),0)*'Master Data-C19RM'!$F$2))</f>
        <v>0</v>
      </c>
      <c r="AL620" s="440"/>
      <c r="AM620" s="440"/>
      <c r="AN620" s="440"/>
      <c r="AO620" s="440"/>
      <c r="AP620" s="514">
        <f t="shared" si="82"/>
        <v>0</v>
      </c>
      <c r="AQ620" s="515">
        <f>IF(SETUP!$E$7="USD",(AP620*(IF(O620="USD",AK620,(AK620/'Master Data-C19RM'!$F$2)))),(AP620*(IF(O620="EUR",AK620,(AK620*'Master Data-C19RM'!$F$2)))))</f>
        <v>0</v>
      </c>
      <c r="AR620" s="925">
        <f>IF($O620="USD",_xlfn.IFNA(VLOOKUP($A620&amp;$E620&amp;$I620,PMsheet!$J:$K,2,0),0),(_xlfn.IFNA(VLOOKUP($A620&amp;$E620&amp;$I620,PMsheet!$J:$K,2,0),0)*'Master Data-C19RM'!$G$2))</f>
        <v>0</v>
      </c>
      <c r="AS620" s="926"/>
      <c r="AT620" s="926"/>
      <c r="AU620" s="926"/>
      <c r="AV620" s="926"/>
      <c r="AW620" s="514">
        <f t="shared" si="85"/>
        <v>0</v>
      </c>
      <c r="AX620" s="514">
        <f>IF(SETUP!$E$7="USD",(AW620*(IF(O620="USD",AR620,(AR620/'Master Data-C19RM'!$G$2)))),(AW620*(IF(O620="EUR",AR620,(AR620*'Master Data-C19RM'!$G$2)))))</f>
        <v>0</v>
      </c>
      <c r="AY620" s="845"/>
      <c r="AZ620" s="846"/>
      <c r="BA620" s="846"/>
      <c r="BB620" s="846"/>
      <c r="BC620" s="846"/>
      <c r="BD620" s="846"/>
      <c r="BE620" s="847"/>
      <c r="BF620" s="521">
        <f>'C19RM 2021-Lab &amp; Other HPS'!$U620+'C19RM 2021-Lab &amp; Other HPS'!$AB620+'C19RM 2021-Lab &amp; Other HPS'!$AP620+'C19RM 2021-Lab &amp; Other HPS'!$AI620+AW620+BD620</f>
        <v>0</v>
      </c>
      <c r="BG620" s="515">
        <f>'C19RM 2021-Lab &amp; Other HPS'!$V620+'C19RM 2021-Lab &amp; Other HPS'!$AC620+'C19RM 2021-Lab &amp; Other HPS'!$AQ620+'C19RM 2021-Lab &amp; Other HPS'!$AJ620+AX620+BE620</f>
        <v>0</v>
      </c>
      <c r="BH620" s="522" t="str" cm="1">
        <f t="array" ref="BH620">IF(A620&lt;&gt;"",IFERROR(INDEX(PMtbl[[WKst]:[Unit of measure*]],MATCH($A$544&amp;$A620&amp;$E620&amp;$I620,INDEX(PMtbl[Sec]&amp;PMtbl[Category]&amp;PMtbl[Each]&amp;PMtbl[Packaging],0,),0),11),""),"")</f>
        <v/>
      </c>
      <c r="BI620" s="818"/>
      <c r="BJ620" s="503" t="str" cm="1">
        <f t="array" ref="BJ620">IFERROR(INDEX(SETUP!$C$19:$G$121,MATCH((INDEX(PMtbl[[WKst]:[Unit of measure*]],MATCH($A620&amp;$E620&amp;$I620,INDEX(PMtbl[Category]&amp;PMtbl[Each]&amp;PMtbl[Packaging],0,),0),3)),SETUP!$D$19:$D$121,0),5),"")</f>
        <v/>
      </c>
      <c r="BK620" s="543" t="str" cm="1">
        <f t="array" ref="BK620">IFERROR(IF((INDEX(SETUP!$C$19:$G$121,MATCH((INDEX(PMtbl[[WKst]:[Unit of measure*]],MATCH($A620&amp;$E620&amp;$I620,INDEX(PMtbl[Category]&amp;PMtbl[Each]&amp;PMtbl[Packaging],0,),0),3)),SETUP!$D$19:$D$121,0),4))="Upfront",0,INDEX(SETUP!$C$19:$G$121,MATCH((INDEX(PMtbl[[WKst]:[Unit of measure*]],MATCH($A620&amp;$E620&amp;$I620,INDEX(PMtbl[Category]&amp;PMtbl[Each]&amp;PMtbl[Packaging],0,),0),3)),SETUP!$D$19:$D$121,0),5)),"")</f>
        <v/>
      </c>
      <c r="BL620" s="201" t="str" cm="1">
        <f t="array" ref="BL620">IF(E620&lt;&gt;"",IFERROR(INDEX(PMtbl[[WKst]:[Unit of measure*]],MATCH($A$544&amp;$A620&amp;$E620&amp;$I620,INDEX(PMtbl[Sec]&amp;PMtbl[Category]&amp;PMtbl[Each]&amp;PMtbl[Packaging],0,),0),11),""),"")</f>
        <v/>
      </c>
      <c r="BO620" s="12">
        <f>IF(N620="",0,IF(SETUP!$E$7="USD",((IF(O620="USD",P620,(P620/'Master Data-C19RM'!$C$2)))),((IF(O620="EUR",P620,(P620*'Master Data-C19RM'!$C$2))))))</f>
        <v>0</v>
      </c>
      <c r="BP620" s="12">
        <f>IF(N620="",0,IF(SETUP!$E$7="USD",((IF(O620="USD",W620,(W620/'Master Data-C19RM'!$D$2)))),((IF(O620="EUR",W620,(W620*'Master Data-C19RM'!$D$2))))))</f>
        <v>0</v>
      </c>
      <c r="BQ620">
        <f>IF(N620="",0,IF(SETUP!$E$7="USD",((IF(O620="USD",AD620,(AD620/'Master Data-C19RM'!$E$2)))),((IF(O620="EUR",AD620,(AD620*'Master Data-C19RM'!$E$2))))))</f>
        <v>0</v>
      </c>
      <c r="BR620">
        <f>IF(N620="",0,IF(SETUP!$E$7="USD",((IF(O620="USD",AK620,(AK620/'Master Data-C19RM'!$F$2)))),((IF(O620="EUR",AK620,(AK620*'Master Data-C19RM'!$F$2))))))</f>
        <v>0</v>
      </c>
      <c r="BS620">
        <f>IF(N620="",0,IF(SETUP!$E$7="USD",((IF(O620="USD",AR620,(AR620/'Master Data-C19RM'!$G$2)))),((IF(O620="EUR",AR620,(AR620*'Master Data-C19RM'!$G$2))))))</f>
        <v>0</v>
      </c>
      <c r="BT620">
        <f>IF(N620="",0,IF(SETUP!$E$7="USD",((IF(O620="USD",AY620,(AY620/'Master Data-C19RM'!$H$2)))),((IF(O620="EUR",AY620,(AY620*'Master Data-C19RM'!$H$2))))))</f>
        <v>0</v>
      </c>
      <c r="BU620" s="12">
        <f t="shared" si="83"/>
        <v>0</v>
      </c>
      <c r="BV620" s="142">
        <f t="shared" si="84"/>
        <v>0</v>
      </c>
    </row>
    <row r="621" spans="1:74" x14ac:dyDescent="0.35">
      <c r="A621" s="1165"/>
      <c r="B621" s="1165"/>
      <c r="C621" s="1165"/>
      <c r="D621" s="1165"/>
      <c r="E621" s="1166"/>
      <c r="F621" s="1166"/>
      <c r="G621" s="1166"/>
      <c r="H621" s="1166"/>
      <c r="I621" s="1166"/>
      <c r="J621" s="1166"/>
      <c r="K621" s="1166"/>
      <c r="L621" s="490" t="str" cm="1">
        <f t="array" ref="L621">IF(A621&lt;&gt;"",IFERROR(INDEX(PMtbl[[WKst]:[Unit of measure*]],MATCH($A$544&amp;$A621&amp;$E621&amp;$I621,INDEX(PMtbl[Sec]&amp;PMtbl[Category]&amp;PMtbl[Each]&amp;PMtbl[Packaging],0,),0),14),""),"")</f>
        <v/>
      </c>
      <c r="M621" s="479" t="str">
        <f>IF(L621="","",INDEX(SETUP!$E$20:$E$122,(MATCH(INDEX(PMsheet!$D:$E,MATCH(A621,PMsheet!E:E,0),1),SETUP!$D$20:$D$122,0))))</f>
        <v/>
      </c>
      <c r="N621" s="491">
        <f>IF($O621="USD",_xlfn.IFNA(VLOOKUP(A621&amp;E621&amp;I621,PMsheet!J:K,2,0),0),(_xlfn.IFNA(VLOOKUP(A621&amp;E621&amp;I621,PMsheet!J:K,2,0),0)*'Master Data-C19RM'!$C$2))</f>
        <v>0</v>
      </c>
      <c r="O621" s="492" t="str">
        <f>IF(L621="", "",SETUP!$E$7)</f>
        <v/>
      </c>
      <c r="P621" s="444">
        <f>IF($O621="USD",_xlfn.IFNA(VLOOKUP($A621&amp;$E621&amp;$I621,PMsheet!$J:$K,2,0),0),(_xlfn.IFNA(VLOOKUP($A621&amp;$E621&amp;$I621,PMsheet!$J:$K,2,0),0)*'Master Data-C19RM'!$C$2))</f>
        <v>0</v>
      </c>
      <c r="Q621" s="441"/>
      <c r="R621" s="441"/>
      <c r="S621" s="441"/>
      <c r="T621" s="441"/>
      <c r="U621" s="481">
        <f t="shared" si="79"/>
        <v>0</v>
      </c>
      <c r="V621" s="483">
        <f>IF(SETUP!$E$7="USD",(U621*(IF(O621="USD",P621,(P621/'Master Data-C19RM'!$C$2)))),(U621*(IF(O621="EUR",P621,(P621*'Master Data-C19RM'!$C$2)))))</f>
        <v>0</v>
      </c>
      <c r="W621" s="444">
        <f>IF($O621="USD",_xlfn.IFNA(VLOOKUP($A621&amp;$E621&amp;$I621,PMsheet!$J:$K,2,0),0),(_xlfn.IFNA(VLOOKUP($A621&amp;$E621&amp;$I621,PMsheet!$J:$K,2,0),0)*'Master Data-C19RM'!$D$2))</f>
        <v>0</v>
      </c>
      <c r="X621" s="441"/>
      <c r="Y621" s="441"/>
      <c r="Z621" s="441"/>
      <c r="AA621" s="441"/>
      <c r="AB621" s="481">
        <f t="shared" si="80"/>
        <v>0</v>
      </c>
      <c r="AC621" s="483">
        <f>IF(SETUP!$E$7="USD",(AB621*(IF(O621="USD",W621,(W621/'Master Data-C19RM'!$D$2)))),(AB621*(IF(O621="EUR",W621,(W621*'Master Data-C19RM'!$D$2)))))</f>
        <v>0</v>
      </c>
      <c r="AD621" s="444">
        <f>IF($O621="USD",_xlfn.IFNA(VLOOKUP($A621&amp;$E621&amp;$I621,PMsheet!$J:$K,2,0),0),(_xlfn.IFNA(VLOOKUP($A621&amp;$E621&amp;$I621,PMsheet!$J:$K,2,0),0)*'Master Data-C19RM'!$E$2))</f>
        <v>0</v>
      </c>
      <c r="AE621" s="441"/>
      <c r="AF621" s="441"/>
      <c r="AG621" s="441"/>
      <c r="AH621" s="441"/>
      <c r="AI621" s="512">
        <f t="shared" si="81"/>
        <v>0</v>
      </c>
      <c r="AJ621" s="513">
        <f>IF(SETUP!$E$7="USD",(AI621*(IF(O621="USD",AD621,(AD621/'Master Data-C19RM'!$E$2)))),(AI621*(IF(O621="EUR",AD621,(AD621*'Master Data-C19RM'!$E$2)))))</f>
        <v>0</v>
      </c>
      <c r="AK621" s="444">
        <f>IF($O621="USD",_xlfn.IFNA(VLOOKUP($A621&amp;$E621&amp;$I621,PMsheet!$J:$K,2,0),0),(_xlfn.IFNA(VLOOKUP($A621&amp;$E621&amp;$I621,PMsheet!$J:$K,2,0),0)*'Master Data-C19RM'!$F$2))</f>
        <v>0</v>
      </c>
      <c r="AL621" s="441"/>
      <c r="AM621" s="441"/>
      <c r="AN621" s="441"/>
      <c r="AO621" s="441"/>
      <c r="AP621" s="512">
        <f t="shared" si="82"/>
        <v>0</v>
      </c>
      <c r="AQ621" s="513">
        <f>IF(SETUP!$E$7="USD",(AP621*(IF(O621="USD",AK621,(AK621/'Master Data-C19RM'!$F$2)))),(AP621*(IF(O621="EUR",AK621,(AK621*'Master Data-C19RM'!$F$2)))))</f>
        <v>0</v>
      </c>
      <c r="AR621" s="924">
        <f>IF($O621="USD",_xlfn.IFNA(VLOOKUP($A621&amp;$E621&amp;$I621,PMsheet!$J:$K,2,0),0),(_xlfn.IFNA(VLOOKUP($A621&amp;$E621&amp;$I621,PMsheet!$J:$K,2,0),0)*'Master Data-C19RM'!$G$2))</f>
        <v>0</v>
      </c>
      <c r="AS621" s="572"/>
      <c r="AT621" s="572"/>
      <c r="AU621" s="572"/>
      <c r="AV621" s="572"/>
      <c r="AW621" s="512">
        <f t="shared" si="85"/>
        <v>0</v>
      </c>
      <c r="AX621" s="512">
        <f>IF(SETUP!$E$7="USD",(AW621*(IF(O621="USD",AR621,(AR621/'Master Data-C19RM'!$G$2)))),(AW621*(IF(O621="EUR",AR621,(AR621*'Master Data-C19RM'!$G$2)))))</f>
        <v>0</v>
      </c>
      <c r="AY621" s="845"/>
      <c r="AZ621" s="846"/>
      <c r="BA621" s="846"/>
      <c r="BB621" s="846"/>
      <c r="BC621" s="846"/>
      <c r="BD621" s="846"/>
      <c r="BE621" s="847"/>
      <c r="BF621" s="520">
        <f>'C19RM 2021-Lab &amp; Other HPS'!$U621+'C19RM 2021-Lab &amp; Other HPS'!$AB621+'C19RM 2021-Lab &amp; Other HPS'!$AP621+'C19RM 2021-Lab &amp; Other HPS'!$AI621+AW621+BD621</f>
        <v>0</v>
      </c>
      <c r="BG621" s="513">
        <f>'C19RM 2021-Lab &amp; Other HPS'!$V621+'C19RM 2021-Lab &amp; Other HPS'!$AC621+'C19RM 2021-Lab &amp; Other HPS'!$AQ621+'C19RM 2021-Lab &amp; Other HPS'!$AJ621+AX621+BE621</f>
        <v>0</v>
      </c>
      <c r="BH621" s="500" t="str" cm="1">
        <f t="array" ref="BH621">IF(A621&lt;&gt;"",IFERROR(INDEX(PMtbl[[WKst]:[Unit of measure*]],MATCH($A$544&amp;$A621&amp;$E621&amp;$I621,INDEX(PMtbl[Sec]&amp;PMtbl[Category]&amp;PMtbl[Each]&amp;PMtbl[Packaging],0,),0),11),""),"")</f>
        <v/>
      </c>
      <c r="BI621" s="819"/>
      <c r="BJ621" s="502" t="str" cm="1">
        <f t="array" ref="BJ621">IFERROR(INDEX(SETUP!$C$19:$G$121,MATCH((INDEX(PMtbl[[WKst]:[Unit of measure*]],MATCH($A621&amp;$E621&amp;$I621,INDEX(PMtbl[Category]&amp;PMtbl[Each]&amp;PMtbl[Packaging],0,),0),3)),SETUP!$D$19:$D$121,0),5),"")</f>
        <v/>
      </c>
      <c r="BK621" s="542" t="str" cm="1">
        <f t="array" ref="BK621">IFERROR(IF((INDEX(SETUP!$C$19:$G$121,MATCH((INDEX(PMtbl[[WKst]:[Unit of measure*]],MATCH($A621&amp;$E621&amp;$I621,INDEX(PMtbl[Category]&amp;PMtbl[Each]&amp;PMtbl[Packaging],0,),0),3)),SETUP!$D$19:$D$121,0),4))="Upfront",0,INDEX(SETUP!$C$19:$G$121,MATCH((INDEX(PMtbl[[WKst]:[Unit of measure*]],MATCH($A621&amp;$E621&amp;$I621,INDEX(PMtbl[Category]&amp;PMtbl[Each]&amp;PMtbl[Packaging],0,),0),3)),SETUP!$D$19:$D$121,0),5)),"")</f>
        <v/>
      </c>
      <c r="BL621" s="200" t="str" cm="1">
        <f t="array" ref="BL621">IF(E621&lt;&gt;"",IFERROR(INDEX(PMtbl[[WKst]:[Unit of measure*]],MATCH($A$544&amp;$A621&amp;$E621&amp;$I621,INDEX(PMtbl[Sec]&amp;PMtbl[Category]&amp;PMtbl[Each]&amp;PMtbl[Packaging],0,),0),11),""),"")</f>
        <v/>
      </c>
      <c r="BO621" s="12">
        <f>IF(N621="",0,IF(SETUP!$E$7="USD",((IF(O621="USD",P621,(P621/'Master Data-C19RM'!$C$2)))),((IF(O621="EUR",P621,(P621*'Master Data-C19RM'!$C$2))))))</f>
        <v>0</v>
      </c>
      <c r="BP621" s="12">
        <f>IF(N621="",0,IF(SETUP!$E$7="USD",((IF(O621="USD",W621,(W621/'Master Data-C19RM'!$D$2)))),((IF(O621="EUR",W621,(W621*'Master Data-C19RM'!$D$2))))))</f>
        <v>0</v>
      </c>
      <c r="BQ621">
        <f>IF(N621="",0,IF(SETUP!$E$7="USD",((IF(O621="USD",AD621,(AD621/'Master Data-C19RM'!$E$2)))),((IF(O621="EUR",AD621,(AD621*'Master Data-C19RM'!$E$2))))))</f>
        <v>0</v>
      </c>
      <c r="BR621">
        <f>IF(N621="",0,IF(SETUP!$E$7="USD",((IF(O621="USD",AK621,(AK621/'Master Data-C19RM'!$F$2)))),((IF(O621="EUR",AK621,(AK621*'Master Data-C19RM'!$F$2))))))</f>
        <v>0</v>
      </c>
      <c r="BS621">
        <f>IF(N621="",0,IF(SETUP!$E$7="USD",((IF(O621="USD",AR621,(AR621/'Master Data-C19RM'!$G$2)))),((IF(O621="EUR",AR621,(AR621*'Master Data-C19RM'!$G$2))))))</f>
        <v>0</v>
      </c>
      <c r="BT621">
        <f>IF(N621="",0,IF(SETUP!$E$7="USD",((IF(O621="USD",AY621,(AY621/'Master Data-C19RM'!$H$2)))),((IF(O621="EUR",AY621,(AY621*'Master Data-C19RM'!$H$2))))))</f>
        <v>0</v>
      </c>
      <c r="BU621" s="12">
        <f t="shared" si="83"/>
        <v>0</v>
      </c>
      <c r="BV621" s="142">
        <f t="shared" si="84"/>
        <v>0</v>
      </c>
    </row>
    <row r="622" spans="1:74" x14ac:dyDescent="0.35">
      <c r="A622" s="1192"/>
      <c r="B622" s="1192"/>
      <c r="C622" s="1192"/>
      <c r="D622" s="1192"/>
      <c r="E622" s="1173"/>
      <c r="F622" s="1173"/>
      <c r="G622" s="1173"/>
      <c r="H622" s="1173"/>
      <c r="I622" s="1173"/>
      <c r="J622" s="1173"/>
      <c r="K622" s="1173"/>
      <c r="L622" s="493" t="str" cm="1">
        <f t="array" ref="L622">IF(A622&lt;&gt;"",IFERROR(INDEX(PMtbl[[WKst]:[Unit of measure*]],MATCH($A$544&amp;$A622&amp;$E622&amp;$I622,INDEX(PMtbl[Sec]&amp;PMtbl[Category]&amp;PMtbl[Each]&amp;PMtbl[Packaging],0,),0),14),""),"")</f>
        <v/>
      </c>
      <c r="M622" s="480" t="str">
        <f>IF(L622="","",INDEX(SETUP!$E$20:$E$122,(MATCH(INDEX(PMsheet!$D:$E,MATCH(A622,PMsheet!E:E,0),1),SETUP!$D$20:$D$122,0))))</f>
        <v/>
      </c>
      <c r="N622" s="494">
        <f>IF($O622="USD",_xlfn.IFNA(VLOOKUP(A622&amp;E622&amp;I622,PMsheet!J:K,2,0),0),(_xlfn.IFNA(VLOOKUP(A622&amp;E622&amp;I622,PMsheet!J:K,2,0),0)*'Master Data-C19RM'!$C$2))</f>
        <v>0</v>
      </c>
      <c r="O622" s="495" t="str">
        <f>IF(L622="", "",SETUP!$E$7)</f>
        <v/>
      </c>
      <c r="P622" s="445">
        <f>IF($O622="USD",_xlfn.IFNA(VLOOKUP($A622&amp;$E622&amp;$I622,PMsheet!$J:$K,2,0),0),(_xlfn.IFNA(VLOOKUP($A622&amp;$E622&amp;$I622,PMsheet!$J:$K,2,0),0)*'Master Data-C19RM'!$C$2))</f>
        <v>0</v>
      </c>
      <c r="Q622" s="440"/>
      <c r="R622" s="440"/>
      <c r="S622" s="440"/>
      <c r="T622" s="440"/>
      <c r="U622" s="482">
        <f t="shared" si="79"/>
        <v>0</v>
      </c>
      <c r="V622" s="484">
        <f>IF(SETUP!$E$7="USD",(U622*(IF(O622="USD",P622,(P622/'Master Data-C19RM'!$C$2)))),(U622*(IF(O622="EUR",P622,(P622*'Master Data-C19RM'!$C$2)))))</f>
        <v>0</v>
      </c>
      <c r="W622" s="445">
        <f>IF($O622="USD",_xlfn.IFNA(VLOOKUP($A622&amp;$E622&amp;$I622,PMsheet!$J:$K,2,0),0),(_xlfn.IFNA(VLOOKUP($A622&amp;$E622&amp;$I622,PMsheet!$J:$K,2,0),0)*'Master Data-C19RM'!$D$2))</f>
        <v>0</v>
      </c>
      <c r="X622" s="440"/>
      <c r="Y622" s="440"/>
      <c r="Z622" s="440"/>
      <c r="AA622" s="440"/>
      <c r="AB622" s="482">
        <f t="shared" si="80"/>
        <v>0</v>
      </c>
      <c r="AC622" s="484">
        <f>IF(SETUP!$E$7="USD",(AB622*(IF(O622="USD",W622,(W622/'Master Data-C19RM'!$D$2)))),(AB622*(IF(O622="EUR",W622,(W622*'Master Data-C19RM'!$D$2)))))</f>
        <v>0</v>
      </c>
      <c r="AD622" s="445">
        <f>IF($O622="USD",_xlfn.IFNA(VLOOKUP($A622&amp;$E622&amp;$I622,PMsheet!$J:$K,2,0),0),(_xlfn.IFNA(VLOOKUP($A622&amp;$E622&amp;$I622,PMsheet!$J:$K,2,0),0)*'Master Data-C19RM'!$E$2))</f>
        <v>0</v>
      </c>
      <c r="AE622" s="440"/>
      <c r="AF622" s="440"/>
      <c r="AG622" s="440"/>
      <c r="AH622" s="440"/>
      <c r="AI622" s="514">
        <f t="shared" si="81"/>
        <v>0</v>
      </c>
      <c r="AJ622" s="515">
        <f>IF(SETUP!$E$7="USD",(AI622*(IF(O622="USD",AD622,(AD622/'Master Data-C19RM'!$E$2)))),(AI622*(IF(O622="EUR",AD622,(AD622*'Master Data-C19RM'!$E$2)))))</f>
        <v>0</v>
      </c>
      <c r="AK622" s="445">
        <f>IF($O622="USD",_xlfn.IFNA(VLOOKUP($A622&amp;$E622&amp;$I622,PMsheet!$J:$K,2,0),0),(_xlfn.IFNA(VLOOKUP($A622&amp;$E622&amp;$I622,PMsheet!$J:$K,2,0),0)*'Master Data-C19RM'!$F$2))</f>
        <v>0</v>
      </c>
      <c r="AL622" s="440"/>
      <c r="AM622" s="440"/>
      <c r="AN622" s="440"/>
      <c r="AO622" s="440"/>
      <c r="AP622" s="514">
        <f t="shared" si="82"/>
        <v>0</v>
      </c>
      <c r="AQ622" s="515">
        <f>IF(SETUP!$E$7="USD",(AP622*(IF(O622="USD",AK622,(AK622/'Master Data-C19RM'!$F$2)))),(AP622*(IF(O622="EUR",AK622,(AK622*'Master Data-C19RM'!$F$2)))))</f>
        <v>0</v>
      </c>
      <c r="AR622" s="925">
        <f>IF($O622="USD",_xlfn.IFNA(VLOOKUP($A622&amp;$E622&amp;$I622,PMsheet!$J:$K,2,0),0),(_xlfn.IFNA(VLOOKUP($A622&amp;$E622&amp;$I622,PMsheet!$J:$K,2,0),0)*'Master Data-C19RM'!$G$2))</f>
        <v>0</v>
      </c>
      <c r="AS622" s="926"/>
      <c r="AT622" s="926"/>
      <c r="AU622" s="926"/>
      <c r="AV622" s="926"/>
      <c r="AW622" s="514">
        <f t="shared" si="85"/>
        <v>0</v>
      </c>
      <c r="AX622" s="514">
        <f>IF(SETUP!$E$7="USD",(AW622*(IF(O622="USD",AR622,(AR622/'Master Data-C19RM'!$G$2)))),(AW622*(IF(O622="EUR",AR622,(AR622*'Master Data-C19RM'!$G$2)))))</f>
        <v>0</v>
      </c>
      <c r="AY622" s="845"/>
      <c r="AZ622" s="846"/>
      <c r="BA622" s="846"/>
      <c r="BB622" s="846"/>
      <c r="BC622" s="846"/>
      <c r="BD622" s="846"/>
      <c r="BE622" s="847"/>
      <c r="BF622" s="521">
        <f>'C19RM 2021-Lab &amp; Other HPS'!$U622+'C19RM 2021-Lab &amp; Other HPS'!$AB622+'C19RM 2021-Lab &amp; Other HPS'!$AP622+'C19RM 2021-Lab &amp; Other HPS'!$AI622+AW622+BD622</f>
        <v>0</v>
      </c>
      <c r="BG622" s="515">
        <f>'C19RM 2021-Lab &amp; Other HPS'!$V622+'C19RM 2021-Lab &amp; Other HPS'!$AC622+'C19RM 2021-Lab &amp; Other HPS'!$AQ622+'C19RM 2021-Lab &amp; Other HPS'!$AJ622+AX622+BE622</f>
        <v>0</v>
      </c>
      <c r="BH622" s="522" t="str" cm="1">
        <f t="array" ref="BH622">IF(A622&lt;&gt;"",IFERROR(INDEX(PMtbl[[WKst]:[Unit of measure*]],MATCH($A$544&amp;$A622&amp;$E622&amp;$I622,INDEX(PMtbl[Sec]&amp;PMtbl[Category]&amp;PMtbl[Each]&amp;PMtbl[Packaging],0,),0),11),""),"")</f>
        <v/>
      </c>
      <c r="BI622" s="818"/>
      <c r="BJ622" s="503" t="str" cm="1">
        <f t="array" ref="BJ622">IFERROR(INDEX(SETUP!$C$19:$G$121,MATCH((INDEX(PMtbl[[WKst]:[Unit of measure*]],MATCH($A622&amp;$E622&amp;$I622,INDEX(PMtbl[Category]&amp;PMtbl[Each]&amp;PMtbl[Packaging],0,),0),3)),SETUP!$D$19:$D$121,0),5),"")</f>
        <v/>
      </c>
      <c r="BK622" s="543" t="str" cm="1">
        <f t="array" ref="BK622">IFERROR(IF((INDEX(SETUP!$C$19:$G$121,MATCH((INDEX(PMtbl[[WKst]:[Unit of measure*]],MATCH($A622&amp;$E622&amp;$I622,INDEX(PMtbl[Category]&amp;PMtbl[Each]&amp;PMtbl[Packaging],0,),0),3)),SETUP!$D$19:$D$121,0),4))="Upfront",0,INDEX(SETUP!$C$19:$G$121,MATCH((INDEX(PMtbl[[WKst]:[Unit of measure*]],MATCH($A622&amp;$E622&amp;$I622,INDEX(PMtbl[Category]&amp;PMtbl[Each]&amp;PMtbl[Packaging],0,),0),3)),SETUP!$D$19:$D$121,0),5)),"")</f>
        <v/>
      </c>
      <c r="BL622" s="201" t="str" cm="1">
        <f t="array" ref="BL622">IF(E622&lt;&gt;"",IFERROR(INDEX(PMtbl[[WKst]:[Unit of measure*]],MATCH($A$544&amp;$A622&amp;$E622&amp;$I622,INDEX(PMtbl[Sec]&amp;PMtbl[Category]&amp;PMtbl[Each]&amp;PMtbl[Packaging],0,),0),11),""),"")</f>
        <v/>
      </c>
      <c r="BO622" s="12">
        <f>IF(N622="",0,IF(SETUP!$E$7="USD",((IF(O622="USD",P622,(P622/'Master Data-C19RM'!$C$2)))),((IF(O622="EUR",P622,(P622*'Master Data-C19RM'!$C$2))))))</f>
        <v>0</v>
      </c>
      <c r="BP622" s="12">
        <f>IF(N622="",0,IF(SETUP!$E$7="USD",((IF(O622="USD",W622,(W622/'Master Data-C19RM'!$D$2)))),((IF(O622="EUR",W622,(W622*'Master Data-C19RM'!$D$2))))))</f>
        <v>0</v>
      </c>
      <c r="BQ622">
        <f>IF(N622="",0,IF(SETUP!$E$7="USD",((IF(O622="USD",AD622,(AD622/'Master Data-C19RM'!$E$2)))),((IF(O622="EUR",AD622,(AD622*'Master Data-C19RM'!$E$2))))))</f>
        <v>0</v>
      </c>
      <c r="BR622">
        <f>IF(N622="",0,IF(SETUP!$E$7="USD",((IF(O622="USD",AK622,(AK622/'Master Data-C19RM'!$F$2)))),((IF(O622="EUR",AK622,(AK622*'Master Data-C19RM'!$F$2))))))</f>
        <v>0</v>
      </c>
      <c r="BS622">
        <f>IF(N622="",0,IF(SETUP!$E$7="USD",((IF(O622="USD",AR622,(AR622/'Master Data-C19RM'!$G$2)))),((IF(O622="EUR",AR622,(AR622*'Master Data-C19RM'!$G$2))))))</f>
        <v>0</v>
      </c>
      <c r="BT622">
        <f>IF(N622="",0,IF(SETUP!$E$7="USD",((IF(O622="USD",AY622,(AY622/'Master Data-C19RM'!$H$2)))),((IF(O622="EUR",AY622,(AY622*'Master Data-C19RM'!$H$2))))))</f>
        <v>0</v>
      </c>
      <c r="BU622" s="12">
        <f t="shared" si="83"/>
        <v>0</v>
      </c>
      <c r="BV622" s="142">
        <f t="shared" si="84"/>
        <v>0</v>
      </c>
    </row>
    <row r="623" spans="1:74" x14ac:dyDescent="0.35">
      <c r="A623" s="1165"/>
      <c r="B623" s="1165"/>
      <c r="C623" s="1165"/>
      <c r="D623" s="1165"/>
      <c r="E623" s="1166"/>
      <c r="F623" s="1166"/>
      <c r="G623" s="1166"/>
      <c r="H623" s="1166"/>
      <c r="I623" s="1166"/>
      <c r="J623" s="1166"/>
      <c r="K623" s="1166"/>
      <c r="L623" s="490" t="str" cm="1">
        <f t="array" ref="L623">IF(A623&lt;&gt;"",IFERROR(INDEX(PMtbl[[WKst]:[Unit of measure*]],MATCH($A$544&amp;$A623&amp;$E623&amp;$I623,INDEX(PMtbl[Sec]&amp;PMtbl[Category]&amp;PMtbl[Each]&amp;PMtbl[Packaging],0,),0),14),""),"")</f>
        <v/>
      </c>
      <c r="M623" s="479" t="str">
        <f>IF(L623="","",INDEX(SETUP!$E$20:$E$122,(MATCH(INDEX(PMsheet!$D:$E,MATCH(A623,PMsheet!E:E,0),1),SETUP!$D$20:$D$122,0))))</f>
        <v/>
      </c>
      <c r="N623" s="491">
        <f>IF($O623="USD",_xlfn.IFNA(VLOOKUP(A623&amp;E623&amp;I623,PMsheet!J:K,2,0),0),(_xlfn.IFNA(VLOOKUP(A623&amp;E623&amp;I623,PMsheet!J:K,2,0),0)*'Master Data-C19RM'!$C$2))</f>
        <v>0</v>
      </c>
      <c r="O623" s="492" t="str">
        <f>IF(L623="", "",SETUP!$E$7)</f>
        <v/>
      </c>
      <c r="P623" s="444">
        <f>IF($O623="USD",_xlfn.IFNA(VLOOKUP($A623&amp;$E623&amp;$I623,PMsheet!$J:$K,2,0),0),(_xlfn.IFNA(VLOOKUP($A623&amp;$E623&amp;$I623,PMsheet!$J:$K,2,0),0)*'Master Data-C19RM'!$C$2))</f>
        <v>0</v>
      </c>
      <c r="Q623" s="441"/>
      <c r="R623" s="441"/>
      <c r="S623" s="441"/>
      <c r="T623" s="441"/>
      <c r="U623" s="481">
        <f t="shared" si="79"/>
        <v>0</v>
      </c>
      <c r="V623" s="483">
        <f>IF(SETUP!$E$7="USD",(U623*(IF(O623="USD",P623,(P623/'Master Data-C19RM'!$C$2)))),(U623*(IF(O623="EUR",P623,(P623*'Master Data-C19RM'!$C$2)))))</f>
        <v>0</v>
      </c>
      <c r="W623" s="444">
        <f>IF($O623="USD",_xlfn.IFNA(VLOOKUP($A623&amp;$E623&amp;$I623,PMsheet!$J:$K,2,0),0),(_xlfn.IFNA(VLOOKUP($A623&amp;$E623&amp;$I623,PMsheet!$J:$K,2,0),0)*'Master Data-C19RM'!$D$2))</f>
        <v>0</v>
      </c>
      <c r="X623" s="441"/>
      <c r="Y623" s="441"/>
      <c r="Z623" s="441"/>
      <c r="AA623" s="441"/>
      <c r="AB623" s="481">
        <f t="shared" si="80"/>
        <v>0</v>
      </c>
      <c r="AC623" s="483">
        <f>IF(SETUP!$E$7="USD",(AB623*(IF(O623="USD",W623,(W623/'Master Data-C19RM'!$D$2)))),(AB623*(IF(O623="EUR",W623,(W623*'Master Data-C19RM'!$D$2)))))</f>
        <v>0</v>
      </c>
      <c r="AD623" s="444">
        <f>IF($O623="USD",_xlfn.IFNA(VLOOKUP($A623&amp;$E623&amp;$I623,PMsheet!$J:$K,2,0),0),(_xlfn.IFNA(VLOOKUP($A623&amp;$E623&amp;$I623,PMsheet!$J:$K,2,0),0)*'Master Data-C19RM'!$E$2))</f>
        <v>0</v>
      </c>
      <c r="AE623" s="441"/>
      <c r="AF623" s="441"/>
      <c r="AG623" s="441"/>
      <c r="AH623" s="441"/>
      <c r="AI623" s="512">
        <f t="shared" si="81"/>
        <v>0</v>
      </c>
      <c r="AJ623" s="513">
        <f>IF(SETUP!$E$7="USD",(AI623*(IF(O623="USD",AD623,(AD623/'Master Data-C19RM'!$E$2)))),(AI623*(IF(O623="EUR",AD623,(AD623*'Master Data-C19RM'!$E$2)))))</f>
        <v>0</v>
      </c>
      <c r="AK623" s="444">
        <f>IF($O623="USD",_xlfn.IFNA(VLOOKUP($A623&amp;$E623&amp;$I623,PMsheet!$J:$K,2,0),0),(_xlfn.IFNA(VLOOKUP($A623&amp;$E623&amp;$I623,PMsheet!$J:$K,2,0),0)*'Master Data-C19RM'!$F$2))</f>
        <v>0</v>
      </c>
      <c r="AL623" s="441"/>
      <c r="AM623" s="441"/>
      <c r="AN623" s="441"/>
      <c r="AO623" s="441"/>
      <c r="AP623" s="512">
        <f t="shared" si="82"/>
        <v>0</v>
      </c>
      <c r="AQ623" s="513">
        <f>IF(SETUP!$E$7="USD",(AP623*(IF(O623="USD",AK623,(AK623/'Master Data-C19RM'!$F$2)))),(AP623*(IF(O623="EUR",AK623,(AK623*'Master Data-C19RM'!$F$2)))))</f>
        <v>0</v>
      </c>
      <c r="AR623" s="924">
        <f>IF($O623="USD",_xlfn.IFNA(VLOOKUP($A623&amp;$E623&amp;$I623,PMsheet!$J:$K,2,0),0),(_xlfn.IFNA(VLOOKUP($A623&amp;$E623&amp;$I623,PMsheet!$J:$K,2,0),0)*'Master Data-C19RM'!$G$2))</f>
        <v>0</v>
      </c>
      <c r="AS623" s="572"/>
      <c r="AT623" s="572"/>
      <c r="AU623" s="572"/>
      <c r="AV623" s="572"/>
      <c r="AW623" s="512">
        <f t="shared" si="85"/>
        <v>0</v>
      </c>
      <c r="AX623" s="512">
        <f>IF(SETUP!$E$7="USD",(AW623*(IF(O623="USD",AR623,(AR623/'Master Data-C19RM'!$G$2)))),(AW623*(IF(O623="EUR",AR623,(AR623*'Master Data-C19RM'!$G$2)))))</f>
        <v>0</v>
      </c>
      <c r="AY623" s="845"/>
      <c r="AZ623" s="846"/>
      <c r="BA623" s="846"/>
      <c r="BB623" s="846"/>
      <c r="BC623" s="846"/>
      <c r="BD623" s="846"/>
      <c r="BE623" s="847"/>
      <c r="BF623" s="520">
        <f>'C19RM 2021-Lab &amp; Other HPS'!$U623+'C19RM 2021-Lab &amp; Other HPS'!$AB623+'C19RM 2021-Lab &amp; Other HPS'!$AP623+'C19RM 2021-Lab &amp; Other HPS'!$AI623+AW623+BD623</f>
        <v>0</v>
      </c>
      <c r="BG623" s="513">
        <f>'C19RM 2021-Lab &amp; Other HPS'!$V623+'C19RM 2021-Lab &amp; Other HPS'!$AC623+'C19RM 2021-Lab &amp; Other HPS'!$AQ623+'C19RM 2021-Lab &amp; Other HPS'!$AJ623+AX623+BE623</f>
        <v>0</v>
      </c>
      <c r="BH623" s="500" t="str" cm="1">
        <f t="array" ref="BH623">IF(A623&lt;&gt;"",IFERROR(INDEX(PMtbl[[WKst]:[Unit of measure*]],MATCH($A$544&amp;$A623&amp;$E623&amp;$I623,INDEX(PMtbl[Sec]&amp;PMtbl[Category]&amp;PMtbl[Each]&amp;PMtbl[Packaging],0,),0),11),""),"")</f>
        <v/>
      </c>
      <c r="BI623" s="819"/>
      <c r="BJ623" s="502" t="str" cm="1">
        <f t="array" ref="BJ623">IFERROR(INDEX(SETUP!$C$19:$G$121,MATCH((INDEX(PMtbl[[WKst]:[Unit of measure*]],MATCH($A623&amp;$E623&amp;$I623,INDEX(PMtbl[Category]&amp;PMtbl[Each]&amp;PMtbl[Packaging],0,),0),3)),SETUP!$D$19:$D$121,0),5),"")</f>
        <v/>
      </c>
      <c r="BK623" s="542" t="str" cm="1">
        <f t="array" ref="BK623">IFERROR(IF((INDEX(SETUP!$C$19:$G$121,MATCH((INDEX(PMtbl[[WKst]:[Unit of measure*]],MATCH($A623&amp;$E623&amp;$I623,INDEX(PMtbl[Category]&amp;PMtbl[Each]&amp;PMtbl[Packaging],0,),0),3)),SETUP!$D$19:$D$121,0),4))="Upfront",0,INDEX(SETUP!$C$19:$G$121,MATCH((INDEX(PMtbl[[WKst]:[Unit of measure*]],MATCH($A623&amp;$E623&amp;$I623,INDEX(PMtbl[Category]&amp;PMtbl[Each]&amp;PMtbl[Packaging],0,),0),3)),SETUP!$D$19:$D$121,0),5)),"")</f>
        <v/>
      </c>
      <c r="BL623" s="200" t="str" cm="1">
        <f t="array" ref="BL623">IF(E623&lt;&gt;"",IFERROR(INDEX(PMtbl[[WKst]:[Unit of measure*]],MATCH($A$544&amp;$A623&amp;$E623&amp;$I623,INDEX(PMtbl[Sec]&amp;PMtbl[Category]&amp;PMtbl[Each]&amp;PMtbl[Packaging],0,),0),11),""),"")</f>
        <v/>
      </c>
      <c r="BO623" s="12">
        <f>IF(N623="",0,IF(SETUP!$E$7="USD",((IF(O623="USD",P623,(P623/'Master Data-C19RM'!$C$2)))),((IF(O623="EUR",P623,(P623*'Master Data-C19RM'!$C$2))))))</f>
        <v>0</v>
      </c>
      <c r="BP623" s="12">
        <f>IF(N623="",0,IF(SETUP!$E$7="USD",((IF(O623="USD",W623,(W623/'Master Data-C19RM'!$D$2)))),((IF(O623="EUR",W623,(W623*'Master Data-C19RM'!$D$2))))))</f>
        <v>0</v>
      </c>
      <c r="BQ623">
        <f>IF(N623="",0,IF(SETUP!$E$7="USD",((IF(O623="USD",AD623,(AD623/'Master Data-C19RM'!$E$2)))),((IF(O623="EUR",AD623,(AD623*'Master Data-C19RM'!$E$2))))))</f>
        <v>0</v>
      </c>
      <c r="BR623">
        <f>IF(N623="",0,IF(SETUP!$E$7="USD",((IF(O623="USD",AK623,(AK623/'Master Data-C19RM'!$F$2)))),((IF(O623="EUR",AK623,(AK623*'Master Data-C19RM'!$F$2))))))</f>
        <v>0</v>
      </c>
      <c r="BS623">
        <f>IF(N623="",0,IF(SETUP!$E$7="USD",((IF(O623="USD",AR623,(AR623/'Master Data-C19RM'!$G$2)))),((IF(O623="EUR",AR623,(AR623*'Master Data-C19RM'!$G$2))))))</f>
        <v>0</v>
      </c>
      <c r="BT623">
        <f>IF(N623="",0,IF(SETUP!$E$7="USD",((IF(O623="USD",AY623,(AY623/'Master Data-C19RM'!$H$2)))),((IF(O623="EUR",AY623,(AY623*'Master Data-C19RM'!$H$2))))))</f>
        <v>0</v>
      </c>
      <c r="BU623" s="12">
        <f t="shared" si="83"/>
        <v>0</v>
      </c>
      <c r="BV623" s="142">
        <f t="shared" si="84"/>
        <v>0</v>
      </c>
    </row>
    <row r="624" spans="1:74" x14ac:dyDescent="0.35">
      <c r="A624" s="1192"/>
      <c r="B624" s="1192"/>
      <c r="C624" s="1192"/>
      <c r="D624" s="1192"/>
      <c r="E624" s="1173"/>
      <c r="F624" s="1173"/>
      <c r="G624" s="1173"/>
      <c r="H624" s="1173"/>
      <c r="I624" s="1173"/>
      <c r="J624" s="1173"/>
      <c r="K624" s="1173"/>
      <c r="L624" s="493" t="str" cm="1">
        <f t="array" ref="L624">IF(A624&lt;&gt;"",IFERROR(INDEX(PMtbl[[WKst]:[Unit of measure*]],MATCH($A$544&amp;$A624&amp;$E624&amp;$I624,INDEX(PMtbl[Sec]&amp;PMtbl[Category]&amp;PMtbl[Each]&amp;PMtbl[Packaging],0,),0),14),""),"")</f>
        <v/>
      </c>
      <c r="M624" s="480" t="str">
        <f>IF(L624="","",INDEX(SETUP!$E$20:$E$122,(MATCH(INDEX(PMsheet!$D:$E,MATCH(A624,PMsheet!E:E,0),1),SETUP!$D$20:$D$122,0))))</f>
        <v/>
      </c>
      <c r="N624" s="494">
        <f>IF($O624="USD",_xlfn.IFNA(VLOOKUP(A624&amp;E624&amp;I624,PMsheet!J:K,2,0),0),(_xlfn.IFNA(VLOOKUP(A624&amp;E624&amp;I624,PMsheet!J:K,2,0),0)*'Master Data-C19RM'!$C$2))</f>
        <v>0</v>
      </c>
      <c r="O624" s="495" t="str">
        <f>IF(L624="", "",SETUP!$E$7)</f>
        <v/>
      </c>
      <c r="P624" s="445">
        <f>IF($O624="USD",_xlfn.IFNA(VLOOKUP($A624&amp;$E624&amp;$I624,PMsheet!$J:$K,2,0),0),(_xlfn.IFNA(VLOOKUP($A624&amp;$E624&amp;$I624,PMsheet!$J:$K,2,0),0)*'Master Data-C19RM'!$C$2))</f>
        <v>0</v>
      </c>
      <c r="Q624" s="440"/>
      <c r="R624" s="440"/>
      <c r="S624" s="440"/>
      <c r="T624" s="440"/>
      <c r="U624" s="482">
        <f t="shared" si="79"/>
        <v>0</v>
      </c>
      <c r="V624" s="484">
        <f>IF(SETUP!$E$7="USD",(U624*(IF(O624="USD",P624,(P624/'Master Data-C19RM'!$C$2)))),(U624*(IF(O624="EUR",P624,(P624*'Master Data-C19RM'!$C$2)))))</f>
        <v>0</v>
      </c>
      <c r="W624" s="445">
        <f>IF($O624="USD",_xlfn.IFNA(VLOOKUP($A624&amp;$E624&amp;$I624,PMsheet!$J:$K,2,0),0),(_xlfn.IFNA(VLOOKUP($A624&amp;$E624&amp;$I624,PMsheet!$J:$K,2,0),0)*'Master Data-C19RM'!$D$2))</f>
        <v>0</v>
      </c>
      <c r="X624" s="440"/>
      <c r="Y624" s="440"/>
      <c r="Z624" s="440"/>
      <c r="AA624" s="440"/>
      <c r="AB624" s="482">
        <f t="shared" si="80"/>
        <v>0</v>
      </c>
      <c r="AC624" s="484">
        <f>IF(SETUP!$E$7="USD",(AB624*(IF(O624="USD",W624,(W624/'Master Data-C19RM'!$D$2)))),(AB624*(IF(O624="EUR",W624,(W624*'Master Data-C19RM'!$D$2)))))</f>
        <v>0</v>
      </c>
      <c r="AD624" s="445">
        <f>IF($O624="USD",_xlfn.IFNA(VLOOKUP($A624&amp;$E624&amp;$I624,PMsheet!$J:$K,2,0),0),(_xlfn.IFNA(VLOOKUP($A624&amp;$E624&amp;$I624,PMsheet!$J:$K,2,0),0)*'Master Data-C19RM'!$E$2))</f>
        <v>0</v>
      </c>
      <c r="AE624" s="440"/>
      <c r="AF624" s="440"/>
      <c r="AG624" s="440"/>
      <c r="AH624" s="440"/>
      <c r="AI624" s="514">
        <f t="shared" si="81"/>
        <v>0</v>
      </c>
      <c r="AJ624" s="515">
        <f>IF(SETUP!$E$7="USD",(AI624*(IF(O624="USD",AD624,(AD624/'Master Data-C19RM'!$E$2)))),(AI624*(IF(O624="EUR",AD624,(AD624*'Master Data-C19RM'!$E$2)))))</f>
        <v>0</v>
      </c>
      <c r="AK624" s="445">
        <f>IF($O624="USD",_xlfn.IFNA(VLOOKUP($A624&amp;$E624&amp;$I624,PMsheet!$J:$K,2,0),0),(_xlfn.IFNA(VLOOKUP($A624&amp;$E624&amp;$I624,PMsheet!$J:$K,2,0),0)*'Master Data-C19RM'!$F$2))</f>
        <v>0</v>
      </c>
      <c r="AL624" s="440"/>
      <c r="AM624" s="440"/>
      <c r="AN624" s="440"/>
      <c r="AO624" s="440"/>
      <c r="AP624" s="514">
        <f t="shared" si="82"/>
        <v>0</v>
      </c>
      <c r="AQ624" s="515">
        <f>IF(SETUP!$E$7="USD",(AP624*(IF(O624="USD",AK624,(AK624/'Master Data-C19RM'!$F$2)))),(AP624*(IF(O624="EUR",AK624,(AK624*'Master Data-C19RM'!$F$2)))))</f>
        <v>0</v>
      </c>
      <c r="AR624" s="925">
        <f>IF($O624="USD",_xlfn.IFNA(VLOOKUP($A624&amp;$E624&amp;$I624,PMsheet!$J:$K,2,0),0),(_xlfn.IFNA(VLOOKUP($A624&amp;$E624&amp;$I624,PMsheet!$J:$K,2,0),0)*'Master Data-C19RM'!$G$2))</f>
        <v>0</v>
      </c>
      <c r="AS624" s="926"/>
      <c r="AT624" s="926"/>
      <c r="AU624" s="926"/>
      <c r="AV624" s="926"/>
      <c r="AW624" s="514">
        <f t="shared" si="85"/>
        <v>0</v>
      </c>
      <c r="AX624" s="514">
        <f>IF(SETUP!$E$7="USD",(AW624*(IF(O624="USD",AR624,(AR624/'Master Data-C19RM'!$G$2)))),(AW624*(IF(O624="EUR",AR624,(AR624*'Master Data-C19RM'!$G$2)))))</f>
        <v>0</v>
      </c>
      <c r="AY624" s="845"/>
      <c r="AZ624" s="846"/>
      <c r="BA624" s="846"/>
      <c r="BB624" s="846"/>
      <c r="BC624" s="846"/>
      <c r="BD624" s="846"/>
      <c r="BE624" s="847"/>
      <c r="BF624" s="521">
        <f>'C19RM 2021-Lab &amp; Other HPS'!$U624+'C19RM 2021-Lab &amp; Other HPS'!$AB624+'C19RM 2021-Lab &amp; Other HPS'!$AP624+'C19RM 2021-Lab &amp; Other HPS'!$AI624+AW624+BD624</f>
        <v>0</v>
      </c>
      <c r="BG624" s="515">
        <f>'C19RM 2021-Lab &amp; Other HPS'!$V624+'C19RM 2021-Lab &amp; Other HPS'!$AC624+'C19RM 2021-Lab &amp; Other HPS'!$AQ624+'C19RM 2021-Lab &amp; Other HPS'!$AJ624+AX624+BE624</f>
        <v>0</v>
      </c>
      <c r="BH624" s="522" t="str" cm="1">
        <f t="array" ref="BH624">IF(A624&lt;&gt;"",IFERROR(INDEX(PMtbl[[WKst]:[Unit of measure*]],MATCH($A$544&amp;$A624&amp;$E624&amp;$I624,INDEX(PMtbl[Sec]&amp;PMtbl[Category]&amp;PMtbl[Each]&amp;PMtbl[Packaging],0,),0),11),""),"")</f>
        <v/>
      </c>
      <c r="BI624" s="818"/>
      <c r="BJ624" s="503" t="str" cm="1">
        <f t="array" ref="BJ624">IFERROR(INDEX(SETUP!$C$19:$G$121,MATCH((INDEX(PMtbl[[WKst]:[Unit of measure*]],MATCH($A624&amp;$E624&amp;$I624,INDEX(PMtbl[Category]&amp;PMtbl[Each]&amp;PMtbl[Packaging],0,),0),3)),SETUP!$D$19:$D$121,0),5),"")</f>
        <v/>
      </c>
      <c r="BK624" s="543" t="str" cm="1">
        <f t="array" ref="BK624">IFERROR(IF((INDEX(SETUP!$C$19:$G$121,MATCH((INDEX(PMtbl[[WKst]:[Unit of measure*]],MATCH($A624&amp;$E624&amp;$I624,INDEX(PMtbl[Category]&amp;PMtbl[Each]&amp;PMtbl[Packaging],0,),0),3)),SETUP!$D$19:$D$121,0),4))="Upfront",0,INDEX(SETUP!$C$19:$G$121,MATCH((INDEX(PMtbl[[WKst]:[Unit of measure*]],MATCH($A624&amp;$E624&amp;$I624,INDEX(PMtbl[Category]&amp;PMtbl[Each]&amp;PMtbl[Packaging],0,),0),3)),SETUP!$D$19:$D$121,0),5)),"")</f>
        <v/>
      </c>
      <c r="BL624" s="201" t="str" cm="1">
        <f t="array" ref="BL624">IF(E624&lt;&gt;"",IFERROR(INDEX(PMtbl[[WKst]:[Unit of measure*]],MATCH($A$544&amp;$A624&amp;$E624&amp;$I624,INDEX(PMtbl[Sec]&amp;PMtbl[Category]&amp;PMtbl[Each]&amp;PMtbl[Packaging],0,),0),11),""),"")</f>
        <v/>
      </c>
      <c r="BO624" s="12">
        <f>IF(N624="",0,IF(SETUP!$E$7="USD",((IF(O624="USD",P624,(P624/'Master Data-C19RM'!$C$2)))),((IF(O624="EUR",P624,(P624*'Master Data-C19RM'!$C$2))))))</f>
        <v>0</v>
      </c>
      <c r="BP624" s="12">
        <f>IF(N624="",0,IF(SETUP!$E$7="USD",((IF(O624="USD",W624,(W624/'Master Data-C19RM'!$D$2)))),((IF(O624="EUR",W624,(W624*'Master Data-C19RM'!$D$2))))))</f>
        <v>0</v>
      </c>
      <c r="BQ624">
        <f>IF(N624="",0,IF(SETUP!$E$7="USD",((IF(O624="USD",AD624,(AD624/'Master Data-C19RM'!$E$2)))),((IF(O624="EUR",AD624,(AD624*'Master Data-C19RM'!$E$2))))))</f>
        <v>0</v>
      </c>
      <c r="BR624">
        <f>IF(N624="",0,IF(SETUP!$E$7="USD",((IF(O624="USD",AK624,(AK624/'Master Data-C19RM'!$F$2)))),((IF(O624="EUR",AK624,(AK624*'Master Data-C19RM'!$F$2))))))</f>
        <v>0</v>
      </c>
      <c r="BS624">
        <f>IF(N624="",0,IF(SETUP!$E$7="USD",((IF(O624="USD",AR624,(AR624/'Master Data-C19RM'!$G$2)))),((IF(O624="EUR",AR624,(AR624*'Master Data-C19RM'!$G$2))))))</f>
        <v>0</v>
      </c>
      <c r="BT624">
        <f>IF(N624="",0,IF(SETUP!$E$7="USD",((IF(O624="USD",AY624,(AY624/'Master Data-C19RM'!$H$2)))),((IF(O624="EUR",AY624,(AY624*'Master Data-C19RM'!$H$2))))))</f>
        <v>0</v>
      </c>
      <c r="BU624" s="12">
        <f t="shared" si="83"/>
        <v>0</v>
      </c>
      <c r="BV624" s="142">
        <f t="shared" si="84"/>
        <v>0</v>
      </c>
    </row>
    <row r="625" spans="1:74" x14ac:dyDescent="0.35">
      <c r="A625" s="1165"/>
      <c r="B625" s="1165"/>
      <c r="C625" s="1165"/>
      <c r="D625" s="1165"/>
      <c r="E625" s="1166"/>
      <c r="F625" s="1166"/>
      <c r="G625" s="1166"/>
      <c r="H625" s="1166"/>
      <c r="I625" s="1166"/>
      <c r="J625" s="1166"/>
      <c r="K625" s="1166"/>
      <c r="L625" s="490" t="str" cm="1">
        <f t="array" ref="L625">IF(A625&lt;&gt;"",IFERROR(INDEX(PMtbl[[WKst]:[Unit of measure*]],MATCH($A$544&amp;$A625&amp;$E625&amp;$I625,INDEX(PMtbl[Sec]&amp;PMtbl[Category]&amp;PMtbl[Each]&amp;PMtbl[Packaging],0,),0),14),""),"")</f>
        <v/>
      </c>
      <c r="M625" s="479" t="str">
        <f>IF(L625="","",INDEX(SETUP!$E$20:$E$122,(MATCH(INDEX(PMsheet!$D:$E,MATCH(A625,PMsheet!E:E,0),1),SETUP!$D$20:$D$122,0))))</f>
        <v/>
      </c>
      <c r="N625" s="491">
        <f>IF($O625="USD",_xlfn.IFNA(VLOOKUP(A625&amp;E625&amp;I625,PMsheet!J:K,2,0),0),(_xlfn.IFNA(VLOOKUP(A625&amp;E625&amp;I625,PMsheet!J:K,2,0),0)*'Master Data-C19RM'!$C$2))</f>
        <v>0</v>
      </c>
      <c r="O625" s="492" t="str">
        <f>IF(L625="", "",SETUP!$E$7)</f>
        <v/>
      </c>
      <c r="P625" s="444">
        <f>IF($O625="USD",_xlfn.IFNA(VLOOKUP($A625&amp;$E625&amp;$I625,PMsheet!$J:$K,2,0),0),(_xlfn.IFNA(VLOOKUP($A625&amp;$E625&amp;$I625,PMsheet!$J:$K,2,0),0)*'Master Data-C19RM'!$C$2))</f>
        <v>0</v>
      </c>
      <c r="Q625" s="441"/>
      <c r="R625" s="441"/>
      <c r="S625" s="441"/>
      <c r="T625" s="441"/>
      <c r="U625" s="481">
        <f t="shared" si="79"/>
        <v>0</v>
      </c>
      <c r="V625" s="483">
        <f>IF(SETUP!$E$7="USD",(U625*(IF(O625="USD",P625,(P625/'Master Data-C19RM'!$C$2)))),(U625*(IF(O625="EUR",P625,(P625*'Master Data-C19RM'!$C$2)))))</f>
        <v>0</v>
      </c>
      <c r="W625" s="444">
        <f>IF($O625="USD",_xlfn.IFNA(VLOOKUP($A625&amp;$E625&amp;$I625,PMsheet!$J:$K,2,0),0),(_xlfn.IFNA(VLOOKUP($A625&amp;$E625&amp;$I625,PMsheet!$J:$K,2,0),0)*'Master Data-C19RM'!$D$2))</f>
        <v>0</v>
      </c>
      <c r="X625" s="441"/>
      <c r="Y625" s="441"/>
      <c r="Z625" s="441"/>
      <c r="AA625" s="441"/>
      <c r="AB625" s="481">
        <f t="shared" si="80"/>
        <v>0</v>
      </c>
      <c r="AC625" s="483">
        <f>IF(SETUP!$E$7="USD",(AB625*(IF(O625="USD",W625,(W625/'Master Data-C19RM'!$D$2)))),(AB625*(IF(O625="EUR",W625,(W625*'Master Data-C19RM'!$D$2)))))</f>
        <v>0</v>
      </c>
      <c r="AD625" s="444">
        <f>IF($O625="USD",_xlfn.IFNA(VLOOKUP($A625&amp;$E625&amp;$I625,PMsheet!$J:$K,2,0),0),(_xlfn.IFNA(VLOOKUP($A625&amp;$E625&amp;$I625,PMsheet!$J:$K,2,0),0)*'Master Data-C19RM'!$E$2))</f>
        <v>0</v>
      </c>
      <c r="AE625" s="441"/>
      <c r="AF625" s="441"/>
      <c r="AG625" s="441"/>
      <c r="AH625" s="441"/>
      <c r="AI625" s="512">
        <f t="shared" si="81"/>
        <v>0</v>
      </c>
      <c r="AJ625" s="513">
        <f>IF(SETUP!$E$7="USD",(AI625*(IF(O625="USD",AD625,(AD625/'Master Data-C19RM'!$E$2)))),(AI625*(IF(O625="EUR",AD625,(AD625*'Master Data-C19RM'!$E$2)))))</f>
        <v>0</v>
      </c>
      <c r="AK625" s="444">
        <f>IF($O625="USD",_xlfn.IFNA(VLOOKUP($A625&amp;$E625&amp;$I625,PMsheet!$J:$K,2,0),0),(_xlfn.IFNA(VLOOKUP($A625&amp;$E625&amp;$I625,PMsheet!$J:$K,2,0),0)*'Master Data-C19RM'!$F$2))</f>
        <v>0</v>
      </c>
      <c r="AL625" s="441"/>
      <c r="AM625" s="441"/>
      <c r="AN625" s="441"/>
      <c r="AO625" s="441"/>
      <c r="AP625" s="512">
        <f t="shared" si="82"/>
        <v>0</v>
      </c>
      <c r="AQ625" s="513">
        <f>IF(SETUP!$E$7="USD",(AP625*(IF(O625="USD",AK625,(AK625/'Master Data-C19RM'!$F$2)))),(AP625*(IF(O625="EUR",AK625,(AK625*'Master Data-C19RM'!$F$2)))))</f>
        <v>0</v>
      </c>
      <c r="AR625" s="924">
        <f>IF($O625="USD",_xlfn.IFNA(VLOOKUP($A625&amp;$E625&amp;$I625,PMsheet!$J:$K,2,0),0),(_xlfn.IFNA(VLOOKUP($A625&amp;$E625&amp;$I625,PMsheet!$J:$K,2,0),0)*'Master Data-C19RM'!$G$2))</f>
        <v>0</v>
      </c>
      <c r="AS625" s="572"/>
      <c r="AT625" s="572"/>
      <c r="AU625" s="572"/>
      <c r="AV625" s="572"/>
      <c r="AW625" s="512">
        <f t="shared" si="85"/>
        <v>0</v>
      </c>
      <c r="AX625" s="512">
        <f>IF(SETUP!$E$7="USD",(AW625*(IF(O625="USD",AR625,(AR625/'Master Data-C19RM'!$G$2)))),(AW625*(IF(O625="EUR",AR625,(AR625*'Master Data-C19RM'!$G$2)))))</f>
        <v>0</v>
      </c>
      <c r="AY625" s="845"/>
      <c r="AZ625" s="846"/>
      <c r="BA625" s="846"/>
      <c r="BB625" s="846"/>
      <c r="BC625" s="846"/>
      <c r="BD625" s="846"/>
      <c r="BE625" s="847"/>
      <c r="BF625" s="520">
        <f>'C19RM 2021-Lab &amp; Other HPS'!$U625+'C19RM 2021-Lab &amp; Other HPS'!$AB625+'C19RM 2021-Lab &amp; Other HPS'!$AP625+'C19RM 2021-Lab &amp; Other HPS'!$AI625+AW625+BD625</f>
        <v>0</v>
      </c>
      <c r="BG625" s="513">
        <f>'C19RM 2021-Lab &amp; Other HPS'!$V625+'C19RM 2021-Lab &amp; Other HPS'!$AC625+'C19RM 2021-Lab &amp; Other HPS'!$AQ625+'C19RM 2021-Lab &amp; Other HPS'!$AJ625+AX625+BE625</f>
        <v>0</v>
      </c>
      <c r="BH625" s="500" t="str" cm="1">
        <f t="array" ref="BH625">IF(A625&lt;&gt;"",IFERROR(INDEX(PMtbl[[WKst]:[Unit of measure*]],MATCH($A$544&amp;$A625&amp;$E625&amp;$I625,INDEX(PMtbl[Sec]&amp;PMtbl[Category]&amp;PMtbl[Each]&amp;PMtbl[Packaging],0,),0),11),""),"")</f>
        <v/>
      </c>
      <c r="BI625" s="819"/>
      <c r="BJ625" s="502" t="str" cm="1">
        <f t="array" ref="BJ625">IFERROR(INDEX(SETUP!$C$19:$G$121,MATCH((INDEX(PMtbl[[WKst]:[Unit of measure*]],MATCH($A625&amp;$E625&amp;$I625,INDEX(PMtbl[Category]&amp;PMtbl[Each]&amp;PMtbl[Packaging],0,),0),3)),SETUP!$D$19:$D$121,0),5),"")</f>
        <v/>
      </c>
      <c r="BK625" s="542" t="str" cm="1">
        <f t="array" ref="BK625">IFERROR(IF((INDEX(SETUP!$C$19:$G$121,MATCH((INDEX(PMtbl[[WKst]:[Unit of measure*]],MATCH($A625&amp;$E625&amp;$I625,INDEX(PMtbl[Category]&amp;PMtbl[Each]&amp;PMtbl[Packaging],0,),0),3)),SETUP!$D$19:$D$121,0),4))="Upfront",0,INDEX(SETUP!$C$19:$G$121,MATCH((INDEX(PMtbl[[WKst]:[Unit of measure*]],MATCH($A625&amp;$E625&amp;$I625,INDEX(PMtbl[Category]&amp;PMtbl[Each]&amp;PMtbl[Packaging],0,),0),3)),SETUP!$D$19:$D$121,0),5)),"")</f>
        <v/>
      </c>
      <c r="BL625" s="200" t="str" cm="1">
        <f t="array" ref="BL625">IF(E625&lt;&gt;"",IFERROR(INDEX(PMtbl[[WKst]:[Unit of measure*]],MATCH($A$544&amp;$A625&amp;$E625&amp;$I625,INDEX(PMtbl[Sec]&amp;PMtbl[Category]&amp;PMtbl[Each]&amp;PMtbl[Packaging],0,),0),11),""),"")</f>
        <v/>
      </c>
      <c r="BO625" s="12">
        <f>IF(N625="",0,IF(SETUP!$E$7="USD",((IF(O625="USD",P625,(P625/'Master Data-C19RM'!$C$2)))),((IF(O625="EUR",P625,(P625*'Master Data-C19RM'!$C$2))))))</f>
        <v>0</v>
      </c>
      <c r="BP625" s="12">
        <f>IF(N625="",0,IF(SETUP!$E$7="USD",((IF(O625="USD",W625,(W625/'Master Data-C19RM'!$D$2)))),((IF(O625="EUR",W625,(W625*'Master Data-C19RM'!$D$2))))))</f>
        <v>0</v>
      </c>
      <c r="BQ625">
        <f>IF(N625="",0,IF(SETUP!$E$7="USD",((IF(O625="USD",AD625,(AD625/'Master Data-C19RM'!$E$2)))),((IF(O625="EUR",AD625,(AD625*'Master Data-C19RM'!$E$2))))))</f>
        <v>0</v>
      </c>
      <c r="BR625">
        <f>IF(N625="",0,IF(SETUP!$E$7="USD",((IF(O625="USD",AK625,(AK625/'Master Data-C19RM'!$F$2)))),((IF(O625="EUR",AK625,(AK625*'Master Data-C19RM'!$F$2))))))</f>
        <v>0</v>
      </c>
      <c r="BS625">
        <f>IF(N625="",0,IF(SETUP!$E$7="USD",((IF(O625="USD",AR625,(AR625/'Master Data-C19RM'!$G$2)))),((IF(O625="EUR",AR625,(AR625*'Master Data-C19RM'!$G$2))))))</f>
        <v>0</v>
      </c>
      <c r="BT625">
        <f>IF(N625="",0,IF(SETUP!$E$7="USD",((IF(O625="USD",AY625,(AY625/'Master Data-C19RM'!$H$2)))),((IF(O625="EUR",AY625,(AY625*'Master Data-C19RM'!$H$2))))))</f>
        <v>0</v>
      </c>
      <c r="BU625" s="12">
        <f t="shared" si="83"/>
        <v>0</v>
      </c>
      <c r="BV625" s="142">
        <f t="shared" si="84"/>
        <v>0</v>
      </c>
    </row>
    <row r="626" spans="1:74" x14ac:dyDescent="0.35">
      <c r="A626" s="1192"/>
      <c r="B626" s="1192"/>
      <c r="C626" s="1192"/>
      <c r="D626" s="1192"/>
      <c r="E626" s="1173"/>
      <c r="F626" s="1173"/>
      <c r="G626" s="1173"/>
      <c r="H626" s="1173"/>
      <c r="I626" s="1173"/>
      <c r="J626" s="1173"/>
      <c r="K626" s="1173"/>
      <c r="L626" s="493" t="str" cm="1">
        <f t="array" ref="L626">IF(A626&lt;&gt;"",IFERROR(INDEX(PMtbl[[WKst]:[Unit of measure*]],MATCH($A$544&amp;$A626&amp;$E626&amp;$I626,INDEX(PMtbl[Sec]&amp;PMtbl[Category]&amp;PMtbl[Each]&amp;PMtbl[Packaging],0,),0),14),""),"")</f>
        <v/>
      </c>
      <c r="M626" s="480" t="str">
        <f>IF(L626="","",INDEX(SETUP!$E$20:$E$122,(MATCH(INDEX(PMsheet!$D:$E,MATCH(A626,PMsheet!E:E,0),1),SETUP!$D$20:$D$122,0))))</f>
        <v/>
      </c>
      <c r="N626" s="494">
        <f>IF($O626="USD",_xlfn.IFNA(VLOOKUP(A626&amp;E626&amp;I626,PMsheet!J:K,2,0),0),(_xlfn.IFNA(VLOOKUP(A626&amp;E626&amp;I626,PMsheet!J:K,2,0),0)*'Master Data-C19RM'!$C$2))</f>
        <v>0</v>
      </c>
      <c r="O626" s="495" t="str">
        <f>IF(L626="", "",SETUP!$E$7)</f>
        <v/>
      </c>
      <c r="P626" s="445">
        <f>IF($O626="USD",_xlfn.IFNA(VLOOKUP($A626&amp;$E626&amp;$I626,PMsheet!$J:$K,2,0),0),(_xlfn.IFNA(VLOOKUP($A626&amp;$E626&amp;$I626,PMsheet!$J:$K,2,0),0)*'Master Data-C19RM'!$C$2))</f>
        <v>0</v>
      </c>
      <c r="Q626" s="440"/>
      <c r="R626" s="440"/>
      <c r="S626" s="440"/>
      <c r="T626" s="440"/>
      <c r="U626" s="482">
        <f t="shared" si="79"/>
        <v>0</v>
      </c>
      <c r="V626" s="484">
        <f>IF(SETUP!$E$7="USD",(U626*(IF(O626="USD",P626,(P626/'Master Data-C19RM'!$C$2)))),(U626*(IF(O626="EUR",P626,(P626*'Master Data-C19RM'!$C$2)))))</f>
        <v>0</v>
      </c>
      <c r="W626" s="445">
        <f>IF($O626="USD",_xlfn.IFNA(VLOOKUP($A626&amp;$E626&amp;$I626,PMsheet!$J:$K,2,0),0),(_xlfn.IFNA(VLOOKUP($A626&amp;$E626&amp;$I626,PMsheet!$J:$K,2,0),0)*'Master Data-C19RM'!$D$2))</f>
        <v>0</v>
      </c>
      <c r="X626" s="440"/>
      <c r="Y626" s="440"/>
      <c r="Z626" s="440"/>
      <c r="AA626" s="440"/>
      <c r="AB626" s="482">
        <f t="shared" si="80"/>
        <v>0</v>
      </c>
      <c r="AC626" s="484">
        <f>IF(SETUP!$E$7="USD",(AB626*(IF(O626="USD",W626,(W626/'Master Data-C19RM'!$D$2)))),(AB626*(IF(O626="EUR",W626,(W626*'Master Data-C19RM'!$D$2)))))</f>
        <v>0</v>
      </c>
      <c r="AD626" s="445">
        <f>IF($O626="USD",_xlfn.IFNA(VLOOKUP($A626&amp;$E626&amp;$I626,PMsheet!$J:$K,2,0),0),(_xlfn.IFNA(VLOOKUP($A626&amp;$E626&amp;$I626,PMsheet!$J:$K,2,0),0)*'Master Data-C19RM'!$E$2))</f>
        <v>0</v>
      </c>
      <c r="AE626" s="440"/>
      <c r="AF626" s="440"/>
      <c r="AG626" s="440"/>
      <c r="AH626" s="440"/>
      <c r="AI626" s="514">
        <f t="shared" si="81"/>
        <v>0</v>
      </c>
      <c r="AJ626" s="515">
        <f>IF(SETUP!$E$7="USD",(AI626*(IF(O626="USD",AD626,(AD626/'Master Data-C19RM'!$E$2)))),(AI626*(IF(O626="EUR",AD626,(AD626*'Master Data-C19RM'!$E$2)))))</f>
        <v>0</v>
      </c>
      <c r="AK626" s="445">
        <f>IF($O626="USD",_xlfn.IFNA(VLOOKUP($A626&amp;$E626&amp;$I626,PMsheet!$J:$K,2,0),0),(_xlfn.IFNA(VLOOKUP($A626&amp;$E626&amp;$I626,PMsheet!$J:$K,2,0),0)*'Master Data-C19RM'!$F$2))</f>
        <v>0</v>
      </c>
      <c r="AL626" s="440"/>
      <c r="AM626" s="440"/>
      <c r="AN626" s="440"/>
      <c r="AO626" s="440"/>
      <c r="AP626" s="514">
        <f t="shared" si="82"/>
        <v>0</v>
      </c>
      <c r="AQ626" s="515">
        <f>IF(SETUP!$E$7="USD",(AP626*(IF(O626="USD",AK626,(AK626/'Master Data-C19RM'!$F$2)))),(AP626*(IF(O626="EUR",AK626,(AK626*'Master Data-C19RM'!$F$2)))))</f>
        <v>0</v>
      </c>
      <c r="AR626" s="925">
        <f>IF($O626="USD",_xlfn.IFNA(VLOOKUP($A626&amp;$E626&amp;$I626,PMsheet!$J:$K,2,0),0),(_xlfn.IFNA(VLOOKUP($A626&amp;$E626&amp;$I626,PMsheet!$J:$K,2,0),0)*'Master Data-C19RM'!$G$2))</f>
        <v>0</v>
      </c>
      <c r="AS626" s="926"/>
      <c r="AT626" s="926"/>
      <c r="AU626" s="926"/>
      <c r="AV626" s="926"/>
      <c r="AW626" s="514">
        <f t="shared" si="85"/>
        <v>0</v>
      </c>
      <c r="AX626" s="514">
        <f>IF(SETUP!$E$7="USD",(AW626*(IF(O626="USD",AR626,(AR626/'Master Data-C19RM'!$G$2)))),(AW626*(IF(O626="EUR",AR626,(AR626*'Master Data-C19RM'!$G$2)))))</f>
        <v>0</v>
      </c>
      <c r="AY626" s="845"/>
      <c r="AZ626" s="846"/>
      <c r="BA626" s="846"/>
      <c r="BB626" s="846"/>
      <c r="BC626" s="846"/>
      <c r="BD626" s="846"/>
      <c r="BE626" s="847"/>
      <c r="BF626" s="521">
        <f>'C19RM 2021-Lab &amp; Other HPS'!$U626+'C19RM 2021-Lab &amp; Other HPS'!$AB626+'C19RM 2021-Lab &amp; Other HPS'!$AP626+'C19RM 2021-Lab &amp; Other HPS'!$AI626+AW626+BD626</f>
        <v>0</v>
      </c>
      <c r="BG626" s="515">
        <f>'C19RM 2021-Lab &amp; Other HPS'!$V626+'C19RM 2021-Lab &amp; Other HPS'!$AC626+'C19RM 2021-Lab &amp; Other HPS'!$AQ626+'C19RM 2021-Lab &amp; Other HPS'!$AJ626+AX626+BE626</f>
        <v>0</v>
      </c>
      <c r="BH626" s="522" t="str" cm="1">
        <f t="array" ref="BH626">IF(A626&lt;&gt;"",IFERROR(INDEX(PMtbl[[WKst]:[Unit of measure*]],MATCH($A$544&amp;$A626&amp;$E626&amp;$I626,INDEX(PMtbl[Sec]&amp;PMtbl[Category]&amp;PMtbl[Each]&amp;PMtbl[Packaging],0,),0),11),""),"")</f>
        <v/>
      </c>
      <c r="BI626" s="818"/>
      <c r="BJ626" s="503" t="str" cm="1">
        <f t="array" ref="BJ626">IFERROR(INDEX(SETUP!$C$19:$G$121,MATCH((INDEX(PMtbl[[WKst]:[Unit of measure*]],MATCH($A626&amp;$E626&amp;$I626,INDEX(PMtbl[Category]&amp;PMtbl[Each]&amp;PMtbl[Packaging],0,),0),3)),SETUP!$D$19:$D$121,0),5),"")</f>
        <v/>
      </c>
      <c r="BK626" s="543" t="str" cm="1">
        <f t="array" ref="BK626">IFERROR(IF((INDEX(SETUP!$C$19:$G$121,MATCH((INDEX(PMtbl[[WKst]:[Unit of measure*]],MATCH($A626&amp;$E626&amp;$I626,INDEX(PMtbl[Category]&amp;PMtbl[Each]&amp;PMtbl[Packaging],0,),0),3)),SETUP!$D$19:$D$121,0),4))="Upfront",0,INDEX(SETUP!$C$19:$G$121,MATCH((INDEX(PMtbl[[WKst]:[Unit of measure*]],MATCH($A626&amp;$E626&amp;$I626,INDEX(PMtbl[Category]&amp;PMtbl[Each]&amp;PMtbl[Packaging],0,),0),3)),SETUP!$D$19:$D$121,0),5)),"")</f>
        <v/>
      </c>
      <c r="BL626" s="201" t="str" cm="1">
        <f t="array" ref="BL626">IF(E626&lt;&gt;"",IFERROR(INDEX(PMtbl[[WKst]:[Unit of measure*]],MATCH($A$544&amp;$A626&amp;$E626&amp;$I626,INDEX(PMtbl[Sec]&amp;PMtbl[Category]&amp;PMtbl[Each]&amp;PMtbl[Packaging],0,),0),11),""),"")</f>
        <v/>
      </c>
      <c r="BO626" s="12">
        <f>IF(N626="",0,IF(SETUP!$E$7="USD",((IF(O626="USD",P626,(P626/'Master Data-C19RM'!$C$2)))),((IF(O626="EUR",P626,(P626*'Master Data-C19RM'!$C$2))))))</f>
        <v>0</v>
      </c>
      <c r="BP626" s="12">
        <f>IF(N626="",0,IF(SETUP!$E$7="USD",((IF(O626="USD",W626,(W626/'Master Data-C19RM'!$D$2)))),((IF(O626="EUR",W626,(W626*'Master Data-C19RM'!$D$2))))))</f>
        <v>0</v>
      </c>
      <c r="BQ626">
        <f>IF(N626="",0,IF(SETUP!$E$7="USD",((IF(O626="USD",AD626,(AD626/'Master Data-C19RM'!$E$2)))),((IF(O626="EUR",AD626,(AD626*'Master Data-C19RM'!$E$2))))))</f>
        <v>0</v>
      </c>
      <c r="BR626">
        <f>IF(N626="",0,IF(SETUP!$E$7="USD",((IF(O626="USD",AK626,(AK626/'Master Data-C19RM'!$F$2)))),((IF(O626="EUR",AK626,(AK626*'Master Data-C19RM'!$F$2))))))</f>
        <v>0</v>
      </c>
      <c r="BS626">
        <f>IF(N626="",0,IF(SETUP!$E$7="USD",((IF(O626="USD",AR626,(AR626/'Master Data-C19RM'!$G$2)))),((IF(O626="EUR",AR626,(AR626*'Master Data-C19RM'!$G$2))))))</f>
        <v>0</v>
      </c>
      <c r="BT626">
        <f>IF(N626="",0,IF(SETUP!$E$7="USD",((IF(O626="USD",AY626,(AY626/'Master Data-C19RM'!$H$2)))),((IF(O626="EUR",AY626,(AY626*'Master Data-C19RM'!$H$2))))))</f>
        <v>0</v>
      </c>
      <c r="BU626" s="12">
        <f t="shared" si="83"/>
        <v>0</v>
      </c>
      <c r="BV626" s="142">
        <f t="shared" si="84"/>
        <v>0</v>
      </c>
    </row>
    <row r="627" spans="1:74" x14ac:dyDescent="0.35">
      <c r="A627" s="1165"/>
      <c r="B627" s="1165"/>
      <c r="C627" s="1165"/>
      <c r="D627" s="1165"/>
      <c r="E627" s="1166"/>
      <c r="F627" s="1166"/>
      <c r="G627" s="1166"/>
      <c r="H627" s="1166"/>
      <c r="I627" s="1166"/>
      <c r="J627" s="1166"/>
      <c r="K627" s="1166"/>
      <c r="L627" s="490" t="str" cm="1">
        <f t="array" ref="L627">IF(A627&lt;&gt;"",IFERROR(INDEX(PMtbl[[WKst]:[Unit of measure*]],MATCH($A$544&amp;$A627&amp;$E627&amp;$I627,INDEX(PMtbl[Sec]&amp;PMtbl[Category]&amp;PMtbl[Each]&amp;PMtbl[Packaging],0,),0),14),""),"")</f>
        <v/>
      </c>
      <c r="M627" s="479" t="str">
        <f>IF(L627="","",INDEX(SETUP!$E$20:$E$122,(MATCH(INDEX(PMsheet!$D:$E,MATCH(A627,PMsheet!E:E,0),1),SETUP!$D$20:$D$122,0))))</f>
        <v/>
      </c>
      <c r="N627" s="491">
        <f>IF($O627="USD",_xlfn.IFNA(VLOOKUP(A627&amp;E627&amp;I627,PMsheet!J:K,2,0),0),(_xlfn.IFNA(VLOOKUP(A627&amp;E627&amp;I627,PMsheet!J:K,2,0),0)*'Master Data-C19RM'!$C$2))</f>
        <v>0</v>
      </c>
      <c r="O627" s="492" t="str">
        <f>IF(L627="", "",SETUP!$E$7)</f>
        <v/>
      </c>
      <c r="P627" s="444">
        <f>IF($O627="USD",_xlfn.IFNA(VLOOKUP($A627&amp;$E627&amp;$I627,PMsheet!$J:$K,2,0),0),(_xlfn.IFNA(VLOOKUP($A627&amp;$E627&amp;$I627,PMsheet!$J:$K,2,0),0)*'Master Data-C19RM'!$C$2))</f>
        <v>0</v>
      </c>
      <c r="Q627" s="441"/>
      <c r="R627" s="441"/>
      <c r="S627" s="441"/>
      <c r="T627" s="441"/>
      <c r="U627" s="481">
        <f t="shared" si="79"/>
        <v>0</v>
      </c>
      <c r="V627" s="483">
        <f>IF(SETUP!$E$7="USD",(U627*(IF(O627="USD",P627,(P627/'Master Data-C19RM'!$C$2)))),(U627*(IF(O627="EUR",P627,(P627*'Master Data-C19RM'!$C$2)))))</f>
        <v>0</v>
      </c>
      <c r="W627" s="444">
        <f>IF($O627="USD",_xlfn.IFNA(VLOOKUP($A627&amp;$E627&amp;$I627,PMsheet!$J:$K,2,0),0),(_xlfn.IFNA(VLOOKUP($A627&amp;$E627&amp;$I627,PMsheet!$J:$K,2,0),0)*'Master Data-C19RM'!$D$2))</f>
        <v>0</v>
      </c>
      <c r="X627" s="441"/>
      <c r="Y627" s="441"/>
      <c r="Z627" s="441"/>
      <c r="AA627" s="441"/>
      <c r="AB627" s="481">
        <f t="shared" si="80"/>
        <v>0</v>
      </c>
      <c r="AC627" s="483">
        <f>IF(SETUP!$E$7="USD",(AB627*(IF(O627="USD",W627,(W627/'Master Data-C19RM'!$D$2)))),(AB627*(IF(O627="EUR",W627,(W627*'Master Data-C19RM'!$D$2)))))</f>
        <v>0</v>
      </c>
      <c r="AD627" s="444">
        <f>IF($O627="USD",_xlfn.IFNA(VLOOKUP($A627&amp;$E627&amp;$I627,PMsheet!$J:$K,2,0),0),(_xlfn.IFNA(VLOOKUP($A627&amp;$E627&amp;$I627,PMsheet!$J:$K,2,0),0)*'Master Data-C19RM'!$E$2))</f>
        <v>0</v>
      </c>
      <c r="AE627" s="441"/>
      <c r="AF627" s="441"/>
      <c r="AG627" s="441"/>
      <c r="AH627" s="441"/>
      <c r="AI627" s="512">
        <f t="shared" si="81"/>
        <v>0</v>
      </c>
      <c r="AJ627" s="513">
        <f>IF(SETUP!$E$7="USD",(AI627*(IF(O627="USD",AD627,(AD627/'Master Data-C19RM'!$E$2)))),(AI627*(IF(O627="EUR",AD627,(AD627*'Master Data-C19RM'!$E$2)))))</f>
        <v>0</v>
      </c>
      <c r="AK627" s="444">
        <f>IF($O627="USD",_xlfn.IFNA(VLOOKUP($A627&amp;$E627&amp;$I627,PMsheet!$J:$K,2,0),0),(_xlfn.IFNA(VLOOKUP($A627&amp;$E627&amp;$I627,PMsheet!$J:$K,2,0),0)*'Master Data-C19RM'!$F$2))</f>
        <v>0</v>
      </c>
      <c r="AL627" s="441"/>
      <c r="AM627" s="441"/>
      <c r="AN627" s="441"/>
      <c r="AO627" s="441"/>
      <c r="AP627" s="512">
        <f t="shared" si="82"/>
        <v>0</v>
      </c>
      <c r="AQ627" s="513">
        <f>IF(SETUP!$E$7="USD",(AP627*(IF(O627="USD",AK627,(AK627/'Master Data-C19RM'!$F$2)))),(AP627*(IF(O627="EUR",AK627,(AK627*'Master Data-C19RM'!$F$2)))))</f>
        <v>0</v>
      </c>
      <c r="AR627" s="924">
        <f>IF($O627="USD",_xlfn.IFNA(VLOOKUP($A627&amp;$E627&amp;$I627,PMsheet!$J:$K,2,0),0),(_xlfn.IFNA(VLOOKUP($A627&amp;$E627&amp;$I627,PMsheet!$J:$K,2,0),0)*'Master Data-C19RM'!$G$2))</f>
        <v>0</v>
      </c>
      <c r="AS627" s="572"/>
      <c r="AT627" s="572"/>
      <c r="AU627" s="572"/>
      <c r="AV627" s="572"/>
      <c r="AW627" s="512">
        <f t="shared" si="85"/>
        <v>0</v>
      </c>
      <c r="AX627" s="512">
        <f>IF(SETUP!$E$7="USD",(AW627*(IF(O627="USD",AR627,(AR627/'Master Data-C19RM'!$G$2)))),(AW627*(IF(O627="EUR",AR627,(AR627*'Master Data-C19RM'!$G$2)))))</f>
        <v>0</v>
      </c>
      <c r="AY627" s="845"/>
      <c r="AZ627" s="846"/>
      <c r="BA627" s="846"/>
      <c r="BB627" s="846"/>
      <c r="BC627" s="846"/>
      <c r="BD627" s="846"/>
      <c r="BE627" s="847"/>
      <c r="BF627" s="520">
        <f>'C19RM 2021-Lab &amp; Other HPS'!$U627+'C19RM 2021-Lab &amp; Other HPS'!$AB627+'C19RM 2021-Lab &amp; Other HPS'!$AP627+'C19RM 2021-Lab &amp; Other HPS'!$AI627+AW627+BD627</f>
        <v>0</v>
      </c>
      <c r="BG627" s="513">
        <f>'C19RM 2021-Lab &amp; Other HPS'!$V627+'C19RM 2021-Lab &amp; Other HPS'!$AC627+'C19RM 2021-Lab &amp; Other HPS'!$AQ627+'C19RM 2021-Lab &amp; Other HPS'!$AJ627+AX627+BE627</f>
        <v>0</v>
      </c>
      <c r="BH627" s="500" t="str" cm="1">
        <f t="array" ref="BH627">IF(A627&lt;&gt;"",IFERROR(INDEX(PMtbl[[WKst]:[Unit of measure*]],MATCH($A$544&amp;$A627&amp;$E627&amp;$I627,INDEX(PMtbl[Sec]&amp;PMtbl[Category]&amp;PMtbl[Each]&amp;PMtbl[Packaging],0,),0),11),""),"")</f>
        <v/>
      </c>
      <c r="BI627" s="819"/>
      <c r="BJ627" s="502" t="str" cm="1">
        <f t="array" ref="BJ627">IFERROR(INDEX(SETUP!$C$19:$G$121,MATCH((INDEX(PMtbl[[WKst]:[Unit of measure*]],MATCH($A627&amp;$E627&amp;$I627,INDEX(PMtbl[Category]&amp;PMtbl[Each]&amp;PMtbl[Packaging],0,),0),3)),SETUP!$D$19:$D$121,0),5),"")</f>
        <v/>
      </c>
      <c r="BK627" s="542" t="str" cm="1">
        <f t="array" ref="BK627">IFERROR(IF((INDEX(SETUP!$C$19:$G$121,MATCH((INDEX(PMtbl[[WKst]:[Unit of measure*]],MATCH($A627&amp;$E627&amp;$I627,INDEX(PMtbl[Category]&amp;PMtbl[Each]&amp;PMtbl[Packaging],0,),0),3)),SETUP!$D$19:$D$121,0),4))="Upfront",0,INDEX(SETUP!$C$19:$G$121,MATCH((INDEX(PMtbl[[WKst]:[Unit of measure*]],MATCH($A627&amp;$E627&amp;$I627,INDEX(PMtbl[Category]&amp;PMtbl[Each]&amp;PMtbl[Packaging],0,),0),3)),SETUP!$D$19:$D$121,0),5)),"")</f>
        <v/>
      </c>
      <c r="BL627" s="200" t="str" cm="1">
        <f t="array" ref="BL627">IF(E627&lt;&gt;"",IFERROR(INDEX(PMtbl[[WKst]:[Unit of measure*]],MATCH($A$544&amp;$A627&amp;$E627&amp;$I627,INDEX(PMtbl[Sec]&amp;PMtbl[Category]&amp;PMtbl[Each]&amp;PMtbl[Packaging],0,),0),11),""),"")</f>
        <v/>
      </c>
      <c r="BO627" s="12">
        <f>IF(N627="",0,IF(SETUP!$E$7="USD",((IF(O627="USD",P627,(P627/'Master Data-C19RM'!$C$2)))),((IF(O627="EUR",P627,(P627*'Master Data-C19RM'!$C$2))))))</f>
        <v>0</v>
      </c>
      <c r="BP627" s="12">
        <f>IF(N627="",0,IF(SETUP!$E$7="USD",((IF(O627="USD",W627,(W627/'Master Data-C19RM'!$D$2)))),((IF(O627="EUR",W627,(W627*'Master Data-C19RM'!$D$2))))))</f>
        <v>0</v>
      </c>
      <c r="BQ627">
        <f>IF(N627="",0,IF(SETUP!$E$7="USD",((IF(O627="USD",AD627,(AD627/'Master Data-C19RM'!$E$2)))),((IF(O627="EUR",AD627,(AD627*'Master Data-C19RM'!$E$2))))))</f>
        <v>0</v>
      </c>
      <c r="BR627">
        <f>IF(N627="",0,IF(SETUP!$E$7="USD",((IF(O627="USD",AK627,(AK627/'Master Data-C19RM'!$F$2)))),((IF(O627="EUR",AK627,(AK627*'Master Data-C19RM'!$F$2))))))</f>
        <v>0</v>
      </c>
      <c r="BS627">
        <f>IF(N627="",0,IF(SETUP!$E$7="USD",((IF(O627="USD",AR627,(AR627/'Master Data-C19RM'!$G$2)))),((IF(O627="EUR",AR627,(AR627*'Master Data-C19RM'!$G$2))))))</f>
        <v>0</v>
      </c>
      <c r="BT627">
        <f>IF(N627="",0,IF(SETUP!$E$7="USD",((IF(O627="USD",AY627,(AY627/'Master Data-C19RM'!$H$2)))),((IF(O627="EUR",AY627,(AY627*'Master Data-C19RM'!$H$2))))))</f>
        <v>0</v>
      </c>
      <c r="BU627" s="12">
        <f t="shared" si="83"/>
        <v>0</v>
      </c>
      <c r="BV627" s="142">
        <f t="shared" si="84"/>
        <v>0</v>
      </c>
    </row>
    <row r="628" spans="1:74" x14ac:dyDescent="0.35">
      <c r="A628" s="1192"/>
      <c r="B628" s="1192"/>
      <c r="C628" s="1192"/>
      <c r="D628" s="1192"/>
      <c r="E628" s="1173"/>
      <c r="F628" s="1173"/>
      <c r="G628" s="1173"/>
      <c r="H628" s="1173"/>
      <c r="I628" s="1173"/>
      <c r="J628" s="1173"/>
      <c r="K628" s="1173"/>
      <c r="L628" s="493" t="str" cm="1">
        <f t="array" ref="L628">IF(A628&lt;&gt;"",IFERROR(INDEX(PMtbl[[WKst]:[Unit of measure*]],MATCH($A$544&amp;$A628&amp;$E628&amp;$I628,INDEX(PMtbl[Sec]&amp;PMtbl[Category]&amp;PMtbl[Each]&amp;PMtbl[Packaging],0,),0),14),""),"")</f>
        <v/>
      </c>
      <c r="M628" s="480" t="str">
        <f>IF(L628="","",INDEX(SETUP!$E$20:$E$122,(MATCH(INDEX(PMsheet!$D:$E,MATCH(A628,PMsheet!E:E,0),1),SETUP!$D$20:$D$122,0))))</f>
        <v/>
      </c>
      <c r="N628" s="494">
        <f>IF($O628="USD",_xlfn.IFNA(VLOOKUP(A628&amp;E628&amp;I628,PMsheet!J:K,2,0),0),(_xlfn.IFNA(VLOOKUP(A628&amp;E628&amp;I628,PMsheet!J:K,2,0),0)*'Master Data-C19RM'!$C$2))</f>
        <v>0</v>
      </c>
      <c r="O628" s="495" t="str">
        <f>IF(L628="", "",SETUP!$E$7)</f>
        <v/>
      </c>
      <c r="P628" s="445">
        <f>IF($O628="USD",_xlfn.IFNA(VLOOKUP($A628&amp;$E628&amp;$I628,PMsheet!$J:$K,2,0),0),(_xlfn.IFNA(VLOOKUP($A628&amp;$E628&amp;$I628,PMsheet!$J:$K,2,0),0)*'Master Data-C19RM'!$C$2))</f>
        <v>0</v>
      </c>
      <c r="Q628" s="440"/>
      <c r="R628" s="440"/>
      <c r="S628" s="440"/>
      <c r="T628" s="440"/>
      <c r="U628" s="482">
        <f t="shared" si="79"/>
        <v>0</v>
      </c>
      <c r="V628" s="484">
        <f>IF(SETUP!$E$7="USD",(U628*(IF(O628="USD",P628,(P628/'Master Data-C19RM'!$C$2)))),(U628*(IF(O628="EUR",P628,(P628*'Master Data-C19RM'!$C$2)))))</f>
        <v>0</v>
      </c>
      <c r="W628" s="445">
        <f>IF($O628="USD",_xlfn.IFNA(VLOOKUP($A628&amp;$E628&amp;$I628,PMsheet!$J:$K,2,0),0),(_xlfn.IFNA(VLOOKUP($A628&amp;$E628&amp;$I628,PMsheet!$J:$K,2,0),0)*'Master Data-C19RM'!$D$2))</f>
        <v>0</v>
      </c>
      <c r="X628" s="440"/>
      <c r="Y628" s="440"/>
      <c r="Z628" s="440"/>
      <c r="AA628" s="440"/>
      <c r="AB628" s="482">
        <f t="shared" si="80"/>
        <v>0</v>
      </c>
      <c r="AC628" s="484">
        <f>IF(SETUP!$E$7="USD",(AB628*(IF(O628="USD",W628,(W628/'Master Data-C19RM'!$D$2)))),(AB628*(IF(O628="EUR",W628,(W628*'Master Data-C19RM'!$D$2)))))</f>
        <v>0</v>
      </c>
      <c r="AD628" s="445">
        <f>IF($O628="USD",_xlfn.IFNA(VLOOKUP($A628&amp;$E628&amp;$I628,PMsheet!$J:$K,2,0),0),(_xlfn.IFNA(VLOOKUP($A628&amp;$E628&amp;$I628,PMsheet!$J:$K,2,0),0)*'Master Data-C19RM'!$E$2))</f>
        <v>0</v>
      </c>
      <c r="AE628" s="440"/>
      <c r="AF628" s="440"/>
      <c r="AG628" s="440"/>
      <c r="AH628" s="440"/>
      <c r="AI628" s="514">
        <f t="shared" si="81"/>
        <v>0</v>
      </c>
      <c r="AJ628" s="515">
        <f>IF(SETUP!$E$7="USD",(AI628*(IF(O628="USD",AD628,(AD628/'Master Data-C19RM'!$E$2)))),(AI628*(IF(O628="EUR",AD628,(AD628*'Master Data-C19RM'!$E$2)))))</f>
        <v>0</v>
      </c>
      <c r="AK628" s="445">
        <f>IF($O628="USD",_xlfn.IFNA(VLOOKUP($A628&amp;$E628&amp;$I628,PMsheet!$J:$K,2,0),0),(_xlfn.IFNA(VLOOKUP($A628&amp;$E628&amp;$I628,PMsheet!$J:$K,2,0),0)*'Master Data-C19RM'!$F$2))</f>
        <v>0</v>
      </c>
      <c r="AL628" s="440"/>
      <c r="AM628" s="440"/>
      <c r="AN628" s="440"/>
      <c r="AO628" s="440"/>
      <c r="AP628" s="514">
        <f t="shared" si="82"/>
        <v>0</v>
      </c>
      <c r="AQ628" s="515">
        <f>IF(SETUP!$E$7="USD",(AP628*(IF(O628="USD",AK628,(AK628/'Master Data-C19RM'!$F$2)))),(AP628*(IF(O628="EUR",AK628,(AK628*'Master Data-C19RM'!$F$2)))))</f>
        <v>0</v>
      </c>
      <c r="AR628" s="925">
        <f>IF($O628="USD",_xlfn.IFNA(VLOOKUP($A628&amp;$E628&amp;$I628,PMsheet!$J:$K,2,0),0),(_xlfn.IFNA(VLOOKUP($A628&amp;$E628&amp;$I628,PMsheet!$J:$K,2,0),0)*'Master Data-C19RM'!$G$2))</f>
        <v>0</v>
      </c>
      <c r="AS628" s="926"/>
      <c r="AT628" s="926"/>
      <c r="AU628" s="926"/>
      <c r="AV628" s="926"/>
      <c r="AW628" s="514">
        <f t="shared" si="85"/>
        <v>0</v>
      </c>
      <c r="AX628" s="514">
        <f>IF(SETUP!$E$7="USD",(AW628*(IF(O628="USD",AR628,(AR628/'Master Data-C19RM'!$G$2)))),(AW628*(IF(O628="EUR",AR628,(AR628*'Master Data-C19RM'!$G$2)))))</f>
        <v>0</v>
      </c>
      <c r="AY628" s="845"/>
      <c r="AZ628" s="846"/>
      <c r="BA628" s="846"/>
      <c r="BB628" s="846"/>
      <c r="BC628" s="846"/>
      <c r="BD628" s="846"/>
      <c r="BE628" s="847"/>
      <c r="BF628" s="521">
        <f>'C19RM 2021-Lab &amp; Other HPS'!$U628+'C19RM 2021-Lab &amp; Other HPS'!$AB628+'C19RM 2021-Lab &amp; Other HPS'!$AP628+'C19RM 2021-Lab &amp; Other HPS'!$AI628+AW628+BD628</f>
        <v>0</v>
      </c>
      <c r="BG628" s="515">
        <f>'C19RM 2021-Lab &amp; Other HPS'!$V628+'C19RM 2021-Lab &amp; Other HPS'!$AC628+'C19RM 2021-Lab &amp; Other HPS'!$AQ628+'C19RM 2021-Lab &amp; Other HPS'!$AJ628+AX628+BE628</f>
        <v>0</v>
      </c>
      <c r="BH628" s="522" t="str" cm="1">
        <f t="array" ref="BH628">IF(A628&lt;&gt;"",IFERROR(INDEX(PMtbl[[WKst]:[Unit of measure*]],MATCH($A$544&amp;$A628&amp;$E628&amp;$I628,INDEX(PMtbl[Sec]&amp;PMtbl[Category]&amp;PMtbl[Each]&amp;PMtbl[Packaging],0,),0),11),""),"")</f>
        <v/>
      </c>
      <c r="BI628" s="818"/>
      <c r="BJ628" s="503" t="str" cm="1">
        <f t="array" ref="BJ628">IFERROR(INDEX(SETUP!$C$19:$G$121,MATCH((INDEX(PMtbl[[WKst]:[Unit of measure*]],MATCH($A628&amp;$E628&amp;$I628,INDEX(PMtbl[Category]&amp;PMtbl[Each]&amp;PMtbl[Packaging],0,),0),3)),SETUP!$D$19:$D$121,0),5),"")</f>
        <v/>
      </c>
      <c r="BK628" s="543" t="str" cm="1">
        <f t="array" ref="BK628">IFERROR(IF((INDEX(SETUP!$C$19:$G$121,MATCH((INDEX(PMtbl[[WKst]:[Unit of measure*]],MATCH($A628&amp;$E628&amp;$I628,INDEX(PMtbl[Category]&amp;PMtbl[Each]&amp;PMtbl[Packaging],0,),0),3)),SETUP!$D$19:$D$121,0),4))="Upfront",0,INDEX(SETUP!$C$19:$G$121,MATCH((INDEX(PMtbl[[WKst]:[Unit of measure*]],MATCH($A628&amp;$E628&amp;$I628,INDEX(PMtbl[Category]&amp;PMtbl[Each]&amp;PMtbl[Packaging],0,),0),3)),SETUP!$D$19:$D$121,0),5)),"")</f>
        <v/>
      </c>
      <c r="BL628" s="201" t="str" cm="1">
        <f t="array" ref="BL628">IF(E628&lt;&gt;"",IFERROR(INDEX(PMtbl[[WKst]:[Unit of measure*]],MATCH($A$544&amp;$A628&amp;$E628&amp;$I628,INDEX(PMtbl[Sec]&amp;PMtbl[Category]&amp;PMtbl[Each]&amp;PMtbl[Packaging],0,),0),11),""),"")</f>
        <v/>
      </c>
      <c r="BO628" s="12">
        <f>IF(N628="",0,IF(SETUP!$E$7="USD",((IF(O628="USD",P628,(P628/'Master Data-C19RM'!$C$2)))),((IF(O628="EUR",P628,(P628*'Master Data-C19RM'!$C$2))))))</f>
        <v>0</v>
      </c>
      <c r="BP628" s="12">
        <f>IF(N628="",0,IF(SETUP!$E$7="USD",((IF(O628="USD",W628,(W628/'Master Data-C19RM'!$D$2)))),((IF(O628="EUR",W628,(W628*'Master Data-C19RM'!$D$2))))))</f>
        <v>0</v>
      </c>
      <c r="BQ628">
        <f>IF(N628="",0,IF(SETUP!$E$7="USD",((IF(O628="USD",AD628,(AD628/'Master Data-C19RM'!$E$2)))),((IF(O628="EUR",AD628,(AD628*'Master Data-C19RM'!$E$2))))))</f>
        <v>0</v>
      </c>
      <c r="BR628">
        <f>IF(N628="",0,IF(SETUP!$E$7="USD",((IF(O628="USD",AK628,(AK628/'Master Data-C19RM'!$F$2)))),((IF(O628="EUR",AK628,(AK628*'Master Data-C19RM'!$F$2))))))</f>
        <v>0</v>
      </c>
      <c r="BS628">
        <f>IF(N628="",0,IF(SETUP!$E$7="USD",((IF(O628="USD",AR628,(AR628/'Master Data-C19RM'!$G$2)))),((IF(O628="EUR",AR628,(AR628*'Master Data-C19RM'!$G$2))))))</f>
        <v>0</v>
      </c>
      <c r="BT628">
        <f>IF(N628="",0,IF(SETUP!$E$7="USD",((IF(O628="USD",AY628,(AY628/'Master Data-C19RM'!$H$2)))),((IF(O628="EUR",AY628,(AY628*'Master Data-C19RM'!$H$2))))))</f>
        <v>0</v>
      </c>
      <c r="BU628" s="12">
        <f t="shared" si="83"/>
        <v>0</v>
      </c>
      <c r="BV628" s="142">
        <f t="shared" si="84"/>
        <v>0</v>
      </c>
    </row>
    <row r="629" spans="1:74" x14ac:dyDescent="0.35">
      <c r="A629" s="1165"/>
      <c r="B629" s="1165"/>
      <c r="C629" s="1165"/>
      <c r="D629" s="1165"/>
      <c r="E629" s="1166"/>
      <c r="F629" s="1166"/>
      <c r="G629" s="1166"/>
      <c r="H629" s="1166"/>
      <c r="I629" s="1166"/>
      <c r="J629" s="1166"/>
      <c r="K629" s="1166"/>
      <c r="L629" s="490" t="str" cm="1">
        <f t="array" ref="L629">IF(A629&lt;&gt;"",IFERROR(INDEX(PMtbl[[WKst]:[Unit of measure*]],MATCH($A$544&amp;$A629&amp;$E629&amp;$I629,INDEX(PMtbl[Sec]&amp;PMtbl[Category]&amp;PMtbl[Each]&amp;PMtbl[Packaging],0,),0),14),""),"")</f>
        <v/>
      </c>
      <c r="M629" s="479" t="str">
        <f>IF(L629="","",INDEX(SETUP!$E$20:$E$122,(MATCH(INDEX(PMsheet!$D:$E,MATCH(A629,PMsheet!E:E,0),1),SETUP!$D$20:$D$122,0))))</f>
        <v/>
      </c>
      <c r="N629" s="491">
        <f>IF($O629="USD",_xlfn.IFNA(VLOOKUP(A629&amp;E629&amp;I629,PMsheet!J:K,2,0),0),(_xlfn.IFNA(VLOOKUP(A629&amp;E629&amp;I629,PMsheet!J:K,2,0),0)*'Master Data-C19RM'!$C$2))</f>
        <v>0</v>
      </c>
      <c r="O629" s="492" t="str">
        <f>IF(L629="", "",SETUP!$E$7)</f>
        <v/>
      </c>
      <c r="P629" s="444">
        <f>IF($O629="USD",_xlfn.IFNA(VLOOKUP($A629&amp;$E629&amp;$I629,PMsheet!$J:$K,2,0),0),(_xlfn.IFNA(VLOOKUP($A629&amp;$E629&amp;$I629,PMsheet!$J:$K,2,0),0)*'Master Data-C19RM'!$C$2))</f>
        <v>0</v>
      </c>
      <c r="Q629" s="441"/>
      <c r="R629" s="441"/>
      <c r="S629" s="441"/>
      <c r="T629" s="441"/>
      <c r="U629" s="481">
        <f t="shared" si="79"/>
        <v>0</v>
      </c>
      <c r="V629" s="483">
        <f>IF(SETUP!$E$7="USD",(U629*(IF(O629="USD",P629,(P629/'Master Data-C19RM'!$C$2)))),(U629*(IF(O629="EUR",P629,(P629*'Master Data-C19RM'!$C$2)))))</f>
        <v>0</v>
      </c>
      <c r="W629" s="444">
        <f>IF($O629="USD",_xlfn.IFNA(VLOOKUP($A629&amp;$E629&amp;$I629,PMsheet!$J:$K,2,0),0),(_xlfn.IFNA(VLOOKUP($A629&amp;$E629&amp;$I629,PMsheet!$J:$K,2,0),0)*'Master Data-C19RM'!$D$2))</f>
        <v>0</v>
      </c>
      <c r="X629" s="441"/>
      <c r="Y629" s="441"/>
      <c r="Z629" s="441"/>
      <c r="AA629" s="441"/>
      <c r="AB629" s="481">
        <f t="shared" si="80"/>
        <v>0</v>
      </c>
      <c r="AC629" s="483">
        <f>IF(SETUP!$E$7="USD",(AB629*(IF(O629="USD",W629,(W629/'Master Data-C19RM'!$D$2)))),(AB629*(IF(O629="EUR",W629,(W629*'Master Data-C19RM'!$D$2)))))</f>
        <v>0</v>
      </c>
      <c r="AD629" s="444">
        <f>IF($O629="USD",_xlfn.IFNA(VLOOKUP($A629&amp;$E629&amp;$I629,PMsheet!$J:$K,2,0),0),(_xlfn.IFNA(VLOOKUP($A629&amp;$E629&amp;$I629,PMsheet!$J:$K,2,0),0)*'Master Data-C19RM'!$E$2))</f>
        <v>0</v>
      </c>
      <c r="AE629" s="441"/>
      <c r="AF629" s="441"/>
      <c r="AG629" s="441"/>
      <c r="AH629" s="441"/>
      <c r="AI629" s="512">
        <f t="shared" si="81"/>
        <v>0</v>
      </c>
      <c r="AJ629" s="513">
        <f>IF(SETUP!$E$7="USD",(AI629*(IF(O629="USD",AD629,(AD629/'Master Data-C19RM'!$E$2)))),(AI629*(IF(O629="EUR",AD629,(AD629*'Master Data-C19RM'!$E$2)))))</f>
        <v>0</v>
      </c>
      <c r="AK629" s="444">
        <f>IF($O629="USD",_xlfn.IFNA(VLOOKUP($A629&amp;$E629&amp;$I629,PMsheet!$J:$K,2,0),0),(_xlfn.IFNA(VLOOKUP($A629&amp;$E629&amp;$I629,PMsheet!$J:$K,2,0),0)*'Master Data-C19RM'!$F$2))</f>
        <v>0</v>
      </c>
      <c r="AL629" s="441"/>
      <c r="AM629" s="441"/>
      <c r="AN629" s="441"/>
      <c r="AO629" s="441"/>
      <c r="AP629" s="512">
        <f t="shared" si="82"/>
        <v>0</v>
      </c>
      <c r="AQ629" s="513">
        <f>IF(SETUP!$E$7="USD",(AP629*(IF(O629="USD",AK629,(AK629/'Master Data-C19RM'!$F$2)))),(AP629*(IF(O629="EUR",AK629,(AK629*'Master Data-C19RM'!$F$2)))))</f>
        <v>0</v>
      </c>
      <c r="AR629" s="924">
        <f>IF($O629="USD",_xlfn.IFNA(VLOOKUP($A629&amp;$E629&amp;$I629,PMsheet!$J:$K,2,0),0),(_xlfn.IFNA(VLOOKUP($A629&amp;$E629&amp;$I629,PMsheet!$J:$K,2,0),0)*'Master Data-C19RM'!$G$2))</f>
        <v>0</v>
      </c>
      <c r="AS629" s="572"/>
      <c r="AT629" s="572"/>
      <c r="AU629" s="572"/>
      <c r="AV629" s="572"/>
      <c r="AW629" s="512">
        <f t="shared" si="85"/>
        <v>0</v>
      </c>
      <c r="AX629" s="512">
        <f>IF(SETUP!$E$7="USD",(AW629*(IF(O629="USD",AR629,(AR629/'Master Data-C19RM'!$G$2)))),(AW629*(IF(O629="EUR",AR629,(AR629*'Master Data-C19RM'!$G$2)))))</f>
        <v>0</v>
      </c>
      <c r="AY629" s="845"/>
      <c r="AZ629" s="846"/>
      <c r="BA629" s="846"/>
      <c r="BB629" s="846"/>
      <c r="BC629" s="846"/>
      <c r="BD629" s="846"/>
      <c r="BE629" s="847"/>
      <c r="BF629" s="520">
        <f>'C19RM 2021-Lab &amp; Other HPS'!$U629+'C19RM 2021-Lab &amp; Other HPS'!$AB629+'C19RM 2021-Lab &amp; Other HPS'!$AP629+'C19RM 2021-Lab &amp; Other HPS'!$AI629+AW629+BD629</f>
        <v>0</v>
      </c>
      <c r="BG629" s="513">
        <f>'C19RM 2021-Lab &amp; Other HPS'!$V629+'C19RM 2021-Lab &amp; Other HPS'!$AC629+'C19RM 2021-Lab &amp; Other HPS'!$AQ629+'C19RM 2021-Lab &amp; Other HPS'!$AJ629+AX629+BE629</f>
        <v>0</v>
      </c>
      <c r="BH629" s="500" t="str" cm="1">
        <f t="array" ref="BH629">IF(A629&lt;&gt;"",IFERROR(INDEX(PMtbl[[WKst]:[Unit of measure*]],MATCH($A$544&amp;$A629&amp;$E629&amp;$I629,INDEX(PMtbl[Sec]&amp;PMtbl[Category]&amp;PMtbl[Each]&amp;PMtbl[Packaging],0,),0),11),""),"")</f>
        <v/>
      </c>
      <c r="BI629" s="819"/>
      <c r="BJ629" s="502" t="str" cm="1">
        <f t="array" ref="BJ629">IFERROR(INDEX(SETUP!$C$19:$G$121,MATCH((INDEX(PMtbl[[WKst]:[Unit of measure*]],MATCH($A629&amp;$E629&amp;$I629,INDEX(PMtbl[Category]&amp;PMtbl[Each]&amp;PMtbl[Packaging],0,),0),3)),SETUP!$D$19:$D$121,0),5),"")</f>
        <v/>
      </c>
      <c r="BK629" s="542" t="str" cm="1">
        <f t="array" ref="BK629">IFERROR(IF((INDEX(SETUP!$C$19:$G$121,MATCH((INDEX(PMtbl[[WKst]:[Unit of measure*]],MATCH($A629&amp;$E629&amp;$I629,INDEX(PMtbl[Category]&amp;PMtbl[Each]&amp;PMtbl[Packaging],0,),0),3)),SETUP!$D$19:$D$121,0),4))="Upfront",0,INDEX(SETUP!$C$19:$G$121,MATCH((INDEX(PMtbl[[WKst]:[Unit of measure*]],MATCH($A629&amp;$E629&amp;$I629,INDEX(PMtbl[Category]&amp;PMtbl[Each]&amp;PMtbl[Packaging],0,),0),3)),SETUP!$D$19:$D$121,0),5)),"")</f>
        <v/>
      </c>
      <c r="BL629" s="200" t="str" cm="1">
        <f t="array" ref="BL629">IF(E629&lt;&gt;"",IFERROR(INDEX(PMtbl[[WKst]:[Unit of measure*]],MATCH($A$544&amp;$A629&amp;$E629&amp;$I629,INDEX(PMtbl[Sec]&amp;PMtbl[Category]&amp;PMtbl[Each]&amp;PMtbl[Packaging],0,),0),11),""),"")</f>
        <v/>
      </c>
      <c r="BO629" s="12">
        <f>IF(N629="",0,IF(SETUP!$E$7="USD",((IF(O629="USD",P629,(P629/'Master Data-C19RM'!$C$2)))),((IF(O629="EUR",P629,(P629*'Master Data-C19RM'!$C$2))))))</f>
        <v>0</v>
      </c>
      <c r="BP629" s="12">
        <f>IF(N629="",0,IF(SETUP!$E$7="USD",((IF(O629="USD",W629,(W629/'Master Data-C19RM'!$D$2)))),((IF(O629="EUR",W629,(W629*'Master Data-C19RM'!$D$2))))))</f>
        <v>0</v>
      </c>
      <c r="BQ629">
        <f>IF(N629="",0,IF(SETUP!$E$7="USD",((IF(O629="USD",AD629,(AD629/'Master Data-C19RM'!$E$2)))),((IF(O629="EUR",AD629,(AD629*'Master Data-C19RM'!$E$2))))))</f>
        <v>0</v>
      </c>
      <c r="BR629">
        <f>IF(N629="",0,IF(SETUP!$E$7="USD",((IF(O629="USD",AK629,(AK629/'Master Data-C19RM'!$F$2)))),((IF(O629="EUR",AK629,(AK629*'Master Data-C19RM'!$F$2))))))</f>
        <v>0</v>
      </c>
      <c r="BS629">
        <f>IF(N629="",0,IF(SETUP!$E$7="USD",((IF(O629="USD",AR629,(AR629/'Master Data-C19RM'!$G$2)))),((IF(O629="EUR",AR629,(AR629*'Master Data-C19RM'!$G$2))))))</f>
        <v>0</v>
      </c>
      <c r="BT629">
        <f>IF(N629="",0,IF(SETUP!$E$7="USD",((IF(O629="USD",AY629,(AY629/'Master Data-C19RM'!$H$2)))),((IF(O629="EUR",AY629,(AY629*'Master Data-C19RM'!$H$2))))))</f>
        <v>0</v>
      </c>
      <c r="BU629" s="12">
        <f t="shared" si="83"/>
        <v>0</v>
      </c>
      <c r="BV629" s="142">
        <f t="shared" si="84"/>
        <v>0</v>
      </c>
    </row>
    <row r="630" spans="1:74" x14ac:dyDescent="0.35">
      <c r="A630" s="1192"/>
      <c r="B630" s="1192"/>
      <c r="C630" s="1192"/>
      <c r="D630" s="1192"/>
      <c r="E630" s="1173"/>
      <c r="F630" s="1173"/>
      <c r="G630" s="1173"/>
      <c r="H630" s="1173"/>
      <c r="I630" s="1173"/>
      <c r="J630" s="1173"/>
      <c r="K630" s="1173"/>
      <c r="L630" s="493" t="str" cm="1">
        <f t="array" ref="L630">IF(A630&lt;&gt;"",IFERROR(INDEX(PMtbl[[WKst]:[Unit of measure*]],MATCH($A$544&amp;$A630&amp;$E630&amp;$I630,INDEX(PMtbl[Sec]&amp;PMtbl[Category]&amp;PMtbl[Each]&amp;PMtbl[Packaging],0,),0),14),""),"")</f>
        <v/>
      </c>
      <c r="M630" s="480" t="str">
        <f>IF(L630="","",INDEX(SETUP!$E$20:$E$122,(MATCH(INDEX(PMsheet!$D:$E,MATCH(A630,PMsheet!E:E,0),1),SETUP!$D$20:$D$122,0))))</f>
        <v/>
      </c>
      <c r="N630" s="494">
        <f>IF($O630="USD",_xlfn.IFNA(VLOOKUP(A630&amp;E630&amp;I630,PMsheet!J:K,2,0),0),(_xlfn.IFNA(VLOOKUP(A630&amp;E630&amp;I630,PMsheet!J:K,2,0),0)*'Master Data-C19RM'!$C$2))</f>
        <v>0</v>
      </c>
      <c r="O630" s="495" t="str">
        <f>IF(L630="", "",SETUP!$E$7)</f>
        <v/>
      </c>
      <c r="P630" s="445">
        <f>IF($O630="USD",_xlfn.IFNA(VLOOKUP($A630&amp;$E630&amp;$I630,PMsheet!$J:$K,2,0),0),(_xlfn.IFNA(VLOOKUP($A630&amp;$E630&amp;$I630,PMsheet!$J:$K,2,0),0)*'Master Data-C19RM'!$C$2))</f>
        <v>0</v>
      </c>
      <c r="Q630" s="440"/>
      <c r="R630" s="440"/>
      <c r="S630" s="440"/>
      <c r="T630" s="440"/>
      <c r="U630" s="482">
        <f t="shared" si="79"/>
        <v>0</v>
      </c>
      <c r="V630" s="484">
        <f>IF(SETUP!$E$7="USD",(U630*(IF(O630="USD",P630,(P630/'Master Data-C19RM'!$C$2)))),(U630*(IF(O630="EUR",P630,(P630*'Master Data-C19RM'!$C$2)))))</f>
        <v>0</v>
      </c>
      <c r="W630" s="445">
        <f>IF($O630="USD",_xlfn.IFNA(VLOOKUP($A630&amp;$E630&amp;$I630,PMsheet!$J:$K,2,0),0),(_xlfn.IFNA(VLOOKUP($A630&amp;$E630&amp;$I630,PMsheet!$J:$K,2,0),0)*'Master Data-C19RM'!$D$2))</f>
        <v>0</v>
      </c>
      <c r="X630" s="440"/>
      <c r="Y630" s="440"/>
      <c r="Z630" s="440"/>
      <c r="AA630" s="440"/>
      <c r="AB630" s="482">
        <f t="shared" si="80"/>
        <v>0</v>
      </c>
      <c r="AC630" s="484">
        <f>IF(SETUP!$E$7="USD",(AB630*(IF(O630="USD",W630,(W630/'Master Data-C19RM'!$D$2)))),(AB630*(IF(O630="EUR",W630,(W630*'Master Data-C19RM'!$D$2)))))</f>
        <v>0</v>
      </c>
      <c r="AD630" s="445">
        <f>IF($O630="USD",_xlfn.IFNA(VLOOKUP($A630&amp;$E630&amp;$I630,PMsheet!$J:$K,2,0),0),(_xlfn.IFNA(VLOOKUP($A630&amp;$E630&amp;$I630,PMsheet!$J:$K,2,0),0)*'Master Data-C19RM'!$E$2))</f>
        <v>0</v>
      </c>
      <c r="AE630" s="440"/>
      <c r="AF630" s="440"/>
      <c r="AG630" s="440"/>
      <c r="AH630" s="440"/>
      <c r="AI630" s="514">
        <f t="shared" si="81"/>
        <v>0</v>
      </c>
      <c r="AJ630" s="515">
        <f>IF(SETUP!$E$7="USD",(AI630*(IF(O630="USD",AD630,(AD630/'Master Data-C19RM'!$E$2)))),(AI630*(IF(O630="EUR",AD630,(AD630*'Master Data-C19RM'!$E$2)))))</f>
        <v>0</v>
      </c>
      <c r="AK630" s="445">
        <f>IF($O630="USD",_xlfn.IFNA(VLOOKUP($A630&amp;$E630&amp;$I630,PMsheet!$J:$K,2,0),0),(_xlfn.IFNA(VLOOKUP($A630&amp;$E630&amp;$I630,PMsheet!$J:$K,2,0),0)*'Master Data-C19RM'!$F$2))</f>
        <v>0</v>
      </c>
      <c r="AL630" s="440"/>
      <c r="AM630" s="440"/>
      <c r="AN630" s="440"/>
      <c r="AO630" s="440"/>
      <c r="AP630" s="514">
        <f t="shared" si="82"/>
        <v>0</v>
      </c>
      <c r="AQ630" s="515">
        <f>IF(SETUP!$E$7="USD",(AP630*(IF(O630="USD",AK630,(AK630/'Master Data-C19RM'!$F$2)))),(AP630*(IF(O630="EUR",AK630,(AK630*'Master Data-C19RM'!$F$2)))))</f>
        <v>0</v>
      </c>
      <c r="AR630" s="925">
        <f>IF($O630="USD",_xlfn.IFNA(VLOOKUP($A630&amp;$E630&amp;$I630,PMsheet!$J:$K,2,0),0),(_xlfn.IFNA(VLOOKUP($A630&amp;$E630&amp;$I630,PMsheet!$J:$K,2,0),0)*'Master Data-C19RM'!$G$2))</f>
        <v>0</v>
      </c>
      <c r="AS630" s="926"/>
      <c r="AT630" s="926"/>
      <c r="AU630" s="926"/>
      <c r="AV630" s="926"/>
      <c r="AW630" s="514">
        <f t="shared" si="85"/>
        <v>0</v>
      </c>
      <c r="AX630" s="514">
        <f>IF(SETUP!$E$7="USD",(AW630*(IF(O630="USD",AR630,(AR630/'Master Data-C19RM'!$G$2)))),(AW630*(IF(O630="EUR",AR630,(AR630*'Master Data-C19RM'!$G$2)))))</f>
        <v>0</v>
      </c>
      <c r="AY630" s="845"/>
      <c r="AZ630" s="846"/>
      <c r="BA630" s="846"/>
      <c r="BB630" s="846"/>
      <c r="BC630" s="846"/>
      <c r="BD630" s="846"/>
      <c r="BE630" s="847"/>
      <c r="BF630" s="521">
        <f>'C19RM 2021-Lab &amp; Other HPS'!$U630+'C19RM 2021-Lab &amp; Other HPS'!$AB630+'C19RM 2021-Lab &amp; Other HPS'!$AP630+'C19RM 2021-Lab &amp; Other HPS'!$AI630+AW630+BD630</f>
        <v>0</v>
      </c>
      <c r="BG630" s="515">
        <f>'C19RM 2021-Lab &amp; Other HPS'!$V630+'C19RM 2021-Lab &amp; Other HPS'!$AC630+'C19RM 2021-Lab &amp; Other HPS'!$AQ630+'C19RM 2021-Lab &amp; Other HPS'!$AJ630+AX630+BE630</f>
        <v>0</v>
      </c>
      <c r="BH630" s="522" t="str" cm="1">
        <f t="array" ref="BH630">IF(A630&lt;&gt;"",IFERROR(INDEX(PMtbl[[WKst]:[Unit of measure*]],MATCH($A$544&amp;$A630&amp;$E630&amp;$I630,INDEX(PMtbl[Sec]&amp;PMtbl[Category]&amp;PMtbl[Each]&amp;PMtbl[Packaging],0,),0),11),""),"")</f>
        <v/>
      </c>
      <c r="BI630" s="818"/>
      <c r="BJ630" s="503" t="str" cm="1">
        <f t="array" ref="BJ630">IFERROR(INDEX(SETUP!$C$19:$G$121,MATCH((INDEX(PMtbl[[WKst]:[Unit of measure*]],MATCH($A630&amp;$E630&amp;$I630,INDEX(PMtbl[Category]&amp;PMtbl[Each]&amp;PMtbl[Packaging],0,),0),3)),SETUP!$D$19:$D$121,0),5),"")</f>
        <v/>
      </c>
      <c r="BK630" s="543" t="str" cm="1">
        <f t="array" ref="BK630">IFERROR(IF((INDEX(SETUP!$C$19:$G$121,MATCH((INDEX(PMtbl[[WKst]:[Unit of measure*]],MATCH($A630&amp;$E630&amp;$I630,INDEX(PMtbl[Category]&amp;PMtbl[Each]&amp;PMtbl[Packaging],0,),0),3)),SETUP!$D$19:$D$121,0),4))="Upfront",0,INDEX(SETUP!$C$19:$G$121,MATCH((INDEX(PMtbl[[WKst]:[Unit of measure*]],MATCH($A630&amp;$E630&amp;$I630,INDEX(PMtbl[Category]&amp;PMtbl[Each]&amp;PMtbl[Packaging],0,),0),3)),SETUP!$D$19:$D$121,0),5)),"")</f>
        <v/>
      </c>
      <c r="BL630" s="201" t="str" cm="1">
        <f t="array" ref="BL630">IF(E630&lt;&gt;"",IFERROR(INDEX(PMtbl[[WKst]:[Unit of measure*]],MATCH($A$544&amp;$A630&amp;$E630&amp;$I630,INDEX(PMtbl[Sec]&amp;PMtbl[Category]&amp;PMtbl[Each]&amp;PMtbl[Packaging],0,),0),11),""),"")</f>
        <v/>
      </c>
      <c r="BO630" s="12">
        <f>IF(N630="",0,IF(SETUP!$E$7="USD",((IF(O630="USD",P630,(P630/'Master Data-C19RM'!$C$2)))),((IF(O630="EUR",P630,(P630*'Master Data-C19RM'!$C$2))))))</f>
        <v>0</v>
      </c>
      <c r="BP630" s="12">
        <f>IF(N630="",0,IF(SETUP!$E$7="USD",((IF(O630="USD",W630,(W630/'Master Data-C19RM'!$D$2)))),((IF(O630="EUR",W630,(W630*'Master Data-C19RM'!$D$2))))))</f>
        <v>0</v>
      </c>
      <c r="BQ630">
        <f>IF(N630="",0,IF(SETUP!$E$7="USD",((IF(O630="USD",AD630,(AD630/'Master Data-C19RM'!$E$2)))),((IF(O630="EUR",AD630,(AD630*'Master Data-C19RM'!$E$2))))))</f>
        <v>0</v>
      </c>
      <c r="BR630">
        <f>IF(N630="",0,IF(SETUP!$E$7="USD",((IF(O630="USD",AK630,(AK630/'Master Data-C19RM'!$F$2)))),((IF(O630="EUR",AK630,(AK630*'Master Data-C19RM'!$F$2))))))</f>
        <v>0</v>
      </c>
      <c r="BS630">
        <f>IF(N630="",0,IF(SETUP!$E$7="USD",((IF(O630="USD",AR630,(AR630/'Master Data-C19RM'!$G$2)))),((IF(O630="EUR",AR630,(AR630*'Master Data-C19RM'!$G$2))))))</f>
        <v>0</v>
      </c>
      <c r="BT630">
        <f>IF(N630="",0,IF(SETUP!$E$7="USD",((IF(O630="USD",AY630,(AY630/'Master Data-C19RM'!$H$2)))),((IF(O630="EUR",AY630,(AY630*'Master Data-C19RM'!$H$2))))))</f>
        <v>0</v>
      </c>
      <c r="BU630" s="12">
        <f t="shared" si="83"/>
        <v>0</v>
      </c>
      <c r="BV630" s="142">
        <f t="shared" si="84"/>
        <v>0</v>
      </c>
    </row>
    <row r="631" spans="1:74" x14ac:dyDescent="0.35">
      <c r="A631" s="1165"/>
      <c r="B631" s="1165"/>
      <c r="C631" s="1165"/>
      <c r="D631" s="1165"/>
      <c r="E631" s="1166"/>
      <c r="F631" s="1166"/>
      <c r="G631" s="1166"/>
      <c r="H631" s="1166"/>
      <c r="I631" s="1166"/>
      <c r="J631" s="1166"/>
      <c r="K631" s="1166"/>
      <c r="L631" s="490" t="str" cm="1">
        <f t="array" ref="L631">IF(A631&lt;&gt;"",IFERROR(INDEX(PMtbl[[WKst]:[Unit of measure*]],MATCH($A$544&amp;$A631&amp;$E631&amp;$I631,INDEX(PMtbl[Sec]&amp;PMtbl[Category]&amp;PMtbl[Each]&amp;PMtbl[Packaging],0,),0),14),""),"")</f>
        <v/>
      </c>
      <c r="M631" s="479" t="str">
        <f>IF(L631="","",INDEX(SETUP!$E$20:$E$122,(MATCH(INDEX(PMsheet!$D:$E,MATCH(A631,PMsheet!E:E,0),1),SETUP!$D$20:$D$122,0))))</f>
        <v/>
      </c>
      <c r="N631" s="491">
        <f>IF($O631="USD",_xlfn.IFNA(VLOOKUP(A631&amp;E631&amp;I631,PMsheet!J:K,2,0),0),(_xlfn.IFNA(VLOOKUP(A631&amp;E631&amp;I631,PMsheet!J:K,2,0),0)*'Master Data-C19RM'!$C$2))</f>
        <v>0</v>
      </c>
      <c r="O631" s="492" t="str">
        <f>IF(L631="", "",SETUP!$E$7)</f>
        <v/>
      </c>
      <c r="P631" s="444">
        <f>IF($O631="USD",_xlfn.IFNA(VLOOKUP($A631&amp;$E631&amp;$I631,PMsheet!$J:$K,2,0),0),(_xlfn.IFNA(VLOOKUP($A631&amp;$E631&amp;$I631,PMsheet!$J:$K,2,0),0)*'Master Data-C19RM'!$C$2))</f>
        <v>0</v>
      </c>
      <c r="Q631" s="441"/>
      <c r="R631" s="441"/>
      <c r="S631" s="441"/>
      <c r="T631" s="441"/>
      <c r="U631" s="481">
        <f t="shared" si="79"/>
        <v>0</v>
      </c>
      <c r="V631" s="483">
        <f>IF(SETUP!$E$7="USD",(U631*(IF(O631="USD",P631,(P631/'Master Data-C19RM'!$C$2)))),(U631*(IF(O631="EUR",P631,(P631*'Master Data-C19RM'!$C$2)))))</f>
        <v>0</v>
      </c>
      <c r="W631" s="444">
        <f>IF($O631="USD",_xlfn.IFNA(VLOOKUP($A631&amp;$E631&amp;$I631,PMsheet!$J:$K,2,0),0),(_xlfn.IFNA(VLOOKUP($A631&amp;$E631&amp;$I631,PMsheet!$J:$K,2,0),0)*'Master Data-C19RM'!$D$2))</f>
        <v>0</v>
      </c>
      <c r="X631" s="441"/>
      <c r="Y631" s="441"/>
      <c r="Z631" s="441"/>
      <c r="AA631" s="441"/>
      <c r="AB631" s="481">
        <f t="shared" si="80"/>
        <v>0</v>
      </c>
      <c r="AC631" s="483">
        <f>IF(SETUP!$E$7="USD",(AB631*(IF(O631="USD",W631,(W631/'Master Data-C19RM'!$D$2)))),(AB631*(IF(O631="EUR",W631,(W631*'Master Data-C19RM'!$D$2)))))</f>
        <v>0</v>
      </c>
      <c r="AD631" s="444">
        <f>IF($O631="USD",_xlfn.IFNA(VLOOKUP($A631&amp;$E631&amp;$I631,PMsheet!$J:$K,2,0),0),(_xlfn.IFNA(VLOOKUP($A631&amp;$E631&amp;$I631,PMsheet!$J:$K,2,0),0)*'Master Data-C19RM'!$E$2))</f>
        <v>0</v>
      </c>
      <c r="AE631" s="441"/>
      <c r="AF631" s="441"/>
      <c r="AG631" s="441"/>
      <c r="AH631" s="441"/>
      <c r="AI631" s="512">
        <f t="shared" si="81"/>
        <v>0</v>
      </c>
      <c r="AJ631" s="513">
        <f>IF(SETUP!$E$7="USD",(AI631*(IF(O631="USD",AD631,(AD631/'Master Data-C19RM'!$E$2)))),(AI631*(IF(O631="EUR",AD631,(AD631*'Master Data-C19RM'!$E$2)))))</f>
        <v>0</v>
      </c>
      <c r="AK631" s="444">
        <f>IF($O631="USD",_xlfn.IFNA(VLOOKUP($A631&amp;$E631&amp;$I631,PMsheet!$J:$K,2,0),0),(_xlfn.IFNA(VLOOKUP($A631&amp;$E631&amp;$I631,PMsheet!$J:$K,2,0),0)*'Master Data-C19RM'!$F$2))</f>
        <v>0</v>
      </c>
      <c r="AL631" s="441"/>
      <c r="AM631" s="441"/>
      <c r="AN631" s="441"/>
      <c r="AO631" s="441"/>
      <c r="AP631" s="512">
        <f t="shared" si="82"/>
        <v>0</v>
      </c>
      <c r="AQ631" s="513">
        <f>IF(SETUP!$E$7="USD",(AP631*(IF(O631="USD",AK631,(AK631/'Master Data-C19RM'!$F$2)))),(AP631*(IF(O631="EUR",AK631,(AK631*'Master Data-C19RM'!$F$2)))))</f>
        <v>0</v>
      </c>
      <c r="AR631" s="924">
        <f>IF($O631="USD",_xlfn.IFNA(VLOOKUP($A631&amp;$E631&amp;$I631,PMsheet!$J:$K,2,0),0),(_xlfn.IFNA(VLOOKUP($A631&amp;$E631&amp;$I631,PMsheet!$J:$K,2,0),0)*'Master Data-C19RM'!$G$2))</f>
        <v>0</v>
      </c>
      <c r="AS631" s="572"/>
      <c r="AT631" s="572"/>
      <c r="AU631" s="572"/>
      <c r="AV631" s="572"/>
      <c r="AW631" s="512">
        <f t="shared" si="85"/>
        <v>0</v>
      </c>
      <c r="AX631" s="512">
        <f>IF(SETUP!$E$7="USD",(AW631*(IF(O631="USD",AR631,(AR631/'Master Data-C19RM'!$G$2)))),(AW631*(IF(O631="EUR",AR631,(AR631*'Master Data-C19RM'!$G$2)))))</f>
        <v>0</v>
      </c>
      <c r="AY631" s="845"/>
      <c r="AZ631" s="846"/>
      <c r="BA631" s="846"/>
      <c r="BB631" s="846"/>
      <c r="BC631" s="846"/>
      <c r="BD631" s="846"/>
      <c r="BE631" s="847"/>
      <c r="BF631" s="520">
        <f>'C19RM 2021-Lab &amp; Other HPS'!$U631+'C19RM 2021-Lab &amp; Other HPS'!$AB631+'C19RM 2021-Lab &amp; Other HPS'!$AP631+'C19RM 2021-Lab &amp; Other HPS'!$AI631+AW631+BD631</f>
        <v>0</v>
      </c>
      <c r="BG631" s="513">
        <f>'C19RM 2021-Lab &amp; Other HPS'!$V631+'C19RM 2021-Lab &amp; Other HPS'!$AC631+'C19RM 2021-Lab &amp; Other HPS'!$AQ631+'C19RM 2021-Lab &amp; Other HPS'!$AJ631+AX631+BE631</f>
        <v>0</v>
      </c>
      <c r="BH631" s="500" t="str" cm="1">
        <f t="array" ref="BH631">IF(A631&lt;&gt;"",IFERROR(INDEX(PMtbl[[WKst]:[Unit of measure*]],MATCH($A$544&amp;$A631&amp;$E631&amp;$I631,INDEX(PMtbl[Sec]&amp;PMtbl[Category]&amp;PMtbl[Each]&amp;PMtbl[Packaging],0,),0),11),""),"")</f>
        <v/>
      </c>
      <c r="BI631" s="819"/>
      <c r="BJ631" s="502" t="str" cm="1">
        <f t="array" ref="BJ631">IFERROR(INDEX(SETUP!$C$19:$G$121,MATCH((INDEX(PMtbl[[WKst]:[Unit of measure*]],MATCH($A631&amp;$E631&amp;$I631,INDEX(PMtbl[Category]&amp;PMtbl[Each]&amp;PMtbl[Packaging],0,),0),3)),SETUP!$D$19:$D$121,0),5),"")</f>
        <v/>
      </c>
      <c r="BK631" s="542" t="str" cm="1">
        <f t="array" ref="BK631">IFERROR(IF((INDEX(SETUP!$C$19:$G$121,MATCH((INDEX(PMtbl[[WKst]:[Unit of measure*]],MATCH($A631&amp;$E631&amp;$I631,INDEX(PMtbl[Category]&amp;PMtbl[Each]&amp;PMtbl[Packaging],0,),0),3)),SETUP!$D$19:$D$121,0),4))="Upfront",0,INDEX(SETUP!$C$19:$G$121,MATCH((INDEX(PMtbl[[WKst]:[Unit of measure*]],MATCH($A631&amp;$E631&amp;$I631,INDEX(PMtbl[Category]&amp;PMtbl[Each]&amp;PMtbl[Packaging],0,),0),3)),SETUP!$D$19:$D$121,0),5)),"")</f>
        <v/>
      </c>
      <c r="BL631" s="200" t="str" cm="1">
        <f t="array" ref="BL631">IF(E631&lt;&gt;"",IFERROR(INDEX(PMtbl[[WKst]:[Unit of measure*]],MATCH($A$544&amp;$A631&amp;$E631&amp;$I631,INDEX(PMtbl[Sec]&amp;PMtbl[Category]&amp;PMtbl[Each]&amp;PMtbl[Packaging],0,),0),11),""),"")</f>
        <v/>
      </c>
      <c r="BO631" s="12">
        <f>IF(N631="",0,IF(SETUP!$E$7="USD",((IF(O631="USD",P631,(P631/'Master Data-C19RM'!$C$2)))),((IF(O631="EUR",P631,(P631*'Master Data-C19RM'!$C$2))))))</f>
        <v>0</v>
      </c>
      <c r="BP631" s="12">
        <f>IF(N631="",0,IF(SETUP!$E$7="USD",((IF(O631="USD",W631,(W631/'Master Data-C19RM'!$D$2)))),((IF(O631="EUR",W631,(W631*'Master Data-C19RM'!$D$2))))))</f>
        <v>0</v>
      </c>
      <c r="BQ631">
        <f>IF(N631="",0,IF(SETUP!$E$7="USD",((IF(O631="USD",AD631,(AD631/'Master Data-C19RM'!$E$2)))),((IF(O631="EUR",AD631,(AD631*'Master Data-C19RM'!$E$2))))))</f>
        <v>0</v>
      </c>
      <c r="BR631">
        <f>IF(N631="",0,IF(SETUP!$E$7="USD",((IF(O631="USD",AK631,(AK631/'Master Data-C19RM'!$F$2)))),((IF(O631="EUR",AK631,(AK631*'Master Data-C19RM'!$F$2))))))</f>
        <v>0</v>
      </c>
      <c r="BS631">
        <f>IF(N631="",0,IF(SETUP!$E$7="USD",((IF(O631="USD",AR631,(AR631/'Master Data-C19RM'!$G$2)))),((IF(O631="EUR",AR631,(AR631*'Master Data-C19RM'!$G$2))))))</f>
        <v>0</v>
      </c>
      <c r="BT631">
        <f>IF(N631="",0,IF(SETUP!$E$7="USD",((IF(O631="USD",AY631,(AY631/'Master Data-C19RM'!$H$2)))),((IF(O631="EUR",AY631,(AY631*'Master Data-C19RM'!$H$2))))))</f>
        <v>0</v>
      </c>
      <c r="BU631" s="12">
        <f t="shared" si="83"/>
        <v>0</v>
      </c>
      <c r="BV631" s="142">
        <f t="shared" si="84"/>
        <v>0</v>
      </c>
    </row>
    <row r="632" spans="1:74" x14ac:dyDescent="0.35">
      <c r="A632" s="1192"/>
      <c r="B632" s="1192"/>
      <c r="C632" s="1192"/>
      <c r="D632" s="1192"/>
      <c r="E632" s="1173"/>
      <c r="F632" s="1173"/>
      <c r="G632" s="1173"/>
      <c r="H632" s="1173"/>
      <c r="I632" s="1173"/>
      <c r="J632" s="1173"/>
      <c r="K632" s="1173"/>
      <c r="L632" s="493" t="str" cm="1">
        <f t="array" ref="L632">IF(A632&lt;&gt;"",IFERROR(INDEX(PMtbl[[WKst]:[Unit of measure*]],MATCH($A$544&amp;$A632&amp;$E632&amp;$I632,INDEX(PMtbl[Sec]&amp;PMtbl[Category]&amp;PMtbl[Each]&amp;PMtbl[Packaging],0,),0),14),""),"")</f>
        <v/>
      </c>
      <c r="M632" s="480" t="str">
        <f>IF(L632="","",INDEX(SETUP!$E$20:$E$122,(MATCH(INDEX(PMsheet!$D:$E,MATCH(A632,PMsheet!E:E,0),1),SETUP!$D$20:$D$122,0))))</f>
        <v/>
      </c>
      <c r="N632" s="494">
        <f>IF($O632="USD",_xlfn.IFNA(VLOOKUP(A632&amp;E632&amp;I632,PMsheet!J:K,2,0),0),(_xlfn.IFNA(VLOOKUP(A632&amp;E632&amp;I632,PMsheet!J:K,2,0),0)*'Master Data-C19RM'!$C$2))</f>
        <v>0</v>
      </c>
      <c r="O632" s="495" t="str">
        <f>IF(L632="", "",SETUP!$E$7)</f>
        <v/>
      </c>
      <c r="P632" s="445">
        <f>IF($O632="USD",_xlfn.IFNA(VLOOKUP($A632&amp;$E632&amp;$I632,PMsheet!$J:$K,2,0),0),(_xlfn.IFNA(VLOOKUP($A632&amp;$E632&amp;$I632,PMsheet!$J:$K,2,0),0)*'Master Data-C19RM'!$C$2))</f>
        <v>0</v>
      </c>
      <c r="Q632" s="440"/>
      <c r="R632" s="440"/>
      <c r="S632" s="440"/>
      <c r="T632" s="440"/>
      <c r="U632" s="482">
        <f t="shared" si="79"/>
        <v>0</v>
      </c>
      <c r="V632" s="484">
        <f>IF(SETUP!$E$7="USD",(U632*(IF(O632="USD",P632,(P632/'Master Data-C19RM'!$C$2)))),(U632*(IF(O632="EUR",P632,(P632*'Master Data-C19RM'!$C$2)))))</f>
        <v>0</v>
      </c>
      <c r="W632" s="445">
        <f>IF($O632="USD",_xlfn.IFNA(VLOOKUP($A632&amp;$E632&amp;$I632,PMsheet!$J:$K,2,0),0),(_xlfn.IFNA(VLOOKUP($A632&amp;$E632&amp;$I632,PMsheet!$J:$K,2,0),0)*'Master Data-C19RM'!$D$2))</f>
        <v>0</v>
      </c>
      <c r="X632" s="440"/>
      <c r="Y632" s="440"/>
      <c r="Z632" s="440"/>
      <c r="AA632" s="440"/>
      <c r="AB632" s="482">
        <f t="shared" si="80"/>
        <v>0</v>
      </c>
      <c r="AC632" s="484">
        <f>IF(SETUP!$E$7="USD",(AB632*(IF(O632="USD",W632,(W632/'Master Data-C19RM'!$D$2)))),(AB632*(IF(O632="EUR",W632,(W632*'Master Data-C19RM'!$D$2)))))</f>
        <v>0</v>
      </c>
      <c r="AD632" s="445">
        <f>IF($O632="USD",_xlfn.IFNA(VLOOKUP($A632&amp;$E632&amp;$I632,PMsheet!$J:$K,2,0),0),(_xlfn.IFNA(VLOOKUP($A632&amp;$E632&amp;$I632,PMsheet!$J:$K,2,0),0)*'Master Data-C19RM'!$E$2))</f>
        <v>0</v>
      </c>
      <c r="AE632" s="440"/>
      <c r="AF632" s="440"/>
      <c r="AG632" s="440"/>
      <c r="AH632" s="440"/>
      <c r="AI632" s="514">
        <f t="shared" si="81"/>
        <v>0</v>
      </c>
      <c r="AJ632" s="515">
        <f>IF(SETUP!$E$7="USD",(AI632*(IF(O632="USD",AD632,(AD632/'Master Data-C19RM'!$E$2)))),(AI632*(IF(O632="EUR",AD632,(AD632*'Master Data-C19RM'!$E$2)))))</f>
        <v>0</v>
      </c>
      <c r="AK632" s="445">
        <f>IF($O632="USD",_xlfn.IFNA(VLOOKUP($A632&amp;$E632&amp;$I632,PMsheet!$J:$K,2,0),0),(_xlfn.IFNA(VLOOKUP($A632&amp;$E632&amp;$I632,PMsheet!$J:$K,2,0),0)*'Master Data-C19RM'!$F$2))</f>
        <v>0</v>
      </c>
      <c r="AL632" s="440"/>
      <c r="AM632" s="440"/>
      <c r="AN632" s="440"/>
      <c r="AO632" s="440"/>
      <c r="AP632" s="514">
        <f t="shared" si="82"/>
        <v>0</v>
      </c>
      <c r="AQ632" s="515">
        <f>IF(SETUP!$E$7="USD",(AP632*(IF(O632="USD",AK632,(AK632/'Master Data-C19RM'!$F$2)))),(AP632*(IF(O632="EUR",AK632,(AK632*'Master Data-C19RM'!$F$2)))))</f>
        <v>0</v>
      </c>
      <c r="AR632" s="925">
        <f>IF($O632="USD",_xlfn.IFNA(VLOOKUP($A632&amp;$E632&amp;$I632,PMsheet!$J:$K,2,0),0),(_xlfn.IFNA(VLOOKUP($A632&amp;$E632&amp;$I632,PMsheet!$J:$K,2,0),0)*'Master Data-C19RM'!$G$2))</f>
        <v>0</v>
      </c>
      <c r="AS632" s="926"/>
      <c r="AT632" s="926"/>
      <c r="AU632" s="926"/>
      <c r="AV632" s="926"/>
      <c r="AW632" s="514">
        <f t="shared" si="85"/>
        <v>0</v>
      </c>
      <c r="AX632" s="514">
        <f>IF(SETUP!$E$7="USD",(AW632*(IF(O632="USD",AR632,(AR632/'Master Data-C19RM'!$G$2)))),(AW632*(IF(O632="EUR",AR632,(AR632*'Master Data-C19RM'!$G$2)))))</f>
        <v>0</v>
      </c>
      <c r="AY632" s="845"/>
      <c r="AZ632" s="846"/>
      <c r="BA632" s="846"/>
      <c r="BB632" s="846"/>
      <c r="BC632" s="846"/>
      <c r="BD632" s="846"/>
      <c r="BE632" s="847"/>
      <c r="BF632" s="521">
        <f>'C19RM 2021-Lab &amp; Other HPS'!$U632+'C19RM 2021-Lab &amp; Other HPS'!$AB632+'C19RM 2021-Lab &amp; Other HPS'!$AP632+'C19RM 2021-Lab &amp; Other HPS'!$AI632+AW632+BD632</f>
        <v>0</v>
      </c>
      <c r="BG632" s="515">
        <f>'C19RM 2021-Lab &amp; Other HPS'!$V632+'C19RM 2021-Lab &amp; Other HPS'!$AC632+'C19RM 2021-Lab &amp; Other HPS'!$AQ632+'C19RM 2021-Lab &amp; Other HPS'!$AJ632+AX632+BE632</f>
        <v>0</v>
      </c>
      <c r="BH632" s="522" t="str" cm="1">
        <f t="array" ref="BH632">IF(A632&lt;&gt;"",IFERROR(INDEX(PMtbl[[WKst]:[Unit of measure*]],MATCH($A$544&amp;$A632&amp;$E632&amp;$I632,INDEX(PMtbl[Sec]&amp;PMtbl[Category]&amp;PMtbl[Each]&amp;PMtbl[Packaging],0,),0),11),""),"")</f>
        <v/>
      </c>
      <c r="BI632" s="818"/>
      <c r="BJ632" s="503" t="str" cm="1">
        <f t="array" ref="BJ632">IFERROR(INDEX(SETUP!$C$19:$G$121,MATCH((INDEX(PMtbl[[WKst]:[Unit of measure*]],MATCH($A632&amp;$E632&amp;$I632,INDEX(PMtbl[Category]&amp;PMtbl[Each]&amp;PMtbl[Packaging],0,),0),3)),SETUP!$D$19:$D$121,0),5),"")</f>
        <v/>
      </c>
      <c r="BK632" s="543" t="str" cm="1">
        <f t="array" ref="BK632">IFERROR(IF((INDEX(SETUP!$C$19:$G$121,MATCH((INDEX(PMtbl[[WKst]:[Unit of measure*]],MATCH($A632&amp;$E632&amp;$I632,INDEX(PMtbl[Category]&amp;PMtbl[Each]&amp;PMtbl[Packaging],0,),0),3)),SETUP!$D$19:$D$121,0),4))="Upfront",0,INDEX(SETUP!$C$19:$G$121,MATCH((INDEX(PMtbl[[WKst]:[Unit of measure*]],MATCH($A632&amp;$E632&amp;$I632,INDEX(PMtbl[Category]&amp;PMtbl[Each]&amp;PMtbl[Packaging],0,),0),3)),SETUP!$D$19:$D$121,0),5)),"")</f>
        <v/>
      </c>
      <c r="BL632" s="201" t="str" cm="1">
        <f t="array" ref="BL632">IF(E632&lt;&gt;"",IFERROR(INDEX(PMtbl[[WKst]:[Unit of measure*]],MATCH($A$544&amp;$A632&amp;$E632&amp;$I632,INDEX(PMtbl[Sec]&amp;PMtbl[Category]&amp;PMtbl[Each]&amp;PMtbl[Packaging],0,),0),11),""),"")</f>
        <v/>
      </c>
      <c r="BO632" s="12">
        <f>IF(N632="",0,IF(SETUP!$E$7="USD",((IF(O632="USD",P632,(P632/'Master Data-C19RM'!$C$2)))),((IF(O632="EUR",P632,(P632*'Master Data-C19RM'!$C$2))))))</f>
        <v>0</v>
      </c>
      <c r="BP632" s="12">
        <f>IF(N632="",0,IF(SETUP!$E$7="USD",((IF(O632="USD",W632,(W632/'Master Data-C19RM'!$D$2)))),((IF(O632="EUR",W632,(W632*'Master Data-C19RM'!$D$2))))))</f>
        <v>0</v>
      </c>
      <c r="BQ632">
        <f>IF(N632="",0,IF(SETUP!$E$7="USD",((IF(O632="USD",AD632,(AD632/'Master Data-C19RM'!$E$2)))),((IF(O632="EUR",AD632,(AD632*'Master Data-C19RM'!$E$2))))))</f>
        <v>0</v>
      </c>
      <c r="BR632">
        <f>IF(N632="",0,IF(SETUP!$E$7="USD",((IF(O632="USD",AK632,(AK632/'Master Data-C19RM'!$F$2)))),((IF(O632="EUR",AK632,(AK632*'Master Data-C19RM'!$F$2))))))</f>
        <v>0</v>
      </c>
      <c r="BS632">
        <f>IF(N632="",0,IF(SETUP!$E$7="USD",((IF(O632="USD",AR632,(AR632/'Master Data-C19RM'!$G$2)))),((IF(O632="EUR",AR632,(AR632*'Master Data-C19RM'!$G$2))))))</f>
        <v>0</v>
      </c>
      <c r="BT632">
        <f>IF(N632="",0,IF(SETUP!$E$7="USD",((IF(O632="USD",AY632,(AY632/'Master Data-C19RM'!$H$2)))),((IF(O632="EUR",AY632,(AY632*'Master Data-C19RM'!$H$2))))))</f>
        <v>0</v>
      </c>
      <c r="BU632" s="12">
        <f t="shared" si="83"/>
        <v>0</v>
      </c>
      <c r="BV632" s="142">
        <f t="shared" si="84"/>
        <v>0</v>
      </c>
    </row>
    <row r="633" spans="1:74" x14ac:dyDescent="0.35">
      <c r="A633" s="1165"/>
      <c r="B633" s="1165"/>
      <c r="C633" s="1165"/>
      <c r="D633" s="1165"/>
      <c r="E633" s="1166"/>
      <c r="F633" s="1166"/>
      <c r="G633" s="1166"/>
      <c r="H633" s="1166"/>
      <c r="I633" s="1166"/>
      <c r="J633" s="1166"/>
      <c r="K633" s="1166"/>
      <c r="L633" s="490" t="str" cm="1">
        <f t="array" ref="L633">IF(A633&lt;&gt;"",IFERROR(INDEX(PMtbl[[WKst]:[Unit of measure*]],MATCH($A$544&amp;$A633&amp;$E633&amp;$I633,INDEX(PMtbl[Sec]&amp;PMtbl[Category]&amp;PMtbl[Each]&amp;PMtbl[Packaging],0,),0),14),""),"")</f>
        <v/>
      </c>
      <c r="M633" s="479" t="str">
        <f>IF(L633="","",INDEX(SETUP!$E$20:$E$122,(MATCH(INDEX(PMsheet!$D:$E,MATCH(A633,PMsheet!E:E,0),1),SETUP!$D$20:$D$122,0))))</f>
        <v/>
      </c>
      <c r="N633" s="491">
        <f>IF($O633="USD",_xlfn.IFNA(VLOOKUP(A633&amp;E633&amp;I633,PMsheet!J:K,2,0),0),(_xlfn.IFNA(VLOOKUP(A633&amp;E633&amp;I633,PMsheet!J:K,2,0),0)*'Master Data-C19RM'!$C$2))</f>
        <v>0</v>
      </c>
      <c r="O633" s="492" t="str">
        <f>IF(L633="", "",SETUP!$E$7)</f>
        <v/>
      </c>
      <c r="P633" s="444">
        <f>IF($O633="USD",_xlfn.IFNA(VLOOKUP($A633&amp;$E633&amp;$I633,PMsheet!$J:$K,2,0),0),(_xlfn.IFNA(VLOOKUP($A633&amp;$E633&amp;$I633,PMsheet!$J:$K,2,0),0)*'Master Data-C19RM'!$C$2))</f>
        <v>0</v>
      </c>
      <c r="Q633" s="441"/>
      <c r="R633" s="441"/>
      <c r="S633" s="441"/>
      <c r="T633" s="441"/>
      <c r="U633" s="481">
        <f t="shared" si="79"/>
        <v>0</v>
      </c>
      <c r="V633" s="483">
        <f>IF(SETUP!$E$7="USD",(U633*(IF(O633="USD",P633,(P633/'Master Data-C19RM'!$C$2)))),(U633*(IF(O633="EUR",P633,(P633*'Master Data-C19RM'!$C$2)))))</f>
        <v>0</v>
      </c>
      <c r="W633" s="444">
        <f>IF($O633="USD",_xlfn.IFNA(VLOOKUP($A633&amp;$E633&amp;$I633,PMsheet!$J:$K,2,0),0),(_xlfn.IFNA(VLOOKUP($A633&amp;$E633&amp;$I633,PMsheet!$J:$K,2,0),0)*'Master Data-C19RM'!$D$2))</f>
        <v>0</v>
      </c>
      <c r="X633" s="441"/>
      <c r="Y633" s="441"/>
      <c r="Z633" s="441"/>
      <c r="AA633" s="441"/>
      <c r="AB633" s="481">
        <f t="shared" si="80"/>
        <v>0</v>
      </c>
      <c r="AC633" s="483">
        <f>IF(SETUP!$E$7="USD",(AB633*(IF(O633="USD",W633,(W633/'Master Data-C19RM'!$D$2)))),(AB633*(IF(O633="EUR",W633,(W633*'Master Data-C19RM'!$D$2)))))</f>
        <v>0</v>
      </c>
      <c r="AD633" s="444">
        <f>IF($O633="USD",_xlfn.IFNA(VLOOKUP($A633&amp;$E633&amp;$I633,PMsheet!$J:$K,2,0),0),(_xlfn.IFNA(VLOOKUP($A633&amp;$E633&amp;$I633,PMsheet!$J:$K,2,0),0)*'Master Data-C19RM'!$E$2))</f>
        <v>0</v>
      </c>
      <c r="AE633" s="441"/>
      <c r="AF633" s="441"/>
      <c r="AG633" s="441"/>
      <c r="AH633" s="441"/>
      <c r="AI633" s="512">
        <f t="shared" si="81"/>
        <v>0</v>
      </c>
      <c r="AJ633" s="513">
        <f>IF(SETUP!$E$7="USD",(AI633*(IF(O633="USD",AD633,(AD633/'Master Data-C19RM'!$E$2)))),(AI633*(IF(O633="EUR",AD633,(AD633*'Master Data-C19RM'!$E$2)))))</f>
        <v>0</v>
      </c>
      <c r="AK633" s="444">
        <f>IF($O633="USD",_xlfn.IFNA(VLOOKUP($A633&amp;$E633&amp;$I633,PMsheet!$J:$K,2,0),0),(_xlfn.IFNA(VLOOKUP($A633&amp;$E633&amp;$I633,PMsheet!$J:$K,2,0),0)*'Master Data-C19RM'!$F$2))</f>
        <v>0</v>
      </c>
      <c r="AL633" s="441"/>
      <c r="AM633" s="441"/>
      <c r="AN633" s="441"/>
      <c r="AO633" s="441"/>
      <c r="AP633" s="512">
        <f t="shared" si="82"/>
        <v>0</v>
      </c>
      <c r="AQ633" s="513">
        <f>IF(SETUP!$E$7="USD",(AP633*(IF(O633="USD",AK633,(AK633/'Master Data-C19RM'!$F$2)))),(AP633*(IF(O633="EUR",AK633,(AK633*'Master Data-C19RM'!$F$2)))))</f>
        <v>0</v>
      </c>
      <c r="AR633" s="924">
        <f>IF($O633="USD",_xlfn.IFNA(VLOOKUP($A633&amp;$E633&amp;$I633,PMsheet!$J:$K,2,0),0),(_xlfn.IFNA(VLOOKUP($A633&amp;$E633&amp;$I633,PMsheet!$J:$K,2,0),0)*'Master Data-C19RM'!$G$2))</f>
        <v>0</v>
      </c>
      <c r="AS633" s="572"/>
      <c r="AT633" s="572"/>
      <c r="AU633" s="572"/>
      <c r="AV633" s="572"/>
      <c r="AW633" s="512">
        <f t="shared" si="85"/>
        <v>0</v>
      </c>
      <c r="AX633" s="512">
        <f>IF(SETUP!$E$7="USD",(AW633*(IF(O633="USD",AR633,(AR633/'Master Data-C19RM'!$G$2)))),(AW633*(IF(O633="EUR",AR633,(AR633*'Master Data-C19RM'!$G$2)))))</f>
        <v>0</v>
      </c>
      <c r="AY633" s="845"/>
      <c r="AZ633" s="846"/>
      <c r="BA633" s="846"/>
      <c r="BB633" s="846"/>
      <c r="BC633" s="846"/>
      <c r="BD633" s="846"/>
      <c r="BE633" s="847"/>
      <c r="BF633" s="520">
        <f>'C19RM 2021-Lab &amp; Other HPS'!$U633+'C19RM 2021-Lab &amp; Other HPS'!$AB633+'C19RM 2021-Lab &amp; Other HPS'!$AP633+'C19RM 2021-Lab &amp; Other HPS'!$AI633+AW633+BD633</f>
        <v>0</v>
      </c>
      <c r="BG633" s="513">
        <f>'C19RM 2021-Lab &amp; Other HPS'!$V633+'C19RM 2021-Lab &amp; Other HPS'!$AC633+'C19RM 2021-Lab &amp; Other HPS'!$AQ633+'C19RM 2021-Lab &amp; Other HPS'!$AJ633+AX633+BE633</f>
        <v>0</v>
      </c>
      <c r="BH633" s="500" t="str" cm="1">
        <f t="array" ref="BH633">IF(A633&lt;&gt;"",IFERROR(INDEX(PMtbl[[WKst]:[Unit of measure*]],MATCH($A$544&amp;$A633&amp;$E633&amp;$I633,INDEX(PMtbl[Sec]&amp;PMtbl[Category]&amp;PMtbl[Each]&amp;PMtbl[Packaging],0,),0),11),""),"")</f>
        <v/>
      </c>
      <c r="BI633" s="819"/>
      <c r="BJ633" s="502" t="str" cm="1">
        <f t="array" ref="BJ633">IFERROR(INDEX(SETUP!$C$19:$G$121,MATCH((INDEX(PMtbl[[WKst]:[Unit of measure*]],MATCH($A633&amp;$E633&amp;$I633,INDEX(PMtbl[Category]&amp;PMtbl[Each]&amp;PMtbl[Packaging],0,),0),3)),SETUP!$D$19:$D$121,0),5),"")</f>
        <v/>
      </c>
      <c r="BK633" s="542" t="str" cm="1">
        <f t="array" ref="BK633">IFERROR(IF((INDEX(SETUP!$C$19:$G$121,MATCH((INDEX(PMtbl[[WKst]:[Unit of measure*]],MATCH($A633&amp;$E633&amp;$I633,INDEX(PMtbl[Category]&amp;PMtbl[Each]&amp;PMtbl[Packaging],0,),0),3)),SETUP!$D$19:$D$121,0),4))="Upfront",0,INDEX(SETUP!$C$19:$G$121,MATCH((INDEX(PMtbl[[WKst]:[Unit of measure*]],MATCH($A633&amp;$E633&amp;$I633,INDEX(PMtbl[Category]&amp;PMtbl[Each]&amp;PMtbl[Packaging],0,),0),3)),SETUP!$D$19:$D$121,0),5)),"")</f>
        <v/>
      </c>
      <c r="BL633" s="200" t="str" cm="1">
        <f t="array" ref="BL633">IF(E633&lt;&gt;"",IFERROR(INDEX(PMtbl[[WKst]:[Unit of measure*]],MATCH($A$544&amp;$A633&amp;$E633&amp;$I633,INDEX(PMtbl[Sec]&amp;PMtbl[Category]&amp;PMtbl[Each]&amp;PMtbl[Packaging],0,),0),11),""),"")</f>
        <v/>
      </c>
      <c r="BO633" s="12">
        <f>IF(N633="",0,IF(SETUP!$E$7="USD",((IF(O633="USD",P633,(P633/'Master Data-C19RM'!$C$2)))),((IF(O633="EUR",P633,(P633*'Master Data-C19RM'!$C$2))))))</f>
        <v>0</v>
      </c>
      <c r="BP633" s="12">
        <f>IF(N633="",0,IF(SETUP!$E$7="USD",((IF(O633="USD",W633,(W633/'Master Data-C19RM'!$D$2)))),((IF(O633="EUR",W633,(W633*'Master Data-C19RM'!$D$2))))))</f>
        <v>0</v>
      </c>
      <c r="BQ633">
        <f>IF(N633="",0,IF(SETUP!$E$7="USD",((IF(O633="USD",AD633,(AD633/'Master Data-C19RM'!$E$2)))),((IF(O633="EUR",AD633,(AD633*'Master Data-C19RM'!$E$2))))))</f>
        <v>0</v>
      </c>
      <c r="BR633">
        <f>IF(N633="",0,IF(SETUP!$E$7="USD",((IF(O633="USD",AK633,(AK633/'Master Data-C19RM'!$F$2)))),((IF(O633="EUR",AK633,(AK633*'Master Data-C19RM'!$F$2))))))</f>
        <v>0</v>
      </c>
      <c r="BS633">
        <f>IF(N633="",0,IF(SETUP!$E$7="USD",((IF(O633="USD",AR633,(AR633/'Master Data-C19RM'!$G$2)))),((IF(O633="EUR",AR633,(AR633*'Master Data-C19RM'!$G$2))))))</f>
        <v>0</v>
      </c>
      <c r="BT633">
        <f>IF(N633="",0,IF(SETUP!$E$7="USD",((IF(O633="USD",AY633,(AY633/'Master Data-C19RM'!$H$2)))),((IF(O633="EUR",AY633,(AY633*'Master Data-C19RM'!$H$2))))))</f>
        <v>0</v>
      </c>
      <c r="BU633" s="12">
        <f t="shared" si="83"/>
        <v>0</v>
      </c>
      <c r="BV633" s="142">
        <f t="shared" si="84"/>
        <v>0</v>
      </c>
    </row>
    <row r="634" spans="1:74" x14ac:dyDescent="0.35">
      <c r="A634" s="1192"/>
      <c r="B634" s="1192"/>
      <c r="C634" s="1192"/>
      <c r="D634" s="1192"/>
      <c r="E634" s="1173"/>
      <c r="F634" s="1173"/>
      <c r="G634" s="1173"/>
      <c r="H634" s="1173"/>
      <c r="I634" s="1173"/>
      <c r="J634" s="1173"/>
      <c r="K634" s="1173"/>
      <c r="L634" s="493" t="str" cm="1">
        <f t="array" ref="L634">IF(A634&lt;&gt;"",IFERROR(INDEX(PMtbl[[WKst]:[Unit of measure*]],MATCH($A$544&amp;$A634&amp;$E634&amp;$I634,INDEX(PMtbl[Sec]&amp;PMtbl[Category]&amp;PMtbl[Each]&amp;PMtbl[Packaging],0,),0),14),""),"")</f>
        <v/>
      </c>
      <c r="M634" s="480" t="str">
        <f>IF(L634="","",INDEX(SETUP!$E$20:$E$122,(MATCH(INDEX(PMsheet!$D:$E,MATCH(A634,PMsheet!E:E,0),1),SETUP!$D$20:$D$122,0))))</f>
        <v/>
      </c>
      <c r="N634" s="494">
        <f>IF($O634="USD",_xlfn.IFNA(VLOOKUP(A634&amp;E634&amp;I634,PMsheet!J:K,2,0),0),(_xlfn.IFNA(VLOOKUP(A634&amp;E634&amp;I634,PMsheet!J:K,2,0),0)*'Master Data-C19RM'!$C$2))</f>
        <v>0</v>
      </c>
      <c r="O634" s="495" t="str">
        <f>IF(L634="", "",SETUP!$E$7)</f>
        <v/>
      </c>
      <c r="P634" s="445">
        <f>IF($O634="USD",_xlfn.IFNA(VLOOKUP($A634&amp;$E634&amp;$I634,PMsheet!$J:$K,2,0),0),(_xlfn.IFNA(VLOOKUP($A634&amp;$E634&amp;$I634,PMsheet!$J:$K,2,0),0)*'Master Data-C19RM'!$C$2))</f>
        <v>0</v>
      </c>
      <c r="Q634" s="440"/>
      <c r="R634" s="440"/>
      <c r="S634" s="440"/>
      <c r="T634" s="440"/>
      <c r="U634" s="482">
        <f t="shared" si="79"/>
        <v>0</v>
      </c>
      <c r="V634" s="484">
        <f>IF(SETUP!$E$7="USD",(U634*(IF(O634="USD",P634,(P634/'Master Data-C19RM'!$C$2)))),(U634*(IF(O634="EUR",P634,(P634*'Master Data-C19RM'!$C$2)))))</f>
        <v>0</v>
      </c>
      <c r="W634" s="445">
        <f>IF($O634="USD",_xlfn.IFNA(VLOOKUP($A634&amp;$E634&amp;$I634,PMsheet!$J:$K,2,0),0),(_xlfn.IFNA(VLOOKUP($A634&amp;$E634&amp;$I634,PMsheet!$J:$K,2,0),0)*'Master Data-C19RM'!$D$2))</f>
        <v>0</v>
      </c>
      <c r="X634" s="440"/>
      <c r="Y634" s="440"/>
      <c r="Z634" s="440"/>
      <c r="AA634" s="440"/>
      <c r="AB634" s="482">
        <f t="shared" si="80"/>
        <v>0</v>
      </c>
      <c r="AC634" s="484">
        <f>IF(SETUP!$E$7="USD",(AB634*(IF(O634="USD",W634,(W634/'Master Data-C19RM'!$D$2)))),(AB634*(IF(O634="EUR",W634,(W634*'Master Data-C19RM'!$D$2)))))</f>
        <v>0</v>
      </c>
      <c r="AD634" s="445">
        <f>IF($O634="USD",_xlfn.IFNA(VLOOKUP($A634&amp;$E634&amp;$I634,PMsheet!$J:$K,2,0),0),(_xlfn.IFNA(VLOOKUP($A634&amp;$E634&amp;$I634,PMsheet!$J:$K,2,0),0)*'Master Data-C19RM'!$E$2))</f>
        <v>0</v>
      </c>
      <c r="AE634" s="440"/>
      <c r="AF634" s="440"/>
      <c r="AG634" s="440"/>
      <c r="AH634" s="440"/>
      <c r="AI634" s="514">
        <f t="shared" si="81"/>
        <v>0</v>
      </c>
      <c r="AJ634" s="515">
        <f>IF(SETUP!$E$7="USD",(AI634*(IF(O634="USD",AD634,(AD634/'Master Data-C19RM'!$E$2)))),(AI634*(IF(O634="EUR",AD634,(AD634*'Master Data-C19RM'!$E$2)))))</f>
        <v>0</v>
      </c>
      <c r="AK634" s="445">
        <f>IF($O634="USD",_xlfn.IFNA(VLOOKUP($A634&amp;$E634&amp;$I634,PMsheet!$J:$K,2,0),0),(_xlfn.IFNA(VLOOKUP($A634&amp;$E634&amp;$I634,PMsheet!$J:$K,2,0),0)*'Master Data-C19RM'!$F$2))</f>
        <v>0</v>
      </c>
      <c r="AL634" s="440"/>
      <c r="AM634" s="440"/>
      <c r="AN634" s="440"/>
      <c r="AO634" s="440"/>
      <c r="AP634" s="514">
        <f t="shared" si="82"/>
        <v>0</v>
      </c>
      <c r="AQ634" s="515">
        <f>IF(SETUP!$E$7="USD",(AP634*(IF(O634="USD",AK634,(AK634/'Master Data-C19RM'!$F$2)))),(AP634*(IF(O634="EUR",AK634,(AK634*'Master Data-C19RM'!$F$2)))))</f>
        <v>0</v>
      </c>
      <c r="AR634" s="925">
        <f>IF($O634="USD",_xlfn.IFNA(VLOOKUP($A634&amp;$E634&amp;$I634,PMsheet!$J:$K,2,0),0),(_xlfn.IFNA(VLOOKUP($A634&amp;$E634&amp;$I634,PMsheet!$J:$K,2,0),0)*'Master Data-C19RM'!$G$2))</f>
        <v>0</v>
      </c>
      <c r="AS634" s="926"/>
      <c r="AT634" s="926"/>
      <c r="AU634" s="926"/>
      <c r="AV634" s="926"/>
      <c r="AW634" s="514">
        <f t="shared" si="85"/>
        <v>0</v>
      </c>
      <c r="AX634" s="514">
        <f>IF(SETUP!$E$7="USD",(AW634*(IF(O634="USD",AR634,(AR634/'Master Data-C19RM'!$G$2)))),(AW634*(IF(O634="EUR",AR634,(AR634*'Master Data-C19RM'!$G$2)))))</f>
        <v>0</v>
      </c>
      <c r="AY634" s="845"/>
      <c r="AZ634" s="846"/>
      <c r="BA634" s="846"/>
      <c r="BB634" s="846"/>
      <c r="BC634" s="846"/>
      <c r="BD634" s="846"/>
      <c r="BE634" s="847"/>
      <c r="BF634" s="521">
        <f>'C19RM 2021-Lab &amp; Other HPS'!$U634+'C19RM 2021-Lab &amp; Other HPS'!$AB634+'C19RM 2021-Lab &amp; Other HPS'!$AP634+'C19RM 2021-Lab &amp; Other HPS'!$AI634+AW634+BD634</f>
        <v>0</v>
      </c>
      <c r="BG634" s="515">
        <f>'C19RM 2021-Lab &amp; Other HPS'!$V634+'C19RM 2021-Lab &amp; Other HPS'!$AC634+'C19RM 2021-Lab &amp; Other HPS'!$AQ634+'C19RM 2021-Lab &amp; Other HPS'!$AJ634+AX634+BE634</f>
        <v>0</v>
      </c>
      <c r="BH634" s="522" t="str" cm="1">
        <f t="array" ref="BH634">IF(A634&lt;&gt;"",IFERROR(INDEX(PMtbl[[WKst]:[Unit of measure*]],MATCH($A$544&amp;$A634&amp;$E634&amp;$I634,INDEX(PMtbl[Sec]&amp;PMtbl[Category]&amp;PMtbl[Each]&amp;PMtbl[Packaging],0,),0),11),""),"")</f>
        <v/>
      </c>
      <c r="BI634" s="818"/>
      <c r="BJ634" s="503" t="str" cm="1">
        <f t="array" ref="BJ634">IFERROR(INDEX(SETUP!$C$19:$G$121,MATCH((INDEX(PMtbl[[WKst]:[Unit of measure*]],MATCH($A634&amp;$E634&amp;$I634,INDEX(PMtbl[Category]&amp;PMtbl[Each]&amp;PMtbl[Packaging],0,),0),3)),SETUP!$D$19:$D$121,0),5),"")</f>
        <v/>
      </c>
      <c r="BK634" s="543" t="str" cm="1">
        <f t="array" ref="BK634">IFERROR(IF((INDEX(SETUP!$C$19:$G$121,MATCH((INDEX(PMtbl[[WKst]:[Unit of measure*]],MATCH($A634&amp;$E634&amp;$I634,INDEX(PMtbl[Category]&amp;PMtbl[Each]&amp;PMtbl[Packaging],0,),0),3)),SETUP!$D$19:$D$121,0),4))="Upfront",0,INDEX(SETUP!$C$19:$G$121,MATCH((INDEX(PMtbl[[WKst]:[Unit of measure*]],MATCH($A634&amp;$E634&amp;$I634,INDEX(PMtbl[Category]&amp;PMtbl[Each]&amp;PMtbl[Packaging],0,),0),3)),SETUP!$D$19:$D$121,0),5)),"")</f>
        <v/>
      </c>
      <c r="BL634" s="201" t="str" cm="1">
        <f t="array" ref="BL634">IF(E634&lt;&gt;"",IFERROR(INDEX(PMtbl[[WKst]:[Unit of measure*]],MATCH($A$544&amp;$A634&amp;$E634&amp;$I634,INDEX(PMtbl[Sec]&amp;PMtbl[Category]&amp;PMtbl[Each]&amp;PMtbl[Packaging],0,),0),11),""),"")</f>
        <v/>
      </c>
      <c r="BO634" s="12">
        <f>IF(N634="",0,IF(SETUP!$E$7="USD",((IF(O634="USD",P634,(P634/'Master Data-C19RM'!$C$2)))),((IF(O634="EUR",P634,(P634*'Master Data-C19RM'!$C$2))))))</f>
        <v>0</v>
      </c>
      <c r="BP634" s="12">
        <f>IF(N634="",0,IF(SETUP!$E$7="USD",((IF(O634="USD",W634,(W634/'Master Data-C19RM'!$D$2)))),((IF(O634="EUR",W634,(W634*'Master Data-C19RM'!$D$2))))))</f>
        <v>0</v>
      </c>
      <c r="BQ634">
        <f>IF(N634="",0,IF(SETUP!$E$7="USD",((IF(O634="USD",AD634,(AD634/'Master Data-C19RM'!$E$2)))),((IF(O634="EUR",AD634,(AD634*'Master Data-C19RM'!$E$2))))))</f>
        <v>0</v>
      </c>
      <c r="BR634">
        <f>IF(N634="",0,IF(SETUP!$E$7="USD",((IF(O634="USD",AK634,(AK634/'Master Data-C19RM'!$F$2)))),((IF(O634="EUR",AK634,(AK634*'Master Data-C19RM'!$F$2))))))</f>
        <v>0</v>
      </c>
      <c r="BS634">
        <f>IF(N634="",0,IF(SETUP!$E$7="USD",((IF(O634="USD",AR634,(AR634/'Master Data-C19RM'!$G$2)))),((IF(O634="EUR",AR634,(AR634*'Master Data-C19RM'!$G$2))))))</f>
        <v>0</v>
      </c>
      <c r="BT634">
        <f>IF(N634="",0,IF(SETUP!$E$7="USD",((IF(O634="USD",AY634,(AY634/'Master Data-C19RM'!$H$2)))),((IF(O634="EUR",AY634,(AY634*'Master Data-C19RM'!$H$2))))))</f>
        <v>0</v>
      </c>
      <c r="BU634" s="12">
        <f t="shared" si="83"/>
        <v>0</v>
      </c>
      <c r="BV634" s="142">
        <f t="shared" si="84"/>
        <v>0</v>
      </c>
    </row>
    <row r="635" spans="1:74" x14ac:dyDescent="0.35">
      <c r="A635" s="1165"/>
      <c r="B635" s="1165"/>
      <c r="C635" s="1165"/>
      <c r="D635" s="1165"/>
      <c r="E635" s="1166"/>
      <c r="F635" s="1166"/>
      <c r="G635" s="1166"/>
      <c r="H635" s="1166"/>
      <c r="I635" s="1166"/>
      <c r="J635" s="1166"/>
      <c r="K635" s="1166"/>
      <c r="L635" s="490" t="str" cm="1">
        <f t="array" ref="L635">IF(A635&lt;&gt;"",IFERROR(INDEX(PMtbl[[WKst]:[Unit of measure*]],MATCH($A$544&amp;$A635&amp;$E635&amp;$I635,INDEX(PMtbl[Sec]&amp;PMtbl[Category]&amp;PMtbl[Each]&amp;PMtbl[Packaging],0,),0),14),""),"")</f>
        <v/>
      </c>
      <c r="M635" s="479" t="str">
        <f>IF(L635="","",INDEX(SETUP!$E$20:$E$122,(MATCH(INDEX(PMsheet!$D:$E,MATCH(A635,PMsheet!E:E,0),1),SETUP!$D$20:$D$122,0))))</f>
        <v/>
      </c>
      <c r="N635" s="491">
        <f>IF($O635="USD",_xlfn.IFNA(VLOOKUP(A635&amp;E635&amp;I635,PMsheet!J:K,2,0),0),(_xlfn.IFNA(VLOOKUP(A635&amp;E635&amp;I635,PMsheet!J:K,2,0),0)*'Master Data-C19RM'!$C$2))</f>
        <v>0</v>
      </c>
      <c r="O635" s="492" t="str">
        <f>IF(L635="", "",SETUP!$E$7)</f>
        <v/>
      </c>
      <c r="P635" s="444">
        <f>IF($O635="USD",_xlfn.IFNA(VLOOKUP($A635&amp;$E635&amp;$I635,PMsheet!$J:$K,2,0),0),(_xlfn.IFNA(VLOOKUP($A635&amp;$E635&amp;$I635,PMsheet!$J:$K,2,0),0)*'Master Data-C19RM'!$C$2))</f>
        <v>0</v>
      </c>
      <c r="Q635" s="441"/>
      <c r="R635" s="441"/>
      <c r="S635" s="441"/>
      <c r="T635" s="441"/>
      <c r="U635" s="481">
        <f t="shared" si="79"/>
        <v>0</v>
      </c>
      <c r="V635" s="483">
        <f>IF(SETUP!$E$7="USD",(U635*(IF(O635="USD",P635,(P635/'Master Data-C19RM'!$C$2)))),(U635*(IF(O635="EUR",P635,(P635*'Master Data-C19RM'!$C$2)))))</f>
        <v>0</v>
      </c>
      <c r="W635" s="444">
        <f>IF($O635="USD",_xlfn.IFNA(VLOOKUP($A635&amp;$E635&amp;$I635,PMsheet!$J:$K,2,0),0),(_xlfn.IFNA(VLOOKUP($A635&amp;$E635&amp;$I635,PMsheet!$J:$K,2,0),0)*'Master Data-C19RM'!$D$2))</f>
        <v>0</v>
      </c>
      <c r="X635" s="441"/>
      <c r="Y635" s="441"/>
      <c r="Z635" s="441"/>
      <c r="AA635" s="441"/>
      <c r="AB635" s="481">
        <f t="shared" si="80"/>
        <v>0</v>
      </c>
      <c r="AC635" s="483">
        <f>IF(SETUP!$E$7="USD",(AB635*(IF(O635="USD",W635,(W635/'Master Data-C19RM'!$D$2)))),(AB635*(IF(O635="EUR",W635,(W635*'Master Data-C19RM'!$D$2)))))</f>
        <v>0</v>
      </c>
      <c r="AD635" s="444">
        <f>IF($O635="USD",_xlfn.IFNA(VLOOKUP($A635&amp;$E635&amp;$I635,PMsheet!$J:$K,2,0),0),(_xlfn.IFNA(VLOOKUP($A635&amp;$E635&amp;$I635,PMsheet!$J:$K,2,0),0)*'Master Data-C19RM'!$E$2))</f>
        <v>0</v>
      </c>
      <c r="AE635" s="441"/>
      <c r="AF635" s="441"/>
      <c r="AG635" s="441"/>
      <c r="AH635" s="441"/>
      <c r="AI635" s="512">
        <f t="shared" si="81"/>
        <v>0</v>
      </c>
      <c r="AJ635" s="513">
        <f>IF(SETUP!$E$7="USD",(AI635*(IF(O635="USD",AD635,(AD635/'Master Data-C19RM'!$E$2)))),(AI635*(IF(O635="EUR",AD635,(AD635*'Master Data-C19RM'!$E$2)))))</f>
        <v>0</v>
      </c>
      <c r="AK635" s="444">
        <f>IF($O635="USD",_xlfn.IFNA(VLOOKUP($A635&amp;$E635&amp;$I635,PMsheet!$J:$K,2,0),0),(_xlfn.IFNA(VLOOKUP($A635&amp;$E635&amp;$I635,PMsheet!$J:$K,2,0),0)*'Master Data-C19RM'!$F$2))</f>
        <v>0</v>
      </c>
      <c r="AL635" s="441"/>
      <c r="AM635" s="441"/>
      <c r="AN635" s="441"/>
      <c r="AO635" s="441"/>
      <c r="AP635" s="512">
        <f t="shared" si="82"/>
        <v>0</v>
      </c>
      <c r="AQ635" s="513">
        <f>IF(SETUP!$E$7="USD",(AP635*(IF(O635="USD",AK635,(AK635/'Master Data-C19RM'!$F$2)))),(AP635*(IF(O635="EUR",AK635,(AK635*'Master Data-C19RM'!$F$2)))))</f>
        <v>0</v>
      </c>
      <c r="AR635" s="924">
        <f>IF($O635="USD",_xlfn.IFNA(VLOOKUP($A635&amp;$E635&amp;$I635,PMsheet!$J:$K,2,0),0),(_xlfn.IFNA(VLOOKUP($A635&amp;$E635&amp;$I635,PMsheet!$J:$K,2,0),0)*'Master Data-C19RM'!$G$2))</f>
        <v>0</v>
      </c>
      <c r="AS635" s="572"/>
      <c r="AT635" s="572"/>
      <c r="AU635" s="572"/>
      <c r="AV635" s="572"/>
      <c r="AW635" s="512">
        <f t="shared" si="85"/>
        <v>0</v>
      </c>
      <c r="AX635" s="512">
        <f>IF(SETUP!$E$7="USD",(AW635*(IF(O635="USD",AR635,(AR635/'Master Data-C19RM'!$G$2)))),(AW635*(IF(O635="EUR",AR635,(AR635*'Master Data-C19RM'!$G$2)))))</f>
        <v>0</v>
      </c>
      <c r="AY635" s="845"/>
      <c r="AZ635" s="846"/>
      <c r="BA635" s="846"/>
      <c r="BB635" s="846"/>
      <c r="BC635" s="846"/>
      <c r="BD635" s="846"/>
      <c r="BE635" s="847"/>
      <c r="BF635" s="520">
        <f>'C19RM 2021-Lab &amp; Other HPS'!$U635+'C19RM 2021-Lab &amp; Other HPS'!$AB635+'C19RM 2021-Lab &amp; Other HPS'!$AP635+'C19RM 2021-Lab &amp; Other HPS'!$AI635+AW635+BD635</f>
        <v>0</v>
      </c>
      <c r="BG635" s="513">
        <f>'C19RM 2021-Lab &amp; Other HPS'!$V635+'C19RM 2021-Lab &amp; Other HPS'!$AC635+'C19RM 2021-Lab &amp; Other HPS'!$AQ635+'C19RM 2021-Lab &amp; Other HPS'!$AJ635+AX635+BE635</f>
        <v>0</v>
      </c>
      <c r="BH635" s="500" t="str" cm="1">
        <f t="array" ref="BH635">IF(A635&lt;&gt;"",IFERROR(INDEX(PMtbl[[WKst]:[Unit of measure*]],MATCH($A$544&amp;$A635&amp;$E635&amp;$I635,INDEX(PMtbl[Sec]&amp;PMtbl[Category]&amp;PMtbl[Each]&amp;PMtbl[Packaging],0,),0),11),""),"")</f>
        <v/>
      </c>
      <c r="BI635" s="819"/>
      <c r="BJ635" s="502" t="str" cm="1">
        <f t="array" ref="BJ635">IFERROR(INDEX(SETUP!$C$19:$G$121,MATCH((INDEX(PMtbl[[WKst]:[Unit of measure*]],MATCH($A635&amp;$E635&amp;$I635,INDEX(PMtbl[Category]&amp;PMtbl[Each]&amp;PMtbl[Packaging],0,),0),3)),SETUP!$D$19:$D$121,0),5),"")</f>
        <v/>
      </c>
      <c r="BK635" s="542" t="str" cm="1">
        <f t="array" ref="BK635">IFERROR(IF((INDEX(SETUP!$C$19:$G$121,MATCH((INDEX(PMtbl[[WKst]:[Unit of measure*]],MATCH($A635&amp;$E635&amp;$I635,INDEX(PMtbl[Category]&amp;PMtbl[Each]&amp;PMtbl[Packaging],0,),0),3)),SETUP!$D$19:$D$121,0),4))="Upfront",0,INDEX(SETUP!$C$19:$G$121,MATCH((INDEX(PMtbl[[WKst]:[Unit of measure*]],MATCH($A635&amp;$E635&amp;$I635,INDEX(PMtbl[Category]&amp;PMtbl[Each]&amp;PMtbl[Packaging],0,),0),3)),SETUP!$D$19:$D$121,0),5)),"")</f>
        <v/>
      </c>
      <c r="BL635" s="200" t="str" cm="1">
        <f t="array" ref="BL635">IF(E635&lt;&gt;"",IFERROR(INDEX(PMtbl[[WKst]:[Unit of measure*]],MATCH($A$544&amp;$A635&amp;$E635&amp;$I635,INDEX(PMtbl[Sec]&amp;PMtbl[Category]&amp;PMtbl[Each]&amp;PMtbl[Packaging],0,),0),11),""),"")</f>
        <v/>
      </c>
      <c r="BO635" s="12">
        <f>IF(N635="",0,IF(SETUP!$E$7="USD",((IF(O635="USD",P635,(P635/'Master Data-C19RM'!$C$2)))),((IF(O635="EUR",P635,(P635*'Master Data-C19RM'!$C$2))))))</f>
        <v>0</v>
      </c>
      <c r="BP635" s="12">
        <f>IF(N635="",0,IF(SETUP!$E$7="USD",((IF(O635="USD",W635,(W635/'Master Data-C19RM'!$D$2)))),((IF(O635="EUR",W635,(W635*'Master Data-C19RM'!$D$2))))))</f>
        <v>0</v>
      </c>
      <c r="BQ635">
        <f>IF(N635="",0,IF(SETUP!$E$7="USD",((IF(O635="USD",AD635,(AD635/'Master Data-C19RM'!$E$2)))),((IF(O635="EUR",AD635,(AD635*'Master Data-C19RM'!$E$2))))))</f>
        <v>0</v>
      </c>
      <c r="BR635">
        <f>IF(N635="",0,IF(SETUP!$E$7="USD",((IF(O635="USD",AK635,(AK635/'Master Data-C19RM'!$F$2)))),((IF(O635="EUR",AK635,(AK635*'Master Data-C19RM'!$F$2))))))</f>
        <v>0</v>
      </c>
      <c r="BS635">
        <f>IF(N635="",0,IF(SETUP!$E$7="USD",((IF(O635="USD",AR635,(AR635/'Master Data-C19RM'!$G$2)))),((IF(O635="EUR",AR635,(AR635*'Master Data-C19RM'!$G$2))))))</f>
        <v>0</v>
      </c>
      <c r="BT635">
        <f>IF(N635="",0,IF(SETUP!$E$7="USD",((IF(O635="USD",AY635,(AY635/'Master Data-C19RM'!$H$2)))),((IF(O635="EUR",AY635,(AY635*'Master Data-C19RM'!$H$2))))))</f>
        <v>0</v>
      </c>
      <c r="BU635" s="12">
        <f t="shared" si="83"/>
        <v>0</v>
      </c>
      <c r="BV635" s="142">
        <f t="shared" si="84"/>
        <v>0</v>
      </c>
    </row>
    <row r="636" spans="1:74" x14ac:dyDescent="0.35">
      <c r="A636" s="1192"/>
      <c r="B636" s="1192"/>
      <c r="C636" s="1192"/>
      <c r="D636" s="1192"/>
      <c r="E636" s="1173"/>
      <c r="F636" s="1173"/>
      <c r="G636" s="1173"/>
      <c r="H636" s="1173"/>
      <c r="I636" s="1173"/>
      <c r="J636" s="1173"/>
      <c r="K636" s="1173"/>
      <c r="L636" s="493" t="str" cm="1">
        <f t="array" ref="L636">IF(A636&lt;&gt;"",IFERROR(INDEX(PMtbl[[WKst]:[Unit of measure*]],MATCH($A$544&amp;$A636&amp;$E636&amp;$I636,INDEX(PMtbl[Sec]&amp;PMtbl[Category]&amp;PMtbl[Each]&amp;PMtbl[Packaging],0,),0),14),""),"")</f>
        <v/>
      </c>
      <c r="M636" s="480" t="str">
        <f>IF(L636="","",INDEX(SETUP!$E$20:$E$122,(MATCH(INDEX(PMsheet!$D:$E,MATCH(A636,PMsheet!E:E,0),1),SETUP!$D$20:$D$122,0))))</f>
        <v/>
      </c>
      <c r="N636" s="494">
        <f>IF($O636="USD",_xlfn.IFNA(VLOOKUP(A636&amp;E636&amp;I636,PMsheet!J:K,2,0),0),(_xlfn.IFNA(VLOOKUP(A636&amp;E636&amp;I636,PMsheet!J:K,2,0),0)*'Master Data-C19RM'!$C$2))</f>
        <v>0</v>
      </c>
      <c r="O636" s="495" t="str">
        <f>IF(L636="", "",SETUP!$E$7)</f>
        <v/>
      </c>
      <c r="P636" s="445">
        <f>IF($O636="USD",_xlfn.IFNA(VLOOKUP($A636&amp;$E636&amp;$I636,PMsheet!$J:$K,2,0),0),(_xlfn.IFNA(VLOOKUP($A636&amp;$E636&amp;$I636,PMsheet!$J:$K,2,0),0)*'Master Data-C19RM'!$C$2))</f>
        <v>0</v>
      </c>
      <c r="Q636" s="440"/>
      <c r="R636" s="440"/>
      <c r="S636" s="440"/>
      <c r="T636" s="440"/>
      <c r="U636" s="482">
        <f t="shared" si="79"/>
        <v>0</v>
      </c>
      <c r="V636" s="484">
        <f>IF(SETUP!$E$7="USD",(U636*(IF(O636="USD",P636,(P636/'Master Data-C19RM'!$C$2)))),(U636*(IF(O636="EUR",P636,(P636*'Master Data-C19RM'!$C$2)))))</f>
        <v>0</v>
      </c>
      <c r="W636" s="445">
        <f>IF($O636="USD",_xlfn.IFNA(VLOOKUP($A636&amp;$E636&amp;$I636,PMsheet!$J:$K,2,0),0),(_xlfn.IFNA(VLOOKUP($A636&amp;$E636&amp;$I636,PMsheet!$J:$K,2,0),0)*'Master Data-C19RM'!$D$2))</f>
        <v>0</v>
      </c>
      <c r="X636" s="440"/>
      <c r="Y636" s="440"/>
      <c r="Z636" s="440"/>
      <c r="AA636" s="440"/>
      <c r="AB636" s="482">
        <f t="shared" si="80"/>
        <v>0</v>
      </c>
      <c r="AC636" s="484">
        <f>IF(SETUP!$E$7="USD",(AB636*(IF(O636="USD",W636,(W636/'Master Data-C19RM'!$D$2)))),(AB636*(IF(O636="EUR",W636,(W636*'Master Data-C19RM'!$D$2)))))</f>
        <v>0</v>
      </c>
      <c r="AD636" s="445">
        <f>IF($O636="USD",_xlfn.IFNA(VLOOKUP($A636&amp;$E636&amp;$I636,PMsheet!$J:$K,2,0),0),(_xlfn.IFNA(VLOOKUP($A636&amp;$E636&amp;$I636,PMsheet!$J:$K,2,0),0)*'Master Data-C19RM'!$E$2))</f>
        <v>0</v>
      </c>
      <c r="AE636" s="440"/>
      <c r="AF636" s="440"/>
      <c r="AG636" s="440"/>
      <c r="AH636" s="440"/>
      <c r="AI636" s="514">
        <f t="shared" si="81"/>
        <v>0</v>
      </c>
      <c r="AJ636" s="515">
        <f>IF(SETUP!$E$7="USD",(AI636*(IF(O636="USD",AD636,(AD636/'Master Data-C19RM'!$E$2)))),(AI636*(IF(O636="EUR",AD636,(AD636*'Master Data-C19RM'!$E$2)))))</f>
        <v>0</v>
      </c>
      <c r="AK636" s="445">
        <f>IF($O636="USD",_xlfn.IFNA(VLOOKUP($A636&amp;$E636&amp;$I636,PMsheet!$J:$K,2,0),0),(_xlfn.IFNA(VLOOKUP($A636&amp;$E636&amp;$I636,PMsheet!$J:$K,2,0),0)*'Master Data-C19RM'!$F$2))</f>
        <v>0</v>
      </c>
      <c r="AL636" s="440"/>
      <c r="AM636" s="440"/>
      <c r="AN636" s="440"/>
      <c r="AO636" s="440"/>
      <c r="AP636" s="514">
        <f t="shared" si="82"/>
        <v>0</v>
      </c>
      <c r="AQ636" s="515">
        <f>IF(SETUP!$E$7="USD",(AP636*(IF(O636="USD",AK636,(AK636/'Master Data-C19RM'!$F$2)))),(AP636*(IF(O636="EUR",AK636,(AK636*'Master Data-C19RM'!$F$2)))))</f>
        <v>0</v>
      </c>
      <c r="AR636" s="925">
        <f>IF($O636="USD",_xlfn.IFNA(VLOOKUP($A636&amp;$E636&amp;$I636,PMsheet!$J:$K,2,0),0),(_xlfn.IFNA(VLOOKUP($A636&amp;$E636&amp;$I636,PMsheet!$J:$K,2,0),0)*'Master Data-C19RM'!$G$2))</f>
        <v>0</v>
      </c>
      <c r="AS636" s="926"/>
      <c r="AT636" s="926"/>
      <c r="AU636" s="926"/>
      <c r="AV636" s="926"/>
      <c r="AW636" s="514">
        <f t="shared" si="85"/>
        <v>0</v>
      </c>
      <c r="AX636" s="514">
        <f>IF(SETUP!$E$7="USD",(AW636*(IF(O636="USD",AR636,(AR636/'Master Data-C19RM'!$G$2)))),(AW636*(IF(O636="EUR",AR636,(AR636*'Master Data-C19RM'!$G$2)))))</f>
        <v>0</v>
      </c>
      <c r="AY636" s="845"/>
      <c r="AZ636" s="846"/>
      <c r="BA636" s="846"/>
      <c r="BB636" s="846"/>
      <c r="BC636" s="846"/>
      <c r="BD636" s="846"/>
      <c r="BE636" s="847"/>
      <c r="BF636" s="521">
        <f>'C19RM 2021-Lab &amp; Other HPS'!$U636+'C19RM 2021-Lab &amp; Other HPS'!$AB636+'C19RM 2021-Lab &amp; Other HPS'!$AP636+'C19RM 2021-Lab &amp; Other HPS'!$AI636+AW636+BD636</f>
        <v>0</v>
      </c>
      <c r="BG636" s="515">
        <f>'C19RM 2021-Lab &amp; Other HPS'!$V636+'C19RM 2021-Lab &amp; Other HPS'!$AC636+'C19RM 2021-Lab &amp; Other HPS'!$AQ636+'C19RM 2021-Lab &amp; Other HPS'!$AJ636+AX636+BE636</f>
        <v>0</v>
      </c>
      <c r="BH636" s="522" t="str" cm="1">
        <f t="array" ref="BH636">IF(A636&lt;&gt;"",IFERROR(INDEX(PMtbl[[WKst]:[Unit of measure*]],MATCH($A$544&amp;$A636&amp;$E636&amp;$I636,INDEX(PMtbl[Sec]&amp;PMtbl[Category]&amp;PMtbl[Each]&amp;PMtbl[Packaging],0,),0),11),""),"")</f>
        <v/>
      </c>
      <c r="BI636" s="818"/>
      <c r="BJ636" s="503" t="str" cm="1">
        <f t="array" ref="BJ636">IFERROR(INDEX(SETUP!$C$19:$G$121,MATCH((INDEX(PMtbl[[WKst]:[Unit of measure*]],MATCH($A636&amp;$E636&amp;$I636,INDEX(PMtbl[Category]&amp;PMtbl[Each]&amp;PMtbl[Packaging],0,),0),3)),SETUP!$D$19:$D$121,0),5),"")</f>
        <v/>
      </c>
      <c r="BK636" s="543" t="str" cm="1">
        <f t="array" ref="BK636">IFERROR(IF((INDEX(SETUP!$C$19:$G$121,MATCH((INDEX(PMtbl[[WKst]:[Unit of measure*]],MATCH($A636&amp;$E636&amp;$I636,INDEX(PMtbl[Category]&amp;PMtbl[Each]&amp;PMtbl[Packaging],0,),0),3)),SETUP!$D$19:$D$121,0),4))="Upfront",0,INDEX(SETUP!$C$19:$G$121,MATCH((INDEX(PMtbl[[WKst]:[Unit of measure*]],MATCH($A636&amp;$E636&amp;$I636,INDEX(PMtbl[Category]&amp;PMtbl[Each]&amp;PMtbl[Packaging],0,),0),3)),SETUP!$D$19:$D$121,0),5)),"")</f>
        <v/>
      </c>
      <c r="BL636" s="201" t="str" cm="1">
        <f t="array" ref="BL636">IF(E636&lt;&gt;"",IFERROR(INDEX(PMtbl[[WKst]:[Unit of measure*]],MATCH($A$544&amp;$A636&amp;$E636&amp;$I636,INDEX(PMtbl[Sec]&amp;PMtbl[Category]&amp;PMtbl[Each]&amp;PMtbl[Packaging],0,),0),11),""),"")</f>
        <v/>
      </c>
      <c r="BO636" s="12">
        <f>IF(N636="",0,IF(SETUP!$E$7="USD",((IF(O636="USD",P636,(P636/'Master Data-C19RM'!$C$2)))),((IF(O636="EUR",P636,(P636*'Master Data-C19RM'!$C$2))))))</f>
        <v>0</v>
      </c>
      <c r="BP636" s="12">
        <f>IF(N636="",0,IF(SETUP!$E$7="USD",((IF(O636="USD",W636,(W636/'Master Data-C19RM'!$D$2)))),((IF(O636="EUR",W636,(W636*'Master Data-C19RM'!$D$2))))))</f>
        <v>0</v>
      </c>
      <c r="BQ636">
        <f>IF(N636="",0,IF(SETUP!$E$7="USD",((IF(O636="USD",AD636,(AD636/'Master Data-C19RM'!$E$2)))),((IF(O636="EUR",AD636,(AD636*'Master Data-C19RM'!$E$2))))))</f>
        <v>0</v>
      </c>
      <c r="BR636">
        <f>IF(N636="",0,IF(SETUP!$E$7="USD",((IF(O636="USD",AK636,(AK636/'Master Data-C19RM'!$F$2)))),((IF(O636="EUR",AK636,(AK636*'Master Data-C19RM'!$F$2))))))</f>
        <v>0</v>
      </c>
      <c r="BS636">
        <f>IF(N636="",0,IF(SETUP!$E$7="USD",((IF(O636="USD",AR636,(AR636/'Master Data-C19RM'!$G$2)))),((IF(O636="EUR",AR636,(AR636*'Master Data-C19RM'!$G$2))))))</f>
        <v>0</v>
      </c>
      <c r="BT636">
        <f>IF(N636="",0,IF(SETUP!$E$7="USD",((IF(O636="USD",AY636,(AY636/'Master Data-C19RM'!$H$2)))),((IF(O636="EUR",AY636,(AY636*'Master Data-C19RM'!$H$2))))))</f>
        <v>0</v>
      </c>
      <c r="BU636" s="12">
        <f t="shared" si="83"/>
        <v>0</v>
      </c>
      <c r="BV636" s="142">
        <f t="shared" si="84"/>
        <v>0</v>
      </c>
    </row>
    <row r="637" spans="1:74" x14ac:dyDescent="0.35">
      <c r="A637" s="1165"/>
      <c r="B637" s="1165"/>
      <c r="C637" s="1165"/>
      <c r="D637" s="1165"/>
      <c r="E637" s="1166"/>
      <c r="F637" s="1166"/>
      <c r="G637" s="1166"/>
      <c r="H637" s="1166"/>
      <c r="I637" s="1166"/>
      <c r="J637" s="1166"/>
      <c r="K637" s="1166"/>
      <c r="L637" s="490" t="str" cm="1">
        <f t="array" ref="L637">IF(A637&lt;&gt;"",IFERROR(INDEX(PMtbl[[WKst]:[Unit of measure*]],MATCH($A$544&amp;$A637&amp;$E637&amp;$I637,INDEX(PMtbl[Sec]&amp;PMtbl[Category]&amp;PMtbl[Each]&amp;PMtbl[Packaging],0,),0),14),""),"")</f>
        <v/>
      </c>
      <c r="M637" s="479" t="str">
        <f>IF(L637="","",INDEX(SETUP!$E$20:$E$122,(MATCH(INDEX(PMsheet!$D:$E,MATCH(A637,PMsheet!E:E,0),1),SETUP!$D$20:$D$122,0))))</f>
        <v/>
      </c>
      <c r="N637" s="491">
        <f>IF($O637="USD",_xlfn.IFNA(VLOOKUP(A637&amp;E637&amp;I637,PMsheet!J:K,2,0),0),(_xlfn.IFNA(VLOOKUP(A637&amp;E637&amp;I637,PMsheet!J:K,2,0),0)*'Master Data-C19RM'!$C$2))</f>
        <v>0</v>
      </c>
      <c r="O637" s="492" t="str">
        <f>IF(L637="", "",SETUP!$E$7)</f>
        <v/>
      </c>
      <c r="P637" s="444">
        <f>IF($O637="USD",_xlfn.IFNA(VLOOKUP($A637&amp;$E637&amp;$I637,PMsheet!$J:$K,2,0),0),(_xlfn.IFNA(VLOOKUP($A637&amp;$E637&amp;$I637,PMsheet!$J:$K,2,0),0)*'Master Data-C19RM'!$C$2))</f>
        <v>0</v>
      </c>
      <c r="Q637" s="441"/>
      <c r="R637" s="441"/>
      <c r="S637" s="441"/>
      <c r="T637" s="441"/>
      <c r="U637" s="481">
        <f t="shared" si="79"/>
        <v>0</v>
      </c>
      <c r="V637" s="483">
        <f>IF(SETUP!$E$7="USD",(U637*(IF(O637="USD",P637,(P637/'Master Data-C19RM'!$C$2)))),(U637*(IF(O637="EUR",P637,(P637*'Master Data-C19RM'!$C$2)))))</f>
        <v>0</v>
      </c>
      <c r="W637" s="444">
        <f>IF($O637="USD",_xlfn.IFNA(VLOOKUP($A637&amp;$E637&amp;$I637,PMsheet!$J:$K,2,0),0),(_xlfn.IFNA(VLOOKUP($A637&amp;$E637&amp;$I637,PMsheet!$J:$K,2,0),0)*'Master Data-C19RM'!$D$2))</f>
        <v>0</v>
      </c>
      <c r="X637" s="441"/>
      <c r="Y637" s="441"/>
      <c r="Z637" s="441"/>
      <c r="AA637" s="441"/>
      <c r="AB637" s="481">
        <f t="shared" si="80"/>
        <v>0</v>
      </c>
      <c r="AC637" s="483">
        <f>IF(SETUP!$E$7="USD",(AB637*(IF(O637="USD",W637,(W637/'Master Data-C19RM'!$D$2)))),(AB637*(IF(O637="EUR",W637,(W637*'Master Data-C19RM'!$D$2)))))</f>
        <v>0</v>
      </c>
      <c r="AD637" s="444">
        <f>IF($O637="USD",_xlfn.IFNA(VLOOKUP($A637&amp;$E637&amp;$I637,PMsheet!$J:$K,2,0),0),(_xlfn.IFNA(VLOOKUP($A637&amp;$E637&amp;$I637,PMsheet!$J:$K,2,0),0)*'Master Data-C19RM'!$E$2))</f>
        <v>0</v>
      </c>
      <c r="AE637" s="441"/>
      <c r="AF637" s="441"/>
      <c r="AG637" s="441"/>
      <c r="AH637" s="441"/>
      <c r="AI637" s="512">
        <f t="shared" si="81"/>
        <v>0</v>
      </c>
      <c r="AJ637" s="513">
        <f>IF(SETUP!$E$7="USD",(AI637*(IF(O637="USD",AD637,(AD637/'Master Data-C19RM'!$E$2)))),(AI637*(IF(O637="EUR",AD637,(AD637*'Master Data-C19RM'!$E$2)))))</f>
        <v>0</v>
      </c>
      <c r="AK637" s="444">
        <f>IF($O637="USD",_xlfn.IFNA(VLOOKUP($A637&amp;$E637&amp;$I637,PMsheet!$J:$K,2,0),0),(_xlfn.IFNA(VLOOKUP($A637&amp;$E637&amp;$I637,PMsheet!$J:$K,2,0),0)*'Master Data-C19RM'!$F$2))</f>
        <v>0</v>
      </c>
      <c r="AL637" s="441"/>
      <c r="AM637" s="441"/>
      <c r="AN637" s="441"/>
      <c r="AO637" s="441"/>
      <c r="AP637" s="512">
        <f t="shared" si="82"/>
        <v>0</v>
      </c>
      <c r="AQ637" s="513">
        <f>IF(SETUP!$E$7="USD",(AP637*(IF(O637="USD",AK637,(AK637/'Master Data-C19RM'!$F$2)))),(AP637*(IF(O637="EUR",AK637,(AK637*'Master Data-C19RM'!$F$2)))))</f>
        <v>0</v>
      </c>
      <c r="AR637" s="924">
        <f>IF($O637="USD",_xlfn.IFNA(VLOOKUP($A637&amp;$E637&amp;$I637,PMsheet!$J:$K,2,0),0),(_xlfn.IFNA(VLOOKUP($A637&amp;$E637&amp;$I637,PMsheet!$J:$K,2,0),0)*'Master Data-C19RM'!$G$2))</f>
        <v>0</v>
      </c>
      <c r="AS637" s="572"/>
      <c r="AT637" s="572"/>
      <c r="AU637" s="572"/>
      <c r="AV637" s="572"/>
      <c r="AW637" s="512">
        <f t="shared" si="85"/>
        <v>0</v>
      </c>
      <c r="AX637" s="512">
        <f>IF(SETUP!$E$7="USD",(AW637*(IF(O637="USD",AR637,(AR637/'Master Data-C19RM'!$G$2)))),(AW637*(IF(O637="EUR",AR637,(AR637*'Master Data-C19RM'!$G$2)))))</f>
        <v>0</v>
      </c>
      <c r="AY637" s="845"/>
      <c r="AZ637" s="846"/>
      <c r="BA637" s="846"/>
      <c r="BB637" s="846"/>
      <c r="BC637" s="846"/>
      <c r="BD637" s="846"/>
      <c r="BE637" s="847"/>
      <c r="BF637" s="520">
        <f>'C19RM 2021-Lab &amp; Other HPS'!$U637+'C19RM 2021-Lab &amp; Other HPS'!$AB637+'C19RM 2021-Lab &amp; Other HPS'!$AP637+'C19RM 2021-Lab &amp; Other HPS'!$AI637+AW637+BD637</f>
        <v>0</v>
      </c>
      <c r="BG637" s="513">
        <f>'C19RM 2021-Lab &amp; Other HPS'!$V637+'C19RM 2021-Lab &amp; Other HPS'!$AC637+'C19RM 2021-Lab &amp; Other HPS'!$AQ637+'C19RM 2021-Lab &amp; Other HPS'!$AJ637+AX637+BE637</f>
        <v>0</v>
      </c>
      <c r="BH637" s="500" t="str" cm="1">
        <f t="array" ref="BH637">IF(A637&lt;&gt;"",IFERROR(INDEX(PMtbl[[WKst]:[Unit of measure*]],MATCH($A$544&amp;$A637&amp;$E637&amp;$I637,INDEX(PMtbl[Sec]&amp;PMtbl[Category]&amp;PMtbl[Each]&amp;PMtbl[Packaging],0,),0),11),""),"")</f>
        <v/>
      </c>
      <c r="BI637" s="819"/>
      <c r="BJ637" s="502" t="str" cm="1">
        <f t="array" ref="BJ637">IFERROR(INDEX(SETUP!$C$19:$G$121,MATCH((INDEX(PMtbl[[WKst]:[Unit of measure*]],MATCH($A637&amp;$E637&amp;$I637,INDEX(PMtbl[Category]&amp;PMtbl[Each]&amp;PMtbl[Packaging],0,),0),3)),SETUP!$D$19:$D$121,0),5),"")</f>
        <v/>
      </c>
      <c r="BK637" s="542" t="str" cm="1">
        <f t="array" ref="BK637">IFERROR(IF((INDEX(SETUP!$C$19:$G$121,MATCH((INDEX(PMtbl[[WKst]:[Unit of measure*]],MATCH($A637&amp;$E637&amp;$I637,INDEX(PMtbl[Category]&amp;PMtbl[Each]&amp;PMtbl[Packaging],0,),0),3)),SETUP!$D$19:$D$121,0),4))="Upfront",0,INDEX(SETUP!$C$19:$G$121,MATCH((INDEX(PMtbl[[WKst]:[Unit of measure*]],MATCH($A637&amp;$E637&amp;$I637,INDEX(PMtbl[Category]&amp;PMtbl[Each]&amp;PMtbl[Packaging],0,),0),3)),SETUP!$D$19:$D$121,0),5)),"")</f>
        <v/>
      </c>
      <c r="BL637" s="200" t="str" cm="1">
        <f t="array" ref="BL637">IF(E637&lt;&gt;"",IFERROR(INDEX(PMtbl[[WKst]:[Unit of measure*]],MATCH($A$544&amp;$A637&amp;$E637&amp;$I637,INDEX(PMtbl[Sec]&amp;PMtbl[Category]&amp;PMtbl[Each]&amp;PMtbl[Packaging],0,),0),11),""),"")</f>
        <v/>
      </c>
      <c r="BO637" s="12">
        <f>IF(N637="",0,IF(SETUP!$E$7="USD",((IF(O637="USD",P637,(P637/'Master Data-C19RM'!$C$2)))),((IF(O637="EUR",P637,(P637*'Master Data-C19RM'!$C$2))))))</f>
        <v>0</v>
      </c>
      <c r="BP637" s="12">
        <f>IF(N637="",0,IF(SETUP!$E$7="USD",((IF(O637="USD",W637,(W637/'Master Data-C19RM'!$D$2)))),((IF(O637="EUR",W637,(W637*'Master Data-C19RM'!$D$2))))))</f>
        <v>0</v>
      </c>
      <c r="BQ637">
        <f>IF(N637="",0,IF(SETUP!$E$7="USD",((IF(O637="USD",AD637,(AD637/'Master Data-C19RM'!$E$2)))),((IF(O637="EUR",AD637,(AD637*'Master Data-C19RM'!$E$2))))))</f>
        <v>0</v>
      </c>
      <c r="BR637">
        <f>IF(N637="",0,IF(SETUP!$E$7="USD",((IF(O637="USD",AK637,(AK637/'Master Data-C19RM'!$F$2)))),((IF(O637="EUR",AK637,(AK637*'Master Data-C19RM'!$F$2))))))</f>
        <v>0</v>
      </c>
      <c r="BS637">
        <f>IF(N637="",0,IF(SETUP!$E$7="USD",((IF(O637="USD",AR637,(AR637/'Master Data-C19RM'!$G$2)))),((IF(O637="EUR",AR637,(AR637*'Master Data-C19RM'!$G$2))))))</f>
        <v>0</v>
      </c>
      <c r="BT637">
        <f>IF(N637="",0,IF(SETUP!$E$7="USD",((IF(O637="USD",AY637,(AY637/'Master Data-C19RM'!$H$2)))),((IF(O637="EUR",AY637,(AY637*'Master Data-C19RM'!$H$2))))))</f>
        <v>0</v>
      </c>
      <c r="BU637" s="12">
        <f t="shared" si="83"/>
        <v>0</v>
      </c>
      <c r="BV637" s="142">
        <f t="shared" si="84"/>
        <v>0</v>
      </c>
    </row>
    <row r="638" spans="1:74" x14ac:dyDescent="0.35">
      <c r="A638" s="1192"/>
      <c r="B638" s="1192"/>
      <c r="C638" s="1192"/>
      <c r="D638" s="1192"/>
      <c r="E638" s="1173"/>
      <c r="F638" s="1173"/>
      <c r="G638" s="1173"/>
      <c r="H638" s="1173"/>
      <c r="I638" s="1173"/>
      <c r="J638" s="1173"/>
      <c r="K638" s="1173"/>
      <c r="L638" s="493" t="str" cm="1">
        <f t="array" ref="L638">IF(A638&lt;&gt;"",IFERROR(INDEX(PMtbl[[WKst]:[Unit of measure*]],MATCH($A$544&amp;$A638&amp;$E638&amp;$I638,INDEX(PMtbl[Sec]&amp;PMtbl[Category]&amp;PMtbl[Each]&amp;PMtbl[Packaging],0,),0),14),""),"")</f>
        <v/>
      </c>
      <c r="M638" s="480" t="str">
        <f>IF(L638="","",INDEX(SETUP!$E$20:$E$122,(MATCH(INDEX(PMsheet!$D:$E,MATCH(A638,PMsheet!E:E,0),1),SETUP!$D$20:$D$122,0))))</f>
        <v/>
      </c>
      <c r="N638" s="494">
        <f>IF($O638="USD",_xlfn.IFNA(VLOOKUP(A638&amp;E638&amp;I638,PMsheet!J:K,2,0),0),(_xlfn.IFNA(VLOOKUP(A638&amp;E638&amp;I638,PMsheet!J:K,2,0),0)*'Master Data-C19RM'!$C$2))</f>
        <v>0</v>
      </c>
      <c r="O638" s="495" t="str">
        <f>IF(L638="", "",SETUP!$E$7)</f>
        <v/>
      </c>
      <c r="P638" s="445">
        <f>IF($O638="USD",_xlfn.IFNA(VLOOKUP($A638&amp;$E638&amp;$I638,PMsheet!$J:$K,2,0),0),(_xlfn.IFNA(VLOOKUP($A638&amp;$E638&amp;$I638,PMsheet!$J:$K,2,0),0)*'Master Data-C19RM'!$C$2))</f>
        <v>0</v>
      </c>
      <c r="Q638" s="440"/>
      <c r="R638" s="440"/>
      <c r="S638" s="440"/>
      <c r="T638" s="440"/>
      <c r="U638" s="482">
        <f t="shared" si="79"/>
        <v>0</v>
      </c>
      <c r="V638" s="484">
        <f>IF(SETUP!$E$7="USD",(U638*(IF(O638="USD",P638,(P638/'Master Data-C19RM'!$C$2)))),(U638*(IF(O638="EUR",P638,(P638*'Master Data-C19RM'!$C$2)))))</f>
        <v>0</v>
      </c>
      <c r="W638" s="445">
        <f>IF($O638="USD",_xlfn.IFNA(VLOOKUP($A638&amp;$E638&amp;$I638,PMsheet!$J:$K,2,0),0),(_xlfn.IFNA(VLOOKUP($A638&amp;$E638&amp;$I638,PMsheet!$J:$K,2,0),0)*'Master Data-C19RM'!$D$2))</f>
        <v>0</v>
      </c>
      <c r="X638" s="440"/>
      <c r="Y638" s="440"/>
      <c r="Z638" s="440"/>
      <c r="AA638" s="440"/>
      <c r="AB638" s="482">
        <f t="shared" si="80"/>
        <v>0</v>
      </c>
      <c r="AC638" s="484">
        <f>IF(SETUP!$E$7="USD",(AB638*(IF(O638="USD",W638,(W638/'Master Data-C19RM'!$D$2)))),(AB638*(IF(O638="EUR",W638,(W638*'Master Data-C19RM'!$D$2)))))</f>
        <v>0</v>
      </c>
      <c r="AD638" s="445">
        <f>IF($O638="USD",_xlfn.IFNA(VLOOKUP($A638&amp;$E638&amp;$I638,PMsheet!$J:$K,2,0),0),(_xlfn.IFNA(VLOOKUP($A638&amp;$E638&amp;$I638,PMsheet!$J:$K,2,0),0)*'Master Data-C19RM'!$E$2))</f>
        <v>0</v>
      </c>
      <c r="AE638" s="440"/>
      <c r="AF638" s="440"/>
      <c r="AG638" s="440"/>
      <c r="AH638" s="440"/>
      <c r="AI638" s="514">
        <f t="shared" si="81"/>
        <v>0</v>
      </c>
      <c r="AJ638" s="515">
        <f>IF(SETUP!$E$7="USD",(AI638*(IF(O638="USD",AD638,(AD638/'Master Data-C19RM'!$E$2)))),(AI638*(IF(O638="EUR",AD638,(AD638*'Master Data-C19RM'!$E$2)))))</f>
        <v>0</v>
      </c>
      <c r="AK638" s="445">
        <f>IF($O638="USD",_xlfn.IFNA(VLOOKUP($A638&amp;$E638&amp;$I638,PMsheet!$J:$K,2,0),0),(_xlfn.IFNA(VLOOKUP($A638&amp;$E638&amp;$I638,PMsheet!$J:$K,2,0),0)*'Master Data-C19RM'!$F$2))</f>
        <v>0</v>
      </c>
      <c r="AL638" s="440"/>
      <c r="AM638" s="440"/>
      <c r="AN638" s="440"/>
      <c r="AO638" s="440"/>
      <c r="AP638" s="514">
        <f t="shared" si="82"/>
        <v>0</v>
      </c>
      <c r="AQ638" s="515">
        <f>IF(SETUP!$E$7="USD",(AP638*(IF(O638="USD",AK638,(AK638/'Master Data-C19RM'!$F$2)))),(AP638*(IF(O638="EUR",AK638,(AK638*'Master Data-C19RM'!$F$2)))))</f>
        <v>0</v>
      </c>
      <c r="AR638" s="925">
        <f>IF($O638="USD",_xlfn.IFNA(VLOOKUP($A638&amp;$E638&amp;$I638,PMsheet!$J:$K,2,0),0),(_xlfn.IFNA(VLOOKUP($A638&amp;$E638&amp;$I638,PMsheet!$J:$K,2,0),0)*'Master Data-C19RM'!$G$2))</f>
        <v>0</v>
      </c>
      <c r="AS638" s="926"/>
      <c r="AT638" s="926"/>
      <c r="AU638" s="926"/>
      <c r="AV638" s="926"/>
      <c r="AW638" s="514">
        <f t="shared" si="85"/>
        <v>0</v>
      </c>
      <c r="AX638" s="514">
        <f>IF(SETUP!$E$7="USD",(AW638*(IF(O638="USD",AR638,(AR638/'Master Data-C19RM'!$G$2)))),(AW638*(IF(O638="EUR",AR638,(AR638*'Master Data-C19RM'!$G$2)))))</f>
        <v>0</v>
      </c>
      <c r="AY638" s="845"/>
      <c r="AZ638" s="846"/>
      <c r="BA638" s="846"/>
      <c r="BB638" s="846"/>
      <c r="BC638" s="846"/>
      <c r="BD638" s="846"/>
      <c r="BE638" s="847"/>
      <c r="BF638" s="521">
        <f>'C19RM 2021-Lab &amp; Other HPS'!$U638+'C19RM 2021-Lab &amp; Other HPS'!$AB638+'C19RM 2021-Lab &amp; Other HPS'!$AP638+'C19RM 2021-Lab &amp; Other HPS'!$AI638+AW638+BD638</f>
        <v>0</v>
      </c>
      <c r="BG638" s="515">
        <f>'C19RM 2021-Lab &amp; Other HPS'!$V638+'C19RM 2021-Lab &amp; Other HPS'!$AC638+'C19RM 2021-Lab &amp; Other HPS'!$AQ638+'C19RM 2021-Lab &amp; Other HPS'!$AJ638+AX638+BE638</f>
        <v>0</v>
      </c>
      <c r="BH638" s="522" t="str" cm="1">
        <f t="array" ref="BH638">IF(A638&lt;&gt;"",IFERROR(INDEX(PMtbl[[WKst]:[Unit of measure*]],MATCH($A$544&amp;$A638&amp;$E638&amp;$I638,INDEX(PMtbl[Sec]&amp;PMtbl[Category]&amp;PMtbl[Each]&amp;PMtbl[Packaging],0,),0),11),""),"")</f>
        <v/>
      </c>
      <c r="BI638" s="818"/>
      <c r="BJ638" s="503" t="str" cm="1">
        <f t="array" ref="BJ638">IFERROR(INDEX(SETUP!$C$19:$G$121,MATCH((INDEX(PMtbl[[WKst]:[Unit of measure*]],MATCH($A638&amp;$E638&amp;$I638,INDEX(PMtbl[Category]&amp;PMtbl[Each]&amp;PMtbl[Packaging],0,),0),3)),SETUP!$D$19:$D$121,0),5),"")</f>
        <v/>
      </c>
      <c r="BK638" s="543" t="str" cm="1">
        <f t="array" ref="BK638">IFERROR(IF((INDEX(SETUP!$C$19:$G$121,MATCH((INDEX(PMtbl[[WKst]:[Unit of measure*]],MATCH($A638&amp;$E638&amp;$I638,INDEX(PMtbl[Category]&amp;PMtbl[Each]&amp;PMtbl[Packaging],0,),0),3)),SETUP!$D$19:$D$121,0),4))="Upfront",0,INDEX(SETUP!$C$19:$G$121,MATCH((INDEX(PMtbl[[WKst]:[Unit of measure*]],MATCH($A638&amp;$E638&amp;$I638,INDEX(PMtbl[Category]&amp;PMtbl[Each]&amp;PMtbl[Packaging],0,),0),3)),SETUP!$D$19:$D$121,0),5)),"")</f>
        <v/>
      </c>
      <c r="BL638" s="201" t="str" cm="1">
        <f t="array" ref="BL638">IF(E638&lt;&gt;"",IFERROR(INDEX(PMtbl[[WKst]:[Unit of measure*]],MATCH($A$544&amp;$A638&amp;$E638&amp;$I638,INDEX(PMtbl[Sec]&amp;PMtbl[Category]&amp;PMtbl[Each]&amp;PMtbl[Packaging],0,),0),11),""),"")</f>
        <v/>
      </c>
      <c r="BO638" s="12">
        <f>IF(N638="",0,IF(SETUP!$E$7="USD",((IF(O638="USD",P638,(P638/'Master Data-C19RM'!$C$2)))),((IF(O638="EUR",P638,(P638*'Master Data-C19RM'!$C$2))))))</f>
        <v>0</v>
      </c>
      <c r="BP638" s="12">
        <f>IF(N638="",0,IF(SETUP!$E$7="USD",((IF(O638="USD",W638,(W638/'Master Data-C19RM'!$D$2)))),((IF(O638="EUR",W638,(W638*'Master Data-C19RM'!$D$2))))))</f>
        <v>0</v>
      </c>
      <c r="BQ638">
        <f>IF(N638="",0,IF(SETUP!$E$7="USD",((IF(O638="USD",AD638,(AD638/'Master Data-C19RM'!$E$2)))),((IF(O638="EUR",AD638,(AD638*'Master Data-C19RM'!$E$2))))))</f>
        <v>0</v>
      </c>
      <c r="BR638">
        <f>IF(N638="",0,IF(SETUP!$E$7="USD",((IF(O638="USD",AK638,(AK638/'Master Data-C19RM'!$F$2)))),((IF(O638="EUR",AK638,(AK638*'Master Data-C19RM'!$F$2))))))</f>
        <v>0</v>
      </c>
      <c r="BS638">
        <f>IF(N638="",0,IF(SETUP!$E$7="USD",((IF(O638="USD",AR638,(AR638/'Master Data-C19RM'!$G$2)))),((IF(O638="EUR",AR638,(AR638*'Master Data-C19RM'!$G$2))))))</f>
        <v>0</v>
      </c>
      <c r="BT638">
        <f>IF(N638="",0,IF(SETUP!$E$7="USD",((IF(O638="USD",AY638,(AY638/'Master Data-C19RM'!$H$2)))),((IF(O638="EUR",AY638,(AY638*'Master Data-C19RM'!$H$2))))))</f>
        <v>0</v>
      </c>
      <c r="BU638" s="12">
        <f t="shared" si="83"/>
        <v>0</v>
      </c>
      <c r="BV638" s="142">
        <f t="shared" si="84"/>
        <v>0</v>
      </c>
    </row>
    <row r="639" spans="1:74" x14ac:dyDescent="0.35">
      <c r="A639" s="1165"/>
      <c r="B639" s="1165"/>
      <c r="C639" s="1165"/>
      <c r="D639" s="1165"/>
      <c r="E639" s="1166"/>
      <c r="F639" s="1166"/>
      <c r="G639" s="1166"/>
      <c r="H639" s="1166"/>
      <c r="I639" s="1166"/>
      <c r="J639" s="1166"/>
      <c r="K639" s="1166"/>
      <c r="L639" s="490" t="str" cm="1">
        <f t="array" ref="L639">IF(A639&lt;&gt;"",IFERROR(INDEX(PMtbl[[WKst]:[Unit of measure*]],MATCH($A$544&amp;$A639&amp;$E639&amp;$I639,INDEX(PMtbl[Sec]&amp;PMtbl[Category]&amp;PMtbl[Each]&amp;PMtbl[Packaging],0,),0),14),""),"")</f>
        <v/>
      </c>
      <c r="M639" s="479" t="str">
        <f>IF(L639="","",INDEX(SETUP!$E$20:$E$122,(MATCH(INDEX(PMsheet!$D:$E,MATCH(A639,PMsheet!E:E,0),1),SETUP!$D$20:$D$122,0))))</f>
        <v/>
      </c>
      <c r="N639" s="491">
        <f>IF($O639="USD",_xlfn.IFNA(VLOOKUP(A639&amp;E639&amp;I639,PMsheet!J:K,2,0),0),(_xlfn.IFNA(VLOOKUP(A639&amp;E639&amp;I639,PMsheet!J:K,2,0),0)*'Master Data-C19RM'!$C$2))</f>
        <v>0</v>
      </c>
      <c r="O639" s="492" t="str">
        <f>IF(L639="", "",SETUP!$E$7)</f>
        <v/>
      </c>
      <c r="P639" s="444">
        <f>IF($O639="USD",_xlfn.IFNA(VLOOKUP($A639&amp;$E639&amp;$I639,PMsheet!$J:$K,2,0),0),(_xlfn.IFNA(VLOOKUP($A639&amp;$E639&amp;$I639,PMsheet!$J:$K,2,0),0)*'Master Data-C19RM'!$C$2))</f>
        <v>0</v>
      </c>
      <c r="Q639" s="441"/>
      <c r="R639" s="441"/>
      <c r="S639" s="441"/>
      <c r="T639" s="441"/>
      <c r="U639" s="481">
        <f t="shared" si="79"/>
        <v>0</v>
      </c>
      <c r="V639" s="483">
        <f>IF(SETUP!$E$7="USD",(U639*(IF(O639="USD",P639,(P639/'Master Data-C19RM'!$C$2)))),(U639*(IF(O639="EUR",P639,(P639*'Master Data-C19RM'!$C$2)))))</f>
        <v>0</v>
      </c>
      <c r="W639" s="444">
        <f>IF($O639="USD",_xlfn.IFNA(VLOOKUP($A639&amp;$E639&amp;$I639,PMsheet!$J:$K,2,0),0),(_xlfn.IFNA(VLOOKUP($A639&amp;$E639&amp;$I639,PMsheet!$J:$K,2,0),0)*'Master Data-C19RM'!$D$2))</f>
        <v>0</v>
      </c>
      <c r="X639" s="441"/>
      <c r="Y639" s="441"/>
      <c r="Z639" s="441"/>
      <c r="AA639" s="441"/>
      <c r="AB639" s="481">
        <f t="shared" si="80"/>
        <v>0</v>
      </c>
      <c r="AC639" s="483">
        <f>IF(SETUP!$E$7="USD",(AB639*(IF(O639="USD",W639,(W639/'Master Data-C19RM'!$D$2)))),(AB639*(IF(O639="EUR",W639,(W639*'Master Data-C19RM'!$D$2)))))</f>
        <v>0</v>
      </c>
      <c r="AD639" s="444">
        <f>IF($O639="USD",_xlfn.IFNA(VLOOKUP($A639&amp;$E639&amp;$I639,PMsheet!$J:$K,2,0),0),(_xlfn.IFNA(VLOOKUP($A639&amp;$E639&amp;$I639,PMsheet!$J:$K,2,0),0)*'Master Data-C19RM'!$E$2))</f>
        <v>0</v>
      </c>
      <c r="AE639" s="441"/>
      <c r="AF639" s="441"/>
      <c r="AG639" s="441"/>
      <c r="AH639" s="441"/>
      <c r="AI639" s="512">
        <f t="shared" si="81"/>
        <v>0</v>
      </c>
      <c r="AJ639" s="513">
        <f>IF(SETUP!$E$7="USD",(AI639*(IF(O639="USD",AD639,(AD639/'Master Data-C19RM'!$E$2)))),(AI639*(IF(O639="EUR",AD639,(AD639*'Master Data-C19RM'!$E$2)))))</f>
        <v>0</v>
      </c>
      <c r="AK639" s="444">
        <f>IF($O639="USD",_xlfn.IFNA(VLOOKUP($A639&amp;$E639&amp;$I639,PMsheet!$J:$K,2,0),0),(_xlfn.IFNA(VLOOKUP($A639&amp;$E639&amp;$I639,PMsheet!$J:$K,2,0),0)*'Master Data-C19RM'!$F$2))</f>
        <v>0</v>
      </c>
      <c r="AL639" s="441"/>
      <c r="AM639" s="441"/>
      <c r="AN639" s="441"/>
      <c r="AO639" s="441"/>
      <c r="AP639" s="512">
        <f t="shared" si="82"/>
        <v>0</v>
      </c>
      <c r="AQ639" s="513">
        <f>IF(SETUP!$E$7="USD",(AP639*(IF(O639="USD",AK639,(AK639/'Master Data-C19RM'!$F$2)))),(AP639*(IF(O639="EUR",AK639,(AK639*'Master Data-C19RM'!$F$2)))))</f>
        <v>0</v>
      </c>
      <c r="AR639" s="924">
        <f>IF($O639="USD",_xlfn.IFNA(VLOOKUP($A639&amp;$E639&amp;$I639,PMsheet!$J:$K,2,0),0),(_xlfn.IFNA(VLOOKUP($A639&amp;$E639&amp;$I639,PMsheet!$J:$K,2,0),0)*'Master Data-C19RM'!$G$2))</f>
        <v>0</v>
      </c>
      <c r="AS639" s="572"/>
      <c r="AT639" s="572"/>
      <c r="AU639" s="572"/>
      <c r="AV639" s="572"/>
      <c r="AW639" s="512">
        <f t="shared" si="85"/>
        <v>0</v>
      </c>
      <c r="AX639" s="512">
        <f>IF(SETUP!$E$7="USD",(AW639*(IF(O639="USD",AR639,(AR639/'Master Data-C19RM'!$G$2)))),(AW639*(IF(O639="EUR",AR639,(AR639*'Master Data-C19RM'!$G$2)))))</f>
        <v>0</v>
      </c>
      <c r="AY639" s="845"/>
      <c r="AZ639" s="846"/>
      <c r="BA639" s="846"/>
      <c r="BB639" s="846"/>
      <c r="BC639" s="846"/>
      <c r="BD639" s="846"/>
      <c r="BE639" s="847"/>
      <c r="BF639" s="520">
        <f>'C19RM 2021-Lab &amp; Other HPS'!$U639+'C19RM 2021-Lab &amp; Other HPS'!$AB639+'C19RM 2021-Lab &amp; Other HPS'!$AP639+'C19RM 2021-Lab &amp; Other HPS'!$AI639+AW639+BD639</f>
        <v>0</v>
      </c>
      <c r="BG639" s="513">
        <f>'C19RM 2021-Lab &amp; Other HPS'!$V639+'C19RM 2021-Lab &amp; Other HPS'!$AC639+'C19RM 2021-Lab &amp; Other HPS'!$AQ639+'C19RM 2021-Lab &amp; Other HPS'!$AJ639+AX639+BE639</f>
        <v>0</v>
      </c>
      <c r="BH639" s="500" t="str" cm="1">
        <f t="array" ref="BH639">IF(A639&lt;&gt;"",IFERROR(INDEX(PMtbl[[WKst]:[Unit of measure*]],MATCH($A$544&amp;$A639&amp;$E639&amp;$I639,INDEX(PMtbl[Sec]&amp;PMtbl[Category]&amp;PMtbl[Each]&amp;PMtbl[Packaging],0,),0),11),""),"")</f>
        <v/>
      </c>
      <c r="BI639" s="819"/>
      <c r="BJ639" s="502" t="str" cm="1">
        <f t="array" ref="BJ639">IFERROR(INDEX(SETUP!$C$19:$G$121,MATCH((INDEX(PMtbl[[WKst]:[Unit of measure*]],MATCH($A639&amp;$E639&amp;$I639,INDEX(PMtbl[Category]&amp;PMtbl[Each]&amp;PMtbl[Packaging],0,),0),3)),SETUP!$D$19:$D$121,0),5),"")</f>
        <v/>
      </c>
      <c r="BK639" s="542" t="str" cm="1">
        <f t="array" ref="BK639">IFERROR(IF((INDEX(SETUP!$C$19:$G$121,MATCH((INDEX(PMtbl[[WKst]:[Unit of measure*]],MATCH($A639&amp;$E639&amp;$I639,INDEX(PMtbl[Category]&amp;PMtbl[Each]&amp;PMtbl[Packaging],0,),0),3)),SETUP!$D$19:$D$121,0),4))="Upfront",0,INDEX(SETUP!$C$19:$G$121,MATCH((INDEX(PMtbl[[WKst]:[Unit of measure*]],MATCH($A639&amp;$E639&amp;$I639,INDEX(PMtbl[Category]&amp;PMtbl[Each]&amp;PMtbl[Packaging],0,),0),3)),SETUP!$D$19:$D$121,0),5)),"")</f>
        <v/>
      </c>
      <c r="BL639" s="200" t="str" cm="1">
        <f t="array" ref="BL639">IF(E639&lt;&gt;"",IFERROR(INDEX(PMtbl[[WKst]:[Unit of measure*]],MATCH($A$544&amp;$A639&amp;$E639&amp;$I639,INDEX(PMtbl[Sec]&amp;PMtbl[Category]&amp;PMtbl[Each]&amp;PMtbl[Packaging],0,),0),11),""),"")</f>
        <v/>
      </c>
      <c r="BO639" s="12">
        <f>IF(N639="",0,IF(SETUP!$E$7="USD",((IF(O639="USD",P639,(P639/'Master Data-C19RM'!$C$2)))),((IF(O639="EUR",P639,(P639*'Master Data-C19RM'!$C$2))))))</f>
        <v>0</v>
      </c>
      <c r="BP639" s="12">
        <f>IF(N639="",0,IF(SETUP!$E$7="USD",((IF(O639="USD",W639,(W639/'Master Data-C19RM'!$D$2)))),((IF(O639="EUR",W639,(W639*'Master Data-C19RM'!$D$2))))))</f>
        <v>0</v>
      </c>
      <c r="BQ639">
        <f>IF(N639="",0,IF(SETUP!$E$7="USD",((IF(O639="USD",AD639,(AD639/'Master Data-C19RM'!$E$2)))),((IF(O639="EUR",AD639,(AD639*'Master Data-C19RM'!$E$2))))))</f>
        <v>0</v>
      </c>
      <c r="BR639">
        <f>IF(N639="",0,IF(SETUP!$E$7="USD",((IF(O639="USD",AK639,(AK639/'Master Data-C19RM'!$F$2)))),((IF(O639="EUR",AK639,(AK639*'Master Data-C19RM'!$F$2))))))</f>
        <v>0</v>
      </c>
      <c r="BS639">
        <f>IF(N639="",0,IF(SETUP!$E$7="USD",((IF(O639="USD",AR639,(AR639/'Master Data-C19RM'!$G$2)))),((IF(O639="EUR",AR639,(AR639*'Master Data-C19RM'!$G$2))))))</f>
        <v>0</v>
      </c>
      <c r="BT639">
        <f>IF(N639="",0,IF(SETUP!$E$7="USD",((IF(O639="USD",AY639,(AY639/'Master Data-C19RM'!$H$2)))),((IF(O639="EUR",AY639,(AY639*'Master Data-C19RM'!$H$2))))))</f>
        <v>0</v>
      </c>
      <c r="BU639" s="12">
        <f t="shared" si="83"/>
        <v>0</v>
      </c>
      <c r="BV639" s="142">
        <f t="shared" si="84"/>
        <v>0</v>
      </c>
    </row>
    <row r="640" spans="1:74" x14ac:dyDescent="0.35">
      <c r="A640" s="1172"/>
      <c r="B640" s="1172"/>
      <c r="C640" s="1172"/>
      <c r="D640" s="1172"/>
      <c r="E640" s="1173"/>
      <c r="F640" s="1173"/>
      <c r="G640" s="1173"/>
      <c r="H640" s="1173"/>
      <c r="I640" s="1173"/>
      <c r="J640" s="1173"/>
      <c r="K640" s="1173"/>
      <c r="L640" s="493" t="str" cm="1">
        <f t="array" ref="L640">IF(A640&lt;&gt;"",IFERROR(INDEX(PMtbl[[WKst]:[Unit of measure*]],MATCH($A$544&amp;$A640&amp;$E640&amp;$I640,INDEX(PMtbl[Sec]&amp;PMtbl[Category]&amp;PMtbl[Each]&amp;PMtbl[Packaging],0,),0),14),""),"")</f>
        <v/>
      </c>
      <c r="M640" s="480" t="str">
        <f>IF(L640="","",INDEX(SETUP!$E$20:$E$122,(MATCH(INDEX(PMsheet!$D:$E,MATCH(A640,PMsheet!E:E,0),1),SETUP!$D$20:$D$122,0))))</f>
        <v/>
      </c>
      <c r="N640" s="494">
        <f>IF($O640="USD",_xlfn.IFNA(VLOOKUP(A640&amp;E640&amp;I640,PMsheet!J:K,2,0),0),(_xlfn.IFNA(VLOOKUP(A640&amp;E640&amp;I640,PMsheet!J:K,2,0),0)*'Master Data-C19RM'!$C$2))</f>
        <v>0</v>
      </c>
      <c r="O640" s="495" t="str">
        <f>IF(L640="", "",SETUP!$E$7)</f>
        <v/>
      </c>
      <c r="P640" s="445">
        <f>IF($O640="USD",_xlfn.IFNA(VLOOKUP($A640&amp;$E640&amp;$I640,PMsheet!$J:$K,2,0),0),(_xlfn.IFNA(VLOOKUP($A640&amp;$E640&amp;$I640,PMsheet!$J:$K,2,0),0)*'Master Data-C19RM'!$C$2))</f>
        <v>0</v>
      </c>
      <c r="Q640" s="440"/>
      <c r="R640" s="440"/>
      <c r="S640" s="440"/>
      <c r="T640" s="440"/>
      <c r="U640" s="482">
        <f t="shared" si="79"/>
        <v>0</v>
      </c>
      <c r="V640" s="484">
        <f>IF(SETUP!$E$7="USD",(U640*(IF(O640="USD",P640,(P640/'Master Data-C19RM'!$C$2)))),(U640*(IF(O640="EUR",P640,(P640*'Master Data-C19RM'!$C$2)))))</f>
        <v>0</v>
      </c>
      <c r="W640" s="445">
        <f>IF($O640="USD",_xlfn.IFNA(VLOOKUP($A640&amp;$E640&amp;$I640,PMsheet!$J:$K,2,0),0),(_xlfn.IFNA(VLOOKUP($A640&amp;$E640&amp;$I640,PMsheet!$J:$K,2,0),0)*'Master Data-C19RM'!$D$2))</f>
        <v>0</v>
      </c>
      <c r="X640" s="440"/>
      <c r="Y640" s="440"/>
      <c r="Z640" s="440"/>
      <c r="AA640" s="440"/>
      <c r="AB640" s="482">
        <f t="shared" si="80"/>
        <v>0</v>
      </c>
      <c r="AC640" s="484">
        <f>IF(SETUP!$E$7="USD",(AB640*(IF(O640="USD",W640,(W640/'Master Data-C19RM'!$D$2)))),(AB640*(IF(O640="EUR",W640,(W640*'Master Data-C19RM'!$D$2)))))</f>
        <v>0</v>
      </c>
      <c r="AD640" s="445">
        <f>IF($O640="USD",_xlfn.IFNA(VLOOKUP($A640&amp;$E640&amp;$I640,PMsheet!$J:$K,2,0),0),(_xlfn.IFNA(VLOOKUP($A640&amp;$E640&amp;$I640,PMsheet!$J:$K,2,0),0)*'Master Data-C19RM'!$E$2))</f>
        <v>0</v>
      </c>
      <c r="AE640" s="440"/>
      <c r="AF640" s="440"/>
      <c r="AG640" s="440"/>
      <c r="AH640" s="440"/>
      <c r="AI640" s="514">
        <f t="shared" si="81"/>
        <v>0</v>
      </c>
      <c r="AJ640" s="515">
        <f>IF(SETUP!$E$7="USD",(AI640*(IF(O640="USD",AD640,(AD640/'Master Data-C19RM'!$E$2)))),(AI640*(IF(O640="EUR",AD640,(AD640*'Master Data-C19RM'!$E$2)))))</f>
        <v>0</v>
      </c>
      <c r="AK640" s="445">
        <f>IF($O640="USD",_xlfn.IFNA(VLOOKUP($A640&amp;$E640&amp;$I640,PMsheet!$J:$K,2,0),0),(_xlfn.IFNA(VLOOKUP($A640&amp;$E640&amp;$I640,PMsheet!$J:$K,2,0),0)*'Master Data-C19RM'!$F$2))</f>
        <v>0</v>
      </c>
      <c r="AL640" s="440"/>
      <c r="AM640" s="440"/>
      <c r="AN640" s="440"/>
      <c r="AO640" s="440"/>
      <c r="AP640" s="514">
        <f t="shared" si="82"/>
        <v>0</v>
      </c>
      <c r="AQ640" s="515">
        <f>IF(SETUP!$E$7="USD",(AP640*(IF(O640="USD",AK640,(AK640/'Master Data-C19RM'!$F$2)))),(AP640*(IF(O640="EUR",AK640,(AK640*'Master Data-C19RM'!$F$2)))))</f>
        <v>0</v>
      </c>
      <c r="AR640" s="925">
        <f>IF($O640="USD",_xlfn.IFNA(VLOOKUP($A640&amp;$E640&amp;$I640,PMsheet!$J:$K,2,0),0),(_xlfn.IFNA(VLOOKUP($A640&amp;$E640&amp;$I640,PMsheet!$J:$K,2,0),0)*'Master Data-C19RM'!$G$2))</f>
        <v>0</v>
      </c>
      <c r="AS640" s="926"/>
      <c r="AT640" s="926"/>
      <c r="AU640" s="926"/>
      <c r="AV640" s="926"/>
      <c r="AW640" s="514">
        <f t="shared" si="85"/>
        <v>0</v>
      </c>
      <c r="AX640" s="514">
        <f>IF(SETUP!$E$7="USD",(AW640*(IF(O640="USD",AR640,(AR640/'Master Data-C19RM'!$G$2)))),(AW640*(IF(O640="EUR",AR640,(AR640*'Master Data-C19RM'!$G$2)))))</f>
        <v>0</v>
      </c>
      <c r="AY640" s="845"/>
      <c r="AZ640" s="846"/>
      <c r="BA640" s="846"/>
      <c r="BB640" s="846"/>
      <c r="BC640" s="846"/>
      <c r="BD640" s="846"/>
      <c r="BE640" s="847"/>
      <c r="BF640" s="521">
        <f>'C19RM 2021-Lab &amp; Other HPS'!$U640+'C19RM 2021-Lab &amp; Other HPS'!$AB640+'C19RM 2021-Lab &amp; Other HPS'!$AP640+'C19RM 2021-Lab &amp; Other HPS'!$AI640+AW640+BD640</f>
        <v>0</v>
      </c>
      <c r="BG640" s="515">
        <f>'C19RM 2021-Lab &amp; Other HPS'!$V640+'C19RM 2021-Lab &amp; Other HPS'!$AC640+'C19RM 2021-Lab &amp; Other HPS'!$AQ640+'C19RM 2021-Lab &amp; Other HPS'!$AJ640+AX640+BE640</f>
        <v>0</v>
      </c>
      <c r="BH640" s="522" t="str" cm="1">
        <f t="array" ref="BH640">IF(A640&lt;&gt;"",IFERROR(INDEX(PMtbl[[WKst]:[Unit of measure*]],MATCH($A$544&amp;$A640&amp;$E640&amp;$I640,INDEX(PMtbl[Sec]&amp;PMtbl[Category]&amp;PMtbl[Each]&amp;PMtbl[Packaging],0,),0),11),""),"")</f>
        <v/>
      </c>
      <c r="BI640" s="818"/>
      <c r="BJ640" s="503" t="str" cm="1">
        <f t="array" ref="BJ640">IFERROR(INDEX(SETUP!$C$19:$G$121,MATCH((INDEX(PMtbl[[WKst]:[Unit of measure*]],MATCH($A640&amp;$E640&amp;$I640,INDEX(PMtbl[Category]&amp;PMtbl[Each]&amp;PMtbl[Packaging],0,),0),3)),SETUP!$D$19:$D$121,0),5),"")</f>
        <v/>
      </c>
      <c r="BK640" s="543" t="str" cm="1">
        <f t="array" ref="BK640">IFERROR(IF((INDEX(SETUP!$C$19:$G$121,MATCH((INDEX(PMtbl[[WKst]:[Unit of measure*]],MATCH($A640&amp;$E640&amp;$I640,INDEX(PMtbl[Category]&amp;PMtbl[Each]&amp;PMtbl[Packaging],0,),0),3)),SETUP!$D$19:$D$121,0),4))="Upfront",0,INDEX(SETUP!$C$19:$G$121,MATCH((INDEX(PMtbl[[WKst]:[Unit of measure*]],MATCH($A640&amp;$E640&amp;$I640,INDEX(PMtbl[Category]&amp;PMtbl[Each]&amp;PMtbl[Packaging],0,),0),3)),SETUP!$D$19:$D$121,0),5)),"")</f>
        <v/>
      </c>
      <c r="BL640" s="201" t="str" cm="1">
        <f t="array" ref="BL640">IF(E640&lt;&gt;"",IFERROR(INDEX(PMtbl[[WKst]:[Unit of measure*]],MATCH($A$544&amp;$A640&amp;$E640&amp;$I640,INDEX(PMtbl[Sec]&amp;PMtbl[Category]&amp;PMtbl[Each]&amp;PMtbl[Packaging],0,),0),11),""),"")</f>
        <v/>
      </c>
      <c r="BO640" s="12">
        <f>IF(N640="",0,IF(SETUP!$E$7="USD",((IF(O640="USD",P640,(P640/'Master Data-C19RM'!$C$2)))),((IF(O640="EUR",P640,(P640*'Master Data-C19RM'!$C$2))))))</f>
        <v>0</v>
      </c>
      <c r="BP640" s="12">
        <f>IF(N640="",0,IF(SETUP!$E$7="USD",((IF(O640="USD",W640,(W640/'Master Data-C19RM'!$D$2)))),((IF(O640="EUR",W640,(W640*'Master Data-C19RM'!$D$2))))))</f>
        <v>0</v>
      </c>
      <c r="BQ640">
        <f>IF(N640="",0,IF(SETUP!$E$7="USD",((IF(O640="USD",AD640,(AD640/'Master Data-C19RM'!$E$2)))),((IF(O640="EUR",AD640,(AD640*'Master Data-C19RM'!$E$2))))))</f>
        <v>0</v>
      </c>
      <c r="BR640">
        <f>IF(N640="",0,IF(SETUP!$E$7="USD",((IF(O640="USD",AK640,(AK640/'Master Data-C19RM'!$F$2)))),((IF(O640="EUR",AK640,(AK640*'Master Data-C19RM'!$F$2))))))</f>
        <v>0</v>
      </c>
      <c r="BS640">
        <f>IF(N640="",0,IF(SETUP!$E$7="USD",((IF(O640="USD",AR640,(AR640/'Master Data-C19RM'!$G$2)))),((IF(O640="EUR",AR640,(AR640*'Master Data-C19RM'!$G$2))))))</f>
        <v>0</v>
      </c>
      <c r="BT640">
        <f>IF(N640="",0,IF(SETUP!$E$7="USD",((IF(O640="USD",AY640,(AY640/'Master Data-C19RM'!$H$2)))),((IF(O640="EUR",AY640,(AY640*'Master Data-C19RM'!$H$2))))))</f>
        <v>0</v>
      </c>
      <c r="BU640" s="12">
        <f t="shared" si="83"/>
        <v>0</v>
      </c>
      <c r="BV640" s="142">
        <f t="shared" si="84"/>
        <v>0</v>
      </c>
    </row>
    <row r="641" spans="1:74" x14ac:dyDescent="0.35">
      <c r="A641" s="1165"/>
      <c r="B641" s="1165"/>
      <c r="C641" s="1165"/>
      <c r="D641" s="1165"/>
      <c r="E641" s="1166"/>
      <c r="F641" s="1166"/>
      <c r="G641" s="1166"/>
      <c r="H641" s="1166"/>
      <c r="I641" s="1166"/>
      <c r="J641" s="1166"/>
      <c r="K641" s="1166"/>
      <c r="L641" s="490" t="str" cm="1">
        <f t="array" ref="L641">IF(A641&lt;&gt;"",IFERROR(INDEX(PMtbl[[WKst]:[Unit of measure*]],MATCH($A$544&amp;$A641&amp;$E641&amp;$I641,INDEX(PMtbl[Sec]&amp;PMtbl[Category]&amp;PMtbl[Each]&amp;PMtbl[Packaging],0,),0),14),""),"")</f>
        <v/>
      </c>
      <c r="M641" s="479" t="str">
        <f>IF(L641="","",INDEX(SETUP!$E$20:$E$122,(MATCH(INDEX(PMsheet!$D:$E,MATCH(A641,PMsheet!E:E,0),1),SETUP!$D$20:$D$122,0))))</f>
        <v/>
      </c>
      <c r="N641" s="491">
        <f>IF($O641="USD",_xlfn.IFNA(VLOOKUP(A641&amp;E641&amp;I641,PMsheet!J:K,2,0),0),(_xlfn.IFNA(VLOOKUP(A641&amp;E641&amp;I641,PMsheet!J:K,2,0),0)*'Master Data-C19RM'!$C$2))</f>
        <v>0</v>
      </c>
      <c r="O641" s="492" t="str">
        <f>IF(L641="", "",SETUP!$E$7)</f>
        <v/>
      </c>
      <c r="P641" s="444">
        <f>IF($O641="USD",_xlfn.IFNA(VLOOKUP($A641&amp;$E641&amp;$I641,PMsheet!$J:$K,2,0),0),(_xlfn.IFNA(VLOOKUP($A641&amp;$E641&amp;$I641,PMsheet!$J:$K,2,0),0)*'Master Data-C19RM'!$C$2))</f>
        <v>0</v>
      </c>
      <c r="Q641" s="441"/>
      <c r="R641" s="441"/>
      <c r="S641" s="441"/>
      <c r="T641" s="441"/>
      <c r="U641" s="481">
        <f t="shared" si="79"/>
        <v>0</v>
      </c>
      <c r="V641" s="483">
        <f>IF(SETUP!$E$7="USD",(U641*(IF(O641="USD",P641,(P641/'Master Data-C19RM'!$C$2)))),(U641*(IF(O641="EUR",P641,(P641*'Master Data-C19RM'!$C$2)))))</f>
        <v>0</v>
      </c>
      <c r="W641" s="444">
        <f>IF($O641="USD",_xlfn.IFNA(VLOOKUP($A641&amp;$E641&amp;$I641,PMsheet!$J:$K,2,0),0),(_xlfn.IFNA(VLOOKUP($A641&amp;$E641&amp;$I641,PMsheet!$J:$K,2,0),0)*'Master Data-C19RM'!$D$2))</f>
        <v>0</v>
      </c>
      <c r="X641" s="441"/>
      <c r="Y641" s="441"/>
      <c r="Z641" s="441"/>
      <c r="AA641" s="441"/>
      <c r="AB641" s="481">
        <f t="shared" si="80"/>
        <v>0</v>
      </c>
      <c r="AC641" s="483">
        <f>IF(SETUP!$E$7="USD",(AB641*(IF(O641="USD",W641,(W641/'Master Data-C19RM'!$D$2)))),(AB641*(IF(O641="EUR",W641,(W641*'Master Data-C19RM'!$D$2)))))</f>
        <v>0</v>
      </c>
      <c r="AD641" s="444">
        <f>IF($O641="USD",_xlfn.IFNA(VLOOKUP($A641&amp;$E641&amp;$I641,PMsheet!$J:$K,2,0),0),(_xlfn.IFNA(VLOOKUP($A641&amp;$E641&amp;$I641,PMsheet!$J:$K,2,0),0)*'Master Data-C19RM'!$E$2))</f>
        <v>0</v>
      </c>
      <c r="AE641" s="441"/>
      <c r="AF641" s="441"/>
      <c r="AG641" s="441"/>
      <c r="AH641" s="441"/>
      <c r="AI641" s="512">
        <f t="shared" si="81"/>
        <v>0</v>
      </c>
      <c r="AJ641" s="513">
        <f>IF(SETUP!$E$7="USD",(AI641*(IF(O641="USD",AD641,(AD641/'Master Data-C19RM'!$E$2)))),(AI641*(IF(O641="EUR",AD641,(AD641*'Master Data-C19RM'!$E$2)))))</f>
        <v>0</v>
      </c>
      <c r="AK641" s="444">
        <f>IF($O641="USD",_xlfn.IFNA(VLOOKUP($A641&amp;$E641&amp;$I641,PMsheet!$J:$K,2,0),0),(_xlfn.IFNA(VLOOKUP($A641&amp;$E641&amp;$I641,PMsheet!$J:$K,2,0),0)*'Master Data-C19RM'!$F$2))</f>
        <v>0</v>
      </c>
      <c r="AL641" s="441"/>
      <c r="AM641" s="441"/>
      <c r="AN641" s="441"/>
      <c r="AO641" s="441"/>
      <c r="AP641" s="512">
        <f t="shared" si="82"/>
        <v>0</v>
      </c>
      <c r="AQ641" s="513">
        <f>IF(SETUP!$E$7="USD",(AP641*(IF(O641="USD",AK641,(AK641/'Master Data-C19RM'!$F$2)))),(AP641*(IF(O641="EUR",AK641,(AK641*'Master Data-C19RM'!$F$2)))))</f>
        <v>0</v>
      </c>
      <c r="AR641" s="924">
        <f>IF($O641="USD",_xlfn.IFNA(VLOOKUP($A641&amp;$E641&amp;$I641,PMsheet!$J:$K,2,0),0),(_xlfn.IFNA(VLOOKUP($A641&amp;$E641&amp;$I641,PMsheet!$J:$K,2,0),0)*'Master Data-C19RM'!$G$2))</f>
        <v>0</v>
      </c>
      <c r="AS641" s="572"/>
      <c r="AT641" s="572"/>
      <c r="AU641" s="572"/>
      <c r="AV641" s="572"/>
      <c r="AW641" s="512">
        <f t="shared" si="85"/>
        <v>0</v>
      </c>
      <c r="AX641" s="512">
        <f>IF(SETUP!$E$7="USD",(AW641*(IF(O641="USD",AR641,(AR641/'Master Data-C19RM'!$G$2)))),(AW641*(IF(O641="EUR",AR641,(AR641*'Master Data-C19RM'!$G$2)))))</f>
        <v>0</v>
      </c>
      <c r="AY641" s="845"/>
      <c r="AZ641" s="846"/>
      <c r="BA641" s="846"/>
      <c r="BB641" s="846"/>
      <c r="BC641" s="846"/>
      <c r="BD641" s="846"/>
      <c r="BE641" s="847"/>
      <c r="BF641" s="520">
        <f>'C19RM 2021-Lab &amp; Other HPS'!$U641+'C19RM 2021-Lab &amp; Other HPS'!$AB641+'C19RM 2021-Lab &amp; Other HPS'!$AP641+'C19RM 2021-Lab &amp; Other HPS'!$AI641+AW641+BD641</f>
        <v>0</v>
      </c>
      <c r="BG641" s="513">
        <f>'C19RM 2021-Lab &amp; Other HPS'!$V641+'C19RM 2021-Lab &amp; Other HPS'!$AC641+'C19RM 2021-Lab &amp; Other HPS'!$AQ641+'C19RM 2021-Lab &amp; Other HPS'!$AJ641+AX641+BE641</f>
        <v>0</v>
      </c>
      <c r="BH641" s="500" t="str" cm="1">
        <f t="array" ref="BH641">IF(A641&lt;&gt;"",IFERROR(INDEX(PMtbl[[WKst]:[Unit of measure*]],MATCH($A$544&amp;$A641&amp;$E641&amp;$I641,INDEX(PMtbl[Sec]&amp;PMtbl[Category]&amp;PMtbl[Each]&amp;PMtbl[Packaging],0,),0),11),""),"")</f>
        <v/>
      </c>
      <c r="BI641" s="819"/>
      <c r="BJ641" s="502" t="str" cm="1">
        <f t="array" ref="BJ641">IFERROR(INDEX(SETUP!$C$19:$G$121,MATCH((INDEX(PMtbl[[WKst]:[Unit of measure*]],MATCH($A641&amp;$E641&amp;$I641,INDEX(PMtbl[Category]&amp;PMtbl[Each]&amp;PMtbl[Packaging],0,),0),3)),SETUP!$D$19:$D$121,0),5),"")</f>
        <v/>
      </c>
      <c r="BK641" s="542" t="str" cm="1">
        <f t="array" ref="BK641">IFERROR(IF((INDEX(SETUP!$C$19:$G$121,MATCH((INDEX(PMtbl[[WKst]:[Unit of measure*]],MATCH($A641&amp;$E641&amp;$I641,INDEX(PMtbl[Category]&amp;PMtbl[Each]&amp;PMtbl[Packaging],0,),0),3)),SETUP!$D$19:$D$121,0),4))="Upfront",0,INDEX(SETUP!$C$19:$G$121,MATCH((INDEX(PMtbl[[WKst]:[Unit of measure*]],MATCH($A641&amp;$E641&amp;$I641,INDEX(PMtbl[Category]&amp;PMtbl[Each]&amp;PMtbl[Packaging],0,),0),3)),SETUP!$D$19:$D$121,0),5)),"")</f>
        <v/>
      </c>
      <c r="BL641" s="200" t="str" cm="1">
        <f t="array" ref="BL641">IF(E641&lt;&gt;"",IFERROR(INDEX(PMtbl[[WKst]:[Unit of measure*]],MATCH($A$544&amp;$A641&amp;$E641&amp;$I641,INDEX(PMtbl[Sec]&amp;PMtbl[Category]&amp;PMtbl[Each]&amp;PMtbl[Packaging],0,),0),11),""),"")</f>
        <v/>
      </c>
      <c r="BO641" s="12">
        <f>IF(N641="",0,IF(SETUP!$E$7="USD",((IF(O641="USD",P641,(P641/'Master Data-C19RM'!$C$2)))),((IF(O641="EUR",P641,(P641*'Master Data-C19RM'!$C$2))))))</f>
        <v>0</v>
      </c>
      <c r="BP641" s="12">
        <f>IF(N641="",0,IF(SETUP!$E$7="USD",((IF(O641="USD",W641,(W641/'Master Data-C19RM'!$D$2)))),((IF(O641="EUR",W641,(W641*'Master Data-C19RM'!$D$2))))))</f>
        <v>0</v>
      </c>
      <c r="BQ641">
        <f>IF(N641="",0,IF(SETUP!$E$7="USD",((IF(O641="USD",AD641,(AD641/'Master Data-C19RM'!$E$2)))),((IF(O641="EUR",AD641,(AD641*'Master Data-C19RM'!$E$2))))))</f>
        <v>0</v>
      </c>
      <c r="BR641">
        <f>IF(N641="",0,IF(SETUP!$E$7="USD",((IF(O641="USD",AK641,(AK641/'Master Data-C19RM'!$F$2)))),((IF(O641="EUR",AK641,(AK641*'Master Data-C19RM'!$F$2))))))</f>
        <v>0</v>
      </c>
      <c r="BS641">
        <f>IF(N641="",0,IF(SETUP!$E$7="USD",((IF(O641="USD",AR641,(AR641/'Master Data-C19RM'!$G$2)))),((IF(O641="EUR",AR641,(AR641*'Master Data-C19RM'!$G$2))))))</f>
        <v>0</v>
      </c>
      <c r="BT641">
        <f>IF(N641="",0,IF(SETUP!$E$7="USD",((IF(O641="USD",AY641,(AY641/'Master Data-C19RM'!$H$2)))),((IF(O641="EUR",AY641,(AY641*'Master Data-C19RM'!$H$2))))))</f>
        <v>0</v>
      </c>
      <c r="BU641" s="12">
        <f t="shared" si="83"/>
        <v>0</v>
      </c>
      <c r="BV641" s="142">
        <f t="shared" si="84"/>
        <v>0</v>
      </c>
    </row>
    <row r="642" spans="1:74" x14ac:dyDescent="0.35">
      <c r="A642" s="1172"/>
      <c r="B642" s="1172"/>
      <c r="C642" s="1172"/>
      <c r="D642" s="1172"/>
      <c r="E642" s="1173"/>
      <c r="F642" s="1173"/>
      <c r="G642" s="1173"/>
      <c r="H642" s="1173"/>
      <c r="I642" s="1173"/>
      <c r="J642" s="1173"/>
      <c r="K642" s="1173"/>
      <c r="L642" s="493" t="str" cm="1">
        <f t="array" ref="L642">IF(A642&lt;&gt;"",IFERROR(INDEX(PMtbl[[WKst]:[Unit of measure*]],MATCH($A$544&amp;$A642&amp;$E642&amp;$I642,INDEX(PMtbl[Sec]&amp;PMtbl[Category]&amp;PMtbl[Each]&amp;PMtbl[Packaging],0,),0),14),""),"")</f>
        <v/>
      </c>
      <c r="M642" s="480" t="str">
        <f>IF(L642="","",INDEX(SETUP!$E$20:$E$122,(MATCH(INDEX(PMsheet!$D:$E,MATCH(A642,PMsheet!E:E,0),1),SETUP!$D$20:$D$122,0))))</f>
        <v/>
      </c>
      <c r="N642" s="494">
        <f>IF($O642="USD",_xlfn.IFNA(VLOOKUP(A642&amp;E642&amp;I642,PMsheet!J:K,2,0),0),(_xlfn.IFNA(VLOOKUP(A642&amp;E642&amp;I642,PMsheet!J:K,2,0),0)*'Master Data-C19RM'!$C$2))</f>
        <v>0</v>
      </c>
      <c r="O642" s="495" t="str">
        <f>IF(L642="", "",SETUP!$E$7)</f>
        <v/>
      </c>
      <c r="P642" s="445">
        <f>IF($O642="USD",_xlfn.IFNA(VLOOKUP($A642&amp;$E642&amp;$I642,PMsheet!$J:$K,2,0),0),(_xlfn.IFNA(VLOOKUP($A642&amp;$E642&amp;$I642,PMsheet!$J:$K,2,0),0)*'Master Data-C19RM'!$C$2))</f>
        <v>0</v>
      </c>
      <c r="Q642" s="440"/>
      <c r="R642" s="440"/>
      <c r="S642" s="440"/>
      <c r="T642" s="440"/>
      <c r="U642" s="482">
        <f t="shared" si="79"/>
        <v>0</v>
      </c>
      <c r="V642" s="484">
        <f>IF(SETUP!$E$7="USD",(U642*(IF(O642="USD",P642,(P642/'Master Data-C19RM'!$C$2)))),(U642*(IF(O642="EUR",P642,(P642*'Master Data-C19RM'!$C$2)))))</f>
        <v>0</v>
      </c>
      <c r="W642" s="445">
        <f>IF($O642="USD",_xlfn.IFNA(VLOOKUP($A642&amp;$E642&amp;$I642,PMsheet!$J:$K,2,0),0),(_xlfn.IFNA(VLOOKUP($A642&amp;$E642&amp;$I642,PMsheet!$J:$K,2,0),0)*'Master Data-C19RM'!$D$2))</f>
        <v>0</v>
      </c>
      <c r="X642" s="440"/>
      <c r="Y642" s="440"/>
      <c r="Z642" s="440"/>
      <c r="AA642" s="440"/>
      <c r="AB642" s="482">
        <f t="shared" si="80"/>
        <v>0</v>
      </c>
      <c r="AC642" s="484">
        <f>IF(SETUP!$E$7="USD",(AB642*(IF(O642="USD",W642,(W642/'Master Data-C19RM'!$D$2)))),(AB642*(IF(O642="EUR",W642,(W642*'Master Data-C19RM'!$D$2)))))</f>
        <v>0</v>
      </c>
      <c r="AD642" s="445">
        <f>IF($O642="USD",_xlfn.IFNA(VLOOKUP($A642&amp;$E642&amp;$I642,PMsheet!$J:$K,2,0),0),(_xlfn.IFNA(VLOOKUP($A642&amp;$E642&amp;$I642,PMsheet!$J:$K,2,0),0)*'Master Data-C19RM'!$E$2))</f>
        <v>0</v>
      </c>
      <c r="AE642" s="440"/>
      <c r="AF642" s="440"/>
      <c r="AG642" s="440"/>
      <c r="AH642" s="440"/>
      <c r="AI642" s="514">
        <f t="shared" si="81"/>
        <v>0</v>
      </c>
      <c r="AJ642" s="515">
        <f>IF(SETUP!$E$7="USD",(AI642*(IF(O642="USD",AD642,(AD642/'Master Data-C19RM'!$E$2)))),(AI642*(IF(O642="EUR",AD642,(AD642*'Master Data-C19RM'!$E$2)))))</f>
        <v>0</v>
      </c>
      <c r="AK642" s="445">
        <f>IF($O642="USD",_xlfn.IFNA(VLOOKUP($A642&amp;$E642&amp;$I642,PMsheet!$J:$K,2,0),0),(_xlfn.IFNA(VLOOKUP($A642&amp;$E642&amp;$I642,PMsheet!$J:$K,2,0),0)*'Master Data-C19RM'!$F$2))</f>
        <v>0</v>
      </c>
      <c r="AL642" s="440"/>
      <c r="AM642" s="440"/>
      <c r="AN642" s="440"/>
      <c r="AO642" s="440"/>
      <c r="AP642" s="514">
        <f t="shared" si="82"/>
        <v>0</v>
      </c>
      <c r="AQ642" s="515">
        <f>IF(SETUP!$E$7="USD",(AP642*(IF(O642="USD",AK642,(AK642/'Master Data-C19RM'!$F$2)))),(AP642*(IF(O642="EUR",AK642,(AK642*'Master Data-C19RM'!$F$2)))))</f>
        <v>0</v>
      </c>
      <c r="AR642" s="925">
        <f>IF($O642="USD",_xlfn.IFNA(VLOOKUP($A642&amp;$E642&amp;$I642,PMsheet!$J:$K,2,0),0),(_xlfn.IFNA(VLOOKUP($A642&amp;$E642&amp;$I642,PMsheet!$J:$K,2,0),0)*'Master Data-C19RM'!$G$2))</f>
        <v>0</v>
      </c>
      <c r="AS642" s="926"/>
      <c r="AT642" s="926"/>
      <c r="AU642" s="926"/>
      <c r="AV642" s="926"/>
      <c r="AW642" s="514">
        <f t="shared" si="85"/>
        <v>0</v>
      </c>
      <c r="AX642" s="514">
        <f>IF(SETUP!$E$7="USD",(AW642*(IF(O642="USD",AR642,(AR642/'Master Data-C19RM'!$G$2)))),(AW642*(IF(O642="EUR",AR642,(AR642*'Master Data-C19RM'!$G$2)))))</f>
        <v>0</v>
      </c>
      <c r="AY642" s="845"/>
      <c r="AZ642" s="846"/>
      <c r="BA642" s="846"/>
      <c r="BB642" s="846"/>
      <c r="BC642" s="846"/>
      <c r="BD642" s="846"/>
      <c r="BE642" s="847"/>
      <c r="BF642" s="521">
        <f>'C19RM 2021-Lab &amp; Other HPS'!$U642+'C19RM 2021-Lab &amp; Other HPS'!$AB642+'C19RM 2021-Lab &amp; Other HPS'!$AP642+'C19RM 2021-Lab &amp; Other HPS'!$AI642+AW642+BD642</f>
        <v>0</v>
      </c>
      <c r="BG642" s="515">
        <f>'C19RM 2021-Lab &amp; Other HPS'!$V642+'C19RM 2021-Lab &amp; Other HPS'!$AC642+'C19RM 2021-Lab &amp; Other HPS'!$AQ642+'C19RM 2021-Lab &amp; Other HPS'!$AJ642+AX642+BE642</f>
        <v>0</v>
      </c>
      <c r="BH642" s="522" t="str" cm="1">
        <f t="array" ref="BH642">IF(A642&lt;&gt;"",IFERROR(INDEX(PMtbl[[WKst]:[Unit of measure*]],MATCH($A$544&amp;$A642&amp;$E642&amp;$I642,INDEX(PMtbl[Sec]&amp;PMtbl[Category]&amp;PMtbl[Each]&amp;PMtbl[Packaging],0,),0),11),""),"")</f>
        <v/>
      </c>
      <c r="BI642" s="818"/>
      <c r="BJ642" s="503" t="str" cm="1">
        <f t="array" ref="BJ642">IFERROR(INDEX(SETUP!$C$19:$G$121,MATCH((INDEX(PMtbl[[WKst]:[Unit of measure*]],MATCH($A642&amp;$E642&amp;$I642,INDEX(PMtbl[Category]&amp;PMtbl[Each]&amp;PMtbl[Packaging],0,),0),3)),SETUP!$D$19:$D$121,0),5),"")</f>
        <v/>
      </c>
      <c r="BK642" s="543" t="str" cm="1">
        <f t="array" ref="BK642">IFERROR(IF((INDEX(SETUP!$C$19:$G$121,MATCH((INDEX(PMtbl[[WKst]:[Unit of measure*]],MATCH($A642&amp;$E642&amp;$I642,INDEX(PMtbl[Category]&amp;PMtbl[Each]&amp;PMtbl[Packaging],0,),0),3)),SETUP!$D$19:$D$121,0),4))="Upfront",0,INDEX(SETUP!$C$19:$G$121,MATCH((INDEX(PMtbl[[WKst]:[Unit of measure*]],MATCH($A642&amp;$E642&amp;$I642,INDEX(PMtbl[Category]&amp;PMtbl[Each]&amp;PMtbl[Packaging],0,),0),3)),SETUP!$D$19:$D$121,0),5)),"")</f>
        <v/>
      </c>
      <c r="BL642" s="201" t="str" cm="1">
        <f t="array" ref="BL642">IF(E642&lt;&gt;"",IFERROR(INDEX(PMtbl[[WKst]:[Unit of measure*]],MATCH($A$544&amp;$A642&amp;$E642&amp;$I642,INDEX(PMtbl[Sec]&amp;PMtbl[Category]&amp;PMtbl[Each]&amp;PMtbl[Packaging],0,),0),11),""),"")</f>
        <v/>
      </c>
      <c r="BO642" s="12">
        <f>IF(N642="",0,IF(SETUP!$E$7="USD",((IF(O642="USD",P642,(P642/'Master Data-C19RM'!$C$2)))),((IF(O642="EUR",P642,(P642*'Master Data-C19RM'!$C$2))))))</f>
        <v>0</v>
      </c>
      <c r="BP642" s="12">
        <f>IF(N642="",0,IF(SETUP!$E$7="USD",((IF(O642="USD",W642,(W642/'Master Data-C19RM'!$D$2)))),((IF(O642="EUR",W642,(W642*'Master Data-C19RM'!$D$2))))))</f>
        <v>0</v>
      </c>
      <c r="BQ642">
        <f>IF(N642="",0,IF(SETUP!$E$7="USD",((IF(O642="USD",AD642,(AD642/'Master Data-C19RM'!$E$2)))),((IF(O642="EUR",AD642,(AD642*'Master Data-C19RM'!$E$2))))))</f>
        <v>0</v>
      </c>
      <c r="BR642">
        <f>IF(N642="",0,IF(SETUP!$E$7="USD",((IF(O642="USD",AK642,(AK642/'Master Data-C19RM'!$F$2)))),((IF(O642="EUR",AK642,(AK642*'Master Data-C19RM'!$F$2))))))</f>
        <v>0</v>
      </c>
      <c r="BS642">
        <f>IF(N642="",0,IF(SETUP!$E$7="USD",((IF(O642="USD",AR642,(AR642/'Master Data-C19RM'!$G$2)))),((IF(O642="EUR",AR642,(AR642*'Master Data-C19RM'!$G$2))))))</f>
        <v>0</v>
      </c>
      <c r="BT642">
        <f>IF(N642="",0,IF(SETUP!$E$7="USD",((IF(O642="USD",AY642,(AY642/'Master Data-C19RM'!$H$2)))),((IF(O642="EUR",AY642,(AY642*'Master Data-C19RM'!$H$2))))))</f>
        <v>0</v>
      </c>
      <c r="BU642" s="12">
        <f t="shared" si="83"/>
        <v>0</v>
      </c>
      <c r="BV642" s="142">
        <f t="shared" si="84"/>
        <v>0</v>
      </c>
    </row>
    <row r="643" spans="1:74" x14ac:dyDescent="0.35">
      <c r="A643" s="1165"/>
      <c r="B643" s="1165"/>
      <c r="C643" s="1165"/>
      <c r="D643" s="1165"/>
      <c r="E643" s="1166"/>
      <c r="F643" s="1166"/>
      <c r="G643" s="1166"/>
      <c r="H643" s="1166"/>
      <c r="I643" s="1166"/>
      <c r="J643" s="1166"/>
      <c r="K643" s="1166"/>
      <c r="L643" s="490" t="str" cm="1">
        <f t="array" ref="L643">IF(A643&lt;&gt;"",IFERROR(INDEX(PMtbl[[WKst]:[Unit of measure*]],MATCH($A$544&amp;$A643&amp;$E643&amp;$I643,INDEX(PMtbl[Sec]&amp;PMtbl[Category]&amp;PMtbl[Each]&amp;PMtbl[Packaging],0,),0),14),""),"")</f>
        <v/>
      </c>
      <c r="M643" s="479" t="str">
        <f>IF(L643="","",INDEX(SETUP!$E$20:$E$122,(MATCH(INDEX(PMsheet!$D:$E,MATCH(A643,PMsheet!E:E,0),1),SETUP!$D$20:$D$122,0))))</f>
        <v/>
      </c>
      <c r="N643" s="491">
        <f>IF($O643="USD",_xlfn.IFNA(VLOOKUP(A643&amp;E643&amp;I643,PMsheet!J:K,2,0),0),(_xlfn.IFNA(VLOOKUP(A643&amp;E643&amp;I643,PMsheet!J:K,2,0),0)*'Master Data-C19RM'!$C$2))</f>
        <v>0</v>
      </c>
      <c r="O643" s="492" t="str">
        <f>IF(L643="", "",SETUP!$E$7)</f>
        <v/>
      </c>
      <c r="P643" s="444">
        <f>IF($O643="USD",_xlfn.IFNA(VLOOKUP($A643&amp;$E643&amp;$I643,PMsheet!$J:$K,2,0),0),(_xlfn.IFNA(VLOOKUP($A643&amp;$E643&amp;$I643,PMsheet!$J:$K,2,0),0)*'Master Data-C19RM'!$C$2))</f>
        <v>0</v>
      </c>
      <c r="Q643" s="441"/>
      <c r="R643" s="441"/>
      <c r="S643" s="441"/>
      <c r="T643" s="441"/>
      <c r="U643" s="481">
        <f t="shared" si="79"/>
        <v>0</v>
      </c>
      <c r="V643" s="483">
        <f>IF(SETUP!$E$7="USD",(U643*(IF(O643="USD",P643,(P643/'Master Data-C19RM'!$C$2)))),(U643*(IF(O643="EUR",P643,(P643*'Master Data-C19RM'!$C$2)))))</f>
        <v>0</v>
      </c>
      <c r="W643" s="444">
        <f>IF($O643="USD",_xlfn.IFNA(VLOOKUP($A643&amp;$E643&amp;$I643,PMsheet!$J:$K,2,0),0),(_xlfn.IFNA(VLOOKUP($A643&amp;$E643&amp;$I643,PMsheet!$J:$K,2,0),0)*'Master Data-C19RM'!$D$2))</f>
        <v>0</v>
      </c>
      <c r="X643" s="441"/>
      <c r="Y643" s="441"/>
      <c r="Z643" s="441"/>
      <c r="AA643" s="441"/>
      <c r="AB643" s="481">
        <f t="shared" si="80"/>
        <v>0</v>
      </c>
      <c r="AC643" s="483">
        <f>IF(SETUP!$E$7="USD",(AB643*(IF(O643="USD",W643,(W643/'Master Data-C19RM'!$D$2)))),(AB643*(IF(O643="EUR",W643,(W643*'Master Data-C19RM'!$D$2)))))</f>
        <v>0</v>
      </c>
      <c r="AD643" s="444">
        <f>IF($O643="USD",_xlfn.IFNA(VLOOKUP($A643&amp;$E643&amp;$I643,PMsheet!$J:$K,2,0),0),(_xlfn.IFNA(VLOOKUP($A643&amp;$E643&amp;$I643,PMsheet!$J:$K,2,0),0)*'Master Data-C19RM'!$E$2))</f>
        <v>0</v>
      </c>
      <c r="AE643" s="441"/>
      <c r="AF643" s="441"/>
      <c r="AG643" s="441"/>
      <c r="AH643" s="441"/>
      <c r="AI643" s="512">
        <f t="shared" si="81"/>
        <v>0</v>
      </c>
      <c r="AJ643" s="513">
        <f>IF(SETUP!$E$7="USD",(AI643*(IF(O643="USD",AD643,(AD643/'Master Data-C19RM'!$E$2)))),(AI643*(IF(O643="EUR",AD643,(AD643*'Master Data-C19RM'!$E$2)))))</f>
        <v>0</v>
      </c>
      <c r="AK643" s="444">
        <f>IF($O643="USD",_xlfn.IFNA(VLOOKUP($A643&amp;$E643&amp;$I643,PMsheet!$J:$K,2,0),0),(_xlfn.IFNA(VLOOKUP($A643&amp;$E643&amp;$I643,PMsheet!$J:$K,2,0),0)*'Master Data-C19RM'!$F$2))</f>
        <v>0</v>
      </c>
      <c r="AL643" s="441"/>
      <c r="AM643" s="441"/>
      <c r="AN643" s="441"/>
      <c r="AO643" s="441"/>
      <c r="AP643" s="512">
        <f t="shared" si="82"/>
        <v>0</v>
      </c>
      <c r="AQ643" s="513">
        <f>IF(SETUP!$E$7="USD",(AP643*(IF(O643="USD",AK643,(AK643/'Master Data-C19RM'!$F$2)))),(AP643*(IF(O643="EUR",AK643,(AK643*'Master Data-C19RM'!$F$2)))))</f>
        <v>0</v>
      </c>
      <c r="AR643" s="924">
        <f>IF($O643="USD",_xlfn.IFNA(VLOOKUP($A643&amp;$E643&amp;$I643,PMsheet!$J:$K,2,0),0),(_xlfn.IFNA(VLOOKUP($A643&amp;$E643&amp;$I643,PMsheet!$J:$K,2,0),0)*'Master Data-C19RM'!$G$2))</f>
        <v>0</v>
      </c>
      <c r="AS643" s="572"/>
      <c r="AT643" s="572"/>
      <c r="AU643" s="572"/>
      <c r="AV643" s="572"/>
      <c r="AW643" s="512">
        <f t="shared" si="85"/>
        <v>0</v>
      </c>
      <c r="AX643" s="512">
        <f>IF(SETUP!$E$7="USD",(AW643*(IF(O643="USD",AR643,(AR643/'Master Data-C19RM'!$G$2)))),(AW643*(IF(O643="EUR",AR643,(AR643*'Master Data-C19RM'!$G$2)))))</f>
        <v>0</v>
      </c>
      <c r="AY643" s="845"/>
      <c r="AZ643" s="846"/>
      <c r="BA643" s="846"/>
      <c r="BB643" s="846"/>
      <c r="BC643" s="846"/>
      <c r="BD643" s="846"/>
      <c r="BE643" s="847"/>
      <c r="BF643" s="520">
        <f>'C19RM 2021-Lab &amp; Other HPS'!$U643+'C19RM 2021-Lab &amp; Other HPS'!$AB643+'C19RM 2021-Lab &amp; Other HPS'!$AP643+'C19RM 2021-Lab &amp; Other HPS'!$AI643+AW643+BD643</f>
        <v>0</v>
      </c>
      <c r="BG643" s="513">
        <f>'C19RM 2021-Lab &amp; Other HPS'!$V643+'C19RM 2021-Lab &amp; Other HPS'!$AC643+'C19RM 2021-Lab &amp; Other HPS'!$AQ643+'C19RM 2021-Lab &amp; Other HPS'!$AJ643+AX643+BE643</f>
        <v>0</v>
      </c>
      <c r="BH643" s="500" t="str" cm="1">
        <f t="array" ref="BH643">IF(A643&lt;&gt;"",IFERROR(INDEX(PMtbl[[WKst]:[Unit of measure*]],MATCH($A$544&amp;$A643&amp;$E643&amp;$I643,INDEX(PMtbl[Sec]&amp;PMtbl[Category]&amp;PMtbl[Each]&amp;PMtbl[Packaging],0,),0),11),""),"")</f>
        <v/>
      </c>
      <c r="BI643" s="819"/>
      <c r="BJ643" s="502" t="str" cm="1">
        <f t="array" ref="BJ643">IFERROR(INDEX(SETUP!$C$19:$G$121,MATCH((INDEX(PMtbl[[WKst]:[Unit of measure*]],MATCH($A643&amp;$E643&amp;$I643,INDEX(PMtbl[Category]&amp;PMtbl[Each]&amp;PMtbl[Packaging],0,),0),3)),SETUP!$D$19:$D$121,0),5),"")</f>
        <v/>
      </c>
      <c r="BK643" s="542" t="str" cm="1">
        <f t="array" ref="BK643">IFERROR(IF((INDEX(SETUP!$C$19:$G$121,MATCH((INDEX(PMtbl[[WKst]:[Unit of measure*]],MATCH($A643&amp;$E643&amp;$I643,INDEX(PMtbl[Category]&amp;PMtbl[Each]&amp;PMtbl[Packaging],0,),0),3)),SETUP!$D$19:$D$121,0),4))="Upfront",0,INDEX(SETUP!$C$19:$G$121,MATCH((INDEX(PMtbl[[WKst]:[Unit of measure*]],MATCH($A643&amp;$E643&amp;$I643,INDEX(PMtbl[Category]&amp;PMtbl[Each]&amp;PMtbl[Packaging],0,),0),3)),SETUP!$D$19:$D$121,0),5)),"")</f>
        <v/>
      </c>
      <c r="BL643" s="200" t="str" cm="1">
        <f t="array" ref="BL643">IF(E643&lt;&gt;"",IFERROR(INDEX(PMtbl[[WKst]:[Unit of measure*]],MATCH($A$544&amp;$A643&amp;$E643&amp;$I643,INDEX(PMtbl[Sec]&amp;PMtbl[Category]&amp;PMtbl[Each]&amp;PMtbl[Packaging],0,),0),11),""),"")</f>
        <v/>
      </c>
      <c r="BO643" s="12">
        <f>IF(N643="",0,IF(SETUP!$E$7="USD",((IF(O643="USD",P643,(P643/'Master Data-C19RM'!$C$2)))),((IF(O643="EUR",P643,(P643*'Master Data-C19RM'!$C$2))))))</f>
        <v>0</v>
      </c>
      <c r="BP643" s="12">
        <f>IF(N643="",0,IF(SETUP!$E$7="USD",((IF(O643="USD",W643,(W643/'Master Data-C19RM'!$D$2)))),((IF(O643="EUR",W643,(W643*'Master Data-C19RM'!$D$2))))))</f>
        <v>0</v>
      </c>
      <c r="BQ643">
        <f>IF(N643="",0,IF(SETUP!$E$7="USD",((IF(O643="USD",AD643,(AD643/'Master Data-C19RM'!$E$2)))),((IF(O643="EUR",AD643,(AD643*'Master Data-C19RM'!$E$2))))))</f>
        <v>0</v>
      </c>
      <c r="BR643">
        <f>IF(N643="",0,IF(SETUP!$E$7="USD",((IF(O643="USD",AK643,(AK643/'Master Data-C19RM'!$F$2)))),((IF(O643="EUR",AK643,(AK643*'Master Data-C19RM'!$F$2))))))</f>
        <v>0</v>
      </c>
      <c r="BS643">
        <f>IF(N643="",0,IF(SETUP!$E$7="USD",((IF(O643="USD",AR643,(AR643/'Master Data-C19RM'!$G$2)))),((IF(O643="EUR",AR643,(AR643*'Master Data-C19RM'!$G$2))))))</f>
        <v>0</v>
      </c>
      <c r="BT643">
        <f>IF(N643="",0,IF(SETUP!$E$7="USD",((IF(O643="USD",AY643,(AY643/'Master Data-C19RM'!$H$2)))),((IF(O643="EUR",AY643,(AY643*'Master Data-C19RM'!$H$2))))))</f>
        <v>0</v>
      </c>
      <c r="BU643" s="12">
        <f t="shared" si="83"/>
        <v>0</v>
      </c>
      <c r="BV643" s="142">
        <f t="shared" si="84"/>
        <v>0</v>
      </c>
    </row>
    <row r="644" spans="1:74" x14ac:dyDescent="0.35">
      <c r="A644" s="1172"/>
      <c r="B644" s="1172"/>
      <c r="C644" s="1172"/>
      <c r="D644" s="1172"/>
      <c r="E644" s="1173"/>
      <c r="F644" s="1173"/>
      <c r="G644" s="1173"/>
      <c r="H644" s="1173"/>
      <c r="I644" s="1173"/>
      <c r="J644" s="1173"/>
      <c r="K644" s="1173"/>
      <c r="L644" s="493" t="str" cm="1">
        <f t="array" ref="L644">IF(A644&lt;&gt;"",IFERROR(INDEX(PMtbl[[WKst]:[Unit of measure*]],MATCH($A$544&amp;$A644&amp;$E644&amp;$I644,INDEX(PMtbl[Sec]&amp;PMtbl[Category]&amp;PMtbl[Each]&amp;PMtbl[Packaging],0,),0),14),""),"")</f>
        <v/>
      </c>
      <c r="M644" s="480" t="str">
        <f>IF(L644="","",INDEX(SETUP!$E$20:$E$122,(MATCH(INDEX(PMsheet!$D:$E,MATCH(A644,PMsheet!E:E,0),1),SETUP!$D$20:$D$122,0))))</f>
        <v/>
      </c>
      <c r="N644" s="494">
        <f>IF($O644="USD",_xlfn.IFNA(VLOOKUP(A644&amp;E644&amp;I644,PMsheet!J:K,2,0),0),(_xlfn.IFNA(VLOOKUP(A644&amp;E644&amp;I644,PMsheet!J:K,2,0),0)*'Master Data-C19RM'!$C$2))</f>
        <v>0</v>
      </c>
      <c r="O644" s="495" t="str">
        <f>IF(L644="", "",SETUP!$E$7)</f>
        <v/>
      </c>
      <c r="P644" s="445">
        <f>IF($O644="USD",_xlfn.IFNA(VLOOKUP($A644&amp;$E644&amp;$I644,PMsheet!$J:$K,2,0),0),(_xlfn.IFNA(VLOOKUP($A644&amp;$E644&amp;$I644,PMsheet!$J:$K,2,0),0)*'Master Data-C19RM'!$C$2))</f>
        <v>0</v>
      </c>
      <c r="Q644" s="440"/>
      <c r="R644" s="440"/>
      <c r="S644" s="440"/>
      <c r="T644" s="440"/>
      <c r="U644" s="482">
        <f t="shared" si="79"/>
        <v>0</v>
      </c>
      <c r="V644" s="484">
        <f>IF(SETUP!$E$7="USD",(U644*(IF(O644="USD",P644,(P644/'Master Data-C19RM'!$C$2)))),(U644*(IF(O644="EUR",P644,(P644*'Master Data-C19RM'!$C$2)))))</f>
        <v>0</v>
      </c>
      <c r="W644" s="445">
        <f>IF($O644="USD",_xlfn.IFNA(VLOOKUP($A644&amp;$E644&amp;$I644,PMsheet!$J:$K,2,0),0),(_xlfn.IFNA(VLOOKUP($A644&amp;$E644&amp;$I644,PMsheet!$J:$K,2,0),0)*'Master Data-C19RM'!$D$2))</f>
        <v>0</v>
      </c>
      <c r="X644" s="440"/>
      <c r="Y644" s="440"/>
      <c r="Z644" s="440"/>
      <c r="AA644" s="440"/>
      <c r="AB644" s="482">
        <f t="shared" si="80"/>
        <v>0</v>
      </c>
      <c r="AC644" s="484">
        <f>IF(SETUP!$E$7="USD",(AB644*(IF(O644="USD",W644,(W644/'Master Data-C19RM'!$D$2)))),(AB644*(IF(O644="EUR",W644,(W644*'Master Data-C19RM'!$D$2)))))</f>
        <v>0</v>
      </c>
      <c r="AD644" s="445">
        <f>IF($O644="USD",_xlfn.IFNA(VLOOKUP($A644&amp;$E644&amp;$I644,PMsheet!$J:$K,2,0),0),(_xlfn.IFNA(VLOOKUP($A644&amp;$E644&amp;$I644,PMsheet!$J:$K,2,0),0)*'Master Data-C19RM'!$E$2))</f>
        <v>0</v>
      </c>
      <c r="AE644" s="440"/>
      <c r="AF644" s="440"/>
      <c r="AG644" s="440"/>
      <c r="AH644" s="440"/>
      <c r="AI644" s="514">
        <f t="shared" si="81"/>
        <v>0</v>
      </c>
      <c r="AJ644" s="515">
        <f>IF(SETUP!$E$7="USD",(AI644*(IF(O644="USD",AD644,(AD644/'Master Data-C19RM'!$E$2)))),(AI644*(IF(O644="EUR",AD644,(AD644*'Master Data-C19RM'!$E$2)))))</f>
        <v>0</v>
      </c>
      <c r="AK644" s="445">
        <f>IF($O644="USD",_xlfn.IFNA(VLOOKUP($A644&amp;$E644&amp;$I644,PMsheet!$J:$K,2,0),0),(_xlfn.IFNA(VLOOKUP($A644&amp;$E644&amp;$I644,PMsheet!$J:$K,2,0),0)*'Master Data-C19RM'!$F$2))</f>
        <v>0</v>
      </c>
      <c r="AL644" s="440"/>
      <c r="AM644" s="440"/>
      <c r="AN644" s="440"/>
      <c r="AO644" s="440"/>
      <c r="AP644" s="514">
        <f t="shared" si="82"/>
        <v>0</v>
      </c>
      <c r="AQ644" s="515">
        <f>IF(SETUP!$E$7="USD",(AP644*(IF(O644="USD",AK644,(AK644/'Master Data-C19RM'!$F$2)))),(AP644*(IF(O644="EUR",AK644,(AK644*'Master Data-C19RM'!$F$2)))))</f>
        <v>0</v>
      </c>
      <c r="AR644" s="925">
        <f>IF($O644="USD",_xlfn.IFNA(VLOOKUP($A644&amp;$E644&amp;$I644,PMsheet!$J:$K,2,0),0),(_xlfn.IFNA(VLOOKUP($A644&amp;$E644&amp;$I644,PMsheet!$J:$K,2,0),0)*'Master Data-C19RM'!$G$2))</f>
        <v>0</v>
      </c>
      <c r="AS644" s="926"/>
      <c r="AT644" s="926"/>
      <c r="AU644" s="926"/>
      <c r="AV644" s="926"/>
      <c r="AW644" s="514">
        <f t="shared" si="85"/>
        <v>0</v>
      </c>
      <c r="AX644" s="514">
        <f>IF(SETUP!$E$7="USD",(AW644*(IF(O644="USD",AR644,(AR644/'Master Data-C19RM'!$G$2)))),(AW644*(IF(O644="EUR",AR644,(AR644*'Master Data-C19RM'!$G$2)))))</f>
        <v>0</v>
      </c>
      <c r="AY644" s="845"/>
      <c r="AZ644" s="846"/>
      <c r="BA644" s="846"/>
      <c r="BB644" s="846"/>
      <c r="BC644" s="846"/>
      <c r="BD644" s="846"/>
      <c r="BE644" s="847"/>
      <c r="BF644" s="521">
        <f>'C19RM 2021-Lab &amp; Other HPS'!$U644+'C19RM 2021-Lab &amp; Other HPS'!$AB644+'C19RM 2021-Lab &amp; Other HPS'!$AP644+'C19RM 2021-Lab &amp; Other HPS'!$AI644+AW644+BD644</f>
        <v>0</v>
      </c>
      <c r="BG644" s="515">
        <f>'C19RM 2021-Lab &amp; Other HPS'!$V644+'C19RM 2021-Lab &amp; Other HPS'!$AC644+'C19RM 2021-Lab &amp; Other HPS'!$AQ644+'C19RM 2021-Lab &amp; Other HPS'!$AJ644+AX644+BE644</f>
        <v>0</v>
      </c>
      <c r="BH644" s="522" t="str" cm="1">
        <f t="array" ref="BH644">IF(A644&lt;&gt;"",IFERROR(INDEX(PMtbl[[WKst]:[Unit of measure*]],MATCH($A$544&amp;$A644&amp;$E644&amp;$I644,INDEX(PMtbl[Sec]&amp;PMtbl[Category]&amp;PMtbl[Each]&amp;PMtbl[Packaging],0,),0),11),""),"")</f>
        <v/>
      </c>
      <c r="BI644" s="818"/>
      <c r="BJ644" s="503" t="str" cm="1">
        <f t="array" ref="BJ644">IFERROR(INDEX(SETUP!$C$19:$G$121,MATCH((INDEX(PMtbl[[WKst]:[Unit of measure*]],MATCH($A644&amp;$E644&amp;$I644,INDEX(PMtbl[Category]&amp;PMtbl[Each]&amp;PMtbl[Packaging],0,),0),3)),SETUP!$D$19:$D$121,0),5),"")</f>
        <v/>
      </c>
      <c r="BK644" s="543" t="str" cm="1">
        <f t="array" ref="BK644">IFERROR(IF((INDEX(SETUP!$C$19:$G$121,MATCH((INDEX(PMtbl[[WKst]:[Unit of measure*]],MATCH($A644&amp;$E644&amp;$I644,INDEX(PMtbl[Category]&amp;PMtbl[Each]&amp;PMtbl[Packaging],0,),0),3)),SETUP!$D$19:$D$121,0),4))="Upfront",0,INDEX(SETUP!$C$19:$G$121,MATCH((INDEX(PMtbl[[WKst]:[Unit of measure*]],MATCH($A644&amp;$E644&amp;$I644,INDEX(PMtbl[Category]&amp;PMtbl[Each]&amp;PMtbl[Packaging],0,),0),3)),SETUP!$D$19:$D$121,0),5)),"")</f>
        <v/>
      </c>
      <c r="BL644" s="201" t="str" cm="1">
        <f t="array" ref="BL644">IF(E644&lt;&gt;"",IFERROR(INDEX(PMtbl[[WKst]:[Unit of measure*]],MATCH($A$544&amp;$A644&amp;$E644&amp;$I644,INDEX(PMtbl[Sec]&amp;PMtbl[Category]&amp;PMtbl[Each]&amp;PMtbl[Packaging],0,),0),11),""),"")</f>
        <v/>
      </c>
      <c r="BO644" s="12">
        <f>IF(N644="",0,IF(SETUP!$E$7="USD",((IF(O644="USD",P644,(P644/'Master Data-C19RM'!$C$2)))),((IF(O644="EUR",P644,(P644*'Master Data-C19RM'!$C$2))))))</f>
        <v>0</v>
      </c>
      <c r="BP644" s="12">
        <f>IF(N644="",0,IF(SETUP!$E$7="USD",((IF(O644="USD",W644,(W644/'Master Data-C19RM'!$D$2)))),((IF(O644="EUR",W644,(W644*'Master Data-C19RM'!$D$2))))))</f>
        <v>0</v>
      </c>
      <c r="BQ644">
        <f>IF(N644="",0,IF(SETUP!$E$7="USD",((IF(O644="USD",AD644,(AD644/'Master Data-C19RM'!$E$2)))),((IF(O644="EUR",AD644,(AD644*'Master Data-C19RM'!$E$2))))))</f>
        <v>0</v>
      </c>
      <c r="BR644">
        <f>IF(N644="",0,IF(SETUP!$E$7="USD",((IF(O644="USD",AK644,(AK644/'Master Data-C19RM'!$F$2)))),((IF(O644="EUR",AK644,(AK644*'Master Data-C19RM'!$F$2))))))</f>
        <v>0</v>
      </c>
      <c r="BS644">
        <f>IF(N644="",0,IF(SETUP!$E$7="USD",((IF(O644="USD",AR644,(AR644/'Master Data-C19RM'!$G$2)))),((IF(O644="EUR",AR644,(AR644*'Master Data-C19RM'!$G$2))))))</f>
        <v>0</v>
      </c>
      <c r="BT644">
        <f>IF(N644="",0,IF(SETUP!$E$7="USD",((IF(O644="USD",AY644,(AY644/'Master Data-C19RM'!$H$2)))),((IF(O644="EUR",AY644,(AY644*'Master Data-C19RM'!$H$2))))))</f>
        <v>0</v>
      </c>
      <c r="BU644" s="12">
        <f t="shared" si="83"/>
        <v>0</v>
      </c>
      <c r="BV644" s="142">
        <f t="shared" si="84"/>
        <v>0</v>
      </c>
    </row>
    <row r="645" spans="1:74" x14ac:dyDescent="0.35">
      <c r="A645" s="1165"/>
      <c r="B645" s="1165"/>
      <c r="C645" s="1165"/>
      <c r="D645" s="1165"/>
      <c r="E645" s="1166"/>
      <c r="F645" s="1166"/>
      <c r="G645" s="1166"/>
      <c r="H645" s="1166"/>
      <c r="I645" s="1166"/>
      <c r="J645" s="1166"/>
      <c r="K645" s="1166"/>
      <c r="L645" s="490" t="str" cm="1">
        <f t="array" ref="L645">IF(A645&lt;&gt;"",IFERROR(INDEX(PMtbl[[WKst]:[Unit of measure*]],MATCH($A$544&amp;$A645&amp;$E645&amp;$I645,INDEX(PMtbl[Sec]&amp;PMtbl[Category]&amp;PMtbl[Each]&amp;PMtbl[Packaging],0,),0),14),""),"")</f>
        <v/>
      </c>
      <c r="M645" s="479" t="str">
        <f>IF(L645="","",INDEX(SETUP!$E$20:$E$122,(MATCH(INDEX(PMsheet!$D:$E,MATCH(A645,PMsheet!E:E,0),1),SETUP!$D$20:$D$122,0))))</f>
        <v/>
      </c>
      <c r="N645" s="491">
        <f>IF($O645="USD",_xlfn.IFNA(VLOOKUP(A645&amp;E645&amp;I645,PMsheet!J:K,2,0),0),(_xlfn.IFNA(VLOOKUP(A645&amp;E645&amp;I645,PMsheet!J:K,2,0),0)*'Master Data-C19RM'!$C$2))</f>
        <v>0</v>
      </c>
      <c r="O645" s="492" t="str">
        <f>IF(L645="", "",SETUP!$E$7)</f>
        <v/>
      </c>
      <c r="P645" s="444">
        <f>IF($O645="USD",_xlfn.IFNA(VLOOKUP($A645&amp;$E645&amp;$I645,PMsheet!$J:$K,2,0),0),(_xlfn.IFNA(VLOOKUP($A645&amp;$E645&amp;$I645,PMsheet!$J:$K,2,0),0)*'Master Data-C19RM'!$C$2))</f>
        <v>0</v>
      </c>
      <c r="Q645" s="441"/>
      <c r="R645" s="441"/>
      <c r="S645" s="441"/>
      <c r="T645" s="441"/>
      <c r="U645" s="481">
        <f t="shared" si="79"/>
        <v>0</v>
      </c>
      <c r="V645" s="483">
        <f>IF(SETUP!$E$7="USD",(U645*(IF(O645="USD",P645,(P645/'Master Data-C19RM'!$C$2)))),(U645*(IF(O645="EUR",P645,(P645*'Master Data-C19RM'!$C$2)))))</f>
        <v>0</v>
      </c>
      <c r="W645" s="444">
        <f>IF($O645="USD",_xlfn.IFNA(VLOOKUP($A645&amp;$E645&amp;$I645,PMsheet!$J:$K,2,0),0),(_xlfn.IFNA(VLOOKUP($A645&amp;$E645&amp;$I645,PMsheet!$J:$K,2,0),0)*'Master Data-C19RM'!$D$2))</f>
        <v>0</v>
      </c>
      <c r="X645" s="441"/>
      <c r="Y645" s="441"/>
      <c r="Z645" s="441"/>
      <c r="AA645" s="441"/>
      <c r="AB645" s="481">
        <f t="shared" si="80"/>
        <v>0</v>
      </c>
      <c r="AC645" s="483">
        <f>IF(SETUP!$E$7="USD",(AB645*(IF(O645="USD",W645,(W645/'Master Data-C19RM'!$D$2)))),(AB645*(IF(O645="EUR",W645,(W645*'Master Data-C19RM'!$D$2)))))</f>
        <v>0</v>
      </c>
      <c r="AD645" s="444">
        <f>IF($O645="USD",_xlfn.IFNA(VLOOKUP($A645&amp;$E645&amp;$I645,PMsheet!$J:$K,2,0),0),(_xlfn.IFNA(VLOOKUP($A645&amp;$E645&amp;$I645,PMsheet!$J:$K,2,0),0)*'Master Data-C19RM'!$E$2))</f>
        <v>0</v>
      </c>
      <c r="AE645" s="441"/>
      <c r="AF645" s="441"/>
      <c r="AG645" s="441"/>
      <c r="AH645" s="441"/>
      <c r="AI645" s="512">
        <f t="shared" si="81"/>
        <v>0</v>
      </c>
      <c r="AJ645" s="513">
        <f>IF(SETUP!$E$7="USD",(AI645*(IF(O645="USD",AD645,(AD645/'Master Data-C19RM'!$E$2)))),(AI645*(IF(O645="EUR",AD645,(AD645*'Master Data-C19RM'!$E$2)))))</f>
        <v>0</v>
      </c>
      <c r="AK645" s="444">
        <f>IF($O645="USD",_xlfn.IFNA(VLOOKUP($A645&amp;$E645&amp;$I645,PMsheet!$J:$K,2,0),0),(_xlfn.IFNA(VLOOKUP($A645&amp;$E645&amp;$I645,PMsheet!$J:$K,2,0),0)*'Master Data-C19RM'!$F$2))</f>
        <v>0</v>
      </c>
      <c r="AL645" s="441"/>
      <c r="AM645" s="441"/>
      <c r="AN645" s="441"/>
      <c r="AO645" s="441"/>
      <c r="AP645" s="512">
        <f t="shared" si="82"/>
        <v>0</v>
      </c>
      <c r="AQ645" s="513">
        <f>IF(SETUP!$E$7="USD",(AP645*(IF(O645="USD",AK645,(AK645/'Master Data-C19RM'!$F$2)))),(AP645*(IF(O645="EUR",AK645,(AK645*'Master Data-C19RM'!$F$2)))))</f>
        <v>0</v>
      </c>
      <c r="AR645" s="924">
        <f>IF($O645="USD",_xlfn.IFNA(VLOOKUP($A645&amp;$E645&amp;$I645,PMsheet!$J:$K,2,0),0),(_xlfn.IFNA(VLOOKUP($A645&amp;$E645&amp;$I645,PMsheet!$J:$K,2,0),0)*'Master Data-C19RM'!$G$2))</f>
        <v>0</v>
      </c>
      <c r="AS645" s="572"/>
      <c r="AT645" s="572"/>
      <c r="AU645" s="572"/>
      <c r="AV645" s="572"/>
      <c r="AW645" s="512">
        <f t="shared" si="85"/>
        <v>0</v>
      </c>
      <c r="AX645" s="512">
        <f>IF(SETUP!$E$7="USD",(AW645*(IF(O645="USD",AR645,(AR645/'Master Data-C19RM'!$G$2)))),(AW645*(IF(O645="EUR",AR645,(AR645*'Master Data-C19RM'!$G$2)))))</f>
        <v>0</v>
      </c>
      <c r="AY645" s="845"/>
      <c r="AZ645" s="846"/>
      <c r="BA645" s="846"/>
      <c r="BB645" s="846"/>
      <c r="BC645" s="846"/>
      <c r="BD645" s="846"/>
      <c r="BE645" s="847"/>
      <c r="BF645" s="520">
        <f>'C19RM 2021-Lab &amp; Other HPS'!$U645+'C19RM 2021-Lab &amp; Other HPS'!$AB645+'C19RM 2021-Lab &amp; Other HPS'!$AP645+'C19RM 2021-Lab &amp; Other HPS'!$AI645+AW645+BD645</f>
        <v>0</v>
      </c>
      <c r="BG645" s="513">
        <f>'C19RM 2021-Lab &amp; Other HPS'!$V645+'C19RM 2021-Lab &amp; Other HPS'!$AC645+'C19RM 2021-Lab &amp; Other HPS'!$AQ645+'C19RM 2021-Lab &amp; Other HPS'!$AJ645+AX645+BE645</f>
        <v>0</v>
      </c>
      <c r="BH645" s="500" t="str" cm="1">
        <f t="array" ref="BH645">IF(A645&lt;&gt;"",IFERROR(INDEX(PMtbl[[WKst]:[Unit of measure*]],MATCH($A$544&amp;$A645&amp;$E645&amp;$I645,INDEX(PMtbl[Sec]&amp;PMtbl[Category]&amp;PMtbl[Each]&amp;PMtbl[Packaging],0,),0),11),""),"")</f>
        <v/>
      </c>
      <c r="BI645" s="819"/>
      <c r="BJ645" s="502" t="str" cm="1">
        <f t="array" ref="BJ645">IFERROR(INDEX(SETUP!$C$19:$G$121,MATCH((INDEX(PMtbl[[WKst]:[Unit of measure*]],MATCH($A645&amp;$E645&amp;$I645,INDEX(PMtbl[Category]&amp;PMtbl[Each]&amp;PMtbl[Packaging],0,),0),3)),SETUP!$D$19:$D$121,0),5),"")</f>
        <v/>
      </c>
      <c r="BK645" s="542" t="str" cm="1">
        <f t="array" ref="BK645">IFERROR(IF((INDEX(SETUP!$C$19:$G$121,MATCH((INDEX(PMtbl[[WKst]:[Unit of measure*]],MATCH($A645&amp;$E645&amp;$I645,INDEX(PMtbl[Category]&amp;PMtbl[Each]&amp;PMtbl[Packaging],0,),0),3)),SETUP!$D$19:$D$121,0),4))="Upfront",0,INDEX(SETUP!$C$19:$G$121,MATCH((INDEX(PMtbl[[WKst]:[Unit of measure*]],MATCH($A645&amp;$E645&amp;$I645,INDEX(PMtbl[Category]&amp;PMtbl[Each]&amp;PMtbl[Packaging],0,),0),3)),SETUP!$D$19:$D$121,0),5)),"")</f>
        <v/>
      </c>
      <c r="BL645" s="200" t="str" cm="1">
        <f t="array" ref="BL645">IF(E645&lt;&gt;"",IFERROR(INDEX(PMtbl[[WKst]:[Unit of measure*]],MATCH($A$544&amp;$A645&amp;$E645&amp;$I645,INDEX(PMtbl[Sec]&amp;PMtbl[Category]&amp;PMtbl[Each]&amp;PMtbl[Packaging],0,),0),11),""),"")</f>
        <v/>
      </c>
      <c r="BO645" s="12">
        <f>IF(N645="",0,IF(SETUP!$E$7="USD",((IF(O645="USD",P645,(P645/'Master Data-C19RM'!$C$2)))),((IF(O645="EUR",P645,(P645*'Master Data-C19RM'!$C$2))))))</f>
        <v>0</v>
      </c>
      <c r="BP645" s="12">
        <f>IF(N645="",0,IF(SETUP!$E$7="USD",((IF(O645="USD",W645,(W645/'Master Data-C19RM'!$D$2)))),((IF(O645="EUR",W645,(W645*'Master Data-C19RM'!$D$2))))))</f>
        <v>0</v>
      </c>
      <c r="BQ645">
        <f>IF(N645="",0,IF(SETUP!$E$7="USD",((IF(O645="USD",AD645,(AD645/'Master Data-C19RM'!$E$2)))),((IF(O645="EUR",AD645,(AD645*'Master Data-C19RM'!$E$2))))))</f>
        <v>0</v>
      </c>
      <c r="BR645">
        <f>IF(N645="",0,IF(SETUP!$E$7="USD",((IF(O645="USD",AK645,(AK645/'Master Data-C19RM'!$F$2)))),((IF(O645="EUR",AK645,(AK645*'Master Data-C19RM'!$F$2))))))</f>
        <v>0</v>
      </c>
      <c r="BS645">
        <f>IF(N645="",0,IF(SETUP!$E$7="USD",((IF(O645="USD",AR645,(AR645/'Master Data-C19RM'!$G$2)))),((IF(O645="EUR",AR645,(AR645*'Master Data-C19RM'!$G$2))))))</f>
        <v>0</v>
      </c>
      <c r="BT645">
        <f>IF(N645="",0,IF(SETUP!$E$7="USD",((IF(O645="USD",AY645,(AY645/'Master Data-C19RM'!$H$2)))),((IF(O645="EUR",AY645,(AY645*'Master Data-C19RM'!$H$2))))))</f>
        <v>0</v>
      </c>
      <c r="BU645" s="12">
        <f t="shared" si="83"/>
        <v>0</v>
      </c>
      <c r="BV645" s="142">
        <f t="shared" si="84"/>
        <v>0</v>
      </c>
    </row>
    <row r="646" spans="1:74" x14ac:dyDescent="0.35">
      <c r="A646" s="1172"/>
      <c r="B646" s="1172"/>
      <c r="C646" s="1172"/>
      <c r="D646" s="1172"/>
      <c r="E646" s="1173"/>
      <c r="F646" s="1173"/>
      <c r="G646" s="1173"/>
      <c r="H646" s="1173"/>
      <c r="I646" s="1173"/>
      <c r="J646" s="1173"/>
      <c r="K646" s="1173"/>
      <c r="L646" s="493" t="str" cm="1">
        <f t="array" ref="L646">IF(A646&lt;&gt;"",IFERROR(INDEX(PMtbl[[WKst]:[Unit of measure*]],MATCH($A$544&amp;$A646&amp;$E646&amp;$I646,INDEX(PMtbl[Sec]&amp;PMtbl[Category]&amp;PMtbl[Each]&amp;PMtbl[Packaging],0,),0),14),""),"")</f>
        <v/>
      </c>
      <c r="M646" s="480" t="str">
        <f>IF(L646="","",INDEX(SETUP!$E$20:$E$122,(MATCH(INDEX(PMsheet!$D:$E,MATCH(A646,PMsheet!E:E,0),1),SETUP!$D$20:$D$122,0))))</f>
        <v/>
      </c>
      <c r="N646" s="494">
        <f>IF($O646="USD",_xlfn.IFNA(VLOOKUP(A646&amp;E646&amp;I646,PMsheet!J:K,2,0),0),(_xlfn.IFNA(VLOOKUP(A646&amp;E646&amp;I646,PMsheet!J:K,2,0),0)*'Master Data-C19RM'!$C$2))</f>
        <v>0</v>
      </c>
      <c r="O646" s="495" t="str">
        <f>IF(L646="", "",SETUP!$E$7)</f>
        <v/>
      </c>
      <c r="P646" s="445">
        <f>IF($O646="USD",_xlfn.IFNA(VLOOKUP($A646&amp;$E646&amp;$I646,PMsheet!$J:$K,2,0),0),(_xlfn.IFNA(VLOOKUP($A646&amp;$E646&amp;$I646,PMsheet!$J:$K,2,0),0)*'Master Data-C19RM'!$C$2))</f>
        <v>0</v>
      </c>
      <c r="Q646" s="440"/>
      <c r="R646" s="440"/>
      <c r="S646" s="440"/>
      <c r="T646" s="440"/>
      <c r="U646" s="482">
        <f t="shared" si="79"/>
        <v>0</v>
      </c>
      <c r="V646" s="484">
        <f>IF(SETUP!$E$7="USD",(U646*(IF(O646="USD",P646,(P646/'Master Data-C19RM'!$C$2)))),(U646*(IF(O646="EUR",P646,(P646*'Master Data-C19RM'!$C$2)))))</f>
        <v>0</v>
      </c>
      <c r="W646" s="445">
        <f>IF($O646="USD",_xlfn.IFNA(VLOOKUP($A646&amp;$E646&amp;$I646,PMsheet!$J:$K,2,0),0),(_xlfn.IFNA(VLOOKUP($A646&amp;$E646&amp;$I646,PMsheet!$J:$K,2,0),0)*'Master Data-C19RM'!$D$2))</f>
        <v>0</v>
      </c>
      <c r="X646" s="440"/>
      <c r="Y646" s="440"/>
      <c r="Z646" s="440"/>
      <c r="AA646" s="440"/>
      <c r="AB646" s="482">
        <f t="shared" si="80"/>
        <v>0</v>
      </c>
      <c r="AC646" s="484">
        <f>IF(SETUP!$E$7="USD",(AB646*(IF(O646="USD",W646,(W646/'Master Data-C19RM'!$D$2)))),(AB646*(IF(O646="EUR",W646,(W646*'Master Data-C19RM'!$D$2)))))</f>
        <v>0</v>
      </c>
      <c r="AD646" s="445">
        <f>IF($O646="USD",_xlfn.IFNA(VLOOKUP($A646&amp;$E646&amp;$I646,PMsheet!$J:$K,2,0),0),(_xlfn.IFNA(VLOOKUP($A646&amp;$E646&amp;$I646,PMsheet!$J:$K,2,0),0)*'Master Data-C19RM'!$E$2))</f>
        <v>0</v>
      </c>
      <c r="AE646" s="440"/>
      <c r="AF646" s="440"/>
      <c r="AG646" s="440"/>
      <c r="AH646" s="440"/>
      <c r="AI646" s="514">
        <f t="shared" si="81"/>
        <v>0</v>
      </c>
      <c r="AJ646" s="515">
        <f>IF(SETUP!$E$7="USD",(AI646*(IF(O646="USD",AD646,(AD646/'Master Data-C19RM'!$E$2)))),(AI646*(IF(O646="EUR",AD646,(AD646*'Master Data-C19RM'!$E$2)))))</f>
        <v>0</v>
      </c>
      <c r="AK646" s="445">
        <f>IF($O646="USD",_xlfn.IFNA(VLOOKUP($A646&amp;$E646&amp;$I646,PMsheet!$J:$K,2,0),0),(_xlfn.IFNA(VLOOKUP($A646&amp;$E646&amp;$I646,PMsheet!$J:$K,2,0),0)*'Master Data-C19RM'!$F$2))</f>
        <v>0</v>
      </c>
      <c r="AL646" s="440"/>
      <c r="AM646" s="440"/>
      <c r="AN646" s="440"/>
      <c r="AO646" s="440"/>
      <c r="AP646" s="514">
        <f t="shared" si="82"/>
        <v>0</v>
      </c>
      <c r="AQ646" s="515">
        <f>IF(SETUP!$E$7="USD",(AP646*(IF(O646="USD",AK646,(AK646/'Master Data-C19RM'!$F$2)))),(AP646*(IF(O646="EUR",AK646,(AK646*'Master Data-C19RM'!$F$2)))))</f>
        <v>0</v>
      </c>
      <c r="AR646" s="925">
        <f>IF($O646="USD",_xlfn.IFNA(VLOOKUP($A646&amp;$E646&amp;$I646,PMsheet!$J:$K,2,0),0),(_xlfn.IFNA(VLOOKUP($A646&amp;$E646&amp;$I646,PMsheet!$J:$K,2,0),0)*'Master Data-C19RM'!$G$2))</f>
        <v>0</v>
      </c>
      <c r="AS646" s="926"/>
      <c r="AT646" s="926"/>
      <c r="AU646" s="926"/>
      <c r="AV646" s="926"/>
      <c r="AW646" s="514">
        <f t="shared" si="85"/>
        <v>0</v>
      </c>
      <c r="AX646" s="514">
        <f>IF(SETUP!$E$7="USD",(AW646*(IF(O646="USD",AR646,(AR646/'Master Data-C19RM'!$G$2)))),(AW646*(IF(O646="EUR",AR646,(AR646*'Master Data-C19RM'!$G$2)))))</f>
        <v>0</v>
      </c>
      <c r="AY646" s="845"/>
      <c r="AZ646" s="846"/>
      <c r="BA646" s="846"/>
      <c r="BB646" s="846"/>
      <c r="BC646" s="846"/>
      <c r="BD646" s="846"/>
      <c r="BE646" s="847"/>
      <c r="BF646" s="521">
        <f>'C19RM 2021-Lab &amp; Other HPS'!$U646+'C19RM 2021-Lab &amp; Other HPS'!$AB646+'C19RM 2021-Lab &amp; Other HPS'!$AP646+'C19RM 2021-Lab &amp; Other HPS'!$AI646+AW646+BD646</f>
        <v>0</v>
      </c>
      <c r="BG646" s="515">
        <f>'C19RM 2021-Lab &amp; Other HPS'!$V646+'C19RM 2021-Lab &amp; Other HPS'!$AC646+'C19RM 2021-Lab &amp; Other HPS'!$AQ646+'C19RM 2021-Lab &amp; Other HPS'!$AJ646+AX646+BE646</f>
        <v>0</v>
      </c>
      <c r="BH646" s="522" t="str" cm="1">
        <f t="array" ref="BH646">IF(A646&lt;&gt;"",IFERROR(INDEX(PMtbl[[WKst]:[Unit of measure*]],MATCH($A$544&amp;$A646&amp;$E646&amp;$I646,INDEX(PMtbl[Sec]&amp;PMtbl[Category]&amp;PMtbl[Each]&amp;PMtbl[Packaging],0,),0),11),""),"")</f>
        <v/>
      </c>
      <c r="BI646" s="818"/>
      <c r="BJ646" s="503" t="str" cm="1">
        <f t="array" ref="BJ646">IFERROR(INDEX(SETUP!$C$19:$G$121,MATCH((INDEX(PMtbl[[WKst]:[Unit of measure*]],MATCH($A646&amp;$E646&amp;$I646,INDEX(PMtbl[Category]&amp;PMtbl[Each]&amp;PMtbl[Packaging],0,),0),3)),SETUP!$D$19:$D$121,0),5),"")</f>
        <v/>
      </c>
      <c r="BK646" s="543" t="str" cm="1">
        <f t="array" ref="BK646">IFERROR(IF((INDEX(SETUP!$C$19:$G$121,MATCH((INDEX(PMtbl[[WKst]:[Unit of measure*]],MATCH($A646&amp;$E646&amp;$I646,INDEX(PMtbl[Category]&amp;PMtbl[Each]&amp;PMtbl[Packaging],0,),0),3)),SETUP!$D$19:$D$121,0),4))="Upfront",0,INDEX(SETUP!$C$19:$G$121,MATCH((INDEX(PMtbl[[WKst]:[Unit of measure*]],MATCH($A646&amp;$E646&amp;$I646,INDEX(PMtbl[Category]&amp;PMtbl[Each]&amp;PMtbl[Packaging],0,),0),3)),SETUP!$D$19:$D$121,0),5)),"")</f>
        <v/>
      </c>
      <c r="BL646" s="201" t="str" cm="1">
        <f t="array" ref="BL646">IF(E646&lt;&gt;"",IFERROR(INDEX(PMtbl[[WKst]:[Unit of measure*]],MATCH($A$544&amp;$A646&amp;$E646&amp;$I646,INDEX(PMtbl[Sec]&amp;PMtbl[Category]&amp;PMtbl[Each]&amp;PMtbl[Packaging],0,),0),11),""),"")</f>
        <v/>
      </c>
      <c r="BO646" s="12">
        <f>IF(N646="",0,IF(SETUP!$E$7="USD",((IF(O646="USD",P646,(P646/'Master Data-C19RM'!$C$2)))),((IF(O646="EUR",P646,(P646*'Master Data-C19RM'!$C$2))))))</f>
        <v>0</v>
      </c>
      <c r="BP646" s="12">
        <f>IF(N646="",0,IF(SETUP!$E$7="USD",((IF(O646="USD",W646,(W646/'Master Data-C19RM'!$D$2)))),((IF(O646="EUR",W646,(W646*'Master Data-C19RM'!$D$2))))))</f>
        <v>0</v>
      </c>
      <c r="BQ646">
        <f>IF(N646="",0,IF(SETUP!$E$7="USD",((IF(O646="USD",AD646,(AD646/'Master Data-C19RM'!$E$2)))),((IF(O646="EUR",AD646,(AD646*'Master Data-C19RM'!$E$2))))))</f>
        <v>0</v>
      </c>
      <c r="BR646">
        <f>IF(N646="",0,IF(SETUP!$E$7="USD",((IF(O646="USD",AK646,(AK646/'Master Data-C19RM'!$F$2)))),((IF(O646="EUR",AK646,(AK646*'Master Data-C19RM'!$F$2))))))</f>
        <v>0</v>
      </c>
      <c r="BS646">
        <f>IF(N646="",0,IF(SETUP!$E$7="USD",((IF(O646="USD",AR646,(AR646/'Master Data-C19RM'!$G$2)))),((IF(O646="EUR",AR646,(AR646*'Master Data-C19RM'!$G$2))))))</f>
        <v>0</v>
      </c>
      <c r="BT646">
        <f>IF(N646="",0,IF(SETUP!$E$7="USD",((IF(O646="USD",AY646,(AY646/'Master Data-C19RM'!$H$2)))),((IF(O646="EUR",AY646,(AY646*'Master Data-C19RM'!$H$2))))))</f>
        <v>0</v>
      </c>
      <c r="BU646" s="12">
        <f t="shared" si="83"/>
        <v>0</v>
      </c>
      <c r="BV646" s="142">
        <f t="shared" si="84"/>
        <v>0</v>
      </c>
    </row>
    <row r="647" spans="1:74" x14ac:dyDescent="0.35">
      <c r="A647" s="1165"/>
      <c r="B647" s="1165"/>
      <c r="C647" s="1165"/>
      <c r="D647" s="1165"/>
      <c r="E647" s="1166"/>
      <c r="F647" s="1166"/>
      <c r="G647" s="1166"/>
      <c r="H647" s="1166"/>
      <c r="I647" s="1166"/>
      <c r="J647" s="1166"/>
      <c r="K647" s="1166"/>
      <c r="L647" s="490" t="str" cm="1">
        <f t="array" ref="L647">IF(A647&lt;&gt;"",IFERROR(INDEX(PMtbl[[WKst]:[Unit of measure*]],MATCH($A$544&amp;$A647&amp;$E647&amp;$I647,INDEX(PMtbl[Sec]&amp;PMtbl[Category]&amp;PMtbl[Each]&amp;PMtbl[Packaging],0,),0),14),""),"")</f>
        <v/>
      </c>
      <c r="M647" s="479" t="str">
        <f>IF(L647="","",INDEX(SETUP!$E$20:$E$122,(MATCH(INDEX(PMsheet!$D:$E,MATCH(A647,PMsheet!E:E,0),1),SETUP!$D$20:$D$122,0))))</f>
        <v/>
      </c>
      <c r="N647" s="491">
        <f>IF($O647="USD",_xlfn.IFNA(VLOOKUP(A647&amp;E647&amp;I647,PMsheet!J:K,2,0),0),(_xlfn.IFNA(VLOOKUP(A647&amp;E647&amp;I647,PMsheet!J:K,2,0),0)*'Master Data-C19RM'!$C$2))</f>
        <v>0</v>
      </c>
      <c r="O647" s="492" t="str">
        <f>IF(L647="", "",SETUP!$E$7)</f>
        <v/>
      </c>
      <c r="P647" s="444">
        <f>IF($O647="USD",_xlfn.IFNA(VLOOKUP($A647&amp;$E647&amp;$I647,PMsheet!$J:$K,2,0),0),(_xlfn.IFNA(VLOOKUP($A647&amp;$E647&amp;$I647,PMsheet!$J:$K,2,0),0)*'Master Data-C19RM'!$C$2))</f>
        <v>0</v>
      </c>
      <c r="Q647" s="441"/>
      <c r="R647" s="441"/>
      <c r="S647" s="441"/>
      <c r="T647" s="441"/>
      <c r="U647" s="481">
        <f t="shared" si="79"/>
        <v>0</v>
      </c>
      <c r="V647" s="483">
        <f>IF(SETUP!$E$7="USD",(U647*(IF(O647="USD",P647,(P647/'Master Data-C19RM'!$C$2)))),(U647*(IF(O647="EUR",P647,(P647*'Master Data-C19RM'!$C$2)))))</f>
        <v>0</v>
      </c>
      <c r="W647" s="444">
        <f>IF($O647="USD",_xlfn.IFNA(VLOOKUP($A647&amp;$E647&amp;$I647,PMsheet!$J:$K,2,0),0),(_xlfn.IFNA(VLOOKUP($A647&amp;$E647&amp;$I647,PMsheet!$J:$K,2,0),0)*'Master Data-C19RM'!$D$2))</f>
        <v>0</v>
      </c>
      <c r="X647" s="441"/>
      <c r="Y647" s="441"/>
      <c r="Z647" s="441"/>
      <c r="AA647" s="441"/>
      <c r="AB647" s="481">
        <f t="shared" si="80"/>
        <v>0</v>
      </c>
      <c r="AC647" s="483">
        <f>IF(SETUP!$E$7="USD",(AB647*(IF(O647="USD",W647,(W647/'Master Data-C19RM'!$D$2)))),(AB647*(IF(O647="EUR",W647,(W647*'Master Data-C19RM'!$D$2)))))</f>
        <v>0</v>
      </c>
      <c r="AD647" s="444">
        <f>IF($O647="USD",_xlfn.IFNA(VLOOKUP($A647&amp;$E647&amp;$I647,PMsheet!$J:$K,2,0),0),(_xlfn.IFNA(VLOOKUP($A647&amp;$E647&amp;$I647,PMsheet!$J:$K,2,0),0)*'Master Data-C19RM'!$E$2))</f>
        <v>0</v>
      </c>
      <c r="AE647" s="441"/>
      <c r="AF647" s="441"/>
      <c r="AG647" s="441"/>
      <c r="AH647" s="441"/>
      <c r="AI647" s="512">
        <f t="shared" si="81"/>
        <v>0</v>
      </c>
      <c r="AJ647" s="513">
        <f>IF(SETUP!$E$7="USD",(AI647*(IF(O647="USD",AD647,(AD647/'Master Data-C19RM'!$E$2)))),(AI647*(IF(O647="EUR",AD647,(AD647*'Master Data-C19RM'!$E$2)))))</f>
        <v>0</v>
      </c>
      <c r="AK647" s="444">
        <f>IF($O647="USD",_xlfn.IFNA(VLOOKUP($A647&amp;$E647&amp;$I647,PMsheet!$J:$K,2,0),0),(_xlfn.IFNA(VLOOKUP($A647&amp;$E647&amp;$I647,PMsheet!$J:$K,2,0),0)*'Master Data-C19RM'!$F$2))</f>
        <v>0</v>
      </c>
      <c r="AL647" s="441"/>
      <c r="AM647" s="441"/>
      <c r="AN647" s="441"/>
      <c r="AO647" s="441"/>
      <c r="AP647" s="512">
        <f t="shared" si="82"/>
        <v>0</v>
      </c>
      <c r="AQ647" s="513">
        <f>IF(SETUP!$E$7="USD",(AP647*(IF(O647="USD",AK647,(AK647/'Master Data-C19RM'!$F$2)))),(AP647*(IF(O647="EUR",AK647,(AK647*'Master Data-C19RM'!$F$2)))))</f>
        <v>0</v>
      </c>
      <c r="AR647" s="924">
        <f>IF($O647="USD",_xlfn.IFNA(VLOOKUP($A647&amp;$E647&amp;$I647,PMsheet!$J:$K,2,0),0),(_xlfn.IFNA(VLOOKUP($A647&amp;$E647&amp;$I647,PMsheet!$J:$K,2,0),0)*'Master Data-C19RM'!$G$2))</f>
        <v>0</v>
      </c>
      <c r="AS647" s="572"/>
      <c r="AT647" s="572"/>
      <c r="AU647" s="572"/>
      <c r="AV647" s="572"/>
      <c r="AW647" s="512">
        <f t="shared" si="85"/>
        <v>0</v>
      </c>
      <c r="AX647" s="512">
        <f>IF(SETUP!$E$7="USD",(AW647*(IF(O647="USD",AR647,(AR647/'Master Data-C19RM'!$G$2)))),(AW647*(IF(O647="EUR",AR647,(AR647*'Master Data-C19RM'!$G$2)))))</f>
        <v>0</v>
      </c>
      <c r="AY647" s="845"/>
      <c r="AZ647" s="846"/>
      <c r="BA647" s="846"/>
      <c r="BB647" s="846"/>
      <c r="BC647" s="846"/>
      <c r="BD647" s="846"/>
      <c r="BE647" s="847"/>
      <c r="BF647" s="520">
        <f>'C19RM 2021-Lab &amp; Other HPS'!$U647+'C19RM 2021-Lab &amp; Other HPS'!$AB647+'C19RM 2021-Lab &amp; Other HPS'!$AP647+'C19RM 2021-Lab &amp; Other HPS'!$AI647+AW647+BD647</f>
        <v>0</v>
      </c>
      <c r="BG647" s="513">
        <f>'C19RM 2021-Lab &amp; Other HPS'!$V647+'C19RM 2021-Lab &amp; Other HPS'!$AC647+'C19RM 2021-Lab &amp; Other HPS'!$AQ647+'C19RM 2021-Lab &amp; Other HPS'!$AJ647+AX647+BE647</f>
        <v>0</v>
      </c>
      <c r="BH647" s="500" t="str" cm="1">
        <f t="array" ref="BH647">IF(A647&lt;&gt;"",IFERROR(INDEX(PMtbl[[WKst]:[Unit of measure*]],MATCH($A$544&amp;$A647&amp;$E647&amp;$I647,INDEX(PMtbl[Sec]&amp;PMtbl[Category]&amp;PMtbl[Each]&amp;PMtbl[Packaging],0,),0),11),""),"")</f>
        <v/>
      </c>
      <c r="BI647" s="819"/>
      <c r="BJ647" s="502" t="str" cm="1">
        <f t="array" ref="BJ647">IFERROR(INDEX(SETUP!$C$19:$G$121,MATCH((INDEX(PMtbl[[WKst]:[Unit of measure*]],MATCH($A647&amp;$E647&amp;$I647,INDEX(PMtbl[Category]&amp;PMtbl[Each]&amp;PMtbl[Packaging],0,),0),3)),SETUP!$D$19:$D$121,0),5),"")</f>
        <v/>
      </c>
      <c r="BK647" s="542" t="str" cm="1">
        <f t="array" ref="BK647">IFERROR(IF((INDEX(SETUP!$C$19:$G$121,MATCH((INDEX(PMtbl[[WKst]:[Unit of measure*]],MATCH($A647&amp;$E647&amp;$I647,INDEX(PMtbl[Category]&amp;PMtbl[Each]&amp;PMtbl[Packaging],0,),0),3)),SETUP!$D$19:$D$121,0),4))="Upfront",0,INDEX(SETUP!$C$19:$G$121,MATCH((INDEX(PMtbl[[WKst]:[Unit of measure*]],MATCH($A647&amp;$E647&amp;$I647,INDEX(PMtbl[Category]&amp;PMtbl[Each]&amp;PMtbl[Packaging],0,),0),3)),SETUP!$D$19:$D$121,0),5)),"")</f>
        <v/>
      </c>
      <c r="BL647" s="200" t="str" cm="1">
        <f t="array" ref="BL647">IF(E647&lt;&gt;"",IFERROR(INDEX(PMtbl[[WKst]:[Unit of measure*]],MATCH($A$544&amp;$A647&amp;$E647&amp;$I647,INDEX(PMtbl[Sec]&amp;PMtbl[Category]&amp;PMtbl[Each]&amp;PMtbl[Packaging],0,),0),11),""),"")</f>
        <v/>
      </c>
      <c r="BO647" s="12">
        <f>IF(N647="",0,IF(SETUP!$E$7="USD",((IF(O647="USD",P647,(P647/'Master Data-C19RM'!$C$2)))),((IF(O647="EUR",P647,(P647*'Master Data-C19RM'!$C$2))))))</f>
        <v>0</v>
      </c>
      <c r="BP647" s="12">
        <f>IF(N647="",0,IF(SETUP!$E$7="USD",((IF(O647="USD",W647,(W647/'Master Data-C19RM'!$D$2)))),((IF(O647="EUR",W647,(W647*'Master Data-C19RM'!$D$2))))))</f>
        <v>0</v>
      </c>
      <c r="BQ647">
        <f>IF(N647="",0,IF(SETUP!$E$7="USD",((IF(O647="USD",AD647,(AD647/'Master Data-C19RM'!$E$2)))),((IF(O647="EUR",AD647,(AD647*'Master Data-C19RM'!$E$2))))))</f>
        <v>0</v>
      </c>
      <c r="BR647">
        <f>IF(N647="",0,IF(SETUP!$E$7="USD",((IF(O647="USD",AK647,(AK647/'Master Data-C19RM'!$F$2)))),((IF(O647="EUR",AK647,(AK647*'Master Data-C19RM'!$F$2))))))</f>
        <v>0</v>
      </c>
      <c r="BS647">
        <f>IF(N647="",0,IF(SETUP!$E$7="USD",((IF(O647="USD",AR647,(AR647/'Master Data-C19RM'!$G$2)))),((IF(O647="EUR",AR647,(AR647*'Master Data-C19RM'!$G$2))))))</f>
        <v>0</v>
      </c>
      <c r="BT647">
        <f>IF(N647="",0,IF(SETUP!$E$7="USD",((IF(O647="USD",AY647,(AY647/'Master Data-C19RM'!$H$2)))),((IF(O647="EUR",AY647,(AY647*'Master Data-C19RM'!$H$2))))))</f>
        <v>0</v>
      </c>
      <c r="BU647" s="12">
        <f t="shared" si="83"/>
        <v>0</v>
      </c>
      <c r="BV647" s="142">
        <f t="shared" si="84"/>
        <v>0</v>
      </c>
    </row>
    <row r="648" spans="1:74" x14ac:dyDescent="0.35">
      <c r="A648" s="1172"/>
      <c r="B648" s="1172"/>
      <c r="C648" s="1172"/>
      <c r="D648" s="1172"/>
      <c r="E648" s="1173"/>
      <c r="F648" s="1173"/>
      <c r="G648" s="1173"/>
      <c r="H648" s="1173"/>
      <c r="I648" s="1173"/>
      <c r="J648" s="1173"/>
      <c r="K648" s="1173"/>
      <c r="L648" s="493" t="str" cm="1">
        <f t="array" ref="L648">IF(A648&lt;&gt;"",IFERROR(INDEX(PMtbl[[WKst]:[Unit of measure*]],MATCH($A$544&amp;$A648&amp;$E648&amp;$I648,INDEX(PMtbl[Sec]&amp;PMtbl[Category]&amp;PMtbl[Each]&amp;PMtbl[Packaging],0,),0),14),""),"")</f>
        <v/>
      </c>
      <c r="M648" s="480" t="str">
        <f>IF(L648="","",INDEX(SETUP!$E$20:$E$122,(MATCH(INDEX(PMsheet!$D:$E,MATCH(A648,PMsheet!E:E,0),1),SETUP!$D$20:$D$122,0))))</f>
        <v/>
      </c>
      <c r="N648" s="494">
        <f>IF($O648="USD",_xlfn.IFNA(VLOOKUP(A648&amp;E648&amp;I648,PMsheet!J:K,2,0),0),(_xlfn.IFNA(VLOOKUP(A648&amp;E648&amp;I648,PMsheet!J:K,2,0),0)*'Master Data-C19RM'!$C$2))</f>
        <v>0</v>
      </c>
      <c r="O648" s="495" t="str">
        <f>IF(L648="", "",SETUP!$E$7)</f>
        <v/>
      </c>
      <c r="P648" s="445">
        <f>IF($O648="USD",_xlfn.IFNA(VLOOKUP($A648&amp;$E648&amp;$I648,PMsheet!$J:$K,2,0),0),(_xlfn.IFNA(VLOOKUP($A648&amp;$E648&amp;$I648,PMsheet!$J:$K,2,0),0)*'Master Data-C19RM'!$C$2))</f>
        <v>0</v>
      </c>
      <c r="Q648" s="440"/>
      <c r="R648" s="440"/>
      <c r="S648" s="440"/>
      <c r="T648" s="440"/>
      <c r="U648" s="482">
        <f t="shared" si="79"/>
        <v>0</v>
      </c>
      <c r="V648" s="484">
        <f>IF(SETUP!$E$7="USD",(U648*(IF(O648="USD",P648,(P648/'Master Data-C19RM'!$C$2)))),(U648*(IF(O648="EUR",P648,(P648*'Master Data-C19RM'!$C$2)))))</f>
        <v>0</v>
      </c>
      <c r="W648" s="445">
        <f>IF($O648="USD",_xlfn.IFNA(VLOOKUP($A648&amp;$E648&amp;$I648,PMsheet!$J:$K,2,0),0),(_xlfn.IFNA(VLOOKUP($A648&amp;$E648&amp;$I648,PMsheet!$J:$K,2,0),0)*'Master Data-C19RM'!$D$2))</f>
        <v>0</v>
      </c>
      <c r="X648" s="440"/>
      <c r="Y648" s="440"/>
      <c r="Z648" s="440"/>
      <c r="AA648" s="440"/>
      <c r="AB648" s="482">
        <f t="shared" si="80"/>
        <v>0</v>
      </c>
      <c r="AC648" s="484">
        <f>IF(SETUP!$E$7="USD",(AB648*(IF(O648="USD",W648,(W648/'Master Data-C19RM'!$D$2)))),(AB648*(IF(O648="EUR",W648,(W648*'Master Data-C19RM'!$D$2)))))</f>
        <v>0</v>
      </c>
      <c r="AD648" s="445">
        <f>IF($O648="USD",_xlfn.IFNA(VLOOKUP($A648&amp;$E648&amp;$I648,PMsheet!$J:$K,2,0),0),(_xlfn.IFNA(VLOOKUP($A648&amp;$E648&amp;$I648,PMsheet!$J:$K,2,0),0)*'Master Data-C19RM'!$E$2))</f>
        <v>0</v>
      </c>
      <c r="AE648" s="440"/>
      <c r="AF648" s="440"/>
      <c r="AG648" s="440"/>
      <c r="AH648" s="440"/>
      <c r="AI648" s="514">
        <f t="shared" si="81"/>
        <v>0</v>
      </c>
      <c r="AJ648" s="515">
        <f>IF(SETUP!$E$7="USD",(AI648*(IF(O648="USD",AD648,(AD648/'Master Data-C19RM'!$E$2)))),(AI648*(IF(O648="EUR",AD648,(AD648*'Master Data-C19RM'!$E$2)))))</f>
        <v>0</v>
      </c>
      <c r="AK648" s="445">
        <f>IF($O648="USD",_xlfn.IFNA(VLOOKUP($A648&amp;$E648&amp;$I648,PMsheet!$J:$K,2,0),0),(_xlfn.IFNA(VLOOKUP($A648&amp;$E648&amp;$I648,PMsheet!$J:$K,2,0),0)*'Master Data-C19RM'!$F$2))</f>
        <v>0</v>
      </c>
      <c r="AL648" s="440"/>
      <c r="AM648" s="440"/>
      <c r="AN648" s="440"/>
      <c r="AO648" s="440"/>
      <c r="AP648" s="514">
        <f t="shared" si="82"/>
        <v>0</v>
      </c>
      <c r="AQ648" s="515">
        <f>IF(SETUP!$E$7="USD",(AP648*(IF(O648="USD",AK648,(AK648/'Master Data-C19RM'!$F$2)))),(AP648*(IF(O648="EUR",AK648,(AK648*'Master Data-C19RM'!$F$2)))))</f>
        <v>0</v>
      </c>
      <c r="AR648" s="925">
        <f>IF($O648="USD",_xlfn.IFNA(VLOOKUP($A648&amp;$E648&amp;$I648,PMsheet!$J:$K,2,0),0),(_xlfn.IFNA(VLOOKUP($A648&amp;$E648&amp;$I648,PMsheet!$J:$K,2,0),0)*'Master Data-C19RM'!$G$2))</f>
        <v>0</v>
      </c>
      <c r="AS648" s="926"/>
      <c r="AT648" s="926"/>
      <c r="AU648" s="926"/>
      <c r="AV648" s="926"/>
      <c r="AW648" s="514">
        <f t="shared" si="85"/>
        <v>0</v>
      </c>
      <c r="AX648" s="514">
        <f>IF(SETUP!$E$7="USD",(AW648*(IF(O648="USD",AR648,(AR648/'Master Data-C19RM'!$G$2)))),(AW648*(IF(O648="EUR",AR648,(AR648*'Master Data-C19RM'!$G$2)))))</f>
        <v>0</v>
      </c>
      <c r="AY648" s="845"/>
      <c r="AZ648" s="846"/>
      <c r="BA648" s="846"/>
      <c r="BB648" s="846"/>
      <c r="BC648" s="846"/>
      <c r="BD648" s="846"/>
      <c r="BE648" s="847"/>
      <c r="BF648" s="521">
        <f>'C19RM 2021-Lab &amp; Other HPS'!$U648+'C19RM 2021-Lab &amp; Other HPS'!$AB648+'C19RM 2021-Lab &amp; Other HPS'!$AP648+'C19RM 2021-Lab &amp; Other HPS'!$AI648+AW648+BD648</f>
        <v>0</v>
      </c>
      <c r="BG648" s="515">
        <f>'C19RM 2021-Lab &amp; Other HPS'!$V648+'C19RM 2021-Lab &amp; Other HPS'!$AC648+'C19RM 2021-Lab &amp; Other HPS'!$AQ648+'C19RM 2021-Lab &amp; Other HPS'!$AJ648+AX648+BE648</f>
        <v>0</v>
      </c>
      <c r="BH648" s="522" t="str" cm="1">
        <f t="array" ref="BH648">IF(A648&lt;&gt;"",IFERROR(INDEX(PMtbl[[WKst]:[Unit of measure*]],MATCH($A$544&amp;$A648&amp;$E648&amp;$I648,INDEX(PMtbl[Sec]&amp;PMtbl[Category]&amp;PMtbl[Each]&amp;PMtbl[Packaging],0,),0),11),""),"")</f>
        <v/>
      </c>
      <c r="BI648" s="818"/>
      <c r="BJ648" s="503" t="str" cm="1">
        <f t="array" ref="BJ648">IFERROR(INDEX(SETUP!$C$19:$G$121,MATCH((INDEX(PMtbl[[WKst]:[Unit of measure*]],MATCH($A648&amp;$E648&amp;$I648,INDEX(PMtbl[Category]&amp;PMtbl[Each]&amp;PMtbl[Packaging],0,),0),3)),SETUP!$D$19:$D$121,0),5),"")</f>
        <v/>
      </c>
      <c r="BK648" s="543" t="str" cm="1">
        <f t="array" ref="BK648">IFERROR(IF((INDEX(SETUP!$C$19:$G$121,MATCH((INDEX(PMtbl[[WKst]:[Unit of measure*]],MATCH($A648&amp;$E648&amp;$I648,INDEX(PMtbl[Category]&amp;PMtbl[Each]&amp;PMtbl[Packaging],0,),0),3)),SETUP!$D$19:$D$121,0),4))="Upfront",0,INDEX(SETUP!$C$19:$G$121,MATCH((INDEX(PMtbl[[WKst]:[Unit of measure*]],MATCH($A648&amp;$E648&amp;$I648,INDEX(PMtbl[Category]&amp;PMtbl[Each]&amp;PMtbl[Packaging],0,),0),3)),SETUP!$D$19:$D$121,0),5)),"")</f>
        <v/>
      </c>
      <c r="BL648" s="201" t="str" cm="1">
        <f t="array" ref="BL648">IF(E648&lt;&gt;"",IFERROR(INDEX(PMtbl[[WKst]:[Unit of measure*]],MATCH($A$544&amp;$A648&amp;$E648&amp;$I648,INDEX(PMtbl[Sec]&amp;PMtbl[Category]&amp;PMtbl[Each]&amp;PMtbl[Packaging],0,),0),11),""),"")</f>
        <v/>
      </c>
      <c r="BO648" s="12">
        <f>IF(N648="",0,IF(SETUP!$E$7="USD",((IF(O648="USD",P648,(P648/'Master Data-C19RM'!$C$2)))),((IF(O648="EUR",P648,(P648*'Master Data-C19RM'!$C$2))))))</f>
        <v>0</v>
      </c>
      <c r="BP648" s="12">
        <f>IF(N648="",0,IF(SETUP!$E$7="USD",((IF(O648="USD",W648,(W648/'Master Data-C19RM'!$D$2)))),((IF(O648="EUR",W648,(W648*'Master Data-C19RM'!$D$2))))))</f>
        <v>0</v>
      </c>
      <c r="BQ648">
        <f>IF(N648="",0,IF(SETUP!$E$7="USD",((IF(O648="USD",AD648,(AD648/'Master Data-C19RM'!$E$2)))),((IF(O648="EUR",AD648,(AD648*'Master Data-C19RM'!$E$2))))))</f>
        <v>0</v>
      </c>
      <c r="BR648">
        <f>IF(N648="",0,IF(SETUP!$E$7="USD",((IF(O648="USD",AK648,(AK648/'Master Data-C19RM'!$F$2)))),((IF(O648="EUR",AK648,(AK648*'Master Data-C19RM'!$F$2))))))</f>
        <v>0</v>
      </c>
      <c r="BS648">
        <f>IF(N648="",0,IF(SETUP!$E$7="USD",((IF(O648="USD",AR648,(AR648/'Master Data-C19RM'!$G$2)))),((IF(O648="EUR",AR648,(AR648*'Master Data-C19RM'!$G$2))))))</f>
        <v>0</v>
      </c>
      <c r="BT648">
        <f>IF(N648="",0,IF(SETUP!$E$7="USD",((IF(O648="USD",AY648,(AY648/'Master Data-C19RM'!$H$2)))),((IF(O648="EUR",AY648,(AY648*'Master Data-C19RM'!$H$2))))))</f>
        <v>0</v>
      </c>
      <c r="BU648" s="12">
        <f t="shared" si="83"/>
        <v>0</v>
      </c>
      <c r="BV648" s="142">
        <f t="shared" si="84"/>
        <v>0</v>
      </c>
    </row>
    <row r="649" spans="1:74" ht="15" thickBot="1" x14ac:dyDescent="0.4">
      <c r="A649" s="1180"/>
      <c r="B649" s="1180"/>
      <c r="C649" s="1180"/>
      <c r="D649" s="1180"/>
      <c r="E649" s="1181"/>
      <c r="F649" s="1181"/>
      <c r="G649" s="1181"/>
      <c r="H649" s="1181"/>
      <c r="I649" s="1181"/>
      <c r="J649" s="1181"/>
      <c r="K649" s="1181"/>
      <c r="L649" s="506" t="str" cm="1">
        <f t="array" ref="L649">IF(A649&lt;&gt;"",IFERROR(INDEX(PMtbl[[WKst]:[Unit of measure*]],MATCH($A$544&amp;$A649&amp;$E649&amp;$I649,INDEX(PMtbl[Sec]&amp;PMtbl[Category]&amp;PMtbl[Each]&amp;PMtbl[Packaging],0,),0),14),""),"")</f>
        <v/>
      </c>
      <c r="M649" s="507" t="str">
        <f>IF(L649="","",INDEX(SETUP!$E$20:$E$122,(MATCH(INDEX(PMsheet!$D:$E,MATCH(A649,PMsheet!E:E,0),1),SETUP!$D$20:$D$122,0))))</f>
        <v/>
      </c>
      <c r="N649" s="528">
        <f>IF($O649="USD",_xlfn.IFNA(VLOOKUP(A649&amp;E649&amp;I649,PMsheet!J:K,2,0),0),(_xlfn.IFNA(VLOOKUP(A649&amp;E649&amp;I649,PMsheet!J:K,2,0),0)*'Master Data-C19RM'!$C$2))</f>
        <v>0</v>
      </c>
      <c r="O649" s="509" t="str">
        <f>IF(L649="", "",SETUP!$E$7)</f>
        <v/>
      </c>
      <c r="P649" s="460">
        <f>IF($O649="USD",_xlfn.IFNA(VLOOKUP($A649&amp;$E649&amp;$I649,PMsheet!$J:$K,2,0),0),(_xlfn.IFNA(VLOOKUP($A649&amp;$E649&amp;$I649,PMsheet!$J:$K,2,0),0)*'Master Data-C19RM'!$C$2))</f>
        <v>0</v>
      </c>
      <c r="Q649" s="459"/>
      <c r="R649" s="459"/>
      <c r="S649" s="459"/>
      <c r="T649" s="459"/>
      <c r="U649" s="510">
        <f t="shared" ref="U649" si="86">SUM($Q649:$T649)</f>
        <v>0</v>
      </c>
      <c r="V649" s="511">
        <f>IF(SETUP!$E$7="USD",(U649*(IF(O649="USD",P649,(P649/'Master Data-C19RM'!$C$2)))),(U649*(IF(O649="EUR",P649,(P649*'Master Data-C19RM'!$C$2)))))</f>
        <v>0</v>
      </c>
      <c r="W649" s="460">
        <f>IF($O649="USD",_xlfn.IFNA(VLOOKUP($A649&amp;$E649&amp;$I649,PMsheet!$J:$K,2,0),0),(_xlfn.IFNA(VLOOKUP($A649&amp;$E649&amp;$I649,PMsheet!$J:$K,2,0),0)*'Master Data-C19RM'!$D$2))</f>
        <v>0</v>
      </c>
      <c r="X649" s="459"/>
      <c r="Y649" s="459"/>
      <c r="Z649" s="459"/>
      <c r="AA649" s="459"/>
      <c r="AB649" s="510">
        <f t="shared" ref="AB649" si="87">SUM($X649:$AA649)</f>
        <v>0</v>
      </c>
      <c r="AC649" s="511">
        <f>IF(SETUP!$E$7="USD",(AB649*(IF(O649="USD",W649,(W649/'Master Data-C19RM'!$D$2)))),(AB649*(IF(O649="EUR",W649,(W649*'Master Data-C19RM'!$D$2)))))</f>
        <v>0</v>
      </c>
      <c r="AD649" s="460">
        <f>IF($O649="USD",_xlfn.IFNA(VLOOKUP($A649&amp;$E649&amp;$I649,PMsheet!$J:$K,2,0),0),(_xlfn.IFNA(VLOOKUP($A649&amp;$E649&amp;$I649,PMsheet!$J:$K,2,0),0)*'Master Data-C19RM'!$E$2))</f>
        <v>0</v>
      </c>
      <c r="AE649" s="459"/>
      <c r="AF649" s="459"/>
      <c r="AG649" s="459"/>
      <c r="AH649" s="459"/>
      <c r="AI649" s="516">
        <f t="shared" ref="AI649" si="88">SUM($AE649:$AH649)</f>
        <v>0</v>
      </c>
      <c r="AJ649" s="517">
        <f>IF(SETUP!$E$7="USD",(AI649*(IF(O649="USD",AD649,(AD649/'Master Data-C19RM'!$E$2)))),(AI649*(IF(O649="EUR",AD649,(AD649*'Master Data-C19RM'!$E$2)))))</f>
        <v>0</v>
      </c>
      <c r="AK649" s="460">
        <f>IF($O649="USD",_xlfn.IFNA(VLOOKUP($A649&amp;$E649&amp;$I649,PMsheet!$J:$K,2,0),0),(_xlfn.IFNA(VLOOKUP($A649&amp;$E649&amp;$I649,PMsheet!$J:$K,2,0),0)*'Master Data-C19RM'!$F$2))</f>
        <v>0</v>
      </c>
      <c r="AL649" s="459"/>
      <c r="AM649" s="459"/>
      <c r="AN649" s="459"/>
      <c r="AO649" s="459"/>
      <c r="AP649" s="516">
        <f t="shared" ref="AP649" si="89">SUM($AL649:$AO649)</f>
        <v>0</v>
      </c>
      <c r="AQ649" s="517">
        <f>IF(SETUP!$E$7="USD",(AP649*(IF(O649="USD",AK649,(AK649/'Master Data-C19RM'!$F$2)))),(AP649*(IF(O649="EUR",AK649,(AK649*'Master Data-C19RM'!$F$2)))))</f>
        <v>0</v>
      </c>
      <c r="AR649" s="927">
        <f>IF($O649="USD",_xlfn.IFNA(VLOOKUP($A649&amp;$E649&amp;$I649,PMsheet!$J:$K,2,0),0),(_xlfn.IFNA(VLOOKUP($A649&amp;$E649&amp;$I649,PMsheet!$J:$K,2,0),0)*'Master Data-C19RM'!$G$2))</f>
        <v>0</v>
      </c>
      <c r="AS649" s="840"/>
      <c r="AT649" s="840"/>
      <c r="AU649" s="840"/>
      <c r="AV649" s="840"/>
      <c r="AW649" s="516">
        <f t="shared" ref="AW649" si="90">SUM($AS649:$AV649)</f>
        <v>0</v>
      </c>
      <c r="AX649" s="516">
        <f>IF(SETUP!$E$7="USD",(AW649*(IF(O649="USD",AR649,(AR649/'Master Data-C19RM'!$G$2)))),(AW649*(IF(O649="EUR",AR649,(AR649*'Master Data-C19RM'!$G$2)))))</f>
        <v>0</v>
      </c>
      <c r="AY649" s="848"/>
      <c r="AZ649" s="849"/>
      <c r="BA649" s="849"/>
      <c r="BB649" s="849"/>
      <c r="BC649" s="849"/>
      <c r="BD649" s="849"/>
      <c r="BE649" s="850"/>
      <c r="BF649" s="523">
        <f>'C19RM 2021-Lab &amp; Other HPS'!$U649+'C19RM 2021-Lab &amp; Other HPS'!$AB649+'C19RM 2021-Lab &amp; Other HPS'!$AP649+'C19RM 2021-Lab &amp; Other HPS'!$AI649+AW649+BD649</f>
        <v>0</v>
      </c>
      <c r="BG649" s="517">
        <f>'C19RM 2021-Lab &amp; Other HPS'!$V649+'C19RM 2021-Lab &amp; Other HPS'!$AC649+'C19RM 2021-Lab &amp; Other HPS'!$AQ649+'C19RM 2021-Lab &amp; Other HPS'!$AJ649+AX649+BE649</f>
        <v>0</v>
      </c>
      <c r="BH649" s="524" t="str" cm="1">
        <f t="array" ref="BH649">IF(A649&lt;&gt;"",IFERROR(INDEX(PMtbl[[WKst]:[Unit of measure*]],MATCH($A$544&amp;$A649&amp;$E649&amp;$I649,INDEX(PMtbl[Sec]&amp;PMtbl[Category]&amp;PMtbl[Each]&amp;PMtbl[Packaging],0,),0),11),""),"")</f>
        <v/>
      </c>
      <c r="BI649" s="821"/>
      <c r="BJ649" s="527" t="str" cm="1">
        <f t="array" ref="BJ649">IFERROR(INDEX(SETUP!$C$19:$G$121,MATCH((INDEX(PMtbl[[WKst]:[Unit of measure*]],MATCH($A649&amp;$E649&amp;$I649,INDEX(PMtbl[Category]&amp;PMtbl[Each]&amp;PMtbl[Packaging],0,),0),3)),SETUP!$D$19:$D$121,0),5),"")</f>
        <v/>
      </c>
      <c r="BK649" s="545" t="str" cm="1">
        <f t="array" ref="BK649">IFERROR(IF((INDEX(SETUP!$C$19:$G$121,MATCH((INDEX(PMtbl[[WKst]:[Unit of measure*]],MATCH($A649&amp;$E649&amp;$I649,INDEX(PMtbl[Category]&amp;PMtbl[Each]&amp;PMtbl[Packaging],0,),0),3)),SETUP!$D$19:$D$121,0),4))="Upfront",0,INDEX(SETUP!$C$19:$G$121,MATCH((INDEX(PMtbl[[WKst]:[Unit of measure*]],MATCH($A649&amp;$E649&amp;$I649,INDEX(PMtbl[Category]&amp;PMtbl[Each]&amp;PMtbl[Packaging],0,),0),3)),SETUP!$D$19:$D$121,0),5)),"")</f>
        <v/>
      </c>
      <c r="BL649" s="202" t="str" cm="1">
        <f t="array" ref="BL649">IF(E649&lt;&gt;"",IFERROR(INDEX(PMtbl[[WKst]:[Unit of measure*]],MATCH($A$544&amp;$A649&amp;$E649&amp;$I649,INDEX(PMtbl[Sec]&amp;PMtbl[Category]&amp;PMtbl[Each]&amp;PMtbl[Packaging],0,),0),11),""),"")</f>
        <v/>
      </c>
      <c r="BO649" s="12">
        <f>IF(N649="",0,IF(SETUP!$E$7="USD",((IF(O649="USD",P649,(P649/'Master Data-C19RM'!$C$2)))),((IF(O649="EUR",P649,(P649*'Master Data-C19RM'!$C$2))))))</f>
        <v>0</v>
      </c>
      <c r="BP649" s="12">
        <f>IF(N649="",0,IF(SETUP!$E$7="USD",((IF(O649="USD",W649,(W649/'Master Data-C19RM'!$D$2)))),((IF(O649="EUR",W649,(W649*'Master Data-C19RM'!$D$2))))))</f>
        <v>0</v>
      </c>
      <c r="BQ649">
        <f>IF(N649="",0,IF(SETUP!$E$7="USD",((IF(O649="USD",AD649,(AD649/'Master Data-C19RM'!$E$2)))),((IF(O649="EUR",AD649,(AD649*'Master Data-C19RM'!$E$2))))))</f>
        <v>0</v>
      </c>
      <c r="BR649">
        <f>IF(N649="",0,IF(SETUP!$E$7="USD",((IF(O649="USD",AK649,(AK649/'Master Data-C19RM'!$F$2)))),((IF(O649="EUR",AK649,(AK649*'Master Data-C19RM'!$F$2))))))</f>
        <v>0</v>
      </c>
      <c r="BS649">
        <f>IF(N649="",0,IF(SETUP!$E$7="USD",((IF(O649="USD",AR649,(AR649/'Master Data-C19RM'!$G$2)))),((IF(O649="EUR",AR649,(AR649*'Master Data-C19RM'!$G$2))))))</f>
        <v>0</v>
      </c>
      <c r="BT649">
        <f>IF(N649="",0,IF(SETUP!$E$7="USD",((IF(O649="USD",AY649,(AY649/'Master Data-C19RM'!$H$2)))),((IF(O649="EUR",AY649,(AY649*'Master Data-C19RM'!$H$2))))))</f>
        <v>0</v>
      </c>
      <c r="BU649" s="12">
        <f t="shared" ref="BU649" si="91">IF(AND(L649="",(COUNTBLANK(A649:K649)=8)),1,0)</f>
        <v>0</v>
      </c>
      <c r="BV649" s="142">
        <f t="shared" ref="BV649" si="92">BF649</f>
        <v>0</v>
      </c>
    </row>
    <row r="650" spans="1:74" x14ac:dyDescent="0.35"/>
    <row r="651" spans="1:74" x14ac:dyDescent="0.35"/>
    <row r="652" spans="1:74" ht="14.5" customHeight="1" x14ac:dyDescent="0.35"/>
    <row r="653" spans="1:74" ht="14.5" customHeight="1" x14ac:dyDescent="0.35"/>
    <row r="654" spans="1:74" ht="14.5" customHeight="1" x14ac:dyDescent="0.35"/>
    <row r="655" spans="1:74" ht="14.5" customHeight="1" x14ac:dyDescent="0.35"/>
    <row r="656" spans="1:74" ht="14.5" customHeight="1" x14ac:dyDescent="0.35"/>
    <row r="657" ht="14.5" customHeight="1" x14ac:dyDescent="0.35"/>
    <row r="658" ht="14.5" customHeight="1" x14ac:dyDescent="0.35"/>
    <row r="659" ht="14.5" customHeight="1" x14ac:dyDescent="0.35"/>
    <row r="660" ht="14.5" customHeight="1" x14ac:dyDescent="0.35"/>
    <row r="661" ht="14.5" customHeight="1" x14ac:dyDescent="0.35"/>
    <row r="662" ht="14.5" customHeight="1" x14ac:dyDescent="0.35"/>
    <row r="663" ht="14.5" customHeight="1" x14ac:dyDescent="0.35"/>
    <row r="664" ht="14.5" customHeight="1" x14ac:dyDescent="0.35"/>
    <row r="665" ht="14.5" customHeight="1" x14ac:dyDescent="0.35"/>
    <row r="666" ht="14.5" customHeight="1" x14ac:dyDescent="0.35"/>
    <row r="667" ht="14.5" customHeight="1" x14ac:dyDescent="0.35"/>
    <row r="668" ht="14.5" customHeight="1" x14ac:dyDescent="0.35"/>
    <row r="669" ht="14.5" customHeight="1" x14ac:dyDescent="0.35"/>
    <row r="670" ht="14.5" customHeight="1" x14ac:dyDescent="0.35"/>
    <row r="671" ht="14.5" customHeight="1" x14ac:dyDescent="0.35"/>
    <row r="672" ht="14.5" customHeight="1" x14ac:dyDescent="0.35"/>
    <row r="673" ht="14.5" customHeight="1" x14ac:dyDescent="0.35"/>
    <row r="674" ht="14.5" customHeight="1" x14ac:dyDescent="0.35"/>
    <row r="675" ht="14.5" customHeight="1" x14ac:dyDescent="0.35"/>
    <row r="676" ht="14.5" customHeight="1" x14ac:dyDescent="0.35"/>
    <row r="677" ht="14.5" customHeight="1" x14ac:dyDescent="0.35"/>
    <row r="678" ht="14.5" customHeight="1" x14ac:dyDescent="0.35"/>
    <row r="679" ht="14.5" customHeight="1" x14ac:dyDescent="0.35"/>
    <row r="680" ht="14.5" customHeight="1" x14ac:dyDescent="0.35"/>
    <row r="681" ht="14.5" customHeight="1" x14ac:dyDescent="0.35"/>
    <row r="682" ht="14.5" customHeight="1" x14ac:dyDescent="0.35"/>
    <row r="683" ht="14.5" customHeight="1" x14ac:dyDescent="0.35"/>
    <row r="684" ht="14.5" customHeight="1" x14ac:dyDescent="0.35"/>
    <row r="685" ht="14.5" customHeight="1" x14ac:dyDescent="0.35"/>
    <row r="686" ht="14.5" customHeight="1" x14ac:dyDescent="0.35"/>
    <row r="687" ht="14.5" customHeight="1" x14ac:dyDescent="0.35"/>
    <row r="688" ht="14.5" customHeight="1" x14ac:dyDescent="0.35"/>
    <row r="689" ht="14.5" customHeight="1" x14ac:dyDescent="0.35"/>
    <row r="690" ht="14.5" customHeight="1" x14ac:dyDescent="0.35"/>
    <row r="691" ht="14.5" customHeight="1" x14ac:dyDescent="0.35"/>
    <row r="692" ht="14.5" customHeight="1" x14ac:dyDescent="0.35"/>
    <row r="693" ht="14.5" customHeight="1" x14ac:dyDescent="0.35"/>
    <row r="694" ht="14.5" customHeight="1" x14ac:dyDescent="0.35"/>
    <row r="695" ht="14.5" customHeight="1" x14ac:dyDescent="0.35"/>
    <row r="696" ht="14.5" customHeight="1" x14ac:dyDescent="0.35"/>
    <row r="697" ht="14.5" customHeight="1" x14ac:dyDescent="0.35"/>
    <row r="698" ht="14.5" customHeight="1" x14ac:dyDescent="0.35"/>
    <row r="699" ht="14.5" customHeight="1" x14ac:dyDescent="0.35"/>
    <row r="700" ht="14.5" customHeight="1" x14ac:dyDescent="0.35"/>
    <row r="701" ht="14.5" customHeight="1" x14ac:dyDescent="0.35"/>
  </sheetData>
  <sheetProtection algorithmName="SHA-512" hashValue="UnUaDQO55R5EuIwiQmXYdv6SK/0zPKLM7FDWI2PNIEDiXGChdiQceZjkx9R28WRwnWV2f97YxpsSB+VDVYwzLQ==" saltValue="p45Rh2tU/OpUap68MBpxig==" spinCount="100000" sheet="1" autoFilter="0"/>
  <dataConsolidate/>
  <mergeCells count="1957">
    <mergeCell ref="A326:D326"/>
    <mergeCell ref="E326:H326"/>
    <mergeCell ref="I326:K326"/>
    <mergeCell ref="A320:D320"/>
    <mergeCell ref="E320:H320"/>
    <mergeCell ref="I320:K320"/>
    <mergeCell ref="A321:D321"/>
    <mergeCell ref="E321:H321"/>
    <mergeCell ref="I321:K321"/>
    <mergeCell ref="A322:D322"/>
    <mergeCell ref="E322:H322"/>
    <mergeCell ref="I322:K322"/>
    <mergeCell ref="A323:D323"/>
    <mergeCell ref="E323:H323"/>
    <mergeCell ref="I323:K323"/>
    <mergeCell ref="A324:D324"/>
    <mergeCell ref="E324:H324"/>
    <mergeCell ref="I324:K324"/>
    <mergeCell ref="A325:D325"/>
    <mergeCell ref="E325:H325"/>
    <mergeCell ref="I325:K325"/>
    <mergeCell ref="A314:D314"/>
    <mergeCell ref="E314:H314"/>
    <mergeCell ref="I314:K314"/>
    <mergeCell ref="E318:H318"/>
    <mergeCell ref="I318:K318"/>
    <mergeCell ref="A319:D319"/>
    <mergeCell ref="E319:H319"/>
    <mergeCell ref="I319:K319"/>
    <mergeCell ref="A315:D315"/>
    <mergeCell ref="E315:H315"/>
    <mergeCell ref="I315:K315"/>
    <mergeCell ref="A316:D316"/>
    <mergeCell ref="E316:H316"/>
    <mergeCell ref="I316:K316"/>
    <mergeCell ref="A317:D317"/>
    <mergeCell ref="E317:H317"/>
    <mergeCell ref="I317:K317"/>
    <mergeCell ref="A318:D318"/>
    <mergeCell ref="A308:D308"/>
    <mergeCell ref="E308:H308"/>
    <mergeCell ref="I308:K308"/>
    <mergeCell ref="E310:H310"/>
    <mergeCell ref="I310:K310"/>
    <mergeCell ref="A311:D311"/>
    <mergeCell ref="E311:H311"/>
    <mergeCell ref="I311:K311"/>
    <mergeCell ref="A312:D312"/>
    <mergeCell ref="E312:H312"/>
    <mergeCell ref="I312:K312"/>
    <mergeCell ref="A313:D313"/>
    <mergeCell ref="E313:H313"/>
    <mergeCell ref="I313:K313"/>
    <mergeCell ref="A309:D309"/>
    <mergeCell ref="E309:H309"/>
    <mergeCell ref="I309:K309"/>
    <mergeCell ref="A310:D310"/>
    <mergeCell ref="A302:D302"/>
    <mergeCell ref="E302:H302"/>
    <mergeCell ref="I302:K302"/>
    <mergeCell ref="E306:H306"/>
    <mergeCell ref="I306:K306"/>
    <mergeCell ref="A307:D307"/>
    <mergeCell ref="E307:H307"/>
    <mergeCell ref="I307:K307"/>
    <mergeCell ref="A303:D303"/>
    <mergeCell ref="E303:H303"/>
    <mergeCell ref="I303:K303"/>
    <mergeCell ref="A304:D304"/>
    <mergeCell ref="E304:H304"/>
    <mergeCell ref="I304:K304"/>
    <mergeCell ref="A305:D305"/>
    <mergeCell ref="E305:H305"/>
    <mergeCell ref="I305:K305"/>
    <mergeCell ref="A306:D306"/>
    <mergeCell ref="E294:H294"/>
    <mergeCell ref="I294:K294"/>
    <mergeCell ref="A295:D295"/>
    <mergeCell ref="E295:H295"/>
    <mergeCell ref="I295:K295"/>
    <mergeCell ref="A296:D296"/>
    <mergeCell ref="E296:H296"/>
    <mergeCell ref="I296:K296"/>
    <mergeCell ref="E298:H298"/>
    <mergeCell ref="I298:K298"/>
    <mergeCell ref="A299:D299"/>
    <mergeCell ref="E299:H299"/>
    <mergeCell ref="I299:K299"/>
    <mergeCell ref="A300:D300"/>
    <mergeCell ref="E300:H300"/>
    <mergeCell ref="I300:K300"/>
    <mergeCell ref="A301:D301"/>
    <mergeCell ref="E301:H301"/>
    <mergeCell ref="I301:K301"/>
    <mergeCell ref="A297:D297"/>
    <mergeCell ref="E297:H297"/>
    <mergeCell ref="I297:K297"/>
    <mergeCell ref="A298:D298"/>
    <mergeCell ref="A285:D285"/>
    <mergeCell ref="E285:H285"/>
    <mergeCell ref="I285:K285"/>
    <mergeCell ref="A286:D286"/>
    <mergeCell ref="E286:H286"/>
    <mergeCell ref="I286:K286"/>
    <mergeCell ref="A287:D287"/>
    <mergeCell ref="E287:H287"/>
    <mergeCell ref="I287:K287"/>
    <mergeCell ref="A288:D288"/>
    <mergeCell ref="E288:H288"/>
    <mergeCell ref="I288:K288"/>
    <mergeCell ref="A289:D289"/>
    <mergeCell ref="E289:H289"/>
    <mergeCell ref="I289:K289"/>
    <mergeCell ref="A290:D290"/>
    <mergeCell ref="E290:H290"/>
    <mergeCell ref="I290:K290"/>
    <mergeCell ref="A291:D291"/>
    <mergeCell ref="E291:H291"/>
    <mergeCell ref="I291:K291"/>
    <mergeCell ref="A292:D292"/>
    <mergeCell ref="E292:H292"/>
    <mergeCell ref="I292:K292"/>
    <mergeCell ref="A293:D293"/>
    <mergeCell ref="E293:H293"/>
    <mergeCell ref="I293:K293"/>
    <mergeCell ref="A294:D294"/>
    <mergeCell ref="A218:D218"/>
    <mergeCell ref="E218:H218"/>
    <mergeCell ref="I218:K218"/>
    <mergeCell ref="A277:D277"/>
    <mergeCell ref="E277:H277"/>
    <mergeCell ref="I277:K277"/>
    <mergeCell ref="A278:D278"/>
    <mergeCell ref="E278:H278"/>
    <mergeCell ref="I278:K278"/>
    <mergeCell ref="A279:D279"/>
    <mergeCell ref="E279:H279"/>
    <mergeCell ref="I279:K279"/>
    <mergeCell ref="A280:D280"/>
    <mergeCell ref="E280:H280"/>
    <mergeCell ref="I280:K280"/>
    <mergeCell ref="A273:D273"/>
    <mergeCell ref="E273:H273"/>
    <mergeCell ref="I273:K273"/>
    <mergeCell ref="A274:D274"/>
    <mergeCell ref="E274:H274"/>
    <mergeCell ref="I274:K274"/>
    <mergeCell ref="A271:D271"/>
    <mergeCell ref="E271:H271"/>
    <mergeCell ref="I271:K271"/>
    <mergeCell ref="A272:D272"/>
    <mergeCell ref="E272:H272"/>
    <mergeCell ref="I272:K272"/>
    <mergeCell ref="A269:D269"/>
    <mergeCell ref="E269:H269"/>
    <mergeCell ref="I269:K269"/>
    <mergeCell ref="A270:D270"/>
    <mergeCell ref="E270:H270"/>
    <mergeCell ref="A212:D212"/>
    <mergeCell ref="E212:H212"/>
    <mergeCell ref="I212:K212"/>
    <mergeCell ref="A213:D213"/>
    <mergeCell ref="E213:H213"/>
    <mergeCell ref="I213:K213"/>
    <mergeCell ref="A214:D214"/>
    <mergeCell ref="E214:H214"/>
    <mergeCell ref="I214:K214"/>
    <mergeCell ref="A215:D215"/>
    <mergeCell ref="E215:H215"/>
    <mergeCell ref="I215:K215"/>
    <mergeCell ref="A216:D216"/>
    <mergeCell ref="E216:H216"/>
    <mergeCell ref="I216:K216"/>
    <mergeCell ref="A217:D217"/>
    <mergeCell ref="E217:H217"/>
    <mergeCell ref="I217:K217"/>
    <mergeCell ref="I270:K270"/>
    <mergeCell ref="A267:D267"/>
    <mergeCell ref="E267:H267"/>
    <mergeCell ref="I267:K267"/>
    <mergeCell ref="A206:D206"/>
    <mergeCell ref="E206:H206"/>
    <mergeCell ref="I206:K206"/>
    <mergeCell ref="A207:D207"/>
    <mergeCell ref="E207:H207"/>
    <mergeCell ref="I207:K207"/>
    <mergeCell ref="A208:D208"/>
    <mergeCell ref="E208:H208"/>
    <mergeCell ref="I208:K208"/>
    <mergeCell ref="A209:D209"/>
    <mergeCell ref="E209:H209"/>
    <mergeCell ref="I209:K209"/>
    <mergeCell ref="A210:D210"/>
    <mergeCell ref="E210:H210"/>
    <mergeCell ref="I210:K210"/>
    <mergeCell ref="A211:D211"/>
    <mergeCell ref="E211:H211"/>
    <mergeCell ref="I211:K211"/>
    <mergeCell ref="E200:H200"/>
    <mergeCell ref="I200:K200"/>
    <mergeCell ref="A201:D201"/>
    <mergeCell ref="E201:H201"/>
    <mergeCell ref="I201:K201"/>
    <mergeCell ref="A202:D202"/>
    <mergeCell ref="E202:H202"/>
    <mergeCell ref="I202:K202"/>
    <mergeCell ref="A203:D203"/>
    <mergeCell ref="E203:H203"/>
    <mergeCell ref="I203:K203"/>
    <mergeCell ref="A204:D204"/>
    <mergeCell ref="E204:H204"/>
    <mergeCell ref="I204:K204"/>
    <mergeCell ref="A205:D205"/>
    <mergeCell ref="E205:H205"/>
    <mergeCell ref="I205:K205"/>
    <mergeCell ref="A161:D161"/>
    <mergeCell ref="E161:H161"/>
    <mergeCell ref="I161:K161"/>
    <mergeCell ref="A162:D162"/>
    <mergeCell ref="E162:H162"/>
    <mergeCell ref="I162:K162"/>
    <mergeCell ref="A163:D163"/>
    <mergeCell ref="E163:H163"/>
    <mergeCell ref="I163:K163"/>
    <mergeCell ref="A164:D164"/>
    <mergeCell ref="E164:H164"/>
    <mergeCell ref="I164:K164"/>
    <mergeCell ref="A194:D194"/>
    <mergeCell ref="E194:H194"/>
    <mergeCell ref="I194:K194"/>
    <mergeCell ref="A195:D195"/>
    <mergeCell ref="E195:H195"/>
    <mergeCell ref="I195:K195"/>
    <mergeCell ref="A191:D191"/>
    <mergeCell ref="E191:H191"/>
    <mergeCell ref="I191:K191"/>
    <mergeCell ref="A192:D192"/>
    <mergeCell ref="E192:H192"/>
    <mergeCell ref="I192:K192"/>
    <mergeCell ref="A189:D189"/>
    <mergeCell ref="E189:H189"/>
    <mergeCell ref="I189:K189"/>
    <mergeCell ref="A190:D190"/>
    <mergeCell ref="E190:H190"/>
    <mergeCell ref="I190:K190"/>
    <mergeCell ref="A187:D187"/>
    <mergeCell ref="E187:H187"/>
    <mergeCell ref="A155:D155"/>
    <mergeCell ref="E155:H155"/>
    <mergeCell ref="I155:K155"/>
    <mergeCell ref="A156:D156"/>
    <mergeCell ref="E156:H156"/>
    <mergeCell ref="I156:K156"/>
    <mergeCell ref="A157:D157"/>
    <mergeCell ref="E157:H157"/>
    <mergeCell ref="I157:K157"/>
    <mergeCell ref="A158:D158"/>
    <mergeCell ref="E158:H158"/>
    <mergeCell ref="I158:K158"/>
    <mergeCell ref="A159:D159"/>
    <mergeCell ref="E159:H159"/>
    <mergeCell ref="I159:K159"/>
    <mergeCell ref="A160:D160"/>
    <mergeCell ref="E160:H160"/>
    <mergeCell ref="I160:K160"/>
    <mergeCell ref="I150:K150"/>
    <mergeCell ref="A151:D151"/>
    <mergeCell ref="E151:H151"/>
    <mergeCell ref="I151:K151"/>
    <mergeCell ref="A152:D152"/>
    <mergeCell ref="E152:H152"/>
    <mergeCell ref="I152:K152"/>
    <mergeCell ref="A153:D153"/>
    <mergeCell ref="E153:H153"/>
    <mergeCell ref="I153:K153"/>
    <mergeCell ref="A143:D143"/>
    <mergeCell ref="E143:H143"/>
    <mergeCell ref="I143:K143"/>
    <mergeCell ref="A147:D147"/>
    <mergeCell ref="E147:H147"/>
    <mergeCell ref="I147:K147"/>
    <mergeCell ref="A154:D154"/>
    <mergeCell ref="E154:H154"/>
    <mergeCell ref="I154:K154"/>
    <mergeCell ref="A81:D81"/>
    <mergeCell ref="E81:H81"/>
    <mergeCell ref="I81:K81"/>
    <mergeCell ref="A82:D82"/>
    <mergeCell ref="E82:H82"/>
    <mergeCell ref="I82:K82"/>
    <mergeCell ref="AR12:AX12"/>
    <mergeCell ref="A140:D140"/>
    <mergeCell ref="E140:H140"/>
    <mergeCell ref="I140:K140"/>
    <mergeCell ref="A141:D141"/>
    <mergeCell ref="E141:H141"/>
    <mergeCell ref="I141:K141"/>
    <mergeCell ref="A142:D142"/>
    <mergeCell ref="E142:H142"/>
    <mergeCell ref="I142:K142"/>
    <mergeCell ref="A144:D144"/>
    <mergeCell ref="E144:H144"/>
    <mergeCell ref="I144:K144"/>
    <mergeCell ref="A75:D75"/>
    <mergeCell ref="E75:H75"/>
    <mergeCell ref="I75:K75"/>
    <mergeCell ref="A76:D76"/>
    <mergeCell ref="E76:H76"/>
    <mergeCell ref="I76:K76"/>
    <mergeCell ref="A77:D77"/>
    <mergeCell ref="E77:H77"/>
    <mergeCell ref="I77:K77"/>
    <mergeCell ref="A78:D78"/>
    <mergeCell ref="E78:H78"/>
    <mergeCell ref="I78:K78"/>
    <mergeCell ref="A79:D79"/>
    <mergeCell ref="A66:D66"/>
    <mergeCell ref="E66:H66"/>
    <mergeCell ref="I66:K66"/>
    <mergeCell ref="A67:D67"/>
    <mergeCell ref="E67:H67"/>
    <mergeCell ref="I67:K67"/>
    <mergeCell ref="A68:D68"/>
    <mergeCell ref="E68:H68"/>
    <mergeCell ref="I68:K68"/>
    <mergeCell ref="E79:H79"/>
    <mergeCell ref="I79:K79"/>
    <mergeCell ref="A80:D80"/>
    <mergeCell ref="E80:H80"/>
    <mergeCell ref="I80:K80"/>
    <mergeCell ref="A69:D69"/>
    <mergeCell ref="E69:H69"/>
    <mergeCell ref="I69:K69"/>
    <mergeCell ref="A70:D70"/>
    <mergeCell ref="E70:H70"/>
    <mergeCell ref="I70:K70"/>
    <mergeCell ref="A71:D71"/>
    <mergeCell ref="E71:H71"/>
    <mergeCell ref="I71:K71"/>
    <mergeCell ref="A72:D72"/>
    <mergeCell ref="E72:H72"/>
    <mergeCell ref="I72:K72"/>
    <mergeCell ref="A73:D73"/>
    <mergeCell ref="E73:H73"/>
    <mergeCell ref="I73:K73"/>
    <mergeCell ref="A74:D74"/>
    <mergeCell ref="E74:H74"/>
    <mergeCell ref="I74:K74"/>
    <mergeCell ref="A60:D60"/>
    <mergeCell ref="E60:H60"/>
    <mergeCell ref="I60:K60"/>
    <mergeCell ref="A61:D61"/>
    <mergeCell ref="E61:H61"/>
    <mergeCell ref="I61:K61"/>
    <mergeCell ref="A62:D62"/>
    <mergeCell ref="E62:H62"/>
    <mergeCell ref="I62:K62"/>
    <mergeCell ref="A63:D63"/>
    <mergeCell ref="E63:H63"/>
    <mergeCell ref="I63:K63"/>
    <mergeCell ref="A64:D64"/>
    <mergeCell ref="E64:H64"/>
    <mergeCell ref="I64:K64"/>
    <mergeCell ref="A65:D65"/>
    <mergeCell ref="E65:H65"/>
    <mergeCell ref="I65:K65"/>
    <mergeCell ref="A54:D54"/>
    <mergeCell ref="E54:H54"/>
    <mergeCell ref="I54:K54"/>
    <mergeCell ref="A55:D55"/>
    <mergeCell ref="E55:H55"/>
    <mergeCell ref="I55:K55"/>
    <mergeCell ref="A56:D56"/>
    <mergeCell ref="E56:H56"/>
    <mergeCell ref="I56:K56"/>
    <mergeCell ref="A57:D57"/>
    <mergeCell ref="E57:H57"/>
    <mergeCell ref="I57:K57"/>
    <mergeCell ref="A58:D58"/>
    <mergeCell ref="E58:H58"/>
    <mergeCell ref="I58:K58"/>
    <mergeCell ref="A59:D59"/>
    <mergeCell ref="E59:H59"/>
    <mergeCell ref="I59:K59"/>
    <mergeCell ref="I41:K41"/>
    <mergeCell ref="A42:D42"/>
    <mergeCell ref="E42:H42"/>
    <mergeCell ref="I42:K42"/>
    <mergeCell ref="A43:D43"/>
    <mergeCell ref="E43:H43"/>
    <mergeCell ref="I43:K43"/>
    <mergeCell ref="A44:D44"/>
    <mergeCell ref="A51:D51"/>
    <mergeCell ref="E51:H51"/>
    <mergeCell ref="I51:K51"/>
    <mergeCell ref="A52:D52"/>
    <mergeCell ref="E52:H52"/>
    <mergeCell ref="I52:K52"/>
    <mergeCell ref="A53:D53"/>
    <mergeCell ref="E53:H53"/>
    <mergeCell ref="I53:K53"/>
    <mergeCell ref="E44:H44"/>
    <mergeCell ref="I44:K44"/>
    <mergeCell ref="A45:D45"/>
    <mergeCell ref="E45:H45"/>
    <mergeCell ref="I45:K45"/>
    <mergeCell ref="A649:D649"/>
    <mergeCell ref="E649:H649"/>
    <mergeCell ref="I649:K649"/>
    <mergeCell ref="A46:D46"/>
    <mergeCell ref="E46:H46"/>
    <mergeCell ref="I46:K46"/>
    <mergeCell ref="A37:D37"/>
    <mergeCell ref="E37:H37"/>
    <mergeCell ref="I37:K37"/>
    <mergeCell ref="A47:D47"/>
    <mergeCell ref="E47:H47"/>
    <mergeCell ref="I47:K47"/>
    <mergeCell ref="A48:D48"/>
    <mergeCell ref="E48:H48"/>
    <mergeCell ref="I48:K48"/>
    <mergeCell ref="A49:D49"/>
    <mergeCell ref="E49:H49"/>
    <mergeCell ref="I49:K49"/>
    <mergeCell ref="A50:D50"/>
    <mergeCell ref="E50:H50"/>
    <mergeCell ref="I50:K50"/>
    <mergeCell ref="I39:K39"/>
    <mergeCell ref="A40:D40"/>
    <mergeCell ref="E40:H40"/>
    <mergeCell ref="I40:K40"/>
    <mergeCell ref="A41:D41"/>
    <mergeCell ref="E41:H41"/>
    <mergeCell ref="A647:D647"/>
    <mergeCell ref="E647:H647"/>
    <mergeCell ref="I647:K647"/>
    <mergeCell ref="A648:D648"/>
    <mergeCell ref="E648:H648"/>
    <mergeCell ref="I648:K648"/>
    <mergeCell ref="A645:D645"/>
    <mergeCell ref="E645:H645"/>
    <mergeCell ref="I645:K645"/>
    <mergeCell ref="A646:D646"/>
    <mergeCell ref="E646:H646"/>
    <mergeCell ref="I646:K646"/>
    <mergeCell ref="A643:D643"/>
    <mergeCell ref="E643:H643"/>
    <mergeCell ref="I643:K643"/>
    <mergeCell ref="A644:D644"/>
    <mergeCell ref="E644:H644"/>
    <mergeCell ref="I644:K644"/>
    <mergeCell ref="A641:D641"/>
    <mergeCell ref="E641:H641"/>
    <mergeCell ref="I641:K641"/>
    <mergeCell ref="A642:D642"/>
    <mergeCell ref="E642:H642"/>
    <mergeCell ref="I642:K642"/>
    <mergeCell ref="A639:D639"/>
    <mergeCell ref="E639:H639"/>
    <mergeCell ref="I639:K639"/>
    <mergeCell ref="A640:D640"/>
    <mergeCell ref="E640:H640"/>
    <mergeCell ref="I640:K640"/>
    <mergeCell ref="A637:D637"/>
    <mergeCell ref="E637:H637"/>
    <mergeCell ref="I637:K637"/>
    <mergeCell ref="A638:D638"/>
    <mergeCell ref="E638:H638"/>
    <mergeCell ref="I638:K638"/>
    <mergeCell ref="A635:D635"/>
    <mergeCell ref="E635:H635"/>
    <mergeCell ref="I635:K635"/>
    <mergeCell ref="A636:D636"/>
    <mergeCell ref="E636:H636"/>
    <mergeCell ref="I636:K636"/>
    <mergeCell ref="A633:D633"/>
    <mergeCell ref="E633:H633"/>
    <mergeCell ref="I633:K633"/>
    <mergeCell ref="A634:D634"/>
    <mergeCell ref="E634:H634"/>
    <mergeCell ref="I634:K634"/>
    <mergeCell ref="A631:D631"/>
    <mergeCell ref="E631:H631"/>
    <mergeCell ref="I631:K631"/>
    <mergeCell ref="A632:D632"/>
    <mergeCell ref="E632:H632"/>
    <mergeCell ref="I632:K632"/>
    <mergeCell ref="A629:D629"/>
    <mergeCell ref="E629:H629"/>
    <mergeCell ref="I629:K629"/>
    <mergeCell ref="A630:D630"/>
    <mergeCell ref="E630:H630"/>
    <mergeCell ref="I630:K630"/>
    <mergeCell ref="A627:D627"/>
    <mergeCell ref="E627:H627"/>
    <mergeCell ref="I627:K627"/>
    <mergeCell ref="A628:D628"/>
    <mergeCell ref="E628:H628"/>
    <mergeCell ref="I628:K628"/>
    <mergeCell ref="A625:D625"/>
    <mergeCell ref="E625:H625"/>
    <mergeCell ref="I625:K625"/>
    <mergeCell ref="A626:D626"/>
    <mergeCell ref="E626:H626"/>
    <mergeCell ref="I626:K626"/>
    <mergeCell ref="A623:D623"/>
    <mergeCell ref="E623:H623"/>
    <mergeCell ref="I623:K623"/>
    <mergeCell ref="A624:D624"/>
    <mergeCell ref="E624:H624"/>
    <mergeCell ref="I624:K624"/>
    <mergeCell ref="A621:D621"/>
    <mergeCell ref="E621:H621"/>
    <mergeCell ref="I621:K621"/>
    <mergeCell ref="A622:D622"/>
    <mergeCell ref="E622:H622"/>
    <mergeCell ref="I622:K622"/>
    <mergeCell ref="A619:D619"/>
    <mergeCell ref="E619:H619"/>
    <mergeCell ref="I619:K619"/>
    <mergeCell ref="A620:D620"/>
    <mergeCell ref="E620:H620"/>
    <mergeCell ref="I620:K620"/>
    <mergeCell ref="A617:D617"/>
    <mergeCell ref="E617:H617"/>
    <mergeCell ref="I617:K617"/>
    <mergeCell ref="A618:D618"/>
    <mergeCell ref="E618:H618"/>
    <mergeCell ref="I618:K618"/>
    <mergeCell ref="A615:D615"/>
    <mergeCell ref="E615:H615"/>
    <mergeCell ref="I615:K615"/>
    <mergeCell ref="A616:D616"/>
    <mergeCell ref="E616:H616"/>
    <mergeCell ref="I616:K616"/>
    <mergeCell ref="A613:D613"/>
    <mergeCell ref="E613:H613"/>
    <mergeCell ref="I613:K613"/>
    <mergeCell ref="A614:D614"/>
    <mergeCell ref="E614:H614"/>
    <mergeCell ref="I614:K614"/>
    <mergeCell ref="A611:D611"/>
    <mergeCell ref="E611:H611"/>
    <mergeCell ref="I611:K611"/>
    <mergeCell ref="A612:D612"/>
    <mergeCell ref="E612:H612"/>
    <mergeCell ref="I612:K612"/>
    <mergeCell ref="A609:D609"/>
    <mergeCell ref="E609:H609"/>
    <mergeCell ref="I609:K609"/>
    <mergeCell ref="A610:D610"/>
    <mergeCell ref="E610:H610"/>
    <mergeCell ref="I610:K610"/>
    <mergeCell ref="A607:D607"/>
    <mergeCell ref="E607:H607"/>
    <mergeCell ref="I607:K607"/>
    <mergeCell ref="A608:D608"/>
    <mergeCell ref="E608:H608"/>
    <mergeCell ref="I608:K608"/>
    <mergeCell ref="A605:D605"/>
    <mergeCell ref="E605:H605"/>
    <mergeCell ref="I605:K605"/>
    <mergeCell ref="A606:D606"/>
    <mergeCell ref="E606:H606"/>
    <mergeCell ref="I606:K606"/>
    <mergeCell ref="A603:D603"/>
    <mergeCell ref="E603:H603"/>
    <mergeCell ref="I603:K603"/>
    <mergeCell ref="A604:D604"/>
    <mergeCell ref="E604:H604"/>
    <mergeCell ref="I604:K604"/>
    <mergeCell ref="A601:D601"/>
    <mergeCell ref="E601:H601"/>
    <mergeCell ref="I601:K601"/>
    <mergeCell ref="A602:D602"/>
    <mergeCell ref="E602:H602"/>
    <mergeCell ref="I602:K602"/>
    <mergeCell ref="A599:D599"/>
    <mergeCell ref="E599:H599"/>
    <mergeCell ref="I599:K599"/>
    <mergeCell ref="A600:D600"/>
    <mergeCell ref="E600:H600"/>
    <mergeCell ref="I600:K600"/>
    <mergeCell ref="A597:D597"/>
    <mergeCell ref="E597:H597"/>
    <mergeCell ref="I597:K597"/>
    <mergeCell ref="A598:D598"/>
    <mergeCell ref="E598:H598"/>
    <mergeCell ref="I598:K598"/>
    <mergeCell ref="A595:D595"/>
    <mergeCell ref="E595:H595"/>
    <mergeCell ref="I595:K595"/>
    <mergeCell ref="A596:D596"/>
    <mergeCell ref="E596:H596"/>
    <mergeCell ref="I596:K596"/>
    <mergeCell ref="A593:D593"/>
    <mergeCell ref="E593:H593"/>
    <mergeCell ref="I593:K593"/>
    <mergeCell ref="A594:D594"/>
    <mergeCell ref="E594:H594"/>
    <mergeCell ref="I594:K594"/>
    <mergeCell ref="A591:D591"/>
    <mergeCell ref="E591:H591"/>
    <mergeCell ref="I591:K591"/>
    <mergeCell ref="A592:D592"/>
    <mergeCell ref="E592:H592"/>
    <mergeCell ref="I592:K592"/>
    <mergeCell ref="A589:D589"/>
    <mergeCell ref="E589:H589"/>
    <mergeCell ref="I589:K589"/>
    <mergeCell ref="A590:D590"/>
    <mergeCell ref="E590:H590"/>
    <mergeCell ref="I590:K590"/>
    <mergeCell ref="A587:D587"/>
    <mergeCell ref="E587:H587"/>
    <mergeCell ref="I587:K587"/>
    <mergeCell ref="A588:D588"/>
    <mergeCell ref="E588:H588"/>
    <mergeCell ref="I588:K588"/>
    <mergeCell ref="A585:D585"/>
    <mergeCell ref="E585:H585"/>
    <mergeCell ref="I585:K585"/>
    <mergeCell ref="A586:D586"/>
    <mergeCell ref="E586:H586"/>
    <mergeCell ref="I586:K586"/>
    <mergeCell ref="A583:D583"/>
    <mergeCell ref="E583:H583"/>
    <mergeCell ref="I583:K583"/>
    <mergeCell ref="A584:D584"/>
    <mergeCell ref="E584:H584"/>
    <mergeCell ref="I584:K584"/>
    <mergeCell ref="A581:D581"/>
    <mergeCell ref="E581:H581"/>
    <mergeCell ref="I581:K581"/>
    <mergeCell ref="A582:D582"/>
    <mergeCell ref="E582:H582"/>
    <mergeCell ref="I582:K582"/>
    <mergeCell ref="A579:D579"/>
    <mergeCell ref="E579:H579"/>
    <mergeCell ref="I579:K579"/>
    <mergeCell ref="A580:D580"/>
    <mergeCell ref="E580:H580"/>
    <mergeCell ref="I580:K580"/>
    <mergeCell ref="A577:D577"/>
    <mergeCell ref="E577:H577"/>
    <mergeCell ref="I577:K577"/>
    <mergeCell ref="A578:D578"/>
    <mergeCell ref="E578:H578"/>
    <mergeCell ref="I578:K578"/>
    <mergeCell ref="A575:D575"/>
    <mergeCell ref="E575:H575"/>
    <mergeCell ref="I575:K575"/>
    <mergeCell ref="A576:D576"/>
    <mergeCell ref="E576:H576"/>
    <mergeCell ref="I576:K576"/>
    <mergeCell ref="A573:D573"/>
    <mergeCell ref="E573:H573"/>
    <mergeCell ref="I573:K573"/>
    <mergeCell ref="A574:D574"/>
    <mergeCell ref="E574:H574"/>
    <mergeCell ref="I574:K574"/>
    <mergeCell ref="A571:D571"/>
    <mergeCell ref="E571:H571"/>
    <mergeCell ref="I571:K571"/>
    <mergeCell ref="A572:D572"/>
    <mergeCell ref="E572:H572"/>
    <mergeCell ref="I572:K572"/>
    <mergeCell ref="A569:D569"/>
    <mergeCell ref="E569:H569"/>
    <mergeCell ref="I569:K569"/>
    <mergeCell ref="A570:D570"/>
    <mergeCell ref="E570:H570"/>
    <mergeCell ref="I570:K570"/>
    <mergeCell ref="A567:D567"/>
    <mergeCell ref="E567:H567"/>
    <mergeCell ref="I567:K567"/>
    <mergeCell ref="A568:D568"/>
    <mergeCell ref="E568:H568"/>
    <mergeCell ref="I568:K568"/>
    <mergeCell ref="A565:D565"/>
    <mergeCell ref="E565:H565"/>
    <mergeCell ref="I565:K565"/>
    <mergeCell ref="A566:D566"/>
    <mergeCell ref="E566:H566"/>
    <mergeCell ref="I566:K566"/>
    <mergeCell ref="A563:D563"/>
    <mergeCell ref="E563:H563"/>
    <mergeCell ref="I563:K563"/>
    <mergeCell ref="A564:D564"/>
    <mergeCell ref="E564:H564"/>
    <mergeCell ref="I564:K564"/>
    <mergeCell ref="A561:D561"/>
    <mergeCell ref="E561:H561"/>
    <mergeCell ref="I561:K561"/>
    <mergeCell ref="A562:D562"/>
    <mergeCell ref="E562:H562"/>
    <mergeCell ref="I562:K562"/>
    <mergeCell ref="A559:D559"/>
    <mergeCell ref="E559:H559"/>
    <mergeCell ref="I559:K559"/>
    <mergeCell ref="A560:D560"/>
    <mergeCell ref="E560:H560"/>
    <mergeCell ref="I560:K560"/>
    <mergeCell ref="A557:D557"/>
    <mergeCell ref="E557:H557"/>
    <mergeCell ref="I557:K557"/>
    <mergeCell ref="A558:D558"/>
    <mergeCell ref="E558:H558"/>
    <mergeCell ref="I558:K558"/>
    <mergeCell ref="A555:D555"/>
    <mergeCell ref="E555:H555"/>
    <mergeCell ref="I555:K555"/>
    <mergeCell ref="A556:D556"/>
    <mergeCell ref="E556:H556"/>
    <mergeCell ref="I556:K556"/>
    <mergeCell ref="A553:D553"/>
    <mergeCell ref="E553:H553"/>
    <mergeCell ref="I553:K553"/>
    <mergeCell ref="A554:D554"/>
    <mergeCell ref="E554:H554"/>
    <mergeCell ref="I554:K554"/>
    <mergeCell ref="A551:D551"/>
    <mergeCell ref="E551:H551"/>
    <mergeCell ref="I551:K551"/>
    <mergeCell ref="A552:D552"/>
    <mergeCell ref="E552:H552"/>
    <mergeCell ref="I552:K552"/>
    <mergeCell ref="BI548:BI549"/>
    <mergeCell ref="BJ548:BJ549"/>
    <mergeCell ref="BK548:BK549"/>
    <mergeCell ref="A550:D550"/>
    <mergeCell ref="E550:H550"/>
    <mergeCell ref="I550:K550"/>
    <mergeCell ref="P548:V548"/>
    <mergeCell ref="W548:AC548"/>
    <mergeCell ref="AD548:AJ548"/>
    <mergeCell ref="AK548:AQ548"/>
    <mergeCell ref="BF548:BG548"/>
    <mergeCell ref="BH548:BH549"/>
    <mergeCell ref="AY548:BE548"/>
    <mergeCell ref="A546:O546"/>
    <mergeCell ref="A548:D549"/>
    <mergeCell ref="E548:H549"/>
    <mergeCell ref="I548:K549"/>
    <mergeCell ref="L548:L549"/>
    <mergeCell ref="M548:M549"/>
    <mergeCell ref="N548:N549"/>
    <mergeCell ref="O548:O549"/>
    <mergeCell ref="AR548:AX548"/>
    <mergeCell ref="A490:D490"/>
    <mergeCell ref="E490:H490"/>
    <mergeCell ref="I490:K490"/>
    <mergeCell ref="A541:D541"/>
    <mergeCell ref="E541:H541"/>
    <mergeCell ref="I541:K541"/>
    <mergeCell ref="A492:D492"/>
    <mergeCell ref="E492:H492"/>
    <mergeCell ref="I492:K492"/>
    <mergeCell ref="A493:D493"/>
    <mergeCell ref="E493:H493"/>
    <mergeCell ref="I493:K493"/>
    <mergeCell ref="A494:D494"/>
    <mergeCell ref="E494:H494"/>
    <mergeCell ref="I494:K494"/>
    <mergeCell ref="A495:D495"/>
    <mergeCell ref="E500:H500"/>
    <mergeCell ref="I500:K500"/>
    <mergeCell ref="A501:D501"/>
    <mergeCell ref="E501:H501"/>
    <mergeCell ref="I501:K501"/>
    <mergeCell ref="A502:D502"/>
    <mergeCell ref="E502:H502"/>
    <mergeCell ref="I502:K502"/>
    <mergeCell ref="A503:D503"/>
    <mergeCell ref="E503:H503"/>
    <mergeCell ref="I503:K503"/>
    <mergeCell ref="A504:D504"/>
    <mergeCell ref="E504:H504"/>
    <mergeCell ref="I508:K508"/>
    <mergeCell ref="A509:D509"/>
    <mergeCell ref="E509:H509"/>
    <mergeCell ref="O544:O545"/>
    <mergeCell ref="E495:H495"/>
    <mergeCell ref="I495:K495"/>
    <mergeCell ref="A496:D496"/>
    <mergeCell ref="E496:H496"/>
    <mergeCell ref="I496:K496"/>
    <mergeCell ref="A497:D497"/>
    <mergeCell ref="E497:H497"/>
    <mergeCell ref="I497:K497"/>
    <mergeCell ref="A498:D498"/>
    <mergeCell ref="E498:H498"/>
    <mergeCell ref="I498:K498"/>
    <mergeCell ref="A499:D499"/>
    <mergeCell ref="E499:H499"/>
    <mergeCell ref="I499:K499"/>
    <mergeCell ref="A500:D500"/>
    <mergeCell ref="A542:D542"/>
    <mergeCell ref="E542:H542"/>
    <mergeCell ref="I542:K542"/>
    <mergeCell ref="A544:A545"/>
    <mergeCell ref="I504:K504"/>
    <mergeCell ref="A505:D505"/>
    <mergeCell ref="E505:H505"/>
    <mergeCell ref="I505:K505"/>
    <mergeCell ref="A506:D506"/>
    <mergeCell ref="E506:H506"/>
    <mergeCell ref="I506:K506"/>
    <mergeCell ref="A507:D507"/>
    <mergeCell ref="E507:H507"/>
    <mergeCell ref="I507:K507"/>
    <mergeCell ref="A508:D508"/>
    <mergeCell ref="E508:H508"/>
    <mergeCell ref="A488:D488"/>
    <mergeCell ref="E488:H488"/>
    <mergeCell ref="I488:K488"/>
    <mergeCell ref="A489:D489"/>
    <mergeCell ref="E489:H489"/>
    <mergeCell ref="I489:K489"/>
    <mergeCell ref="A486:D486"/>
    <mergeCell ref="E486:H486"/>
    <mergeCell ref="I486:K486"/>
    <mergeCell ref="A487:D487"/>
    <mergeCell ref="E487:H487"/>
    <mergeCell ref="I487:K487"/>
    <mergeCell ref="A484:D484"/>
    <mergeCell ref="E484:H484"/>
    <mergeCell ref="I484:K484"/>
    <mergeCell ref="A485:D485"/>
    <mergeCell ref="E485:H485"/>
    <mergeCell ref="I485:K485"/>
    <mergeCell ref="A482:D482"/>
    <mergeCell ref="E482:H482"/>
    <mergeCell ref="I482:K482"/>
    <mergeCell ref="A483:D483"/>
    <mergeCell ref="E483:H483"/>
    <mergeCell ref="I483:K483"/>
    <mergeCell ref="A480:D480"/>
    <mergeCell ref="E480:H480"/>
    <mergeCell ref="I480:K480"/>
    <mergeCell ref="A481:D481"/>
    <mergeCell ref="E481:H481"/>
    <mergeCell ref="I481:K481"/>
    <mergeCell ref="A478:D478"/>
    <mergeCell ref="E478:H478"/>
    <mergeCell ref="I478:K478"/>
    <mergeCell ref="A479:D479"/>
    <mergeCell ref="E479:H479"/>
    <mergeCell ref="I479:K479"/>
    <mergeCell ref="A476:D476"/>
    <mergeCell ref="E476:H476"/>
    <mergeCell ref="I476:K476"/>
    <mergeCell ref="A477:D477"/>
    <mergeCell ref="E477:H477"/>
    <mergeCell ref="I477:K477"/>
    <mergeCell ref="A474:D474"/>
    <mergeCell ref="E474:H474"/>
    <mergeCell ref="I474:K474"/>
    <mergeCell ref="A475:D475"/>
    <mergeCell ref="E475:H475"/>
    <mergeCell ref="I475:K475"/>
    <mergeCell ref="A472:D472"/>
    <mergeCell ref="E472:H472"/>
    <mergeCell ref="I472:K472"/>
    <mergeCell ref="A473:D473"/>
    <mergeCell ref="E473:H473"/>
    <mergeCell ref="I473:K473"/>
    <mergeCell ref="E461:H461"/>
    <mergeCell ref="I461:K461"/>
    <mergeCell ref="I458:K458"/>
    <mergeCell ref="A459:D459"/>
    <mergeCell ref="E459:H459"/>
    <mergeCell ref="I459:K459"/>
    <mergeCell ref="A456:D456"/>
    <mergeCell ref="E456:H456"/>
    <mergeCell ref="I456:K456"/>
    <mergeCell ref="A457:D457"/>
    <mergeCell ref="E457:H457"/>
    <mergeCell ref="I457:K457"/>
    <mergeCell ref="A470:D470"/>
    <mergeCell ref="E470:H470"/>
    <mergeCell ref="I470:K470"/>
    <mergeCell ref="A471:D471"/>
    <mergeCell ref="E471:H471"/>
    <mergeCell ref="I471:K471"/>
    <mergeCell ref="A468:D468"/>
    <mergeCell ref="E468:H468"/>
    <mergeCell ref="I468:K468"/>
    <mergeCell ref="A469:D469"/>
    <mergeCell ref="E469:H469"/>
    <mergeCell ref="I469:K469"/>
    <mergeCell ref="A466:D466"/>
    <mergeCell ref="E466:H466"/>
    <mergeCell ref="I466:K466"/>
    <mergeCell ref="A467:D467"/>
    <mergeCell ref="E467:H467"/>
    <mergeCell ref="I467:K467"/>
    <mergeCell ref="BI441:BI442"/>
    <mergeCell ref="BJ441:BJ442"/>
    <mergeCell ref="BK441:BK442"/>
    <mergeCell ref="A443:D443"/>
    <mergeCell ref="E443:H443"/>
    <mergeCell ref="I443:K443"/>
    <mergeCell ref="P441:V441"/>
    <mergeCell ref="W441:AC441"/>
    <mergeCell ref="AD441:AJ441"/>
    <mergeCell ref="AK441:AQ441"/>
    <mergeCell ref="BF441:BG441"/>
    <mergeCell ref="BH441:BH442"/>
    <mergeCell ref="A452:D452"/>
    <mergeCell ref="E452:H452"/>
    <mergeCell ref="I452:K452"/>
    <mergeCell ref="A453:D453"/>
    <mergeCell ref="E453:H453"/>
    <mergeCell ref="I453:K453"/>
    <mergeCell ref="A450:D450"/>
    <mergeCell ref="E450:H450"/>
    <mergeCell ref="I450:K450"/>
    <mergeCell ref="A451:D451"/>
    <mergeCell ref="E451:H451"/>
    <mergeCell ref="I451:K451"/>
    <mergeCell ref="A448:D448"/>
    <mergeCell ref="E448:H448"/>
    <mergeCell ref="I448:K448"/>
    <mergeCell ref="A449:D449"/>
    <mergeCell ref="E449:H449"/>
    <mergeCell ref="I449:K449"/>
    <mergeCell ref="AY441:BE441"/>
    <mergeCell ref="AR441:AX441"/>
    <mergeCell ref="O437:O438"/>
    <mergeCell ref="E438:G438"/>
    <mergeCell ref="A439:O439"/>
    <mergeCell ref="A441:D442"/>
    <mergeCell ref="E441:H442"/>
    <mergeCell ref="I441:K442"/>
    <mergeCell ref="L441:L442"/>
    <mergeCell ref="M441:M442"/>
    <mergeCell ref="N441:N442"/>
    <mergeCell ref="O441:O442"/>
    <mergeCell ref="A435:D435"/>
    <mergeCell ref="E435:H435"/>
    <mergeCell ref="I435:K435"/>
    <mergeCell ref="A437:A438"/>
    <mergeCell ref="A383:D383"/>
    <mergeCell ref="E383:H383"/>
    <mergeCell ref="I383:K383"/>
    <mergeCell ref="A434:D434"/>
    <mergeCell ref="E434:H434"/>
    <mergeCell ref="I434:K434"/>
    <mergeCell ref="A384:D384"/>
    <mergeCell ref="E384:H384"/>
    <mergeCell ref="I384:K384"/>
    <mergeCell ref="A385:D385"/>
    <mergeCell ref="E385:H385"/>
    <mergeCell ref="I385:K385"/>
    <mergeCell ref="A386:D386"/>
    <mergeCell ref="E386:H386"/>
    <mergeCell ref="I386:K386"/>
    <mergeCell ref="A387:D387"/>
    <mergeCell ref="E387:H387"/>
    <mergeCell ref="I387:K387"/>
    <mergeCell ref="A381:D381"/>
    <mergeCell ref="E381:H381"/>
    <mergeCell ref="I381:K381"/>
    <mergeCell ref="A382:D382"/>
    <mergeCell ref="E382:H382"/>
    <mergeCell ref="I382:K382"/>
    <mergeCell ref="A379:D379"/>
    <mergeCell ref="E379:H379"/>
    <mergeCell ref="I379:K379"/>
    <mergeCell ref="A380:D380"/>
    <mergeCell ref="E380:H380"/>
    <mergeCell ref="I380:K380"/>
    <mergeCell ref="A377:D377"/>
    <mergeCell ref="E377:H377"/>
    <mergeCell ref="I377:K377"/>
    <mergeCell ref="A378:D378"/>
    <mergeCell ref="E378:H378"/>
    <mergeCell ref="I378:K378"/>
    <mergeCell ref="A375:D375"/>
    <mergeCell ref="E375:H375"/>
    <mergeCell ref="I375:K375"/>
    <mergeCell ref="A376:D376"/>
    <mergeCell ref="E376:H376"/>
    <mergeCell ref="I376:K376"/>
    <mergeCell ref="A373:D373"/>
    <mergeCell ref="E373:H373"/>
    <mergeCell ref="I373:K373"/>
    <mergeCell ref="A374:D374"/>
    <mergeCell ref="E374:H374"/>
    <mergeCell ref="I374:K374"/>
    <mergeCell ref="A371:D371"/>
    <mergeCell ref="E371:H371"/>
    <mergeCell ref="I371:K371"/>
    <mergeCell ref="A372:D372"/>
    <mergeCell ref="E372:H372"/>
    <mergeCell ref="I372:K372"/>
    <mergeCell ref="A369:D369"/>
    <mergeCell ref="E369:H369"/>
    <mergeCell ref="I369:K369"/>
    <mergeCell ref="A370:D370"/>
    <mergeCell ref="E370:H370"/>
    <mergeCell ref="I370:K370"/>
    <mergeCell ref="A367:D367"/>
    <mergeCell ref="E367:H367"/>
    <mergeCell ref="I367:K367"/>
    <mergeCell ref="A368:D368"/>
    <mergeCell ref="E368:H368"/>
    <mergeCell ref="I368:K368"/>
    <mergeCell ref="A365:D365"/>
    <mergeCell ref="E365:H365"/>
    <mergeCell ref="I365:K365"/>
    <mergeCell ref="A366:D366"/>
    <mergeCell ref="E366:H366"/>
    <mergeCell ref="I366:K366"/>
    <mergeCell ref="A363:D363"/>
    <mergeCell ref="E363:H363"/>
    <mergeCell ref="I363:K363"/>
    <mergeCell ref="A364:D364"/>
    <mergeCell ref="E364:H364"/>
    <mergeCell ref="I364:K364"/>
    <mergeCell ref="A361:D361"/>
    <mergeCell ref="E361:H361"/>
    <mergeCell ref="I361:K361"/>
    <mergeCell ref="A362:D362"/>
    <mergeCell ref="E362:H362"/>
    <mergeCell ref="I362:K362"/>
    <mergeCell ref="A359:D359"/>
    <mergeCell ref="E359:H359"/>
    <mergeCell ref="I359:K359"/>
    <mergeCell ref="A360:D360"/>
    <mergeCell ref="E360:H360"/>
    <mergeCell ref="I360:K360"/>
    <mergeCell ref="A357:D357"/>
    <mergeCell ref="E357:H357"/>
    <mergeCell ref="I357:K357"/>
    <mergeCell ref="A358:D358"/>
    <mergeCell ref="E358:H358"/>
    <mergeCell ref="I358:K358"/>
    <mergeCell ref="A355:D355"/>
    <mergeCell ref="E355:H355"/>
    <mergeCell ref="I355:K355"/>
    <mergeCell ref="A356:D356"/>
    <mergeCell ref="E356:H356"/>
    <mergeCell ref="I356:K356"/>
    <mergeCell ref="A353:D353"/>
    <mergeCell ref="E353:H353"/>
    <mergeCell ref="I353:K353"/>
    <mergeCell ref="A354:D354"/>
    <mergeCell ref="E354:H354"/>
    <mergeCell ref="I354:K354"/>
    <mergeCell ref="A351:D351"/>
    <mergeCell ref="E351:H351"/>
    <mergeCell ref="I351:K351"/>
    <mergeCell ref="A352:D352"/>
    <mergeCell ref="E352:H352"/>
    <mergeCell ref="I352:K352"/>
    <mergeCell ref="A349:D349"/>
    <mergeCell ref="E349:H349"/>
    <mergeCell ref="I349:K349"/>
    <mergeCell ref="A350:D350"/>
    <mergeCell ref="E350:H350"/>
    <mergeCell ref="I350:K350"/>
    <mergeCell ref="A347:D347"/>
    <mergeCell ref="E347:H347"/>
    <mergeCell ref="I347:K347"/>
    <mergeCell ref="A348:D348"/>
    <mergeCell ref="E348:H348"/>
    <mergeCell ref="I348:K348"/>
    <mergeCell ref="A345:D345"/>
    <mergeCell ref="E345:H345"/>
    <mergeCell ref="I345:K345"/>
    <mergeCell ref="A346:D346"/>
    <mergeCell ref="E346:H346"/>
    <mergeCell ref="I346:K346"/>
    <mergeCell ref="A343:D343"/>
    <mergeCell ref="E343:H343"/>
    <mergeCell ref="I343:K343"/>
    <mergeCell ref="A344:D344"/>
    <mergeCell ref="E344:H344"/>
    <mergeCell ref="I344:K344"/>
    <mergeCell ref="A341:D341"/>
    <mergeCell ref="E341:H341"/>
    <mergeCell ref="I341:K341"/>
    <mergeCell ref="A342:D342"/>
    <mergeCell ref="E342:H342"/>
    <mergeCell ref="I342:K342"/>
    <mergeCell ref="A339:D339"/>
    <mergeCell ref="E339:H339"/>
    <mergeCell ref="I339:K339"/>
    <mergeCell ref="A340:D340"/>
    <mergeCell ref="E340:H340"/>
    <mergeCell ref="I340:K340"/>
    <mergeCell ref="A337:D337"/>
    <mergeCell ref="E337:H337"/>
    <mergeCell ref="I337:K337"/>
    <mergeCell ref="A338:D338"/>
    <mergeCell ref="E338:H338"/>
    <mergeCell ref="I338:K338"/>
    <mergeCell ref="BI334:BI335"/>
    <mergeCell ref="BJ334:BJ335"/>
    <mergeCell ref="BK334:BK335"/>
    <mergeCell ref="A336:D336"/>
    <mergeCell ref="E336:H336"/>
    <mergeCell ref="I336:K336"/>
    <mergeCell ref="P334:V334"/>
    <mergeCell ref="W334:AC334"/>
    <mergeCell ref="AD334:AJ334"/>
    <mergeCell ref="AK334:AQ334"/>
    <mergeCell ref="BF334:BG334"/>
    <mergeCell ref="BH334:BH335"/>
    <mergeCell ref="AY334:BE334"/>
    <mergeCell ref="AR334:AX334"/>
    <mergeCell ref="O330:O331"/>
    <mergeCell ref="E331:G331"/>
    <mergeCell ref="A332:O332"/>
    <mergeCell ref="A334:D335"/>
    <mergeCell ref="E334:H335"/>
    <mergeCell ref="I334:K335"/>
    <mergeCell ref="L334:L335"/>
    <mergeCell ref="M334:M335"/>
    <mergeCell ref="N334:N335"/>
    <mergeCell ref="O334:O335"/>
    <mergeCell ref="A327:D327"/>
    <mergeCell ref="E327:H327"/>
    <mergeCell ref="I327:K327"/>
    <mergeCell ref="A330:A331"/>
    <mergeCell ref="A275:D275"/>
    <mergeCell ref="E275:H275"/>
    <mergeCell ref="I275:K275"/>
    <mergeCell ref="A276:D276"/>
    <mergeCell ref="E276:H276"/>
    <mergeCell ref="I276:K276"/>
    <mergeCell ref="A281:D281"/>
    <mergeCell ref="E281:H281"/>
    <mergeCell ref="I281:K281"/>
    <mergeCell ref="A282:D282"/>
    <mergeCell ref="E282:H282"/>
    <mergeCell ref="I282:K282"/>
    <mergeCell ref="A283:D283"/>
    <mergeCell ref="E283:H283"/>
    <mergeCell ref="I283:K283"/>
    <mergeCell ref="A284:D284"/>
    <mergeCell ref="E284:H284"/>
    <mergeCell ref="I284:K284"/>
    <mergeCell ref="A268:D268"/>
    <mergeCell ref="E268:H268"/>
    <mergeCell ref="I268:K268"/>
    <mergeCell ref="A265:D265"/>
    <mergeCell ref="E265:H265"/>
    <mergeCell ref="I265:K265"/>
    <mergeCell ref="A266:D266"/>
    <mergeCell ref="E266:H266"/>
    <mergeCell ref="I266:K266"/>
    <mergeCell ref="A263:D263"/>
    <mergeCell ref="E263:H263"/>
    <mergeCell ref="I263:K263"/>
    <mergeCell ref="A264:D264"/>
    <mergeCell ref="E264:H264"/>
    <mergeCell ref="I264:K264"/>
    <mergeCell ref="A261:D261"/>
    <mergeCell ref="E261:H261"/>
    <mergeCell ref="I261:K261"/>
    <mergeCell ref="A262:D262"/>
    <mergeCell ref="E262:H262"/>
    <mergeCell ref="I262:K262"/>
    <mergeCell ref="A259:D259"/>
    <mergeCell ref="E259:H259"/>
    <mergeCell ref="I259:K259"/>
    <mergeCell ref="A260:D260"/>
    <mergeCell ref="E260:H260"/>
    <mergeCell ref="I260:K260"/>
    <mergeCell ref="A257:D257"/>
    <mergeCell ref="E257:H257"/>
    <mergeCell ref="I257:K257"/>
    <mergeCell ref="A258:D258"/>
    <mergeCell ref="E258:H258"/>
    <mergeCell ref="I258:K258"/>
    <mergeCell ref="A255:D255"/>
    <mergeCell ref="E255:H255"/>
    <mergeCell ref="I255:K255"/>
    <mergeCell ref="A256:D256"/>
    <mergeCell ref="E256:H256"/>
    <mergeCell ref="I256:K256"/>
    <mergeCell ref="A253:D253"/>
    <mergeCell ref="E253:H253"/>
    <mergeCell ref="I253:K253"/>
    <mergeCell ref="A254:D254"/>
    <mergeCell ref="E254:H254"/>
    <mergeCell ref="I254:K254"/>
    <mergeCell ref="A251:D251"/>
    <mergeCell ref="E251:H251"/>
    <mergeCell ref="I251:K251"/>
    <mergeCell ref="A252:D252"/>
    <mergeCell ref="E252:H252"/>
    <mergeCell ref="I252:K252"/>
    <mergeCell ref="A249:D249"/>
    <mergeCell ref="E249:H249"/>
    <mergeCell ref="I249:K249"/>
    <mergeCell ref="A250:D250"/>
    <mergeCell ref="E250:H250"/>
    <mergeCell ref="I250:K250"/>
    <mergeCell ref="A247:D247"/>
    <mergeCell ref="E247:H247"/>
    <mergeCell ref="I247:K247"/>
    <mergeCell ref="A248:D248"/>
    <mergeCell ref="E248:H248"/>
    <mergeCell ref="I248:K248"/>
    <mergeCell ref="A245:D245"/>
    <mergeCell ref="E245:H245"/>
    <mergeCell ref="I245:K245"/>
    <mergeCell ref="A246:D246"/>
    <mergeCell ref="E246:H246"/>
    <mergeCell ref="I246:K246"/>
    <mergeCell ref="A243:D243"/>
    <mergeCell ref="E243:H243"/>
    <mergeCell ref="I243:K243"/>
    <mergeCell ref="A244:D244"/>
    <mergeCell ref="E244:H244"/>
    <mergeCell ref="I244:K244"/>
    <mergeCell ref="A241:D241"/>
    <mergeCell ref="E241:H241"/>
    <mergeCell ref="I241:K241"/>
    <mergeCell ref="A242:D242"/>
    <mergeCell ref="E242:H242"/>
    <mergeCell ref="I242:K242"/>
    <mergeCell ref="A239:D239"/>
    <mergeCell ref="E239:H239"/>
    <mergeCell ref="I239:K239"/>
    <mergeCell ref="A240:D240"/>
    <mergeCell ref="E240:H240"/>
    <mergeCell ref="I240:K240"/>
    <mergeCell ref="A237:D237"/>
    <mergeCell ref="E237:H237"/>
    <mergeCell ref="I237:K237"/>
    <mergeCell ref="A238:D238"/>
    <mergeCell ref="E238:H238"/>
    <mergeCell ref="I238:K238"/>
    <mergeCell ref="A235:D235"/>
    <mergeCell ref="E235:H235"/>
    <mergeCell ref="I235:K235"/>
    <mergeCell ref="A236:D236"/>
    <mergeCell ref="E236:H236"/>
    <mergeCell ref="I236:K236"/>
    <mergeCell ref="A233:D233"/>
    <mergeCell ref="E233:H233"/>
    <mergeCell ref="I233:K233"/>
    <mergeCell ref="A234:D234"/>
    <mergeCell ref="E234:H234"/>
    <mergeCell ref="I234:K234"/>
    <mergeCell ref="A231:D231"/>
    <mergeCell ref="E231:H231"/>
    <mergeCell ref="I231:K231"/>
    <mergeCell ref="A232:D232"/>
    <mergeCell ref="E232:H232"/>
    <mergeCell ref="I232:K232"/>
    <mergeCell ref="A229:D229"/>
    <mergeCell ref="E229:H229"/>
    <mergeCell ref="I229:K229"/>
    <mergeCell ref="A230:D230"/>
    <mergeCell ref="E230:H230"/>
    <mergeCell ref="I230:K230"/>
    <mergeCell ref="BI226:BI227"/>
    <mergeCell ref="BJ226:BJ227"/>
    <mergeCell ref="BK226:BK227"/>
    <mergeCell ref="A228:D228"/>
    <mergeCell ref="E228:H228"/>
    <mergeCell ref="I228:K228"/>
    <mergeCell ref="P226:V226"/>
    <mergeCell ref="W226:AC226"/>
    <mergeCell ref="AD226:AJ226"/>
    <mergeCell ref="AK226:AQ226"/>
    <mergeCell ref="BF226:BG226"/>
    <mergeCell ref="BH226:BH227"/>
    <mergeCell ref="AY226:BE226"/>
    <mergeCell ref="O222:O223"/>
    <mergeCell ref="A224:O224"/>
    <mergeCell ref="A226:D227"/>
    <mergeCell ref="E226:H227"/>
    <mergeCell ref="I226:K227"/>
    <mergeCell ref="L226:L227"/>
    <mergeCell ref="M226:M227"/>
    <mergeCell ref="N226:N227"/>
    <mergeCell ref="O226:O227"/>
    <mergeCell ref="A220:D220"/>
    <mergeCell ref="E220:H220"/>
    <mergeCell ref="I220:K220"/>
    <mergeCell ref="A222:A223"/>
    <mergeCell ref="A193:D193"/>
    <mergeCell ref="E193:H193"/>
    <mergeCell ref="I193:K193"/>
    <mergeCell ref="A219:D219"/>
    <mergeCell ref="E219:H219"/>
    <mergeCell ref="I219:K219"/>
    <mergeCell ref="A196:D196"/>
    <mergeCell ref="E196:H196"/>
    <mergeCell ref="I196:K196"/>
    <mergeCell ref="A197:D197"/>
    <mergeCell ref="E197:H197"/>
    <mergeCell ref="I197:K197"/>
    <mergeCell ref="A198:D198"/>
    <mergeCell ref="E198:H198"/>
    <mergeCell ref="I198:K198"/>
    <mergeCell ref="A199:D199"/>
    <mergeCell ref="E199:H199"/>
    <mergeCell ref="I199:K199"/>
    <mergeCell ref="A200:D200"/>
    <mergeCell ref="I187:K187"/>
    <mergeCell ref="A188:D188"/>
    <mergeCell ref="E188:H188"/>
    <mergeCell ref="I188:K188"/>
    <mergeCell ref="A185:D185"/>
    <mergeCell ref="E185:H185"/>
    <mergeCell ref="I185:K185"/>
    <mergeCell ref="A186:D186"/>
    <mergeCell ref="E186:H186"/>
    <mergeCell ref="I186:K186"/>
    <mergeCell ref="A183:D183"/>
    <mergeCell ref="E183:H183"/>
    <mergeCell ref="I183:K183"/>
    <mergeCell ref="A184:D184"/>
    <mergeCell ref="E184:H184"/>
    <mergeCell ref="I184:K184"/>
    <mergeCell ref="A181:D181"/>
    <mergeCell ref="E181:H181"/>
    <mergeCell ref="I181:K181"/>
    <mergeCell ref="A182:D182"/>
    <mergeCell ref="E182:H182"/>
    <mergeCell ref="I182:K182"/>
    <mergeCell ref="A179:D179"/>
    <mergeCell ref="E179:H179"/>
    <mergeCell ref="I179:K179"/>
    <mergeCell ref="A180:D180"/>
    <mergeCell ref="E180:H180"/>
    <mergeCell ref="I180:K180"/>
    <mergeCell ref="A177:D177"/>
    <mergeCell ref="E177:H177"/>
    <mergeCell ref="I177:K177"/>
    <mergeCell ref="A178:D178"/>
    <mergeCell ref="E178:H178"/>
    <mergeCell ref="I178:K178"/>
    <mergeCell ref="A175:D175"/>
    <mergeCell ref="E175:H175"/>
    <mergeCell ref="I175:K175"/>
    <mergeCell ref="A176:D176"/>
    <mergeCell ref="E176:H176"/>
    <mergeCell ref="I176:K176"/>
    <mergeCell ref="A173:D173"/>
    <mergeCell ref="E173:H173"/>
    <mergeCell ref="I173:K173"/>
    <mergeCell ref="A174:D174"/>
    <mergeCell ref="E174:H174"/>
    <mergeCell ref="I174:K174"/>
    <mergeCell ref="A171:D171"/>
    <mergeCell ref="E171:H171"/>
    <mergeCell ref="I171:K171"/>
    <mergeCell ref="A172:D172"/>
    <mergeCell ref="E172:H172"/>
    <mergeCell ref="I172:K172"/>
    <mergeCell ref="A169:D169"/>
    <mergeCell ref="E169:H169"/>
    <mergeCell ref="I169:K169"/>
    <mergeCell ref="A170:D170"/>
    <mergeCell ref="E170:H170"/>
    <mergeCell ref="I170:K170"/>
    <mergeCell ref="A167:D167"/>
    <mergeCell ref="E167:H167"/>
    <mergeCell ref="I167:K167"/>
    <mergeCell ref="A168:D168"/>
    <mergeCell ref="E168:H168"/>
    <mergeCell ref="I168:K168"/>
    <mergeCell ref="A165:D165"/>
    <mergeCell ref="E165:H165"/>
    <mergeCell ref="I165:K165"/>
    <mergeCell ref="A166:D166"/>
    <mergeCell ref="E166:H166"/>
    <mergeCell ref="I166:K166"/>
    <mergeCell ref="A138:D138"/>
    <mergeCell ref="E138:H138"/>
    <mergeCell ref="I138:K138"/>
    <mergeCell ref="A139:D139"/>
    <mergeCell ref="E139:H139"/>
    <mergeCell ref="I139:K139"/>
    <mergeCell ref="A145:D145"/>
    <mergeCell ref="E145:H145"/>
    <mergeCell ref="I145:K145"/>
    <mergeCell ref="A146:D146"/>
    <mergeCell ref="E146:H146"/>
    <mergeCell ref="I146:K146"/>
    <mergeCell ref="A148:D148"/>
    <mergeCell ref="E148:H148"/>
    <mergeCell ref="I148:K148"/>
    <mergeCell ref="A149:D149"/>
    <mergeCell ref="E149:H149"/>
    <mergeCell ref="I149:K149"/>
    <mergeCell ref="A150:D150"/>
    <mergeCell ref="E150:H150"/>
    <mergeCell ref="A136:D136"/>
    <mergeCell ref="E136:H136"/>
    <mergeCell ref="I136:K136"/>
    <mergeCell ref="A137:D137"/>
    <mergeCell ref="E137:H137"/>
    <mergeCell ref="I137:K137"/>
    <mergeCell ref="A134:D134"/>
    <mergeCell ref="E134:H134"/>
    <mergeCell ref="I134:K134"/>
    <mergeCell ref="A135:D135"/>
    <mergeCell ref="E135:H135"/>
    <mergeCell ref="I135:K135"/>
    <mergeCell ref="A132:D132"/>
    <mergeCell ref="E132:H132"/>
    <mergeCell ref="I132:K132"/>
    <mergeCell ref="A133:D133"/>
    <mergeCell ref="E133:H133"/>
    <mergeCell ref="I133:K133"/>
    <mergeCell ref="A130:D130"/>
    <mergeCell ref="E130:H130"/>
    <mergeCell ref="I130:K130"/>
    <mergeCell ref="A131:D131"/>
    <mergeCell ref="E131:H131"/>
    <mergeCell ref="I131:K131"/>
    <mergeCell ref="A128:D128"/>
    <mergeCell ref="E128:H128"/>
    <mergeCell ref="I128:K128"/>
    <mergeCell ref="A129:D129"/>
    <mergeCell ref="E129:H129"/>
    <mergeCell ref="I129:K129"/>
    <mergeCell ref="A126:D126"/>
    <mergeCell ref="E126:H126"/>
    <mergeCell ref="I126:K126"/>
    <mergeCell ref="A127:D127"/>
    <mergeCell ref="E127:H127"/>
    <mergeCell ref="I127:K127"/>
    <mergeCell ref="A124:D124"/>
    <mergeCell ref="E124:H124"/>
    <mergeCell ref="I124:K124"/>
    <mergeCell ref="A125:D125"/>
    <mergeCell ref="E125:H125"/>
    <mergeCell ref="I125:K125"/>
    <mergeCell ref="A122:D122"/>
    <mergeCell ref="E122:H122"/>
    <mergeCell ref="I122:K122"/>
    <mergeCell ref="A123:D123"/>
    <mergeCell ref="E123:H123"/>
    <mergeCell ref="I123:K123"/>
    <mergeCell ref="BI119:BI120"/>
    <mergeCell ref="BJ119:BJ120"/>
    <mergeCell ref="BK119:BK120"/>
    <mergeCell ref="A121:D121"/>
    <mergeCell ref="E121:H121"/>
    <mergeCell ref="I121:K121"/>
    <mergeCell ref="P119:V119"/>
    <mergeCell ref="W119:AC119"/>
    <mergeCell ref="AD119:AJ119"/>
    <mergeCell ref="AK119:AQ119"/>
    <mergeCell ref="BF119:BG119"/>
    <mergeCell ref="BH119:BH120"/>
    <mergeCell ref="AY119:BE119"/>
    <mergeCell ref="O115:O116"/>
    <mergeCell ref="A117:O117"/>
    <mergeCell ref="A119:D120"/>
    <mergeCell ref="E119:H120"/>
    <mergeCell ref="I119:K120"/>
    <mergeCell ref="L119:L120"/>
    <mergeCell ref="M119:M120"/>
    <mergeCell ref="N119:N120"/>
    <mergeCell ref="O119:O120"/>
    <mergeCell ref="A113:D113"/>
    <mergeCell ref="E113:H113"/>
    <mergeCell ref="I113:K113"/>
    <mergeCell ref="A115:A116"/>
    <mergeCell ref="A111:D111"/>
    <mergeCell ref="E111:H111"/>
    <mergeCell ref="I111:K111"/>
    <mergeCell ref="A112:D112"/>
    <mergeCell ref="E112:H112"/>
    <mergeCell ref="I112:K112"/>
    <mergeCell ref="B115:C116"/>
    <mergeCell ref="D115:G115"/>
    <mergeCell ref="D116:G116"/>
    <mergeCell ref="A109:D109"/>
    <mergeCell ref="E109:H109"/>
    <mergeCell ref="I109:K109"/>
    <mergeCell ref="A110:D110"/>
    <mergeCell ref="E110:H110"/>
    <mergeCell ref="I110:K110"/>
    <mergeCell ref="A107:D107"/>
    <mergeCell ref="E107:H107"/>
    <mergeCell ref="I107:K107"/>
    <mergeCell ref="A108:D108"/>
    <mergeCell ref="E108:H108"/>
    <mergeCell ref="I108:K108"/>
    <mergeCell ref="A105:D105"/>
    <mergeCell ref="E105:H105"/>
    <mergeCell ref="I105:K105"/>
    <mergeCell ref="A106:D106"/>
    <mergeCell ref="E106:H106"/>
    <mergeCell ref="I106:K106"/>
    <mergeCell ref="A103:D103"/>
    <mergeCell ref="E103:H103"/>
    <mergeCell ref="I103:K103"/>
    <mergeCell ref="A104:D104"/>
    <mergeCell ref="E104:H104"/>
    <mergeCell ref="I104:K104"/>
    <mergeCell ref="A101:D101"/>
    <mergeCell ref="E101:H101"/>
    <mergeCell ref="I101:K101"/>
    <mergeCell ref="A102:D102"/>
    <mergeCell ref="E102:H102"/>
    <mergeCell ref="I102:K102"/>
    <mergeCell ref="A99:D99"/>
    <mergeCell ref="E99:H99"/>
    <mergeCell ref="I99:K99"/>
    <mergeCell ref="A100:D100"/>
    <mergeCell ref="E100:H100"/>
    <mergeCell ref="I100:K100"/>
    <mergeCell ref="A97:D97"/>
    <mergeCell ref="E97:H97"/>
    <mergeCell ref="I97:K97"/>
    <mergeCell ref="A98:D98"/>
    <mergeCell ref="E98:H98"/>
    <mergeCell ref="I98:K98"/>
    <mergeCell ref="A95:D95"/>
    <mergeCell ref="E95:H95"/>
    <mergeCell ref="I95:K95"/>
    <mergeCell ref="A96:D96"/>
    <mergeCell ref="E96:H96"/>
    <mergeCell ref="I96:K96"/>
    <mergeCell ref="A93:D93"/>
    <mergeCell ref="E93:H93"/>
    <mergeCell ref="I93:K93"/>
    <mergeCell ref="A94:D94"/>
    <mergeCell ref="E94:H94"/>
    <mergeCell ref="I94:K94"/>
    <mergeCell ref="A91:D91"/>
    <mergeCell ref="E91:H91"/>
    <mergeCell ref="I91:K91"/>
    <mergeCell ref="A92:D92"/>
    <mergeCell ref="E92:H92"/>
    <mergeCell ref="I92:K92"/>
    <mergeCell ref="A89:D89"/>
    <mergeCell ref="E89:H89"/>
    <mergeCell ref="I89:K89"/>
    <mergeCell ref="A90:D90"/>
    <mergeCell ref="E90:H90"/>
    <mergeCell ref="I90:K90"/>
    <mergeCell ref="A87:D87"/>
    <mergeCell ref="E87:H87"/>
    <mergeCell ref="I87:K87"/>
    <mergeCell ref="A88:D88"/>
    <mergeCell ref="E88:H88"/>
    <mergeCell ref="I88:K88"/>
    <mergeCell ref="A85:D85"/>
    <mergeCell ref="E85:H85"/>
    <mergeCell ref="I85:K85"/>
    <mergeCell ref="A86:D86"/>
    <mergeCell ref="E86:H86"/>
    <mergeCell ref="I86:K86"/>
    <mergeCell ref="A83:D83"/>
    <mergeCell ref="E83:H83"/>
    <mergeCell ref="I83:K83"/>
    <mergeCell ref="A84:D84"/>
    <mergeCell ref="E84:H84"/>
    <mergeCell ref="I84:K84"/>
    <mergeCell ref="A32:D32"/>
    <mergeCell ref="E32:H32"/>
    <mergeCell ref="I32:K32"/>
    <mergeCell ref="A33:D33"/>
    <mergeCell ref="E33:H33"/>
    <mergeCell ref="I33:K33"/>
    <mergeCell ref="A34:D34"/>
    <mergeCell ref="E34:H34"/>
    <mergeCell ref="I34:K34"/>
    <mergeCell ref="A35:D35"/>
    <mergeCell ref="E35:H35"/>
    <mergeCell ref="I35:K35"/>
    <mergeCell ref="A36:D36"/>
    <mergeCell ref="E36:H36"/>
    <mergeCell ref="I36:K36"/>
    <mergeCell ref="A38:D38"/>
    <mergeCell ref="E38:H38"/>
    <mergeCell ref="I38:K38"/>
    <mergeCell ref="A39:D39"/>
    <mergeCell ref="E39:H39"/>
    <mergeCell ref="A30:D30"/>
    <mergeCell ref="E30:H30"/>
    <mergeCell ref="I30:K30"/>
    <mergeCell ref="A31:D31"/>
    <mergeCell ref="E31:H31"/>
    <mergeCell ref="I31:K31"/>
    <mergeCell ref="A28:D28"/>
    <mergeCell ref="E28:H28"/>
    <mergeCell ref="I28:K28"/>
    <mergeCell ref="A29:D29"/>
    <mergeCell ref="E29:H29"/>
    <mergeCell ref="I29:K29"/>
    <mergeCell ref="A26:D26"/>
    <mergeCell ref="E26:H26"/>
    <mergeCell ref="I26:K26"/>
    <mergeCell ref="A27:D27"/>
    <mergeCell ref="E27:H27"/>
    <mergeCell ref="I27:K27"/>
    <mergeCell ref="A15:D15"/>
    <mergeCell ref="E15:H15"/>
    <mergeCell ref="I15:K15"/>
    <mergeCell ref="A24:D24"/>
    <mergeCell ref="E24:H24"/>
    <mergeCell ref="I24:K24"/>
    <mergeCell ref="A25:D25"/>
    <mergeCell ref="E25:H25"/>
    <mergeCell ref="I25:K25"/>
    <mergeCell ref="A22:D22"/>
    <mergeCell ref="E22:H22"/>
    <mergeCell ref="I22:K22"/>
    <mergeCell ref="A23:D23"/>
    <mergeCell ref="E23:H23"/>
    <mergeCell ref="I23:K23"/>
    <mergeCell ref="A20:D20"/>
    <mergeCell ref="E20:H20"/>
    <mergeCell ref="I20:K20"/>
    <mergeCell ref="A21:D21"/>
    <mergeCell ref="E21:H21"/>
    <mergeCell ref="I21:K21"/>
    <mergeCell ref="BU12:BU13"/>
    <mergeCell ref="BO13:BR13"/>
    <mergeCell ref="P12:V12"/>
    <mergeCell ref="W12:AC12"/>
    <mergeCell ref="AD12:AJ12"/>
    <mergeCell ref="AK12:AQ12"/>
    <mergeCell ref="BF12:BG12"/>
    <mergeCell ref="BH12:BH13"/>
    <mergeCell ref="O8:O9"/>
    <mergeCell ref="A10:O10"/>
    <mergeCell ref="A12:D13"/>
    <mergeCell ref="E12:H13"/>
    <mergeCell ref="I12:K13"/>
    <mergeCell ref="L12:L13"/>
    <mergeCell ref="M12:M13"/>
    <mergeCell ref="N12:N13"/>
    <mergeCell ref="O12:O13"/>
    <mergeCell ref="B8:C9"/>
    <mergeCell ref="D8:G8"/>
    <mergeCell ref="D9:G9"/>
    <mergeCell ref="AY12:BE12"/>
    <mergeCell ref="B5:B6"/>
    <mergeCell ref="C5:E6"/>
    <mergeCell ref="G5:G6"/>
    <mergeCell ref="H5:K6"/>
    <mergeCell ref="A8:A9"/>
    <mergeCell ref="B1:K1"/>
    <mergeCell ref="M1:S1"/>
    <mergeCell ref="B3:B4"/>
    <mergeCell ref="C3:E4"/>
    <mergeCell ref="G3:G4"/>
    <mergeCell ref="H3:K4"/>
    <mergeCell ref="BI12:BI13"/>
    <mergeCell ref="BJ12:BJ13"/>
    <mergeCell ref="BK12:BK13"/>
    <mergeCell ref="BL12:BL13"/>
    <mergeCell ref="AR119:AX119"/>
    <mergeCell ref="AR226:AX226"/>
    <mergeCell ref="A18:D18"/>
    <mergeCell ref="E18:H18"/>
    <mergeCell ref="I18:K18"/>
    <mergeCell ref="A19:D19"/>
    <mergeCell ref="E19:H19"/>
    <mergeCell ref="I19:K19"/>
    <mergeCell ref="A16:D16"/>
    <mergeCell ref="E16:H16"/>
    <mergeCell ref="I16:K16"/>
    <mergeCell ref="A17:D17"/>
    <mergeCell ref="E17:H17"/>
    <mergeCell ref="I17:K17"/>
    <mergeCell ref="A14:D14"/>
    <mergeCell ref="E14:H14"/>
    <mergeCell ref="I14:K14"/>
    <mergeCell ref="A388:D388"/>
    <mergeCell ref="E388:H388"/>
    <mergeCell ref="I388:K388"/>
    <mergeCell ref="A389:D389"/>
    <mergeCell ref="E389:H389"/>
    <mergeCell ref="I389:K389"/>
    <mergeCell ref="A390:D390"/>
    <mergeCell ref="E390:H390"/>
    <mergeCell ref="I390:K390"/>
    <mergeCell ref="A391:D391"/>
    <mergeCell ref="E391:H391"/>
    <mergeCell ref="I391:K391"/>
    <mergeCell ref="A392:D392"/>
    <mergeCell ref="E392:H392"/>
    <mergeCell ref="I392:K392"/>
    <mergeCell ref="A393:D393"/>
    <mergeCell ref="E393:H393"/>
    <mergeCell ref="I393:K393"/>
    <mergeCell ref="A394:D394"/>
    <mergeCell ref="E394:H394"/>
    <mergeCell ref="I394:K394"/>
    <mergeCell ref="A395:D395"/>
    <mergeCell ref="E395:H395"/>
    <mergeCell ref="I395:K395"/>
    <mergeCell ref="A396:D396"/>
    <mergeCell ref="E396:H396"/>
    <mergeCell ref="I396:K396"/>
    <mergeCell ref="A397:D397"/>
    <mergeCell ref="E397:H397"/>
    <mergeCell ref="I397:K397"/>
    <mergeCell ref="A398:D398"/>
    <mergeCell ref="E398:H398"/>
    <mergeCell ref="I398:K398"/>
    <mergeCell ref="A399:D399"/>
    <mergeCell ref="E399:H399"/>
    <mergeCell ref="I399:K399"/>
    <mergeCell ref="A400:D400"/>
    <mergeCell ref="E400:H400"/>
    <mergeCell ref="I400:K400"/>
    <mergeCell ref="A401:D401"/>
    <mergeCell ref="E401:H401"/>
    <mergeCell ref="I401:K401"/>
    <mergeCell ref="A402:D402"/>
    <mergeCell ref="E402:H402"/>
    <mergeCell ref="I402:K402"/>
    <mergeCell ref="A403:D403"/>
    <mergeCell ref="E403:H403"/>
    <mergeCell ref="I403:K403"/>
    <mergeCell ref="A404:D404"/>
    <mergeCell ref="E404:H404"/>
    <mergeCell ref="I404:K404"/>
    <mergeCell ref="A405:D405"/>
    <mergeCell ref="E405:H405"/>
    <mergeCell ref="I405:K405"/>
    <mergeCell ref="A406:D406"/>
    <mergeCell ref="E406:H406"/>
    <mergeCell ref="I406:K406"/>
    <mergeCell ref="A407:D407"/>
    <mergeCell ref="E407:H407"/>
    <mergeCell ref="I407:K407"/>
    <mergeCell ref="A408:D408"/>
    <mergeCell ref="E408:H408"/>
    <mergeCell ref="I408:K408"/>
    <mergeCell ref="A409:D409"/>
    <mergeCell ref="E409:H409"/>
    <mergeCell ref="I409:K409"/>
    <mergeCell ref="A410:D410"/>
    <mergeCell ref="E410:H410"/>
    <mergeCell ref="I410:K410"/>
    <mergeCell ref="A411:D411"/>
    <mergeCell ref="E411:H411"/>
    <mergeCell ref="I411:K411"/>
    <mergeCell ref="A412:D412"/>
    <mergeCell ref="E412:H412"/>
    <mergeCell ref="I412:K412"/>
    <mergeCell ref="A413:D413"/>
    <mergeCell ref="E413:H413"/>
    <mergeCell ref="I413:K413"/>
    <mergeCell ref="A414:D414"/>
    <mergeCell ref="E414:H414"/>
    <mergeCell ref="I414:K414"/>
    <mergeCell ref="A415:D415"/>
    <mergeCell ref="E415:H415"/>
    <mergeCell ref="I415:K415"/>
    <mergeCell ref="A416:D416"/>
    <mergeCell ref="E416:H416"/>
    <mergeCell ref="I416:K416"/>
    <mergeCell ref="A417:D417"/>
    <mergeCell ref="E417:H417"/>
    <mergeCell ref="I417:K417"/>
    <mergeCell ref="A418:D418"/>
    <mergeCell ref="E418:H418"/>
    <mergeCell ref="I418:K418"/>
    <mergeCell ref="A419:D419"/>
    <mergeCell ref="E419:H419"/>
    <mergeCell ref="I419:K419"/>
    <mergeCell ref="A420:D420"/>
    <mergeCell ref="E420:H420"/>
    <mergeCell ref="I420:K420"/>
    <mergeCell ref="A421:D421"/>
    <mergeCell ref="E421:H421"/>
    <mergeCell ref="I421:K421"/>
    <mergeCell ref="A422:D422"/>
    <mergeCell ref="E422:H422"/>
    <mergeCell ref="I422:K422"/>
    <mergeCell ref="A423:D423"/>
    <mergeCell ref="E423:H423"/>
    <mergeCell ref="I423:K423"/>
    <mergeCell ref="A424:D424"/>
    <mergeCell ref="E424:H424"/>
    <mergeCell ref="I424:K424"/>
    <mergeCell ref="A425:D425"/>
    <mergeCell ref="E425:H425"/>
    <mergeCell ref="I425:K425"/>
    <mergeCell ref="A426:D426"/>
    <mergeCell ref="E426:H426"/>
    <mergeCell ref="I426:K426"/>
    <mergeCell ref="A427:D427"/>
    <mergeCell ref="E427:H427"/>
    <mergeCell ref="I427:K427"/>
    <mergeCell ref="A428:D428"/>
    <mergeCell ref="E428:H428"/>
    <mergeCell ref="I428:K428"/>
    <mergeCell ref="A429:D429"/>
    <mergeCell ref="E429:H429"/>
    <mergeCell ref="I429:K429"/>
    <mergeCell ref="A430:D430"/>
    <mergeCell ref="E430:H430"/>
    <mergeCell ref="I430:K430"/>
    <mergeCell ref="A431:D431"/>
    <mergeCell ref="E431:H431"/>
    <mergeCell ref="I431:K431"/>
    <mergeCell ref="A432:D432"/>
    <mergeCell ref="E432:H432"/>
    <mergeCell ref="I432:K432"/>
    <mergeCell ref="A433:D433"/>
    <mergeCell ref="E433:H433"/>
    <mergeCell ref="I433:K433"/>
    <mergeCell ref="A491:D491"/>
    <mergeCell ref="E491:H491"/>
    <mergeCell ref="I491:K491"/>
    <mergeCell ref="A446:D446"/>
    <mergeCell ref="E446:H446"/>
    <mergeCell ref="I446:K446"/>
    <mergeCell ref="A447:D447"/>
    <mergeCell ref="E447:H447"/>
    <mergeCell ref="I447:K447"/>
    <mergeCell ref="A444:D444"/>
    <mergeCell ref="E444:H444"/>
    <mergeCell ref="I444:K444"/>
    <mergeCell ref="A445:D445"/>
    <mergeCell ref="E455:H455"/>
    <mergeCell ref="I455:K455"/>
    <mergeCell ref="A464:D464"/>
    <mergeCell ref="E464:H464"/>
    <mergeCell ref="I464:K464"/>
    <mergeCell ref="A465:D465"/>
    <mergeCell ref="E465:H465"/>
    <mergeCell ref="E445:H445"/>
    <mergeCell ref="I445:K445"/>
    <mergeCell ref="A458:D458"/>
    <mergeCell ref="E458:H458"/>
    <mergeCell ref="I509:K509"/>
    <mergeCell ref="A510:D510"/>
    <mergeCell ref="E510:H510"/>
    <mergeCell ref="I510:K510"/>
    <mergeCell ref="A511:D511"/>
    <mergeCell ref="E511:H511"/>
    <mergeCell ref="I511:K511"/>
    <mergeCell ref="A512:D512"/>
    <mergeCell ref="E512:H512"/>
    <mergeCell ref="I512:K512"/>
    <mergeCell ref="A513:D513"/>
    <mergeCell ref="E513:H513"/>
    <mergeCell ref="I513:K513"/>
    <mergeCell ref="A454:D454"/>
    <mergeCell ref="E454:H454"/>
    <mergeCell ref="I454:K454"/>
    <mergeCell ref="A455:D455"/>
    <mergeCell ref="I465:K465"/>
    <mergeCell ref="A462:D462"/>
    <mergeCell ref="E462:H462"/>
    <mergeCell ref="I462:K462"/>
    <mergeCell ref="A463:D463"/>
    <mergeCell ref="E463:H463"/>
    <mergeCell ref="I463:K463"/>
    <mergeCell ref="A460:D460"/>
    <mergeCell ref="E460:H460"/>
    <mergeCell ref="I460:K460"/>
    <mergeCell ref="A461:D461"/>
    <mergeCell ref="A514:D514"/>
    <mergeCell ref="E514:H514"/>
    <mergeCell ref="I514:K514"/>
    <mergeCell ref="A515:D515"/>
    <mergeCell ref="E515:H515"/>
    <mergeCell ref="I515:K515"/>
    <mergeCell ref="A517:D517"/>
    <mergeCell ref="E517:H517"/>
    <mergeCell ref="I517:K517"/>
    <mergeCell ref="A518:D518"/>
    <mergeCell ref="E518:H518"/>
    <mergeCell ref="I518:K518"/>
    <mergeCell ref="A519:D519"/>
    <mergeCell ref="E519:H519"/>
    <mergeCell ref="I519:K519"/>
    <mergeCell ref="A520:D520"/>
    <mergeCell ref="E520:H520"/>
    <mergeCell ref="I520:K520"/>
    <mergeCell ref="A516:D516"/>
    <mergeCell ref="E516:H516"/>
    <mergeCell ref="I516:K516"/>
    <mergeCell ref="A521:D521"/>
    <mergeCell ref="E521:H521"/>
    <mergeCell ref="I521:K521"/>
    <mergeCell ref="A531:D531"/>
    <mergeCell ref="E531:H531"/>
    <mergeCell ref="I531:K531"/>
    <mergeCell ref="E525:H525"/>
    <mergeCell ref="A522:D522"/>
    <mergeCell ref="E522:H522"/>
    <mergeCell ref="I522:K522"/>
    <mergeCell ref="A523:D523"/>
    <mergeCell ref="E523:H523"/>
    <mergeCell ref="I523:K523"/>
    <mergeCell ref="A524:D524"/>
    <mergeCell ref="E524:H524"/>
    <mergeCell ref="I524:K524"/>
    <mergeCell ref="A525:D525"/>
    <mergeCell ref="A533:D533"/>
    <mergeCell ref="E533:H533"/>
    <mergeCell ref="I533:K533"/>
    <mergeCell ref="A534:D534"/>
    <mergeCell ref="E534:H534"/>
    <mergeCell ref="I534:K534"/>
    <mergeCell ref="A526:D526"/>
    <mergeCell ref="E526:H526"/>
    <mergeCell ref="I526:K526"/>
    <mergeCell ref="A527:D527"/>
    <mergeCell ref="E527:H527"/>
    <mergeCell ref="I527:K527"/>
    <mergeCell ref="A528:D528"/>
    <mergeCell ref="E528:H528"/>
    <mergeCell ref="I528:K528"/>
    <mergeCell ref="I529:K529"/>
    <mergeCell ref="A530:D530"/>
    <mergeCell ref="E530:H530"/>
    <mergeCell ref="I530:K530"/>
    <mergeCell ref="A529:D529"/>
    <mergeCell ref="E529:H529"/>
    <mergeCell ref="A535:D535"/>
    <mergeCell ref="E535:H535"/>
    <mergeCell ref="I535:K535"/>
    <mergeCell ref="A536:D536"/>
    <mergeCell ref="E536:H536"/>
    <mergeCell ref="I536:K536"/>
    <mergeCell ref="B544:C545"/>
    <mergeCell ref="D544:G544"/>
    <mergeCell ref="D545:G545"/>
    <mergeCell ref="B437:C438"/>
    <mergeCell ref="D437:G437"/>
    <mergeCell ref="B330:C331"/>
    <mergeCell ref="D330:G330"/>
    <mergeCell ref="B222:C223"/>
    <mergeCell ref="D222:G222"/>
    <mergeCell ref="D223:G223"/>
    <mergeCell ref="A537:D537"/>
    <mergeCell ref="E537:H537"/>
    <mergeCell ref="I537:K537"/>
    <mergeCell ref="A538:D538"/>
    <mergeCell ref="E538:H538"/>
    <mergeCell ref="I538:K538"/>
    <mergeCell ref="A539:D539"/>
    <mergeCell ref="E539:H539"/>
    <mergeCell ref="I539:K539"/>
    <mergeCell ref="A540:D540"/>
    <mergeCell ref="E540:H540"/>
    <mergeCell ref="I540:K540"/>
    <mergeCell ref="I525:K525"/>
    <mergeCell ref="A532:D532"/>
    <mergeCell ref="E532:H532"/>
    <mergeCell ref="I532:K532"/>
  </mergeCells>
  <phoneticPr fontId="46" type="noConversion"/>
  <conditionalFormatting sqref="E14:H33 E647:H649">
    <cfRule type="expression" dxfId="3339" priority="4284">
      <formula>AND(ISTEXT(I14),ISBLANK(E14))</formula>
    </cfRule>
  </conditionalFormatting>
  <conditionalFormatting sqref="A14:K33 A647:K649">
    <cfRule type="expression" dxfId="3338" priority="4283">
      <formula>AND($I14&lt;&gt;"",$L14="")</formula>
    </cfRule>
  </conditionalFormatting>
  <conditionalFormatting sqref="E121:H139">
    <cfRule type="expression" dxfId="3337" priority="4278">
      <formula>AND(ISTEXT(I121),ISBLANK(E121))</formula>
    </cfRule>
  </conditionalFormatting>
  <conditionalFormatting sqref="A121:K139">
    <cfRule type="expression" dxfId="3336" priority="4277">
      <formula>AND($I121&lt;&gt;"",$L121="")</formula>
    </cfRule>
  </conditionalFormatting>
  <conditionalFormatting sqref="E228:H270 E275:H276 E327:H327">
    <cfRule type="expression" dxfId="3335" priority="4272">
      <formula>AND(ISTEXT(I228),ISBLANK(E228))</formula>
    </cfRule>
  </conditionalFormatting>
  <conditionalFormatting sqref="A228:K270 A275:K276 A327:K327">
    <cfRule type="expression" dxfId="3334" priority="4271">
      <formula>AND($I228&lt;&gt;"",$L228="")</formula>
    </cfRule>
  </conditionalFormatting>
  <conditionalFormatting sqref="E271:H272">
    <cfRule type="expression" dxfId="3333" priority="4270">
      <formula>AND(ISTEXT(I271),ISBLANK(E271))</formula>
    </cfRule>
  </conditionalFormatting>
  <conditionalFormatting sqref="A271:K272">
    <cfRule type="expression" dxfId="3332" priority="4269">
      <formula>AND($I271&lt;&gt;"",$L271="")</formula>
    </cfRule>
  </conditionalFormatting>
  <conditionalFormatting sqref="E273:H274">
    <cfRule type="expression" dxfId="3331" priority="4268">
      <formula>AND(ISTEXT(I273),ISBLANK(E273))</formula>
    </cfRule>
  </conditionalFormatting>
  <conditionalFormatting sqref="A273:K274">
    <cfRule type="expression" dxfId="3330" priority="4267">
      <formula>AND($I273&lt;&gt;"",$L273="")</formula>
    </cfRule>
  </conditionalFormatting>
  <conditionalFormatting sqref="E336:H378 E383:H383 E435:H435">
    <cfRule type="expression" dxfId="3329" priority="4266">
      <formula>AND(ISTEXT(I336),ISBLANK(E336))</formula>
    </cfRule>
  </conditionalFormatting>
  <conditionalFormatting sqref="A336:K378 A383:K383 A435:K435">
    <cfRule type="expression" dxfId="3328" priority="4265">
      <formula>AND($I336&lt;&gt;"",$L336="")</formula>
    </cfRule>
  </conditionalFormatting>
  <conditionalFormatting sqref="E379:H380">
    <cfRule type="expression" dxfId="3327" priority="4264">
      <formula>AND(ISTEXT(I379),ISBLANK(E379))</formula>
    </cfRule>
  </conditionalFormatting>
  <conditionalFormatting sqref="A379:K380">
    <cfRule type="expression" dxfId="3326" priority="4263">
      <formula>AND($I379&lt;&gt;"",$L379="")</formula>
    </cfRule>
  </conditionalFormatting>
  <conditionalFormatting sqref="E381:H382">
    <cfRule type="expression" dxfId="3325" priority="4262">
      <formula>AND(ISTEXT(I381),ISBLANK(E381))</formula>
    </cfRule>
  </conditionalFormatting>
  <conditionalFormatting sqref="A381:K382">
    <cfRule type="expression" dxfId="3324" priority="4261">
      <formula>AND($I381&lt;&gt;"",$L381="")</formula>
    </cfRule>
  </conditionalFormatting>
  <conditionalFormatting sqref="E443:H485 E490:H490">
    <cfRule type="expression" dxfId="3323" priority="4260">
      <formula>AND(ISTEXT(I443),ISBLANK(E443))</formula>
    </cfRule>
  </conditionalFormatting>
  <conditionalFormatting sqref="A443:K485 A490:K490">
    <cfRule type="expression" dxfId="3322" priority="4259">
      <formula>AND($I443&lt;&gt;"",$L443="")</formula>
    </cfRule>
  </conditionalFormatting>
  <conditionalFormatting sqref="E486:H487">
    <cfRule type="expression" dxfId="3321" priority="4258">
      <formula>AND(ISTEXT(I486),ISBLANK(E486))</formula>
    </cfRule>
  </conditionalFormatting>
  <conditionalFormatting sqref="A486:K487">
    <cfRule type="expression" dxfId="3320" priority="4257">
      <formula>AND($I486&lt;&gt;"",$L486="")</formula>
    </cfRule>
  </conditionalFormatting>
  <conditionalFormatting sqref="E488:H489">
    <cfRule type="expression" dxfId="3319" priority="4256">
      <formula>AND(ISTEXT(I488),ISBLANK(E488))</formula>
    </cfRule>
  </conditionalFormatting>
  <conditionalFormatting sqref="A488:K489">
    <cfRule type="expression" dxfId="3318" priority="4255">
      <formula>AND($I488&lt;&gt;"",$L488="")</formula>
    </cfRule>
  </conditionalFormatting>
  <conditionalFormatting sqref="E550:H592 E597:H599">
    <cfRule type="expression" dxfId="3317" priority="4254">
      <formula>AND(ISTEXT(I550),ISBLANK(E550))</formula>
    </cfRule>
  </conditionalFormatting>
  <conditionalFormatting sqref="A550:K592 A597:K599">
    <cfRule type="expression" dxfId="3316" priority="4253">
      <formula>AND($I550&lt;&gt;"",$L550="")</formula>
    </cfRule>
  </conditionalFormatting>
  <conditionalFormatting sqref="E593:H594">
    <cfRule type="expression" dxfId="3315" priority="4252">
      <formula>AND(ISTEXT(I593),ISBLANK(E593))</formula>
    </cfRule>
  </conditionalFormatting>
  <conditionalFormatting sqref="A593:K594">
    <cfRule type="expression" dxfId="3314" priority="4251">
      <formula>AND($I593&lt;&gt;"",$L593="")</formula>
    </cfRule>
  </conditionalFormatting>
  <conditionalFormatting sqref="E595:H596">
    <cfRule type="expression" dxfId="3313" priority="4250">
      <formula>AND(ISTEXT(I595),ISBLANK(E595))</formula>
    </cfRule>
  </conditionalFormatting>
  <conditionalFormatting sqref="A595:K596">
    <cfRule type="expression" dxfId="3312" priority="4249">
      <formula>AND($I595&lt;&gt;"",$L595="")</formula>
    </cfRule>
  </conditionalFormatting>
  <conditionalFormatting sqref="E600:H642">
    <cfRule type="expression" dxfId="3311" priority="4242">
      <formula>AND(ISTEXT(I600),ISBLANK(E600))</formula>
    </cfRule>
  </conditionalFormatting>
  <conditionalFormatting sqref="A600:K642">
    <cfRule type="expression" dxfId="3310" priority="4241">
      <formula>AND($I600&lt;&gt;"",$L600="")</formula>
    </cfRule>
  </conditionalFormatting>
  <conditionalFormatting sqref="E643:H644">
    <cfRule type="expression" dxfId="3309" priority="4240">
      <formula>AND(ISTEXT(I643),ISBLANK(E643))</formula>
    </cfRule>
  </conditionalFormatting>
  <conditionalFormatting sqref="A643:K644">
    <cfRule type="expression" dxfId="3308" priority="4239">
      <formula>AND($I643&lt;&gt;"",$L643="")</formula>
    </cfRule>
  </conditionalFormatting>
  <conditionalFormatting sqref="E645:H646">
    <cfRule type="expression" dxfId="3307" priority="4238">
      <formula>AND(ISTEXT(I645),ISBLANK(E645))</formula>
    </cfRule>
  </conditionalFormatting>
  <conditionalFormatting sqref="A645:K646">
    <cfRule type="expression" dxfId="3306" priority="4237">
      <formula>AND($I645&lt;&gt;"",$L645="")</formula>
    </cfRule>
  </conditionalFormatting>
  <conditionalFormatting sqref="Q14:Q33 Q121:Q139 Q228:Q276 Q336:Q383 Q443:Q490 Q327 Q435 Q550:Q649">
    <cfRule type="expression" dxfId="3305" priority="4222">
      <formula>$Q$11="-"</formula>
    </cfRule>
  </conditionalFormatting>
  <conditionalFormatting sqref="R14:R33 R121:R139 R228:R276 R336:R383 R443:R490 R327 R435 R550:R649">
    <cfRule type="expression" dxfId="3304" priority="4221">
      <formula>$R$11="-"</formula>
    </cfRule>
  </conditionalFormatting>
  <conditionalFormatting sqref="S14:S33 S121:S139 S228:S276 S336:S383 S443:S490 S327 S435 S550:S649">
    <cfRule type="expression" dxfId="3303" priority="4220">
      <formula>$S$11="-"</formula>
    </cfRule>
  </conditionalFormatting>
  <conditionalFormatting sqref="T14:T33 T121:T139 T228:T276 T336:T383 T443:T490 T327 T435 T550:T649">
    <cfRule type="expression" dxfId="3302" priority="4219">
      <formula>$T$11="-"</formula>
    </cfRule>
  </conditionalFormatting>
  <conditionalFormatting sqref="AE14:AE33 AE121:AE139 AE228:AE276 AE336:AE383 AE443:AE490 AE327 AE435 AE550:AE649">
    <cfRule type="expression" dxfId="3301" priority="4218">
      <formula>$AE$11="-"</formula>
    </cfRule>
  </conditionalFormatting>
  <conditionalFormatting sqref="AF14:AF33 AF121:AF139 AF228:AF276 AF336:AF383 AF443:AF490 AF327 AF435 AF550:AF649">
    <cfRule type="expression" dxfId="3300" priority="4217">
      <formula>$AF$11="-"</formula>
    </cfRule>
  </conditionalFormatting>
  <conditionalFormatting sqref="AG14:AG33 AG121:AG139 AG228:AG276 AG336:AG383 AG443:AG490 AG327 AG435 AG550:AG649">
    <cfRule type="expression" dxfId="3299" priority="4216">
      <formula>$AG$11="-"</formula>
    </cfRule>
  </conditionalFormatting>
  <conditionalFormatting sqref="X14:X33 X121:X139 X228:X276 X336:X383 X443:X490 X327 X435 X550:X649">
    <cfRule type="expression" dxfId="3298" priority="4215">
      <formula>$X$11="-"</formula>
    </cfRule>
  </conditionalFormatting>
  <conditionalFormatting sqref="Y14:Y33 Y121:Y139 Y228:Y276 Y336:Y383 Y443:Y490 Y327 Y435 Y550:Y649">
    <cfRule type="expression" dxfId="3297" priority="4214">
      <formula>$Y$11="-"</formula>
    </cfRule>
  </conditionalFormatting>
  <conditionalFormatting sqref="Z14:Z33 Z121:Z139 Z228:Z276 Z336:Z383 Z443:Z490 Z327 Z435 Z550:Z649">
    <cfRule type="expression" dxfId="3296" priority="4213">
      <formula>$Z$11="-"</formula>
    </cfRule>
  </conditionalFormatting>
  <conditionalFormatting sqref="AA14:AA33 AA121:AA139 AA228:AA276 AA336:AA383 AA443:AA490 AA327 AA435 AA550:AA649">
    <cfRule type="expression" dxfId="3295" priority="4212">
      <formula>$AA$11="-"</formula>
    </cfRule>
  </conditionalFormatting>
  <conditionalFormatting sqref="AN14:AN113 AN121:AN220 AN228:AN327 AN336:AN435 AN443:AN542 AN550:AN649">
    <cfRule type="expression" dxfId="3294" priority="4211">
      <formula>$AN$11="-"</formula>
    </cfRule>
  </conditionalFormatting>
  <conditionalFormatting sqref="AO14:AO113 AO121:AO220 AO228:AO327 AO336:AO435 AO443:AO542 AO550:AO649">
    <cfRule type="expression" dxfId="3293" priority="4210">
      <formula>$AO$11="-"</formula>
    </cfRule>
  </conditionalFormatting>
  <conditionalFormatting sqref="AM14:AM113 AM121:AM220 AM228:AM327 AM336:AM435 AM443:AM542 AM550:AM649">
    <cfRule type="expression" dxfId="3292" priority="4209">
      <formula>$AM$11="-"</formula>
    </cfRule>
  </conditionalFormatting>
  <conditionalFormatting sqref="AH14:AH33 AH121:AH139 AH228:AH276 AH336:AH383 AH443:AH490 AH327 AH435 AH550:AH649">
    <cfRule type="expression" dxfId="3291" priority="4208">
      <formula>$AH$11="-"</formula>
    </cfRule>
  </conditionalFormatting>
  <conditionalFormatting sqref="AL14:AL113 AL121:AL220 AL228:AL327 AL336:AL435 AL443:AL542 AL550:AL649">
    <cfRule type="expression" dxfId="3290" priority="4207">
      <formula>$AL$11="-"</formula>
    </cfRule>
  </conditionalFormatting>
  <conditionalFormatting sqref="M1:S1">
    <cfRule type="notContainsBlanks" dxfId="3289" priority="4206">
      <formula>LEN(TRIM(M1))&gt;0</formula>
    </cfRule>
  </conditionalFormatting>
  <conditionalFormatting sqref="E34:H35">
    <cfRule type="expression" dxfId="3288" priority="4200">
      <formula>AND(ISTEXT(I34),ISBLANK(E34))</formula>
    </cfRule>
  </conditionalFormatting>
  <conditionalFormatting sqref="A34:K35">
    <cfRule type="expression" dxfId="3287" priority="4199">
      <formula>AND($I34&lt;&gt;"",$L34="")</formula>
    </cfRule>
  </conditionalFormatting>
  <conditionalFormatting sqref="Q34:Q35">
    <cfRule type="expression" dxfId="3286" priority="4194">
      <formula>$Q$11="-"</formula>
    </cfRule>
  </conditionalFormatting>
  <conditionalFormatting sqref="R34:R35">
    <cfRule type="expression" dxfId="3285" priority="4193">
      <formula>$R$11="-"</formula>
    </cfRule>
  </conditionalFormatting>
  <conditionalFormatting sqref="S34:S35">
    <cfRule type="expression" dxfId="3284" priority="4192">
      <formula>$S$11="-"</formula>
    </cfRule>
  </conditionalFormatting>
  <conditionalFormatting sqref="T34:T35">
    <cfRule type="expression" dxfId="3283" priority="4191">
      <formula>$T$11="-"</formula>
    </cfRule>
  </conditionalFormatting>
  <conditionalFormatting sqref="AE34:AE35">
    <cfRule type="expression" dxfId="3282" priority="4190">
      <formula>$AE$11="-"</formula>
    </cfRule>
  </conditionalFormatting>
  <conditionalFormatting sqref="AF34:AF35">
    <cfRule type="expression" dxfId="3281" priority="4189">
      <formula>$AF$11="-"</formula>
    </cfRule>
  </conditionalFormatting>
  <conditionalFormatting sqref="AG34:AG35">
    <cfRule type="expression" dxfId="3280" priority="4188">
      <formula>$AG$11="-"</formula>
    </cfRule>
  </conditionalFormatting>
  <conditionalFormatting sqref="X34:X35">
    <cfRule type="expression" dxfId="3279" priority="4187">
      <formula>$X$11="-"</formula>
    </cfRule>
  </conditionalFormatting>
  <conditionalFormatting sqref="Y34:Y35">
    <cfRule type="expression" dxfId="3278" priority="4186">
      <formula>$Y$11="-"</formula>
    </cfRule>
  </conditionalFormatting>
  <conditionalFormatting sqref="Z34:Z35">
    <cfRule type="expression" dxfId="3277" priority="4185">
      <formula>$Z$11="-"</formula>
    </cfRule>
  </conditionalFormatting>
  <conditionalFormatting sqref="AA34:AA35">
    <cfRule type="expression" dxfId="3276" priority="4184">
      <formula>$AA$11="-"</formula>
    </cfRule>
  </conditionalFormatting>
  <conditionalFormatting sqref="AN34:AN35">
    <cfRule type="expression" dxfId="3275" priority="4183">
      <formula>$AN$11="-"</formula>
    </cfRule>
  </conditionalFormatting>
  <conditionalFormatting sqref="AO34:AO35">
    <cfRule type="expression" dxfId="3274" priority="4182">
      <formula>$AO$11="-"</formula>
    </cfRule>
  </conditionalFormatting>
  <conditionalFormatting sqref="AM34:AM35">
    <cfRule type="expression" dxfId="3273" priority="4181">
      <formula>$AM$11="-"</formula>
    </cfRule>
  </conditionalFormatting>
  <conditionalFormatting sqref="AH34:AH35">
    <cfRule type="expression" dxfId="3272" priority="4180">
      <formula>$AH$11="-"</formula>
    </cfRule>
  </conditionalFormatting>
  <conditionalFormatting sqref="AL34:AL35">
    <cfRule type="expression" dxfId="3271" priority="4179">
      <formula>$AL$11="-"</formula>
    </cfRule>
  </conditionalFormatting>
  <conditionalFormatting sqref="E36:H37">
    <cfRule type="expression" dxfId="3270" priority="4098">
      <formula>AND(ISTEXT(I36),ISBLANK(E36))</formula>
    </cfRule>
  </conditionalFormatting>
  <conditionalFormatting sqref="A36:K37">
    <cfRule type="expression" dxfId="3269" priority="4097">
      <formula>AND($I36&lt;&gt;"",$L36="")</formula>
    </cfRule>
  </conditionalFormatting>
  <conditionalFormatting sqref="Q36:Q37">
    <cfRule type="expression" dxfId="3268" priority="4092">
      <formula>$Q$11="-"</formula>
    </cfRule>
  </conditionalFormatting>
  <conditionalFormatting sqref="R36:R37">
    <cfRule type="expression" dxfId="3267" priority="4091">
      <formula>$R$11="-"</formula>
    </cfRule>
  </conditionalFormatting>
  <conditionalFormatting sqref="S36:S37">
    <cfRule type="expression" dxfId="3266" priority="4090">
      <formula>$S$11="-"</formula>
    </cfRule>
  </conditionalFormatting>
  <conditionalFormatting sqref="T36:T37">
    <cfRule type="expression" dxfId="3265" priority="4089">
      <formula>$T$11="-"</formula>
    </cfRule>
  </conditionalFormatting>
  <conditionalFormatting sqref="AE36:AE37">
    <cfRule type="expression" dxfId="3264" priority="4088">
      <formula>$AE$11="-"</formula>
    </cfRule>
  </conditionalFormatting>
  <conditionalFormatting sqref="AF36:AF37">
    <cfRule type="expression" dxfId="3263" priority="4087">
      <formula>$AF$11="-"</formula>
    </cfRule>
  </conditionalFormatting>
  <conditionalFormatting sqref="AG36:AG37">
    <cfRule type="expression" dxfId="3262" priority="4086">
      <formula>$AG$11="-"</formula>
    </cfRule>
  </conditionalFormatting>
  <conditionalFormatting sqref="X36:X37">
    <cfRule type="expression" dxfId="3261" priority="4085">
      <formula>$X$11="-"</formula>
    </cfRule>
  </conditionalFormatting>
  <conditionalFormatting sqref="Y36:Y37">
    <cfRule type="expression" dxfId="3260" priority="4084">
      <formula>$Y$11="-"</formula>
    </cfRule>
  </conditionalFormatting>
  <conditionalFormatting sqref="Z36:Z37">
    <cfRule type="expression" dxfId="3259" priority="4083">
      <formula>$Z$11="-"</formula>
    </cfRule>
  </conditionalFormatting>
  <conditionalFormatting sqref="AA36:AA37">
    <cfRule type="expression" dxfId="3258" priority="4082">
      <formula>$AA$11="-"</formula>
    </cfRule>
  </conditionalFormatting>
  <conditionalFormatting sqref="AN36:AN37">
    <cfRule type="expression" dxfId="3257" priority="4081">
      <formula>$AN$11="-"</formula>
    </cfRule>
  </conditionalFormatting>
  <conditionalFormatting sqref="AO36:AO37">
    <cfRule type="expression" dxfId="3256" priority="4080">
      <formula>$AO$11="-"</formula>
    </cfRule>
  </conditionalFormatting>
  <conditionalFormatting sqref="AM36:AM37">
    <cfRule type="expression" dxfId="3255" priority="4079">
      <formula>$AM$11="-"</formula>
    </cfRule>
  </conditionalFormatting>
  <conditionalFormatting sqref="AH36:AH37">
    <cfRule type="expression" dxfId="3254" priority="4078">
      <formula>$AH$11="-"</formula>
    </cfRule>
  </conditionalFormatting>
  <conditionalFormatting sqref="AL36:AL37">
    <cfRule type="expression" dxfId="3253" priority="4077">
      <formula>$AL$11="-"</formula>
    </cfRule>
  </conditionalFormatting>
  <conditionalFormatting sqref="E38:H38">
    <cfRule type="expression" dxfId="3252" priority="4073">
      <formula>AND(ISTEXT(I38),ISBLANK(E38))</formula>
    </cfRule>
  </conditionalFormatting>
  <conditionalFormatting sqref="A38:K38">
    <cfRule type="expression" dxfId="3251" priority="4072">
      <formula>AND($I38&lt;&gt;"",$L38="")</formula>
    </cfRule>
  </conditionalFormatting>
  <conditionalFormatting sqref="Q38">
    <cfRule type="expression" dxfId="3250" priority="4067">
      <formula>$Q$11="-"</formula>
    </cfRule>
  </conditionalFormatting>
  <conditionalFormatting sqref="R38">
    <cfRule type="expression" dxfId="3249" priority="4066">
      <formula>$R$11="-"</formula>
    </cfRule>
  </conditionalFormatting>
  <conditionalFormatting sqref="S38">
    <cfRule type="expression" dxfId="3248" priority="4065">
      <formula>$S$11="-"</formula>
    </cfRule>
  </conditionalFormatting>
  <conditionalFormatting sqref="T38">
    <cfRule type="expression" dxfId="3247" priority="4064">
      <formula>$T$11="-"</formula>
    </cfRule>
  </conditionalFormatting>
  <conditionalFormatting sqref="AE38">
    <cfRule type="expression" dxfId="3246" priority="4063">
      <formula>$AE$11="-"</formula>
    </cfRule>
  </conditionalFormatting>
  <conditionalFormatting sqref="AF38">
    <cfRule type="expression" dxfId="3245" priority="4062">
      <formula>$AF$11="-"</formula>
    </cfRule>
  </conditionalFormatting>
  <conditionalFormatting sqref="AG38">
    <cfRule type="expression" dxfId="3244" priority="4061">
      <formula>$AG$11="-"</formula>
    </cfRule>
  </conditionalFormatting>
  <conditionalFormatting sqref="X38">
    <cfRule type="expression" dxfId="3243" priority="4060">
      <formula>$X$11="-"</formula>
    </cfRule>
  </conditionalFormatting>
  <conditionalFormatting sqref="Y38">
    <cfRule type="expression" dxfId="3242" priority="4059">
      <formula>$Y$11="-"</formula>
    </cfRule>
  </conditionalFormatting>
  <conditionalFormatting sqref="Z38">
    <cfRule type="expression" dxfId="3241" priority="4058">
      <formula>$Z$11="-"</formula>
    </cfRule>
  </conditionalFormatting>
  <conditionalFormatting sqref="AA38">
    <cfRule type="expression" dxfId="3240" priority="4057">
      <formula>$AA$11="-"</formula>
    </cfRule>
  </conditionalFormatting>
  <conditionalFormatting sqref="AN38">
    <cfRule type="expression" dxfId="3239" priority="4056">
      <formula>$AN$11="-"</formula>
    </cfRule>
  </conditionalFormatting>
  <conditionalFormatting sqref="AO38">
    <cfRule type="expression" dxfId="3238" priority="4055">
      <formula>$AO$11="-"</formula>
    </cfRule>
  </conditionalFormatting>
  <conditionalFormatting sqref="AM38">
    <cfRule type="expression" dxfId="3237" priority="4054">
      <formula>$AM$11="-"</formula>
    </cfRule>
  </conditionalFormatting>
  <conditionalFormatting sqref="AH38">
    <cfRule type="expression" dxfId="3236" priority="4053">
      <formula>$AH$11="-"</formula>
    </cfRule>
  </conditionalFormatting>
  <conditionalFormatting sqref="AL38">
    <cfRule type="expression" dxfId="3235" priority="4052">
      <formula>$AL$11="-"</formula>
    </cfRule>
  </conditionalFormatting>
  <conditionalFormatting sqref="E40:H41">
    <cfRule type="expression" dxfId="3234" priority="4046">
      <formula>AND(ISTEXT(I40),ISBLANK(E40))</formula>
    </cfRule>
  </conditionalFormatting>
  <conditionalFormatting sqref="A40:K41">
    <cfRule type="expression" dxfId="3233" priority="4045">
      <formula>AND($I40&lt;&gt;"",$L40="")</formula>
    </cfRule>
  </conditionalFormatting>
  <conditionalFormatting sqref="Q40:Q41">
    <cfRule type="expression" dxfId="3232" priority="4040">
      <formula>$Q$11="-"</formula>
    </cfRule>
  </conditionalFormatting>
  <conditionalFormatting sqref="R40:R41">
    <cfRule type="expression" dxfId="3231" priority="4039">
      <formula>$R$11="-"</formula>
    </cfRule>
  </conditionalFormatting>
  <conditionalFormatting sqref="S40:S41">
    <cfRule type="expression" dxfId="3230" priority="4038">
      <formula>$S$11="-"</formula>
    </cfRule>
  </conditionalFormatting>
  <conditionalFormatting sqref="T40:T41">
    <cfRule type="expression" dxfId="3229" priority="4037">
      <formula>$T$11="-"</formula>
    </cfRule>
  </conditionalFormatting>
  <conditionalFormatting sqref="AE40:AE41">
    <cfRule type="expression" dxfId="3228" priority="4036">
      <formula>$AE$11="-"</formula>
    </cfRule>
  </conditionalFormatting>
  <conditionalFormatting sqref="AF40:AF41">
    <cfRule type="expression" dxfId="3227" priority="4035">
      <formula>$AF$11="-"</formula>
    </cfRule>
  </conditionalFormatting>
  <conditionalFormatting sqref="AG40:AG41">
    <cfRule type="expression" dxfId="3226" priority="4034">
      <formula>$AG$11="-"</formula>
    </cfRule>
  </conditionalFormatting>
  <conditionalFormatting sqref="X40:X41">
    <cfRule type="expression" dxfId="3225" priority="4033">
      <formula>$X$11="-"</formula>
    </cfRule>
  </conditionalFormatting>
  <conditionalFormatting sqref="Y40:Y41">
    <cfRule type="expression" dxfId="3224" priority="4032">
      <formula>$Y$11="-"</formula>
    </cfRule>
  </conditionalFormatting>
  <conditionalFormatting sqref="Z40:Z41">
    <cfRule type="expression" dxfId="3223" priority="4031">
      <formula>$Z$11="-"</formula>
    </cfRule>
  </conditionalFormatting>
  <conditionalFormatting sqref="AA40:AA41">
    <cfRule type="expression" dxfId="3222" priority="4030">
      <formula>$AA$11="-"</formula>
    </cfRule>
  </conditionalFormatting>
  <conditionalFormatting sqref="AN40:AN41">
    <cfRule type="expression" dxfId="3221" priority="4029">
      <formula>$AN$11="-"</formula>
    </cfRule>
  </conditionalFormatting>
  <conditionalFormatting sqref="AO40:AO41">
    <cfRule type="expression" dxfId="3220" priority="4028">
      <formula>$AO$11="-"</formula>
    </cfRule>
  </conditionalFormatting>
  <conditionalFormatting sqref="AM40:AM41">
    <cfRule type="expression" dxfId="3219" priority="4027">
      <formula>$AM$11="-"</formula>
    </cfRule>
  </conditionalFormatting>
  <conditionalFormatting sqref="AH40:AH41">
    <cfRule type="expression" dxfId="3218" priority="4026">
      <formula>$AH$11="-"</formula>
    </cfRule>
  </conditionalFormatting>
  <conditionalFormatting sqref="AL40:AL41">
    <cfRule type="expression" dxfId="3217" priority="4025">
      <formula>$AL$11="-"</formula>
    </cfRule>
  </conditionalFormatting>
  <conditionalFormatting sqref="E42:H42">
    <cfRule type="expression" dxfId="3216" priority="4021">
      <formula>AND(ISTEXT(I42),ISBLANK(E42))</formula>
    </cfRule>
  </conditionalFormatting>
  <conditionalFormatting sqref="A42:K42">
    <cfRule type="expression" dxfId="3215" priority="4020">
      <formula>AND($I42&lt;&gt;"",$L42="")</formula>
    </cfRule>
  </conditionalFormatting>
  <conditionalFormatting sqref="Q42">
    <cfRule type="expression" dxfId="3214" priority="4015">
      <formula>$Q$11="-"</formula>
    </cfRule>
  </conditionalFormatting>
  <conditionalFormatting sqref="R42">
    <cfRule type="expression" dxfId="3213" priority="4014">
      <formula>$R$11="-"</formula>
    </cfRule>
  </conditionalFormatting>
  <conditionalFormatting sqref="S42">
    <cfRule type="expression" dxfId="3212" priority="4013">
      <formula>$S$11="-"</formula>
    </cfRule>
  </conditionalFormatting>
  <conditionalFormatting sqref="T42">
    <cfRule type="expression" dxfId="3211" priority="4012">
      <formula>$T$11="-"</formula>
    </cfRule>
  </conditionalFormatting>
  <conditionalFormatting sqref="AE42">
    <cfRule type="expression" dxfId="3210" priority="4011">
      <formula>$AE$11="-"</formula>
    </cfRule>
  </conditionalFormatting>
  <conditionalFormatting sqref="AF42">
    <cfRule type="expression" dxfId="3209" priority="4010">
      <formula>$AF$11="-"</formula>
    </cfRule>
  </conditionalFormatting>
  <conditionalFormatting sqref="AG42">
    <cfRule type="expression" dxfId="3208" priority="4009">
      <formula>$AG$11="-"</formula>
    </cfRule>
  </conditionalFormatting>
  <conditionalFormatting sqref="X42">
    <cfRule type="expression" dxfId="3207" priority="4008">
      <formula>$X$11="-"</formula>
    </cfRule>
  </conditionalFormatting>
  <conditionalFormatting sqref="Y42">
    <cfRule type="expression" dxfId="3206" priority="4007">
      <formula>$Y$11="-"</formula>
    </cfRule>
  </conditionalFormatting>
  <conditionalFormatting sqref="Z42">
    <cfRule type="expression" dxfId="3205" priority="4006">
      <formula>$Z$11="-"</formula>
    </cfRule>
  </conditionalFormatting>
  <conditionalFormatting sqref="AA42">
    <cfRule type="expression" dxfId="3204" priority="4005">
      <formula>$AA$11="-"</formula>
    </cfRule>
  </conditionalFormatting>
  <conditionalFormatting sqref="AN42">
    <cfRule type="expression" dxfId="3203" priority="4004">
      <formula>$AN$11="-"</formula>
    </cfRule>
  </conditionalFormatting>
  <conditionalFormatting sqref="AO42">
    <cfRule type="expression" dxfId="3202" priority="4003">
      <formula>$AO$11="-"</formula>
    </cfRule>
  </conditionalFormatting>
  <conditionalFormatting sqref="AM42">
    <cfRule type="expression" dxfId="3201" priority="4002">
      <formula>$AM$11="-"</formula>
    </cfRule>
  </conditionalFormatting>
  <conditionalFormatting sqref="AH42">
    <cfRule type="expression" dxfId="3200" priority="4001">
      <formula>$AH$11="-"</formula>
    </cfRule>
  </conditionalFormatting>
  <conditionalFormatting sqref="AL42">
    <cfRule type="expression" dxfId="3199" priority="4000">
      <formula>$AL$11="-"</formula>
    </cfRule>
  </conditionalFormatting>
  <conditionalFormatting sqref="E44:H45">
    <cfRule type="expression" dxfId="3198" priority="3994">
      <formula>AND(ISTEXT(I44),ISBLANK(E44))</formula>
    </cfRule>
  </conditionalFormatting>
  <conditionalFormatting sqref="A44:K45">
    <cfRule type="expression" dxfId="3197" priority="3993">
      <formula>AND($I44&lt;&gt;"",$L44="")</formula>
    </cfRule>
  </conditionalFormatting>
  <conditionalFormatting sqref="Q44:Q45">
    <cfRule type="expression" dxfId="3196" priority="3988">
      <formula>$Q$11="-"</formula>
    </cfRule>
  </conditionalFormatting>
  <conditionalFormatting sqref="R44:R45">
    <cfRule type="expression" dxfId="3195" priority="3987">
      <formula>$R$11="-"</formula>
    </cfRule>
  </conditionalFormatting>
  <conditionalFormatting sqref="S44:S45">
    <cfRule type="expression" dxfId="3194" priority="3986">
      <formula>$S$11="-"</formula>
    </cfRule>
  </conditionalFormatting>
  <conditionalFormatting sqref="T44:T45">
    <cfRule type="expression" dxfId="3193" priority="3985">
      <formula>$T$11="-"</formula>
    </cfRule>
  </conditionalFormatting>
  <conditionalFormatting sqref="AE44:AE45">
    <cfRule type="expression" dxfId="3192" priority="3984">
      <formula>$AE$11="-"</formula>
    </cfRule>
  </conditionalFormatting>
  <conditionalFormatting sqref="AF44:AF45">
    <cfRule type="expression" dxfId="3191" priority="3983">
      <formula>$AF$11="-"</formula>
    </cfRule>
  </conditionalFormatting>
  <conditionalFormatting sqref="AG44:AG45">
    <cfRule type="expression" dxfId="3190" priority="3982">
      <formula>$AG$11="-"</formula>
    </cfRule>
  </conditionalFormatting>
  <conditionalFormatting sqref="X44:X45">
    <cfRule type="expression" dxfId="3189" priority="3981">
      <formula>$X$11="-"</formula>
    </cfRule>
  </conditionalFormatting>
  <conditionalFormatting sqref="Y44:Y45">
    <cfRule type="expression" dxfId="3188" priority="3980">
      <formula>$Y$11="-"</formula>
    </cfRule>
  </conditionalFormatting>
  <conditionalFormatting sqref="Z44:Z45">
    <cfRule type="expression" dxfId="3187" priority="3979">
      <formula>$Z$11="-"</formula>
    </cfRule>
  </conditionalFormatting>
  <conditionalFormatting sqref="AA44:AA45">
    <cfRule type="expression" dxfId="3186" priority="3978">
      <formula>$AA$11="-"</formula>
    </cfRule>
  </conditionalFormatting>
  <conditionalFormatting sqref="AN44:AN45">
    <cfRule type="expression" dxfId="3185" priority="3977">
      <formula>$AN$11="-"</formula>
    </cfRule>
  </conditionalFormatting>
  <conditionalFormatting sqref="AO44:AO45">
    <cfRule type="expression" dxfId="3184" priority="3976">
      <formula>$AO$11="-"</formula>
    </cfRule>
  </conditionalFormatting>
  <conditionalFormatting sqref="AM44:AM45">
    <cfRule type="expression" dxfId="3183" priority="3975">
      <formula>$AM$11="-"</formula>
    </cfRule>
  </conditionalFormatting>
  <conditionalFormatting sqref="AH44:AH45">
    <cfRule type="expression" dxfId="3182" priority="3974">
      <formula>$AH$11="-"</formula>
    </cfRule>
  </conditionalFormatting>
  <conditionalFormatting sqref="AL44:AL45">
    <cfRule type="expression" dxfId="3181" priority="3973">
      <formula>$AL$11="-"</formula>
    </cfRule>
  </conditionalFormatting>
  <conditionalFormatting sqref="E46:H46">
    <cfRule type="expression" dxfId="3180" priority="3969">
      <formula>AND(ISTEXT(I46),ISBLANK(E46))</formula>
    </cfRule>
  </conditionalFormatting>
  <conditionalFormatting sqref="A46:K46">
    <cfRule type="expression" dxfId="3179" priority="3968">
      <formula>AND($I46&lt;&gt;"",$L46="")</formula>
    </cfRule>
  </conditionalFormatting>
  <conditionalFormatting sqref="Q46">
    <cfRule type="expression" dxfId="3178" priority="3963">
      <formula>$Q$11="-"</formula>
    </cfRule>
  </conditionalFormatting>
  <conditionalFormatting sqref="R46">
    <cfRule type="expression" dxfId="3177" priority="3962">
      <formula>$R$11="-"</formula>
    </cfRule>
  </conditionalFormatting>
  <conditionalFormatting sqref="S46">
    <cfRule type="expression" dxfId="3176" priority="3961">
      <formula>$S$11="-"</formula>
    </cfRule>
  </conditionalFormatting>
  <conditionalFormatting sqref="T46">
    <cfRule type="expression" dxfId="3175" priority="3960">
      <formula>$T$11="-"</formula>
    </cfRule>
  </conditionalFormatting>
  <conditionalFormatting sqref="AE46">
    <cfRule type="expression" dxfId="3174" priority="3959">
      <formula>$AE$11="-"</formula>
    </cfRule>
  </conditionalFormatting>
  <conditionalFormatting sqref="AF46">
    <cfRule type="expression" dxfId="3173" priority="3958">
      <formula>$AF$11="-"</formula>
    </cfRule>
  </conditionalFormatting>
  <conditionalFormatting sqref="AG46">
    <cfRule type="expression" dxfId="3172" priority="3957">
      <formula>$AG$11="-"</formula>
    </cfRule>
  </conditionalFormatting>
  <conditionalFormatting sqref="X46">
    <cfRule type="expression" dxfId="3171" priority="3956">
      <formula>$X$11="-"</formula>
    </cfRule>
  </conditionalFormatting>
  <conditionalFormatting sqref="Y46">
    <cfRule type="expression" dxfId="3170" priority="3955">
      <formula>$Y$11="-"</formula>
    </cfRule>
  </conditionalFormatting>
  <conditionalFormatting sqref="Z46">
    <cfRule type="expression" dxfId="3169" priority="3954">
      <formula>$Z$11="-"</formula>
    </cfRule>
  </conditionalFormatting>
  <conditionalFormatting sqref="AA46">
    <cfRule type="expression" dxfId="3168" priority="3953">
      <formula>$AA$11="-"</formula>
    </cfRule>
  </conditionalFormatting>
  <conditionalFormatting sqref="AN46">
    <cfRule type="expression" dxfId="3167" priority="3952">
      <formula>$AN$11="-"</formula>
    </cfRule>
  </conditionalFormatting>
  <conditionalFormatting sqref="AO46">
    <cfRule type="expression" dxfId="3166" priority="3951">
      <formula>$AO$11="-"</formula>
    </cfRule>
  </conditionalFormatting>
  <conditionalFormatting sqref="AM46">
    <cfRule type="expression" dxfId="3165" priority="3950">
      <formula>$AM$11="-"</formula>
    </cfRule>
  </conditionalFormatting>
  <conditionalFormatting sqref="AH46">
    <cfRule type="expression" dxfId="3164" priority="3949">
      <formula>$AH$11="-"</formula>
    </cfRule>
  </conditionalFormatting>
  <conditionalFormatting sqref="AL46">
    <cfRule type="expression" dxfId="3163" priority="3948">
      <formula>$AL$11="-"</formula>
    </cfRule>
  </conditionalFormatting>
  <conditionalFormatting sqref="E39:H39">
    <cfRule type="expression" dxfId="3162" priority="3944">
      <formula>AND(ISTEXT(I39),ISBLANK(E39))</formula>
    </cfRule>
  </conditionalFormatting>
  <conditionalFormatting sqref="A39:K39">
    <cfRule type="expression" dxfId="3161" priority="3943">
      <formula>AND($I39&lt;&gt;"",$L39="")</formula>
    </cfRule>
  </conditionalFormatting>
  <conditionalFormatting sqref="Q39">
    <cfRule type="expression" dxfId="3160" priority="3938">
      <formula>$Q$11="-"</formula>
    </cfRule>
  </conditionalFormatting>
  <conditionalFormatting sqref="R39">
    <cfRule type="expression" dxfId="3159" priority="3937">
      <formula>$R$11="-"</formula>
    </cfRule>
  </conditionalFormatting>
  <conditionalFormatting sqref="S39">
    <cfRule type="expression" dxfId="3158" priority="3936">
      <formula>$S$11="-"</formula>
    </cfRule>
  </conditionalFormatting>
  <conditionalFormatting sqref="T39">
    <cfRule type="expression" dxfId="3157" priority="3935">
      <formula>$T$11="-"</formula>
    </cfRule>
  </conditionalFormatting>
  <conditionalFormatting sqref="AE39">
    <cfRule type="expression" dxfId="3156" priority="3934">
      <formula>$AE$11="-"</formula>
    </cfRule>
  </conditionalFormatting>
  <conditionalFormatting sqref="AF39">
    <cfRule type="expression" dxfId="3155" priority="3933">
      <formula>$AF$11="-"</formula>
    </cfRule>
  </conditionalFormatting>
  <conditionalFormatting sqref="AG39">
    <cfRule type="expression" dxfId="3154" priority="3932">
      <formula>$AG$11="-"</formula>
    </cfRule>
  </conditionalFormatting>
  <conditionalFormatting sqref="X39">
    <cfRule type="expression" dxfId="3153" priority="3931">
      <formula>$X$11="-"</formula>
    </cfRule>
  </conditionalFormatting>
  <conditionalFormatting sqref="Y39">
    <cfRule type="expression" dxfId="3152" priority="3930">
      <formula>$Y$11="-"</formula>
    </cfRule>
  </conditionalFormatting>
  <conditionalFormatting sqref="Z39">
    <cfRule type="expression" dxfId="3151" priority="3929">
      <formula>$Z$11="-"</formula>
    </cfRule>
  </conditionalFormatting>
  <conditionalFormatting sqref="AA39">
    <cfRule type="expression" dxfId="3150" priority="3928">
      <formula>$AA$11="-"</formula>
    </cfRule>
  </conditionalFormatting>
  <conditionalFormatting sqref="AN39">
    <cfRule type="expression" dxfId="3149" priority="3927">
      <formula>$AN$11="-"</formula>
    </cfRule>
  </conditionalFormatting>
  <conditionalFormatting sqref="AO39">
    <cfRule type="expression" dxfId="3148" priority="3926">
      <formula>$AO$11="-"</formula>
    </cfRule>
  </conditionalFormatting>
  <conditionalFormatting sqref="AM39">
    <cfRule type="expression" dxfId="3147" priority="3925">
      <formula>$AM$11="-"</formula>
    </cfRule>
  </conditionalFormatting>
  <conditionalFormatting sqref="AH39">
    <cfRule type="expression" dxfId="3146" priority="3924">
      <formula>$AH$11="-"</formula>
    </cfRule>
  </conditionalFormatting>
  <conditionalFormatting sqref="AL39">
    <cfRule type="expression" dxfId="3145" priority="3923">
      <formula>$AL$11="-"</formula>
    </cfRule>
  </conditionalFormatting>
  <conditionalFormatting sqref="E43:H43">
    <cfRule type="expression" dxfId="3144" priority="3919">
      <formula>AND(ISTEXT(I43),ISBLANK(E43))</formula>
    </cfRule>
  </conditionalFormatting>
  <conditionalFormatting sqref="A43:K43">
    <cfRule type="expression" dxfId="3143" priority="3918">
      <formula>AND($I43&lt;&gt;"",$L43="")</formula>
    </cfRule>
  </conditionalFormatting>
  <conditionalFormatting sqref="Q43">
    <cfRule type="expression" dxfId="3142" priority="3913">
      <formula>$Q$11="-"</formula>
    </cfRule>
  </conditionalFormatting>
  <conditionalFormatting sqref="R43">
    <cfRule type="expression" dxfId="3141" priority="3912">
      <formula>$R$11="-"</formula>
    </cfRule>
  </conditionalFormatting>
  <conditionalFormatting sqref="S43">
    <cfRule type="expression" dxfId="3140" priority="3911">
      <formula>$S$11="-"</formula>
    </cfRule>
  </conditionalFormatting>
  <conditionalFormatting sqref="T43">
    <cfRule type="expression" dxfId="3139" priority="3910">
      <formula>$T$11="-"</formula>
    </cfRule>
  </conditionalFormatting>
  <conditionalFormatting sqref="AE43">
    <cfRule type="expression" dxfId="3138" priority="3909">
      <formula>$AE$11="-"</formula>
    </cfRule>
  </conditionalFormatting>
  <conditionalFormatting sqref="AF43">
    <cfRule type="expression" dxfId="3137" priority="3908">
      <formula>$AF$11="-"</formula>
    </cfRule>
  </conditionalFormatting>
  <conditionalFormatting sqref="AG43">
    <cfRule type="expression" dxfId="3136" priority="3907">
      <formula>$AG$11="-"</formula>
    </cfRule>
  </conditionalFormatting>
  <conditionalFormatting sqref="X43">
    <cfRule type="expression" dxfId="3135" priority="3906">
      <formula>$X$11="-"</formula>
    </cfRule>
  </conditionalFormatting>
  <conditionalFormatting sqref="Y43">
    <cfRule type="expression" dxfId="3134" priority="3905">
      <formula>$Y$11="-"</formula>
    </cfRule>
  </conditionalFormatting>
  <conditionalFormatting sqref="Z43">
    <cfRule type="expression" dxfId="3133" priority="3904">
      <formula>$Z$11="-"</formula>
    </cfRule>
  </conditionalFormatting>
  <conditionalFormatting sqref="AA43">
    <cfRule type="expression" dxfId="3132" priority="3903">
      <formula>$AA$11="-"</formula>
    </cfRule>
  </conditionalFormatting>
  <conditionalFormatting sqref="AN43">
    <cfRule type="expression" dxfId="3131" priority="3902">
      <formula>$AN$11="-"</formula>
    </cfRule>
  </conditionalFormatting>
  <conditionalFormatting sqref="AO43">
    <cfRule type="expression" dxfId="3130" priority="3901">
      <formula>$AO$11="-"</formula>
    </cfRule>
  </conditionalFormatting>
  <conditionalFormatting sqref="AM43">
    <cfRule type="expression" dxfId="3129" priority="3900">
      <formula>$AM$11="-"</formula>
    </cfRule>
  </conditionalFormatting>
  <conditionalFormatting sqref="AH43">
    <cfRule type="expression" dxfId="3128" priority="3899">
      <formula>$AH$11="-"</formula>
    </cfRule>
  </conditionalFormatting>
  <conditionalFormatting sqref="AL43">
    <cfRule type="expression" dxfId="3127" priority="3898">
      <formula>$AL$11="-"</formula>
    </cfRule>
  </conditionalFormatting>
  <conditionalFormatting sqref="E47:H47">
    <cfRule type="expression" dxfId="3126" priority="3894">
      <formula>AND(ISTEXT(I47),ISBLANK(E47))</formula>
    </cfRule>
  </conditionalFormatting>
  <conditionalFormatting sqref="A47:K47">
    <cfRule type="expression" dxfId="3125" priority="3893">
      <formula>AND($I47&lt;&gt;"",$L47="")</formula>
    </cfRule>
  </conditionalFormatting>
  <conditionalFormatting sqref="Q47">
    <cfRule type="expression" dxfId="3124" priority="3888">
      <formula>$Q$11="-"</formula>
    </cfRule>
  </conditionalFormatting>
  <conditionalFormatting sqref="R47">
    <cfRule type="expression" dxfId="3123" priority="3887">
      <formula>$R$11="-"</formula>
    </cfRule>
  </conditionalFormatting>
  <conditionalFormatting sqref="S47">
    <cfRule type="expression" dxfId="3122" priority="3886">
      <formula>$S$11="-"</formula>
    </cfRule>
  </conditionalFormatting>
  <conditionalFormatting sqref="T47">
    <cfRule type="expression" dxfId="3121" priority="3885">
      <formula>$T$11="-"</formula>
    </cfRule>
  </conditionalFormatting>
  <conditionalFormatting sqref="AE47">
    <cfRule type="expression" dxfId="3120" priority="3884">
      <formula>$AE$11="-"</formula>
    </cfRule>
  </conditionalFormatting>
  <conditionalFormatting sqref="AF47">
    <cfRule type="expression" dxfId="3119" priority="3883">
      <formula>$AF$11="-"</formula>
    </cfRule>
  </conditionalFormatting>
  <conditionalFormatting sqref="AG47">
    <cfRule type="expression" dxfId="3118" priority="3882">
      <formula>$AG$11="-"</formula>
    </cfRule>
  </conditionalFormatting>
  <conditionalFormatting sqref="X47">
    <cfRule type="expression" dxfId="3117" priority="3881">
      <formula>$X$11="-"</formula>
    </cfRule>
  </conditionalFormatting>
  <conditionalFormatting sqref="Y47">
    <cfRule type="expression" dxfId="3116" priority="3880">
      <formula>$Y$11="-"</formula>
    </cfRule>
  </conditionalFormatting>
  <conditionalFormatting sqref="Z47">
    <cfRule type="expression" dxfId="3115" priority="3879">
      <formula>$Z$11="-"</formula>
    </cfRule>
  </conditionalFormatting>
  <conditionalFormatting sqref="AA47">
    <cfRule type="expression" dxfId="3114" priority="3878">
      <formula>$AA$11="-"</formula>
    </cfRule>
  </conditionalFormatting>
  <conditionalFormatting sqref="AN47">
    <cfRule type="expression" dxfId="3113" priority="3877">
      <formula>$AN$11="-"</formula>
    </cfRule>
  </conditionalFormatting>
  <conditionalFormatting sqref="AO47">
    <cfRule type="expression" dxfId="3112" priority="3876">
      <formula>$AO$11="-"</formula>
    </cfRule>
  </conditionalFormatting>
  <conditionalFormatting sqref="AM47">
    <cfRule type="expression" dxfId="3111" priority="3875">
      <formula>$AM$11="-"</formula>
    </cfRule>
  </conditionalFormatting>
  <conditionalFormatting sqref="AH47">
    <cfRule type="expression" dxfId="3110" priority="3874">
      <formula>$AH$11="-"</formula>
    </cfRule>
  </conditionalFormatting>
  <conditionalFormatting sqref="AL47">
    <cfRule type="expression" dxfId="3109" priority="3873">
      <formula>$AL$11="-"</formula>
    </cfRule>
  </conditionalFormatting>
  <conditionalFormatting sqref="E48:H48">
    <cfRule type="expression" dxfId="3108" priority="3869">
      <formula>AND(ISTEXT(I48),ISBLANK(E48))</formula>
    </cfRule>
  </conditionalFormatting>
  <conditionalFormatting sqref="A48:K48">
    <cfRule type="expression" dxfId="3107" priority="3868">
      <formula>AND($I48&lt;&gt;"",$L48="")</formula>
    </cfRule>
  </conditionalFormatting>
  <conditionalFormatting sqref="Q48">
    <cfRule type="expression" dxfId="3106" priority="3863">
      <formula>$Q$11="-"</formula>
    </cfRule>
  </conditionalFormatting>
  <conditionalFormatting sqref="R48">
    <cfRule type="expression" dxfId="3105" priority="3862">
      <formula>$R$11="-"</formula>
    </cfRule>
  </conditionalFormatting>
  <conditionalFormatting sqref="S48">
    <cfRule type="expression" dxfId="3104" priority="3861">
      <formula>$S$11="-"</formula>
    </cfRule>
  </conditionalFormatting>
  <conditionalFormatting sqref="T48">
    <cfRule type="expression" dxfId="3103" priority="3860">
      <formula>$T$11="-"</formula>
    </cfRule>
  </conditionalFormatting>
  <conditionalFormatting sqref="AE48">
    <cfRule type="expression" dxfId="3102" priority="3859">
      <formula>$AE$11="-"</formula>
    </cfRule>
  </conditionalFormatting>
  <conditionalFormatting sqref="AF48">
    <cfRule type="expression" dxfId="3101" priority="3858">
      <formula>$AF$11="-"</formula>
    </cfRule>
  </conditionalFormatting>
  <conditionalFormatting sqref="AG48">
    <cfRule type="expression" dxfId="3100" priority="3857">
      <formula>$AG$11="-"</formula>
    </cfRule>
  </conditionalFormatting>
  <conditionalFormatting sqref="X48">
    <cfRule type="expression" dxfId="3099" priority="3856">
      <formula>$X$11="-"</formula>
    </cfRule>
  </conditionalFormatting>
  <conditionalFormatting sqref="Y48">
    <cfRule type="expression" dxfId="3098" priority="3855">
      <formula>$Y$11="-"</formula>
    </cfRule>
  </conditionalFormatting>
  <conditionalFormatting sqref="Z48">
    <cfRule type="expression" dxfId="3097" priority="3854">
      <formula>$Z$11="-"</formula>
    </cfRule>
  </conditionalFormatting>
  <conditionalFormatting sqref="AA48">
    <cfRule type="expression" dxfId="3096" priority="3853">
      <formula>$AA$11="-"</formula>
    </cfRule>
  </conditionalFormatting>
  <conditionalFormatting sqref="AN48">
    <cfRule type="expression" dxfId="3095" priority="3852">
      <formula>$AN$11="-"</formula>
    </cfRule>
  </conditionalFormatting>
  <conditionalFormatting sqref="AO48">
    <cfRule type="expression" dxfId="3094" priority="3851">
      <formula>$AO$11="-"</formula>
    </cfRule>
  </conditionalFormatting>
  <conditionalFormatting sqref="AM48">
    <cfRule type="expression" dxfId="3093" priority="3850">
      <formula>$AM$11="-"</formula>
    </cfRule>
  </conditionalFormatting>
  <conditionalFormatting sqref="AH48">
    <cfRule type="expression" dxfId="3092" priority="3849">
      <formula>$AH$11="-"</formula>
    </cfRule>
  </conditionalFormatting>
  <conditionalFormatting sqref="AL48">
    <cfRule type="expression" dxfId="3091" priority="3848">
      <formula>$AL$11="-"</formula>
    </cfRule>
  </conditionalFormatting>
  <conditionalFormatting sqref="E50:H51">
    <cfRule type="expression" dxfId="3090" priority="3842">
      <formula>AND(ISTEXT(I50),ISBLANK(E50))</formula>
    </cfRule>
  </conditionalFormatting>
  <conditionalFormatting sqref="A50:K51">
    <cfRule type="expression" dxfId="3089" priority="3841">
      <formula>AND($I50&lt;&gt;"",$L50="")</formula>
    </cfRule>
  </conditionalFormatting>
  <conditionalFormatting sqref="Q50:Q51">
    <cfRule type="expression" dxfId="3088" priority="3836">
      <formula>$Q$11="-"</formula>
    </cfRule>
  </conditionalFormatting>
  <conditionalFormatting sqref="R50:R51">
    <cfRule type="expression" dxfId="3087" priority="3835">
      <formula>$R$11="-"</formula>
    </cfRule>
  </conditionalFormatting>
  <conditionalFormatting sqref="S50:S51">
    <cfRule type="expression" dxfId="3086" priority="3834">
      <formula>$S$11="-"</formula>
    </cfRule>
  </conditionalFormatting>
  <conditionalFormatting sqref="T50:T51">
    <cfRule type="expression" dxfId="3085" priority="3833">
      <formula>$T$11="-"</formula>
    </cfRule>
  </conditionalFormatting>
  <conditionalFormatting sqref="AE50:AE51">
    <cfRule type="expression" dxfId="3084" priority="3832">
      <formula>$AE$11="-"</formula>
    </cfRule>
  </conditionalFormatting>
  <conditionalFormatting sqref="AF50:AF51">
    <cfRule type="expression" dxfId="3083" priority="3831">
      <formula>$AF$11="-"</formula>
    </cfRule>
  </conditionalFormatting>
  <conditionalFormatting sqref="AG50:AG51">
    <cfRule type="expression" dxfId="3082" priority="3830">
      <formula>$AG$11="-"</formula>
    </cfRule>
  </conditionalFormatting>
  <conditionalFormatting sqref="X50:X51">
    <cfRule type="expression" dxfId="3081" priority="3829">
      <formula>$X$11="-"</formula>
    </cfRule>
  </conditionalFormatting>
  <conditionalFormatting sqref="Y50:Y51">
    <cfRule type="expression" dxfId="3080" priority="3828">
      <formula>$Y$11="-"</formula>
    </cfRule>
  </conditionalFormatting>
  <conditionalFormatting sqref="Z50:Z51">
    <cfRule type="expression" dxfId="3079" priority="3827">
      <formula>$Z$11="-"</formula>
    </cfRule>
  </conditionalFormatting>
  <conditionalFormatting sqref="AA50:AA51">
    <cfRule type="expression" dxfId="3078" priority="3826">
      <formula>$AA$11="-"</formula>
    </cfRule>
  </conditionalFormatting>
  <conditionalFormatting sqref="AN50:AN51">
    <cfRule type="expression" dxfId="3077" priority="3825">
      <formula>$AN$11="-"</formula>
    </cfRule>
  </conditionalFormatting>
  <conditionalFormatting sqref="AO50:AO51">
    <cfRule type="expression" dxfId="3076" priority="3824">
      <formula>$AO$11="-"</formula>
    </cfRule>
  </conditionalFormatting>
  <conditionalFormatting sqref="AM50:AM51">
    <cfRule type="expression" dxfId="3075" priority="3823">
      <formula>$AM$11="-"</formula>
    </cfRule>
  </conditionalFormatting>
  <conditionalFormatting sqref="AH50:AH51">
    <cfRule type="expression" dxfId="3074" priority="3822">
      <formula>$AH$11="-"</formula>
    </cfRule>
  </conditionalFormatting>
  <conditionalFormatting sqref="AL50:AL51">
    <cfRule type="expression" dxfId="3073" priority="3821">
      <formula>$AL$11="-"</formula>
    </cfRule>
  </conditionalFormatting>
  <conditionalFormatting sqref="E49:H49">
    <cfRule type="expression" dxfId="3072" priority="3817">
      <formula>AND(ISTEXT(I49),ISBLANK(E49))</formula>
    </cfRule>
  </conditionalFormatting>
  <conditionalFormatting sqref="A49:K49">
    <cfRule type="expression" dxfId="3071" priority="3816">
      <formula>AND($I49&lt;&gt;"",$L49="")</formula>
    </cfRule>
  </conditionalFormatting>
  <conditionalFormatting sqref="Q49">
    <cfRule type="expression" dxfId="3070" priority="3811">
      <formula>$Q$11="-"</formula>
    </cfRule>
  </conditionalFormatting>
  <conditionalFormatting sqref="R49">
    <cfRule type="expression" dxfId="3069" priority="3810">
      <formula>$R$11="-"</formula>
    </cfRule>
  </conditionalFormatting>
  <conditionalFormatting sqref="S49">
    <cfRule type="expression" dxfId="3068" priority="3809">
      <formula>$S$11="-"</formula>
    </cfRule>
  </conditionalFormatting>
  <conditionalFormatting sqref="T49">
    <cfRule type="expression" dxfId="3067" priority="3808">
      <formula>$T$11="-"</formula>
    </cfRule>
  </conditionalFormatting>
  <conditionalFormatting sqref="AE49">
    <cfRule type="expression" dxfId="3066" priority="3807">
      <formula>$AE$11="-"</formula>
    </cfRule>
  </conditionalFormatting>
  <conditionalFormatting sqref="AF49">
    <cfRule type="expression" dxfId="3065" priority="3806">
      <formula>$AF$11="-"</formula>
    </cfRule>
  </conditionalFormatting>
  <conditionalFormatting sqref="AG49">
    <cfRule type="expression" dxfId="3064" priority="3805">
      <formula>$AG$11="-"</formula>
    </cfRule>
  </conditionalFormatting>
  <conditionalFormatting sqref="X49">
    <cfRule type="expression" dxfId="3063" priority="3804">
      <formula>$X$11="-"</formula>
    </cfRule>
  </conditionalFormatting>
  <conditionalFormatting sqref="Y49">
    <cfRule type="expression" dxfId="3062" priority="3803">
      <formula>$Y$11="-"</formula>
    </cfRule>
  </conditionalFormatting>
  <conditionalFormatting sqref="Z49">
    <cfRule type="expression" dxfId="3061" priority="3802">
      <formula>$Z$11="-"</formula>
    </cfRule>
  </conditionalFormatting>
  <conditionalFormatting sqref="AA49">
    <cfRule type="expression" dxfId="3060" priority="3801">
      <formula>$AA$11="-"</formula>
    </cfRule>
  </conditionalFormatting>
  <conditionalFormatting sqref="AN49">
    <cfRule type="expression" dxfId="3059" priority="3800">
      <formula>$AN$11="-"</formula>
    </cfRule>
  </conditionalFormatting>
  <conditionalFormatting sqref="AO49">
    <cfRule type="expression" dxfId="3058" priority="3799">
      <formula>$AO$11="-"</formula>
    </cfRule>
  </conditionalFormatting>
  <conditionalFormatting sqref="AM49">
    <cfRule type="expression" dxfId="3057" priority="3798">
      <formula>$AM$11="-"</formula>
    </cfRule>
  </conditionalFormatting>
  <conditionalFormatting sqref="AH49">
    <cfRule type="expression" dxfId="3056" priority="3797">
      <formula>$AH$11="-"</formula>
    </cfRule>
  </conditionalFormatting>
  <conditionalFormatting sqref="AL49">
    <cfRule type="expression" dxfId="3055" priority="3796">
      <formula>$AL$11="-"</formula>
    </cfRule>
  </conditionalFormatting>
  <conditionalFormatting sqref="E52:H52">
    <cfRule type="expression" dxfId="3054" priority="3792">
      <formula>AND(ISTEXT(I52),ISBLANK(E52))</formula>
    </cfRule>
  </conditionalFormatting>
  <conditionalFormatting sqref="A52:K52">
    <cfRule type="expression" dxfId="3053" priority="3791">
      <formula>AND($I52&lt;&gt;"",$L52="")</formula>
    </cfRule>
  </conditionalFormatting>
  <conditionalFormatting sqref="Q52">
    <cfRule type="expression" dxfId="3052" priority="3786">
      <formula>$Q$11="-"</formula>
    </cfRule>
  </conditionalFormatting>
  <conditionalFormatting sqref="R52">
    <cfRule type="expression" dxfId="3051" priority="3785">
      <formula>$R$11="-"</formula>
    </cfRule>
  </conditionalFormatting>
  <conditionalFormatting sqref="S52">
    <cfRule type="expression" dxfId="3050" priority="3784">
      <formula>$S$11="-"</formula>
    </cfRule>
  </conditionalFormatting>
  <conditionalFormatting sqref="T52">
    <cfRule type="expression" dxfId="3049" priority="3783">
      <formula>$T$11="-"</formula>
    </cfRule>
  </conditionalFormatting>
  <conditionalFormatting sqref="AE52">
    <cfRule type="expression" dxfId="3048" priority="3782">
      <formula>$AE$11="-"</formula>
    </cfRule>
  </conditionalFormatting>
  <conditionalFormatting sqref="AF52">
    <cfRule type="expression" dxfId="3047" priority="3781">
      <formula>$AF$11="-"</formula>
    </cfRule>
  </conditionalFormatting>
  <conditionalFormatting sqref="AG52">
    <cfRule type="expression" dxfId="3046" priority="3780">
      <formula>$AG$11="-"</formula>
    </cfRule>
  </conditionalFormatting>
  <conditionalFormatting sqref="X52">
    <cfRule type="expression" dxfId="3045" priority="3779">
      <formula>$X$11="-"</formula>
    </cfRule>
  </conditionalFormatting>
  <conditionalFormatting sqref="Y52">
    <cfRule type="expression" dxfId="3044" priority="3778">
      <formula>$Y$11="-"</formula>
    </cfRule>
  </conditionalFormatting>
  <conditionalFormatting sqref="Z52">
    <cfRule type="expression" dxfId="3043" priority="3777">
      <formula>$Z$11="-"</formula>
    </cfRule>
  </conditionalFormatting>
  <conditionalFormatting sqref="AA52">
    <cfRule type="expression" dxfId="3042" priority="3776">
      <formula>$AA$11="-"</formula>
    </cfRule>
  </conditionalFormatting>
  <conditionalFormatting sqref="AN52">
    <cfRule type="expression" dxfId="3041" priority="3775">
      <formula>$AN$11="-"</formula>
    </cfRule>
  </conditionalFormatting>
  <conditionalFormatting sqref="AO52">
    <cfRule type="expression" dxfId="3040" priority="3774">
      <formula>$AO$11="-"</formula>
    </cfRule>
  </conditionalFormatting>
  <conditionalFormatting sqref="AM52">
    <cfRule type="expression" dxfId="3039" priority="3773">
      <formula>$AM$11="-"</formula>
    </cfRule>
  </conditionalFormatting>
  <conditionalFormatting sqref="AH52">
    <cfRule type="expression" dxfId="3038" priority="3772">
      <formula>$AH$11="-"</formula>
    </cfRule>
  </conditionalFormatting>
  <conditionalFormatting sqref="AL52">
    <cfRule type="expression" dxfId="3037" priority="3771">
      <formula>$AL$11="-"</formula>
    </cfRule>
  </conditionalFormatting>
  <conditionalFormatting sqref="E54:H55">
    <cfRule type="expression" dxfId="3036" priority="3765">
      <formula>AND(ISTEXT(I54),ISBLANK(E54))</formula>
    </cfRule>
  </conditionalFormatting>
  <conditionalFormatting sqref="A54:K55">
    <cfRule type="expression" dxfId="3035" priority="3764">
      <formula>AND($I54&lt;&gt;"",$L54="")</formula>
    </cfRule>
  </conditionalFormatting>
  <conditionalFormatting sqref="Q54:Q55">
    <cfRule type="expression" dxfId="3034" priority="3759">
      <formula>$Q$11="-"</formula>
    </cfRule>
  </conditionalFormatting>
  <conditionalFormatting sqref="R54:R55">
    <cfRule type="expression" dxfId="3033" priority="3758">
      <formula>$R$11="-"</formula>
    </cfRule>
  </conditionalFormatting>
  <conditionalFormatting sqref="S54:S55">
    <cfRule type="expression" dxfId="3032" priority="3757">
      <formula>$S$11="-"</formula>
    </cfRule>
  </conditionalFormatting>
  <conditionalFormatting sqref="T54:T55">
    <cfRule type="expression" dxfId="3031" priority="3756">
      <formula>$T$11="-"</formula>
    </cfRule>
  </conditionalFormatting>
  <conditionalFormatting sqref="AE54:AE55">
    <cfRule type="expression" dxfId="3030" priority="3755">
      <formula>$AE$11="-"</formula>
    </cfRule>
  </conditionalFormatting>
  <conditionalFormatting sqref="AF54:AF55">
    <cfRule type="expression" dxfId="3029" priority="3754">
      <formula>$AF$11="-"</formula>
    </cfRule>
  </conditionalFormatting>
  <conditionalFormatting sqref="AG54:AG55">
    <cfRule type="expression" dxfId="3028" priority="3753">
      <formula>$AG$11="-"</formula>
    </cfRule>
  </conditionalFormatting>
  <conditionalFormatting sqref="X54:X55">
    <cfRule type="expression" dxfId="3027" priority="3752">
      <formula>$X$11="-"</formula>
    </cfRule>
  </conditionalFormatting>
  <conditionalFormatting sqref="Y54:Y55">
    <cfRule type="expression" dxfId="3026" priority="3751">
      <formula>$Y$11="-"</formula>
    </cfRule>
  </conditionalFormatting>
  <conditionalFormatting sqref="Z54:Z55">
    <cfRule type="expression" dxfId="3025" priority="3750">
      <formula>$Z$11="-"</formula>
    </cfRule>
  </conditionalFormatting>
  <conditionalFormatting sqref="AA54:AA55">
    <cfRule type="expression" dxfId="3024" priority="3749">
      <formula>$AA$11="-"</formula>
    </cfRule>
  </conditionalFormatting>
  <conditionalFormatting sqref="AN54:AN55">
    <cfRule type="expression" dxfId="3023" priority="3748">
      <formula>$AN$11="-"</formula>
    </cfRule>
  </conditionalFormatting>
  <conditionalFormatting sqref="AO54:AO55">
    <cfRule type="expression" dxfId="3022" priority="3747">
      <formula>$AO$11="-"</formula>
    </cfRule>
  </conditionalFormatting>
  <conditionalFormatting sqref="AM54:AM55">
    <cfRule type="expression" dxfId="3021" priority="3746">
      <formula>$AM$11="-"</formula>
    </cfRule>
  </conditionalFormatting>
  <conditionalFormatting sqref="AH54:AH55">
    <cfRule type="expression" dxfId="3020" priority="3745">
      <formula>$AH$11="-"</formula>
    </cfRule>
  </conditionalFormatting>
  <conditionalFormatting sqref="AL54:AL55">
    <cfRule type="expression" dxfId="3019" priority="3744">
      <formula>$AL$11="-"</formula>
    </cfRule>
  </conditionalFormatting>
  <conditionalFormatting sqref="E53:H53">
    <cfRule type="expression" dxfId="3018" priority="3740">
      <formula>AND(ISTEXT(I53),ISBLANK(E53))</formula>
    </cfRule>
  </conditionalFormatting>
  <conditionalFormatting sqref="A53:K53">
    <cfRule type="expression" dxfId="3017" priority="3739">
      <formula>AND($I53&lt;&gt;"",$L53="")</formula>
    </cfRule>
  </conditionalFormatting>
  <conditionalFormatting sqref="Q53">
    <cfRule type="expression" dxfId="3016" priority="3734">
      <formula>$Q$11="-"</formula>
    </cfRule>
  </conditionalFormatting>
  <conditionalFormatting sqref="R53">
    <cfRule type="expression" dxfId="3015" priority="3733">
      <formula>$R$11="-"</formula>
    </cfRule>
  </conditionalFormatting>
  <conditionalFormatting sqref="S53">
    <cfRule type="expression" dxfId="3014" priority="3732">
      <formula>$S$11="-"</formula>
    </cfRule>
  </conditionalFormatting>
  <conditionalFormatting sqref="T53">
    <cfRule type="expression" dxfId="3013" priority="3731">
      <formula>$T$11="-"</formula>
    </cfRule>
  </conditionalFormatting>
  <conditionalFormatting sqref="AE53">
    <cfRule type="expression" dxfId="3012" priority="3730">
      <formula>$AE$11="-"</formula>
    </cfRule>
  </conditionalFormatting>
  <conditionalFormatting sqref="AF53">
    <cfRule type="expression" dxfId="3011" priority="3729">
      <formula>$AF$11="-"</formula>
    </cfRule>
  </conditionalFormatting>
  <conditionalFormatting sqref="AG53">
    <cfRule type="expression" dxfId="3010" priority="3728">
      <formula>$AG$11="-"</formula>
    </cfRule>
  </conditionalFormatting>
  <conditionalFormatting sqref="X53">
    <cfRule type="expression" dxfId="3009" priority="3727">
      <formula>$X$11="-"</formula>
    </cfRule>
  </conditionalFormatting>
  <conditionalFormatting sqref="Y53">
    <cfRule type="expression" dxfId="3008" priority="3726">
      <formula>$Y$11="-"</formula>
    </cfRule>
  </conditionalFormatting>
  <conditionalFormatting sqref="Z53">
    <cfRule type="expression" dxfId="3007" priority="3725">
      <formula>$Z$11="-"</formula>
    </cfRule>
  </conditionalFormatting>
  <conditionalFormatting sqref="AA53">
    <cfRule type="expression" dxfId="3006" priority="3724">
      <formula>$AA$11="-"</formula>
    </cfRule>
  </conditionalFormatting>
  <conditionalFormatting sqref="AN53">
    <cfRule type="expression" dxfId="3005" priority="3723">
      <formula>$AN$11="-"</formula>
    </cfRule>
  </conditionalFormatting>
  <conditionalFormatting sqref="AO53">
    <cfRule type="expression" dxfId="3004" priority="3722">
      <formula>$AO$11="-"</formula>
    </cfRule>
  </conditionalFormatting>
  <conditionalFormatting sqref="AM53">
    <cfRule type="expression" dxfId="3003" priority="3721">
      <formula>$AM$11="-"</formula>
    </cfRule>
  </conditionalFormatting>
  <conditionalFormatting sqref="AH53">
    <cfRule type="expression" dxfId="3002" priority="3720">
      <formula>$AH$11="-"</formula>
    </cfRule>
  </conditionalFormatting>
  <conditionalFormatting sqref="AL53">
    <cfRule type="expression" dxfId="3001" priority="3719">
      <formula>$AL$11="-"</formula>
    </cfRule>
  </conditionalFormatting>
  <conditionalFormatting sqref="E56:H56">
    <cfRule type="expression" dxfId="3000" priority="3715">
      <formula>AND(ISTEXT(I56),ISBLANK(E56))</formula>
    </cfRule>
  </conditionalFormatting>
  <conditionalFormatting sqref="A56:K56">
    <cfRule type="expression" dxfId="2999" priority="3714">
      <formula>AND($I56&lt;&gt;"",$L56="")</formula>
    </cfRule>
  </conditionalFormatting>
  <conditionalFormatting sqref="Q56">
    <cfRule type="expression" dxfId="2998" priority="3709">
      <formula>$Q$11="-"</formula>
    </cfRule>
  </conditionalFormatting>
  <conditionalFormatting sqref="R56">
    <cfRule type="expression" dxfId="2997" priority="3708">
      <formula>$R$11="-"</formula>
    </cfRule>
  </conditionalFormatting>
  <conditionalFormatting sqref="S56">
    <cfRule type="expression" dxfId="2996" priority="3707">
      <formula>$S$11="-"</formula>
    </cfRule>
  </conditionalFormatting>
  <conditionalFormatting sqref="T56">
    <cfRule type="expression" dxfId="2995" priority="3706">
      <formula>$T$11="-"</formula>
    </cfRule>
  </conditionalFormatting>
  <conditionalFormatting sqref="AE56">
    <cfRule type="expression" dxfId="2994" priority="3705">
      <formula>$AE$11="-"</formula>
    </cfRule>
  </conditionalFormatting>
  <conditionalFormatting sqref="AF56">
    <cfRule type="expression" dxfId="2993" priority="3704">
      <formula>$AF$11="-"</formula>
    </cfRule>
  </conditionalFormatting>
  <conditionalFormatting sqref="AG56">
    <cfRule type="expression" dxfId="2992" priority="3703">
      <formula>$AG$11="-"</formula>
    </cfRule>
  </conditionalFormatting>
  <conditionalFormatting sqref="X56">
    <cfRule type="expression" dxfId="2991" priority="3702">
      <formula>$X$11="-"</formula>
    </cfRule>
  </conditionalFormatting>
  <conditionalFormatting sqref="Y56">
    <cfRule type="expression" dxfId="2990" priority="3701">
      <formula>$Y$11="-"</formula>
    </cfRule>
  </conditionalFormatting>
  <conditionalFormatting sqref="Z56">
    <cfRule type="expression" dxfId="2989" priority="3700">
      <formula>$Z$11="-"</formula>
    </cfRule>
  </conditionalFormatting>
  <conditionalFormatting sqref="AA56">
    <cfRule type="expression" dxfId="2988" priority="3699">
      <formula>$AA$11="-"</formula>
    </cfRule>
  </conditionalFormatting>
  <conditionalFormatting sqref="AN56">
    <cfRule type="expression" dxfId="2987" priority="3698">
      <formula>$AN$11="-"</formula>
    </cfRule>
  </conditionalFormatting>
  <conditionalFormatting sqref="AO56">
    <cfRule type="expression" dxfId="2986" priority="3697">
      <formula>$AO$11="-"</formula>
    </cfRule>
  </conditionalFormatting>
  <conditionalFormatting sqref="AM56">
    <cfRule type="expression" dxfId="2985" priority="3696">
      <formula>$AM$11="-"</formula>
    </cfRule>
  </conditionalFormatting>
  <conditionalFormatting sqref="AH56">
    <cfRule type="expression" dxfId="2984" priority="3695">
      <formula>$AH$11="-"</formula>
    </cfRule>
  </conditionalFormatting>
  <conditionalFormatting sqref="AL56">
    <cfRule type="expression" dxfId="2983" priority="3694">
      <formula>$AL$11="-"</formula>
    </cfRule>
  </conditionalFormatting>
  <conditionalFormatting sqref="E58:H59">
    <cfRule type="expression" dxfId="2982" priority="3688">
      <formula>AND(ISTEXT(I58),ISBLANK(E58))</formula>
    </cfRule>
  </conditionalFormatting>
  <conditionalFormatting sqref="A58:K59">
    <cfRule type="expression" dxfId="2981" priority="3687">
      <formula>AND($I58&lt;&gt;"",$L58="")</formula>
    </cfRule>
  </conditionalFormatting>
  <conditionalFormatting sqref="Q58:Q59">
    <cfRule type="expression" dxfId="2980" priority="3682">
      <formula>$Q$11="-"</formula>
    </cfRule>
  </conditionalFormatting>
  <conditionalFormatting sqref="R58:R59">
    <cfRule type="expression" dxfId="2979" priority="3681">
      <formula>$R$11="-"</formula>
    </cfRule>
  </conditionalFormatting>
  <conditionalFormatting sqref="S58:S59">
    <cfRule type="expression" dxfId="2978" priority="3680">
      <formula>$S$11="-"</formula>
    </cfRule>
  </conditionalFormatting>
  <conditionalFormatting sqref="T58:T59">
    <cfRule type="expression" dxfId="2977" priority="3679">
      <formula>$T$11="-"</formula>
    </cfRule>
  </conditionalFormatting>
  <conditionalFormatting sqref="AE58:AE59">
    <cfRule type="expression" dxfId="2976" priority="3678">
      <formula>$AE$11="-"</formula>
    </cfRule>
  </conditionalFormatting>
  <conditionalFormatting sqref="AF58:AF59">
    <cfRule type="expression" dxfId="2975" priority="3677">
      <formula>$AF$11="-"</formula>
    </cfRule>
  </conditionalFormatting>
  <conditionalFormatting sqref="AG58:AG59">
    <cfRule type="expression" dxfId="2974" priority="3676">
      <formula>$AG$11="-"</formula>
    </cfRule>
  </conditionalFormatting>
  <conditionalFormatting sqref="X58:X59">
    <cfRule type="expression" dxfId="2973" priority="3675">
      <formula>$X$11="-"</formula>
    </cfRule>
  </conditionalFormatting>
  <conditionalFormatting sqref="Y58:Y59">
    <cfRule type="expression" dxfId="2972" priority="3674">
      <formula>$Y$11="-"</formula>
    </cfRule>
  </conditionalFormatting>
  <conditionalFormatting sqref="Z58:Z59">
    <cfRule type="expression" dxfId="2971" priority="3673">
      <formula>$Z$11="-"</formula>
    </cfRule>
  </conditionalFormatting>
  <conditionalFormatting sqref="AA58:AA59">
    <cfRule type="expression" dxfId="2970" priority="3672">
      <formula>$AA$11="-"</formula>
    </cfRule>
  </conditionalFormatting>
  <conditionalFormatting sqref="AN58:AN59">
    <cfRule type="expression" dxfId="2969" priority="3671">
      <formula>$AN$11="-"</formula>
    </cfRule>
  </conditionalFormatting>
  <conditionalFormatting sqref="AO58:AO59">
    <cfRule type="expression" dxfId="2968" priority="3670">
      <formula>$AO$11="-"</formula>
    </cfRule>
  </conditionalFormatting>
  <conditionalFormatting sqref="AM58:AM59">
    <cfRule type="expression" dxfId="2967" priority="3669">
      <formula>$AM$11="-"</formula>
    </cfRule>
  </conditionalFormatting>
  <conditionalFormatting sqref="AH58:AH59">
    <cfRule type="expression" dxfId="2966" priority="3668">
      <formula>$AH$11="-"</formula>
    </cfRule>
  </conditionalFormatting>
  <conditionalFormatting sqref="AL58:AL59">
    <cfRule type="expression" dxfId="2965" priority="3667">
      <formula>$AL$11="-"</formula>
    </cfRule>
  </conditionalFormatting>
  <conditionalFormatting sqref="E57:H57">
    <cfRule type="expression" dxfId="2964" priority="3663">
      <formula>AND(ISTEXT(I57),ISBLANK(E57))</formula>
    </cfRule>
  </conditionalFormatting>
  <conditionalFormatting sqref="A57:K57">
    <cfRule type="expression" dxfId="2963" priority="3662">
      <formula>AND($I57&lt;&gt;"",$L57="")</formula>
    </cfRule>
  </conditionalFormatting>
  <conditionalFormatting sqref="Q57">
    <cfRule type="expression" dxfId="2962" priority="3657">
      <formula>$Q$11="-"</formula>
    </cfRule>
  </conditionalFormatting>
  <conditionalFormatting sqref="R57">
    <cfRule type="expression" dxfId="2961" priority="3656">
      <formula>$R$11="-"</formula>
    </cfRule>
  </conditionalFormatting>
  <conditionalFormatting sqref="S57">
    <cfRule type="expression" dxfId="2960" priority="3655">
      <formula>$S$11="-"</formula>
    </cfRule>
  </conditionalFormatting>
  <conditionalFormatting sqref="T57">
    <cfRule type="expression" dxfId="2959" priority="3654">
      <formula>$T$11="-"</formula>
    </cfRule>
  </conditionalFormatting>
  <conditionalFormatting sqref="AE57">
    <cfRule type="expression" dxfId="2958" priority="3653">
      <formula>$AE$11="-"</formula>
    </cfRule>
  </conditionalFormatting>
  <conditionalFormatting sqref="AF57">
    <cfRule type="expression" dxfId="2957" priority="3652">
      <formula>$AF$11="-"</formula>
    </cfRule>
  </conditionalFormatting>
  <conditionalFormatting sqref="AG57">
    <cfRule type="expression" dxfId="2956" priority="3651">
      <formula>$AG$11="-"</formula>
    </cfRule>
  </conditionalFormatting>
  <conditionalFormatting sqref="X57">
    <cfRule type="expression" dxfId="2955" priority="3650">
      <formula>$X$11="-"</formula>
    </cfRule>
  </conditionalFormatting>
  <conditionalFormatting sqref="Y57">
    <cfRule type="expression" dxfId="2954" priority="3649">
      <formula>$Y$11="-"</formula>
    </cfRule>
  </conditionalFormatting>
  <conditionalFormatting sqref="Z57">
    <cfRule type="expression" dxfId="2953" priority="3648">
      <formula>$Z$11="-"</formula>
    </cfRule>
  </conditionalFormatting>
  <conditionalFormatting sqref="AA57">
    <cfRule type="expression" dxfId="2952" priority="3647">
      <formula>$AA$11="-"</formula>
    </cfRule>
  </conditionalFormatting>
  <conditionalFormatting sqref="AN57">
    <cfRule type="expression" dxfId="2951" priority="3646">
      <formula>$AN$11="-"</formula>
    </cfRule>
  </conditionalFormatting>
  <conditionalFormatting sqref="AO57">
    <cfRule type="expression" dxfId="2950" priority="3645">
      <formula>$AO$11="-"</formula>
    </cfRule>
  </conditionalFormatting>
  <conditionalFormatting sqref="AM57">
    <cfRule type="expression" dxfId="2949" priority="3644">
      <formula>$AM$11="-"</formula>
    </cfRule>
  </conditionalFormatting>
  <conditionalFormatting sqref="AH57">
    <cfRule type="expression" dxfId="2948" priority="3643">
      <formula>$AH$11="-"</formula>
    </cfRule>
  </conditionalFormatting>
  <conditionalFormatting sqref="AL57">
    <cfRule type="expression" dxfId="2947" priority="3642">
      <formula>$AL$11="-"</formula>
    </cfRule>
  </conditionalFormatting>
  <conditionalFormatting sqref="E60:H60">
    <cfRule type="expression" dxfId="2946" priority="3638">
      <formula>AND(ISTEXT(I60),ISBLANK(E60))</formula>
    </cfRule>
  </conditionalFormatting>
  <conditionalFormatting sqref="A60:K60">
    <cfRule type="expression" dxfId="2945" priority="3637">
      <formula>AND($I60&lt;&gt;"",$L60="")</formula>
    </cfRule>
  </conditionalFormatting>
  <conditionalFormatting sqref="Q60">
    <cfRule type="expression" dxfId="2944" priority="3632">
      <formula>$Q$11="-"</formula>
    </cfRule>
  </conditionalFormatting>
  <conditionalFormatting sqref="R60">
    <cfRule type="expression" dxfId="2943" priority="3631">
      <formula>$R$11="-"</formula>
    </cfRule>
  </conditionalFormatting>
  <conditionalFormatting sqref="S60">
    <cfRule type="expression" dxfId="2942" priority="3630">
      <formula>$S$11="-"</formula>
    </cfRule>
  </conditionalFormatting>
  <conditionalFormatting sqref="T60">
    <cfRule type="expression" dxfId="2941" priority="3629">
      <formula>$T$11="-"</formula>
    </cfRule>
  </conditionalFormatting>
  <conditionalFormatting sqref="AE60">
    <cfRule type="expression" dxfId="2940" priority="3628">
      <formula>$AE$11="-"</formula>
    </cfRule>
  </conditionalFormatting>
  <conditionalFormatting sqref="AF60">
    <cfRule type="expression" dxfId="2939" priority="3627">
      <formula>$AF$11="-"</formula>
    </cfRule>
  </conditionalFormatting>
  <conditionalFormatting sqref="AG60">
    <cfRule type="expression" dxfId="2938" priority="3626">
      <formula>$AG$11="-"</formula>
    </cfRule>
  </conditionalFormatting>
  <conditionalFormatting sqref="X60">
    <cfRule type="expression" dxfId="2937" priority="3625">
      <formula>$X$11="-"</formula>
    </cfRule>
  </conditionalFormatting>
  <conditionalFormatting sqref="Y60">
    <cfRule type="expression" dxfId="2936" priority="3624">
      <formula>$Y$11="-"</formula>
    </cfRule>
  </conditionalFormatting>
  <conditionalFormatting sqref="Z60">
    <cfRule type="expression" dxfId="2935" priority="3623">
      <formula>$Z$11="-"</formula>
    </cfRule>
  </conditionalFormatting>
  <conditionalFormatting sqref="AA60">
    <cfRule type="expression" dxfId="2934" priority="3622">
      <formula>$AA$11="-"</formula>
    </cfRule>
  </conditionalFormatting>
  <conditionalFormatting sqref="AN60">
    <cfRule type="expression" dxfId="2933" priority="3621">
      <formula>$AN$11="-"</formula>
    </cfRule>
  </conditionalFormatting>
  <conditionalFormatting sqref="AO60">
    <cfRule type="expression" dxfId="2932" priority="3620">
      <formula>$AO$11="-"</formula>
    </cfRule>
  </conditionalFormatting>
  <conditionalFormatting sqref="AM60">
    <cfRule type="expression" dxfId="2931" priority="3619">
      <formula>$AM$11="-"</formula>
    </cfRule>
  </conditionalFormatting>
  <conditionalFormatting sqref="AH60">
    <cfRule type="expression" dxfId="2930" priority="3618">
      <formula>$AH$11="-"</formula>
    </cfRule>
  </conditionalFormatting>
  <conditionalFormatting sqref="AL60">
    <cfRule type="expression" dxfId="2929" priority="3617">
      <formula>$AL$11="-"</formula>
    </cfRule>
  </conditionalFormatting>
  <conditionalFormatting sqref="E62:H63">
    <cfRule type="expression" dxfId="2928" priority="3611">
      <formula>AND(ISTEXT(I62),ISBLANK(E62))</formula>
    </cfRule>
  </conditionalFormatting>
  <conditionalFormatting sqref="A62:K63">
    <cfRule type="expression" dxfId="2927" priority="3610">
      <formula>AND($I62&lt;&gt;"",$L62="")</formula>
    </cfRule>
  </conditionalFormatting>
  <conditionalFormatting sqref="Q62:Q63">
    <cfRule type="expression" dxfId="2926" priority="3605">
      <formula>$Q$11="-"</formula>
    </cfRule>
  </conditionalFormatting>
  <conditionalFormatting sqref="R62:R63">
    <cfRule type="expression" dxfId="2925" priority="3604">
      <formula>$R$11="-"</formula>
    </cfRule>
  </conditionalFormatting>
  <conditionalFormatting sqref="S62:S63">
    <cfRule type="expression" dxfId="2924" priority="3603">
      <formula>$S$11="-"</formula>
    </cfRule>
  </conditionalFormatting>
  <conditionalFormatting sqref="T62:T63">
    <cfRule type="expression" dxfId="2923" priority="3602">
      <formula>$T$11="-"</formula>
    </cfRule>
  </conditionalFormatting>
  <conditionalFormatting sqref="AE62:AE63">
    <cfRule type="expression" dxfId="2922" priority="3601">
      <formula>$AE$11="-"</formula>
    </cfRule>
  </conditionalFormatting>
  <conditionalFormatting sqref="AF62:AF63">
    <cfRule type="expression" dxfId="2921" priority="3600">
      <formula>$AF$11="-"</formula>
    </cfRule>
  </conditionalFormatting>
  <conditionalFormatting sqref="AG62:AG63">
    <cfRule type="expression" dxfId="2920" priority="3599">
      <formula>$AG$11="-"</formula>
    </cfRule>
  </conditionalFormatting>
  <conditionalFormatting sqref="X62:X63">
    <cfRule type="expression" dxfId="2919" priority="3598">
      <formula>$X$11="-"</formula>
    </cfRule>
  </conditionalFormatting>
  <conditionalFormatting sqref="Y62:Y63">
    <cfRule type="expression" dxfId="2918" priority="3597">
      <formula>$Y$11="-"</formula>
    </cfRule>
  </conditionalFormatting>
  <conditionalFormatting sqref="Z62:Z63">
    <cfRule type="expression" dxfId="2917" priority="3596">
      <formula>$Z$11="-"</formula>
    </cfRule>
  </conditionalFormatting>
  <conditionalFormatting sqref="AA62:AA63">
    <cfRule type="expression" dxfId="2916" priority="3595">
      <formula>$AA$11="-"</formula>
    </cfRule>
  </conditionalFormatting>
  <conditionalFormatting sqref="AN62:AN63">
    <cfRule type="expression" dxfId="2915" priority="3594">
      <formula>$AN$11="-"</formula>
    </cfRule>
  </conditionalFormatting>
  <conditionalFormatting sqref="AO62:AO63">
    <cfRule type="expression" dxfId="2914" priority="3593">
      <formula>$AO$11="-"</formula>
    </cfRule>
  </conditionalFormatting>
  <conditionalFormatting sqref="AM62:AM63">
    <cfRule type="expression" dxfId="2913" priority="3592">
      <formula>$AM$11="-"</formula>
    </cfRule>
  </conditionalFormatting>
  <conditionalFormatting sqref="AH62:AH63">
    <cfRule type="expression" dxfId="2912" priority="3591">
      <formula>$AH$11="-"</formula>
    </cfRule>
  </conditionalFormatting>
  <conditionalFormatting sqref="AL62:AL63">
    <cfRule type="expression" dxfId="2911" priority="3590">
      <formula>$AL$11="-"</formula>
    </cfRule>
  </conditionalFormatting>
  <conditionalFormatting sqref="E61:H61">
    <cfRule type="expression" dxfId="2910" priority="3586">
      <formula>AND(ISTEXT(I61),ISBLANK(E61))</formula>
    </cfRule>
  </conditionalFormatting>
  <conditionalFormatting sqref="A61:K61">
    <cfRule type="expression" dxfId="2909" priority="3585">
      <formula>AND($I61&lt;&gt;"",$L61="")</formula>
    </cfRule>
  </conditionalFormatting>
  <conditionalFormatting sqref="Q61">
    <cfRule type="expression" dxfId="2908" priority="3580">
      <formula>$Q$11="-"</formula>
    </cfRule>
  </conditionalFormatting>
  <conditionalFormatting sqref="R61">
    <cfRule type="expression" dxfId="2907" priority="3579">
      <formula>$R$11="-"</formula>
    </cfRule>
  </conditionalFormatting>
  <conditionalFormatting sqref="S61">
    <cfRule type="expression" dxfId="2906" priority="3578">
      <formula>$S$11="-"</formula>
    </cfRule>
  </conditionalFormatting>
  <conditionalFormatting sqref="T61">
    <cfRule type="expression" dxfId="2905" priority="3577">
      <formula>$T$11="-"</formula>
    </cfRule>
  </conditionalFormatting>
  <conditionalFormatting sqref="AE61">
    <cfRule type="expression" dxfId="2904" priority="3576">
      <formula>$AE$11="-"</formula>
    </cfRule>
  </conditionalFormatting>
  <conditionalFormatting sqref="AF61">
    <cfRule type="expression" dxfId="2903" priority="3575">
      <formula>$AF$11="-"</formula>
    </cfRule>
  </conditionalFormatting>
  <conditionalFormatting sqref="AG61">
    <cfRule type="expression" dxfId="2902" priority="3574">
      <formula>$AG$11="-"</formula>
    </cfRule>
  </conditionalFormatting>
  <conditionalFormatting sqref="X61">
    <cfRule type="expression" dxfId="2901" priority="3573">
      <formula>$X$11="-"</formula>
    </cfRule>
  </conditionalFormatting>
  <conditionalFormatting sqref="Y61">
    <cfRule type="expression" dxfId="2900" priority="3572">
      <formula>$Y$11="-"</formula>
    </cfRule>
  </conditionalFormatting>
  <conditionalFormatting sqref="Z61">
    <cfRule type="expression" dxfId="2899" priority="3571">
      <formula>$Z$11="-"</formula>
    </cfRule>
  </conditionalFormatting>
  <conditionalFormatting sqref="AA61">
    <cfRule type="expression" dxfId="2898" priority="3570">
      <formula>$AA$11="-"</formula>
    </cfRule>
  </conditionalFormatting>
  <conditionalFormatting sqref="AN61">
    <cfRule type="expression" dxfId="2897" priority="3569">
      <formula>$AN$11="-"</formula>
    </cfRule>
  </conditionalFormatting>
  <conditionalFormatting sqref="AO61">
    <cfRule type="expression" dxfId="2896" priority="3568">
      <formula>$AO$11="-"</formula>
    </cfRule>
  </conditionalFormatting>
  <conditionalFormatting sqref="AM61">
    <cfRule type="expression" dxfId="2895" priority="3567">
      <formula>$AM$11="-"</formula>
    </cfRule>
  </conditionalFormatting>
  <conditionalFormatting sqref="AH61">
    <cfRule type="expression" dxfId="2894" priority="3566">
      <formula>$AH$11="-"</formula>
    </cfRule>
  </conditionalFormatting>
  <conditionalFormatting sqref="AL61">
    <cfRule type="expression" dxfId="2893" priority="3565">
      <formula>$AL$11="-"</formula>
    </cfRule>
  </conditionalFormatting>
  <conditionalFormatting sqref="E64:H64">
    <cfRule type="expression" dxfId="2892" priority="3561">
      <formula>AND(ISTEXT(I64),ISBLANK(E64))</formula>
    </cfRule>
  </conditionalFormatting>
  <conditionalFormatting sqref="A64:K64">
    <cfRule type="expression" dxfId="2891" priority="3560">
      <formula>AND($I64&lt;&gt;"",$L64="")</formula>
    </cfRule>
  </conditionalFormatting>
  <conditionalFormatting sqref="Q64">
    <cfRule type="expression" dxfId="2890" priority="3555">
      <formula>$Q$11="-"</formula>
    </cfRule>
  </conditionalFormatting>
  <conditionalFormatting sqref="R64">
    <cfRule type="expression" dxfId="2889" priority="3554">
      <formula>$R$11="-"</formula>
    </cfRule>
  </conditionalFormatting>
  <conditionalFormatting sqref="S64">
    <cfRule type="expression" dxfId="2888" priority="3553">
      <formula>$S$11="-"</formula>
    </cfRule>
  </conditionalFormatting>
  <conditionalFormatting sqref="T64">
    <cfRule type="expression" dxfId="2887" priority="3552">
      <formula>$T$11="-"</formula>
    </cfRule>
  </conditionalFormatting>
  <conditionalFormatting sqref="AE64">
    <cfRule type="expression" dxfId="2886" priority="3551">
      <formula>$AE$11="-"</formula>
    </cfRule>
  </conditionalFormatting>
  <conditionalFormatting sqref="AF64">
    <cfRule type="expression" dxfId="2885" priority="3550">
      <formula>$AF$11="-"</formula>
    </cfRule>
  </conditionalFormatting>
  <conditionalFormatting sqref="AG64">
    <cfRule type="expression" dxfId="2884" priority="3549">
      <formula>$AG$11="-"</formula>
    </cfRule>
  </conditionalFormatting>
  <conditionalFormatting sqref="X64">
    <cfRule type="expression" dxfId="2883" priority="3548">
      <formula>$X$11="-"</formula>
    </cfRule>
  </conditionalFormatting>
  <conditionalFormatting sqref="Y64">
    <cfRule type="expression" dxfId="2882" priority="3547">
      <formula>$Y$11="-"</formula>
    </cfRule>
  </conditionalFormatting>
  <conditionalFormatting sqref="Z64">
    <cfRule type="expression" dxfId="2881" priority="3546">
      <formula>$Z$11="-"</formula>
    </cfRule>
  </conditionalFormatting>
  <conditionalFormatting sqref="AA64">
    <cfRule type="expression" dxfId="2880" priority="3545">
      <formula>$AA$11="-"</formula>
    </cfRule>
  </conditionalFormatting>
  <conditionalFormatting sqref="AN64">
    <cfRule type="expression" dxfId="2879" priority="3544">
      <formula>$AN$11="-"</formula>
    </cfRule>
  </conditionalFormatting>
  <conditionalFormatting sqref="AO64">
    <cfRule type="expression" dxfId="2878" priority="3543">
      <formula>$AO$11="-"</formula>
    </cfRule>
  </conditionalFormatting>
  <conditionalFormatting sqref="AM64">
    <cfRule type="expression" dxfId="2877" priority="3542">
      <formula>$AM$11="-"</formula>
    </cfRule>
  </conditionalFormatting>
  <conditionalFormatting sqref="AH64">
    <cfRule type="expression" dxfId="2876" priority="3541">
      <formula>$AH$11="-"</formula>
    </cfRule>
  </conditionalFormatting>
  <conditionalFormatting sqref="AL64">
    <cfRule type="expression" dxfId="2875" priority="3540">
      <formula>$AL$11="-"</formula>
    </cfRule>
  </conditionalFormatting>
  <conditionalFormatting sqref="E66:H67">
    <cfRule type="expression" dxfId="2874" priority="3534">
      <formula>AND(ISTEXT(I66),ISBLANK(E66))</formula>
    </cfRule>
  </conditionalFormatting>
  <conditionalFormatting sqref="A66:K67">
    <cfRule type="expression" dxfId="2873" priority="3533">
      <formula>AND($I66&lt;&gt;"",$L66="")</formula>
    </cfRule>
  </conditionalFormatting>
  <conditionalFormatting sqref="Q66:Q67">
    <cfRule type="expression" dxfId="2872" priority="3528">
      <formula>$Q$11="-"</formula>
    </cfRule>
  </conditionalFormatting>
  <conditionalFormatting sqref="R66:R67">
    <cfRule type="expression" dxfId="2871" priority="3527">
      <formula>$R$11="-"</formula>
    </cfRule>
  </conditionalFormatting>
  <conditionalFormatting sqref="S66:S67">
    <cfRule type="expression" dxfId="2870" priority="3526">
      <formula>$S$11="-"</formula>
    </cfRule>
  </conditionalFormatting>
  <conditionalFormatting sqref="T66:T67">
    <cfRule type="expression" dxfId="2869" priority="3525">
      <formula>$T$11="-"</formula>
    </cfRule>
  </conditionalFormatting>
  <conditionalFormatting sqref="AE66:AE67">
    <cfRule type="expression" dxfId="2868" priority="3524">
      <formula>$AE$11="-"</formula>
    </cfRule>
  </conditionalFormatting>
  <conditionalFormatting sqref="AF66:AF67">
    <cfRule type="expression" dxfId="2867" priority="3523">
      <formula>$AF$11="-"</formula>
    </cfRule>
  </conditionalFormatting>
  <conditionalFormatting sqref="AG66:AG67">
    <cfRule type="expression" dxfId="2866" priority="3522">
      <formula>$AG$11="-"</formula>
    </cfRule>
  </conditionalFormatting>
  <conditionalFormatting sqref="X66:X67">
    <cfRule type="expression" dxfId="2865" priority="3521">
      <formula>$X$11="-"</formula>
    </cfRule>
  </conditionalFormatting>
  <conditionalFormatting sqref="Y66:Y67">
    <cfRule type="expression" dxfId="2864" priority="3520">
      <formula>$Y$11="-"</formula>
    </cfRule>
  </conditionalFormatting>
  <conditionalFormatting sqref="Z66:Z67">
    <cfRule type="expression" dxfId="2863" priority="3519">
      <formula>$Z$11="-"</formula>
    </cfRule>
  </conditionalFormatting>
  <conditionalFormatting sqref="AA66:AA67">
    <cfRule type="expression" dxfId="2862" priority="3518">
      <formula>$AA$11="-"</formula>
    </cfRule>
  </conditionalFormatting>
  <conditionalFormatting sqref="AN66:AN67">
    <cfRule type="expression" dxfId="2861" priority="3517">
      <formula>$AN$11="-"</formula>
    </cfRule>
  </conditionalFormatting>
  <conditionalFormatting sqref="AO66:AO67">
    <cfRule type="expression" dxfId="2860" priority="3516">
      <formula>$AO$11="-"</formula>
    </cfRule>
  </conditionalFormatting>
  <conditionalFormatting sqref="AM66:AM67">
    <cfRule type="expression" dxfId="2859" priority="3515">
      <formula>$AM$11="-"</formula>
    </cfRule>
  </conditionalFormatting>
  <conditionalFormatting sqref="AH66:AH67">
    <cfRule type="expression" dxfId="2858" priority="3514">
      <formula>$AH$11="-"</formula>
    </cfRule>
  </conditionalFormatting>
  <conditionalFormatting sqref="AL66:AL67">
    <cfRule type="expression" dxfId="2857" priority="3513">
      <formula>$AL$11="-"</formula>
    </cfRule>
  </conditionalFormatting>
  <conditionalFormatting sqref="E65:H65">
    <cfRule type="expression" dxfId="2856" priority="3509">
      <formula>AND(ISTEXT(I65),ISBLANK(E65))</formula>
    </cfRule>
  </conditionalFormatting>
  <conditionalFormatting sqref="A65:K65">
    <cfRule type="expression" dxfId="2855" priority="3508">
      <formula>AND($I65&lt;&gt;"",$L65="")</formula>
    </cfRule>
  </conditionalFormatting>
  <conditionalFormatting sqref="Q65">
    <cfRule type="expression" dxfId="2854" priority="3503">
      <formula>$Q$11="-"</formula>
    </cfRule>
  </conditionalFormatting>
  <conditionalFormatting sqref="R65">
    <cfRule type="expression" dxfId="2853" priority="3502">
      <formula>$R$11="-"</formula>
    </cfRule>
  </conditionalFormatting>
  <conditionalFormatting sqref="S65">
    <cfRule type="expression" dxfId="2852" priority="3501">
      <formula>$S$11="-"</formula>
    </cfRule>
  </conditionalFormatting>
  <conditionalFormatting sqref="T65">
    <cfRule type="expression" dxfId="2851" priority="3500">
      <formula>$T$11="-"</formula>
    </cfRule>
  </conditionalFormatting>
  <conditionalFormatting sqref="AE65">
    <cfRule type="expression" dxfId="2850" priority="3499">
      <formula>$AE$11="-"</formula>
    </cfRule>
  </conditionalFormatting>
  <conditionalFormatting sqref="AF65">
    <cfRule type="expression" dxfId="2849" priority="3498">
      <formula>$AF$11="-"</formula>
    </cfRule>
  </conditionalFormatting>
  <conditionalFormatting sqref="AG65">
    <cfRule type="expression" dxfId="2848" priority="3497">
      <formula>$AG$11="-"</formula>
    </cfRule>
  </conditionalFormatting>
  <conditionalFormatting sqref="X65">
    <cfRule type="expression" dxfId="2847" priority="3496">
      <formula>$X$11="-"</formula>
    </cfRule>
  </conditionalFormatting>
  <conditionalFormatting sqref="Y65">
    <cfRule type="expression" dxfId="2846" priority="3495">
      <formula>$Y$11="-"</formula>
    </cfRule>
  </conditionalFormatting>
  <conditionalFormatting sqref="Z65">
    <cfRule type="expression" dxfId="2845" priority="3494">
      <formula>$Z$11="-"</formula>
    </cfRule>
  </conditionalFormatting>
  <conditionalFormatting sqref="AA65">
    <cfRule type="expression" dxfId="2844" priority="3493">
      <formula>$AA$11="-"</formula>
    </cfRule>
  </conditionalFormatting>
  <conditionalFormatting sqref="AN65">
    <cfRule type="expression" dxfId="2843" priority="3492">
      <formula>$AN$11="-"</formula>
    </cfRule>
  </conditionalFormatting>
  <conditionalFormatting sqref="AO65">
    <cfRule type="expression" dxfId="2842" priority="3491">
      <formula>$AO$11="-"</formula>
    </cfRule>
  </conditionalFormatting>
  <conditionalFormatting sqref="AM65">
    <cfRule type="expression" dxfId="2841" priority="3490">
      <formula>$AM$11="-"</formula>
    </cfRule>
  </conditionalFormatting>
  <conditionalFormatting sqref="AH65">
    <cfRule type="expression" dxfId="2840" priority="3489">
      <formula>$AH$11="-"</formula>
    </cfRule>
  </conditionalFormatting>
  <conditionalFormatting sqref="AL65">
    <cfRule type="expression" dxfId="2839" priority="3488">
      <formula>$AL$11="-"</formula>
    </cfRule>
  </conditionalFormatting>
  <conditionalFormatting sqref="E68:H68">
    <cfRule type="expression" dxfId="2838" priority="3484">
      <formula>AND(ISTEXT(I68),ISBLANK(E68))</formula>
    </cfRule>
  </conditionalFormatting>
  <conditionalFormatting sqref="A68:K68">
    <cfRule type="expression" dxfId="2837" priority="3483">
      <formula>AND($I68&lt;&gt;"",$L68="")</formula>
    </cfRule>
  </conditionalFormatting>
  <conditionalFormatting sqref="Q68">
    <cfRule type="expression" dxfId="2836" priority="3478">
      <formula>$Q$11="-"</formula>
    </cfRule>
  </conditionalFormatting>
  <conditionalFormatting sqref="R68">
    <cfRule type="expression" dxfId="2835" priority="3477">
      <formula>$R$11="-"</formula>
    </cfRule>
  </conditionalFormatting>
  <conditionalFormatting sqref="S68">
    <cfRule type="expression" dxfId="2834" priority="3476">
      <formula>$S$11="-"</formula>
    </cfRule>
  </conditionalFormatting>
  <conditionalFormatting sqref="T68">
    <cfRule type="expression" dxfId="2833" priority="3475">
      <formula>$T$11="-"</formula>
    </cfRule>
  </conditionalFormatting>
  <conditionalFormatting sqref="AE68">
    <cfRule type="expression" dxfId="2832" priority="3474">
      <formula>$AE$11="-"</formula>
    </cfRule>
  </conditionalFormatting>
  <conditionalFormatting sqref="AF68">
    <cfRule type="expression" dxfId="2831" priority="3473">
      <formula>$AF$11="-"</formula>
    </cfRule>
  </conditionalFormatting>
  <conditionalFormatting sqref="AG68">
    <cfRule type="expression" dxfId="2830" priority="3472">
      <formula>$AG$11="-"</formula>
    </cfRule>
  </conditionalFormatting>
  <conditionalFormatting sqref="X68">
    <cfRule type="expression" dxfId="2829" priority="3471">
      <formula>$X$11="-"</formula>
    </cfRule>
  </conditionalFormatting>
  <conditionalFormatting sqref="Y68">
    <cfRule type="expression" dxfId="2828" priority="3470">
      <formula>$Y$11="-"</formula>
    </cfRule>
  </conditionalFormatting>
  <conditionalFormatting sqref="Z68">
    <cfRule type="expression" dxfId="2827" priority="3469">
      <formula>$Z$11="-"</formula>
    </cfRule>
  </conditionalFormatting>
  <conditionalFormatting sqref="AA68">
    <cfRule type="expression" dxfId="2826" priority="3468">
      <formula>$AA$11="-"</formula>
    </cfRule>
  </conditionalFormatting>
  <conditionalFormatting sqref="AN68">
    <cfRule type="expression" dxfId="2825" priority="3467">
      <formula>$AN$11="-"</formula>
    </cfRule>
  </conditionalFormatting>
  <conditionalFormatting sqref="AO68">
    <cfRule type="expression" dxfId="2824" priority="3466">
      <formula>$AO$11="-"</formula>
    </cfRule>
  </conditionalFormatting>
  <conditionalFormatting sqref="AM68">
    <cfRule type="expression" dxfId="2823" priority="3465">
      <formula>$AM$11="-"</formula>
    </cfRule>
  </conditionalFormatting>
  <conditionalFormatting sqref="AH68">
    <cfRule type="expression" dxfId="2822" priority="3464">
      <formula>$AH$11="-"</formula>
    </cfRule>
  </conditionalFormatting>
  <conditionalFormatting sqref="AL68">
    <cfRule type="expression" dxfId="2821" priority="3463">
      <formula>$AL$11="-"</formula>
    </cfRule>
  </conditionalFormatting>
  <conditionalFormatting sqref="E70:H71">
    <cfRule type="expression" dxfId="2820" priority="3457">
      <formula>AND(ISTEXT(I70),ISBLANK(E70))</formula>
    </cfRule>
  </conditionalFormatting>
  <conditionalFormatting sqref="A70:K71">
    <cfRule type="expression" dxfId="2819" priority="3456">
      <formula>AND($I70&lt;&gt;"",$L70="")</formula>
    </cfRule>
  </conditionalFormatting>
  <conditionalFormatting sqref="Q70:Q71">
    <cfRule type="expression" dxfId="2818" priority="3451">
      <formula>$Q$11="-"</formula>
    </cfRule>
  </conditionalFormatting>
  <conditionalFormatting sqref="R70:R71">
    <cfRule type="expression" dxfId="2817" priority="3450">
      <formula>$R$11="-"</formula>
    </cfRule>
  </conditionalFormatting>
  <conditionalFormatting sqref="S70:S71">
    <cfRule type="expression" dxfId="2816" priority="3449">
      <formula>$S$11="-"</formula>
    </cfRule>
  </conditionalFormatting>
  <conditionalFormatting sqref="T70:T71">
    <cfRule type="expression" dxfId="2815" priority="3448">
      <formula>$T$11="-"</formula>
    </cfRule>
  </conditionalFormatting>
  <conditionalFormatting sqref="AE70:AE71">
    <cfRule type="expression" dxfId="2814" priority="3447">
      <formula>$AE$11="-"</formula>
    </cfRule>
  </conditionalFormatting>
  <conditionalFormatting sqref="AF70:AF71">
    <cfRule type="expression" dxfId="2813" priority="3446">
      <formula>$AF$11="-"</formula>
    </cfRule>
  </conditionalFormatting>
  <conditionalFormatting sqref="AG70:AG71">
    <cfRule type="expression" dxfId="2812" priority="3445">
      <formula>$AG$11="-"</formula>
    </cfRule>
  </conditionalFormatting>
  <conditionalFormatting sqref="X70:X71">
    <cfRule type="expression" dxfId="2811" priority="3444">
      <formula>$X$11="-"</formula>
    </cfRule>
  </conditionalFormatting>
  <conditionalFormatting sqref="Y70:Y71">
    <cfRule type="expression" dxfId="2810" priority="3443">
      <formula>$Y$11="-"</formula>
    </cfRule>
  </conditionalFormatting>
  <conditionalFormatting sqref="Z70:Z71">
    <cfRule type="expression" dxfId="2809" priority="3442">
      <formula>$Z$11="-"</formula>
    </cfRule>
  </conditionalFormatting>
  <conditionalFormatting sqref="AA70:AA71">
    <cfRule type="expression" dxfId="2808" priority="3441">
      <formula>$AA$11="-"</formula>
    </cfRule>
  </conditionalFormatting>
  <conditionalFormatting sqref="AN70:AN71">
    <cfRule type="expression" dxfId="2807" priority="3440">
      <formula>$AN$11="-"</formula>
    </cfRule>
  </conditionalFormatting>
  <conditionalFormatting sqref="AO70:AO71">
    <cfRule type="expression" dxfId="2806" priority="3439">
      <formula>$AO$11="-"</formula>
    </cfRule>
  </conditionalFormatting>
  <conditionalFormatting sqref="AM70:AM71">
    <cfRule type="expression" dxfId="2805" priority="3438">
      <formula>$AM$11="-"</formula>
    </cfRule>
  </conditionalFormatting>
  <conditionalFormatting sqref="AH70:AH71">
    <cfRule type="expression" dxfId="2804" priority="3437">
      <formula>$AH$11="-"</formula>
    </cfRule>
  </conditionalFormatting>
  <conditionalFormatting sqref="AL70:AL71">
    <cfRule type="expression" dxfId="2803" priority="3436">
      <formula>$AL$11="-"</formula>
    </cfRule>
  </conditionalFormatting>
  <conditionalFormatting sqref="E69:H69">
    <cfRule type="expression" dxfId="2802" priority="3432">
      <formula>AND(ISTEXT(I69),ISBLANK(E69))</formula>
    </cfRule>
  </conditionalFormatting>
  <conditionalFormatting sqref="A69:K69">
    <cfRule type="expression" dxfId="2801" priority="3431">
      <formula>AND($I69&lt;&gt;"",$L69="")</formula>
    </cfRule>
  </conditionalFormatting>
  <conditionalFormatting sqref="Q69">
    <cfRule type="expression" dxfId="2800" priority="3426">
      <formula>$Q$11="-"</formula>
    </cfRule>
  </conditionalFormatting>
  <conditionalFormatting sqref="R69">
    <cfRule type="expression" dxfId="2799" priority="3425">
      <formula>$R$11="-"</formula>
    </cfRule>
  </conditionalFormatting>
  <conditionalFormatting sqref="S69">
    <cfRule type="expression" dxfId="2798" priority="3424">
      <formula>$S$11="-"</formula>
    </cfRule>
  </conditionalFormatting>
  <conditionalFormatting sqref="T69">
    <cfRule type="expression" dxfId="2797" priority="3423">
      <formula>$T$11="-"</formula>
    </cfRule>
  </conditionalFormatting>
  <conditionalFormatting sqref="AE69">
    <cfRule type="expression" dxfId="2796" priority="3422">
      <formula>$AE$11="-"</formula>
    </cfRule>
  </conditionalFormatting>
  <conditionalFormatting sqref="AF69">
    <cfRule type="expression" dxfId="2795" priority="3421">
      <formula>$AF$11="-"</formula>
    </cfRule>
  </conditionalFormatting>
  <conditionalFormatting sqref="AG69">
    <cfRule type="expression" dxfId="2794" priority="3420">
      <formula>$AG$11="-"</formula>
    </cfRule>
  </conditionalFormatting>
  <conditionalFormatting sqref="X69">
    <cfRule type="expression" dxfId="2793" priority="3419">
      <formula>$X$11="-"</formula>
    </cfRule>
  </conditionalFormatting>
  <conditionalFormatting sqref="Y69">
    <cfRule type="expression" dxfId="2792" priority="3418">
      <formula>$Y$11="-"</formula>
    </cfRule>
  </conditionalFormatting>
  <conditionalFormatting sqref="Z69">
    <cfRule type="expression" dxfId="2791" priority="3417">
      <formula>$Z$11="-"</formula>
    </cfRule>
  </conditionalFormatting>
  <conditionalFormatting sqref="AA69">
    <cfRule type="expression" dxfId="2790" priority="3416">
      <formula>$AA$11="-"</formula>
    </cfRule>
  </conditionalFormatting>
  <conditionalFormatting sqref="AN69">
    <cfRule type="expression" dxfId="2789" priority="3415">
      <formula>$AN$11="-"</formula>
    </cfRule>
  </conditionalFormatting>
  <conditionalFormatting sqref="AO69">
    <cfRule type="expression" dxfId="2788" priority="3414">
      <formula>$AO$11="-"</formula>
    </cfRule>
  </conditionalFormatting>
  <conditionalFormatting sqref="AM69">
    <cfRule type="expression" dxfId="2787" priority="3413">
      <formula>$AM$11="-"</formula>
    </cfRule>
  </conditionalFormatting>
  <conditionalFormatting sqref="AH69">
    <cfRule type="expression" dxfId="2786" priority="3412">
      <formula>$AH$11="-"</formula>
    </cfRule>
  </conditionalFormatting>
  <conditionalFormatting sqref="AL69">
    <cfRule type="expression" dxfId="2785" priority="3411">
      <formula>$AL$11="-"</formula>
    </cfRule>
  </conditionalFormatting>
  <conditionalFormatting sqref="E72:H72">
    <cfRule type="expression" dxfId="2784" priority="3407">
      <formula>AND(ISTEXT(I72),ISBLANK(E72))</formula>
    </cfRule>
  </conditionalFormatting>
  <conditionalFormatting sqref="A72:K72">
    <cfRule type="expression" dxfId="2783" priority="3406">
      <formula>AND($I72&lt;&gt;"",$L72="")</formula>
    </cfRule>
  </conditionalFormatting>
  <conditionalFormatting sqref="Q72">
    <cfRule type="expression" dxfId="2782" priority="3401">
      <formula>$Q$11="-"</formula>
    </cfRule>
  </conditionalFormatting>
  <conditionalFormatting sqref="R72">
    <cfRule type="expression" dxfId="2781" priority="3400">
      <formula>$R$11="-"</formula>
    </cfRule>
  </conditionalFormatting>
  <conditionalFormatting sqref="S72">
    <cfRule type="expression" dxfId="2780" priority="3399">
      <formula>$S$11="-"</formula>
    </cfRule>
  </conditionalFormatting>
  <conditionalFormatting sqref="T72">
    <cfRule type="expression" dxfId="2779" priority="3398">
      <formula>$T$11="-"</formula>
    </cfRule>
  </conditionalFormatting>
  <conditionalFormatting sqref="AE72">
    <cfRule type="expression" dxfId="2778" priority="3397">
      <formula>$AE$11="-"</formula>
    </cfRule>
  </conditionalFormatting>
  <conditionalFormatting sqref="AF72">
    <cfRule type="expression" dxfId="2777" priority="3396">
      <formula>$AF$11="-"</formula>
    </cfRule>
  </conditionalFormatting>
  <conditionalFormatting sqref="AG72">
    <cfRule type="expression" dxfId="2776" priority="3395">
      <formula>$AG$11="-"</formula>
    </cfRule>
  </conditionalFormatting>
  <conditionalFormatting sqref="X72">
    <cfRule type="expression" dxfId="2775" priority="3394">
      <formula>$X$11="-"</formula>
    </cfRule>
  </conditionalFormatting>
  <conditionalFormatting sqref="Y72">
    <cfRule type="expression" dxfId="2774" priority="3393">
      <formula>$Y$11="-"</formula>
    </cfRule>
  </conditionalFormatting>
  <conditionalFormatting sqref="Z72">
    <cfRule type="expression" dxfId="2773" priority="3392">
      <formula>$Z$11="-"</formula>
    </cfRule>
  </conditionalFormatting>
  <conditionalFormatting sqref="AA72">
    <cfRule type="expression" dxfId="2772" priority="3391">
      <formula>$AA$11="-"</formula>
    </cfRule>
  </conditionalFormatting>
  <conditionalFormatting sqref="AN72">
    <cfRule type="expression" dxfId="2771" priority="3390">
      <formula>$AN$11="-"</formula>
    </cfRule>
  </conditionalFormatting>
  <conditionalFormatting sqref="AO72">
    <cfRule type="expression" dxfId="2770" priority="3389">
      <formula>$AO$11="-"</formula>
    </cfRule>
  </conditionalFormatting>
  <conditionalFormatting sqref="AM72">
    <cfRule type="expression" dxfId="2769" priority="3388">
      <formula>$AM$11="-"</formula>
    </cfRule>
  </conditionalFormatting>
  <conditionalFormatting sqref="AH72">
    <cfRule type="expression" dxfId="2768" priority="3387">
      <formula>$AH$11="-"</formula>
    </cfRule>
  </conditionalFormatting>
  <conditionalFormatting sqref="AL72">
    <cfRule type="expression" dxfId="2767" priority="3386">
      <formula>$AL$11="-"</formula>
    </cfRule>
  </conditionalFormatting>
  <conditionalFormatting sqref="E74:H75">
    <cfRule type="expression" dxfId="2766" priority="3380">
      <formula>AND(ISTEXT(I74),ISBLANK(E74))</formula>
    </cfRule>
  </conditionalFormatting>
  <conditionalFormatting sqref="A74:K75">
    <cfRule type="expression" dxfId="2765" priority="3379">
      <formula>AND($I74&lt;&gt;"",$L74="")</formula>
    </cfRule>
  </conditionalFormatting>
  <conditionalFormatting sqref="Q74:Q75">
    <cfRule type="expression" dxfId="2764" priority="3374">
      <formula>$Q$11="-"</formula>
    </cfRule>
  </conditionalFormatting>
  <conditionalFormatting sqref="R74:R75">
    <cfRule type="expression" dxfId="2763" priority="3373">
      <formula>$R$11="-"</formula>
    </cfRule>
  </conditionalFormatting>
  <conditionalFormatting sqref="S74:S75">
    <cfRule type="expression" dxfId="2762" priority="3372">
      <formula>$S$11="-"</formula>
    </cfRule>
  </conditionalFormatting>
  <conditionalFormatting sqref="T74:T75">
    <cfRule type="expression" dxfId="2761" priority="3371">
      <formula>$T$11="-"</formula>
    </cfRule>
  </conditionalFormatting>
  <conditionalFormatting sqref="AE74:AE75">
    <cfRule type="expression" dxfId="2760" priority="3370">
      <formula>$AE$11="-"</formula>
    </cfRule>
  </conditionalFormatting>
  <conditionalFormatting sqref="AF74:AF75">
    <cfRule type="expression" dxfId="2759" priority="3369">
      <formula>$AF$11="-"</formula>
    </cfRule>
  </conditionalFormatting>
  <conditionalFormatting sqref="AG74:AG75">
    <cfRule type="expression" dxfId="2758" priority="3368">
      <formula>$AG$11="-"</formula>
    </cfRule>
  </conditionalFormatting>
  <conditionalFormatting sqref="X74:X75">
    <cfRule type="expression" dxfId="2757" priority="3367">
      <formula>$X$11="-"</formula>
    </cfRule>
  </conditionalFormatting>
  <conditionalFormatting sqref="Y74:Y75">
    <cfRule type="expression" dxfId="2756" priority="3366">
      <formula>$Y$11="-"</formula>
    </cfRule>
  </conditionalFormatting>
  <conditionalFormatting sqref="Z74:Z75">
    <cfRule type="expression" dxfId="2755" priority="3365">
      <formula>$Z$11="-"</formula>
    </cfRule>
  </conditionalFormatting>
  <conditionalFormatting sqref="AA74:AA75">
    <cfRule type="expression" dxfId="2754" priority="3364">
      <formula>$AA$11="-"</formula>
    </cfRule>
  </conditionalFormatting>
  <conditionalFormatting sqref="AN74:AN75">
    <cfRule type="expression" dxfId="2753" priority="3363">
      <formula>$AN$11="-"</formula>
    </cfRule>
  </conditionalFormatting>
  <conditionalFormatting sqref="AO74:AO75">
    <cfRule type="expression" dxfId="2752" priority="3362">
      <formula>$AO$11="-"</formula>
    </cfRule>
  </conditionalFormatting>
  <conditionalFormatting sqref="AM74:AM75">
    <cfRule type="expression" dxfId="2751" priority="3361">
      <formula>$AM$11="-"</formula>
    </cfRule>
  </conditionalFormatting>
  <conditionalFormatting sqref="AH74:AH75">
    <cfRule type="expression" dxfId="2750" priority="3360">
      <formula>$AH$11="-"</formula>
    </cfRule>
  </conditionalFormatting>
  <conditionalFormatting sqref="AL74:AL75">
    <cfRule type="expression" dxfId="2749" priority="3359">
      <formula>$AL$11="-"</formula>
    </cfRule>
  </conditionalFormatting>
  <conditionalFormatting sqref="E73:H73">
    <cfRule type="expression" dxfId="2748" priority="3355">
      <formula>AND(ISTEXT(I73),ISBLANK(E73))</formula>
    </cfRule>
  </conditionalFormatting>
  <conditionalFormatting sqref="A73:K73">
    <cfRule type="expression" dxfId="2747" priority="3354">
      <formula>AND($I73&lt;&gt;"",$L73="")</formula>
    </cfRule>
  </conditionalFormatting>
  <conditionalFormatting sqref="Q73">
    <cfRule type="expression" dxfId="2746" priority="3349">
      <formula>$Q$11="-"</formula>
    </cfRule>
  </conditionalFormatting>
  <conditionalFormatting sqref="R73">
    <cfRule type="expression" dxfId="2745" priority="3348">
      <formula>$R$11="-"</formula>
    </cfRule>
  </conditionalFormatting>
  <conditionalFormatting sqref="S73">
    <cfRule type="expression" dxfId="2744" priority="3347">
      <formula>$S$11="-"</formula>
    </cfRule>
  </conditionalFormatting>
  <conditionalFormatting sqref="T73">
    <cfRule type="expression" dxfId="2743" priority="3346">
      <formula>$T$11="-"</formula>
    </cfRule>
  </conditionalFormatting>
  <conditionalFormatting sqref="AE73">
    <cfRule type="expression" dxfId="2742" priority="3345">
      <formula>$AE$11="-"</formula>
    </cfRule>
  </conditionalFormatting>
  <conditionalFormatting sqref="AF73">
    <cfRule type="expression" dxfId="2741" priority="3344">
      <formula>$AF$11="-"</formula>
    </cfRule>
  </conditionalFormatting>
  <conditionalFormatting sqref="AG73">
    <cfRule type="expression" dxfId="2740" priority="3343">
      <formula>$AG$11="-"</formula>
    </cfRule>
  </conditionalFormatting>
  <conditionalFormatting sqref="X73">
    <cfRule type="expression" dxfId="2739" priority="3342">
      <formula>$X$11="-"</formula>
    </cfRule>
  </conditionalFormatting>
  <conditionalFormatting sqref="Y73">
    <cfRule type="expression" dxfId="2738" priority="3341">
      <formula>$Y$11="-"</formula>
    </cfRule>
  </conditionalFormatting>
  <conditionalFormatting sqref="Z73">
    <cfRule type="expression" dxfId="2737" priority="3340">
      <formula>$Z$11="-"</formula>
    </cfRule>
  </conditionalFormatting>
  <conditionalFormatting sqref="AA73">
    <cfRule type="expression" dxfId="2736" priority="3339">
      <formula>$AA$11="-"</formula>
    </cfRule>
  </conditionalFormatting>
  <conditionalFormatting sqref="AN73">
    <cfRule type="expression" dxfId="2735" priority="3338">
      <formula>$AN$11="-"</formula>
    </cfRule>
  </conditionalFormatting>
  <conditionalFormatting sqref="AO73">
    <cfRule type="expression" dxfId="2734" priority="3337">
      <formula>$AO$11="-"</formula>
    </cfRule>
  </conditionalFormatting>
  <conditionalFormatting sqref="AM73">
    <cfRule type="expression" dxfId="2733" priority="3336">
      <formula>$AM$11="-"</formula>
    </cfRule>
  </conditionalFormatting>
  <conditionalFormatting sqref="AH73">
    <cfRule type="expression" dxfId="2732" priority="3335">
      <formula>$AH$11="-"</formula>
    </cfRule>
  </conditionalFormatting>
  <conditionalFormatting sqref="AL73">
    <cfRule type="expression" dxfId="2731" priority="3334">
      <formula>$AL$11="-"</formula>
    </cfRule>
  </conditionalFormatting>
  <conditionalFormatting sqref="E76:H76">
    <cfRule type="expression" dxfId="2730" priority="3330">
      <formula>AND(ISTEXT(I76),ISBLANK(E76))</formula>
    </cfRule>
  </conditionalFormatting>
  <conditionalFormatting sqref="A76:K76">
    <cfRule type="expression" dxfId="2729" priority="3329">
      <formula>AND($I76&lt;&gt;"",$L76="")</formula>
    </cfRule>
  </conditionalFormatting>
  <conditionalFormatting sqref="Q76">
    <cfRule type="expression" dxfId="2728" priority="3324">
      <formula>$Q$11="-"</formula>
    </cfRule>
  </conditionalFormatting>
  <conditionalFormatting sqref="R76">
    <cfRule type="expression" dxfId="2727" priority="3323">
      <formula>$R$11="-"</formula>
    </cfRule>
  </conditionalFormatting>
  <conditionalFormatting sqref="S76">
    <cfRule type="expression" dxfId="2726" priority="3322">
      <formula>$S$11="-"</formula>
    </cfRule>
  </conditionalFormatting>
  <conditionalFormatting sqref="T76">
    <cfRule type="expression" dxfId="2725" priority="3321">
      <formula>$T$11="-"</formula>
    </cfRule>
  </conditionalFormatting>
  <conditionalFormatting sqref="AE76">
    <cfRule type="expression" dxfId="2724" priority="3320">
      <formula>$AE$11="-"</formula>
    </cfRule>
  </conditionalFormatting>
  <conditionalFormatting sqref="AF76">
    <cfRule type="expression" dxfId="2723" priority="3319">
      <formula>$AF$11="-"</formula>
    </cfRule>
  </conditionalFormatting>
  <conditionalFormatting sqref="AG76">
    <cfRule type="expression" dxfId="2722" priority="3318">
      <formula>$AG$11="-"</formula>
    </cfRule>
  </conditionalFormatting>
  <conditionalFormatting sqref="X76">
    <cfRule type="expression" dxfId="2721" priority="3317">
      <formula>$X$11="-"</formula>
    </cfRule>
  </conditionalFormatting>
  <conditionalFormatting sqref="Y76">
    <cfRule type="expression" dxfId="2720" priority="3316">
      <formula>$Y$11="-"</formula>
    </cfRule>
  </conditionalFormatting>
  <conditionalFormatting sqref="Z76">
    <cfRule type="expression" dxfId="2719" priority="3315">
      <formula>$Z$11="-"</formula>
    </cfRule>
  </conditionalFormatting>
  <conditionalFormatting sqref="AA76">
    <cfRule type="expression" dxfId="2718" priority="3314">
      <formula>$AA$11="-"</formula>
    </cfRule>
  </conditionalFormatting>
  <conditionalFormatting sqref="AN76">
    <cfRule type="expression" dxfId="2717" priority="3313">
      <formula>$AN$11="-"</formula>
    </cfRule>
  </conditionalFormatting>
  <conditionalFormatting sqref="AO76">
    <cfRule type="expression" dxfId="2716" priority="3312">
      <formula>$AO$11="-"</formula>
    </cfRule>
  </conditionalFormatting>
  <conditionalFormatting sqref="AM76">
    <cfRule type="expression" dxfId="2715" priority="3311">
      <formula>$AM$11="-"</formula>
    </cfRule>
  </conditionalFormatting>
  <conditionalFormatting sqref="AH76">
    <cfRule type="expression" dxfId="2714" priority="3310">
      <formula>$AH$11="-"</formula>
    </cfRule>
  </conditionalFormatting>
  <conditionalFormatting sqref="AL76">
    <cfRule type="expression" dxfId="2713" priority="3309">
      <formula>$AL$11="-"</formula>
    </cfRule>
  </conditionalFormatting>
  <conditionalFormatting sqref="E78:H79">
    <cfRule type="expression" dxfId="2712" priority="3303">
      <formula>AND(ISTEXT(I78),ISBLANK(E78))</formula>
    </cfRule>
  </conditionalFormatting>
  <conditionalFormatting sqref="A78:K79">
    <cfRule type="expression" dxfId="2711" priority="3302">
      <formula>AND($I78&lt;&gt;"",$L78="")</formula>
    </cfRule>
  </conditionalFormatting>
  <conditionalFormatting sqref="Q78:Q79">
    <cfRule type="expression" dxfId="2710" priority="3297">
      <formula>$Q$11="-"</formula>
    </cfRule>
  </conditionalFormatting>
  <conditionalFormatting sqref="R78:R79">
    <cfRule type="expression" dxfId="2709" priority="3296">
      <formula>$R$11="-"</formula>
    </cfRule>
  </conditionalFormatting>
  <conditionalFormatting sqref="S78:S79">
    <cfRule type="expression" dxfId="2708" priority="3295">
      <formula>$S$11="-"</formula>
    </cfRule>
  </conditionalFormatting>
  <conditionalFormatting sqref="T78:T79">
    <cfRule type="expression" dxfId="2707" priority="3294">
      <formula>$T$11="-"</formula>
    </cfRule>
  </conditionalFormatting>
  <conditionalFormatting sqref="AE78:AE79">
    <cfRule type="expression" dxfId="2706" priority="3293">
      <formula>$AE$11="-"</formula>
    </cfRule>
  </conditionalFormatting>
  <conditionalFormatting sqref="AF78:AF79">
    <cfRule type="expression" dxfId="2705" priority="3292">
      <formula>$AF$11="-"</formula>
    </cfRule>
  </conditionalFormatting>
  <conditionalFormatting sqref="AG78:AG79">
    <cfRule type="expression" dxfId="2704" priority="3291">
      <formula>$AG$11="-"</formula>
    </cfRule>
  </conditionalFormatting>
  <conditionalFormatting sqref="X78:X79">
    <cfRule type="expression" dxfId="2703" priority="3290">
      <formula>$X$11="-"</formula>
    </cfRule>
  </conditionalFormatting>
  <conditionalFormatting sqref="Y78:Y79">
    <cfRule type="expression" dxfId="2702" priority="3289">
      <formula>$Y$11="-"</formula>
    </cfRule>
  </conditionalFormatting>
  <conditionalFormatting sqref="Z78:Z79">
    <cfRule type="expression" dxfId="2701" priority="3288">
      <formula>$Z$11="-"</formula>
    </cfRule>
  </conditionalFormatting>
  <conditionalFormatting sqref="AA78:AA79">
    <cfRule type="expression" dxfId="2700" priority="3287">
      <formula>$AA$11="-"</formula>
    </cfRule>
  </conditionalFormatting>
  <conditionalFormatting sqref="AN78:AN79">
    <cfRule type="expression" dxfId="2699" priority="3286">
      <formula>$AN$11="-"</formula>
    </cfRule>
  </conditionalFormatting>
  <conditionalFormatting sqref="AO78:AO79">
    <cfRule type="expression" dxfId="2698" priority="3285">
      <formula>$AO$11="-"</formula>
    </cfRule>
  </conditionalFormatting>
  <conditionalFormatting sqref="AM78:AM79">
    <cfRule type="expression" dxfId="2697" priority="3284">
      <formula>$AM$11="-"</formula>
    </cfRule>
  </conditionalFormatting>
  <conditionalFormatting sqref="AH78:AH79">
    <cfRule type="expression" dxfId="2696" priority="3283">
      <formula>$AH$11="-"</formula>
    </cfRule>
  </conditionalFormatting>
  <conditionalFormatting sqref="AL78:AL79">
    <cfRule type="expression" dxfId="2695" priority="3282">
      <formula>$AL$11="-"</formula>
    </cfRule>
  </conditionalFormatting>
  <conditionalFormatting sqref="E77:H77">
    <cfRule type="expression" dxfId="2694" priority="3278">
      <formula>AND(ISTEXT(I77),ISBLANK(E77))</formula>
    </cfRule>
  </conditionalFormatting>
  <conditionalFormatting sqref="A77:K77">
    <cfRule type="expression" dxfId="2693" priority="3277">
      <formula>AND($I77&lt;&gt;"",$L77="")</formula>
    </cfRule>
  </conditionalFormatting>
  <conditionalFormatting sqref="Q77">
    <cfRule type="expression" dxfId="2692" priority="3272">
      <formula>$Q$11="-"</formula>
    </cfRule>
  </conditionalFormatting>
  <conditionalFormatting sqref="R77">
    <cfRule type="expression" dxfId="2691" priority="3271">
      <formula>$R$11="-"</formula>
    </cfRule>
  </conditionalFormatting>
  <conditionalFormatting sqref="S77">
    <cfRule type="expression" dxfId="2690" priority="3270">
      <formula>$S$11="-"</formula>
    </cfRule>
  </conditionalFormatting>
  <conditionalFormatting sqref="T77">
    <cfRule type="expression" dxfId="2689" priority="3269">
      <formula>$T$11="-"</formula>
    </cfRule>
  </conditionalFormatting>
  <conditionalFormatting sqref="AE77">
    <cfRule type="expression" dxfId="2688" priority="3268">
      <formula>$AE$11="-"</formula>
    </cfRule>
  </conditionalFormatting>
  <conditionalFormatting sqref="AF77">
    <cfRule type="expression" dxfId="2687" priority="3267">
      <formula>$AF$11="-"</formula>
    </cfRule>
  </conditionalFormatting>
  <conditionalFormatting sqref="AG77">
    <cfRule type="expression" dxfId="2686" priority="3266">
      <formula>$AG$11="-"</formula>
    </cfRule>
  </conditionalFormatting>
  <conditionalFormatting sqref="X77">
    <cfRule type="expression" dxfId="2685" priority="3265">
      <formula>$X$11="-"</formula>
    </cfRule>
  </conditionalFormatting>
  <conditionalFormatting sqref="Y77">
    <cfRule type="expression" dxfId="2684" priority="3264">
      <formula>$Y$11="-"</formula>
    </cfRule>
  </conditionalFormatting>
  <conditionalFormatting sqref="Z77">
    <cfRule type="expression" dxfId="2683" priority="3263">
      <formula>$Z$11="-"</formula>
    </cfRule>
  </conditionalFormatting>
  <conditionalFormatting sqref="AA77">
    <cfRule type="expression" dxfId="2682" priority="3262">
      <formula>$AA$11="-"</formula>
    </cfRule>
  </conditionalFormatting>
  <conditionalFormatting sqref="AN77">
    <cfRule type="expression" dxfId="2681" priority="3261">
      <formula>$AN$11="-"</formula>
    </cfRule>
  </conditionalFormatting>
  <conditionalFormatting sqref="AO77">
    <cfRule type="expression" dxfId="2680" priority="3260">
      <formula>$AO$11="-"</formula>
    </cfRule>
  </conditionalFormatting>
  <conditionalFormatting sqref="AM77">
    <cfRule type="expression" dxfId="2679" priority="3259">
      <formula>$AM$11="-"</formula>
    </cfRule>
  </conditionalFormatting>
  <conditionalFormatting sqref="AH77">
    <cfRule type="expression" dxfId="2678" priority="3258">
      <formula>$AH$11="-"</formula>
    </cfRule>
  </conditionalFormatting>
  <conditionalFormatting sqref="AL77">
    <cfRule type="expression" dxfId="2677" priority="3257">
      <formula>$AL$11="-"</formula>
    </cfRule>
  </conditionalFormatting>
  <conditionalFormatting sqref="E80:H80">
    <cfRule type="expression" dxfId="2676" priority="3253">
      <formula>AND(ISTEXT(I80),ISBLANK(E80))</formula>
    </cfRule>
  </conditionalFormatting>
  <conditionalFormatting sqref="A80:K80">
    <cfRule type="expression" dxfId="2675" priority="3252">
      <formula>AND($I80&lt;&gt;"",$L80="")</formula>
    </cfRule>
  </conditionalFormatting>
  <conditionalFormatting sqref="Q80">
    <cfRule type="expression" dxfId="2674" priority="3247">
      <formula>$Q$11="-"</formula>
    </cfRule>
  </conditionalFormatting>
  <conditionalFormatting sqref="R80">
    <cfRule type="expression" dxfId="2673" priority="3246">
      <formula>$R$11="-"</formula>
    </cfRule>
  </conditionalFormatting>
  <conditionalFormatting sqref="S80">
    <cfRule type="expression" dxfId="2672" priority="3245">
      <formula>$S$11="-"</formula>
    </cfRule>
  </conditionalFormatting>
  <conditionalFormatting sqref="T80">
    <cfRule type="expression" dxfId="2671" priority="3244">
      <formula>$T$11="-"</formula>
    </cfRule>
  </conditionalFormatting>
  <conditionalFormatting sqref="AE80">
    <cfRule type="expression" dxfId="2670" priority="3243">
      <formula>$AE$11="-"</formula>
    </cfRule>
  </conditionalFormatting>
  <conditionalFormatting sqref="AF80">
    <cfRule type="expression" dxfId="2669" priority="3242">
      <formula>$AF$11="-"</formula>
    </cfRule>
  </conditionalFormatting>
  <conditionalFormatting sqref="AG80">
    <cfRule type="expression" dxfId="2668" priority="3241">
      <formula>$AG$11="-"</formula>
    </cfRule>
  </conditionalFormatting>
  <conditionalFormatting sqref="X80">
    <cfRule type="expression" dxfId="2667" priority="3240">
      <formula>$X$11="-"</formula>
    </cfRule>
  </conditionalFormatting>
  <conditionalFormatting sqref="Y80">
    <cfRule type="expression" dxfId="2666" priority="3239">
      <formula>$Y$11="-"</formula>
    </cfRule>
  </conditionalFormatting>
  <conditionalFormatting sqref="Z80">
    <cfRule type="expression" dxfId="2665" priority="3238">
      <formula>$Z$11="-"</formula>
    </cfRule>
  </conditionalFormatting>
  <conditionalFormatting sqref="AA80">
    <cfRule type="expression" dxfId="2664" priority="3237">
      <formula>$AA$11="-"</formula>
    </cfRule>
  </conditionalFormatting>
  <conditionalFormatting sqref="AN80">
    <cfRule type="expression" dxfId="2663" priority="3236">
      <formula>$AN$11="-"</formula>
    </cfRule>
  </conditionalFormatting>
  <conditionalFormatting sqref="AO80">
    <cfRule type="expression" dxfId="2662" priority="3235">
      <formula>$AO$11="-"</formula>
    </cfRule>
  </conditionalFormatting>
  <conditionalFormatting sqref="AM80">
    <cfRule type="expression" dxfId="2661" priority="3234">
      <formula>$AM$11="-"</formula>
    </cfRule>
  </conditionalFormatting>
  <conditionalFormatting sqref="AH80">
    <cfRule type="expression" dxfId="2660" priority="3233">
      <formula>$AH$11="-"</formula>
    </cfRule>
  </conditionalFormatting>
  <conditionalFormatting sqref="AL80">
    <cfRule type="expression" dxfId="2659" priority="3232">
      <formula>$AL$11="-"</formula>
    </cfRule>
  </conditionalFormatting>
  <conditionalFormatting sqref="E81:H81">
    <cfRule type="expression" dxfId="2658" priority="3228">
      <formula>AND(ISTEXT(I81),ISBLANK(E81))</formula>
    </cfRule>
  </conditionalFormatting>
  <conditionalFormatting sqref="A81:K81">
    <cfRule type="expression" dxfId="2657" priority="3227">
      <formula>AND($I81&lt;&gt;"",$L81="")</formula>
    </cfRule>
  </conditionalFormatting>
  <conditionalFormatting sqref="Q81">
    <cfRule type="expression" dxfId="2656" priority="3222">
      <formula>$Q$11="-"</formula>
    </cfRule>
  </conditionalFormatting>
  <conditionalFormatting sqref="R81">
    <cfRule type="expression" dxfId="2655" priority="3221">
      <formula>$R$11="-"</formula>
    </cfRule>
  </conditionalFormatting>
  <conditionalFormatting sqref="S81">
    <cfRule type="expression" dxfId="2654" priority="3220">
      <formula>$S$11="-"</formula>
    </cfRule>
  </conditionalFormatting>
  <conditionalFormatting sqref="T81">
    <cfRule type="expression" dxfId="2653" priority="3219">
      <formula>$T$11="-"</formula>
    </cfRule>
  </conditionalFormatting>
  <conditionalFormatting sqref="AE81">
    <cfRule type="expression" dxfId="2652" priority="3218">
      <formula>$AE$11="-"</formula>
    </cfRule>
  </conditionalFormatting>
  <conditionalFormatting sqref="AF81">
    <cfRule type="expression" dxfId="2651" priority="3217">
      <formula>$AF$11="-"</formula>
    </cfRule>
  </conditionalFormatting>
  <conditionalFormatting sqref="AG81">
    <cfRule type="expression" dxfId="2650" priority="3216">
      <formula>$AG$11="-"</formula>
    </cfRule>
  </conditionalFormatting>
  <conditionalFormatting sqref="X81">
    <cfRule type="expression" dxfId="2649" priority="3215">
      <formula>$X$11="-"</formula>
    </cfRule>
  </conditionalFormatting>
  <conditionalFormatting sqref="Y81">
    <cfRule type="expression" dxfId="2648" priority="3214">
      <formula>$Y$11="-"</formula>
    </cfRule>
  </conditionalFormatting>
  <conditionalFormatting sqref="Z81">
    <cfRule type="expression" dxfId="2647" priority="3213">
      <formula>$Z$11="-"</formula>
    </cfRule>
  </conditionalFormatting>
  <conditionalFormatting sqref="AA81">
    <cfRule type="expression" dxfId="2646" priority="3212">
      <formula>$AA$11="-"</formula>
    </cfRule>
  </conditionalFormatting>
  <conditionalFormatting sqref="AN81">
    <cfRule type="expression" dxfId="2645" priority="3211">
      <formula>$AN$11="-"</formula>
    </cfRule>
  </conditionalFormatting>
  <conditionalFormatting sqref="AO81">
    <cfRule type="expression" dxfId="2644" priority="3210">
      <formula>$AO$11="-"</formula>
    </cfRule>
  </conditionalFormatting>
  <conditionalFormatting sqref="AM81">
    <cfRule type="expression" dxfId="2643" priority="3209">
      <formula>$AM$11="-"</formula>
    </cfRule>
  </conditionalFormatting>
  <conditionalFormatting sqref="AH81">
    <cfRule type="expression" dxfId="2642" priority="3208">
      <formula>$AH$11="-"</formula>
    </cfRule>
  </conditionalFormatting>
  <conditionalFormatting sqref="AL81">
    <cfRule type="expression" dxfId="2641" priority="3207">
      <formula>$AL$11="-"</formula>
    </cfRule>
  </conditionalFormatting>
  <conditionalFormatting sqref="E82:H83">
    <cfRule type="expression" dxfId="2640" priority="3201">
      <formula>AND(ISTEXT(I82),ISBLANK(E82))</formula>
    </cfRule>
  </conditionalFormatting>
  <conditionalFormatting sqref="A82:K83">
    <cfRule type="expression" dxfId="2639" priority="3200">
      <formula>AND($I82&lt;&gt;"",$L82="")</formula>
    </cfRule>
  </conditionalFormatting>
  <conditionalFormatting sqref="Q82:Q83">
    <cfRule type="expression" dxfId="2638" priority="3195">
      <formula>$Q$11="-"</formula>
    </cfRule>
  </conditionalFormatting>
  <conditionalFormatting sqref="R82:R83">
    <cfRule type="expression" dxfId="2637" priority="3194">
      <formula>$R$11="-"</formula>
    </cfRule>
  </conditionalFormatting>
  <conditionalFormatting sqref="S82:S83">
    <cfRule type="expression" dxfId="2636" priority="3193">
      <formula>$S$11="-"</formula>
    </cfRule>
  </conditionalFormatting>
  <conditionalFormatting sqref="T82:T83">
    <cfRule type="expression" dxfId="2635" priority="3192">
      <formula>$T$11="-"</formula>
    </cfRule>
  </conditionalFormatting>
  <conditionalFormatting sqref="AE82:AE83">
    <cfRule type="expression" dxfId="2634" priority="3191">
      <formula>$AE$11="-"</formula>
    </cfRule>
  </conditionalFormatting>
  <conditionalFormatting sqref="AF82:AF83">
    <cfRule type="expression" dxfId="2633" priority="3190">
      <formula>$AF$11="-"</formula>
    </cfRule>
  </conditionalFormatting>
  <conditionalFormatting sqref="AG82:AG83">
    <cfRule type="expression" dxfId="2632" priority="3189">
      <formula>$AG$11="-"</formula>
    </cfRule>
  </conditionalFormatting>
  <conditionalFormatting sqref="X82:X83">
    <cfRule type="expression" dxfId="2631" priority="3188">
      <formula>$X$11="-"</formula>
    </cfRule>
  </conditionalFormatting>
  <conditionalFormatting sqref="Y82:Y83">
    <cfRule type="expression" dxfId="2630" priority="3187">
      <formula>$Y$11="-"</formula>
    </cfRule>
  </conditionalFormatting>
  <conditionalFormatting sqref="Z82:Z83">
    <cfRule type="expression" dxfId="2629" priority="3186">
      <formula>$Z$11="-"</formula>
    </cfRule>
  </conditionalFormatting>
  <conditionalFormatting sqref="AA82:AA83">
    <cfRule type="expression" dxfId="2628" priority="3185">
      <formula>$AA$11="-"</formula>
    </cfRule>
  </conditionalFormatting>
  <conditionalFormatting sqref="AN82:AN83">
    <cfRule type="expression" dxfId="2627" priority="3184">
      <formula>$AN$11="-"</formula>
    </cfRule>
  </conditionalFormatting>
  <conditionalFormatting sqref="AO82:AO83">
    <cfRule type="expression" dxfId="2626" priority="3183">
      <formula>$AO$11="-"</formula>
    </cfRule>
  </conditionalFormatting>
  <conditionalFormatting sqref="AM82:AM83">
    <cfRule type="expression" dxfId="2625" priority="3182">
      <formula>$AM$11="-"</formula>
    </cfRule>
  </conditionalFormatting>
  <conditionalFormatting sqref="AH82:AH83">
    <cfRule type="expression" dxfId="2624" priority="3181">
      <formula>$AH$11="-"</formula>
    </cfRule>
  </conditionalFormatting>
  <conditionalFormatting sqref="AL82:AL83">
    <cfRule type="expression" dxfId="2623" priority="3180">
      <formula>$AL$11="-"</formula>
    </cfRule>
  </conditionalFormatting>
  <conditionalFormatting sqref="E84:H84">
    <cfRule type="expression" dxfId="2622" priority="3176">
      <formula>AND(ISTEXT(I84),ISBLANK(E84))</formula>
    </cfRule>
  </conditionalFormatting>
  <conditionalFormatting sqref="A84:K84">
    <cfRule type="expression" dxfId="2621" priority="3175">
      <formula>AND($I84&lt;&gt;"",$L84="")</formula>
    </cfRule>
  </conditionalFormatting>
  <conditionalFormatting sqref="Q84">
    <cfRule type="expression" dxfId="2620" priority="3170">
      <formula>$Q$11="-"</formula>
    </cfRule>
  </conditionalFormatting>
  <conditionalFormatting sqref="R84">
    <cfRule type="expression" dxfId="2619" priority="3169">
      <formula>$R$11="-"</formula>
    </cfRule>
  </conditionalFormatting>
  <conditionalFormatting sqref="S84">
    <cfRule type="expression" dxfId="2618" priority="3168">
      <formula>$S$11="-"</formula>
    </cfRule>
  </conditionalFormatting>
  <conditionalFormatting sqref="T84">
    <cfRule type="expression" dxfId="2617" priority="3167">
      <formula>$T$11="-"</formula>
    </cfRule>
  </conditionalFormatting>
  <conditionalFormatting sqref="AE84">
    <cfRule type="expression" dxfId="2616" priority="3166">
      <formula>$AE$11="-"</formula>
    </cfRule>
  </conditionalFormatting>
  <conditionalFormatting sqref="AF84">
    <cfRule type="expression" dxfId="2615" priority="3165">
      <formula>$AF$11="-"</formula>
    </cfRule>
  </conditionalFormatting>
  <conditionalFormatting sqref="AG84">
    <cfRule type="expression" dxfId="2614" priority="3164">
      <formula>$AG$11="-"</formula>
    </cfRule>
  </conditionalFormatting>
  <conditionalFormatting sqref="X84">
    <cfRule type="expression" dxfId="2613" priority="3163">
      <formula>$X$11="-"</formula>
    </cfRule>
  </conditionalFormatting>
  <conditionalFormatting sqref="Y84">
    <cfRule type="expression" dxfId="2612" priority="3162">
      <formula>$Y$11="-"</formula>
    </cfRule>
  </conditionalFormatting>
  <conditionalFormatting sqref="Z84">
    <cfRule type="expression" dxfId="2611" priority="3161">
      <formula>$Z$11="-"</formula>
    </cfRule>
  </conditionalFormatting>
  <conditionalFormatting sqref="AA84">
    <cfRule type="expression" dxfId="2610" priority="3160">
      <formula>$AA$11="-"</formula>
    </cfRule>
  </conditionalFormatting>
  <conditionalFormatting sqref="AN84">
    <cfRule type="expression" dxfId="2609" priority="3159">
      <formula>$AN$11="-"</formula>
    </cfRule>
  </conditionalFormatting>
  <conditionalFormatting sqref="AO84">
    <cfRule type="expression" dxfId="2608" priority="3158">
      <formula>$AO$11="-"</formula>
    </cfRule>
  </conditionalFormatting>
  <conditionalFormatting sqref="AM84">
    <cfRule type="expression" dxfId="2607" priority="3157">
      <formula>$AM$11="-"</formula>
    </cfRule>
  </conditionalFormatting>
  <conditionalFormatting sqref="AH84">
    <cfRule type="expression" dxfId="2606" priority="3156">
      <formula>$AH$11="-"</formula>
    </cfRule>
  </conditionalFormatting>
  <conditionalFormatting sqref="AL84">
    <cfRule type="expression" dxfId="2605" priority="3155">
      <formula>$AL$11="-"</formula>
    </cfRule>
  </conditionalFormatting>
  <conditionalFormatting sqref="E85:H85">
    <cfRule type="expression" dxfId="2604" priority="3151">
      <formula>AND(ISTEXT(I85),ISBLANK(E85))</formula>
    </cfRule>
  </conditionalFormatting>
  <conditionalFormatting sqref="A85:K85">
    <cfRule type="expression" dxfId="2603" priority="3150">
      <formula>AND($I85&lt;&gt;"",$L85="")</formula>
    </cfRule>
  </conditionalFormatting>
  <conditionalFormatting sqref="Q85">
    <cfRule type="expression" dxfId="2602" priority="3145">
      <formula>$Q$11="-"</formula>
    </cfRule>
  </conditionalFormatting>
  <conditionalFormatting sqref="R85">
    <cfRule type="expression" dxfId="2601" priority="3144">
      <formula>$R$11="-"</formula>
    </cfRule>
  </conditionalFormatting>
  <conditionalFormatting sqref="S85">
    <cfRule type="expression" dxfId="2600" priority="3143">
      <formula>$S$11="-"</formula>
    </cfRule>
  </conditionalFormatting>
  <conditionalFormatting sqref="T85">
    <cfRule type="expression" dxfId="2599" priority="3142">
      <formula>$T$11="-"</formula>
    </cfRule>
  </conditionalFormatting>
  <conditionalFormatting sqref="AE85">
    <cfRule type="expression" dxfId="2598" priority="3141">
      <formula>$AE$11="-"</formula>
    </cfRule>
  </conditionalFormatting>
  <conditionalFormatting sqref="AF85">
    <cfRule type="expression" dxfId="2597" priority="3140">
      <formula>$AF$11="-"</formula>
    </cfRule>
  </conditionalFormatting>
  <conditionalFormatting sqref="AG85">
    <cfRule type="expression" dxfId="2596" priority="3139">
      <formula>$AG$11="-"</formula>
    </cfRule>
  </conditionalFormatting>
  <conditionalFormatting sqref="X85">
    <cfRule type="expression" dxfId="2595" priority="3138">
      <formula>$X$11="-"</formula>
    </cfRule>
  </conditionalFormatting>
  <conditionalFormatting sqref="Y85">
    <cfRule type="expression" dxfId="2594" priority="3137">
      <formula>$Y$11="-"</formula>
    </cfRule>
  </conditionalFormatting>
  <conditionalFormatting sqref="Z85">
    <cfRule type="expression" dxfId="2593" priority="3136">
      <formula>$Z$11="-"</formula>
    </cfRule>
  </conditionalFormatting>
  <conditionalFormatting sqref="AA85">
    <cfRule type="expression" dxfId="2592" priority="3135">
      <formula>$AA$11="-"</formula>
    </cfRule>
  </conditionalFormatting>
  <conditionalFormatting sqref="AN85">
    <cfRule type="expression" dxfId="2591" priority="3134">
      <formula>$AN$11="-"</formula>
    </cfRule>
  </conditionalFormatting>
  <conditionalFormatting sqref="AO85">
    <cfRule type="expression" dxfId="2590" priority="3133">
      <formula>$AO$11="-"</formula>
    </cfRule>
  </conditionalFormatting>
  <conditionalFormatting sqref="AM85">
    <cfRule type="expression" dxfId="2589" priority="3132">
      <formula>$AM$11="-"</formula>
    </cfRule>
  </conditionalFormatting>
  <conditionalFormatting sqref="AH85">
    <cfRule type="expression" dxfId="2588" priority="3131">
      <formula>$AH$11="-"</formula>
    </cfRule>
  </conditionalFormatting>
  <conditionalFormatting sqref="AL85">
    <cfRule type="expression" dxfId="2587" priority="3130">
      <formula>$AL$11="-"</formula>
    </cfRule>
  </conditionalFormatting>
  <conditionalFormatting sqref="E86:H86">
    <cfRule type="expression" dxfId="2586" priority="3126">
      <formula>AND(ISTEXT(I86),ISBLANK(E86))</formula>
    </cfRule>
  </conditionalFormatting>
  <conditionalFormatting sqref="A86:K86">
    <cfRule type="expression" dxfId="2585" priority="3125">
      <formula>AND($I86&lt;&gt;"",$L86="")</formula>
    </cfRule>
  </conditionalFormatting>
  <conditionalFormatting sqref="Q86">
    <cfRule type="expression" dxfId="2584" priority="3120">
      <formula>$Q$11="-"</formula>
    </cfRule>
  </conditionalFormatting>
  <conditionalFormatting sqref="R86">
    <cfRule type="expression" dxfId="2583" priority="3119">
      <formula>$R$11="-"</formula>
    </cfRule>
  </conditionalFormatting>
  <conditionalFormatting sqref="S86">
    <cfRule type="expression" dxfId="2582" priority="3118">
      <formula>$S$11="-"</formula>
    </cfRule>
  </conditionalFormatting>
  <conditionalFormatting sqref="T86">
    <cfRule type="expression" dxfId="2581" priority="3117">
      <formula>$T$11="-"</formula>
    </cfRule>
  </conditionalFormatting>
  <conditionalFormatting sqref="AE86">
    <cfRule type="expression" dxfId="2580" priority="3116">
      <formula>$AE$11="-"</formula>
    </cfRule>
  </conditionalFormatting>
  <conditionalFormatting sqref="AF86">
    <cfRule type="expression" dxfId="2579" priority="3115">
      <formula>$AF$11="-"</formula>
    </cfRule>
  </conditionalFormatting>
  <conditionalFormatting sqref="AG86">
    <cfRule type="expression" dxfId="2578" priority="3114">
      <formula>$AG$11="-"</formula>
    </cfRule>
  </conditionalFormatting>
  <conditionalFormatting sqref="X86">
    <cfRule type="expression" dxfId="2577" priority="3113">
      <formula>$X$11="-"</formula>
    </cfRule>
  </conditionalFormatting>
  <conditionalFormatting sqref="Y86">
    <cfRule type="expression" dxfId="2576" priority="3112">
      <formula>$Y$11="-"</formula>
    </cfRule>
  </conditionalFormatting>
  <conditionalFormatting sqref="Z86">
    <cfRule type="expression" dxfId="2575" priority="3111">
      <formula>$Z$11="-"</formula>
    </cfRule>
  </conditionalFormatting>
  <conditionalFormatting sqref="AA86">
    <cfRule type="expression" dxfId="2574" priority="3110">
      <formula>$AA$11="-"</formula>
    </cfRule>
  </conditionalFormatting>
  <conditionalFormatting sqref="AN86">
    <cfRule type="expression" dxfId="2573" priority="3109">
      <formula>$AN$11="-"</formula>
    </cfRule>
  </conditionalFormatting>
  <conditionalFormatting sqref="AO86">
    <cfRule type="expression" dxfId="2572" priority="3108">
      <formula>$AO$11="-"</formula>
    </cfRule>
  </conditionalFormatting>
  <conditionalFormatting sqref="AM86">
    <cfRule type="expression" dxfId="2571" priority="3107">
      <formula>$AM$11="-"</formula>
    </cfRule>
  </conditionalFormatting>
  <conditionalFormatting sqref="AH86">
    <cfRule type="expression" dxfId="2570" priority="3106">
      <formula>$AH$11="-"</formula>
    </cfRule>
  </conditionalFormatting>
  <conditionalFormatting sqref="AL86">
    <cfRule type="expression" dxfId="2569" priority="3105">
      <formula>$AL$11="-"</formula>
    </cfRule>
  </conditionalFormatting>
  <conditionalFormatting sqref="E87:H87">
    <cfRule type="expression" dxfId="2568" priority="3101">
      <formula>AND(ISTEXT(I87),ISBLANK(E87))</formula>
    </cfRule>
  </conditionalFormatting>
  <conditionalFormatting sqref="A87:K87">
    <cfRule type="expression" dxfId="2567" priority="3100">
      <formula>AND($I87&lt;&gt;"",$L87="")</formula>
    </cfRule>
  </conditionalFormatting>
  <conditionalFormatting sqref="Q87">
    <cfRule type="expression" dxfId="2566" priority="3095">
      <formula>$Q$11="-"</formula>
    </cfRule>
  </conditionalFormatting>
  <conditionalFormatting sqref="R87">
    <cfRule type="expression" dxfId="2565" priority="3094">
      <formula>$R$11="-"</formula>
    </cfRule>
  </conditionalFormatting>
  <conditionalFormatting sqref="S87">
    <cfRule type="expression" dxfId="2564" priority="3093">
      <formula>$S$11="-"</formula>
    </cfRule>
  </conditionalFormatting>
  <conditionalFormatting sqref="T87">
    <cfRule type="expression" dxfId="2563" priority="3092">
      <formula>$T$11="-"</formula>
    </cfRule>
  </conditionalFormatting>
  <conditionalFormatting sqref="AE87">
    <cfRule type="expression" dxfId="2562" priority="3091">
      <formula>$AE$11="-"</formula>
    </cfRule>
  </conditionalFormatting>
  <conditionalFormatting sqref="AF87">
    <cfRule type="expression" dxfId="2561" priority="3090">
      <formula>$AF$11="-"</formula>
    </cfRule>
  </conditionalFormatting>
  <conditionalFormatting sqref="AG87">
    <cfRule type="expression" dxfId="2560" priority="3089">
      <formula>$AG$11="-"</formula>
    </cfRule>
  </conditionalFormatting>
  <conditionalFormatting sqref="X87">
    <cfRule type="expression" dxfId="2559" priority="3088">
      <formula>$X$11="-"</formula>
    </cfRule>
  </conditionalFormatting>
  <conditionalFormatting sqref="Y87">
    <cfRule type="expression" dxfId="2558" priority="3087">
      <formula>$Y$11="-"</formula>
    </cfRule>
  </conditionalFormatting>
  <conditionalFormatting sqref="Z87">
    <cfRule type="expression" dxfId="2557" priority="3086">
      <formula>$Z$11="-"</formula>
    </cfRule>
  </conditionalFormatting>
  <conditionalFormatting sqref="AA87">
    <cfRule type="expression" dxfId="2556" priority="3085">
      <formula>$AA$11="-"</formula>
    </cfRule>
  </conditionalFormatting>
  <conditionalFormatting sqref="AN87">
    <cfRule type="expression" dxfId="2555" priority="3084">
      <formula>$AN$11="-"</formula>
    </cfRule>
  </conditionalFormatting>
  <conditionalFormatting sqref="AO87">
    <cfRule type="expression" dxfId="2554" priority="3083">
      <formula>$AO$11="-"</formula>
    </cfRule>
  </conditionalFormatting>
  <conditionalFormatting sqref="AM87">
    <cfRule type="expression" dxfId="2553" priority="3082">
      <formula>$AM$11="-"</formula>
    </cfRule>
  </conditionalFormatting>
  <conditionalFormatting sqref="AH87">
    <cfRule type="expression" dxfId="2552" priority="3081">
      <formula>$AH$11="-"</formula>
    </cfRule>
  </conditionalFormatting>
  <conditionalFormatting sqref="AL87">
    <cfRule type="expression" dxfId="2551" priority="3080">
      <formula>$AL$11="-"</formula>
    </cfRule>
  </conditionalFormatting>
  <conditionalFormatting sqref="E88:H89">
    <cfRule type="expression" dxfId="2550" priority="3074">
      <formula>AND(ISTEXT(I88),ISBLANK(E88))</formula>
    </cfRule>
  </conditionalFormatting>
  <conditionalFormatting sqref="A88:K89">
    <cfRule type="expression" dxfId="2549" priority="3073">
      <formula>AND($I88&lt;&gt;"",$L88="")</formula>
    </cfRule>
  </conditionalFormatting>
  <conditionalFormatting sqref="Q88:Q89">
    <cfRule type="expression" dxfId="2548" priority="3068">
      <formula>$Q$11="-"</formula>
    </cfRule>
  </conditionalFormatting>
  <conditionalFormatting sqref="R88:R89">
    <cfRule type="expression" dxfId="2547" priority="3067">
      <formula>$R$11="-"</formula>
    </cfRule>
  </conditionalFormatting>
  <conditionalFormatting sqref="S88:S89">
    <cfRule type="expression" dxfId="2546" priority="3066">
      <formula>$S$11="-"</formula>
    </cfRule>
  </conditionalFormatting>
  <conditionalFormatting sqref="T88:T89">
    <cfRule type="expression" dxfId="2545" priority="3065">
      <formula>$T$11="-"</formula>
    </cfRule>
  </conditionalFormatting>
  <conditionalFormatting sqref="AE88:AE89">
    <cfRule type="expression" dxfId="2544" priority="3064">
      <formula>$AE$11="-"</formula>
    </cfRule>
  </conditionalFormatting>
  <conditionalFormatting sqref="AF88:AF89">
    <cfRule type="expression" dxfId="2543" priority="3063">
      <formula>$AF$11="-"</formula>
    </cfRule>
  </conditionalFormatting>
  <conditionalFormatting sqref="AG88:AG89">
    <cfRule type="expression" dxfId="2542" priority="3062">
      <formula>$AG$11="-"</formula>
    </cfRule>
  </conditionalFormatting>
  <conditionalFormatting sqref="X88:X89">
    <cfRule type="expression" dxfId="2541" priority="3061">
      <formula>$X$11="-"</formula>
    </cfRule>
  </conditionalFormatting>
  <conditionalFormatting sqref="Y88:Y89">
    <cfRule type="expression" dxfId="2540" priority="3060">
      <formula>$Y$11="-"</formula>
    </cfRule>
  </conditionalFormatting>
  <conditionalFormatting sqref="Z88:Z89">
    <cfRule type="expression" dxfId="2539" priority="3059">
      <formula>$Z$11="-"</formula>
    </cfRule>
  </conditionalFormatting>
  <conditionalFormatting sqref="AA88:AA89">
    <cfRule type="expression" dxfId="2538" priority="3058">
      <formula>$AA$11="-"</formula>
    </cfRule>
  </conditionalFormatting>
  <conditionalFormatting sqref="AN88:AN89">
    <cfRule type="expression" dxfId="2537" priority="3057">
      <formula>$AN$11="-"</formula>
    </cfRule>
  </conditionalFormatting>
  <conditionalFormatting sqref="AO88:AO89">
    <cfRule type="expression" dxfId="2536" priority="3056">
      <formula>$AO$11="-"</formula>
    </cfRule>
  </conditionalFormatting>
  <conditionalFormatting sqref="AM88:AM89">
    <cfRule type="expression" dxfId="2535" priority="3055">
      <formula>$AM$11="-"</formula>
    </cfRule>
  </conditionalFormatting>
  <conditionalFormatting sqref="AH88:AH89">
    <cfRule type="expression" dxfId="2534" priority="3054">
      <formula>$AH$11="-"</formula>
    </cfRule>
  </conditionalFormatting>
  <conditionalFormatting sqref="AL88:AL89">
    <cfRule type="expression" dxfId="2533" priority="3053">
      <formula>$AL$11="-"</formula>
    </cfRule>
  </conditionalFormatting>
  <conditionalFormatting sqref="E90:H90">
    <cfRule type="expression" dxfId="2532" priority="3049">
      <formula>AND(ISTEXT(I90),ISBLANK(E90))</formula>
    </cfRule>
  </conditionalFormatting>
  <conditionalFormatting sqref="A90:K90">
    <cfRule type="expression" dxfId="2531" priority="3048">
      <formula>AND($I90&lt;&gt;"",$L90="")</formula>
    </cfRule>
  </conditionalFormatting>
  <conditionalFormatting sqref="Q90">
    <cfRule type="expression" dxfId="2530" priority="3043">
      <formula>$Q$11="-"</formula>
    </cfRule>
  </conditionalFormatting>
  <conditionalFormatting sqref="R90">
    <cfRule type="expression" dxfId="2529" priority="3042">
      <formula>$R$11="-"</formula>
    </cfRule>
  </conditionalFormatting>
  <conditionalFormatting sqref="S90">
    <cfRule type="expression" dxfId="2528" priority="3041">
      <formula>$S$11="-"</formula>
    </cfRule>
  </conditionalFormatting>
  <conditionalFormatting sqref="T90">
    <cfRule type="expression" dxfId="2527" priority="3040">
      <formula>$T$11="-"</formula>
    </cfRule>
  </conditionalFormatting>
  <conditionalFormatting sqref="AE90">
    <cfRule type="expression" dxfId="2526" priority="3039">
      <formula>$AE$11="-"</formula>
    </cfRule>
  </conditionalFormatting>
  <conditionalFormatting sqref="AF90">
    <cfRule type="expression" dxfId="2525" priority="3038">
      <formula>$AF$11="-"</formula>
    </cfRule>
  </conditionalFormatting>
  <conditionalFormatting sqref="AG90">
    <cfRule type="expression" dxfId="2524" priority="3037">
      <formula>$AG$11="-"</formula>
    </cfRule>
  </conditionalFormatting>
  <conditionalFormatting sqref="X90">
    <cfRule type="expression" dxfId="2523" priority="3036">
      <formula>$X$11="-"</formula>
    </cfRule>
  </conditionalFormatting>
  <conditionalFormatting sqref="Y90">
    <cfRule type="expression" dxfId="2522" priority="3035">
      <formula>$Y$11="-"</formula>
    </cfRule>
  </conditionalFormatting>
  <conditionalFormatting sqref="Z90">
    <cfRule type="expression" dxfId="2521" priority="3034">
      <formula>$Z$11="-"</formula>
    </cfRule>
  </conditionalFormatting>
  <conditionalFormatting sqref="AA90">
    <cfRule type="expression" dxfId="2520" priority="3033">
      <formula>$AA$11="-"</formula>
    </cfRule>
  </conditionalFormatting>
  <conditionalFormatting sqref="AN90">
    <cfRule type="expression" dxfId="2519" priority="3032">
      <formula>$AN$11="-"</formula>
    </cfRule>
  </conditionalFormatting>
  <conditionalFormatting sqref="AO90">
    <cfRule type="expression" dxfId="2518" priority="3031">
      <formula>$AO$11="-"</formula>
    </cfRule>
  </conditionalFormatting>
  <conditionalFormatting sqref="AM90">
    <cfRule type="expression" dxfId="2517" priority="3030">
      <formula>$AM$11="-"</formula>
    </cfRule>
  </conditionalFormatting>
  <conditionalFormatting sqref="AH90">
    <cfRule type="expression" dxfId="2516" priority="3029">
      <formula>$AH$11="-"</formula>
    </cfRule>
  </conditionalFormatting>
  <conditionalFormatting sqref="AL90">
    <cfRule type="expression" dxfId="2515" priority="3028">
      <formula>$AL$11="-"</formula>
    </cfRule>
  </conditionalFormatting>
  <conditionalFormatting sqref="E91:H91">
    <cfRule type="expression" dxfId="2514" priority="3024">
      <formula>AND(ISTEXT(I91),ISBLANK(E91))</formula>
    </cfRule>
  </conditionalFormatting>
  <conditionalFormatting sqref="A91:K91">
    <cfRule type="expression" dxfId="2513" priority="3023">
      <formula>AND($I91&lt;&gt;"",$L91="")</formula>
    </cfRule>
  </conditionalFormatting>
  <conditionalFormatting sqref="Q91">
    <cfRule type="expression" dxfId="2512" priority="3018">
      <formula>$Q$11="-"</formula>
    </cfRule>
  </conditionalFormatting>
  <conditionalFormatting sqref="R91">
    <cfRule type="expression" dxfId="2511" priority="3017">
      <formula>$R$11="-"</formula>
    </cfRule>
  </conditionalFormatting>
  <conditionalFormatting sqref="S91">
    <cfRule type="expression" dxfId="2510" priority="3016">
      <formula>$S$11="-"</formula>
    </cfRule>
  </conditionalFormatting>
  <conditionalFormatting sqref="T91">
    <cfRule type="expression" dxfId="2509" priority="3015">
      <formula>$T$11="-"</formula>
    </cfRule>
  </conditionalFormatting>
  <conditionalFormatting sqref="AE91">
    <cfRule type="expression" dxfId="2508" priority="3014">
      <formula>$AE$11="-"</formula>
    </cfRule>
  </conditionalFormatting>
  <conditionalFormatting sqref="AF91">
    <cfRule type="expression" dxfId="2507" priority="3013">
      <formula>$AF$11="-"</formula>
    </cfRule>
  </conditionalFormatting>
  <conditionalFormatting sqref="AG91">
    <cfRule type="expression" dxfId="2506" priority="3012">
      <formula>$AG$11="-"</formula>
    </cfRule>
  </conditionalFormatting>
  <conditionalFormatting sqref="X91">
    <cfRule type="expression" dxfId="2505" priority="3011">
      <formula>$X$11="-"</formula>
    </cfRule>
  </conditionalFormatting>
  <conditionalFormatting sqref="Y91">
    <cfRule type="expression" dxfId="2504" priority="3010">
      <formula>$Y$11="-"</formula>
    </cfRule>
  </conditionalFormatting>
  <conditionalFormatting sqref="Z91">
    <cfRule type="expression" dxfId="2503" priority="3009">
      <formula>$Z$11="-"</formula>
    </cfRule>
  </conditionalFormatting>
  <conditionalFormatting sqref="AA91">
    <cfRule type="expression" dxfId="2502" priority="3008">
      <formula>$AA$11="-"</formula>
    </cfRule>
  </conditionalFormatting>
  <conditionalFormatting sqref="AN91">
    <cfRule type="expression" dxfId="2501" priority="3007">
      <formula>$AN$11="-"</formula>
    </cfRule>
  </conditionalFormatting>
  <conditionalFormatting sqref="AO91">
    <cfRule type="expression" dxfId="2500" priority="3006">
      <formula>$AO$11="-"</formula>
    </cfRule>
  </conditionalFormatting>
  <conditionalFormatting sqref="AM91">
    <cfRule type="expression" dxfId="2499" priority="3005">
      <formula>$AM$11="-"</formula>
    </cfRule>
  </conditionalFormatting>
  <conditionalFormatting sqref="AH91">
    <cfRule type="expression" dxfId="2498" priority="3004">
      <formula>$AH$11="-"</formula>
    </cfRule>
  </conditionalFormatting>
  <conditionalFormatting sqref="AL91">
    <cfRule type="expression" dxfId="2497" priority="3003">
      <formula>$AL$11="-"</formula>
    </cfRule>
  </conditionalFormatting>
  <conditionalFormatting sqref="E92:H93">
    <cfRule type="expression" dxfId="2496" priority="2997">
      <formula>AND(ISTEXT(I92),ISBLANK(E92))</formula>
    </cfRule>
  </conditionalFormatting>
  <conditionalFormatting sqref="A92:K93">
    <cfRule type="expression" dxfId="2495" priority="2996">
      <formula>AND($I92&lt;&gt;"",$L92="")</formula>
    </cfRule>
  </conditionalFormatting>
  <conditionalFormatting sqref="Q92:Q93">
    <cfRule type="expression" dxfId="2494" priority="2991">
      <formula>$Q$11="-"</formula>
    </cfRule>
  </conditionalFormatting>
  <conditionalFormatting sqref="R92:R93">
    <cfRule type="expression" dxfId="2493" priority="2990">
      <formula>$R$11="-"</formula>
    </cfRule>
  </conditionalFormatting>
  <conditionalFormatting sqref="S92:S93">
    <cfRule type="expression" dxfId="2492" priority="2989">
      <formula>$S$11="-"</formula>
    </cfRule>
  </conditionalFormatting>
  <conditionalFormatting sqref="T92:T93">
    <cfRule type="expression" dxfId="2491" priority="2988">
      <formula>$T$11="-"</formula>
    </cfRule>
  </conditionalFormatting>
  <conditionalFormatting sqref="AE92:AE93">
    <cfRule type="expression" dxfId="2490" priority="2987">
      <formula>$AE$11="-"</formula>
    </cfRule>
  </conditionalFormatting>
  <conditionalFormatting sqref="AF92:AF93">
    <cfRule type="expression" dxfId="2489" priority="2986">
      <formula>$AF$11="-"</formula>
    </cfRule>
  </conditionalFormatting>
  <conditionalFormatting sqref="AG92:AG93">
    <cfRule type="expression" dxfId="2488" priority="2985">
      <formula>$AG$11="-"</formula>
    </cfRule>
  </conditionalFormatting>
  <conditionalFormatting sqref="X92:X93">
    <cfRule type="expression" dxfId="2487" priority="2984">
      <formula>$X$11="-"</formula>
    </cfRule>
  </conditionalFormatting>
  <conditionalFormatting sqref="Y92:Y93">
    <cfRule type="expression" dxfId="2486" priority="2983">
      <formula>$Y$11="-"</formula>
    </cfRule>
  </conditionalFormatting>
  <conditionalFormatting sqref="Z92:Z93">
    <cfRule type="expression" dxfId="2485" priority="2982">
      <formula>$Z$11="-"</formula>
    </cfRule>
  </conditionalFormatting>
  <conditionalFormatting sqref="AA92:AA93">
    <cfRule type="expression" dxfId="2484" priority="2981">
      <formula>$AA$11="-"</formula>
    </cfRule>
  </conditionalFormatting>
  <conditionalFormatting sqref="AN92:AN93">
    <cfRule type="expression" dxfId="2483" priority="2980">
      <formula>$AN$11="-"</formula>
    </cfRule>
  </conditionalFormatting>
  <conditionalFormatting sqref="AO92:AO93">
    <cfRule type="expression" dxfId="2482" priority="2979">
      <formula>$AO$11="-"</formula>
    </cfRule>
  </conditionalFormatting>
  <conditionalFormatting sqref="AM92:AM93">
    <cfRule type="expression" dxfId="2481" priority="2978">
      <formula>$AM$11="-"</formula>
    </cfRule>
  </conditionalFormatting>
  <conditionalFormatting sqref="AH92:AH93">
    <cfRule type="expression" dxfId="2480" priority="2977">
      <formula>$AH$11="-"</formula>
    </cfRule>
  </conditionalFormatting>
  <conditionalFormatting sqref="AL92:AL93">
    <cfRule type="expression" dxfId="2479" priority="2976">
      <formula>$AL$11="-"</formula>
    </cfRule>
  </conditionalFormatting>
  <conditionalFormatting sqref="E94:H94">
    <cfRule type="expression" dxfId="2478" priority="2972">
      <formula>AND(ISTEXT(I94),ISBLANK(E94))</formula>
    </cfRule>
  </conditionalFormatting>
  <conditionalFormatting sqref="A94:K94">
    <cfRule type="expression" dxfId="2477" priority="2971">
      <formula>AND($I94&lt;&gt;"",$L94="")</formula>
    </cfRule>
  </conditionalFormatting>
  <conditionalFormatting sqref="Q94">
    <cfRule type="expression" dxfId="2476" priority="2966">
      <formula>$Q$11="-"</formula>
    </cfRule>
  </conditionalFormatting>
  <conditionalFormatting sqref="R94">
    <cfRule type="expression" dxfId="2475" priority="2965">
      <formula>$R$11="-"</formula>
    </cfRule>
  </conditionalFormatting>
  <conditionalFormatting sqref="S94">
    <cfRule type="expression" dxfId="2474" priority="2964">
      <formula>$S$11="-"</formula>
    </cfRule>
  </conditionalFormatting>
  <conditionalFormatting sqref="T94">
    <cfRule type="expression" dxfId="2473" priority="2963">
      <formula>$T$11="-"</formula>
    </cfRule>
  </conditionalFormatting>
  <conditionalFormatting sqref="AE94">
    <cfRule type="expression" dxfId="2472" priority="2962">
      <formula>$AE$11="-"</formula>
    </cfRule>
  </conditionalFormatting>
  <conditionalFormatting sqref="AF94">
    <cfRule type="expression" dxfId="2471" priority="2961">
      <formula>$AF$11="-"</formula>
    </cfRule>
  </conditionalFormatting>
  <conditionalFormatting sqref="AG94">
    <cfRule type="expression" dxfId="2470" priority="2960">
      <formula>$AG$11="-"</formula>
    </cfRule>
  </conditionalFormatting>
  <conditionalFormatting sqref="X94">
    <cfRule type="expression" dxfId="2469" priority="2959">
      <formula>$X$11="-"</formula>
    </cfRule>
  </conditionalFormatting>
  <conditionalFormatting sqref="Y94">
    <cfRule type="expression" dxfId="2468" priority="2958">
      <formula>$Y$11="-"</formula>
    </cfRule>
  </conditionalFormatting>
  <conditionalFormatting sqref="Z94">
    <cfRule type="expression" dxfId="2467" priority="2957">
      <formula>$Z$11="-"</formula>
    </cfRule>
  </conditionalFormatting>
  <conditionalFormatting sqref="AA94">
    <cfRule type="expression" dxfId="2466" priority="2956">
      <formula>$AA$11="-"</formula>
    </cfRule>
  </conditionalFormatting>
  <conditionalFormatting sqref="AN94">
    <cfRule type="expression" dxfId="2465" priority="2955">
      <formula>$AN$11="-"</formula>
    </cfRule>
  </conditionalFormatting>
  <conditionalFormatting sqref="AO94">
    <cfRule type="expression" dxfId="2464" priority="2954">
      <formula>$AO$11="-"</formula>
    </cfRule>
  </conditionalFormatting>
  <conditionalFormatting sqref="AM94">
    <cfRule type="expression" dxfId="2463" priority="2953">
      <formula>$AM$11="-"</formula>
    </cfRule>
  </conditionalFormatting>
  <conditionalFormatting sqref="AH94">
    <cfRule type="expression" dxfId="2462" priority="2952">
      <formula>$AH$11="-"</formula>
    </cfRule>
  </conditionalFormatting>
  <conditionalFormatting sqref="AL94">
    <cfRule type="expression" dxfId="2461" priority="2951">
      <formula>$AL$11="-"</formula>
    </cfRule>
  </conditionalFormatting>
  <conditionalFormatting sqref="E95:H95">
    <cfRule type="expression" dxfId="2460" priority="2947">
      <formula>AND(ISTEXT(I95),ISBLANK(E95))</formula>
    </cfRule>
  </conditionalFormatting>
  <conditionalFormatting sqref="A95:K95">
    <cfRule type="expression" dxfId="2459" priority="2946">
      <formula>AND($I95&lt;&gt;"",$L95="")</formula>
    </cfRule>
  </conditionalFormatting>
  <conditionalFormatting sqref="Q95">
    <cfRule type="expression" dxfId="2458" priority="2941">
      <formula>$Q$11="-"</formula>
    </cfRule>
  </conditionalFormatting>
  <conditionalFormatting sqref="R95">
    <cfRule type="expression" dxfId="2457" priority="2940">
      <formula>$R$11="-"</formula>
    </cfRule>
  </conditionalFormatting>
  <conditionalFormatting sqref="S95">
    <cfRule type="expression" dxfId="2456" priority="2939">
      <formula>$S$11="-"</formula>
    </cfRule>
  </conditionalFormatting>
  <conditionalFormatting sqref="T95">
    <cfRule type="expression" dxfId="2455" priority="2938">
      <formula>$T$11="-"</formula>
    </cfRule>
  </conditionalFormatting>
  <conditionalFormatting sqref="AE95">
    <cfRule type="expression" dxfId="2454" priority="2937">
      <formula>$AE$11="-"</formula>
    </cfRule>
  </conditionalFormatting>
  <conditionalFormatting sqref="AF95">
    <cfRule type="expression" dxfId="2453" priority="2936">
      <formula>$AF$11="-"</formula>
    </cfRule>
  </conditionalFormatting>
  <conditionalFormatting sqref="AG95">
    <cfRule type="expression" dxfId="2452" priority="2935">
      <formula>$AG$11="-"</formula>
    </cfRule>
  </conditionalFormatting>
  <conditionalFormatting sqref="X95">
    <cfRule type="expression" dxfId="2451" priority="2934">
      <formula>$X$11="-"</formula>
    </cfRule>
  </conditionalFormatting>
  <conditionalFormatting sqref="Y95">
    <cfRule type="expression" dxfId="2450" priority="2933">
      <formula>$Y$11="-"</formula>
    </cfRule>
  </conditionalFormatting>
  <conditionalFormatting sqref="Z95">
    <cfRule type="expression" dxfId="2449" priority="2932">
      <formula>$Z$11="-"</formula>
    </cfRule>
  </conditionalFormatting>
  <conditionalFormatting sqref="AA95">
    <cfRule type="expression" dxfId="2448" priority="2931">
      <formula>$AA$11="-"</formula>
    </cfRule>
  </conditionalFormatting>
  <conditionalFormatting sqref="AN95">
    <cfRule type="expression" dxfId="2447" priority="2930">
      <formula>$AN$11="-"</formula>
    </cfRule>
  </conditionalFormatting>
  <conditionalFormatting sqref="AO95">
    <cfRule type="expression" dxfId="2446" priority="2929">
      <formula>$AO$11="-"</formula>
    </cfRule>
  </conditionalFormatting>
  <conditionalFormatting sqref="AM95">
    <cfRule type="expression" dxfId="2445" priority="2928">
      <formula>$AM$11="-"</formula>
    </cfRule>
  </conditionalFormatting>
  <conditionalFormatting sqref="AH95">
    <cfRule type="expression" dxfId="2444" priority="2927">
      <formula>$AH$11="-"</formula>
    </cfRule>
  </conditionalFormatting>
  <conditionalFormatting sqref="AL95">
    <cfRule type="expression" dxfId="2443" priority="2926">
      <formula>$AL$11="-"</formula>
    </cfRule>
  </conditionalFormatting>
  <conditionalFormatting sqref="E96:H97">
    <cfRule type="expression" dxfId="2442" priority="2920">
      <formula>AND(ISTEXT(I96),ISBLANK(E96))</formula>
    </cfRule>
  </conditionalFormatting>
  <conditionalFormatting sqref="A96:K97">
    <cfRule type="expression" dxfId="2441" priority="2919">
      <formula>AND($I96&lt;&gt;"",$L96="")</formula>
    </cfRule>
  </conditionalFormatting>
  <conditionalFormatting sqref="Q96:Q97">
    <cfRule type="expression" dxfId="2440" priority="2914">
      <formula>$Q$11="-"</formula>
    </cfRule>
  </conditionalFormatting>
  <conditionalFormatting sqref="R96:R97">
    <cfRule type="expression" dxfId="2439" priority="2913">
      <formula>$R$11="-"</formula>
    </cfRule>
  </conditionalFormatting>
  <conditionalFormatting sqref="S96:S97">
    <cfRule type="expression" dxfId="2438" priority="2912">
      <formula>$S$11="-"</formula>
    </cfRule>
  </conditionalFormatting>
  <conditionalFormatting sqref="T96:T97">
    <cfRule type="expression" dxfId="2437" priority="2911">
      <formula>$T$11="-"</formula>
    </cfRule>
  </conditionalFormatting>
  <conditionalFormatting sqref="AE96:AE97">
    <cfRule type="expression" dxfId="2436" priority="2910">
      <formula>$AE$11="-"</formula>
    </cfRule>
  </conditionalFormatting>
  <conditionalFormatting sqref="AF96:AF97">
    <cfRule type="expression" dxfId="2435" priority="2909">
      <formula>$AF$11="-"</formula>
    </cfRule>
  </conditionalFormatting>
  <conditionalFormatting sqref="AG96:AG97">
    <cfRule type="expression" dxfId="2434" priority="2908">
      <formula>$AG$11="-"</formula>
    </cfRule>
  </conditionalFormatting>
  <conditionalFormatting sqref="X96:X97">
    <cfRule type="expression" dxfId="2433" priority="2907">
      <formula>$X$11="-"</formula>
    </cfRule>
  </conditionalFormatting>
  <conditionalFormatting sqref="Y96:Y97">
    <cfRule type="expression" dxfId="2432" priority="2906">
      <formula>$Y$11="-"</formula>
    </cfRule>
  </conditionalFormatting>
  <conditionalFormatting sqref="Z96:Z97">
    <cfRule type="expression" dxfId="2431" priority="2905">
      <formula>$Z$11="-"</formula>
    </cfRule>
  </conditionalFormatting>
  <conditionalFormatting sqref="AA96:AA97">
    <cfRule type="expression" dxfId="2430" priority="2904">
      <formula>$AA$11="-"</formula>
    </cfRule>
  </conditionalFormatting>
  <conditionalFormatting sqref="AN96:AN97">
    <cfRule type="expression" dxfId="2429" priority="2903">
      <formula>$AN$11="-"</formula>
    </cfRule>
  </conditionalFormatting>
  <conditionalFormatting sqref="AO96:AO97">
    <cfRule type="expression" dxfId="2428" priority="2902">
      <formula>$AO$11="-"</formula>
    </cfRule>
  </conditionalFormatting>
  <conditionalFormatting sqref="AM96:AM97">
    <cfRule type="expression" dxfId="2427" priority="2901">
      <formula>$AM$11="-"</formula>
    </cfRule>
  </conditionalFormatting>
  <conditionalFormatting sqref="AH96:AH97">
    <cfRule type="expression" dxfId="2426" priority="2900">
      <formula>$AH$11="-"</formula>
    </cfRule>
  </conditionalFormatting>
  <conditionalFormatting sqref="AL96:AL97">
    <cfRule type="expression" dxfId="2425" priority="2899">
      <formula>$AL$11="-"</formula>
    </cfRule>
  </conditionalFormatting>
  <conditionalFormatting sqref="E98:H98">
    <cfRule type="expression" dxfId="2424" priority="2895">
      <formula>AND(ISTEXT(I98),ISBLANK(E98))</formula>
    </cfRule>
  </conditionalFormatting>
  <conditionalFormatting sqref="A98:K98">
    <cfRule type="expression" dxfId="2423" priority="2894">
      <formula>AND($I98&lt;&gt;"",$L98="")</formula>
    </cfRule>
  </conditionalFormatting>
  <conditionalFormatting sqref="Q98">
    <cfRule type="expression" dxfId="2422" priority="2889">
      <formula>$Q$11="-"</formula>
    </cfRule>
  </conditionalFormatting>
  <conditionalFormatting sqref="R98">
    <cfRule type="expression" dxfId="2421" priority="2888">
      <formula>$R$11="-"</formula>
    </cfRule>
  </conditionalFormatting>
  <conditionalFormatting sqref="S98">
    <cfRule type="expression" dxfId="2420" priority="2887">
      <formula>$S$11="-"</formula>
    </cfRule>
  </conditionalFormatting>
  <conditionalFormatting sqref="T98">
    <cfRule type="expression" dxfId="2419" priority="2886">
      <formula>$T$11="-"</formula>
    </cfRule>
  </conditionalFormatting>
  <conditionalFormatting sqref="AE98">
    <cfRule type="expression" dxfId="2418" priority="2885">
      <formula>$AE$11="-"</formula>
    </cfRule>
  </conditionalFormatting>
  <conditionalFormatting sqref="AF98">
    <cfRule type="expression" dxfId="2417" priority="2884">
      <formula>$AF$11="-"</formula>
    </cfRule>
  </conditionalFormatting>
  <conditionalFormatting sqref="AG98">
    <cfRule type="expression" dxfId="2416" priority="2883">
      <formula>$AG$11="-"</formula>
    </cfRule>
  </conditionalFormatting>
  <conditionalFormatting sqref="X98">
    <cfRule type="expression" dxfId="2415" priority="2882">
      <formula>$X$11="-"</formula>
    </cfRule>
  </conditionalFormatting>
  <conditionalFormatting sqref="Y98">
    <cfRule type="expression" dxfId="2414" priority="2881">
      <formula>$Y$11="-"</formula>
    </cfRule>
  </conditionalFormatting>
  <conditionalFormatting sqref="Z98">
    <cfRule type="expression" dxfId="2413" priority="2880">
      <formula>$Z$11="-"</formula>
    </cfRule>
  </conditionalFormatting>
  <conditionalFormatting sqref="AA98">
    <cfRule type="expression" dxfId="2412" priority="2879">
      <formula>$AA$11="-"</formula>
    </cfRule>
  </conditionalFormatting>
  <conditionalFormatting sqref="AN98">
    <cfRule type="expression" dxfId="2411" priority="2878">
      <formula>$AN$11="-"</formula>
    </cfRule>
  </conditionalFormatting>
  <conditionalFormatting sqref="AO98">
    <cfRule type="expression" dxfId="2410" priority="2877">
      <formula>$AO$11="-"</formula>
    </cfRule>
  </conditionalFormatting>
  <conditionalFormatting sqref="AM98">
    <cfRule type="expression" dxfId="2409" priority="2876">
      <formula>$AM$11="-"</formula>
    </cfRule>
  </conditionalFormatting>
  <conditionalFormatting sqref="AH98">
    <cfRule type="expression" dxfId="2408" priority="2875">
      <formula>$AH$11="-"</formula>
    </cfRule>
  </conditionalFormatting>
  <conditionalFormatting sqref="AL98">
    <cfRule type="expression" dxfId="2407" priority="2874">
      <formula>$AL$11="-"</formula>
    </cfRule>
  </conditionalFormatting>
  <conditionalFormatting sqref="E99:H99">
    <cfRule type="expression" dxfId="2406" priority="2870">
      <formula>AND(ISTEXT(I99),ISBLANK(E99))</formula>
    </cfRule>
  </conditionalFormatting>
  <conditionalFormatting sqref="A99:K99">
    <cfRule type="expression" dxfId="2405" priority="2869">
      <formula>AND($I99&lt;&gt;"",$L99="")</formula>
    </cfRule>
  </conditionalFormatting>
  <conditionalFormatting sqref="Q99">
    <cfRule type="expression" dxfId="2404" priority="2864">
      <formula>$Q$11="-"</formula>
    </cfRule>
  </conditionalFormatting>
  <conditionalFormatting sqref="R99">
    <cfRule type="expression" dxfId="2403" priority="2863">
      <formula>$R$11="-"</formula>
    </cfRule>
  </conditionalFormatting>
  <conditionalFormatting sqref="S99">
    <cfRule type="expression" dxfId="2402" priority="2862">
      <formula>$S$11="-"</formula>
    </cfRule>
  </conditionalFormatting>
  <conditionalFormatting sqref="T99">
    <cfRule type="expression" dxfId="2401" priority="2861">
      <formula>$T$11="-"</formula>
    </cfRule>
  </conditionalFormatting>
  <conditionalFormatting sqref="AE99">
    <cfRule type="expression" dxfId="2400" priority="2860">
      <formula>$AE$11="-"</formula>
    </cfRule>
  </conditionalFormatting>
  <conditionalFormatting sqref="AF99">
    <cfRule type="expression" dxfId="2399" priority="2859">
      <formula>$AF$11="-"</formula>
    </cfRule>
  </conditionalFormatting>
  <conditionalFormatting sqref="AG99">
    <cfRule type="expression" dxfId="2398" priority="2858">
      <formula>$AG$11="-"</formula>
    </cfRule>
  </conditionalFormatting>
  <conditionalFormatting sqref="X99">
    <cfRule type="expression" dxfId="2397" priority="2857">
      <formula>$X$11="-"</formula>
    </cfRule>
  </conditionalFormatting>
  <conditionalFormatting sqref="Y99">
    <cfRule type="expression" dxfId="2396" priority="2856">
      <formula>$Y$11="-"</formula>
    </cfRule>
  </conditionalFormatting>
  <conditionalFormatting sqref="Z99">
    <cfRule type="expression" dxfId="2395" priority="2855">
      <formula>$Z$11="-"</formula>
    </cfRule>
  </conditionalFormatting>
  <conditionalFormatting sqref="AA99">
    <cfRule type="expression" dxfId="2394" priority="2854">
      <formula>$AA$11="-"</formula>
    </cfRule>
  </conditionalFormatting>
  <conditionalFormatting sqref="AN99">
    <cfRule type="expression" dxfId="2393" priority="2853">
      <formula>$AN$11="-"</formula>
    </cfRule>
  </conditionalFormatting>
  <conditionalFormatting sqref="AO99">
    <cfRule type="expression" dxfId="2392" priority="2852">
      <formula>$AO$11="-"</formula>
    </cfRule>
  </conditionalFormatting>
  <conditionalFormatting sqref="AM99">
    <cfRule type="expression" dxfId="2391" priority="2851">
      <formula>$AM$11="-"</formula>
    </cfRule>
  </conditionalFormatting>
  <conditionalFormatting sqref="AH99">
    <cfRule type="expression" dxfId="2390" priority="2850">
      <formula>$AH$11="-"</formula>
    </cfRule>
  </conditionalFormatting>
  <conditionalFormatting sqref="AL99">
    <cfRule type="expression" dxfId="2389" priority="2849">
      <formula>$AL$11="-"</formula>
    </cfRule>
  </conditionalFormatting>
  <conditionalFormatting sqref="E100:H101">
    <cfRule type="expression" dxfId="2388" priority="2843">
      <formula>AND(ISTEXT(I100),ISBLANK(E100))</formula>
    </cfRule>
  </conditionalFormatting>
  <conditionalFormatting sqref="A100:K101">
    <cfRule type="expression" dxfId="2387" priority="2842">
      <formula>AND($I100&lt;&gt;"",$L100="")</formula>
    </cfRule>
  </conditionalFormatting>
  <conditionalFormatting sqref="Q100:Q101">
    <cfRule type="expression" dxfId="2386" priority="2837">
      <formula>$Q$11="-"</formula>
    </cfRule>
  </conditionalFormatting>
  <conditionalFormatting sqref="R100:R101">
    <cfRule type="expression" dxfId="2385" priority="2836">
      <formula>$R$11="-"</formula>
    </cfRule>
  </conditionalFormatting>
  <conditionalFormatting sqref="S100:S101">
    <cfRule type="expression" dxfId="2384" priority="2835">
      <formula>$S$11="-"</formula>
    </cfRule>
  </conditionalFormatting>
  <conditionalFormatting sqref="T100:T101">
    <cfRule type="expression" dxfId="2383" priority="2834">
      <formula>$T$11="-"</formula>
    </cfRule>
  </conditionalFormatting>
  <conditionalFormatting sqref="AE100:AE101">
    <cfRule type="expression" dxfId="2382" priority="2833">
      <formula>$AE$11="-"</formula>
    </cfRule>
  </conditionalFormatting>
  <conditionalFormatting sqref="AF100:AF101">
    <cfRule type="expression" dxfId="2381" priority="2832">
      <formula>$AF$11="-"</formula>
    </cfRule>
  </conditionalFormatting>
  <conditionalFormatting sqref="AG100:AG101">
    <cfRule type="expression" dxfId="2380" priority="2831">
      <formula>$AG$11="-"</formula>
    </cfRule>
  </conditionalFormatting>
  <conditionalFormatting sqref="X100:X101">
    <cfRule type="expression" dxfId="2379" priority="2830">
      <formula>$X$11="-"</formula>
    </cfRule>
  </conditionalFormatting>
  <conditionalFormatting sqref="Y100:Y101">
    <cfRule type="expression" dxfId="2378" priority="2829">
      <formula>$Y$11="-"</formula>
    </cfRule>
  </conditionalFormatting>
  <conditionalFormatting sqref="Z100:Z101">
    <cfRule type="expression" dxfId="2377" priority="2828">
      <formula>$Z$11="-"</formula>
    </cfRule>
  </conditionalFormatting>
  <conditionalFormatting sqref="AA100:AA101">
    <cfRule type="expression" dxfId="2376" priority="2827">
      <formula>$AA$11="-"</formula>
    </cfRule>
  </conditionalFormatting>
  <conditionalFormatting sqref="AN100:AN101">
    <cfRule type="expression" dxfId="2375" priority="2826">
      <formula>$AN$11="-"</formula>
    </cfRule>
  </conditionalFormatting>
  <conditionalFormatting sqref="AO100:AO101">
    <cfRule type="expression" dxfId="2374" priority="2825">
      <formula>$AO$11="-"</formula>
    </cfRule>
  </conditionalFormatting>
  <conditionalFormatting sqref="AM100:AM101">
    <cfRule type="expression" dxfId="2373" priority="2824">
      <formula>$AM$11="-"</formula>
    </cfRule>
  </conditionalFormatting>
  <conditionalFormatting sqref="AH100:AH101">
    <cfRule type="expression" dxfId="2372" priority="2823">
      <formula>$AH$11="-"</formula>
    </cfRule>
  </conditionalFormatting>
  <conditionalFormatting sqref="AL100:AL101">
    <cfRule type="expression" dxfId="2371" priority="2822">
      <formula>$AL$11="-"</formula>
    </cfRule>
  </conditionalFormatting>
  <conditionalFormatting sqref="E102:H102">
    <cfRule type="expression" dxfId="2370" priority="2818">
      <formula>AND(ISTEXT(I102),ISBLANK(E102))</formula>
    </cfRule>
  </conditionalFormatting>
  <conditionalFormatting sqref="A102:K102">
    <cfRule type="expression" dxfId="2369" priority="2817">
      <formula>AND($I102&lt;&gt;"",$L102="")</formula>
    </cfRule>
  </conditionalFormatting>
  <conditionalFormatting sqref="Q102">
    <cfRule type="expression" dxfId="2368" priority="2812">
      <formula>$Q$11="-"</formula>
    </cfRule>
  </conditionalFormatting>
  <conditionalFormatting sqref="R102">
    <cfRule type="expression" dxfId="2367" priority="2811">
      <formula>$R$11="-"</formula>
    </cfRule>
  </conditionalFormatting>
  <conditionalFormatting sqref="S102">
    <cfRule type="expression" dxfId="2366" priority="2810">
      <formula>$S$11="-"</formula>
    </cfRule>
  </conditionalFormatting>
  <conditionalFormatting sqref="T102">
    <cfRule type="expression" dxfId="2365" priority="2809">
      <formula>$T$11="-"</formula>
    </cfRule>
  </conditionalFormatting>
  <conditionalFormatting sqref="AE102">
    <cfRule type="expression" dxfId="2364" priority="2808">
      <formula>$AE$11="-"</formula>
    </cfRule>
  </conditionalFormatting>
  <conditionalFormatting sqref="AF102">
    <cfRule type="expression" dxfId="2363" priority="2807">
      <formula>$AF$11="-"</formula>
    </cfRule>
  </conditionalFormatting>
  <conditionalFormatting sqref="AG102">
    <cfRule type="expression" dxfId="2362" priority="2806">
      <formula>$AG$11="-"</formula>
    </cfRule>
  </conditionalFormatting>
  <conditionalFormatting sqref="X102">
    <cfRule type="expression" dxfId="2361" priority="2805">
      <formula>$X$11="-"</formula>
    </cfRule>
  </conditionalFormatting>
  <conditionalFormatting sqref="Y102">
    <cfRule type="expression" dxfId="2360" priority="2804">
      <formula>$Y$11="-"</formula>
    </cfRule>
  </conditionalFormatting>
  <conditionalFormatting sqref="Z102">
    <cfRule type="expression" dxfId="2359" priority="2803">
      <formula>$Z$11="-"</formula>
    </cfRule>
  </conditionalFormatting>
  <conditionalFormatting sqref="AA102">
    <cfRule type="expression" dxfId="2358" priority="2802">
      <formula>$AA$11="-"</formula>
    </cfRule>
  </conditionalFormatting>
  <conditionalFormatting sqref="AN102">
    <cfRule type="expression" dxfId="2357" priority="2801">
      <formula>$AN$11="-"</formula>
    </cfRule>
  </conditionalFormatting>
  <conditionalFormatting sqref="AO102">
    <cfRule type="expression" dxfId="2356" priority="2800">
      <formula>$AO$11="-"</formula>
    </cfRule>
  </conditionalFormatting>
  <conditionalFormatting sqref="AM102">
    <cfRule type="expression" dxfId="2355" priority="2799">
      <formula>$AM$11="-"</formula>
    </cfRule>
  </conditionalFormatting>
  <conditionalFormatting sqref="AH102">
    <cfRule type="expression" dxfId="2354" priority="2798">
      <formula>$AH$11="-"</formula>
    </cfRule>
  </conditionalFormatting>
  <conditionalFormatting sqref="AL102">
    <cfRule type="expression" dxfId="2353" priority="2797">
      <formula>$AL$11="-"</formula>
    </cfRule>
  </conditionalFormatting>
  <conditionalFormatting sqref="E103:H103">
    <cfRule type="expression" dxfId="2352" priority="2793">
      <formula>AND(ISTEXT(I103),ISBLANK(E103))</formula>
    </cfRule>
  </conditionalFormatting>
  <conditionalFormatting sqref="A103:K103">
    <cfRule type="expression" dxfId="2351" priority="2792">
      <formula>AND($I103&lt;&gt;"",$L103="")</formula>
    </cfRule>
  </conditionalFormatting>
  <conditionalFormatting sqref="Q103">
    <cfRule type="expression" dxfId="2350" priority="2787">
      <formula>$Q$11="-"</formula>
    </cfRule>
  </conditionalFormatting>
  <conditionalFormatting sqref="R103">
    <cfRule type="expression" dxfId="2349" priority="2786">
      <formula>$R$11="-"</formula>
    </cfRule>
  </conditionalFormatting>
  <conditionalFormatting sqref="S103">
    <cfRule type="expression" dxfId="2348" priority="2785">
      <formula>$S$11="-"</formula>
    </cfRule>
  </conditionalFormatting>
  <conditionalFormatting sqref="T103">
    <cfRule type="expression" dxfId="2347" priority="2784">
      <formula>$T$11="-"</formula>
    </cfRule>
  </conditionalFormatting>
  <conditionalFormatting sqref="AE103">
    <cfRule type="expression" dxfId="2346" priority="2783">
      <formula>$AE$11="-"</formula>
    </cfRule>
  </conditionalFormatting>
  <conditionalFormatting sqref="AF103">
    <cfRule type="expression" dxfId="2345" priority="2782">
      <formula>$AF$11="-"</formula>
    </cfRule>
  </conditionalFormatting>
  <conditionalFormatting sqref="AG103">
    <cfRule type="expression" dxfId="2344" priority="2781">
      <formula>$AG$11="-"</formula>
    </cfRule>
  </conditionalFormatting>
  <conditionalFormatting sqref="X103">
    <cfRule type="expression" dxfId="2343" priority="2780">
      <formula>$X$11="-"</formula>
    </cfRule>
  </conditionalFormatting>
  <conditionalFormatting sqref="Y103">
    <cfRule type="expression" dxfId="2342" priority="2779">
      <formula>$Y$11="-"</formula>
    </cfRule>
  </conditionalFormatting>
  <conditionalFormatting sqref="Z103">
    <cfRule type="expression" dxfId="2341" priority="2778">
      <formula>$Z$11="-"</formula>
    </cfRule>
  </conditionalFormatting>
  <conditionalFormatting sqref="AA103">
    <cfRule type="expression" dxfId="2340" priority="2777">
      <formula>$AA$11="-"</formula>
    </cfRule>
  </conditionalFormatting>
  <conditionalFormatting sqref="AN103">
    <cfRule type="expression" dxfId="2339" priority="2776">
      <formula>$AN$11="-"</formula>
    </cfRule>
  </conditionalFormatting>
  <conditionalFormatting sqref="AO103">
    <cfRule type="expression" dxfId="2338" priority="2775">
      <formula>$AO$11="-"</formula>
    </cfRule>
  </conditionalFormatting>
  <conditionalFormatting sqref="AM103">
    <cfRule type="expression" dxfId="2337" priority="2774">
      <formula>$AM$11="-"</formula>
    </cfRule>
  </conditionalFormatting>
  <conditionalFormatting sqref="AH103">
    <cfRule type="expression" dxfId="2336" priority="2773">
      <formula>$AH$11="-"</formula>
    </cfRule>
  </conditionalFormatting>
  <conditionalFormatting sqref="AL103">
    <cfRule type="expression" dxfId="2335" priority="2772">
      <formula>$AL$11="-"</formula>
    </cfRule>
  </conditionalFormatting>
  <conditionalFormatting sqref="E104:H105">
    <cfRule type="expression" dxfId="2334" priority="2766">
      <formula>AND(ISTEXT(I104),ISBLANK(E104))</formula>
    </cfRule>
  </conditionalFormatting>
  <conditionalFormatting sqref="A104:K105">
    <cfRule type="expression" dxfId="2333" priority="2765">
      <formula>AND($I104&lt;&gt;"",$L104="")</formula>
    </cfRule>
  </conditionalFormatting>
  <conditionalFormatting sqref="Q104:Q105">
    <cfRule type="expression" dxfId="2332" priority="2760">
      <formula>$Q$11="-"</formula>
    </cfRule>
  </conditionalFormatting>
  <conditionalFormatting sqref="R104:R105">
    <cfRule type="expression" dxfId="2331" priority="2759">
      <formula>$R$11="-"</formula>
    </cfRule>
  </conditionalFormatting>
  <conditionalFormatting sqref="S104:S105">
    <cfRule type="expression" dxfId="2330" priority="2758">
      <formula>$S$11="-"</formula>
    </cfRule>
  </conditionalFormatting>
  <conditionalFormatting sqref="T104:T105">
    <cfRule type="expression" dxfId="2329" priority="2757">
      <formula>$T$11="-"</formula>
    </cfRule>
  </conditionalFormatting>
  <conditionalFormatting sqref="AE104:AE105">
    <cfRule type="expression" dxfId="2328" priority="2756">
      <formula>$AE$11="-"</formula>
    </cfRule>
  </conditionalFormatting>
  <conditionalFormatting sqref="AF104:AF105">
    <cfRule type="expression" dxfId="2327" priority="2755">
      <formula>$AF$11="-"</formula>
    </cfRule>
  </conditionalFormatting>
  <conditionalFormatting sqref="AG104:AG105">
    <cfRule type="expression" dxfId="2326" priority="2754">
      <formula>$AG$11="-"</formula>
    </cfRule>
  </conditionalFormatting>
  <conditionalFormatting sqref="X104:X105">
    <cfRule type="expression" dxfId="2325" priority="2753">
      <formula>$X$11="-"</formula>
    </cfRule>
  </conditionalFormatting>
  <conditionalFormatting sqref="Y104:Y105">
    <cfRule type="expression" dxfId="2324" priority="2752">
      <formula>$Y$11="-"</formula>
    </cfRule>
  </conditionalFormatting>
  <conditionalFormatting sqref="Z104:Z105">
    <cfRule type="expression" dxfId="2323" priority="2751">
      <formula>$Z$11="-"</formula>
    </cfRule>
  </conditionalFormatting>
  <conditionalFormatting sqref="AA104:AA105">
    <cfRule type="expression" dxfId="2322" priority="2750">
      <formula>$AA$11="-"</formula>
    </cfRule>
  </conditionalFormatting>
  <conditionalFormatting sqref="AN104:AN105">
    <cfRule type="expression" dxfId="2321" priority="2749">
      <formula>$AN$11="-"</formula>
    </cfRule>
  </conditionalFormatting>
  <conditionalFormatting sqref="AO104:AO105">
    <cfRule type="expression" dxfId="2320" priority="2748">
      <formula>$AO$11="-"</formula>
    </cfRule>
  </conditionalFormatting>
  <conditionalFormatting sqref="AM104:AM105">
    <cfRule type="expression" dxfId="2319" priority="2747">
      <formula>$AM$11="-"</formula>
    </cfRule>
  </conditionalFormatting>
  <conditionalFormatting sqref="AH104:AH105">
    <cfRule type="expression" dxfId="2318" priority="2746">
      <formula>$AH$11="-"</formula>
    </cfRule>
  </conditionalFormatting>
  <conditionalFormatting sqref="AL104:AL105">
    <cfRule type="expression" dxfId="2317" priority="2745">
      <formula>$AL$11="-"</formula>
    </cfRule>
  </conditionalFormatting>
  <conditionalFormatting sqref="E106:H106">
    <cfRule type="expression" dxfId="2316" priority="2741">
      <formula>AND(ISTEXT(I106),ISBLANK(E106))</formula>
    </cfRule>
  </conditionalFormatting>
  <conditionalFormatting sqref="A106:K106">
    <cfRule type="expression" dxfId="2315" priority="2740">
      <formula>AND($I106&lt;&gt;"",$L106="")</formula>
    </cfRule>
  </conditionalFormatting>
  <conditionalFormatting sqref="Q106">
    <cfRule type="expression" dxfId="2314" priority="2735">
      <formula>$Q$11="-"</formula>
    </cfRule>
  </conditionalFormatting>
  <conditionalFormatting sqref="R106">
    <cfRule type="expression" dxfId="2313" priority="2734">
      <formula>$R$11="-"</formula>
    </cfRule>
  </conditionalFormatting>
  <conditionalFormatting sqref="S106">
    <cfRule type="expression" dxfId="2312" priority="2733">
      <formula>$S$11="-"</formula>
    </cfRule>
  </conditionalFormatting>
  <conditionalFormatting sqref="T106">
    <cfRule type="expression" dxfId="2311" priority="2732">
      <formula>$T$11="-"</formula>
    </cfRule>
  </conditionalFormatting>
  <conditionalFormatting sqref="AE106">
    <cfRule type="expression" dxfId="2310" priority="2731">
      <formula>$AE$11="-"</formula>
    </cfRule>
  </conditionalFormatting>
  <conditionalFormatting sqref="AF106">
    <cfRule type="expression" dxfId="2309" priority="2730">
      <formula>$AF$11="-"</formula>
    </cfRule>
  </conditionalFormatting>
  <conditionalFormatting sqref="AG106">
    <cfRule type="expression" dxfId="2308" priority="2729">
      <formula>$AG$11="-"</formula>
    </cfRule>
  </conditionalFormatting>
  <conditionalFormatting sqref="X106">
    <cfRule type="expression" dxfId="2307" priority="2728">
      <formula>$X$11="-"</formula>
    </cfRule>
  </conditionalFormatting>
  <conditionalFormatting sqref="Y106">
    <cfRule type="expression" dxfId="2306" priority="2727">
      <formula>$Y$11="-"</formula>
    </cfRule>
  </conditionalFormatting>
  <conditionalFormatting sqref="Z106">
    <cfRule type="expression" dxfId="2305" priority="2726">
      <formula>$Z$11="-"</formula>
    </cfRule>
  </conditionalFormatting>
  <conditionalFormatting sqref="AA106">
    <cfRule type="expression" dxfId="2304" priority="2725">
      <formula>$AA$11="-"</formula>
    </cfRule>
  </conditionalFormatting>
  <conditionalFormatting sqref="AN106">
    <cfRule type="expression" dxfId="2303" priority="2724">
      <formula>$AN$11="-"</formula>
    </cfRule>
  </conditionalFormatting>
  <conditionalFormatting sqref="AO106">
    <cfRule type="expression" dxfId="2302" priority="2723">
      <formula>$AO$11="-"</formula>
    </cfRule>
  </conditionalFormatting>
  <conditionalFormatting sqref="AM106">
    <cfRule type="expression" dxfId="2301" priority="2722">
      <formula>$AM$11="-"</formula>
    </cfRule>
  </conditionalFormatting>
  <conditionalFormatting sqref="AH106">
    <cfRule type="expression" dxfId="2300" priority="2721">
      <formula>$AH$11="-"</formula>
    </cfRule>
  </conditionalFormatting>
  <conditionalFormatting sqref="AL106">
    <cfRule type="expression" dxfId="2299" priority="2720">
      <formula>$AL$11="-"</formula>
    </cfRule>
  </conditionalFormatting>
  <conditionalFormatting sqref="E107:H107">
    <cfRule type="expression" dxfId="2298" priority="2716">
      <formula>AND(ISTEXT(I107),ISBLANK(E107))</formula>
    </cfRule>
  </conditionalFormatting>
  <conditionalFormatting sqref="A107:K107">
    <cfRule type="expression" dxfId="2297" priority="2715">
      <formula>AND($I107&lt;&gt;"",$L107="")</formula>
    </cfRule>
  </conditionalFormatting>
  <conditionalFormatting sqref="Q107">
    <cfRule type="expression" dxfId="2296" priority="2710">
      <formula>$Q$11="-"</formula>
    </cfRule>
  </conditionalFormatting>
  <conditionalFormatting sqref="R107">
    <cfRule type="expression" dxfId="2295" priority="2709">
      <formula>$R$11="-"</formula>
    </cfRule>
  </conditionalFormatting>
  <conditionalFormatting sqref="S107">
    <cfRule type="expression" dxfId="2294" priority="2708">
      <formula>$S$11="-"</formula>
    </cfRule>
  </conditionalFormatting>
  <conditionalFormatting sqref="T107">
    <cfRule type="expression" dxfId="2293" priority="2707">
      <formula>$T$11="-"</formula>
    </cfRule>
  </conditionalFormatting>
  <conditionalFormatting sqref="AE107">
    <cfRule type="expression" dxfId="2292" priority="2706">
      <formula>$AE$11="-"</formula>
    </cfRule>
  </conditionalFormatting>
  <conditionalFormatting sqref="AF107">
    <cfRule type="expression" dxfId="2291" priority="2705">
      <formula>$AF$11="-"</formula>
    </cfRule>
  </conditionalFormatting>
  <conditionalFormatting sqref="AG107">
    <cfRule type="expression" dxfId="2290" priority="2704">
      <formula>$AG$11="-"</formula>
    </cfRule>
  </conditionalFormatting>
  <conditionalFormatting sqref="X107">
    <cfRule type="expression" dxfId="2289" priority="2703">
      <formula>$X$11="-"</formula>
    </cfRule>
  </conditionalFormatting>
  <conditionalFormatting sqref="Y107">
    <cfRule type="expression" dxfId="2288" priority="2702">
      <formula>$Y$11="-"</formula>
    </cfRule>
  </conditionalFormatting>
  <conditionalFormatting sqref="Z107">
    <cfRule type="expression" dxfId="2287" priority="2701">
      <formula>$Z$11="-"</formula>
    </cfRule>
  </conditionalFormatting>
  <conditionalFormatting sqref="AA107">
    <cfRule type="expression" dxfId="2286" priority="2700">
      <formula>$AA$11="-"</formula>
    </cfRule>
  </conditionalFormatting>
  <conditionalFormatting sqref="AN107">
    <cfRule type="expression" dxfId="2285" priority="2699">
      <formula>$AN$11="-"</formula>
    </cfRule>
  </conditionalFormatting>
  <conditionalFormatting sqref="AO107">
    <cfRule type="expression" dxfId="2284" priority="2698">
      <formula>$AO$11="-"</formula>
    </cfRule>
  </conditionalFormatting>
  <conditionalFormatting sqref="AM107">
    <cfRule type="expression" dxfId="2283" priority="2697">
      <formula>$AM$11="-"</formula>
    </cfRule>
  </conditionalFormatting>
  <conditionalFormatting sqref="AH107">
    <cfRule type="expression" dxfId="2282" priority="2696">
      <formula>$AH$11="-"</formula>
    </cfRule>
  </conditionalFormatting>
  <conditionalFormatting sqref="AL107">
    <cfRule type="expression" dxfId="2281" priority="2695">
      <formula>$AL$11="-"</formula>
    </cfRule>
  </conditionalFormatting>
  <conditionalFormatting sqref="E108:H109">
    <cfRule type="expression" dxfId="2280" priority="2689">
      <formula>AND(ISTEXT(I108),ISBLANK(E108))</formula>
    </cfRule>
  </conditionalFormatting>
  <conditionalFormatting sqref="A108:K109">
    <cfRule type="expression" dxfId="2279" priority="2688">
      <formula>AND($I108&lt;&gt;"",$L108="")</formula>
    </cfRule>
  </conditionalFormatting>
  <conditionalFormatting sqref="Q108:Q109">
    <cfRule type="expression" dxfId="2278" priority="2683">
      <formula>$Q$11="-"</formula>
    </cfRule>
  </conditionalFormatting>
  <conditionalFormatting sqref="R108:R109">
    <cfRule type="expression" dxfId="2277" priority="2682">
      <formula>$R$11="-"</formula>
    </cfRule>
  </conditionalFormatting>
  <conditionalFormatting sqref="S108:S109">
    <cfRule type="expression" dxfId="2276" priority="2681">
      <formula>$S$11="-"</formula>
    </cfRule>
  </conditionalFormatting>
  <conditionalFormatting sqref="T108:T109">
    <cfRule type="expression" dxfId="2275" priority="2680">
      <formula>$T$11="-"</formula>
    </cfRule>
  </conditionalFormatting>
  <conditionalFormatting sqref="AE108:AE109">
    <cfRule type="expression" dxfId="2274" priority="2679">
      <formula>$AE$11="-"</formula>
    </cfRule>
  </conditionalFormatting>
  <conditionalFormatting sqref="AF108:AF109">
    <cfRule type="expression" dxfId="2273" priority="2678">
      <formula>$AF$11="-"</formula>
    </cfRule>
  </conditionalFormatting>
  <conditionalFormatting sqref="AG108:AG109">
    <cfRule type="expression" dxfId="2272" priority="2677">
      <formula>$AG$11="-"</formula>
    </cfRule>
  </conditionalFormatting>
  <conditionalFormatting sqref="X108:X109">
    <cfRule type="expression" dxfId="2271" priority="2676">
      <formula>$X$11="-"</formula>
    </cfRule>
  </conditionalFormatting>
  <conditionalFormatting sqref="Y108:Y109">
    <cfRule type="expression" dxfId="2270" priority="2675">
      <formula>$Y$11="-"</formula>
    </cfRule>
  </conditionalFormatting>
  <conditionalFormatting sqref="Z108:Z109">
    <cfRule type="expression" dxfId="2269" priority="2674">
      <formula>$Z$11="-"</formula>
    </cfRule>
  </conditionalFormatting>
  <conditionalFormatting sqref="AA108:AA109">
    <cfRule type="expression" dxfId="2268" priority="2673">
      <formula>$AA$11="-"</formula>
    </cfRule>
  </conditionalFormatting>
  <conditionalFormatting sqref="AN108:AN109">
    <cfRule type="expression" dxfId="2267" priority="2672">
      <formula>$AN$11="-"</formula>
    </cfRule>
  </conditionalFormatting>
  <conditionalFormatting sqref="AO108:AO109">
    <cfRule type="expression" dxfId="2266" priority="2671">
      <formula>$AO$11="-"</formula>
    </cfRule>
  </conditionalFormatting>
  <conditionalFormatting sqref="AM108:AM109">
    <cfRule type="expression" dxfId="2265" priority="2670">
      <formula>$AM$11="-"</formula>
    </cfRule>
  </conditionalFormatting>
  <conditionalFormatting sqref="AH108:AH109">
    <cfRule type="expression" dxfId="2264" priority="2669">
      <formula>$AH$11="-"</formula>
    </cfRule>
  </conditionalFormatting>
  <conditionalFormatting sqref="AL108:AL109">
    <cfRule type="expression" dxfId="2263" priority="2668">
      <formula>$AL$11="-"</formula>
    </cfRule>
  </conditionalFormatting>
  <conditionalFormatting sqref="E110:H110">
    <cfRule type="expression" dxfId="2262" priority="2664">
      <formula>AND(ISTEXT(I110),ISBLANK(E110))</formula>
    </cfRule>
  </conditionalFormatting>
  <conditionalFormatting sqref="A110:K110">
    <cfRule type="expression" dxfId="2261" priority="2663">
      <formula>AND($I110&lt;&gt;"",$L110="")</formula>
    </cfRule>
  </conditionalFormatting>
  <conditionalFormatting sqref="Q110">
    <cfRule type="expression" dxfId="2260" priority="2658">
      <formula>$Q$11="-"</formula>
    </cfRule>
  </conditionalFormatting>
  <conditionalFormatting sqref="R110">
    <cfRule type="expression" dxfId="2259" priority="2657">
      <formula>$R$11="-"</formula>
    </cfRule>
  </conditionalFormatting>
  <conditionalFormatting sqref="S110">
    <cfRule type="expression" dxfId="2258" priority="2656">
      <formula>$S$11="-"</formula>
    </cfRule>
  </conditionalFormatting>
  <conditionalFormatting sqref="T110">
    <cfRule type="expression" dxfId="2257" priority="2655">
      <formula>$T$11="-"</formula>
    </cfRule>
  </conditionalFormatting>
  <conditionalFormatting sqref="AE110">
    <cfRule type="expression" dxfId="2256" priority="2654">
      <formula>$AE$11="-"</formula>
    </cfRule>
  </conditionalFormatting>
  <conditionalFormatting sqref="AF110">
    <cfRule type="expression" dxfId="2255" priority="2653">
      <formula>$AF$11="-"</formula>
    </cfRule>
  </conditionalFormatting>
  <conditionalFormatting sqref="AG110">
    <cfRule type="expression" dxfId="2254" priority="2652">
      <formula>$AG$11="-"</formula>
    </cfRule>
  </conditionalFormatting>
  <conditionalFormatting sqref="X110">
    <cfRule type="expression" dxfId="2253" priority="2651">
      <formula>$X$11="-"</formula>
    </cfRule>
  </conditionalFormatting>
  <conditionalFormatting sqref="Y110">
    <cfRule type="expression" dxfId="2252" priority="2650">
      <formula>$Y$11="-"</formula>
    </cfRule>
  </conditionalFormatting>
  <conditionalFormatting sqref="Z110">
    <cfRule type="expression" dxfId="2251" priority="2649">
      <formula>$Z$11="-"</formula>
    </cfRule>
  </conditionalFormatting>
  <conditionalFormatting sqref="AA110">
    <cfRule type="expression" dxfId="2250" priority="2648">
      <formula>$AA$11="-"</formula>
    </cfRule>
  </conditionalFormatting>
  <conditionalFormatting sqref="AN110">
    <cfRule type="expression" dxfId="2249" priority="2647">
      <formula>$AN$11="-"</formula>
    </cfRule>
  </conditionalFormatting>
  <conditionalFormatting sqref="AO110">
    <cfRule type="expression" dxfId="2248" priority="2646">
      <formula>$AO$11="-"</formula>
    </cfRule>
  </conditionalFormatting>
  <conditionalFormatting sqref="AM110">
    <cfRule type="expression" dxfId="2247" priority="2645">
      <formula>$AM$11="-"</formula>
    </cfRule>
  </conditionalFormatting>
  <conditionalFormatting sqref="AH110">
    <cfRule type="expression" dxfId="2246" priority="2644">
      <formula>$AH$11="-"</formula>
    </cfRule>
  </conditionalFormatting>
  <conditionalFormatting sqref="AL110">
    <cfRule type="expression" dxfId="2245" priority="2643">
      <formula>$AL$11="-"</formula>
    </cfRule>
  </conditionalFormatting>
  <conditionalFormatting sqref="E111:H111">
    <cfRule type="expression" dxfId="2244" priority="2639">
      <formula>AND(ISTEXT(I111),ISBLANK(E111))</formula>
    </cfRule>
  </conditionalFormatting>
  <conditionalFormatting sqref="A111:K111">
    <cfRule type="expression" dxfId="2243" priority="2638">
      <formula>AND($I111&lt;&gt;"",$L111="")</formula>
    </cfRule>
  </conditionalFormatting>
  <conditionalFormatting sqref="Q111">
    <cfRule type="expression" dxfId="2242" priority="2633">
      <formula>$Q$11="-"</formula>
    </cfRule>
  </conditionalFormatting>
  <conditionalFormatting sqref="R111">
    <cfRule type="expression" dxfId="2241" priority="2632">
      <formula>$R$11="-"</formula>
    </cfRule>
  </conditionalFormatting>
  <conditionalFormatting sqref="S111">
    <cfRule type="expression" dxfId="2240" priority="2631">
      <formula>$S$11="-"</formula>
    </cfRule>
  </conditionalFormatting>
  <conditionalFormatting sqref="T111">
    <cfRule type="expression" dxfId="2239" priority="2630">
      <formula>$T$11="-"</formula>
    </cfRule>
  </conditionalFormatting>
  <conditionalFormatting sqref="AE111">
    <cfRule type="expression" dxfId="2238" priority="2629">
      <formula>$AE$11="-"</formula>
    </cfRule>
  </conditionalFormatting>
  <conditionalFormatting sqref="AF111">
    <cfRule type="expression" dxfId="2237" priority="2628">
      <formula>$AF$11="-"</formula>
    </cfRule>
  </conditionalFormatting>
  <conditionalFormatting sqref="AG111">
    <cfRule type="expression" dxfId="2236" priority="2627">
      <formula>$AG$11="-"</formula>
    </cfRule>
  </conditionalFormatting>
  <conditionalFormatting sqref="X111">
    <cfRule type="expression" dxfId="2235" priority="2626">
      <formula>$X$11="-"</formula>
    </cfRule>
  </conditionalFormatting>
  <conditionalFormatting sqref="Y111">
    <cfRule type="expression" dxfId="2234" priority="2625">
      <formula>$Y$11="-"</formula>
    </cfRule>
  </conditionalFormatting>
  <conditionalFormatting sqref="Z111">
    <cfRule type="expression" dxfId="2233" priority="2624">
      <formula>$Z$11="-"</formula>
    </cfRule>
  </conditionalFormatting>
  <conditionalFormatting sqref="AA111">
    <cfRule type="expression" dxfId="2232" priority="2623">
      <formula>$AA$11="-"</formula>
    </cfRule>
  </conditionalFormatting>
  <conditionalFormatting sqref="AN111">
    <cfRule type="expression" dxfId="2231" priority="2622">
      <formula>$AN$11="-"</formula>
    </cfRule>
  </conditionalFormatting>
  <conditionalFormatting sqref="AO111">
    <cfRule type="expression" dxfId="2230" priority="2621">
      <formula>$AO$11="-"</formula>
    </cfRule>
  </conditionalFormatting>
  <conditionalFormatting sqref="AM111">
    <cfRule type="expression" dxfId="2229" priority="2620">
      <formula>$AM$11="-"</formula>
    </cfRule>
  </conditionalFormatting>
  <conditionalFormatting sqref="AH111">
    <cfRule type="expression" dxfId="2228" priority="2619">
      <formula>$AH$11="-"</formula>
    </cfRule>
  </conditionalFormatting>
  <conditionalFormatting sqref="AL111">
    <cfRule type="expression" dxfId="2227" priority="2618">
      <formula>$AL$11="-"</formula>
    </cfRule>
  </conditionalFormatting>
  <conditionalFormatting sqref="E112:H113">
    <cfRule type="expression" dxfId="2226" priority="2612">
      <formula>AND(ISTEXT(I112),ISBLANK(E112))</formula>
    </cfRule>
  </conditionalFormatting>
  <conditionalFormatting sqref="A112:K113">
    <cfRule type="expression" dxfId="2225" priority="2611">
      <formula>AND($I112&lt;&gt;"",$L112="")</formula>
    </cfRule>
  </conditionalFormatting>
  <conditionalFormatting sqref="Q112:Q113">
    <cfRule type="expression" dxfId="2224" priority="2606">
      <formula>$Q$11="-"</formula>
    </cfRule>
  </conditionalFormatting>
  <conditionalFormatting sqref="R112:R113">
    <cfRule type="expression" dxfId="2223" priority="2605">
      <formula>$R$11="-"</formula>
    </cfRule>
  </conditionalFormatting>
  <conditionalFormatting sqref="S112:S113">
    <cfRule type="expression" dxfId="2222" priority="2604">
      <formula>$S$11="-"</formula>
    </cfRule>
  </conditionalFormatting>
  <conditionalFormatting sqref="T112:T113">
    <cfRule type="expression" dxfId="2221" priority="2603">
      <formula>$T$11="-"</formula>
    </cfRule>
  </conditionalFormatting>
  <conditionalFormatting sqref="AE112:AE113">
    <cfRule type="expression" dxfId="2220" priority="2602">
      <formula>$AE$11="-"</formula>
    </cfRule>
  </conditionalFormatting>
  <conditionalFormatting sqref="AF112:AF113">
    <cfRule type="expression" dxfId="2219" priority="2601">
      <formula>$AF$11="-"</formula>
    </cfRule>
  </conditionalFormatting>
  <conditionalFormatting sqref="AG112:AG113">
    <cfRule type="expression" dxfId="2218" priority="2600">
      <formula>$AG$11="-"</formula>
    </cfRule>
  </conditionalFormatting>
  <conditionalFormatting sqref="X112:X113">
    <cfRule type="expression" dxfId="2217" priority="2599">
      <formula>$X$11="-"</formula>
    </cfRule>
  </conditionalFormatting>
  <conditionalFormatting sqref="Y112:Y113">
    <cfRule type="expression" dxfId="2216" priority="2598">
      <formula>$Y$11="-"</formula>
    </cfRule>
  </conditionalFormatting>
  <conditionalFormatting sqref="Z112:Z113">
    <cfRule type="expression" dxfId="2215" priority="2597">
      <formula>$Z$11="-"</formula>
    </cfRule>
  </conditionalFormatting>
  <conditionalFormatting sqref="AA112:AA113">
    <cfRule type="expression" dxfId="2214" priority="2596">
      <formula>$AA$11="-"</formula>
    </cfRule>
  </conditionalFormatting>
  <conditionalFormatting sqref="AN112:AN113">
    <cfRule type="expression" dxfId="2213" priority="2595">
      <formula>$AN$11="-"</formula>
    </cfRule>
  </conditionalFormatting>
  <conditionalFormatting sqref="AO112:AO113">
    <cfRule type="expression" dxfId="2212" priority="2594">
      <formula>$AO$11="-"</formula>
    </cfRule>
  </conditionalFormatting>
  <conditionalFormatting sqref="AM112:AM113">
    <cfRule type="expression" dxfId="2211" priority="2593">
      <formula>$AM$11="-"</formula>
    </cfRule>
  </conditionalFormatting>
  <conditionalFormatting sqref="AH112:AH113">
    <cfRule type="expression" dxfId="2210" priority="2592">
      <formula>$AH$11="-"</formula>
    </cfRule>
  </conditionalFormatting>
  <conditionalFormatting sqref="AL112:AL113">
    <cfRule type="expression" dxfId="2209" priority="2591">
      <formula>$AL$11="-"</formula>
    </cfRule>
  </conditionalFormatting>
  <conditionalFormatting sqref="E140:H142">
    <cfRule type="expression" dxfId="2208" priority="2585">
      <formula>AND(ISTEXT(I140),ISBLANK(E140))</formula>
    </cfRule>
  </conditionalFormatting>
  <conditionalFormatting sqref="A140:K142">
    <cfRule type="expression" dxfId="2207" priority="2584">
      <formula>AND($I140&lt;&gt;"",$L140="")</formula>
    </cfRule>
  </conditionalFormatting>
  <conditionalFormatting sqref="Q140:Q142">
    <cfRule type="expression" dxfId="2206" priority="2579">
      <formula>$Q$11="-"</formula>
    </cfRule>
  </conditionalFormatting>
  <conditionalFormatting sqref="R140:R142">
    <cfRule type="expression" dxfId="2205" priority="2578">
      <formula>$R$11="-"</formula>
    </cfRule>
  </conditionalFormatting>
  <conditionalFormatting sqref="S140:S142">
    <cfRule type="expression" dxfId="2204" priority="2577">
      <formula>$S$11="-"</formula>
    </cfRule>
  </conditionalFormatting>
  <conditionalFormatting sqref="T140:T142">
    <cfRule type="expression" dxfId="2203" priority="2576">
      <formula>$T$11="-"</formula>
    </cfRule>
  </conditionalFormatting>
  <conditionalFormatting sqref="AE140:AE142">
    <cfRule type="expression" dxfId="2202" priority="2575">
      <formula>$AE$11="-"</formula>
    </cfRule>
  </conditionalFormatting>
  <conditionalFormatting sqref="AF140:AF142">
    <cfRule type="expression" dxfId="2201" priority="2574">
      <formula>$AF$11="-"</formula>
    </cfRule>
  </conditionalFormatting>
  <conditionalFormatting sqref="AG140:AG142">
    <cfRule type="expression" dxfId="2200" priority="2573">
      <formula>$AG$11="-"</formula>
    </cfRule>
  </conditionalFormatting>
  <conditionalFormatting sqref="X140:X142">
    <cfRule type="expression" dxfId="2199" priority="2572">
      <formula>$X$11="-"</formula>
    </cfRule>
  </conditionalFormatting>
  <conditionalFormatting sqref="Y140:Y142">
    <cfRule type="expression" dxfId="2198" priority="2571">
      <formula>$Y$11="-"</formula>
    </cfRule>
  </conditionalFormatting>
  <conditionalFormatting sqref="Z140:Z142">
    <cfRule type="expression" dxfId="2197" priority="2570">
      <formula>$Z$11="-"</formula>
    </cfRule>
  </conditionalFormatting>
  <conditionalFormatting sqref="AA140:AA142">
    <cfRule type="expression" dxfId="2196" priority="2569">
      <formula>$AA$11="-"</formula>
    </cfRule>
  </conditionalFormatting>
  <conditionalFormatting sqref="AN140:AN142">
    <cfRule type="expression" dxfId="2195" priority="2568">
      <formula>$AN$11="-"</formula>
    </cfRule>
  </conditionalFormatting>
  <conditionalFormatting sqref="AO140:AO142">
    <cfRule type="expression" dxfId="2194" priority="2567">
      <formula>$AO$11="-"</formula>
    </cfRule>
  </conditionalFormatting>
  <conditionalFormatting sqref="AM140:AM142">
    <cfRule type="expression" dxfId="2193" priority="2566">
      <formula>$AM$11="-"</formula>
    </cfRule>
  </conditionalFormatting>
  <conditionalFormatting sqref="AH140:AH142">
    <cfRule type="expression" dxfId="2192" priority="2565">
      <formula>$AH$11="-"</formula>
    </cfRule>
  </conditionalFormatting>
  <conditionalFormatting sqref="AL140:AL142">
    <cfRule type="expression" dxfId="2191" priority="2564">
      <formula>$AL$11="-"</formula>
    </cfRule>
  </conditionalFormatting>
  <conditionalFormatting sqref="E144:H145">
    <cfRule type="expression" dxfId="2190" priority="2558">
      <formula>AND(ISTEXT(I144),ISBLANK(E144))</formula>
    </cfRule>
  </conditionalFormatting>
  <conditionalFormatting sqref="A144:K145">
    <cfRule type="expression" dxfId="2189" priority="2557">
      <formula>AND($I144&lt;&gt;"",$L144="")</formula>
    </cfRule>
  </conditionalFormatting>
  <conditionalFormatting sqref="Q144:Q145">
    <cfRule type="expression" dxfId="2188" priority="2552">
      <formula>$Q$11="-"</formula>
    </cfRule>
  </conditionalFormatting>
  <conditionalFormatting sqref="R144:R145">
    <cfRule type="expression" dxfId="2187" priority="2551">
      <formula>$R$11="-"</formula>
    </cfRule>
  </conditionalFormatting>
  <conditionalFormatting sqref="S144:S145">
    <cfRule type="expression" dxfId="2186" priority="2550">
      <formula>$S$11="-"</formula>
    </cfRule>
  </conditionalFormatting>
  <conditionalFormatting sqref="T144:T145">
    <cfRule type="expression" dxfId="2185" priority="2549">
      <formula>$T$11="-"</formula>
    </cfRule>
  </conditionalFormatting>
  <conditionalFormatting sqref="AE144:AE145">
    <cfRule type="expression" dxfId="2184" priority="2548">
      <formula>$AE$11="-"</formula>
    </cfRule>
  </conditionalFormatting>
  <conditionalFormatting sqref="AF144:AF145">
    <cfRule type="expression" dxfId="2183" priority="2547">
      <formula>$AF$11="-"</formula>
    </cfRule>
  </conditionalFormatting>
  <conditionalFormatting sqref="AG144:AG145">
    <cfRule type="expression" dxfId="2182" priority="2546">
      <formula>$AG$11="-"</formula>
    </cfRule>
  </conditionalFormatting>
  <conditionalFormatting sqref="X144:X145">
    <cfRule type="expression" dxfId="2181" priority="2545">
      <formula>$X$11="-"</formula>
    </cfRule>
  </conditionalFormatting>
  <conditionalFormatting sqref="Y144:Y145">
    <cfRule type="expression" dxfId="2180" priority="2544">
      <formula>$Y$11="-"</formula>
    </cfRule>
  </conditionalFormatting>
  <conditionalFormatting sqref="Z144:Z145">
    <cfRule type="expression" dxfId="2179" priority="2543">
      <formula>$Z$11="-"</formula>
    </cfRule>
  </conditionalFormatting>
  <conditionalFormatting sqref="AA144:AA145">
    <cfRule type="expression" dxfId="2178" priority="2542">
      <formula>$AA$11="-"</formula>
    </cfRule>
  </conditionalFormatting>
  <conditionalFormatting sqref="AN144:AN145">
    <cfRule type="expression" dxfId="2177" priority="2541">
      <formula>$AN$11="-"</formula>
    </cfRule>
  </conditionalFormatting>
  <conditionalFormatting sqref="AO144:AO145">
    <cfRule type="expression" dxfId="2176" priority="2540">
      <formula>$AO$11="-"</formula>
    </cfRule>
  </conditionalFormatting>
  <conditionalFormatting sqref="AM144:AM145">
    <cfRule type="expression" dxfId="2175" priority="2539">
      <formula>$AM$11="-"</formula>
    </cfRule>
  </conditionalFormatting>
  <conditionalFormatting sqref="AH144:AH145">
    <cfRule type="expression" dxfId="2174" priority="2538">
      <formula>$AH$11="-"</formula>
    </cfRule>
  </conditionalFormatting>
  <conditionalFormatting sqref="AL144:AL145">
    <cfRule type="expression" dxfId="2173" priority="2537">
      <formula>$AL$11="-"</formula>
    </cfRule>
  </conditionalFormatting>
  <conditionalFormatting sqref="E143:H143">
    <cfRule type="expression" dxfId="2172" priority="2533">
      <formula>AND(ISTEXT(I143),ISBLANK(E143))</formula>
    </cfRule>
  </conditionalFormatting>
  <conditionalFormatting sqref="A143:K143">
    <cfRule type="expression" dxfId="2171" priority="2532">
      <formula>AND($I143&lt;&gt;"",$L143="")</formula>
    </cfRule>
  </conditionalFormatting>
  <conditionalFormatting sqref="Q143">
    <cfRule type="expression" dxfId="2170" priority="2527">
      <formula>$Q$11="-"</formula>
    </cfRule>
  </conditionalFormatting>
  <conditionalFormatting sqref="R143">
    <cfRule type="expression" dxfId="2169" priority="2526">
      <formula>$R$11="-"</formula>
    </cfRule>
  </conditionalFormatting>
  <conditionalFormatting sqref="S143">
    <cfRule type="expression" dxfId="2168" priority="2525">
      <formula>$S$11="-"</formula>
    </cfRule>
  </conditionalFormatting>
  <conditionalFormatting sqref="T143">
    <cfRule type="expression" dxfId="2167" priority="2524">
      <formula>$T$11="-"</formula>
    </cfRule>
  </conditionalFormatting>
  <conditionalFormatting sqref="AE143">
    <cfRule type="expression" dxfId="2166" priority="2523">
      <formula>$AE$11="-"</formula>
    </cfRule>
  </conditionalFormatting>
  <conditionalFormatting sqref="AF143">
    <cfRule type="expression" dxfId="2165" priority="2522">
      <formula>$AF$11="-"</formula>
    </cfRule>
  </conditionalFormatting>
  <conditionalFormatting sqref="AG143">
    <cfRule type="expression" dxfId="2164" priority="2521">
      <formula>$AG$11="-"</formula>
    </cfRule>
  </conditionalFormatting>
  <conditionalFormatting sqref="X143">
    <cfRule type="expression" dxfId="2163" priority="2520">
      <formula>$X$11="-"</formula>
    </cfRule>
  </conditionalFormatting>
  <conditionalFormatting sqref="Y143">
    <cfRule type="expression" dxfId="2162" priority="2519">
      <formula>$Y$11="-"</formula>
    </cfRule>
  </conditionalFormatting>
  <conditionalFormatting sqref="Z143">
    <cfRule type="expression" dxfId="2161" priority="2518">
      <formula>$Z$11="-"</formula>
    </cfRule>
  </conditionalFormatting>
  <conditionalFormatting sqref="AA143">
    <cfRule type="expression" dxfId="2160" priority="2517">
      <formula>$AA$11="-"</formula>
    </cfRule>
  </conditionalFormatting>
  <conditionalFormatting sqref="AN143">
    <cfRule type="expression" dxfId="2159" priority="2516">
      <formula>$AN$11="-"</formula>
    </cfRule>
  </conditionalFormatting>
  <conditionalFormatting sqref="AO143">
    <cfRule type="expression" dxfId="2158" priority="2515">
      <formula>$AO$11="-"</formula>
    </cfRule>
  </conditionalFormatting>
  <conditionalFormatting sqref="AM143">
    <cfRule type="expression" dxfId="2157" priority="2514">
      <formula>$AM$11="-"</formula>
    </cfRule>
  </conditionalFormatting>
  <conditionalFormatting sqref="AH143">
    <cfRule type="expression" dxfId="2156" priority="2513">
      <formula>$AH$11="-"</formula>
    </cfRule>
  </conditionalFormatting>
  <conditionalFormatting sqref="AL143">
    <cfRule type="expression" dxfId="2155" priority="2512">
      <formula>$AL$11="-"</formula>
    </cfRule>
  </conditionalFormatting>
  <conditionalFormatting sqref="E146:H146">
    <cfRule type="expression" dxfId="2154" priority="2508">
      <formula>AND(ISTEXT(I146),ISBLANK(E146))</formula>
    </cfRule>
  </conditionalFormatting>
  <conditionalFormatting sqref="A146:K146">
    <cfRule type="expression" dxfId="2153" priority="2507">
      <formula>AND($I146&lt;&gt;"",$L146="")</formula>
    </cfRule>
  </conditionalFormatting>
  <conditionalFormatting sqref="Q146">
    <cfRule type="expression" dxfId="2152" priority="2502">
      <formula>$Q$11="-"</formula>
    </cfRule>
  </conditionalFormatting>
  <conditionalFormatting sqref="R146">
    <cfRule type="expression" dxfId="2151" priority="2501">
      <formula>$R$11="-"</formula>
    </cfRule>
  </conditionalFormatting>
  <conditionalFormatting sqref="S146">
    <cfRule type="expression" dxfId="2150" priority="2500">
      <formula>$S$11="-"</formula>
    </cfRule>
  </conditionalFormatting>
  <conditionalFormatting sqref="T146">
    <cfRule type="expression" dxfId="2149" priority="2499">
      <formula>$T$11="-"</formula>
    </cfRule>
  </conditionalFormatting>
  <conditionalFormatting sqref="AE146">
    <cfRule type="expression" dxfId="2148" priority="2498">
      <formula>$AE$11="-"</formula>
    </cfRule>
  </conditionalFormatting>
  <conditionalFormatting sqref="AF146">
    <cfRule type="expression" dxfId="2147" priority="2497">
      <formula>$AF$11="-"</formula>
    </cfRule>
  </conditionalFormatting>
  <conditionalFormatting sqref="AG146">
    <cfRule type="expression" dxfId="2146" priority="2496">
      <formula>$AG$11="-"</formula>
    </cfRule>
  </conditionalFormatting>
  <conditionalFormatting sqref="X146">
    <cfRule type="expression" dxfId="2145" priority="2495">
      <formula>$X$11="-"</formula>
    </cfRule>
  </conditionalFormatting>
  <conditionalFormatting sqref="Y146">
    <cfRule type="expression" dxfId="2144" priority="2494">
      <formula>$Y$11="-"</formula>
    </cfRule>
  </conditionalFormatting>
  <conditionalFormatting sqref="Z146">
    <cfRule type="expression" dxfId="2143" priority="2493">
      <formula>$Z$11="-"</formula>
    </cfRule>
  </conditionalFormatting>
  <conditionalFormatting sqref="AA146">
    <cfRule type="expression" dxfId="2142" priority="2492">
      <formula>$AA$11="-"</formula>
    </cfRule>
  </conditionalFormatting>
  <conditionalFormatting sqref="AN146">
    <cfRule type="expression" dxfId="2141" priority="2491">
      <formula>$AN$11="-"</formula>
    </cfRule>
  </conditionalFormatting>
  <conditionalFormatting sqref="AO146">
    <cfRule type="expression" dxfId="2140" priority="2490">
      <formula>$AO$11="-"</formula>
    </cfRule>
  </conditionalFormatting>
  <conditionalFormatting sqref="AM146">
    <cfRule type="expression" dxfId="2139" priority="2489">
      <formula>$AM$11="-"</formula>
    </cfRule>
  </conditionalFormatting>
  <conditionalFormatting sqref="AH146">
    <cfRule type="expression" dxfId="2138" priority="2488">
      <formula>$AH$11="-"</formula>
    </cfRule>
  </conditionalFormatting>
  <conditionalFormatting sqref="AL146">
    <cfRule type="expression" dxfId="2137" priority="2487">
      <formula>$AL$11="-"</formula>
    </cfRule>
  </conditionalFormatting>
  <conditionalFormatting sqref="E148:H149">
    <cfRule type="expression" dxfId="2136" priority="2481">
      <formula>AND(ISTEXT(I148),ISBLANK(E148))</formula>
    </cfRule>
  </conditionalFormatting>
  <conditionalFormatting sqref="A148:K149">
    <cfRule type="expression" dxfId="2135" priority="2480">
      <formula>AND($I148&lt;&gt;"",$L148="")</formula>
    </cfRule>
  </conditionalFormatting>
  <conditionalFormatting sqref="Q148:Q149">
    <cfRule type="expression" dxfId="2134" priority="2475">
      <formula>$Q$11="-"</formula>
    </cfRule>
  </conditionalFormatting>
  <conditionalFormatting sqref="R148:R149">
    <cfRule type="expression" dxfId="2133" priority="2474">
      <formula>$R$11="-"</formula>
    </cfRule>
  </conditionalFormatting>
  <conditionalFormatting sqref="S148:S149">
    <cfRule type="expression" dxfId="2132" priority="2473">
      <formula>$S$11="-"</formula>
    </cfRule>
  </conditionalFormatting>
  <conditionalFormatting sqref="T148:T149">
    <cfRule type="expression" dxfId="2131" priority="2472">
      <formula>$T$11="-"</formula>
    </cfRule>
  </conditionalFormatting>
  <conditionalFormatting sqref="AE148:AE149">
    <cfRule type="expression" dxfId="2130" priority="2471">
      <formula>$AE$11="-"</formula>
    </cfRule>
  </conditionalFormatting>
  <conditionalFormatting sqref="AF148:AF149">
    <cfRule type="expression" dxfId="2129" priority="2470">
      <formula>$AF$11="-"</formula>
    </cfRule>
  </conditionalFormatting>
  <conditionalFormatting sqref="AG148:AG149">
    <cfRule type="expression" dxfId="2128" priority="2469">
      <formula>$AG$11="-"</formula>
    </cfRule>
  </conditionalFormatting>
  <conditionalFormatting sqref="X148:X149">
    <cfRule type="expression" dxfId="2127" priority="2468">
      <formula>$X$11="-"</formula>
    </cfRule>
  </conditionalFormatting>
  <conditionalFormatting sqref="Y148:Y149">
    <cfRule type="expression" dxfId="2126" priority="2467">
      <formula>$Y$11="-"</formula>
    </cfRule>
  </conditionalFormatting>
  <conditionalFormatting sqref="Z148:Z149">
    <cfRule type="expression" dxfId="2125" priority="2466">
      <formula>$Z$11="-"</formula>
    </cfRule>
  </conditionalFormatting>
  <conditionalFormatting sqref="AA148:AA149">
    <cfRule type="expression" dxfId="2124" priority="2465">
      <formula>$AA$11="-"</formula>
    </cfRule>
  </conditionalFormatting>
  <conditionalFormatting sqref="AN148:AN149">
    <cfRule type="expression" dxfId="2123" priority="2464">
      <formula>$AN$11="-"</formula>
    </cfRule>
  </conditionalFormatting>
  <conditionalFormatting sqref="AO148:AO149">
    <cfRule type="expression" dxfId="2122" priority="2463">
      <formula>$AO$11="-"</formula>
    </cfRule>
  </conditionalFormatting>
  <conditionalFormatting sqref="AM148:AM149">
    <cfRule type="expression" dxfId="2121" priority="2462">
      <formula>$AM$11="-"</formula>
    </cfRule>
  </conditionalFormatting>
  <conditionalFormatting sqref="AH148:AH149">
    <cfRule type="expression" dxfId="2120" priority="2461">
      <formula>$AH$11="-"</formula>
    </cfRule>
  </conditionalFormatting>
  <conditionalFormatting sqref="AL148:AL149">
    <cfRule type="expression" dxfId="2119" priority="2460">
      <formula>$AL$11="-"</formula>
    </cfRule>
  </conditionalFormatting>
  <conditionalFormatting sqref="E147:H147">
    <cfRule type="expression" dxfId="2118" priority="2456">
      <formula>AND(ISTEXT(I147),ISBLANK(E147))</formula>
    </cfRule>
  </conditionalFormatting>
  <conditionalFormatting sqref="A147:K147">
    <cfRule type="expression" dxfId="2117" priority="2455">
      <formula>AND($I147&lt;&gt;"",$L147="")</formula>
    </cfRule>
  </conditionalFormatting>
  <conditionalFormatting sqref="Q147">
    <cfRule type="expression" dxfId="2116" priority="2450">
      <formula>$Q$11="-"</formula>
    </cfRule>
  </conditionalFormatting>
  <conditionalFormatting sqref="R147">
    <cfRule type="expression" dxfId="2115" priority="2449">
      <formula>$R$11="-"</formula>
    </cfRule>
  </conditionalFormatting>
  <conditionalFormatting sqref="S147">
    <cfRule type="expression" dxfId="2114" priority="2448">
      <formula>$S$11="-"</formula>
    </cfRule>
  </conditionalFormatting>
  <conditionalFormatting sqref="T147">
    <cfRule type="expression" dxfId="2113" priority="2447">
      <formula>$T$11="-"</formula>
    </cfRule>
  </conditionalFormatting>
  <conditionalFormatting sqref="AE147">
    <cfRule type="expression" dxfId="2112" priority="2446">
      <formula>$AE$11="-"</formula>
    </cfRule>
  </conditionalFormatting>
  <conditionalFormatting sqref="AF147">
    <cfRule type="expression" dxfId="2111" priority="2445">
      <formula>$AF$11="-"</formula>
    </cfRule>
  </conditionalFormatting>
  <conditionalFormatting sqref="AG147">
    <cfRule type="expression" dxfId="2110" priority="2444">
      <formula>$AG$11="-"</formula>
    </cfRule>
  </conditionalFormatting>
  <conditionalFormatting sqref="X147">
    <cfRule type="expression" dxfId="2109" priority="2443">
      <formula>$X$11="-"</formula>
    </cfRule>
  </conditionalFormatting>
  <conditionalFormatting sqref="Y147">
    <cfRule type="expression" dxfId="2108" priority="2442">
      <formula>$Y$11="-"</formula>
    </cfRule>
  </conditionalFormatting>
  <conditionalFormatting sqref="Z147">
    <cfRule type="expression" dxfId="2107" priority="2441">
      <formula>$Z$11="-"</formula>
    </cfRule>
  </conditionalFormatting>
  <conditionalFormatting sqref="AA147">
    <cfRule type="expression" dxfId="2106" priority="2440">
      <formula>$AA$11="-"</formula>
    </cfRule>
  </conditionalFormatting>
  <conditionalFormatting sqref="AN147">
    <cfRule type="expression" dxfId="2105" priority="2439">
      <formula>$AN$11="-"</formula>
    </cfRule>
  </conditionalFormatting>
  <conditionalFormatting sqref="AO147">
    <cfRule type="expression" dxfId="2104" priority="2438">
      <formula>$AO$11="-"</formula>
    </cfRule>
  </conditionalFormatting>
  <conditionalFormatting sqref="AM147">
    <cfRule type="expression" dxfId="2103" priority="2437">
      <formula>$AM$11="-"</formula>
    </cfRule>
  </conditionalFormatting>
  <conditionalFormatting sqref="AH147">
    <cfRule type="expression" dxfId="2102" priority="2436">
      <formula>$AH$11="-"</formula>
    </cfRule>
  </conditionalFormatting>
  <conditionalFormatting sqref="AL147">
    <cfRule type="expression" dxfId="2101" priority="2435">
      <formula>$AL$11="-"</formula>
    </cfRule>
  </conditionalFormatting>
  <conditionalFormatting sqref="E150:H150">
    <cfRule type="expression" dxfId="2100" priority="2354">
      <formula>AND(ISTEXT(I150),ISBLANK(E150))</formula>
    </cfRule>
  </conditionalFormatting>
  <conditionalFormatting sqref="A150:K150">
    <cfRule type="expression" dxfId="2099" priority="2353">
      <formula>AND($I150&lt;&gt;"",$L150="")</formula>
    </cfRule>
  </conditionalFormatting>
  <conditionalFormatting sqref="Q150">
    <cfRule type="expression" dxfId="2098" priority="2348">
      <formula>$Q$11="-"</formula>
    </cfRule>
  </conditionalFormatting>
  <conditionalFormatting sqref="R150">
    <cfRule type="expression" dxfId="2097" priority="2347">
      <formula>$R$11="-"</formula>
    </cfRule>
  </conditionalFormatting>
  <conditionalFormatting sqref="S150">
    <cfRule type="expression" dxfId="2096" priority="2346">
      <formula>$S$11="-"</formula>
    </cfRule>
  </conditionalFormatting>
  <conditionalFormatting sqref="T150">
    <cfRule type="expression" dxfId="2095" priority="2345">
      <formula>$T$11="-"</formula>
    </cfRule>
  </conditionalFormatting>
  <conditionalFormatting sqref="AE150">
    <cfRule type="expression" dxfId="2094" priority="2344">
      <formula>$AE$11="-"</formula>
    </cfRule>
  </conditionalFormatting>
  <conditionalFormatting sqref="AF150">
    <cfRule type="expression" dxfId="2093" priority="2343">
      <formula>$AF$11="-"</formula>
    </cfRule>
  </conditionalFormatting>
  <conditionalFormatting sqref="AG150">
    <cfRule type="expression" dxfId="2092" priority="2342">
      <formula>$AG$11="-"</formula>
    </cfRule>
  </conditionalFormatting>
  <conditionalFormatting sqref="X150">
    <cfRule type="expression" dxfId="2091" priority="2341">
      <formula>$X$11="-"</formula>
    </cfRule>
  </conditionalFormatting>
  <conditionalFormatting sqref="Y150">
    <cfRule type="expression" dxfId="2090" priority="2340">
      <formula>$Y$11="-"</formula>
    </cfRule>
  </conditionalFormatting>
  <conditionalFormatting sqref="Z150">
    <cfRule type="expression" dxfId="2089" priority="2339">
      <formula>$Z$11="-"</formula>
    </cfRule>
  </conditionalFormatting>
  <conditionalFormatting sqref="AA150">
    <cfRule type="expression" dxfId="2088" priority="2338">
      <formula>$AA$11="-"</formula>
    </cfRule>
  </conditionalFormatting>
  <conditionalFormatting sqref="AN150">
    <cfRule type="expression" dxfId="2087" priority="2337">
      <formula>$AN$11="-"</formula>
    </cfRule>
  </conditionalFormatting>
  <conditionalFormatting sqref="AO150">
    <cfRule type="expression" dxfId="2086" priority="2336">
      <formula>$AO$11="-"</formula>
    </cfRule>
  </conditionalFormatting>
  <conditionalFormatting sqref="AM150">
    <cfRule type="expression" dxfId="2085" priority="2335">
      <formula>$AM$11="-"</formula>
    </cfRule>
  </conditionalFormatting>
  <conditionalFormatting sqref="AH150">
    <cfRule type="expression" dxfId="2084" priority="2334">
      <formula>$AH$11="-"</formula>
    </cfRule>
  </conditionalFormatting>
  <conditionalFormatting sqref="AL150">
    <cfRule type="expression" dxfId="2083" priority="2333">
      <formula>$AL$11="-"</formula>
    </cfRule>
  </conditionalFormatting>
  <conditionalFormatting sqref="E152:H153">
    <cfRule type="expression" dxfId="2082" priority="2327">
      <formula>AND(ISTEXT(I152),ISBLANK(E152))</formula>
    </cfRule>
  </conditionalFormatting>
  <conditionalFormatting sqref="A152:K153">
    <cfRule type="expression" dxfId="2081" priority="2326">
      <formula>AND($I152&lt;&gt;"",$L152="")</formula>
    </cfRule>
  </conditionalFormatting>
  <conditionalFormatting sqref="Q152:Q153">
    <cfRule type="expression" dxfId="2080" priority="2321">
      <formula>$Q$11="-"</formula>
    </cfRule>
  </conditionalFormatting>
  <conditionalFormatting sqref="R152:R153">
    <cfRule type="expression" dxfId="2079" priority="2320">
      <formula>$R$11="-"</formula>
    </cfRule>
  </conditionalFormatting>
  <conditionalFormatting sqref="S152:S153">
    <cfRule type="expression" dxfId="2078" priority="2319">
      <formula>$S$11="-"</formula>
    </cfRule>
  </conditionalFormatting>
  <conditionalFormatting sqref="T152:T153">
    <cfRule type="expression" dxfId="2077" priority="2318">
      <formula>$T$11="-"</formula>
    </cfRule>
  </conditionalFormatting>
  <conditionalFormatting sqref="AE152:AE153">
    <cfRule type="expression" dxfId="2076" priority="2317">
      <formula>$AE$11="-"</formula>
    </cfRule>
  </conditionalFormatting>
  <conditionalFormatting sqref="AF152:AF153">
    <cfRule type="expression" dxfId="2075" priority="2316">
      <formula>$AF$11="-"</formula>
    </cfRule>
  </conditionalFormatting>
  <conditionalFormatting sqref="AG152:AG153">
    <cfRule type="expression" dxfId="2074" priority="2315">
      <formula>$AG$11="-"</formula>
    </cfRule>
  </conditionalFormatting>
  <conditionalFormatting sqref="X152:X153">
    <cfRule type="expression" dxfId="2073" priority="2314">
      <formula>$X$11="-"</formula>
    </cfRule>
  </conditionalFormatting>
  <conditionalFormatting sqref="Y152:Y153">
    <cfRule type="expression" dxfId="2072" priority="2313">
      <formula>$Y$11="-"</formula>
    </cfRule>
  </conditionalFormatting>
  <conditionalFormatting sqref="Z152:Z153">
    <cfRule type="expression" dxfId="2071" priority="2312">
      <formula>$Z$11="-"</formula>
    </cfRule>
  </conditionalFormatting>
  <conditionalFormatting sqref="AA152:AA153">
    <cfRule type="expression" dxfId="2070" priority="2311">
      <formula>$AA$11="-"</formula>
    </cfRule>
  </conditionalFormatting>
  <conditionalFormatting sqref="AN152:AN153">
    <cfRule type="expression" dxfId="2069" priority="2310">
      <formula>$AN$11="-"</formula>
    </cfRule>
  </conditionalFormatting>
  <conditionalFormatting sqref="AO152:AO153">
    <cfRule type="expression" dxfId="2068" priority="2309">
      <formula>$AO$11="-"</formula>
    </cfRule>
  </conditionalFormatting>
  <conditionalFormatting sqref="AM152:AM153">
    <cfRule type="expression" dxfId="2067" priority="2308">
      <formula>$AM$11="-"</formula>
    </cfRule>
  </conditionalFormatting>
  <conditionalFormatting sqref="AH152:AH153">
    <cfRule type="expression" dxfId="2066" priority="2307">
      <formula>$AH$11="-"</formula>
    </cfRule>
  </conditionalFormatting>
  <conditionalFormatting sqref="AL152:AL153">
    <cfRule type="expression" dxfId="2065" priority="2306">
      <formula>$AL$11="-"</formula>
    </cfRule>
  </conditionalFormatting>
  <conditionalFormatting sqref="E151:H151">
    <cfRule type="expression" dxfId="2064" priority="2302">
      <formula>AND(ISTEXT(I151),ISBLANK(E151))</formula>
    </cfRule>
  </conditionalFormatting>
  <conditionalFormatting sqref="A151:K151">
    <cfRule type="expression" dxfId="2063" priority="2301">
      <formula>AND($I151&lt;&gt;"",$L151="")</formula>
    </cfRule>
  </conditionalFormatting>
  <conditionalFormatting sqref="Q151">
    <cfRule type="expression" dxfId="2062" priority="2296">
      <formula>$Q$11="-"</formula>
    </cfRule>
  </conditionalFormatting>
  <conditionalFormatting sqref="R151">
    <cfRule type="expression" dxfId="2061" priority="2295">
      <formula>$R$11="-"</formula>
    </cfRule>
  </conditionalFormatting>
  <conditionalFormatting sqref="S151">
    <cfRule type="expression" dxfId="2060" priority="2294">
      <formula>$S$11="-"</formula>
    </cfRule>
  </conditionalFormatting>
  <conditionalFormatting sqref="T151">
    <cfRule type="expression" dxfId="2059" priority="2293">
      <formula>$T$11="-"</formula>
    </cfRule>
  </conditionalFormatting>
  <conditionalFormatting sqref="AE151">
    <cfRule type="expression" dxfId="2058" priority="2292">
      <formula>$AE$11="-"</formula>
    </cfRule>
  </conditionalFormatting>
  <conditionalFormatting sqref="AF151">
    <cfRule type="expression" dxfId="2057" priority="2291">
      <formula>$AF$11="-"</formula>
    </cfRule>
  </conditionalFormatting>
  <conditionalFormatting sqref="AG151">
    <cfRule type="expression" dxfId="2056" priority="2290">
      <formula>$AG$11="-"</formula>
    </cfRule>
  </conditionalFormatting>
  <conditionalFormatting sqref="X151">
    <cfRule type="expression" dxfId="2055" priority="2289">
      <formula>$X$11="-"</formula>
    </cfRule>
  </conditionalFormatting>
  <conditionalFormatting sqref="Y151">
    <cfRule type="expression" dxfId="2054" priority="2288">
      <formula>$Y$11="-"</formula>
    </cfRule>
  </conditionalFormatting>
  <conditionalFormatting sqref="Z151">
    <cfRule type="expression" dxfId="2053" priority="2287">
      <formula>$Z$11="-"</formula>
    </cfRule>
  </conditionalFormatting>
  <conditionalFormatting sqref="AA151">
    <cfRule type="expression" dxfId="2052" priority="2286">
      <formula>$AA$11="-"</formula>
    </cfRule>
  </conditionalFormatting>
  <conditionalFormatting sqref="AN151">
    <cfRule type="expression" dxfId="2051" priority="2285">
      <formula>$AN$11="-"</formula>
    </cfRule>
  </conditionalFormatting>
  <conditionalFormatting sqref="AO151">
    <cfRule type="expression" dxfId="2050" priority="2284">
      <formula>$AO$11="-"</formula>
    </cfRule>
  </conditionalFormatting>
  <conditionalFormatting sqref="AM151">
    <cfRule type="expression" dxfId="2049" priority="2283">
      <formula>$AM$11="-"</formula>
    </cfRule>
  </conditionalFormatting>
  <conditionalFormatting sqref="AH151">
    <cfRule type="expression" dxfId="2048" priority="2282">
      <formula>$AH$11="-"</formula>
    </cfRule>
  </conditionalFormatting>
  <conditionalFormatting sqref="AL151">
    <cfRule type="expression" dxfId="2047" priority="2281">
      <formula>$AL$11="-"</formula>
    </cfRule>
  </conditionalFormatting>
  <conditionalFormatting sqref="E154:H154">
    <cfRule type="expression" dxfId="2046" priority="2277">
      <formula>AND(ISTEXT(I154),ISBLANK(E154))</formula>
    </cfRule>
  </conditionalFormatting>
  <conditionalFormatting sqref="A154:K154">
    <cfRule type="expression" dxfId="2045" priority="2276">
      <formula>AND($I154&lt;&gt;"",$L154="")</formula>
    </cfRule>
  </conditionalFormatting>
  <conditionalFormatting sqref="Q154">
    <cfRule type="expression" dxfId="2044" priority="2271">
      <formula>$Q$11="-"</formula>
    </cfRule>
  </conditionalFormatting>
  <conditionalFormatting sqref="R154">
    <cfRule type="expression" dxfId="2043" priority="2270">
      <formula>$R$11="-"</formula>
    </cfRule>
  </conditionalFormatting>
  <conditionalFormatting sqref="S154">
    <cfRule type="expression" dxfId="2042" priority="2269">
      <formula>$S$11="-"</formula>
    </cfRule>
  </conditionalFormatting>
  <conditionalFormatting sqref="T154">
    <cfRule type="expression" dxfId="2041" priority="2268">
      <formula>$T$11="-"</formula>
    </cfRule>
  </conditionalFormatting>
  <conditionalFormatting sqref="AE154">
    <cfRule type="expression" dxfId="2040" priority="2267">
      <formula>$AE$11="-"</formula>
    </cfRule>
  </conditionalFormatting>
  <conditionalFormatting sqref="AF154">
    <cfRule type="expression" dxfId="2039" priority="2266">
      <formula>$AF$11="-"</formula>
    </cfRule>
  </conditionalFormatting>
  <conditionalFormatting sqref="AG154">
    <cfRule type="expression" dxfId="2038" priority="2265">
      <formula>$AG$11="-"</formula>
    </cfRule>
  </conditionalFormatting>
  <conditionalFormatting sqref="X154">
    <cfRule type="expression" dxfId="2037" priority="2264">
      <formula>$X$11="-"</formula>
    </cfRule>
  </conditionalFormatting>
  <conditionalFormatting sqref="Y154">
    <cfRule type="expression" dxfId="2036" priority="2263">
      <formula>$Y$11="-"</formula>
    </cfRule>
  </conditionalFormatting>
  <conditionalFormatting sqref="Z154">
    <cfRule type="expression" dxfId="2035" priority="2262">
      <formula>$Z$11="-"</formula>
    </cfRule>
  </conditionalFormatting>
  <conditionalFormatting sqref="AA154">
    <cfRule type="expression" dxfId="2034" priority="2261">
      <formula>$AA$11="-"</formula>
    </cfRule>
  </conditionalFormatting>
  <conditionalFormatting sqref="AN154">
    <cfRule type="expression" dxfId="2033" priority="2260">
      <formula>$AN$11="-"</formula>
    </cfRule>
  </conditionalFormatting>
  <conditionalFormatting sqref="AO154">
    <cfRule type="expression" dxfId="2032" priority="2259">
      <formula>$AO$11="-"</formula>
    </cfRule>
  </conditionalFormatting>
  <conditionalFormatting sqref="AM154">
    <cfRule type="expression" dxfId="2031" priority="2258">
      <formula>$AM$11="-"</formula>
    </cfRule>
  </conditionalFormatting>
  <conditionalFormatting sqref="AH154">
    <cfRule type="expression" dxfId="2030" priority="2257">
      <formula>$AH$11="-"</formula>
    </cfRule>
  </conditionalFormatting>
  <conditionalFormatting sqref="AL154">
    <cfRule type="expression" dxfId="2029" priority="2256">
      <formula>$AL$11="-"</formula>
    </cfRule>
  </conditionalFormatting>
  <conditionalFormatting sqref="E156:H157">
    <cfRule type="expression" dxfId="2028" priority="2250">
      <formula>AND(ISTEXT(I156),ISBLANK(E156))</formula>
    </cfRule>
  </conditionalFormatting>
  <conditionalFormatting sqref="A156:K157">
    <cfRule type="expression" dxfId="2027" priority="2249">
      <formula>AND($I156&lt;&gt;"",$L156="")</formula>
    </cfRule>
  </conditionalFormatting>
  <conditionalFormatting sqref="Q156:Q157">
    <cfRule type="expression" dxfId="2026" priority="2244">
      <formula>$Q$11="-"</formula>
    </cfRule>
  </conditionalFormatting>
  <conditionalFormatting sqref="R156:R157">
    <cfRule type="expression" dxfId="2025" priority="2243">
      <formula>$R$11="-"</formula>
    </cfRule>
  </conditionalFormatting>
  <conditionalFormatting sqref="S156:S157">
    <cfRule type="expression" dxfId="2024" priority="2242">
      <formula>$S$11="-"</formula>
    </cfRule>
  </conditionalFormatting>
  <conditionalFormatting sqref="T156:T157">
    <cfRule type="expression" dxfId="2023" priority="2241">
      <formula>$T$11="-"</formula>
    </cfRule>
  </conditionalFormatting>
  <conditionalFormatting sqref="AE156:AE157">
    <cfRule type="expression" dxfId="2022" priority="2240">
      <formula>$AE$11="-"</formula>
    </cfRule>
  </conditionalFormatting>
  <conditionalFormatting sqref="AF156:AF157">
    <cfRule type="expression" dxfId="2021" priority="2239">
      <formula>$AF$11="-"</formula>
    </cfRule>
  </conditionalFormatting>
  <conditionalFormatting sqref="AG156:AG157">
    <cfRule type="expression" dxfId="2020" priority="2238">
      <formula>$AG$11="-"</formula>
    </cfRule>
  </conditionalFormatting>
  <conditionalFormatting sqref="X156:X157">
    <cfRule type="expression" dxfId="2019" priority="2237">
      <formula>$X$11="-"</formula>
    </cfRule>
  </conditionalFormatting>
  <conditionalFormatting sqref="Y156:Y157">
    <cfRule type="expression" dxfId="2018" priority="2236">
      <formula>$Y$11="-"</formula>
    </cfRule>
  </conditionalFormatting>
  <conditionalFormatting sqref="Z156:Z157">
    <cfRule type="expression" dxfId="2017" priority="2235">
      <formula>$Z$11="-"</formula>
    </cfRule>
  </conditionalFormatting>
  <conditionalFormatting sqref="AA156:AA157">
    <cfRule type="expression" dxfId="2016" priority="2234">
      <formula>$AA$11="-"</formula>
    </cfRule>
  </conditionalFormatting>
  <conditionalFormatting sqref="AN156:AN157">
    <cfRule type="expression" dxfId="2015" priority="2233">
      <formula>$AN$11="-"</formula>
    </cfRule>
  </conditionalFormatting>
  <conditionalFormatting sqref="AO156:AO157">
    <cfRule type="expression" dxfId="2014" priority="2232">
      <formula>$AO$11="-"</formula>
    </cfRule>
  </conditionalFormatting>
  <conditionalFormatting sqref="AM156:AM157">
    <cfRule type="expression" dxfId="2013" priority="2231">
      <formula>$AM$11="-"</formula>
    </cfRule>
  </conditionalFormatting>
  <conditionalFormatting sqref="AH156:AH157">
    <cfRule type="expression" dxfId="2012" priority="2230">
      <formula>$AH$11="-"</formula>
    </cfRule>
  </conditionalFormatting>
  <conditionalFormatting sqref="AL156:AL157">
    <cfRule type="expression" dxfId="2011" priority="2229">
      <formula>$AL$11="-"</formula>
    </cfRule>
  </conditionalFormatting>
  <conditionalFormatting sqref="E155:H155">
    <cfRule type="expression" dxfId="2010" priority="2225">
      <formula>AND(ISTEXT(I155),ISBLANK(E155))</formula>
    </cfRule>
  </conditionalFormatting>
  <conditionalFormatting sqref="A155:K155">
    <cfRule type="expression" dxfId="2009" priority="2224">
      <formula>AND($I155&lt;&gt;"",$L155="")</formula>
    </cfRule>
  </conditionalFormatting>
  <conditionalFormatting sqref="Q155">
    <cfRule type="expression" dxfId="2008" priority="2219">
      <formula>$Q$11="-"</formula>
    </cfRule>
  </conditionalFormatting>
  <conditionalFormatting sqref="R155">
    <cfRule type="expression" dxfId="2007" priority="2218">
      <formula>$R$11="-"</formula>
    </cfRule>
  </conditionalFormatting>
  <conditionalFormatting sqref="S155">
    <cfRule type="expression" dxfId="2006" priority="2217">
      <formula>$S$11="-"</formula>
    </cfRule>
  </conditionalFormatting>
  <conditionalFormatting sqref="T155">
    <cfRule type="expression" dxfId="2005" priority="2216">
      <formula>$T$11="-"</formula>
    </cfRule>
  </conditionalFormatting>
  <conditionalFormatting sqref="AE155">
    <cfRule type="expression" dxfId="2004" priority="2215">
      <formula>$AE$11="-"</formula>
    </cfRule>
  </conditionalFormatting>
  <conditionalFormatting sqref="AF155">
    <cfRule type="expression" dxfId="2003" priority="2214">
      <formula>$AF$11="-"</formula>
    </cfRule>
  </conditionalFormatting>
  <conditionalFormatting sqref="AG155">
    <cfRule type="expression" dxfId="2002" priority="2213">
      <formula>$AG$11="-"</formula>
    </cfRule>
  </conditionalFormatting>
  <conditionalFormatting sqref="X155">
    <cfRule type="expression" dxfId="2001" priority="2212">
      <formula>$X$11="-"</formula>
    </cfRule>
  </conditionalFormatting>
  <conditionalFormatting sqref="Y155">
    <cfRule type="expression" dxfId="2000" priority="2211">
      <formula>$Y$11="-"</formula>
    </cfRule>
  </conditionalFormatting>
  <conditionalFormatting sqref="Z155">
    <cfRule type="expression" dxfId="1999" priority="2210">
      <formula>$Z$11="-"</formula>
    </cfRule>
  </conditionalFormatting>
  <conditionalFormatting sqref="AA155">
    <cfRule type="expression" dxfId="1998" priority="2209">
      <formula>$AA$11="-"</formula>
    </cfRule>
  </conditionalFormatting>
  <conditionalFormatting sqref="AN155">
    <cfRule type="expression" dxfId="1997" priority="2208">
      <formula>$AN$11="-"</formula>
    </cfRule>
  </conditionalFormatting>
  <conditionalFormatting sqref="AO155">
    <cfRule type="expression" dxfId="1996" priority="2207">
      <formula>$AO$11="-"</formula>
    </cfRule>
  </conditionalFormatting>
  <conditionalFormatting sqref="AM155">
    <cfRule type="expression" dxfId="1995" priority="2206">
      <formula>$AM$11="-"</formula>
    </cfRule>
  </conditionalFormatting>
  <conditionalFormatting sqref="AH155">
    <cfRule type="expression" dxfId="1994" priority="2205">
      <formula>$AH$11="-"</formula>
    </cfRule>
  </conditionalFormatting>
  <conditionalFormatting sqref="AL155">
    <cfRule type="expression" dxfId="1993" priority="2204">
      <formula>$AL$11="-"</formula>
    </cfRule>
  </conditionalFormatting>
  <conditionalFormatting sqref="E158:H158">
    <cfRule type="expression" dxfId="1992" priority="2200">
      <formula>AND(ISTEXT(I158),ISBLANK(E158))</formula>
    </cfRule>
  </conditionalFormatting>
  <conditionalFormatting sqref="A158:K158">
    <cfRule type="expression" dxfId="1991" priority="2199">
      <formula>AND($I158&lt;&gt;"",$L158="")</formula>
    </cfRule>
  </conditionalFormatting>
  <conditionalFormatting sqref="Q158">
    <cfRule type="expression" dxfId="1990" priority="2194">
      <formula>$Q$11="-"</formula>
    </cfRule>
  </conditionalFormatting>
  <conditionalFormatting sqref="R158">
    <cfRule type="expression" dxfId="1989" priority="2193">
      <formula>$R$11="-"</formula>
    </cfRule>
  </conditionalFormatting>
  <conditionalFormatting sqref="S158">
    <cfRule type="expression" dxfId="1988" priority="2192">
      <formula>$S$11="-"</formula>
    </cfRule>
  </conditionalFormatting>
  <conditionalFormatting sqref="T158">
    <cfRule type="expression" dxfId="1987" priority="2191">
      <formula>$T$11="-"</formula>
    </cfRule>
  </conditionalFormatting>
  <conditionalFormatting sqref="AE158">
    <cfRule type="expression" dxfId="1986" priority="2190">
      <formula>$AE$11="-"</formula>
    </cfRule>
  </conditionalFormatting>
  <conditionalFormatting sqref="AF158">
    <cfRule type="expression" dxfId="1985" priority="2189">
      <formula>$AF$11="-"</formula>
    </cfRule>
  </conditionalFormatting>
  <conditionalFormatting sqref="AG158">
    <cfRule type="expression" dxfId="1984" priority="2188">
      <formula>$AG$11="-"</formula>
    </cfRule>
  </conditionalFormatting>
  <conditionalFormatting sqref="X158">
    <cfRule type="expression" dxfId="1983" priority="2187">
      <formula>$X$11="-"</formula>
    </cfRule>
  </conditionalFormatting>
  <conditionalFormatting sqref="Y158">
    <cfRule type="expression" dxfId="1982" priority="2186">
      <formula>$Y$11="-"</formula>
    </cfRule>
  </conditionalFormatting>
  <conditionalFormatting sqref="Z158">
    <cfRule type="expression" dxfId="1981" priority="2185">
      <formula>$Z$11="-"</formula>
    </cfRule>
  </conditionalFormatting>
  <conditionalFormatting sqref="AA158">
    <cfRule type="expression" dxfId="1980" priority="2184">
      <formula>$AA$11="-"</formula>
    </cfRule>
  </conditionalFormatting>
  <conditionalFormatting sqref="AN158">
    <cfRule type="expression" dxfId="1979" priority="2183">
      <formula>$AN$11="-"</formula>
    </cfRule>
  </conditionalFormatting>
  <conditionalFormatting sqref="AO158">
    <cfRule type="expression" dxfId="1978" priority="2182">
      <formula>$AO$11="-"</formula>
    </cfRule>
  </conditionalFormatting>
  <conditionalFormatting sqref="AM158">
    <cfRule type="expression" dxfId="1977" priority="2181">
      <formula>$AM$11="-"</formula>
    </cfRule>
  </conditionalFormatting>
  <conditionalFormatting sqref="AH158">
    <cfRule type="expression" dxfId="1976" priority="2180">
      <formula>$AH$11="-"</formula>
    </cfRule>
  </conditionalFormatting>
  <conditionalFormatting sqref="AL158">
    <cfRule type="expression" dxfId="1975" priority="2179">
      <formula>$AL$11="-"</formula>
    </cfRule>
  </conditionalFormatting>
  <conditionalFormatting sqref="E160:H161">
    <cfRule type="expression" dxfId="1974" priority="2173">
      <formula>AND(ISTEXT(I160),ISBLANK(E160))</formula>
    </cfRule>
  </conditionalFormatting>
  <conditionalFormatting sqref="A160:K161">
    <cfRule type="expression" dxfId="1973" priority="2172">
      <formula>AND($I160&lt;&gt;"",$L160="")</formula>
    </cfRule>
  </conditionalFormatting>
  <conditionalFormatting sqref="Q160:Q161">
    <cfRule type="expression" dxfId="1972" priority="2167">
      <formula>$Q$11="-"</formula>
    </cfRule>
  </conditionalFormatting>
  <conditionalFormatting sqref="R160:R161">
    <cfRule type="expression" dxfId="1971" priority="2166">
      <formula>$R$11="-"</formula>
    </cfRule>
  </conditionalFormatting>
  <conditionalFormatting sqref="S160:S161">
    <cfRule type="expression" dxfId="1970" priority="2165">
      <formula>$S$11="-"</formula>
    </cfRule>
  </conditionalFormatting>
  <conditionalFormatting sqref="T160:T161">
    <cfRule type="expression" dxfId="1969" priority="2164">
      <formula>$T$11="-"</formula>
    </cfRule>
  </conditionalFormatting>
  <conditionalFormatting sqref="AE160:AE161">
    <cfRule type="expression" dxfId="1968" priority="2163">
      <formula>$AE$11="-"</formula>
    </cfRule>
  </conditionalFormatting>
  <conditionalFormatting sqref="AF160:AF161">
    <cfRule type="expression" dxfId="1967" priority="2162">
      <formula>$AF$11="-"</formula>
    </cfRule>
  </conditionalFormatting>
  <conditionalFormatting sqref="AG160:AG161">
    <cfRule type="expression" dxfId="1966" priority="2161">
      <formula>$AG$11="-"</formula>
    </cfRule>
  </conditionalFormatting>
  <conditionalFormatting sqref="X160:X161">
    <cfRule type="expression" dxfId="1965" priority="2160">
      <formula>$X$11="-"</formula>
    </cfRule>
  </conditionalFormatting>
  <conditionalFormatting sqref="Y160:Y161">
    <cfRule type="expression" dxfId="1964" priority="2159">
      <formula>$Y$11="-"</formula>
    </cfRule>
  </conditionalFormatting>
  <conditionalFormatting sqref="Z160:Z161">
    <cfRule type="expression" dxfId="1963" priority="2158">
      <formula>$Z$11="-"</formula>
    </cfRule>
  </conditionalFormatting>
  <conditionalFormatting sqref="AA160:AA161">
    <cfRule type="expression" dxfId="1962" priority="2157">
      <formula>$AA$11="-"</formula>
    </cfRule>
  </conditionalFormatting>
  <conditionalFormatting sqref="AN160:AN161">
    <cfRule type="expression" dxfId="1961" priority="2156">
      <formula>$AN$11="-"</formula>
    </cfRule>
  </conditionalFormatting>
  <conditionalFormatting sqref="AO160:AO161">
    <cfRule type="expression" dxfId="1960" priority="2155">
      <formula>$AO$11="-"</formula>
    </cfRule>
  </conditionalFormatting>
  <conditionalFormatting sqref="AM160:AM161">
    <cfRule type="expression" dxfId="1959" priority="2154">
      <formula>$AM$11="-"</formula>
    </cfRule>
  </conditionalFormatting>
  <conditionalFormatting sqref="AH160:AH161">
    <cfRule type="expression" dxfId="1958" priority="2153">
      <formula>$AH$11="-"</formula>
    </cfRule>
  </conditionalFormatting>
  <conditionalFormatting sqref="AL160:AL161">
    <cfRule type="expression" dxfId="1957" priority="2152">
      <formula>$AL$11="-"</formula>
    </cfRule>
  </conditionalFormatting>
  <conditionalFormatting sqref="E159:H159">
    <cfRule type="expression" dxfId="1956" priority="2148">
      <formula>AND(ISTEXT(I159),ISBLANK(E159))</formula>
    </cfRule>
  </conditionalFormatting>
  <conditionalFormatting sqref="A159:K159">
    <cfRule type="expression" dxfId="1955" priority="2147">
      <formula>AND($I159&lt;&gt;"",$L159="")</formula>
    </cfRule>
  </conditionalFormatting>
  <conditionalFormatting sqref="Q159">
    <cfRule type="expression" dxfId="1954" priority="2142">
      <formula>$Q$11="-"</formula>
    </cfRule>
  </conditionalFormatting>
  <conditionalFormatting sqref="R159">
    <cfRule type="expression" dxfId="1953" priority="2141">
      <formula>$R$11="-"</formula>
    </cfRule>
  </conditionalFormatting>
  <conditionalFormatting sqref="S159">
    <cfRule type="expression" dxfId="1952" priority="2140">
      <formula>$S$11="-"</formula>
    </cfRule>
  </conditionalFormatting>
  <conditionalFormatting sqref="T159">
    <cfRule type="expression" dxfId="1951" priority="2139">
      <formula>$T$11="-"</formula>
    </cfRule>
  </conditionalFormatting>
  <conditionalFormatting sqref="AE159">
    <cfRule type="expression" dxfId="1950" priority="2138">
      <formula>$AE$11="-"</formula>
    </cfRule>
  </conditionalFormatting>
  <conditionalFormatting sqref="AF159">
    <cfRule type="expression" dxfId="1949" priority="2137">
      <formula>$AF$11="-"</formula>
    </cfRule>
  </conditionalFormatting>
  <conditionalFormatting sqref="AG159">
    <cfRule type="expression" dxfId="1948" priority="2136">
      <formula>$AG$11="-"</formula>
    </cfRule>
  </conditionalFormatting>
  <conditionalFormatting sqref="X159">
    <cfRule type="expression" dxfId="1947" priority="2135">
      <formula>$X$11="-"</formula>
    </cfRule>
  </conditionalFormatting>
  <conditionalFormatting sqref="Y159">
    <cfRule type="expression" dxfId="1946" priority="2134">
      <formula>$Y$11="-"</formula>
    </cfRule>
  </conditionalFormatting>
  <conditionalFormatting sqref="Z159">
    <cfRule type="expression" dxfId="1945" priority="2133">
      <formula>$Z$11="-"</formula>
    </cfRule>
  </conditionalFormatting>
  <conditionalFormatting sqref="AA159">
    <cfRule type="expression" dxfId="1944" priority="2132">
      <formula>$AA$11="-"</formula>
    </cfRule>
  </conditionalFormatting>
  <conditionalFormatting sqref="AN159">
    <cfRule type="expression" dxfId="1943" priority="2131">
      <formula>$AN$11="-"</formula>
    </cfRule>
  </conditionalFormatting>
  <conditionalFormatting sqref="AO159">
    <cfRule type="expression" dxfId="1942" priority="2130">
      <formula>$AO$11="-"</formula>
    </cfRule>
  </conditionalFormatting>
  <conditionalFormatting sqref="AM159">
    <cfRule type="expression" dxfId="1941" priority="2129">
      <formula>$AM$11="-"</formula>
    </cfRule>
  </conditionalFormatting>
  <conditionalFormatting sqref="AH159">
    <cfRule type="expression" dxfId="1940" priority="2128">
      <formula>$AH$11="-"</formula>
    </cfRule>
  </conditionalFormatting>
  <conditionalFormatting sqref="AL159">
    <cfRule type="expression" dxfId="1939" priority="2127">
      <formula>$AL$11="-"</formula>
    </cfRule>
  </conditionalFormatting>
  <conditionalFormatting sqref="E162:H162">
    <cfRule type="expression" dxfId="1938" priority="2123">
      <formula>AND(ISTEXT(I162),ISBLANK(E162))</formula>
    </cfRule>
  </conditionalFormatting>
  <conditionalFormatting sqref="A162:K162">
    <cfRule type="expression" dxfId="1937" priority="2122">
      <formula>AND($I162&lt;&gt;"",$L162="")</formula>
    </cfRule>
  </conditionalFormatting>
  <conditionalFormatting sqref="Q162">
    <cfRule type="expression" dxfId="1936" priority="2117">
      <formula>$Q$11="-"</formula>
    </cfRule>
  </conditionalFormatting>
  <conditionalFormatting sqref="R162">
    <cfRule type="expression" dxfId="1935" priority="2116">
      <formula>$R$11="-"</formula>
    </cfRule>
  </conditionalFormatting>
  <conditionalFormatting sqref="S162">
    <cfRule type="expression" dxfId="1934" priority="2115">
      <formula>$S$11="-"</formula>
    </cfRule>
  </conditionalFormatting>
  <conditionalFormatting sqref="T162">
    <cfRule type="expression" dxfId="1933" priority="2114">
      <formula>$T$11="-"</formula>
    </cfRule>
  </conditionalFormatting>
  <conditionalFormatting sqref="AE162">
    <cfRule type="expression" dxfId="1932" priority="2113">
      <formula>$AE$11="-"</formula>
    </cfRule>
  </conditionalFormatting>
  <conditionalFormatting sqref="AF162">
    <cfRule type="expression" dxfId="1931" priority="2112">
      <formula>$AF$11="-"</formula>
    </cfRule>
  </conditionalFormatting>
  <conditionalFormatting sqref="AG162">
    <cfRule type="expression" dxfId="1930" priority="2111">
      <formula>$AG$11="-"</formula>
    </cfRule>
  </conditionalFormatting>
  <conditionalFormatting sqref="X162">
    <cfRule type="expression" dxfId="1929" priority="2110">
      <formula>$X$11="-"</formula>
    </cfRule>
  </conditionalFormatting>
  <conditionalFormatting sqref="Y162">
    <cfRule type="expression" dxfId="1928" priority="2109">
      <formula>$Y$11="-"</formula>
    </cfRule>
  </conditionalFormatting>
  <conditionalFormatting sqref="Z162">
    <cfRule type="expression" dxfId="1927" priority="2108">
      <formula>$Z$11="-"</formula>
    </cfRule>
  </conditionalFormatting>
  <conditionalFormatting sqref="AA162">
    <cfRule type="expression" dxfId="1926" priority="2107">
      <formula>$AA$11="-"</formula>
    </cfRule>
  </conditionalFormatting>
  <conditionalFormatting sqref="AN162">
    <cfRule type="expression" dxfId="1925" priority="2106">
      <formula>$AN$11="-"</formula>
    </cfRule>
  </conditionalFormatting>
  <conditionalFormatting sqref="AO162">
    <cfRule type="expression" dxfId="1924" priority="2105">
      <formula>$AO$11="-"</formula>
    </cfRule>
  </conditionalFormatting>
  <conditionalFormatting sqref="AM162">
    <cfRule type="expression" dxfId="1923" priority="2104">
      <formula>$AM$11="-"</formula>
    </cfRule>
  </conditionalFormatting>
  <conditionalFormatting sqref="AH162">
    <cfRule type="expression" dxfId="1922" priority="2103">
      <formula>$AH$11="-"</formula>
    </cfRule>
  </conditionalFormatting>
  <conditionalFormatting sqref="AL162">
    <cfRule type="expression" dxfId="1921" priority="2102">
      <formula>$AL$11="-"</formula>
    </cfRule>
  </conditionalFormatting>
  <conditionalFormatting sqref="E164:H164">
    <cfRule type="expression" dxfId="1920" priority="2098">
      <formula>AND(ISTEXT(I164),ISBLANK(E164))</formula>
    </cfRule>
  </conditionalFormatting>
  <conditionalFormatting sqref="A164:K164">
    <cfRule type="expression" dxfId="1919" priority="2097">
      <formula>AND($I164&lt;&gt;"",$L164="")</formula>
    </cfRule>
  </conditionalFormatting>
  <conditionalFormatting sqref="Q164">
    <cfRule type="expression" dxfId="1918" priority="2092">
      <formula>$Q$11="-"</formula>
    </cfRule>
  </conditionalFormatting>
  <conditionalFormatting sqref="R164">
    <cfRule type="expression" dxfId="1917" priority="2091">
      <formula>$R$11="-"</formula>
    </cfRule>
  </conditionalFormatting>
  <conditionalFormatting sqref="S164">
    <cfRule type="expression" dxfId="1916" priority="2090">
      <formula>$S$11="-"</formula>
    </cfRule>
  </conditionalFormatting>
  <conditionalFormatting sqref="T164">
    <cfRule type="expression" dxfId="1915" priority="2089">
      <formula>$T$11="-"</formula>
    </cfRule>
  </conditionalFormatting>
  <conditionalFormatting sqref="AE164">
    <cfRule type="expression" dxfId="1914" priority="2088">
      <formula>$AE$11="-"</formula>
    </cfRule>
  </conditionalFormatting>
  <conditionalFormatting sqref="AF164">
    <cfRule type="expression" dxfId="1913" priority="2087">
      <formula>$AF$11="-"</formula>
    </cfRule>
  </conditionalFormatting>
  <conditionalFormatting sqref="AG164">
    <cfRule type="expression" dxfId="1912" priority="2086">
      <formula>$AG$11="-"</formula>
    </cfRule>
  </conditionalFormatting>
  <conditionalFormatting sqref="X164">
    <cfRule type="expression" dxfId="1911" priority="2085">
      <formula>$X$11="-"</formula>
    </cfRule>
  </conditionalFormatting>
  <conditionalFormatting sqref="Y164">
    <cfRule type="expression" dxfId="1910" priority="2084">
      <formula>$Y$11="-"</formula>
    </cfRule>
  </conditionalFormatting>
  <conditionalFormatting sqref="Z164">
    <cfRule type="expression" dxfId="1909" priority="2083">
      <formula>$Z$11="-"</formula>
    </cfRule>
  </conditionalFormatting>
  <conditionalFormatting sqref="AA164">
    <cfRule type="expression" dxfId="1908" priority="2082">
      <formula>$AA$11="-"</formula>
    </cfRule>
  </conditionalFormatting>
  <conditionalFormatting sqref="AN164">
    <cfRule type="expression" dxfId="1907" priority="2081">
      <formula>$AN$11="-"</formula>
    </cfRule>
  </conditionalFormatting>
  <conditionalFormatting sqref="AO164">
    <cfRule type="expression" dxfId="1906" priority="2080">
      <formula>$AO$11="-"</formula>
    </cfRule>
  </conditionalFormatting>
  <conditionalFormatting sqref="AM164">
    <cfRule type="expression" dxfId="1905" priority="2079">
      <formula>$AM$11="-"</formula>
    </cfRule>
  </conditionalFormatting>
  <conditionalFormatting sqref="AH164">
    <cfRule type="expression" dxfId="1904" priority="2078">
      <formula>$AH$11="-"</formula>
    </cfRule>
  </conditionalFormatting>
  <conditionalFormatting sqref="AL164">
    <cfRule type="expression" dxfId="1903" priority="2077">
      <formula>$AL$11="-"</formula>
    </cfRule>
  </conditionalFormatting>
  <conditionalFormatting sqref="E163:H163">
    <cfRule type="expression" dxfId="1902" priority="2073">
      <formula>AND(ISTEXT(I163),ISBLANK(E163))</formula>
    </cfRule>
  </conditionalFormatting>
  <conditionalFormatting sqref="A163:K163">
    <cfRule type="expression" dxfId="1901" priority="2072">
      <formula>AND($I163&lt;&gt;"",$L163="")</formula>
    </cfRule>
  </conditionalFormatting>
  <conditionalFormatting sqref="Q163">
    <cfRule type="expression" dxfId="1900" priority="2067">
      <formula>$Q$11="-"</formula>
    </cfRule>
  </conditionalFormatting>
  <conditionalFormatting sqref="R163">
    <cfRule type="expression" dxfId="1899" priority="2066">
      <formula>$R$11="-"</formula>
    </cfRule>
  </conditionalFormatting>
  <conditionalFormatting sqref="S163">
    <cfRule type="expression" dxfId="1898" priority="2065">
      <formula>$S$11="-"</formula>
    </cfRule>
  </conditionalFormatting>
  <conditionalFormatting sqref="T163">
    <cfRule type="expression" dxfId="1897" priority="2064">
      <formula>$T$11="-"</formula>
    </cfRule>
  </conditionalFormatting>
  <conditionalFormatting sqref="AE163">
    <cfRule type="expression" dxfId="1896" priority="2063">
      <formula>$AE$11="-"</formula>
    </cfRule>
  </conditionalFormatting>
  <conditionalFormatting sqref="AF163">
    <cfRule type="expression" dxfId="1895" priority="2062">
      <formula>$AF$11="-"</formula>
    </cfRule>
  </conditionalFormatting>
  <conditionalFormatting sqref="AG163">
    <cfRule type="expression" dxfId="1894" priority="2061">
      <formula>$AG$11="-"</formula>
    </cfRule>
  </conditionalFormatting>
  <conditionalFormatting sqref="X163">
    <cfRule type="expression" dxfId="1893" priority="2060">
      <formula>$X$11="-"</formula>
    </cfRule>
  </conditionalFormatting>
  <conditionalFormatting sqref="Y163">
    <cfRule type="expression" dxfId="1892" priority="2059">
      <formula>$Y$11="-"</formula>
    </cfRule>
  </conditionalFormatting>
  <conditionalFormatting sqref="Z163">
    <cfRule type="expression" dxfId="1891" priority="2058">
      <formula>$Z$11="-"</formula>
    </cfRule>
  </conditionalFormatting>
  <conditionalFormatting sqref="AA163">
    <cfRule type="expression" dxfId="1890" priority="2057">
      <formula>$AA$11="-"</formula>
    </cfRule>
  </conditionalFormatting>
  <conditionalFormatting sqref="AN163">
    <cfRule type="expression" dxfId="1889" priority="2056">
      <formula>$AN$11="-"</formula>
    </cfRule>
  </conditionalFormatting>
  <conditionalFormatting sqref="AO163">
    <cfRule type="expression" dxfId="1888" priority="2055">
      <formula>$AO$11="-"</formula>
    </cfRule>
  </conditionalFormatting>
  <conditionalFormatting sqref="AM163">
    <cfRule type="expression" dxfId="1887" priority="2054">
      <formula>$AM$11="-"</formula>
    </cfRule>
  </conditionalFormatting>
  <conditionalFormatting sqref="AH163">
    <cfRule type="expression" dxfId="1886" priority="2053">
      <formula>$AH$11="-"</formula>
    </cfRule>
  </conditionalFormatting>
  <conditionalFormatting sqref="AL163">
    <cfRule type="expression" dxfId="1885" priority="2052">
      <formula>$AL$11="-"</formula>
    </cfRule>
  </conditionalFormatting>
  <conditionalFormatting sqref="E165:H165">
    <cfRule type="expression" dxfId="1884" priority="2048">
      <formula>AND(ISTEXT(I165),ISBLANK(E165))</formula>
    </cfRule>
  </conditionalFormatting>
  <conditionalFormatting sqref="A165:K165">
    <cfRule type="expression" dxfId="1883" priority="2047">
      <formula>AND($I165&lt;&gt;"",$L165="")</formula>
    </cfRule>
  </conditionalFormatting>
  <conditionalFormatting sqref="Q165">
    <cfRule type="expression" dxfId="1882" priority="2042">
      <formula>$Q$11="-"</formula>
    </cfRule>
  </conditionalFormatting>
  <conditionalFormatting sqref="R165">
    <cfRule type="expression" dxfId="1881" priority="2041">
      <formula>$R$11="-"</formula>
    </cfRule>
  </conditionalFormatting>
  <conditionalFormatting sqref="S165">
    <cfRule type="expression" dxfId="1880" priority="2040">
      <formula>$S$11="-"</formula>
    </cfRule>
  </conditionalFormatting>
  <conditionalFormatting sqref="T165">
    <cfRule type="expression" dxfId="1879" priority="2039">
      <formula>$T$11="-"</formula>
    </cfRule>
  </conditionalFormatting>
  <conditionalFormatting sqref="AE165">
    <cfRule type="expression" dxfId="1878" priority="2038">
      <formula>$AE$11="-"</formula>
    </cfRule>
  </conditionalFormatting>
  <conditionalFormatting sqref="AF165">
    <cfRule type="expression" dxfId="1877" priority="2037">
      <formula>$AF$11="-"</formula>
    </cfRule>
  </conditionalFormatting>
  <conditionalFormatting sqref="AG165">
    <cfRule type="expression" dxfId="1876" priority="2036">
      <formula>$AG$11="-"</formula>
    </cfRule>
  </conditionalFormatting>
  <conditionalFormatting sqref="X165">
    <cfRule type="expression" dxfId="1875" priority="2035">
      <formula>$X$11="-"</formula>
    </cfRule>
  </conditionalFormatting>
  <conditionalFormatting sqref="Y165">
    <cfRule type="expression" dxfId="1874" priority="2034">
      <formula>$Y$11="-"</formula>
    </cfRule>
  </conditionalFormatting>
  <conditionalFormatting sqref="Z165">
    <cfRule type="expression" dxfId="1873" priority="2033">
      <formula>$Z$11="-"</formula>
    </cfRule>
  </conditionalFormatting>
  <conditionalFormatting sqref="AA165">
    <cfRule type="expression" dxfId="1872" priority="2032">
      <formula>$AA$11="-"</formula>
    </cfRule>
  </conditionalFormatting>
  <conditionalFormatting sqref="AN165">
    <cfRule type="expression" dxfId="1871" priority="2031">
      <formula>$AN$11="-"</formula>
    </cfRule>
  </conditionalFormatting>
  <conditionalFormatting sqref="AO165">
    <cfRule type="expression" dxfId="1870" priority="2030">
      <formula>$AO$11="-"</formula>
    </cfRule>
  </conditionalFormatting>
  <conditionalFormatting sqref="AM165">
    <cfRule type="expression" dxfId="1869" priority="2029">
      <formula>$AM$11="-"</formula>
    </cfRule>
  </conditionalFormatting>
  <conditionalFormatting sqref="AH165">
    <cfRule type="expression" dxfId="1868" priority="2028">
      <formula>$AH$11="-"</formula>
    </cfRule>
  </conditionalFormatting>
  <conditionalFormatting sqref="AL165">
    <cfRule type="expression" dxfId="1867" priority="2027">
      <formula>$AL$11="-"</formula>
    </cfRule>
  </conditionalFormatting>
  <conditionalFormatting sqref="E166:H166">
    <cfRule type="expression" dxfId="1866" priority="2023">
      <formula>AND(ISTEXT(I166),ISBLANK(E166))</formula>
    </cfRule>
  </conditionalFormatting>
  <conditionalFormatting sqref="A166:K166">
    <cfRule type="expression" dxfId="1865" priority="2022">
      <formula>AND($I166&lt;&gt;"",$L166="")</formula>
    </cfRule>
  </conditionalFormatting>
  <conditionalFormatting sqref="Q166">
    <cfRule type="expression" dxfId="1864" priority="2017">
      <formula>$Q$11="-"</formula>
    </cfRule>
  </conditionalFormatting>
  <conditionalFormatting sqref="R166">
    <cfRule type="expression" dxfId="1863" priority="2016">
      <formula>$R$11="-"</formula>
    </cfRule>
  </conditionalFormatting>
  <conditionalFormatting sqref="S166">
    <cfRule type="expression" dxfId="1862" priority="2015">
      <formula>$S$11="-"</formula>
    </cfRule>
  </conditionalFormatting>
  <conditionalFormatting sqref="T166">
    <cfRule type="expression" dxfId="1861" priority="2014">
      <formula>$T$11="-"</formula>
    </cfRule>
  </conditionalFormatting>
  <conditionalFormatting sqref="AE166">
    <cfRule type="expression" dxfId="1860" priority="2013">
      <formula>$AE$11="-"</formula>
    </cfRule>
  </conditionalFormatting>
  <conditionalFormatting sqref="AF166">
    <cfRule type="expression" dxfId="1859" priority="2012">
      <formula>$AF$11="-"</formula>
    </cfRule>
  </conditionalFormatting>
  <conditionalFormatting sqref="AG166">
    <cfRule type="expression" dxfId="1858" priority="2011">
      <formula>$AG$11="-"</formula>
    </cfRule>
  </conditionalFormatting>
  <conditionalFormatting sqref="X166">
    <cfRule type="expression" dxfId="1857" priority="2010">
      <formula>$X$11="-"</formula>
    </cfRule>
  </conditionalFormatting>
  <conditionalFormatting sqref="Y166">
    <cfRule type="expression" dxfId="1856" priority="2009">
      <formula>$Y$11="-"</formula>
    </cfRule>
  </conditionalFormatting>
  <conditionalFormatting sqref="Z166">
    <cfRule type="expression" dxfId="1855" priority="2008">
      <formula>$Z$11="-"</formula>
    </cfRule>
  </conditionalFormatting>
  <conditionalFormatting sqref="AA166">
    <cfRule type="expression" dxfId="1854" priority="2007">
      <formula>$AA$11="-"</formula>
    </cfRule>
  </conditionalFormatting>
  <conditionalFormatting sqref="AN166">
    <cfRule type="expression" dxfId="1853" priority="2006">
      <formula>$AN$11="-"</formula>
    </cfRule>
  </conditionalFormatting>
  <conditionalFormatting sqref="AO166">
    <cfRule type="expression" dxfId="1852" priority="2005">
      <formula>$AO$11="-"</formula>
    </cfRule>
  </conditionalFormatting>
  <conditionalFormatting sqref="AM166">
    <cfRule type="expression" dxfId="1851" priority="2004">
      <formula>$AM$11="-"</formula>
    </cfRule>
  </conditionalFormatting>
  <conditionalFormatting sqref="AH166">
    <cfRule type="expression" dxfId="1850" priority="2003">
      <formula>$AH$11="-"</formula>
    </cfRule>
  </conditionalFormatting>
  <conditionalFormatting sqref="AL166">
    <cfRule type="expression" dxfId="1849" priority="2002">
      <formula>$AL$11="-"</formula>
    </cfRule>
  </conditionalFormatting>
  <conditionalFormatting sqref="E168:H168">
    <cfRule type="expression" dxfId="1848" priority="1998">
      <formula>AND(ISTEXT(I168),ISBLANK(E168))</formula>
    </cfRule>
  </conditionalFormatting>
  <conditionalFormatting sqref="A168:K168">
    <cfRule type="expression" dxfId="1847" priority="1997">
      <formula>AND($I168&lt;&gt;"",$L168="")</formula>
    </cfRule>
  </conditionalFormatting>
  <conditionalFormatting sqref="Q168">
    <cfRule type="expression" dxfId="1846" priority="1992">
      <formula>$Q$11="-"</formula>
    </cfRule>
  </conditionalFormatting>
  <conditionalFormatting sqref="R168">
    <cfRule type="expression" dxfId="1845" priority="1991">
      <formula>$R$11="-"</formula>
    </cfRule>
  </conditionalFormatting>
  <conditionalFormatting sqref="S168">
    <cfRule type="expression" dxfId="1844" priority="1990">
      <formula>$S$11="-"</formula>
    </cfRule>
  </conditionalFormatting>
  <conditionalFormatting sqref="T168">
    <cfRule type="expression" dxfId="1843" priority="1989">
      <formula>$T$11="-"</formula>
    </cfRule>
  </conditionalFormatting>
  <conditionalFormatting sqref="AE168">
    <cfRule type="expression" dxfId="1842" priority="1988">
      <formula>$AE$11="-"</formula>
    </cfRule>
  </conditionalFormatting>
  <conditionalFormatting sqref="AF168">
    <cfRule type="expression" dxfId="1841" priority="1987">
      <formula>$AF$11="-"</formula>
    </cfRule>
  </conditionalFormatting>
  <conditionalFormatting sqref="AG168">
    <cfRule type="expression" dxfId="1840" priority="1986">
      <formula>$AG$11="-"</formula>
    </cfRule>
  </conditionalFormatting>
  <conditionalFormatting sqref="X168">
    <cfRule type="expression" dxfId="1839" priority="1985">
      <formula>$X$11="-"</formula>
    </cfRule>
  </conditionalFormatting>
  <conditionalFormatting sqref="Y168">
    <cfRule type="expression" dxfId="1838" priority="1984">
      <formula>$Y$11="-"</formula>
    </cfRule>
  </conditionalFormatting>
  <conditionalFormatting sqref="Z168">
    <cfRule type="expression" dxfId="1837" priority="1983">
      <formula>$Z$11="-"</formula>
    </cfRule>
  </conditionalFormatting>
  <conditionalFormatting sqref="AA168">
    <cfRule type="expression" dxfId="1836" priority="1982">
      <formula>$AA$11="-"</formula>
    </cfRule>
  </conditionalFormatting>
  <conditionalFormatting sqref="AN168">
    <cfRule type="expression" dxfId="1835" priority="1981">
      <formula>$AN$11="-"</formula>
    </cfRule>
  </conditionalFormatting>
  <conditionalFormatting sqref="AO168">
    <cfRule type="expression" dxfId="1834" priority="1980">
      <formula>$AO$11="-"</formula>
    </cfRule>
  </conditionalFormatting>
  <conditionalFormatting sqref="AM168">
    <cfRule type="expression" dxfId="1833" priority="1979">
      <formula>$AM$11="-"</formula>
    </cfRule>
  </conditionalFormatting>
  <conditionalFormatting sqref="AH168">
    <cfRule type="expression" dxfId="1832" priority="1978">
      <formula>$AH$11="-"</formula>
    </cfRule>
  </conditionalFormatting>
  <conditionalFormatting sqref="AL168">
    <cfRule type="expression" dxfId="1831" priority="1977">
      <formula>$AL$11="-"</formula>
    </cfRule>
  </conditionalFormatting>
  <conditionalFormatting sqref="E167:H167">
    <cfRule type="expression" dxfId="1830" priority="1973">
      <formula>AND(ISTEXT(I167),ISBLANK(E167))</formula>
    </cfRule>
  </conditionalFormatting>
  <conditionalFormatting sqref="A167:K167">
    <cfRule type="expression" dxfId="1829" priority="1972">
      <formula>AND($I167&lt;&gt;"",$L167="")</formula>
    </cfRule>
  </conditionalFormatting>
  <conditionalFormatting sqref="Q167">
    <cfRule type="expression" dxfId="1828" priority="1967">
      <formula>$Q$11="-"</formula>
    </cfRule>
  </conditionalFormatting>
  <conditionalFormatting sqref="R167">
    <cfRule type="expression" dxfId="1827" priority="1966">
      <formula>$R$11="-"</formula>
    </cfRule>
  </conditionalFormatting>
  <conditionalFormatting sqref="S167">
    <cfRule type="expression" dxfId="1826" priority="1965">
      <formula>$S$11="-"</formula>
    </cfRule>
  </conditionalFormatting>
  <conditionalFormatting sqref="T167">
    <cfRule type="expression" dxfId="1825" priority="1964">
      <formula>$T$11="-"</formula>
    </cfRule>
  </conditionalFormatting>
  <conditionalFormatting sqref="AE167">
    <cfRule type="expression" dxfId="1824" priority="1963">
      <formula>$AE$11="-"</formula>
    </cfRule>
  </conditionalFormatting>
  <conditionalFormatting sqref="AF167">
    <cfRule type="expression" dxfId="1823" priority="1962">
      <formula>$AF$11="-"</formula>
    </cfRule>
  </conditionalFormatting>
  <conditionalFormatting sqref="AG167">
    <cfRule type="expression" dxfId="1822" priority="1961">
      <formula>$AG$11="-"</formula>
    </cfRule>
  </conditionalFormatting>
  <conditionalFormatting sqref="X167">
    <cfRule type="expression" dxfId="1821" priority="1960">
      <formula>$X$11="-"</formula>
    </cfRule>
  </conditionalFormatting>
  <conditionalFormatting sqref="Y167">
    <cfRule type="expression" dxfId="1820" priority="1959">
      <formula>$Y$11="-"</formula>
    </cfRule>
  </conditionalFormatting>
  <conditionalFormatting sqref="Z167">
    <cfRule type="expression" dxfId="1819" priority="1958">
      <formula>$Z$11="-"</formula>
    </cfRule>
  </conditionalFormatting>
  <conditionalFormatting sqref="AA167">
    <cfRule type="expression" dxfId="1818" priority="1957">
      <formula>$AA$11="-"</formula>
    </cfRule>
  </conditionalFormatting>
  <conditionalFormatting sqref="AN167">
    <cfRule type="expression" dxfId="1817" priority="1956">
      <formula>$AN$11="-"</formula>
    </cfRule>
  </conditionalFormatting>
  <conditionalFormatting sqref="AO167">
    <cfRule type="expression" dxfId="1816" priority="1955">
      <formula>$AO$11="-"</formula>
    </cfRule>
  </conditionalFormatting>
  <conditionalFormatting sqref="AM167">
    <cfRule type="expression" dxfId="1815" priority="1954">
      <formula>$AM$11="-"</formula>
    </cfRule>
  </conditionalFormatting>
  <conditionalFormatting sqref="AH167">
    <cfRule type="expression" dxfId="1814" priority="1953">
      <formula>$AH$11="-"</formula>
    </cfRule>
  </conditionalFormatting>
  <conditionalFormatting sqref="AL167">
    <cfRule type="expression" dxfId="1813" priority="1952">
      <formula>$AL$11="-"</formula>
    </cfRule>
  </conditionalFormatting>
  <conditionalFormatting sqref="E169:H169">
    <cfRule type="expression" dxfId="1812" priority="1948">
      <formula>AND(ISTEXT(I169),ISBLANK(E169))</formula>
    </cfRule>
  </conditionalFormatting>
  <conditionalFormatting sqref="A169:K169">
    <cfRule type="expression" dxfId="1811" priority="1947">
      <formula>AND($I169&lt;&gt;"",$L169="")</formula>
    </cfRule>
  </conditionalFormatting>
  <conditionalFormatting sqref="Q169">
    <cfRule type="expression" dxfId="1810" priority="1942">
      <formula>$Q$11="-"</formula>
    </cfRule>
  </conditionalFormatting>
  <conditionalFormatting sqref="R169">
    <cfRule type="expression" dxfId="1809" priority="1941">
      <formula>$R$11="-"</formula>
    </cfRule>
  </conditionalFormatting>
  <conditionalFormatting sqref="S169">
    <cfRule type="expression" dxfId="1808" priority="1940">
      <formula>$S$11="-"</formula>
    </cfRule>
  </conditionalFormatting>
  <conditionalFormatting sqref="T169">
    <cfRule type="expression" dxfId="1807" priority="1939">
      <formula>$T$11="-"</formula>
    </cfRule>
  </conditionalFormatting>
  <conditionalFormatting sqref="AE169">
    <cfRule type="expression" dxfId="1806" priority="1938">
      <formula>$AE$11="-"</formula>
    </cfRule>
  </conditionalFormatting>
  <conditionalFormatting sqref="AF169">
    <cfRule type="expression" dxfId="1805" priority="1937">
      <formula>$AF$11="-"</formula>
    </cfRule>
  </conditionalFormatting>
  <conditionalFormatting sqref="AG169">
    <cfRule type="expression" dxfId="1804" priority="1936">
      <formula>$AG$11="-"</formula>
    </cfRule>
  </conditionalFormatting>
  <conditionalFormatting sqref="X169">
    <cfRule type="expression" dxfId="1803" priority="1935">
      <formula>$X$11="-"</formula>
    </cfRule>
  </conditionalFormatting>
  <conditionalFormatting sqref="Y169">
    <cfRule type="expression" dxfId="1802" priority="1934">
      <formula>$Y$11="-"</formula>
    </cfRule>
  </conditionalFormatting>
  <conditionalFormatting sqref="Z169">
    <cfRule type="expression" dxfId="1801" priority="1933">
      <formula>$Z$11="-"</formula>
    </cfRule>
  </conditionalFormatting>
  <conditionalFormatting sqref="AA169">
    <cfRule type="expression" dxfId="1800" priority="1932">
      <formula>$AA$11="-"</formula>
    </cfRule>
  </conditionalFormatting>
  <conditionalFormatting sqref="AN169">
    <cfRule type="expression" dxfId="1799" priority="1931">
      <formula>$AN$11="-"</formula>
    </cfRule>
  </conditionalFormatting>
  <conditionalFormatting sqref="AO169">
    <cfRule type="expression" dxfId="1798" priority="1930">
      <formula>$AO$11="-"</formula>
    </cfRule>
  </conditionalFormatting>
  <conditionalFormatting sqref="AM169">
    <cfRule type="expression" dxfId="1797" priority="1929">
      <formula>$AM$11="-"</formula>
    </cfRule>
  </conditionalFormatting>
  <conditionalFormatting sqref="AH169">
    <cfRule type="expression" dxfId="1796" priority="1928">
      <formula>$AH$11="-"</formula>
    </cfRule>
  </conditionalFormatting>
  <conditionalFormatting sqref="AL169">
    <cfRule type="expression" dxfId="1795" priority="1927">
      <formula>$AL$11="-"</formula>
    </cfRule>
  </conditionalFormatting>
  <conditionalFormatting sqref="E170:H170">
    <cfRule type="expression" dxfId="1794" priority="1923">
      <formula>AND(ISTEXT(I170),ISBLANK(E170))</formula>
    </cfRule>
  </conditionalFormatting>
  <conditionalFormatting sqref="A170:K170">
    <cfRule type="expression" dxfId="1793" priority="1922">
      <formula>AND($I170&lt;&gt;"",$L170="")</formula>
    </cfRule>
  </conditionalFormatting>
  <conditionalFormatting sqref="Q170">
    <cfRule type="expression" dxfId="1792" priority="1917">
      <formula>$Q$11="-"</formula>
    </cfRule>
  </conditionalFormatting>
  <conditionalFormatting sqref="R170">
    <cfRule type="expression" dxfId="1791" priority="1916">
      <formula>$R$11="-"</formula>
    </cfRule>
  </conditionalFormatting>
  <conditionalFormatting sqref="S170">
    <cfRule type="expression" dxfId="1790" priority="1915">
      <formula>$S$11="-"</formula>
    </cfRule>
  </conditionalFormatting>
  <conditionalFormatting sqref="T170">
    <cfRule type="expression" dxfId="1789" priority="1914">
      <formula>$T$11="-"</formula>
    </cfRule>
  </conditionalFormatting>
  <conditionalFormatting sqref="AE170">
    <cfRule type="expression" dxfId="1788" priority="1913">
      <formula>$AE$11="-"</formula>
    </cfRule>
  </conditionalFormatting>
  <conditionalFormatting sqref="AF170">
    <cfRule type="expression" dxfId="1787" priority="1912">
      <formula>$AF$11="-"</formula>
    </cfRule>
  </conditionalFormatting>
  <conditionalFormatting sqref="AG170">
    <cfRule type="expression" dxfId="1786" priority="1911">
      <formula>$AG$11="-"</formula>
    </cfRule>
  </conditionalFormatting>
  <conditionalFormatting sqref="X170">
    <cfRule type="expression" dxfId="1785" priority="1910">
      <formula>$X$11="-"</formula>
    </cfRule>
  </conditionalFormatting>
  <conditionalFormatting sqref="Y170">
    <cfRule type="expression" dxfId="1784" priority="1909">
      <formula>$Y$11="-"</formula>
    </cfRule>
  </conditionalFormatting>
  <conditionalFormatting sqref="Z170">
    <cfRule type="expression" dxfId="1783" priority="1908">
      <formula>$Z$11="-"</formula>
    </cfRule>
  </conditionalFormatting>
  <conditionalFormatting sqref="AA170">
    <cfRule type="expression" dxfId="1782" priority="1907">
      <formula>$AA$11="-"</formula>
    </cfRule>
  </conditionalFormatting>
  <conditionalFormatting sqref="AN170">
    <cfRule type="expression" dxfId="1781" priority="1906">
      <formula>$AN$11="-"</formula>
    </cfRule>
  </conditionalFormatting>
  <conditionalFormatting sqref="AO170">
    <cfRule type="expression" dxfId="1780" priority="1905">
      <formula>$AO$11="-"</formula>
    </cfRule>
  </conditionalFormatting>
  <conditionalFormatting sqref="AM170">
    <cfRule type="expression" dxfId="1779" priority="1904">
      <formula>$AM$11="-"</formula>
    </cfRule>
  </conditionalFormatting>
  <conditionalFormatting sqref="AH170">
    <cfRule type="expression" dxfId="1778" priority="1903">
      <formula>$AH$11="-"</formula>
    </cfRule>
  </conditionalFormatting>
  <conditionalFormatting sqref="AL170">
    <cfRule type="expression" dxfId="1777" priority="1902">
      <formula>$AL$11="-"</formula>
    </cfRule>
  </conditionalFormatting>
  <conditionalFormatting sqref="E172:H172">
    <cfRule type="expression" dxfId="1776" priority="1898">
      <formula>AND(ISTEXT(I172),ISBLANK(E172))</formula>
    </cfRule>
  </conditionalFormatting>
  <conditionalFormatting sqref="A172:K172">
    <cfRule type="expression" dxfId="1775" priority="1897">
      <formula>AND($I172&lt;&gt;"",$L172="")</formula>
    </cfRule>
  </conditionalFormatting>
  <conditionalFormatting sqref="Q172">
    <cfRule type="expression" dxfId="1774" priority="1892">
      <formula>$Q$11="-"</formula>
    </cfRule>
  </conditionalFormatting>
  <conditionalFormatting sqref="R172">
    <cfRule type="expression" dxfId="1773" priority="1891">
      <formula>$R$11="-"</formula>
    </cfRule>
  </conditionalFormatting>
  <conditionalFormatting sqref="S172">
    <cfRule type="expression" dxfId="1772" priority="1890">
      <formula>$S$11="-"</formula>
    </cfRule>
  </conditionalFormatting>
  <conditionalFormatting sqref="T172">
    <cfRule type="expression" dxfId="1771" priority="1889">
      <formula>$T$11="-"</formula>
    </cfRule>
  </conditionalFormatting>
  <conditionalFormatting sqref="AE172">
    <cfRule type="expression" dxfId="1770" priority="1888">
      <formula>$AE$11="-"</formula>
    </cfRule>
  </conditionalFormatting>
  <conditionalFormatting sqref="AF172">
    <cfRule type="expression" dxfId="1769" priority="1887">
      <formula>$AF$11="-"</formula>
    </cfRule>
  </conditionalFormatting>
  <conditionalFormatting sqref="AG172">
    <cfRule type="expression" dxfId="1768" priority="1886">
      <formula>$AG$11="-"</formula>
    </cfRule>
  </conditionalFormatting>
  <conditionalFormatting sqref="X172">
    <cfRule type="expression" dxfId="1767" priority="1885">
      <formula>$X$11="-"</formula>
    </cfRule>
  </conditionalFormatting>
  <conditionalFormatting sqref="Y172">
    <cfRule type="expression" dxfId="1766" priority="1884">
      <formula>$Y$11="-"</formula>
    </cfRule>
  </conditionalFormatting>
  <conditionalFormatting sqref="Z172">
    <cfRule type="expression" dxfId="1765" priority="1883">
      <formula>$Z$11="-"</formula>
    </cfRule>
  </conditionalFormatting>
  <conditionalFormatting sqref="AA172">
    <cfRule type="expression" dxfId="1764" priority="1882">
      <formula>$AA$11="-"</formula>
    </cfRule>
  </conditionalFormatting>
  <conditionalFormatting sqref="AN172">
    <cfRule type="expression" dxfId="1763" priority="1881">
      <formula>$AN$11="-"</formula>
    </cfRule>
  </conditionalFormatting>
  <conditionalFormatting sqref="AO172">
    <cfRule type="expression" dxfId="1762" priority="1880">
      <formula>$AO$11="-"</formula>
    </cfRule>
  </conditionalFormatting>
  <conditionalFormatting sqref="AM172">
    <cfRule type="expression" dxfId="1761" priority="1879">
      <formula>$AM$11="-"</formula>
    </cfRule>
  </conditionalFormatting>
  <conditionalFormatting sqref="AH172">
    <cfRule type="expression" dxfId="1760" priority="1878">
      <formula>$AH$11="-"</formula>
    </cfRule>
  </conditionalFormatting>
  <conditionalFormatting sqref="AL172">
    <cfRule type="expression" dxfId="1759" priority="1877">
      <formula>$AL$11="-"</formula>
    </cfRule>
  </conditionalFormatting>
  <conditionalFormatting sqref="E171:H171">
    <cfRule type="expression" dxfId="1758" priority="1873">
      <formula>AND(ISTEXT(I171),ISBLANK(E171))</formula>
    </cfRule>
  </conditionalFormatting>
  <conditionalFormatting sqref="A171:K171">
    <cfRule type="expression" dxfId="1757" priority="1872">
      <formula>AND($I171&lt;&gt;"",$L171="")</formula>
    </cfRule>
  </conditionalFormatting>
  <conditionalFormatting sqref="Q171">
    <cfRule type="expression" dxfId="1756" priority="1867">
      <formula>$Q$11="-"</formula>
    </cfRule>
  </conditionalFormatting>
  <conditionalFormatting sqref="R171">
    <cfRule type="expression" dxfId="1755" priority="1866">
      <formula>$R$11="-"</formula>
    </cfRule>
  </conditionalFormatting>
  <conditionalFormatting sqref="S171">
    <cfRule type="expression" dxfId="1754" priority="1865">
      <formula>$S$11="-"</formula>
    </cfRule>
  </conditionalFormatting>
  <conditionalFormatting sqref="T171">
    <cfRule type="expression" dxfId="1753" priority="1864">
      <formula>$T$11="-"</formula>
    </cfRule>
  </conditionalFormatting>
  <conditionalFormatting sqref="AE171">
    <cfRule type="expression" dxfId="1752" priority="1863">
      <formula>$AE$11="-"</formula>
    </cfRule>
  </conditionalFormatting>
  <conditionalFormatting sqref="AF171">
    <cfRule type="expression" dxfId="1751" priority="1862">
      <formula>$AF$11="-"</formula>
    </cfRule>
  </conditionalFormatting>
  <conditionalFormatting sqref="AG171">
    <cfRule type="expression" dxfId="1750" priority="1861">
      <formula>$AG$11="-"</formula>
    </cfRule>
  </conditionalFormatting>
  <conditionalFormatting sqref="X171">
    <cfRule type="expression" dxfId="1749" priority="1860">
      <formula>$X$11="-"</formula>
    </cfRule>
  </conditionalFormatting>
  <conditionalFormatting sqref="Y171">
    <cfRule type="expression" dxfId="1748" priority="1859">
      <formula>$Y$11="-"</formula>
    </cfRule>
  </conditionalFormatting>
  <conditionalFormatting sqref="Z171">
    <cfRule type="expression" dxfId="1747" priority="1858">
      <formula>$Z$11="-"</formula>
    </cfRule>
  </conditionalFormatting>
  <conditionalFormatting sqref="AA171">
    <cfRule type="expression" dxfId="1746" priority="1857">
      <formula>$AA$11="-"</formula>
    </cfRule>
  </conditionalFormatting>
  <conditionalFormatting sqref="AN171">
    <cfRule type="expression" dxfId="1745" priority="1856">
      <formula>$AN$11="-"</formula>
    </cfRule>
  </conditionalFormatting>
  <conditionalFormatting sqref="AO171">
    <cfRule type="expression" dxfId="1744" priority="1855">
      <formula>$AO$11="-"</formula>
    </cfRule>
  </conditionalFormatting>
  <conditionalFormatting sqref="AM171">
    <cfRule type="expression" dxfId="1743" priority="1854">
      <formula>$AM$11="-"</formula>
    </cfRule>
  </conditionalFormatting>
  <conditionalFormatting sqref="AH171">
    <cfRule type="expression" dxfId="1742" priority="1853">
      <formula>$AH$11="-"</formula>
    </cfRule>
  </conditionalFormatting>
  <conditionalFormatting sqref="AL171">
    <cfRule type="expression" dxfId="1741" priority="1852">
      <formula>$AL$11="-"</formula>
    </cfRule>
  </conditionalFormatting>
  <conditionalFormatting sqref="E173:H173">
    <cfRule type="expression" dxfId="1740" priority="1848">
      <formula>AND(ISTEXT(I173),ISBLANK(E173))</formula>
    </cfRule>
  </conditionalFormatting>
  <conditionalFormatting sqref="A173:K173">
    <cfRule type="expression" dxfId="1739" priority="1847">
      <formula>AND($I173&lt;&gt;"",$L173="")</formula>
    </cfRule>
  </conditionalFormatting>
  <conditionalFormatting sqref="Q173">
    <cfRule type="expression" dxfId="1738" priority="1842">
      <formula>$Q$11="-"</formula>
    </cfRule>
  </conditionalFormatting>
  <conditionalFormatting sqref="R173">
    <cfRule type="expression" dxfId="1737" priority="1841">
      <formula>$R$11="-"</formula>
    </cfRule>
  </conditionalFormatting>
  <conditionalFormatting sqref="S173">
    <cfRule type="expression" dxfId="1736" priority="1840">
      <formula>$S$11="-"</formula>
    </cfRule>
  </conditionalFormatting>
  <conditionalFormatting sqref="T173">
    <cfRule type="expression" dxfId="1735" priority="1839">
      <formula>$T$11="-"</formula>
    </cfRule>
  </conditionalFormatting>
  <conditionalFormatting sqref="AE173">
    <cfRule type="expression" dxfId="1734" priority="1838">
      <formula>$AE$11="-"</formula>
    </cfRule>
  </conditionalFormatting>
  <conditionalFormatting sqref="AF173">
    <cfRule type="expression" dxfId="1733" priority="1837">
      <formula>$AF$11="-"</formula>
    </cfRule>
  </conditionalFormatting>
  <conditionalFormatting sqref="AG173">
    <cfRule type="expression" dxfId="1732" priority="1836">
      <formula>$AG$11="-"</formula>
    </cfRule>
  </conditionalFormatting>
  <conditionalFormatting sqref="X173">
    <cfRule type="expression" dxfId="1731" priority="1835">
      <formula>$X$11="-"</formula>
    </cfRule>
  </conditionalFormatting>
  <conditionalFormatting sqref="Y173">
    <cfRule type="expression" dxfId="1730" priority="1834">
      <formula>$Y$11="-"</formula>
    </cfRule>
  </conditionalFormatting>
  <conditionalFormatting sqref="Z173">
    <cfRule type="expression" dxfId="1729" priority="1833">
      <formula>$Z$11="-"</formula>
    </cfRule>
  </conditionalFormatting>
  <conditionalFormatting sqref="AA173">
    <cfRule type="expression" dxfId="1728" priority="1832">
      <formula>$AA$11="-"</formula>
    </cfRule>
  </conditionalFormatting>
  <conditionalFormatting sqref="AN173">
    <cfRule type="expression" dxfId="1727" priority="1831">
      <formula>$AN$11="-"</formula>
    </cfRule>
  </conditionalFormatting>
  <conditionalFormatting sqref="AO173">
    <cfRule type="expression" dxfId="1726" priority="1830">
      <formula>$AO$11="-"</formula>
    </cfRule>
  </conditionalFormatting>
  <conditionalFormatting sqref="AM173">
    <cfRule type="expression" dxfId="1725" priority="1829">
      <formula>$AM$11="-"</formula>
    </cfRule>
  </conditionalFormatting>
  <conditionalFormatting sqref="AH173">
    <cfRule type="expression" dxfId="1724" priority="1828">
      <formula>$AH$11="-"</formula>
    </cfRule>
  </conditionalFormatting>
  <conditionalFormatting sqref="AL173">
    <cfRule type="expression" dxfId="1723" priority="1827">
      <formula>$AL$11="-"</formula>
    </cfRule>
  </conditionalFormatting>
  <conditionalFormatting sqref="E174:H174">
    <cfRule type="expression" dxfId="1722" priority="1823">
      <formula>AND(ISTEXT(I174),ISBLANK(E174))</formula>
    </cfRule>
  </conditionalFormatting>
  <conditionalFormatting sqref="A174:K174">
    <cfRule type="expression" dxfId="1721" priority="1822">
      <formula>AND($I174&lt;&gt;"",$L174="")</formula>
    </cfRule>
  </conditionalFormatting>
  <conditionalFormatting sqref="Q174">
    <cfRule type="expression" dxfId="1720" priority="1817">
      <formula>$Q$11="-"</formula>
    </cfRule>
  </conditionalFormatting>
  <conditionalFormatting sqref="R174">
    <cfRule type="expression" dxfId="1719" priority="1816">
      <formula>$R$11="-"</formula>
    </cfRule>
  </conditionalFormatting>
  <conditionalFormatting sqref="S174">
    <cfRule type="expression" dxfId="1718" priority="1815">
      <formula>$S$11="-"</formula>
    </cfRule>
  </conditionalFormatting>
  <conditionalFormatting sqref="T174">
    <cfRule type="expression" dxfId="1717" priority="1814">
      <formula>$T$11="-"</formula>
    </cfRule>
  </conditionalFormatting>
  <conditionalFormatting sqref="AE174">
    <cfRule type="expression" dxfId="1716" priority="1813">
      <formula>$AE$11="-"</formula>
    </cfRule>
  </conditionalFormatting>
  <conditionalFormatting sqref="AF174">
    <cfRule type="expression" dxfId="1715" priority="1812">
      <formula>$AF$11="-"</formula>
    </cfRule>
  </conditionalFormatting>
  <conditionalFormatting sqref="AG174">
    <cfRule type="expression" dxfId="1714" priority="1811">
      <formula>$AG$11="-"</formula>
    </cfRule>
  </conditionalFormatting>
  <conditionalFormatting sqref="X174">
    <cfRule type="expression" dxfId="1713" priority="1810">
      <formula>$X$11="-"</formula>
    </cfRule>
  </conditionalFormatting>
  <conditionalFormatting sqref="Y174">
    <cfRule type="expression" dxfId="1712" priority="1809">
      <formula>$Y$11="-"</formula>
    </cfRule>
  </conditionalFormatting>
  <conditionalFormatting sqref="Z174">
    <cfRule type="expression" dxfId="1711" priority="1808">
      <formula>$Z$11="-"</formula>
    </cfRule>
  </conditionalFormatting>
  <conditionalFormatting sqref="AA174">
    <cfRule type="expression" dxfId="1710" priority="1807">
      <formula>$AA$11="-"</formula>
    </cfRule>
  </conditionalFormatting>
  <conditionalFormatting sqref="AN174">
    <cfRule type="expression" dxfId="1709" priority="1806">
      <formula>$AN$11="-"</formula>
    </cfRule>
  </conditionalFormatting>
  <conditionalFormatting sqref="AO174">
    <cfRule type="expression" dxfId="1708" priority="1805">
      <formula>$AO$11="-"</formula>
    </cfRule>
  </conditionalFormatting>
  <conditionalFormatting sqref="AM174">
    <cfRule type="expression" dxfId="1707" priority="1804">
      <formula>$AM$11="-"</formula>
    </cfRule>
  </conditionalFormatting>
  <conditionalFormatting sqref="AH174">
    <cfRule type="expression" dxfId="1706" priority="1803">
      <formula>$AH$11="-"</formula>
    </cfRule>
  </conditionalFormatting>
  <conditionalFormatting sqref="AL174">
    <cfRule type="expression" dxfId="1705" priority="1802">
      <formula>$AL$11="-"</formula>
    </cfRule>
  </conditionalFormatting>
  <conditionalFormatting sqref="E176:H176">
    <cfRule type="expression" dxfId="1704" priority="1798">
      <formula>AND(ISTEXT(I176),ISBLANK(E176))</formula>
    </cfRule>
  </conditionalFormatting>
  <conditionalFormatting sqref="A176:K176">
    <cfRule type="expression" dxfId="1703" priority="1797">
      <formula>AND($I176&lt;&gt;"",$L176="")</formula>
    </cfRule>
  </conditionalFormatting>
  <conditionalFormatting sqref="Q176">
    <cfRule type="expression" dxfId="1702" priority="1792">
      <formula>$Q$11="-"</formula>
    </cfRule>
  </conditionalFormatting>
  <conditionalFormatting sqref="R176">
    <cfRule type="expression" dxfId="1701" priority="1791">
      <formula>$R$11="-"</formula>
    </cfRule>
  </conditionalFormatting>
  <conditionalFormatting sqref="S176">
    <cfRule type="expression" dxfId="1700" priority="1790">
      <formula>$S$11="-"</formula>
    </cfRule>
  </conditionalFormatting>
  <conditionalFormatting sqref="T176">
    <cfRule type="expression" dxfId="1699" priority="1789">
      <formula>$T$11="-"</formula>
    </cfRule>
  </conditionalFormatting>
  <conditionalFormatting sqref="AE176">
    <cfRule type="expression" dxfId="1698" priority="1788">
      <formula>$AE$11="-"</formula>
    </cfRule>
  </conditionalFormatting>
  <conditionalFormatting sqref="AF176">
    <cfRule type="expression" dxfId="1697" priority="1787">
      <formula>$AF$11="-"</formula>
    </cfRule>
  </conditionalFormatting>
  <conditionalFormatting sqref="AG176">
    <cfRule type="expression" dxfId="1696" priority="1786">
      <formula>$AG$11="-"</formula>
    </cfRule>
  </conditionalFormatting>
  <conditionalFormatting sqref="X176">
    <cfRule type="expression" dxfId="1695" priority="1785">
      <formula>$X$11="-"</formula>
    </cfRule>
  </conditionalFormatting>
  <conditionalFormatting sqref="Y176">
    <cfRule type="expression" dxfId="1694" priority="1784">
      <formula>$Y$11="-"</formula>
    </cfRule>
  </conditionalFormatting>
  <conditionalFormatting sqref="Z176">
    <cfRule type="expression" dxfId="1693" priority="1783">
      <formula>$Z$11="-"</formula>
    </cfRule>
  </conditionalFormatting>
  <conditionalFormatting sqref="AA176">
    <cfRule type="expression" dxfId="1692" priority="1782">
      <formula>$AA$11="-"</formula>
    </cfRule>
  </conditionalFormatting>
  <conditionalFormatting sqref="AN176">
    <cfRule type="expression" dxfId="1691" priority="1781">
      <formula>$AN$11="-"</formula>
    </cfRule>
  </conditionalFormatting>
  <conditionalFormatting sqref="AO176">
    <cfRule type="expression" dxfId="1690" priority="1780">
      <formula>$AO$11="-"</formula>
    </cfRule>
  </conditionalFormatting>
  <conditionalFormatting sqref="AM176">
    <cfRule type="expression" dxfId="1689" priority="1779">
      <formula>$AM$11="-"</formula>
    </cfRule>
  </conditionalFormatting>
  <conditionalFormatting sqref="AH176">
    <cfRule type="expression" dxfId="1688" priority="1778">
      <formula>$AH$11="-"</formula>
    </cfRule>
  </conditionalFormatting>
  <conditionalFormatting sqref="AL176">
    <cfRule type="expression" dxfId="1687" priority="1777">
      <formula>$AL$11="-"</formula>
    </cfRule>
  </conditionalFormatting>
  <conditionalFormatting sqref="E175:H175">
    <cfRule type="expression" dxfId="1686" priority="1773">
      <formula>AND(ISTEXT(I175),ISBLANK(E175))</formula>
    </cfRule>
  </conditionalFormatting>
  <conditionalFormatting sqref="A175:K175">
    <cfRule type="expression" dxfId="1685" priority="1772">
      <formula>AND($I175&lt;&gt;"",$L175="")</formula>
    </cfRule>
  </conditionalFormatting>
  <conditionalFormatting sqref="Q175">
    <cfRule type="expression" dxfId="1684" priority="1767">
      <formula>$Q$11="-"</formula>
    </cfRule>
  </conditionalFormatting>
  <conditionalFormatting sqref="R175">
    <cfRule type="expression" dxfId="1683" priority="1766">
      <formula>$R$11="-"</formula>
    </cfRule>
  </conditionalFormatting>
  <conditionalFormatting sqref="S175">
    <cfRule type="expression" dxfId="1682" priority="1765">
      <formula>$S$11="-"</formula>
    </cfRule>
  </conditionalFormatting>
  <conditionalFormatting sqref="T175">
    <cfRule type="expression" dxfId="1681" priority="1764">
      <formula>$T$11="-"</formula>
    </cfRule>
  </conditionalFormatting>
  <conditionalFormatting sqref="AE175">
    <cfRule type="expression" dxfId="1680" priority="1763">
      <formula>$AE$11="-"</formula>
    </cfRule>
  </conditionalFormatting>
  <conditionalFormatting sqref="AF175">
    <cfRule type="expression" dxfId="1679" priority="1762">
      <formula>$AF$11="-"</formula>
    </cfRule>
  </conditionalFormatting>
  <conditionalFormatting sqref="AG175">
    <cfRule type="expression" dxfId="1678" priority="1761">
      <formula>$AG$11="-"</formula>
    </cfRule>
  </conditionalFormatting>
  <conditionalFormatting sqref="X175">
    <cfRule type="expression" dxfId="1677" priority="1760">
      <formula>$X$11="-"</formula>
    </cfRule>
  </conditionalFormatting>
  <conditionalFormatting sqref="Y175">
    <cfRule type="expression" dxfId="1676" priority="1759">
      <formula>$Y$11="-"</formula>
    </cfRule>
  </conditionalFormatting>
  <conditionalFormatting sqref="Z175">
    <cfRule type="expression" dxfId="1675" priority="1758">
      <formula>$Z$11="-"</formula>
    </cfRule>
  </conditionalFormatting>
  <conditionalFormatting sqref="AA175">
    <cfRule type="expression" dxfId="1674" priority="1757">
      <formula>$AA$11="-"</formula>
    </cfRule>
  </conditionalFormatting>
  <conditionalFormatting sqref="AN175">
    <cfRule type="expression" dxfId="1673" priority="1756">
      <formula>$AN$11="-"</formula>
    </cfRule>
  </conditionalFormatting>
  <conditionalFormatting sqref="AO175">
    <cfRule type="expression" dxfId="1672" priority="1755">
      <formula>$AO$11="-"</formula>
    </cfRule>
  </conditionalFormatting>
  <conditionalFormatting sqref="AM175">
    <cfRule type="expression" dxfId="1671" priority="1754">
      <formula>$AM$11="-"</formula>
    </cfRule>
  </conditionalFormatting>
  <conditionalFormatting sqref="AH175">
    <cfRule type="expression" dxfId="1670" priority="1753">
      <formula>$AH$11="-"</formula>
    </cfRule>
  </conditionalFormatting>
  <conditionalFormatting sqref="AL175">
    <cfRule type="expression" dxfId="1669" priority="1752">
      <formula>$AL$11="-"</formula>
    </cfRule>
  </conditionalFormatting>
  <conditionalFormatting sqref="E177:H177">
    <cfRule type="expression" dxfId="1668" priority="1748">
      <formula>AND(ISTEXT(I177),ISBLANK(E177))</formula>
    </cfRule>
  </conditionalFormatting>
  <conditionalFormatting sqref="A177:K177">
    <cfRule type="expression" dxfId="1667" priority="1747">
      <formula>AND($I177&lt;&gt;"",$L177="")</formula>
    </cfRule>
  </conditionalFormatting>
  <conditionalFormatting sqref="Q177">
    <cfRule type="expression" dxfId="1666" priority="1742">
      <formula>$Q$11="-"</formula>
    </cfRule>
  </conditionalFormatting>
  <conditionalFormatting sqref="R177">
    <cfRule type="expression" dxfId="1665" priority="1741">
      <formula>$R$11="-"</formula>
    </cfRule>
  </conditionalFormatting>
  <conditionalFormatting sqref="S177">
    <cfRule type="expression" dxfId="1664" priority="1740">
      <formula>$S$11="-"</formula>
    </cfRule>
  </conditionalFormatting>
  <conditionalFormatting sqref="T177">
    <cfRule type="expression" dxfId="1663" priority="1739">
      <formula>$T$11="-"</formula>
    </cfRule>
  </conditionalFormatting>
  <conditionalFormatting sqref="AE177">
    <cfRule type="expression" dxfId="1662" priority="1738">
      <formula>$AE$11="-"</formula>
    </cfRule>
  </conditionalFormatting>
  <conditionalFormatting sqref="AF177">
    <cfRule type="expression" dxfId="1661" priority="1737">
      <formula>$AF$11="-"</formula>
    </cfRule>
  </conditionalFormatting>
  <conditionalFormatting sqref="AG177">
    <cfRule type="expression" dxfId="1660" priority="1736">
      <formula>$AG$11="-"</formula>
    </cfRule>
  </conditionalFormatting>
  <conditionalFormatting sqref="X177">
    <cfRule type="expression" dxfId="1659" priority="1735">
      <formula>$X$11="-"</formula>
    </cfRule>
  </conditionalFormatting>
  <conditionalFormatting sqref="Y177">
    <cfRule type="expression" dxfId="1658" priority="1734">
      <formula>$Y$11="-"</formula>
    </cfRule>
  </conditionalFormatting>
  <conditionalFormatting sqref="Z177">
    <cfRule type="expression" dxfId="1657" priority="1733">
      <formula>$Z$11="-"</formula>
    </cfRule>
  </conditionalFormatting>
  <conditionalFormatting sqref="AA177">
    <cfRule type="expression" dxfId="1656" priority="1732">
      <formula>$AA$11="-"</formula>
    </cfRule>
  </conditionalFormatting>
  <conditionalFormatting sqref="AN177">
    <cfRule type="expression" dxfId="1655" priority="1731">
      <formula>$AN$11="-"</formula>
    </cfRule>
  </conditionalFormatting>
  <conditionalFormatting sqref="AO177">
    <cfRule type="expression" dxfId="1654" priority="1730">
      <formula>$AO$11="-"</formula>
    </cfRule>
  </conditionalFormatting>
  <conditionalFormatting sqref="AM177">
    <cfRule type="expression" dxfId="1653" priority="1729">
      <formula>$AM$11="-"</formula>
    </cfRule>
  </conditionalFormatting>
  <conditionalFormatting sqref="AH177">
    <cfRule type="expression" dxfId="1652" priority="1728">
      <formula>$AH$11="-"</formula>
    </cfRule>
  </conditionalFormatting>
  <conditionalFormatting sqref="AL177">
    <cfRule type="expression" dxfId="1651" priority="1727">
      <formula>$AL$11="-"</formula>
    </cfRule>
  </conditionalFormatting>
  <conditionalFormatting sqref="E178:H178">
    <cfRule type="expression" dxfId="1650" priority="1723">
      <formula>AND(ISTEXT(I178),ISBLANK(E178))</formula>
    </cfRule>
  </conditionalFormatting>
  <conditionalFormatting sqref="A178:K178">
    <cfRule type="expression" dxfId="1649" priority="1722">
      <formula>AND($I178&lt;&gt;"",$L178="")</formula>
    </cfRule>
  </conditionalFormatting>
  <conditionalFormatting sqref="Q178">
    <cfRule type="expression" dxfId="1648" priority="1717">
      <formula>$Q$11="-"</formula>
    </cfRule>
  </conditionalFormatting>
  <conditionalFormatting sqref="R178">
    <cfRule type="expression" dxfId="1647" priority="1716">
      <formula>$R$11="-"</formula>
    </cfRule>
  </conditionalFormatting>
  <conditionalFormatting sqref="S178">
    <cfRule type="expression" dxfId="1646" priority="1715">
      <formula>$S$11="-"</formula>
    </cfRule>
  </conditionalFormatting>
  <conditionalFormatting sqref="T178">
    <cfRule type="expression" dxfId="1645" priority="1714">
      <formula>$T$11="-"</formula>
    </cfRule>
  </conditionalFormatting>
  <conditionalFormatting sqref="AE178">
    <cfRule type="expression" dxfId="1644" priority="1713">
      <formula>$AE$11="-"</formula>
    </cfRule>
  </conditionalFormatting>
  <conditionalFormatting sqref="AF178">
    <cfRule type="expression" dxfId="1643" priority="1712">
      <formula>$AF$11="-"</formula>
    </cfRule>
  </conditionalFormatting>
  <conditionalFormatting sqref="AG178">
    <cfRule type="expression" dxfId="1642" priority="1711">
      <formula>$AG$11="-"</formula>
    </cfRule>
  </conditionalFormatting>
  <conditionalFormatting sqref="X178">
    <cfRule type="expression" dxfId="1641" priority="1710">
      <formula>$X$11="-"</formula>
    </cfRule>
  </conditionalFormatting>
  <conditionalFormatting sqref="Y178">
    <cfRule type="expression" dxfId="1640" priority="1709">
      <formula>$Y$11="-"</formula>
    </cfRule>
  </conditionalFormatting>
  <conditionalFormatting sqref="Z178">
    <cfRule type="expression" dxfId="1639" priority="1708">
      <formula>$Z$11="-"</formula>
    </cfRule>
  </conditionalFormatting>
  <conditionalFormatting sqref="AA178">
    <cfRule type="expression" dxfId="1638" priority="1707">
      <formula>$AA$11="-"</formula>
    </cfRule>
  </conditionalFormatting>
  <conditionalFormatting sqref="AN178">
    <cfRule type="expression" dxfId="1637" priority="1706">
      <formula>$AN$11="-"</formula>
    </cfRule>
  </conditionalFormatting>
  <conditionalFormatting sqref="AO178">
    <cfRule type="expression" dxfId="1636" priority="1705">
      <formula>$AO$11="-"</formula>
    </cfRule>
  </conditionalFormatting>
  <conditionalFormatting sqref="AM178">
    <cfRule type="expression" dxfId="1635" priority="1704">
      <formula>$AM$11="-"</formula>
    </cfRule>
  </conditionalFormatting>
  <conditionalFormatting sqref="AH178">
    <cfRule type="expression" dxfId="1634" priority="1703">
      <formula>$AH$11="-"</formula>
    </cfRule>
  </conditionalFormatting>
  <conditionalFormatting sqref="AL178">
    <cfRule type="expression" dxfId="1633" priority="1702">
      <formula>$AL$11="-"</formula>
    </cfRule>
  </conditionalFormatting>
  <conditionalFormatting sqref="E180:H180">
    <cfRule type="expression" dxfId="1632" priority="1698">
      <formula>AND(ISTEXT(I180),ISBLANK(E180))</formula>
    </cfRule>
  </conditionalFormatting>
  <conditionalFormatting sqref="A180:K180">
    <cfRule type="expression" dxfId="1631" priority="1697">
      <formula>AND($I180&lt;&gt;"",$L180="")</formula>
    </cfRule>
  </conditionalFormatting>
  <conditionalFormatting sqref="Q180">
    <cfRule type="expression" dxfId="1630" priority="1692">
      <formula>$Q$11="-"</formula>
    </cfRule>
  </conditionalFormatting>
  <conditionalFormatting sqref="R180">
    <cfRule type="expression" dxfId="1629" priority="1691">
      <formula>$R$11="-"</formula>
    </cfRule>
  </conditionalFormatting>
  <conditionalFormatting sqref="S180">
    <cfRule type="expression" dxfId="1628" priority="1690">
      <formula>$S$11="-"</formula>
    </cfRule>
  </conditionalFormatting>
  <conditionalFormatting sqref="T180">
    <cfRule type="expression" dxfId="1627" priority="1689">
      <formula>$T$11="-"</formula>
    </cfRule>
  </conditionalFormatting>
  <conditionalFormatting sqref="AE180">
    <cfRule type="expression" dxfId="1626" priority="1688">
      <formula>$AE$11="-"</formula>
    </cfRule>
  </conditionalFormatting>
  <conditionalFormatting sqref="AF180">
    <cfRule type="expression" dxfId="1625" priority="1687">
      <formula>$AF$11="-"</formula>
    </cfRule>
  </conditionalFormatting>
  <conditionalFormatting sqref="AG180">
    <cfRule type="expression" dxfId="1624" priority="1686">
      <formula>$AG$11="-"</formula>
    </cfRule>
  </conditionalFormatting>
  <conditionalFormatting sqref="X180">
    <cfRule type="expression" dxfId="1623" priority="1685">
      <formula>$X$11="-"</formula>
    </cfRule>
  </conditionalFormatting>
  <conditionalFormatting sqref="Y180">
    <cfRule type="expression" dxfId="1622" priority="1684">
      <formula>$Y$11="-"</formula>
    </cfRule>
  </conditionalFormatting>
  <conditionalFormatting sqref="Z180">
    <cfRule type="expression" dxfId="1621" priority="1683">
      <formula>$Z$11="-"</formula>
    </cfRule>
  </conditionalFormatting>
  <conditionalFormatting sqref="AA180">
    <cfRule type="expression" dxfId="1620" priority="1682">
      <formula>$AA$11="-"</formula>
    </cfRule>
  </conditionalFormatting>
  <conditionalFormatting sqref="AN180">
    <cfRule type="expression" dxfId="1619" priority="1681">
      <formula>$AN$11="-"</formula>
    </cfRule>
  </conditionalFormatting>
  <conditionalFormatting sqref="AO180">
    <cfRule type="expression" dxfId="1618" priority="1680">
      <formula>$AO$11="-"</formula>
    </cfRule>
  </conditionalFormatting>
  <conditionalFormatting sqref="AM180">
    <cfRule type="expression" dxfId="1617" priority="1679">
      <formula>$AM$11="-"</formula>
    </cfRule>
  </conditionalFormatting>
  <conditionalFormatting sqref="AH180">
    <cfRule type="expression" dxfId="1616" priority="1678">
      <formula>$AH$11="-"</formula>
    </cfRule>
  </conditionalFormatting>
  <conditionalFormatting sqref="AL180">
    <cfRule type="expression" dxfId="1615" priority="1677">
      <formula>$AL$11="-"</formula>
    </cfRule>
  </conditionalFormatting>
  <conditionalFormatting sqref="E179:H179">
    <cfRule type="expression" dxfId="1614" priority="1673">
      <formula>AND(ISTEXT(I179),ISBLANK(E179))</formula>
    </cfRule>
  </conditionalFormatting>
  <conditionalFormatting sqref="A179:K179">
    <cfRule type="expression" dxfId="1613" priority="1672">
      <formula>AND($I179&lt;&gt;"",$L179="")</formula>
    </cfRule>
  </conditionalFormatting>
  <conditionalFormatting sqref="Q179">
    <cfRule type="expression" dxfId="1612" priority="1667">
      <formula>$Q$11="-"</formula>
    </cfRule>
  </conditionalFormatting>
  <conditionalFormatting sqref="R179">
    <cfRule type="expression" dxfId="1611" priority="1666">
      <formula>$R$11="-"</formula>
    </cfRule>
  </conditionalFormatting>
  <conditionalFormatting sqref="S179">
    <cfRule type="expression" dxfId="1610" priority="1665">
      <formula>$S$11="-"</formula>
    </cfRule>
  </conditionalFormatting>
  <conditionalFormatting sqref="T179">
    <cfRule type="expression" dxfId="1609" priority="1664">
      <formula>$T$11="-"</formula>
    </cfRule>
  </conditionalFormatting>
  <conditionalFormatting sqref="AE179">
    <cfRule type="expression" dxfId="1608" priority="1663">
      <formula>$AE$11="-"</formula>
    </cfRule>
  </conditionalFormatting>
  <conditionalFormatting sqref="AF179">
    <cfRule type="expression" dxfId="1607" priority="1662">
      <formula>$AF$11="-"</formula>
    </cfRule>
  </conditionalFormatting>
  <conditionalFormatting sqref="AG179">
    <cfRule type="expression" dxfId="1606" priority="1661">
      <formula>$AG$11="-"</formula>
    </cfRule>
  </conditionalFormatting>
  <conditionalFormatting sqref="X179">
    <cfRule type="expression" dxfId="1605" priority="1660">
      <formula>$X$11="-"</formula>
    </cfRule>
  </conditionalFormatting>
  <conditionalFormatting sqref="Y179">
    <cfRule type="expression" dxfId="1604" priority="1659">
      <formula>$Y$11="-"</formula>
    </cfRule>
  </conditionalFormatting>
  <conditionalFormatting sqref="Z179">
    <cfRule type="expression" dxfId="1603" priority="1658">
      <formula>$Z$11="-"</formula>
    </cfRule>
  </conditionalFormatting>
  <conditionalFormatting sqref="AA179">
    <cfRule type="expression" dxfId="1602" priority="1657">
      <formula>$AA$11="-"</formula>
    </cfRule>
  </conditionalFormatting>
  <conditionalFormatting sqref="AN179">
    <cfRule type="expression" dxfId="1601" priority="1656">
      <formula>$AN$11="-"</formula>
    </cfRule>
  </conditionalFormatting>
  <conditionalFormatting sqref="AO179">
    <cfRule type="expression" dxfId="1600" priority="1655">
      <formula>$AO$11="-"</formula>
    </cfRule>
  </conditionalFormatting>
  <conditionalFormatting sqref="AM179">
    <cfRule type="expression" dxfId="1599" priority="1654">
      <formula>$AM$11="-"</formula>
    </cfRule>
  </conditionalFormatting>
  <conditionalFormatting sqref="AH179">
    <cfRule type="expression" dxfId="1598" priority="1653">
      <formula>$AH$11="-"</formula>
    </cfRule>
  </conditionalFormatting>
  <conditionalFormatting sqref="AL179">
    <cfRule type="expression" dxfId="1597" priority="1652">
      <formula>$AL$11="-"</formula>
    </cfRule>
  </conditionalFormatting>
  <conditionalFormatting sqref="E181:H181">
    <cfRule type="expression" dxfId="1596" priority="1648">
      <formula>AND(ISTEXT(I181),ISBLANK(E181))</formula>
    </cfRule>
  </conditionalFormatting>
  <conditionalFormatting sqref="A181:K181">
    <cfRule type="expression" dxfId="1595" priority="1647">
      <formula>AND($I181&lt;&gt;"",$L181="")</formula>
    </cfRule>
  </conditionalFormatting>
  <conditionalFormatting sqref="Q181">
    <cfRule type="expression" dxfId="1594" priority="1642">
      <formula>$Q$11="-"</formula>
    </cfRule>
  </conditionalFormatting>
  <conditionalFormatting sqref="R181">
    <cfRule type="expression" dxfId="1593" priority="1641">
      <formula>$R$11="-"</formula>
    </cfRule>
  </conditionalFormatting>
  <conditionalFormatting sqref="S181">
    <cfRule type="expression" dxfId="1592" priority="1640">
      <formula>$S$11="-"</formula>
    </cfRule>
  </conditionalFormatting>
  <conditionalFormatting sqref="T181">
    <cfRule type="expression" dxfId="1591" priority="1639">
      <formula>$T$11="-"</formula>
    </cfRule>
  </conditionalFormatting>
  <conditionalFormatting sqref="AE181">
    <cfRule type="expression" dxfId="1590" priority="1638">
      <formula>$AE$11="-"</formula>
    </cfRule>
  </conditionalFormatting>
  <conditionalFormatting sqref="AF181">
    <cfRule type="expression" dxfId="1589" priority="1637">
      <formula>$AF$11="-"</formula>
    </cfRule>
  </conditionalFormatting>
  <conditionalFormatting sqref="AG181">
    <cfRule type="expression" dxfId="1588" priority="1636">
      <formula>$AG$11="-"</formula>
    </cfRule>
  </conditionalFormatting>
  <conditionalFormatting sqref="X181">
    <cfRule type="expression" dxfId="1587" priority="1635">
      <formula>$X$11="-"</formula>
    </cfRule>
  </conditionalFormatting>
  <conditionalFormatting sqref="Y181">
    <cfRule type="expression" dxfId="1586" priority="1634">
      <formula>$Y$11="-"</formula>
    </cfRule>
  </conditionalFormatting>
  <conditionalFormatting sqref="Z181">
    <cfRule type="expression" dxfId="1585" priority="1633">
      <formula>$Z$11="-"</formula>
    </cfRule>
  </conditionalFormatting>
  <conditionalFormatting sqref="AA181">
    <cfRule type="expression" dxfId="1584" priority="1632">
      <formula>$AA$11="-"</formula>
    </cfRule>
  </conditionalFormatting>
  <conditionalFormatting sqref="AN181">
    <cfRule type="expression" dxfId="1583" priority="1631">
      <formula>$AN$11="-"</formula>
    </cfRule>
  </conditionalFormatting>
  <conditionalFormatting sqref="AO181">
    <cfRule type="expression" dxfId="1582" priority="1630">
      <formula>$AO$11="-"</formula>
    </cfRule>
  </conditionalFormatting>
  <conditionalFormatting sqref="AM181">
    <cfRule type="expression" dxfId="1581" priority="1629">
      <formula>$AM$11="-"</formula>
    </cfRule>
  </conditionalFormatting>
  <conditionalFormatting sqref="AH181">
    <cfRule type="expression" dxfId="1580" priority="1628">
      <formula>$AH$11="-"</formula>
    </cfRule>
  </conditionalFormatting>
  <conditionalFormatting sqref="AL181">
    <cfRule type="expression" dxfId="1579" priority="1627">
      <formula>$AL$11="-"</formula>
    </cfRule>
  </conditionalFormatting>
  <conditionalFormatting sqref="E182:H182">
    <cfRule type="expression" dxfId="1578" priority="1623">
      <formula>AND(ISTEXT(I182),ISBLANK(E182))</formula>
    </cfRule>
  </conditionalFormatting>
  <conditionalFormatting sqref="A182:K182">
    <cfRule type="expression" dxfId="1577" priority="1622">
      <formula>AND($I182&lt;&gt;"",$L182="")</formula>
    </cfRule>
  </conditionalFormatting>
  <conditionalFormatting sqref="Q182">
    <cfRule type="expression" dxfId="1576" priority="1617">
      <formula>$Q$11="-"</formula>
    </cfRule>
  </conditionalFormatting>
  <conditionalFormatting sqref="R182">
    <cfRule type="expression" dxfId="1575" priority="1616">
      <formula>$R$11="-"</formula>
    </cfRule>
  </conditionalFormatting>
  <conditionalFormatting sqref="S182">
    <cfRule type="expression" dxfId="1574" priority="1615">
      <formula>$S$11="-"</formula>
    </cfRule>
  </conditionalFormatting>
  <conditionalFormatting sqref="T182">
    <cfRule type="expression" dxfId="1573" priority="1614">
      <formula>$T$11="-"</formula>
    </cfRule>
  </conditionalFormatting>
  <conditionalFormatting sqref="AE182">
    <cfRule type="expression" dxfId="1572" priority="1613">
      <formula>$AE$11="-"</formula>
    </cfRule>
  </conditionalFormatting>
  <conditionalFormatting sqref="AF182">
    <cfRule type="expression" dxfId="1571" priority="1612">
      <formula>$AF$11="-"</formula>
    </cfRule>
  </conditionalFormatting>
  <conditionalFormatting sqref="AG182">
    <cfRule type="expression" dxfId="1570" priority="1611">
      <formula>$AG$11="-"</formula>
    </cfRule>
  </conditionalFormatting>
  <conditionalFormatting sqref="X182">
    <cfRule type="expression" dxfId="1569" priority="1610">
      <formula>$X$11="-"</formula>
    </cfRule>
  </conditionalFormatting>
  <conditionalFormatting sqref="Y182">
    <cfRule type="expression" dxfId="1568" priority="1609">
      <formula>$Y$11="-"</formula>
    </cfRule>
  </conditionalFormatting>
  <conditionalFormatting sqref="Z182">
    <cfRule type="expression" dxfId="1567" priority="1608">
      <formula>$Z$11="-"</formula>
    </cfRule>
  </conditionalFormatting>
  <conditionalFormatting sqref="AA182">
    <cfRule type="expression" dxfId="1566" priority="1607">
      <formula>$AA$11="-"</formula>
    </cfRule>
  </conditionalFormatting>
  <conditionalFormatting sqref="AN182">
    <cfRule type="expression" dxfId="1565" priority="1606">
      <formula>$AN$11="-"</formula>
    </cfRule>
  </conditionalFormatting>
  <conditionalFormatting sqref="AO182">
    <cfRule type="expression" dxfId="1564" priority="1605">
      <formula>$AO$11="-"</formula>
    </cfRule>
  </conditionalFormatting>
  <conditionalFormatting sqref="AM182">
    <cfRule type="expression" dxfId="1563" priority="1604">
      <formula>$AM$11="-"</formula>
    </cfRule>
  </conditionalFormatting>
  <conditionalFormatting sqref="AH182">
    <cfRule type="expression" dxfId="1562" priority="1603">
      <formula>$AH$11="-"</formula>
    </cfRule>
  </conditionalFormatting>
  <conditionalFormatting sqref="AL182">
    <cfRule type="expression" dxfId="1561" priority="1602">
      <formula>$AL$11="-"</formula>
    </cfRule>
  </conditionalFormatting>
  <conditionalFormatting sqref="E184:H184">
    <cfRule type="expression" dxfId="1560" priority="1598">
      <formula>AND(ISTEXT(I184),ISBLANK(E184))</formula>
    </cfRule>
  </conditionalFormatting>
  <conditionalFormatting sqref="A184:K184">
    <cfRule type="expression" dxfId="1559" priority="1597">
      <formula>AND($I184&lt;&gt;"",$L184="")</formula>
    </cfRule>
  </conditionalFormatting>
  <conditionalFormatting sqref="Q184">
    <cfRule type="expression" dxfId="1558" priority="1592">
      <formula>$Q$11="-"</formula>
    </cfRule>
  </conditionalFormatting>
  <conditionalFormatting sqref="R184">
    <cfRule type="expression" dxfId="1557" priority="1591">
      <formula>$R$11="-"</formula>
    </cfRule>
  </conditionalFormatting>
  <conditionalFormatting sqref="S184">
    <cfRule type="expression" dxfId="1556" priority="1590">
      <formula>$S$11="-"</formula>
    </cfRule>
  </conditionalFormatting>
  <conditionalFormatting sqref="T184">
    <cfRule type="expression" dxfId="1555" priority="1589">
      <formula>$T$11="-"</formula>
    </cfRule>
  </conditionalFormatting>
  <conditionalFormatting sqref="AE184">
    <cfRule type="expression" dxfId="1554" priority="1588">
      <formula>$AE$11="-"</formula>
    </cfRule>
  </conditionalFormatting>
  <conditionalFormatting sqref="AF184">
    <cfRule type="expression" dxfId="1553" priority="1587">
      <formula>$AF$11="-"</formula>
    </cfRule>
  </conditionalFormatting>
  <conditionalFormatting sqref="AG184">
    <cfRule type="expression" dxfId="1552" priority="1586">
      <formula>$AG$11="-"</formula>
    </cfRule>
  </conditionalFormatting>
  <conditionalFormatting sqref="X184">
    <cfRule type="expression" dxfId="1551" priority="1585">
      <formula>$X$11="-"</formula>
    </cfRule>
  </conditionalFormatting>
  <conditionalFormatting sqref="Y184">
    <cfRule type="expression" dxfId="1550" priority="1584">
      <formula>$Y$11="-"</formula>
    </cfRule>
  </conditionalFormatting>
  <conditionalFormatting sqref="Z184">
    <cfRule type="expression" dxfId="1549" priority="1583">
      <formula>$Z$11="-"</formula>
    </cfRule>
  </conditionalFormatting>
  <conditionalFormatting sqref="AA184">
    <cfRule type="expression" dxfId="1548" priority="1582">
      <formula>$AA$11="-"</formula>
    </cfRule>
  </conditionalFormatting>
  <conditionalFormatting sqref="AN184">
    <cfRule type="expression" dxfId="1547" priority="1581">
      <formula>$AN$11="-"</formula>
    </cfRule>
  </conditionalFormatting>
  <conditionalFormatting sqref="AO184">
    <cfRule type="expression" dxfId="1546" priority="1580">
      <formula>$AO$11="-"</formula>
    </cfRule>
  </conditionalFormatting>
  <conditionalFormatting sqref="AM184">
    <cfRule type="expression" dxfId="1545" priority="1579">
      <formula>$AM$11="-"</formula>
    </cfRule>
  </conditionalFormatting>
  <conditionalFormatting sqref="AH184">
    <cfRule type="expression" dxfId="1544" priority="1578">
      <formula>$AH$11="-"</formula>
    </cfRule>
  </conditionalFormatting>
  <conditionalFormatting sqref="AL184">
    <cfRule type="expression" dxfId="1543" priority="1577">
      <formula>$AL$11="-"</formula>
    </cfRule>
  </conditionalFormatting>
  <conditionalFormatting sqref="E183:H183">
    <cfRule type="expression" dxfId="1542" priority="1573">
      <formula>AND(ISTEXT(I183),ISBLANK(E183))</formula>
    </cfRule>
  </conditionalFormatting>
  <conditionalFormatting sqref="A183:K183">
    <cfRule type="expression" dxfId="1541" priority="1572">
      <formula>AND($I183&lt;&gt;"",$L183="")</formula>
    </cfRule>
  </conditionalFormatting>
  <conditionalFormatting sqref="Q183">
    <cfRule type="expression" dxfId="1540" priority="1567">
      <formula>$Q$11="-"</formula>
    </cfRule>
  </conditionalFormatting>
  <conditionalFormatting sqref="R183">
    <cfRule type="expression" dxfId="1539" priority="1566">
      <formula>$R$11="-"</formula>
    </cfRule>
  </conditionalFormatting>
  <conditionalFormatting sqref="S183">
    <cfRule type="expression" dxfId="1538" priority="1565">
      <formula>$S$11="-"</formula>
    </cfRule>
  </conditionalFormatting>
  <conditionalFormatting sqref="T183">
    <cfRule type="expression" dxfId="1537" priority="1564">
      <formula>$T$11="-"</formula>
    </cfRule>
  </conditionalFormatting>
  <conditionalFormatting sqref="AE183">
    <cfRule type="expression" dxfId="1536" priority="1563">
      <formula>$AE$11="-"</formula>
    </cfRule>
  </conditionalFormatting>
  <conditionalFormatting sqref="AF183">
    <cfRule type="expression" dxfId="1535" priority="1562">
      <formula>$AF$11="-"</formula>
    </cfRule>
  </conditionalFormatting>
  <conditionalFormatting sqref="AG183">
    <cfRule type="expression" dxfId="1534" priority="1561">
      <formula>$AG$11="-"</formula>
    </cfRule>
  </conditionalFormatting>
  <conditionalFormatting sqref="X183">
    <cfRule type="expression" dxfId="1533" priority="1560">
      <formula>$X$11="-"</formula>
    </cfRule>
  </conditionalFormatting>
  <conditionalFormatting sqref="Y183">
    <cfRule type="expression" dxfId="1532" priority="1559">
      <formula>$Y$11="-"</formula>
    </cfRule>
  </conditionalFormatting>
  <conditionalFormatting sqref="Z183">
    <cfRule type="expression" dxfId="1531" priority="1558">
      <formula>$Z$11="-"</formula>
    </cfRule>
  </conditionalFormatting>
  <conditionalFormatting sqref="AA183">
    <cfRule type="expression" dxfId="1530" priority="1557">
      <formula>$AA$11="-"</formula>
    </cfRule>
  </conditionalFormatting>
  <conditionalFormatting sqref="AN183">
    <cfRule type="expression" dxfId="1529" priority="1556">
      <formula>$AN$11="-"</formula>
    </cfRule>
  </conditionalFormatting>
  <conditionalFormatting sqref="AO183">
    <cfRule type="expression" dxfId="1528" priority="1555">
      <formula>$AO$11="-"</formula>
    </cfRule>
  </conditionalFormatting>
  <conditionalFormatting sqref="AM183">
    <cfRule type="expression" dxfId="1527" priority="1554">
      <formula>$AM$11="-"</formula>
    </cfRule>
  </conditionalFormatting>
  <conditionalFormatting sqref="AH183">
    <cfRule type="expression" dxfId="1526" priority="1553">
      <formula>$AH$11="-"</formula>
    </cfRule>
  </conditionalFormatting>
  <conditionalFormatting sqref="AL183">
    <cfRule type="expression" dxfId="1525" priority="1552">
      <formula>$AL$11="-"</formula>
    </cfRule>
  </conditionalFormatting>
  <conditionalFormatting sqref="E185:H185">
    <cfRule type="expression" dxfId="1524" priority="1548">
      <formula>AND(ISTEXT(I185),ISBLANK(E185))</formula>
    </cfRule>
  </conditionalFormatting>
  <conditionalFormatting sqref="A185:K185">
    <cfRule type="expression" dxfId="1523" priority="1547">
      <formula>AND($I185&lt;&gt;"",$L185="")</formula>
    </cfRule>
  </conditionalFormatting>
  <conditionalFormatting sqref="Q185">
    <cfRule type="expression" dxfId="1522" priority="1542">
      <formula>$Q$11="-"</formula>
    </cfRule>
  </conditionalFormatting>
  <conditionalFormatting sqref="R185">
    <cfRule type="expression" dxfId="1521" priority="1541">
      <formula>$R$11="-"</formula>
    </cfRule>
  </conditionalFormatting>
  <conditionalFormatting sqref="S185">
    <cfRule type="expression" dxfId="1520" priority="1540">
      <formula>$S$11="-"</formula>
    </cfRule>
  </conditionalFormatting>
  <conditionalFormatting sqref="T185">
    <cfRule type="expression" dxfId="1519" priority="1539">
      <formula>$T$11="-"</formula>
    </cfRule>
  </conditionalFormatting>
  <conditionalFormatting sqref="AE185">
    <cfRule type="expression" dxfId="1518" priority="1538">
      <formula>$AE$11="-"</formula>
    </cfRule>
  </conditionalFormatting>
  <conditionalFormatting sqref="AF185">
    <cfRule type="expression" dxfId="1517" priority="1537">
      <formula>$AF$11="-"</formula>
    </cfRule>
  </conditionalFormatting>
  <conditionalFormatting sqref="AG185">
    <cfRule type="expression" dxfId="1516" priority="1536">
      <formula>$AG$11="-"</formula>
    </cfRule>
  </conditionalFormatting>
  <conditionalFormatting sqref="X185">
    <cfRule type="expression" dxfId="1515" priority="1535">
      <formula>$X$11="-"</formula>
    </cfRule>
  </conditionalFormatting>
  <conditionalFormatting sqref="Y185">
    <cfRule type="expression" dxfId="1514" priority="1534">
      <formula>$Y$11="-"</formula>
    </cfRule>
  </conditionalFormatting>
  <conditionalFormatting sqref="Z185">
    <cfRule type="expression" dxfId="1513" priority="1533">
      <formula>$Z$11="-"</formula>
    </cfRule>
  </conditionalFormatting>
  <conditionalFormatting sqref="AA185">
    <cfRule type="expression" dxfId="1512" priority="1532">
      <formula>$AA$11="-"</formula>
    </cfRule>
  </conditionalFormatting>
  <conditionalFormatting sqref="AN185">
    <cfRule type="expression" dxfId="1511" priority="1531">
      <formula>$AN$11="-"</formula>
    </cfRule>
  </conditionalFormatting>
  <conditionalFormatting sqref="AO185">
    <cfRule type="expression" dxfId="1510" priority="1530">
      <formula>$AO$11="-"</formula>
    </cfRule>
  </conditionalFormatting>
  <conditionalFormatting sqref="AM185">
    <cfRule type="expression" dxfId="1509" priority="1529">
      <formula>$AM$11="-"</formula>
    </cfRule>
  </conditionalFormatting>
  <conditionalFormatting sqref="AH185">
    <cfRule type="expression" dxfId="1508" priority="1528">
      <formula>$AH$11="-"</formula>
    </cfRule>
  </conditionalFormatting>
  <conditionalFormatting sqref="AL185">
    <cfRule type="expression" dxfId="1507" priority="1527">
      <formula>$AL$11="-"</formula>
    </cfRule>
  </conditionalFormatting>
  <conditionalFormatting sqref="E186:H186">
    <cfRule type="expression" dxfId="1506" priority="1523">
      <formula>AND(ISTEXT(I186),ISBLANK(E186))</formula>
    </cfRule>
  </conditionalFormatting>
  <conditionalFormatting sqref="A186:K186">
    <cfRule type="expression" dxfId="1505" priority="1522">
      <formula>AND($I186&lt;&gt;"",$L186="")</formula>
    </cfRule>
  </conditionalFormatting>
  <conditionalFormatting sqref="Q186">
    <cfRule type="expression" dxfId="1504" priority="1517">
      <formula>$Q$11="-"</formula>
    </cfRule>
  </conditionalFormatting>
  <conditionalFormatting sqref="R186">
    <cfRule type="expression" dxfId="1503" priority="1516">
      <formula>$R$11="-"</formula>
    </cfRule>
  </conditionalFormatting>
  <conditionalFormatting sqref="S186">
    <cfRule type="expression" dxfId="1502" priority="1515">
      <formula>$S$11="-"</formula>
    </cfRule>
  </conditionalFormatting>
  <conditionalFormatting sqref="T186">
    <cfRule type="expression" dxfId="1501" priority="1514">
      <formula>$T$11="-"</formula>
    </cfRule>
  </conditionalFormatting>
  <conditionalFormatting sqref="AE186">
    <cfRule type="expression" dxfId="1500" priority="1513">
      <formula>$AE$11="-"</formula>
    </cfRule>
  </conditionalFormatting>
  <conditionalFormatting sqref="AF186">
    <cfRule type="expression" dxfId="1499" priority="1512">
      <formula>$AF$11="-"</formula>
    </cfRule>
  </conditionalFormatting>
  <conditionalFormatting sqref="AG186">
    <cfRule type="expression" dxfId="1498" priority="1511">
      <formula>$AG$11="-"</formula>
    </cfRule>
  </conditionalFormatting>
  <conditionalFormatting sqref="X186">
    <cfRule type="expression" dxfId="1497" priority="1510">
      <formula>$X$11="-"</formula>
    </cfRule>
  </conditionalFormatting>
  <conditionalFormatting sqref="Y186">
    <cfRule type="expression" dxfId="1496" priority="1509">
      <formula>$Y$11="-"</formula>
    </cfRule>
  </conditionalFormatting>
  <conditionalFormatting sqref="Z186">
    <cfRule type="expression" dxfId="1495" priority="1508">
      <formula>$Z$11="-"</formula>
    </cfRule>
  </conditionalFormatting>
  <conditionalFormatting sqref="AA186">
    <cfRule type="expression" dxfId="1494" priority="1507">
      <formula>$AA$11="-"</formula>
    </cfRule>
  </conditionalFormatting>
  <conditionalFormatting sqref="AN186">
    <cfRule type="expression" dxfId="1493" priority="1506">
      <formula>$AN$11="-"</formula>
    </cfRule>
  </conditionalFormatting>
  <conditionalFormatting sqref="AO186">
    <cfRule type="expression" dxfId="1492" priority="1505">
      <formula>$AO$11="-"</formula>
    </cfRule>
  </conditionalFormatting>
  <conditionalFormatting sqref="AM186">
    <cfRule type="expression" dxfId="1491" priority="1504">
      <formula>$AM$11="-"</formula>
    </cfRule>
  </conditionalFormatting>
  <conditionalFormatting sqref="AH186">
    <cfRule type="expression" dxfId="1490" priority="1503">
      <formula>$AH$11="-"</formula>
    </cfRule>
  </conditionalFormatting>
  <conditionalFormatting sqref="AL186">
    <cfRule type="expression" dxfId="1489" priority="1502">
      <formula>$AL$11="-"</formula>
    </cfRule>
  </conditionalFormatting>
  <conditionalFormatting sqref="E188:H188">
    <cfRule type="expression" dxfId="1488" priority="1498">
      <formula>AND(ISTEXT(I188),ISBLANK(E188))</formula>
    </cfRule>
  </conditionalFormatting>
  <conditionalFormatting sqref="A188:K188">
    <cfRule type="expression" dxfId="1487" priority="1497">
      <formula>AND($I188&lt;&gt;"",$L188="")</formula>
    </cfRule>
  </conditionalFormatting>
  <conditionalFormatting sqref="Q188">
    <cfRule type="expression" dxfId="1486" priority="1492">
      <formula>$Q$11="-"</formula>
    </cfRule>
  </conditionalFormatting>
  <conditionalFormatting sqref="R188">
    <cfRule type="expression" dxfId="1485" priority="1491">
      <formula>$R$11="-"</formula>
    </cfRule>
  </conditionalFormatting>
  <conditionalFormatting sqref="S188">
    <cfRule type="expression" dxfId="1484" priority="1490">
      <formula>$S$11="-"</formula>
    </cfRule>
  </conditionalFormatting>
  <conditionalFormatting sqref="T188">
    <cfRule type="expression" dxfId="1483" priority="1489">
      <formula>$T$11="-"</formula>
    </cfRule>
  </conditionalFormatting>
  <conditionalFormatting sqref="AE188">
    <cfRule type="expression" dxfId="1482" priority="1488">
      <formula>$AE$11="-"</formula>
    </cfRule>
  </conditionalFormatting>
  <conditionalFormatting sqref="AF188">
    <cfRule type="expression" dxfId="1481" priority="1487">
      <formula>$AF$11="-"</formula>
    </cfRule>
  </conditionalFormatting>
  <conditionalFormatting sqref="AG188">
    <cfRule type="expression" dxfId="1480" priority="1486">
      <formula>$AG$11="-"</formula>
    </cfRule>
  </conditionalFormatting>
  <conditionalFormatting sqref="X188">
    <cfRule type="expression" dxfId="1479" priority="1485">
      <formula>$X$11="-"</formula>
    </cfRule>
  </conditionalFormatting>
  <conditionalFormatting sqref="Y188">
    <cfRule type="expression" dxfId="1478" priority="1484">
      <formula>$Y$11="-"</formula>
    </cfRule>
  </conditionalFormatting>
  <conditionalFormatting sqref="Z188">
    <cfRule type="expression" dxfId="1477" priority="1483">
      <formula>$Z$11="-"</formula>
    </cfRule>
  </conditionalFormatting>
  <conditionalFormatting sqref="AA188">
    <cfRule type="expression" dxfId="1476" priority="1482">
      <formula>$AA$11="-"</formula>
    </cfRule>
  </conditionalFormatting>
  <conditionalFormatting sqref="AN188">
    <cfRule type="expression" dxfId="1475" priority="1481">
      <formula>$AN$11="-"</formula>
    </cfRule>
  </conditionalFormatting>
  <conditionalFormatting sqref="AO188">
    <cfRule type="expression" dxfId="1474" priority="1480">
      <formula>$AO$11="-"</formula>
    </cfRule>
  </conditionalFormatting>
  <conditionalFormatting sqref="AM188">
    <cfRule type="expression" dxfId="1473" priority="1479">
      <formula>$AM$11="-"</formula>
    </cfRule>
  </conditionalFormatting>
  <conditionalFormatting sqref="AH188">
    <cfRule type="expression" dxfId="1472" priority="1478">
      <formula>$AH$11="-"</formula>
    </cfRule>
  </conditionalFormatting>
  <conditionalFormatting sqref="AL188">
    <cfRule type="expression" dxfId="1471" priority="1477">
      <formula>$AL$11="-"</formula>
    </cfRule>
  </conditionalFormatting>
  <conditionalFormatting sqref="E187:H187">
    <cfRule type="expression" dxfId="1470" priority="1473">
      <formula>AND(ISTEXT(I187),ISBLANK(E187))</formula>
    </cfRule>
  </conditionalFormatting>
  <conditionalFormatting sqref="A187:K187">
    <cfRule type="expression" dxfId="1469" priority="1472">
      <formula>AND($I187&lt;&gt;"",$L187="")</formula>
    </cfRule>
  </conditionalFormatting>
  <conditionalFormatting sqref="Q187">
    <cfRule type="expression" dxfId="1468" priority="1467">
      <formula>$Q$11="-"</formula>
    </cfRule>
  </conditionalFormatting>
  <conditionalFormatting sqref="R187">
    <cfRule type="expression" dxfId="1467" priority="1466">
      <formula>$R$11="-"</formula>
    </cfRule>
  </conditionalFormatting>
  <conditionalFormatting sqref="S187">
    <cfRule type="expression" dxfId="1466" priority="1465">
      <formula>$S$11="-"</formula>
    </cfRule>
  </conditionalFormatting>
  <conditionalFormatting sqref="T187">
    <cfRule type="expression" dxfId="1465" priority="1464">
      <formula>$T$11="-"</formula>
    </cfRule>
  </conditionalFormatting>
  <conditionalFormatting sqref="AE187">
    <cfRule type="expression" dxfId="1464" priority="1463">
      <formula>$AE$11="-"</formula>
    </cfRule>
  </conditionalFormatting>
  <conditionalFormatting sqref="AF187">
    <cfRule type="expression" dxfId="1463" priority="1462">
      <formula>$AF$11="-"</formula>
    </cfRule>
  </conditionalFormatting>
  <conditionalFormatting sqref="AG187">
    <cfRule type="expression" dxfId="1462" priority="1461">
      <formula>$AG$11="-"</formula>
    </cfRule>
  </conditionalFormatting>
  <conditionalFormatting sqref="X187">
    <cfRule type="expression" dxfId="1461" priority="1460">
      <formula>$X$11="-"</formula>
    </cfRule>
  </conditionalFormatting>
  <conditionalFormatting sqref="Y187">
    <cfRule type="expression" dxfId="1460" priority="1459">
      <formula>$Y$11="-"</formula>
    </cfRule>
  </conditionalFormatting>
  <conditionalFormatting sqref="Z187">
    <cfRule type="expression" dxfId="1459" priority="1458">
      <formula>$Z$11="-"</formula>
    </cfRule>
  </conditionalFormatting>
  <conditionalFormatting sqref="AA187">
    <cfRule type="expression" dxfId="1458" priority="1457">
      <formula>$AA$11="-"</formula>
    </cfRule>
  </conditionalFormatting>
  <conditionalFormatting sqref="AN187">
    <cfRule type="expression" dxfId="1457" priority="1456">
      <formula>$AN$11="-"</formula>
    </cfRule>
  </conditionalFormatting>
  <conditionalFormatting sqref="AO187">
    <cfRule type="expression" dxfId="1456" priority="1455">
      <formula>$AO$11="-"</formula>
    </cfRule>
  </conditionalFormatting>
  <conditionalFormatting sqref="AM187">
    <cfRule type="expression" dxfId="1455" priority="1454">
      <formula>$AM$11="-"</formula>
    </cfRule>
  </conditionalFormatting>
  <conditionalFormatting sqref="AH187">
    <cfRule type="expression" dxfId="1454" priority="1453">
      <formula>$AH$11="-"</formula>
    </cfRule>
  </conditionalFormatting>
  <conditionalFormatting sqref="AL187">
    <cfRule type="expression" dxfId="1453" priority="1452">
      <formula>$AL$11="-"</formula>
    </cfRule>
  </conditionalFormatting>
  <conditionalFormatting sqref="E189:H189">
    <cfRule type="expression" dxfId="1452" priority="1448">
      <formula>AND(ISTEXT(I189),ISBLANK(E189))</formula>
    </cfRule>
  </conditionalFormatting>
  <conditionalFormatting sqref="A189:K189">
    <cfRule type="expression" dxfId="1451" priority="1447">
      <formula>AND($I189&lt;&gt;"",$L189="")</formula>
    </cfRule>
  </conditionalFormatting>
  <conditionalFormatting sqref="Q189">
    <cfRule type="expression" dxfId="1450" priority="1442">
      <formula>$Q$11="-"</formula>
    </cfRule>
  </conditionalFormatting>
  <conditionalFormatting sqref="R189">
    <cfRule type="expression" dxfId="1449" priority="1441">
      <formula>$R$11="-"</formula>
    </cfRule>
  </conditionalFormatting>
  <conditionalFormatting sqref="S189">
    <cfRule type="expression" dxfId="1448" priority="1440">
      <formula>$S$11="-"</formula>
    </cfRule>
  </conditionalFormatting>
  <conditionalFormatting sqref="T189">
    <cfRule type="expression" dxfId="1447" priority="1439">
      <formula>$T$11="-"</formula>
    </cfRule>
  </conditionalFormatting>
  <conditionalFormatting sqref="AE189">
    <cfRule type="expression" dxfId="1446" priority="1438">
      <formula>$AE$11="-"</formula>
    </cfRule>
  </conditionalFormatting>
  <conditionalFormatting sqref="AF189">
    <cfRule type="expression" dxfId="1445" priority="1437">
      <formula>$AF$11="-"</formula>
    </cfRule>
  </conditionalFormatting>
  <conditionalFormatting sqref="AG189">
    <cfRule type="expression" dxfId="1444" priority="1436">
      <formula>$AG$11="-"</formula>
    </cfRule>
  </conditionalFormatting>
  <conditionalFormatting sqref="X189">
    <cfRule type="expression" dxfId="1443" priority="1435">
      <formula>$X$11="-"</formula>
    </cfRule>
  </conditionalFormatting>
  <conditionalFormatting sqref="Y189">
    <cfRule type="expression" dxfId="1442" priority="1434">
      <formula>$Y$11="-"</formula>
    </cfRule>
  </conditionalFormatting>
  <conditionalFormatting sqref="Z189">
    <cfRule type="expression" dxfId="1441" priority="1433">
      <formula>$Z$11="-"</formula>
    </cfRule>
  </conditionalFormatting>
  <conditionalFormatting sqref="AA189">
    <cfRule type="expression" dxfId="1440" priority="1432">
      <formula>$AA$11="-"</formula>
    </cfRule>
  </conditionalFormatting>
  <conditionalFormatting sqref="AN189">
    <cfRule type="expression" dxfId="1439" priority="1431">
      <formula>$AN$11="-"</formula>
    </cfRule>
  </conditionalFormatting>
  <conditionalFormatting sqref="AO189">
    <cfRule type="expression" dxfId="1438" priority="1430">
      <formula>$AO$11="-"</formula>
    </cfRule>
  </conditionalFormatting>
  <conditionalFormatting sqref="AM189">
    <cfRule type="expression" dxfId="1437" priority="1429">
      <formula>$AM$11="-"</formula>
    </cfRule>
  </conditionalFormatting>
  <conditionalFormatting sqref="AH189">
    <cfRule type="expression" dxfId="1436" priority="1428">
      <formula>$AH$11="-"</formula>
    </cfRule>
  </conditionalFormatting>
  <conditionalFormatting sqref="AL189">
    <cfRule type="expression" dxfId="1435" priority="1427">
      <formula>$AL$11="-"</formula>
    </cfRule>
  </conditionalFormatting>
  <conditionalFormatting sqref="E190:H190">
    <cfRule type="expression" dxfId="1434" priority="1423">
      <formula>AND(ISTEXT(I190),ISBLANK(E190))</formula>
    </cfRule>
  </conditionalFormatting>
  <conditionalFormatting sqref="A190:K190">
    <cfRule type="expression" dxfId="1433" priority="1422">
      <formula>AND($I190&lt;&gt;"",$L190="")</formula>
    </cfRule>
  </conditionalFormatting>
  <conditionalFormatting sqref="Q190">
    <cfRule type="expression" dxfId="1432" priority="1417">
      <formula>$Q$11="-"</formula>
    </cfRule>
  </conditionalFormatting>
  <conditionalFormatting sqref="R190">
    <cfRule type="expression" dxfId="1431" priority="1416">
      <formula>$R$11="-"</formula>
    </cfRule>
  </conditionalFormatting>
  <conditionalFormatting sqref="S190">
    <cfRule type="expression" dxfId="1430" priority="1415">
      <formula>$S$11="-"</formula>
    </cfRule>
  </conditionalFormatting>
  <conditionalFormatting sqref="T190">
    <cfRule type="expression" dxfId="1429" priority="1414">
      <formula>$T$11="-"</formula>
    </cfRule>
  </conditionalFormatting>
  <conditionalFormatting sqref="AE190">
    <cfRule type="expression" dxfId="1428" priority="1413">
      <formula>$AE$11="-"</formula>
    </cfRule>
  </conditionalFormatting>
  <conditionalFormatting sqref="AF190">
    <cfRule type="expression" dxfId="1427" priority="1412">
      <formula>$AF$11="-"</formula>
    </cfRule>
  </conditionalFormatting>
  <conditionalFormatting sqref="AG190">
    <cfRule type="expression" dxfId="1426" priority="1411">
      <formula>$AG$11="-"</formula>
    </cfRule>
  </conditionalFormatting>
  <conditionalFormatting sqref="X190">
    <cfRule type="expression" dxfId="1425" priority="1410">
      <formula>$X$11="-"</formula>
    </cfRule>
  </conditionalFormatting>
  <conditionalFormatting sqref="Y190">
    <cfRule type="expression" dxfId="1424" priority="1409">
      <formula>$Y$11="-"</formula>
    </cfRule>
  </conditionalFormatting>
  <conditionalFormatting sqref="Z190">
    <cfRule type="expression" dxfId="1423" priority="1408">
      <formula>$Z$11="-"</formula>
    </cfRule>
  </conditionalFormatting>
  <conditionalFormatting sqref="AA190">
    <cfRule type="expression" dxfId="1422" priority="1407">
      <formula>$AA$11="-"</formula>
    </cfRule>
  </conditionalFormatting>
  <conditionalFormatting sqref="AN190">
    <cfRule type="expression" dxfId="1421" priority="1406">
      <formula>$AN$11="-"</formula>
    </cfRule>
  </conditionalFormatting>
  <conditionalFormatting sqref="AO190">
    <cfRule type="expression" dxfId="1420" priority="1405">
      <formula>$AO$11="-"</formula>
    </cfRule>
  </conditionalFormatting>
  <conditionalFormatting sqref="AM190">
    <cfRule type="expression" dxfId="1419" priority="1404">
      <formula>$AM$11="-"</formula>
    </cfRule>
  </conditionalFormatting>
  <conditionalFormatting sqref="AH190">
    <cfRule type="expression" dxfId="1418" priority="1403">
      <formula>$AH$11="-"</formula>
    </cfRule>
  </conditionalFormatting>
  <conditionalFormatting sqref="AL190">
    <cfRule type="expression" dxfId="1417" priority="1402">
      <formula>$AL$11="-"</formula>
    </cfRule>
  </conditionalFormatting>
  <conditionalFormatting sqref="E192:H192">
    <cfRule type="expression" dxfId="1416" priority="1398">
      <formula>AND(ISTEXT(I192),ISBLANK(E192))</formula>
    </cfRule>
  </conditionalFormatting>
  <conditionalFormatting sqref="A192:K192">
    <cfRule type="expression" dxfId="1415" priority="1397">
      <formula>AND($I192&lt;&gt;"",$L192="")</formula>
    </cfRule>
  </conditionalFormatting>
  <conditionalFormatting sqref="Q192">
    <cfRule type="expression" dxfId="1414" priority="1392">
      <formula>$Q$11="-"</formula>
    </cfRule>
  </conditionalFormatting>
  <conditionalFormatting sqref="R192">
    <cfRule type="expression" dxfId="1413" priority="1391">
      <formula>$R$11="-"</formula>
    </cfRule>
  </conditionalFormatting>
  <conditionalFormatting sqref="S192">
    <cfRule type="expression" dxfId="1412" priority="1390">
      <formula>$S$11="-"</formula>
    </cfRule>
  </conditionalFormatting>
  <conditionalFormatting sqref="T192">
    <cfRule type="expression" dxfId="1411" priority="1389">
      <formula>$T$11="-"</formula>
    </cfRule>
  </conditionalFormatting>
  <conditionalFormatting sqref="AE192">
    <cfRule type="expression" dxfId="1410" priority="1388">
      <formula>$AE$11="-"</formula>
    </cfRule>
  </conditionalFormatting>
  <conditionalFormatting sqref="AF192">
    <cfRule type="expression" dxfId="1409" priority="1387">
      <formula>$AF$11="-"</formula>
    </cfRule>
  </conditionalFormatting>
  <conditionalFormatting sqref="AG192">
    <cfRule type="expression" dxfId="1408" priority="1386">
      <formula>$AG$11="-"</formula>
    </cfRule>
  </conditionalFormatting>
  <conditionalFormatting sqref="X192">
    <cfRule type="expression" dxfId="1407" priority="1385">
      <formula>$X$11="-"</formula>
    </cfRule>
  </conditionalFormatting>
  <conditionalFormatting sqref="Y192">
    <cfRule type="expression" dxfId="1406" priority="1384">
      <formula>$Y$11="-"</formula>
    </cfRule>
  </conditionalFormatting>
  <conditionalFormatting sqref="Z192">
    <cfRule type="expression" dxfId="1405" priority="1383">
      <formula>$Z$11="-"</formula>
    </cfRule>
  </conditionalFormatting>
  <conditionalFormatting sqref="AA192">
    <cfRule type="expression" dxfId="1404" priority="1382">
      <formula>$AA$11="-"</formula>
    </cfRule>
  </conditionalFormatting>
  <conditionalFormatting sqref="AN192">
    <cfRule type="expression" dxfId="1403" priority="1381">
      <formula>$AN$11="-"</formula>
    </cfRule>
  </conditionalFormatting>
  <conditionalFormatting sqref="AO192">
    <cfRule type="expression" dxfId="1402" priority="1380">
      <formula>$AO$11="-"</formula>
    </cfRule>
  </conditionalFormatting>
  <conditionalFormatting sqref="AM192">
    <cfRule type="expression" dxfId="1401" priority="1379">
      <formula>$AM$11="-"</formula>
    </cfRule>
  </conditionalFormatting>
  <conditionalFormatting sqref="AH192">
    <cfRule type="expression" dxfId="1400" priority="1378">
      <formula>$AH$11="-"</formula>
    </cfRule>
  </conditionalFormatting>
  <conditionalFormatting sqref="AL192">
    <cfRule type="expression" dxfId="1399" priority="1377">
      <formula>$AL$11="-"</formula>
    </cfRule>
  </conditionalFormatting>
  <conditionalFormatting sqref="E191:H191">
    <cfRule type="expression" dxfId="1398" priority="1373">
      <formula>AND(ISTEXT(I191),ISBLANK(E191))</formula>
    </cfRule>
  </conditionalFormatting>
  <conditionalFormatting sqref="A191:K191">
    <cfRule type="expression" dxfId="1397" priority="1372">
      <formula>AND($I191&lt;&gt;"",$L191="")</formula>
    </cfRule>
  </conditionalFormatting>
  <conditionalFormatting sqref="Q191">
    <cfRule type="expression" dxfId="1396" priority="1367">
      <formula>$Q$11="-"</formula>
    </cfRule>
  </conditionalFormatting>
  <conditionalFormatting sqref="R191">
    <cfRule type="expression" dxfId="1395" priority="1366">
      <formula>$R$11="-"</formula>
    </cfRule>
  </conditionalFormatting>
  <conditionalFormatting sqref="S191">
    <cfRule type="expression" dxfId="1394" priority="1365">
      <formula>$S$11="-"</formula>
    </cfRule>
  </conditionalFormatting>
  <conditionalFormatting sqref="T191">
    <cfRule type="expression" dxfId="1393" priority="1364">
      <formula>$T$11="-"</formula>
    </cfRule>
  </conditionalFormatting>
  <conditionalFormatting sqref="AE191">
    <cfRule type="expression" dxfId="1392" priority="1363">
      <formula>$AE$11="-"</formula>
    </cfRule>
  </conditionalFormatting>
  <conditionalFormatting sqref="AF191">
    <cfRule type="expression" dxfId="1391" priority="1362">
      <formula>$AF$11="-"</formula>
    </cfRule>
  </conditionalFormatting>
  <conditionalFormatting sqref="AG191">
    <cfRule type="expression" dxfId="1390" priority="1361">
      <formula>$AG$11="-"</formula>
    </cfRule>
  </conditionalFormatting>
  <conditionalFormatting sqref="X191">
    <cfRule type="expression" dxfId="1389" priority="1360">
      <formula>$X$11="-"</formula>
    </cfRule>
  </conditionalFormatting>
  <conditionalFormatting sqref="Y191">
    <cfRule type="expression" dxfId="1388" priority="1359">
      <formula>$Y$11="-"</formula>
    </cfRule>
  </conditionalFormatting>
  <conditionalFormatting sqref="Z191">
    <cfRule type="expression" dxfId="1387" priority="1358">
      <formula>$Z$11="-"</formula>
    </cfRule>
  </conditionalFormatting>
  <conditionalFormatting sqref="AA191">
    <cfRule type="expression" dxfId="1386" priority="1357">
      <formula>$AA$11="-"</formula>
    </cfRule>
  </conditionalFormatting>
  <conditionalFormatting sqref="AN191">
    <cfRule type="expression" dxfId="1385" priority="1356">
      <formula>$AN$11="-"</formula>
    </cfRule>
  </conditionalFormatting>
  <conditionalFormatting sqref="AO191">
    <cfRule type="expression" dxfId="1384" priority="1355">
      <formula>$AO$11="-"</formula>
    </cfRule>
  </conditionalFormatting>
  <conditionalFormatting sqref="AM191">
    <cfRule type="expression" dxfId="1383" priority="1354">
      <formula>$AM$11="-"</formula>
    </cfRule>
  </conditionalFormatting>
  <conditionalFormatting sqref="AH191">
    <cfRule type="expression" dxfId="1382" priority="1353">
      <formula>$AH$11="-"</formula>
    </cfRule>
  </conditionalFormatting>
  <conditionalFormatting sqref="AL191">
    <cfRule type="expression" dxfId="1381" priority="1352">
      <formula>$AL$11="-"</formula>
    </cfRule>
  </conditionalFormatting>
  <conditionalFormatting sqref="E193:H193">
    <cfRule type="expression" dxfId="1380" priority="1348">
      <formula>AND(ISTEXT(I193),ISBLANK(E193))</formula>
    </cfRule>
  </conditionalFormatting>
  <conditionalFormatting sqref="A193:K193">
    <cfRule type="expression" dxfId="1379" priority="1347">
      <formula>AND($I193&lt;&gt;"",$L193="")</formula>
    </cfRule>
  </conditionalFormatting>
  <conditionalFormatting sqref="Q193">
    <cfRule type="expression" dxfId="1378" priority="1342">
      <formula>$Q$11="-"</formula>
    </cfRule>
  </conditionalFormatting>
  <conditionalFormatting sqref="R193">
    <cfRule type="expression" dxfId="1377" priority="1341">
      <formula>$R$11="-"</formula>
    </cfRule>
  </conditionalFormatting>
  <conditionalFormatting sqref="S193">
    <cfRule type="expression" dxfId="1376" priority="1340">
      <formula>$S$11="-"</formula>
    </cfRule>
  </conditionalFormatting>
  <conditionalFormatting sqref="T193">
    <cfRule type="expression" dxfId="1375" priority="1339">
      <formula>$T$11="-"</formula>
    </cfRule>
  </conditionalFormatting>
  <conditionalFormatting sqref="AE193">
    <cfRule type="expression" dxfId="1374" priority="1338">
      <formula>$AE$11="-"</formula>
    </cfRule>
  </conditionalFormatting>
  <conditionalFormatting sqref="AF193">
    <cfRule type="expression" dxfId="1373" priority="1337">
      <formula>$AF$11="-"</formula>
    </cfRule>
  </conditionalFormatting>
  <conditionalFormatting sqref="AG193">
    <cfRule type="expression" dxfId="1372" priority="1336">
      <formula>$AG$11="-"</formula>
    </cfRule>
  </conditionalFormatting>
  <conditionalFormatting sqref="X193">
    <cfRule type="expression" dxfId="1371" priority="1335">
      <formula>$X$11="-"</formula>
    </cfRule>
  </conditionalFormatting>
  <conditionalFormatting sqref="Y193">
    <cfRule type="expression" dxfId="1370" priority="1334">
      <formula>$Y$11="-"</formula>
    </cfRule>
  </conditionalFormatting>
  <conditionalFormatting sqref="Z193">
    <cfRule type="expression" dxfId="1369" priority="1333">
      <formula>$Z$11="-"</formula>
    </cfRule>
  </conditionalFormatting>
  <conditionalFormatting sqref="AA193">
    <cfRule type="expression" dxfId="1368" priority="1332">
      <formula>$AA$11="-"</formula>
    </cfRule>
  </conditionalFormatting>
  <conditionalFormatting sqref="AN193">
    <cfRule type="expression" dxfId="1367" priority="1331">
      <formula>$AN$11="-"</formula>
    </cfRule>
  </conditionalFormatting>
  <conditionalFormatting sqref="AO193">
    <cfRule type="expression" dxfId="1366" priority="1330">
      <formula>$AO$11="-"</formula>
    </cfRule>
  </conditionalFormatting>
  <conditionalFormatting sqref="AM193">
    <cfRule type="expression" dxfId="1365" priority="1329">
      <formula>$AM$11="-"</formula>
    </cfRule>
  </conditionalFormatting>
  <conditionalFormatting sqref="AH193">
    <cfRule type="expression" dxfId="1364" priority="1328">
      <formula>$AH$11="-"</formula>
    </cfRule>
  </conditionalFormatting>
  <conditionalFormatting sqref="AL193">
    <cfRule type="expression" dxfId="1363" priority="1327">
      <formula>$AL$11="-"</formula>
    </cfRule>
  </conditionalFormatting>
  <conditionalFormatting sqref="E194:H194">
    <cfRule type="expression" dxfId="1362" priority="1323">
      <formula>AND(ISTEXT(I194),ISBLANK(E194))</formula>
    </cfRule>
  </conditionalFormatting>
  <conditionalFormatting sqref="A194:K194">
    <cfRule type="expression" dxfId="1361" priority="1322">
      <formula>AND($I194&lt;&gt;"",$L194="")</formula>
    </cfRule>
  </conditionalFormatting>
  <conditionalFormatting sqref="Q194">
    <cfRule type="expression" dxfId="1360" priority="1317">
      <formula>$Q$11="-"</formula>
    </cfRule>
  </conditionalFormatting>
  <conditionalFormatting sqref="R194">
    <cfRule type="expression" dxfId="1359" priority="1316">
      <formula>$R$11="-"</formula>
    </cfRule>
  </conditionalFormatting>
  <conditionalFormatting sqref="S194">
    <cfRule type="expression" dxfId="1358" priority="1315">
      <formula>$S$11="-"</formula>
    </cfRule>
  </conditionalFormatting>
  <conditionalFormatting sqref="T194">
    <cfRule type="expression" dxfId="1357" priority="1314">
      <formula>$T$11="-"</formula>
    </cfRule>
  </conditionalFormatting>
  <conditionalFormatting sqref="AE194">
    <cfRule type="expression" dxfId="1356" priority="1313">
      <formula>$AE$11="-"</formula>
    </cfRule>
  </conditionalFormatting>
  <conditionalFormatting sqref="AF194">
    <cfRule type="expression" dxfId="1355" priority="1312">
      <formula>$AF$11="-"</formula>
    </cfRule>
  </conditionalFormatting>
  <conditionalFormatting sqref="AG194">
    <cfRule type="expression" dxfId="1354" priority="1311">
      <formula>$AG$11="-"</formula>
    </cfRule>
  </conditionalFormatting>
  <conditionalFormatting sqref="X194">
    <cfRule type="expression" dxfId="1353" priority="1310">
      <formula>$X$11="-"</formula>
    </cfRule>
  </conditionalFormatting>
  <conditionalFormatting sqref="Y194">
    <cfRule type="expression" dxfId="1352" priority="1309">
      <formula>$Y$11="-"</formula>
    </cfRule>
  </conditionalFormatting>
  <conditionalFormatting sqref="Z194">
    <cfRule type="expression" dxfId="1351" priority="1308">
      <formula>$Z$11="-"</formula>
    </cfRule>
  </conditionalFormatting>
  <conditionalFormatting sqref="AA194">
    <cfRule type="expression" dxfId="1350" priority="1307">
      <formula>$AA$11="-"</formula>
    </cfRule>
  </conditionalFormatting>
  <conditionalFormatting sqref="AN194">
    <cfRule type="expression" dxfId="1349" priority="1306">
      <formula>$AN$11="-"</formula>
    </cfRule>
  </conditionalFormatting>
  <conditionalFormatting sqref="AO194">
    <cfRule type="expression" dxfId="1348" priority="1305">
      <formula>$AO$11="-"</formula>
    </cfRule>
  </conditionalFormatting>
  <conditionalFormatting sqref="AM194">
    <cfRule type="expression" dxfId="1347" priority="1304">
      <formula>$AM$11="-"</formula>
    </cfRule>
  </conditionalFormatting>
  <conditionalFormatting sqref="AH194">
    <cfRule type="expression" dxfId="1346" priority="1303">
      <formula>$AH$11="-"</formula>
    </cfRule>
  </conditionalFormatting>
  <conditionalFormatting sqref="AL194">
    <cfRule type="expression" dxfId="1345" priority="1302">
      <formula>$AL$11="-"</formula>
    </cfRule>
  </conditionalFormatting>
  <conditionalFormatting sqref="E196:H196">
    <cfRule type="expression" dxfId="1344" priority="1298">
      <formula>AND(ISTEXT(I196),ISBLANK(E196))</formula>
    </cfRule>
  </conditionalFormatting>
  <conditionalFormatting sqref="A196:K196">
    <cfRule type="expression" dxfId="1343" priority="1297">
      <formula>AND($I196&lt;&gt;"",$L196="")</formula>
    </cfRule>
  </conditionalFormatting>
  <conditionalFormatting sqref="Q196">
    <cfRule type="expression" dxfId="1342" priority="1292">
      <formula>$Q$11="-"</formula>
    </cfRule>
  </conditionalFormatting>
  <conditionalFormatting sqref="R196">
    <cfRule type="expression" dxfId="1341" priority="1291">
      <formula>$R$11="-"</formula>
    </cfRule>
  </conditionalFormatting>
  <conditionalFormatting sqref="S196">
    <cfRule type="expression" dxfId="1340" priority="1290">
      <formula>$S$11="-"</formula>
    </cfRule>
  </conditionalFormatting>
  <conditionalFormatting sqref="T196">
    <cfRule type="expression" dxfId="1339" priority="1289">
      <formula>$T$11="-"</formula>
    </cfRule>
  </conditionalFormatting>
  <conditionalFormatting sqref="AE196">
    <cfRule type="expression" dxfId="1338" priority="1288">
      <formula>$AE$11="-"</formula>
    </cfRule>
  </conditionalFormatting>
  <conditionalFormatting sqref="AF196">
    <cfRule type="expression" dxfId="1337" priority="1287">
      <formula>$AF$11="-"</formula>
    </cfRule>
  </conditionalFormatting>
  <conditionalFormatting sqref="AG196">
    <cfRule type="expression" dxfId="1336" priority="1286">
      <formula>$AG$11="-"</formula>
    </cfRule>
  </conditionalFormatting>
  <conditionalFormatting sqref="X196">
    <cfRule type="expression" dxfId="1335" priority="1285">
      <formula>$X$11="-"</formula>
    </cfRule>
  </conditionalFormatting>
  <conditionalFormatting sqref="Y196">
    <cfRule type="expression" dxfId="1334" priority="1284">
      <formula>$Y$11="-"</formula>
    </cfRule>
  </conditionalFormatting>
  <conditionalFormatting sqref="Z196">
    <cfRule type="expression" dxfId="1333" priority="1283">
      <formula>$Z$11="-"</formula>
    </cfRule>
  </conditionalFormatting>
  <conditionalFormatting sqref="AA196">
    <cfRule type="expression" dxfId="1332" priority="1282">
      <formula>$AA$11="-"</formula>
    </cfRule>
  </conditionalFormatting>
  <conditionalFormatting sqref="AN196">
    <cfRule type="expression" dxfId="1331" priority="1281">
      <formula>$AN$11="-"</formula>
    </cfRule>
  </conditionalFormatting>
  <conditionalFormatting sqref="AO196">
    <cfRule type="expression" dxfId="1330" priority="1280">
      <formula>$AO$11="-"</formula>
    </cfRule>
  </conditionalFormatting>
  <conditionalFormatting sqref="AM196">
    <cfRule type="expression" dxfId="1329" priority="1279">
      <formula>$AM$11="-"</formula>
    </cfRule>
  </conditionalFormatting>
  <conditionalFormatting sqref="AH196">
    <cfRule type="expression" dxfId="1328" priority="1278">
      <formula>$AH$11="-"</formula>
    </cfRule>
  </conditionalFormatting>
  <conditionalFormatting sqref="AL196">
    <cfRule type="expression" dxfId="1327" priority="1277">
      <formula>$AL$11="-"</formula>
    </cfRule>
  </conditionalFormatting>
  <conditionalFormatting sqref="E195:H195">
    <cfRule type="expression" dxfId="1326" priority="1273">
      <formula>AND(ISTEXT(I195),ISBLANK(E195))</formula>
    </cfRule>
  </conditionalFormatting>
  <conditionalFormatting sqref="A195:K195">
    <cfRule type="expression" dxfId="1325" priority="1272">
      <formula>AND($I195&lt;&gt;"",$L195="")</formula>
    </cfRule>
  </conditionalFormatting>
  <conditionalFormatting sqref="Q195">
    <cfRule type="expression" dxfId="1324" priority="1267">
      <formula>$Q$11="-"</formula>
    </cfRule>
  </conditionalFormatting>
  <conditionalFormatting sqref="R195">
    <cfRule type="expression" dxfId="1323" priority="1266">
      <formula>$R$11="-"</formula>
    </cfRule>
  </conditionalFormatting>
  <conditionalFormatting sqref="S195">
    <cfRule type="expression" dxfId="1322" priority="1265">
      <formula>$S$11="-"</formula>
    </cfRule>
  </conditionalFormatting>
  <conditionalFormatting sqref="T195">
    <cfRule type="expression" dxfId="1321" priority="1264">
      <formula>$T$11="-"</formula>
    </cfRule>
  </conditionalFormatting>
  <conditionalFormatting sqref="AE195">
    <cfRule type="expression" dxfId="1320" priority="1263">
      <formula>$AE$11="-"</formula>
    </cfRule>
  </conditionalFormatting>
  <conditionalFormatting sqref="AF195">
    <cfRule type="expression" dxfId="1319" priority="1262">
      <formula>$AF$11="-"</formula>
    </cfRule>
  </conditionalFormatting>
  <conditionalFormatting sqref="AG195">
    <cfRule type="expression" dxfId="1318" priority="1261">
      <formula>$AG$11="-"</formula>
    </cfRule>
  </conditionalFormatting>
  <conditionalFormatting sqref="X195">
    <cfRule type="expression" dxfId="1317" priority="1260">
      <formula>$X$11="-"</formula>
    </cfRule>
  </conditionalFormatting>
  <conditionalFormatting sqref="Y195">
    <cfRule type="expression" dxfId="1316" priority="1259">
      <formula>$Y$11="-"</formula>
    </cfRule>
  </conditionalFormatting>
  <conditionalFormatting sqref="Z195">
    <cfRule type="expression" dxfId="1315" priority="1258">
      <formula>$Z$11="-"</formula>
    </cfRule>
  </conditionalFormatting>
  <conditionalFormatting sqref="AA195">
    <cfRule type="expression" dxfId="1314" priority="1257">
      <formula>$AA$11="-"</formula>
    </cfRule>
  </conditionalFormatting>
  <conditionalFormatting sqref="AN195">
    <cfRule type="expression" dxfId="1313" priority="1256">
      <formula>$AN$11="-"</formula>
    </cfRule>
  </conditionalFormatting>
  <conditionalFormatting sqref="AO195">
    <cfRule type="expression" dxfId="1312" priority="1255">
      <formula>$AO$11="-"</formula>
    </cfRule>
  </conditionalFormatting>
  <conditionalFormatting sqref="AM195">
    <cfRule type="expression" dxfId="1311" priority="1254">
      <formula>$AM$11="-"</formula>
    </cfRule>
  </conditionalFormatting>
  <conditionalFormatting sqref="AH195">
    <cfRule type="expression" dxfId="1310" priority="1253">
      <formula>$AH$11="-"</formula>
    </cfRule>
  </conditionalFormatting>
  <conditionalFormatting sqref="AL195">
    <cfRule type="expression" dxfId="1309" priority="1252">
      <formula>$AL$11="-"</formula>
    </cfRule>
  </conditionalFormatting>
  <conditionalFormatting sqref="E197:H197">
    <cfRule type="expression" dxfId="1308" priority="1248">
      <formula>AND(ISTEXT(I197),ISBLANK(E197))</formula>
    </cfRule>
  </conditionalFormatting>
  <conditionalFormatting sqref="A197:K197">
    <cfRule type="expression" dxfId="1307" priority="1247">
      <formula>AND($I197&lt;&gt;"",$L197="")</formula>
    </cfRule>
  </conditionalFormatting>
  <conditionalFormatting sqref="Q197">
    <cfRule type="expression" dxfId="1306" priority="1242">
      <formula>$Q$11="-"</formula>
    </cfRule>
  </conditionalFormatting>
  <conditionalFormatting sqref="R197">
    <cfRule type="expression" dxfId="1305" priority="1241">
      <formula>$R$11="-"</formula>
    </cfRule>
  </conditionalFormatting>
  <conditionalFormatting sqref="S197">
    <cfRule type="expression" dxfId="1304" priority="1240">
      <formula>$S$11="-"</formula>
    </cfRule>
  </conditionalFormatting>
  <conditionalFormatting sqref="T197">
    <cfRule type="expression" dxfId="1303" priority="1239">
      <formula>$T$11="-"</formula>
    </cfRule>
  </conditionalFormatting>
  <conditionalFormatting sqref="AE197">
    <cfRule type="expression" dxfId="1302" priority="1238">
      <formula>$AE$11="-"</formula>
    </cfRule>
  </conditionalFormatting>
  <conditionalFormatting sqref="AF197">
    <cfRule type="expression" dxfId="1301" priority="1237">
      <formula>$AF$11="-"</formula>
    </cfRule>
  </conditionalFormatting>
  <conditionalFormatting sqref="AG197">
    <cfRule type="expression" dxfId="1300" priority="1236">
      <formula>$AG$11="-"</formula>
    </cfRule>
  </conditionalFormatting>
  <conditionalFormatting sqref="X197">
    <cfRule type="expression" dxfId="1299" priority="1235">
      <formula>$X$11="-"</formula>
    </cfRule>
  </conditionalFormatting>
  <conditionalFormatting sqref="Y197">
    <cfRule type="expression" dxfId="1298" priority="1234">
      <formula>$Y$11="-"</formula>
    </cfRule>
  </conditionalFormatting>
  <conditionalFormatting sqref="Z197">
    <cfRule type="expression" dxfId="1297" priority="1233">
      <formula>$Z$11="-"</formula>
    </cfRule>
  </conditionalFormatting>
  <conditionalFormatting sqref="AA197">
    <cfRule type="expression" dxfId="1296" priority="1232">
      <formula>$AA$11="-"</formula>
    </cfRule>
  </conditionalFormatting>
  <conditionalFormatting sqref="AN197">
    <cfRule type="expression" dxfId="1295" priority="1231">
      <formula>$AN$11="-"</formula>
    </cfRule>
  </conditionalFormatting>
  <conditionalFormatting sqref="AO197">
    <cfRule type="expression" dxfId="1294" priority="1230">
      <formula>$AO$11="-"</formula>
    </cfRule>
  </conditionalFormatting>
  <conditionalFormatting sqref="AM197">
    <cfRule type="expression" dxfId="1293" priority="1229">
      <formula>$AM$11="-"</formula>
    </cfRule>
  </conditionalFormatting>
  <conditionalFormatting sqref="AH197">
    <cfRule type="expression" dxfId="1292" priority="1228">
      <formula>$AH$11="-"</formula>
    </cfRule>
  </conditionalFormatting>
  <conditionalFormatting sqref="AL197">
    <cfRule type="expression" dxfId="1291" priority="1227">
      <formula>$AL$11="-"</formula>
    </cfRule>
  </conditionalFormatting>
  <conditionalFormatting sqref="E198:H198">
    <cfRule type="expression" dxfId="1290" priority="1223">
      <formula>AND(ISTEXT(I198),ISBLANK(E198))</formula>
    </cfRule>
  </conditionalFormatting>
  <conditionalFormatting sqref="A198:K198">
    <cfRule type="expression" dxfId="1289" priority="1222">
      <formula>AND($I198&lt;&gt;"",$L198="")</formula>
    </cfRule>
  </conditionalFormatting>
  <conditionalFormatting sqref="Q198">
    <cfRule type="expression" dxfId="1288" priority="1217">
      <formula>$Q$11="-"</formula>
    </cfRule>
  </conditionalFormatting>
  <conditionalFormatting sqref="R198">
    <cfRule type="expression" dxfId="1287" priority="1216">
      <formula>$R$11="-"</formula>
    </cfRule>
  </conditionalFormatting>
  <conditionalFormatting sqref="S198">
    <cfRule type="expression" dxfId="1286" priority="1215">
      <formula>$S$11="-"</formula>
    </cfRule>
  </conditionalFormatting>
  <conditionalFormatting sqref="T198">
    <cfRule type="expression" dxfId="1285" priority="1214">
      <formula>$T$11="-"</formula>
    </cfRule>
  </conditionalFormatting>
  <conditionalFormatting sqref="AE198">
    <cfRule type="expression" dxfId="1284" priority="1213">
      <formula>$AE$11="-"</formula>
    </cfRule>
  </conditionalFormatting>
  <conditionalFormatting sqref="AF198">
    <cfRule type="expression" dxfId="1283" priority="1212">
      <formula>$AF$11="-"</formula>
    </cfRule>
  </conditionalFormatting>
  <conditionalFormatting sqref="AG198">
    <cfRule type="expression" dxfId="1282" priority="1211">
      <formula>$AG$11="-"</formula>
    </cfRule>
  </conditionalFormatting>
  <conditionalFormatting sqref="X198">
    <cfRule type="expression" dxfId="1281" priority="1210">
      <formula>$X$11="-"</formula>
    </cfRule>
  </conditionalFormatting>
  <conditionalFormatting sqref="Y198">
    <cfRule type="expression" dxfId="1280" priority="1209">
      <formula>$Y$11="-"</formula>
    </cfRule>
  </conditionalFormatting>
  <conditionalFormatting sqref="Z198">
    <cfRule type="expression" dxfId="1279" priority="1208">
      <formula>$Z$11="-"</formula>
    </cfRule>
  </conditionalFormatting>
  <conditionalFormatting sqref="AA198">
    <cfRule type="expression" dxfId="1278" priority="1207">
      <formula>$AA$11="-"</formula>
    </cfRule>
  </conditionalFormatting>
  <conditionalFormatting sqref="AN198">
    <cfRule type="expression" dxfId="1277" priority="1206">
      <formula>$AN$11="-"</formula>
    </cfRule>
  </conditionalFormatting>
  <conditionalFormatting sqref="AO198">
    <cfRule type="expression" dxfId="1276" priority="1205">
      <formula>$AO$11="-"</formula>
    </cfRule>
  </conditionalFormatting>
  <conditionalFormatting sqref="AM198">
    <cfRule type="expression" dxfId="1275" priority="1204">
      <formula>$AM$11="-"</formula>
    </cfRule>
  </conditionalFormatting>
  <conditionalFormatting sqref="AH198">
    <cfRule type="expression" dxfId="1274" priority="1203">
      <formula>$AH$11="-"</formula>
    </cfRule>
  </conditionalFormatting>
  <conditionalFormatting sqref="AL198">
    <cfRule type="expression" dxfId="1273" priority="1202">
      <formula>$AL$11="-"</formula>
    </cfRule>
  </conditionalFormatting>
  <conditionalFormatting sqref="E200:H200">
    <cfRule type="expression" dxfId="1272" priority="1198">
      <formula>AND(ISTEXT(I200),ISBLANK(E200))</formula>
    </cfRule>
  </conditionalFormatting>
  <conditionalFormatting sqref="A200:K200">
    <cfRule type="expression" dxfId="1271" priority="1197">
      <formula>AND($I200&lt;&gt;"",$L200="")</formula>
    </cfRule>
  </conditionalFormatting>
  <conditionalFormatting sqref="Q200">
    <cfRule type="expression" dxfId="1270" priority="1192">
      <formula>$Q$11="-"</formula>
    </cfRule>
  </conditionalFormatting>
  <conditionalFormatting sqref="R200">
    <cfRule type="expression" dxfId="1269" priority="1191">
      <formula>$R$11="-"</formula>
    </cfRule>
  </conditionalFormatting>
  <conditionalFormatting sqref="S200">
    <cfRule type="expression" dxfId="1268" priority="1190">
      <formula>$S$11="-"</formula>
    </cfRule>
  </conditionalFormatting>
  <conditionalFormatting sqref="T200">
    <cfRule type="expression" dxfId="1267" priority="1189">
      <formula>$T$11="-"</formula>
    </cfRule>
  </conditionalFormatting>
  <conditionalFormatting sqref="AE200">
    <cfRule type="expression" dxfId="1266" priority="1188">
      <formula>$AE$11="-"</formula>
    </cfRule>
  </conditionalFormatting>
  <conditionalFormatting sqref="AF200">
    <cfRule type="expression" dxfId="1265" priority="1187">
      <formula>$AF$11="-"</formula>
    </cfRule>
  </conditionalFormatting>
  <conditionalFormatting sqref="AG200">
    <cfRule type="expression" dxfId="1264" priority="1186">
      <formula>$AG$11="-"</formula>
    </cfRule>
  </conditionalFormatting>
  <conditionalFormatting sqref="X200">
    <cfRule type="expression" dxfId="1263" priority="1185">
      <formula>$X$11="-"</formula>
    </cfRule>
  </conditionalFormatting>
  <conditionalFormatting sqref="Y200">
    <cfRule type="expression" dxfId="1262" priority="1184">
      <formula>$Y$11="-"</formula>
    </cfRule>
  </conditionalFormatting>
  <conditionalFormatting sqref="Z200">
    <cfRule type="expression" dxfId="1261" priority="1183">
      <formula>$Z$11="-"</formula>
    </cfRule>
  </conditionalFormatting>
  <conditionalFormatting sqref="AA200">
    <cfRule type="expression" dxfId="1260" priority="1182">
      <formula>$AA$11="-"</formula>
    </cfRule>
  </conditionalFormatting>
  <conditionalFormatting sqref="AN200">
    <cfRule type="expression" dxfId="1259" priority="1181">
      <formula>$AN$11="-"</formula>
    </cfRule>
  </conditionalFormatting>
  <conditionalFormatting sqref="AO200">
    <cfRule type="expression" dxfId="1258" priority="1180">
      <formula>$AO$11="-"</formula>
    </cfRule>
  </conditionalFormatting>
  <conditionalFormatting sqref="AM200">
    <cfRule type="expression" dxfId="1257" priority="1179">
      <formula>$AM$11="-"</formula>
    </cfRule>
  </conditionalFormatting>
  <conditionalFormatting sqref="AH200">
    <cfRule type="expression" dxfId="1256" priority="1178">
      <formula>$AH$11="-"</formula>
    </cfRule>
  </conditionalFormatting>
  <conditionalFormatting sqref="AL200">
    <cfRule type="expression" dxfId="1255" priority="1177">
      <formula>$AL$11="-"</formula>
    </cfRule>
  </conditionalFormatting>
  <conditionalFormatting sqref="E199:H199">
    <cfRule type="expression" dxfId="1254" priority="1173">
      <formula>AND(ISTEXT(I199),ISBLANK(E199))</formula>
    </cfRule>
  </conditionalFormatting>
  <conditionalFormatting sqref="A199:K199">
    <cfRule type="expression" dxfId="1253" priority="1172">
      <formula>AND($I199&lt;&gt;"",$L199="")</formula>
    </cfRule>
  </conditionalFormatting>
  <conditionalFormatting sqref="Q199">
    <cfRule type="expression" dxfId="1252" priority="1167">
      <formula>$Q$11="-"</formula>
    </cfRule>
  </conditionalFormatting>
  <conditionalFormatting sqref="R199">
    <cfRule type="expression" dxfId="1251" priority="1166">
      <formula>$R$11="-"</formula>
    </cfRule>
  </conditionalFormatting>
  <conditionalFormatting sqref="S199">
    <cfRule type="expression" dxfId="1250" priority="1165">
      <formula>$S$11="-"</formula>
    </cfRule>
  </conditionalFormatting>
  <conditionalFormatting sqref="T199">
    <cfRule type="expression" dxfId="1249" priority="1164">
      <formula>$T$11="-"</formula>
    </cfRule>
  </conditionalFormatting>
  <conditionalFormatting sqref="AE199">
    <cfRule type="expression" dxfId="1248" priority="1163">
      <formula>$AE$11="-"</formula>
    </cfRule>
  </conditionalFormatting>
  <conditionalFormatting sqref="AF199">
    <cfRule type="expression" dxfId="1247" priority="1162">
      <formula>$AF$11="-"</formula>
    </cfRule>
  </conditionalFormatting>
  <conditionalFormatting sqref="AG199">
    <cfRule type="expression" dxfId="1246" priority="1161">
      <formula>$AG$11="-"</formula>
    </cfRule>
  </conditionalFormatting>
  <conditionalFormatting sqref="X199">
    <cfRule type="expression" dxfId="1245" priority="1160">
      <formula>$X$11="-"</formula>
    </cfRule>
  </conditionalFormatting>
  <conditionalFormatting sqref="Y199">
    <cfRule type="expression" dxfId="1244" priority="1159">
      <formula>$Y$11="-"</formula>
    </cfRule>
  </conditionalFormatting>
  <conditionalFormatting sqref="Z199">
    <cfRule type="expression" dxfId="1243" priority="1158">
      <formula>$Z$11="-"</formula>
    </cfRule>
  </conditionalFormatting>
  <conditionalFormatting sqref="AA199">
    <cfRule type="expression" dxfId="1242" priority="1157">
      <formula>$AA$11="-"</formula>
    </cfRule>
  </conditionalFormatting>
  <conditionalFormatting sqref="AN199">
    <cfRule type="expression" dxfId="1241" priority="1156">
      <formula>$AN$11="-"</formula>
    </cfRule>
  </conditionalFormatting>
  <conditionalFormatting sqref="AO199">
    <cfRule type="expression" dxfId="1240" priority="1155">
      <formula>$AO$11="-"</formula>
    </cfRule>
  </conditionalFormatting>
  <conditionalFormatting sqref="AM199">
    <cfRule type="expression" dxfId="1239" priority="1154">
      <formula>$AM$11="-"</formula>
    </cfRule>
  </conditionalFormatting>
  <conditionalFormatting sqref="AH199">
    <cfRule type="expression" dxfId="1238" priority="1153">
      <formula>$AH$11="-"</formula>
    </cfRule>
  </conditionalFormatting>
  <conditionalFormatting sqref="AL199">
    <cfRule type="expression" dxfId="1237" priority="1152">
      <formula>$AL$11="-"</formula>
    </cfRule>
  </conditionalFormatting>
  <conditionalFormatting sqref="E201:H201">
    <cfRule type="expression" dxfId="1236" priority="1148">
      <formula>AND(ISTEXT(I201),ISBLANK(E201))</formula>
    </cfRule>
  </conditionalFormatting>
  <conditionalFormatting sqref="A201:K201">
    <cfRule type="expression" dxfId="1235" priority="1147">
      <formula>AND($I201&lt;&gt;"",$L201="")</formula>
    </cfRule>
  </conditionalFormatting>
  <conditionalFormatting sqref="Q201">
    <cfRule type="expression" dxfId="1234" priority="1142">
      <formula>$Q$11="-"</formula>
    </cfRule>
  </conditionalFormatting>
  <conditionalFormatting sqref="R201">
    <cfRule type="expression" dxfId="1233" priority="1141">
      <formula>$R$11="-"</formula>
    </cfRule>
  </conditionalFormatting>
  <conditionalFormatting sqref="S201">
    <cfRule type="expression" dxfId="1232" priority="1140">
      <formula>$S$11="-"</formula>
    </cfRule>
  </conditionalFormatting>
  <conditionalFormatting sqref="T201">
    <cfRule type="expression" dxfId="1231" priority="1139">
      <formula>$T$11="-"</formula>
    </cfRule>
  </conditionalFormatting>
  <conditionalFormatting sqref="AE201">
    <cfRule type="expression" dxfId="1230" priority="1138">
      <formula>$AE$11="-"</formula>
    </cfRule>
  </conditionalFormatting>
  <conditionalFormatting sqref="AF201">
    <cfRule type="expression" dxfId="1229" priority="1137">
      <formula>$AF$11="-"</formula>
    </cfRule>
  </conditionalFormatting>
  <conditionalFormatting sqref="AG201">
    <cfRule type="expression" dxfId="1228" priority="1136">
      <formula>$AG$11="-"</formula>
    </cfRule>
  </conditionalFormatting>
  <conditionalFormatting sqref="X201">
    <cfRule type="expression" dxfId="1227" priority="1135">
      <formula>$X$11="-"</formula>
    </cfRule>
  </conditionalFormatting>
  <conditionalFormatting sqref="Y201">
    <cfRule type="expression" dxfId="1226" priority="1134">
      <formula>$Y$11="-"</formula>
    </cfRule>
  </conditionalFormatting>
  <conditionalFormatting sqref="Z201">
    <cfRule type="expression" dxfId="1225" priority="1133">
      <formula>$Z$11="-"</formula>
    </cfRule>
  </conditionalFormatting>
  <conditionalFormatting sqref="AA201">
    <cfRule type="expression" dxfId="1224" priority="1132">
      <formula>$AA$11="-"</formula>
    </cfRule>
  </conditionalFormatting>
  <conditionalFormatting sqref="AN201">
    <cfRule type="expression" dxfId="1223" priority="1131">
      <formula>$AN$11="-"</formula>
    </cfRule>
  </conditionalFormatting>
  <conditionalFormatting sqref="AO201">
    <cfRule type="expression" dxfId="1222" priority="1130">
      <formula>$AO$11="-"</formula>
    </cfRule>
  </conditionalFormatting>
  <conditionalFormatting sqref="AM201">
    <cfRule type="expression" dxfId="1221" priority="1129">
      <formula>$AM$11="-"</formula>
    </cfRule>
  </conditionalFormatting>
  <conditionalFormatting sqref="AH201">
    <cfRule type="expression" dxfId="1220" priority="1128">
      <formula>$AH$11="-"</formula>
    </cfRule>
  </conditionalFormatting>
  <conditionalFormatting sqref="AL201">
    <cfRule type="expression" dxfId="1219" priority="1127">
      <formula>$AL$11="-"</formula>
    </cfRule>
  </conditionalFormatting>
  <conditionalFormatting sqref="E202:H202">
    <cfRule type="expression" dxfId="1218" priority="1123">
      <formula>AND(ISTEXT(I202),ISBLANK(E202))</formula>
    </cfRule>
  </conditionalFormatting>
  <conditionalFormatting sqref="A202:K202">
    <cfRule type="expression" dxfId="1217" priority="1122">
      <formula>AND($I202&lt;&gt;"",$L202="")</formula>
    </cfRule>
  </conditionalFormatting>
  <conditionalFormatting sqref="Q202">
    <cfRule type="expression" dxfId="1216" priority="1117">
      <formula>$Q$11="-"</formula>
    </cfRule>
  </conditionalFormatting>
  <conditionalFormatting sqref="R202">
    <cfRule type="expression" dxfId="1215" priority="1116">
      <formula>$R$11="-"</formula>
    </cfRule>
  </conditionalFormatting>
  <conditionalFormatting sqref="S202">
    <cfRule type="expression" dxfId="1214" priority="1115">
      <formula>$S$11="-"</formula>
    </cfRule>
  </conditionalFormatting>
  <conditionalFormatting sqref="T202">
    <cfRule type="expression" dxfId="1213" priority="1114">
      <formula>$T$11="-"</formula>
    </cfRule>
  </conditionalFormatting>
  <conditionalFormatting sqref="AE202">
    <cfRule type="expression" dxfId="1212" priority="1113">
      <formula>$AE$11="-"</formula>
    </cfRule>
  </conditionalFormatting>
  <conditionalFormatting sqref="AF202">
    <cfRule type="expression" dxfId="1211" priority="1112">
      <formula>$AF$11="-"</formula>
    </cfRule>
  </conditionalFormatting>
  <conditionalFormatting sqref="AG202">
    <cfRule type="expression" dxfId="1210" priority="1111">
      <formula>$AG$11="-"</formula>
    </cfRule>
  </conditionalFormatting>
  <conditionalFormatting sqref="X202">
    <cfRule type="expression" dxfId="1209" priority="1110">
      <formula>$X$11="-"</formula>
    </cfRule>
  </conditionalFormatting>
  <conditionalFormatting sqref="Y202">
    <cfRule type="expression" dxfId="1208" priority="1109">
      <formula>$Y$11="-"</formula>
    </cfRule>
  </conditionalFormatting>
  <conditionalFormatting sqref="Z202">
    <cfRule type="expression" dxfId="1207" priority="1108">
      <formula>$Z$11="-"</formula>
    </cfRule>
  </conditionalFormatting>
  <conditionalFormatting sqref="AA202">
    <cfRule type="expression" dxfId="1206" priority="1107">
      <formula>$AA$11="-"</formula>
    </cfRule>
  </conditionalFormatting>
  <conditionalFormatting sqref="AN202">
    <cfRule type="expression" dxfId="1205" priority="1106">
      <formula>$AN$11="-"</formula>
    </cfRule>
  </conditionalFormatting>
  <conditionalFormatting sqref="AO202">
    <cfRule type="expression" dxfId="1204" priority="1105">
      <formula>$AO$11="-"</formula>
    </cfRule>
  </conditionalFormatting>
  <conditionalFormatting sqref="AM202">
    <cfRule type="expression" dxfId="1203" priority="1104">
      <formula>$AM$11="-"</formula>
    </cfRule>
  </conditionalFormatting>
  <conditionalFormatting sqref="AH202">
    <cfRule type="expression" dxfId="1202" priority="1103">
      <formula>$AH$11="-"</formula>
    </cfRule>
  </conditionalFormatting>
  <conditionalFormatting sqref="AL202">
    <cfRule type="expression" dxfId="1201" priority="1102">
      <formula>$AL$11="-"</formula>
    </cfRule>
  </conditionalFormatting>
  <conditionalFormatting sqref="E204:H204">
    <cfRule type="expression" dxfId="1200" priority="1098">
      <formula>AND(ISTEXT(I204),ISBLANK(E204))</formula>
    </cfRule>
  </conditionalFormatting>
  <conditionalFormatting sqref="A204:K204">
    <cfRule type="expression" dxfId="1199" priority="1097">
      <formula>AND($I204&lt;&gt;"",$L204="")</formula>
    </cfRule>
  </conditionalFormatting>
  <conditionalFormatting sqref="Q204">
    <cfRule type="expression" dxfId="1198" priority="1092">
      <formula>$Q$11="-"</formula>
    </cfRule>
  </conditionalFormatting>
  <conditionalFormatting sqref="R204">
    <cfRule type="expression" dxfId="1197" priority="1091">
      <formula>$R$11="-"</formula>
    </cfRule>
  </conditionalFormatting>
  <conditionalFormatting sqref="S204">
    <cfRule type="expression" dxfId="1196" priority="1090">
      <formula>$S$11="-"</formula>
    </cfRule>
  </conditionalFormatting>
  <conditionalFormatting sqref="T204">
    <cfRule type="expression" dxfId="1195" priority="1089">
      <formula>$T$11="-"</formula>
    </cfRule>
  </conditionalFormatting>
  <conditionalFormatting sqref="AE204">
    <cfRule type="expression" dxfId="1194" priority="1088">
      <formula>$AE$11="-"</formula>
    </cfRule>
  </conditionalFormatting>
  <conditionalFormatting sqref="AF204">
    <cfRule type="expression" dxfId="1193" priority="1087">
      <formula>$AF$11="-"</formula>
    </cfRule>
  </conditionalFormatting>
  <conditionalFormatting sqref="AG204">
    <cfRule type="expression" dxfId="1192" priority="1086">
      <formula>$AG$11="-"</formula>
    </cfRule>
  </conditionalFormatting>
  <conditionalFormatting sqref="X204">
    <cfRule type="expression" dxfId="1191" priority="1085">
      <formula>$X$11="-"</formula>
    </cfRule>
  </conditionalFormatting>
  <conditionalFormatting sqref="Y204">
    <cfRule type="expression" dxfId="1190" priority="1084">
      <formula>$Y$11="-"</formula>
    </cfRule>
  </conditionalFormatting>
  <conditionalFormatting sqref="Z204">
    <cfRule type="expression" dxfId="1189" priority="1083">
      <formula>$Z$11="-"</formula>
    </cfRule>
  </conditionalFormatting>
  <conditionalFormatting sqref="AA204">
    <cfRule type="expression" dxfId="1188" priority="1082">
      <formula>$AA$11="-"</formula>
    </cfRule>
  </conditionalFormatting>
  <conditionalFormatting sqref="AN204">
    <cfRule type="expression" dxfId="1187" priority="1081">
      <formula>$AN$11="-"</formula>
    </cfRule>
  </conditionalFormatting>
  <conditionalFormatting sqref="AO204">
    <cfRule type="expression" dxfId="1186" priority="1080">
      <formula>$AO$11="-"</formula>
    </cfRule>
  </conditionalFormatting>
  <conditionalFormatting sqref="AM204">
    <cfRule type="expression" dxfId="1185" priority="1079">
      <formula>$AM$11="-"</formula>
    </cfRule>
  </conditionalFormatting>
  <conditionalFormatting sqref="AH204">
    <cfRule type="expression" dxfId="1184" priority="1078">
      <formula>$AH$11="-"</formula>
    </cfRule>
  </conditionalFormatting>
  <conditionalFormatting sqref="AL204">
    <cfRule type="expression" dxfId="1183" priority="1077">
      <formula>$AL$11="-"</formula>
    </cfRule>
  </conditionalFormatting>
  <conditionalFormatting sqref="E203:H203">
    <cfRule type="expression" dxfId="1182" priority="1073">
      <formula>AND(ISTEXT(I203),ISBLANK(E203))</formula>
    </cfRule>
  </conditionalFormatting>
  <conditionalFormatting sqref="A203:K203">
    <cfRule type="expression" dxfId="1181" priority="1072">
      <formula>AND($I203&lt;&gt;"",$L203="")</formula>
    </cfRule>
  </conditionalFormatting>
  <conditionalFormatting sqref="Q203">
    <cfRule type="expression" dxfId="1180" priority="1067">
      <formula>$Q$11="-"</formula>
    </cfRule>
  </conditionalFormatting>
  <conditionalFormatting sqref="R203">
    <cfRule type="expression" dxfId="1179" priority="1066">
      <formula>$R$11="-"</formula>
    </cfRule>
  </conditionalFormatting>
  <conditionalFormatting sqref="S203">
    <cfRule type="expression" dxfId="1178" priority="1065">
      <formula>$S$11="-"</formula>
    </cfRule>
  </conditionalFormatting>
  <conditionalFormatting sqref="T203">
    <cfRule type="expression" dxfId="1177" priority="1064">
      <formula>$T$11="-"</formula>
    </cfRule>
  </conditionalFormatting>
  <conditionalFormatting sqref="AE203">
    <cfRule type="expression" dxfId="1176" priority="1063">
      <formula>$AE$11="-"</formula>
    </cfRule>
  </conditionalFormatting>
  <conditionalFormatting sqref="AF203">
    <cfRule type="expression" dxfId="1175" priority="1062">
      <formula>$AF$11="-"</formula>
    </cfRule>
  </conditionalFormatting>
  <conditionalFormatting sqref="AG203">
    <cfRule type="expression" dxfId="1174" priority="1061">
      <formula>$AG$11="-"</formula>
    </cfRule>
  </conditionalFormatting>
  <conditionalFormatting sqref="X203">
    <cfRule type="expression" dxfId="1173" priority="1060">
      <formula>$X$11="-"</formula>
    </cfRule>
  </conditionalFormatting>
  <conditionalFormatting sqref="Y203">
    <cfRule type="expression" dxfId="1172" priority="1059">
      <formula>$Y$11="-"</formula>
    </cfRule>
  </conditionalFormatting>
  <conditionalFormatting sqref="Z203">
    <cfRule type="expression" dxfId="1171" priority="1058">
      <formula>$Z$11="-"</formula>
    </cfRule>
  </conditionalFormatting>
  <conditionalFormatting sqref="AA203">
    <cfRule type="expression" dxfId="1170" priority="1057">
      <formula>$AA$11="-"</formula>
    </cfRule>
  </conditionalFormatting>
  <conditionalFormatting sqref="AN203">
    <cfRule type="expression" dxfId="1169" priority="1056">
      <formula>$AN$11="-"</formula>
    </cfRule>
  </conditionalFormatting>
  <conditionalFormatting sqref="AO203">
    <cfRule type="expression" dxfId="1168" priority="1055">
      <formula>$AO$11="-"</formula>
    </cfRule>
  </conditionalFormatting>
  <conditionalFormatting sqref="AM203">
    <cfRule type="expression" dxfId="1167" priority="1054">
      <formula>$AM$11="-"</formula>
    </cfRule>
  </conditionalFormatting>
  <conditionalFormatting sqref="AH203">
    <cfRule type="expression" dxfId="1166" priority="1053">
      <formula>$AH$11="-"</formula>
    </cfRule>
  </conditionalFormatting>
  <conditionalFormatting sqref="AL203">
    <cfRule type="expression" dxfId="1165" priority="1052">
      <formula>$AL$11="-"</formula>
    </cfRule>
  </conditionalFormatting>
  <conditionalFormatting sqref="E205:H205">
    <cfRule type="expression" dxfId="1164" priority="1048">
      <formula>AND(ISTEXT(I205),ISBLANK(E205))</formula>
    </cfRule>
  </conditionalFormatting>
  <conditionalFormatting sqref="A205:K205">
    <cfRule type="expression" dxfId="1163" priority="1047">
      <formula>AND($I205&lt;&gt;"",$L205="")</formula>
    </cfRule>
  </conditionalFormatting>
  <conditionalFormatting sqref="Q205">
    <cfRule type="expression" dxfId="1162" priority="1042">
      <formula>$Q$11="-"</formula>
    </cfRule>
  </conditionalFormatting>
  <conditionalFormatting sqref="R205">
    <cfRule type="expression" dxfId="1161" priority="1041">
      <formula>$R$11="-"</formula>
    </cfRule>
  </conditionalFormatting>
  <conditionalFormatting sqref="S205">
    <cfRule type="expression" dxfId="1160" priority="1040">
      <formula>$S$11="-"</formula>
    </cfRule>
  </conditionalFormatting>
  <conditionalFormatting sqref="T205">
    <cfRule type="expression" dxfId="1159" priority="1039">
      <formula>$T$11="-"</formula>
    </cfRule>
  </conditionalFormatting>
  <conditionalFormatting sqref="AE205">
    <cfRule type="expression" dxfId="1158" priority="1038">
      <formula>$AE$11="-"</formula>
    </cfRule>
  </conditionalFormatting>
  <conditionalFormatting sqref="AF205">
    <cfRule type="expression" dxfId="1157" priority="1037">
      <formula>$AF$11="-"</formula>
    </cfRule>
  </conditionalFormatting>
  <conditionalFormatting sqref="AG205">
    <cfRule type="expression" dxfId="1156" priority="1036">
      <formula>$AG$11="-"</formula>
    </cfRule>
  </conditionalFormatting>
  <conditionalFormatting sqref="X205">
    <cfRule type="expression" dxfId="1155" priority="1035">
      <formula>$X$11="-"</formula>
    </cfRule>
  </conditionalFormatting>
  <conditionalFormatting sqref="Y205">
    <cfRule type="expression" dxfId="1154" priority="1034">
      <formula>$Y$11="-"</formula>
    </cfRule>
  </conditionalFormatting>
  <conditionalFormatting sqref="Z205">
    <cfRule type="expression" dxfId="1153" priority="1033">
      <formula>$Z$11="-"</formula>
    </cfRule>
  </conditionalFormatting>
  <conditionalFormatting sqref="AA205">
    <cfRule type="expression" dxfId="1152" priority="1032">
      <formula>$AA$11="-"</formula>
    </cfRule>
  </conditionalFormatting>
  <conditionalFormatting sqref="AN205">
    <cfRule type="expression" dxfId="1151" priority="1031">
      <formula>$AN$11="-"</formula>
    </cfRule>
  </conditionalFormatting>
  <conditionalFormatting sqref="AO205">
    <cfRule type="expression" dxfId="1150" priority="1030">
      <formula>$AO$11="-"</formula>
    </cfRule>
  </conditionalFormatting>
  <conditionalFormatting sqref="AM205">
    <cfRule type="expression" dxfId="1149" priority="1029">
      <formula>$AM$11="-"</formula>
    </cfRule>
  </conditionalFormatting>
  <conditionalFormatting sqref="AH205">
    <cfRule type="expression" dxfId="1148" priority="1028">
      <formula>$AH$11="-"</formula>
    </cfRule>
  </conditionalFormatting>
  <conditionalFormatting sqref="AL205">
    <cfRule type="expression" dxfId="1147" priority="1027">
      <formula>$AL$11="-"</formula>
    </cfRule>
  </conditionalFormatting>
  <conditionalFormatting sqref="E206:H206">
    <cfRule type="expression" dxfId="1146" priority="1023">
      <formula>AND(ISTEXT(I206),ISBLANK(E206))</formula>
    </cfRule>
  </conditionalFormatting>
  <conditionalFormatting sqref="A206:K206">
    <cfRule type="expression" dxfId="1145" priority="1022">
      <formula>AND($I206&lt;&gt;"",$L206="")</formula>
    </cfRule>
  </conditionalFormatting>
  <conditionalFormatting sqref="Q206">
    <cfRule type="expression" dxfId="1144" priority="1017">
      <formula>$Q$11="-"</formula>
    </cfRule>
  </conditionalFormatting>
  <conditionalFormatting sqref="R206">
    <cfRule type="expression" dxfId="1143" priority="1016">
      <formula>$R$11="-"</formula>
    </cfRule>
  </conditionalFormatting>
  <conditionalFormatting sqref="S206">
    <cfRule type="expression" dxfId="1142" priority="1015">
      <formula>$S$11="-"</formula>
    </cfRule>
  </conditionalFormatting>
  <conditionalFormatting sqref="T206">
    <cfRule type="expression" dxfId="1141" priority="1014">
      <formula>$T$11="-"</formula>
    </cfRule>
  </conditionalFormatting>
  <conditionalFormatting sqref="AE206">
    <cfRule type="expression" dxfId="1140" priority="1013">
      <formula>$AE$11="-"</formula>
    </cfRule>
  </conditionalFormatting>
  <conditionalFormatting sqref="AF206">
    <cfRule type="expression" dxfId="1139" priority="1012">
      <formula>$AF$11="-"</formula>
    </cfRule>
  </conditionalFormatting>
  <conditionalFormatting sqref="AG206">
    <cfRule type="expression" dxfId="1138" priority="1011">
      <formula>$AG$11="-"</formula>
    </cfRule>
  </conditionalFormatting>
  <conditionalFormatting sqref="X206">
    <cfRule type="expression" dxfId="1137" priority="1010">
      <formula>$X$11="-"</formula>
    </cfRule>
  </conditionalFormatting>
  <conditionalFormatting sqref="Y206">
    <cfRule type="expression" dxfId="1136" priority="1009">
      <formula>$Y$11="-"</formula>
    </cfRule>
  </conditionalFormatting>
  <conditionalFormatting sqref="Z206">
    <cfRule type="expression" dxfId="1135" priority="1008">
      <formula>$Z$11="-"</formula>
    </cfRule>
  </conditionalFormatting>
  <conditionalFormatting sqref="AA206">
    <cfRule type="expression" dxfId="1134" priority="1007">
      <formula>$AA$11="-"</formula>
    </cfRule>
  </conditionalFormatting>
  <conditionalFormatting sqref="AN206">
    <cfRule type="expression" dxfId="1133" priority="1006">
      <formula>$AN$11="-"</formula>
    </cfRule>
  </conditionalFormatting>
  <conditionalFormatting sqref="AO206">
    <cfRule type="expression" dxfId="1132" priority="1005">
      <formula>$AO$11="-"</formula>
    </cfRule>
  </conditionalFormatting>
  <conditionalFormatting sqref="AM206">
    <cfRule type="expression" dxfId="1131" priority="1004">
      <formula>$AM$11="-"</formula>
    </cfRule>
  </conditionalFormatting>
  <conditionalFormatting sqref="AH206">
    <cfRule type="expression" dxfId="1130" priority="1003">
      <formula>$AH$11="-"</formula>
    </cfRule>
  </conditionalFormatting>
  <conditionalFormatting sqref="AL206">
    <cfRule type="expression" dxfId="1129" priority="1002">
      <formula>$AL$11="-"</formula>
    </cfRule>
  </conditionalFormatting>
  <conditionalFormatting sqref="E208:H208">
    <cfRule type="expression" dxfId="1128" priority="998">
      <formula>AND(ISTEXT(I208),ISBLANK(E208))</formula>
    </cfRule>
  </conditionalFormatting>
  <conditionalFormatting sqref="A208:K208">
    <cfRule type="expression" dxfId="1127" priority="997">
      <formula>AND($I208&lt;&gt;"",$L208="")</formula>
    </cfRule>
  </conditionalFormatting>
  <conditionalFormatting sqref="Q208">
    <cfRule type="expression" dxfId="1126" priority="992">
      <formula>$Q$11="-"</formula>
    </cfRule>
  </conditionalFormatting>
  <conditionalFormatting sqref="R208">
    <cfRule type="expression" dxfId="1125" priority="991">
      <formula>$R$11="-"</formula>
    </cfRule>
  </conditionalFormatting>
  <conditionalFormatting sqref="S208">
    <cfRule type="expression" dxfId="1124" priority="990">
      <formula>$S$11="-"</formula>
    </cfRule>
  </conditionalFormatting>
  <conditionalFormatting sqref="T208">
    <cfRule type="expression" dxfId="1123" priority="989">
      <formula>$T$11="-"</formula>
    </cfRule>
  </conditionalFormatting>
  <conditionalFormatting sqref="AE208">
    <cfRule type="expression" dxfId="1122" priority="988">
      <formula>$AE$11="-"</formula>
    </cfRule>
  </conditionalFormatting>
  <conditionalFormatting sqref="AF208">
    <cfRule type="expression" dxfId="1121" priority="987">
      <formula>$AF$11="-"</formula>
    </cfRule>
  </conditionalFormatting>
  <conditionalFormatting sqref="AG208">
    <cfRule type="expression" dxfId="1120" priority="986">
      <formula>$AG$11="-"</formula>
    </cfRule>
  </conditionalFormatting>
  <conditionalFormatting sqref="X208">
    <cfRule type="expression" dxfId="1119" priority="985">
      <formula>$X$11="-"</formula>
    </cfRule>
  </conditionalFormatting>
  <conditionalFormatting sqref="Y208">
    <cfRule type="expression" dxfId="1118" priority="984">
      <formula>$Y$11="-"</formula>
    </cfRule>
  </conditionalFormatting>
  <conditionalFormatting sqref="Z208">
    <cfRule type="expression" dxfId="1117" priority="983">
      <formula>$Z$11="-"</formula>
    </cfRule>
  </conditionalFormatting>
  <conditionalFormatting sqref="AA208">
    <cfRule type="expression" dxfId="1116" priority="982">
      <formula>$AA$11="-"</formula>
    </cfRule>
  </conditionalFormatting>
  <conditionalFormatting sqref="AN208">
    <cfRule type="expression" dxfId="1115" priority="981">
      <formula>$AN$11="-"</formula>
    </cfRule>
  </conditionalFormatting>
  <conditionalFormatting sqref="AO208">
    <cfRule type="expression" dxfId="1114" priority="980">
      <formula>$AO$11="-"</formula>
    </cfRule>
  </conditionalFormatting>
  <conditionalFormatting sqref="AM208">
    <cfRule type="expression" dxfId="1113" priority="979">
      <formula>$AM$11="-"</formula>
    </cfRule>
  </conditionalFormatting>
  <conditionalFormatting sqref="AH208">
    <cfRule type="expression" dxfId="1112" priority="978">
      <formula>$AH$11="-"</formula>
    </cfRule>
  </conditionalFormatting>
  <conditionalFormatting sqref="AL208">
    <cfRule type="expression" dxfId="1111" priority="977">
      <formula>$AL$11="-"</formula>
    </cfRule>
  </conditionalFormatting>
  <conditionalFormatting sqref="E207:H207">
    <cfRule type="expression" dxfId="1110" priority="973">
      <formula>AND(ISTEXT(I207),ISBLANK(E207))</formula>
    </cfRule>
  </conditionalFormatting>
  <conditionalFormatting sqref="A207:K207">
    <cfRule type="expression" dxfId="1109" priority="972">
      <formula>AND($I207&lt;&gt;"",$L207="")</formula>
    </cfRule>
  </conditionalFormatting>
  <conditionalFormatting sqref="Q207">
    <cfRule type="expression" dxfId="1108" priority="967">
      <formula>$Q$11="-"</formula>
    </cfRule>
  </conditionalFormatting>
  <conditionalFormatting sqref="R207">
    <cfRule type="expression" dxfId="1107" priority="966">
      <formula>$R$11="-"</formula>
    </cfRule>
  </conditionalFormatting>
  <conditionalFormatting sqref="S207">
    <cfRule type="expression" dxfId="1106" priority="965">
      <formula>$S$11="-"</formula>
    </cfRule>
  </conditionalFormatting>
  <conditionalFormatting sqref="T207">
    <cfRule type="expression" dxfId="1105" priority="964">
      <formula>$T$11="-"</formula>
    </cfRule>
  </conditionalFormatting>
  <conditionalFormatting sqref="AE207">
    <cfRule type="expression" dxfId="1104" priority="963">
      <formula>$AE$11="-"</formula>
    </cfRule>
  </conditionalFormatting>
  <conditionalFormatting sqref="AF207">
    <cfRule type="expression" dxfId="1103" priority="962">
      <formula>$AF$11="-"</formula>
    </cfRule>
  </conditionalFormatting>
  <conditionalFormatting sqref="AG207">
    <cfRule type="expression" dxfId="1102" priority="961">
      <formula>$AG$11="-"</formula>
    </cfRule>
  </conditionalFormatting>
  <conditionalFormatting sqref="X207">
    <cfRule type="expression" dxfId="1101" priority="960">
      <formula>$X$11="-"</formula>
    </cfRule>
  </conditionalFormatting>
  <conditionalFormatting sqref="Y207">
    <cfRule type="expression" dxfId="1100" priority="959">
      <formula>$Y$11="-"</formula>
    </cfRule>
  </conditionalFormatting>
  <conditionalFormatting sqref="Z207">
    <cfRule type="expression" dxfId="1099" priority="958">
      <formula>$Z$11="-"</formula>
    </cfRule>
  </conditionalFormatting>
  <conditionalFormatting sqref="AA207">
    <cfRule type="expression" dxfId="1098" priority="957">
      <formula>$AA$11="-"</formula>
    </cfRule>
  </conditionalFormatting>
  <conditionalFormatting sqref="AN207">
    <cfRule type="expression" dxfId="1097" priority="956">
      <formula>$AN$11="-"</formula>
    </cfRule>
  </conditionalFormatting>
  <conditionalFormatting sqref="AO207">
    <cfRule type="expression" dxfId="1096" priority="955">
      <formula>$AO$11="-"</formula>
    </cfRule>
  </conditionalFormatting>
  <conditionalFormatting sqref="AM207">
    <cfRule type="expression" dxfId="1095" priority="954">
      <formula>$AM$11="-"</formula>
    </cfRule>
  </conditionalFormatting>
  <conditionalFormatting sqref="AH207">
    <cfRule type="expression" dxfId="1094" priority="953">
      <formula>$AH$11="-"</formula>
    </cfRule>
  </conditionalFormatting>
  <conditionalFormatting sqref="AL207">
    <cfRule type="expression" dxfId="1093" priority="952">
      <formula>$AL$11="-"</formula>
    </cfRule>
  </conditionalFormatting>
  <conditionalFormatting sqref="E209:H209">
    <cfRule type="expression" dxfId="1092" priority="948">
      <formula>AND(ISTEXT(I209),ISBLANK(E209))</formula>
    </cfRule>
  </conditionalFormatting>
  <conditionalFormatting sqref="A209:K209">
    <cfRule type="expression" dxfId="1091" priority="947">
      <formula>AND($I209&lt;&gt;"",$L209="")</formula>
    </cfRule>
  </conditionalFormatting>
  <conditionalFormatting sqref="Q209">
    <cfRule type="expression" dxfId="1090" priority="942">
      <formula>$Q$11="-"</formula>
    </cfRule>
  </conditionalFormatting>
  <conditionalFormatting sqref="R209">
    <cfRule type="expression" dxfId="1089" priority="941">
      <formula>$R$11="-"</formula>
    </cfRule>
  </conditionalFormatting>
  <conditionalFormatting sqref="S209">
    <cfRule type="expression" dxfId="1088" priority="940">
      <formula>$S$11="-"</formula>
    </cfRule>
  </conditionalFormatting>
  <conditionalFormatting sqref="T209">
    <cfRule type="expression" dxfId="1087" priority="939">
      <formula>$T$11="-"</formula>
    </cfRule>
  </conditionalFormatting>
  <conditionalFormatting sqref="AE209">
    <cfRule type="expression" dxfId="1086" priority="938">
      <formula>$AE$11="-"</formula>
    </cfRule>
  </conditionalFormatting>
  <conditionalFormatting sqref="AF209">
    <cfRule type="expression" dxfId="1085" priority="937">
      <formula>$AF$11="-"</formula>
    </cfRule>
  </conditionalFormatting>
  <conditionalFormatting sqref="AG209">
    <cfRule type="expression" dxfId="1084" priority="936">
      <formula>$AG$11="-"</formula>
    </cfRule>
  </conditionalFormatting>
  <conditionalFormatting sqref="X209">
    <cfRule type="expression" dxfId="1083" priority="935">
      <formula>$X$11="-"</formula>
    </cfRule>
  </conditionalFormatting>
  <conditionalFormatting sqref="Y209">
    <cfRule type="expression" dxfId="1082" priority="934">
      <formula>$Y$11="-"</formula>
    </cfRule>
  </conditionalFormatting>
  <conditionalFormatting sqref="Z209">
    <cfRule type="expression" dxfId="1081" priority="933">
      <formula>$Z$11="-"</formula>
    </cfRule>
  </conditionalFormatting>
  <conditionalFormatting sqref="AA209">
    <cfRule type="expression" dxfId="1080" priority="932">
      <formula>$AA$11="-"</formula>
    </cfRule>
  </conditionalFormatting>
  <conditionalFormatting sqref="AN209">
    <cfRule type="expression" dxfId="1079" priority="931">
      <formula>$AN$11="-"</formula>
    </cfRule>
  </conditionalFormatting>
  <conditionalFormatting sqref="AO209">
    <cfRule type="expression" dxfId="1078" priority="930">
      <formula>$AO$11="-"</formula>
    </cfRule>
  </conditionalFormatting>
  <conditionalFormatting sqref="AM209">
    <cfRule type="expression" dxfId="1077" priority="929">
      <formula>$AM$11="-"</formula>
    </cfRule>
  </conditionalFormatting>
  <conditionalFormatting sqref="AH209">
    <cfRule type="expression" dxfId="1076" priority="928">
      <formula>$AH$11="-"</formula>
    </cfRule>
  </conditionalFormatting>
  <conditionalFormatting sqref="AL209">
    <cfRule type="expression" dxfId="1075" priority="927">
      <formula>$AL$11="-"</formula>
    </cfRule>
  </conditionalFormatting>
  <conditionalFormatting sqref="E210:H210">
    <cfRule type="expression" dxfId="1074" priority="923">
      <formula>AND(ISTEXT(I210),ISBLANK(E210))</formula>
    </cfRule>
  </conditionalFormatting>
  <conditionalFormatting sqref="A210:K210">
    <cfRule type="expression" dxfId="1073" priority="922">
      <formula>AND($I210&lt;&gt;"",$L210="")</formula>
    </cfRule>
  </conditionalFormatting>
  <conditionalFormatting sqref="Q210">
    <cfRule type="expression" dxfId="1072" priority="917">
      <formula>$Q$11="-"</formula>
    </cfRule>
  </conditionalFormatting>
  <conditionalFormatting sqref="R210">
    <cfRule type="expression" dxfId="1071" priority="916">
      <formula>$R$11="-"</formula>
    </cfRule>
  </conditionalFormatting>
  <conditionalFormatting sqref="S210">
    <cfRule type="expression" dxfId="1070" priority="915">
      <formula>$S$11="-"</formula>
    </cfRule>
  </conditionalFormatting>
  <conditionalFormatting sqref="T210">
    <cfRule type="expression" dxfId="1069" priority="914">
      <formula>$T$11="-"</formula>
    </cfRule>
  </conditionalFormatting>
  <conditionalFormatting sqref="AE210">
    <cfRule type="expression" dxfId="1068" priority="913">
      <formula>$AE$11="-"</formula>
    </cfRule>
  </conditionalFormatting>
  <conditionalFormatting sqref="AF210">
    <cfRule type="expression" dxfId="1067" priority="912">
      <formula>$AF$11="-"</formula>
    </cfRule>
  </conditionalFormatting>
  <conditionalFormatting sqref="AG210">
    <cfRule type="expression" dxfId="1066" priority="911">
      <formula>$AG$11="-"</formula>
    </cfRule>
  </conditionalFormatting>
  <conditionalFormatting sqref="X210">
    <cfRule type="expression" dxfId="1065" priority="910">
      <formula>$X$11="-"</formula>
    </cfRule>
  </conditionalFormatting>
  <conditionalFormatting sqref="Y210">
    <cfRule type="expression" dxfId="1064" priority="909">
      <formula>$Y$11="-"</formula>
    </cfRule>
  </conditionalFormatting>
  <conditionalFormatting sqref="Z210">
    <cfRule type="expression" dxfId="1063" priority="908">
      <formula>$Z$11="-"</formula>
    </cfRule>
  </conditionalFormatting>
  <conditionalFormatting sqref="AA210">
    <cfRule type="expression" dxfId="1062" priority="907">
      <formula>$AA$11="-"</formula>
    </cfRule>
  </conditionalFormatting>
  <conditionalFormatting sqref="AN210">
    <cfRule type="expression" dxfId="1061" priority="906">
      <formula>$AN$11="-"</formula>
    </cfRule>
  </conditionalFormatting>
  <conditionalFormatting sqref="AO210">
    <cfRule type="expression" dxfId="1060" priority="905">
      <formula>$AO$11="-"</formula>
    </cfRule>
  </conditionalFormatting>
  <conditionalFormatting sqref="AM210">
    <cfRule type="expression" dxfId="1059" priority="904">
      <formula>$AM$11="-"</formula>
    </cfRule>
  </conditionalFormatting>
  <conditionalFormatting sqref="AH210">
    <cfRule type="expression" dxfId="1058" priority="903">
      <formula>$AH$11="-"</formula>
    </cfRule>
  </conditionalFormatting>
  <conditionalFormatting sqref="AL210">
    <cfRule type="expression" dxfId="1057" priority="902">
      <formula>$AL$11="-"</formula>
    </cfRule>
  </conditionalFormatting>
  <conditionalFormatting sqref="E212:H212">
    <cfRule type="expression" dxfId="1056" priority="898">
      <formula>AND(ISTEXT(I212),ISBLANK(E212))</formula>
    </cfRule>
  </conditionalFormatting>
  <conditionalFormatting sqref="A212:K212">
    <cfRule type="expression" dxfId="1055" priority="897">
      <formula>AND($I212&lt;&gt;"",$L212="")</formula>
    </cfRule>
  </conditionalFormatting>
  <conditionalFormatting sqref="Q212">
    <cfRule type="expression" dxfId="1054" priority="892">
      <formula>$Q$11="-"</formula>
    </cfRule>
  </conditionalFormatting>
  <conditionalFormatting sqref="R212">
    <cfRule type="expression" dxfId="1053" priority="891">
      <formula>$R$11="-"</formula>
    </cfRule>
  </conditionalFormatting>
  <conditionalFormatting sqref="S212">
    <cfRule type="expression" dxfId="1052" priority="890">
      <formula>$S$11="-"</formula>
    </cfRule>
  </conditionalFormatting>
  <conditionalFormatting sqref="T212">
    <cfRule type="expression" dxfId="1051" priority="889">
      <formula>$T$11="-"</formula>
    </cfRule>
  </conditionalFormatting>
  <conditionalFormatting sqref="AE212">
    <cfRule type="expression" dxfId="1050" priority="888">
      <formula>$AE$11="-"</formula>
    </cfRule>
  </conditionalFormatting>
  <conditionalFormatting sqref="AF212">
    <cfRule type="expression" dxfId="1049" priority="887">
      <formula>$AF$11="-"</formula>
    </cfRule>
  </conditionalFormatting>
  <conditionalFormatting sqref="AG212">
    <cfRule type="expression" dxfId="1048" priority="886">
      <formula>$AG$11="-"</formula>
    </cfRule>
  </conditionalFormatting>
  <conditionalFormatting sqref="X212">
    <cfRule type="expression" dxfId="1047" priority="885">
      <formula>$X$11="-"</formula>
    </cfRule>
  </conditionalFormatting>
  <conditionalFormatting sqref="Y212">
    <cfRule type="expression" dxfId="1046" priority="884">
      <formula>$Y$11="-"</formula>
    </cfRule>
  </conditionalFormatting>
  <conditionalFormatting sqref="Z212">
    <cfRule type="expression" dxfId="1045" priority="883">
      <formula>$Z$11="-"</formula>
    </cfRule>
  </conditionalFormatting>
  <conditionalFormatting sqref="AA212">
    <cfRule type="expression" dxfId="1044" priority="882">
      <formula>$AA$11="-"</formula>
    </cfRule>
  </conditionalFormatting>
  <conditionalFormatting sqref="AN212">
    <cfRule type="expression" dxfId="1043" priority="881">
      <formula>$AN$11="-"</formula>
    </cfRule>
  </conditionalFormatting>
  <conditionalFormatting sqref="AO212">
    <cfRule type="expression" dxfId="1042" priority="880">
      <formula>$AO$11="-"</formula>
    </cfRule>
  </conditionalFormatting>
  <conditionalFormatting sqref="AM212">
    <cfRule type="expression" dxfId="1041" priority="879">
      <formula>$AM$11="-"</formula>
    </cfRule>
  </conditionalFormatting>
  <conditionalFormatting sqref="AH212">
    <cfRule type="expression" dxfId="1040" priority="878">
      <formula>$AH$11="-"</formula>
    </cfRule>
  </conditionalFormatting>
  <conditionalFormatting sqref="AL212">
    <cfRule type="expression" dxfId="1039" priority="877">
      <formula>$AL$11="-"</formula>
    </cfRule>
  </conditionalFormatting>
  <conditionalFormatting sqref="E211:H211">
    <cfRule type="expression" dxfId="1038" priority="873">
      <formula>AND(ISTEXT(I211),ISBLANK(E211))</formula>
    </cfRule>
  </conditionalFormatting>
  <conditionalFormatting sqref="A211:K211">
    <cfRule type="expression" dxfId="1037" priority="872">
      <formula>AND($I211&lt;&gt;"",$L211="")</formula>
    </cfRule>
  </conditionalFormatting>
  <conditionalFormatting sqref="Q211">
    <cfRule type="expression" dxfId="1036" priority="867">
      <formula>$Q$11="-"</formula>
    </cfRule>
  </conditionalFormatting>
  <conditionalFormatting sqref="R211">
    <cfRule type="expression" dxfId="1035" priority="866">
      <formula>$R$11="-"</formula>
    </cfRule>
  </conditionalFormatting>
  <conditionalFormatting sqref="S211">
    <cfRule type="expression" dxfId="1034" priority="865">
      <formula>$S$11="-"</formula>
    </cfRule>
  </conditionalFormatting>
  <conditionalFormatting sqref="T211">
    <cfRule type="expression" dxfId="1033" priority="864">
      <formula>$T$11="-"</formula>
    </cfRule>
  </conditionalFormatting>
  <conditionalFormatting sqref="AE211">
    <cfRule type="expression" dxfId="1032" priority="863">
      <formula>$AE$11="-"</formula>
    </cfRule>
  </conditionalFormatting>
  <conditionalFormatting sqref="AF211">
    <cfRule type="expression" dxfId="1031" priority="862">
      <formula>$AF$11="-"</formula>
    </cfRule>
  </conditionalFormatting>
  <conditionalFormatting sqref="AG211">
    <cfRule type="expression" dxfId="1030" priority="861">
      <formula>$AG$11="-"</formula>
    </cfRule>
  </conditionalFormatting>
  <conditionalFormatting sqref="X211">
    <cfRule type="expression" dxfId="1029" priority="860">
      <formula>$X$11="-"</formula>
    </cfRule>
  </conditionalFormatting>
  <conditionalFormatting sqref="Y211">
    <cfRule type="expression" dxfId="1028" priority="859">
      <formula>$Y$11="-"</formula>
    </cfRule>
  </conditionalFormatting>
  <conditionalFormatting sqref="Z211">
    <cfRule type="expression" dxfId="1027" priority="858">
      <formula>$Z$11="-"</formula>
    </cfRule>
  </conditionalFormatting>
  <conditionalFormatting sqref="AA211">
    <cfRule type="expression" dxfId="1026" priority="857">
      <formula>$AA$11="-"</formula>
    </cfRule>
  </conditionalFormatting>
  <conditionalFormatting sqref="AN211">
    <cfRule type="expression" dxfId="1025" priority="856">
      <formula>$AN$11="-"</formula>
    </cfRule>
  </conditionalFormatting>
  <conditionalFormatting sqref="AO211">
    <cfRule type="expression" dxfId="1024" priority="855">
      <formula>$AO$11="-"</formula>
    </cfRule>
  </conditionalFormatting>
  <conditionalFormatting sqref="AM211">
    <cfRule type="expression" dxfId="1023" priority="854">
      <formula>$AM$11="-"</formula>
    </cfRule>
  </conditionalFormatting>
  <conditionalFormatting sqref="AH211">
    <cfRule type="expression" dxfId="1022" priority="853">
      <formula>$AH$11="-"</formula>
    </cfRule>
  </conditionalFormatting>
  <conditionalFormatting sqref="AL211">
    <cfRule type="expression" dxfId="1021" priority="852">
      <formula>$AL$11="-"</formula>
    </cfRule>
  </conditionalFormatting>
  <conditionalFormatting sqref="E213:H213">
    <cfRule type="expression" dxfId="1020" priority="848">
      <formula>AND(ISTEXT(I213),ISBLANK(E213))</formula>
    </cfRule>
  </conditionalFormatting>
  <conditionalFormatting sqref="A213:K213">
    <cfRule type="expression" dxfId="1019" priority="847">
      <formula>AND($I213&lt;&gt;"",$L213="")</formula>
    </cfRule>
  </conditionalFormatting>
  <conditionalFormatting sqref="Q213">
    <cfRule type="expression" dxfId="1018" priority="842">
      <formula>$Q$11="-"</formula>
    </cfRule>
  </conditionalFormatting>
  <conditionalFormatting sqref="R213">
    <cfRule type="expression" dxfId="1017" priority="841">
      <formula>$R$11="-"</formula>
    </cfRule>
  </conditionalFormatting>
  <conditionalFormatting sqref="S213">
    <cfRule type="expression" dxfId="1016" priority="840">
      <formula>$S$11="-"</formula>
    </cfRule>
  </conditionalFormatting>
  <conditionalFormatting sqref="T213">
    <cfRule type="expression" dxfId="1015" priority="839">
      <formula>$T$11="-"</formula>
    </cfRule>
  </conditionalFormatting>
  <conditionalFormatting sqref="AE213">
    <cfRule type="expression" dxfId="1014" priority="838">
      <formula>$AE$11="-"</formula>
    </cfRule>
  </conditionalFormatting>
  <conditionalFormatting sqref="AF213">
    <cfRule type="expression" dxfId="1013" priority="837">
      <formula>$AF$11="-"</formula>
    </cfRule>
  </conditionalFormatting>
  <conditionalFormatting sqref="AG213">
    <cfRule type="expression" dxfId="1012" priority="836">
      <formula>$AG$11="-"</formula>
    </cfRule>
  </conditionalFormatting>
  <conditionalFormatting sqref="X213">
    <cfRule type="expression" dxfId="1011" priority="835">
      <formula>$X$11="-"</formula>
    </cfRule>
  </conditionalFormatting>
  <conditionalFormatting sqref="Y213">
    <cfRule type="expression" dxfId="1010" priority="834">
      <formula>$Y$11="-"</formula>
    </cfRule>
  </conditionalFormatting>
  <conditionalFormatting sqref="Z213">
    <cfRule type="expression" dxfId="1009" priority="833">
      <formula>$Z$11="-"</formula>
    </cfRule>
  </conditionalFormatting>
  <conditionalFormatting sqref="AA213">
    <cfRule type="expression" dxfId="1008" priority="832">
      <formula>$AA$11="-"</formula>
    </cfRule>
  </conditionalFormatting>
  <conditionalFormatting sqref="AN213">
    <cfRule type="expression" dxfId="1007" priority="831">
      <formula>$AN$11="-"</formula>
    </cfRule>
  </conditionalFormatting>
  <conditionalFormatting sqref="AO213">
    <cfRule type="expression" dxfId="1006" priority="830">
      <formula>$AO$11="-"</formula>
    </cfRule>
  </conditionalFormatting>
  <conditionalFormatting sqref="AM213">
    <cfRule type="expression" dxfId="1005" priority="829">
      <formula>$AM$11="-"</formula>
    </cfRule>
  </conditionalFormatting>
  <conditionalFormatting sqref="AH213">
    <cfRule type="expression" dxfId="1004" priority="828">
      <formula>$AH$11="-"</formula>
    </cfRule>
  </conditionalFormatting>
  <conditionalFormatting sqref="AL213">
    <cfRule type="expression" dxfId="1003" priority="827">
      <formula>$AL$11="-"</formula>
    </cfRule>
  </conditionalFormatting>
  <conditionalFormatting sqref="E214:H214">
    <cfRule type="expression" dxfId="1002" priority="823">
      <formula>AND(ISTEXT(I214),ISBLANK(E214))</formula>
    </cfRule>
  </conditionalFormatting>
  <conditionalFormatting sqref="A214:K214">
    <cfRule type="expression" dxfId="1001" priority="822">
      <formula>AND($I214&lt;&gt;"",$L214="")</formula>
    </cfRule>
  </conditionalFormatting>
  <conditionalFormatting sqref="Q214">
    <cfRule type="expression" dxfId="1000" priority="817">
      <formula>$Q$11="-"</formula>
    </cfRule>
  </conditionalFormatting>
  <conditionalFormatting sqref="R214">
    <cfRule type="expression" dxfId="999" priority="816">
      <formula>$R$11="-"</formula>
    </cfRule>
  </conditionalFormatting>
  <conditionalFormatting sqref="S214">
    <cfRule type="expression" dxfId="998" priority="815">
      <formula>$S$11="-"</formula>
    </cfRule>
  </conditionalFormatting>
  <conditionalFormatting sqref="T214">
    <cfRule type="expression" dxfId="997" priority="814">
      <formula>$T$11="-"</formula>
    </cfRule>
  </conditionalFormatting>
  <conditionalFormatting sqref="AE214">
    <cfRule type="expression" dxfId="996" priority="813">
      <formula>$AE$11="-"</formula>
    </cfRule>
  </conditionalFormatting>
  <conditionalFormatting sqref="AF214">
    <cfRule type="expression" dxfId="995" priority="812">
      <formula>$AF$11="-"</formula>
    </cfRule>
  </conditionalFormatting>
  <conditionalFormatting sqref="AG214">
    <cfRule type="expression" dxfId="994" priority="811">
      <formula>$AG$11="-"</formula>
    </cfRule>
  </conditionalFormatting>
  <conditionalFormatting sqref="X214">
    <cfRule type="expression" dxfId="993" priority="810">
      <formula>$X$11="-"</formula>
    </cfRule>
  </conditionalFormatting>
  <conditionalFormatting sqref="Y214">
    <cfRule type="expression" dxfId="992" priority="809">
      <formula>$Y$11="-"</formula>
    </cfRule>
  </conditionalFormatting>
  <conditionalFormatting sqref="Z214">
    <cfRule type="expression" dxfId="991" priority="808">
      <formula>$Z$11="-"</formula>
    </cfRule>
  </conditionalFormatting>
  <conditionalFormatting sqref="AA214">
    <cfRule type="expression" dxfId="990" priority="807">
      <formula>$AA$11="-"</formula>
    </cfRule>
  </conditionalFormatting>
  <conditionalFormatting sqref="AN214">
    <cfRule type="expression" dxfId="989" priority="806">
      <formula>$AN$11="-"</formula>
    </cfRule>
  </conditionalFormatting>
  <conditionalFormatting sqref="AO214">
    <cfRule type="expression" dxfId="988" priority="805">
      <formula>$AO$11="-"</formula>
    </cfRule>
  </conditionalFormatting>
  <conditionalFormatting sqref="AM214">
    <cfRule type="expression" dxfId="987" priority="804">
      <formula>$AM$11="-"</formula>
    </cfRule>
  </conditionalFormatting>
  <conditionalFormatting sqref="AH214">
    <cfRule type="expression" dxfId="986" priority="803">
      <formula>$AH$11="-"</formula>
    </cfRule>
  </conditionalFormatting>
  <conditionalFormatting sqref="AL214">
    <cfRule type="expression" dxfId="985" priority="802">
      <formula>$AL$11="-"</formula>
    </cfRule>
  </conditionalFormatting>
  <conditionalFormatting sqref="E216:H216">
    <cfRule type="expression" dxfId="984" priority="798">
      <formula>AND(ISTEXT(I216),ISBLANK(E216))</formula>
    </cfRule>
  </conditionalFormatting>
  <conditionalFormatting sqref="A216:K216">
    <cfRule type="expression" dxfId="983" priority="797">
      <formula>AND($I216&lt;&gt;"",$L216="")</formula>
    </cfRule>
  </conditionalFormatting>
  <conditionalFormatting sqref="Q216">
    <cfRule type="expression" dxfId="982" priority="792">
      <formula>$Q$11="-"</formula>
    </cfRule>
  </conditionalFormatting>
  <conditionalFormatting sqref="R216">
    <cfRule type="expression" dxfId="981" priority="791">
      <formula>$R$11="-"</formula>
    </cfRule>
  </conditionalFormatting>
  <conditionalFormatting sqref="S216">
    <cfRule type="expression" dxfId="980" priority="790">
      <formula>$S$11="-"</formula>
    </cfRule>
  </conditionalFormatting>
  <conditionalFormatting sqref="T216">
    <cfRule type="expression" dxfId="979" priority="789">
      <formula>$T$11="-"</formula>
    </cfRule>
  </conditionalFormatting>
  <conditionalFormatting sqref="AE216">
    <cfRule type="expression" dxfId="978" priority="788">
      <formula>$AE$11="-"</formula>
    </cfRule>
  </conditionalFormatting>
  <conditionalFormatting sqref="AF216">
    <cfRule type="expression" dxfId="977" priority="787">
      <formula>$AF$11="-"</formula>
    </cfRule>
  </conditionalFormatting>
  <conditionalFormatting sqref="AG216">
    <cfRule type="expression" dxfId="976" priority="786">
      <formula>$AG$11="-"</formula>
    </cfRule>
  </conditionalFormatting>
  <conditionalFormatting sqref="X216">
    <cfRule type="expression" dxfId="975" priority="785">
      <formula>$X$11="-"</formula>
    </cfRule>
  </conditionalFormatting>
  <conditionalFormatting sqref="Y216">
    <cfRule type="expression" dxfId="974" priority="784">
      <formula>$Y$11="-"</formula>
    </cfRule>
  </conditionalFormatting>
  <conditionalFormatting sqref="Z216">
    <cfRule type="expression" dxfId="973" priority="783">
      <formula>$Z$11="-"</formula>
    </cfRule>
  </conditionalFormatting>
  <conditionalFormatting sqref="AA216">
    <cfRule type="expression" dxfId="972" priority="782">
      <formula>$AA$11="-"</formula>
    </cfRule>
  </conditionalFormatting>
  <conditionalFormatting sqref="AN216">
    <cfRule type="expression" dxfId="971" priority="781">
      <formula>$AN$11="-"</formula>
    </cfRule>
  </conditionalFormatting>
  <conditionalFormatting sqref="AO216">
    <cfRule type="expression" dxfId="970" priority="780">
      <formula>$AO$11="-"</formula>
    </cfRule>
  </conditionalFormatting>
  <conditionalFormatting sqref="AM216">
    <cfRule type="expression" dxfId="969" priority="779">
      <formula>$AM$11="-"</formula>
    </cfRule>
  </conditionalFormatting>
  <conditionalFormatting sqref="AH216">
    <cfRule type="expression" dxfId="968" priority="778">
      <formula>$AH$11="-"</formula>
    </cfRule>
  </conditionalFormatting>
  <conditionalFormatting sqref="AL216">
    <cfRule type="expression" dxfId="967" priority="777">
      <formula>$AL$11="-"</formula>
    </cfRule>
  </conditionalFormatting>
  <conditionalFormatting sqref="E215:H215">
    <cfRule type="expression" dxfId="966" priority="773">
      <formula>AND(ISTEXT(I215),ISBLANK(E215))</formula>
    </cfRule>
  </conditionalFormatting>
  <conditionalFormatting sqref="A215:K215">
    <cfRule type="expression" dxfId="965" priority="772">
      <formula>AND($I215&lt;&gt;"",$L215="")</formula>
    </cfRule>
  </conditionalFormatting>
  <conditionalFormatting sqref="Q215">
    <cfRule type="expression" dxfId="964" priority="767">
      <formula>$Q$11="-"</formula>
    </cfRule>
  </conditionalFormatting>
  <conditionalFormatting sqref="R215">
    <cfRule type="expression" dxfId="963" priority="766">
      <formula>$R$11="-"</formula>
    </cfRule>
  </conditionalFormatting>
  <conditionalFormatting sqref="S215">
    <cfRule type="expression" dxfId="962" priority="765">
      <formula>$S$11="-"</formula>
    </cfRule>
  </conditionalFormatting>
  <conditionalFormatting sqref="T215">
    <cfRule type="expression" dxfId="961" priority="764">
      <formula>$T$11="-"</formula>
    </cfRule>
  </conditionalFormatting>
  <conditionalFormatting sqref="AE215">
    <cfRule type="expression" dxfId="960" priority="763">
      <formula>$AE$11="-"</formula>
    </cfRule>
  </conditionalFormatting>
  <conditionalFormatting sqref="AF215">
    <cfRule type="expression" dxfId="959" priority="762">
      <formula>$AF$11="-"</formula>
    </cfRule>
  </conditionalFormatting>
  <conditionalFormatting sqref="AG215">
    <cfRule type="expression" dxfId="958" priority="761">
      <formula>$AG$11="-"</formula>
    </cfRule>
  </conditionalFormatting>
  <conditionalFormatting sqref="X215">
    <cfRule type="expression" dxfId="957" priority="760">
      <formula>$X$11="-"</formula>
    </cfRule>
  </conditionalFormatting>
  <conditionalFormatting sqref="Y215">
    <cfRule type="expression" dxfId="956" priority="759">
      <formula>$Y$11="-"</formula>
    </cfRule>
  </conditionalFormatting>
  <conditionalFormatting sqref="Z215">
    <cfRule type="expression" dxfId="955" priority="758">
      <formula>$Z$11="-"</formula>
    </cfRule>
  </conditionalFormatting>
  <conditionalFormatting sqref="AA215">
    <cfRule type="expression" dxfId="954" priority="757">
      <formula>$AA$11="-"</formula>
    </cfRule>
  </conditionalFormatting>
  <conditionalFormatting sqref="AN215">
    <cfRule type="expression" dxfId="953" priority="756">
      <formula>$AN$11="-"</formula>
    </cfRule>
  </conditionalFormatting>
  <conditionalFormatting sqref="AO215">
    <cfRule type="expression" dxfId="952" priority="755">
      <formula>$AO$11="-"</formula>
    </cfRule>
  </conditionalFormatting>
  <conditionalFormatting sqref="AM215">
    <cfRule type="expression" dxfId="951" priority="754">
      <formula>$AM$11="-"</formula>
    </cfRule>
  </conditionalFormatting>
  <conditionalFormatting sqref="AH215">
    <cfRule type="expression" dxfId="950" priority="753">
      <formula>$AH$11="-"</formula>
    </cfRule>
  </conditionalFormatting>
  <conditionalFormatting sqref="AL215">
    <cfRule type="expression" dxfId="949" priority="752">
      <formula>$AL$11="-"</formula>
    </cfRule>
  </conditionalFormatting>
  <conditionalFormatting sqref="E217:H217">
    <cfRule type="expression" dxfId="948" priority="748">
      <formula>AND(ISTEXT(I217),ISBLANK(E217))</formula>
    </cfRule>
  </conditionalFormatting>
  <conditionalFormatting sqref="A217:K217">
    <cfRule type="expression" dxfId="947" priority="747">
      <formula>AND($I217&lt;&gt;"",$L217="")</formula>
    </cfRule>
  </conditionalFormatting>
  <conditionalFormatting sqref="Q217">
    <cfRule type="expression" dxfId="946" priority="742">
      <formula>$Q$11="-"</formula>
    </cfRule>
  </conditionalFormatting>
  <conditionalFormatting sqref="R217">
    <cfRule type="expression" dxfId="945" priority="741">
      <formula>$R$11="-"</formula>
    </cfRule>
  </conditionalFormatting>
  <conditionalFormatting sqref="S217">
    <cfRule type="expression" dxfId="944" priority="740">
      <formula>$S$11="-"</formula>
    </cfRule>
  </conditionalFormatting>
  <conditionalFormatting sqref="T217">
    <cfRule type="expression" dxfId="943" priority="739">
      <formula>$T$11="-"</formula>
    </cfRule>
  </conditionalFormatting>
  <conditionalFormatting sqref="AE217">
    <cfRule type="expression" dxfId="942" priority="738">
      <formula>$AE$11="-"</formula>
    </cfRule>
  </conditionalFormatting>
  <conditionalFormatting sqref="AF217">
    <cfRule type="expression" dxfId="941" priority="737">
      <formula>$AF$11="-"</formula>
    </cfRule>
  </conditionalFormatting>
  <conditionalFormatting sqref="AG217">
    <cfRule type="expression" dxfId="940" priority="736">
      <formula>$AG$11="-"</formula>
    </cfRule>
  </conditionalFormatting>
  <conditionalFormatting sqref="X217">
    <cfRule type="expression" dxfId="939" priority="735">
      <formula>$X$11="-"</formula>
    </cfRule>
  </conditionalFormatting>
  <conditionalFormatting sqref="Y217">
    <cfRule type="expression" dxfId="938" priority="734">
      <formula>$Y$11="-"</formula>
    </cfRule>
  </conditionalFormatting>
  <conditionalFormatting sqref="Z217">
    <cfRule type="expression" dxfId="937" priority="733">
      <formula>$Z$11="-"</formula>
    </cfRule>
  </conditionalFormatting>
  <conditionalFormatting sqref="AA217">
    <cfRule type="expression" dxfId="936" priority="732">
      <formula>$AA$11="-"</formula>
    </cfRule>
  </conditionalFormatting>
  <conditionalFormatting sqref="AN217">
    <cfRule type="expression" dxfId="935" priority="731">
      <formula>$AN$11="-"</formula>
    </cfRule>
  </conditionalFormatting>
  <conditionalFormatting sqref="AO217">
    <cfRule type="expression" dxfId="934" priority="730">
      <formula>$AO$11="-"</formula>
    </cfRule>
  </conditionalFormatting>
  <conditionalFormatting sqref="AM217">
    <cfRule type="expression" dxfId="933" priority="729">
      <formula>$AM$11="-"</formula>
    </cfRule>
  </conditionalFormatting>
  <conditionalFormatting sqref="AH217">
    <cfRule type="expression" dxfId="932" priority="728">
      <formula>$AH$11="-"</formula>
    </cfRule>
  </conditionalFormatting>
  <conditionalFormatting sqref="AL217">
    <cfRule type="expression" dxfId="931" priority="727">
      <formula>$AL$11="-"</formula>
    </cfRule>
  </conditionalFormatting>
  <conditionalFormatting sqref="E218:H218">
    <cfRule type="expression" dxfId="930" priority="723">
      <formula>AND(ISTEXT(I218),ISBLANK(E218))</formula>
    </cfRule>
  </conditionalFormatting>
  <conditionalFormatting sqref="A218:K218">
    <cfRule type="expression" dxfId="929" priority="722">
      <formula>AND($I218&lt;&gt;"",$L218="")</formula>
    </cfRule>
  </conditionalFormatting>
  <conditionalFormatting sqref="Q218">
    <cfRule type="expression" dxfId="928" priority="717">
      <formula>$Q$11="-"</formula>
    </cfRule>
  </conditionalFormatting>
  <conditionalFormatting sqref="R218">
    <cfRule type="expression" dxfId="927" priority="716">
      <formula>$R$11="-"</formula>
    </cfRule>
  </conditionalFormatting>
  <conditionalFormatting sqref="S218">
    <cfRule type="expression" dxfId="926" priority="715">
      <formula>$S$11="-"</formula>
    </cfRule>
  </conditionalFormatting>
  <conditionalFormatting sqref="T218">
    <cfRule type="expression" dxfId="925" priority="714">
      <formula>$T$11="-"</formula>
    </cfRule>
  </conditionalFormatting>
  <conditionalFormatting sqref="AE218">
    <cfRule type="expression" dxfId="924" priority="713">
      <formula>$AE$11="-"</formula>
    </cfRule>
  </conditionalFormatting>
  <conditionalFormatting sqref="AF218">
    <cfRule type="expression" dxfId="923" priority="712">
      <formula>$AF$11="-"</formula>
    </cfRule>
  </conditionalFormatting>
  <conditionalFormatting sqref="AG218">
    <cfRule type="expression" dxfId="922" priority="711">
      <formula>$AG$11="-"</formula>
    </cfRule>
  </conditionalFormatting>
  <conditionalFormatting sqref="X218">
    <cfRule type="expression" dxfId="921" priority="710">
      <formula>$X$11="-"</formula>
    </cfRule>
  </conditionalFormatting>
  <conditionalFormatting sqref="Y218">
    <cfRule type="expression" dxfId="920" priority="709">
      <formula>$Y$11="-"</formula>
    </cfRule>
  </conditionalFormatting>
  <conditionalFormatting sqref="Z218">
    <cfRule type="expression" dxfId="919" priority="708">
      <formula>$Z$11="-"</formula>
    </cfRule>
  </conditionalFormatting>
  <conditionalFormatting sqref="AA218">
    <cfRule type="expression" dxfId="918" priority="707">
      <formula>$AA$11="-"</formula>
    </cfRule>
  </conditionalFormatting>
  <conditionalFormatting sqref="AN218">
    <cfRule type="expression" dxfId="917" priority="706">
      <formula>$AN$11="-"</formula>
    </cfRule>
  </conditionalFormatting>
  <conditionalFormatting sqref="AO218">
    <cfRule type="expression" dxfId="916" priority="705">
      <formula>$AO$11="-"</formula>
    </cfRule>
  </conditionalFormatting>
  <conditionalFormatting sqref="AM218">
    <cfRule type="expression" dxfId="915" priority="704">
      <formula>$AM$11="-"</formula>
    </cfRule>
  </conditionalFormatting>
  <conditionalFormatting sqref="AH218">
    <cfRule type="expression" dxfId="914" priority="703">
      <formula>$AH$11="-"</formula>
    </cfRule>
  </conditionalFormatting>
  <conditionalFormatting sqref="AL218">
    <cfRule type="expression" dxfId="913" priority="702">
      <formula>$AL$11="-"</formula>
    </cfRule>
  </conditionalFormatting>
  <conditionalFormatting sqref="E220:H220">
    <cfRule type="expression" dxfId="912" priority="698">
      <formula>AND(ISTEXT(I220),ISBLANK(E220))</formula>
    </cfRule>
  </conditionalFormatting>
  <conditionalFormatting sqref="A220:K220">
    <cfRule type="expression" dxfId="911" priority="697">
      <formula>AND($I220&lt;&gt;"",$L220="")</formula>
    </cfRule>
  </conditionalFormatting>
  <conditionalFormatting sqref="Q220">
    <cfRule type="expression" dxfId="910" priority="692">
      <formula>$Q$11="-"</formula>
    </cfRule>
  </conditionalFormatting>
  <conditionalFormatting sqref="R220">
    <cfRule type="expression" dxfId="909" priority="691">
      <formula>$R$11="-"</formula>
    </cfRule>
  </conditionalFormatting>
  <conditionalFormatting sqref="S220">
    <cfRule type="expression" dxfId="908" priority="690">
      <formula>$S$11="-"</formula>
    </cfRule>
  </conditionalFormatting>
  <conditionalFormatting sqref="T220">
    <cfRule type="expression" dxfId="907" priority="689">
      <formula>$T$11="-"</formula>
    </cfRule>
  </conditionalFormatting>
  <conditionalFormatting sqref="AE220">
    <cfRule type="expression" dxfId="906" priority="688">
      <formula>$AE$11="-"</formula>
    </cfRule>
  </conditionalFormatting>
  <conditionalFormatting sqref="AF220">
    <cfRule type="expression" dxfId="905" priority="687">
      <formula>$AF$11="-"</formula>
    </cfRule>
  </conditionalFormatting>
  <conditionalFormatting sqref="AG220">
    <cfRule type="expression" dxfId="904" priority="686">
      <formula>$AG$11="-"</formula>
    </cfRule>
  </conditionalFormatting>
  <conditionalFormatting sqref="X220">
    <cfRule type="expression" dxfId="903" priority="685">
      <formula>$X$11="-"</formula>
    </cfRule>
  </conditionalFormatting>
  <conditionalFormatting sqref="Y220">
    <cfRule type="expression" dxfId="902" priority="684">
      <formula>$Y$11="-"</formula>
    </cfRule>
  </conditionalFormatting>
  <conditionalFormatting sqref="Z220">
    <cfRule type="expression" dxfId="901" priority="683">
      <formula>$Z$11="-"</formula>
    </cfRule>
  </conditionalFormatting>
  <conditionalFormatting sqref="AA220">
    <cfRule type="expression" dxfId="900" priority="682">
      <formula>$AA$11="-"</formula>
    </cfRule>
  </conditionalFormatting>
  <conditionalFormatting sqref="AN220">
    <cfRule type="expression" dxfId="899" priority="681">
      <formula>$AN$11="-"</formula>
    </cfRule>
  </conditionalFormatting>
  <conditionalFormatting sqref="AO220">
    <cfRule type="expression" dxfId="898" priority="680">
      <formula>$AO$11="-"</formula>
    </cfRule>
  </conditionalFormatting>
  <conditionalFormatting sqref="AM220">
    <cfRule type="expression" dxfId="897" priority="679">
      <formula>$AM$11="-"</formula>
    </cfRule>
  </conditionalFormatting>
  <conditionalFormatting sqref="AH220">
    <cfRule type="expression" dxfId="896" priority="678">
      <formula>$AH$11="-"</formula>
    </cfRule>
  </conditionalFormatting>
  <conditionalFormatting sqref="AL220">
    <cfRule type="expression" dxfId="895" priority="677">
      <formula>$AL$11="-"</formula>
    </cfRule>
  </conditionalFormatting>
  <conditionalFormatting sqref="E219:H219">
    <cfRule type="expression" dxfId="894" priority="673">
      <formula>AND(ISTEXT(I219),ISBLANK(E219))</formula>
    </cfRule>
  </conditionalFormatting>
  <conditionalFormatting sqref="A219:K219">
    <cfRule type="expression" dxfId="893" priority="672">
      <formula>AND($I219&lt;&gt;"",$L219="")</formula>
    </cfRule>
  </conditionalFormatting>
  <conditionalFormatting sqref="Q219">
    <cfRule type="expression" dxfId="892" priority="667">
      <formula>$Q$11="-"</formula>
    </cfRule>
  </conditionalFormatting>
  <conditionalFormatting sqref="R219">
    <cfRule type="expression" dxfId="891" priority="666">
      <formula>$R$11="-"</formula>
    </cfRule>
  </conditionalFormatting>
  <conditionalFormatting sqref="S219">
    <cfRule type="expression" dxfId="890" priority="665">
      <formula>$S$11="-"</formula>
    </cfRule>
  </conditionalFormatting>
  <conditionalFormatting sqref="T219">
    <cfRule type="expression" dxfId="889" priority="664">
      <formula>$T$11="-"</formula>
    </cfRule>
  </conditionalFormatting>
  <conditionalFormatting sqref="AE219">
    <cfRule type="expression" dxfId="888" priority="663">
      <formula>$AE$11="-"</formula>
    </cfRule>
  </conditionalFormatting>
  <conditionalFormatting sqref="AF219">
    <cfRule type="expression" dxfId="887" priority="662">
      <formula>$AF$11="-"</formula>
    </cfRule>
  </conditionalFormatting>
  <conditionalFormatting sqref="AG219">
    <cfRule type="expression" dxfId="886" priority="661">
      <formula>$AG$11="-"</formula>
    </cfRule>
  </conditionalFormatting>
  <conditionalFormatting sqref="X219">
    <cfRule type="expression" dxfId="885" priority="660">
      <formula>$X$11="-"</formula>
    </cfRule>
  </conditionalFormatting>
  <conditionalFormatting sqref="Y219">
    <cfRule type="expression" dxfId="884" priority="659">
      <formula>$Y$11="-"</formula>
    </cfRule>
  </conditionalFormatting>
  <conditionalFormatting sqref="Z219">
    <cfRule type="expression" dxfId="883" priority="658">
      <formula>$Z$11="-"</formula>
    </cfRule>
  </conditionalFormatting>
  <conditionalFormatting sqref="AA219">
    <cfRule type="expression" dxfId="882" priority="657">
      <formula>$AA$11="-"</formula>
    </cfRule>
  </conditionalFormatting>
  <conditionalFormatting sqref="AN219">
    <cfRule type="expression" dxfId="881" priority="656">
      <formula>$AN$11="-"</formula>
    </cfRule>
  </conditionalFormatting>
  <conditionalFormatting sqref="AO219">
    <cfRule type="expression" dxfId="880" priority="655">
      <formula>$AO$11="-"</formula>
    </cfRule>
  </conditionalFormatting>
  <conditionalFormatting sqref="AM219">
    <cfRule type="expression" dxfId="879" priority="654">
      <formula>$AM$11="-"</formula>
    </cfRule>
  </conditionalFormatting>
  <conditionalFormatting sqref="AH219">
    <cfRule type="expression" dxfId="878" priority="653">
      <formula>$AH$11="-"</formula>
    </cfRule>
  </conditionalFormatting>
  <conditionalFormatting sqref="AL219">
    <cfRule type="expression" dxfId="877" priority="652">
      <formula>$AL$11="-"</formula>
    </cfRule>
  </conditionalFormatting>
  <conditionalFormatting sqref="E281:H281">
    <cfRule type="expression" dxfId="876" priority="646">
      <formula>AND(ISTEXT(I281),ISBLANK(E281))</formula>
    </cfRule>
  </conditionalFormatting>
  <conditionalFormatting sqref="A281:K281">
    <cfRule type="expression" dxfId="875" priority="645">
      <formula>AND($I281&lt;&gt;"",$L281="")</formula>
    </cfRule>
  </conditionalFormatting>
  <conditionalFormatting sqref="E277:H278">
    <cfRule type="expression" dxfId="874" priority="644">
      <formula>AND(ISTEXT(I277),ISBLANK(E277))</formula>
    </cfRule>
  </conditionalFormatting>
  <conditionalFormatting sqref="A277:K278">
    <cfRule type="expression" dxfId="873" priority="643">
      <formula>AND($I277&lt;&gt;"",$L277="")</formula>
    </cfRule>
  </conditionalFormatting>
  <conditionalFormatting sqref="E279:H280">
    <cfRule type="expression" dxfId="872" priority="642">
      <formula>AND(ISTEXT(I279),ISBLANK(E279))</formula>
    </cfRule>
  </conditionalFormatting>
  <conditionalFormatting sqref="A279:K280">
    <cfRule type="expression" dxfId="871" priority="641">
      <formula>AND($I279&lt;&gt;"",$L279="")</formula>
    </cfRule>
  </conditionalFormatting>
  <conditionalFormatting sqref="Q277:Q281">
    <cfRule type="expression" dxfId="870" priority="636">
      <formula>$Q$11="-"</formula>
    </cfRule>
  </conditionalFormatting>
  <conditionalFormatting sqref="R277:R281">
    <cfRule type="expression" dxfId="869" priority="635">
      <formula>$R$11="-"</formula>
    </cfRule>
  </conditionalFormatting>
  <conditionalFormatting sqref="S277:S281">
    <cfRule type="expression" dxfId="868" priority="634">
      <formula>$S$11="-"</formula>
    </cfRule>
  </conditionalFormatting>
  <conditionalFormatting sqref="T277:T281">
    <cfRule type="expression" dxfId="867" priority="633">
      <formula>$T$11="-"</formula>
    </cfRule>
  </conditionalFormatting>
  <conditionalFormatting sqref="AE277:AE281">
    <cfRule type="expression" dxfId="866" priority="632">
      <formula>$AE$11="-"</formula>
    </cfRule>
  </conditionalFormatting>
  <conditionalFormatting sqref="AF277:AF281">
    <cfRule type="expression" dxfId="865" priority="631">
      <formula>$AF$11="-"</formula>
    </cfRule>
  </conditionalFormatting>
  <conditionalFormatting sqref="AG277:AG281">
    <cfRule type="expression" dxfId="864" priority="630">
      <formula>$AG$11="-"</formula>
    </cfRule>
  </conditionalFormatting>
  <conditionalFormatting sqref="X277:X281">
    <cfRule type="expression" dxfId="863" priority="629">
      <formula>$X$11="-"</formula>
    </cfRule>
  </conditionalFormatting>
  <conditionalFormatting sqref="Y277:Y281">
    <cfRule type="expression" dxfId="862" priority="628">
      <formula>$Y$11="-"</formula>
    </cfRule>
  </conditionalFormatting>
  <conditionalFormatting sqref="Z277:Z281">
    <cfRule type="expression" dxfId="861" priority="627">
      <formula>$Z$11="-"</formula>
    </cfRule>
  </conditionalFormatting>
  <conditionalFormatting sqref="AA277:AA281">
    <cfRule type="expression" dxfId="860" priority="626">
      <formula>$AA$11="-"</formula>
    </cfRule>
  </conditionalFormatting>
  <conditionalFormatting sqref="AN277:AN281">
    <cfRule type="expression" dxfId="859" priority="625">
      <formula>$AN$11="-"</formula>
    </cfRule>
  </conditionalFormatting>
  <conditionalFormatting sqref="AO277:AO281">
    <cfRule type="expression" dxfId="858" priority="624">
      <formula>$AO$11="-"</formula>
    </cfRule>
  </conditionalFormatting>
  <conditionalFormatting sqref="AM277:AM281">
    <cfRule type="expression" dxfId="857" priority="623">
      <formula>$AM$11="-"</formula>
    </cfRule>
  </conditionalFormatting>
  <conditionalFormatting sqref="AH277:AH281">
    <cfRule type="expression" dxfId="856" priority="622">
      <formula>$AH$11="-"</formula>
    </cfRule>
  </conditionalFormatting>
  <conditionalFormatting sqref="AL277:AL281">
    <cfRule type="expression" dxfId="855" priority="621">
      <formula>$AL$11="-"</formula>
    </cfRule>
  </conditionalFormatting>
  <conditionalFormatting sqref="E285:H285">
    <cfRule type="expression" dxfId="854" priority="615">
      <formula>AND(ISTEXT(I285),ISBLANK(E285))</formula>
    </cfRule>
  </conditionalFormatting>
  <conditionalFormatting sqref="A285:K285">
    <cfRule type="expression" dxfId="853" priority="614">
      <formula>AND($I285&lt;&gt;"",$L285="")</formula>
    </cfRule>
  </conditionalFormatting>
  <conditionalFormatting sqref="E282:H282">
    <cfRule type="expression" dxfId="852" priority="613">
      <formula>AND(ISTEXT(I282),ISBLANK(E282))</formula>
    </cfRule>
  </conditionalFormatting>
  <conditionalFormatting sqref="A282:K282">
    <cfRule type="expression" dxfId="851" priority="612">
      <formula>AND($I282&lt;&gt;"",$L282="")</formula>
    </cfRule>
  </conditionalFormatting>
  <conditionalFormatting sqref="E283:H284">
    <cfRule type="expression" dxfId="850" priority="611">
      <formula>AND(ISTEXT(I283),ISBLANK(E283))</formula>
    </cfRule>
  </conditionalFormatting>
  <conditionalFormatting sqref="A283:K284">
    <cfRule type="expression" dxfId="849" priority="610">
      <formula>AND($I283&lt;&gt;"",$L283="")</formula>
    </cfRule>
  </conditionalFormatting>
  <conditionalFormatting sqref="Q282:Q285">
    <cfRule type="expression" dxfId="848" priority="605">
      <formula>$Q$11="-"</formula>
    </cfRule>
  </conditionalFormatting>
  <conditionalFormatting sqref="R282:R285">
    <cfRule type="expression" dxfId="847" priority="604">
      <formula>$R$11="-"</formula>
    </cfRule>
  </conditionalFormatting>
  <conditionalFormatting sqref="S282:S285">
    <cfRule type="expression" dxfId="846" priority="603">
      <formula>$S$11="-"</formula>
    </cfRule>
  </conditionalFormatting>
  <conditionalFormatting sqref="T282:T285">
    <cfRule type="expression" dxfId="845" priority="602">
      <formula>$T$11="-"</formula>
    </cfRule>
  </conditionalFormatting>
  <conditionalFormatting sqref="AE282:AE285">
    <cfRule type="expression" dxfId="844" priority="601">
      <formula>$AE$11="-"</formula>
    </cfRule>
  </conditionalFormatting>
  <conditionalFormatting sqref="AF282:AF285">
    <cfRule type="expression" dxfId="843" priority="600">
      <formula>$AF$11="-"</formula>
    </cfRule>
  </conditionalFormatting>
  <conditionalFormatting sqref="AG282:AG285">
    <cfRule type="expression" dxfId="842" priority="599">
      <formula>$AG$11="-"</formula>
    </cfRule>
  </conditionalFormatting>
  <conditionalFormatting sqref="X282:X285">
    <cfRule type="expression" dxfId="841" priority="598">
      <formula>$X$11="-"</formula>
    </cfRule>
  </conditionalFormatting>
  <conditionalFormatting sqref="Y282:Y285">
    <cfRule type="expression" dxfId="840" priority="597">
      <formula>$Y$11="-"</formula>
    </cfRule>
  </conditionalFormatting>
  <conditionalFormatting sqref="Z282:Z285">
    <cfRule type="expression" dxfId="839" priority="596">
      <formula>$Z$11="-"</formula>
    </cfRule>
  </conditionalFormatting>
  <conditionalFormatting sqref="AA282:AA285">
    <cfRule type="expression" dxfId="838" priority="595">
      <formula>$AA$11="-"</formula>
    </cfRule>
  </conditionalFormatting>
  <conditionalFormatting sqref="AN282:AN285">
    <cfRule type="expression" dxfId="837" priority="594">
      <formula>$AN$11="-"</formula>
    </cfRule>
  </conditionalFormatting>
  <conditionalFormatting sqref="AO282:AO285">
    <cfRule type="expression" dxfId="836" priority="593">
      <formula>$AO$11="-"</formula>
    </cfRule>
  </conditionalFormatting>
  <conditionalFormatting sqref="AM282:AM285">
    <cfRule type="expression" dxfId="835" priority="592">
      <formula>$AM$11="-"</formula>
    </cfRule>
  </conditionalFormatting>
  <conditionalFormatting sqref="AH282:AH285">
    <cfRule type="expression" dxfId="834" priority="591">
      <formula>$AH$11="-"</formula>
    </cfRule>
  </conditionalFormatting>
  <conditionalFormatting sqref="AL282:AL285">
    <cfRule type="expression" dxfId="833" priority="590">
      <formula>$AL$11="-"</formula>
    </cfRule>
  </conditionalFormatting>
  <conditionalFormatting sqref="E289:H289">
    <cfRule type="expression" dxfId="832" priority="584">
      <formula>AND(ISTEXT(I289),ISBLANK(E289))</formula>
    </cfRule>
  </conditionalFormatting>
  <conditionalFormatting sqref="A289:K289">
    <cfRule type="expression" dxfId="831" priority="583">
      <formula>AND($I289&lt;&gt;"",$L289="")</formula>
    </cfRule>
  </conditionalFormatting>
  <conditionalFormatting sqref="E286:H286">
    <cfRule type="expression" dxfId="830" priority="582">
      <formula>AND(ISTEXT(I286),ISBLANK(E286))</formula>
    </cfRule>
  </conditionalFormatting>
  <conditionalFormatting sqref="A286:K286">
    <cfRule type="expression" dxfId="829" priority="581">
      <formula>AND($I286&lt;&gt;"",$L286="")</formula>
    </cfRule>
  </conditionalFormatting>
  <conditionalFormatting sqref="E287:H288">
    <cfRule type="expression" dxfId="828" priority="580">
      <formula>AND(ISTEXT(I287),ISBLANK(E287))</formula>
    </cfRule>
  </conditionalFormatting>
  <conditionalFormatting sqref="A287:K288">
    <cfRule type="expression" dxfId="827" priority="579">
      <formula>AND($I287&lt;&gt;"",$L287="")</formula>
    </cfRule>
  </conditionalFormatting>
  <conditionalFormatting sqref="Q286:Q289">
    <cfRule type="expression" dxfId="826" priority="574">
      <formula>$Q$11="-"</formula>
    </cfRule>
  </conditionalFormatting>
  <conditionalFormatting sqref="R286:R289">
    <cfRule type="expression" dxfId="825" priority="573">
      <formula>$R$11="-"</formula>
    </cfRule>
  </conditionalFormatting>
  <conditionalFormatting sqref="S286:S289">
    <cfRule type="expression" dxfId="824" priority="572">
      <formula>$S$11="-"</formula>
    </cfRule>
  </conditionalFormatting>
  <conditionalFormatting sqref="T286:T289">
    <cfRule type="expression" dxfId="823" priority="571">
      <formula>$T$11="-"</formula>
    </cfRule>
  </conditionalFormatting>
  <conditionalFormatting sqref="AE286:AE289">
    <cfRule type="expression" dxfId="822" priority="570">
      <formula>$AE$11="-"</formula>
    </cfRule>
  </conditionalFormatting>
  <conditionalFormatting sqref="AF286:AF289">
    <cfRule type="expression" dxfId="821" priority="569">
      <formula>$AF$11="-"</formula>
    </cfRule>
  </conditionalFormatting>
  <conditionalFormatting sqref="AG286:AG289">
    <cfRule type="expression" dxfId="820" priority="568">
      <formula>$AG$11="-"</formula>
    </cfRule>
  </conditionalFormatting>
  <conditionalFormatting sqref="X286:X289">
    <cfRule type="expression" dxfId="819" priority="567">
      <formula>$X$11="-"</formula>
    </cfRule>
  </conditionalFormatting>
  <conditionalFormatting sqref="Y286:Y289">
    <cfRule type="expression" dxfId="818" priority="566">
      <formula>$Y$11="-"</formula>
    </cfRule>
  </conditionalFormatting>
  <conditionalFormatting sqref="Z286:Z289">
    <cfRule type="expression" dxfId="817" priority="565">
      <formula>$Z$11="-"</formula>
    </cfRule>
  </conditionalFormatting>
  <conditionalFormatting sqref="AA286:AA289">
    <cfRule type="expression" dxfId="816" priority="564">
      <formula>$AA$11="-"</formula>
    </cfRule>
  </conditionalFormatting>
  <conditionalFormatting sqref="AN286:AN289">
    <cfRule type="expression" dxfId="815" priority="563">
      <formula>$AN$11="-"</formula>
    </cfRule>
  </conditionalFormatting>
  <conditionalFormatting sqref="AO286:AO289">
    <cfRule type="expression" dxfId="814" priority="562">
      <formula>$AO$11="-"</formula>
    </cfRule>
  </conditionalFormatting>
  <conditionalFormatting sqref="AM286:AM289">
    <cfRule type="expression" dxfId="813" priority="561">
      <formula>$AM$11="-"</formula>
    </cfRule>
  </conditionalFormatting>
  <conditionalFormatting sqref="AH286:AH289">
    <cfRule type="expression" dxfId="812" priority="560">
      <formula>$AH$11="-"</formula>
    </cfRule>
  </conditionalFormatting>
  <conditionalFormatting sqref="AL286:AL289">
    <cfRule type="expression" dxfId="811" priority="559">
      <formula>$AL$11="-"</formula>
    </cfRule>
  </conditionalFormatting>
  <conditionalFormatting sqref="E293:H293 E297:H297">
    <cfRule type="expression" dxfId="810" priority="553">
      <formula>AND(ISTEXT(I293),ISBLANK(E293))</formula>
    </cfRule>
  </conditionalFormatting>
  <conditionalFormatting sqref="A293:K293 A297:K297">
    <cfRule type="expression" dxfId="809" priority="552">
      <formula>AND($I293&lt;&gt;"",$L293="")</formula>
    </cfRule>
  </conditionalFormatting>
  <conditionalFormatting sqref="E290:H290 E294:H294">
    <cfRule type="expression" dxfId="808" priority="551">
      <formula>AND(ISTEXT(I290),ISBLANK(E290))</formula>
    </cfRule>
  </conditionalFormatting>
  <conditionalFormatting sqref="A290:K290 A294:K294">
    <cfRule type="expression" dxfId="807" priority="550">
      <formula>AND($I290&lt;&gt;"",$L290="")</formula>
    </cfRule>
  </conditionalFormatting>
  <conditionalFormatting sqref="E291:H292 E295:H296">
    <cfRule type="expression" dxfId="806" priority="549">
      <formula>AND(ISTEXT(I291),ISBLANK(E291))</formula>
    </cfRule>
  </conditionalFormatting>
  <conditionalFormatting sqref="A291:K292 A295:K296">
    <cfRule type="expression" dxfId="805" priority="548">
      <formula>AND($I291&lt;&gt;"",$L291="")</formula>
    </cfRule>
  </conditionalFormatting>
  <conditionalFormatting sqref="Q290:Q297">
    <cfRule type="expression" dxfId="804" priority="543">
      <formula>$Q$11="-"</formula>
    </cfRule>
  </conditionalFormatting>
  <conditionalFormatting sqref="R290:R297">
    <cfRule type="expression" dxfId="803" priority="542">
      <formula>$R$11="-"</formula>
    </cfRule>
  </conditionalFormatting>
  <conditionalFormatting sqref="S290:S297">
    <cfRule type="expression" dxfId="802" priority="541">
      <formula>$S$11="-"</formula>
    </cfRule>
  </conditionalFormatting>
  <conditionalFormatting sqref="T290:T297">
    <cfRule type="expression" dxfId="801" priority="540">
      <formula>$T$11="-"</formula>
    </cfRule>
  </conditionalFormatting>
  <conditionalFormatting sqref="AE290:AE297">
    <cfRule type="expression" dxfId="800" priority="539">
      <formula>$AE$11="-"</formula>
    </cfRule>
  </conditionalFormatting>
  <conditionalFormatting sqref="AF290:AF297">
    <cfRule type="expression" dxfId="799" priority="538">
      <formula>$AF$11="-"</formula>
    </cfRule>
  </conditionalFormatting>
  <conditionalFormatting sqref="AG290:AG297">
    <cfRule type="expression" dxfId="798" priority="537">
      <formula>$AG$11="-"</formula>
    </cfRule>
  </conditionalFormatting>
  <conditionalFormatting sqref="X290:X297">
    <cfRule type="expression" dxfId="797" priority="536">
      <formula>$X$11="-"</formula>
    </cfRule>
  </conditionalFormatting>
  <conditionalFormatting sqref="Y290:Y297">
    <cfRule type="expression" dxfId="796" priority="535">
      <formula>$Y$11="-"</formula>
    </cfRule>
  </conditionalFormatting>
  <conditionalFormatting sqref="Z290:Z297">
    <cfRule type="expression" dxfId="795" priority="534">
      <formula>$Z$11="-"</formula>
    </cfRule>
  </conditionalFormatting>
  <conditionalFormatting sqref="AA290:AA297">
    <cfRule type="expression" dxfId="794" priority="533">
      <formula>$AA$11="-"</formula>
    </cfRule>
  </conditionalFormatting>
  <conditionalFormatting sqref="AN290:AN297">
    <cfRule type="expression" dxfId="793" priority="532">
      <formula>$AN$11="-"</formula>
    </cfRule>
  </conditionalFormatting>
  <conditionalFormatting sqref="AO290:AO297">
    <cfRule type="expression" dxfId="792" priority="531">
      <formula>$AO$11="-"</formula>
    </cfRule>
  </conditionalFormatting>
  <conditionalFormatting sqref="AM290:AM297">
    <cfRule type="expression" dxfId="791" priority="530">
      <formula>$AM$11="-"</formula>
    </cfRule>
  </conditionalFormatting>
  <conditionalFormatting sqref="AH290:AH297">
    <cfRule type="expression" dxfId="790" priority="529">
      <formula>$AH$11="-"</formula>
    </cfRule>
  </conditionalFormatting>
  <conditionalFormatting sqref="AL290:AL297">
    <cfRule type="expression" dxfId="789" priority="528">
      <formula>$AL$11="-"</formula>
    </cfRule>
  </conditionalFormatting>
  <conditionalFormatting sqref="E301:H301 E305:H305 E309:H309 E313:H313">
    <cfRule type="expression" dxfId="788" priority="522">
      <formula>AND(ISTEXT(I301),ISBLANK(E301))</formula>
    </cfRule>
  </conditionalFormatting>
  <conditionalFormatting sqref="A301:K301 A305:K305 A309:K309 A313:K313">
    <cfRule type="expression" dxfId="787" priority="521">
      <formula>AND($I301&lt;&gt;"",$L301="")</formula>
    </cfRule>
  </conditionalFormatting>
  <conditionalFormatting sqref="E298:H298 E302:H302 E306:H306 E310:H310">
    <cfRule type="expression" dxfId="786" priority="520">
      <formula>AND(ISTEXT(I298),ISBLANK(E298))</formula>
    </cfRule>
  </conditionalFormatting>
  <conditionalFormatting sqref="A298:K298 A302:K302 A306:K306 A310:K310">
    <cfRule type="expression" dxfId="785" priority="519">
      <formula>AND($I298&lt;&gt;"",$L298="")</formula>
    </cfRule>
  </conditionalFormatting>
  <conditionalFormatting sqref="E299:H300 E303:H304 E307:H308 E311:H312">
    <cfRule type="expression" dxfId="784" priority="518">
      <formula>AND(ISTEXT(I299),ISBLANK(E299))</formula>
    </cfRule>
  </conditionalFormatting>
  <conditionalFormatting sqref="A299:K300 A303:K304 A307:K308 A311:K312">
    <cfRule type="expression" dxfId="783" priority="517">
      <formula>AND($I299&lt;&gt;"",$L299="")</formula>
    </cfRule>
  </conditionalFormatting>
  <conditionalFormatting sqref="Q298:Q313">
    <cfRule type="expression" dxfId="782" priority="512">
      <formula>$Q$11="-"</formula>
    </cfRule>
  </conditionalFormatting>
  <conditionalFormatting sqref="R298:R313">
    <cfRule type="expression" dxfId="781" priority="511">
      <formula>$R$11="-"</formula>
    </cfRule>
  </conditionalFormatting>
  <conditionalFormatting sqref="S298:S313">
    <cfRule type="expression" dxfId="780" priority="510">
      <formula>$S$11="-"</formula>
    </cfRule>
  </conditionalFormatting>
  <conditionalFormatting sqref="T298:T313">
    <cfRule type="expression" dxfId="779" priority="509">
      <formula>$T$11="-"</formula>
    </cfRule>
  </conditionalFormatting>
  <conditionalFormatting sqref="AE298:AE313">
    <cfRule type="expression" dxfId="778" priority="508">
      <formula>$AE$11="-"</formula>
    </cfRule>
  </conditionalFormatting>
  <conditionalFormatting sqref="AF298:AF313">
    <cfRule type="expression" dxfId="777" priority="507">
      <formula>$AF$11="-"</formula>
    </cfRule>
  </conditionalFormatting>
  <conditionalFormatting sqref="AG298:AG313">
    <cfRule type="expression" dxfId="776" priority="506">
      <formula>$AG$11="-"</formula>
    </cfRule>
  </conditionalFormatting>
  <conditionalFormatting sqref="X298:X313">
    <cfRule type="expression" dxfId="775" priority="505">
      <formula>$X$11="-"</formula>
    </cfRule>
  </conditionalFormatting>
  <conditionalFormatting sqref="Y298:Y313">
    <cfRule type="expression" dxfId="774" priority="504">
      <formula>$Y$11="-"</formula>
    </cfRule>
  </conditionalFormatting>
  <conditionalFormatting sqref="Z298:Z313">
    <cfRule type="expression" dxfId="773" priority="503">
      <formula>$Z$11="-"</formula>
    </cfRule>
  </conditionalFormatting>
  <conditionalFormatting sqref="AA298:AA313">
    <cfRule type="expression" dxfId="772" priority="502">
      <formula>$AA$11="-"</formula>
    </cfRule>
  </conditionalFormatting>
  <conditionalFormatting sqref="AN298:AN313">
    <cfRule type="expression" dxfId="771" priority="501">
      <formula>$AN$11="-"</formula>
    </cfRule>
  </conditionalFormatting>
  <conditionalFormatting sqref="AO298:AO313">
    <cfRule type="expression" dxfId="770" priority="500">
      <formula>$AO$11="-"</formula>
    </cfRule>
  </conditionalFormatting>
  <conditionalFormatting sqref="AM298:AM313">
    <cfRule type="expression" dxfId="769" priority="499">
      <formula>$AM$11="-"</formula>
    </cfRule>
  </conditionalFormatting>
  <conditionalFormatting sqref="AH298:AH313">
    <cfRule type="expression" dxfId="768" priority="498">
      <formula>$AH$11="-"</formula>
    </cfRule>
  </conditionalFormatting>
  <conditionalFormatting sqref="AL298:AL313">
    <cfRule type="expression" dxfId="767" priority="497">
      <formula>$AL$11="-"</formula>
    </cfRule>
  </conditionalFormatting>
  <conditionalFormatting sqref="E317:H317 E321:H321">
    <cfRule type="expression" dxfId="766" priority="491">
      <formula>AND(ISTEXT(I317),ISBLANK(E317))</formula>
    </cfRule>
  </conditionalFormatting>
  <conditionalFormatting sqref="A317:K317 A321:K321">
    <cfRule type="expression" dxfId="765" priority="490">
      <formula>AND($I317&lt;&gt;"",$L317="")</formula>
    </cfRule>
  </conditionalFormatting>
  <conditionalFormatting sqref="E314:H314 E318:H318">
    <cfRule type="expression" dxfId="764" priority="489">
      <formula>AND(ISTEXT(I314),ISBLANK(E314))</formula>
    </cfRule>
  </conditionalFormatting>
  <conditionalFormatting sqref="A314:K314 A318:K318">
    <cfRule type="expression" dxfId="763" priority="488">
      <formula>AND($I314&lt;&gt;"",$L314="")</formula>
    </cfRule>
  </conditionalFormatting>
  <conditionalFormatting sqref="E315:H316 E319:H320">
    <cfRule type="expression" dxfId="762" priority="487">
      <formula>AND(ISTEXT(I315),ISBLANK(E315))</formula>
    </cfRule>
  </conditionalFormatting>
  <conditionalFormatting sqref="A315:K316 A319:K320">
    <cfRule type="expression" dxfId="761" priority="486">
      <formula>AND($I315&lt;&gt;"",$L315="")</formula>
    </cfRule>
  </conditionalFormatting>
  <conditionalFormatting sqref="Q314:Q321">
    <cfRule type="expression" dxfId="760" priority="481">
      <formula>$Q$11="-"</formula>
    </cfRule>
  </conditionalFormatting>
  <conditionalFormatting sqref="R314:R321">
    <cfRule type="expression" dxfId="759" priority="480">
      <formula>$R$11="-"</formula>
    </cfRule>
  </conditionalFormatting>
  <conditionalFormatting sqref="S314:S321">
    <cfRule type="expression" dxfId="758" priority="479">
      <formula>$S$11="-"</formula>
    </cfRule>
  </conditionalFormatting>
  <conditionalFormatting sqref="T314:T321">
    <cfRule type="expression" dxfId="757" priority="478">
      <formula>$T$11="-"</formula>
    </cfRule>
  </conditionalFormatting>
  <conditionalFormatting sqref="AE314:AE321">
    <cfRule type="expression" dxfId="756" priority="477">
      <formula>$AE$11="-"</formula>
    </cfRule>
  </conditionalFormatting>
  <conditionalFormatting sqref="AF314:AF321">
    <cfRule type="expression" dxfId="755" priority="476">
      <formula>$AF$11="-"</formula>
    </cfRule>
  </conditionalFormatting>
  <conditionalFormatting sqref="AG314:AG321">
    <cfRule type="expression" dxfId="754" priority="475">
      <formula>$AG$11="-"</formula>
    </cfRule>
  </conditionalFormatting>
  <conditionalFormatting sqref="X314:X321">
    <cfRule type="expression" dxfId="753" priority="474">
      <formula>$X$11="-"</formula>
    </cfRule>
  </conditionalFormatting>
  <conditionalFormatting sqref="Y314:Y321">
    <cfRule type="expression" dxfId="752" priority="473">
      <formula>$Y$11="-"</formula>
    </cfRule>
  </conditionalFormatting>
  <conditionalFormatting sqref="Z314:Z321">
    <cfRule type="expression" dxfId="751" priority="472">
      <formula>$Z$11="-"</formula>
    </cfRule>
  </conditionalFormatting>
  <conditionalFormatting sqref="AA314:AA321">
    <cfRule type="expression" dxfId="750" priority="471">
      <formula>$AA$11="-"</formula>
    </cfRule>
  </conditionalFormatting>
  <conditionalFormatting sqref="AN314:AN321">
    <cfRule type="expression" dxfId="749" priority="470">
      <formula>$AN$11="-"</formula>
    </cfRule>
  </conditionalFormatting>
  <conditionalFormatting sqref="AO314:AO321">
    <cfRule type="expression" dxfId="748" priority="469">
      <formula>$AO$11="-"</formula>
    </cfRule>
  </conditionalFormatting>
  <conditionalFormatting sqref="AM314:AM321">
    <cfRule type="expression" dxfId="747" priority="468">
      <formula>$AM$11="-"</formula>
    </cfRule>
  </conditionalFormatting>
  <conditionalFormatting sqref="AH314:AH321">
    <cfRule type="expression" dxfId="746" priority="467">
      <formula>$AH$11="-"</formula>
    </cfRule>
  </conditionalFormatting>
  <conditionalFormatting sqref="AL314:AL321">
    <cfRule type="expression" dxfId="745" priority="466">
      <formula>$AL$11="-"</formula>
    </cfRule>
  </conditionalFormatting>
  <conditionalFormatting sqref="E325:H325">
    <cfRule type="expression" dxfId="744" priority="460">
      <formula>AND(ISTEXT(I325),ISBLANK(E325))</formula>
    </cfRule>
  </conditionalFormatting>
  <conditionalFormatting sqref="A325:K325">
    <cfRule type="expression" dxfId="743" priority="459">
      <formula>AND($I325&lt;&gt;"",$L325="")</formula>
    </cfRule>
  </conditionalFormatting>
  <conditionalFormatting sqref="E322:H322">
    <cfRule type="expression" dxfId="742" priority="458">
      <formula>AND(ISTEXT(I322),ISBLANK(E322))</formula>
    </cfRule>
  </conditionalFormatting>
  <conditionalFormatting sqref="A322:K322">
    <cfRule type="expression" dxfId="741" priority="457">
      <formula>AND($I322&lt;&gt;"",$L322="")</formula>
    </cfRule>
  </conditionalFormatting>
  <conditionalFormatting sqref="E323:H324">
    <cfRule type="expression" dxfId="740" priority="456">
      <formula>AND(ISTEXT(I323),ISBLANK(E323))</formula>
    </cfRule>
  </conditionalFormatting>
  <conditionalFormatting sqref="A323:K324">
    <cfRule type="expression" dxfId="739" priority="455">
      <formula>AND($I323&lt;&gt;"",$L323="")</formula>
    </cfRule>
  </conditionalFormatting>
  <conditionalFormatting sqref="Q322:Q325">
    <cfRule type="expression" dxfId="738" priority="450">
      <formula>$Q$11="-"</formula>
    </cfRule>
  </conditionalFormatting>
  <conditionalFormatting sqref="R322:R325">
    <cfRule type="expression" dxfId="737" priority="449">
      <formula>$R$11="-"</formula>
    </cfRule>
  </conditionalFormatting>
  <conditionalFormatting sqref="S322:S325">
    <cfRule type="expression" dxfId="736" priority="448">
      <formula>$S$11="-"</formula>
    </cfRule>
  </conditionalFormatting>
  <conditionalFormatting sqref="T322:T325">
    <cfRule type="expression" dxfId="735" priority="447">
      <formula>$T$11="-"</formula>
    </cfRule>
  </conditionalFormatting>
  <conditionalFormatting sqref="AE322:AE325">
    <cfRule type="expression" dxfId="734" priority="446">
      <formula>$AE$11="-"</formula>
    </cfRule>
  </conditionalFormatting>
  <conditionalFormatting sqref="AF322:AF325">
    <cfRule type="expression" dxfId="733" priority="445">
      <formula>$AF$11="-"</formula>
    </cfRule>
  </conditionalFormatting>
  <conditionalFormatting sqref="AG322:AG325">
    <cfRule type="expression" dxfId="732" priority="444">
      <formula>$AG$11="-"</formula>
    </cfRule>
  </conditionalFormatting>
  <conditionalFormatting sqref="X322:X325">
    <cfRule type="expression" dxfId="731" priority="443">
      <formula>$X$11="-"</formula>
    </cfRule>
  </conditionalFormatting>
  <conditionalFormatting sqref="Y322:Y325">
    <cfRule type="expression" dxfId="730" priority="442">
      <formula>$Y$11="-"</formula>
    </cfRule>
  </conditionalFormatting>
  <conditionalFormatting sqref="Z322:Z325">
    <cfRule type="expression" dxfId="729" priority="441">
      <formula>$Z$11="-"</formula>
    </cfRule>
  </conditionalFormatting>
  <conditionalFormatting sqref="AA322:AA325">
    <cfRule type="expression" dxfId="728" priority="440">
      <formula>$AA$11="-"</formula>
    </cfRule>
  </conditionalFormatting>
  <conditionalFormatting sqref="AN322:AN325">
    <cfRule type="expression" dxfId="727" priority="439">
      <formula>$AN$11="-"</formula>
    </cfRule>
  </conditionalFormatting>
  <conditionalFormatting sqref="AO322:AO325">
    <cfRule type="expression" dxfId="726" priority="438">
      <formula>$AO$11="-"</formula>
    </cfRule>
  </conditionalFormatting>
  <conditionalFormatting sqref="AM322:AM325">
    <cfRule type="expression" dxfId="725" priority="437">
      <formula>$AM$11="-"</formula>
    </cfRule>
  </conditionalFormatting>
  <conditionalFormatting sqref="AH322:AH325">
    <cfRule type="expression" dxfId="724" priority="436">
      <formula>$AH$11="-"</formula>
    </cfRule>
  </conditionalFormatting>
  <conditionalFormatting sqref="AL322:AL325">
    <cfRule type="expression" dxfId="723" priority="435">
      <formula>$AL$11="-"</formula>
    </cfRule>
  </conditionalFormatting>
  <conditionalFormatting sqref="E326:H326">
    <cfRule type="expression" dxfId="722" priority="431">
      <formula>AND(ISTEXT(I326),ISBLANK(E326))</formula>
    </cfRule>
  </conditionalFormatting>
  <conditionalFormatting sqref="A326:K326">
    <cfRule type="expression" dxfId="721" priority="430">
      <formula>AND($I326&lt;&gt;"",$L326="")</formula>
    </cfRule>
  </conditionalFormatting>
  <conditionalFormatting sqref="Q326">
    <cfRule type="expression" dxfId="720" priority="425">
      <formula>$Q$11="-"</formula>
    </cfRule>
  </conditionalFormatting>
  <conditionalFormatting sqref="R326">
    <cfRule type="expression" dxfId="719" priority="424">
      <formula>$R$11="-"</formula>
    </cfRule>
  </conditionalFormatting>
  <conditionalFormatting sqref="S326">
    <cfRule type="expression" dxfId="718" priority="423">
      <formula>$S$11="-"</formula>
    </cfRule>
  </conditionalFormatting>
  <conditionalFormatting sqref="T326">
    <cfRule type="expression" dxfId="717" priority="422">
      <formula>$T$11="-"</formula>
    </cfRule>
  </conditionalFormatting>
  <conditionalFormatting sqref="AE326">
    <cfRule type="expression" dxfId="716" priority="421">
      <formula>$AE$11="-"</formula>
    </cfRule>
  </conditionalFormatting>
  <conditionalFormatting sqref="AF326">
    <cfRule type="expression" dxfId="715" priority="420">
      <formula>$AF$11="-"</formula>
    </cfRule>
  </conditionalFormatting>
  <conditionalFormatting sqref="AG326">
    <cfRule type="expression" dxfId="714" priority="419">
      <formula>$AG$11="-"</formula>
    </cfRule>
  </conditionalFormatting>
  <conditionalFormatting sqref="X326">
    <cfRule type="expression" dxfId="713" priority="418">
      <formula>$X$11="-"</formula>
    </cfRule>
  </conditionalFormatting>
  <conditionalFormatting sqref="Y326">
    <cfRule type="expression" dxfId="712" priority="417">
      <formula>$Y$11="-"</formula>
    </cfRule>
  </conditionalFormatting>
  <conditionalFormatting sqref="Z326">
    <cfRule type="expression" dxfId="711" priority="416">
      <formula>$Z$11="-"</formula>
    </cfRule>
  </conditionalFormatting>
  <conditionalFormatting sqref="AA326">
    <cfRule type="expression" dxfId="710" priority="415">
      <formula>$AA$11="-"</formula>
    </cfRule>
  </conditionalFormatting>
  <conditionalFormatting sqref="AN326">
    <cfRule type="expression" dxfId="709" priority="414">
      <formula>$AN$11="-"</formula>
    </cfRule>
  </conditionalFormatting>
  <conditionalFormatting sqref="AO326">
    <cfRule type="expression" dxfId="708" priority="413">
      <formula>$AO$11="-"</formula>
    </cfRule>
  </conditionalFormatting>
  <conditionalFormatting sqref="AM326">
    <cfRule type="expression" dxfId="707" priority="412">
      <formula>$AM$11="-"</formula>
    </cfRule>
  </conditionalFormatting>
  <conditionalFormatting sqref="AH326">
    <cfRule type="expression" dxfId="706" priority="411">
      <formula>$AH$11="-"</formula>
    </cfRule>
  </conditionalFormatting>
  <conditionalFormatting sqref="AL326">
    <cfRule type="expression" dxfId="705" priority="410">
      <formula>$AL$11="-"</formula>
    </cfRule>
  </conditionalFormatting>
  <conditionalFormatting sqref="E384:H384">
    <cfRule type="expression" dxfId="704" priority="404">
      <formula>AND(ISTEXT(I384),ISBLANK(E384))</formula>
    </cfRule>
  </conditionalFormatting>
  <conditionalFormatting sqref="A384:K384">
    <cfRule type="expression" dxfId="703" priority="403">
      <formula>AND($I384&lt;&gt;"",$L384="")</formula>
    </cfRule>
  </conditionalFormatting>
  <conditionalFormatting sqref="E385:H386">
    <cfRule type="expression" dxfId="702" priority="402">
      <formula>AND(ISTEXT(I385),ISBLANK(E385))</formula>
    </cfRule>
  </conditionalFormatting>
  <conditionalFormatting sqref="A385:K386">
    <cfRule type="expression" dxfId="701" priority="401">
      <formula>AND($I385&lt;&gt;"",$L385="")</formula>
    </cfRule>
  </conditionalFormatting>
  <conditionalFormatting sqref="Q384:Q386">
    <cfRule type="expression" dxfId="700" priority="396">
      <formula>$Q$11="-"</formula>
    </cfRule>
  </conditionalFormatting>
  <conditionalFormatting sqref="R384:R386">
    <cfRule type="expression" dxfId="699" priority="395">
      <formula>$R$11="-"</formula>
    </cfRule>
  </conditionalFormatting>
  <conditionalFormatting sqref="S384:S386">
    <cfRule type="expression" dxfId="698" priority="394">
      <formula>$S$11="-"</formula>
    </cfRule>
  </conditionalFormatting>
  <conditionalFormatting sqref="T384:T386">
    <cfRule type="expression" dxfId="697" priority="393">
      <formula>$T$11="-"</formula>
    </cfRule>
  </conditionalFormatting>
  <conditionalFormatting sqref="AE384:AE386">
    <cfRule type="expression" dxfId="696" priority="392">
      <formula>$AE$11="-"</formula>
    </cfRule>
  </conditionalFormatting>
  <conditionalFormatting sqref="AF384:AF386">
    <cfRule type="expression" dxfId="695" priority="391">
      <formula>$AF$11="-"</formula>
    </cfRule>
  </conditionalFormatting>
  <conditionalFormatting sqref="AG384:AG386">
    <cfRule type="expression" dxfId="694" priority="390">
      <formula>$AG$11="-"</formula>
    </cfRule>
  </conditionalFormatting>
  <conditionalFormatting sqref="X384:X386">
    <cfRule type="expression" dxfId="693" priority="389">
      <formula>$X$11="-"</formula>
    </cfRule>
  </conditionalFormatting>
  <conditionalFormatting sqref="Y384:Y386">
    <cfRule type="expression" dxfId="692" priority="388">
      <formula>$Y$11="-"</formula>
    </cfRule>
  </conditionalFormatting>
  <conditionalFormatting sqref="Z384:Z386">
    <cfRule type="expression" dxfId="691" priority="387">
      <formula>$Z$11="-"</formula>
    </cfRule>
  </conditionalFormatting>
  <conditionalFormatting sqref="AA384:AA386">
    <cfRule type="expression" dxfId="690" priority="386">
      <formula>$AA$11="-"</formula>
    </cfRule>
  </conditionalFormatting>
  <conditionalFormatting sqref="AN384:AN386">
    <cfRule type="expression" dxfId="689" priority="385">
      <formula>$AN$11="-"</formula>
    </cfRule>
  </conditionalFormatting>
  <conditionalFormatting sqref="AO384:AO386">
    <cfRule type="expression" dxfId="688" priority="384">
      <formula>$AO$11="-"</formula>
    </cfRule>
  </conditionalFormatting>
  <conditionalFormatting sqref="AM384:AM386">
    <cfRule type="expression" dxfId="687" priority="383">
      <formula>$AM$11="-"</formula>
    </cfRule>
  </conditionalFormatting>
  <conditionalFormatting sqref="AH384:AH386">
    <cfRule type="expression" dxfId="686" priority="382">
      <formula>$AH$11="-"</formula>
    </cfRule>
  </conditionalFormatting>
  <conditionalFormatting sqref="AL384:AL386">
    <cfRule type="expression" dxfId="685" priority="381">
      <formula>$AL$11="-"</formula>
    </cfRule>
  </conditionalFormatting>
  <conditionalFormatting sqref="E387:H387 E391:H391">
    <cfRule type="expression" dxfId="684" priority="377">
      <formula>AND(ISTEXT(I387),ISBLANK(E387))</formula>
    </cfRule>
  </conditionalFormatting>
  <conditionalFormatting sqref="A387:K387 A391:K391">
    <cfRule type="expression" dxfId="683" priority="376">
      <formula>AND($I387&lt;&gt;"",$L387="")</formula>
    </cfRule>
  </conditionalFormatting>
  <conditionalFormatting sqref="Q387 Q391">
    <cfRule type="expression" dxfId="682" priority="371">
      <formula>$Q$11="-"</formula>
    </cfRule>
  </conditionalFormatting>
  <conditionalFormatting sqref="R387 R391">
    <cfRule type="expression" dxfId="681" priority="370">
      <formula>$R$11="-"</formula>
    </cfRule>
  </conditionalFormatting>
  <conditionalFormatting sqref="S387 S391">
    <cfRule type="expression" dxfId="680" priority="369">
      <formula>$S$11="-"</formula>
    </cfRule>
  </conditionalFormatting>
  <conditionalFormatting sqref="T387 T391">
    <cfRule type="expression" dxfId="679" priority="368">
      <formula>$T$11="-"</formula>
    </cfRule>
  </conditionalFormatting>
  <conditionalFormatting sqref="AE387 AE391">
    <cfRule type="expression" dxfId="678" priority="367">
      <formula>$AE$11="-"</formula>
    </cfRule>
  </conditionalFormatting>
  <conditionalFormatting sqref="AF387 AF391">
    <cfRule type="expression" dxfId="677" priority="366">
      <formula>$AF$11="-"</formula>
    </cfRule>
  </conditionalFormatting>
  <conditionalFormatting sqref="AG387 AG391">
    <cfRule type="expression" dxfId="676" priority="365">
      <formula>$AG$11="-"</formula>
    </cfRule>
  </conditionalFormatting>
  <conditionalFormatting sqref="X387 X391">
    <cfRule type="expression" dxfId="675" priority="364">
      <formula>$X$11="-"</formula>
    </cfRule>
  </conditionalFormatting>
  <conditionalFormatting sqref="Y387 Y391">
    <cfRule type="expression" dxfId="674" priority="363">
      <formula>$Y$11="-"</formula>
    </cfRule>
  </conditionalFormatting>
  <conditionalFormatting sqref="Z387 Z391">
    <cfRule type="expression" dxfId="673" priority="362">
      <formula>$Z$11="-"</formula>
    </cfRule>
  </conditionalFormatting>
  <conditionalFormatting sqref="AA387 AA391">
    <cfRule type="expression" dxfId="672" priority="361">
      <formula>$AA$11="-"</formula>
    </cfRule>
  </conditionalFormatting>
  <conditionalFormatting sqref="AN387 AN391">
    <cfRule type="expression" dxfId="671" priority="360">
      <formula>$AN$11="-"</formula>
    </cfRule>
  </conditionalFormatting>
  <conditionalFormatting sqref="AO387 AO391">
    <cfRule type="expression" dxfId="670" priority="359">
      <formula>$AO$11="-"</formula>
    </cfRule>
  </conditionalFormatting>
  <conditionalFormatting sqref="AM387 AM391">
    <cfRule type="expression" dxfId="669" priority="358">
      <formula>$AM$11="-"</formula>
    </cfRule>
  </conditionalFormatting>
  <conditionalFormatting sqref="AH387 AH391">
    <cfRule type="expression" dxfId="668" priority="357">
      <formula>$AH$11="-"</formula>
    </cfRule>
  </conditionalFormatting>
  <conditionalFormatting sqref="AL387 AL391">
    <cfRule type="expression" dxfId="667" priority="356">
      <formula>$AL$11="-"</formula>
    </cfRule>
  </conditionalFormatting>
  <conditionalFormatting sqref="E388:H388 E392:H392">
    <cfRule type="expression" dxfId="666" priority="350">
      <formula>AND(ISTEXT(I388),ISBLANK(E388))</formula>
    </cfRule>
  </conditionalFormatting>
  <conditionalFormatting sqref="A388:K388 A392:K392">
    <cfRule type="expression" dxfId="665" priority="349">
      <formula>AND($I388&lt;&gt;"",$L388="")</formula>
    </cfRule>
  </conditionalFormatting>
  <conditionalFormatting sqref="E389:H390 E393:H394">
    <cfRule type="expression" dxfId="664" priority="348">
      <formula>AND(ISTEXT(I389),ISBLANK(E389))</formula>
    </cfRule>
  </conditionalFormatting>
  <conditionalFormatting sqref="A389:K390 A393:K394">
    <cfRule type="expression" dxfId="663" priority="347">
      <formula>AND($I389&lt;&gt;"",$L389="")</formula>
    </cfRule>
  </conditionalFormatting>
  <conditionalFormatting sqref="Q388:Q390 Q392:Q394">
    <cfRule type="expression" dxfId="662" priority="342">
      <formula>$Q$11="-"</formula>
    </cfRule>
  </conditionalFormatting>
  <conditionalFormatting sqref="R388:R390 R392:R394">
    <cfRule type="expression" dxfId="661" priority="341">
      <formula>$R$11="-"</formula>
    </cfRule>
  </conditionalFormatting>
  <conditionalFormatting sqref="S388:S390 S392:S394">
    <cfRule type="expression" dxfId="660" priority="340">
      <formula>$S$11="-"</formula>
    </cfRule>
  </conditionalFormatting>
  <conditionalFormatting sqref="T388:T390 T392:T394">
    <cfRule type="expression" dxfId="659" priority="339">
      <formula>$T$11="-"</formula>
    </cfRule>
  </conditionalFormatting>
  <conditionalFormatting sqref="AE388:AE390 AE392:AE394">
    <cfRule type="expression" dxfId="658" priority="338">
      <formula>$AE$11="-"</formula>
    </cfRule>
  </conditionalFormatting>
  <conditionalFormatting sqref="AF388:AF390 AF392:AF394">
    <cfRule type="expression" dxfId="657" priority="337">
      <formula>$AF$11="-"</formula>
    </cfRule>
  </conditionalFormatting>
  <conditionalFormatting sqref="AG388:AG390 AG392:AG394">
    <cfRule type="expression" dxfId="656" priority="336">
      <formula>$AG$11="-"</formula>
    </cfRule>
  </conditionalFormatting>
  <conditionalFormatting sqref="X388:X390 X392:X394">
    <cfRule type="expression" dxfId="655" priority="335">
      <formula>$X$11="-"</formula>
    </cfRule>
  </conditionalFormatting>
  <conditionalFormatting sqref="Y388:Y390 Y392:Y394">
    <cfRule type="expression" dxfId="654" priority="334">
      <formula>$Y$11="-"</formula>
    </cfRule>
  </conditionalFormatting>
  <conditionalFormatting sqref="Z388:Z390 Z392:Z394">
    <cfRule type="expression" dxfId="653" priority="333">
      <formula>$Z$11="-"</formula>
    </cfRule>
  </conditionalFormatting>
  <conditionalFormatting sqref="AA388:AA390 AA392:AA394">
    <cfRule type="expression" dxfId="652" priority="332">
      <formula>$AA$11="-"</formula>
    </cfRule>
  </conditionalFormatting>
  <conditionalFormatting sqref="AN388:AN390 AN392:AN394">
    <cfRule type="expression" dxfId="651" priority="331">
      <formula>$AN$11="-"</formula>
    </cfRule>
  </conditionalFormatting>
  <conditionalFormatting sqref="AO388:AO390 AO392:AO394">
    <cfRule type="expression" dxfId="650" priority="330">
      <formula>$AO$11="-"</formula>
    </cfRule>
  </conditionalFormatting>
  <conditionalFormatting sqref="AM388:AM390 AM392:AM394">
    <cfRule type="expression" dxfId="649" priority="329">
      <formula>$AM$11="-"</formula>
    </cfRule>
  </conditionalFormatting>
  <conditionalFormatting sqref="AH388:AH390 AH392:AH394">
    <cfRule type="expression" dxfId="648" priority="328">
      <formula>$AH$11="-"</formula>
    </cfRule>
  </conditionalFormatting>
  <conditionalFormatting sqref="AL388:AL390 AL392:AL394">
    <cfRule type="expression" dxfId="647" priority="327">
      <formula>$AL$11="-"</formula>
    </cfRule>
  </conditionalFormatting>
  <conditionalFormatting sqref="E395:H395 E399:H399">
    <cfRule type="expression" dxfId="646" priority="323">
      <formula>AND(ISTEXT(I395),ISBLANK(E395))</formula>
    </cfRule>
  </conditionalFormatting>
  <conditionalFormatting sqref="A395:K395 A399:K399">
    <cfRule type="expression" dxfId="645" priority="322">
      <formula>AND($I395&lt;&gt;"",$L395="")</formula>
    </cfRule>
  </conditionalFormatting>
  <conditionalFormatting sqref="Q395 Q399">
    <cfRule type="expression" dxfId="644" priority="317">
      <formula>$Q$11="-"</formula>
    </cfRule>
  </conditionalFormatting>
  <conditionalFormatting sqref="R395 R399">
    <cfRule type="expression" dxfId="643" priority="316">
      <formula>$R$11="-"</formula>
    </cfRule>
  </conditionalFormatting>
  <conditionalFormatting sqref="S395 S399">
    <cfRule type="expression" dxfId="642" priority="315">
      <formula>$S$11="-"</formula>
    </cfRule>
  </conditionalFormatting>
  <conditionalFormatting sqref="T395 T399">
    <cfRule type="expression" dxfId="641" priority="314">
      <formula>$T$11="-"</formula>
    </cfRule>
  </conditionalFormatting>
  <conditionalFormatting sqref="AE395 AE399">
    <cfRule type="expression" dxfId="640" priority="313">
      <formula>$AE$11="-"</formula>
    </cfRule>
  </conditionalFormatting>
  <conditionalFormatting sqref="AF395 AF399">
    <cfRule type="expression" dxfId="639" priority="312">
      <formula>$AF$11="-"</formula>
    </cfRule>
  </conditionalFormatting>
  <conditionalFormatting sqref="AG395 AG399">
    <cfRule type="expression" dxfId="638" priority="311">
      <formula>$AG$11="-"</formula>
    </cfRule>
  </conditionalFormatting>
  <conditionalFormatting sqref="X395 X399">
    <cfRule type="expression" dxfId="637" priority="310">
      <formula>$X$11="-"</formula>
    </cfRule>
  </conditionalFormatting>
  <conditionalFormatting sqref="Y395 Y399">
    <cfRule type="expression" dxfId="636" priority="309">
      <formula>$Y$11="-"</formula>
    </cfRule>
  </conditionalFormatting>
  <conditionalFormatting sqref="Z395 Z399">
    <cfRule type="expression" dxfId="635" priority="308">
      <formula>$Z$11="-"</formula>
    </cfRule>
  </conditionalFormatting>
  <conditionalFormatting sqref="AA395 AA399">
    <cfRule type="expression" dxfId="634" priority="307">
      <formula>$AA$11="-"</formula>
    </cfRule>
  </conditionalFormatting>
  <conditionalFormatting sqref="AN395 AN399">
    <cfRule type="expression" dxfId="633" priority="306">
      <formula>$AN$11="-"</formula>
    </cfRule>
  </conditionalFormatting>
  <conditionalFormatting sqref="AO395 AO399">
    <cfRule type="expression" dxfId="632" priority="305">
      <formula>$AO$11="-"</formula>
    </cfRule>
  </conditionalFormatting>
  <conditionalFormatting sqref="AM395 AM399">
    <cfRule type="expression" dxfId="631" priority="304">
      <formula>$AM$11="-"</formula>
    </cfRule>
  </conditionalFormatting>
  <conditionalFormatting sqref="AH395 AH399">
    <cfRule type="expression" dxfId="630" priority="303">
      <formula>$AH$11="-"</formula>
    </cfRule>
  </conditionalFormatting>
  <conditionalFormatting sqref="AL395 AL399">
    <cfRule type="expression" dxfId="629" priority="302">
      <formula>$AL$11="-"</formula>
    </cfRule>
  </conditionalFormatting>
  <conditionalFormatting sqref="E396:H396 E400:H400">
    <cfRule type="expression" dxfId="628" priority="296">
      <formula>AND(ISTEXT(I396),ISBLANK(E396))</formula>
    </cfRule>
  </conditionalFormatting>
  <conditionalFormatting sqref="A396:K396 A400:K400">
    <cfRule type="expression" dxfId="627" priority="295">
      <formula>AND($I396&lt;&gt;"",$L396="")</formula>
    </cfRule>
  </conditionalFormatting>
  <conditionalFormatting sqref="E397:H398 E401:H402">
    <cfRule type="expression" dxfId="626" priority="294">
      <formula>AND(ISTEXT(I397),ISBLANK(E397))</formula>
    </cfRule>
  </conditionalFormatting>
  <conditionalFormatting sqref="A397:K398 A401:K402">
    <cfRule type="expression" dxfId="625" priority="293">
      <formula>AND($I397&lt;&gt;"",$L397="")</formula>
    </cfRule>
  </conditionalFormatting>
  <conditionalFormatting sqref="Q396:Q398 Q400:Q402">
    <cfRule type="expression" dxfId="624" priority="288">
      <formula>$Q$11="-"</formula>
    </cfRule>
  </conditionalFormatting>
  <conditionalFormatting sqref="R396:R398 R400:R402">
    <cfRule type="expression" dxfId="623" priority="287">
      <formula>$R$11="-"</formula>
    </cfRule>
  </conditionalFormatting>
  <conditionalFormatting sqref="S396:S398 S400:S402">
    <cfRule type="expression" dxfId="622" priority="286">
      <formula>$S$11="-"</formula>
    </cfRule>
  </conditionalFormatting>
  <conditionalFormatting sqref="T396:T398 T400:T402">
    <cfRule type="expression" dxfId="621" priority="285">
      <formula>$T$11="-"</formula>
    </cfRule>
  </conditionalFormatting>
  <conditionalFormatting sqref="AE396:AE398 AE400:AE402">
    <cfRule type="expression" dxfId="620" priority="284">
      <formula>$AE$11="-"</formula>
    </cfRule>
  </conditionalFormatting>
  <conditionalFormatting sqref="AF396:AF398 AF400:AF402">
    <cfRule type="expression" dxfId="619" priority="283">
      <formula>$AF$11="-"</formula>
    </cfRule>
  </conditionalFormatting>
  <conditionalFormatting sqref="AG396:AG398 AG400:AG402">
    <cfRule type="expression" dxfId="618" priority="282">
      <formula>$AG$11="-"</formula>
    </cfRule>
  </conditionalFormatting>
  <conditionalFormatting sqref="X396:X398 X400:X402">
    <cfRule type="expression" dxfId="617" priority="281">
      <formula>$X$11="-"</formula>
    </cfRule>
  </conditionalFormatting>
  <conditionalFormatting sqref="Y396:Y398 Y400:Y402">
    <cfRule type="expression" dxfId="616" priority="280">
      <formula>$Y$11="-"</formula>
    </cfRule>
  </conditionalFormatting>
  <conditionalFormatting sqref="Z396:Z398 Z400:Z402">
    <cfRule type="expression" dxfId="615" priority="279">
      <formula>$Z$11="-"</formula>
    </cfRule>
  </conditionalFormatting>
  <conditionalFormatting sqref="AA396:AA398 AA400:AA402">
    <cfRule type="expression" dxfId="614" priority="278">
      <formula>$AA$11="-"</formula>
    </cfRule>
  </conditionalFormatting>
  <conditionalFormatting sqref="AN396:AN398 AN400:AN402">
    <cfRule type="expression" dxfId="613" priority="277">
      <formula>$AN$11="-"</formula>
    </cfRule>
  </conditionalFormatting>
  <conditionalFormatting sqref="AO396:AO398 AO400:AO402">
    <cfRule type="expression" dxfId="612" priority="276">
      <formula>$AO$11="-"</formula>
    </cfRule>
  </conditionalFormatting>
  <conditionalFormatting sqref="AM396:AM398 AM400:AM402">
    <cfRule type="expression" dxfId="611" priority="275">
      <formula>$AM$11="-"</formula>
    </cfRule>
  </conditionalFormatting>
  <conditionalFormatting sqref="AH396:AH398 AH400:AH402">
    <cfRule type="expression" dxfId="610" priority="274">
      <formula>$AH$11="-"</formula>
    </cfRule>
  </conditionalFormatting>
  <conditionalFormatting sqref="AL396:AL398 AL400:AL402">
    <cfRule type="expression" dxfId="609" priority="273">
      <formula>$AL$11="-"</formula>
    </cfRule>
  </conditionalFormatting>
  <conditionalFormatting sqref="E403:H403 E407:H407 E411:H411 E415:H415">
    <cfRule type="expression" dxfId="608" priority="269">
      <formula>AND(ISTEXT(I403),ISBLANK(E403))</formula>
    </cfRule>
  </conditionalFormatting>
  <conditionalFormatting sqref="A403:K403 A407:K407 A411:K411 A415:K415">
    <cfRule type="expression" dxfId="607" priority="268">
      <formula>AND($I403&lt;&gt;"",$L403="")</formula>
    </cfRule>
  </conditionalFormatting>
  <conditionalFormatting sqref="Q403 Q407 Q411 Q415">
    <cfRule type="expression" dxfId="606" priority="263">
      <formula>$Q$11="-"</formula>
    </cfRule>
  </conditionalFormatting>
  <conditionalFormatting sqref="R403 R407 R411 R415">
    <cfRule type="expression" dxfId="605" priority="262">
      <formula>$R$11="-"</formula>
    </cfRule>
  </conditionalFormatting>
  <conditionalFormatting sqref="S403 S407 S411 S415">
    <cfRule type="expression" dxfId="604" priority="261">
      <formula>$S$11="-"</formula>
    </cfRule>
  </conditionalFormatting>
  <conditionalFormatting sqref="T403 T407 T411 T415">
    <cfRule type="expression" dxfId="603" priority="260">
      <formula>$T$11="-"</formula>
    </cfRule>
  </conditionalFormatting>
  <conditionalFormatting sqref="AE403 AE407 AE411 AE415">
    <cfRule type="expression" dxfId="602" priority="259">
      <formula>$AE$11="-"</formula>
    </cfRule>
  </conditionalFormatting>
  <conditionalFormatting sqref="AF403 AF407 AF411 AF415">
    <cfRule type="expression" dxfId="601" priority="258">
      <formula>$AF$11="-"</formula>
    </cfRule>
  </conditionalFormatting>
  <conditionalFormatting sqref="AG403 AG407 AG411 AG415">
    <cfRule type="expression" dxfId="600" priority="257">
      <formula>$AG$11="-"</formula>
    </cfRule>
  </conditionalFormatting>
  <conditionalFormatting sqref="X403 X407 X411 X415">
    <cfRule type="expression" dxfId="599" priority="256">
      <formula>$X$11="-"</formula>
    </cfRule>
  </conditionalFormatting>
  <conditionalFormatting sqref="Y403 Y407 Y411 Y415">
    <cfRule type="expression" dxfId="598" priority="255">
      <formula>$Y$11="-"</formula>
    </cfRule>
  </conditionalFormatting>
  <conditionalFormatting sqref="Z403 Z407 Z411 Z415">
    <cfRule type="expression" dxfId="597" priority="254">
      <formula>$Z$11="-"</formula>
    </cfRule>
  </conditionalFormatting>
  <conditionalFormatting sqref="AA403 AA407 AA411 AA415">
    <cfRule type="expression" dxfId="596" priority="253">
      <formula>$AA$11="-"</formula>
    </cfRule>
  </conditionalFormatting>
  <conditionalFormatting sqref="AN403 AN407 AN411 AN415">
    <cfRule type="expression" dxfId="595" priority="252">
      <formula>$AN$11="-"</formula>
    </cfRule>
  </conditionalFormatting>
  <conditionalFormatting sqref="AO403 AO407 AO411 AO415">
    <cfRule type="expression" dxfId="594" priority="251">
      <formula>$AO$11="-"</formula>
    </cfRule>
  </conditionalFormatting>
  <conditionalFormatting sqref="AM403 AM407 AM411 AM415">
    <cfRule type="expression" dxfId="593" priority="250">
      <formula>$AM$11="-"</formula>
    </cfRule>
  </conditionalFormatting>
  <conditionalFormatting sqref="AH403 AH407 AH411 AH415">
    <cfRule type="expression" dxfId="592" priority="249">
      <formula>$AH$11="-"</formula>
    </cfRule>
  </conditionalFormatting>
  <conditionalFormatting sqref="AL403 AL407 AL411 AL415">
    <cfRule type="expression" dxfId="591" priority="248">
      <formula>$AL$11="-"</formula>
    </cfRule>
  </conditionalFormatting>
  <conditionalFormatting sqref="E404:H404 E408:H408 E412:H412 E416:H416">
    <cfRule type="expression" dxfId="590" priority="242">
      <formula>AND(ISTEXT(I404),ISBLANK(E404))</formula>
    </cfRule>
  </conditionalFormatting>
  <conditionalFormatting sqref="A404:K404 A408:K408 A412:K412 A416:K416">
    <cfRule type="expression" dxfId="589" priority="241">
      <formula>AND($I404&lt;&gt;"",$L404="")</formula>
    </cfRule>
  </conditionalFormatting>
  <conditionalFormatting sqref="E405:H406 E409:H410 E413:H414 E417:H418">
    <cfRule type="expression" dxfId="588" priority="240">
      <formula>AND(ISTEXT(I405),ISBLANK(E405))</formula>
    </cfRule>
  </conditionalFormatting>
  <conditionalFormatting sqref="A405:K406 A409:K410 A413:K414 A417:K418">
    <cfRule type="expression" dxfId="587" priority="239">
      <formula>AND($I405&lt;&gt;"",$L405="")</formula>
    </cfRule>
  </conditionalFormatting>
  <conditionalFormatting sqref="Q404:Q406 Q408:Q410 Q412:Q414 Q416:Q418">
    <cfRule type="expression" dxfId="586" priority="234">
      <formula>$Q$11="-"</formula>
    </cfRule>
  </conditionalFormatting>
  <conditionalFormatting sqref="R404:R406 R408:R410 R412:R414 R416:R418">
    <cfRule type="expression" dxfId="585" priority="233">
      <formula>$R$11="-"</formula>
    </cfRule>
  </conditionalFormatting>
  <conditionalFormatting sqref="S404:S406 S408:S410 S412:S414 S416:S418">
    <cfRule type="expression" dxfId="584" priority="232">
      <formula>$S$11="-"</formula>
    </cfRule>
  </conditionalFormatting>
  <conditionalFormatting sqref="T404:T406 T408:T410 T412:T414 T416:T418">
    <cfRule type="expression" dxfId="583" priority="231">
      <formula>$T$11="-"</formula>
    </cfRule>
  </conditionalFormatting>
  <conditionalFormatting sqref="AE404:AE406 AE408:AE410 AE412:AE414 AE416:AE418">
    <cfRule type="expression" dxfId="582" priority="230">
      <formula>$AE$11="-"</formula>
    </cfRule>
  </conditionalFormatting>
  <conditionalFormatting sqref="AF404:AF406 AF408:AF410 AF412:AF414 AF416:AF418">
    <cfRule type="expression" dxfId="581" priority="229">
      <formula>$AF$11="-"</formula>
    </cfRule>
  </conditionalFormatting>
  <conditionalFormatting sqref="AG404:AG406 AG408:AG410 AG412:AG414 AG416:AG418">
    <cfRule type="expression" dxfId="580" priority="228">
      <formula>$AG$11="-"</formula>
    </cfRule>
  </conditionalFormatting>
  <conditionalFormatting sqref="X404:X406 X408:X410 X412:X414 X416:X418">
    <cfRule type="expression" dxfId="579" priority="227">
      <formula>$X$11="-"</formula>
    </cfRule>
  </conditionalFormatting>
  <conditionalFormatting sqref="Y404:Y406 Y408:Y410 Y412:Y414 Y416:Y418">
    <cfRule type="expression" dxfId="578" priority="226">
      <formula>$Y$11="-"</formula>
    </cfRule>
  </conditionalFormatting>
  <conditionalFormatting sqref="Z404:Z406 Z408:Z410 Z412:Z414 Z416:Z418">
    <cfRule type="expression" dxfId="577" priority="225">
      <formula>$Z$11="-"</formula>
    </cfRule>
  </conditionalFormatting>
  <conditionalFormatting sqref="AA404:AA406 AA408:AA410 AA412:AA414 AA416:AA418">
    <cfRule type="expression" dxfId="576" priority="224">
      <formula>$AA$11="-"</formula>
    </cfRule>
  </conditionalFormatting>
  <conditionalFormatting sqref="AN404:AN406 AN408:AN410 AN412:AN414 AN416:AN418">
    <cfRule type="expression" dxfId="575" priority="223">
      <formula>$AN$11="-"</formula>
    </cfRule>
  </conditionalFormatting>
  <conditionalFormatting sqref="AO404:AO406 AO408:AO410 AO412:AO414 AO416:AO418">
    <cfRule type="expression" dxfId="574" priority="222">
      <formula>$AO$11="-"</formula>
    </cfRule>
  </conditionalFormatting>
  <conditionalFormatting sqref="AM404:AM406 AM408:AM410 AM412:AM414 AM416:AM418">
    <cfRule type="expression" dxfId="573" priority="221">
      <formula>$AM$11="-"</formula>
    </cfRule>
  </conditionalFormatting>
  <conditionalFormatting sqref="AH404:AH406 AH408:AH410 AH412:AH414 AH416:AH418">
    <cfRule type="expression" dxfId="572" priority="220">
      <formula>$AH$11="-"</formula>
    </cfRule>
  </conditionalFormatting>
  <conditionalFormatting sqref="AL404:AL406 AL408:AL410 AL412:AL414 AL416:AL418">
    <cfRule type="expression" dxfId="571" priority="219">
      <formula>$AL$11="-"</formula>
    </cfRule>
  </conditionalFormatting>
  <conditionalFormatting sqref="E419:H419 E423:H423 E427:H427 E431:H431">
    <cfRule type="expression" dxfId="570" priority="215">
      <formula>AND(ISTEXT(I419),ISBLANK(E419))</formula>
    </cfRule>
  </conditionalFormatting>
  <conditionalFormatting sqref="A419:K419 A423:K423 A427:K427 A431:K431">
    <cfRule type="expression" dxfId="569" priority="214">
      <formula>AND($I419&lt;&gt;"",$L419="")</formula>
    </cfRule>
  </conditionalFormatting>
  <conditionalFormatting sqref="Q419 Q423 Q427 Q431">
    <cfRule type="expression" dxfId="568" priority="209">
      <formula>$Q$11="-"</formula>
    </cfRule>
  </conditionalFormatting>
  <conditionalFormatting sqref="R419 R423 R427 R431">
    <cfRule type="expression" dxfId="567" priority="208">
      <formula>$R$11="-"</formula>
    </cfRule>
  </conditionalFormatting>
  <conditionalFormatting sqref="S419 S423 S427 S431">
    <cfRule type="expression" dxfId="566" priority="207">
      <formula>$S$11="-"</formula>
    </cfRule>
  </conditionalFormatting>
  <conditionalFormatting sqref="T419 T423 T427 T431">
    <cfRule type="expression" dxfId="565" priority="206">
      <formula>$T$11="-"</formula>
    </cfRule>
  </conditionalFormatting>
  <conditionalFormatting sqref="AE419 AE423 AE427 AE431">
    <cfRule type="expression" dxfId="564" priority="205">
      <formula>$AE$11="-"</formula>
    </cfRule>
  </conditionalFormatting>
  <conditionalFormatting sqref="AF419 AF423 AF427 AF431">
    <cfRule type="expression" dxfId="563" priority="204">
      <formula>$AF$11="-"</formula>
    </cfRule>
  </conditionalFormatting>
  <conditionalFormatting sqref="AG419 AG423 AG427 AG431">
    <cfRule type="expression" dxfId="562" priority="203">
      <formula>$AG$11="-"</formula>
    </cfRule>
  </conditionalFormatting>
  <conditionalFormatting sqref="X419 X423 X427 X431">
    <cfRule type="expression" dxfId="561" priority="202">
      <formula>$X$11="-"</formula>
    </cfRule>
  </conditionalFormatting>
  <conditionalFormatting sqref="Y419 Y423 Y427 Y431">
    <cfRule type="expression" dxfId="560" priority="201">
      <formula>$Y$11="-"</formula>
    </cfRule>
  </conditionalFormatting>
  <conditionalFormatting sqref="Z419 Z423 Z427 Z431">
    <cfRule type="expression" dxfId="559" priority="200">
      <formula>$Z$11="-"</formula>
    </cfRule>
  </conditionalFormatting>
  <conditionalFormatting sqref="AA419 AA423 AA427 AA431">
    <cfRule type="expression" dxfId="558" priority="199">
      <formula>$AA$11="-"</formula>
    </cfRule>
  </conditionalFormatting>
  <conditionalFormatting sqref="AN419 AN423 AN427 AN431">
    <cfRule type="expression" dxfId="557" priority="198">
      <formula>$AN$11="-"</formula>
    </cfRule>
  </conditionalFormatting>
  <conditionalFormatting sqref="AO419 AO423 AO427 AO431">
    <cfRule type="expression" dxfId="556" priority="197">
      <formula>$AO$11="-"</formula>
    </cfRule>
  </conditionalFormatting>
  <conditionalFormatting sqref="AM419 AM423 AM427 AM431">
    <cfRule type="expression" dxfId="555" priority="196">
      <formula>$AM$11="-"</formula>
    </cfRule>
  </conditionalFormatting>
  <conditionalFormatting sqref="AH419 AH423 AH427 AH431">
    <cfRule type="expression" dxfId="554" priority="195">
      <formula>$AH$11="-"</formula>
    </cfRule>
  </conditionalFormatting>
  <conditionalFormatting sqref="AL419 AL423 AL427 AL431">
    <cfRule type="expression" dxfId="553" priority="194">
      <formula>$AL$11="-"</formula>
    </cfRule>
  </conditionalFormatting>
  <conditionalFormatting sqref="E420:H420 E424:H424 E428:H428 E432:H432">
    <cfRule type="expression" dxfId="552" priority="188">
      <formula>AND(ISTEXT(I420),ISBLANK(E420))</formula>
    </cfRule>
  </conditionalFormatting>
  <conditionalFormatting sqref="A420:K420 A424:K424 A428:K428 A432:K432">
    <cfRule type="expression" dxfId="551" priority="187">
      <formula>AND($I420&lt;&gt;"",$L420="")</formula>
    </cfRule>
  </conditionalFormatting>
  <conditionalFormatting sqref="E421:H422 E425:H426 E429:H430 E433:H434">
    <cfRule type="expression" dxfId="550" priority="186">
      <formula>AND(ISTEXT(I421),ISBLANK(E421))</formula>
    </cfRule>
  </conditionalFormatting>
  <conditionalFormatting sqref="A421:K422 A425:K426 A429:K430 A433:K434">
    <cfRule type="expression" dxfId="549" priority="185">
      <formula>AND($I421&lt;&gt;"",$L421="")</formula>
    </cfRule>
  </conditionalFormatting>
  <conditionalFormatting sqref="Q420:Q422 Q424:Q426 Q428:Q430 Q432:Q434">
    <cfRule type="expression" dxfId="548" priority="180">
      <formula>$Q$11="-"</formula>
    </cfRule>
  </conditionalFormatting>
  <conditionalFormatting sqref="R420:R422 R424:R426 R428:R430 R432:R434">
    <cfRule type="expression" dxfId="547" priority="179">
      <formula>$R$11="-"</formula>
    </cfRule>
  </conditionalFormatting>
  <conditionalFormatting sqref="S420:S422 S424:S426 S428:S430 S432:S434">
    <cfRule type="expression" dxfId="546" priority="178">
      <formula>$S$11="-"</formula>
    </cfRule>
  </conditionalFormatting>
  <conditionalFormatting sqref="T420:T422 T424:T426 T428:T430 T432:T434">
    <cfRule type="expression" dxfId="545" priority="177">
      <formula>$T$11="-"</formula>
    </cfRule>
  </conditionalFormatting>
  <conditionalFormatting sqref="AE420:AE422 AE424:AE426 AE428:AE430 AE432:AE434">
    <cfRule type="expression" dxfId="544" priority="176">
      <formula>$AE$11="-"</formula>
    </cfRule>
  </conditionalFormatting>
  <conditionalFormatting sqref="AF420:AF422 AF424:AF426 AF428:AF430 AF432:AF434">
    <cfRule type="expression" dxfId="543" priority="175">
      <formula>$AF$11="-"</formula>
    </cfRule>
  </conditionalFormatting>
  <conditionalFormatting sqref="AG420:AG422 AG424:AG426 AG428:AG430 AG432:AG434">
    <cfRule type="expression" dxfId="542" priority="174">
      <formula>$AG$11="-"</formula>
    </cfRule>
  </conditionalFormatting>
  <conditionalFormatting sqref="X420:X422 X424:X426 X428:X430 X432:X434">
    <cfRule type="expression" dxfId="541" priority="173">
      <formula>$X$11="-"</formula>
    </cfRule>
  </conditionalFormatting>
  <conditionalFormatting sqref="Y420:Y422 Y424:Y426 Y428:Y430 Y432:Y434">
    <cfRule type="expression" dxfId="540" priority="172">
      <formula>$Y$11="-"</formula>
    </cfRule>
  </conditionalFormatting>
  <conditionalFormatting sqref="Z420:Z422 Z424:Z426 Z428:Z430 Z432:Z434">
    <cfRule type="expression" dxfId="539" priority="171">
      <formula>$Z$11="-"</formula>
    </cfRule>
  </conditionalFormatting>
  <conditionalFormatting sqref="AA420:AA422 AA424:AA426 AA428:AA430 AA432:AA434">
    <cfRule type="expression" dxfId="538" priority="170">
      <formula>$AA$11="-"</formula>
    </cfRule>
  </conditionalFormatting>
  <conditionalFormatting sqref="AN420:AN422 AN424:AN426 AN428:AN430 AN432:AN434">
    <cfRule type="expression" dxfId="537" priority="169">
      <formula>$AN$11="-"</formula>
    </cfRule>
  </conditionalFormatting>
  <conditionalFormatting sqref="AO420:AO422 AO424:AO426 AO428:AO430 AO432:AO434">
    <cfRule type="expression" dxfId="536" priority="168">
      <formula>$AO$11="-"</formula>
    </cfRule>
  </conditionalFormatting>
  <conditionalFormatting sqref="AM420:AM422 AM424:AM426 AM428:AM430 AM432:AM434">
    <cfRule type="expression" dxfId="535" priority="167">
      <formula>$AM$11="-"</formula>
    </cfRule>
  </conditionalFormatting>
  <conditionalFormatting sqref="AH420:AH422 AH424:AH426 AH428:AH430 AH432:AH434">
    <cfRule type="expression" dxfId="534" priority="166">
      <formula>$AH$11="-"</formula>
    </cfRule>
  </conditionalFormatting>
  <conditionalFormatting sqref="AL420:AL422 AL424:AL426 AL428:AL430 AL432:AL434">
    <cfRule type="expression" dxfId="533" priority="165">
      <formula>$AL$11="-"</formula>
    </cfRule>
  </conditionalFormatting>
  <conditionalFormatting sqref="E494:H494">
    <cfRule type="expression" dxfId="532" priority="159">
      <formula>AND(ISTEXT(I494),ISBLANK(E494))</formula>
    </cfRule>
  </conditionalFormatting>
  <conditionalFormatting sqref="A494:K494">
    <cfRule type="expression" dxfId="531" priority="158">
      <formula>AND($I494&lt;&gt;"",$L494="")</formula>
    </cfRule>
  </conditionalFormatting>
  <conditionalFormatting sqref="E491:H491">
    <cfRule type="expression" dxfId="530" priority="157">
      <formula>AND(ISTEXT(I491),ISBLANK(E491))</formula>
    </cfRule>
  </conditionalFormatting>
  <conditionalFormatting sqref="A491:K491">
    <cfRule type="expression" dxfId="529" priority="156">
      <formula>AND($I491&lt;&gt;"",$L491="")</formula>
    </cfRule>
  </conditionalFormatting>
  <conditionalFormatting sqref="E492:H493">
    <cfRule type="expression" dxfId="528" priority="155">
      <formula>AND(ISTEXT(I492),ISBLANK(E492))</formula>
    </cfRule>
  </conditionalFormatting>
  <conditionalFormatting sqref="A492:K493">
    <cfRule type="expression" dxfId="527" priority="154">
      <formula>AND($I492&lt;&gt;"",$L492="")</formula>
    </cfRule>
  </conditionalFormatting>
  <conditionalFormatting sqref="Q491:Q494">
    <cfRule type="expression" dxfId="526" priority="149">
      <formula>$Q$11="-"</formula>
    </cfRule>
  </conditionalFormatting>
  <conditionalFormatting sqref="R491:R494">
    <cfRule type="expression" dxfId="525" priority="148">
      <formula>$R$11="-"</formula>
    </cfRule>
  </conditionalFormatting>
  <conditionalFormatting sqref="S491:S494">
    <cfRule type="expression" dxfId="524" priority="147">
      <formula>$S$11="-"</formula>
    </cfRule>
  </conditionalFormatting>
  <conditionalFormatting sqref="T491:T494">
    <cfRule type="expression" dxfId="523" priority="146">
      <formula>$T$11="-"</formula>
    </cfRule>
  </conditionalFormatting>
  <conditionalFormatting sqref="AE491:AE494">
    <cfRule type="expression" dxfId="522" priority="145">
      <formula>$AE$11="-"</formula>
    </cfRule>
  </conditionalFormatting>
  <conditionalFormatting sqref="AF491:AF494">
    <cfRule type="expression" dxfId="521" priority="144">
      <formula>$AF$11="-"</formula>
    </cfRule>
  </conditionalFormatting>
  <conditionalFormatting sqref="AG491:AG494">
    <cfRule type="expression" dxfId="520" priority="143">
      <formula>$AG$11="-"</formula>
    </cfRule>
  </conditionalFormatting>
  <conditionalFormatting sqref="X491:X494">
    <cfRule type="expression" dxfId="519" priority="142">
      <formula>$X$11="-"</formula>
    </cfRule>
  </conditionalFormatting>
  <conditionalFormatting sqref="Y491:Y494">
    <cfRule type="expression" dxfId="518" priority="141">
      <formula>$Y$11="-"</formula>
    </cfRule>
  </conditionalFormatting>
  <conditionalFormatting sqref="Z491:Z494">
    <cfRule type="expression" dxfId="517" priority="140">
      <formula>$Z$11="-"</formula>
    </cfRule>
  </conditionalFormatting>
  <conditionalFormatting sqref="AA491:AA494">
    <cfRule type="expression" dxfId="516" priority="139">
      <formula>$AA$11="-"</formula>
    </cfRule>
  </conditionalFormatting>
  <conditionalFormatting sqref="AN491:AN494">
    <cfRule type="expression" dxfId="515" priority="138">
      <formula>$AN$11="-"</formula>
    </cfRule>
  </conditionalFormatting>
  <conditionalFormatting sqref="AO491:AO494">
    <cfRule type="expression" dxfId="514" priority="137">
      <formula>$AO$11="-"</formula>
    </cfRule>
  </conditionalFormatting>
  <conditionalFormatting sqref="AM491:AM494">
    <cfRule type="expression" dxfId="513" priority="136">
      <formula>$AM$11="-"</formula>
    </cfRule>
  </conditionalFormatting>
  <conditionalFormatting sqref="AH491:AH494">
    <cfRule type="expression" dxfId="512" priority="135">
      <formula>$AH$11="-"</formula>
    </cfRule>
  </conditionalFormatting>
  <conditionalFormatting sqref="AL491:AL494">
    <cfRule type="expression" dxfId="511" priority="134">
      <formula>$AL$11="-"</formula>
    </cfRule>
  </conditionalFormatting>
  <conditionalFormatting sqref="E498:H498 E502:H502">
    <cfRule type="expression" dxfId="510" priority="128">
      <formula>AND(ISTEXT(I498),ISBLANK(E498))</formula>
    </cfRule>
  </conditionalFormatting>
  <conditionalFormatting sqref="A498:K498 A502:K502">
    <cfRule type="expression" dxfId="509" priority="127">
      <formula>AND($I498&lt;&gt;"",$L498="")</formula>
    </cfRule>
  </conditionalFormatting>
  <conditionalFormatting sqref="E495:H495 E499:H499">
    <cfRule type="expression" dxfId="508" priority="126">
      <formula>AND(ISTEXT(I495),ISBLANK(E495))</formula>
    </cfRule>
  </conditionalFormatting>
  <conditionalFormatting sqref="A495:K495 A499:K499">
    <cfRule type="expression" dxfId="507" priority="125">
      <formula>AND($I495&lt;&gt;"",$L495="")</formula>
    </cfRule>
  </conditionalFormatting>
  <conditionalFormatting sqref="E496:H497 E500:H501">
    <cfRule type="expression" dxfId="506" priority="124">
      <formula>AND(ISTEXT(I496),ISBLANK(E496))</formula>
    </cfRule>
  </conditionalFormatting>
  <conditionalFormatting sqref="A496:K497 A500:K501">
    <cfRule type="expression" dxfId="505" priority="123">
      <formula>AND($I496&lt;&gt;"",$L496="")</formula>
    </cfRule>
  </conditionalFormatting>
  <conditionalFormatting sqref="Q495:Q502">
    <cfRule type="expression" dxfId="504" priority="118">
      <formula>$Q$11="-"</formula>
    </cfRule>
  </conditionalFormatting>
  <conditionalFormatting sqref="R495:R502">
    <cfRule type="expression" dxfId="503" priority="117">
      <formula>$R$11="-"</formula>
    </cfRule>
  </conditionalFormatting>
  <conditionalFormatting sqref="S495:S502">
    <cfRule type="expression" dxfId="502" priority="116">
      <formula>$S$11="-"</formula>
    </cfRule>
  </conditionalFormatting>
  <conditionalFormatting sqref="T495:T502">
    <cfRule type="expression" dxfId="501" priority="115">
      <formula>$T$11="-"</formula>
    </cfRule>
  </conditionalFormatting>
  <conditionalFormatting sqref="AE495:AE502">
    <cfRule type="expression" dxfId="500" priority="114">
      <formula>$AE$11="-"</formula>
    </cfRule>
  </conditionalFormatting>
  <conditionalFormatting sqref="AF495:AF502">
    <cfRule type="expression" dxfId="499" priority="113">
      <formula>$AF$11="-"</formula>
    </cfRule>
  </conditionalFormatting>
  <conditionalFormatting sqref="AG495:AG502">
    <cfRule type="expression" dxfId="498" priority="112">
      <formula>$AG$11="-"</formula>
    </cfRule>
  </conditionalFormatting>
  <conditionalFormatting sqref="X495:X502">
    <cfRule type="expression" dxfId="497" priority="111">
      <formula>$X$11="-"</formula>
    </cfRule>
  </conditionalFormatting>
  <conditionalFormatting sqref="Y495:Y502">
    <cfRule type="expression" dxfId="496" priority="110">
      <formula>$Y$11="-"</formula>
    </cfRule>
  </conditionalFormatting>
  <conditionalFormatting sqref="Z495:Z502">
    <cfRule type="expression" dxfId="495" priority="109">
      <formula>$Z$11="-"</formula>
    </cfRule>
  </conditionalFormatting>
  <conditionalFormatting sqref="AA495:AA502">
    <cfRule type="expression" dxfId="494" priority="108">
      <formula>$AA$11="-"</formula>
    </cfRule>
  </conditionalFormatting>
  <conditionalFormatting sqref="AN495:AN502">
    <cfRule type="expression" dxfId="493" priority="107">
      <formula>$AN$11="-"</formula>
    </cfRule>
  </conditionalFormatting>
  <conditionalFormatting sqref="AO495:AO502">
    <cfRule type="expression" dxfId="492" priority="106">
      <formula>$AO$11="-"</formula>
    </cfRule>
  </conditionalFormatting>
  <conditionalFormatting sqref="AM495:AM502">
    <cfRule type="expression" dxfId="491" priority="105">
      <formula>$AM$11="-"</formula>
    </cfRule>
  </conditionalFormatting>
  <conditionalFormatting sqref="AH495:AH502">
    <cfRule type="expression" dxfId="490" priority="104">
      <formula>$AH$11="-"</formula>
    </cfRule>
  </conditionalFormatting>
  <conditionalFormatting sqref="AL495:AL502">
    <cfRule type="expression" dxfId="489" priority="103">
      <formula>$AL$11="-"</formula>
    </cfRule>
  </conditionalFormatting>
  <conditionalFormatting sqref="E506:H506 E510:H510 E514:H514">
    <cfRule type="expression" dxfId="488" priority="97">
      <formula>AND(ISTEXT(I506),ISBLANK(E506))</formula>
    </cfRule>
  </conditionalFormatting>
  <conditionalFormatting sqref="A506:K506 A510:K510 A514:K514">
    <cfRule type="expression" dxfId="487" priority="96">
      <formula>AND($I506&lt;&gt;"",$L506="")</formula>
    </cfRule>
  </conditionalFormatting>
  <conditionalFormatting sqref="E503:H503 E507:H507 E511:H511">
    <cfRule type="expression" dxfId="486" priority="95">
      <formula>AND(ISTEXT(I503),ISBLANK(E503))</formula>
    </cfRule>
  </conditionalFormatting>
  <conditionalFormatting sqref="A503:K503 A507:K507 A511:K511">
    <cfRule type="expression" dxfId="485" priority="94">
      <formula>AND($I503&lt;&gt;"",$L503="")</formula>
    </cfRule>
  </conditionalFormatting>
  <conditionalFormatting sqref="E504:H505 E508:H509 E512:H513">
    <cfRule type="expression" dxfId="484" priority="93">
      <formula>AND(ISTEXT(I504),ISBLANK(E504))</formula>
    </cfRule>
  </conditionalFormatting>
  <conditionalFormatting sqref="A504:K505 A508:K509 A512:K513">
    <cfRule type="expression" dxfId="483" priority="92">
      <formula>AND($I504&lt;&gt;"",$L504="")</formula>
    </cfRule>
  </conditionalFormatting>
  <conditionalFormatting sqref="Q503:Q514">
    <cfRule type="expression" dxfId="482" priority="87">
      <formula>$Q$11="-"</formula>
    </cfRule>
  </conditionalFormatting>
  <conditionalFormatting sqref="R503:R514">
    <cfRule type="expression" dxfId="481" priority="86">
      <formula>$R$11="-"</formula>
    </cfRule>
  </conditionalFormatting>
  <conditionalFormatting sqref="S503:S514">
    <cfRule type="expression" dxfId="480" priority="85">
      <formula>$S$11="-"</formula>
    </cfRule>
  </conditionalFormatting>
  <conditionalFormatting sqref="T503:T514">
    <cfRule type="expression" dxfId="479" priority="84">
      <formula>$T$11="-"</formula>
    </cfRule>
  </conditionalFormatting>
  <conditionalFormatting sqref="AE503:AE514">
    <cfRule type="expression" dxfId="478" priority="83">
      <formula>$AE$11="-"</formula>
    </cfRule>
  </conditionalFormatting>
  <conditionalFormatting sqref="AF503:AF514">
    <cfRule type="expression" dxfId="477" priority="82">
      <formula>$AF$11="-"</formula>
    </cfRule>
  </conditionalFormatting>
  <conditionalFormatting sqref="AG503:AG514">
    <cfRule type="expression" dxfId="476" priority="81">
      <formula>$AG$11="-"</formula>
    </cfRule>
  </conditionalFormatting>
  <conditionalFormatting sqref="X503:X514">
    <cfRule type="expression" dxfId="475" priority="80">
      <formula>$X$11="-"</formula>
    </cfRule>
  </conditionalFormatting>
  <conditionalFormatting sqref="Y503:Y514">
    <cfRule type="expression" dxfId="474" priority="79">
      <formula>$Y$11="-"</formula>
    </cfRule>
  </conditionalFormatting>
  <conditionalFormatting sqref="Z503:Z514">
    <cfRule type="expression" dxfId="473" priority="78">
      <formula>$Z$11="-"</formula>
    </cfRule>
  </conditionalFormatting>
  <conditionalFormatting sqref="AA503:AA514">
    <cfRule type="expression" dxfId="472" priority="77">
      <formula>$AA$11="-"</formula>
    </cfRule>
  </conditionalFormatting>
  <conditionalFormatting sqref="AN503:AN514">
    <cfRule type="expression" dxfId="471" priority="76">
      <formula>$AN$11="-"</formula>
    </cfRule>
  </conditionalFormatting>
  <conditionalFormatting sqref="AO503:AO514">
    <cfRule type="expression" dxfId="470" priority="75">
      <formula>$AO$11="-"</formula>
    </cfRule>
  </conditionalFormatting>
  <conditionalFormatting sqref="AM503:AM514">
    <cfRule type="expression" dxfId="469" priority="74">
      <formula>$AM$11="-"</formula>
    </cfRule>
  </conditionalFormatting>
  <conditionalFormatting sqref="AH503:AH514">
    <cfRule type="expression" dxfId="468" priority="73">
      <formula>$AH$11="-"</formula>
    </cfRule>
  </conditionalFormatting>
  <conditionalFormatting sqref="AL503:AL514">
    <cfRule type="expression" dxfId="467" priority="72">
      <formula>$AL$11="-"</formula>
    </cfRule>
  </conditionalFormatting>
  <conditionalFormatting sqref="E518:H518 E522:H522 E526:H526 E530:H530">
    <cfRule type="expression" dxfId="466" priority="66">
      <formula>AND(ISTEXT(I518),ISBLANK(E518))</formula>
    </cfRule>
  </conditionalFormatting>
  <conditionalFormatting sqref="A518:K518 A522:K522 A526:K526 A530:K530">
    <cfRule type="expression" dxfId="465" priority="65">
      <formula>AND($I518&lt;&gt;"",$L518="")</formula>
    </cfRule>
  </conditionalFormatting>
  <conditionalFormatting sqref="E515:H515 E519:H519 E523:H523 E527:H527">
    <cfRule type="expression" dxfId="464" priority="64">
      <formula>AND(ISTEXT(I515),ISBLANK(E515))</formula>
    </cfRule>
  </conditionalFormatting>
  <conditionalFormatting sqref="A515:K515 A519:K519 A523:K523 A527:K527">
    <cfRule type="expression" dxfId="463" priority="63">
      <formula>AND($I515&lt;&gt;"",$L515="")</formula>
    </cfRule>
  </conditionalFormatting>
  <conditionalFormatting sqref="E516:H517 E520:H521 E524:H525 E528:H529">
    <cfRule type="expression" dxfId="462" priority="62">
      <formula>AND(ISTEXT(I516),ISBLANK(E516))</formula>
    </cfRule>
  </conditionalFormatting>
  <conditionalFormatting sqref="A516:K517 A520:K521 A524:K525 A528:K529">
    <cfRule type="expression" dxfId="461" priority="61">
      <formula>AND($I516&lt;&gt;"",$L516="")</formula>
    </cfRule>
  </conditionalFormatting>
  <conditionalFormatting sqref="Q515:Q530">
    <cfRule type="expression" dxfId="460" priority="56">
      <formula>$Q$11="-"</formula>
    </cfRule>
  </conditionalFormatting>
  <conditionalFormatting sqref="R515:R530">
    <cfRule type="expression" dxfId="459" priority="55">
      <formula>$R$11="-"</formula>
    </cfRule>
  </conditionalFormatting>
  <conditionalFormatting sqref="S515:S530">
    <cfRule type="expression" dxfId="458" priority="54">
      <formula>$S$11="-"</formula>
    </cfRule>
  </conditionalFormatting>
  <conditionalFormatting sqref="T515:T530">
    <cfRule type="expression" dxfId="457" priority="53">
      <formula>$T$11="-"</formula>
    </cfRule>
  </conditionalFormatting>
  <conditionalFormatting sqref="AE515:AE530">
    <cfRule type="expression" dxfId="456" priority="52">
      <formula>$AE$11="-"</formula>
    </cfRule>
  </conditionalFormatting>
  <conditionalFormatting sqref="AF515:AF530">
    <cfRule type="expression" dxfId="455" priority="51">
      <formula>$AF$11="-"</formula>
    </cfRule>
  </conditionalFormatting>
  <conditionalFormatting sqref="AG515:AG530">
    <cfRule type="expression" dxfId="454" priority="50">
      <formula>$AG$11="-"</formula>
    </cfRule>
  </conditionalFormatting>
  <conditionalFormatting sqref="X515:X530">
    <cfRule type="expression" dxfId="453" priority="49">
      <formula>$X$11="-"</formula>
    </cfRule>
  </conditionalFormatting>
  <conditionalFormatting sqref="Y515:Y530">
    <cfRule type="expression" dxfId="452" priority="48">
      <formula>$Y$11="-"</formula>
    </cfRule>
  </conditionalFormatting>
  <conditionalFormatting sqref="Z515:Z530">
    <cfRule type="expression" dxfId="451" priority="47">
      <formula>$Z$11="-"</formula>
    </cfRule>
  </conditionalFormatting>
  <conditionalFormatting sqref="AA515:AA530">
    <cfRule type="expression" dxfId="450" priority="46">
      <formula>$AA$11="-"</formula>
    </cfRule>
  </conditionalFormatting>
  <conditionalFormatting sqref="AN515:AN530">
    <cfRule type="expression" dxfId="449" priority="45">
      <formula>$AN$11="-"</formula>
    </cfRule>
  </conditionalFormatting>
  <conditionalFormatting sqref="AO515:AO530">
    <cfRule type="expression" dxfId="448" priority="44">
      <formula>$AO$11="-"</formula>
    </cfRule>
  </conditionalFormatting>
  <conditionalFormatting sqref="AM515:AM530">
    <cfRule type="expression" dxfId="447" priority="43">
      <formula>$AM$11="-"</formula>
    </cfRule>
  </conditionalFormatting>
  <conditionalFormatting sqref="AH515:AH530">
    <cfRule type="expression" dxfId="446" priority="42">
      <formula>$AH$11="-"</formula>
    </cfRule>
  </conditionalFormatting>
  <conditionalFormatting sqref="AL515:AL530">
    <cfRule type="expression" dxfId="445" priority="41">
      <formula>$AL$11="-"</formula>
    </cfRule>
  </conditionalFormatting>
  <conditionalFormatting sqref="E534:H534 E538:H538 E542:H542">
    <cfRule type="expression" dxfId="444" priority="35">
      <formula>AND(ISTEXT(I534),ISBLANK(E534))</formula>
    </cfRule>
  </conditionalFormatting>
  <conditionalFormatting sqref="A534:K534 A538:K538 A542:K542">
    <cfRule type="expression" dxfId="443" priority="34">
      <formula>AND($I534&lt;&gt;"",$L534="")</formula>
    </cfRule>
  </conditionalFormatting>
  <conditionalFormatting sqref="E531:H531 E535:H535 E539:H539">
    <cfRule type="expression" dxfId="442" priority="33">
      <formula>AND(ISTEXT(I531),ISBLANK(E531))</formula>
    </cfRule>
  </conditionalFormatting>
  <conditionalFormatting sqref="A531:K531 A535:K535 A539:K539">
    <cfRule type="expression" dxfId="441" priority="32">
      <formula>AND($I531&lt;&gt;"",$L531="")</formula>
    </cfRule>
  </conditionalFormatting>
  <conditionalFormatting sqref="E532:H533 E536:H537 E540:H541">
    <cfRule type="expression" dxfId="440" priority="31">
      <formula>AND(ISTEXT(I532),ISBLANK(E532))</formula>
    </cfRule>
  </conditionalFormatting>
  <conditionalFormatting sqref="A532:K533 A536:K537 A540:K541">
    <cfRule type="expression" dxfId="439" priority="30">
      <formula>AND($I532&lt;&gt;"",$L532="")</formula>
    </cfRule>
  </conditionalFormatting>
  <conditionalFormatting sqref="Q531:Q542">
    <cfRule type="expression" dxfId="438" priority="25">
      <formula>$Q$11="-"</formula>
    </cfRule>
  </conditionalFormatting>
  <conditionalFormatting sqref="R531:R542">
    <cfRule type="expression" dxfId="437" priority="24">
      <formula>$R$11="-"</formula>
    </cfRule>
  </conditionalFormatting>
  <conditionalFormatting sqref="S531:S542">
    <cfRule type="expression" dxfId="436" priority="23">
      <formula>$S$11="-"</formula>
    </cfRule>
  </conditionalFormatting>
  <conditionalFormatting sqref="T531:T542">
    <cfRule type="expression" dxfId="435" priority="22">
      <formula>$T$11="-"</formula>
    </cfRule>
  </conditionalFormatting>
  <conditionalFormatting sqref="AE531:AE542">
    <cfRule type="expression" dxfId="434" priority="21">
      <formula>$AE$11="-"</formula>
    </cfRule>
  </conditionalFormatting>
  <conditionalFormatting sqref="AF531:AF542">
    <cfRule type="expression" dxfId="433" priority="20">
      <formula>$AF$11="-"</formula>
    </cfRule>
  </conditionalFormatting>
  <conditionalFormatting sqref="AG531:AG542">
    <cfRule type="expression" dxfId="432" priority="19">
      <formula>$AG$11="-"</formula>
    </cfRule>
  </conditionalFormatting>
  <conditionalFormatting sqref="X531:X542">
    <cfRule type="expression" dxfId="431" priority="18">
      <formula>$X$11="-"</formula>
    </cfRule>
  </conditionalFormatting>
  <conditionalFormatting sqref="Y531:Y542">
    <cfRule type="expression" dxfId="430" priority="17">
      <formula>$Y$11="-"</formula>
    </cfRule>
  </conditionalFormatting>
  <conditionalFormatting sqref="Z531:Z542">
    <cfRule type="expression" dxfId="429" priority="16">
      <formula>$Z$11="-"</formula>
    </cfRule>
  </conditionalFormatting>
  <conditionalFormatting sqref="AA531:AA542">
    <cfRule type="expression" dxfId="428" priority="15">
      <formula>$AA$11="-"</formula>
    </cfRule>
  </conditionalFormatting>
  <conditionalFormatting sqref="AN531:AN542">
    <cfRule type="expression" dxfId="427" priority="14">
      <formula>$AN$11="-"</formula>
    </cfRule>
  </conditionalFormatting>
  <conditionalFormatting sqref="AO531:AO542">
    <cfRule type="expression" dxfId="426" priority="13">
      <formula>$AO$11="-"</formula>
    </cfRule>
  </conditionalFormatting>
  <conditionalFormatting sqref="AM531:AM542">
    <cfRule type="expression" dxfId="425" priority="12">
      <formula>$AM$11="-"</formula>
    </cfRule>
  </conditionalFormatting>
  <conditionalFormatting sqref="AH531:AH542">
    <cfRule type="expression" dxfId="424" priority="11">
      <formula>$AH$11="-"</formula>
    </cfRule>
  </conditionalFormatting>
  <conditionalFormatting sqref="AL531:AL542">
    <cfRule type="expression" dxfId="423" priority="10">
      <formula>$AL$11="-"</formula>
    </cfRule>
  </conditionalFormatting>
  <conditionalFormatting sqref="I14:K14 I20:K20 I16:K16 I18:K18 I22:K22 I24:K24 I26:K26 I28:K28 I30:K30 I32:K32 I121:K121 I127:K127 I123:K123 I125:K125 I129:K129 I131:K131 I133:K133 I135:K135 I137:K137 I139:K139 I228:K228 I234:K234 I230:K230 I232:K232 I236:K236 I238:K238 I240:K240 I242:K242 I244:K244 I246:K246 I248:K248 I250:K250 I252:K252 I254:K254 I256:K256 I258:K258 I260:K260 I262:K262 I264:K264 I266:K266 I268:K268 I270:K270 I276:K276 I272:K272 I274:K274 I336:K336 I342:K342 I338:K338 I340:K340 I344:K344 I346:K346 I348:K348 I350:K350 I352:K352 I354:K354 I356:K356 I358:K358 I360:K360 I362:K362 I364:K364 I366:K366 I368:K368 I370:K370 I372:K372 I374:K374 I376:K376 I378:K378 I380:K380 I382:K382 I443:K443 I449:K449 I445:K445 I447:K447 I451:K451 I453:K453 I455:K455 I457:K457 I459:K459 I461:K461 I463:K463 I465:K465 I467:K467 I469:K469 I471:K471 I473:K473 I475:K475 I477:K477 I479:K479 I481:K481 I483:K483 I485:K485 I487:K487 I489:K489 I550:K550 I556:K556 I552:K552 I554:K554 I558:K558 I560:K560 I562:K562 I564:K564 I566:K566 I568:K568 I570:K570 I572:K572 I574:K574 I576:K576 I578:K578 I580:K580 I582:K582 I584:K584 I586:K586 I588:K588 I590:K590 I592:K592 I598:K598 I594:K594 I596:K596 I600:K600 I606:K606 I602:K602 I604:K604 I608:K608 I610:K610 I612:K612 I614:K614 I616:K616 I618:K618 I620:K620 I622:K622 I624:K624 I626:K626 I628:K628 I630:K630 I632:K632 I634:K634 I636:K636 I638:K638 I640:K640 I642:K642 I648:K648 I644:K644 I646:K646 I34:K34 I36:K36 I38:K38 I40:K40 I42:K42 I44:K44 I46:K46 I48:K48 I50:K50 I52:K52 I54:K54 I56:K56 I58:K58 I60:K60 I62:K62 I64:K64 I66:K66 I68:K68 I70:K70 I72:K72 I74:K74 I76:K76 I78:K78 I80:K80 I82:K82 I84:K84 I86:K86 I88:K88 I90:K90 I92:K92 I94:K94 I96:K96 I98:K98 I100:K100 I102:K102 I104:K104 I106:K106 I108:K108 I110:K110 I112:K112 I141:K141 I145:K145 I143:K143 I149:K149 I147:K147 I153:K153 I151:K151 I157:K157 I155:K155 I161:K161 I159:K159 I163:K163 I165:K165 I167:K167 I169:K169 I171:K171 I173:K173 I175:K175 I177:K177 I179:K179 I181:K181 I183:K183 I185:K185 I187:K187 I189:K189 I191:K191 I193:K193 I195:K195 I197:K197 I199:K199 I201:K201 I203:K203 I205:K205 I207:K207 I209:K209 I211:K211 I213:K213 I215:K215 I217:K217 I219:K219 I278:K278 I280:K280 I282:K282 I284:K284 I286:K286 I288:K288 I290:K290 I294:K294 I292:K292 I296:K296 I298:K298 I302:K302 I306:K306 I310:K310 I300:K300 I304:K304 I308:K308 I312:K312 I314:K314 I318:K318 I316:K316 I320:K320 I322:K322 I324:K324 I326:K326 I384:K384 I386:K386 I388:K388 I392:K392 I390:K390 I394:K394 I396:K396 I400:K400 I398:K398 I402:K402 I404:K404 I408:K408 I412:K412 I416:K416 I406:K406 I410:K410 I414:K414 I418:K418 I420:K420 I424:K424 I428:K428 I432:K432 I422:K422 I426:K426 I430:K430 I434:K434 I491:K491 I493:K493 I495:K495 I499:K499 I497:K497 I501:K501 I503:K503 I507:K507 I511:K511 I505:K505 I509:K509 I513:K513 I515:K515 I519:K519 I523:K523 I527:K527 I517:K517 I521:K521 I525:K525 I529:K529 I531:K531 I535:K535 I539:K539 I533:K533 I537:K537 I541:K541">
    <cfRule type="expression" dxfId="422" priority="10104">
      <formula>NOT(ISERROR(BP14))</formula>
    </cfRule>
    <cfRule type="expression" dxfId="421" priority="10105" stopIfTrue="1">
      <formula>ISTEXT(E14)</formula>
    </cfRule>
  </conditionalFormatting>
  <conditionalFormatting sqref="I15:K15 I19:K19 I17:K17 I21:K21 I23:K23 I25:K25 I27:K27 I29:K29 I31:K31 I33:K33 I122:K122 I126:K126 I124:K124 I128:K128 I130:K130 I132:K132 I134:K134 I136:K136 I138:K138 I229:K229 I233:K233 I231:K231 I235:K235 I237:K237 I239:K239 I241:K241 I243:K243 I245:K245 I247:K247 I249:K249 I251:K251 I253:K253 I255:K255 I257:K257 I259:K259 I261:K261 I263:K263 I265:K265 I267:K267 I269:K269 I275:K275 I327:K327 I271:K271 I273:K273 I337:K337 I341:K341 I339:K339 I343:K343 I345:K345 I347:K347 I349:K349 I351:K351 I353:K353 I355:K355 I357:K357 I359:K359 I361:K361 I363:K363 I365:K365 I367:K367 I369:K369 I371:K371 I373:K373 I375:K375 I377:K377 I383:K383 I435:K435 I379:K379 I381:K381 I444:K444 I448:K448 I446:K446 I450:K450 I452:K452 I454:K454 I456:K456 I458:K458 I460:K460 I462:K462 I464:K464 I466:K466 I468:K468 I470:K470 I472:K472 I474:K474 I476:K476 I478:K478 I480:K480 I482:K482 I484:K484 I490:K490 I486:K486 I488:K488 I551:K551 I555:K555 I553:K553 I557:K557 I559:K559 I561:K561 I563:K563 I565:K565 I567:K567 I569:K569 I571:K571 I573:K573 I575:K575 I577:K577 I579:K579 I581:K581 I583:K583 I585:K585 I587:K587 I589:K589 I591:K591 I597:K597 I599:K599 I593:K593 I595:K595 I601:K601 I605:K605 I603:K603 I607:K607 I609:K609 I611:K611 I613:K613 I615:K615 I617:K617 I619:K619 I621:K621 I623:K623 I625:K625 I627:K627 I629:K629 I631:K631 I633:K633 I635:K635 I637:K637 I639:K639 I641:K641 I647:K647 I643:K643 I645:K645 I649:K649 I35:K35 I37:K37 I41:K41 I45:K45 I39:K39 I43:K43 I47:K47 I51:K51 I49:K49 I55:K55 I53:K53 I59:K59 I57:K57 I63:K63 I61:K61 I67:K67 I65:K65 I71:K71 I69:K69 I75:K75 I73:K73 I79:K79 I77:K77 I81:K81 I83:K83 I85:K85 I87:K87 I89:K89 I91:K91 I93:K93 I95:K95 I97:K97 I99:K99 I101:K101 I103:K103 I105:K105 I107:K107 I109:K109 I111:K111 I113:K113 I140:K140 I142:K142 I144:K144 I146:K146 I148:K148 I150:K150 I152:K152 I154:K154 I156:K156 I158:K158 I160:K160 I162:K162 I164:K164 I166:K166 I168:K168 I170:K170 I172:K172 I174:K174 I176:K176 I178:K178 I180:K180 I182:K182 I184:K184 I186:K186 I188:K188 I190:K190 I192:K192 I194:K194 I196:K196 I198:K198 I200:K200 I202:K202 I204:K204 I206:K206 I208:K208 I210:K210 I212:K212 I214:K214 I216:K216 I218:K218 I220:K220 I281:K281 I277:K277 I279:K279 I285:K285 I283:K283 I289:K289 I287:K287 I293:K293 I297:K297 I291:K291 I295:K295 I301:K301 I305:K305 I309:K309 I313:K313 I299:K299 I303:K303 I307:K307 I311:K311 I317:K317 I321:K321 I315:K315 I319:K319 I325:K325 I323:K323 I385:K385 I387:K387 I391:K391 I389:K389 I393:K393 I395:K395 I399:K399 I397:K397 I401:K401 I403:K403 I407:K407 I411:K411 I415:K415 I405:K405 I409:K409 I413:K413 I417:K417 I419:K419 I423:K423 I427:K427 I431:K431 I421:K421 I425:K425 I429:K429 I433:K433 I494:K494 I492:K492 I498:K498 I502:K502 I496:K496 I500:K500 I506:K506 I510:K510 I514:K514 I504:K504 I508:K508 I512:K512 I518:K518 I522:K522 I526:K526 I530:K530 I516:K516 I520:K520 I524:K524 I528:K528 I534:K534 I538:K538 I542:K542 I532:K532 I536:K536 I540:K540">
    <cfRule type="expression" dxfId="420" priority="10754">
      <formula>NOT(ISERROR(BP15))</formula>
    </cfRule>
    <cfRule type="expression" dxfId="419" priority="10755">
      <formula>ISTEXT(E15)</formula>
    </cfRule>
  </conditionalFormatting>
  <conditionalFormatting sqref="AS14:AS113 AS121:AS220 AS228:AS327 AS336:AS435 AS443:AS542 AS550:AS649">
    <cfRule type="expression" dxfId="418" priority="7">
      <formula>$AS$11="-"</formula>
    </cfRule>
  </conditionalFormatting>
  <conditionalFormatting sqref="AT14:AT113 AT121:AT220 AT228:AT327 AT336:AT435 AT443:AT542 AT550:AT649">
    <cfRule type="expression" dxfId="417" priority="6">
      <formula>$AT$11="-"</formula>
    </cfRule>
  </conditionalFormatting>
  <conditionalFormatting sqref="AU14:AU113 AU121:AU220 AU228:AU327 AU336:AU435 AU443:AU542 AU550:AU649">
    <cfRule type="expression" dxfId="416" priority="5">
      <formula>$AU$11="-"</formula>
    </cfRule>
  </conditionalFormatting>
  <conditionalFormatting sqref="AV14:AV113 AV121:AV220 AV228:AV327 AV336:AV435 AV443:AV542 AV550:AV649">
    <cfRule type="expression" dxfId="415" priority="4">
      <formula>$AV$11="-"</formula>
    </cfRule>
  </conditionalFormatting>
  <dataValidations count="49">
    <dataValidation type="list" allowBlank="1" showInputMessage="1" showErrorMessage="1" sqref="I228:K327" xr:uid="{8F6ADF3E-FEE2-4DCD-A1AC-D3A65D1CA1E1}">
      <formula1>ML2S3T1C3</formula1>
    </dataValidation>
    <dataValidation type="list" allowBlank="1" showInputMessage="1" showErrorMessage="1" sqref="E228:H327" xr:uid="{5B9E0302-8A67-4054-B75B-92A1C1B2C475}">
      <formula1>HV2S3T1C2_1</formula1>
    </dataValidation>
    <dataValidation type="list" allowBlank="1" showInputMessage="1" showErrorMessage="1" sqref="A228:D327" xr:uid="{33E43435-C13D-4637-95DD-06B464C07E96}">
      <formula1>HV2S3T1C1</formula1>
    </dataValidation>
    <dataValidation type="list" allowBlank="1" showInputMessage="1" showErrorMessage="1" sqref="N221 M443:M542 M336:M435 M14:M113 M228:M327 M121:M221 M550:M649" xr:uid="{CCAD1262-1505-4A6E-BAEA-C812FD17FEFF}">
      <formula1>PROCUREMENTENTITY</formula1>
    </dataValidation>
    <dataValidation type="list" allowBlank="1" showInputMessage="1" showErrorMessage="1" sqref="I121:K220" xr:uid="{6B620C26-1541-4573-8F1B-EA0CC5B7735D}">
      <formula1>HV2S2T1C3_1</formula1>
    </dataValidation>
    <dataValidation type="list" allowBlank="1" showInputMessage="1" showErrorMessage="1" sqref="E121:H220" xr:uid="{68C0673A-50C3-4998-B8F8-DDC1A0B751F7}">
      <formula1>HV2S2T1C2</formula1>
    </dataValidation>
    <dataValidation type="list" allowBlank="1" showInputMessage="1" showErrorMessage="1" sqref="A121:D220" xr:uid="{180D7292-16AD-4CD6-A65A-20AC915A16CD}">
      <formula1>HV2S2T1C1</formula1>
    </dataValidation>
    <dataValidation type="list" allowBlank="1" showInputMessage="1" showErrorMessage="1" sqref="I14:K113" xr:uid="{F26F260E-973E-4BC3-B48F-AB82B9DA13FB}">
      <formula1>HV2S1T1C3</formula1>
    </dataValidation>
    <dataValidation type="list" allowBlank="1" showInputMessage="1" showErrorMessage="1" sqref="E14:H113" xr:uid="{B65A16CA-259C-4887-9C7E-BA5FE4D6783A}">
      <formula1>HV2S1T1C2</formula1>
    </dataValidation>
    <dataValidation type="list" allowBlank="1" showInputMessage="1" showErrorMessage="1" sqref="A14:D113" xr:uid="{1D4345DF-2E32-4F28-8434-6C34BAAC6C2D}">
      <formula1>HV2S1T1C1</formula1>
    </dataValidation>
    <dataValidation type="decimal" allowBlank="1" showInputMessage="1" showErrorMessage="1" sqref="AB336:AD435 AP228:AR327 U228:W327 P443:P542 AI550:AK649 U336:W435 U443:W542 AI336:AK435 P14:P113 AW14:BE113 U14:W113 AB14:AD113 P121:P220 AW228:BE327 U121:W220 AB121:AD220 AI14:AK113 P228:P327 AB228:AD327 AI228:AK327 AI121:AK220 P336:P435 AB443:AD542 AI443:AK542 AW336:BE435 AB550:AD649 U550:W649 AW443:BE542 P550:P649 AP14:AR113 AP121:AR220 AW121:BE220 AP336:AR435 AP443:AR542 AP550:AR649 AW550:BE649" xr:uid="{7FF1C1F2-0046-46C4-B047-218C082EBE51}">
      <formula1>0</formula1>
      <formula2>1E+29</formula2>
    </dataValidation>
    <dataValidation type="list" allowBlank="1" showInputMessage="1" showErrorMessage="1" sqref="E336:H435" xr:uid="{34218DC0-AF31-4264-AACC-EF602BB244BE}">
      <formula1>ML2S4T1C2</formula1>
    </dataValidation>
    <dataValidation type="list" allowBlank="1" showInputMessage="1" showErrorMessage="1" sqref="I336:K435" xr:uid="{AADEE4B6-82B0-4FF4-9390-112DE7575560}">
      <formula1>ML2S4T1C3</formula1>
    </dataValidation>
    <dataValidation type="list" allowBlank="1" showInputMessage="1" showErrorMessage="1" sqref="A336:D435" xr:uid="{A8A64ACF-DFFB-4940-AA67-B5A062447DB6}">
      <formula1>ML2S4T1C1</formula1>
    </dataValidation>
    <dataValidation type="list" allowBlank="1" showInputMessage="1" showErrorMessage="1" sqref="A443:D542" xr:uid="{79622BFF-6FF5-47CC-B572-BBEFEDECCE60}">
      <formula1>ML2S5T1C1</formula1>
    </dataValidation>
    <dataValidation type="list" allowBlank="1" showInputMessage="1" showErrorMessage="1" sqref="E443:H542" xr:uid="{E59CD0FD-C83E-43B1-9E25-3088271F0CDD}">
      <formula1>ML2S5T1C2</formula1>
    </dataValidation>
    <dataValidation type="list" allowBlank="1" showInputMessage="1" showErrorMessage="1" sqref="I443:K542" xr:uid="{0A3CAAC0-0DE8-401D-BBC0-7899440A5E9D}">
      <formula1>ML2S5T1C3</formula1>
    </dataValidation>
    <dataValidation allowBlank="1" showInputMessage="1" showErrorMessage="1" error="Not Editable" sqref="N443:N542 N336:N435 N121:N220 N228:N327 N14:N113 N550:N649" xr:uid="{2384CCEF-F845-4C34-8BCF-48CDC1408E22}"/>
    <dataValidation type="list" allowBlank="1" showInputMessage="1" showErrorMessage="1" sqref="A550:D649" xr:uid="{07E93405-7E4B-4C3F-999C-055EB1A583B6}">
      <formula1>ML2S6T1C1</formula1>
    </dataValidation>
    <dataValidation type="list" allowBlank="1" showInputMessage="1" showErrorMessage="1" sqref="E550:H649" xr:uid="{0A5D516F-8951-468C-A4F8-492A0A806B8F}">
      <formula1>ML2S6T1C2</formula1>
    </dataValidation>
    <dataValidation type="list" allowBlank="1" showInputMessage="1" showErrorMessage="1" sqref="I550:K649" xr:uid="{096252B5-19CC-46E7-8861-767CC55CD875}">
      <formula1>ML2S6T1C3</formula1>
    </dataValidation>
    <dataValidation type="custom" operator="greaterThanOrEqual" allowBlank="1" showInputMessage="1" showErrorMessage="1" error="Order Quantity can be blank or greater than 0" sqref="Q14:Q113 Q121:Q220 Q228:Q327 Q336:Q435 Q443:Q542" xr:uid="{A1D344E7-2CE5-42F5-B5F8-02314ACE1E93}">
      <formula1>AND((Q14&gt;0),($Q$11&lt;&gt;"-"),(INT(Q14)=Q14))</formula1>
    </dataValidation>
    <dataValidation type="custom" operator="greaterThanOrEqual" allowBlank="1" showInputMessage="1" showErrorMessage="1" error="Order Quantity can be blank or greater than 0" sqref="R14:R113 R121:R220 R228:R327 R336:R435 R443:R542 R550:R649" xr:uid="{481D09F5-F0C2-4E1B-A116-DE62F14A5BF1}">
      <formula1>AND((R14&gt;0),($R$11&lt;&gt;"-"),(INT(R14)=R14))</formula1>
    </dataValidation>
    <dataValidation type="custom" operator="greaterThanOrEqual" allowBlank="1" showInputMessage="1" showErrorMessage="1" error="Order Quantity can be blank or greater than 0" sqref="S14:S113 S121:S220 S228:S327 S336:S435 S443:S542" xr:uid="{41E2A735-E10A-46DC-A6BE-2083A97DFF1F}">
      <formula1>AND((S14&gt;0),($S$11&lt;&gt;"-"),(INT(S14)=S14))</formula1>
    </dataValidation>
    <dataValidation type="custom" operator="greaterThanOrEqual" allowBlank="1" showInputMessage="1" showErrorMessage="1" error="Order Quantity can be blank or greater than 0" sqref="T14:T113 T121:T220 T228:T327 T336:T435 T443:T542" xr:uid="{9FD716AA-7976-42D2-ADFD-536E9965995A}">
      <formula1>AND((T14&gt;0),($T$11&lt;&gt;"-"),(INT(T14)=T14))</formula1>
    </dataValidation>
    <dataValidation type="custom" operator="greaterThanOrEqual" allowBlank="1" showInputMessage="1" showErrorMessage="1" error="Order Quantity can be blank or greater than 0" sqref="X14:X113 X121:X220 X228:X327 X336:X435 X443:X542" xr:uid="{6D56141A-C9D8-43F9-90C0-8FE76EEE181D}">
      <formula1>AND((X14&gt;0),($X$11&lt;&gt;"-"),(INT(X14)=X14))</formula1>
    </dataValidation>
    <dataValidation type="custom" operator="greaterThanOrEqual" allowBlank="1" showInputMessage="1" showErrorMessage="1" error="Order Quantity can be blank or greater than 0" sqref="Y14:Y113 Y121:Y220 Y228:Y327 Y336:Y435 Y443:Y542" xr:uid="{7E5CB5F0-3656-4D51-8935-F9C12E247769}">
      <formula1>AND((Y14&gt;0),($Y$11&lt;&gt;"-"),(INT(Y14)=Y14))</formula1>
    </dataValidation>
    <dataValidation type="custom" operator="greaterThanOrEqual" allowBlank="1" showInputMessage="1" showErrorMessage="1" error="Order Quantity can be blank or greater than 0" sqref="Z14:Z113 Z121:Z220 Z228:Z327 Z336:Z435 Z443:Z542" xr:uid="{20DC628E-2D7A-4B3B-900F-E7CEFFAB71E6}">
      <formula1>AND((Z14&gt;0),($Z$11&lt;&gt;"-"),(INT(Z14)=Z14))</formula1>
    </dataValidation>
    <dataValidation type="custom" operator="greaterThanOrEqual" allowBlank="1" showInputMessage="1" showErrorMessage="1" error="Order Quantity can be blank or greater than 0" sqref="AA14:AA113 AA121:AA220 AA228:AA327 AA336:AA435 AA443:AA542" xr:uid="{74FC6BB8-E537-4A67-8BE7-E7D3D71CD856}">
      <formula1>AND((AA14&gt;0),($AA$11&lt;&gt;"-"),(INT(AA14)=AA14))</formula1>
    </dataValidation>
    <dataValidation type="custom" operator="greaterThanOrEqual" allowBlank="1" showInputMessage="1" showErrorMessage="1" error="Order Quantity can be blank or greater than 0" sqref="AE14:AE113 AE121:AE220 AE228:AE327 AE336:AE435 AE443:AE542" xr:uid="{84BA7C90-F035-4C64-9D97-A432E8B49AF8}">
      <formula1>AND((AE14&gt;0),($AE$11&lt;&gt;"-"),(INT(AE14)=AE14))</formula1>
    </dataValidation>
    <dataValidation type="custom" operator="greaterThanOrEqual" allowBlank="1" showInputMessage="1" showErrorMessage="1" error="Order Quantity can be blank or greater than 0" sqref="AF14:AF113 AF228:AF327 AF121:AF220 AF336:AF435 AF443:AF542 AF550:AF649" xr:uid="{46A5E4ED-C82C-45A7-9464-958870028E2C}">
      <formula1>AND((AF14&gt;0),($AF$11&lt;&gt;"-"),(INT(AF14)=AF14))</formula1>
    </dataValidation>
    <dataValidation type="custom" operator="greaterThanOrEqual" allowBlank="1" showInputMessage="1" showErrorMessage="1" error="Order Quantity can be blank or greater than 0" sqref="AG14:AG113 AG121:AG220 AG228:AG327 AG336:AG435 AG443:AG542 AG550:AG649" xr:uid="{C4832F5E-11B7-4100-90AF-E6CFA2C65639}">
      <formula1>AND((AG14&gt;0),($AG$11&lt;&gt;"-"),(INT(AG14)=AG14))</formula1>
    </dataValidation>
    <dataValidation type="custom" operator="greaterThanOrEqual" allowBlank="1" showInputMessage="1" showErrorMessage="1" error="Order Quantity can be blank or greater than 0" sqref="AH14:AH113 AH121:AH220 AH228:AH327 AH336:AH435 AH443:AH542 AH550:AH649" xr:uid="{712A22DF-0A47-4131-AAC4-B83A18873DC4}">
      <formula1>AND((AH14&gt;0),($AH$11&lt;&gt;"-"),(INT(AH14)=AH14))</formula1>
    </dataValidation>
    <dataValidation type="custom" operator="greaterThanOrEqual" allowBlank="1" showInputMessage="1" showErrorMessage="1" error="Order Quantity can be blank or greater than 0" sqref="AL14:AL113 AL228:AL327 AL121:AL220 AL336:AL435 AL443:AL542 AL550:AL649" xr:uid="{8AA2EE91-6F4B-43E6-80F2-5B21E2C3A07E}">
      <formula1>AND((AL14&gt;0),($AL$11&lt;&gt;"-"),(INT(AL14)=AL14))</formula1>
    </dataValidation>
    <dataValidation type="custom" operator="greaterThanOrEqual" allowBlank="1" showInputMessage="1" showErrorMessage="1" error="Order Quantity can be blank or greater than 0" sqref="AM14:AM113 AM228:AM327 AM121:AM220 AM336:AM435 AM443:AM542 AM550:AM649" xr:uid="{3C23C2CE-D37E-4933-BB80-69851EB51DDB}">
      <formula1>AND((AM14&gt;0),($AM$11&lt;&gt;"-"),(INT(AM14)=AM14))</formula1>
    </dataValidation>
    <dataValidation type="custom" operator="greaterThanOrEqual" allowBlank="1" showInputMessage="1" showErrorMessage="1" error="Order Quantity can be blank or greater than 0" sqref="AN14:AN113 AN228:AN327 AN121:AN220 AN336:AN435 AN443:AN542 AN550:AN649" xr:uid="{7028D453-64AC-45DF-A948-496FE2CD676C}">
      <formula1>AND((AN14&gt;0),($AN$11&lt;&gt;"-"),(INT(AN14)=AN14))</formula1>
    </dataValidation>
    <dataValidation type="custom" operator="greaterThanOrEqual" allowBlank="1" showInputMessage="1" showErrorMessage="1" error="Order Quantity can be blank or greater than 0" sqref="AO14:AO113 AO228:AO327 AO121:AO220 AO336:AO435 AO443:AO542 AO550:AO649" xr:uid="{EE8EC632-69E5-4055-98DC-3179D480893B}">
      <formula1>AND((AO14&gt;0),($AO$11&lt;&gt;"-"),(INT(AO14)=AO14))</formula1>
    </dataValidation>
    <dataValidation type="custom" operator="greaterThanOrEqual" allowBlank="1" showInputMessage="1" showErrorMessage="1" error="Order Quantity can be blank or greater than 0" sqref="AS14:AS113 AS228:AS327 AS121:AS220 AS336:AS435 AS443:AS542 AS550:AS649" xr:uid="{8F67BA9F-3E93-4DCB-8B08-BD81621984AB}">
      <formula1>AND((AS14&gt;0),($AS$11&lt;&gt;"-"),(INT(AS14)=AS14))</formula1>
    </dataValidation>
    <dataValidation type="custom" operator="greaterThanOrEqual" allowBlank="1" showInputMessage="1" showErrorMessage="1" error="Order Quantity can be blank or greater than 0" sqref="AT14:AT113 AT228:AT327 AT121:AT220 AT336:AT435 AT443:AT542 AT550:AT649" xr:uid="{D4701BFE-0DB3-402A-8DDC-2799D6939546}">
      <formula1>AND((AT14&gt;0),($AT$11&lt;&gt;"-"),(INT(AT14)=AT14))</formula1>
    </dataValidation>
    <dataValidation type="custom" operator="greaterThanOrEqual" allowBlank="1" showInputMessage="1" showErrorMessage="1" error="Order Quantity can be blank or greater than 0" sqref="AU14:AU113 AU228:AU327 AU121:AU220 AU336:AU435 AU443:AU542 AU550:AU649" xr:uid="{64E10E02-80CF-4439-8B77-7B61664CA28E}">
      <formula1>AND((AU14&gt;0),($AU$11&lt;&gt;"-"),(INT(AU14)=AU14))</formula1>
    </dataValidation>
    <dataValidation type="custom" operator="greaterThanOrEqual" allowBlank="1" showInputMessage="1" showErrorMessage="1" error="Order Quantity can be blank or greater than 0" sqref="AV14:AV113 AV228:AV327 AV121:AV220 AV336:AV435 AV443:AV542 AV550:AV649" xr:uid="{897477A7-74EC-41D9-9176-F45AF5DAB222}">
      <formula1>AND((AV14&gt;0),($AV$11&lt;&gt;"-"),(INT(AV14)=AV14))</formula1>
    </dataValidation>
    <dataValidation type="custom" operator="greaterThanOrEqual" allowBlank="1" showInputMessage="1" showErrorMessage="1" error="Order Quantity can be blank or greater than 0 " sqref="Q550:Q649" xr:uid="{8280279B-DABF-4514-8236-DD5C0B4C6FD4}">
      <formula1>AND((Q550&gt;0),($Q$11&lt;&gt;"-"),(INT(Q550)=Q550))</formula1>
    </dataValidation>
    <dataValidation type="custom" operator="greaterThanOrEqual" allowBlank="1" showInputMessage="1" showErrorMessage="1" error="Order Quantity can be blank or greater than 0 " sqref="S550:S649" xr:uid="{D1A5F9B3-CDB2-4080-A59D-D815D36B0F6A}">
      <formula1>AND((S550&gt;0),($S$11&lt;&gt;"-"),(INT(S550)=S550))</formula1>
    </dataValidation>
    <dataValidation type="custom" operator="greaterThanOrEqual" allowBlank="1" showInputMessage="1" showErrorMessage="1" error="Order Quantity can be blank or greater than 0 " sqref="T550:T649" xr:uid="{195C0307-3303-484D-BB7C-9CA37416A9AA}">
      <formula1>AND((T550&gt;0),($T$11&lt;&gt;"-"),(INT(T550)=T550))</formula1>
    </dataValidation>
    <dataValidation type="custom" operator="greaterThanOrEqual" allowBlank="1" showInputMessage="1" showErrorMessage="1" error="Order Quantity can be blank or greater than 0 " sqref="X550:X649" xr:uid="{0C46922B-74F6-438E-A88A-45A5387EB444}">
      <formula1>AND((X550&gt;0),($X$11&lt;&gt;"-"),(INT(X550)=X550))</formula1>
    </dataValidation>
    <dataValidation type="custom" operator="greaterThanOrEqual" allowBlank="1" showInputMessage="1" showErrorMessage="1" error="Order Quantity can be blank or greater than 0 " sqref="Y550:Y649" xr:uid="{69DD6044-1953-4762-BC76-434A1316B49C}">
      <formula1>AND((Y550&gt;0),($Y$11&lt;&gt;"-"),(INT(Y550)=Y550))</formula1>
    </dataValidation>
    <dataValidation type="custom" operator="greaterThanOrEqual" allowBlank="1" showInputMessage="1" showErrorMessage="1" error="Order Quantity can be blank or greater than 0 " sqref="Z550:Z649" xr:uid="{8B88EB46-2DC4-4CC5-AA35-E4659A0F6B66}">
      <formula1>AND((Z550&gt;0),($Z$11&lt;&gt;"-"),(INT(Z550)=Z550))</formula1>
    </dataValidation>
    <dataValidation type="custom" operator="greaterThanOrEqual" allowBlank="1" showInputMessage="1" showErrorMessage="1" error="Order Quantity can be blank or greater than 0 " sqref="AA550:AA649" xr:uid="{A25522D9-F69F-4280-906E-EBEC091DED69}">
      <formula1>AND((AA550&gt;0),($AA$11&lt;&gt;"-"),(INT(AA550)=AA550))</formula1>
    </dataValidation>
    <dataValidation type="custom" operator="greaterThanOrEqual" allowBlank="1" showInputMessage="1" showErrorMessage="1" error="Order Quantity can be blank or greater than 0 " sqref="AE550:AE649" xr:uid="{EB14D1AC-C87E-4250-8443-E9AE5C7B31E9}">
      <formula1>AND((AE550&gt;0),($AE$11&lt;&gt;"-"),(INT(AE550)=AE550))</formula1>
    </dataValidation>
  </dataValidations>
  <pageMargins left="0.70866141732283472" right="0.70866141732283472" top="0.74803149606299213" bottom="0.74803149606299213" header="0.31496062992125984" footer="0.31496062992125984"/>
  <pageSetup paperSize="9" orientation="landscape" r:id="rId1"/>
  <headerFooter>
    <oddHeader>&amp;LThe Global Fund&amp;CHealth Product Management Template - HIV - Non Pharma&amp;RAllocation Period 2023-2028</oddHeader>
  </headerFooter>
  <drawing r:id="rId2"/>
  <extLst>
    <ext xmlns:x14="http://schemas.microsoft.com/office/spreadsheetml/2009/9/main" uri="{78C0D931-6437-407d-A8EE-F0AAD7539E65}">
      <x14:conditionalFormattings>
        <x14:conditionalFormatting xmlns:xm="http://schemas.microsoft.com/office/excel/2006/main">
          <x14:cfRule type="expression" priority="4289" id="{8D990796-C221-4E55-8E81-7CAF58704DAD}">
            <xm:f>AND($M14&lt;&gt;"",($M14&lt;&gt;INDEX(SETUP!$D$19:$E$122,MATCH(INDEX(PMsheet!$D:$E,MATCH(A14,PMsheet!E:E,0),1),SETUP!$D$19:$D$122,0),MATCH($M$12,SETUP!$D$19:$E$19,0))))</xm:f>
            <x14:dxf>
              <font>
                <color theme="0"/>
              </font>
              <fill>
                <patternFill>
                  <bgColor theme="4" tint="-0.24994659260841701"/>
                </patternFill>
              </fill>
            </x14:dxf>
          </x14:cfRule>
          <xm:sqref>M550:M649 M14:M113 M121:M220 M228:M327 M336:M435 M443:M542</xm:sqref>
        </x14:conditionalFormatting>
        <x14:conditionalFormatting xmlns:xm="http://schemas.microsoft.com/office/excel/2006/main">
          <x14:cfRule type="expression" priority="1" id="{33CDD23C-070A-4BB8-B6E9-17B2A199E1EA}">
            <xm:f>SETUP!$K$20='Master Data-C19RM'!$J$10</xm:f>
            <x14:dxf>
              <fill>
                <patternFill>
                  <bgColor rgb="FF2705D1"/>
                </patternFill>
              </fill>
            </x14:dxf>
          </x14:cfRule>
          <x14:cfRule type="expression" priority="2" id="{B886B925-6744-477D-A522-4A42DC01A700}">
            <xm:f>SETUP!$K$20='Master Data-C19RM'!$J$9</xm:f>
            <x14:dxf>
              <fill>
                <patternFill>
                  <bgColor rgb="FFF75535"/>
                </patternFill>
              </fill>
            </x14:dxf>
          </x14:cfRule>
          <xm:sqref>B1:K1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Select From Dropdown" prompt="List Only" xr:uid="{17FB5833-18C9-4E41-98C2-5A992EE2CCC4}">
          <x14:formula1>
            <xm:f>Grant!$Q$3:$Q$4</xm:f>
          </x14:formula1>
          <xm:sqref>O443:O542 O228:O327 O336:O435 O14:O113 O121:O220 O550:O649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8741-0A44-4D0A-ABA4-79A537F0C478}">
  <dimension ref="A1:BJ44"/>
  <sheetViews>
    <sheetView zoomScale="70" zoomScaleNormal="70" workbookViewId="0">
      <pane xSplit="5" ySplit="4" topLeftCell="F5" activePane="bottomRight" state="frozen"/>
      <selection activeCell="B1" sqref="B1"/>
      <selection pane="topRight" activeCell="B1" sqref="B1"/>
      <selection pane="bottomLeft" activeCell="B1" sqref="B1"/>
      <selection pane="bottomRight" activeCell="AT2" sqref="AT2"/>
    </sheetView>
  </sheetViews>
  <sheetFormatPr defaultColWidth="8.81640625" defaultRowHeight="14.5" x14ac:dyDescent="0.35"/>
  <cols>
    <col min="1" max="1" width="7.453125" bestFit="1" customWidth="1"/>
    <col min="2" max="2" width="20.6328125" customWidth="1"/>
    <col min="3" max="3" width="19" customWidth="1"/>
    <col min="4" max="4" width="30.1796875" customWidth="1"/>
    <col min="5" max="5" width="29" customWidth="1"/>
    <col min="6" max="6" width="12.54296875" customWidth="1"/>
    <col min="7" max="7" width="11.1796875" customWidth="1"/>
    <col min="8" max="8" width="7.1796875" customWidth="1"/>
    <col min="9" max="9" width="14.1796875" customWidth="1"/>
    <col min="10" max="10" width="15.54296875" customWidth="1"/>
    <col min="11" max="11" width="7.90625" customWidth="1"/>
    <col min="12" max="12" width="11.1796875" customWidth="1"/>
    <col min="13" max="13" width="7.81640625" customWidth="1"/>
    <col min="14" max="15" width="9.81640625" customWidth="1"/>
    <col min="16" max="18" width="9.453125" customWidth="1"/>
    <col min="19" max="19" width="10.81640625" customWidth="1"/>
    <col min="20" max="20" width="13.54296875" customWidth="1"/>
    <col min="21" max="21" width="15.08984375" customWidth="1"/>
    <col min="22" max="22" width="10.81640625" style="86" customWidth="1"/>
    <col min="23" max="23" width="10.54296875" style="86" customWidth="1"/>
    <col min="24" max="24" width="10.36328125" style="86" customWidth="1"/>
    <col min="25" max="25" width="12.54296875" style="86" customWidth="1"/>
    <col min="26" max="29" width="10.453125" style="86" customWidth="1"/>
    <col min="30" max="41" width="10.54296875" style="86" customWidth="1"/>
    <col min="42" max="45" width="10.54296875" style="86" hidden="1" customWidth="1"/>
    <col min="46" max="46" width="11.453125" customWidth="1"/>
    <col min="47" max="51" width="11.453125" style="86" customWidth="1"/>
    <col min="52" max="52" width="11.453125" style="86" hidden="1" customWidth="1"/>
    <col min="53" max="53" width="12.36328125" customWidth="1"/>
    <col min="54" max="54" width="6.81640625" customWidth="1"/>
    <col min="55" max="55" width="27.90625" customWidth="1"/>
    <col min="56" max="56" width="7.81640625" customWidth="1"/>
    <col min="57" max="57" width="6.81640625" customWidth="1"/>
    <col min="58" max="58" width="7" customWidth="1"/>
    <col min="59" max="59" width="6.6328125" customWidth="1"/>
    <col min="60" max="60" width="8.81640625" customWidth="1"/>
    <col min="62" max="62" width="9.08984375" customWidth="1"/>
  </cols>
  <sheetData>
    <row r="1" spans="1:62" ht="22" hidden="1" customHeight="1" x14ac:dyDescent="0.35">
      <c r="R1" s="86">
        <v>1</v>
      </c>
      <c r="S1" s="86">
        <v>2</v>
      </c>
      <c r="T1" s="86">
        <v>3</v>
      </c>
      <c r="U1" s="86">
        <v>4</v>
      </c>
      <c r="V1" s="86">
        <v>5</v>
      </c>
      <c r="W1" s="86">
        <v>6</v>
      </c>
      <c r="X1" s="86">
        <v>7</v>
      </c>
      <c r="Y1" s="86">
        <v>8</v>
      </c>
      <c r="Z1" s="86">
        <v>9</v>
      </c>
      <c r="AA1" s="86">
        <v>10</v>
      </c>
      <c r="AB1" s="86">
        <v>11</v>
      </c>
      <c r="AC1" s="86">
        <v>12</v>
      </c>
      <c r="AD1" s="86">
        <v>13</v>
      </c>
      <c r="AE1" s="86">
        <v>14</v>
      </c>
      <c r="AF1" s="86">
        <v>15</v>
      </c>
      <c r="AG1" s="86">
        <v>16</v>
      </c>
      <c r="AH1" s="86">
        <v>17</v>
      </c>
      <c r="AI1" s="86">
        <v>18</v>
      </c>
      <c r="AJ1" s="86">
        <v>19</v>
      </c>
      <c r="AK1" s="86">
        <v>20</v>
      </c>
      <c r="AL1" s="86">
        <v>21</v>
      </c>
      <c r="AM1" s="86">
        <v>22</v>
      </c>
      <c r="AN1" s="86">
        <v>23</v>
      </c>
      <c r="AO1" s="86">
        <v>24</v>
      </c>
      <c r="AP1" s="86">
        <v>25</v>
      </c>
      <c r="AQ1" s="86">
        <v>26</v>
      </c>
      <c r="AR1" s="86">
        <v>27</v>
      </c>
      <c r="AS1" s="86">
        <v>28</v>
      </c>
      <c r="AT1" s="940"/>
      <c r="AU1" s="941"/>
      <c r="AV1" s="941"/>
      <c r="AW1" s="941"/>
      <c r="AX1" s="941"/>
    </row>
    <row r="2" spans="1:62" x14ac:dyDescent="0.35">
      <c r="A2" s="1262" t="s">
        <v>664</v>
      </c>
      <c r="B2" s="1262"/>
      <c r="C2" s="1262"/>
      <c r="D2" s="1262"/>
      <c r="E2" s="1262"/>
      <c r="R2" s="226" t="str">
        <f>IF(R1&lt;=SETUP!$U$18,"Y1",SETUP!$U$20)</f>
        <v>Y1</v>
      </c>
      <c r="S2" s="226" t="str">
        <f>IF(S1&lt;=SETUP!$U$18,"Y1",SETUP!$U$20)</f>
        <v>Y1</v>
      </c>
      <c r="T2" s="226" t="str">
        <f>IF(T1&lt;=SETUP!$U$18,"Y1",SETUP!$U$20)</f>
        <v>Y2</v>
      </c>
      <c r="U2" s="226" t="str">
        <f>IF(SETUP!V18=7,V2,IF(U1&lt;=SETUP!$U$18,"Y1",SETUP!$U$20))</f>
        <v>Y2</v>
      </c>
      <c r="V2" s="226" t="str">
        <f>IF(AND(V1&lt;=SETUP!$V$18,SETUP!$V$18&lt;&gt;""),"Y2",SETUP!$U$21)</f>
        <v>Y2</v>
      </c>
      <c r="W2" s="226" t="str">
        <f>IF(AND(W1&lt;=SETUP!$V$18,SETUP!$V$18&lt;&gt;""),"Y2",SETUP!$U$21)</f>
        <v>Y2</v>
      </c>
      <c r="X2" s="226" t="str">
        <f>IF(AND(X1&lt;=SETUP!$V$18,SETUP!$V$18&lt;&gt;""),"Y2",SETUP!$U$21)</f>
        <v>Y3</v>
      </c>
      <c r="Y2" s="226" t="str">
        <f>IF(SETUP!W18=11,Z2,IF(AND(Y1&lt;=SETUP!$V$18,SETUP!$V$18&lt;&gt;""),"Y2",SETUP!$U$21))</f>
        <v>Y3</v>
      </c>
      <c r="Z2" s="226" t="str">
        <f>IF(AND(Z1&lt;=SETUP!$W$18,SETUP!$W$18&lt;&gt;""),"Y3",SETUP!$U$22)</f>
        <v>Y3</v>
      </c>
      <c r="AA2" s="226" t="str">
        <f>IF(AND(AA1&lt;=SETUP!$W$18,SETUP!$W$18&lt;&gt;""),"Y3",SETUP!$U$22)</f>
        <v>Y3</v>
      </c>
      <c r="AB2" s="226" t="str">
        <f>IF(AND(AB1&lt;=SETUP!$W$18,SETUP!$W$18&lt;&gt;""),"Y3",SETUP!$U$22)</f>
        <v>Y4</v>
      </c>
      <c r="AC2" s="226" t="str">
        <f>IF(SETUP!X18=15,AD2,IF(AND(AC1&lt;=SETUP!$W$18,SETUP!$W$18&lt;&gt;""),"Y3",SETUP!$U$22))</f>
        <v>Y4</v>
      </c>
      <c r="AD2" s="226" t="str">
        <f>IF(AND(AD1&lt;=SETUP!X18,SETUP!X18&lt;&gt;""),"Y4",SETUP!$U$23)</f>
        <v>Y4</v>
      </c>
      <c r="AE2" s="226" t="str">
        <f>IF(AND(AE1&lt;=SETUP!X18,SETUP!X18&lt;&gt;""),"Y4",SETUP!$U$23)</f>
        <v>Y4</v>
      </c>
      <c r="AF2" s="226" t="str">
        <f>IF(AND(AF1&lt;=SETUP!X18,SETUP!X18&lt;&gt;""),"Y4",SETUP!$U$23)</f>
        <v>Y5</v>
      </c>
      <c r="AG2" s="226" t="str">
        <f>IF(SETUP!Y18=19,AH2,IF(AND(AG1&lt;=SETUP!X18,SETUP!X18&lt;&gt;""),"Y4",SETUP!$U$23))</f>
        <v>Y5</v>
      </c>
      <c r="AH2" s="226" t="str">
        <f>IF(AND(AH1&lt;=SETUP!Y18,SETUP!Y18&lt;&gt;""),"Y5",SETUP!$U$24)</f>
        <v>Y5</v>
      </c>
      <c r="AI2" s="226" t="str">
        <f>IF(AND(AI1&lt;=SETUP!Y18,SETUP!Y18&lt;&gt;""),"Y5",SETUP!$U$24)</f>
        <v>Y5</v>
      </c>
      <c r="AJ2" s="226" t="str">
        <f>IF(AND(AJ1&lt;=SETUP!Y18,SETUP!Y18&lt;&gt;""),"Y5",SETUP!$U$24)</f>
        <v>Y5</v>
      </c>
      <c r="AK2" s="226" t="str">
        <f>IF(AND(AK1&lt;=SETUP!Y18,SETUP!Y18&lt;&gt;""),"Y5",SETUP!$U$24)</f>
        <v>Y5</v>
      </c>
      <c r="AL2" s="226" t="str">
        <f>IF(AK2="","","Y6")</f>
        <v>Y6</v>
      </c>
      <c r="AM2" s="226" t="str">
        <f>IF(AK2="","","Y6")</f>
        <v>Y6</v>
      </c>
      <c r="AN2" s="226" t="str">
        <f>IF(AK2="","","Y6")</f>
        <v>Y6</v>
      </c>
      <c r="AO2" s="226" t="str">
        <f>IF(AK2="","","Y6")</f>
        <v>Y6</v>
      </c>
      <c r="AP2" s="226" t="s">
        <v>3047</v>
      </c>
      <c r="AQ2" s="226" t="s">
        <v>3047</v>
      </c>
      <c r="AR2" s="226" t="s">
        <v>3047</v>
      </c>
      <c r="AS2" s="226" t="s">
        <v>3047</v>
      </c>
      <c r="BA2" s="221"/>
    </row>
    <row r="3" spans="1:62" ht="15.75" customHeight="1" x14ac:dyDescent="0.35">
      <c r="A3" s="1262"/>
      <c r="B3" s="1262"/>
      <c r="C3" s="1262"/>
      <c r="D3" s="1262"/>
      <c r="E3" s="1262"/>
      <c r="F3" s="219"/>
      <c r="G3" s="219"/>
      <c r="H3" s="219"/>
      <c r="I3" s="219"/>
      <c r="J3" s="219"/>
      <c r="K3" s="219"/>
      <c r="R3" s="1263" t="str">
        <f>'C19RM 2021-Pharma'!P12</f>
        <v>2021</v>
      </c>
      <c r="S3" s="1263"/>
      <c r="T3" s="1263"/>
      <c r="U3" s="1263"/>
      <c r="V3" s="1264" t="str">
        <f>'C19RM 2021-Pharma'!W12</f>
        <v>2022</v>
      </c>
      <c r="W3" s="1265"/>
      <c r="X3" s="1265"/>
      <c r="Y3" s="1266"/>
      <c r="Z3" s="1267" t="str">
        <f>'C19RM 2021-Pharma'!AD12</f>
        <v>2023</v>
      </c>
      <c r="AA3" s="1267"/>
      <c r="AB3" s="1267"/>
      <c r="AC3" s="1267"/>
      <c r="AD3" s="1268" t="str">
        <f>'C19RM 2021-Pharma'!AK12</f>
        <v>2024</v>
      </c>
      <c r="AE3" s="1269"/>
      <c r="AF3" s="1269"/>
      <c r="AG3" s="1270"/>
      <c r="AH3" s="1271" t="str">
        <f>'C19RM 2021-Pharma'!AR12</f>
        <v>2025</v>
      </c>
      <c r="AI3" s="1271"/>
      <c r="AJ3" s="1271"/>
      <c r="AK3" s="1271"/>
      <c r="AL3" s="1259">
        <f>IFERROR(IF(AH3="","",IF(AH3="-","-",(AH3+1))),"")</f>
        <v>2026</v>
      </c>
      <c r="AM3" s="1259"/>
      <c r="AN3" s="1259"/>
      <c r="AO3" s="1259"/>
      <c r="AP3" s="1260">
        <f>IF(AL3="","",IF(AL3="-","-",(AL3+1)))</f>
        <v>2027</v>
      </c>
      <c r="AQ3" s="1260"/>
      <c r="AR3" s="1260"/>
      <c r="AS3" s="1260"/>
      <c r="AT3" s="1261" t="s">
        <v>137</v>
      </c>
      <c r="AU3" s="1261"/>
      <c r="AV3" s="1261"/>
      <c r="AW3" s="1261"/>
      <c r="AX3" s="1261"/>
      <c r="AY3" s="1261"/>
      <c r="AZ3" s="1261"/>
      <c r="BA3" s="222"/>
    </row>
    <row r="4" spans="1:62" x14ac:dyDescent="0.35">
      <c r="A4" s="219" t="s">
        <v>138</v>
      </c>
      <c r="B4" s="219" t="s">
        <v>5</v>
      </c>
      <c r="C4" s="219" t="s">
        <v>139</v>
      </c>
      <c r="D4" s="227" t="s">
        <v>72</v>
      </c>
      <c r="E4" s="219" t="s">
        <v>140</v>
      </c>
      <c r="F4" s="219" t="s">
        <v>61</v>
      </c>
      <c r="G4" s="219" t="s">
        <v>603</v>
      </c>
      <c r="H4" s="219" t="s">
        <v>604</v>
      </c>
      <c r="I4" s="219" t="s">
        <v>605</v>
      </c>
      <c r="J4" s="219" t="s">
        <v>606</v>
      </c>
      <c r="K4" s="219" t="s">
        <v>612</v>
      </c>
      <c r="L4" s="3" t="s">
        <v>141</v>
      </c>
      <c r="M4" s="3" t="s">
        <v>142</v>
      </c>
      <c r="N4" s="3" t="s">
        <v>143</v>
      </c>
      <c r="O4" s="3" t="s">
        <v>74</v>
      </c>
      <c r="P4" s="3" t="s">
        <v>144</v>
      </c>
      <c r="Q4" s="3" t="s">
        <v>145</v>
      </c>
      <c r="R4" s="226" t="s">
        <v>667</v>
      </c>
      <c r="S4" s="226" t="s">
        <v>668</v>
      </c>
      <c r="T4" s="226" t="s">
        <v>669</v>
      </c>
      <c r="U4" s="226" t="s">
        <v>670</v>
      </c>
      <c r="V4" s="226" t="s">
        <v>671</v>
      </c>
      <c r="W4" s="226" t="s">
        <v>672</v>
      </c>
      <c r="X4" s="226" t="s">
        <v>673</v>
      </c>
      <c r="Y4" s="226" t="s">
        <v>674</v>
      </c>
      <c r="Z4" s="226" t="s">
        <v>675</v>
      </c>
      <c r="AA4" s="226" t="s">
        <v>676</v>
      </c>
      <c r="AB4" s="226" t="s">
        <v>677</v>
      </c>
      <c r="AC4" s="226" t="s">
        <v>678</v>
      </c>
      <c r="AD4" s="226" t="s">
        <v>679</v>
      </c>
      <c r="AE4" s="226" t="s">
        <v>680</v>
      </c>
      <c r="AF4" s="226" t="s">
        <v>681</v>
      </c>
      <c r="AG4" s="226" t="s">
        <v>682</v>
      </c>
      <c r="AH4" s="226" t="s">
        <v>683</v>
      </c>
      <c r="AI4" s="226" t="s">
        <v>684</v>
      </c>
      <c r="AJ4" s="226" t="s">
        <v>685</v>
      </c>
      <c r="AK4" s="226" t="s">
        <v>686</v>
      </c>
      <c r="AL4" s="226" t="s">
        <v>3039</v>
      </c>
      <c r="AM4" s="226" t="s">
        <v>3040</v>
      </c>
      <c r="AN4" s="226" t="s">
        <v>3041</v>
      </c>
      <c r="AO4" s="226" t="s">
        <v>3042</v>
      </c>
      <c r="AP4" s="226" t="s">
        <v>3043</v>
      </c>
      <c r="AQ4" s="226" t="s">
        <v>3044</v>
      </c>
      <c r="AR4" s="226" t="s">
        <v>3045</v>
      </c>
      <c r="AS4" s="226" t="s">
        <v>3046</v>
      </c>
      <c r="AT4" s="955" t="s">
        <v>125</v>
      </c>
      <c r="AU4" s="955" t="s">
        <v>126</v>
      </c>
      <c r="AV4" s="955" t="s">
        <v>127</v>
      </c>
      <c r="AW4" s="955" t="s">
        <v>128</v>
      </c>
      <c r="AX4" s="955" t="s">
        <v>661</v>
      </c>
      <c r="AY4" s="955" t="s">
        <v>3025</v>
      </c>
      <c r="AZ4" s="955" t="s">
        <v>3047</v>
      </c>
      <c r="BA4" s="222" t="s">
        <v>1949</v>
      </c>
      <c r="BB4" s="222" t="s">
        <v>614</v>
      </c>
      <c r="BC4" s="227" t="s">
        <v>80</v>
      </c>
      <c r="BJ4" s="227" t="s">
        <v>616</v>
      </c>
    </row>
    <row r="5" spans="1:62" x14ac:dyDescent="0.35">
      <c r="A5" s="234">
        <v>1</v>
      </c>
      <c r="B5" s="220" t="s">
        <v>2751</v>
      </c>
      <c r="C5" s="231" t="s">
        <v>3024</v>
      </c>
      <c r="D5" s="231" t="s">
        <v>32</v>
      </c>
      <c r="E5" s="231" t="s">
        <v>2767</v>
      </c>
      <c r="F5" s="220">
        <f>SETUP!$E$3</f>
        <v>0</v>
      </c>
      <c r="G5" s="220" t="str">
        <f ca="1">SETUP!$J$5</f>
        <v>NA</v>
      </c>
      <c r="H5" s="220" t="str">
        <f>SETUP!$E$9</f>
        <v>C19RM</v>
      </c>
      <c r="I5" s="232">
        <f t="shared" ref="I5" si="0">IMP_ST_DATE</f>
        <v>44197</v>
      </c>
      <c r="J5" s="232">
        <f>SETUP!$L$14</f>
        <v>46022</v>
      </c>
      <c r="K5" s="220">
        <f>IFERROR(VLOOKUP(E5,'Master Data-C19RM'!$A$5:$B$35,2,0),0)</f>
        <v>0</v>
      </c>
      <c r="L5">
        <f t="shared" ref="L5" si="1">GRAN_NO</f>
        <v>0</v>
      </c>
      <c r="M5">
        <f>SETUP!$E$7</f>
        <v>0</v>
      </c>
      <c r="N5">
        <f>SETUP!$F$76</f>
        <v>6.1</v>
      </c>
      <c r="O5" t="str" cm="1">
        <f t="array" ref="O5">INDEX(SETUP!$E$19:$E$503,(MATCH(1,(SETUP!$B$19:$B$503=B5)*(SETUP!$D$19:$D$503=D5),0)))</f>
        <v>PR/SR</v>
      </c>
      <c r="P5" t="str" cm="1">
        <f t="array" ref="P5">INDEX(SETUP!$F$19:$F$503,(MATCH(1,(SETUP!$B$19:$B$503=B5)*(SETUP!$D$19:$D$503=D5),0)))</f>
        <v>At delivery</v>
      </c>
      <c r="Q5" cm="1">
        <f t="array" ref="Q5">INDEX(SETUP!$G$19:$G$503,(MATCH(1,(SETUP!$B$19:$B$503=B5)*(SETUP!$D$19:$D$503=D5),0)))</f>
        <v>1</v>
      </c>
      <c r="R5" s="359" cm="1">
        <f t="array" ref="R5">IF((INDEX(SETUP!$F$19:$F$503,(MATCH(1,(SETUP!$B$19:$B$503=B5)*(SETUP!$D$19:$D$503=D5),0))))="Upfront",(SUMPRODUCT(('C19RM 2021-Pharma'!$A$14:$D$113=E5)*('C19RM 2021-Pharma'!$BO$14:$BO$113)*(('C19RM 2021-Pharma'!$Q$14:$Q$113)))),0)</f>
        <v>0</v>
      </c>
      <c r="S5" s="359" cm="1">
        <f t="array" ref="S5">IF((INDEX(SETUP!$F$19:$F$503,(MATCH(1,(SETUP!$B$19:$B$503=B5)*(SETUP!$D$19:$D$503=D5),0))))="Upfront",(SUMPRODUCT(('C19RM 2021-Pharma'!$A$14:$D$113=E5)*('C19RM 2021-Pharma'!$BO$14:$BO$113)*(('C19RM 2021-Pharma'!$R$14:$R$113)))),(IF((INDEX(SETUP!$F$19:$F$503,(MATCH(1,(SETUP!$B$19:$B$503=B5)*(SETUP!$D$19:$D$503=D5),0))))="At delivery",IF((INDEX(SETUP!$G$19:$G$503,(MATCH(1,(SETUP!$B$19:$B$503=B5)*(SETUP!$D$19:$D$503=D5),0))))=1,(SUMPRODUCT(('C19RM 2021-Pharma'!$A$14:$D$113=E5)*('C19RM 2021-Pharma'!$BO$14:$BO$113)*(('C19RM 2021-Pharma'!$Q$14:$Q$113)))),0),0)))</f>
        <v>0</v>
      </c>
      <c r="T5" s="359" cm="1">
        <f t="array" ref="T5">IF((INDEX(SETUP!$F$19:$F$503,(MATCH(1,(SETUP!$B$19:$B$503=B5)*(SETUP!$D$19:$D$503=D5),0))))="Upfront",(SUMPRODUCT(('C19RM 2021-Pharma'!$A$14:$D$113=E5)*('C19RM 2021-Pharma'!$BO$14:$BO$113)*(('C19RM 2021-Pharma'!$S$14:$S$113)))),(IF((INDEX(SETUP!$F$19:$F$503,(MATCH(1,(SETUP!$B$19:$B$503=B5)*(SETUP!$D$19:$D$503=D5),0))))="At delivery",IF((INDEX(SETUP!$G$19:$G$503,(MATCH(1,(SETUP!$B$19:$B$503=B5)*(SETUP!$D$19:$D$503=D5),0))))=2,(SUMPRODUCT(('C19RM 2021-Pharma'!$A$14:$D$113=E5)*('C19RM 2021-Pharma'!$BO$14:$BO$113)*(('C19RM 2021-Pharma'!$Q$14:$Q$113)))),IF((INDEX(SETUP!$G$19:$G$503,(MATCH(1,(SETUP!$B$19:$B$503=B5)*(SETUP!$D$19:$D$503=D5),0))))=1,(SUMPRODUCT(('C19RM 2021-Pharma'!$A$14:$D$113=E5)*('C19RM 2021-Pharma'!$BO$14:$BO$113)*(('C19RM 2021-Pharma'!$R$14:$R$113)))),0)),0)))</f>
        <v>0</v>
      </c>
      <c r="U5" s="359" cm="1">
        <f t="array" ref="U5">IF((INDEX(SETUP!$F$19:$F$503,(MATCH(1,(SETUP!$B$19:$B$503=B5)*(SETUP!$D$19:$D$503=D5),0))))="Upfront",(SUMPRODUCT(('C19RM 2021-Pharma'!$A$14:$D$113=E5)*('C19RM 2021-Pharma'!$BO$14:$BO$113)*(('C19RM 2021-Pharma'!$T$14:$T$113)))),(IF((INDEX(SETUP!$F$19:$F$503,(MATCH(1,(SETUP!$B$19:$B$503=B5)*(SETUP!$D$19:$D$503=D5),0))))="At delivery",IF((INDEX(SETUP!$G$19:$G$503,(MATCH(1,(SETUP!$B$19:$B$503=B5)*(SETUP!$D$19:$D$503=D5),0))))=3,(SUMPRODUCT(('C19RM 2021-Pharma'!$A$14:$D$113=E5)*('C19RM 2021-Pharma'!$BO$14:$BO$113)*(('C19RM 2021-Pharma'!$Q$14:$Q$113)))),IF((INDEX(SETUP!$G$19:$G$503,(MATCH(1,(SETUP!$B$19:$B$503=B5)*(SETUP!$D$19:$D$503=D5),0))))=2,(SUMPRODUCT(('C19RM 2021-Pharma'!$A$14:$D$113=E5)*('C19RM 2021-Pharma'!$BO$14:$BO$113)*(('C19RM 2021-Pharma'!$R$14:$R$113)))),IF((INDEX(SETUP!$G$19:$G$503,(MATCH(1,(SETUP!$B$19:$B$503=B5)*(SETUP!$D$19:$D$503=D5),0))))=1,(SUMPRODUCT(('C19RM 2021-Pharma'!$A$14:$D$113=E5)*('C19RM 2021-Pharma'!$BO$14:$BO$113)*(('C19RM 2021-Pharma'!$S$14:$S$113)))),0))),0)))</f>
        <v>0</v>
      </c>
      <c r="V5" s="359" cm="1">
        <f t="array" ref="V5">IF((INDEX(SETUP!$F$19:$F$503,(MATCH(1,(SETUP!$B$19:$B$503=B5)*(SETUP!$D$19:$D$503=D5),0))))="Upfront",(SUMPRODUCT(('C19RM 2021-Pharma'!$A$14:$D$113=E5)*('C19RM 2021-Pharma'!$BP$14:$BP$113)*(('C19RM 2021-Pharma'!$X$14:$X$113)))),(IF((INDEX(SETUP!$F$19:$F$503,(MATCH(1,(SETUP!$B$19:$B$503=B5)*(SETUP!$D$19:$D$503=D5),0))))="At delivery",IF((INDEX(SETUP!$G$19:$G$503,(MATCH(1,(SETUP!$B$19:$B$503=B5)*(SETUP!$D$19:$D$503=D5),0))))=4,(SUMPRODUCT(('C19RM 2021-Pharma'!$A$14:$D$113=E5)*('C19RM 2021-Pharma'!$BO$14:$BO$113)*(('C19RM 2021-Pharma'!$Q$14:$Q$113)))),IF((INDEX(SETUP!$G$19:$G$503,(MATCH(1,(SETUP!$B$19:$B$503=B5)*(SETUP!$D$19:$D$503=D5),0))))=3,(SUMPRODUCT(('C19RM 2021-Pharma'!$A$14:$D$113=E5)*('C19RM 2021-Pharma'!$BO$14:$BO$113)*(('C19RM 2021-Pharma'!$R$14:$R$113)))),IF((INDEX(SETUP!$G$19:$G$503,(MATCH(1,(SETUP!$B$19:$B$503=B5)*(SETUP!$D$19:$D$503=D5),0))))=2,(SUMPRODUCT(('C19RM 2021-Pharma'!$A$14:$D$113=E5)*('C19RM 2021-Pharma'!$BO$14:$BO$113)*(('C19RM 2021-Pharma'!$S$14:$S$113)))),IF((INDEX(SETUP!$G$19:$G$503,(MATCH(1,(SETUP!$B$19:$B$503=B5)*(SETUP!$D$19:$D$503=D5),0))))=1,(SUMPRODUCT(('C19RM 2021-Pharma'!$A$14:$D$113=E5)*('C19RM 2021-Pharma'!$BO$14:$BO$113)*(('C19RM 2021-Pharma'!$T$14:$T$113)))),0)))),0)))</f>
        <v>0</v>
      </c>
      <c r="W5" s="359" cm="1">
        <f t="array" ref="W5">IF((INDEX(SETUP!$F$19:$F$503,(MATCH(1,(SETUP!$B$19:$B$503=B5)*(SETUP!$D$19:$D$503=D5),0))))="Upfront",(SUMPRODUCT(('C19RM 2021-Pharma'!$A$14:$D$113=E5)*('C19RM 2021-Pharma'!$BP$14:$BP$113)*(('C19RM 2021-Pharma'!$Y$14:$Y$113)))),(IF((INDEX(SETUP!$F$19:$F$503,(MATCH(1,(SETUP!$B$19:$B$503=B5)*(SETUP!$D$19:$D$503=D5),0))))="At delivery",IF((INDEX(SETUP!$G$19:$G$503,(MATCH(1,(SETUP!$B$19:$B$503=B5)*(SETUP!$D$19:$D$503=D5),0))))=4,(SUMPRODUCT(('C19RM 2021-Pharma'!$A$14:$D$113=E5)*('C19RM 2021-Pharma'!$BO$14:$BO$113)*(('C19RM 2021-Pharma'!$R$14:$R$113)))),IF((INDEX(SETUP!$G$19:$G$503,(MATCH(1,(SETUP!$B$19:$B$503=B5)*(SETUP!$D$19:$D$503=D5),0))))=3,(SUMPRODUCT(('C19RM 2021-Pharma'!$A$14:$D$113=E5)*('C19RM 2021-Pharma'!$BO$14:$BO$113)*(('C19RM 2021-Pharma'!$S$14:$S$113)))),IF((INDEX(SETUP!$G$19:$G$503,(MATCH(1,(SETUP!$B$19:$B$503=B5)*(SETUP!$D$19:$D$503=D5),0))))=2,((SUMPRODUCT(('C19RM 2021-Pharma'!$A$14:$D$113=E5)*('C19RM 2021-Pharma'!$BO$14:$BO$113)*(('C19RM 2021-Pharma'!$T$14:$T$113))))),IF((INDEX(SETUP!$G$19:$G$503,(MATCH(1,(SETUP!$B$19:$B$503=B5)*(SETUP!$D$19:$D$503=D5),0))))=1,(SUMPRODUCT(('C19RM 2021-Pharma'!$A$14:$D$113=E5)*('C19RM 2021-Pharma'!$BP$14:$BP$113)*(('C19RM 2021-Pharma'!$X$14:$X$113)))),0)))),0)))</f>
        <v>0</v>
      </c>
      <c r="X5" s="359" cm="1">
        <f t="array" ref="X5">IF((INDEX(SETUP!$F$19:$F$503,(MATCH(1,(SETUP!$B$19:$B$503=B5)*(SETUP!$D$19:$D$503=D5),0))))="Upfront",(SUMPRODUCT(('C19RM 2021-Pharma'!$A$14:$D$113=E5)*('C19RM 2021-Pharma'!$BP$14:$BP$113)*(('C19RM 2021-Pharma'!$Z$14:$Z$113)))),(IF((INDEX(SETUP!$F$19:$F$503,(MATCH(1,(SETUP!$B$19:$B$503=B5)*(SETUP!$D$19:$D$503=D5),0))))="At delivery",IF((INDEX(SETUP!$G$19:$G$503,(MATCH(1,(SETUP!$B$19:$B$503=B5)*(SETUP!$D$19:$D$503=D5),0))))=4,(SUMPRODUCT(('C19RM 2021-Pharma'!$A$14:$D$113=E5)*('C19RM 2021-Pharma'!$BO$14:$BO$113)*(('C19RM 2021-Pharma'!$S$14:$S$113)))),IF((INDEX(SETUP!$G$19:$G$503,(MATCH(1,(SETUP!$B$19:$B$503=B5)*(SETUP!$D$19:$D$503=D5),0))))=3,((SUMPRODUCT(('C19RM 2021-Pharma'!$A$14:$D$113=E5)*('C19RM 2021-Pharma'!$BO$14:$BO$113)*(('C19RM 2021-Pharma'!$T$14:$T$113))))),IF((INDEX(SETUP!$G$19:$G$503,(MATCH(1,(SETUP!$B$19:$B$503=B5)*(SETUP!$D$19:$D$503=D5),0))))=2,(SUMPRODUCT(('C19RM 2021-Pharma'!$A$14:$D$113=E5)*('C19RM 2021-Pharma'!$BP$14:$BP$113)*(('C19RM 2021-Pharma'!$X$14:$X$113)))),IF((INDEX(SETUP!$G$19:$G$503,(MATCH(1,(SETUP!$B$19:$B$503=B5)*(SETUP!$D$19:$D$503=D5),0))))=1,(SUMPRODUCT(('C19RM 2021-Pharma'!$A$14:$D$113=E5)*('C19RM 2021-Pharma'!$BP$14:$BP$113)*(('C19RM 2021-Pharma'!$Y$14:$Y$113)))),0)))),0)))</f>
        <v>0</v>
      </c>
      <c r="Y5" s="359" cm="1">
        <f t="array" ref="Y5">IF((INDEX(SETUP!$F$19:$F$503,(MATCH(1,(SETUP!$B$19:$B$503=B5)*(SETUP!$D$19:$D$503=D5),0))))="Upfront",
(SUMPRODUCT(('C19RM 2021-Pharma'!$A$14:$D$113=E5)*('C19RM 2021-Pharma'!$BP$14:$BP$113)*(('C19RM 2021-Pharma'!$AA$14:$AA$113)))),
(IF((INDEX(SETUP!$F$19:$F$503,(MATCH(1,(SETUP!$B$19:$B$503=B5)*(SETUP!$D$19:$D$503=D5),0))))="At delivery",
IF((INDEX(SETUP!$G$19:$G$503,(MATCH(1,(SETUP!$B$19:$B$503=B5)*(SETUP!$D$19:$D$503=D5),0))))=4,
((SUMPRODUCT(('C19RM 2021-Pharma'!$A$14:$D$113=E5)*('C19RM 2021-Pharma'!$BO$14:$BO$113)*(('C19RM 2021-Pharma'!$T$14:$T$113))))),IF((INDEX(SETUP!$G$19:$G$503,(MATCH(1,(SETUP!$B$19:$B$503=B5)*(SETUP!$D$19:$D$503=D5),0))))=3,(SUMPRODUCT(('C19RM 2021-Pharma'!$A$14:$D$113=E5)*('C19RM 2021-Pharma'!$BP$14:$BP$113)*(('C19RM 2021-Pharma'!$X$14:$X$113)))),IF((INDEX(SETUP!$G$19:$G$503,(MATCH(1,(SETUP!$B$19:$B$503=B5)*(SETUP!$D$19:$D$503=D5),0))))=2,(SUMPRODUCT(('C19RM 2021-Pharma'!$A$14:$D$113=E5)*('C19RM 2021-Pharma'!$BP$14:$BP$113)*(('C19RM 2021-Pharma'!$Y$14:$Y$113)))),IF((INDEX(SETUP!$G$19:$G$503,(MATCH(1,(SETUP!$B$19:$B$503=B5)*(SETUP!$D$19:$D$503=D5),0))))=1,(SUMPRODUCT(('C19RM 2021-Pharma'!$A$14:$D$113=E5)*('C19RM 2021-Pharma'!$BP$14:$BP$113)*(('C19RM 2021-Pharma'!$Z$14:$Z$113)))),0)))),0)))</f>
        <v>0</v>
      </c>
      <c r="Z5" s="359" cm="1">
        <f t="array" ref="Z5">IF((INDEX(SETUP!$F$19:$F$503,(MATCH(1,(SETUP!$B$19:$B$503=B5)*(SETUP!$D$19:$D$503=D5),0))))="Upfront",
(SUMPRODUCT(('C19RM 2021-Pharma'!$A$14:$D$113=E5)*('C19RM 2021-Pharma'!$BQ$14:$BQ$113)*(('C19RM 2021-Pharma'!$AE$14:$AE$113)))),
(IF((INDEX(SETUP!$F$19:$F$503,(MATCH(1,(SETUP!$B$19:$B$503=B5)*(SETUP!$D$19:$D$503=D5),0))))="At delivery",
IF((INDEX(SETUP!$G$19:$G$503,(MATCH(1,(SETUP!$B$19:$B$503=B5)*(SETUP!$D$19:$D$503=D5),0))))=4,
(SUMPRODUCT(('C19RM 2021-Pharma'!$A$14:$D$113=E5)*('C19RM 2021-Pharma'!$BP$14:$BP$113)*(('C19RM 2021-Pharma'!$X$14:$X$113)))),IF((INDEX(SETUP!$G$19:$G$503,(MATCH(1,(SETUP!$B$19:$B$503=B5)*(SETUP!$D$19:$D$503=D5),0))))=3,(SUMPRODUCT(('C19RM 2021-Pharma'!$A$14:$D$113=E5)*('C19RM 2021-Pharma'!$BP$14:$BP$113)*(('C19RM 2021-Pharma'!$Y$14:$Y$113)))),IF((INDEX(SETUP!$G$19:$G$503,(MATCH(1,(SETUP!$B$19:$B$503=B5)*(SETUP!$D$19:$D$503=D5),0))))=2,(SUMPRODUCT(('C19RM 2021-Pharma'!$A$14:$D$113=E5)*('C19RM 2021-Pharma'!$BP$14:$BP$113)*(('C19RM 2021-Pharma'!$Z$14:$Z$113)))),IF((INDEX(SETUP!$G$19:$G$503,(MATCH(1,(SETUP!$B$19:$B$503=B5)*(SETUP!$D$19:$D$503=D5),0))))=1,(SUMPRODUCT(('C19RM 2021-Pharma'!$A$14:$D$113=E5)*('C19RM 2021-Pharma'!$BP$14:$BP$113)*(('C19RM 2021-Pharma'!$AA$14:$AA$113)))),0)))),0)))</f>
        <v>0</v>
      </c>
      <c r="AA5" s="359" cm="1">
        <f t="array" ref="AA5">IF((INDEX(SETUP!$F$19:$F$503,(MATCH(1,(SETUP!$B$19:$B$503=B5)*(SETUP!$D$19:$D$503=D5),0))))="Upfront",(SUMPRODUCT(('C19RM 2021-Pharma'!$A$14:$D$113=E5)*('C19RM 2021-Pharma'!$BQ$14:$BQ$113)*(('C19RM 2021-Pharma'!$AF$14:$AF$113)))),(IF((INDEX(SETUP!$F$19:$F$503,(MATCH(1,(SETUP!$B$19:$B$503=B5)*(SETUP!$D$19:$D$503=D5),0))))="At delivery",IF((INDEX(SETUP!$G$19:$G$503,(MATCH(1,(SETUP!$B$19:$B$503=B5)*(SETUP!$D$19:$D$503=D5),0))))=4,(SUMPRODUCT(('C19RM 2021-Pharma'!$A$14:$D$113=E5)*('C19RM 2021-Pharma'!$BP$14:$BP$113)*(('C19RM 2021-Pharma'!$Y$14:$Y$113)))),IF((INDEX(SETUP!$G$19:$G$503,(MATCH(1,(SETUP!$B$19:$B$503=B5)*(SETUP!$D$19:$D$503=D5),0))))=3,(SUMPRODUCT(('C19RM 2021-Pharma'!$A$14:$D$113=E5)*('C19RM 2021-Pharma'!$BP$14:$BP$113)*(('C19RM 2021-Pharma'!$Z$14:$Z$113)))),IF((INDEX(SETUP!$G$19:$G$503,(MATCH(1,(SETUP!$B$19:$B$503=B5)*(SETUP!$D$19:$D$503=D5),0))))=2,
(SUMPRODUCT(('C19RM 2021-Pharma'!$A$14:$D$113=E5)*('C19RM 2021-Pharma'!$BP$14:$BP$113)*(('C19RM 2021-Pharma'!$AA$14:$AA$113)))),
IF((INDEX(SETUP!$G$19:$G$503,(MATCH(1,(SETUP!$B$19:$B$503=B5)*(SETUP!$D$19:$D$503=D5),0))))=1,
(SUMPRODUCT(('C19RM 2021-Pharma'!$A$14:$D$113=E5)*('C19RM 2021-Pharma'!$BQ$14:$BQ$113)*(('C19RM 2021-Pharma'!$AE$14:$AE$113)))),0)))),0)))</f>
        <v>0</v>
      </c>
      <c r="AB5" s="359" cm="1">
        <f t="array" ref="AB5">IF((INDEX(SETUP!$F$19:$F$503,(MATCH(1,(SETUP!$B$19:$B$503=B5)*(SETUP!$D$19:$D$503=D5),0))))="Upfront",
(SUMPRODUCT(('C19RM 2021-Pharma'!$A$14:$D$113=E5)*('C19RM 2021-Pharma'!$BQ$14:$BQ$113)*(('C19RM 2021-Pharma'!$AG$14:$AG$113)))),
(IF((INDEX(SETUP!$F$19:$F$503,(MATCH(1,(SETUP!$B$19:$B$503=B5)*(SETUP!$D$19:$D$503=D5),0))))="At delivery",
IF((INDEX(SETUP!$G$19:$G$503,(MATCH(1,(SETUP!$B$19:$B$503=B5)*(SETUP!$D$19:$D$503=D5),0))))=4,
(SUMPRODUCT(('C19RM 2021-Pharma'!$A$14:$D$113=E5)*('C19RM 2021-Pharma'!$BP$14:$BP$113)*(('C19RM 2021-Pharma'!$Z$14:$Z$113)))),IF((INDEX(SETUP!$G$19:$G$503,(MATCH(1,(SETUP!$B$19:$B$503=B5)*(SETUP!$D$19:$D$503=D5),0))))=3,(SUMPRODUCT(('C19RM 2021-Pharma'!$A$14:$D$113=E5)*('C19RM 2021-Pharma'!$BP$14:$BP$113)*(('C19RM 2021-Pharma'!$AA$14:$AA$113)))),IF((INDEX(SETUP!$G$19:$G$503,(MATCH(1,(SETUP!$B$19:$B$503=B5)*(SETUP!$D$19:$D$503=D5),0))))=2,(SUMPRODUCT(('C19RM 2021-Pharma'!$A$14:$D$113=E5)*('C19RM 2021-Pharma'!$BQ$14:$BQ$113)*(('C19RM 2021-Pharma'!$AE$14:$AE$113)))),IF((INDEX(SETUP!$G$19:$G$503,(MATCH(1,(SETUP!$B$19:$B$503=B5)*(SETUP!$D$19:$D$503=D5),0))))=1,(SUMPRODUCT(('C19RM 2021-Pharma'!$A$14:$D$113=E5)*('C19RM 2021-Pharma'!$BQ$14:$BQ$113)*(('C19RM 2021-Pharma'!$AF$14:$AF$113)))),0)))),0)))</f>
        <v>0</v>
      </c>
      <c r="AC5" s="359" cm="1">
        <f t="array" ref="AC5">IF((INDEX(SETUP!$F$19:$F$503,(MATCH(1,(SETUP!$B$19:$B$503=B5)*(SETUP!$D$19:$D$503=D5),0))))="Upfront",
(SUMPRODUCT(('C19RM 2021-Pharma'!$A$14:$D$113=E5)*('C19RM 2021-Pharma'!$BQ$14:$BQ$113)*(('C19RM 2021-Pharma'!$AH$14:$AH$113)))),
(IF((INDEX(SETUP!$F$19:$F$503,(MATCH(1,(SETUP!$B$19:$B$503=B5)*(SETUP!$D$19:$D$503=D5),0))))="At delivery",
IF((INDEX(SETUP!$G$19:$G$503,(MATCH(1,(SETUP!$B$19:$B$503=B5)*(SETUP!$D$19:$D$503=D5),0))))=4,
(SUMPRODUCT(('C19RM 2021-Pharma'!$A$14:$D$113=E5)*('C19RM 2021-Pharma'!$BP$14:$BP$113)*(('C19RM 2021-Pharma'!$AA$14:$AA$113)))),IF((INDEX(SETUP!$G$19:$G$503,(MATCH(1,(SETUP!$B$19:$B$503=B5)*(SETUP!$D$19:$D$503=D5),0))))=3,(SUMPRODUCT(('C19RM 2021-Pharma'!$A$14:$D$113=E5)*('C19RM 2021-Pharma'!$BQ$14:$BQ$113)*(('C19RM 2021-Pharma'!$AE$14:$AE$113)))),IF((INDEX(SETUP!$G$19:$G$503,(MATCH(1,(SETUP!$B$19:$B$503=B5)*(SETUP!$D$19:$D$503=D5),0))))=2,(SUMPRODUCT(('C19RM 2021-Pharma'!$A$14:$D$113=E5)*('C19RM 2021-Pharma'!$BQ$14:$BQ$113)*(('C19RM 2021-Pharma'!$AF$14:$AF$113)))),IF((INDEX(SETUP!$G$19:$G$503,(MATCH(1,(SETUP!$B$19:$B$503=B5)*(SETUP!$D$19:$D$503=D5),0))))=1,(SUMPRODUCT(('C19RM 2021-Pharma'!$A$14:$D$113=E5)*('C19RM 2021-Pharma'!$BQ$14:$BQ$113)*(('C19RM 2021-Pharma'!$AG$14:$AG$113)))),0)))),0)))</f>
        <v>0</v>
      </c>
      <c r="AD5" s="359" cm="1">
        <f t="array" ref="AD5">IF((INDEX(SETUP!$F$19:$F$503,(MATCH(1,(SETUP!$B$19:$B$503=B5)*(SETUP!$D$19:$D$503=D5),0))))="Upfront",
(SUMPRODUCT(('C19RM 2021-Pharma'!$A$14:$D$113=E5)*('C19RM 2021-Pharma'!$BR$14:$BR$113)*(('C19RM 2021-Pharma'!$AL$14:$AL$113)))),
(IF((INDEX(SETUP!$F$19:$F$503,(MATCH(1,(SETUP!$B$19:$B$503=B5)*(SETUP!$D$19:$D$503=D5),0))))="At delivery",
IF((INDEX(SETUP!$G$19:$G$503,(MATCH(1,(SETUP!$B$19:$B$503=B5)*(SETUP!$D$19:$D$503=D5),0))))=4,
(SUMPRODUCT(('C19RM 2021-Pharma'!$A$14:$D$113=E5)*('C19RM 2021-Pharma'!$BQ$14:$BQ$113)*(('C19RM 2021-Pharma'!$AE$14:$AE$113)))),IF((INDEX(SETUP!$G$19:$G$503,(MATCH(1,(SETUP!$B$19:$B$503=B5)*(SETUP!$D$19:$D$503=D5),0))))=3,((SUMPRODUCT(('C19RM 2021-Pharma'!$A$14:$D$113=E5)*('C19RM 2021-Pharma'!$BQ$14:$BQ$113)*(('C19RM 2021-Pharma'!$AF$14:$AF$113))))),IF((INDEX(SETUP!$G$19:$G$503,(MATCH(1,(SETUP!$B$19:$B$503=B5)*(SETUP!$D$19:$D$503=D5),0))))=2,(SUMPRODUCT(('C19RM 2021-Pharma'!$A$14:$D$113=E5)*('C19RM 2021-Pharma'!$BQ$14:$BQ$113)*(('C19RM 2021-Pharma'!$AG$14:$AG$113)))),IF((INDEX(SETUP!$G$19:$G$503,(MATCH(1,(SETUP!$B$19:$B$503=B5)*(SETUP!$D$19:$D$503=D5),0))))=1,(SUMPRODUCT(('C19RM 2021-Pharma'!$A$14:$D$113=E5)*('C19RM 2021-Pharma'!$BQ$14:$BQ$113)*(('C19RM 2021-Pharma'!$AH$14:$AH$113)))),0)))),0)))</f>
        <v>0</v>
      </c>
      <c r="AE5" s="359" cm="1">
        <f t="array" ref="AE5">IF((INDEX(SETUP!$F$19:$F$503,(MATCH(1,(SETUP!$B$19:$B$503=B5)*(SETUP!$D$19:$D$503=D5),0))))="Upfront",
(SUMPRODUCT(('C19RM 2021-Pharma'!$A$14:$D$113=E5)*('C19RM 2021-Pharma'!$BR$14:$BR$113)*(('C19RM 2021-Pharma'!$AM$14:$AM$113)))),
(IF((INDEX(SETUP!$F$19:$F$503,(MATCH(1,(SETUP!$B$19:$B$503=B5)*(SETUP!$D$19:$D$503=D5),0))))="At delivery",
IF((INDEX(SETUP!$G$19:$G$503,(MATCH(1,(SETUP!$B$19:$B$503=B5)*(SETUP!$D$19:$D$503=D5),0))))=4,
(SUMPRODUCT(('C19RM 2021-Pharma'!$A$14:$D$113=E5)*('C19RM 2021-Pharma'!$BQ$14:$BQ$113)*(('C19RM 2021-Pharma'!$AF$14:$AF$113)))),IF((INDEX(SETUP!$G$19:$G$503,(MATCH(1,(SETUP!$B$19:$B$503=B5)*(SETUP!$D$19:$D$503=D5),0))))=3,(SUMPRODUCT(('C19RM 2021-Pharma'!$A$14:$D$113=E5)*('C19RM 2021-Pharma'!$BQ$14:$BQ$113)*(('C19RM 2021-Pharma'!$AG$14:$AG$113)))),IF((INDEX(SETUP!$G$19:$G$503,(MATCH(1,(SETUP!$B$19:$B$503=B5)*(SETUP!$D$19:$D$503=D5),0))))=2,(SUMPRODUCT(('C19RM 2021-Pharma'!$A$14:$D$113=E5)*('C19RM 2021-Pharma'!$BQ$14:$BQ$113)*(('C19RM 2021-Pharma'!$AH$14:$AH$113)))),IF((INDEX(SETUP!$G$19:$G$503,(MATCH(1,(SETUP!$B$19:$B$503=B5)*(SETUP!$D$19:$D$503=D5),0))))=1,(SUMPRODUCT(('C19RM 2021-Pharma'!$A$14:$D$113=E5)*('C19RM 2021-Pharma'!$BR$14:$BR$113)*(('C19RM 2021-Pharma'!$AL$14:$AL$113)))),0)))),0)))</f>
        <v>0</v>
      </c>
      <c r="AF5" s="359" cm="1">
        <f t="array" ref="AF5">IF((INDEX(SETUP!$F$19:$F$503,(MATCH(1,(SETUP!$B$19:$B$503=B5)*(SETUP!$D$19:$D$503=D5),0))))="Upfront",
(SUMPRODUCT(('C19RM 2021-Pharma'!$A$14:$D$113=E5)*('C19RM 2021-Pharma'!$BR$14:$BR$113)*(('C19RM 2021-Pharma'!$AN$14:$AN$113)))),
(IF((INDEX(SETUP!$F$19:$F$503,(MATCH(1,(SETUP!$B$19:$B$503=B5)*(SETUP!$D$19:$D$503=D5),0))))="At delivery",
IF((INDEX(SETUP!$G$19:$G$503,(MATCH(1,(SETUP!$B$19:$B$503=B5)*(SETUP!$D$19:$D$503=D5),0))))=4,
(SUMPRODUCT(('C19RM 2021-Pharma'!$A$14:$D$113=E5)*('C19RM 2021-Pharma'!$BQ$14:$BQ$113)*(('C19RM 2021-Pharma'!$AG$14:$AG$113)))),IF((INDEX(SETUP!$G$19:$G$503,(MATCH(1,(SETUP!$B$19:$B$503=B5)*(SETUP!$D$19:$D$503=D5),0))))=3,(SUMPRODUCT(('C19RM 2021-Pharma'!$A$14:$D$113=E5)*('C19RM 2021-Pharma'!$BQ$14:$BQ$113)*(('C19RM 2021-Pharma'!$AH$14:$AH$113)))),IF((INDEX(SETUP!$G$19:$G$503,(MATCH(1,(SETUP!$B$19:$B$503=B5)*(SETUP!$D$19:$D$503=D5),0))))=2,(SUMPRODUCT(('C19RM 2021-Pharma'!$A$14:$D$113=E5)*('C19RM 2021-Pharma'!$BR$14:$BR$113)*(('C19RM 2021-Pharma'!$AL$14:$AL$113)))),IF((INDEX(SETUP!$G$19:$G$503,(MATCH(1,(SETUP!$B$19:$B$503=B5)*(SETUP!$D$19:$D$503=D5),0))))=1,(SUMPRODUCT(('C19RM 2021-Pharma'!$A$14:$D$113=E5)*('C19RM 2021-Pharma'!$BR$14:$BR$113)*(('C19RM 2021-Pharma'!$AM$14:$AM$113)))),0)))),0)))</f>
        <v>0</v>
      </c>
      <c r="AG5" s="359" cm="1">
        <f t="array" ref="AG5">IF((INDEX(SETUP!$F$19:$F$503,(MATCH(1,(SETUP!$B$19:$B$503=B5)*(SETUP!$D$19:$D$503=D5),0))))="Upfront",(SUMPRODUCT(('C19RM 2021-Pharma'!$A$14:$D$113=E5)*('C19RM 2021-Pharma'!$BR$14:$BR$113)*(('C19RM 2021-Pharma'!$AO$14:$AO$113)))),(IF((INDEX(SETUP!$F$19:$F$503,(MATCH(1,(SETUP!$B$19:$B$503=B5)*(SETUP!$D$19:$D$503=D5),0))))="At delivery",IF((INDEX(SETUP!$G$19:$G$503,(MATCH(1,(SETUP!$B$19:$B$503=B5)*(SETUP!$D$19:$D$503=D5),0))))=4,(SUMPRODUCT(('C19RM 2021-Pharma'!$A$14:$D$113=E5)*('C19RM 2021-Pharma'!$BQ$14:$BQ$113)*(('C19RM 2021-Pharma'!$AH$14:$AH$113)))),IF((INDEX(SETUP!$G$19:$G$503,(MATCH(1,(SETUP!$B$19:$B$503=B5)*(SETUP!$D$19:$D$503=D5),0))))=3,(SUMPRODUCT(('C19RM 2021-Pharma'!$A$14:$D$113=E5)*('C19RM 2021-Pharma'!$BR$14:$BR$113)*(('C19RM 2021-Pharma'!$AL$14:$AL$113)))),IF((INDEX(SETUP!$G$19:$G$503,(MATCH(1,(SETUP!$B$19:$B$503=B5)*(SETUP!$D$19:$D$503=D5),0))))=2,(SUMPRODUCT(('C19RM 2021-Pharma'!$A$14:$D$113=E5)*('C19RM 2021-Pharma'!$BR$14:$BR$113)*(('C19RM 2021-Pharma'!$AM$14:$AM$113)))),IF((INDEX(SETUP!$G$19:$G$503,(MATCH(1,(SETUP!$B$19:$B$503=B5)*(SETUP!$D$19:$D$503=D5),0))))=1,(SUMPRODUCT(('C19RM 2021-Pharma'!$A$14:$D$113=E5)*('C19RM 2021-Pharma'!$BR$14:$BR$113)*(('C19RM 2021-Pharma'!$AN$14:$AN$113)))),0)))),0)))</f>
        <v>0</v>
      </c>
      <c r="AH5" s="359" cm="1">
        <f t="array" ref="AH5">IF((INDEX(SETUP!$F$19:$F$503,(MATCH(1,(SETUP!$B$19:$B$503=B5)*(SETUP!$D$19:$D$503=D5),0))))="Upfront",
(SUMPRODUCT(('C19RM 2021-Pharma'!$A$14:$D$113=E5)*('C19RM 2021-Pharma'!$BS$14:$BS$113)*(('C19RM 2021-Pharma'!$AS$14:$AS$113)))),
(IF((INDEX(SETUP!$F$19:$F$503,(MATCH(1,(SETUP!$B$19:$B$503=B5)*(SETUP!$D$19:$D$503=D5),0))))="At delivery",
IF((INDEX(SETUP!$G$19:$G$503,(MATCH(1,(SETUP!$B$19:$B$503=B5)*(SETUP!$D$19:$D$503=D5),0))))=4,
(SUMPRODUCT(('C19RM 2021-Pharma'!$A$14:$D$113=E5)*('C19RM 2021-Pharma'!$BR$14:$BR$113)*(('C19RM 2021-Pharma'!$AL$14:$AL$113)))),IF((INDEX(SETUP!$G$19:$G$503,(MATCH(1,(SETUP!$B$19:$B$503=B5)*(SETUP!$D$19:$D$503=D5),0))))=3,((SUMPRODUCT(('C19RM 2021-Pharma'!$A$14:$D$113=E5)*('C19RM 2021-Pharma'!$BR$14:$BR$113)*(('C19RM 2021-Pharma'!$AM$14:$AM$113))))),IF((INDEX(SETUP!$G$19:$G$503,(MATCH(1,(SETUP!$B$19:$B$503=B5)*(SETUP!$D$19:$D$503=D5),0))))=2,(SUMPRODUCT(('C19RM 2021-Pharma'!$A$14:$D$113=E5)*('C19RM 2021-Pharma'!$BR$14:$BR$113)*(('C19RM 2021-Pharma'!$AN$14:$AN$113)))),IF((INDEX(SETUP!$G$19:$G$503,(MATCH(1,(SETUP!$B$19:$B$503=B5)*(SETUP!$D$19:$D$503=D5),0))))=1,(SUMPRODUCT(('C19RM 2021-Pharma'!$A$14:$D$113=E5)*('C19RM 2021-Pharma'!$BR$14:$BR$113)*(('C19RM 2021-Pharma'!$AO$14:$AO$113)))),0)))),0)))</f>
        <v>0</v>
      </c>
      <c r="AI5" s="359" cm="1">
        <f t="array" ref="AI5">IF((INDEX(SETUP!$F$19:$F$503,(MATCH(1,(SETUP!$B$19:$B$503=B5)*(SETUP!$D$19:$D$503=D5),0))))="Upfront",
(SUMPRODUCT(('C19RM 2021-Pharma'!$A$14:$D$113=E5)*('C19RM 2021-Pharma'!$BS$14:$BS$113)*(('C19RM 2021-Pharma'!$AT$14:$AT$113)))),
(IF((INDEX(SETUP!$F$19:$F$503,(MATCH(1,(SETUP!$B$19:$B$503=B5)*(SETUP!$D$19:$D$503=D5),0))))="At delivery",
IF((INDEX(SETUP!$G$19:$G$503,(MATCH(1,(SETUP!$B$19:$B$503=B5)*(SETUP!$D$19:$D$503=D5),0))))=4,
(SUMPRODUCT(('C19RM 2021-Pharma'!$A$14:$D$113=E5)*('C19RM 2021-Pharma'!$BR$14:$BR$113)*(('C19RM 2021-Pharma'!$AM$14:$AM$113)))),IF((INDEX(SETUP!$G$19:$G$503,(MATCH(1,(SETUP!$B$19:$B$503=B5)*(SETUP!$D$19:$D$503=D5),0))))=3,((SUMPRODUCT(('C19RM 2021-Pharma'!$A$14:$D$113=E5)*('C19RM 2021-Pharma'!$BR$14:$BR$113)*(('C19RM 2021-Pharma'!$AN$14:$AN$113))))),IF((INDEX(SETUP!$G$19:$G$503,(MATCH(1,(SETUP!$B$19:$B$503=B5)*(SETUP!$D$19:$D$503=D5),0))))=2,(SUMPRODUCT(('C19RM 2021-Pharma'!$A$14:$D$113=E5)*('C19RM 2021-Pharma'!$BR$14:$BR$113)*(('C19RM 2021-Pharma'!$AO$14:$AO$113)))),IF((INDEX(SETUP!$G$19:$G$503,(MATCH(1,(SETUP!$B$19:$B$503=B5)*(SETUP!$D$19:$D$503=D5),0))))=1,(SUMPRODUCT(('C19RM 2021-Pharma'!$A$14:$D$113=E5)*('C19RM 2021-Pharma'!$BS$14:$BS$113)*(('C19RM 2021-Pharma'!$AS$14:$AS$113)))),0)))),0)))</f>
        <v>0</v>
      </c>
      <c r="AJ5" s="359" cm="1">
        <f t="array" ref="AJ5">IF((INDEX(SETUP!$F$19:$F$503,(MATCH(1,(SETUP!$B$19:$B$503=B5)*(SETUP!$D$19:$D$503=D5),0))))="Upfront",
(SUMPRODUCT(('C19RM 2021-Pharma'!$A$14:$D$113=E5)*('C19RM 2021-Pharma'!$BS$14:$BS$113)*(('C19RM 2021-Pharma'!$AU$14:$AU$113)))),
(IF((INDEX(SETUP!$F$19:$F$503,(MATCH(1,(SETUP!$B$19:$B$503=B5)*(SETUP!$D$19:$D$503=D5),0))))="At delivery",
IF((INDEX(SETUP!$G$19:$G$503,(MATCH(1,(SETUP!$B$19:$B$503=B5)*(SETUP!$D$19:$D$503=D5),0))))=4,
(SUMPRODUCT(('C19RM 2021-Pharma'!$A$14:$D$113=E5)*('C19RM 2021-Pharma'!$BR$14:$BR$113)*(('C19RM 2021-Pharma'!$AN$14:$AN$113)))),IF((INDEX(SETUP!$G$19:$G$503,(MATCH(1,(SETUP!$B$19:$B$503=B5)*(SETUP!$D$19:$D$503=D5),0))))=3,((SUMPRODUCT(('C19RM 2021-Pharma'!$A$14:$D$113=E5)*('C19RM 2021-Pharma'!$BR$14:$BR$113)*(('C19RM 2021-Pharma'!$AO$14:$AO$113))))),IF((INDEX(SETUP!$G$19:$G$503,(MATCH(1,(SETUP!$B$19:$B$503=B5)*(SETUP!$D$19:$D$503=D5),0))))=2,(SUMPRODUCT(('C19RM 2021-Pharma'!$A$14:$D$113=E5)*('C19RM 2021-Pharma'!$BS$14:$BS$113)*(('C19RM 2021-Pharma'!$AS$14:$AS$113)))),IF((INDEX(SETUP!$G$19:$G$503,(MATCH(1,(SETUP!$B$19:$B$503=B5)*(SETUP!$D$19:$D$503=D5),0))))=1,(SUMPRODUCT(('C19RM 2021-Pharma'!$A$14:$D$113=E5)*('C19RM 2021-Pharma'!$BS$14:$BS$113)*(('C19RM 2021-Pharma'!$AT$14:$AT$113)))),0)))),0)))</f>
        <v>0</v>
      </c>
      <c r="AK5" s="359" cm="1">
        <f t="array" ref="AK5">IF((INDEX(SETUP!$F$19:$F$503,(MATCH(1,(SETUP!$B$19:$B$503=B5)*(SETUP!$D$19:$D$503=D5),0))))="Upfront",
(SUMPRODUCT(('C19RM 2021-Pharma'!$A$14:$D$113=E5)*('C19RM 2021-Pharma'!$BS$14:$BS$113)*(('C19RM 2021-Pharma'!$AV$14:$AV$113)))),
(IF((INDEX(SETUP!$F$19:$F$503,(MATCH(1,(SETUP!$B$19:$B$503=B5)*(SETUP!$D$19:$D$503=D5),0))))="At delivery",
IF((INDEX(SETUP!$G$19:$G$503,(MATCH(1,(SETUP!$B$19:$B$503=B5)*(SETUP!$D$19:$D$503=D5),0))))=4,
(SUMPRODUCT(('C19RM 2021-Pharma'!$A$14:$D$113=E5)*('C19RM 2021-Pharma'!$BR$14:$BR$113)*(('C19RM 2021-Pharma'!$AO$14:$AO$113)))),IF((INDEX(SETUP!$G$19:$G$503,(MATCH(1,(SETUP!$B$19:$B$503=B5)*(SETUP!$D$19:$D$503=D5),0))))=3,((SUMPRODUCT(('C19RM 2021-Pharma'!$A$14:$D$113=E5)*('C19RM 2021-Pharma'!$BS$14:$BS$113)*(('C19RM 2021-Pharma'!$AS$14:$AS$113))))),IF((INDEX(SETUP!$G$19:$G$503,(MATCH(1,(SETUP!$B$19:$B$503=B5)*(SETUP!$D$19:$D$503=D5),0))))=2,(SUMPRODUCT(('C19RM 2021-Pharma'!$A$14:$D$113=E5)*('C19RM 2021-Pharma'!$BS$14:$BS$113)*(('C19RM 2021-Pharma'!$AT$14:$AT$113)))),IF((INDEX(SETUP!$G$19:$G$503,(MATCH(1,(SETUP!$B$19:$B$503=B5)*(SETUP!$D$19:$D$503=D5),0))))=1,(SUMPRODUCT(('C19RM 2021-Pharma'!$A$14:$D$113=E5)*('C19RM 2021-Pharma'!$BS$14:$BS$113)*(('C19RM 2021-Pharma'!$AU$14:$AU$113)))),0)))),0)))</f>
        <v>0</v>
      </c>
      <c r="AL5" s="359" cm="1">
        <f t="array" ref="AL5">IF((INDEX(SETUP!$F$19:$F$503,(MATCH(1,(SETUP!$B$19:$B$503=B5)*(SETUP!$D$19:$D$503=D5),0))))="Upfront",0,(IF((INDEX(SETUP!$F$19:$F$503,(MATCH(1,(SETUP!$B$19:$B$503=B5)*(SETUP!$D$19:$D$503=D5),0))))="At delivery",IF((INDEX(SETUP!$G$19:$G$503,(MATCH(1,(SETUP!$B$19:$B$503=B5)*(SETUP!$D$19:$D$503=D5),0))))=4,(SUMPRODUCT(('C19RM 2021-Pharma'!$A$14:$D$113=E5)*('C19RM 2021-Pharma'!$BS$14:$BS$113)*(('C19RM 2021-Pharma'!$AS$14:$AS$113)))),IF((INDEX(SETUP!$G$19:$G$503,(MATCH(1,(SETUP!$B$19:$B$503=B5)*(SETUP!$D$19:$D$503=D5),0))))=3,(SUMPRODUCT(('C19RM 2021-Pharma'!$A$14:$D$113=E5)*('C19RM 2021-Pharma'!$BS$14:$BS$113)*(('C19RM 2021-Pharma'!$AT$14:$AT$113)))),IF((INDEX(SETUP!$G$19:$G$503,(MATCH(1,(SETUP!$B$19:$B$503=B5)*(SETUP!$D$19:$D$503=D5),0))))=2,(SUMPRODUCT(('C19RM 2021-Pharma'!$A$14:$D$113=E5)*('C19RM 2021-Pharma'!$BS$14:$BS$113)*(('C19RM 2021-Pharma'!$AU$14:$AU$113)))),
IF((INDEX(SETUP!$G$19:$G$503,(MATCH(1,(SETUP!$B$19:$B$503=B5)*(SETUP!$D$19:$D$503=D5),0))))=1,
(SUMPRODUCT(('C19RM 2021-Pharma'!$A$14:$D$113=E5)*('C19RM 2021-Pharma'!$BS$14:$BS$113)*(('C19RM 2021-Pharma'!$AV$14:$AV$113)))),0)))),0)))</f>
        <v>0</v>
      </c>
      <c r="AM5" s="359" cm="1">
        <f t="array" ref="AM5">IF((INDEX(SETUP!$F$19:$F$503,(MATCH(1,(SETUP!$B$19:$B$503=B5)*(SETUP!$D$19:$D$503=D5),0))))="Upfront",0,(IF((INDEX(SETUP!$F$19:$F$503,(MATCH(1,(SETUP!$B$19:$B$503=B5)*(SETUP!$D$19:$D$503=D5),0))))="At delivery",IF((INDEX(SETUP!$G$19:$G$503,(MATCH(1,(SETUP!$B$19:$B$503=B5)*(SETUP!$D$19:$D$503=D5),0))))=4,(SUMPRODUCT(('C19RM 2021-Pharma'!$A$14:$D$113=E5)*('C19RM 2021-Pharma'!$BS$14:$BS$113)*(('C19RM 2021-Pharma'!$AT$14:$AT$113)))),IF((INDEX(SETUP!$G$19:$G$503,(MATCH(1,(SETUP!$B$19:$B$503=B5)*(SETUP!$D$19:$D$503=D5),0))))=3,(SUMPRODUCT(('C19RM 2021-Pharma'!$A$14:$D$113=E5)*('C19RM 2021-Pharma'!$BS$14:$BS$113)*(('C19RM 2021-Pharma'!$AU$14:$AU$113)))),IF((INDEX(SETUP!$G$19:$G$503,(MATCH(1,(SETUP!$B$19:$B$503=B5)*(SETUP!$D$19:$D$503=D5),0))))=2,(SUMPRODUCT(('C19RM 2021-Pharma'!$A$14:$D$113=E5)*('C19RM 2021-Pharma'!$BS$14:$BS$113)*(('C19RM 2021-Pharma'!$AV$14:$AV$113)))),IF((INDEX(SETUP!$G$19:$G$503,(MATCH(1,(SETUP!$B$19:$B$503=B5)*(SETUP!$D$19:$D$503=D5),0))))=1,(0),0)))),0)))</f>
        <v>0</v>
      </c>
      <c r="AN5" s="359" cm="1">
        <f t="array" ref="AN5">IF((INDEX(SETUP!$F$19:$F$503,(MATCH(1,(SETUP!$B$19:$B$503=B5)*(SETUP!$D$19:$D$503=D5),0))))="Upfront",0,(IF((INDEX(SETUP!$F$19:$F$503,(MATCH(1,(SETUP!$B$19:$B$503=B5)*(SETUP!$D$19:$D$503=D5),0))))="At delivery",IF((INDEX(SETUP!$G$19:$G$503,(MATCH(1,(SETUP!$B$19:$B$503=B5)*(SETUP!$D$19:$D$503=D5),0))))=4,(SUMPRODUCT(('C19RM 2021-Pharma'!$A$14:$D$113=E5)*('C19RM 2021-Pharma'!$BS$14:$BS$113)*(('C19RM 2021-Pharma'!$AU$14:$AU$113)))),IF((INDEX(SETUP!$G$19:$G$503,(MATCH(1,(SETUP!$B$19:$B$503=B5)*(SETUP!$D$19:$D$503=D5),0))))=3,(SUMPRODUCT(('C19RM 2021-Pharma'!$A$14:$D$113=E5)*('C19RM 2021-Pharma'!$BS$14:$BS$113)*(('C19RM 2021-Pharma'!$AV$14:$AV$113)))),IF((INDEX(SETUP!$G$19:$G$503,(MATCH(1,(SETUP!$B$19:$B$503=B5)*(SETUP!$D$19:$D$503=D5),0))))=2,(0),IF((INDEX(SETUP!$G$19:$G$503,(MATCH(1,(SETUP!$B$19:$B$503=B5)*(SETUP!$D$19:$D$503=D5),0))))=1,(0),0)))),0)))</f>
        <v>0</v>
      </c>
      <c r="AO5" s="359" cm="1">
        <f t="array" ref="AO5">IF((INDEX(SETUP!$F$19:$F$503,(MATCH(1,(SETUP!$B$19:$B$503=B5)*(SETUP!$D$19:$D$503=D5),0))))="Upfront",0,(IF((INDEX(SETUP!$F$19:$F$503,(MATCH(1,(SETUP!$B$19:$B$503=B5)*(SETUP!$D$19:$D$503=D5),0))))="At delivery",IF((INDEX(SETUP!$G$19:$G$503,(MATCH(1,(SETUP!$B$19:$B$503=B5)*(SETUP!$D$19:$D$503=D5),0))))=4,(SUMPRODUCT(('C19RM 2021-Pharma'!$A$14:$D$113=E5)*('C19RM 2021-Pharma'!$BS$14:$BS$113)*(('C19RM 2021-Pharma'!$AV$14:$AV$113)))),IF((INDEX(SETUP!$G$19:$G$503,(MATCH(1,(SETUP!$B$19:$B$503=B5)*(SETUP!$D$19:$D$503=D5),0))))=3,(0),IF((INDEX(SETUP!$G$19:$G$503,(MATCH(1,(SETUP!$B$19:$B$503=B5)*(SETUP!$D$19:$D$503=D5),0))))=2,(0),IF((INDEX(SETUP!$G$19:$G$503,(MATCH(1,(SETUP!$B$19:$B$503=B5)*(SETUP!$D$19:$D$503=D5),0))))=1,(0),0)))),0)))</f>
        <v>0</v>
      </c>
      <c r="AP5" s="359"/>
      <c r="AQ5" s="359"/>
      <c r="AR5" s="359"/>
      <c r="AS5" s="359"/>
      <c r="AT5" s="359" cm="1">
        <f t="array" ref="AT5">IF(BG5&gt;=1,0,IFERROR(SUMPRODUCT(($R$2:$AO$2=$AT$4)*($E$5:$E$100=E5)*($BC$5:$BC$100=BC5)*($R$5:$AO$100)),0))</f>
        <v>0</v>
      </c>
      <c r="AU5" s="359" cm="1">
        <f t="array" ref="AU5">IF(BG5&gt;=1,0,IFERROR(SUMPRODUCT(($R$2:$AO$2=$AU$4)*($E$5:$E$100=E5)*($BC$5:$BC$100=BC5)*($R$5:$AO$100)),0))</f>
        <v>0</v>
      </c>
      <c r="AV5" s="359" cm="1">
        <f t="array" ref="AV5">IF(BG5&gt;=1,0,IFERROR(SUMPRODUCT(($R$2:$AO$2=$AV$4)*($E$5:$E$100=E5)*($BC$5:$BC$100=BC5)*($R$5:$AO$100)),0))</f>
        <v>0</v>
      </c>
      <c r="AW5" s="359" cm="1">
        <f t="array" ref="AW5">IF(BG5&gt;=1,0,IFERROR(SUMPRODUCT(($R$2:$AO$2=$AW$4)*($E$5:$E$100=E5)*($BC$5:$BC$100=BC5)*($R$5:$AO$100)),0))</f>
        <v>0</v>
      </c>
      <c r="AX5" s="359" cm="1">
        <f t="array" ref="AX5">IF(BG5&gt;=1,0,IFERROR(SUMPRODUCT(($R$2:$AO$2=$AX$4)*($E$5:$E$100=E5)*($BC$5:$BC$100=BC5)*($R$5:$AO$100)),0))</f>
        <v>0</v>
      </c>
      <c r="AY5" s="359">
        <f>IF(BG5&gt;=1,0,IFERROR(SUM(AL5:AO5),0))</f>
        <v>0</v>
      </c>
      <c r="AZ5" s="359"/>
      <c r="BA5" s="233">
        <f>SUM(AT5:AY5)</f>
        <v>0</v>
      </c>
      <c r="BB5" s="220" t="s">
        <v>83</v>
      </c>
      <c r="BC5" t="s">
        <v>1997</v>
      </c>
      <c r="BD5" cm="1">
        <f t="array" ref="BD5">(SUMPRODUCT(('C19RM 2021-Pharma'!$A$14:$D$115=E5)*('C19RM 2021-Pharma'!$BU$14:$BU$115)))</f>
        <v>0</v>
      </c>
      <c r="BE5" cm="1">
        <f t="array" ref="BE5">(SUMPRODUCT((SETUP!$D$20:$D$67=D5)*(SETUP!$R$20:$R$67)))</f>
        <v>0</v>
      </c>
      <c r="BF5" cm="1">
        <f t="array" ref="BF5">(SUMPRODUCT(('C19RM 2021-Pharma'!$A$14:$D$115=E5)*('C19RM 2021-Pharma'!$BV$14:$BV$115)))</f>
        <v>0</v>
      </c>
      <c r="BG5">
        <f t="shared" ref="BG5:BG7" si="2">SUM(BD5:BE5)</f>
        <v>0</v>
      </c>
      <c r="BJ5" s="231">
        <v>4.8</v>
      </c>
    </row>
    <row r="6" spans="1:62" x14ac:dyDescent="0.35">
      <c r="A6" s="234">
        <v>1</v>
      </c>
      <c r="B6" s="220" t="s">
        <v>2751</v>
      </c>
      <c r="C6" s="231" t="s">
        <v>3024</v>
      </c>
      <c r="D6" s="231" t="s">
        <v>32</v>
      </c>
      <c r="E6" s="231" t="s">
        <v>2768</v>
      </c>
      <c r="F6" s="220">
        <f>SETUP!$E$3</f>
        <v>0</v>
      </c>
      <c r="G6" s="220" t="str">
        <f ca="1">SETUP!$J$5</f>
        <v>NA</v>
      </c>
      <c r="H6" s="220" t="str">
        <f>SETUP!$E$9</f>
        <v>C19RM</v>
      </c>
      <c r="I6" s="232">
        <f t="shared" ref="I6" si="3">IMP_ST_DATE</f>
        <v>44197</v>
      </c>
      <c r="J6" s="232">
        <f>SETUP!$L$14</f>
        <v>46022</v>
      </c>
      <c r="K6" s="220">
        <f>IFERROR(VLOOKUP(E6,'Master Data-C19RM'!$A$5:$B$35,2,0),0)</f>
        <v>0</v>
      </c>
      <c r="L6">
        <f t="shared" ref="L6" si="4">GRAN_NO</f>
        <v>0</v>
      </c>
      <c r="M6">
        <f>SETUP!$E$7</f>
        <v>0</v>
      </c>
      <c r="N6">
        <f>SETUP!$F$76</f>
        <v>6.1</v>
      </c>
      <c r="O6" t="str" cm="1">
        <f t="array" ref="O6">INDEX(SETUP!$E$19:$E$503,(MATCH(1,(SETUP!$B$19:$B$503=B6)*(SETUP!$D$19:$D$503=D6),0)))</f>
        <v>PR/SR</v>
      </c>
      <c r="P6" t="str" cm="1">
        <f t="array" ref="P6">INDEX(SETUP!$F$19:$F$503,(MATCH(1,(SETUP!$B$19:$B$503=B6)*(SETUP!$D$19:$D$503=D6),0)))</f>
        <v>At delivery</v>
      </c>
      <c r="Q6" cm="1">
        <f t="array" ref="Q6">INDEX(SETUP!$G$19:$G$503,(MATCH(1,(SETUP!$B$19:$B$503=B6)*(SETUP!$D$19:$D$503=D6),0)))</f>
        <v>1</v>
      </c>
      <c r="R6" s="359" cm="1">
        <f t="array" ref="R6">IF((INDEX(SETUP!$F$19:$F$503,(MATCH(1,(SETUP!$B$19:$B$503=B6)*(SETUP!$D$19:$D$503=D6),0))))="Upfront",(SUMPRODUCT(('C19RM 2021-Pharma'!$A$14:$D$113=E6)*('C19RM 2021-Pharma'!$BO$14:$BO$113)*(('C19RM 2021-Pharma'!$Q$14:$Q$113)))),0)</f>
        <v>0</v>
      </c>
      <c r="S6" s="359" cm="1">
        <f t="array" ref="S6">IF((INDEX(SETUP!$F$19:$F$503,(MATCH(1,(SETUP!$B$19:$B$503=B6)*(SETUP!$D$19:$D$503=D6),0))))="Upfront",(SUMPRODUCT(('C19RM 2021-Pharma'!$A$14:$D$113=E6)*('C19RM 2021-Pharma'!$BO$14:$BO$113)*(('C19RM 2021-Pharma'!$R$14:$R$113)))),(IF((INDEX(SETUP!$F$19:$F$503,(MATCH(1,(SETUP!$B$19:$B$503=B6)*(SETUP!$D$19:$D$503=D6),0))))="At delivery",IF((INDEX(SETUP!$G$19:$G$503,(MATCH(1,(SETUP!$B$19:$B$503=B6)*(SETUP!$D$19:$D$503=D6),0))))=1,(SUMPRODUCT(('C19RM 2021-Pharma'!$A$14:$D$113=E6)*('C19RM 2021-Pharma'!$BO$14:$BO$113)*(('C19RM 2021-Pharma'!$Q$14:$Q$113)))),0),0)))</f>
        <v>0</v>
      </c>
      <c r="T6" s="359" cm="1">
        <f t="array" ref="T6">IF((INDEX(SETUP!$F$19:$F$503,(MATCH(1,(SETUP!$B$19:$B$503=B6)*(SETUP!$D$19:$D$503=D6),0))))="Upfront",(SUMPRODUCT(('C19RM 2021-Pharma'!$A$14:$D$113=E6)*('C19RM 2021-Pharma'!$BO$14:$BO$113)*(('C19RM 2021-Pharma'!$S$14:$S$113)))),(IF((INDEX(SETUP!$F$19:$F$503,(MATCH(1,(SETUP!$B$19:$B$503=B6)*(SETUP!$D$19:$D$503=D6),0))))="At delivery",IF((INDEX(SETUP!$G$19:$G$503,(MATCH(1,(SETUP!$B$19:$B$503=B6)*(SETUP!$D$19:$D$503=D6),0))))=2,(SUMPRODUCT(('C19RM 2021-Pharma'!$A$14:$D$113=E6)*('C19RM 2021-Pharma'!$BO$14:$BO$113)*(('C19RM 2021-Pharma'!$Q$14:$Q$113)))),IF((INDEX(SETUP!$G$19:$G$503,(MATCH(1,(SETUP!$B$19:$B$503=B6)*(SETUP!$D$19:$D$503=D6),0))))=1,(SUMPRODUCT(('C19RM 2021-Pharma'!$A$14:$D$113=E6)*('C19RM 2021-Pharma'!$BO$14:$BO$113)*(('C19RM 2021-Pharma'!$R$14:$R$113)))),0)),0)))</f>
        <v>0</v>
      </c>
      <c r="U6" s="359" cm="1">
        <f t="array" ref="U6">IF((INDEX(SETUP!$F$19:$F$503,(MATCH(1,(SETUP!$B$19:$B$503=B6)*(SETUP!$D$19:$D$503=D6),0))))="Upfront",(SUMPRODUCT(('C19RM 2021-Pharma'!$A$14:$D$113=E6)*('C19RM 2021-Pharma'!$BO$14:$BO$113)*(('C19RM 2021-Pharma'!$T$14:$T$113)))),(IF((INDEX(SETUP!$F$19:$F$503,(MATCH(1,(SETUP!$B$19:$B$503=B6)*(SETUP!$D$19:$D$503=D6),0))))="At delivery",IF((INDEX(SETUP!$G$19:$G$503,(MATCH(1,(SETUP!$B$19:$B$503=B6)*(SETUP!$D$19:$D$503=D6),0))))=3,(SUMPRODUCT(('C19RM 2021-Pharma'!$A$14:$D$113=E6)*('C19RM 2021-Pharma'!$BO$14:$BO$113)*(('C19RM 2021-Pharma'!$Q$14:$Q$113)))),IF((INDEX(SETUP!$G$19:$G$503,(MATCH(1,(SETUP!$B$19:$B$503=B6)*(SETUP!$D$19:$D$503=D6),0))))=2,(SUMPRODUCT(('C19RM 2021-Pharma'!$A$14:$D$113=E6)*('C19RM 2021-Pharma'!$BO$14:$BO$113)*(('C19RM 2021-Pharma'!$R$14:$R$113)))),IF((INDEX(SETUP!$G$19:$G$503,(MATCH(1,(SETUP!$B$19:$B$503=B6)*(SETUP!$D$19:$D$503=D6),0))))=1,(SUMPRODUCT(('C19RM 2021-Pharma'!$A$14:$D$113=E6)*('C19RM 2021-Pharma'!$BO$14:$BO$113)*(('C19RM 2021-Pharma'!$S$14:$S$113)))),0))),0)))</f>
        <v>0</v>
      </c>
      <c r="V6" s="359" cm="1">
        <f t="array" ref="V6">IF((INDEX(SETUP!$F$19:$F$503,(MATCH(1,(SETUP!$B$19:$B$503=B6)*(SETUP!$D$19:$D$503=D6),0))))="Upfront",(SUMPRODUCT(('C19RM 2021-Pharma'!$A$14:$D$113=E6)*('C19RM 2021-Pharma'!$BP$14:$BP$113)*(('C19RM 2021-Pharma'!$X$14:$X$113)))),(IF((INDEX(SETUP!$F$19:$F$503,(MATCH(1,(SETUP!$B$19:$B$503=B6)*(SETUP!$D$19:$D$503=D6),0))))="At delivery",IF((INDEX(SETUP!$G$19:$G$503,(MATCH(1,(SETUP!$B$19:$B$503=B6)*(SETUP!$D$19:$D$503=D6),0))))=4,(SUMPRODUCT(('C19RM 2021-Pharma'!$A$14:$D$113=E6)*('C19RM 2021-Pharma'!$BO$14:$BO$113)*(('C19RM 2021-Pharma'!$Q$14:$Q$113)))),IF((INDEX(SETUP!$G$19:$G$503,(MATCH(1,(SETUP!$B$19:$B$503=B6)*(SETUP!$D$19:$D$503=D6),0))))=3,(SUMPRODUCT(('C19RM 2021-Pharma'!$A$14:$D$113=E6)*('C19RM 2021-Pharma'!$BO$14:$BO$113)*(('C19RM 2021-Pharma'!$R$14:$R$113)))),IF((INDEX(SETUP!$G$19:$G$503,(MATCH(1,(SETUP!$B$19:$B$503=B6)*(SETUP!$D$19:$D$503=D6),0))))=2,(SUMPRODUCT(('C19RM 2021-Pharma'!$A$14:$D$113=E6)*('C19RM 2021-Pharma'!$BO$14:$BO$113)*(('C19RM 2021-Pharma'!$S$14:$S$113)))),IF((INDEX(SETUP!$G$19:$G$503,(MATCH(1,(SETUP!$B$19:$B$503=B6)*(SETUP!$D$19:$D$503=D6),0))))=1,(SUMPRODUCT(('C19RM 2021-Pharma'!$A$14:$D$113=E6)*('C19RM 2021-Pharma'!$BO$14:$BO$113)*(('C19RM 2021-Pharma'!$T$14:$T$113)))),0)))),0)))</f>
        <v>0</v>
      </c>
      <c r="W6" s="359" cm="1">
        <f t="array" ref="W6">IF((INDEX(SETUP!$F$19:$F$503,(MATCH(1,(SETUP!$B$19:$B$503=B6)*(SETUP!$D$19:$D$503=D6),0))))="Upfront",(SUMPRODUCT(('C19RM 2021-Pharma'!$A$14:$D$113=E6)*('C19RM 2021-Pharma'!$BP$14:$BP$113)*(('C19RM 2021-Pharma'!$Y$14:$Y$113)))),(IF((INDEX(SETUP!$F$19:$F$503,(MATCH(1,(SETUP!$B$19:$B$503=B6)*(SETUP!$D$19:$D$503=D6),0))))="At delivery",IF((INDEX(SETUP!$G$19:$G$503,(MATCH(1,(SETUP!$B$19:$B$503=B6)*(SETUP!$D$19:$D$503=D6),0))))=4,(SUMPRODUCT(('C19RM 2021-Pharma'!$A$14:$D$113=E6)*('C19RM 2021-Pharma'!$BO$14:$BO$113)*(('C19RM 2021-Pharma'!$R$14:$R$113)))),IF((INDEX(SETUP!$G$19:$G$503,(MATCH(1,(SETUP!$B$19:$B$503=B6)*(SETUP!$D$19:$D$503=D6),0))))=3,(SUMPRODUCT(('C19RM 2021-Pharma'!$A$14:$D$113=E6)*('C19RM 2021-Pharma'!$BO$14:$BO$113)*(('C19RM 2021-Pharma'!$S$14:$S$113)))),IF((INDEX(SETUP!$G$19:$G$503,(MATCH(1,(SETUP!$B$19:$B$503=B6)*(SETUP!$D$19:$D$503=D6),0))))=2,((SUMPRODUCT(('C19RM 2021-Pharma'!$A$14:$D$113=E6)*('C19RM 2021-Pharma'!$BO$14:$BO$113)*(('C19RM 2021-Pharma'!$T$14:$T$113))))),IF((INDEX(SETUP!$G$19:$G$503,(MATCH(1,(SETUP!$B$19:$B$503=B6)*(SETUP!$D$19:$D$503=D6),0))))=1,(SUMPRODUCT(('C19RM 2021-Pharma'!$A$14:$D$113=E6)*('C19RM 2021-Pharma'!$BP$14:$BP$113)*(('C19RM 2021-Pharma'!$X$14:$X$113)))),0)))),0)))</f>
        <v>0</v>
      </c>
      <c r="X6" s="359" cm="1">
        <f t="array" ref="X6">IF((INDEX(SETUP!$F$19:$F$503,(MATCH(1,(SETUP!$B$19:$B$503=B6)*(SETUP!$D$19:$D$503=D6),0))))="Upfront",(SUMPRODUCT(('C19RM 2021-Pharma'!$A$14:$D$113=E6)*('C19RM 2021-Pharma'!$BP$14:$BP$113)*(('C19RM 2021-Pharma'!$Z$14:$Z$113)))),(IF((INDEX(SETUP!$F$19:$F$503,(MATCH(1,(SETUP!$B$19:$B$503=B6)*(SETUP!$D$19:$D$503=D6),0))))="At delivery",IF((INDEX(SETUP!$G$19:$G$503,(MATCH(1,(SETUP!$B$19:$B$503=B6)*(SETUP!$D$19:$D$503=D6),0))))=4,(SUMPRODUCT(('C19RM 2021-Pharma'!$A$14:$D$113=E6)*('C19RM 2021-Pharma'!$BO$14:$BO$113)*(('C19RM 2021-Pharma'!$S$14:$S$113)))),IF((INDEX(SETUP!$G$19:$G$503,(MATCH(1,(SETUP!$B$19:$B$503=B6)*(SETUP!$D$19:$D$503=D6),0))))=3,((SUMPRODUCT(('C19RM 2021-Pharma'!$A$14:$D$113=E6)*('C19RM 2021-Pharma'!$BO$14:$BO$113)*(('C19RM 2021-Pharma'!$T$14:$T$113))))),IF((INDEX(SETUP!$G$19:$G$503,(MATCH(1,(SETUP!$B$19:$B$503=B6)*(SETUP!$D$19:$D$503=D6),0))))=2,(SUMPRODUCT(('C19RM 2021-Pharma'!$A$14:$D$113=E6)*('C19RM 2021-Pharma'!$BP$14:$BP$113)*(('C19RM 2021-Pharma'!$X$14:$X$113)))),IF((INDEX(SETUP!$G$19:$G$503,(MATCH(1,(SETUP!$B$19:$B$503=B6)*(SETUP!$D$19:$D$503=D6),0))))=1,(SUMPRODUCT(('C19RM 2021-Pharma'!$A$14:$D$113=E6)*('C19RM 2021-Pharma'!$BP$14:$BP$113)*(('C19RM 2021-Pharma'!$Y$14:$Y$113)))),0)))),0)))</f>
        <v>0</v>
      </c>
      <c r="Y6" s="359" cm="1">
        <f t="array" ref="Y6">IF((INDEX(SETUP!$F$19:$F$503,(MATCH(1,(SETUP!$B$19:$B$503=B6)*(SETUP!$D$19:$D$503=D6),0))))="Upfront",
(SUMPRODUCT(('C19RM 2021-Pharma'!$A$14:$D$113=E6)*('C19RM 2021-Pharma'!$BP$14:$BP$113)*(('C19RM 2021-Pharma'!$AA$14:$AA$113)))),
(IF((INDEX(SETUP!$F$19:$F$503,(MATCH(1,(SETUP!$B$19:$B$503=B6)*(SETUP!$D$19:$D$503=D6),0))))="At delivery",
IF((INDEX(SETUP!$G$19:$G$503,(MATCH(1,(SETUP!$B$19:$B$503=B6)*(SETUP!$D$19:$D$503=D6),0))))=4,
((SUMPRODUCT(('C19RM 2021-Pharma'!$A$14:$D$113=E6)*('C19RM 2021-Pharma'!$BO$14:$BO$113)*(('C19RM 2021-Pharma'!$T$14:$T$113))))),IF((INDEX(SETUP!$G$19:$G$503,(MATCH(1,(SETUP!$B$19:$B$503=B6)*(SETUP!$D$19:$D$503=D6),0))))=3,(SUMPRODUCT(('C19RM 2021-Pharma'!$A$14:$D$113=E6)*('C19RM 2021-Pharma'!$BP$14:$BP$113)*(('C19RM 2021-Pharma'!$X$14:$X$113)))),IF((INDEX(SETUP!$G$19:$G$503,(MATCH(1,(SETUP!$B$19:$B$503=B6)*(SETUP!$D$19:$D$503=D6),0))))=2,(SUMPRODUCT(('C19RM 2021-Pharma'!$A$14:$D$113=E6)*('C19RM 2021-Pharma'!$BP$14:$BP$113)*(('C19RM 2021-Pharma'!$Y$14:$Y$113)))),IF((INDEX(SETUP!$G$19:$G$503,(MATCH(1,(SETUP!$B$19:$B$503=B6)*(SETUP!$D$19:$D$503=D6),0))))=1,(SUMPRODUCT(('C19RM 2021-Pharma'!$A$14:$D$113=E6)*('C19RM 2021-Pharma'!$BP$14:$BP$113)*(('C19RM 2021-Pharma'!$Z$14:$Z$113)))),0)))),0)))</f>
        <v>0</v>
      </c>
      <c r="Z6" s="359" cm="1">
        <f t="array" ref="Z6">IF((INDEX(SETUP!$F$19:$F$503,(MATCH(1,(SETUP!$B$19:$B$503=B6)*(SETUP!$D$19:$D$503=D6),0))))="Upfront",
(SUMPRODUCT(('C19RM 2021-Pharma'!$A$14:$D$113=E6)*('C19RM 2021-Pharma'!$BQ$14:$BQ$113)*(('C19RM 2021-Pharma'!$AE$14:$AE$113)))),
(IF((INDEX(SETUP!$F$19:$F$503,(MATCH(1,(SETUP!$B$19:$B$503=B6)*(SETUP!$D$19:$D$503=D6),0))))="At delivery",
IF((INDEX(SETUP!$G$19:$G$503,(MATCH(1,(SETUP!$B$19:$B$503=B6)*(SETUP!$D$19:$D$503=D6),0))))=4,
(SUMPRODUCT(('C19RM 2021-Pharma'!$A$14:$D$113=E6)*('C19RM 2021-Pharma'!$BP$14:$BP$113)*(('C19RM 2021-Pharma'!$X$14:$X$113)))),IF((INDEX(SETUP!$G$19:$G$503,(MATCH(1,(SETUP!$B$19:$B$503=B6)*(SETUP!$D$19:$D$503=D6),0))))=3,(SUMPRODUCT(('C19RM 2021-Pharma'!$A$14:$D$113=E6)*('C19RM 2021-Pharma'!$BP$14:$BP$113)*(('C19RM 2021-Pharma'!$Y$14:$Y$113)))),IF((INDEX(SETUP!$G$19:$G$503,(MATCH(1,(SETUP!$B$19:$B$503=B6)*(SETUP!$D$19:$D$503=D6),0))))=2,(SUMPRODUCT(('C19RM 2021-Pharma'!$A$14:$D$113=E6)*('C19RM 2021-Pharma'!$BP$14:$BP$113)*(('C19RM 2021-Pharma'!$Z$14:$Z$113)))),IF((INDEX(SETUP!$G$19:$G$503,(MATCH(1,(SETUP!$B$19:$B$503=B6)*(SETUP!$D$19:$D$503=D6),0))))=1,(SUMPRODUCT(('C19RM 2021-Pharma'!$A$14:$D$113=E6)*('C19RM 2021-Pharma'!$BP$14:$BP$113)*(('C19RM 2021-Pharma'!$AA$14:$AA$113)))),0)))),0)))</f>
        <v>0</v>
      </c>
      <c r="AA6" s="359" cm="1">
        <f t="array" ref="AA6">IF((INDEX(SETUP!$F$19:$F$503,(MATCH(1,(SETUP!$B$19:$B$503=B6)*(SETUP!$D$19:$D$503=D6),0))))="Upfront",(SUMPRODUCT(('C19RM 2021-Pharma'!$A$14:$D$113=E6)*('C19RM 2021-Pharma'!$BQ$14:$BQ$113)*(('C19RM 2021-Pharma'!$AF$14:$AF$113)))),(IF((INDEX(SETUP!$F$19:$F$503,(MATCH(1,(SETUP!$B$19:$B$503=B6)*(SETUP!$D$19:$D$503=D6),0))))="At delivery",IF((INDEX(SETUP!$G$19:$G$503,(MATCH(1,(SETUP!$B$19:$B$503=B6)*(SETUP!$D$19:$D$503=D6),0))))=4,(SUMPRODUCT(('C19RM 2021-Pharma'!$A$14:$D$113=E6)*('C19RM 2021-Pharma'!$BP$14:$BP$113)*(('C19RM 2021-Pharma'!$Y$14:$Y$113)))),IF((INDEX(SETUP!$G$19:$G$503,(MATCH(1,(SETUP!$B$19:$B$503=B6)*(SETUP!$D$19:$D$503=D6),0))))=3,(SUMPRODUCT(('C19RM 2021-Pharma'!$A$14:$D$113=E6)*('C19RM 2021-Pharma'!$BP$14:$BP$113)*(('C19RM 2021-Pharma'!$Z$14:$Z$113)))),IF((INDEX(SETUP!$G$19:$G$503,(MATCH(1,(SETUP!$B$19:$B$503=B6)*(SETUP!$D$19:$D$503=D6),0))))=2,
(SUMPRODUCT(('C19RM 2021-Pharma'!$A$14:$D$113=E6)*('C19RM 2021-Pharma'!$BP$14:$BP$113)*(('C19RM 2021-Pharma'!$AA$14:$AA$113)))),
IF((INDEX(SETUP!$G$19:$G$503,(MATCH(1,(SETUP!$B$19:$B$503=B6)*(SETUP!$D$19:$D$503=D6),0))))=1,
(SUMPRODUCT(('C19RM 2021-Pharma'!$A$14:$D$113=E6)*('C19RM 2021-Pharma'!$BQ$14:$BQ$113)*(('C19RM 2021-Pharma'!$AE$14:$AE$113)))),0)))),0)))</f>
        <v>0</v>
      </c>
      <c r="AB6" s="359" cm="1">
        <f t="array" ref="AB6">IF((INDEX(SETUP!$F$19:$F$503,(MATCH(1,(SETUP!$B$19:$B$503=B6)*(SETUP!$D$19:$D$503=D6),0))))="Upfront",
(SUMPRODUCT(('C19RM 2021-Pharma'!$A$14:$D$113=E6)*('C19RM 2021-Pharma'!$BQ$14:$BQ$113)*(('C19RM 2021-Pharma'!$AG$14:$AG$113)))),
(IF((INDEX(SETUP!$F$19:$F$503,(MATCH(1,(SETUP!$B$19:$B$503=B6)*(SETUP!$D$19:$D$503=D6),0))))="At delivery",
IF((INDEX(SETUP!$G$19:$G$503,(MATCH(1,(SETUP!$B$19:$B$503=B6)*(SETUP!$D$19:$D$503=D6),0))))=4,
(SUMPRODUCT(('C19RM 2021-Pharma'!$A$14:$D$113=E6)*('C19RM 2021-Pharma'!$BP$14:$BP$113)*(('C19RM 2021-Pharma'!$Z$14:$Z$113)))),IF((INDEX(SETUP!$G$19:$G$503,(MATCH(1,(SETUP!$B$19:$B$503=B6)*(SETUP!$D$19:$D$503=D6),0))))=3,(SUMPRODUCT(('C19RM 2021-Pharma'!$A$14:$D$113=E6)*('C19RM 2021-Pharma'!$BP$14:$BP$113)*(('C19RM 2021-Pharma'!$AA$14:$AA$113)))),IF((INDEX(SETUP!$G$19:$G$503,(MATCH(1,(SETUP!$B$19:$B$503=B6)*(SETUP!$D$19:$D$503=D6),0))))=2,(SUMPRODUCT(('C19RM 2021-Pharma'!$A$14:$D$113=E6)*('C19RM 2021-Pharma'!$BQ$14:$BQ$113)*(('C19RM 2021-Pharma'!$AE$14:$AE$113)))),IF((INDEX(SETUP!$G$19:$G$503,(MATCH(1,(SETUP!$B$19:$B$503=B6)*(SETUP!$D$19:$D$503=D6),0))))=1,(SUMPRODUCT(('C19RM 2021-Pharma'!$A$14:$D$113=E6)*('C19RM 2021-Pharma'!$BQ$14:$BQ$113)*(('C19RM 2021-Pharma'!$AF$14:$AF$113)))),0)))),0)))</f>
        <v>0</v>
      </c>
      <c r="AC6" s="359" cm="1">
        <f t="array" ref="AC6">IF((INDEX(SETUP!$F$19:$F$503,(MATCH(1,(SETUP!$B$19:$B$503=B6)*(SETUP!$D$19:$D$503=D6),0))))="Upfront",
(SUMPRODUCT(('C19RM 2021-Pharma'!$A$14:$D$113=E6)*('C19RM 2021-Pharma'!$BQ$14:$BQ$113)*(('C19RM 2021-Pharma'!$AH$14:$AH$113)))),
(IF((INDEX(SETUP!$F$19:$F$503,(MATCH(1,(SETUP!$B$19:$B$503=B6)*(SETUP!$D$19:$D$503=D6),0))))="At delivery",
IF((INDEX(SETUP!$G$19:$G$503,(MATCH(1,(SETUP!$B$19:$B$503=B6)*(SETUP!$D$19:$D$503=D6),0))))=4,
(SUMPRODUCT(('C19RM 2021-Pharma'!$A$14:$D$113=E6)*('C19RM 2021-Pharma'!$BP$14:$BP$113)*(('C19RM 2021-Pharma'!$AA$14:$AA$113)))),IF((INDEX(SETUP!$G$19:$G$503,(MATCH(1,(SETUP!$B$19:$B$503=B6)*(SETUP!$D$19:$D$503=D6),0))))=3,(SUMPRODUCT(('C19RM 2021-Pharma'!$A$14:$D$113=E6)*('C19RM 2021-Pharma'!$BQ$14:$BQ$113)*(('C19RM 2021-Pharma'!$AE$14:$AE$113)))),IF((INDEX(SETUP!$G$19:$G$503,(MATCH(1,(SETUP!$B$19:$B$503=B6)*(SETUP!$D$19:$D$503=D6),0))))=2,(SUMPRODUCT(('C19RM 2021-Pharma'!$A$14:$D$113=E6)*('C19RM 2021-Pharma'!$BQ$14:$BQ$113)*(('C19RM 2021-Pharma'!$AF$14:$AF$113)))),IF((INDEX(SETUP!$G$19:$G$503,(MATCH(1,(SETUP!$B$19:$B$503=B6)*(SETUP!$D$19:$D$503=D6),0))))=1,(SUMPRODUCT(('C19RM 2021-Pharma'!$A$14:$D$113=E6)*('C19RM 2021-Pharma'!$BQ$14:$BQ$113)*(('C19RM 2021-Pharma'!$AG$14:$AG$113)))),0)))),0)))</f>
        <v>0</v>
      </c>
      <c r="AD6" s="359" cm="1">
        <f t="array" ref="AD6">IF((INDEX(SETUP!$F$19:$F$503,(MATCH(1,(SETUP!$B$19:$B$503=B6)*(SETUP!$D$19:$D$503=D6),0))))="Upfront",
(SUMPRODUCT(('C19RM 2021-Pharma'!$A$14:$D$113=E6)*('C19RM 2021-Pharma'!$BR$14:$BR$113)*(('C19RM 2021-Pharma'!$AL$14:$AL$113)))),
(IF((INDEX(SETUP!$F$19:$F$503,(MATCH(1,(SETUP!$B$19:$B$503=B6)*(SETUP!$D$19:$D$503=D6),0))))="At delivery",
IF((INDEX(SETUP!$G$19:$G$503,(MATCH(1,(SETUP!$B$19:$B$503=B6)*(SETUP!$D$19:$D$503=D6),0))))=4,
(SUMPRODUCT(('C19RM 2021-Pharma'!$A$14:$D$113=E6)*('C19RM 2021-Pharma'!$BQ$14:$BQ$113)*(('C19RM 2021-Pharma'!$AE$14:$AE$113)))),IF((INDEX(SETUP!$G$19:$G$503,(MATCH(1,(SETUP!$B$19:$B$503=B6)*(SETUP!$D$19:$D$503=D6),0))))=3,((SUMPRODUCT(('C19RM 2021-Pharma'!$A$14:$D$113=E6)*('C19RM 2021-Pharma'!$BQ$14:$BQ$113)*(('C19RM 2021-Pharma'!$AF$14:$AF$113))))),IF((INDEX(SETUP!$G$19:$G$503,(MATCH(1,(SETUP!$B$19:$B$503=B6)*(SETUP!$D$19:$D$503=D6),0))))=2,(SUMPRODUCT(('C19RM 2021-Pharma'!$A$14:$D$113=E6)*('C19RM 2021-Pharma'!$BQ$14:$BQ$113)*(('C19RM 2021-Pharma'!$AG$14:$AG$113)))),IF((INDEX(SETUP!$G$19:$G$503,(MATCH(1,(SETUP!$B$19:$B$503=B6)*(SETUP!$D$19:$D$503=D6),0))))=1,(SUMPRODUCT(('C19RM 2021-Pharma'!$A$14:$D$113=E6)*('C19RM 2021-Pharma'!$BQ$14:$BQ$113)*(('C19RM 2021-Pharma'!$AH$14:$AH$113)))),0)))),0)))</f>
        <v>0</v>
      </c>
      <c r="AE6" s="359" cm="1">
        <f t="array" ref="AE6">IF((INDEX(SETUP!$F$19:$F$503,(MATCH(1,(SETUP!$B$19:$B$503=B6)*(SETUP!$D$19:$D$503=D6),0))))="Upfront",
(SUMPRODUCT(('C19RM 2021-Pharma'!$A$14:$D$113=E6)*('C19RM 2021-Pharma'!$BR$14:$BR$113)*(('C19RM 2021-Pharma'!$AM$14:$AM$113)))),
(IF((INDEX(SETUP!$F$19:$F$503,(MATCH(1,(SETUP!$B$19:$B$503=B6)*(SETUP!$D$19:$D$503=D6),0))))="At delivery",
IF((INDEX(SETUP!$G$19:$G$503,(MATCH(1,(SETUP!$B$19:$B$503=B6)*(SETUP!$D$19:$D$503=D6),0))))=4,
(SUMPRODUCT(('C19RM 2021-Pharma'!$A$14:$D$113=E6)*('C19RM 2021-Pharma'!$BQ$14:$BQ$113)*(('C19RM 2021-Pharma'!$AF$14:$AF$113)))),IF((INDEX(SETUP!$G$19:$G$503,(MATCH(1,(SETUP!$B$19:$B$503=B6)*(SETUP!$D$19:$D$503=D6),0))))=3,(SUMPRODUCT(('C19RM 2021-Pharma'!$A$14:$D$113=E6)*('C19RM 2021-Pharma'!$BQ$14:$BQ$113)*(('C19RM 2021-Pharma'!$AG$14:$AG$113)))),IF((INDEX(SETUP!$G$19:$G$503,(MATCH(1,(SETUP!$B$19:$B$503=B6)*(SETUP!$D$19:$D$503=D6),0))))=2,(SUMPRODUCT(('C19RM 2021-Pharma'!$A$14:$D$113=E6)*('C19RM 2021-Pharma'!$BQ$14:$BQ$113)*(('C19RM 2021-Pharma'!$AH$14:$AH$113)))),IF((INDEX(SETUP!$G$19:$G$503,(MATCH(1,(SETUP!$B$19:$B$503=B6)*(SETUP!$D$19:$D$503=D6),0))))=1,(SUMPRODUCT(('C19RM 2021-Pharma'!$A$14:$D$113=E6)*('C19RM 2021-Pharma'!$BR$14:$BR$113)*(('C19RM 2021-Pharma'!$AL$14:$AL$113)))),0)))),0)))</f>
        <v>0</v>
      </c>
      <c r="AF6" s="359" cm="1">
        <f t="array" ref="AF6">IF((INDEX(SETUP!$F$19:$F$503,(MATCH(1,(SETUP!$B$19:$B$503=B6)*(SETUP!$D$19:$D$503=D6),0))))="Upfront",
(SUMPRODUCT(('C19RM 2021-Pharma'!$A$14:$D$113=E6)*('C19RM 2021-Pharma'!$BR$14:$BR$113)*(('C19RM 2021-Pharma'!$AN$14:$AN$113)))),
(IF((INDEX(SETUP!$F$19:$F$503,(MATCH(1,(SETUP!$B$19:$B$503=B6)*(SETUP!$D$19:$D$503=D6),0))))="At delivery",
IF((INDEX(SETUP!$G$19:$G$503,(MATCH(1,(SETUP!$B$19:$B$503=B6)*(SETUP!$D$19:$D$503=D6),0))))=4,
(SUMPRODUCT(('C19RM 2021-Pharma'!$A$14:$D$113=E6)*('C19RM 2021-Pharma'!$BQ$14:$BQ$113)*(('C19RM 2021-Pharma'!$AG$14:$AG$113)))),IF((INDEX(SETUP!$G$19:$G$503,(MATCH(1,(SETUP!$B$19:$B$503=B6)*(SETUP!$D$19:$D$503=D6),0))))=3,(SUMPRODUCT(('C19RM 2021-Pharma'!$A$14:$D$113=E6)*('C19RM 2021-Pharma'!$BQ$14:$BQ$113)*(('C19RM 2021-Pharma'!$AH$14:$AH$113)))),IF((INDEX(SETUP!$G$19:$G$503,(MATCH(1,(SETUP!$B$19:$B$503=B6)*(SETUP!$D$19:$D$503=D6),0))))=2,(SUMPRODUCT(('C19RM 2021-Pharma'!$A$14:$D$113=E6)*('C19RM 2021-Pharma'!$BR$14:$BR$113)*(('C19RM 2021-Pharma'!$AL$14:$AL$113)))),IF((INDEX(SETUP!$G$19:$G$503,(MATCH(1,(SETUP!$B$19:$B$503=B6)*(SETUP!$D$19:$D$503=D6),0))))=1,(SUMPRODUCT(('C19RM 2021-Pharma'!$A$14:$D$113=E6)*('C19RM 2021-Pharma'!$BR$14:$BR$113)*(('C19RM 2021-Pharma'!$AM$14:$AM$113)))),0)))),0)))</f>
        <v>0</v>
      </c>
      <c r="AG6" s="359" cm="1">
        <f t="array" ref="AG6">IF((INDEX(SETUP!$F$19:$F$503,(MATCH(1,(SETUP!$B$19:$B$503=B6)*(SETUP!$D$19:$D$503=D6),0))))="Upfront",(SUMPRODUCT(('C19RM 2021-Pharma'!$A$14:$D$113=E6)*('C19RM 2021-Pharma'!$BR$14:$BR$113)*(('C19RM 2021-Pharma'!$AO$14:$AO$113)))),(IF((INDEX(SETUP!$F$19:$F$503,(MATCH(1,(SETUP!$B$19:$B$503=B6)*(SETUP!$D$19:$D$503=D6),0))))="At delivery",IF((INDEX(SETUP!$G$19:$G$503,(MATCH(1,(SETUP!$B$19:$B$503=B6)*(SETUP!$D$19:$D$503=D6),0))))=4,(SUMPRODUCT(('C19RM 2021-Pharma'!$A$14:$D$113=E6)*('C19RM 2021-Pharma'!$BQ$14:$BQ$113)*(('C19RM 2021-Pharma'!$AH$14:$AH$113)))),IF((INDEX(SETUP!$G$19:$G$503,(MATCH(1,(SETUP!$B$19:$B$503=B6)*(SETUP!$D$19:$D$503=D6),0))))=3,(SUMPRODUCT(('C19RM 2021-Pharma'!$A$14:$D$113=E6)*('C19RM 2021-Pharma'!$BR$14:$BR$113)*(('C19RM 2021-Pharma'!$AL$14:$AL$113)))),IF((INDEX(SETUP!$G$19:$G$503,(MATCH(1,(SETUP!$B$19:$B$503=B6)*(SETUP!$D$19:$D$503=D6),0))))=2,(SUMPRODUCT(('C19RM 2021-Pharma'!$A$14:$D$113=E6)*('C19RM 2021-Pharma'!$BR$14:$BR$113)*(('C19RM 2021-Pharma'!$AM$14:$AM$113)))),IF((INDEX(SETUP!$G$19:$G$503,(MATCH(1,(SETUP!$B$19:$B$503=B6)*(SETUP!$D$19:$D$503=D6),0))))=1,(SUMPRODUCT(('C19RM 2021-Pharma'!$A$14:$D$113=E6)*('C19RM 2021-Pharma'!$BR$14:$BR$113)*(('C19RM 2021-Pharma'!$AN$14:$AN$113)))),0)))),0)))</f>
        <v>0</v>
      </c>
      <c r="AH6" s="359" cm="1">
        <f t="array" ref="AH6">IF((INDEX(SETUP!$F$19:$F$503,(MATCH(1,(SETUP!$B$19:$B$503=B6)*(SETUP!$D$19:$D$503=D6),0))))="Upfront",
(SUMPRODUCT(('C19RM 2021-Pharma'!$A$14:$D$113=E6)*('C19RM 2021-Pharma'!$BS$14:$BS$113)*(('C19RM 2021-Pharma'!$AS$14:$AS$113)))),
(IF((INDEX(SETUP!$F$19:$F$503,(MATCH(1,(SETUP!$B$19:$B$503=B6)*(SETUP!$D$19:$D$503=D6),0))))="At delivery",
IF((INDEX(SETUP!$G$19:$G$503,(MATCH(1,(SETUP!$B$19:$B$503=B6)*(SETUP!$D$19:$D$503=D6),0))))=4,
(SUMPRODUCT(('C19RM 2021-Pharma'!$A$14:$D$113=E6)*('C19RM 2021-Pharma'!$BR$14:$BR$113)*(('C19RM 2021-Pharma'!$AL$14:$AL$113)))),IF((INDEX(SETUP!$G$19:$G$503,(MATCH(1,(SETUP!$B$19:$B$503=B6)*(SETUP!$D$19:$D$503=D6),0))))=3,((SUMPRODUCT(('C19RM 2021-Pharma'!$A$14:$D$113=E6)*('C19RM 2021-Pharma'!$BR$14:$BR$113)*(('C19RM 2021-Pharma'!$AM$14:$AM$113))))),IF((INDEX(SETUP!$G$19:$G$503,(MATCH(1,(SETUP!$B$19:$B$503=B6)*(SETUP!$D$19:$D$503=D6),0))))=2,(SUMPRODUCT(('C19RM 2021-Pharma'!$A$14:$D$113=E6)*('C19RM 2021-Pharma'!$BR$14:$BR$113)*(('C19RM 2021-Pharma'!$AN$14:$AN$113)))),IF((INDEX(SETUP!$G$19:$G$503,(MATCH(1,(SETUP!$B$19:$B$503=B6)*(SETUP!$D$19:$D$503=D6),0))))=1,(SUMPRODUCT(('C19RM 2021-Pharma'!$A$14:$D$113=E6)*('C19RM 2021-Pharma'!$BR$14:$BR$113)*(('C19RM 2021-Pharma'!$AO$14:$AO$113)))),0)))),0)))</f>
        <v>0</v>
      </c>
      <c r="AI6" s="359" cm="1">
        <f t="array" ref="AI6">IF((INDEX(SETUP!$F$19:$F$503,(MATCH(1,(SETUP!$B$19:$B$503=B6)*(SETUP!$D$19:$D$503=D6),0))))="Upfront",
(SUMPRODUCT(('C19RM 2021-Pharma'!$A$14:$D$113=E6)*('C19RM 2021-Pharma'!$BS$14:$BS$113)*(('C19RM 2021-Pharma'!$AT$14:$AT$113)))),
(IF((INDEX(SETUP!$F$19:$F$503,(MATCH(1,(SETUP!$B$19:$B$503=B6)*(SETUP!$D$19:$D$503=D6),0))))="At delivery",
IF((INDEX(SETUP!$G$19:$G$503,(MATCH(1,(SETUP!$B$19:$B$503=B6)*(SETUP!$D$19:$D$503=D6),0))))=4,
(SUMPRODUCT(('C19RM 2021-Pharma'!$A$14:$D$113=E6)*('C19RM 2021-Pharma'!$BR$14:$BR$113)*(('C19RM 2021-Pharma'!$AM$14:$AM$113)))),IF((INDEX(SETUP!$G$19:$G$503,(MATCH(1,(SETUP!$B$19:$B$503=B6)*(SETUP!$D$19:$D$503=D6),0))))=3,((SUMPRODUCT(('C19RM 2021-Pharma'!$A$14:$D$113=E6)*('C19RM 2021-Pharma'!$BR$14:$BR$113)*(('C19RM 2021-Pharma'!$AN$14:$AN$113))))),IF((INDEX(SETUP!$G$19:$G$503,(MATCH(1,(SETUP!$B$19:$B$503=B6)*(SETUP!$D$19:$D$503=D6),0))))=2,(SUMPRODUCT(('C19RM 2021-Pharma'!$A$14:$D$113=E6)*('C19RM 2021-Pharma'!$BR$14:$BR$113)*(('C19RM 2021-Pharma'!$AO$14:$AO$113)))),IF((INDEX(SETUP!$G$19:$G$503,(MATCH(1,(SETUP!$B$19:$B$503=B6)*(SETUP!$D$19:$D$503=D6),0))))=1,(SUMPRODUCT(('C19RM 2021-Pharma'!$A$14:$D$113=E6)*('C19RM 2021-Pharma'!$BS$14:$BS$113)*(('C19RM 2021-Pharma'!$AS$14:$AS$113)))),0)))),0)))</f>
        <v>0</v>
      </c>
      <c r="AJ6" s="359" cm="1">
        <f t="array" ref="AJ6">IF((INDEX(SETUP!$F$19:$F$503,(MATCH(1,(SETUP!$B$19:$B$503=B6)*(SETUP!$D$19:$D$503=D6),0))))="Upfront",
(SUMPRODUCT(('C19RM 2021-Pharma'!$A$14:$D$113=E6)*('C19RM 2021-Pharma'!$BS$14:$BS$113)*(('C19RM 2021-Pharma'!$AU$14:$AU$113)))),
(IF((INDEX(SETUP!$F$19:$F$503,(MATCH(1,(SETUP!$B$19:$B$503=B6)*(SETUP!$D$19:$D$503=D6),0))))="At delivery",
IF((INDEX(SETUP!$G$19:$G$503,(MATCH(1,(SETUP!$B$19:$B$503=B6)*(SETUP!$D$19:$D$503=D6),0))))=4,
(SUMPRODUCT(('C19RM 2021-Pharma'!$A$14:$D$113=E6)*('C19RM 2021-Pharma'!$BR$14:$BR$113)*(('C19RM 2021-Pharma'!$AN$14:$AN$113)))),IF((INDEX(SETUP!$G$19:$G$503,(MATCH(1,(SETUP!$B$19:$B$503=B6)*(SETUP!$D$19:$D$503=D6),0))))=3,((SUMPRODUCT(('C19RM 2021-Pharma'!$A$14:$D$113=E6)*('C19RM 2021-Pharma'!$BR$14:$BR$113)*(('C19RM 2021-Pharma'!$AO$14:$AO$113))))),IF((INDEX(SETUP!$G$19:$G$503,(MATCH(1,(SETUP!$B$19:$B$503=B6)*(SETUP!$D$19:$D$503=D6),0))))=2,(SUMPRODUCT(('C19RM 2021-Pharma'!$A$14:$D$113=E6)*('C19RM 2021-Pharma'!$BS$14:$BS$113)*(('C19RM 2021-Pharma'!$AS$14:$AS$113)))),IF((INDEX(SETUP!$G$19:$G$503,(MATCH(1,(SETUP!$B$19:$B$503=B6)*(SETUP!$D$19:$D$503=D6),0))))=1,(SUMPRODUCT(('C19RM 2021-Pharma'!$A$14:$D$113=E6)*('C19RM 2021-Pharma'!$BS$14:$BS$113)*(('C19RM 2021-Pharma'!$AT$14:$AT$113)))),0)))),0)))</f>
        <v>0</v>
      </c>
      <c r="AK6" s="359" cm="1">
        <f t="array" ref="AK6">IF((INDEX(SETUP!$F$19:$F$503,(MATCH(1,(SETUP!$B$19:$B$503=B6)*(SETUP!$D$19:$D$503=D6),0))))="Upfront",
(SUMPRODUCT(('C19RM 2021-Pharma'!$A$14:$D$113=E6)*('C19RM 2021-Pharma'!$BS$14:$BS$113)*(('C19RM 2021-Pharma'!$AV$14:$AV$113)))),
(IF((INDEX(SETUP!$F$19:$F$503,(MATCH(1,(SETUP!$B$19:$B$503=B6)*(SETUP!$D$19:$D$503=D6),0))))="At delivery",
IF((INDEX(SETUP!$G$19:$G$503,(MATCH(1,(SETUP!$B$19:$B$503=B6)*(SETUP!$D$19:$D$503=D6),0))))=4,
(SUMPRODUCT(('C19RM 2021-Pharma'!$A$14:$D$113=E6)*('C19RM 2021-Pharma'!$BR$14:$BR$113)*(('C19RM 2021-Pharma'!$AO$14:$AO$113)))),IF((INDEX(SETUP!$G$19:$G$503,(MATCH(1,(SETUP!$B$19:$B$503=B6)*(SETUP!$D$19:$D$503=D6),0))))=3,((SUMPRODUCT(('C19RM 2021-Pharma'!$A$14:$D$113=E6)*('C19RM 2021-Pharma'!$BS$14:$BS$113)*(('C19RM 2021-Pharma'!$AS$14:$AS$113))))),IF((INDEX(SETUP!$G$19:$G$503,(MATCH(1,(SETUP!$B$19:$B$503=B6)*(SETUP!$D$19:$D$503=D6),0))))=2,(SUMPRODUCT(('C19RM 2021-Pharma'!$A$14:$D$113=E6)*('C19RM 2021-Pharma'!$BS$14:$BS$113)*(('C19RM 2021-Pharma'!$AT$14:$AT$113)))),IF((INDEX(SETUP!$G$19:$G$503,(MATCH(1,(SETUP!$B$19:$B$503=B6)*(SETUP!$D$19:$D$503=D6),0))))=1,(SUMPRODUCT(('C19RM 2021-Pharma'!$A$14:$D$113=E6)*('C19RM 2021-Pharma'!$BS$14:$BS$113)*(('C19RM 2021-Pharma'!$AU$14:$AU$113)))),0)))),0)))</f>
        <v>0</v>
      </c>
      <c r="AL6" s="359" cm="1">
        <f t="array" ref="AL6">IF((INDEX(SETUP!$F$19:$F$503,(MATCH(1,(SETUP!$B$19:$B$503=B6)*(SETUP!$D$19:$D$503=D6),0))))="Upfront",0,(IF((INDEX(SETUP!$F$19:$F$503,(MATCH(1,(SETUP!$B$19:$B$503=B6)*(SETUP!$D$19:$D$503=D6),0))))="At delivery",IF((INDEX(SETUP!$G$19:$G$503,(MATCH(1,(SETUP!$B$19:$B$503=B6)*(SETUP!$D$19:$D$503=D6),0))))=4,(SUMPRODUCT(('C19RM 2021-Pharma'!$A$14:$D$113=E6)*('C19RM 2021-Pharma'!$BS$14:$BS$113)*(('C19RM 2021-Pharma'!$AS$14:$AS$113)))),IF((INDEX(SETUP!$G$19:$G$503,(MATCH(1,(SETUP!$B$19:$B$503=B6)*(SETUP!$D$19:$D$503=D6),0))))=3,(SUMPRODUCT(('C19RM 2021-Pharma'!$A$14:$D$113=E6)*('C19RM 2021-Pharma'!$BS$14:$BS$113)*(('C19RM 2021-Pharma'!$AT$14:$AT$113)))),IF((INDEX(SETUP!$G$19:$G$503,(MATCH(1,(SETUP!$B$19:$B$503=B6)*(SETUP!$D$19:$D$503=D6),0))))=2,(SUMPRODUCT(('C19RM 2021-Pharma'!$A$14:$D$113=E6)*('C19RM 2021-Pharma'!$BS$14:$BS$113)*(('C19RM 2021-Pharma'!$AU$14:$AU$113)))),
IF((INDEX(SETUP!$G$19:$G$503,(MATCH(1,(SETUP!$B$19:$B$503=B6)*(SETUP!$D$19:$D$503=D6),0))))=1,
(SUMPRODUCT(('C19RM 2021-Pharma'!$A$14:$D$113=E6)*('C19RM 2021-Pharma'!$BS$14:$BS$113)*(('C19RM 2021-Pharma'!$AV$14:$AV$113)))),0)))),0)))</f>
        <v>0</v>
      </c>
      <c r="AM6" s="359" cm="1">
        <f t="array" ref="AM6">IF((INDEX(SETUP!$F$19:$F$503,(MATCH(1,(SETUP!$B$19:$B$503=B6)*(SETUP!$D$19:$D$503=D6),0))))="Upfront",0,(IF((INDEX(SETUP!$F$19:$F$503,(MATCH(1,(SETUP!$B$19:$B$503=B6)*(SETUP!$D$19:$D$503=D6),0))))="At delivery",IF((INDEX(SETUP!$G$19:$G$503,(MATCH(1,(SETUP!$B$19:$B$503=B6)*(SETUP!$D$19:$D$503=D6),0))))=4,(SUMPRODUCT(('C19RM 2021-Pharma'!$A$14:$D$113=E6)*('C19RM 2021-Pharma'!$BS$14:$BS$113)*(('C19RM 2021-Pharma'!$AT$14:$AT$113)))),IF((INDEX(SETUP!$G$19:$G$503,(MATCH(1,(SETUP!$B$19:$B$503=B6)*(SETUP!$D$19:$D$503=D6),0))))=3,(SUMPRODUCT(('C19RM 2021-Pharma'!$A$14:$D$113=E6)*('C19RM 2021-Pharma'!$BS$14:$BS$113)*(('C19RM 2021-Pharma'!$AU$14:$AU$113)))),IF((INDEX(SETUP!$G$19:$G$503,(MATCH(1,(SETUP!$B$19:$B$503=B6)*(SETUP!$D$19:$D$503=D6),0))))=2,(SUMPRODUCT(('C19RM 2021-Pharma'!$A$14:$D$113=E6)*('C19RM 2021-Pharma'!$BS$14:$BS$113)*(('C19RM 2021-Pharma'!$AV$14:$AV$113)))),IF((INDEX(SETUP!$G$19:$G$503,(MATCH(1,(SETUP!$B$19:$B$503=B6)*(SETUP!$D$19:$D$503=D6),0))))=1,(0),0)))),0)))</f>
        <v>0</v>
      </c>
      <c r="AN6" s="359" cm="1">
        <f t="array" ref="AN6">IF((INDEX(SETUP!$F$19:$F$503,(MATCH(1,(SETUP!$B$19:$B$503=B6)*(SETUP!$D$19:$D$503=D6),0))))="Upfront",0,(IF((INDEX(SETUP!$F$19:$F$503,(MATCH(1,(SETUP!$B$19:$B$503=B6)*(SETUP!$D$19:$D$503=D6),0))))="At delivery",IF((INDEX(SETUP!$G$19:$G$503,(MATCH(1,(SETUP!$B$19:$B$503=B6)*(SETUP!$D$19:$D$503=D6),0))))=4,(SUMPRODUCT(('C19RM 2021-Pharma'!$A$14:$D$113=E6)*('C19RM 2021-Pharma'!$BS$14:$BS$113)*(('C19RM 2021-Pharma'!$AU$14:$AU$113)))),IF((INDEX(SETUP!$G$19:$G$503,(MATCH(1,(SETUP!$B$19:$B$503=B6)*(SETUP!$D$19:$D$503=D6),0))))=3,(SUMPRODUCT(('C19RM 2021-Pharma'!$A$14:$D$113=E6)*('C19RM 2021-Pharma'!$BS$14:$BS$113)*(('C19RM 2021-Pharma'!$AV$14:$AV$113)))),IF((INDEX(SETUP!$G$19:$G$503,(MATCH(1,(SETUP!$B$19:$B$503=B6)*(SETUP!$D$19:$D$503=D6),0))))=2,(0),IF((INDEX(SETUP!$G$19:$G$503,(MATCH(1,(SETUP!$B$19:$B$503=B6)*(SETUP!$D$19:$D$503=D6),0))))=1,(0),0)))),0)))</f>
        <v>0</v>
      </c>
      <c r="AO6" s="359" cm="1">
        <f t="array" ref="AO6">IF((INDEX(SETUP!$F$19:$F$503,(MATCH(1,(SETUP!$B$19:$B$503=B6)*(SETUP!$D$19:$D$503=D6),0))))="Upfront",0,(IF((INDEX(SETUP!$F$19:$F$503,(MATCH(1,(SETUP!$B$19:$B$503=B6)*(SETUP!$D$19:$D$503=D6),0))))="At delivery",IF((INDEX(SETUP!$G$19:$G$503,(MATCH(1,(SETUP!$B$19:$B$503=B6)*(SETUP!$D$19:$D$503=D6),0))))=4,(SUMPRODUCT(('C19RM 2021-Pharma'!$A$14:$D$113=E6)*('C19RM 2021-Pharma'!$BS$14:$BS$113)*(('C19RM 2021-Pharma'!$AV$14:$AV$113)))),IF((INDEX(SETUP!$G$19:$G$503,(MATCH(1,(SETUP!$B$19:$B$503=B6)*(SETUP!$D$19:$D$503=D6),0))))=3,(0),IF((INDEX(SETUP!$G$19:$G$503,(MATCH(1,(SETUP!$B$19:$B$503=B6)*(SETUP!$D$19:$D$503=D6),0))))=2,(0),IF((INDEX(SETUP!$G$19:$G$503,(MATCH(1,(SETUP!$B$19:$B$503=B6)*(SETUP!$D$19:$D$503=D6),0))))=1,(0),0)))),0)))</f>
        <v>0</v>
      </c>
      <c r="AP6" s="359"/>
      <c r="AQ6" s="359"/>
      <c r="AR6" s="359"/>
      <c r="AS6" s="359"/>
      <c r="AT6" s="359" cm="1">
        <f t="array" ref="AT6">IF(BG6&gt;=1,0,IFERROR(SUMPRODUCT(($R$2:$AO$2=$AT$4)*($E$5:$E$100=E6)*($BC$5:$BC$100=BC6)*($R$5:$AO$100)),0))</f>
        <v>0</v>
      </c>
      <c r="AU6" s="359" cm="1">
        <f t="array" ref="AU6">IF(BG6&gt;=1,0,IFERROR(SUMPRODUCT(($R$2:$AO$2=$AU$4)*($E$5:$E$100=E6)*($BC$5:$BC$100=BC6)*($R$5:$AO$100)),0))</f>
        <v>0</v>
      </c>
      <c r="AV6" s="359" cm="1">
        <f t="array" ref="AV6">IF(BG6&gt;=1,0,IFERROR(SUMPRODUCT(($R$2:$AO$2=$AV$4)*($E$5:$E$100=E6)*($BC$5:$BC$100=BC6)*($R$5:$AO$100)),0))</f>
        <v>0</v>
      </c>
      <c r="AW6" s="359" cm="1">
        <f t="array" ref="AW6">IF(BG6&gt;=1,0,IFERROR(SUMPRODUCT(($R$2:$AO$2=$AW$4)*($E$5:$E$100=E6)*($BC$5:$BC$100=BC6)*($R$5:$AO$100)),0))</f>
        <v>0</v>
      </c>
      <c r="AX6" s="359" cm="1">
        <f t="array" ref="AX6">IF(BG6&gt;=1,0,IFERROR(SUMPRODUCT(($R$2:$AO$2=$AX$4)*($E$5:$E$100=E6)*($BC$5:$BC$100=BC6)*($R$5:$AO$100)),0))</f>
        <v>0</v>
      </c>
      <c r="AY6" s="359">
        <f t="shared" ref="AY6:AY44" si="5">IF(BG6&gt;=1,0,IFERROR(SUM(AL6:AO6),0))</f>
        <v>0</v>
      </c>
      <c r="AZ6" s="359"/>
      <c r="BA6" s="233">
        <f t="shared" ref="BA6:BA39" si="6">SUM(AT6:AY6)</f>
        <v>0</v>
      </c>
      <c r="BB6" s="220" t="s">
        <v>83</v>
      </c>
      <c r="BC6" t="s">
        <v>1998</v>
      </c>
      <c r="BD6" cm="1">
        <f t="array" ref="BD6">(SUMPRODUCT(('C19RM 2021-Pharma'!$A$14:$D$115=E6)*('C19RM 2021-Pharma'!$BU$14:$BU$115)))</f>
        <v>0</v>
      </c>
      <c r="BE6" cm="1">
        <f t="array" ref="BE6">(SUMPRODUCT((SETUP!$D$20:$D$67=D6)*(SETUP!$R$20:$R$67)))</f>
        <v>0</v>
      </c>
      <c r="BF6" cm="1">
        <f t="array" ref="BF6">(SUMPRODUCT(('C19RM 2021-Pharma'!$A$14:$D$115=E6)*('C19RM 2021-Pharma'!$BV$14:$BV$115)))</f>
        <v>0</v>
      </c>
      <c r="BG6">
        <f t="shared" si="2"/>
        <v>0</v>
      </c>
      <c r="BJ6" s="231">
        <v>4.9000000000000004</v>
      </c>
    </row>
    <row r="7" spans="1:62" x14ac:dyDescent="0.35">
      <c r="A7" s="234">
        <v>1</v>
      </c>
      <c r="B7" s="220" t="s">
        <v>2751</v>
      </c>
      <c r="C7" s="231" t="s">
        <v>3024</v>
      </c>
      <c r="D7" s="231" t="s">
        <v>32</v>
      </c>
      <c r="E7" s="231" t="s">
        <v>2769</v>
      </c>
      <c r="F7" s="220">
        <f>SETUP!$E$3</f>
        <v>0</v>
      </c>
      <c r="G7" s="220" t="str">
        <f ca="1">SETUP!$J$5</f>
        <v>NA</v>
      </c>
      <c r="H7" s="220" t="str">
        <f>SETUP!$E$9</f>
        <v>C19RM</v>
      </c>
      <c r="I7" s="232">
        <f t="shared" ref="I7" si="7">IMP_ST_DATE</f>
        <v>44197</v>
      </c>
      <c r="J7" s="232">
        <f>SETUP!$L$14</f>
        <v>46022</v>
      </c>
      <c r="K7" s="220">
        <f>IFERROR(VLOOKUP(E7,'Master Data-C19RM'!$A$5:$B$35,2,0),0)</f>
        <v>0</v>
      </c>
      <c r="L7">
        <f t="shared" ref="L7" si="8">GRAN_NO</f>
        <v>0</v>
      </c>
      <c r="M7">
        <f>SETUP!$E$7</f>
        <v>0</v>
      </c>
      <c r="N7">
        <f>SETUP!$F$76</f>
        <v>6.1</v>
      </c>
      <c r="O7" t="str" cm="1">
        <f t="array" ref="O7">INDEX(SETUP!$E$19:$E$503,(MATCH(1,(SETUP!$B$19:$B$503=B7)*(SETUP!$D$19:$D$503=D7),0)))</f>
        <v>PR/SR</v>
      </c>
      <c r="P7" t="str" cm="1">
        <f t="array" ref="P7">INDEX(SETUP!$F$19:$F$503,(MATCH(1,(SETUP!$B$19:$B$503=B7)*(SETUP!$D$19:$D$503=D7),0)))</f>
        <v>At delivery</v>
      </c>
      <c r="Q7" cm="1">
        <f t="array" ref="Q7">INDEX(SETUP!$G$19:$G$503,(MATCH(1,(SETUP!$B$19:$B$503=B7)*(SETUP!$D$19:$D$503=D7),0)))</f>
        <v>1</v>
      </c>
      <c r="R7" s="359" cm="1">
        <f t="array" ref="R7">IF((INDEX(SETUP!$F$19:$F$503,(MATCH(1,(SETUP!$B$19:$B$503=B7)*(SETUP!$D$19:$D$503=D7),0))))="Upfront",(SUMPRODUCT(('C19RM 2021-Pharma'!$A$14:$D$113=E7)*('C19RM 2021-Pharma'!$BO$14:$BO$113)*(('C19RM 2021-Pharma'!$Q$14:$Q$113)))),0)</f>
        <v>0</v>
      </c>
      <c r="S7" s="359" cm="1">
        <f t="array" ref="S7">IF((INDEX(SETUP!$F$19:$F$503,(MATCH(1,(SETUP!$B$19:$B$503=B7)*(SETUP!$D$19:$D$503=D7),0))))="Upfront",(SUMPRODUCT(('C19RM 2021-Pharma'!$A$14:$D$113=E7)*('C19RM 2021-Pharma'!$BO$14:$BO$113)*(('C19RM 2021-Pharma'!$R$14:$R$113)))),(IF((INDEX(SETUP!$F$19:$F$503,(MATCH(1,(SETUP!$B$19:$B$503=B7)*(SETUP!$D$19:$D$503=D7),0))))="At delivery",IF((INDEX(SETUP!$G$19:$G$503,(MATCH(1,(SETUP!$B$19:$B$503=B7)*(SETUP!$D$19:$D$503=D7),0))))=1,(SUMPRODUCT(('C19RM 2021-Pharma'!$A$14:$D$113=E7)*('C19RM 2021-Pharma'!$BO$14:$BO$113)*(('C19RM 2021-Pharma'!$Q$14:$Q$113)))),0),0)))</f>
        <v>0</v>
      </c>
      <c r="T7" s="359" cm="1">
        <f t="array" ref="T7">IF((INDEX(SETUP!$F$19:$F$503,(MATCH(1,(SETUP!$B$19:$B$503=B7)*(SETUP!$D$19:$D$503=D7),0))))="Upfront",(SUMPRODUCT(('C19RM 2021-Pharma'!$A$14:$D$113=E7)*('C19RM 2021-Pharma'!$BO$14:$BO$113)*(('C19RM 2021-Pharma'!$S$14:$S$113)))),(IF((INDEX(SETUP!$F$19:$F$503,(MATCH(1,(SETUP!$B$19:$B$503=B7)*(SETUP!$D$19:$D$503=D7),0))))="At delivery",IF((INDEX(SETUP!$G$19:$G$503,(MATCH(1,(SETUP!$B$19:$B$503=B7)*(SETUP!$D$19:$D$503=D7),0))))=2,(SUMPRODUCT(('C19RM 2021-Pharma'!$A$14:$D$113=E7)*('C19RM 2021-Pharma'!$BO$14:$BO$113)*(('C19RM 2021-Pharma'!$Q$14:$Q$113)))),IF((INDEX(SETUP!$G$19:$G$503,(MATCH(1,(SETUP!$B$19:$B$503=B7)*(SETUP!$D$19:$D$503=D7),0))))=1,(SUMPRODUCT(('C19RM 2021-Pharma'!$A$14:$D$113=E7)*('C19RM 2021-Pharma'!$BO$14:$BO$113)*(('C19RM 2021-Pharma'!$R$14:$R$113)))),0)),0)))</f>
        <v>0</v>
      </c>
      <c r="U7" s="359" cm="1">
        <f t="array" ref="U7">IF((INDEX(SETUP!$F$19:$F$503,(MATCH(1,(SETUP!$B$19:$B$503=B7)*(SETUP!$D$19:$D$503=D7),0))))="Upfront",(SUMPRODUCT(('C19RM 2021-Pharma'!$A$14:$D$113=E7)*('C19RM 2021-Pharma'!$BO$14:$BO$113)*(('C19RM 2021-Pharma'!$T$14:$T$113)))),(IF((INDEX(SETUP!$F$19:$F$503,(MATCH(1,(SETUP!$B$19:$B$503=B7)*(SETUP!$D$19:$D$503=D7),0))))="At delivery",IF((INDEX(SETUP!$G$19:$G$503,(MATCH(1,(SETUP!$B$19:$B$503=B7)*(SETUP!$D$19:$D$503=D7),0))))=3,(SUMPRODUCT(('C19RM 2021-Pharma'!$A$14:$D$113=E7)*('C19RM 2021-Pharma'!$BO$14:$BO$113)*(('C19RM 2021-Pharma'!$Q$14:$Q$113)))),IF((INDEX(SETUP!$G$19:$G$503,(MATCH(1,(SETUP!$B$19:$B$503=B7)*(SETUP!$D$19:$D$503=D7),0))))=2,(SUMPRODUCT(('C19RM 2021-Pharma'!$A$14:$D$113=E7)*('C19RM 2021-Pharma'!$BO$14:$BO$113)*(('C19RM 2021-Pharma'!$R$14:$R$113)))),IF((INDEX(SETUP!$G$19:$G$503,(MATCH(1,(SETUP!$B$19:$B$503=B7)*(SETUP!$D$19:$D$503=D7),0))))=1,(SUMPRODUCT(('C19RM 2021-Pharma'!$A$14:$D$113=E7)*('C19RM 2021-Pharma'!$BO$14:$BO$113)*(('C19RM 2021-Pharma'!$S$14:$S$113)))),0))),0)))</f>
        <v>0</v>
      </c>
      <c r="V7" s="359" cm="1">
        <f t="array" ref="V7">IF((INDEX(SETUP!$F$19:$F$503,(MATCH(1,(SETUP!$B$19:$B$503=B7)*(SETUP!$D$19:$D$503=D7),0))))="Upfront",(SUMPRODUCT(('C19RM 2021-Pharma'!$A$14:$D$113=E7)*('C19RM 2021-Pharma'!$BP$14:$BP$113)*(('C19RM 2021-Pharma'!$X$14:$X$113)))),(IF((INDEX(SETUP!$F$19:$F$503,(MATCH(1,(SETUP!$B$19:$B$503=B7)*(SETUP!$D$19:$D$503=D7),0))))="At delivery",IF((INDEX(SETUP!$G$19:$G$503,(MATCH(1,(SETUP!$B$19:$B$503=B7)*(SETUP!$D$19:$D$503=D7),0))))=4,(SUMPRODUCT(('C19RM 2021-Pharma'!$A$14:$D$113=E7)*('C19RM 2021-Pharma'!$BO$14:$BO$113)*(('C19RM 2021-Pharma'!$Q$14:$Q$113)))),IF((INDEX(SETUP!$G$19:$G$503,(MATCH(1,(SETUP!$B$19:$B$503=B7)*(SETUP!$D$19:$D$503=D7),0))))=3,(SUMPRODUCT(('C19RM 2021-Pharma'!$A$14:$D$113=E7)*('C19RM 2021-Pharma'!$BO$14:$BO$113)*(('C19RM 2021-Pharma'!$R$14:$R$113)))),IF((INDEX(SETUP!$G$19:$G$503,(MATCH(1,(SETUP!$B$19:$B$503=B7)*(SETUP!$D$19:$D$503=D7),0))))=2,(SUMPRODUCT(('C19RM 2021-Pharma'!$A$14:$D$113=E7)*('C19RM 2021-Pharma'!$BO$14:$BO$113)*(('C19RM 2021-Pharma'!$S$14:$S$113)))),IF((INDEX(SETUP!$G$19:$G$503,(MATCH(1,(SETUP!$B$19:$B$503=B7)*(SETUP!$D$19:$D$503=D7),0))))=1,(SUMPRODUCT(('C19RM 2021-Pharma'!$A$14:$D$113=E7)*('C19RM 2021-Pharma'!$BO$14:$BO$113)*(('C19RM 2021-Pharma'!$T$14:$T$113)))),0)))),0)))</f>
        <v>0</v>
      </c>
      <c r="W7" s="359" cm="1">
        <f t="array" ref="W7">IF((INDEX(SETUP!$F$19:$F$503,(MATCH(1,(SETUP!$B$19:$B$503=B7)*(SETUP!$D$19:$D$503=D7),0))))="Upfront",(SUMPRODUCT(('C19RM 2021-Pharma'!$A$14:$D$113=E7)*('C19RM 2021-Pharma'!$BP$14:$BP$113)*(('C19RM 2021-Pharma'!$Y$14:$Y$113)))),(IF((INDEX(SETUP!$F$19:$F$503,(MATCH(1,(SETUP!$B$19:$B$503=B7)*(SETUP!$D$19:$D$503=D7),0))))="At delivery",IF((INDEX(SETUP!$G$19:$G$503,(MATCH(1,(SETUP!$B$19:$B$503=B7)*(SETUP!$D$19:$D$503=D7),0))))=4,(SUMPRODUCT(('C19RM 2021-Pharma'!$A$14:$D$113=E7)*('C19RM 2021-Pharma'!$BO$14:$BO$113)*(('C19RM 2021-Pharma'!$R$14:$R$113)))),IF((INDEX(SETUP!$G$19:$G$503,(MATCH(1,(SETUP!$B$19:$B$503=B7)*(SETUP!$D$19:$D$503=D7),0))))=3,(SUMPRODUCT(('C19RM 2021-Pharma'!$A$14:$D$113=E7)*('C19RM 2021-Pharma'!$BO$14:$BO$113)*(('C19RM 2021-Pharma'!$S$14:$S$113)))),IF((INDEX(SETUP!$G$19:$G$503,(MATCH(1,(SETUP!$B$19:$B$503=B7)*(SETUP!$D$19:$D$503=D7),0))))=2,((SUMPRODUCT(('C19RM 2021-Pharma'!$A$14:$D$113=E7)*('C19RM 2021-Pharma'!$BO$14:$BO$113)*(('C19RM 2021-Pharma'!$T$14:$T$113))))),IF((INDEX(SETUP!$G$19:$G$503,(MATCH(1,(SETUP!$B$19:$B$503=B7)*(SETUP!$D$19:$D$503=D7),0))))=1,(SUMPRODUCT(('C19RM 2021-Pharma'!$A$14:$D$113=E7)*('C19RM 2021-Pharma'!$BP$14:$BP$113)*(('C19RM 2021-Pharma'!$X$14:$X$113)))),0)))),0)))</f>
        <v>0</v>
      </c>
      <c r="X7" s="359" cm="1">
        <f t="array" ref="X7">IF((INDEX(SETUP!$F$19:$F$503,(MATCH(1,(SETUP!$B$19:$B$503=B7)*(SETUP!$D$19:$D$503=D7),0))))="Upfront",(SUMPRODUCT(('C19RM 2021-Pharma'!$A$14:$D$113=E7)*('C19RM 2021-Pharma'!$BP$14:$BP$113)*(('C19RM 2021-Pharma'!$Z$14:$Z$113)))),(IF((INDEX(SETUP!$F$19:$F$503,(MATCH(1,(SETUP!$B$19:$B$503=B7)*(SETUP!$D$19:$D$503=D7),0))))="At delivery",IF((INDEX(SETUP!$G$19:$G$503,(MATCH(1,(SETUP!$B$19:$B$503=B7)*(SETUP!$D$19:$D$503=D7),0))))=4,(SUMPRODUCT(('C19RM 2021-Pharma'!$A$14:$D$113=E7)*('C19RM 2021-Pharma'!$BO$14:$BO$113)*(('C19RM 2021-Pharma'!$S$14:$S$113)))),IF((INDEX(SETUP!$G$19:$G$503,(MATCH(1,(SETUP!$B$19:$B$503=B7)*(SETUP!$D$19:$D$503=D7),0))))=3,((SUMPRODUCT(('C19RM 2021-Pharma'!$A$14:$D$113=E7)*('C19RM 2021-Pharma'!$BO$14:$BO$113)*(('C19RM 2021-Pharma'!$T$14:$T$113))))),IF((INDEX(SETUP!$G$19:$G$503,(MATCH(1,(SETUP!$B$19:$B$503=B7)*(SETUP!$D$19:$D$503=D7),0))))=2,(SUMPRODUCT(('C19RM 2021-Pharma'!$A$14:$D$113=E7)*('C19RM 2021-Pharma'!$BP$14:$BP$113)*(('C19RM 2021-Pharma'!$X$14:$X$113)))),IF((INDEX(SETUP!$G$19:$G$503,(MATCH(1,(SETUP!$B$19:$B$503=B7)*(SETUP!$D$19:$D$503=D7),0))))=1,(SUMPRODUCT(('C19RM 2021-Pharma'!$A$14:$D$113=E7)*('C19RM 2021-Pharma'!$BP$14:$BP$113)*(('C19RM 2021-Pharma'!$Y$14:$Y$113)))),0)))),0)))</f>
        <v>0</v>
      </c>
      <c r="Y7" s="359" cm="1">
        <f t="array" ref="Y7">IF((INDEX(SETUP!$F$19:$F$503,(MATCH(1,(SETUP!$B$19:$B$503=B7)*(SETUP!$D$19:$D$503=D7),0))))="Upfront",
(SUMPRODUCT(('C19RM 2021-Pharma'!$A$14:$D$113=E7)*('C19RM 2021-Pharma'!$BP$14:$BP$113)*(('C19RM 2021-Pharma'!$AA$14:$AA$113)))),
(IF((INDEX(SETUP!$F$19:$F$503,(MATCH(1,(SETUP!$B$19:$B$503=B7)*(SETUP!$D$19:$D$503=D7),0))))="At delivery",
IF((INDEX(SETUP!$G$19:$G$503,(MATCH(1,(SETUP!$B$19:$B$503=B7)*(SETUP!$D$19:$D$503=D7),0))))=4,
((SUMPRODUCT(('C19RM 2021-Pharma'!$A$14:$D$113=E7)*('C19RM 2021-Pharma'!$BO$14:$BO$113)*(('C19RM 2021-Pharma'!$T$14:$T$113))))),IF((INDEX(SETUP!$G$19:$G$503,(MATCH(1,(SETUP!$B$19:$B$503=B7)*(SETUP!$D$19:$D$503=D7),0))))=3,(SUMPRODUCT(('C19RM 2021-Pharma'!$A$14:$D$113=E7)*('C19RM 2021-Pharma'!$BP$14:$BP$113)*(('C19RM 2021-Pharma'!$X$14:$X$113)))),IF((INDEX(SETUP!$G$19:$G$503,(MATCH(1,(SETUP!$B$19:$B$503=B7)*(SETUP!$D$19:$D$503=D7),0))))=2,(SUMPRODUCT(('C19RM 2021-Pharma'!$A$14:$D$113=E7)*('C19RM 2021-Pharma'!$BP$14:$BP$113)*(('C19RM 2021-Pharma'!$Y$14:$Y$113)))),IF((INDEX(SETUP!$G$19:$G$503,(MATCH(1,(SETUP!$B$19:$B$503=B7)*(SETUP!$D$19:$D$503=D7),0))))=1,(SUMPRODUCT(('C19RM 2021-Pharma'!$A$14:$D$113=E7)*('C19RM 2021-Pharma'!$BP$14:$BP$113)*(('C19RM 2021-Pharma'!$Z$14:$Z$113)))),0)))),0)))</f>
        <v>0</v>
      </c>
      <c r="Z7" s="359" cm="1">
        <f t="array" ref="Z7">IF((INDEX(SETUP!$F$19:$F$503,(MATCH(1,(SETUP!$B$19:$B$503=B7)*(SETUP!$D$19:$D$503=D7),0))))="Upfront",
(SUMPRODUCT(('C19RM 2021-Pharma'!$A$14:$D$113=E7)*('C19RM 2021-Pharma'!$BQ$14:$BQ$113)*(('C19RM 2021-Pharma'!$AE$14:$AE$113)))),
(IF((INDEX(SETUP!$F$19:$F$503,(MATCH(1,(SETUP!$B$19:$B$503=B7)*(SETUP!$D$19:$D$503=D7),0))))="At delivery",
IF((INDEX(SETUP!$G$19:$G$503,(MATCH(1,(SETUP!$B$19:$B$503=B7)*(SETUP!$D$19:$D$503=D7),0))))=4,
(SUMPRODUCT(('C19RM 2021-Pharma'!$A$14:$D$113=E7)*('C19RM 2021-Pharma'!$BP$14:$BP$113)*(('C19RM 2021-Pharma'!$X$14:$X$113)))),IF((INDEX(SETUP!$G$19:$G$503,(MATCH(1,(SETUP!$B$19:$B$503=B7)*(SETUP!$D$19:$D$503=D7),0))))=3,(SUMPRODUCT(('C19RM 2021-Pharma'!$A$14:$D$113=E7)*('C19RM 2021-Pharma'!$BP$14:$BP$113)*(('C19RM 2021-Pharma'!$Y$14:$Y$113)))),IF((INDEX(SETUP!$G$19:$G$503,(MATCH(1,(SETUP!$B$19:$B$503=B7)*(SETUP!$D$19:$D$503=D7),0))))=2,(SUMPRODUCT(('C19RM 2021-Pharma'!$A$14:$D$113=E7)*('C19RM 2021-Pharma'!$BP$14:$BP$113)*(('C19RM 2021-Pharma'!$Z$14:$Z$113)))),IF((INDEX(SETUP!$G$19:$G$503,(MATCH(1,(SETUP!$B$19:$B$503=B7)*(SETUP!$D$19:$D$503=D7),0))))=1,(SUMPRODUCT(('C19RM 2021-Pharma'!$A$14:$D$113=E7)*('C19RM 2021-Pharma'!$BP$14:$BP$113)*(('C19RM 2021-Pharma'!$AA$14:$AA$113)))),0)))),0)))</f>
        <v>0</v>
      </c>
      <c r="AA7" s="359" cm="1">
        <f t="array" ref="AA7">IF((INDEX(SETUP!$F$19:$F$503,(MATCH(1,(SETUP!$B$19:$B$503=B7)*(SETUP!$D$19:$D$503=D7),0))))="Upfront",(SUMPRODUCT(('C19RM 2021-Pharma'!$A$14:$D$113=E7)*('C19RM 2021-Pharma'!$BQ$14:$BQ$113)*(('C19RM 2021-Pharma'!$AF$14:$AF$113)))),(IF((INDEX(SETUP!$F$19:$F$503,(MATCH(1,(SETUP!$B$19:$B$503=B7)*(SETUP!$D$19:$D$503=D7),0))))="At delivery",IF((INDEX(SETUP!$G$19:$G$503,(MATCH(1,(SETUP!$B$19:$B$503=B7)*(SETUP!$D$19:$D$503=D7),0))))=4,(SUMPRODUCT(('C19RM 2021-Pharma'!$A$14:$D$113=E7)*('C19RM 2021-Pharma'!$BP$14:$BP$113)*(('C19RM 2021-Pharma'!$Y$14:$Y$113)))),IF((INDEX(SETUP!$G$19:$G$503,(MATCH(1,(SETUP!$B$19:$B$503=B7)*(SETUP!$D$19:$D$503=D7),0))))=3,(SUMPRODUCT(('C19RM 2021-Pharma'!$A$14:$D$113=E7)*('C19RM 2021-Pharma'!$BP$14:$BP$113)*(('C19RM 2021-Pharma'!$Z$14:$Z$113)))),IF((INDEX(SETUP!$G$19:$G$503,(MATCH(1,(SETUP!$B$19:$B$503=B7)*(SETUP!$D$19:$D$503=D7),0))))=2,
(SUMPRODUCT(('C19RM 2021-Pharma'!$A$14:$D$113=E7)*('C19RM 2021-Pharma'!$BP$14:$BP$113)*(('C19RM 2021-Pharma'!$AA$14:$AA$113)))),
IF((INDEX(SETUP!$G$19:$G$503,(MATCH(1,(SETUP!$B$19:$B$503=B7)*(SETUP!$D$19:$D$503=D7),0))))=1,
(SUMPRODUCT(('C19RM 2021-Pharma'!$A$14:$D$113=E7)*('C19RM 2021-Pharma'!$BQ$14:$BQ$113)*(('C19RM 2021-Pharma'!$AE$14:$AE$113)))),0)))),0)))</f>
        <v>0</v>
      </c>
      <c r="AB7" s="359" cm="1">
        <f t="array" ref="AB7">IF((INDEX(SETUP!$F$19:$F$503,(MATCH(1,(SETUP!$B$19:$B$503=B7)*(SETUP!$D$19:$D$503=D7),0))))="Upfront",
(SUMPRODUCT(('C19RM 2021-Pharma'!$A$14:$D$113=E7)*('C19RM 2021-Pharma'!$BQ$14:$BQ$113)*(('C19RM 2021-Pharma'!$AG$14:$AG$113)))),
(IF((INDEX(SETUP!$F$19:$F$503,(MATCH(1,(SETUP!$B$19:$B$503=B7)*(SETUP!$D$19:$D$503=D7),0))))="At delivery",
IF((INDEX(SETUP!$G$19:$G$503,(MATCH(1,(SETUP!$B$19:$B$503=B7)*(SETUP!$D$19:$D$503=D7),0))))=4,
(SUMPRODUCT(('C19RM 2021-Pharma'!$A$14:$D$113=E7)*('C19RM 2021-Pharma'!$BP$14:$BP$113)*(('C19RM 2021-Pharma'!$Z$14:$Z$113)))),IF((INDEX(SETUP!$G$19:$G$503,(MATCH(1,(SETUP!$B$19:$B$503=B7)*(SETUP!$D$19:$D$503=D7),0))))=3,(SUMPRODUCT(('C19RM 2021-Pharma'!$A$14:$D$113=E7)*('C19RM 2021-Pharma'!$BP$14:$BP$113)*(('C19RM 2021-Pharma'!$AA$14:$AA$113)))),IF((INDEX(SETUP!$G$19:$G$503,(MATCH(1,(SETUP!$B$19:$B$503=B7)*(SETUP!$D$19:$D$503=D7),0))))=2,(SUMPRODUCT(('C19RM 2021-Pharma'!$A$14:$D$113=E7)*('C19RM 2021-Pharma'!$BQ$14:$BQ$113)*(('C19RM 2021-Pharma'!$AE$14:$AE$113)))),IF((INDEX(SETUP!$G$19:$G$503,(MATCH(1,(SETUP!$B$19:$B$503=B7)*(SETUP!$D$19:$D$503=D7),0))))=1,(SUMPRODUCT(('C19RM 2021-Pharma'!$A$14:$D$113=E7)*('C19RM 2021-Pharma'!$BQ$14:$BQ$113)*(('C19RM 2021-Pharma'!$AF$14:$AF$113)))),0)))),0)))</f>
        <v>0</v>
      </c>
      <c r="AC7" s="359" cm="1">
        <f t="array" ref="AC7">IF((INDEX(SETUP!$F$19:$F$503,(MATCH(1,(SETUP!$B$19:$B$503=B7)*(SETUP!$D$19:$D$503=D7),0))))="Upfront",
(SUMPRODUCT(('C19RM 2021-Pharma'!$A$14:$D$113=E7)*('C19RM 2021-Pharma'!$BQ$14:$BQ$113)*(('C19RM 2021-Pharma'!$AH$14:$AH$113)))),
(IF((INDEX(SETUP!$F$19:$F$503,(MATCH(1,(SETUP!$B$19:$B$503=B7)*(SETUP!$D$19:$D$503=D7),0))))="At delivery",
IF((INDEX(SETUP!$G$19:$G$503,(MATCH(1,(SETUP!$B$19:$B$503=B7)*(SETUP!$D$19:$D$503=D7),0))))=4,
(SUMPRODUCT(('C19RM 2021-Pharma'!$A$14:$D$113=E7)*('C19RM 2021-Pharma'!$BP$14:$BP$113)*(('C19RM 2021-Pharma'!$AA$14:$AA$113)))),IF((INDEX(SETUP!$G$19:$G$503,(MATCH(1,(SETUP!$B$19:$B$503=B7)*(SETUP!$D$19:$D$503=D7),0))))=3,(SUMPRODUCT(('C19RM 2021-Pharma'!$A$14:$D$113=E7)*('C19RM 2021-Pharma'!$BQ$14:$BQ$113)*(('C19RM 2021-Pharma'!$AE$14:$AE$113)))),IF((INDEX(SETUP!$G$19:$G$503,(MATCH(1,(SETUP!$B$19:$B$503=B7)*(SETUP!$D$19:$D$503=D7),0))))=2,(SUMPRODUCT(('C19RM 2021-Pharma'!$A$14:$D$113=E7)*('C19RM 2021-Pharma'!$BQ$14:$BQ$113)*(('C19RM 2021-Pharma'!$AF$14:$AF$113)))),IF((INDEX(SETUP!$G$19:$G$503,(MATCH(1,(SETUP!$B$19:$B$503=B7)*(SETUP!$D$19:$D$503=D7),0))))=1,(SUMPRODUCT(('C19RM 2021-Pharma'!$A$14:$D$113=E7)*('C19RM 2021-Pharma'!$BQ$14:$BQ$113)*(('C19RM 2021-Pharma'!$AG$14:$AG$113)))),0)))),0)))</f>
        <v>0</v>
      </c>
      <c r="AD7" s="359" cm="1">
        <f t="array" ref="AD7">IF((INDEX(SETUP!$F$19:$F$503,(MATCH(1,(SETUP!$B$19:$B$503=B7)*(SETUP!$D$19:$D$503=D7),0))))="Upfront",
(SUMPRODUCT(('C19RM 2021-Pharma'!$A$14:$D$113=E7)*('C19RM 2021-Pharma'!$BR$14:$BR$113)*(('C19RM 2021-Pharma'!$AL$14:$AL$113)))),
(IF((INDEX(SETUP!$F$19:$F$503,(MATCH(1,(SETUP!$B$19:$B$503=B7)*(SETUP!$D$19:$D$503=D7),0))))="At delivery",
IF((INDEX(SETUP!$G$19:$G$503,(MATCH(1,(SETUP!$B$19:$B$503=B7)*(SETUP!$D$19:$D$503=D7),0))))=4,
(SUMPRODUCT(('C19RM 2021-Pharma'!$A$14:$D$113=E7)*('C19RM 2021-Pharma'!$BQ$14:$BQ$113)*(('C19RM 2021-Pharma'!$AE$14:$AE$113)))),IF((INDEX(SETUP!$G$19:$G$503,(MATCH(1,(SETUP!$B$19:$B$503=B7)*(SETUP!$D$19:$D$503=D7),0))))=3,((SUMPRODUCT(('C19RM 2021-Pharma'!$A$14:$D$113=E7)*('C19RM 2021-Pharma'!$BQ$14:$BQ$113)*(('C19RM 2021-Pharma'!$AF$14:$AF$113))))),IF((INDEX(SETUP!$G$19:$G$503,(MATCH(1,(SETUP!$B$19:$B$503=B7)*(SETUP!$D$19:$D$503=D7),0))))=2,(SUMPRODUCT(('C19RM 2021-Pharma'!$A$14:$D$113=E7)*('C19RM 2021-Pharma'!$BQ$14:$BQ$113)*(('C19RM 2021-Pharma'!$AG$14:$AG$113)))),IF((INDEX(SETUP!$G$19:$G$503,(MATCH(1,(SETUP!$B$19:$B$503=B7)*(SETUP!$D$19:$D$503=D7),0))))=1,(SUMPRODUCT(('C19RM 2021-Pharma'!$A$14:$D$113=E7)*('C19RM 2021-Pharma'!$BQ$14:$BQ$113)*(('C19RM 2021-Pharma'!$AH$14:$AH$113)))),0)))),0)))</f>
        <v>0</v>
      </c>
      <c r="AE7" s="359" cm="1">
        <f t="array" ref="AE7">IF((INDEX(SETUP!$F$19:$F$503,(MATCH(1,(SETUP!$B$19:$B$503=B7)*(SETUP!$D$19:$D$503=D7),0))))="Upfront",
(SUMPRODUCT(('C19RM 2021-Pharma'!$A$14:$D$113=E7)*('C19RM 2021-Pharma'!$BR$14:$BR$113)*(('C19RM 2021-Pharma'!$AM$14:$AM$113)))),
(IF((INDEX(SETUP!$F$19:$F$503,(MATCH(1,(SETUP!$B$19:$B$503=B7)*(SETUP!$D$19:$D$503=D7),0))))="At delivery",
IF((INDEX(SETUP!$G$19:$G$503,(MATCH(1,(SETUP!$B$19:$B$503=B7)*(SETUP!$D$19:$D$503=D7),0))))=4,
(SUMPRODUCT(('C19RM 2021-Pharma'!$A$14:$D$113=E7)*('C19RM 2021-Pharma'!$BQ$14:$BQ$113)*(('C19RM 2021-Pharma'!$AF$14:$AF$113)))),IF((INDEX(SETUP!$G$19:$G$503,(MATCH(1,(SETUP!$B$19:$B$503=B7)*(SETUP!$D$19:$D$503=D7),0))))=3,(SUMPRODUCT(('C19RM 2021-Pharma'!$A$14:$D$113=E7)*('C19RM 2021-Pharma'!$BQ$14:$BQ$113)*(('C19RM 2021-Pharma'!$AG$14:$AG$113)))),IF((INDEX(SETUP!$G$19:$G$503,(MATCH(1,(SETUP!$B$19:$B$503=B7)*(SETUP!$D$19:$D$503=D7),0))))=2,(SUMPRODUCT(('C19RM 2021-Pharma'!$A$14:$D$113=E7)*('C19RM 2021-Pharma'!$BQ$14:$BQ$113)*(('C19RM 2021-Pharma'!$AH$14:$AH$113)))),IF((INDEX(SETUP!$G$19:$G$503,(MATCH(1,(SETUP!$B$19:$B$503=B7)*(SETUP!$D$19:$D$503=D7),0))))=1,(SUMPRODUCT(('C19RM 2021-Pharma'!$A$14:$D$113=E7)*('C19RM 2021-Pharma'!$BR$14:$BR$113)*(('C19RM 2021-Pharma'!$AL$14:$AL$113)))),0)))),0)))</f>
        <v>0</v>
      </c>
      <c r="AF7" s="359" cm="1">
        <f t="array" ref="AF7">IF((INDEX(SETUP!$F$19:$F$503,(MATCH(1,(SETUP!$B$19:$B$503=B7)*(SETUP!$D$19:$D$503=D7),0))))="Upfront",
(SUMPRODUCT(('C19RM 2021-Pharma'!$A$14:$D$113=E7)*('C19RM 2021-Pharma'!$BR$14:$BR$113)*(('C19RM 2021-Pharma'!$AN$14:$AN$113)))),
(IF((INDEX(SETUP!$F$19:$F$503,(MATCH(1,(SETUP!$B$19:$B$503=B7)*(SETUP!$D$19:$D$503=D7),0))))="At delivery",
IF((INDEX(SETUP!$G$19:$G$503,(MATCH(1,(SETUP!$B$19:$B$503=B7)*(SETUP!$D$19:$D$503=D7),0))))=4,
(SUMPRODUCT(('C19RM 2021-Pharma'!$A$14:$D$113=E7)*('C19RM 2021-Pharma'!$BQ$14:$BQ$113)*(('C19RM 2021-Pharma'!$AG$14:$AG$113)))),IF((INDEX(SETUP!$G$19:$G$503,(MATCH(1,(SETUP!$B$19:$B$503=B7)*(SETUP!$D$19:$D$503=D7),0))))=3,(SUMPRODUCT(('C19RM 2021-Pharma'!$A$14:$D$113=E7)*('C19RM 2021-Pharma'!$BQ$14:$BQ$113)*(('C19RM 2021-Pharma'!$AH$14:$AH$113)))),IF((INDEX(SETUP!$G$19:$G$503,(MATCH(1,(SETUP!$B$19:$B$503=B7)*(SETUP!$D$19:$D$503=D7),0))))=2,(SUMPRODUCT(('C19RM 2021-Pharma'!$A$14:$D$113=E7)*('C19RM 2021-Pharma'!$BR$14:$BR$113)*(('C19RM 2021-Pharma'!$AL$14:$AL$113)))),IF((INDEX(SETUP!$G$19:$G$503,(MATCH(1,(SETUP!$B$19:$B$503=B7)*(SETUP!$D$19:$D$503=D7),0))))=1,(SUMPRODUCT(('C19RM 2021-Pharma'!$A$14:$D$113=E7)*('C19RM 2021-Pharma'!$BR$14:$BR$113)*(('C19RM 2021-Pharma'!$AM$14:$AM$113)))),0)))),0)))</f>
        <v>0</v>
      </c>
      <c r="AG7" s="359" cm="1">
        <f t="array" ref="AG7">IF((INDEX(SETUP!$F$19:$F$503,(MATCH(1,(SETUP!$B$19:$B$503=B7)*(SETUP!$D$19:$D$503=D7),0))))="Upfront",(SUMPRODUCT(('C19RM 2021-Pharma'!$A$14:$D$113=E7)*('C19RM 2021-Pharma'!$BR$14:$BR$113)*(('C19RM 2021-Pharma'!$AO$14:$AO$113)))),(IF((INDEX(SETUP!$F$19:$F$503,(MATCH(1,(SETUP!$B$19:$B$503=B7)*(SETUP!$D$19:$D$503=D7),0))))="At delivery",IF((INDEX(SETUP!$G$19:$G$503,(MATCH(1,(SETUP!$B$19:$B$503=B7)*(SETUP!$D$19:$D$503=D7),0))))=4,(SUMPRODUCT(('C19RM 2021-Pharma'!$A$14:$D$113=E7)*('C19RM 2021-Pharma'!$BQ$14:$BQ$113)*(('C19RM 2021-Pharma'!$AH$14:$AH$113)))),IF((INDEX(SETUP!$G$19:$G$503,(MATCH(1,(SETUP!$B$19:$B$503=B7)*(SETUP!$D$19:$D$503=D7),0))))=3,(SUMPRODUCT(('C19RM 2021-Pharma'!$A$14:$D$113=E7)*('C19RM 2021-Pharma'!$BR$14:$BR$113)*(('C19RM 2021-Pharma'!$AL$14:$AL$113)))),IF((INDEX(SETUP!$G$19:$G$503,(MATCH(1,(SETUP!$B$19:$B$503=B7)*(SETUP!$D$19:$D$503=D7),0))))=2,(SUMPRODUCT(('C19RM 2021-Pharma'!$A$14:$D$113=E7)*('C19RM 2021-Pharma'!$BR$14:$BR$113)*(('C19RM 2021-Pharma'!$AM$14:$AM$113)))),IF((INDEX(SETUP!$G$19:$G$503,(MATCH(1,(SETUP!$B$19:$B$503=B7)*(SETUP!$D$19:$D$503=D7),0))))=1,(SUMPRODUCT(('C19RM 2021-Pharma'!$A$14:$D$113=E7)*('C19RM 2021-Pharma'!$BR$14:$BR$113)*(('C19RM 2021-Pharma'!$AN$14:$AN$113)))),0)))),0)))</f>
        <v>0</v>
      </c>
      <c r="AH7" s="359" cm="1">
        <f t="array" ref="AH7">IF((INDEX(SETUP!$F$19:$F$503,(MATCH(1,(SETUP!$B$19:$B$503=B7)*(SETUP!$D$19:$D$503=D7),0))))="Upfront",
(SUMPRODUCT(('C19RM 2021-Pharma'!$A$14:$D$113=E7)*('C19RM 2021-Pharma'!$BS$14:$BS$113)*(('C19RM 2021-Pharma'!$AS$14:$AS$113)))),
(IF((INDEX(SETUP!$F$19:$F$503,(MATCH(1,(SETUP!$B$19:$B$503=B7)*(SETUP!$D$19:$D$503=D7),0))))="At delivery",
IF((INDEX(SETUP!$G$19:$G$503,(MATCH(1,(SETUP!$B$19:$B$503=B7)*(SETUP!$D$19:$D$503=D7),0))))=4,
(SUMPRODUCT(('C19RM 2021-Pharma'!$A$14:$D$113=E7)*('C19RM 2021-Pharma'!$BR$14:$BR$113)*(('C19RM 2021-Pharma'!$AL$14:$AL$113)))),IF((INDEX(SETUP!$G$19:$G$503,(MATCH(1,(SETUP!$B$19:$B$503=B7)*(SETUP!$D$19:$D$503=D7),0))))=3,((SUMPRODUCT(('C19RM 2021-Pharma'!$A$14:$D$113=E7)*('C19RM 2021-Pharma'!$BR$14:$BR$113)*(('C19RM 2021-Pharma'!$AM$14:$AM$113))))),IF((INDEX(SETUP!$G$19:$G$503,(MATCH(1,(SETUP!$B$19:$B$503=B7)*(SETUP!$D$19:$D$503=D7),0))))=2,(SUMPRODUCT(('C19RM 2021-Pharma'!$A$14:$D$113=E7)*('C19RM 2021-Pharma'!$BR$14:$BR$113)*(('C19RM 2021-Pharma'!$AN$14:$AN$113)))),IF((INDEX(SETUP!$G$19:$G$503,(MATCH(1,(SETUP!$B$19:$B$503=B7)*(SETUP!$D$19:$D$503=D7),0))))=1,(SUMPRODUCT(('C19RM 2021-Pharma'!$A$14:$D$113=E7)*('C19RM 2021-Pharma'!$BR$14:$BR$113)*(('C19RM 2021-Pharma'!$AO$14:$AO$113)))),0)))),0)))</f>
        <v>0</v>
      </c>
      <c r="AI7" s="359" cm="1">
        <f t="array" ref="AI7">IF((INDEX(SETUP!$F$19:$F$503,(MATCH(1,(SETUP!$B$19:$B$503=B7)*(SETUP!$D$19:$D$503=D7),0))))="Upfront",
(SUMPRODUCT(('C19RM 2021-Pharma'!$A$14:$D$113=E7)*('C19RM 2021-Pharma'!$BS$14:$BS$113)*(('C19RM 2021-Pharma'!$AT$14:$AT$113)))),
(IF((INDEX(SETUP!$F$19:$F$503,(MATCH(1,(SETUP!$B$19:$B$503=B7)*(SETUP!$D$19:$D$503=D7),0))))="At delivery",
IF((INDEX(SETUP!$G$19:$G$503,(MATCH(1,(SETUP!$B$19:$B$503=B7)*(SETUP!$D$19:$D$503=D7),0))))=4,
(SUMPRODUCT(('C19RM 2021-Pharma'!$A$14:$D$113=E7)*('C19RM 2021-Pharma'!$BR$14:$BR$113)*(('C19RM 2021-Pharma'!$AM$14:$AM$113)))),IF((INDEX(SETUP!$G$19:$G$503,(MATCH(1,(SETUP!$B$19:$B$503=B7)*(SETUP!$D$19:$D$503=D7),0))))=3,((SUMPRODUCT(('C19RM 2021-Pharma'!$A$14:$D$113=E7)*('C19RM 2021-Pharma'!$BR$14:$BR$113)*(('C19RM 2021-Pharma'!$AN$14:$AN$113))))),IF((INDEX(SETUP!$G$19:$G$503,(MATCH(1,(SETUP!$B$19:$B$503=B7)*(SETUP!$D$19:$D$503=D7),0))))=2,(SUMPRODUCT(('C19RM 2021-Pharma'!$A$14:$D$113=E7)*('C19RM 2021-Pharma'!$BR$14:$BR$113)*(('C19RM 2021-Pharma'!$AO$14:$AO$113)))),IF((INDEX(SETUP!$G$19:$G$503,(MATCH(1,(SETUP!$B$19:$B$503=B7)*(SETUP!$D$19:$D$503=D7),0))))=1,(SUMPRODUCT(('C19RM 2021-Pharma'!$A$14:$D$113=E7)*('C19RM 2021-Pharma'!$BS$14:$BS$113)*(('C19RM 2021-Pharma'!$AS$14:$AS$113)))),0)))),0)))</f>
        <v>0</v>
      </c>
      <c r="AJ7" s="359" cm="1">
        <f t="array" ref="AJ7">IF((INDEX(SETUP!$F$19:$F$503,(MATCH(1,(SETUP!$B$19:$B$503=B7)*(SETUP!$D$19:$D$503=D7),0))))="Upfront",
(SUMPRODUCT(('C19RM 2021-Pharma'!$A$14:$D$113=E7)*('C19RM 2021-Pharma'!$BS$14:$BS$113)*(('C19RM 2021-Pharma'!$AU$14:$AU$113)))),
(IF((INDEX(SETUP!$F$19:$F$503,(MATCH(1,(SETUP!$B$19:$B$503=B7)*(SETUP!$D$19:$D$503=D7),0))))="At delivery",
IF((INDEX(SETUP!$G$19:$G$503,(MATCH(1,(SETUP!$B$19:$B$503=B7)*(SETUP!$D$19:$D$503=D7),0))))=4,
(SUMPRODUCT(('C19RM 2021-Pharma'!$A$14:$D$113=E7)*('C19RM 2021-Pharma'!$BR$14:$BR$113)*(('C19RM 2021-Pharma'!$AN$14:$AN$113)))),IF((INDEX(SETUP!$G$19:$G$503,(MATCH(1,(SETUP!$B$19:$B$503=B7)*(SETUP!$D$19:$D$503=D7),0))))=3,((SUMPRODUCT(('C19RM 2021-Pharma'!$A$14:$D$113=E7)*('C19RM 2021-Pharma'!$BR$14:$BR$113)*(('C19RM 2021-Pharma'!$AO$14:$AO$113))))),IF((INDEX(SETUP!$G$19:$G$503,(MATCH(1,(SETUP!$B$19:$B$503=B7)*(SETUP!$D$19:$D$503=D7),0))))=2,(SUMPRODUCT(('C19RM 2021-Pharma'!$A$14:$D$113=E7)*('C19RM 2021-Pharma'!$BS$14:$BS$113)*(('C19RM 2021-Pharma'!$AS$14:$AS$113)))),IF((INDEX(SETUP!$G$19:$G$503,(MATCH(1,(SETUP!$B$19:$B$503=B7)*(SETUP!$D$19:$D$503=D7),0))))=1,(SUMPRODUCT(('C19RM 2021-Pharma'!$A$14:$D$113=E7)*('C19RM 2021-Pharma'!$BS$14:$BS$113)*(('C19RM 2021-Pharma'!$AT$14:$AT$113)))),0)))),0)))</f>
        <v>0</v>
      </c>
      <c r="AK7" s="359" cm="1">
        <f t="array" ref="AK7">IF((INDEX(SETUP!$F$19:$F$503,(MATCH(1,(SETUP!$B$19:$B$503=B7)*(SETUP!$D$19:$D$503=D7),0))))="Upfront",
(SUMPRODUCT(('C19RM 2021-Pharma'!$A$14:$D$113=E7)*('C19RM 2021-Pharma'!$BS$14:$BS$113)*(('C19RM 2021-Pharma'!$AV$14:$AV$113)))),
(IF((INDEX(SETUP!$F$19:$F$503,(MATCH(1,(SETUP!$B$19:$B$503=B7)*(SETUP!$D$19:$D$503=D7),0))))="At delivery",
IF((INDEX(SETUP!$G$19:$G$503,(MATCH(1,(SETUP!$B$19:$B$503=B7)*(SETUP!$D$19:$D$503=D7),0))))=4,
(SUMPRODUCT(('C19RM 2021-Pharma'!$A$14:$D$113=E7)*('C19RM 2021-Pharma'!$BR$14:$BR$113)*(('C19RM 2021-Pharma'!$AO$14:$AO$113)))),IF((INDEX(SETUP!$G$19:$G$503,(MATCH(1,(SETUP!$B$19:$B$503=B7)*(SETUP!$D$19:$D$503=D7),0))))=3,((SUMPRODUCT(('C19RM 2021-Pharma'!$A$14:$D$113=E7)*('C19RM 2021-Pharma'!$BS$14:$BS$113)*(('C19RM 2021-Pharma'!$AS$14:$AS$113))))),IF((INDEX(SETUP!$G$19:$G$503,(MATCH(1,(SETUP!$B$19:$B$503=B7)*(SETUP!$D$19:$D$503=D7),0))))=2,(SUMPRODUCT(('C19RM 2021-Pharma'!$A$14:$D$113=E7)*('C19RM 2021-Pharma'!$BS$14:$BS$113)*(('C19RM 2021-Pharma'!$AT$14:$AT$113)))),IF((INDEX(SETUP!$G$19:$G$503,(MATCH(1,(SETUP!$B$19:$B$503=B7)*(SETUP!$D$19:$D$503=D7),0))))=1,(SUMPRODUCT(('C19RM 2021-Pharma'!$A$14:$D$113=E7)*('C19RM 2021-Pharma'!$BS$14:$BS$113)*(('C19RM 2021-Pharma'!$AU$14:$AU$113)))),0)))),0)))</f>
        <v>0</v>
      </c>
      <c r="AL7" s="359" cm="1">
        <f t="array" ref="AL7">IF((INDEX(SETUP!$F$19:$F$503,(MATCH(1,(SETUP!$B$19:$B$503=B7)*(SETUP!$D$19:$D$503=D7),0))))="Upfront",0,(IF((INDEX(SETUP!$F$19:$F$503,(MATCH(1,(SETUP!$B$19:$B$503=B7)*(SETUP!$D$19:$D$503=D7),0))))="At delivery",IF((INDEX(SETUP!$G$19:$G$503,(MATCH(1,(SETUP!$B$19:$B$503=B7)*(SETUP!$D$19:$D$503=D7),0))))=4,(SUMPRODUCT(('C19RM 2021-Pharma'!$A$14:$D$113=E7)*('C19RM 2021-Pharma'!$BS$14:$BS$113)*(('C19RM 2021-Pharma'!$AS$14:$AS$113)))),IF((INDEX(SETUP!$G$19:$G$503,(MATCH(1,(SETUP!$B$19:$B$503=B7)*(SETUP!$D$19:$D$503=D7),0))))=3,(SUMPRODUCT(('C19RM 2021-Pharma'!$A$14:$D$113=E7)*('C19RM 2021-Pharma'!$BS$14:$BS$113)*(('C19RM 2021-Pharma'!$AT$14:$AT$113)))),IF((INDEX(SETUP!$G$19:$G$503,(MATCH(1,(SETUP!$B$19:$B$503=B7)*(SETUP!$D$19:$D$503=D7),0))))=2,(SUMPRODUCT(('C19RM 2021-Pharma'!$A$14:$D$113=E7)*('C19RM 2021-Pharma'!$BS$14:$BS$113)*(('C19RM 2021-Pharma'!$AU$14:$AU$113)))),
IF((INDEX(SETUP!$G$19:$G$503,(MATCH(1,(SETUP!$B$19:$B$503=B7)*(SETUP!$D$19:$D$503=D7),0))))=1,
(SUMPRODUCT(('C19RM 2021-Pharma'!$A$14:$D$113=E7)*('C19RM 2021-Pharma'!$BS$14:$BS$113)*(('C19RM 2021-Pharma'!$AV$14:$AV$113)))),0)))),0)))</f>
        <v>0</v>
      </c>
      <c r="AM7" s="359" cm="1">
        <f t="array" ref="AM7">IF((INDEX(SETUP!$F$19:$F$503,(MATCH(1,(SETUP!$B$19:$B$503=B7)*(SETUP!$D$19:$D$503=D7),0))))="Upfront",0,(IF((INDEX(SETUP!$F$19:$F$503,(MATCH(1,(SETUP!$B$19:$B$503=B7)*(SETUP!$D$19:$D$503=D7),0))))="At delivery",IF((INDEX(SETUP!$G$19:$G$503,(MATCH(1,(SETUP!$B$19:$B$503=B7)*(SETUP!$D$19:$D$503=D7),0))))=4,(SUMPRODUCT(('C19RM 2021-Pharma'!$A$14:$D$113=E7)*('C19RM 2021-Pharma'!$BS$14:$BS$113)*(('C19RM 2021-Pharma'!$AT$14:$AT$113)))),IF((INDEX(SETUP!$G$19:$G$503,(MATCH(1,(SETUP!$B$19:$B$503=B7)*(SETUP!$D$19:$D$503=D7),0))))=3,(SUMPRODUCT(('C19RM 2021-Pharma'!$A$14:$D$113=E7)*('C19RM 2021-Pharma'!$BS$14:$BS$113)*(('C19RM 2021-Pharma'!$AU$14:$AU$113)))),IF((INDEX(SETUP!$G$19:$G$503,(MATCH(1,(SETUP!$B$19:$B$503=B7)*(SETUP!$D$19:$D$503=D7),0))))=2,(SUMPRODUCT(('C19RM 2021-Pharma'!$A$14:$D$113=E7)*('C19RM 2021-Pharma'!$BS$14:$BS$113)*(('C19RM 2021-Pharma'!$AV$14:$AV$113)))),IF((INDEX(SETUP!$G$19:$G$503,(MATCH(1,(SETUP!$B$19:$B$503=B7)*(SETUP!$D$19:$D$503=D7),0))))=1,(0),0)))),0)))</f>
        <v>0</v>
      </c>
      <c r="AN7" s="359" cm="1">
        <f t="array" ref="AN7">IF((INDEX(SETUP!$F$19:$F$503,(MATCH(1,(SETUP!$B$19:$B$503=B7)*(SETUP!$D$19:$D$503=D7),0))))="Upfront",0,(IF((INDEX(SETUP!$F$19:$F$503,(MATCH(1,(SETUP!$B$19:$B$503=B7)*(SETUP!$D$19:$D$503=D7),0))))="At delivery",IF((INDEX(SETUP!$G$19:$G$503,(MATCH(1,(SETUP!$B$19:$B$503=B7)*(SETUP!$D$19:$D$503=D7),0))))=4,(SUMPRODUCT(('C19RM 2021-Pharma'!$A$14:$D$113=E7)*('C19RM 2021-Pharma'!$BS$14:$BS$113)*(('C19RM 2021-Pharma'!$AU$14:$AU$113)))),IF((INDEX(SETUP!$G$19:$G$503,(MATCH(1,(SETUP!$B$19:$B$503=B7)*(SETUP!$D$19:$D$503=D7),0))))=3,(SUMPRODUCT(('C19RM 2021-Pharma'!$A$14:$D$113=E7)*('C19RM 2021-Pharma'!$BS$14:$BS$113)*(('C19RM 2021-Pharma'!$AV$14:$AV$113)))),IF((INDEX(SETUP!$G$19:$G$503,(MATCH(1,(SETUP!$B$19:$B$503=B7)*(SETUP!$D$19:$D$503=D7),0))))=2,(0),IF((INDEX(SETUP!$G$19:$G$503,(MATCH(1,(SETUP!$B$19:$B$503=B7)*(SETUP!$D$19:$D$503=D7),0))))=1,(0),0)))),0)))</f>
        <v>0</v>
      </c>
      <c r="AO7" s="359" cm="1">
        <f t="array" ref="AO7">IF((INDEX(SETUP!$F$19:$F$503,(MATCH(1,(SETUP!$B$19:$B$503=B7)*(SETUP!$D$19:$D$503=D7),0))))="Upfront",0,(IF((INDEX(SETUP!$F$19:$F$503,(MATCH(1,(SETUP!$B$19:$B$503=B7)*(SETUP!$D$19:$D$503=D7),0))))="At delivery",IF((INDEX(SETUP!$G$19:$G$503,(MATCH(1,(SETUP!$B$19:$B$503=B7)*(SETUP!$D$19:$D$503=D7),0))))=4,(SUMPRODUCT(('C19RM 2021-Pharma'!$A$14:$D$113=E7)*('C19RM 2021-Pharma'!$BS$14:$BS$113)*(('C19RM 2021-Pharma'!$AV$14:$AV$113)))),IF((INDEX(SETUP!$G$19:$G$503,(MATCH(1,(SETUP!$B$19:$B$503=B7)*(SETUP!$D$19:$D$503=D7),0))))=3,(0),IF((INDEX(SETUP!$G$19:$G$503,(MATCH(1,(SETUP!$B$19:$B$503=B7)*(SETUP!$D$19:$D$503=D7),0))))=2,(0),IF((INDEX(SETUP!$G$19:$G$503,(MATCH(1,(SETUP!$B$19:$B$503=B7)*(SETUP!$D$19:$D$503=D7),0))))=1,(0),0)))),0)))</f>
        <v>0</v>
      </c>
      <c r="AP7" s="359"/>
      <c r="AQ7" s="359"/>
      <c r="AR7" s="359"/>
      <c r="AS7" s="359"/>
      <c r="AT7" s="359" cm="1">
        <f t="array" ref="AT7">IF(BG7&gt;=1,0,IFERROR(SUMPRODUCT(($R$2:$AO$2=$AT$4)*($E$5:$E$100=E7)*($BC$5:$BC$100=BC7)*($R$5:$AO$100)),0))</f>
        <v>0</v>
      </c>
      <c r="AU7" s="359" cm="1">
        <f t="array" ref="AU7">IF(BG7&gt;=1,0,IFERROR(SUMPRODUCT(($R$2:$AO$2=$AU$4)*($E$5:$E$100=E7)*($BC$5:$BC$100=BC7)*($R$5:$AO$100)),0))</f>
        <v>0</v>
      </c>
      <c r="AV7" s="359" cm="1">
        <f t="array" ref="AV7">IF(BG7&gt;=1,0,IFERROR(SUMPRODUCT(($R$2:$AO$2=$AV$4)*($E$5:$E$100=E7)*($BC$5:$BC$100=BC7)*($R$5:$AO$100)),0))</f>
        <v>0</v>
      </c>
      <c r="AW7" s="359" cm="1">
        <f t="array" ref="AW7">IF(BG7&gt;=1,0,IFERROR(SUMPRODUCT(($R$2:$AO$2=$AW$4)*($E$5:$E$100=E7)*($BC$5:$BC$100=BC7)*($R$5:$AO$100)),0))</f>
        <v>0</v>
      </c>
      <c r="AX7" s="359" cm="1">
        <f t="array" ref="AX7">IF(BG7&gt;=1,0,IFERROR(SUMPRODUCT(($R$2:$AO$2=$AX$4)*($E$5:$E$100=E7)*($BC$5:$BC$100=BC7)*($R$5:$AO$100)),0))</f>
        <v>0</v>
      </c>
      <c r="AY7" s="359">
        <f t="shared" si="5"/>
        <v>0</v>
      </c>
      <c r="AZ7" s="359"/>
      <c r="BA7" s="233">
        <f t="shared" si="6"/>
        <v>0</v>
      </c>
      <c r="BB7" s="220" t="s">
        <v>83</v>
      </c>
      <c r="BC7" t="s">
        <v>177</v>
      </c>
      <c r="BD7" cm="1">
        <f t="array" ref="BD7">(SUMPRODUCT(('C19RM 2021-Pharma'!$A$14:$D$115=E7)*('C19RM 2021-Pharma'!$BU$14:$BU$115)))</f>
        <v>0</v>
      </c>
      <c r="BE7" cm="1">
        <f t="array" ref="BE7">(SUMPRODUCT((SETUP!$D$20:$D$67=D7)*(SETUP!$R$20:$R$67)))</f>
        <v>0</v>
      </c>
      <c r="BF7" cm="1">
        <f t="array" ref="BF7">(SUMPRODUCT(('C19RM 2021-Pharma'!$A$14:$D$115=E7)*('C19RM 2021-Pharma'!$BV$14:$BV$115)))</f>
        <v>0</v>
      </c>
      <c r="BG7">
        <f t="shared" si="2"/>
        <v>0</v>
      </c>
      <c r="BJ7" s="231">
        <v>4.7</v>
      </c>
    </row>
    <row r="8" spans="1:62" x14ac:dyDescent="0.35">
      <c r="A8" s="235">
        <v>1</v>
      </c>
      <c r="B8" s="220" t="s">
        <v>2750</v>
      </c>
      <c r="C8" s="235" t="s">
        <v>3192</v>
      </c>
      <c r="D8" s="235" t="s">
        <v>11</v>
      </c>
      <c r="E8" s="235" t="s">
        <v>2752</v>
      </c>
      <c r="F8" s="220">
        <f>SETUP!$E$3</f>
        <v>0</v>
      </c>
      <c r="G8" s="220" t="str">
        <f ca="1">SETUP!$J$5</f>
        <v>NA</v>
      </c>
      <c r="H8" s="220" t="str">
        <f>SETUP!$E$9</f>
        <v>C19RM</v>
      </c>
      <c r="I8" s="232">
        <f t="shared" ref="I8" si="9">IMP_ST_DATE</f>
        <v>44197</v>
      </c>
      <c r="J8" s="232">
        <f>SETUP!$L$14</f>
        <v>46022</v>
      </c>
      <c r="K8" s="220">
        <f>IFERROR(VLOOKUP(E8,'Master Data-C19RM'!$A$5:$B$35,2,0),0)</f>
        <v>0</v>
      </c>
      <c r="L8">
        <f t="shared" ref="L8" si="10">GRAN_NO</f>
        <v>0</v>
      </c>
      <c r="M8">
        <f>SETUP!$E$7</f>
        <v>0</v>
      </c>
      <c r="N8">
        <f>SETUP!$F$76</f>
        <v>6.1</v>
      </c>
      <c r="O8" t="str" cm="1">
        <f t="array" ref="O8">INDEX(SETUP!$E$19:$E$503,(MATCH(1,(SETUP!$B$19:$B$503=B8)*(SETUP!$D$19:$D$503=D8),0)))</f>
        <v>PR/SR</v>
      </c>
      <c r="P8" t="str" cm="1">
        <f t="array" ref="P8">INDEX(SETUP!$F$19:$F$503,(MATCH(1,(SETUP!$B$19:$B$503=B8)*(SETUP!$D$19:$D$503=D8),0)))</f>
        <v>At delivery</v>
      </c>
      <c r="Q8" cm="1">
        <f t="array" ref="Q8">INDEX(SETUP!$G$19:$G$503,(MATCH(1,(SETUP!$B$19:$B$503=B8)*(SETUP!$D$19:$D$503=D8),0)))</f>
        <v>1</v>
      </c>
      <c r="R8" s="359" cm="1">
        <f t="array" ref="R8">IF((INDEX(SETUP!$F$19:$F$503,(MATCH(1,(SETUP!$B$19:$B$503=B8)*(SETUP!$D$19:$D$503=D8),0))))="Upfront",(SUMPRODUCT(('C19RM 2021-Lab &amp; Other HPS'!$A$14:$D$113=E8)*('C19RM 2021-Lab &amp; Other HPS'!$BH$14:$BH$113=BJ8)*('C19RM 2021-Lab &amp; Other HPS'!$BO$14:$BO$113)*(('C19RM 2021-Lab &amp; Other HPS'!$Q$14:$Q$113)))),0)</f>
        <v>0</v>
      </c>
      <c r="S8" s="359" cm="1">
        <f t="array" ref="S8">IF((INDEX(SETUP!$F$19:$F$503,(MATCH(1,(SETUP!$B$19:$B$503=B8)*(SETUP!$D$19:$D$503=D8),0))))="Upfront",(SUMPRODUCT(('C19RM 2021-Lab &amp; Other HPS'!$A$14:$D$113=E8)*('C19RM 2021-Lab &amp; Other HPS'!$BH$14:$BH$113=$BJ8)*('C19RM 2021-Lab &amp; Other HPS'!$BO$14:$BO$113)*(('C19RM 2021-Lab &amp; Other HPS'!$R$14:$R$113)))),(IF((INDEX(SETUP!$F$19:$F$503,(MATCH(1,(SETUP!$B$19:$B$503=B8)*(SETUP!$D$19:$D$503=D8),0))))="At delivery",IF((INDEX(SETUP!$G$19:$G$503,(MATCH(1,(SETUP!$B$19:$B$503=B8)*(SETUP!$D$19:$D$503=D8),0))))=1,(SUMPRODUCT(('C19RM 2021-Lab &amp; Other HPS'!$A$14:$D$113=E8)*('C19RM 2021-Lab &amp; Other HPS'!$BH$14:$BH$113=BJ8)*('C19RM 2021-Lab &amp; Other HPS'!$BO$14:$BO$113)*(('C19RM 2021-Lab &amp; Other HPS'!$Q$14:$Q$113)))),0),0)))</f>
        <v>0</v>
      </c>
      <c r="T8" s="359" cm="1">
        <f t="array" ref="T8">IF((INDEX(SETUP!$F$19:$F$503,(MATCH(1,(SETUP!$B$19:$B$503=B8)*(SETUP!$D$19:$D$503=D8),0))))="Upfront",(SUMPRODUCT(('C19RM 2021-Lab &amp; Other HPS'!$A$14:$D$113=E8)*('C19RM 2021-Lab &amp; Other HPS'!$BH$14:$BH$113=BJ8)*('C19RM 2021-Lab &amp; Other HPS'!$BO$14:$BO$113)*(('C19RM 2021-Lab &amp; Other HPS'!$S$14:$S$113)))),(IF((INDEX(SETUP!$F$19:$F$503,(MATCH(1,(SETUP!$B$19:$B$503=B8)*(SETUP!$D$19:$D$503=D8),0))))="At delivery",IF((INDEX(SETUP!$G$19:$G$503,(MATCH(1,(SETUP!$B$19:$B$503=B8)*(SETUP!$D$19:$D$503=D8),0))))=2,(SUMPRODUCT(('C19RM 2021-Lab &amp; Other HPS'!$A$14:$D$113=E8)*('C19RM 2021-Lab &amp; Other HPS'!$BH$14:$BH$113=BJ8)*('C19RM 2021-Lab &amp; Other HPS'!$BO$14:$BO$113)*(('C19RM 2021-Lab &amp; Other HPS'!$Q$14:$Q$113)))),IF((INDEX(SETUP!$G$19:$G$503,(MATCH(1,(SETUP!$B$19:$B$503=B8)*(SETUP!$D$19:$D$503=D8),0))))=1,(SUMPRODUCT(('C19RM 2021-Lab &amp; Other HPS'!$A$14:$D$113=E8)*('C19RM 2021-Lab &amp; Other HPS'!$BH$14:$BH$113=BJ8)*('C19RM 2021-Lab &amp; Other HPS'!$BO$14:$BO$113)*(('C19RM 2021-Lab &amp; Other HPS'!$R$14:$R$113)))),0)),0)))</f>
        <v>0</v>
      </c>
      <c r="U8" s="359" cm="1">
        <f t="array" ref="U8">IF((INDEX(SETUP!$F$19:$F$503,(MATCH(1,(SETUP!$B$19:$B$503=B8)*(SETUP!$D$19:$D$503=D8),0))))="Upfront",(SUMPRODUCT(('C19RM 2021-Lab &amp; Other HPS'!$A$14:$D$113=E8)*('C19RM 2021-Lab &amp; Other HPS'!$BH$14:$BH$113=BJ8)*('C19RM 2021-Lab &amp; Other HPS'!$BO$14:$BO$113)*(('C19RM 2021-Lab &amp; Other HPS'!$T$14:$T$113)))),(IF((INDEX(SETUP!$F$19:$F$503,(MATCH(1,(SETUP!$B$19:$B$503=B8)*(SETUP!$D$19:$D$503=D8),0))))="At delivery",IF((INDEX(SETUP!$G$19:$G$503,(MATCH(1,(SETUP!$B$19:$B$503=B8)*(SETUP!$D$19:$D$503=D8),0))))=3,(SUMPRODUCT(('C19RM 2021-Lab &amp; Other HPS'!$A$14:$D$113=E8)*('C19RM 2021-Lab &amp; Other HPS'!$BH$14:$BH$113=BJ8)*('C19RM 2021-Lab &amp; Other HPS'!$BO$14:$BO$113)*(('C19RM 2021-Lab &amp; Other HPS'!$Q$14:$Q$113)))),IF((INDEX(SETUP!$G$19:$G$503,(MATCH(1,(SETUP!$B$19:$B$503=B8)*(SETUP!$D$19:$D$503=D8),0))))=2,(SUMPRODUCT(('C19RM 2021-Lab &amp; Other HPS'!$A$14:$D$113=E8)*('C19RM 2021-Lab &amp; Other HPS'!$BH$14:$BH$113=BJ8)*('C19RM 2021-Lab &amp; Other HPS'!$BO$14:$BO$113)*(('C19RM 2021-Lab &amp; Other HPS'!$R$14:$R$113)))),IF((INDEX(SETUP!$G$19:$G$503,(MATCH(1,(SETUP!$B$19:$B$503=B8)*(SETUP!$D$19:$D$503=D8),0))))=1,(SUMPRODUCT(('C19RM 2021-Lab &amp; Other HPS'!$A$14:$D$113=E8)*('C19RM 2021-Lab &amp; Other HPS'!$BH$14:$BH$113=BJ8)*('C19RM 2021-Lab &amp; Other HPS'!$BO$14:$BO$113)*(('C19RM 2021-Lab &amp; Other HPS'!$S$14:$S$113)))),0))),0)))</f>
        <v>0</v>
      </c>
      <c r="V8" s="359" cm="1">
        <f t="array" ref="V8">IF((INDEX(SETUP!$F$19:$F$503,(MATCH(1,(SETUP!$B$19:$B$503=B8)*(SETUP!$D$19:$D$503=D8),0))))="Upfront",(SUMPRODUCT(('C19RM 2021-Lab &amp; Other HPS'!$A$14:$D$113=E8)*('C19RM 2021-Lab &amp; Other HPS'!$BH$14:$BH$113=BJ8)*('C19RM 2021-Lab &amp; Other HPS'!$BP$14:$BP$113)*(('C19RM 2021-Lab &amp; Other HPS'!$X$14:$X$113)))),(IF((INDEX(SETUP!$F$19:$F$503,(MATCH(1,(SETUP!$B$19:$B$503=B8)*(SETUP!$D$19:$D$503=D8),0))))="At delivery",IF((INDEX(SETUP!$G$19:$G$503,(MATCH(1,(SETUP!$B$19:$B$503=B8)*(SETUP!$D$19:$D$503=D8),0))))=4,(SUMPRODUCT(('C19RM 2021-Lab &amp; Other HPS'!$A$14:$D$113=E8)*('C19RM 2021-Lab &amp; Other HPS'!$BH$14:$BH$113=BJ8)*('C19RM 2021-Lab &amp; Other HPS'!$BO$14:$BO$113)*(('C19RM 2021-Lab &amp; Other HPS'!$Q$14:$Q$113)))),IF((INDEX(SETUP!$G$19:$G$503,(MATCH(1,(SETUP!$B$19:$B$503=B8)*(SETUP!$D$19:$D$503=D8),0))))=3,(SUMPRODUCT(('C19RM 2021-Lab &amp; Other HPS'!$A$14:$D$113=E8)*('C19RM 2021-Lab &amp; Other HPS'!$BH$14:$BH$113=BJ8)*('C19RM 2021-Lab &amp; Other HPS'!$BO$14:$BO$113)*(('C19RM 2021-Lab &amp; Other HPS'!$R$14:$R$113)))),IF((INDEX(SETUP!$G$19:$G$503,(MATCH(1,(SETUP!$B$19:$B$503=B8)*(SETUP!$D$19:$D$503=D8),0))))=2,(SUMPRODUCT(('C19RM 2021-Lab &amp; Other HPS'!$A$14:$D$113=E8)*('C19RM 2021-Lab &amp; Other HPS'!$BH$14:$BH$113=BJ8)*('C19RM 2021-Lab &amp; Other HPS'!$BO$14:$BO$113)*(('C19RM 2021-Lab &amp; Other HPS'!$S$14:$S$113)))),IF((INDEX(SETUP!$G$19:$G$503,(MATCH(1,(SETUP!$B$19:$B$503=B8)*(SETUP!$D$19:$D$503=D8),0))))=1,(SUMPRODUCT(('C19RM 2021-Lab &amp; Other HPS'!$A$14:$D$113=E8)*('C19RM 2021-Lab &amp; Other HPS'!$BH$14:$BH$113=BJ8)*('C19RM 2021-Lab &amp; Other HPS'!$BO$14:$BO$113)*(('C19RM 2021-Lab &amp; Other HPS'!$T$14:$T$113)))),0)))),0)))</f>
        <v>0</v>
      </c>
      <c r="W8" s="359" cm="1">
        <f t="array" ref="W8">IF((INDEX(SETUP!$F$19:$F$503,(MATCH(1,(SETUP!$B$19:$B$503=B8)*(SETUP!$D$19:$D$503=D8),0))))="Upfront",(SUMPRODUCT(('C19RM 2021-Lab &amp; Other HPS'!$A$14:$D$113=E8)*('C19RM 2021-Lab &amp; Other HPS'!$BH$14:$BH$113=BJ8)*('C19RM 2021-Lab &amp; Other HPS'!$BP$14:$BP$113)*(('C19RM 2021-Lab &amp; Other HPS'!$Y$14:$Y$113)))),(IF((INDEX(SETUP!$F$19:$F$503,(MATCH(1,(SETUP!$B$19:$B$503=B8)*(SETUP!$D$19:$D$503=D8),0))))="At delivery",IF((INDEX(SETUP!$G$19:$G$503,(MATCH(1,(SETUP!$B$19:$B$503=B8)*(SETUP!$D$19:$D$503=D8),0))))=4,(SUMPRODUCT(('C19RM 2021-Lab &amp; Other HPS'!$A$14:$D$113=E8)*('C19RM 2021-Lab &amp; Other HPS'!$BH$14:$BH$113=BJ8)*('C19RM 2021-Lab &amp; Other HPS'!$BO$14:$BO$113)*(('C19RM 2021-Lab &amp; Other HPS'!$R$14:$R$113)))),IF((INDEX(SETUP!$G$19:$G$503,(MATCH(1,(SETUP!$B$19:$B$503=B8)*(SETUP!$D$19:$D$503=D8),0))))=3,(SUMPRODUCT(('C19RM 2021-Lab &amp; Other HPS'!$A$14:$D$113=E8)*('C19RM 2021-Lab &amp; Other HPS'!$BH$14:$BH$113=BJ8)*('C19RM 2021-Lab &amp; Other HPS'!$BO$14:$BO$113)*(('C19RM 2021-Lab &amp; Other HPS'!$S$14:$S$113)))),IF((INDEX(SETUP!$G$19:$G$503,(MATCH(1,(SETUP!$B$19:$B$503=B8)*(SETUP!$D$19:$D$503=D8),0))))=2,((SUMPRODUCT(('C19RM 2021-Lab &amp; Other HPS'!$A$14:$D$113=E8)*('C19RM 2021-Lab &amp; Other HPS'!$BH$14:$BH$113=BJ8)*('C19RM 2021-Lab &amp; Other HPS'!$BO$14:$BO$113)*(('C19RM 2021-Lab &amp; Other HPS'!$T$14:$T$113))))),IF((INDEX(SETUP!$G$19:$G$503,(MATCH(1,(SETUP!$B$19:$B$503=B8)*(SETUP!$D$19:$D$503=D8),0))))=1,(SUMPRODUCT(('C19RM 2021-Lab &amp; Other HPS'!$A$14:$D$113=E8)*('C19RM 2021-Lab &amp; Other HPS'!$BH$14:$BH$113=BJ8)*('C19RM 2021-Lab &amp; Other HPS'!$BP$14:$BP$113)*(('C19RM 2021-Lab &amp; Other HPS'!$X$14:$X$113)))),0)))),0)))</f>
        <v>0</v>
      </c>
      <c r="X8" s="359" cm="1">
        <f t="array" ref="X8">IF((INDEX(SETUP!$F$19:$F$503,(MATCH(1,(SETUP!$B$19:$B$503=B8)*(SETUP!$D$19:$D$503=D8),0))))="Upfront",(SUMPRODUCT(('C19RM 2021-Lab &amp; Other HPS'!$A$14:$D$113=E8)*('C19RM 2021-Lab &amp; Other HPS'!$BH$14:$BH$113=BJ8)*('C19RM 2021-Lab &amp; Other HPS'!$BP$14:$BP$113)*(('C19RM 2021-Lab &amp; Other HPS'!$Z$14:$Z$113)))),(IF((INDEX(SETUP!$F$19:$F$503,(MATCH(1,(SETUP!$B$19:$B$503=B8)*(SETUP!$D$19:$D$503=D8),0))))="At delivery",IF((INDEX(SETUP!$G$19:$G$503,(MATCH(1,(SETUP!$B$19:$B$503=B8)*(SETUP!$D$19:$D$503=D8),0))))=4,(SUMPRODUCT(('C19RM 2021-Lab &amp; Other HPS'!$A$14:$D$113=E8)*('C19RM 2021-Lab &amp; Other HPS'!$BH$14:$BH$113=BJ8)*('C19RM 2021-Lab &amp; Other HPS'!$BO$14:$BO$113)*(('C19RM 2021-Lab &amp; Other HPS'!$S$14:$S$113)))),IF((INDEX(SETUP!$G$19:$G$503,(MATCH(1,(SETUP!$B$19:$B$503=B8)*(SETUP!$D$19:$D$503=D8),0))))=3,((SUMPRODUCT(('C19RM 2021-Lab &amp; Other HPS'!$A$14:$D$113=E8)*('C19RM 2021-Lab &amp; Other HPS'!$BH$14:$BH$113=BJ8)*('C19RM 2021-Lab &amp; Other HPS'!$BO$14:$BO$113)*(('C19RM 2021-Lab &amp; Other HPS'!$T$14:$T$113))))),IF((INDEX(SETUP!$G$19:$G$503,(MATCH(1,(SETUP!$B$19:$B$503=B8)*(SETUP!$D$19:$D$503=D8),0))))=2,(SUMPRODUCT(('C19RM 2021-Lab &amp; Other HPS'!$A$14:$D$113=E8)*('C19RM 2021-Lab &amp; Other HPS'!$BH$14:$BH$113=BJ8)*('C19RM 2021-Lab &amp; Other HPS'!$BP$14:$BP$113)*(('C19RM 2021-Lab &amp; Other HPS'!$X$14:$X$113)))),IF((INDEX(SETUP!$G$19:$G$503,(MATCH(1,(SETUP!$B$19:$B$503=B8)*(SETUP!$D$19:$D$503=D8),0))))=1,(SUMPRODUCT(('C19RM 2021-Lab &amp; Other HPS'!$A$14:$D$113=E8)*('C19RM 2021-Lab &amp; Other HPS'!$BH$14:$BH$113=BJ8)*('C19RM 2021-Lab &amp; Other HPS'!$BP$14:$BP$113)*(('C19RM 2021-Lab &amp; Other HPS'!$Y$14:$Y$113)))),0)))),0)))</f>
        <v>0</v>
      </c>
      <c r="Y8" s="359" cm="1">
        <f t="array" ref="Y8">IF((INDEX(SETUP!$F$19:$F$503,(MATCH(1,(SETUP!$B$19:$B$503=B8)*(SETUP!$D$19:$D$503=D8),0))))="Upfront",
(SUMPRODUCT(('C19RM 2021-Lab &amp; Other HPS'!$A$14:$D$113=E8)*('C19RM 2021-Lab &amp; Other HPS'!$BH$14:$BH$113=BJ8)*('C19RM 2021-Lab &amp; Other HPS'!$BP$14:$BP$113)*(('C19RM 2021-Lab &amp; Other HPS'!$AA$14:$AA$113)))),
(IF((INDEX(SETUP!$F$19:$F$503,(MATCH(1,(SETUP!$B$19:$B$503=B8)*(SETUP!$D$19:$D$503=D8),0))))="At delivery",
IF((INDEX(SETUP!$G$19:$G$503,(MATCH(1,(SETUP!$B$19:$B$503=B8)*(SETUP!$D$19:$D$503=D8),0))))=4,
((SUMPRODUCT(('C19RM 2021-Lab &amp; Other HPS'!$A$14:$D$113=E8)*('C19RM 2021-Lab &amp; Other HPS'!$BH$14:$BH$113=BJ8)*('C19RM 2021-Lab &amp; Other HPS'!$BO$14:$BO$113)*(('C19RM 2021-Lab &amp; Other HPS'!$T$14:$T$113))))),IF((INDEX(SETUP!$G$19:$G$503,(MATCH(1,(SETUP!$B$19:$B$503=B8)*(SETUP!$D$19:$D$503=D8),0))))=3,(SUMPRODUCT(('C19RM 2021-Lab &amp; Other HPS'!$A$14:$D$113=E8)*('C19RM 2021-Lab &amp; Other HPS'!$BH$14:$BH$113=BJ8)*('C19RM 2021-Lab &amp; Other HPS'!$BP$14:$BP$113)*(('C19RM 2021-Lab &amp; Other HPS'!$X$14:$X$113)))),IF((INDEX(SETUP!$G$19:$G$503,(MATCH(1,(SETUP!$B$19:$B$503=B8)*(SETUP!$D$19:$D$503=D8),0))))=2,(SUMPRODUCT(('C19RM 2021-Lab &amp; Other HPS'!$A$14:$D$113=E8)*('C19RM 2021-Lab &amp; Other HPS'!$BH$14:$BH$113=BJ8)*('C19RM 2021-Lab &amp; Other HPS'!$BP$14:$BP$113)*(('C19RM 2021-Lab &amp; Other HPS'!$Y$14:$Y$113)))),IF((INDEX(SETUP!$G$19:$G$503,(MATCH(1,(SETUP!$B$19:$B$503=B8)*(SETUP!$D$19:$D$503=D8),0))))=1,(SUMPRODUCT(('C19RM 2021-Lab &amp; Other HPS'!$A$14:$D$113=E8)*('C19RM 2021-Lab &amp; Other HPS'!$BH$14:$BH$113=BJ8)*('C19RM 2021-Lab &amp; Other HPS'!$BP$14:$BP$113)*(('C19RM 2021-Lab &amp; Other HPS'!$Z$14:$Z$113)))),0)))),0)))</f>
        <v>0</v>
      </c>
      <c r="Z8" s="359" cm="1">
        <f t="array" ref="Z8">IF((INDEX(SETUP!$F$19:$F$503,(MATCH(1,(SETUP!$B$19:$B$503=B8)*(SETUP!$D$19:$D$503=D8),0))))="Upfront",(SUMPRODUCT(('C19RM 2021-Lab &amp; Other HPS'!$A$14:$D$113=E8)*('C19RM 2021-Lab &amp; Other HPS'!$BH$14:$BH$113=BJ8)*('C19RM 2021-Lab &amp; Other HPS'!$BQ$14:$BQ$113)*(('C19RM 2021-Lab &amp; Other HPS'!$AE$14:$AE$113)))),(IF((INDEX(SETUP!$F$19:$F$503,(MATCH(1,(SETUP!$B$19:$B$503=B8)*(SETUP!$D$19:$D$503=D8),0))))="At delivery",IF((INDEX(SETUP!$G$19:$G$503,(MATCH(1,(SETUP!$B$19:$B$503=B8)*(SETUP!$D$19:$D$503=D8),0))))=4,(SUMPRODUCT(('C19RM 2021-Lab &amp; Other HPS'!$A$14:$D$113=E8)*('C19RM 2021-Lab &amp; Other HPS'!$BH$14:$BH$113=BJ8)*('C19RM 2021-Lab &amp; Other HPS'!$BP$14:$BP$113)*(('C19RM 2021-Lab &amp; Other HPS'!$X$14:$X$113)))),IF((INDEX(SETUP!$G$19:$G$503,(MATCH(1,(SETUP!$B$19:$B$503=B8)*(SETUP!$D$19:$D$503=D8),0))))=3,(SUMPRODUCT(('C19RM 2021-Lab &amp; Other HPS'!$A$14:$D$113=E8)*('C19RM 2021-Lab &amp; Other HPS'!$BH$14:$BH$113=BJ8)*('C19RM 2021-Lab &amp; Other HPS'!$BP$14:$BP$113)*(('C19RM 2021-Lab &amp; Other HPS'!$Y$14:$Y$113)))),IF((INDEX(SETUP!$G$19:$G$503,(MATCH(1,(SETUP!$B$19:$B$503=B8)*(SETUP!$D$19:$D$503=D8),0))))=2,(SUMPRODUCT(('C19RM 2021-Lab &amp; Other HPS'!$A$14:$D$113=E8)*('C19RM 2021-Lab &amp; Other HPS'!$BH$14:$BH$113=BJ8)*('C19RM 2021-Lab &amp; Other HPS'!$BP$14:$BP$113)*(('C19RM 2021-Lab &amp; Other HPS'!$Z$14:$Z$113)))),IF((INDEX(SETUP!$G$19:$G$503,(MATCH(1,(SETUP!$B$19:$B$503=B8)*(SETUP!$D$19:$D$503=D8),0))))=1,(SUMPRODUCT(('C19RM 2021-Lab &amp; Other HPS'!$A$14:$D$113=E8)*('C19RM 2021-Lab &amp; Other HPS'!$BH$14:$BH$113=BJ8)*('C19RM 2021-Lab &amp; Other HPS'!$BP$14:$BP$113)*(('C19RM 2021-Lab &amp; Other HPS'!$AA$14:$AA$113)))),0)))),0)))</f>
        <v>0</v>
      </c>
      <c r="AA8" s="359" cm="1">
        <f t="array" ref="AA8">IF((INDEX(SETUP!$F$19:$F$503,(MATCH(1,(SETUP!$B$19:$B$503=B8)*(SETUP!$D$19:$D$503=D8),0))))="Upfront",(SUMPRODUCT(('C19RM 2021-Lab &amp; Other HPS'!$A$14:$D$113=E8)*('C19RM 2021-Lab &amp; Other HPS'!$BH$14:$BH$113=BJ8)*('C19RM 2021-Lab &amp; Other HPS'!$BQ$14:$BQ$113)*(('C19RM 2021-Lab &amp; Other HPS'!$AF$14:$AF$113)))),(IF((INDEX(SETUP!$F$19:$F$503,(MATCH(1,(SETUP!$B$19:$B$503=B8)*(SETUP!$D$19:$D$503=D8),0))))="At delivery",IF((INDEX(SETUP!$G$19:$G$503,(MATCH(1,(SETUP!$B$19:$B$503=B8)*(SETUP!$D$19:$D$503=D8),0))))=4,(SUMPRODUCT(('C19RM 2021-Lab &amp; Other HPS'!$A$14:$D$113=E8)*('C19RM 2021-Lab &amp; Other HPS'!$BH$14:$BH$113=BJ8)*('C19RM 2021-Lab &amp; Other HPS'!$BP$14:$BP$113)*(('C19RM 2021-Lab &amp; Other HPS'!$Y$14:$Y$113)))),IF((INDEX(SETUP!$G$19:$G$503,(MATCH(1,(SETUP!$B$19:$B$503=B8)*(SETUP!$D$19:$D$503=D8),0))))=3,(SUMPRODUCT(('C19RM 2021-Lab &amp; Other HPS'!$A$14:$D$113=E8)*('C19RM 2021-Lab &amp; Other HPS'!$BH$14:$BH$113=BJ8)*('C19RM 2021-Lab &amp; Other HPS'!$BP$14:$BP$113)*(('C19RM 2021-Lab &amp; Other HPS'!$Z$14:$Z$113)))),IF((INDEX(SETUP!$G$19:$G$503,(MATCH(1,(SETUP!$B$19:$B$503=B8)*(SETUP!$D$19:$D$503=D8),0))))=2,((SUMPRODUCT(('C19RM 2021-Lab &amp; Other HPS'!$A$14:$D$113=E8)*('C19RM 2021-Lab &amp; Other HPS'!$BH$14:$BH$113=BJ8)*('C19RM 2021-Lab &amp; Other HPS'!$BP$14:$BP$113)*(('C19RM 2021-Lab &amp; Other HPS'!$AA$14:$AA$113))))),IF((INDEX(SETUP!$G$19:$G$503,(MATCH(1,(SETUP!$B$19:$B$503=B8)*(SETUP!$D$19:$D$503=D8),0))))=1,(SUMPRODUCT(('C19RM 2021-Lab &amp; Other HPS'!$A$14:$D$113=E8)*('C19RM 2021-Lab &amp; Other HPS'!$BH$14:$BH$113=BJ8)*('C19RM 2021-Lab &amp; Other HPS'!$BQ$14:$BQ$113)*(('C19RM 2021-Lab &amp; Other HPS'!$AE$14:$AE$113)))),0)))),0)))</f>
        <v>0</v>
      </c>
      <c r="AB8" s="359" cm="1">
        <f t="array" ref="AB8">IF((INDEX(SETUP!$F$19:$F$503,(MATCH(1,(SETUP!$B$19:$B$503=B8)*(SETUP!$D$19:$D$503=D8),0))))="Upfront",
(SUMPRODUCT(('C19RM 2021-Lab &amp; Other HPS'!$A$14:$D$113=E8)*('C19RM 2021-Lab &amp; Other HPS'!$BH$14:$BH$113=BJ8)*('C19RM 2021-Lab &amp; Other HPS'!$BQ$14:$BQ$113)*(('C19RM 2021-Lab &amp; Other HPS'!$AG$14:$AG$113)))),
(IF((INDEX(SETUP!$F$19:$F$503,(MATCH(1,(SETUP!$B$19:$B$503=B8)*(SETUP!$D$19:$D$503=D8),0))))="At delivery",
IF((INDEX(SETUP!$G$19:$G$503,(MATCH(1,(SETUP!$B$19:$B$503=B8)*(SETUP!$D$19:$D$503=D8),0))))=4,
(SUMPRODUCT(('C19RM 2021-Lab &amp; Other HPS'!$A$14:$D$113=E8)*('C19RM 2021-Lab &amp; Other HPS'!$BH$14:$BH$113=BJ8)*('C19RM 2021-Lab &amp; Other HPS'!$BP$14:$BP$113)*(('C19RM 2021-Lab &amp; Other HPS'!$Z$14:$Z$113)))),IF((INDEX(SETUP!$G$19:$G$503,(MATCH(1,(SETUP!$B$19:$B$503=B8)*(SETUP!$D$19:$D$503=D8),0))))=3,(SUMPRODUCT(('C19RM 2021-Lab &amp; Other HPS'!$A$14:$D$113=E8)*('C19RM 2021-Lab &amp; Other HPS'!$BH$14:$BH$113=BJ8)*('C19RM 2021-Lab &amp; Other HPS'!$BP$14:$BP$113)*(('C19RM 2021-Lab &amp; Other HPS'!$AA$14:$AA$113)))),IF((INDEX(SETUP!$G$19:$G$503,(MATCH(1,(SETUP!$B$19:$B$503=B8)*(SETUP!$D$19:$D$503=D8),0))))=2,(SUMPRODUCT(('C19RM 2021-Lab &amp; Other HPS'!$A$14:$D$113=E8)*('C19RM 2021-Lab &amp; Other HPS'!$BH$14:$BH$113=BJ8)*('C19RM 2021-Lab &amp; Other HPS'!$BQ$14:$BQ$113)*(('C19RM 2021-Lab &amp; Other HPS'!$AE$14:$AE$113)))),IF((INDEX(SETUP!$G$19:$G$503,(MATCH(1,(SETUP!$B$19:$B$503=B8)*(SETUP!$D$19:$D$503=D8),0))))=1,(SUMPRODUCT(('C19RM 2021-Lab &amp; Other HPS'!$A$14:$D$113=E8)*('C19RM 2021-Lab &amp; Other HPS'!$BH$14:$BH$113=BJ8)*('C19RM 2021-Lab &amp; Other HPS'!$BQ$14:$BQ$113)*(('C19RM 2021-Lab &amp; Other HPS'!$AF$14:$AF$113)))),0)))),0)))</f>
        <v>0</v>
      </c>
      <c r="AC8" s="359" cm="1">
        <f t="array" ref="AC8">IF((INDEX(SETUP!$F$19:$F$503,(MATCH(1,(SETUP!$B$19:$B$503=B8)*(SETUP!$D$19:$D$503=D8),0))))="Upfront",
(SUMPRODUCT(('C19RM 2021-Lab &amp; Other HPS'!$A$14:$D$113=E8)*('C19RM 2021-Lab &amp; Other HPS'!$BH$14:$BH$113=BJ8)*('C19RM 2021-Lab &amp; Other HPS'!$BQ$14:$BQ$113)*(('C19RM 2021-Lab &amp; Other HPS'!$AH$14:$AH$113)))),
(IF((INDEX(SETUP!$F$19:$F$503,(MATCH(1,(SETUP!$B$19:$B$503=B8)*(SETUP!$D$19:$D$503=D8),0))))="At delivery",
IF((INDEX(SETUP!$G$19:$G$503,(MATCH(1,(SETUP!$B$19:$B$503=B8)*(SETUP!$D$19:$D$503=D8),0))))=4,
(SUMPRODUCT(('C19RM 2021-Lab &amp; Other HPS'!$A$14:$D$113=E8)*('C19RM 2021-Lab &amp; Other HPS'!$BH$14:$BH$113=BJ8)*('C19RM 2021-Lab &amp; Other HPS'!$BP$14:$BP$113)*(('C19RM 2021-Lab &amp; Other HPS'!$AA$14:$AA$113)))),IF((INDEX(SETUP!$G$19:$G$503,(MATCH(1,(SETUP!$B$19:$B$503=B8)*(SETUP!$D$19:$D$503=D8),0))))=3,(SUMPRODUCT(('C19RM 2021-Lab &amp; Other HPS'!$A$14:$D$113=E8)*('C19RM 2021-Lab &amp; Other HPS'!$BH$14:$BH$113=BJ8)*('C19RM 2021-Lab &amp; Other HPS'!$BQ$14:$BQ$113)*(('C19RM 2021-Lab &amp; Other HPS'!$AE$14:$AE$113)))),IF((INDEX(SETUP!$G$19:$G$503,(MATCH(1,(SETUP!$B$19:$B$503=B8)*(SETUP!$D$19:$D$503=D8),0))))=2,(SUMPRODUCT(('C19RM 2021-Lab &amp; Other HPS'!$A$14:$D$113=E8)*('C19RM 2021-Lab &amp; Other HPS'!$BH$14:$BH$113=BJ8)*('C19RM 2021-Lab &amp; Other HPS'!$BQ$14:$BQ$113)*(('C19RM 2021-Lab &amp; Other HPS'!$AF$14:$AF$113)))),IF((INDEX(SETUP!$G$19:$G$503,(MATCH(1,(SETUP!$B$19:$B$503=B8)*(SETUP!$D$19:$D$503=D8),0))))=1,(SUMPRODUCT(('C19RM 2021-Lab &amp; Other HPS'!$A$14:$D$113=E8)*('C19RM 2021-Lab &amp; Other HPS'!$BH$14:$BH$113=BJ8)*('C19RM 2021-Lab &amp; Other HPS'!$BQ$14:$BQ$113)*(('C19RM 2021-Lab &amp; Other HPS'!$AG$14:$AG$113)))),0)))),0)))</f>
        <v>0</v>
      </c>
      <c r="AD8" s="359" cm="1">
        <f t="array" ref="AD8">IF((INDEX(SETUP!$F$19:$F$503,(MATCH(1,(SETUP!$B$19:$B$503=B8)*(SETUP!$D$19:$D$503=D8),0))))="Upfront",
(SUMPRODUCT(('C19RM 2021-Lab &amp; Other HPS'!$A$14:$D$113=E8)*('C19RM 2021-Lab &amp; Other HPS'!$BH$14:$BH$113=BJ8)*('C19RM 2021-Lab &amp; Other HPS'!$BR$14:$BR$113)*(('C19RM 2021-Lab &amp; Other HPS'!$AL$14:$AL$113)))),
(IF((INDEX(SETUP!$F$19:$F$503,(MATCH(1,(SETUP!$B$19:$B$503=B8)*(SETUP!$D$19:$D$503=D8),0))))="At delivery",
IF((INDEX(SETUP!$G$19:$G$503,(MATCH(1,(SETUP!$B$19:$B$503=B8)*(SETUP!$D$19:$D$503=D8),0))))=4,
(SUMPRODUCT(('C19RM 2021-Lab &amp; Other HPS'!$A$14:$D$113=E8)*('C19RM 2021-Lab &amp; Other HPS'!$BH$14:$BH$113=BJ8)*('C19RM 2021-Lab &amp; Other HPS'!$BQ$14:$BQ$113)*(('C19RM 2021-Lab &amp; Other HPS'!$AE$14:$AE$113)))),IF((INDEX(SETUP!$G$19:$G$503,(MATCH(1,(SETUP!$B$19:$B$503=B8)*(SETUP!$D$19:$D$503=D8),0))))=3,((SUMPRODUCT(('C19RM 2021-Lab &amp; Other HPS'!$A$14:$D$113=E8)*('C19RM 2021-Lab &amp; Other HPS'!$BH$14:$BH$113=BJ8)*('C19RM 2021-Lab &amp; Other HPS'!$BQ$14:$BQ$113)*(('C19RM 2021-Lab &amp; Other HPS'!$AF$14:$AF$113))))),IF((INDEX(SETUP!$G$19:$G$503,(MATCH(1,(SETUP!$B$19:$B$503=B8)*(SETUP!$D$19:$D$503=D8),0))))=2,(SUMPRODUCT(('C19RM 2021-Lab &amp; Other HPS'!$A$14:$D$113=E8)*('C19RM 2021-Lab &amp; Other HPS'!$BH$14:$BH$113=BJ8)*('C19RM 2021-Lab &amp; Other HPS'!$BQ$14:$BQ$113)*(('C19RM 2021-Lab &amp; Other HPS'!$AG$14:$AG$113)))),IF((INDEX(SETUP!$G$19:$G$503,(MATCH(1,(SETUP!$B$19:$B$503=B8)*(SETUP!$D$19:$D$503=D8),0))))=1,(SUMPRODUCT(('C19RM 2021-Lab &amp; Other HPS'!$A$14:$D$113=E8)*('C19RM 2021-Lab &amp; Other HPS'!$BH$14:$BH$113=BJ8)*('C19RM 2021-Lab &amp; Other HPS'!$BQ$14:$BQ$113)*(('C19RM 2021-Lab &amp; Other HPS'!$AH$14:$AH$113)))),0)))),0)))</f>
        <v>0</v>
      </c>
      <c r="AE8" s="359" cm="1">
        <f t="array" ref="AE8">IF((INDEX(SETUP!$F$19:$F$503,(MATCH(1,(SETUP!$B$19:$B$503=B8)*(SETUP!$D$19:$D$503=D8),0))))="Upfront",
(SUMPRODUCT(('C19RM 2021-Lab &amp; Other HPS'!$A$14:$D$113=E8)*('C19RM 2021-Lab &amp; Other HPS'!$BH$14:$BH$113=BJ8)*('C19RM 2021-Lab &amp; Other HPS'!$BR$14:$BR$113)*(('C19RM 2021-Lab &amp; Other HPS'!$AM$14:$AM$113)))),
(IF((INDEX(SETUP!$F$19:$F$503,(MATCH(1,(SETUP!$B$19:$B$503=B8)*(SETUP!$D$19:$D$503=D8),0))))="At delivery",
IF((INDEX(SETUP!$G$19:$G$503,(MATCH(1,(SETUP!$B$19:$B$503=B8)*(SETUP!$D$19:$D$503=D8),0))))=4,
(SUMPRODUCT(('C19RM 2021-Lab &amp; Other HPS'!$A$14:$D$113=E8)*('C19RM 2021-Lab &amp; Other HPS'!$BH$14:$BH$113=BJ8)*('C19RM 2021-Lab &amp; Other HPS'!$BQ$14:$BQ$113)*(('C19RM 2021-Lab &amp; Other HPS'!$AF$14:$AF$113)))),IF((INDEX(SETUP!$G$19:$G$503,(MATCH(1,(SETUP!$B$19:$B$503=B8)*(SETUP!$D$19:$D$503=D8),0))))=3,(SUMPRODUCT(('C19RM 2021-Lab &amp; Other HPS'!$A$14:$D$113=E8)*('C19RM 2021-Lab &amp; Other HPS'!$BH$14:$BH$113=BJ8)*('C19RM 2021-Lab &amp; Other HPS'!$BQ$14:$BQ$113)*(('C19RM 2021-Lab &amp; Other HPS'!$AG$14:$AG$113)))),IF((INDEX(SETUP!$G$19:$G$503,(MATCH(1,(SETUP!$B$19:$B$503=B8)*(SETUP!$D$19:$D$503=D8),0))))=2,(SUMPRODUCT(('C19RM 2021-Lab &amp; Other HPS'!$A$14:$D$113=E8)*('C19RM 2021-Lab &amp; Other HPS'!$BH$14:$BH$113=BJ8)*('C19RM 2021-Lab &amp; Other HPS'!$BQ$14:$BQ$113)*(('C19RM 2021-Lab &amp; Other HPS'!$AH$14:$AH$113)))),IF((INDEX(SETUP!$G$19:$G$503,(MATCH(1,(SETUP!$B$19:$B$503=B8)*(SETUP!$D$19:$D$503=D8),0))))=1,(SUMPRODUCT(('C19RM 2021-Lab &amp; Other HPS'!$A$14:$D$113=E8)*('C19RM 2021-Lab &amp; Other HPS'!$BH$14:$BH$113=BJ8)*('C19RM 2021-Lab &amp; Other HPS'!$BR$14:$BR$113)*(('C19RM 2021-Lab &amp; Other HPS'!$AL$14:$AL$113)))),0)))),0)))</f>
        <v>0</v>
      </c>
      <c r="AF8" s="359" cm="1">
        <f t="array" ref="AF8">IF((INDEX(SETUP!$F$19:$F$503,(MATCH(1,(SETUP!$B$19:$B$503=B8)*(SETUP!$D$19:$D$503=D8),0))))="Upfront",
(SUMPRODUCT(('C19RM 2021-Lab &amp; Other HPS'!$A$14:$D$113=E8)*('C19RM 2021-Lab &amp; Other HPS'!$BH$14:$BH$113=BJ8)*('C19RM 2021-Lab &amp; Other HPS'!$BR$14:$BR$113)*(('C19RM 2021-Lab &amp; Other HPS'!$AN$14:$AN$113)))),
(IF((INDEX(SETUP!$F$19:$F$503,(MATCH(1,(SETUP!$B$19:$B$503=B8)*(SETUP!$D$19:$D$503=D8),0))))="At delivery",
IF((INDEX(SETUP!$G$19:$G$503,(MATCH(1,(SETUP!$B$19:$B$503=B8)*(SETUP!$D$19:$D$503=D8),0))))=4,
(SUMPRODUCT(('C19RM 2021-Lab &amp; Other HPS'!$A$14:$D$113=E8)*('C19RM 2021-Lab &amp; Other HPS'!$BH$14:$BH$113=BJ8)*('C19RM 2021-Lab &amp; Other HPS'!$BQ$14:$BQ$113)*(('C19RM 2021-Lab &amp; Other HPS'!$AG$14:$AG$113)))),IF((INDEX(SETUP!$G$19:$G$503,(MATCH(1,(SETUP!$B$19:$B$503=B8)*(SETUP!$D$19:$D$503=D8),0))))=3,(SUMPRODUCT(('C19RM 2021-Lab &amp; Other HPS'!$A$14:$D$113=E8)*('C19RM 2021-Lab &amp; Other HPS'!$BH$14:$BH$113=BJ8)*('C19RM 2021-Lab &amp; Other HPS'!$BQ$14:$BQ$113)*(('C19RM 2021-Lab &amp; Other HPS'!$AH$14:$AH$113)))),IF((INDEX(SETUP!$G$19:$G$503,(MATCH(1,(SETUP!$B$19:$B$503=B8)*(SETUP!$D$19:$D$503=D8),0))))=2,(SUMPRODUCT(('C19RM 2021-Lab &amp; Other HPS'!$A$14:$D$113=E8)*('C19RM 2021-Lab &amp; Other HPS'!$BH$14:$BH$113=BJ8)*('C19RM 2021-Lab &amp; Other HPS'!$BR$14:$BR$113)*(('C19RM 2021-Lab &amp; Other HPS'!$AL$14:$AL$113)))),IF((INDEX(SETUP!$G$19:$G$503,(MATCH(1,(SETUP!$B$19:$B$503=B8)*(SETUP!$D$19:$D$503=D8),0))))=1,(SUMPRODUCT(('C19RM 2021-Lab &amp; Other HPS'!$A$14:$D$113=E8)*('C19RM 2021-Lab &amp; Other HPS'!$BH$14:$BH$113=BJ8)*('C19RM 2021-Lab &amp; Other HPS'!$BR$14:$BR$113)*(('C19RM 2021-Lab &amp; Other HPS'!$AM$14:$AM$113)))),0)))),0)))</f>
        <v>0</v>
      </c>
      <c r="AG8" s="359" cm="1">
        <f t="array" ref="AG8">IF((INDEX(SETUP!$F$19:$F$503,(MATCH(1,(SETUP!$B$19:$B$503=B8)*(SETUP!$D$19:$D$503=D8),0))))="Upfront",(SUMPRODUCT(('C19RM 2021-Lab &amp; Other HPS'!$A$14:$D$113=E8)*('C19RM 2021-Lab &amp; Other HPS'!$BH$14:$BH$113=BJ8)*('C19RM 2021-Lab &amp; Other HPS'!$BR$14:$BR$113)*(('C19RM 2021-Lab &amp; Other HPS'!$AO$14:$AO$113)))),(IF((INDEX(SETUP!$F$19:$F$503,(MATCH(1,(SETUP!$B$19:$B$503=B8)*(SETUP!$D$19:$D$503=D8),0))))="At delivery",IF((INDEX(SETUP!$G$19:$G$503,(MATCH(1,(SETUP!$B$19:$B$503=B8)*(SETUP!$D$19:$D$503=D8),0))))=4,(SUMPRODUCT(('C19RM 2021-Lab &amp; Other HPS'!$A$14:$D$113=E8)*('C19RM 2021-Lab &amp; Other HPS'!$BH$14:$BH$113=BJ8)*('C19RM 2021-Lab &amp; Other HPS'!$BQ$14:$BQ$113)*(('C19RM 2021-Lab &amp; Other HPS'!$AH$14:$AH$113)))),IF((INDEX(SETUP!$G$19:$G$503,(MATCH(1,(SETUP!$B$19:$B$503=B8)*(SETUP!$D$19:$D$503=D8),0))))=3,(SUMPRODUCT(('C19RM 2021-Lab &amp; Other HPS'!$A$14:$D$113=E8)*('C19RM 2021-Lab &amp; Other HPS'!$BH$14:$BH$113=BJ8)*('C19RM 2021-Lab &amp; Other HPS'!$BR$14:$BR$113)*(('C19RM 2021-Lab &amp; Other HPS'!$AL$14:$AL$113)))),IF((INDEX(SETUP!$G$19:$G$503,(MATCH(1,(SETUP!$B$19:$B$503=B8)*(SETUP!$D$19:$D$503=D8),0))))=2,(SUMPRODUCT(('C19RM 2021-Lab &amp; Other HPS'!$A$14:$D$113=E8)*('C19RM 2021-Lab &amp; Other HPS'!$BH$14:$BH$113=BJ8)*('C19RM 2021-Lab &amp; Other HPS'!$BR$14:$BR$113)*(('C19RM 2021-Lab &amp; Other HPS'!$AM$14:$AM$113)))),IF((INDEX(SETUP!$G$19:$G$503,(MATCH(1,(SETUP!$B$19:$B$503=B8)*(SETUP!$D$19:$D$503=D8),0))))=1,(SUMPRODUCT(('C19RM 2021-Lab &amp; Other HPS'!$A$14:$D$113=E8)*('C19RM 2021-Lab &amp; Other HPS'!$BH$14:$BH$113=BJ8)*('C19RM 2021-Lab &amp; Other HPS'!$BR$14:$BR$113)*(('C19RM 2021-Lab &amp; Other HPS'!$AN$14:$AN$113)))),0)))),0)))</f>
        <v>0</v>
      </c>
      <c r="AH8" s="359" cm="1">
        <f t="array" ref="AH8">IF((INDEX(SETUP!$F$19:$F$503,(MATCH(1,(SETUP!$B$19:$B$503=B8)*(SETUP!$D$19:$D$503=D8),0))))="Upfront",
(SUMPRODUCT(('C19RM 2021-Lab &amp; Other HPS'!$A$14:$D$113=E8)*('C19RM 2021-Lab &amp; Other HPS'!$BH$14:$BH$113=BJ8)*('C19RM 2021-Lab &amp; Other HPS'!$BH$14:$BH$113=BJ8)*('C19RM 2021-Lab &amp; Other HPS'!$BS$14:$BS$113)*(('C19RM 2021-Lab &amp; Other HPS'!$AS$14:$AS$113)))),
(IF((INDEX(SETUP!$F$19:$F$503,(MATCH(1,(SETUP!$B$19:$B$503=B8)*(SETUP!$D$19:$D$503=D8),0))))="At delivery",
IF((INDEX(SETUP!$G$19:$G$503,(MATCH(1,(SETUP!$B$19:$B$503=B8)*(SETUP!$D$19:$D$503=D8),0))))=4,
(SUMPRODUCT(('C19RM 2021-Lab &amp; Other HPS'!$A$14:$D$113=E8)*('C19RM 2021-Lab &amp; Other HPS'!$BH$14:$BH$113=BJ8)*('C19RM 2021-Lab &amp; Other HPS'!$BH$14:$BH$113=BJ8)*('C19RM 2021-Lab &amp; Other HPS'!$BR$14:$BR$113)*(('C19RM 2021-Lab &amp; Other HPS'!$AL$14:$AL$113)))),IF((INDEX(SETUP!$G$19:$G$503,(MATCH(1,(SETUP!$B$19:$B$503=B8)*(SETUP!$D$19:$D$503=D8),0))))=3,((SUMPRODUCT(('C19RM 2021-Lab &amp; Other HPS'!$A$14:$D$113=E8)*('C19RM 2021-Lab &amp; Other HPS'!$BH$14:$BH$113=BJ8)*('C19RM 2021-Lab &amp; Other HPS'!$BH$14:$BH$113=BJ8)*('C19RM 2021-Lab &amp; Other HPS'!$BR$14:$BR$113)*(('C19RM 2021-Lab &amp; Other HPS'!$AM$14:$AM$113))))),IF((INDEX(SETUP!$G$19:$G$503,(MATCH(1,(SETUP!$B$19:$B$503=B8)*(SETUP!$D$19:$D$503=D8),0))))=2,(SUMPRODUCT(('C19RM 2021-Lab &amp; Other HPS'!$A$14:$D$113=E8)*('C19RM 2021-Lab &amp; Other HPS'!$BH$14:$BH$113=BJ8)*('C19RM 2021-Lab &amp; Other HPS'!$BR$14:$BR$113)*(('C19RM 2021-Lab &amp; Other HPS'!$AN$14:$AN$113)))),IF((INDEX(SETUP!$G$19:$G$503,(MATCH(1,(SETUP!$B$19:$B$503=B8)*(SETUP!$D$19:$D$503=D8),0))))=1,(SUMPRODUCT(('C19RM 2021-Lab &amp; Other HPS'!$A$14:$D$113=E8)*('C19RM 2021-Lab &amp; Other HPS'!$BH$14:$BH$113=BJ8)*('C19RM 2021-Lab &amp; Other HPS'!$BR$14:$BR$113)*(('C19RM 2021-Lab &amp; Other HPS'!$AO$14:$AO$113)))),0)))),0)))</f>
        <v>0</v>
      </c>
      <c r="AI8" s="359" cm="1">
        <f t="array" ref="AI8">IF((INDEX(SETUP!$F$19:$F$503,(MATCH(1,(SETUP!$B$19:$B$503=B8)*(SETUP!$D$19:$D$503=D8),0))))="Upfront",
(SUMPRODUCT(('C19RM 2021-Lab &amp; Other HPS'!$A$14:$D$113=E8)*('C19RM 2021-Lab &amp; Other HPS'!$BH$14:$BH$113=BJ8)*('C19RM 2021-Lab &amp; Other HPS'!$BS$14:$BS$113)*(('C19RM 2021-Lab &amp; Other HPS'!$AT$14:$AT$113)))),
(IF((INDEX(SETUP!$F$19:$F$503,(MATCH(1,(SETUP!$B$19:$B$503=B8)*(SETUP!$D$19:$D$503=D8),0))))="At delivery",
IF((INDEX(SETUP!$G$19:$G$503,(MATCH(1,(SETUP!$B$19:$B$503=B8)*(SETUP!$D$19:$D$503=D8),0))))=4,
(SUMPRODUCT(('C19RM 2021-Lab &amp; Other HPS'!$A$14:$D$113=E8)*('C19RM 2021-Lab &amp; Other HPS'!$BH$14:$BH$113=BJ8)*('C19RM 2021-Lab &amp; Other HPS'!$BR$14:$BR$113)*(('C19RM 2021-Lab &amp; Other HPS'!$AM$14:$AM$113)))),IF((INDEX(SETUP!$G$19:$G$503,(MATCH(1,(SETUP!$B$19:$B$503=B8)*(SETUP!$D$19:$D$503=D8),0))))=3,((SUMPRODUCT(('C19RM 2021-Lab &amp; Other HPS'!$A$14:$D$113=E8)*('C19RM 2021-Lab &amp; Other HPS'!$BH$14:$BH$113=BJ8)*('C19RM 2021-Lab &amp; Other HPS'!$BR$14:$BR$113)*(('C19RM 2021-Lab &amp; Other HPS'!$AN$14:$AN$113))))),IF((INDEX(SETUP!$G$19:$G$503,(MATCH(1,(SETUP!$B$19:$B$503=B8)*(SETUP!$D$19:$D$503=D8),0))))=2,(SUMPRODUCT(('C19RM 2021-Lab &amp; Other HPS'!$A$14:$D$113=E8)*('C19RM 2021-Lab &amp; Other HPS'!$BH$14:$BH$113=BJ8)*('C19RM 2021-Lab &amp; Other HPS'!$BR$14:$BR$113)*(('C19RM 2021-Lab &amp; Other HPS'!$AO$14:$AO$113)))),IF((INDEX(SETUP!$G$19:$G$503,(MATCH(1,(SETUP!$B$19:$B$503=B8)*(SETUP!$D$19:$D$503=D8),0))))=1,(SUMPRODUCT(('C19RM 2021-Lab &amp; Other HPS'!$A$14:$D$113=E8)*('C19RM 2021-Lab &amp; Other HPS'!$BH$14:$BH$113=BJ8)*('C19RM 2021-Lab &amp; Other HPS'!$BS$14:$BS$113)*(('C19RM 2021-Lab &amp; Other HPS'!$AS$14:$AS$113)))),0)))),0)))</f>
        <v>0</v>
      </c>
      <c r="AJ8" s="359" cm="1">
        <f t="array" ref="AJ8">IF((INDEX(SETUP!$F$19:$F$503,(MATCH(1,(SETUP!$B$19:$B$503=B8)*(SETUP!$D$19:$D$503=D8),0))))="Upfront",
(SUMPRODUCT(('C19RM 2021-Lab &amp; Other HPS'!$A$14:$D$113=E8)*('C19RM 2021-Lab &amp; Other HPS'!$BH$14:$BH$113=BJ8)*('C19RM 2021-Lab &amp; Other HPS'!$BS$14:$BS$113)*(('C19RM 2021-Lab &amp; Other HPS'!$AU$14:$AU$113)))),
(IF((INDEX(SETUP!$F$19:$F$503,(MATCH(1,(SETUP!$B$19:$B$503=B8)*(SETUP!$D$19:$D$503=D8),0))))="At delivery",
IF((INDEX(SETUP!$G$19:$G$503,(MATCH(1,(SETUP!$B$19:$B$503=B8)*(SETUP!$D$19:$D$503=D8),0))))=4,
(SUMPRODUCT(('C19RM 2021-Lab &amp; Other HPS'!$A$14:$D$113=E8)*('C19RM 2021-Lab &amp; Other HPS'!$BH$14:$BH$113=BJ8)*('C19RM 2021-Lab &amp; Other HPS'!$BR$14:$BR$113)*(('C19RM 2021-Lab &amp; Other HPS'!$AN$14:$AN$113)))),IF((INDEX(SETUP!$G$19:$G$503,(MATCH(1,(SETUP!$B$19:$B$503=B8)*(SETUP!$D$19:$D$503=D8),0))))=3,((SUMPRODUCT(('C19RM 2021-Lab &amp; Other HPS'!$A$14:$D$113=E8)*('C19RM 2021-Lab &amp; Other HPS'!$BH$14:$BH$113=BJ8)*('C19RM 2021-Lab &amp; Other HPS'!$BR$14:$BR$113)*(('C19RM 2021-Lab &amp; Other HPS'!$AO$14:$AO$113))))),IF((INDEX(SETUP!$G$19:$G$503,(MATCH(1,(SETUP!$B$19:$B$503=B8)*(SETUP!$D$19:$D$503=D8),0))))=2,(SUMPRODUCT(('C19RM 2021-Lab &amp; Other HPS'!$A$14:$D$113=E8)*('C19RM 2021-Lab &amp; Other HPS'!$BH$14:$BH$113=BJ8)*('C19RM 2021-Lab &amp; Other HPS'!$BS$14:$BS$113)*(('C19RM 2021-Lab &amp; Other HPS'!$AS$14:$AS$113)))),IF((INDEX(SETUP!$G$19:$G$503,(MATCH(1,(SETUP!$B$19:$B$503=B8)*(SETUP!$D$19:$D$503=D8),0))))=1,(SUMPRODUCT(('C19RM 2021-Lab &amp; Other HPS'!$A$14:$D$113=E8)*('C19RM 2021-Lab &amp; Other HPS'!$BH$14:$BH$113=BJ8)*('C19RM 2021-Lab &amp; Other HPS'!$BS$14:$BS$113)*(('C19RM 2021-Lab &amp; Other HPS'!$AT$14:$AT$113)))),0)))),0)))</f>
        <v>0</v>
      </c>
      <c r="AK8" s="359" cm="1">
        <f t="array" ref="AK8">IF((INDEX(SETUP!$F$19:$F$503,(MATCH(1,(SETUP!$B$19:$B$503=B8)*(SETUP!$D$19:$D$503=D8),0))))="Upfront",
(SUMPRODUCT(('C19RM 2021-Lab &amp; Other HPS'!$A$14:$D$113=E8)*('C19RM 2021-Lab &amp; Other HPS'!$BH$14:$BH$113=BJ8)*('C19RM 2021-Lab &amp; Other HPS'!$BS$14:$BS$113)*(('C19RM 2021-Lab &amp; Other HPS'!$AV$14:$AV$113)))),
(IF((INDEX(SETUP!$F$19:$F$503,(MATCH(1,(SETUP!$B$19:$B$503=B8)*(SETUP!$D$19:$D$503=D8),0))))="At delivery",
IF((INDEX(SETUP!$G$19:$G$503,(MATCH(1,(SETUP!$B$19:$B$503=B8)*(SETUP!$D$19:$D$503=D8),0))))=4,
(SUMPRODUCT(('C19RM 2021-Lab &amp; Other HPS'!$A$14:$D$113=E8)*('C19RM 2021-Lab &amp; Other HPS'!$BH$14:$BH$113=BJ8)*('C19RM 2021-Lab &amp; Other HPS'!$BR$14:$BR$113)*(('C19RM 2021-Lab &amp; Other HPS'!$AO$14:$AO$113)))),IF((INDEX(SETUP!$G$19:$G$503,(MATCH(1,(SETUP!$B$19:$B$503=B8)*(SETUP!$D$19:$D$503=D8),0))))=3,((SUMPRODUCT(('C19RM 2021-Lab &amp; Other HPS'!$A$14:$D$113=E8)*('C19RM 2021-Lab &amp; Other HPS'!$BH$14:$BH$113=BJ8)*('C19RM 2021-Lab &amp; Other HPS'!$BS$14:$BS$113)*(('C19RM 2021-Lab &amp; Other HPS'!$AS$14:$AS$113))))),IF((INDEX(SETUP!$G$19:$G$503,(MATCH(1,(SETUP!$B$19:$B$503=B8)*(SETUP!$D$19:$D$503=D8),0))))=2,(SUMPRODUCT(('C19RM 2021-Lab &amp; Other HPS'!$A$14:$D$113=E8)*('C19RM 2021-Lab &amp; Other HPS'!$BH$14:$BH$113=BJ8)*('C19RM 2021-Lab &amp; Other HPS'!$BS$14:$BS$113)*(('C19RM 2021-Lab &amp; Other HPS'!$AT$14:$AT$113)))),IF((INDEX(SETUP!$G$19:$G$503,(MATCH(1,(SETUP!$B$19:$B$503=B8)*(SETUP!$D$19:$D$503=D8),0))))=1,(SUMPRODUCT(('C19RM 2021-Lab &amp; Other HPS'!$A$14:$D$113=E8)*('C19RM 2021-Lab &amp; Other HPS'!$BH$14:$BH$113=BJ8)*('C19RM 2021-Lab &amp; Other HPS'!$BS$14:$BS$113)*(('C19RM 2021-Lab &amp; Other HPS'!$AU$14:$AU$113)))),0)))),0)))</f>
        <v>0</v>
      </c>
      <c r="AL8" s="359" cm="1">
        <f t="array" ref="AL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HPS'!$AS$14:$AS$113)))),IF((INDEX(SETUP!$G$19:$G$503,(MATCH(1,(SETUP!$B$19:$B$503=B8)*(SETUP!$D$19:$D$503=D8),0))))=3,(SUMPRODUCT(('C19RM 2021-Lab &amp; Other HPS'!$A$14:$D$113=E8)*('C19RM 2021-Lab &amp; Other HPS'!$BH$14:$BH$113=BJ8)*('C19RM 2021-Lab &amp; Other HPS'!$BS$14:$BS$113)*(('C19RM 2021-Lab &amp; Other HPS'!$AT$14:$AT$113)))),IF((INDEX(SETUP!$G$19:$G$503,(MATCH(1,(SETUP!$B$19:$B$503=B8)*(SETUP!$D$19:$D$503=D8),0))))=2,(SUMPRODUCT(('C19RM 2021-Lab &amp; Other HPS'!$A$14:$D$113=E8)*('C19RM 2021-Lab &amp; Other HPS'!$BH$14:$BH$113=BJ8)*('C19RM 2021-Lab &amp; Other HPS'!$BS$14:$BS$113)*(('C19RM 2021-Lab &amp; Other HPS'!$AU$14:$AU$113)))),
IF((INDEX(SETUP!$G$19:$G$503,(MATCH(1,(SETUP!$B$19:$B$503=B8)*(SETUP!$D$19:$D$503=D8),0))))=1,
(SUMPRODUCT(('C19RM 2021-Lab &amp; Other HPS'!$A$14:$D$113=E8)*('C19RM 2021-Lab &amp; Other HPS'!$BH$14:$BH$113=BJ8)*('C19RM 2021-Lab &amp; Other HPS'!$BS$14:$BS$113)*(('C19RM 2021-Lab &amp; Other HPS'!$AV$14:$AV$113)))),0)))),0)))</f>
        <v>0</v>
      </c>
      <c r="AM8" s="359" cm="1">
        <f t="array" ref="AM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HPS'!$AT$14:$AT$113)))),IF((INDEX(SETUP!$G$19:$G$503,(MATCH(1,(SETUP!$B$19:$B$503=B8)*(SETUP!$D$19:$D$503=D8),0))))=3,(SUMPRODUCT(('C19RM 2021-Lab &amp; Other HPS'!$A$14:$D$113=E8)*('C19RM 2021-Lab &amp; Other HPS'!$BH$14:$BH$113=BJ8)*('C19RM 2021-Lab &amp; Other HPS'!$BS$14:$BS$113)*(('C19RM 2021-Lab &amp; Other HPS'!$AU$14:$AU$113)))),IF((INDEX(SETUP!$G$19:$G$503,(MATCH(1,(SETUP!$B$19:$B$503=B8)*(SETUP!$D$19:$D$503=D8),0))))=2,(SUMPRODUCT(('C19RM 2021-Lab &amp; Other HPS'!$A$14:$D$113=E8)*('C19RM 2021-Lab &amp; Other HPS'!$BH$14:$BH$113=BJ8)*('C19RM 2021-Lab &amp; Other HPS'!$BS$14:$BS$113)*(('C19RM 2021-Lab &amp; Other HPS'!$AV$14:$AV$113)))),IF((INDEX(SETUP!$G$19:$G$503,(MATCH(1,(SETUP!$B$19:$B$503=B8)*(SETUP!$D$19:$D$503=D8),0))))=1,(0),0)))),0)))</f>
        <v>0</v>
      </c>
      <c r="AN8" s="359" cm="1">
        <f t="array" ref="AN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HPS'!$AU$14:$AU$113)))),IF((INDEX(SETUP!$G$19:$G$503,(MATCH(1,(SETUP!$B$19:$B$503=B8)*(SETUP!$D$19:$D$503=D8),0))))=3,(SUMPRODUCT(('C19RM 2021-Lab &amp; Other HPS'!$A$14:$D$113=E8)*('C19RM 2021-Lab &amp; Other HPS'!$BH$14:$BH$113=BJ8)*('C19RM 2021-Lab &amp; Other HPS'!$BS$14:$BS$113)*(('C19RM 2021-Lab &amp; Other HPS'!$AV$14:$AV$113)))),IF((INDEX(SETUP!$G$19:$G$503,(MATCH(1,(SETUP!$B$19:$B$503=B8)*(SETUP!$D$19:$D$503=D8),0))))=2,(0),IF((INDEX(SETUP!$G$19:$G$503,(MATCH(1,(SETUP!$B$19:$B$503=B8)*(SETUP!$D$19:$D$503=D8),0))))=1,(0),0)))),0)))</f>
        <v>0</v>
      </c>
      <c r="AO8" s="359" cm="1">
        <f t="array" ref="AO8">IF((INDEX(SETUP!$F$19:$F$503,(MATCH(1,(SETUP!$B$19:$B$503=B8)*(SETUP!$D$19:$D$503=D8),0))))="Upfront",0,(IF((INDEX(SETUP!$F$19:$F$503,(MATCH(1,(SETUP!$B$19:$B$503=B8)*(SETUP!$D$19:$D$503=D8),0))))="At delivery",IF((INDEX(SETUP!$G$19:$G$503,(MATCH(1,(SETUP!$B$19:$B$503=B8)*(SETUP!$D$19:$D$503=D8),0))))=4,(SUMPRODUCT(('C19RM 2021-Lab &amp; Other HPS'!$A$14:$D$113=E8)*('C19RM 2021-Lab &amp; Other HPS'!$BH$14:$BH$113=BJ8)*('C19RM 2021-Lab &amp; Other HPS'!$BS$14:$BS$113)*(('C19RM 2021-Lab &amp; Other HPS'!$AV$14:$AV$113)))),IF((INDEX(SETUP!$G$19:$G$503,(MATCH(1,(SETUP!$B$19:$B$503=B8)*(SETUP!$D$19:$D$503=D8),0))))=3,(0),IF((INDEX(SETUP!$G$19:$G$503,(MATCH(1,(SETUP!$B$19:$B$503=B8)*(SETUP!$D$19:$D$503=D8),0))))=2,(0),IF((INDEX(SETUP!$G$19:$G$503,(MATCH(1,(SETUP!$B$19:$B$503=B8)*(SETUP!$D$19:$D$503=D8),0))))=1,(0),0)))),0)))</f>
        <v>0</v>
      </c>
      <c r="AP8" s="359"/>
      <c r="AQ8" s="359"/>
      <c r="AR8" s="359"/>
      <c r="AS8" s="359"/>
      <c r="AT8" s="359" cm="1">
        <f t="array" ref="AT8">IF(BG8&gt;=1,0,IFERROR(SUMPRODUCT(($R$2:$AO$2=$AT$4)*($E$5:$E$100=E8)*($BC$5:$BC$100=BC8)*($R$5:$AO$100)),0))</f>
        <v>0</v>
      </c>
      <c r="AU8" s="359" cm="1">
        <f t="array" ref="AU8">IF(BG8&gt;=1,0,IFERROR(SUMPRODUCT(($R$2:$AO$2=$AU$4)*($E$5:$E$100=E8)*($BC$5:$BC$100=BC8)*($R$5:$AO$100)),0))</f>
        <v>0</v>
      </c>
      <c r="AV8" s="359" cm="1">
        <f t="array" ref="AV8">IF(BG8&gt;=1,0,IFERROR(SUMPRODUCT(($R$2:$AO$2=$AV$4)*($E$5:$E$100=E8)*($BC$5:$BC$100=BC8)*($R$5:$AO$100)),0))</f>
        <v>0</v>
      </c>
      <c r="AW8" s="359" cm="1">
        <f t="array" ref="AW8">IF(BG8&gt;=1,0,IFERROR(SUMPRODUCT(($R$2:$AO$2=$AW$4)*($E$5:$E$100=E8)*($BC$5:$BC$100=BC8)*($R$5:$AO$100)),0))</f>
        <v>0</v>
      </c>
      <c r="AX8" s="359" cm="1">
        <f t="array" ref="AX8">IF(BG8&gt;=1,0,IFERROR(SUMPRODUCT(($R$2:$AO$2=$AX$4)*($E$5:$E$100=E8)*($BC$5:$BC$100=BC8)*($R$5:$AO$100)),0))</f>
        <v>0</v>
      </c>
      <c r="AY8" s="359">
        <f t="shared" si="5"/>
        <v>0</v>
      </c>
      <c r="AZ8" s="359"/>
      <c r="BA8" s="233">
        <f t="shared" si="6"/>
        <v>0</v>
      </c>
      <c r="BB8" s="220" t="s">
        <v>83</v>
      </c>
      <c r="BC8" t="s">
        <v>179</v>
      </c>
      <c r="BD8" cm="1">
        <f t="array" ref="BD8">(SUMPRODUCT(('C19RM 2021-Lab &amp; Other HPS'!$A$14:$D$650=E8)*('C19RM 2021-Lab &amp; Other HPS'!$BU$14:$BU$650)))</f>
        <v>0</v>
      </c>
      <c r="BE8" cm="1">
        <f t="array" ref="BE8">(SUMPRODUCT((SETUP!$D$20:$D$67=D8)*(SETUP!$R$20:$R$67)))</f>
        <v>0</v>
      </c>
      <c r="BF8" cm="1">
        <f t="array" ref="BF8">(SUMPRODUCT(('C19RM 2021-Lab &amp; Other HPS'!$A$14:$D$650=E8)*('C19RM 2021-Lab &amp; Other HPS'!$BV$14:$BV$650)))</f>
        <v>0</v>
      </c>
      <c r="BG8">
        <f t="shared" ref="BG8:BG22" si="11">SUM(BD8:BE8)</f>
        <v>0</v>
      </c>
      <c r="BJ8" s="235">
        <v>5.4</v>
      </c>
    </row>
    <row r="9" spans="1:62" x14ac:dyDescent="0.35">
      <c r="A9" s="235">
        <v>1</v>
      </c>
      <c r="B9" s="220" t="s">
        <v>2750</v>
      </c>
      <c r="C9" s="235" t="s">
        <v>3192</v>
      </c>
      <c r="D9" s="235" t="s">
        <v>13</v>
      </c>
      <c r="E9" s="235" t="s">
        <v>2753</v>
      </c>
      <c r="F9" s="220">
        <f>SETUP!$E$3</f>
        <v>0</v>
      </c>
      <c r="G9" s="220" t="str">
        <f ca="1">SETUP!$J$5</f>
        <v>NA</v>
      </c>
      <c r="H9" s="220" t="str">
        <f>SETUP!$E$9</f>
        <v>C19RM</v>
      </c>
      <c r="I9" s="232">
        <f t="shared" ref="I9" si="12">IMP_ST_DATE</f>
        <v>44197</v>
      </c>
      <c r="J9" s="232">
        <f>SETUP!$L$14</f>
        <v>46022</v>
      </c>
      <c r="K9" s="220">
        <f>IFERROR(VLOOKUP(E9,'Master Data-C19RM'!$A$5:$B$35,2,0),0)</f>
        <v>0</v>
      </c>
      <c r="L9">
        <f t="shared" ref="L9" si="13">GRAN_NO</f>
        <v>0</v>
      </c>
      <c r="M9">
        <f>SETUP!$E$7</f>
        <v>0</v>
      </c>
      <c r="N9">
        <f>SETUP!$F$76</f>
        <v>6.1</v>
      </c>
      <c r="O9" t="str" cm="1">
        <f t="array" ref="O9">INDEX(SETUP!$E$19:$E$503,(MATCH(1,(SETUP!$B$19:$B$503=B9)*(SETUP!$D$19:$D$503=D9),0)))</f>
        <v>PR/SR</v>
      </c>
      <c r="P9" t="str" cm="1">
        <f t="array" ref="P9">INDEX(SETUP!$F$19:$F$503,(MATCH(1,(SETUP!$B$19:$B$503=B9)*(SETUP!$D$19:$D$503=D9),0)))</f>
        <v>At delivery</v>
      </c>
      <c r="Q9" cm="1">
        <f t="array" ref="Q9">INDEX(SETUP!$G$19:$G$503,(MATCH(1,(SETUP!$B$19:$B$503=B9)*(SETUP!$D$19:$D$503=D9),0)))</f>
        <v>1</v>
      </c>
      <c r="R9" s="359" cm="1">
        <f t="array" ref="R9">IF((INDEX(SETUP!$F$19:$F$503,(MATCH(1,(SETUP!$B$19:$B$503=B9)*(SETUP!$D$19:$D$503=D9),0))))="Upfront",(SUMPRODUCT(('C19RM 2021-Lab &amp; Other HPS'!$A$14:$D$113=E9)*('C19RM 2021-Lab &amp; Other HPS'!$BH$14:$BH$113=BJ9)*('C19RM 2021-Lab &amp; Other HPS'!$BO$14:$BO$113)*(('C19RM 2021-Lab &amp; Other HPS'!$Q$14:$Q$113)))),0)</f>
        <v>0</v>
      </c>
      <c r="S9" s="359" cm="1">
        <f t="array" ref="S9">IF((INDEX(SETUP!$F$19:$F$503,(MATCH(1,(SETUP!$B$19:$B$503=B9)*(SETUP!$D$19:$D$503=D9),0))))="Upfront",(SUMPRODUCT(('C19RM 2021-Lab &amp; Other HPS'!$A$14:$D$113=E9)*('C19RM 2021-Lab &amp; Other HPS'!$BH$14:$BH$113=BJ9)*('C19RM 2021-Lab &amp; Other HPS'!$BO$14:$BO$113)*(('C19RM 2021-Lab &amp; Other HPS'!$R$14:$R$113)))),(IF((INDEX(SETUP!$F$19:$F$503,(MATCH(1,(SETUP!$B$19:$B$503=B9)*(SETUP!$D$19:$D$503=D9),0))))="At delivery",IF((INDEX(SETUP!$G$19:$G$503,(MATCH(1,(SETUP!$B$19:$B$503=B9)*(SETUP!$D$19:$D$503=D9),0))))=1,(SUMPRODUCT(('C19RM 2021-Lab &amp; Other HPS'!$A$14:$D$113=E9)*('C19RM 2021-Lab &amp; Other HPS'!$BH$14:$BH$113=BJ9)*('C19RM 2021-Lab &amp; Other HPS'!$BO$14:$BO$113)*(('C19RM 2021-Lab &amp; Other HPS'!$Q$14:$Q$113)))),0),0)))</f>
        <v>0</v>
      </c>
      <c r="T9" s="359" cm="1">
        <f t="array" ref="T9">IF((INDEX(SETUP!$F$19:$F$503,(MATCH(1,(SETUP!$B$19:$B$503=B9)*(SETUP!$D$19:$D$503=D9),0))))="Upfront",(SUMPRODUCT(('C19RM 2021-Lab &amp; Other HPS'!$A$14:$D$113=E9)*('C19RM 2021-Lab &amp; Other HPS'!$BH$14:$BH$113=BJ9)*('C19RM 2021-Lab &amp; Other HPS'!$BO$14:$BO$113)*(('C19RM 2021-Lab &amp; Other HPS'!$S$14:$S$113)))),(IF((INDEX(SETUP!$F$19:$F$503,(MATCH(1,(SETUP!$B$19:$B$503=B9)*(SETUP!$D$19:$D$503=D9),0))))="At delivery",IF((INDEX(SETUP!$G$19:$G$503,(MATCH(1,(SETUP!$B$19:$B$503=B9)*(SETUP!$D$19:$D$503=D9),0))))=2,(SUMPRODUCT(('C19RM 2021-Lab &amp; Other HPS'!$A$14:$D$113=E9)*('C19RM 2021-Lab &amp; Other HPS'!$BH$14:$BH$113=BJ9)*('C19RM 2021-Lab &amp; Other HPS'!$BO$14:$BO$113)*(('C19RM 2021-Lab &amp; Other HPS'!$Q$14:$Q$113)))),IF((INDEX(SETUP!$G$19:$G$503,(MATCH(1,(SETUP!$B$19:$B$503=B9)*(SETUP!$D$19:$D$503=D9),0))))=1,(SUMPRODUCT(('C19RM 2021-Lab &amp; Other HPS'!$A$14:$D$113=E9)*('C19RM 2021-Lab &amp; Other HPS'!$BH$14:$BH$113=BJ9)*('C19RM 2021-Lab &amp; Other HPS'!$BO$14:$BO$113)*(('C19RM 2021-Lab &amp; Other HPS'!$R$14:$R$113)))),0)),0)))</f>
        <v>0</v>
      </c>
      <c r="U9" s="359" cm="1">
        <f t="array" ref="U9">IF((INDEX(SETUP!$F$19:$F$503,(MATCH(1,(SETUP!$B$19:$B$503=B9)*(SETUP!$D$19:$D$503=D9),0))))="Upfront",(SUMPRODUCT(('C19RM 2021-Lab &amp; Other HPS'!$A$14:$D$113=E9)*('C19RM 2021-Lab &amp; Other HPS'!$BH$14:$BH$113=BJ9)*('C19RM 2021-Lab &amp; Other HPS'!$BO$14:$BO$113)*(('C19RM 2021-Lab &amp; Other HPS'!$T$14:$T$113)))),(IF((INDEX(SETUP!$F$19:$F$503,(MATCH(1,(SETUP!$B$19:$B$503=B9)*(SETUP!$D$19:$D$503=D9),0))))="At delivery",IF((INDEX(SETUP!$G$19:$G$503,(MATCH(1,(SETUP!$B$19:$B$503=B9)*(SETUP!$D$19:$D$503=D9),0))))=3,(SUMPRODUCT(('C19RM 2021-Lab &amp; Other HPS'!$A$14:$D$113=E9)*('C19RM 2021-Lab &amp; Other HPS'!$BH$14:$BH$113=BJ9)*('C19RM 2021-Lab &amp; Other HPS'!$BO$14:$BO$113)*(('C19RM 2021-Lab &amp; Other HPS'!$Q$14:$Q$113)))),IF((INDEX(SETUP!$G$19:$G$503,(MATCH(1,(SETUP!$B$19:$B$503=B9)*(SETUP!$D$19:$D$503=D9),0))))=2,(SUMPRODUCT(('C19RM 2021-Lab &amp; Other HPS'!$A$14:$D$113=E9)*('C19RM 2021-Lab &amp; Other HPS'!$BH$14:$BH$113=BJ9)*('C19RM 2021-Lab &amp; Other HPS'!$BO$14:$BO$113)*(('C19RM 2021-Lab &amp; Other HPS'!$R$14:$R$113)))),IF((INDEX(SETUP!$G$19:$G$503,(MATCH(1,(SETUP!$B$19:$B$503=B9)*(SETUP!$D$19:$D$503=D9),0))))=1,(SUMPRODUCT(('C19RM 2021-Lab &amp; Other HPS'!$A$14:$D$113=E9)*('C19RM 2021-Lab &amp; Other HPS'!$BH$14:$BH$113=BJ9)*('C19RM 2021-Lab &amp; Other HPS'!$BO$14:$BO$113)*(('C19RM 2021-Lab &amp; Other HPS'!$S$14:$S$113)))),0))),0)))</f>
        <v>0</v>
      </c>
      <c r="V9" s="359" cm="1">
        <f t="array" ref="V9">IF((INDEX(SETUP!$F$19:$F$503,(MATCH(1,(SETUP!$B$19:$B$503=B9)*(SETUP!$D$19:$D$503=D9),0))))="Upfront",(SUMPRODUCT(('C19RM 2021-Lab &amp; Other HPS'!$A$14:$D$113=E9)*('C19RM 2021-Lab &amp; Other HPS'!$BH$14:$BH$113=BJ9)*('C19RM 2021-Lab &amp; Other HPS'!$BP$14:$BP$113)*(('C19RM 2021-Lab &amp; Other HPS'!$X$14:$X$113)))),(IF((INDEX(SETUP!$F$19:$F$503,(MATCH(1,(SETUP!$B$19:$B$503=B9)*(SETUP!$D$19:$D$503=D9),0))))="At delivery",IF((INDEX(SETUP!$G$19:$G$503,(MATCH(1,(SETUP!$B$19:$B$503=B9)*(SETUP!$D$19:$D$503=D9),0))))=4,(SUMPRODUCT(('C19RM 2021-Lab &amp; Other HPS'!$A$14:$D$113=E9)*('C19RM 2021-Lab &amp; Other HPS'!$BH$14:$BH$113=BJ9)*('C19RM 2021-Lab &amp; Other HPS'!$BO$14:$BO$113)*(('C19RM 2021-Lab &amp; Other HPS'!$Q$14:$Q$113)))),IF((INDEX(SETUP!$G$19:$G$503,(MATCH(1,(SETUP!$B$19:$B$503=B9)*(SETUP!$D$19:$D$503=D9),0))))=3,(SUMPRODUCT(('C19RM 2021-Lab &amp; Other HPS'!$A$14:$D$113=E9)*('C19RM 2021-Lab &amp; Other HPS'!$BH$14:$BH$113=BJ9)*('C19RM 2021-Lab &amp; Other HPS'!$BO$14:$BO$113)*(('C19RM 2021-Lab &amp; Other HPS'!$R$14:$R$113)))),IF((INDEX(SETUP!$G$19:$G$503,(MATCH(1,(SETUP!$B$19:$B$503=B9)*(SETUP!$D$19:$D$503=D9),0))))=2,(SUMPRODUCT(('C19RM 2021-Lab &amp; Other HPS'!$A$14:$D$113=E9)*('C19RM 2021-Lab &amp; Other HPS'!$BH$14:$BH$113=BJ9)*('C19RM 2021-Lab &amp; Other HPS'!$BO$14:$BO$113)*(('C19RM 2021-Lab &amp; Other HPS'!$S$14:$S$113)))),IF((INDEX(SETUP!$G$19:$G$503,(MATCH(1,(SETUP!$B$19:$B$503=B9)*(SETUP!$D$19:$D$503=D9),0))))=1,(SUMPRODUCT(('C19RM 2021-Lab &amp; Other HPS'!$A$14:$D$113=E9)*('C19RM 2021-Lab &amp; Other HPS'!$BH$14:$BH$113=BJ9)*('C19RM 2021-Lab &amp; Other HPS'!$BO$14:$BO$113)*(('C19RM 2021-Lab &amp; Other HPS'!$T$14:$T$113)))),0)))),0)))</f>
        <v>0</v>
      </c>
      <c r="W9" s="359" cm="1">
        <f t="array" ref="W9">IF((INDEX(SETUP!$F$19:$F$503,(MATCH(1,(SETUP!$B$19:$B$503=B9)*(SETUP!$D$19:$D$503=D9),0))))="Upfront",(SUMPRODUCT(('C19RM 2021-Lab &amp; Other HPS'!$A$14:$D$113=E9)*('C19RM 2021-Lab &amp; Other HPS'!$BH$14:$BH$113=BJ9)*('C19RM 2021-Lab &amp; Other HPS'!$BP$14:$BP$113)*(('C19RM 2021-Lab &amp; Other HPS'!$Y$14:$Y$113)))),(IF((INDEX(SETUP!$F$19:$F$503,(MATCH(1,(SETUP!$B$19:$B$503=B9)*(SETUP!$D$19:$D$503=D9),0))))="At delivery",IF((INDEX(SETUP!$G$19:$G$503,(MATCH(1,(SETUP!$B$19:$B$503=B9)*(SETUP!$D$19:$D$503=D9),0))))=4,(SUMPRODUCT(('C19RM 2021-Lab &amp; Other HPS'!$A$14:$D$113=E9)*('C19RM 2021-Lab &amp; Other HPS'!$BH$14:$BH$113=BJ9)*('C19RM 2021-Lab &amp; Other HPS'!$BO$14:$BO$113)*(('C19RM 2021-Lab &amp; Other HPS'!$R$14:$R$113)))),IF((INDEX(SETUP!$G$19:$G$503,(MATCH(1,(SETUP!$B$19:$B$503=B9)*(SETUP!$D$19:$D$503=D9),0))))=3,(SUMPRODUCT(('C19RM 2021-Lab &amp; Other HPS'!$A$14:$D$113=E9)*('C19RM 2021-Lab &amp; Other HPS'!$BH$14:$BH$113=BJ9)*('C19RM 2021-Lab &amp; Other HPS'!$BO$14:$BO$113)*(('C19RM 2021-Lab &amp; Other HPS'!$S$14:$S$113)))),IF((INDEX(SETUP!$G$19:$G$503,(MATCH(1,(SETUP!$B$19:$B$503=B9)*(SETUP!$D$19:$D$503=D9),0))))=2,((SUMPRODUCT(('C19RM 2021-Lab &amp; Other HPS'!$A$14:$D$113=E9)*('C19RM 2021-Lab &amp; Other HPS'!$BH$14:$BH$113=BJ9)*('C19RM 2021-Lab &amp; Other HPS'!$BO$14:$BO$113)*(('C19RM 2021-Lab &amp; Other HPS'!$T$14:$T$113))))),IF((INDEX(SETUP!$G$19:$G$503,(MATCH(1,(SETUP!$B$19:$B$503=B9)*(SETUP!$D$19:$D$503=D9),0))))=1,(SUMPRODUCT(('C19RM 2021-Lab &amp; Other HPS'!$A$14:$D$113=E9)*('C19RM 2021-Lab &amp; Other HPS'!$BH$14:$BH$113=BJ9)*('C19RM 2021-Lab &amp; Other HPS'!$BP$14:$BP$113)*(('C19RM 2021-Lab &amp; Other HPS'!$X$14:$X$113)))),0)))),0)))</f>
        <v>0</v>
      </c>
      <c r="X9" s="359" cm="1">
        <f t="array" ref="X9">IF((INDEX(SETUP!$F$19:$F$503,(MATCH(1,(SETUP!$B$19:$B$503=B9)*(SETUP!$D$19:$D$503=D9),0))))="Upfront",(SUMPRODUCT(('C19RM 2021-Lab &amp; Other HPS'!$A$14:$D$113=E9)*('C19RM 2021-Lab &amp; Other HPS'!$BH$14:$BH$113=BJ9)*('C19RM 2021-Lab &amp; Other HPS'!$BP$14:$BP$113)*(('C19RM 2021-Lab &amp; Other HPS'!$Z$14:$Z$113)))),(IF((INDEX(SETUP!$F$19:$F$503,(MATCH(1,(SETUP!$B$19:$B$503=B9)*(SETUP!$D$19:$D$503=D9),0))))="At delivery",IF((INDEX(SETUP!$G$19:$G$503,(MATCH(1,(SETUP!$B$19:$B$503=B9)*(SETUP!$D$19:$D$503=D9),0))))=4,(SUMPRODUCT(('C19RM 2021-Lab &amp; Other HPS'!$A$14:$D$113=E9)*('C19RM 2021-Lab &amp; Other HPS'!$BH$14:$BH$113=BJ9)*('C19RM 2021-Lab &amp; Other HPS'!$BO$14:$BO$113)*(('C19RM 2021-Lab &amp; Other HPS'!$S$14:$S$113)))),IF((INDEX(SETUP!$G$19:$G$503,(MATCH(1,(SETUP!$B$19:$B$503=B9)*(SETUP!$D$19:$D$503=D9),0))))=3,((SUMPRODUCT(('C19RM 2021-Lab &amp; Other HPS'!$A$14:$D$113=E9)*('C19RM 2021-Lab &amp; Other HPS'!$BH$14:$BH$113=BJ9)*('C19RM 2021-Lab &amp; Other HPS'!$BO$14:$BO$113)*(('C19RM 2021-Lab &amp; Other HPS'!$T$14:$T$113))))),IF((INDEX(SETUP!$G$19:$G$503,(MATCH(1,(SETUP!$B$19:$B$503=B9)*(SETUP!$D$19:$D$503=D9),0))))=2,(SUMPRODUCT(('C19RM 2021-Lab &amp; Other HPS'!$A$14:$D$113=E9)*('C19RM 2021-Lab &amp; Other HPS'!$BH$14:$BH$113=BJ9)*('C19RM 2021-Lab &amp; Other HPS'!$BP$14:$BP$113)*(('C19RM 2021-Lab &amp; Other HPS'!$X$14:$X$113)))),IF((INDEX(SETUP!$G$19:$G$503,(MATCH(1,(SETUP!$B$19:$B$503=B9)*(SETUP!$D$19:$D$503=D9),0))))=1,(SUMPRODUCT(('C19RM 2021-Lab &amp; Other HPS'!$A$14:$D$113=E9)*('C19RM 2021-Lab &amp; Other HPS'!$BH$14:$BH$113=BJ9)*('C19RM 2021-Lab &amp; Other HPS'!$BP$14:$BP$113)*(('C19RM 2021-Lab &amp; Other HPS'!$Y$14:$Y$113)))),0)))),0)))</f>
        <v>0</v>
      </c>
      <c r="Y9" s="359" cm="1">
        <f t="array" ref="Y9">IF((INDEX(SETUP!$F$19:$F$503,(MATCH(1,(SETUP!$B$19:$B$503=B9)*(SETUP!$D$19:$D$503=D9),0))))="Upfront",
(SUMPRODUCT(('C19RM 2021-Lab &amp; Other HPS'!$A$14:$D$113=E9)*('C19RM 2021-Lab &amp; Other HPS'!$BH$14:$BH$113=BJ9)*('C19RM 2021-Lab &amp; Other HPS'!$BP$14:$BP$113)*(('C19RM 2021-Lab &amp; Other HPS'!$AA$14:$AA$113)))),
(IF((INDEX(SETUP!$F$19:$F$503,(MATCH(1,(SETUP!$B$19:$B$503=B9)*(SETUP!$D$19:$D$503=D9),0))))="At delivery",
IF((INDEX(SETUP!$G$19:$G$503,(MATCH(1,(SETUP!$B$19:$B$503=B9)*(SETUP!$D$19:$D$503=D9),0))))=4,
((SUMPRODUCT(('C19RM 2021-Lab &amp; Other HPS'!$A$14:$D$113=E9)*('C19RM 2021-Lab &amp; Other HPS'!$BH$14:$BH$113=BJ9)*('C19RM 2021-Lab &amp; Other HPS'!$BO$14:$BO$113)*(('C19RM 2021-Lab &amp; Other HPS'!$T$14:$T$113))))),IF((INDEX(SETUP!$G$19:$G$503,(MATCH(1,(SETUP!$B$19:$B$503=B9)*(SETUP!$D$19:$D$503=D9),0))))=3,(SUMPRODUCT(('C19RM 2021-Lab &amp; Other HPS'!$A$14:$D$113=E9)*('C19RM 2021-Lab &amp; Other HPS'!$BH$14:$BH$113=BJ9)*('C19RM 2021-Lab &amp; Other HPS'!$BP$14:$BP$113)*(('C19RM 2021-Lab &amp; Other HPS'!$X$14:$X$113)))),IF((INDEX(SETUP!$G$19:$G$503,(MATCH(1,(SETUP!$B$19:$B$503=B9)*(SETUP!$D$19:$D$503=D9),0))))=2,(SUMPRODUCT(('C19RM 2021-Lab &amp; Other HPS'!$A$14:$D$113=E9)*('C19RM 2021-Lab &amp; Other HPS'!$BH$14:$BH$113=BJ9)*('C19RM 2021-Lab &amp; Other HPS'!$BP$14:$BP$113)*(('C19RM 2021-Lab &amp; Other HPS'!$Y$14:$Y$113)))),IF((INDEX(SETUP!$G$19:$G$503,(MATCH(1,(SETUP!$B$19:$B$503=B9)*(SETUP!$D$19:$D$503=D9),0))))=1,(SUMPRODUCT(('C19RM 2021-Lab &amp; Other HPS'!$A$14:$D$113=E9)*('C19RM 2021-Lab &amp; Other HPS'!$BH$14:$BH$113=BJ9)*('C19RM 2021-Lab &amp; Other HPS'!$BP$14:$BP$113)*(('C19RM 2021-Lab &amp; Other HPS'!$Z$14:$Z$113)))),0)))),0)))</f>
        <v>0</v>
      </c>
      <c r="Z9" s="359" cm="1">
        <f t="array" ref="Z9">IF((INDEX(SETUP!$F$19:$F$503,(MATCH(1,(SETUP!$B$19:$B$503=B9)*(SETUP!$D$19:$D$503=D9),0))))="Upfront",(SUMPRODUCT(('C19RM 2021-Lab &amp; Other HPS'!$A$14:$D$113=E9)*('C19RM 2021-Lab &amp; Other HPS'!$BH$14:$BH$113=BJ9)*('C19RM 2021-Lab &amp; Other HPS'!$BQ$14:$BQ$113)*(('C19RM 2021-Lab &amp; Other HPS'!$AE$14:$AE$113)))),(IF((INDEX(SETUP!$F$19:$F$503,(MATCH(1,(SETUP!$B$19:$B$503=B9)*(SETUP!$D$19:$D$503=D9),0))))="At delivery",IF((INDEX(SETUP!$G$19:$G$503,(MATCH(1,(SETUP!$B$19:$B$503=B9)*(SETUP!$D$19:$D$503=D9),0))))=4,(SUMPRODUCT(('C19RM 2021-Lab &amp; Other HPS'!$A$14:$D$113=E9)*('C19RM 2021-Lab &amp; Other HPS'!$BH$14:$BH$113=BJ9)*('C19RM 2021-Lab &amp; Other HPS'!$BP$14:$BP$113)*(('C19RM 2021-Lab &amp; Other HPS'!$X$14:$X$113)))),IF((INDEX(SETUP!$G$19:$G$503,(MATCH(1,(SETUP!$B$19:$B$503=B9)*(SETUP!$D$19:$D$503=D9),0))))=3,(SUMPRODUCT(('C19RM 2021-Lab &amp; Other HPS'!$A$14:$D$113=E9)*('C19RM 2021-Lab &amp; Other HPS'!$BH$14:$BH$113=BJ9)*('C19RM 2021-Lab &amp; Other HPS'!$BP$14:$BP$113)*(('C19RM 2021-Lab &amp; Other HPS'!$Y$14:$Y$113)))),IF((INDEX(SETUP!$G$19:$G$503,(MATCH(1,(SETUP!$B$19:$B$503=B9)*(SETUP!$D$19:$D$503=D9),0))))=2,(SUMPRODUCT(('C19RM 2021-Lab &amp; Other HPS'!$A$14:$D$113=E9)*('C19RM 2021-Lab &amp; Other HPS'!$BH$14:$BH$113=BJ9)*('C19RM 2021-Lab &amp; Other HPS'!$BP$14:$BP$113)*(('C19RM 2021-Lab &amp; Other HPS'!$Z$14:$Z$113)))),IF((INDEX(SETUP!$G$19:$G$503,(MATCH(1,(SETUP!$B$19:$B$503=B9)*(SETUP!$D$19:$D$503=D9),0))))=1,(SUMPRODUCT(('C19RM 2021-Lab &amp; Other HPS'!$A$14:$D$113=E9)*('C19RM 2021-Lab &amp; Other HPS'!$BH$14:$BH$113=BJ9)*('C19RM 2021-Lab &amp; Other HPS'!$BP$14:$BP$113)*(('C19RM 2021-Lab &amp; Other HPS'!$AA$14:$AA$113)))),0)))),0)))</f>
        <v>0</v>
      </c>
      <c r="AA9" s="359" cm="1">
        <f t="array" ref="AA9">IF((INDEX(SETUP!$F$19:$F$503,(MATCH(1,(SETUP!$B$19:$B$503=B9)*(SETUP!$D$19:$D$503=D9),0))))="Upfront",(SUMPRODUCT(('C19RM 2021-Lab &amp; Other HPS'!$A$14:$D$113=E9)*('C19RM 2021-Lab &amp; Other HPS'!$BH$14:$BH$113=BJ9)*('C19RM 2021-Lab &amp; Other HPS'!$BQ$14:$BQ$113)*(('C19RM 2021-Lab &amp; Other HPS'!$AF$14:$AF$113)))),(IF((INDEX(SETUP!$F$19:$F$503,(MATCH(1,(SETUP!$B$19:$B$503=B9)*(SETUP!$D$19:$D$503=D9),0))))="At delivery",IF((INDEX(SETUP!$G$19:$G$503,(MATCH(1,(SETUP!$B$19:$B$503=B9)*(SETUP!$D$19:$D$503=D9),0))))=4,(SUMPRODUCT(('C19RM 2021-Lab &amp; Other HPS'!$A$14:$D$113=E9)*('C19RM 2021-Lab &amp; Other HPS'!$BH$14:$BH$113=BJ9)*('C19RM 2021-Lab &amp; Other HPS'!$BP$14:$BP$113)*(('C19RM 2021-Lab &amp; Other HPS'!$Y$14:$Y$113)))),IF((INDEX(SETUP!$G$19:$G$503,(MATCH(1,(SETUP!$B$19:$B$503=B9)*(SETUP!$D$19:$D$503=D9),0))))=3,(SUMPRODUCT(('C19RM 2021-Lab &amp; Other HPS'!$A$14:$D$113=E9)*('C19RM 2021-Lab &amp; Other HPS'!$BH$14:$BH$113=BJ9)*('C19RM 2021-Lab &amp; Other HPS'!$BP$14:$BP$113)*(('C19RM 2021-Lab &amp; Other HPS'!$Z$14:$Z$113)))),IF((INDEX(SETUP!$G$19:$G$503,(MATCH(1,(SETUP!$B$19:$B$503=B9)*(SETUP!$D$19:$D$503=D9),0))))=2,((SUMPRODUCT(('C19RM 2021-Lab &amp; Other HPS'!$A$14:$D$113=E9)*('C19RM 2021-Lab &amp; Other HPS'!$BH$14:$BH$113=BJ9)*('C19RM 2021-Lab &amp; Other HPS'!$BP$14:$BP$113)*(('C19RM 2021-Lab &amp; Other HPS'!$AA$14:$AA$113))))),IF((INDEX(SETUP!$G$19:$G$503,(MATCH(1,(SETUP!$B$19:$B$503=B9)*(SETUP!$D$19:$D$503=D9),0))))=1,(SUMPRODUCT(('C19RM 2021-Lab &amp; Other HPS'!$A$14:$D$113=E9)*('C19RM 2021-Lab &amp; Other HPS'!$BH$14:$BH$113=BJ9)*('C19RM 2021-Lab &amp; Other HPS'!$BQ$14:$BQ$113)*(('C19RM 2021-Lab &amp; Other HPS'!$AE$14:$AE$113)))),0)))),0)))</f>
        <v>0</v>
      </c>
      <c r="AB9" s="359" cm="1">
        <f t="array" ref="AB9">IF((INDEX(SETUP!$F$19:$F$503,(MATCH(1,(SETUP!$B$19:$B$503=B9)*(SETUP!$D$19:$D$503=D9),0))))="Upfront",
(SUMPRODUCT(('C19RM 2021-Lab &amp; Other HPS'!$A$14:$D$113=E9)*('C19RM 2021-Lab &amp; Other HPS'!$BH$14:$BH$113=BJ9)*('C19RM 2021-Lab &amp; Other HPS'!$BQ$14:$BQ$113)*(('C19RM 2021-Lab &amp; Other HPS'!$AG$14:$AG$113)))),
(IF((INDEX(SETUP!$F$19:$F$503,(MATCH(1,(SETUP!$B$19:$B$503=B9)*(SETUP!$D$19:$D$503=D9),0))))="At delivery",
IF((INDEX(SETUP!$G$19:$G$503,(MATCH(1,(SETUP!$B$19:$B$503=B9)*(SETUP!$D$19:$D$503=D9),0))))=4,
(SUMPRODUCT(('C19RM 2021-Lab &amp; Other HPS'!$A$14:$D$113=E9)*('C19RM 2021-Lab &amp; Other HPS'!$BH$14:$BH$113=BJ9)*('C19RM 2021-Lab &amp; Other HPS'!$BP$14:$BP$113)*(('C19RM 2021-Lab &amp; Other HPS'!$Z$14:$Z$113)))),IF((INDEX(SETUP!$G$19:$G$503,(MATCH(1,(SETUP!$B$19:$B$503=B9)*(SETUP!$D$19:$D$503=D9),0))))=3,(SUMPRODUCT(('C19RM 2021-Lab &amp; Other HPS'!$A$14:$D$113=E9)*('C19RM 2021-Lab &amp; Other HPS'!$BH$14:$BH$113=BJ9)*('C19RM 2021-Lab &amp; Other HPS'!$BP$14:$BP$113)*(('C19RM 2021-Lab &amp; Other HPS'!$AA$14:$AA$113)))),IF((INDEX(SETUP!$G$19:$G$503,(MATCH(1,(SETUP!$B$19:$B$503=B9)*(SETUP!$D$19:$D$503=D9),0))))=2,(SUMPRODUCT(('C19RM 2021-Lab &amp; Other HPS'!$A$14:$D$113=E9)*('C19RM 2021-Lab &amp; Other HPS'!$BH$14:$BH$113=BJ9)*('C19RM 2021-Lab &amp; Other HPS'!$BQ$14:$BQ$113)*(('C19RM 2021-Lab &amp; Other HPS'!$AE$14:$AE$113)))),IF((INDEX(SETUP!$G$19:$G$503,(MATCH(1,(SETUP!$B$19:$B$503=B9)*(SETUP!$D$19:$D$503=D9),0))))=1,(SUMPRODUCT(('C19RM 2021-Lab &amp; Other HPS'!$A$14:$D$113=E9)*('C19RM 2021-Lab &amp; Other HPS'!$BH$14:$BH$113=BJ9)*('C19RM 2021-Lab &amp; Other HPS'!$BQ$14:$BQ$113)*(('C19RM 2021-Lab &amp; Other HPS'!$AF$14:$AF$113)))),0)))),0)))</f>
        <v>0</v>
      </c>
      <c r="AC9" s="359" cm="1">
        <f t="array" ref="AC9">IF((INDEX(SETUP!$F$19:$F$503,(MATCH(1,(SETUP!$B$19:$B$503=B9)*(SETUP!$D$19:$D$503=D9),0))))="Upfront",
(SUMPRODUCT(('C19RM 2021-Lab &amp; Other HPS'!$A$14:$D$113=E9)*('C19RM 2021-Lab &amp; Other HPS'!$BH$14:$BH$113=BJ9)*('C19RM 2021-Lab &amp; Other HPS'!$BQ$14:$BQ$113)*(('C19RM 2021-Lab &amp; Other HPS'!$AH$14:$AH$113)))),
(IF((INDEX(SETUP!$F$19:$F$503,(MATCH(1,(SETUP!$B$19:$B$503=B9)*(SETUP!$D$19:$D$503=D9),0))))="At delivery",
IF((INDEX(SETUP!$G$19:$G$503,(MATCH(1,(SETUP!$B$19:$B$503=B9)*(SETUP!$D$19:$D$503=D9),0))))=4,
(SUMPRODUCT(('C19RM 2021-Lab &amp; Other HPS'!$A$14:$D$113=E9)*('C19RM 2021-Lab &amp; Other HPS'!$BH$14:$BH$113=BJ9)*('C19RM 2021-Lab &amp; Other HPS'!$BP$14:$BP$113)*(('C19RM 2021-Lab &amp; Other HPS'!$AA$14:$AA$113)))),IF((INDEX(SETUP!$G$19:$G$503,(MATCH(1,(SETUP!$B$19:$B$503=B9)*(SETUP!$D$19:$D$503=D9),0))))=3,(SUMPRODUCT(('C19RM 2021-Lab &amp; Other HPS'!$A$14:$D$113=E9)*('C19RM 2021-Lab &amp; Other HPS'!$BH$14:$BH$113=BJ9)*('C19RM 2021-Lab &amp; Other HPS'!$BQ$14:$BQ$113)*(('C19RM 2021-Lab &amp; Other HPS'!$AE$14:$AE$113)))),IF((INDEX(SETUP!$G$19:$G$503,(MATCH(1,(SETUP!$B$19:$B$503=B9)*(SETUP!$D$19:$D$503=D9),0))))=2,(SUMPRODUCT(('C19RM 2021-Lab &amp; Other HPS'!$A$14:$D$113=E9)*('C19RM 2021-Lab &amp; Other HPS'!$BH$14:$BH$113=BJ9)*('C19RM 2021-Lab &amp; Other HPS'!$BQ$14:$BQ$113)*(('C19RM 2021-Lab &amp; Other HPS'!$AF$14:$AF$113)))),IF((INDEX(SETUP!$G$19:$G$503,(MATCH(1,(SETUP!$B$19:$B$503=B9)*(SETUP!$D$19:$D$503=D9),0))))=1,(SUMPRODUCT(('C19RM 2021-Lab &amp; Other HPS'!$A$14:$D$113=E9)*('C19RM 2021-Lab &amp; Other HPS'!$BH$14:$BH$113=BJ9)*('C19RM 2021-Lab &amp; Other HPS'!$BQ$14:$BQ$113)*(('C19RM 2021-Lab &amp; Other HPS'!$AG$14:$AG$113)))),0)))),0)))</f>
        <v>0</v>
      </c>
      <c r="AD9" s="359" cm="1">
        <f t="array" ref="AD9">IF((INDEX(SETUP!$F$19:$F$503,(MATCH(1,(SETUP!$B$19:$B$503=B9)*(SETUP!$D$19:$D$503=D9),0))))="Upfront",
(SUMPRODUCT(('C19RM 2021-Lab &amp; Other HPS'!$A$14:$D$113=E9)*('C19RM 2021-Lab &amp; Other HPS'!$BH$14:$BH$113=BJ9)*('C19RM 2021-Lab &amp; Other HPS'!$BR$14:$BR$113)*(('C19RM 2021-Lab &amp; Other HPS'!$AL$14:$AL$113)))),
(IF((INDEX(SETUP!$F$19:$F$503,(MATCH(1,(SETUP!$B$19:$B$503=B9)*(SETUP!$D$19:$D$503=D9),0))))="At delivery",
IF((INDEX(SETUP!$G$19:$G$503,(MATCH(1,(SETUP!$B$19:$B$503=B9)*(SETUP!$D$19:$D$503=D9),0))))=4,
(SUMPRODUCT(('C19RM 2021-Lab &amp; Other HPS'!$A$14:$D$113=E9)*('C19RM 2021-Lab &amp; Other HPS'!$BH$14:$BH$113=BJ9)*('C19RM 2021-Lab &amp; Other HPS'!$BQ$14:$BQ$113)*(('C19RM 2021-Lab &amp; Other HPS'!$AE$14:$AE$113)))),IF((INDEX(SETUP!$G$19:$G$503,(MATCH(1,(SETUP!$B$19:$B$503=B9)*(SETUP!$D$19:$D$503=D9),0))))=3,((SUMPRODUCT(('C19RM 2021-Lab &amp; Other HPS'!$A$14:$D$113=E9)*('C19RM 2021-Lab &amp; Other HPS'!$BH$14:$BH$113=BJ9)*('C19RM 2021-Lab &amp; Other HPS'!$BQ$14:$BQ$113)*(('C19RM 2021-Lab &amp; Other HPS'!$AF$14:$AF$113))))),IF((INDEX(SETUP!$G$19:$G$503,(MATCH(1,(SETUP!$B$19:$B$503=B9)*(SETUP!$D$19:$D$503=D9),0))))=2,(SUMPRODUCT(('C19RM 2021-Lab &amp; Other HPS'!$A$14:$D$113=E9)*('C19RM 2021-Lab &amp; Other HPS'!$BH$14:$BH$113=BJ9)*('C19RM 2021-Lab &amp; Other HPS'!$BQ$14:$BQ$113)*(('C19RM 2021-Lab &amp; Other HPS'!$AG$14:$AG$113)))),IF((INDEX(SETUP!$G$19:$G$503,(MATCH(1,(SETUP!$B$19:$B$503=B9)*(SETUP!$D$19:$D$503=D9),0))))=1,(SUMPRODUCT(('C19RM 2021-Lab &amp; Other HPS'!$A$14:$D$113=E9)*('C19RM 2021-Lab &amp; Other HPS'!$BH$14:$BH$113=BJ9)*('C19RM 2021-Lab &amp; Other HPS'!$BQ$14:$BQ$113)*(('C19RM 2021-Lab &amp; Other HPS'!$AH$14:$AH$113)))),0)))),0)))</f>
        <v>0</v>
      </c>
      <c r="AE9" s="359" cm="1">
        <f t="array" ref="AE9">IF((INDEX(SETUP!$F$19:$F$503,(MATCH(1,(SETUP!$B$19:$B$503=B9)*(SETUP!$D$19:$D$503=D9),0))))="Upfront",
(SUMPRODUCT(('C19RM 2021-Lab &amp; Other HPS'!$A$14:$D$113=E9)*('C19RM 2021-Lab &amp; Other HPS'!$BH$14:$BH$113=BJ9)*('C19RM 2021-Lab &amp; Other HPS'!$BR$14:$BR$113)*(('C19RM 2021-Lab &amp; Other HPS'!$AM$14:$AM$113)))),
(IF((INDEX(SETUP!$F$19:$F$503,(MATCH(1,(SETUP!$B$19:$B$503=B9)*(SETUP!$D$19:$D$503=D9),0))))="At delivery",
IF((INDEX(SETUP!$G$19:$G$503,(MATCH(1,(SETUP!$B$19:$B$503=B9)*(SETUP!$D$19:$D$503=D9),0))))=4,
(SUMPRODUCT(('C19RM 2021-Lab &amp; Other HPS'!$A$14:$D$113=E9)*('C19RM 2021-Lab &amp; Other HPS'!$BH$14:$BH$113=BJ9)*('C19RM 2021-Lab &amp; Other HPS'!$BQ$14:$BQ$113)*(('C19RM 2021-Lab &amp; Other HPS'!$AF$14:$AF$113)))),IF((INDEX(SETUP!$G$19:$G$503,(MATCH(1,(SETUP!$B$19:$B$503=B9)*(SETUP!$D$19:$D$503=D9),0))))=3,(SUMPRODUCT(('C19RM 2021-Lab &amp; Other HPS'!$A$14:$D$113=E9)*('C19RM 2021-Lab &amp; Other HPS'!$BH$14:$BH$113=BJ9)*('C19RM 2021-Lab &amp; Other HPS'!$BQ$14:$BQ$113)*(('C19RM 2021-Lab &amp; Other HPS'!$AG$14:$AG$113)))),IF((INDEX(SETUP!$G$19:$G$503,(MATCH(1,(SETUP!$B$19:$B$503=B9)*(SETUP!$D$19:$D$503=D9),0))))=2,(SUMPRODUCT(('C19RM 2021-Lab &amp; Other HPS'!$A$14:$D$113=E9)*('C19RM 2021-Lab &amp; Other HPS'!$BH$14:$BH$113=BJ9)*('C19RM 2021-Lab &amp; Other HPS'!$BQ$14:$BQ$113)*(('C19RM 2021-Lab &amp; Other HPS'!$AH$14:$AH$113)))),IF((INDEX(SETUP!$G$19:$G$503,(MATCH(1,(SETUP!$B$19:$B$503=B9)*(SETUP!$D$19:$D$503=D9),0))))=1,(SUMPRODUCT(('C19RM 2021-Lab &amp; Other HPS'!$A$14:$D$113=E9)*('C19RM 2021-Lab &amp; Other HPS'!$BH$14:$BH$113=BJ9)*('C19RM 2021-Lab &amp; Other HPS'!$BR$14:$BR$113)*(('C19RM 2021-Lab &amp; Other HPS'!$AL$14:$AL$113)))),0)))),0)))</f>
        <v>0</v>
      </c>
      <c r="AF9" s="359" cm="1">
        <f t="array" ref="AF9">IF((INDEX(SETUP!$F$19:$F$503,(MATCH(1,(SETUP!$B$19:$B$503=B9)*(SETUP!$D$19:$D$503=D9),0))))="Upfront",
(SUMPRODUCT(('C19RM 2021-Lab &amp; Other HPS'!$A$14:$D$113=E9)*('C19RM 2021-Lab &amp; Other HPS'!$BH$14:$BH$113=BJ9)*('C19RM 2021-Lab &amp; Other HPS'!$BR$14:$BR$113)*(('C19RM 2021-Lab &amp; Other HPS'!$AN$14:$AN$113)))),
(IF((INDEX(SETUP!$F$19:$F$503,(MATCH(1,(SETUP!$B$19:$B$503=B9)*(SETUP!$D$19:$D$503=D9),0))))="At delivery",
IF((INDEX(SETUP!$G$19:$G$503,(MATCH(1,(SETUP!$B$19:$B$503=B9)*(SETUP!$D$19:$D$503=D9),0))))=4,
(SUMPRODUCT(('C19RM 2021-Lab &amp; Other HPS'!$A$14:$D$113=E9)*('C19RM 2021-Lab &amp; Other HPS'!$BH$14:$BH$113=BJ9)*('C19RM 2021-Lab &amp; Other HPS'!$BQ$14:$BQ$113)*(('C19RM 2021-Lab &amp; Other HPS'!$AG$14:$AG$113)))),IF((INDEX(SETUP!$G$19:$G$503,(MATCH(1,(SETUP!$B$19:$B$503=B9)*(SETUP!$D$19:$D$503=D9),0))))=3,(SUMPRODUCT(('C19RM 2021-Lab &amp; Other HPS'!$A$14:$D$113=E9)*('C19RM 2021-Lab &amp; Other HPS'!$BH$14:$BH$113=BJ9)*('C19RM 2021-Lab &amp; Other HPS'!$BQ$14:$BQ$113)*(('C19RM 2021-Lab &amp; Other HPS'!$AH$14:$AH$113)))),IF((INDEX(SETUP!$G$19:$G$503,(MATCH(1,(SETUP!$B$19:$B$503=B9)*(SETUP!$D$19:$D$503=D9),0))))=2,(SUMPRODUCT(('C19RM 2021-Lab &amp; Other HPS'!$A$14:$D$113=E9)*('C19RM 2021-Lab &amp; Other HPS'!$BH$14:$BH$113=BJ9)*('C19RM 2021-Lab &amp; Other HPS'!$BR$14:$BR$113)*(('C19RM 2021-Lab &amp; Other HPS'!$AL$14:$AL$113)))),IF((INDEX(SETUP!$G$19:$G$503,(MATCH(1,(SETUP!$B$19:$B$503=B9)*(SETUP!$D$19:$D$503=D9),0))))=1,(SUMPRODUCT(('C19RM 2021-Lab &amp; Other HPS'!$A$14:$D$113=E9)*('C19RM 2021-Lab &amp; Other HPS'!$BH$14:$BH$113=BJ9)*('C19RM 2021-Lab &amp; Other HPS'!$BR$14:$BR$113)*(('C19RM 2021-Lab &amp; Other HPS'!$AM$14:$AM$113)))),0)))),0)))</f>
        <v>0</v>
      </c>
      <c r="AG9" s="359" cm="1">
        <f t="array" ref="AG9">IF((INDEX(SETUP!$F$19:$F$503,(MATCH(1,(SETUP!$B$19:$B$503=B9)*(SETUP!$D$19:$D$503=D9),0))))="Upfront",(SUMPRODUCT(('C19RM 2021-Lab &amp; Other HPS'!$A$14:$D$113=E9)*('C19RM 2021-Lab &amp; Other HPS'!$BH$14:$BH$113=BJ9)*('C19RM 2021-Lab &amp; Other HPS'!$BR$14:$BR$113)*(('C19RM 2021-Lab &amp; Other HPS'!$AO$14:$AO$113)))),(IF((INDEX(SETUP!$F$19:$F$503,(MATCH(1,(SETUP!$B$19:$B$503=B9)*(SETUP!$D$19:$D$503=D9),0))))="At delivery",IF((INDEX(SETUP!$G$19:$G$503,(MATCH(1,(SETUP!$B$19:$B$503=B9)*(SETUP!$D$19:$D$503=D9),0))))=4,(SUMPRODUCT(('C19RM 2021-Lab &amp; Other HPS'!$A$14:$D$113=E9)*('C19RM 2021-Lab &amp; Other HPS'!$BH$14:$BH$113=BJ9)*('C19RM 2021-Lab &amp; Other HPS'!$BQ$14:$BQ$113)*(('C19RM 2021-Lab &amp; Other HPS'!$AH$14:$AH$113)))),IF((INDEX(SETUP!$G$19:$G$503,(MATCH(1,(SETUP!$B$19:$B$503=B9)*(SETUP!$D$19:$D$503=D9),0))))=3,(SUMPRODUCT(('C19RM 2021-Lab &amp; Other HPS'!$A$14:$D$113=E9)*('C19RM 2021-Lab &amp; Other HPS'!$BH$14:$BH$113=BJ9)*('C19RM 2021-Lab &amp; Other HPS'!$BR$14:$BR$113)*(('C19RM 2021-Lab &amp; Other HPS'!$AL$14:$AL$113)))),IF((INDEX(SETUP!$G$19:$G$503,(MATCH(1,(SETUP!$B$19:$B$503=B9)*(SETUP!$D$19:$D$503=D9),0))))=2,(SUMPRODUCT(('C19RM 2021-Lab &amp; Other HPS'!$A$14:$D$113=E9)*('C19RM 2021-Lab &amp; Other HPS'!$BH$14:$BH$113=BJ9)*('C19RM 2021-Lab &amp; Other HPS'!$BR$14:$BR$113)*(('C19RM 2021-Lab &amp; Other HPS'!$AM$14:$AM$113)))),IF((INDEX(SETUP!$G$19:$G$503,(MATCH(1,(SETUP!$B$19:$B$503=B9)*(SETUP!$D$19:$D$503=D9),0))))=1,(SUMPRODUCT(('C19RM 2021-Lab &amp; Other HPS'!$A$14:$D$113=E9)*('C19RM 2021-Lab &amp; Other HPS'!$BH$14:$BH$113=BJ9)*('C19RM 2021-Lab &amp; Other HPS'!$BR$14:$BR$113)*(('C19RM 2021-Lab &amp; Other HPS'!$AN$14:$AN$113)))),0)))),0)))</f>
        <v>0</v>
      </c>
      <c r="AH9" s="359" cm="1">
        <f t="array" ref="AH9">IF((INDEX(SETUP!$F$19:$F$503,(MATCH(1,(SETUP!$B$19:$B$503=B9)*(SETUP!$D$19:$D$503=D9),0))))="Upfront",
(SUMPRODUCT(('C19RM 2021-Lab &amp; Other HPS'!$A$14:$D$113=E9)*('C19RM 2021-Lab &amp; Other HPS'!$BH$14:$BH$113=BJ9)*('C19RM 2021-Lab &amp; Other HPS'!$BH$14:$BH$113=BJ9)*('C19RM 2021-Lab &amp; Other HPS'!$BS$14:$BS$113)*(('C19RM 2021-Lab &amp; Other HPS'!$AS$14:$AS$113)))),
(IF((INDEX(SETUP!$F$19:$F$503,(MATCH(1,(SETUP!$B$19:$B$503=B9)*(SETUP!$D$19:$D$503=D9),0))))="At delivery",
IF((INDEX(SETUP!$G$19:$G$503,(MATCH(1,(SETUP!$B$19:$B$503=B9)*(SETUP!$D$19:$D$503=D9),0))))=4,
(SUMPRODUCT(('C19RM 2021-Lab &amp; Other HPS'!$A$14:$D$113=E9)*('C19RM 2021-Lab &amp; Other HPS'!$BH$14:$BH$113=BJ9)*('C19RM 2021-Lab &amp; Other HPS'!$BH$14:$BH$113=BJ9)*('C19RM 2021-Lab &amp; Other HPS'!$BR$14:$BR$113)*(('C19RM 2021-Lab &amp; Other HPS'!$AL$14:$AL$113)))),IF((INDEX(SETUP!$G$19:$G$503,(MATCH(1,(SETUP!$B$19:$B$503=B9)*(SETUP!$D$19:$D$503=D9),0))))=3,((SUMPRODUCT(('C19RM 2021-Lab &amp; Other HPS'!$A$14:$D$113=E9)*('C19RM 2021-Lab &amp; Other HPS'!$BH$14:$BH$113=BJ9)*('C19RM 2021-Lab &amp; Other HPS'!$BH$14:$BH$113=BJ9)*('C19RM 2021-Lab &amp; Other HPS'!$BR$14:$BR$113)*(('C19RM 2021-Lab &amp; Other HPS'!$AM$14:$AM$113))))),IF((INDEX(SETUP!$G$19:$G$503,(MATCH(1,(SETUP!$B$19:$B$503=B9)*(SETUP!$D$19:$D$503=D9),0))))=2,(SUMPRODUCT(('C19RM 2021-Lab &amp; Other HPS'!$A$14:$D$113=E9)*('C19RM 2021-Lab &amp; Other HPS'!$BH$14:$BH$113=BJ9)*('C19RM 2021-Lab &amp; Other HPS'!$BR$14:$BR$113)*(('C19RM 2021-Lab &amp; Other HPS'!$AN$14:$AN$113)))),IF((INDEX(SETUP!$G$19:$G$503,(MATCH(1,(SETUP!$B$19:$B$503=B9)*(SETUP!$D$19:$D$503=D9),0))))=1,(SUMPRODUCT(('C19RM 2021-Lab &amp; Other HPS'!$A$14:$D$113=E9)*('C19RM 2021-Lab &amp; Other HPS'!$BH$14:$BH$113=BJ9)*('C19RM 2021-Lab &amp; Other HPS'!$BR$14:$BR$113)*(('C19RM 2021-Lab &amp; Other HPS'!$AO$14:$AO$113)))),0)))),0)))</f>
        <v>0</v>
      </c>
      <c r="AI9" s="359" cm="1">
        <f t="array" ref="AI9">IF((INDEX(SETUP!$F$19:$F$503,(MATCH(1,(SETUP!$B$19:$B$503=B9)*(SETUP!$D$19:$D$503=D9),0))))="Upfront",
(SUMPRODUCT(('C19RM 2021-Lab &amp; Other HPS'!$A$14:$D$113=E9)*('C19RM 2021-Lab &amp; Other HPS'!$BH$14:$BH$113=BJ9)*('C19RM 2021-Lab &amp; Other HPS'!$BS$14:$BS$113)*(('C19RM 2021-Lab &amp; Other HPS'!$AT$14:$AT$113)))),
(IF((INDEX(SETUP!$F$19:$F$503,(MATCH(1,(SETUP!$B$19:$B$503=B9)*(SETUP!$D$19:$D$503=D9),0))))="At delivery",
IF((INDEX(SETUP!$G$19:$G$503,(MATCH(1,(SETUP!$B$19:$B$503=B9)*(SETUP!$D$19:$D$503=D9),0))))=4,
(SUMPRODUCT(('C19RM 2021-Lab &amp; Other HPS'!$A$14:$D$113=E9)*('C19RM 2021-Lab &amp; Other HPS'!$BH$14:$BH$113=BJ9)*('C19RM 2021-Lab &amp; Other HPS'!$BR$14:$BR$113)*(('C19RM 2021-Lab &amp; Other HPS'!$AM$14:$AM$113)))),IF((INDEX(SETUP!$G$19:$G$503,(MATCH(1,(SETUP!$B$19:$B$503=B9)*(SETUP!$D$19:$D$503=D9),0))))=3,((SUMPRODUCT(('C19RM 2021-Lab &amp; Other HPS'!$A$14:$D$113=E9)*('C19RM 2021-Lab &amp; Other HPS'!$BH$14:$BH$113=BJ9)*('C19RM 2021-Lab &amp; Other HPS'!$BR$14:$BR$113)*(('C19RM 2021-Lab &amp; Other HPS'!$AN$14:$AN$113))))),IF((INDEX(SETUP!$G$19:$G$503,(MATCH(1,(SETUP!$B$19:$B$503=B9)*(SETUP!$D$19:$D$503=D9),0))))=2,(SUMPRODUCT(('C19RM 2021-Lab &amp; Other HPS'!$A$14:$D$113=E9)*('C19RM 2021-Lab &amp; Other HPS'!$BH$14:$BH$113=BJ9)*('C19RM 2021-Lab &amp; Other HPS'!$BR$14:$BR$113)*(('C19RM 2021-Lab &amp; Other HPS'!$AO$14:$AO$113)))),IF((INDEX(SETUP!$G$19:$G$503,(MATCH(1,(SETUP!$B$19:$B$503=B9)*(SETUP!$D$19:$D$503=D9),0))))=1,(SUMPRODUCT(('C19RM 2021-Lab &amp; Other HPS'!$A$14:$D$113=E9)*('C19RM 2021-Lab &amp; Other HPS'!$BH$14:$BH$113=BJ9)*('C19RM 2021-Lab &amp; Other HPS'!$BS$14:$BS$113)*(('C19RM 2021-Lab &amp; Other HPS'!$AS$14:$AS$113)))),0)))),0)))</f>
        <v>0</v>
      </c>
      <c r="AJ9" s="359" cm="1">
        <f t="array" ref="AJ9">IF((INDEX(SETUP!$F$19:$F$503,(MATCH(1,(SETUP!$B$19:$B$503=B9)*(SETUP!$D$19:$D$503=D9),0))))="Upfront",
(SUMPRODUCT(('C19RM 2021-Lab &amp; Other HPS'!$A$14:$D$113=E9)*('C19RM 2021-Lab &amp; Other HPS'!$BH$14:$BH$113=BJ9)*('C19RM 2021-Lab &amp; Other HPS'!$BS$14:$BS$113)*(('C19RM 2021-Lab &amp; Other HPS'!$AU$14:$AU$113)))),
(IF((INDEX(SETUP!$F$19:$F$503,(MATCH(1,(SETUP!$B$19:$B$503=B9)*(SETUP!$D$19:$D$503=D9),0))))="At delivery",
IF((INDEX(SETUP!$G$19:$G$503,(MATCH(1,(SETUP!$B$19:$B$503=B9)*(SETUP!$D$19:$D$503=D9),0))))=4,
(SUMPRODUCT(('C19RM 2021-Lab &amp; Other HPS'!$A$14:$D$113=E9)*('C19RM 2021-Lab &amp; Other HPS'!$BH$14:$BH$113=BJ9)*('C19RM 2021-Lab &amp; Other HPS'!$BR$14:$BR$113)*(('C19RM 2021-Lab &amp; Other HPS'!$AN$14:$AN$113)))),IF((INDEX(SETUP!$G$19:$G$503,(MATCH(1,(SETUP!$B$19:$B$503=B9)*(SETUP!$D$19:$D$503=D9),0))))=3,((SUMPRODUCT(('C19RM 2021-Lab &amp; Other HPS'!$A$14:$D$113=E9)*('C19RM 2021-Lab &amp; Other HPS'!$BH$14:$BH$113=BJ9)*('C19RM 2021-Lab &amp; Other HPS'!$BR$14:$BR$113)*(('C19RM 2021-Lab &amp; Other HPS'!$AO$14:$AO$113))))),IF((INDEX(SETUP!$G$19:$G$503,(MATCH(1,(SETUP!$B$19:$B$503=B9)*(SETUP!$D$19:$D$503=D9),0))))=2,(SUMPRODUCT(('C19RM 2021-Lab &amp; Other HPS'!$A$14:$D$113=E9)*('C19RM 2021-Lab &amp; Other HPS'!$BH$14:$BH$113=BJ9)*('C19RM 2021-Lab &amp; Other HPS'!$BS$14:$BS$113)*(('C19RM 2021-Lab &amp; Other HPS'!$AS$14:$AS$113)))),IF((INDEX(SETUP!$G$19:$G$503,(MATCH(1,(SETUP!$B$19:$B$503=B9)*(SETUP!$D$19:$D$503=D9),0))))=1,(SUMPRODUCT(('C19RM 2021-Lab &amp; Other HPS'!$A$14:$D$113=E9)*('C19RM 2021-Lab &amp; Other HPS'!$BH$14:$BH$113=BJ9)*('C19RM 2021-Lab &amp; Other HPS'!$BS$14:$BS$113)*(('C19RM 2021-Lab &amp; Other HPS'!$AT$14:$AT$113)))),0)))),0)))</f>
        <v>0</v>
      </c>
      <c r="AK9" s="359" cm="1">
        <f t="array" ref="AK9">IF((INDEX(SETUP!$F$19:$F$503,(MATCH(1,(SETUP!$B$19:$B$503=B9)*(SETUP!$D$19:$D$503=D9),0))))="Upfront",
(SUMPRODUCT(('C19RM 2021-Lab &amp; Other HPS'!$A$14:$D$113=E9)*('C19RM 2021-Lab &amp; Other HPS'!$BH$14:$BH$113=BJ9)*('C19RM 2021-Lab &amp; Other HPS'!$BS$14:$BS$113)*(('C19RM 2021-Lab &amp; Other HPS'!$AV$14:$AV$113)))),
(IF((INDEX(SETUP!$F$19:$F$503,(MATCH(1,(SETUP!$B$19:$B$503=B9)*(SETUP!$D$19:$D$503=D9),0))))="At delivery",
IF((INDEX(SETUP!$G$19:$G$503,(MATCH(1,(SETUP!$B$19:$B$503=B9)*(SETUP!$D$19:$D$503=D9),0))))=4,
(SUMPRODUCT(('C19RM 2021-Lab &amp; Other HPS'!$A$14:$D$113=E9)*('C19RM 2021-Lab &amp; Other HPS'!$BH$14:$BH$113=BJ9)*('C19RM 2021-Lab &amp; Other HPS'!$BR$14:$BR$113)*(('C19RM 2021-Lab &amp; Other HPS'!$AO$14:$AO$113)))),IF((INDEX(SETUP!$G$19:$G$503,(MATCH(1,(SETUP!$B$19:$B$503=B9)*(SETUP!$D$19:$D$503=D9),0))))=3,((SUMPRODUCT(('C19RM 2021-Lab &amp; Other HPS'!$A$14:$D$113=E9)*('C19RM 2021-Lab &amp; Other HPS'!$BH$14:$BH$113=BJ9)*('C19RM 2021-Lab &amp; Other HPS'!$BS$14:$BS$113)*(('C19RM 2021-Lab &amp; Other HPS'!$AS$14:$AS$113))))),IF((INDEX(SETUP!$G$19:$G$503,(MATCH(1,(SETUP!$B$19:$B$503=B9)*(SETUP!$D$19:$D$503=D9),0))))=2,(SUMPRODUCT(('C19RM 2021-Lab &amp; Other HPS'!$A$14:$D$113=E9)*('C19RM 2021-Lab &amp; Other HPS'!$BH$14:$BH$113=BJ9)*('C19RM 2021-Lab &amp; Other HPS'!$BS$14:$BS$113)*(('C19RM 2021-Lab &amp; Other HPS'!$AT$14:$AT$113)))),IF((INDEX(SETUP!$G$19:$G$503,(MATCH(1,(SETUP!$B$19:$B$503=B9)*(SETUP!$D$19:$D$503=D9),0))))=1,(SUMPRODUCT(('C19RM 2021-Lab &amp; Other HPS'!$A$14:$D$113=E9)*('C19RM 2021-Lab &amp; Other HPS'!$BH$14:$BH$113=BJ9)*('C19RM 2021-Lab &amp; Other HPS'!$BS$14:$BS$113)*(('C19RM 2021-Lab &amp; Other HPS'!$AU$14:$AU$113)))),0)))),0)))</f>
        <v>0</v>
      </c>
      <c r="AL9" s="359" cm="1">
        <f t="array" ref="AL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HPS'!$AS$14:$AS$113)))),IF((INDEX(SETUP!$G$19:$G$503,(MATCH(1,(SETUP!$B$19:$B$503=B9)*(SETUP!$D$19:$D$503=D9),0))))=3,(SUMPRODUCT(('C19RM 2021-Lab &amp; Other HPS'!$A$14:$D$113=E9)*('C19RM 2021-Lab &amp; Other HPS'!$BH$14:$BH$113=BJ9)*('C19RM 2021-Lab &amp; Other HPS'!$BS$14:$BS$113)*(('C19RM 2021-Lab &amp; Other HPS'!$AT$14:$AT$113)))),IF((INDEX(SETUP!$G$19:$G$503,(MATCH(1,(SETUP!$B$19:$B$503=B9)*(SETUP!$D$19:$D$503=D9),0))))=2,(SUMPRODUCT(('C19RM 2021-Lab &amp; Other HPS'!$A$14:$D$113=E9)*('C19RM 2021-Lab &amp; Other HPS'!$BH$14:$BH$113=BJ9)*('C19RM 2021-Lab &amp; Other HPS'!$BS$14:$BS$113)*(('C19RM 2021-Lab &amp; Other HPS'!$AU$14:$AU$113)))),
IF((INDEX(SETUP!$G$19:$G$503,(MATCH(1,(SETUP!$B$19:$B$503=B9)*(SETUP!$D$19:$D$503=D9),0))))=1,
(SUMPRODUCT(('C19RM 2021-Lab &amp; Other HPS'!$A$14:$D$113=E9)*('C19RM 2021-Lab &amp; Other HPS'!$BH$14:$BH$113=BJ9)*('C19RM 2021-Lab &amp; Other HPS'!$BS$14:$BS$113)*(('C19RM 2021-Lab &amp; Other HPS'!$AV$14:$AV$113)))),0)))),0)))</f>
        <v>0</v>
      </c>
      <c r="AM9" s="359" cm="1">
        <f t="array" ref="AM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HPS'!$AT$14:$AT$113)))),IF((INDEX(SETUP!$G$19:$G$503,(MATCH(1,(SETUP!$B$19:$B$503=B9)*(SETUP!$D$19:$D$503=D9),0))))=3,(SUMPRODUCT(('C19RM 2021-Lab &amp; Other HPS'!$A$14:$D$113=E9)*('C19RM 2021-Lab &amp; Other HPS'!$BH$14:$BH$113=BJ9)*('C19RM 2021-Lab &amp; Other HPS'!$BS$14:$BS$113)*(('C19RM 2021-Lab &amp; Other HPS'!$AU$14:$AU$113)))),IF((INDEX(SETUP!$G$19:$G$503,(MATCH(1,(SETUP!$B$19:$B$503=B9)*(SETUP!$D$19:$D$503=D9),0))))=2,(SUMPRODUCT(('C19RM 2021-Lab &amp; Other HPS'!$A$14:$D$113=E9)*('C19RM 2021-Lab &amp; Other HPS'!$BH$14:$BH$113=BJ9)*('C19RM 2021-Lab &amp; Other HPS'!$BS$14:$BS$113)*(('C19RM 2021-Lab &amp; Other HPS'!$AV$14:$AV$113)))),IF((INDEX(SETUP!$G$19:$G$503,(MATCH(1,(SETUP!$B$19:$B$503=B9)*(SETUP!$D$19:$D$503=D9),0))))=1,(0),0)))),0)))</f>
        <v>0</v>
      </c>
      <c r="AN9" s="359" cm="1">
        <f t="array" ref="AN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HPS'!$AU$14:$AU$113)))),IF((INDEX(SETUP!$G$19:$G$503,(MATCH(1,(SETUP!$B$19:$B$503=B9)*(SETUP!$D$19:$D$503=D9),0))))=3,(SUMPRODUCT(('C19RM 2021-Lab &amp; Other HPS'!$A$14:$D$113=E9)*('C19RM 2021-Lab &amp; Other HPS'!$BH$14:$BH$113=BJ9)*('C19RM 2021-Lab &amp; Other HPS'!$BS$14:$BS$113)*(('C19RM 2021-Lab &amp; Other HPS'!$AV$14:$AV$113)))),IF((INDEX(SETUP!$G$19:$G$503,(MATCH(1,(SETUP!$B$19:$B$503=B9)*(SETUP!$D$19:$D$503=D9),0))))=2,(0),IF((INDEX(SETUP!$G$19:$G$503,(MATCH(1,(SETUP!$B$19:$B$503=B9)*(SETUP!$D$19:$D$503=D9),0))))=1,(0),0)))),0)))</f>
        <v>0</v>
      </c>
      <c r="AO9" s="359" cm="1">
        <f t="array" ref="AO9">IF((INDEX(SETUP!$F$19:$F$503,(MATCH(1,(SETUP!$B$19:$B$503=B9)*(SETUP!$D$19:$D$503=D9),0))))="Upfront",0,(IF((INDEX(SETUP!$F$19:$F$503,(MATCH(1,(SETUP!$B$19:$B$503=B9)*(SETUP!$D$19:$D$503=D9),0))))="At delivery",IF((INDEX(SETUP!$G$19:$G$503,(MATCH(1,(SETUP!$B$19:$B$503=B9)*(SETUP!$D$19:$D$503=D9),0))))=4,(SUMPRODUCT(('C19RM 2021-Lab &amp; Other HPS'!$A$14:$D$113=E9)*('C19RM 2021-Lab &amp; Other HPS'!$BH$14:$BH$113=BJ9)*('C19RM 2021-Lab &amp; Other HPS'!$BS$14:$BS$113)*(('C19RM 2021-Lab &amp; Other HPS'!$AV$14:$AV$113)))),IF((INDEX(SETUP!$G$19:$G$503,(MATCH(1,(SETUP!$B$19:$B$503=B9)*(SETUP!$D$19:$D$503=D9),0))))=3,(0),IF((INDEX(SETUP!$G$19:$G$503,(MATCH(1,(SETUP!$B$19:$B$503=B9)*(SETUP!$D$19:$D$503=D9),0))))=2,(0),IF((INDEX(SETUP!$G$19:$G$503,(MATCH(1,(SETUP!$B$19:$B$503=B9)*(SETUP!$D$19:$D$503=D9),0))))=1,(0),0)))),0)))</f>
        <v>0</v>
      </c>
      <c r="AP9" s="359"/>
      <c r="AQ9" s="359"/>
      <c r="AR9" s="359"/>
      <c r="AS9" s="359"/>
      <c r="AT9" s="359" cm="1">
        <f t="array" ref="AT9">IF(BG9&gt;=1,0,IFERROR(SUMPRODUCT(($R$2:$AO$2=$AT$4)*($E$5:$E$100=E9)*($BC$5:$BC$100=BC9)*($R$5:$AO$100)),0))</f>
        <v>0</v>
      </c>
      <c r="AU9" s="359" cm="1">
        <f t="array" ref="AU9">IF(BG9&gt;=1,0,IFERROR(SUMPRODUCT(($R$2:$AO$2=$AU$4)*($E$5:$E$100=E9)*($BC$5:$BC$100=BC9)*($R$5:$AO$100)),0))</f>
        <v>0</v>
      </c>
      <c r="AV9" s="359" cm="1">
        <f t="array" ref="AV9">IF(BG9&gt;=1,0,IFERROR(SUMPRODUCT(($R$2:$AO$2=$AV$4)*($E$5:$E$100=E9)*($BC$5:$BC$100=BC9)*($R$5:$AO$100)),0))</f>
        <v>0</v>
      </c>
      <c r="AW9" s="359" cm="1">
        <f t="array" ref="AW9">IF(BG9&gt;=1,0,IFERROR(SUMPRODUCT(($R$2:$AO$2=$AW$4)*($E$5:$E$100=E9)*($BC$5:$BC$100=BC9)*($R$5:$AO$100)),0))</f>
        <v>0</v>
      </c>
      <c r="AX9" s="359" cm="1">
        <f t="array" ref="AX9">IF(BG9&gt;=1,0,IFERROR(SUMPRODUCT(($R$2:$AO$2=$AX$4)*($E$5:$E$100=E9)*($BC$5:$BC$100=BC9)*($R$5:$AO$100)),0))</f>
        <v>0</v>
      </c>
      <c r="AY9" s="359">
        <f t="shared" si="5"/>
        <v>0</v>
      </c>
      <c r="AZ9" s="359"/>
      <c r="BA9" s="233">
        <f t="shared" si="6"/>
        <v>0</v>
      </c>
      <c r="BB9" s="220" t="s">
        <v>83</v>
      </c>
      <c r="BC9" t="s">
        <v>181</v>
      </c>
      <c r="BD9" cm="1">
        <f t="array" ref="BD9">(SUMPRODUCT(('C19RM 2021-Lab &amp; Other HPS'!$A$14:$D$650=E9)*('C19RM 2021-Lab &amp; Other HPS'!$BU$14:$BU$650)))</f>
        <v>0</v>
      </c>
      <c r="BE9" cm="1">
        <f t="array" ref="BE9">(SUMPRODUCT((SETUP!$D$20:$D$67=D9)*(SETUP!$R$20:$R$67)))</f>
        <v>0</v>
      </c>
      <c r="BF9" cm="1">
        <f t="array" ref="BF9">(SUMPRODUCT(('C19RM 2021-Lab &amp; Other HPS'!$A$14:$D$650=E9)*('C19RM 2021-Lab &amp; Other HPS'!$BV$14:$BV$650)))</f>
        <v>0</v>
      </c>
      <c r="BG9">
        <f t="shared" si="11"/>
        <v>0</v>
      </c>
      <c r="BJ9" s="235">
        <v>5.8</v>
      </c>
    </row>
    <row r="10" spans="1:62" x14ac:dyDescent="0.35">
      <c r="A10" s="235">
        <v>1</v>
      </c>
      <c r="B10" s="220" t="s">
        <v>2750</v>
      </c>
      <c r="C10" s="235" t="s">
        <v>3192</v>
      </c>
      <c r="D10" s="235" t="s">
        <v>13</v>
      </c>
      <c r="E10" s="235" t="s">
        <v>2753</v>
      </c>
      <c r="F10" s="220">
        <f>SETUP!$E$3</f>
        <v>0</v>
      </c>
      <c r="G10" s="220" t="str">
        <f ca="1">SETUP!$J$5</f>
        <v>NA</v>
      </c>
      <c r="H10" s="220" t="str">
        <f>SETUP!$E$9</f>
        <v>C19RM</v>
      </c>
      <c r="I10" s="232">
        <f t="shared" ref="I10" si="14">IMP_ST_DATE</f>
        <v>44197</v>
      </c>
      <c r="J10" s="232">
        <f>SETUP!$L$14</f>
        <v>46022</v>
      </c>
      <c r="K10" s="220">
        <v>1</v>
      </c>
      <c r="L10">
        <f t="shared" ref="L10" si="15">GRAN_NO</f>
        <v>0</v>
      </c>
      <c r="M10">
        <f>SETUP!$E$7</f>
        <v>0</v>
      </c>
      <c r="N10">
        <f>SETUP!$F$76</f>
        <v>6.1</v>
      </c>
      <c r="O10" t="str" cm="1">
        <f t="array" ref="O10">INDEX(SETUP!$E$19:$E$503,(MATCH(1,(SETUP!$B$19:$B$503=B10)*(SETUP!$D$19:$D$503=D10),0)))</f>
        <v>PR/SR</v>
      </c>
      <c r="P10" t="str" cm="1">
        <f t="array" ref="P10">INDEX(SETUP!$F$19:$F$503,(MATCH(1,(SETUP!$B$19:$B$503=B10)*(SETUP!$D$19:$D$503=D10),0)))</f>
        <v>At delivery</v>
      </c>
      <c r="Q10" cm="1">
        <f t="array" ref="Q10">INDEX(SETUP!$G$19:$G$503,(MATCH(1,(SETUP!$B$19:$B$503=B10)*(SETUP!$D$19:$D$503=D10),0)))</f>
        <v>1</v>
      </c>
      <c r="R10" s="359" cm="1">
        <f t="array" ref="R10">IF((INDEX(SETUP!$F$19:$F$503,(MATCH(1,(SETUP!$B$19:$B$503=B10)*(SETUP!$D$19:$D$503=D10),0))))="Upfront",(SUMPRODUCT(('C19RM 2021-Lab &amp; Other HPS'!$A$14:$D$113=E10)*('C19RM 2021-Lab &amp; Other HPS'!$BH$14:$BH$113=BJ10)*('C19RM 2021-Lab &amp; Other HPS'!$BO$14:$BO$113)*(('C19RM 2021-Lab &amp; Other HPS'!$Q$14:$Q$113)))),0)</f>
        <v>0</v>
      </c>
      <c r="S10" s="359" cm="1">
        <f t="array" ref="S10">IF((INDEX(SETUP!$F$19:$F$503,(MATCH(1,(SETUP!$B$19:$B$503=B10)*(SETUP!$D$19:$D$503=D10),0))))="Upfront",(SUMPRODUCT(('C19RM 2021-Lab &amp; Other HPS'!$A$14:$D$113=E10)*('C19RM 2021-Lab &amp; Other HPS'!$BH$14:$BH$113=BJ10)*('C19RM 2021-Lab &amp; Other HPS'!$BO$14:$BO$113)*(('C19RM 2021-Lab &amp; Other HPS'!$R$14:$R$113)))),(IF((INDEX(SETUP!$F$19:$F$503,(MATCH(1,(SETUP!$B$19:$B$503=B10)*(SETUP!$D$19:$D$503=D10),0))))="At delivery",IF((INDEX(SETUP!$G$19:$G$503,(MATCH(1,(SETUP!$B$19:$B$503=B10)*(SETUP!$D$19:$D$503=D10),0))))=1,(SUMPRODUCT(('C19RM 2021-Lab &amp; Other HPS'!$A$14:$D$113=E10)*('C19RM 2021-Lab &amp; Other HPS'!$BH$14:$BH$113=BJ10)*('C19RM 2021-Lab &amp; Other HPS'!$BO$14:$BO$113)*(('C19RM 2021-Lab &amp; Other HPS'!$Q$14:$Q$113)))),0),0)))</f>
        <v>0</v>
      </c>
      <c r="T10" s="359" cm="1">
        <f t="array" ref="T10">IF((INDEX(SETUP!$F$19:$F$503,(MATCH(1,(SETUP!$B$19:$B$503=B10)*(SETUP!$D$19:$D$503=D10),0))))="Upfront",(SUMPRODUCT(('C19RM 2021-Lab &amp; Other HPS'!$A$14:$D$113=E10)*('C19RM 2021-Lab &amp; Other HPS'!$BH$14:$BH$113=BJ10)*('C19RM 2021-Lab &amp; Other HPS'!$BO$14:$BO$113)*(('C19RM 2021-Lab &amp; Other HPS'!$S$14:$S$113)))),(IF((INDEX(SETUP!$F$19:$F$503,(MATCH(1,(SETUP!$B$19:$B$503=B10)*(SETUP!$D$19:$D$503=D10),0))))="At delivery",IF((INDEX(SETUP!$G$19:$G$503,(MATCH(1,(SETUP!$B$19:$B$503=B10)*(SETUP!$D$19:$D$503=D10),0))))=2,(SUMPRODUCT(('C19RM 2021-Lab &amp; Other HPS'!$A$14:$D$113=E10)*('C19RM 2021-Lab &amp; Other HPS'!$BH$14:$BH$113=BJ10)*('C19RM 2021-Lab &amp; Other HPS'!$BO$14:$BO$113)*(('C19RM 2021-Lab &amp; Other HPS'!$Q$14:$Q$113)))),IF((INDEX(SETUP!$G$19:$G$503,(MATCH(1,(SETUP!$B$19:$B$503=B10)*(SETUP!$D$19:$D$503=D10),0))))=1,(SUMPRODUCT(('C19RM 2021-Lab &amp; Other HPS'!$A$14:$D$113=E10)*('C19RM 2021-Lab &amp; Other HPS'!$BH$14:$BH$113=BJ10)*('C19RM 2021-Lab &amp; Other HPS'!$BO$14:$BO$113)*(('C19RM 2021-Lab &amp; Other HPS'!$R$14:$R$113)))),0)),0)))</f>
        <v>0</v>
      </c>
      <c r="U10" s="359" cm="1">
        <f t="array" ref="U10">IF((INDEX(SETUP!$F$19:$F$503,(MATCH(1,(SETUP!$B$19:$B$503=B10)*(SETUP!$D$19:$D$503=D10),0))))="Upfront",(SUMPRODUCT(('C19RM 2021-Lab &amp; Other HPS'!$A$14:$D$113=E10)*('C19RM 2021-Lab &amp; Other HPS'!$BH$14:$BH$113=BJ10)*('C19RM 2021-Lab &amp; Other HPS'!$BO$14:$BO$113)*(('C19RM 2021-Lab &amp; Other HPS'!$T$14:$T$113)))),(IF((INDEX(SETUP!$F$19:$F$503,(MATCH(1,(SETUP!$B$19:$B$503=B10)*(SETUP!$D$19:$D$503=D10),0))))="At delivery",IF((INDEX(SETUP!$G$19:$G$503,(MATCH(1,(SETUP!$B$19:$B$503=B10)*(SETUP!$D$19:$D$503=D10),0))))=3,(SUMPRODUCT(('C19RM 2021-Lab &amp; Other HPS'!$A$14:$D$113=E10)*('C19RM 2021-Lab &amp; Other HPS'!$BH$14:$BH$113=BJ10)*('C19RM 2021-Lab &amp; Other HPS'!$BO$14:$BO$113)*(('C19RM 2021-Lab &amp; Other HPS'!$Q$14:$Q$113)))),IF((INDEX(SETUP!$G$19:$G$503,(MATCH(1,(SETUP!$B$19:$B$503=B10)*(SETUP!$D$19:$D$503=D10),0))))=2,(SUMPRODUCT(('C19RM 2021-Lab &amp; Other HPS'!$A$14:$D$113=E10)*('C19RM 2021-Lab &amp; Other HPS'!$BH$14:$BH$113=BJ10)*('C19RM 2021-Lab &amp; Other HPS'!$BO$14:$BO$113)*(('C19RM 2021-Lab &amp; Other HPS'!$R$14:$R$113)))),IF((INDEX(SETUP!$G$19:$G$503,(MATCH(1,(SETUP!$B$19:$B$503=B10)*(SETUP!$D$19:$D$503=D10),0))))=1,(SUMPRODUCT(('C19RM 2021-Lab &amp; Other HPS'!$A$14:$D$113=E10)*('C19RM 2021-Lab &amp; Other HPS'!$BH$14:$BH$113=BJ10)*('C19RM 2021-Lab &amp; Other HPS'!$BO$14:$BO$113)*(('C19RM 2021-Lab &amp; Other HPS'!$S$14:$S$113)))),0))),0)))</f>
        <v>0</v>
      </c>
      <c r="V10" s="359" cm="1">
        <f t="array" ref="V10">IF((INDEX(SETUP!$F$19:$F$503,(MATCH(1,(SETUP!$B$19:$B$503=B10)*(SETUP!$D$19:$D$503=D10),0))))="Upfront",(SUMPRODUCT(('C19RM 2021-Lab &amp; Other HPS'!$A$14:$D$113=E10)*('C19RM 2021-Lab &amp; Other HPS'!$BH$14:$BH$113=BJ10)*('C19RM 2021-Lab &amp; Other HPS'!$BP$14:$BP$113)*(('C19RM 2021-Lab &amp; Other HPS'!$X$14:$X$113)))),(IF((INDEX(SETUP!$F$19:$F$503,(MATCH(1,(SETUP!$B$19:$B$503=B10)*(SETUP!$D$19:$D$503=D10),0))))="At delivery",IF((INDEX(SETUP!$G$19:$G$503,(MATCH(1,(SETUP!$B$19:$B$503=B10)*(SETUP!$D$19:$D$503=D10),0))))=4,(SUMPRODUCT(('C19RM 2021-Lab &amp; Other HPS'!$A$14:$D$113=E10)*('C19RM 2021-Lab &amp; Other HPS'!$BH$14:$BH$113=BJ10)*('C19RM 2021-Lab &amp; Other HPS'!$BO$14:$BO$113)*(('C19RM 2021-Lab &amp; Other HPS'!$Q$14:$Q$113)))),IF((INDEX(SETUP!$G$19:$G$503,(MATCH(1,(SETUP!$B$19:$B$503=B10)*(SETUP!$D$19:$D$503=D10),0))))=3,(SUMPRODUCT(('C19RM 2021-Lab &amp; Other HPS'!$A$14:$D$113=E10)*('C19RM 2021-Lab &amp; Other HPS'!$BH$14:$BH$113=BJ10)*('C19RM 2021-Lab &amp; Other HPS'!$BO$14:$BO$113)*(('C19RM 2021-Lab &amp; Other HPS'!$R$14:$R$113)))),IF((INDEX(SETUP!$G$19:$G$503,(MATCH(1,(SETUP!$B$19:$B$503=B10)*(SETUP!$D$19:$D$503=D10),0))))=2,(SUMPRODUCT(('C19RM 2021-Lab &amp; Other HPS'!$A$14:$D$113=E10)*('C19RM 2021-Lab &amp; Other HPS'!$BH$14:$BH$113=BJ10)*('C19RM 2021-Lab &amp; Other HPS'!$BO$14:$BO$113)*(('C19RM 2021-Lab &amp; Other HPS'!$S$14:$S$113)))),IF((INDEX(SETUP!$G$19:$G$503,(MATCH(1,(SETUP!$B$19:$B$503=B10)*(SETUP!$D$19:$D$503=D10),0))))=1,(SUMPRODUCT(('C19RM 2021-Lab &amp; Other HPS'!$A$14:$D$113=E10)*('C19RM 2021-Lab &amp; Other HPS'!$BH$14:$BH$113=BJ10)*('C19RM 2021-Lab &amp; Other HPS'!$BO$14:$BO$113)*(('C19RM 2021-Lab &amp; Other HPS'!$T$14:$T$113)))),0)))),0)))</f>
        <v>0</v>
      </c>
      <c r="W10" s="359" cm="1">
        <f t="array" ref="W10">IF((INDEX(SETUP!$F$19:$F$503,(MATCH(1,(SETUP!$B$19:$B$503=B10)*(SETUP!$D$19:$D$503=D10),0))))="Upfront",(SUMPRODUCT(('C19RM 2021-Lab &amp; Other HPS'!$A$14:$D$113=E10)*('C19RM 2021-Lab &amp; Other HPS'!$BH$14:$BH$113=BJ10)*('C19RM 2021-Lab &amp; Other HPS'!$BP$14:$BP$113)*(('C19RM 2021-Lab &amp; Other HPS'!$Y$14:$Y$113)))),(IF((INDEX(SETUP!$F$19:$F$503,(MATCH(1,(SETUP!$B$19:$B$503=B10)*(SETUP!$D$19:$D$503=D10),0))))="At delivery",IF((INDEX(SETUP!$G$19:$G$503,(MATCH(1,(SETUP!$B$19:$B$503=B10)*(SETUP!$D$19:$D$503=D10),0))))=4,(SUMPRODUCT(('C19RM 2021-Lab &amp; Other HPS'!$A$14:$D$113=E10)*('C19RM 2021-Lab &amp; Other HPS'!$BH$14:$BH$113=BJ10)*('C19RM 2021-Lab &amp; Other HPS'!$BO$14:$BO$113)*(('C19RM 2021-Lab &amp; Other HPS'!$R$14:$R$113)))),IF((INDEX(SETUP!$G$19:$G$503,(MATCH(1,(SETUP!$B$19:$B$503=B10)*(SETUP!$D$19:$D$503=D10),0))))=3,(SUMPRODUCT(('C19RM 2021-Lab &amp; Other HPS'!$A$14:$D$113=E10)*('C19RM 2021-Lab &amp; Other HPS'!$BH$14:$BH$113=BJ10)*('C19RM 2021-Lab &amp; Other HPS'!$BO$14:$BO$113)*(('C19RM 2021-Lab &amp; Other HPS'!$S$14:$S$113)))),IF((INDEX(SETUP!$G$19:$G$503,(MATCH(1,(SETUP!$B$19:$B$503=B10)*(SETUP!$D$19:$D$503=D10),0))))=2,((SUMPRODUCT(('C19RM 2021-Lab &amp; Other HPS'!$A$14:$D$113=E10)*('C19RM 2021-Lab &amp; Other HPS'!$BH$14:$BH$113=BJ10)*('C19RM 2021-Lab &amp; Other HPS'!$BO$14:$BO$113)*(('C19RM 2021-Lab &amp; Other HPS'!$T$14:$T$113))))),IF((INDEX(SETUP!$G$19:$G$503,(MATCH(1,(SETUP!$B$19:$B$503=B10)*(SETUP!$D$19:$D$503=D10),0))))=1,(SUMPRODUCT(('C19RM 2021-Lab &amp; Other HPS'!$A$14:$D$113=E10)*('C19RM 2021-Lab &amp; Other HPS'!$BH$14:$BH$113=BJ10)*('C19RM 2021-Lab &amp; Other HPS'!$BP$14:$BP$113)*(('C19RM 2021-Lab &amp; Other HPS'!$X$14:$X$113)))),0)))),0)))</f>
        <v>0</v>
      </c>
      <c r="X10" s="359" cm="1">
        <f t="array" ref="X10">IF((INDEX(SETUP!$F$19:$F$503,(MATCH(1,(SETUP!$B$19:$B$503=B10)*(SETUP!$D$19:$D$503=D10),0))))="Upfront",(SUMPRODUCT(('C19RM 2021-Lab &amp; Other HPS'!$A$14:$D$113=E10)*('C19RM 2021-Lab &amp; Other HPS'!$BH$14:$BH$113=BJ10)*('C19RM 2021-Lab &amp; Other HPS'!$BP$14:$BP$113)*(('C19RM 2021-Lab &amp; Other HPS'!$Z$14:$Z$113)))),(IF((INDEX(SETUP!$F$19:$F$503,(MATCH(1,(SETUP!$B$19:$B$503=B10)*(SETUP!$D$19:$D$503=D10),0))))="At delivery",IF((INDEX(SETUP!$G$19:$G$503,(MATCH(1,(SETUP!$B$19:$B$503=B10)*(SETUP!$D$19:$D$503=D10),0))))=4,(SUMPRODUCT(('C19RM 2021-Lab &amp; Other HPS'!$A$14:$D$113=E10)*('C19RM 2021-Lab &amp; Other HPS'!$BH$14:$BH$113=BJ10)*('C19RM 2021-Lab &amp; Other HPS'!$BO$14:$BO$113)*(('C19RM 2021-Lab &amp; Other HPS'!$S$14:$S$113)))),IF((INDEX(SETUP!$G$19:$G$503,(MATCH(1,(SETUP!$B$19:$B$503=B10)*(SETUP!$D$19:$D$503=D10),0))))=3,((SUMPRODUCT(('C19RM 2021-Lab &amp; Other HPS'!$A$14:$D$113=E10)*('C19RM 2021-Lab &amp; Other HPS'!$BH$14:$BH$113=BJ10)*('C19RM 2021-Lab &amp; Other HPS'!$BO$14:$BO$113)*(('C19RM 2021-Lab &amp; Other HPS'!$T$14:$T$113))))),IF((INDEX(SETUP!$G$19:$G$503,(MATCH(1,(SETUP!$B$19:$B$503=B10)*(SETUP!$D$19:$D$503=D10),0))))=2,(SUMPRODUCT(('C19RM 2021-Lab &amp; Other HPS'!$A$14:$D$113=E10)*('C19RM 2021-Lab &amp; Other HPS'!$BH$14:$BH$113=BJ10)*('C19RM 2021-Lab &amp; Other HPS'!$BP$14:$BP$113)*(('C19RM 2021-Lab &amp; Other HPS'!$X$14:$X$113)))),IF((INDEX(SETUP!$G$19:$G$503,(MATCH(1,(SETUP!$B$19:$B$503=B10)*(SETUP!$D$19:$D$503=D10),0))))=1,(SUMPRODUCT(('C19RM 2021-Lab &amp; Other HPS'!$A$14:$D$113=E10)*('C19RM 2021-Lab &amp; Other HPS'!$BH$14:$BH$113=BJ10)*('C19RM 2021-Lab &amp; Other HPS'!$BP$14:$BP$113)*(('C19RM 2021-Lab &amp; Other HPS'!$Y$14:$Y$113)))),0)))),0)))</f>
        <v>0</v>
      </c>
      <c r="Y10" s="359" cm="1">
        <f t="array" ref="Y10">IF((INDEX(SETUP!$F$19:$F$503,(MATCH(1,(SETUP!$B$19:$B$503=B10)*(SETUP!$D$19:$D$503=D10),0))))="Upfront",
(SUMPRODUCT(('C19RM 2021-Lab &amp; Other HPS'!$A$14:$D$113=E10)*('C19RM 2021-Lab &amp; Other HPS'!$BH$14:$BH$113=BJ10)*('C19RM 2021-Lab &amp; Other HPS'!$BP$14:$BP$113)*(('C19RM 2021-Lab &amp; Other HPS'!$AA$14:$AA$113)))),
(IF((INDEX(SETUP!$F$19:$F$503,(MATCH(1,(SETUP!$B$19:$B$503=B10)*(SETUP!$D$19:$D$503=D10),0))))="At delivery",
IF((INDEX(SETUP!$G$19:$G$503,(MATCH(1,(SETUP!$B$19:$B$503=B10)*(SETUP!$D$19:$D$503=D10),0))))=4,
((SUMPRODUCT(('C19RM 2021-Lab &amp; Other HPS'!$A$14:$D$113=E10)*('C19RM 2021-Lab &amp; Other HPS'!$BH$14:$BH$113=BJ10)*('C19RM 2021-Lab &amp; Other HPS'!$BO$14:$BO$113)*(('C19RM 2021-Lab &amp; Other HPS'!$T$14:$T$113))))),IF((INDEX(SETUP!$G$19:$G$503,(MATCH(1,(SETUP!$B$19:$B$503=B10)*(SETUP!$D$19:$D$503=D10),0))))=3,(SUMPRODUCT(('C19RM 2021-Lab &amp; Other HPS'!$A$14:$D$113=E10)*('C19RM 2021-Lab &amp; Other HPS'!$BH$14:$BH$113=BJ10)*('C19RM 2021-Lab &amp; Other HPS'!$BP$14:$BP$113)*(('C19RM 2021-Lab &amp; Other HPS'!$X$14:$X$113)))),IF((INDEX(SETUP!$G$19:$G$503,(MATCH(1,(SETUP!$B$19:$B$503=B10)*(SETUP!$D$19:$D$503=D10),0))))=2,(SUMPRODUCT(('C19RM 2021-Lab &amp; Other HPS'!$A$14:$D$113=E10)*('C19RM 2021-Lab &amp; Other HPS'!$BH$14:$BH$113=BJ10)*('C19RM 2021-Lab &amp; Other HPS'!$BP$14:$BP$113)*(('C19RM 2021-Lab &amp; Other HPS'!$Y$14:$Y$113)))),IF((INDEX(SETUP!$G$19:$G$503,(MATCH(1,(SETUP!$B$19:$B$503=B10)*(SETUP!$D$19:$D$503=D10),0))))=1,(SUMPRODUCT(('C19RM 2021-Lab &amp; Other HPS'!$A$14:$D$113=E10)*('C19RM 2021-Lab &amp; Other HPS'!$BH$14:$BH$113=BJ10)*('C19RM 2021-Lab &amp; Other HPS'!$BP$14:$BP$113)*(('C19RM 2021-Lab &amp; Other HPS'!$Z$14:$Z$113)))),0)))),0)))</f>
        <v>0</v>
      </c>
      <c r="Z10" s="359" cm="1">
        <f t="array" ref="Z10">IF((INDEX(SETUP!$F$19:$F$503,(MATCH(1,(SETUP!$B$19:$B$503=B10)*(SETUP!$D$19:$D$503=D10),0))))="Upfront",(SUMPRODUCT(('C19RM 2021-Lab &amp; Other HPS'!$A$14:$D$113=E10)*('C19RM 2021-Lab &amp; Other HPS'!$BH$14:$BH$113=BJ10)*('C19RM 2021-Lab &amp; Other HPS'!$BQ$14:$BQ$113)*(('C19RM 2021-Lab &amp; Other HPS'!$AE$14:$AE$113)))),(IF((INDEX(SETUP!$F$19:$F$503,(MATCH(1,(SETUP!$B$19:$B$503=B10)*(SETUP!$D$19:$D$503=D10),0))))="At delivery",IF((INDEX(SETUP!$G$19:$G$503,(MATCH(1,(SETUP!$B$19:$B$503=B10)*(SETUP!$D$19:$D$503=D10),0))))=4,(SUMPRODUCT(('C19RM 2021-Lab &amp; Other HPS'!$A$14:$D$113=E10)*('C19RM 2021-Lab &amp; Other HPS'!$BH$14:$BH$113=BJ10)*('C19RM 2021-Lab &amp; Other HPS'!$BP$14:$BP$113)*(('C19RM 2021-Lab &amp; Other HPS'!$X$14:$X$113)))),IF((INDEX(SETUP!$G$19:$G$503,(MATCH(1,(SETUP!$B$19:$B$503=B10)*(SETUP!$D$19:$D$503=D10),0))))=3,(SUMPRODUCT(('C19RM 2021-Lab &amp; Other HPS'!$A$14:$D$113=E10)*('C19RM 2021-Lab &amp; Other HPS'!$BH$14:$BH$113=BJ10)*('C19RM 2021-Lab &amp; Other HPS'!$BP$14:$BP$113)*(('C19RM 2021-Lab &amp; Other HPS'!$Y$14:$Y$113)))),IF((INDEX(SETUP!$G$19:$G$503,(MATCH(1,(SETUP!$B$19:$B$503=B10)*(SETUP!$D$19:$D$503=D10),0))))=2,(SUMPRODUCT(('C19RM 2021-Lab &amp; Other HPS'!$A$14:$D$113=E10)*('C19RM 2021-Lab &amp; Other HPS'!$BH$14:$BH$113=BJ10)*('C19RM 2021-Lab &amp; Other HPS'!$BP$14:$BP$113)*(('C19RM 2021-Lab &amp; Other HPS'!$Z$14:$Z$113)))),IF((INDEX(SETUP!$G$19:$G$503,(MATCH(1,(SETUP!$B$19:$B$503=B10)*(SETUP!$D$19:$D$503=D10),0))))=1,(SUMPRODUCT(('C19RM 2021-Lab &amp; Other HPS'!$A$14:$D$113=E10)*('C19RM 2021-Lab &amp; Other HPS'!$BH$14:$BH$113=BJ10)*('C19RM 2021-Lab &amp; Other HPS'!$BP$14:$BP$113)*(('C19RM 2021-Lab &amp; Other HPS'!$AA$14:$AA$113)))),0)))),0)))</f>
        <v>0</v>
      </c>
      <c r="AA10" s="359" cm="1">
        <f t="array" ref="AA10">IF((INDEX(SETUP!$F$19:$F$503,(MATCH(1,(SETUP!$B$19:$B$503=B10)*(SETUP!$D$19:$D$503=D10),0))))="Upfront",(SUMPRODUCT(('C19RM 2021-Lab &amp; Other HPS'!$A$14:$D$113=E10)*('C19RM 2021-Lab &amp; Other HPS'!$BH$14:$BH$113=BJ10)*('C19RM 2021-Lab &amp; Other HPS'!$BQ$14:$BQ$113)*(('C19RM 2021-Lab &amp; Other HPS'!$AF$14:$AF$113)))),(IF((INDEX(SETUP!$F$19:$F$503,(MATCH(1,(SETUP!$B$19:$B$503=B10)*(SETUP!$D$19:$D$503=D10),0))))="At delivery",IF((INDEX(SETUP!$G$19:$G$503,(MATCH(1,(SETUP!$B$19:$B$503=B10)*(SETUP!$D$19:$D$503=D10),0))))=4,(SUMPRODUCT(('C19RM 2021-Lab &amp; Other HPS'!$A$14:$D$113=E10)*('C19RM 2021-Lab &amp; Other HPS'!$BH$14:$BH$113=BJ10)*('C19RM 2021-Lab &amp; Other HPS'!$BP$14:$BP$113)*(('C19RM 2021-Lab &amp; Other HPS'!$Y$14:$Y$113)))),IF((INDEX(SETUP!$G$19:$G$503,(MATCH(1,(SETUP!$B$19:$B$503=B10)*(SETUP!$D$19:$D$503=D10),0))))=3,(SUMPRODUCT(('C19RM 2021-Lab &amp; Other HPS'!$A$14:$D$113=E10)*('C19RM 2021-Lab &amp; Other HPS'!$BH$14:$BH$113=BJ10)*('C19RM 2021-Lab &amp; Other HPS'!$BP$14:$BP$113)*(('C19RM 2021-Lab &amp; Other HPS'!$Z$14:$Z$113)))),IF((INDEX(SETUP!$G$19:$G$503,(MATCH(1,(SETUP!$B$19:$B$503=B10)*(SETUP!$D$19:$D$503=D10),0))))=2,((SUMPRODUCT(('C19RM 2021-Lab &amp; Other HPS'!$A$14:$D$113=E10)*('C19RM 2021-Lab &amp; Other HPS'!$BH$14:$BH$113=BJ10)*('C19RM 2021-Lab &amp; Other HPS'!$BP$14:$BP$113)*(('C19RM 2021-Lab &amp; Other HPS'!$AA$14:$AA$113))))),IF((INDEX(SETUP!$G$19:$G$503,(MATCH(1,(SETUP!$B$19:$B$503=B10)*(SETUP!$D$19:$D$503=D10),0))))=1,(SUMPRODUCT(('C19RM 2021-Lab &amp; Other HPS'!$A$14:$D$113=E10)*('C19RM 2021-Lab &amp; Other HPS'!$BH$14:$BH$113=BJ10)*('C19RM 2021-Lab &amp; Other HPS'!$BQ$14:$BQ$113)*(('C19RM 2021-Lab &amp; Other HPS'!$AE$14:$AE$113)))),0)))),0)))</f>
        <v>0</v>
      </c>
      <c r="AB10" s="359" cm="1">
        <f t="array" ref="AB10">IF((INDEX(SETUP!$F$19:$F$503,(MATCH(1,(SETUP!$B$19:$B$503=B10)*(SETUP!$D$19:$D$503=D10),0))))="Upfront",
(SUMPRODUCT(('C19RM 2021-Lab &amp; Other HPS'!$A$14:$D$113=E10)*('C19RM 2021-Lab &amp; Other HPS'!$BH$14:$BH$113=BJ10)*('C19RM 2021-Lab &amp; Other HPS'!$BQ$14:$BQ$113)*(('C19RM 2021-Lab &amp; Other HPS'!$AG$14:$AG$113)))),
(IF((INDEX(SETUP!$F$19:$F$503,(MATCH(1,(SETUP!$B$19:$B$503=B10)*(SETUP!$D$19:$D$503=D10),0))))="At delivery",
IF((INDEX(SETUP!$G$19:$G$503,(MATCH(1,(SETUP!$B$19:$B$503=B10)*(SETUP!$D$19:$D$503=D10),0))))=4,
(SUMPRODUCT(('C19RM 2021-Lab &amp; Other HPS'!$A$14:$D$113=E10)*('C19RM 2021-Lab &amp; Other HPS'!$BH$14:$BH$113=BJ10)*('C19RM 2021-Lab &amp; Other HPS'!$BP$14:$BP$113)*(('C19RM 2021-Lab &amp; Other HPS'!$Z$14:$Z$113)))),IF((INDEX(SETUP!$G$19:$G$503,(MATCH(1,(SETUP!$B$19:$B$503=B10)*(SETUP!$D$19:$D$503=D10),0))))=3,(SUMPRODUCT(('C19RM 2021-Lab &amp; Other HPS'!$A$14:$D$113=E10)*('C19RM 2021-Lab &amp; Other HPS'!$BH$14:$BH$113=BJ10)*('C19RM 2021-Lab &amp; Other HPS'!$BP$14:$BP$113)*(('C19RM 2021-Lab &amp; Other HPS'!$AA$14:$AA$113)))),IF((INDEX(SETUP!$G$19:$G$503,(MATCH(1,(SETUP!$B$19:$B$503=B10)*(SETUP!$D$19:$D$503=D10),0))))=2,(SUMPRODUCT(('C19RM 2021-Lab &amp; Other HPS'!$A$14:$D$113=E10)*('C19RM 2021-Lab &amp; Other HPS'!$BH$14:$BH$113=BJ10)*('C19RM 2021-Lab &amp; Other HPS'!$BQ$14:$BQ$113)*(('C19RM 2021-Lab &amp; Other HPS'!$AE$14:$AE$113)))),IF((INDEX(SETUP!$G$19:$G$503,(MATCH(1,(SETUP!$B$19:$B$503=B10)*(SETUP!$D$19:$D$503=D10),0))))=1,(SUMPRODUCT(('C19RM 2021-Lab &amp; Other HPS'!$A$14:$D$113=E10)*('C19RM 2021-Lab &amp; Other HPS'!$BH$14:$BH$113=BJ10)*('C19RM 2021-Lab &amp; Other HPS'!$BQ$14:$BQ$113)*(('C19RM 2021-Lab &amp; Other HPS'!$AF$14:$AF$113)))),0)))),0)))</f>
        <v>0</v>
      </c>
      <c r="AC10" s="359" cm="1">
        <f t="array" ref="AC10">IF((INDEX(SETUP!$F$19:$F$503,(MATCH(1,(SETUP!$B$19:$B$503=B10)*(SETUP!$D$19:$D$503=D10),0))))="Upfront",
(SUMPRODUCT(('C19RM 2021-Lab &amp; Other HPS'!$A$14:$D$113=E10)*('C19RM 2021-Lab &amp; Other HPS'!$BH$14:$BH$113=BJ10)*('C19RM 2021-Lab &amp; Other HPS'!$BQ$14:$BQ$113)*(('C19RM 2021-Lab &amp; Other HPS'!$AH$14:$AH$113)))),
(IF((INDEX(SETUP!$F$19:$F$503,(MATCH(1,(SETUP!$B$19:$B$503=B10)*(SETUP!$D$19:$D$503=D10),0))))="At delivery",
IF((INDEX(SETUP!$G$19:$G$503,(MATCH(1,(SETUP!$B$19:$B$503=B10)*(SETUP!$D$19:$D$503=D10),0))))=4,
(SUMPRODUCT(('C19RM 2021-Lab &amp; Other HPS'!$A$14:$D$113=E10)*('C19RM 2021-Lab &amp; Other HPS'!$BH$14:$BH$113=BJ10)*('C19RM 2021-Lab &amp; Other HPS'!$BP$14:$BP$113)*(('C19RM 2021-Lab &amp; Other HPS'!$AA$14:$AA$113)))),IF((INDEX(SETUP!$G$19:$G$503,(MATCH(1,(SETUP!$B$19:$B$503=B10)*(SETUP!$D$19:$D$503=D10),0))))=3,(SUMPRODUCT(('C19RM 2021-Lab &amp; Other HPS'!$A$14:$D$113=E10)*('C19RM 2021-Lab &amp; Other HPS'!$BH$14:$BH$113=BJ10)*('C19RM 2021-Lab &amp; Other HPS'!$BQ$14:$BQ$113)*(('C19RM 2021-Lab &amp; Other HPS'!$AE$14:$AE$113)))),IF((INDEX(SETUP!$G$19:$G$503,(MATCH(1,(SETUP!$B$19:$B$503=B10)*(SETUP!$D$19:$D$503=D10),0))))=2,(SUMPRODUCT(('C19RM 2021-Lab &amp; Other HPS'!$A$14:$D$113=E10)*('C19RM 2021-Lab &amp; Other HPS'!$BH$14:$BH$113=BJ10)*('C19RM 2021-Lab &amp; Other HPS'!$BQ$14:$BQ$113)*(('C19RM 2021-Lab &amp; Other HPS'!$AF$14:$AF$113)))),IF((INDEX(SETUP!$G$19:$G$503,(MATCH(1,(SETUP!$B$19:$B$503=B10)*(SETUP!$D$19:$D$503=D10),0))))=1,(SUMPRODUCT(('C19RM 2021-Lab &amp; Other HPS'!$A$14:$D$113=E10)*('C19RM 2021-Lab &amp; Other HPS'!$BH$14:$BH$113=BJ10)*('C19RM 2021-Lab &amp; Other HPS'!$BQ$14:$BQ$113)*(('C19RM 2021-Lab &amp; Other HPS'!$AG$14:$AG$113)))),0)))),0)))</f>
        <v>0</v>
      </c>
      <c r="AD10" s="359" cm="1">
        <f t="array" ref="AD10">IF((INDEX(SETUP!$F$19:$F$503,(MATCH(1,(SETUP!$B$19:$B$503=B10)*(SETUP!$D$19:$D$503=D10),0))))="Upfront",
(SUMPRODUCT(('C19RM 2021-Lab &amp; Other HPS'!$A$14:$D$113=E10)*('C19RM 2021-Lab &amp; Other HPS'!$BH$14:$BH$113=BJ10)*('C19RM 2021-Lab &amp; Other HPS'!$BR$14:$BR$113)*(('C19RM 2021-Lab &amp; Other HPS'!$AL$14:$AL$113)))),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HPS'!$AE$14:$AE$113)))),IF((INDEX(SETUP!$G$19:$G$503,(MATCH(1,(SETUP!$B$19:$B$503=B10)*(SETUP!$D$19:$D$503=D10),0))))=3,((SUMPRODUCT(('C19RM 2021-Lab &amp; Other HPS'!$A$14:$D$113=E10)*('C19RM 2021-Lab &amp; Other HPS'!$BH$14:$BH$113=BJ10)*('C19RM 2021-Lab &amp; Other HPS'!$BQ$14:$BQ$113)*(('C19RM 2021-Lab &amp; Other HPS'!$AF$14:$AF$113))))),IF((INDEX(SETUP!$G$19:$G$503,(MATCH(1,(SETUP!$B$19:$B$503=B10)*(SETUP!$D$19:$D$503=D10),0))))=2,(SUMPRODUCT(('C19RM 2021-Lab &amp; Other HPS'!$A$14:$D$113=E10)*('C19RM 2021-Lab &amp; Other HPS'!$BH$14:$BH$113=BJ10)*('C19RM 2021-Lab &amp; Other HPS'!$BQ$14:$BQ$113)*(('C19RM 2021-Lab &amp; Other HPS'!$AG$14:$AG$113)))),IF((INDEX(SETUP!$G$19:$G$503,(MATCH(1,(SETUP!$B$19:$B$503=B10)*(SETUP!$D$19:$D$503=D10),0))))=1,(SUMPRODUCT(('C19RM 2021-Lab &amp; Other HPS'!$A$14:$D$113=E10)*('C19RM 2021-Lab &amp; Other HPS'!$BH$14:$BH$113=BJ10)*('C19RM 2021-Lab &amp; Other HPS'!$BQ$14:$BQ$113)*(('C19RM 2021-Lab &amp; Other HPS'!$AH$14:$AH$113)))),0)))),0)))</f>
        <v>0</v>
      </c>
      <c r="AE10" s="359" cm="1">
        <f t="array" ref="AE10">IF((INDEX(SETUP!$F$19:$F$503,(MATCH(1,(SETUP!$B$19:$B$503=B10)*(SETUP!$D$19:$D$503=D10),0))))="Upfront",
(SUMPRODUCT(('C19RM 2021-Lab &amp; Other HPS'!$A$14:$D$113=E10)*('C19RM 2021-Lab &amp; Other HPS'!$BH$14:$BH$113=BJ10)*('C19RM 2021-Lab &amp; Other HPS'!$BR$14:$BR$113)*(('C19RM 2021-Lab &amp; Other HPS'!$AM$14:$AM$113)))),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HPS'!$AF$14:$AF$113)))),IF((INDEX(SETUP!$G$19:$G$503,(MATCH(1,(SETUP!$B$19:$B$503=B10)*(SETUP!$D$19:$D$503=D10),0))))=3,(SUMPRODUCT(('C19RM 2021-Lab &amp; Other HPS'!$A$14:$D$113=E10)*('C19RM 2021-Lab &amp; Other HPS'!$BH$14:$BH$113=BJ10)*('C19RM 2021-Lab &amp; Other HPS'!$BQ$14:$BQ$113)*(('C19RM 2021-Lab &amp; Other HPS'!$AG$14:$AG$113)))),IF((INDEX(SETUP!$G$19:$G$503,(MATCH(1,(SETUP!$B$19:$B$503=B10)*(SETUP!$D$19:$D$503=D10),0))))=2,(SUMPRODUCT(('C19RM 2021-Lab &amp; Other HPS'!$A$14:$D$113=E10)*('C19RM 2021-Lab &amp; Other HPS'!$BH$14:$BH$113=BJ10)*('C19RM 2021-Lab &amp; Other HPS'!$BQ$14:$BQ$113)*(('C19RM 2021-Lab &amp; Other HPS'!$AH$14:$AH$113)))),IF((INDEX(SETUP!$G$19:$G$503,(MATCH(1,(SETUP!$B$19:$B$503=B10)*(SETUP!$D$19:$D$503=D10),0))))=1,(SUMPRODUCT(('C19RM 2021-Lab &amp; Other HPS'!$A$14:$D$113=E10)*('C19RM 2021-Lab &amp; Other HPS'!$BH$14:$BH$113=BJ10)*('C19RM 2021-Lab &amp; Other HPS'!$BR$14:$BR$113)*(('C19RM 2021-Lab &amp; Other HPS'!$AL$14:$AL$113)))),0)))),0)))</f>
        <v>0</v>
      </c>
      <c r="AF10" s="359" cm="1">
        <f t="array" ref="AF10">IF((INDEX(SETUP!$F$19:$F$503,(MATCH(1,(SETUP!$B$19:$B$503=B10)*(SETUP!$D$19:$D$503=D10),0))))="Upfront",
(SUMPRODUCT(('C19RM 2021-Lab &amp; Other HPS'!$A$14:$D$113=E10)*('C19RM 2021-Lab &amp; Other HPS'!$BH$14:$BH$113=BJ10)*('C19RM 2021-Lab &amp; Other HPS'!$BR$14:$BR$113)*(('C19RM 2021-Lab &amp; Other HPS'!$AN$14:$AN$113)))),
(IF((INDEX(SETUP!$F$19:$F$503,(MATCH(1,(SETUP!$B$19:$B$503=B10)*(SETUP!$D$19:$D$503=D10),0))))="At delivery",
IF((INDEX(SETUP!$G$19:$G$503,(MATCH(1,(SETUP!$B$19:$B$503=B10)*(SETUP!$D$19:$D$503=D10),0))))=4,
(SUMPRODUCT(('C19RM 2021-Lab &amp; Other HPS'!$A$14:$D$113=E10)*('C19RM 2021-Lab &amp; Other HPS'!$BH$14:$BH$113=BJ10)*('C19RM 2021-Lab &amp; Other HPS'!$BQ$14:$BQ$113)*(('C19RM 2021-Lab &amp; Other HPS'!$AG$14:$AG$113)))),IF((INDEX(SETUP!$G$19:$G$503,(MATCH(1,(SETUP!$B$19:$B$503=B10)*(SETUP!$D$19:$D$503=D10),0))))=3,(SUMPRODUCT(('C19RM 2021-Lab &amp; Other HPS'!$A$14:$D$113=E10)*('C19RM 2021-Lab &amp; Other HPS'!$BH$14:$BH$113=BJ10)*('C19RM 2021-Lab &amp; Other HPS'!$BQ$14:$BQ$113)*(('C19RM 2021-Lab &amp; Other HPS'!$AH$14:$AH$113)))),IF((INDEX(SETUP!$G$19:$G$503,(MATCH(1,(SETUP!$B$19:$B$503=B10)*(SETUP!$D$19:$D$503=D10),0))))=2,(SUMPRODUCT(('C19RM 2021-Lab &amp; Other HPS'!$A$14:$D$113=E10)*('C19RM 2021-Lab &amp; Other HPS'!$BH$14:$BH$113=BJ10)*('C19RM 2021-Lab &amp; Other HPS'!$BR$14:$BR$113)*(('C19RM 2021-Lab &amp; Other HPS'!$AL$14:$AL$113)))),IF((INDEX(SETUP!$G$19:$G$503,(MATCH(1,(SETUP!$B$19:$B$503=B10)*(SETUP!$D$19:$D$503=D10),0))))=1,(SUMPRODUCT(('C19RM 2021-Lab &amp; Other HPS'!$A$14:$D$113=E10)*('C19RM 2021-Lab &amp; Other HPS'!$BH$14:$BH$113=BJ10)*('C19RM 2021-Lab &amp; Other HPS'!$BR$14:$BR$113)*(('C19RM 2021-Lab &amp; Other HPS'!$AM$14:$AM$113)))),0)))),0)))</f>
        <v>0</v>
      </c>
      <c r="AG10" s="359" cm="1">
        <f t="array" ref="AG10">IF((INDEX(SETUP!$F$19:$F$503,(MATCH(1,(SETUP!$B$19:$B$503=B10)*(SETUP!$D$19:$D$503=D10),0))))="Upfront",(SUMPRODUCT(('C19RM 2021-Lab &amp; Other HPS'!$A$14:$D$113=E10)*('C19RM 2021-Lab &amp; Other HPS'!$BH$14:$BH$113=BJ10)*('C19RM 2021-Lab &amp; Other HPS'!$BR$14:$BR$113)*(('C19RM 2021-Lab &amp; Other HPS'!$AO$14:$AO$113)))),(IF((INDEX(SETUP!$F$19:$F$503,(MATCH(1,(SETUP!$B$19:$B$503=B10)*(SETUP!$D$19:$D$503=D10),0))))="At delivery",IF((INDEX(SETUP!$G$19:$G$503,(MATCH(1,(SETUP!$B$19:$B$503=B10)*(SETUP!$D$19:$D$503=D10),0))))=4,(SUMPRODUCT(('C19RM 2021-Lab &amp; Other HPS'!$A$14:$D$113=E10)*('C19RM 2021-Lab &amp; Other HPS'!$BH$14:$BH$113=BJ10)*('C19RM 2021-Lab &amp; Other HPS'!$BQ$14:$BQ$113)*(('C19RM 2021-Lab &amp; Other HPS'!$AH$14:$AH$113)))),IF((INDEX(SETUP!$G$19:$G$503,(MATCH(1,(SETUP!$B$19:$B$503=B10)*(SETUP!$D$19:$D$503=D10),0))))=3,(SUMPRODUCT(('C19RM 2021-Lab &amp; Other HPS'!$A$14:$D$113=E10)*('C19RM 2021-Lab &amp; Other HPS'!$BH$14:$BH$113=BJ10)*('C19RM 2021-Lab &amp; Other HPS'!$BR$14:$BR$113)*(('C19RM 2021-Lab &amp; Other HPS'!$AL$14:$AL$113)))),IF((INDEX(SETUP!$G$19:$G$503,(MATCH(1,(SETUP!$B$19:$B$503=B10)*(SETUP!$D$19:$D$503=D10),0))))=2,(SUMPRODUCT(('C19RM 2021-Lab &amp; Other HPS'!$A$14:$D$113=E10)*('C19RM 2021-Lab &amp; Other HPS'!$BH$14:$BH$113=BJ10)*('C19RM 2021-Lab &amp; Other HPS'!$BR$14:$BR$113)*(('C19RM 2021-Lab &amp; Other HPS'!$AM$14:$AM$113)))),IF((INDEX(SETUP!$G$19:$G$503,(MATCH(1,(SETUP!$B$19:$B$503=B10)*(SETUP!$D$19:$D$503=D10),0))))=1,(SUMPRODUCT(('C19RM 2021-Lab &amp; Other HPS'!$A$14:$D$113=E10)*('C19RM 2021-Lab &amp; Other HPS'!$BH$14:$BH$113=BJ10)*('C19RM 2021-Lab &amp; Other HPS'!$BR$14:$BR$113)*(('C19RM 2021-Lab &amp; Other HPS'!$AN$14:$AN$113)))),0)))),0)))</f>
        <v>0</v>
      </c>
      <c r="AH10" s="359" cm="1">
        <f t="array" ref="AH10">IF((INDEX(SETUP!$F$19:$F$503,(MATCH(1,(SETUP!$B$19:$B$503=B10)*(SETUP!$D$19:$D$503=D10),0))))="Upfront",
(SUMPRODUCT(('C19RM 2021-Lab &amp; Other HPS'!$A$14:$D$113=E10)*('C19RM 2021-Lab &amp; Other HPS'!$BH$14:$BH$113=BJ10)*('C19RM 2021-Lab &amp; Other HPS'!$BH$14:$BH$113=BJ10)*('C19RM 2021-Lab &amp; Other HPS'!$BS$14:$BS$113)*(('C19RM 2021-Lab &amp; Other HPS'!$AS$14:$AS$113)))),
(IF((INDEX(SETUP!$F$19:$F$503,(MATCH(1,(SETUP!$B$19:$B$503=B10)*(SETUP!$D$19:$D$503=D10),0))))="At delivery",
IF((INDEX(SETUP!$G$19:$G$503,(MATCH(1,(SETUP!$B$19:$B$503=B10)*(SETUP!$D$19:$D$503=D10),0))))=4,
(SUMPRODUCT(('C19RM 2021-Lab &amp; Other HPS'!$A$14:$D$113=E10)*('C19RM 2021-Lab &amp; Other HPS'!$BH$14:$BH$113=BJ10)*('C19RM 2021-Lab &amp; Other HPS'!$BH$14:$BH$113=BJ10)*('C19RM 2021-Lab &amp; Other HPS'!$BR$14:$BR$113)*(('C19RM 2021-Lab &amp; Other HPS'!$AL$14:$AL$113)))),IF((INDEX(SETUP!$G$19:$G$503,(MATCH(1,(SETUP!$B$19:$B$503=B10)*(SETUP!$D$19:$D$503=D10),0))))=3,((SUMPRODUCT(('C19RM 2021-Lab &amp; Other HPS'!$A$14:$D$113=E10)*('C19RM 2021-Lab &amp; Other HPS'!$BH$14:$BH$113=BJ10)*('C19RM 2021-Lab &amp; Other HPS'!$BH$14:$BH$113=BJ10)*('C19RM 2021-Lab &amp; Other HPS'!$BR$14:$BR$113)*(('C19RM 2021-Lab &amp; Other HPS'!$AM$14:$AM$113))))),IF((INDEX(SETUP!$G$19:$G$503,(MATCH(1,(SETUP!$B$19:$B$503=B10)*(SETUP!$D$19:$D$503=D10),0))))=2,(SUMPRODUCT(('C19RM 2021-Lab &amp; Other HPS'!$A$14:$D$113=E10)*('C19RM 2021-Lab &amp; Other HPS'!$BH$14:$BH$113=BJ10)*('C19RM 2021-Lab &amp; Other HPS'!$BR$14:$BR$113)*(('C19RM 2021-Lab &amp; Other HPS'!$AN$14:$AN$113)))),IF((INDEX(SETUP!$G$19:$G$503,(MATCH(1,(SETUP!$B$19:$B$503=B10)*(SETUP!$D$19:$D$503=D10),0))))=1,(SUMPRODUCT(('C19RM 2021-Lab &amp; Other HPS'!$A$14:$D$113=E10)*('C19RM 2021-Lab &amp; Other HPS'!$BH$14:$BH$113=BJ10)*('C19RM 2021-Lab &amp; Other HPS'!$BR$14:$BR$113)*(('C19RM 2021-Lab &amp; Other HPS'!$AO$14:$AO$113)))),0)))),0)))</f>
        <v>0</v>
      </c>
      <c r="AI10" s="359" cm="1">
        <f t="array" ref="AI10">IF((INDEX(SETUP!$F$19:$F$503,(MATCH(1,(SETUP!$B$19:$B$503=B10)*(SETUP!$D$19:$D$503=D10),0))))="Upfront",
(SUMPRODUCT(('C19RM 2021-Lab &amp; Other HPS'!$A$14:$D$113=E10)*('C19RM 2021-Lab &amp; Other HPS'!$BH$14:$BH$113=BJ10)*('C19RM 2021-Lab &amp; Other HPS'!$BS$14:$BS$113)*(('C19RM 2021-Lab &amp; Other HPS'!$AT$14:$AT$113)))),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HPS'!$AM$14:$AM$113)))),IF((INDEX(SETUP!$G$19:$G$503,(MATCH(1,(SETUP!$B$19:$B$503=B10)*(SETUP!$D$19:$D$503=D10),0))))=3,((SUMPRODUCT(('C19RM 2021-Lab &amp; Other HPS'!$A$14:$D$113=E10)*('C19RM 2021-Lab &amp; Other HPS'!$BH$14:$BH$113=BJ10)*('C19RM 2021-Lab &amp; Other HPS'!$BR$14:$BR$113)*(('C19RM 2021-Lab &amp; Other HPS'!$AN$14:$AN$113))))),IF((INDEX(SETUP!$G$19:$G$503,(MATCH(1,(SETUP!$B$19:$B$503=B10)*(SETUP!$D$19:$D$503=D10),0))))=2,(SUMPRODUCT(('C19RM 2021-Lab &amp; Other HPS'!$A$14:$D$113=E10)*('C19RM 2021-Lab &amp; Other HPS'!$BH$14:$BH$113=BJ10)*('C19RM 2021-Lab &amp; Other HPS'!$BR$14:$BR$113)*(('C19RM 2021-Lab &amp; Other HPS'!$AO$14:$AO$113)))),IF((INDEX(SETUP!$G$19:$G$503,(MATCH(1,(SETUP!$B$19:$B$503=B10)*(SETUP!$D$19:$D$503=D10),0))))=1,(SUMPRODUCT(('C19RM 2021-Lab &amp; Other HPS'!$A$14:$D$113=E10)*('C19RM 2021-Lab &amp; Other HPS'!$BH$14:$BH$113=BJ10)*('C19RM 2021-Lab &amp; Other HPS'!$BS$14:$BS$113)*(('C19RM 2021-Lab &amp; Other HPS'!$AS$14:$AS$113)))),0)))),0)))</f>
        <v>0</v>
      </c>
      <c r="AJ10" s="359" cm="1">
        <f t="array" ref="AJ10">IF((INDEX(SETUP!$F$19:$F$503,(MATCH(1,(SETUP!$B$19:$B$503=B10)*(SETUP!$D$19:$D$503=D10),0))))="Upfront",
(SUMPRODUCT(('C19RM 2021-Lab &amp; Other HPS'!$A$14:$D$113=E10)*('C19RM 2021-Lab &amp; Other HPS'!$BH$14:$BH$113=BJ10)*('C19RM 2021-Lab &amp; Other HPS'!$BS$14:$BS$113)*(('C19RM 2021-Lab &amp; Other HPS'!$AU$14:$AU$113)))),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HPS'!$AN$14:$AN$113)))),IF((INDEX(SETUP!$G$19:$G$503,(MATCH(1,(SETUP!$B$19:$B$503=B10)*(SETUP!$D$19:$D$503=D10),0))))=3,((SUMPRODUCT(('C19RM 2021-Lab &amp; Other HPS'!$A$14:$D$113=E10)*('C19RM 2021-Lab &amp; Other HPS'!$BH$14:$BH$113=BJ10)*('C19RM 2021-Lab &amp; Other HPS'!$BR$14:$BR$113)*(('C19RM 2021-Lab &amp; Other HPS'!$AO$14:$AO$113))))),IF((INDEX(SETUP!$G$19:$G$503,(MATCH(1,(SETUP!$B$19:$B$503=B10)*(SETUP!$D$19:$D$503=D10),0))))=2,(SUMPRODUCT(('C19RM 2021-Lab &amp; Other HPS'!$A$14:$D$113=E10)*('C19RM 2021-Lab &amp; Other HPS'!$BH$14:$BH$113=BJ10)*('C19RM 2021-Lab &amp; Other HPS'!$BS$14:$BS$113)*(('C19RM 2021-Lab &amp; Other HPS'!$AS$14:$AS$113)))),IF((INDEX(SETUP!$G$19:$G$503,(MATCH(1,(SETUP!$B$19:$B$503=B10)*(SETUP!$D$19:$D$503=D10),0))))=1,(SUMPRODUCT(('C19RM 2021-Lab &amp; Other HPS'!$A$14:$D$113=E10)*('C19RM 2021-Lab &amp; Other HPS'!$BH$14:$BH$113=BJ10)*('C19RM 2021-Lab &amp; Other HPS'!$BS$14:$BS$113)*(('C19RM 2021-Lab &amp; Other HPS'!$AT$14:$AT$113)))),0)))),0)))</f>
        <v>0</v>
      </c>
      <c r="AK10" s="359" cm="1">
        <f t="array" ref="AK10">IF((INDEX(SETUP!$F$19:$F$503,(MATCH(1,(SETUP!$B$19:$B$503=B10)*(SETUP!$D$19:$D$503=D10),0))))="Upfront",
(SUMPRODUCT(('C19RM 2021-Lab &amp; Other HPS'!$A$14:$D$113=E10)*('C19RM 2021-Lab &amp; Other HPS'!$BH$14:$BH$113=BJ10)*('C19RM 2021-Lab &amp; Other HPS'!$BS$14:$BS$113)*(('C19RM 2021-Lab &amp; Other HPS'!$AV$14:$AV$113)))),
(IF((INDEX(SETUP!$F$19:$F$503,(MATCH(1,(SETUP!$B$19:$B$503=B10)*(SETUP!$D$19:$D$503=D10),0))))="At delivery",
IF((INDEX(SETUP!$G$19:$G$503,(MATCH(1,(SETUP!$B$19:$B$503=B10)*(SETUP!$D$19:$D$503=D10),0))))=4,
(SUMPRODUCT(('C19RM 2021-Lab &amp; Other HPS'!$A$14:$D$113=E10)*('C19RM 2021-Lab &amp; Other HPS'!$BH$14:$BH$113=BJ10)*('C19RM 2021-Lab &amp; Other HPS'!$BR$14:$BR$113)*(('C19RM 2021-Lab &amp; Other HPS'!$AO$14:$AO$113)))),IF((INDEX(SETUP!$G$19:$G$503,(MATCH(1,(SETUP!$B$19:$B$503=B10)*(SETUP!$D$19:$D$503=D10),0))))=3,((SUMPRODUCT(('C19RM 2021-Lab &amp; Other HPS'!$A$14:$D$113=E10)*('C19RM 2021-Lab &amp; Other HPS'!$BH$14:$BH$113=BJ10)*('C19RM 2021-Lab &amp; Other HPS'!$BS$14:$BS$113)*(('C19RM 2021-Lab &amp; Other HPS'!$AS$14:$AS$113))))),IF((INDEX(SETUP!$G$19:$G$503,(MATCH(1,(SETUP!$B$19:$B$503=B10)*(SETUP!$D$19:$D$503=D10),0))))=2,(SUMPRODUCT(('C19RM 2021-Lab &amp; Other HPS'!$A$14:$D$113=E10)*('C19RM 2021-Lab &amp; Other HPS'!$BH$14:$BH$113=BJ10)*('C19RM 2021-Lab &amp; Other HPS'!$BS$14:$BS$113)*(('C19RM 2021-Lab &amp; Other HPS'!$AT$14:$AT$113)))),IF((INDEX(SETUP!$G$19:$G$503,(MATCH(1,(SETUP!$B$19:$B$503=B10)*(SETUP!$D$19:$D$503=D10),0))))=1,(SUMPRODUCT(('C19RM 2021-Lab &amp; Other HPS'!$A$14:$D$113=E10)*('C19RM 2021-Lab &amp; Other HPS'!$BH$14:$BH$113=BJ10)*('C19RM 2021-Lab &amp; Other HPS'!$BS$14:$BS$113)*(('C19RM 2021-Lab &amp; Other HPS'!$AU$14:$AU$113)))),0)))),0)))</f>
        <v>0</v>
      </c>
      <c r="AL10" s="359" cm="1">
        <f t="array" ref="AL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HPS'!$AS$14:$AS$113)))),IF((INDEX(SETUP!$G$19:$G$503,(MATCH(1,(SETUP!$B$19:$B$503=B10)*(SETUP!$D$19:$D$503=D10),0))))=3,(SUMPRODUCT(('C19RM 2021-Lab &amp; Other HPS'!$A$14:$D$113=E10)*('C19RM 2021-Lab &amp; Other HPS'!$BH$14:$BH$113=BJ10)*('C19RM 2021-Lab &amp; Other HPS'!$BS$14:$BS$113)*(('C19RM 2021-Lab &amp; Other HPS'!$AT$14:$AT$113)))),IF((INDEX(SETUP!$G$19:$G$503,(MATCH(1,(SETUP!$B$19:$B$503=B10)*(SETUP!$D$19:$D$503=D10),0))))=2,(SUMPRODUCT(('C19RM 2021-Lab &amp; Other HPS'!$A$14:$D$113=E10)*('C19RM 2021-Lab &amp; Other HPS'!$BH$14:$BH$113=BJ10)*('C19RM 2021-Lab &amp; Other HPS'!$BS$14:$BS$113)*(('C19RM 2021-Lab &amp; Other HPS'!$AU$14:$AU$113)))),
IF((INDEX(SETUP!$G$19:$G$503,(MATCH(1,(SETUP!$B$19:$B$503=B10)*(SETUP!$D$19:$D$503=D10),0))))=1,
(SUMPRODUCT(('C19RM 2021-Lab &amp; Other HPS'!$A$14:$D$113=E10)*('C19RM 2021-Lab &amp; Other HPS'!$BH$14:$BH$113=BJ10)*('C19RM 2021-Lab &amp; Other HPS'!$BS$14:$BS$113)*(('C19RM 2021-Lab &amp; Other HPS'!$AV$14:$AV$113)))),0)))),0)))</f>
        <v>0</v>
      </c>
      <c r="AM10" s="359" cm="1">
        <f t="array" ref="AM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HPS'!$AT$14:$AT$113)))),IF((INDEX(SETUP!$G$19:$G$503,(MATCH(1,(SETUP!$B$19:$B$503=B10)*(SETUP!$D$19:$D$503=D10),0))))=3,(SUMPRODUCT(('C19RM 2021-Lab &amp; Other HPS'!$A$14:$D$113=E10)*('C19RM 2021-Lab &amp; Other HPS'!$BH$14:$BH$113=BJ10)*('C19RM 2021-Lab &amp; Other HPS'!$BS$14:$BS$113)*(('C19RM 2021-Lab &amp; Other HPS'!$AU$14:$AU$113)))),IF((INDEX(SETUP!$G$19:$G$503,(MATCH(1,(SETUP!$B$19:$B$503=B10)*(SETUP!$D$19:$D$503=D10),0))))=2,(SUMPRODUCT(('C19RM 2021-Lab &amp; Other HPS'!$A$14:$D$113=E10)*('C19RM 2021-Lab &amp; Other HPS'!$BH$14:$BH$113=BJ10)*('C19RM 2021-Lab &amp; Other HPS'!$BS$14:$BS$113)*(('C19RM 2021-Lab &amp; Other HPS'!$AV$14:$AV$113)))),IF((INDEX(SETUP!$G$19:$G$503,(MATCH(1,(SETUP!$B$19:$B$503=B10)*(SETUP!$D$19:$D$503=D10),0))))=1,(0),0)))),0)))</f>
        <v>0</v>
      </c>
      <c r="AN10" s="359" cm="1">
        <f t="array" ref="AN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HPS'!$AU$14:$AU$113)))),IF((INDEX(SETUP!$G$19:$G$503,(MATCH(1,(SETUP!$B$19:$B$503=B10)*(SETUP!$D$19:$D$503=D10),0))))=3,(SUMPRODUCT(('C19RM 2021-Lab &amp; Other HPS'!$A$14:$D$113=E10)*('C19RM 2021-Lab &amp; Other HPS'!$BH$14:$BH$113=BJ10)*('C19RM 2021-Lab &amp; Other HPS'!$BS$14:$BS$113)*(('C19RM 2021-Lab &amp; Other HPS'!$AV$14:$AV$113)))),IF((INDEX(SETUP!$G$19:$G$503,(MATCH(1,(SETUP!$B$19:$B$503=B10)*(SETUP!$D$19:$D$503=D10),0))))=2,(0),IF((INDEX(SETUP!$G$19:$G$503,(MATCH(1,(SETUP!$B$19:$B$503=B10)*(SETUP!$D$19:$D$503=D10),0))))=1,(0),0)))),0)))</f>
        <v>0</v>
      </c>
      <c r="AO10" s="359" cm="1">
        <f t="array" ref="AO10">IF((INDEX(SETUP!$F$19:$F$503,(MATCH(1,(SETUP!$B$19:$B$503=B10)*(SETUP!$D$19:$D$503=D10),0))))="Upfront",0,(IF((INDEX(SETUP!$F$19:$F$503,(MATCH(1,(SETUP!$B$19:$B$503=B10)*(SETUP!$D$19:$D$503=D10),0))))="At delivery",IF((INDEX(SETUP!$G$19:$G$503,(MATCH(1,(SETUP!$B$19:$B$503=B10)*(SETUP!$D$19:$D$503=D10),0))))=4,(SUMPRODUCT(('C19RM 2021-Lab &amp; Other HPS'!$A$14:$D$113=E10)*('C19RM 2021-Lab &amp; Other HPS'!$BH$14:$BH$113=BJ10)*('C19RM 2021-Lab &amp; Other HPS'!$BS$14:$BS$113)*(('C19RM 2021-Lab &amp; Other HPS'!$AV$14:$AV$113)))),IF((INDEX(SETUP!$G$19:$G$503,(MATCH(1,(SETUP!$B$19:$B$503=B10)*(SETUP!$D$19:$D$503=D10),0))))=3,(0),IF((INDEX(SETUP!$G$19:$G$503,(MATCH(1,(SETUP!$B$19:$B$503=B10)*(SETUP!$D$19:$D$503=D10),0))))=2,(0),IF((INDEX(SETUP!$G$19:$G$503,(MATCH(1,(SETUP!$B$19:$B$503=B10)*(SETUP!$D$19:$D$503=D10),0))))=1,(0),0)))),0)))</f>
        <v>0</v>
      </c>
      <c r="AP10" s="359"/>
      <c r="AQ10" s="359"/>
      <c r="AR10" s="359"/>
      <c r="AS10" s="359"/>
      <c r="AT10" s="359" cm="1">
        <f t="array" ref="AT10">IF(BG10&gt;=1,0,IFERROR(SUMPRODUCT(($R$2:$AO$2=$AT$4)*($E$5:$E$100=E10)*($BC$5:$BC$100=BC10)*($R$5:$AO$100)),0))</f>
        <v>0</v>
      </c>
      <c r="AU10" s="359" cm="1">
        <f t="array" ref="AU10">IF(BG10&gt;=1,0,IFERROR(SUMPRODUCT(($R$2:$AO$2=$AU$4)*($E$5:$E$100=E10)*($BC$5:$BC$100=BC10)*($R$5:$AO$100)),0))</f>
        <v>0</v>
      </c>
      <c r="AV10" s="359" cm="1">
        <f t="array" ref="AV10">IF(BG10&gt;=1,0,IFERROR(SUMPRODUCT(($R$2:$AO$2=$AV$4)*($E$5:$E$100=E10)*($BC$5:$BC$100=BC10)*($R$5:$AO$100)),0))</f>
        <v>0</v>
      </c>
      <c r="AW10" s="359" cm="1">
        <f t="array" ref="AW10">IF(BG10&gt;=1,0,IFERROR(SUMPRODUCT(($R$2:$AO$2=$AW$4)*($E$5:$E$100=E10)*($BC$5:$BC$100=BC10)*($R$5:$AO$100)),0))</f>
        <v>0</v>
      </c>
      <c r="AX10" s="359" cm="1">
        <f t="array" ref="AX10">IF(BG10&gt;=1,0,IFERROR(SUMPRODUCT(($R$2:$AO$2=$AX$4)*($E$5:$E$100=E10)*($BC$5:$BC$100=BC10)*($R$5:$AO$100)),0))</f>
        <v>0</v>
      </c>
      <c r="AY10" s="359">
        <f t="shared" si="5"/>
        <v>0</v>
      </c>
      <c r="AZ10" s="359"/>
      <c r="BA10" s="233">
        <f t="shared" si="6"/>
        <v>0</v>
      </c>
      <c r="BB10" s="220" t="s">
        <v>83</v>
      </c>
      <c r="BC10" t="s">
        <v>182</v>
      </c>
      <c r="BD10" cm="1">
        <f t="array" ref="BD10">(SUMPRODUCT(('C19RM 2021-Lab &amp; Other HPS'!$A$14:$D$650=E10)*('C19RM 2021-Lab &amp; Other HPS'!$BU$14:$BU$650)))</f>
        <v>0</v>
      </c>
      <c r="BE10" cm="1">
        <f t="array" ref="BE10">(SUMPRODUCT((SETUP!$D$20:$D$67=D10)*(SETUP!$R$20:$R$67)))</f>
        <v>0</v>
      </c>
      <c r="BF10" cm="1">
        <f t="array" ref="BF10">(SUMPRODUCT(('C19RM 2021-Lab &amp; Other HPS'!$A$14:$D$650=E10)*('C19RM 2021-Lab &amp; Other HPS'!$BV$14:$BV$650)))</f>
        <v>0</v>
      </c>
      <c r="BG10">
        <f t="shared" si="11"/>
        <v>0</v>
      </c>
      <c r="BJ10" s="235">
        <v>6.5</v>
      </c>
    </row>
    <row r="11" spans="1:62" x14ac:dyDescent="0.35">
      <c r="A11" s="235">
        <v>1</v>
      </c>
      <c r="B11" s="220" t="s">
        <v>2750</v>
      </c>
      <c r="C11" s="235" t="s">
        <v>3192</v>
      </c>
      <c r="D11" s="235" t="s">
        <v>13</v>
      </c>
      <c r="E11" s="235" t="s">
        <v>2753</v>
      </c>
      <c r="F11" s="220">
        <f>SETUP!$E$3</f>
        <v>0</v>
      </c>
      <c r="G11" s="220" t="str">
        <f ca="1">SETUP!$J$5</f>
        <v>NA</v>
      </c>
      <c r="H11" s="220" t="str">
        <f>SETUP!$E$9</f>
        <v>C19RM</v>
      </c>
      <c r="I11" s="232">
        <f t="shared" ref="I11" si="16">IMP_ST_DATE</f>
        <v>44197</v>
      </c>
      <c r="J11" s="232">
        <f>SETUP!$L$14</f>
        <v>46022</v>
      </c>
      <c r="K11" s="220">
        <f>IFERROR(VLOOKUP(E11,'Master Data-C19RM'!$A$5:$B$35,2,0),0)</f>
        <v>0</v>
      </c>
      <c r="L11">
        <f t="shared" ref="L11" si="17">GRAN_NO</f>
        <v>0</v>
      </c>
      <c r="M11">
        <f>SETUP!$E$7</f>
        <v>0</v>
      </c>
      <c r="N11">
        <f>SETUP!$F$76</f>
        <v>6.1</v>
      </c>
      <c r="O11" t="str" cm="1">
        <f t="array" ref="O11">INDEX(SETUP!$E$19:$E$503,(MATCH(1,(SETUP!$B$19:$B$503=B11)*(SETUP!$D$19:$D$503=D11),0)))</f>
        <v>PR/SR</v>
      </c>
      <c r="P11" t="str" cm="1">
        <f t="array" ref="P11">INDEX(SETUP!$F$19:$F$503,(MATCH(1,(SETUP!$B$19:$B$503=B11)*(SETUP!$D$19:$D$503=D11),0)))</f>
        <v>At delivery</v>
      </c>
      <c r="Q11" cm="1">
        <f t="array" ref="Q11">INDEX(SETUP!$G$19:$G$503,(MATCH(1,(SETUP!$B$19:$B$503=B11)*(SETUP!$D$19:$D$503=D11),0)))</f>
        <v>1</v>
      </c>
      <c r="R11" s="359" cm="1">
        <f t="array" ref="R11">IF((INDEX(SETUP!$F$19:$F$503,(MATCH(1,(SETUP!$B$19:$B$503=B11)*(SETUP!$D$19:$D$503=D11),0))))="Upfront",(SUMPRODUCT(('C19RM 2021-Lab &amp; Other HPS'!$A$14:$D$113=E11)*('C19RM 2021-Lab &amp; Other HPS'!$BH$14:$BH$113=BJ11)*('C19RM 2021-Lab &amp; Other HPS'!$BO$14:$BO$113)*(('C19RM 2021-Lab &amp; Other HPS'!$Q$14:$Q$113)))),0)</f>
        <v>0</v>
      </c>
      <c r="S11" s="359" cm="1">
        <f t="array" ref="S11">IF((INDEX(SETUP!$F$19:$F$503,(MATCH(1,(SETUP!$B$19:$B$503=B11)*(SETUP!$D$19:$D$503=D11),0))))="Upfront",(SUMPRODUCT(('C19RM 2021-Lab &amp; Other HPS'!$A$14:$D$113=E11)*('C19RM 2021-Lab &amp; Other HPS'!$BH$14:$BH$113=BJ11)*('C19RM 2021-Lab &amp; Other HPS'!$BO$14:$BO$113)*(('C19RM 2021-Lab &amp; Other HPS'!$R$14:$R$113)))),(IF((INDEX(SETUP!$F$19:$F$503,(MATCH(1,(SETUP!$B$19:$B$503=B11)*(SETUP!$D$19:$D$503=D11),0))))="At delivery",IF((INDEX(SETUP!$G$19:$G$503,(MATCH(1,(SETUP!$B$19:$B$503=B11)*(SETUP!$D$19:$D$503=D11),0))))=1,(SUMPRODUCT(('C19RM 2021-Lab &amp; Other HPS'!$A$14:$D$113=E11)*('C19RM 2021-Lab &amp; Other HPS'!$BH$14:$BH$113=BJ11)*('C19RM 2021-Lab &amp; Other HPS'!$BO$14:$BO$113)*(('C19RM 2021-Lab &amp; Other HPS'!$Q$14:$Q$113)))),0),0)))</f>
        <v>0</v>
      </c>
      <c r="T11" s="359" cm="1">
        <f t="array" ref="T11">IF((INDEX(SETUP!$F$19:$F$503,(MATCH(1,(SETUP!$B$19:$B$503=B11)*(SETUP!$D$19:$D$503=D11),0))))="Upfront",(SUMPRODUCT(('C19RM 2021-Lab &amp; Other HPS'!$A$14:$D$113=E11)*('C19RM 2021-Lab &amp; Other HPS'!$BH$14:$BH$113=BJ11)*('C19RM 2021-Lab &amp; Other HPS'!$BO$14:$BO$113)*(('C19RM 2021-Lab &amp; Other HPS'!$S$14:$S$113)))),(IF((INDEX(SETUP!$F$19:$F$503,(MATCH(1,(SETUP!$B$19:$B$503=B11)*(SETUP!$D$19:$D$503=D11),0))))="At delivery",IF((INDEX(SETUP!$G$19:$G$503,(MATCH(1,(SETUP!$B$19:$B$503=B11)*(SETUP!$D$19:$D$503=D11),0))))=2,(SUMPRODUCT(('C19RM 2021-Lab &amp; Other HPS'!$A$14:$D$113=E11)*('C19RM 2021-Lab &amp; Other HPS'!$BH$14:$BH$113=BJ11)*('C19RM 2021-Lab &amp; Other HPS'!$BO$14:$BO$113)*(('C19RM 2021-Lab &amp; Other HPS'!$Q$14:$Q$113)))),IF((INDEX(SETUP!$G$19:$G$503,(MATCH(1,(SETUP!$B$19:$B$503=B11)*(SETUP!$D$19:$D$503=D11),0))))=1,(SUMPRODUCT(('C19RM 2021-Lab &amp; Other HPS'!$A$14:$D$113=E11)*('C19RM 2021-Lab &amp; Other HPS'!$BH$14:$BH$113=BJ11)*('C19RM 2021-Lab &amp; Other HPS'!$BO$14:$BO$113)*(('C19RM 2021-Lab &amp; Other HPS'!$R$14:$R$113)))),0)),0)))</f>
        <v>0</v>
      </c>
      <c r="U11" s="359" cm="1">
        <f t="array" ref="U11">IF((INDEX(SETUP!$F$19:$F$503,(MATCH(1,(SETUP!$B$19:$B$503=B11)*(SETUP!$D$19:$D$503=D11),0))))="Upfront",(SUMPRODUCT(('C19RM 2021-Lab &amp; Other HPS'!$A$14:$D$113=E11)*('C19RM 2021-Lab &amp; Other HPS'!$BH$14:$BH$113=BJ11)*('C19RM 2021-Lab &amp; Other HPS'!$BO$14:$BO$113)*(('C19RM 2021-Lab &amp; Other HPS'!$T$14:$T$113)))),(IF((INDEX(SETUP!$F$19:$F$503,(MATCH(1,(SETUP!$B$19:$B$503=B11)*(SETUP!$D$19:$D$503=D11),0))))="At delivery",IF((INDEX(SETUP!$G$19:$G$503,(MATCH(1,(SETUP!$B$19:$B$503=B11)*(SETUP!$D$19:$D$503=D11),0))))=3,(SUMPRODUCT(('C19RM 2021-Lab &amp; Other HPS'!$A$14:$D$113=E11)*('C19RM 2021-Lab &amp; Other HPS'!$BH$14:$BH$113=BJ11)*('C19RM 2021-Lab &amp; Other HPS'!$BO$14:$BO$113)*(('C19RM 2021-Lab &amp; Other HPS'!$Q$14:$Q$113)))),IF((INDEX(SETUP!$G$19:$G$503,(MATCH(1,(SETUP!$B$19:$B$503=B11)*(SETUP!$D$19:$D$503=D11),0))))=2,(SUMPRODUCT(('C19RM 2021-Lab &amp; Other HPS'!$A$14:$D$113=E11)*('C19RM 2021-Lab &amp; Other HPS'!$BH$14:$BH$113=BJ11)*('C19RM 2021-Lab &amp; Other HPS'!$BO$14:$BO$113)*(('C19RM 2021-Lab &amp; Other HPS'!$R$14:$R$113)))),IF((INDEX(SETUP!$G$19:$G$503,(MATCH(1,(SETUP!$B$19:$B$503=B11)*(SETUP!$D$19:$D$503=D11),0))))=1,(SUMPRODUCT(('C19RM 2021-Lab &amp; Other HPS'!$A$14:$D$113=E11)*('C19RM 2021-Lab &amp; Other HPS'!$BH$14:$BH$113=BJ11)*('C19RM 2021-Lab &amp; Other HPS'!$BO$14:$BO$113)*(('C19RM 2021-Lab &amp; Other HPS'!$S$14:$S$113)))),0))),0)))</f>
        <v>0</v>
      </c>
      <c r="V11" s="359" cm="1">
        <f t="array" ref="V11">IF((INDEX(SETUP!$F$19:$F$503,(MATCH(1,(SETUP!$B$19:$B$503=B11)*(SETUP!$D$19:$D$503=D11),0))))="Upfront",(SUMPRODUCT(('C19RM 2021-Lab &amp; Other HPS'!$A$14:$D$113=E11)*('C19RM 2021-Lab &amp; Other HPS'!$BH$14:$BH$113=BJ11)*('C19RM 2021-Lab &amp; Other HPS'!$BP$14:$BP$113)*(('C19RM 2021-Lab &amp; Other HPS'!$X$14:$X$113)))),(IF((INDEX(SETUP!$F$19:$F$503,(MATCH(1,(SETUP!$B$19:$B$503=B11)*(SETUP!$D$19:$D$503=D11),0))))="At delivery",IF((INDEX(SETUP!$G$19:$G$503,(MATCH(1,(SETUP!$B$19:$B$503=B11)*(SETUP!$D$19:$D$503=D11),0))))=4,(SUMPRODUCT(('C19RM 2021-Lab &amp; Other HPS'!$A$14:$D$113=E11)*('C19RM 2021-Lab &amp; Other HPS'!$BH$14:$BH$113=BJ11)*('C19RM 2021-Lab &amp; Other HPS'!$BO$14:$BO$113)*(('C19RM 2021-Lab &amp; Other HPS'!$Q$14:$Q$113)))),IF((INDEX(SETUP!$G$19:$G$503,(MATCH(1,(SETUP!$B$19:$B$503=B11)*(SETUP!$D$19:$D$503=D11),0))))=3,(SUMPRODUCT(('C19RM 2021-Lab &amp; Other HPS'!$A$14:$D$113=E11)*('C19RM 2021-Lab &amp; Other HPS'!$BH$14:$BH$113=BJ11)*('C19RM 2021-Lab &amp; Other HPS'!$BO$14:$BO$113)*(('C19RM 2021-Lab &amp; Other HPS'!$R$14:$R$113)))),IF((INDEX(SETUP!$G$19:$G$503,(MATCH(1,(SETUP!$B$19:$B$503=B11)*(SETUP!$D$19:$D$503=D11),0))))=2,(SUMPRODUCT(('C19RM 2021-Lab &amp; Other HPS'!$A$14:$D$113=E11)*('C19RM 2021-Lab &amp; Other HPS'!$BH$14:$BH$113=BJ11)*('C19RM 2021-Lab &amp; Other HPS'!$BO$14:$BO$113)*(('C19RM 2021-Lab &amp; Other HPS'!$S$14:$S$113)))),IF((INDEX(SETUP!$G$19:$G$503,(MATCH(1,(SETUP!$B$19:$B$503=B11)*(SETUP!$D$19:$D$503=D11),0))))=1,(SUMPRODUCT(('C19RM 2021-Lab &amp; Other HPS'!$A$14:$D$113=E11)*('C19RM 2021-Lab &amp; Other HPS'!$BH$14:$BH$113=BJ11)*('C19RM 2021-Lab &amp; Other HPS'!$BO$14:$BO$113)*(('C19RM 2021-Lab &amp; Other HPS'!$T$14:$T$113)))),0)))),0)))</f>
        <v>0</v>
      </c>
      <c r="W11" s="359" cm="1">
        <f t="array" ref="W11">IF((INDEX(SETUP!$F$19:$F$503,(MATCH(1,(SETUP!$B$19:$B$503=B11)*(SETUP!$D$19:$D$503=D11),0))))="Upfront",(SUMPRODUCT(('C19RM 2021-Lab &amp; Other HPS'!$A$14:$D$113=E11)*('C19RM 2021-Lab &amp; Other HPS'!$BH$14:$BH$113=BJ11)*('C19RM 2021-Lab &amp; Other HPS'!$BP$14:$BP$113)*(('C19RM 2021-Lab &amp; Other HPS'!$Y$14:$Y$113)))),(IF((INDEX(SETUP!$F$19:$F$503,(MATCH(1,(SETUP!$B$19:$B$503=B11)*(SETUP!$D$19:$D$503=D11),0))))="At delivery",IF((INDEX(SETUP!$G$19:$G$503,(MATCH(1,(SETUP!$B$19:$B$503=B11)*(SETUP!$D$19:$D$503=D11),0))))=4,(SUMPRODUCT(('C19RM 2021-Lab &amp; Other HPS'!$A$14:$D$113=E11)*('C19RM 2021-Lab &amp; Other HPS'!$BH$14:$BH$113=BJ11)*('C19RM 2021-Lab &amp; Other HPS'!$BO$14:$BO$113)*(('C19RM 2021-Lab &amp; Other HPS'!$R$14:$R$113)))),IF((INDEX(SETUP!$G$19:$G$503,(MATCH(1,(SETUP!$B$19:$B$503=B11)*(SETUP!$D$19:$D$503=D11),0))))=3,(SUMPRODUCT(('C19RM 2021-Lab &amp; Other HPS'!$A$14:$D$113=E11)*('C19RM 2021-Lab &amp; Other HPS'!$BH$14:$BH$113=BJ11)*('C19RM 2021-Lab &amp; Other HPS'!$BO$14:$BO$113)*(('C19RM 2021-Lab &amp; Other HPS'!$S$14:$S$113)))),IF((INDEX(SETUP!$G$19:$G$503,(MATCH(1,(SETUP!$B$19:$B$503=B11)*(SETUP!$D$19:$D$503=D11),0))))=2,((SUMPRODUCT(('C19RM 2021-Lab &amp; Other HPS'!$A$14:$D$113=E11)*('C19RM 2021-Lab &amp; Other HPS'!$BH$14:$BH$113=BJ11)*('C19RM 2021-Lab &amp; Other HPS'!$BO$14:$BO$113)*(('C19RM 2021-Lab &amp; Other HPS'!$T$14:$T$113))))),IF((INDEX(SETUP!$G$19:$G$503,(MATCH(1,(SETUP!$B$19:$B$503=B11)*(SETUP!$D$19:$D$503=D11),0))))=1,(SUMPRODUCT(('C19RM 2021-Lab &amp; Other HPS'!$A$14:$D$113=E11)*('C19RM 2021-Lab &amp; Other HPS'!$BH$14:$BH$113=BJ11)*('C19RM 2021-Lab &amp; Other HPS'!$BP$14:$BP$113)*(('C19RM 2021-Lab &amp; Other HPS'!$X$14:$X$113)))),0)))),0)))</f>
        <v>0</v>
      </c>
      <c r="X11" s="359" cm="1">
        <f t="array" ref="X11">IF((INDEX(SETUP!$F$19:$F$503,(MATCH(1,(SETUP!$B$19:$B$503=B11)*(SETUP!$D$19:$D$503=D11),0))))="Upfront",(SUMPRODUCT(('C19RM 2021-Lab &amp; Other HPS'!$A$14:$D$113=E11)*('C19RM 2021-Lab &amp; Other HPS'!$BH$14:$BH$113=BJ11)*('C19RM 2021-Lab &amp; Other HPS'!$BP$14:$BP$113)*(('C19RM 2021-Lab &amp; Other HPS'!$Z$14:$Z$113)))),(IF((INDEX(SETUP!$F$19:$F$503,(MATCH(1,(SETUP!$B$19:$B$503=B11)*(SETUP!$D$19:$D$503=D11),0))))="At delivery",IF((INDEX(SETUP!$G$19:$G$503,(MATCH(1,(SETUP!$B$19:$B$503=B11)*(SETUP!$D$19:$D$503=D11),0))))=4,(SUMPRODUCT(('C19RM 2021-Lab &amp; Other HPS'!$A$14:$D$113=E11)*('C19RM 2021-Lab &amp; Other HPS'!$BH$14:$BH$113=BJ11)*('C19RM 2021-Lab &amp; Other HPS'!$BO$14:$BO$113)*(('C19RM 2021-Lab &amp; Other HPS'!$S$14:$S$113)))),IF((INDEX(SETUP!$G$19:$G$503,(MATCH(1,(SETUP!$B$19:$B$503=B11)*(SETUP!$D$19:$D$503=D11),0))))=3,((SUMPRODUCT(('C19RM 2021-Lab &amp; Other HPS'!$A$14:$D$113=E11)*('C19RM 2021-Lab &amp; Other HPS'!$BH$14:$BH$113=BJ11)*('C19RM 2021-Lab &amp; Other HPS'!$BO$14:$BO$113)*(('C19RM 2021-Lab &amp; Other HPS'!$T$14:$T$113))))),IF((INDEX(SETUP!$G$19:$G$503,(MATCH(1,(SETUP!$B$19:$B$503=B11)*(SETUP!$D$19:$D$503=D11),0))))=2,(SUMPRODUCT(('C19RM 2021-Lab &amp; Other HPS'!$A$14:$D$113=E11)*('C19RM 2021-Lab &amp; Other HPS'!$BH$14:$BH$113=BJ11)*('C19RM 2021-Lab &amp; Other HPS'!$BP$14:$BP$113)*(('C19RM 2021-Lab &amp; Other HPS'!$X$14:$X$113)))),IF((INDEX(SETUP!$G$19:$G$503,(MATCH(1,(SETUP!$B$19:$B$503=B11)*(SETUP!$D$19:$D$503=D11),0))))=1,(SUMPRODUCT(('C19RM 2021-Lab &amp; Other HPS'!$A$14:$D$113=E11)*('C19RM 2021-Lab &amp; Other HPS'!$BH$14:$BH$113=BJ11)*('C19RM 2021-Lab &amp; Other HPS'!$BP$14:$BP$113)*(('C19RM 2021-Lab &amp; Other HPS'!$Y$14:$Y$113)))),0)))),0)))</f>
        <v>0</v>
      </c>
      <c r="Y11" s="359" cm="1">
        <f t="array" ref="Y11">IF((INDEX(SETUP!$F$19:$F$503,(MATCH(1,(SETUP!$B$19:$B$503=B11)*(SETUP!$D$19:$D$503=D11),0))))="Upfront",
(SUMPRODUCT(('C19RM 2021-Lab &amp; Other HPS'!$A$14:$D$113=E11)*('C19RM 2021-Lab &amp; Other HPS'!$BH$14:$BH$113=BJ11)*('C19RM 2021-Lab &amp; Other HPS'!$BP$14:$BP$113)*(('C19RM 2021-Lab &amp; Other HPS'!$AA$14:$AA$113)))),
(IF((INDEX(SETUP!$F$19:$F$503,(MATCH(1,(SETUP!$B$19:$B$503=B11)*(SETUP!$D$19:$D$503=D11),0))))="At delivery",
IF((INDEX(SETUP!$G$19:$G$503,(MATCH(1,(SETUP!$B$19:$B$503=B11)*(SETUP!$D$19:$D$503=D11),0))))=4,
((SUMPRODUCT(('C19RM 2021-Lab &amp; Other HPS'!$A$14:$D$113=E11)*('C19RM 2021-Lab &amp; Other HPS'!$BH$14:$BH$113=BJ11)*('C19RM 2021-Lab &amp; Other HPS'!$BO$14:$BO$113)*(('C19RM 2021-Lab &amp; Other HPS'!$T$14:$T$113))))),IF((INDEX(SETUP!$G$19:$G$503,(MATCH(1,(SETUP!$B$19:$B$503=B11)*(SETUP!$D$19:$D$503=D11),0))))=3,(SUMPRODUCT(('C19RM 2021-Lab &amp; Other HPS'!$A$14:$D$113=E11)*('C19RM 2021-Lab &amp; Other HPS'!$BH$14:$BH$113=BJ11)*('C19RM 2021-Lab &amp; Other HPS'!$BP$14:$BP$113)*(('C19RM 2021-Lab &amp; Other HPS'!$X$14:$X$113)))),IF((INDEX(SETUP!$G$19:$G$503,(MATCH(1,(SETUP!$B$19:$B$503=B11)*(SETUP!$D$19:$D$503=D11),0))))=2,(SUMPRODUCT(('C19RM 2021-Lab &amp; Other HPS'!$A$14:$D$113=E11)*('C19RM 2021-Lab &amp; Other HPS'!$BH$14:$BH$113=BJ11)*('C19RM 2021-Lab &amp; Other HPS'!$BP$14:$BP$113)*(('C19RM 2021-Lab &amp; Other HPS'!$Y$14:$Y$113)))),IF((INDEX(SETUP!$G$19:$G$503,(MATCH(1,(SETUP!$B$19:$B$503=B11)*(SETUP!$D$19:$D$503=D11),0))))=1,(SUMPRODUCT(('C19RM 2021-Lab &amp; Other HPS'!$A$14:$D$113=E11)*('C19RM 2021-Lab &amp; Other HPS'!$BH$14:$BH$113=BJ11)*('C19RM 2021-Lab &amp; Other HPS'!$BP$14:$BP$113)*(('C19RM 2021-Lab &amp; Other HPS'!$Z$14:$Z$113)))),0)))),0)))</f>
        <v>0</v>
      </c>
      <c r="Z11" s="359" cm="1">
        <f t="array" ref="Z11">IF((INDEX(SETUP!$F$19:$F$503,(MATCH(1,(SETUP!$B$19:$B$503=B11)*(SETUP!$D$19:$D$503=D11),0))))="Upfront",(SUMPRODUCT(('C19RM 2021-Lab &amp; Other HPS'!$A$14:$D$113=E11)*('C19RM 2021-Lab &amp; Other HPS'!$BH$14:$BH$113=BJ11)*('C19RM 2021-Lab &amp; Other HPS'!$BQ$14:$BQ$113)*(('C19RM 2021-Lab &amp; Other HPS'!$AE$14:$AE$113)))),(IF((INDEX(SETUP!$F$19:$F$503,(MATCH(1,(SETUP!$B$19:$B$503=B11)*(SETUP!$D$19:$D$503=D11),0))))="At delivery",IF((INDEX(SETUP!$G$19:$G$503,(MATCH(1,(SETUP!$B$19:$B$503=B11)*(SETUP!$D$19:$D$503=D11),0))))=4,(SUMPRODUCT(('C19RM 2021-Lab &amp; Other HPS'!$A$14:$D$113=E11)*('C19RM 2021-Lab &amp; Other HPS'!$BH$14:$BH$113=BJ11)*('C19RM 2021-Lab &amp; Other HPS'!$BP$14:$BP$113)*(('C19RM 2021-Lab &amp; Other HPS'!$X$14:$X$113)))),IF((INDEX(SETUP!$G$19:$G$503,(MATCH(1,(SETUP!$B$19:$B$503=B11)*(SETUP!$D$19:$D$503=D11),0))))=3,(SUMPRODUCT(('C19RM 2021-Lab &amp; Other HPS'!$A$14:$D$113=E11)*('C19RM 2021-Lab &amp; Other HPS'!$BH$14:$BH$113=BJ11)*('C19RM 2021-Lab &amp; Other HPS'!$BP$14:$BP$113)*(('C19RM 2021-Lab &amp; Other HPS'!$Y$14:$Y$113)))),IF((INDEX(SETUP!$G$19:$G$503,(MATCH(1,(SETUP!$B$19:$B$503=B11)*(SETUP!$D$19:$D$503=D11),0))))=2,(SUMPRODUCT(('C19RM 2021-Lab &amp; Other HPS'!$A$14:$D$113=E11)*('C19RM 2021-Lab &amp; Other HPS'!$BH$14:$BH$113=BJ11)*('C19RM 2021-Lab &amp; Other HPS'!$BP$14:$BP$113)*(('C19RM 2021-Lab &amp; Other HPS'!$Z$14:$Z$113)))),IF((INDEX(SETUP!$G$19:$G$503,(MATCH(1,(SETUP!$B$19:$B$503=B11)*(SETUP!$D$19:$D$503=D11),0))))=1,(SUMPRODUCT(('C19RM 2021-Lab &amp; Other HPS'!$A$14:$D$113=E11)*('C19RM 2021-Lab &amp; Other HPS'!$BH$14:$BH$113=BJ11)*('C19RM 2021-Lab &amp; Other HPS'!$BP$14:$BP$113)*(('C19RM 2021-Lab &amp; Other HPS'!$AA$14:$AA$113)))),0)))),0)))</f>
        <v>0</v>
      </c>
      <c r="AA11" s="359" cm="1">
        <f t="array" ref="AA11">IF((INDEX(SETUP!$F$19:$F$503,(MATCH(1,(SETUP!$B$19:$B$503=B11)*(SETUP!$D$19:$D$503=D11),0))))="Upfront",(SUMPRODUCT(('C19RM 2021-Lab &amp; Other HPS'!$A$14:$D$113=E11)*('C19RM 2021-Lab &amp; Other HPS'!$BH$14:$BH$113=BJ11)*('C19RM 2021-Lab &amp; Other HPS'!$BQ$14:$BQ$113)*(('C19RM 2021-Lab &amp; Other HPS'!$AF$14:$AF$113)))),(IF((INDEX(SETUP!$F$19:$F$503,(MATCH(1,(SETUP!$B$19:$B$503=B11)*(SETUP!$D$19:$D$503=D11),0))))="At delivery",IF((INDEX(SETUP!$G$19:$G$503,(MATCH(1,(SETUP!$B$19:$B$503=B11)*(SETUP!$D$19:$D$503=D11),0))))=4,(SUMPRODUCT(('C19RM 2021-Lab &amp; Other HPS'!$A$14:$D$113=E11)*('C19RM 2021-Lab &amp; Other HPS'!$BH$14:$BH$113=BJ11)*('C19RM 2021-Lab &amp; Other HPS'!$BP$14:$BP$113)*(('C19RM 2021-Lab &amp; Other HPS'!$Y$14:$Y$113)))),IF((INDEX(SETUP!$G$19:$G$503,(MATCH(1,(SETUP!$B$19:$B$503=B11)*(SETUP!$D$19:$D$503=D11),0))))=3,(SUMPRODUCT(('C19RM 2021-Lab &amp; Other HPS'!$A$14:$D$113=E11)*('C19RM 2021-Lab &amp; Other HPS'!$BH$14:$BH$113=BJ11)*('C19RM 2021-Lab &amp; Other HPS'!$BP$14:$BP$113)*(('C19RM 2021-Lab &amp; Other HPS'!$Z$14:$Z$113)))),IF((INDEX(SETUP!$G$19:$G$503,(MATCH(1,(SETUP!$B$19:$B$503=B11)*(SETUP!$D$19:$D$503=D11),0))))=2,((SUMPRODUCT(('C19RM 2021-Lab &amp; Other HPS'!$A$14:$D$113=E11)*('C19RM 2021-Lab &amp; Other HPS'!$BH$14:$BH$113=BJ11)*('C19RM 2021-Lab &amp; Other HPS'!$BP$14:$BP$113)*(('C19RM 2021-Lab &amp; Other HPS'!$AA$14:$AA$113))))),IF((INDEX(SETUP!$G$19:$G$503,(MATCH(1,(SETUP!$B$19:$B$503=B11)*(SETUP!$D$19:$D$503=D11),0))))=1,(SUMPRODUCT(('C19RM 2021-Lab &amp; Other HPS'!$A$14:$D$113=E11)*('C19RM 2021-Lab &amp; Other HPS'!$BH$14:$BH$113=BJ11)*('C19RM 2021-Lab &amp; Other HPS'!$BQ$14:$BQ$113)*(('C19RM 2021-Lab &amp; Other HPS'!$AE$14:$AE$113)))),0)))),0)))</f>
        <v>0</v>
      </c>
      <c r="AB11" s="359" cm="1">
        <f t="array" ref="AB11">IF((INDEX(SETUP!$F$19:$F$503,(MATCH(1,(SETUP!$B$19:$B$503=B11)*(SETUP!$D$19:$D$503=D11),0))))="Upfront",
(SUMPRODUCT(('C19RM 2021-Lab &amp; Other HPS'!$A$14:$D$113=E11)*('C19RM 2021-Lab &amp; Other HPS'!$BH$14:$BH$113=BJ11)*('C19RM 2021-Lab &amp; Other HPS'!$BQ$14:$BQ$113)*(('C19RM 2021-Lab &amp; Other HPS'!$AG$14:$AG$113)))),
(IF((INDEX(SETUP!$F$19:$F$503,(MATCH(1,(SETUP!$B$19:$B$503=B11)*(SETUP!$D$19:$D$503=D11),0))))="At delivery",
IF((INDEX(SETUP!$G$19:$G$503,(MATCH(1,(SETUP!$B$19:$B$503=B11)*(SETUP!$D$19:$D$503=D11),0))))=4,
(SUMPRODUCT(('C19RM 2021-Lab &amp; Other HPS'!$A$14:$D$113=E11)*('C19RM 2021-Lab &amp; Other HPS'!$BH$14:$BH$113=BJ11)*('C19RM 2021-Lab &amp; Other HPS'!$BP$14:$BP$113)*(('C19RM 2021-Lab &amp; Other HPS'!$Z$14:$Z$113)))),IF((INDEX(SETUP!$G$19:$G$503,(MATCH(1,(SETUP!$B$19:$B$503=B11)*(SETUP!$D$19:$D$503=D11),0))))=3,(SUMPRODUCT(('C19RM 2021-Lab &amp; Other HPS'!$A$14:$D$113=E11)*('C19RM 2021-Lab &amp; Other HPS'!$BH$14:$BH$113=BJ11)*('C19RM 2021-Lab &amp; Other HPS'!$BP$14:$BP$113)*(('C19RM 2021-Lab &amp; Other HPS'!$AA$14:$AA$113)))),IF((INDEX(SETUP!$G$19:$G$503,(MATCH(1,(SETUP!$B$19:$B$503=B11)*(SETUP!$D$19:$D$503=D11),0))))=2,(SUMPRODUCT(('C19RM 2021-Lab &amp; Other HPS'!$A$14:$D$113=E11)*('C19RM 2021-Lab &amp; Other HPS'!$BH$14:$BH$113=BJ11)*('C19RM 2021-Lab &amp; Other HPS'!$BQ$14:$BQ$113)*(('C19RM 2021-Lab &amp; Other HPS'!$AE$14:$AE$113)))),IF((INDEX(SETUP!$G$19:$G$503,(MATCH(1,(SETUP!$B$19:$B$503=B11)*(SETUP!$D$19:$D$503=D11),0))))=1,(SUMPRODUCT(('C19RM 2021-Lab &amp; Other HPS'!$A$14:$D$113=E11)*('C19RM 2021-Lab &amp; Other HPS'!$BH$14:$BH$113=BJ11)*('C19RM 2021-Lab &amp; Other HPS'!$BQ$14:$BQ$113)*(('C19RM 2021-Lab &amp; Other HPS'!$AF$14:$AF$113)))),0)))),0)))</f>
        <v>0</v>
      </c>
      <c r="AC11" s="359" cm="1">
        <f t="array" ref="AC11">IF((INDEX(SETUP!$F$19:$F$503,(MATCH(1,(SETUP!$B$19:$B$503=B11)*(SETUP!$D$19:$D$503=D11),0))))="Upfront",
(SUMPRODUCT(('C19RM 2021-Lab &amp; Other HPS'!$A$14:$D$113=E11)*('C19RM 2021-Lab &amp; Other HPS'!$BH$14:$BH$113=BJ11)*('C19RM 2021-Lab &amp; Other HPS'!$BQ$14:$BQ$113)*(('C19RM 2021-Lab &amp; Other HPS'!$AH$14:$AH$113)))),
(IF((INDEX(SETUP!$F$19:$F$503,(MATCH(1,(SETUP!$B$19:$B$503=B11)*(SETUP!$D$19:$D$503=D11),0))))="At delivery",
IF((INDEX(SETUP!$G$19:$G$503,(MATCH(1,(SETUP!$B$19:$B$503=B11)*(SETUP!$D$19:$D$503=D11),0))))=4,
(SUMPRODUCT(('C19RM 2021-Lab &amp; Other HPS'!$A$14:$D$113=E11)*('C19RM 2021-Lab &amp; Other HPS'!$BH$14:$BH$113=BJ11)*('C19RM 2021-Lab &amp; Other HPS'!$BP$14:$BP$113)*(('C19RM 2021-Lab &amp; Other HPS'!$AA$14:$AA$113)))),IF((INDEX(SETUP!$G$19:$G$503,(MATCH(1,(SETUP!$B$19:$B$503=B11)*(SETUP!$D$19:$D$503=D11),0))))=3,(SUMPRODUCT(('C19RM 2021-Lab &amp; Other HPS'!$A$14:$D$113=E11)*('C19RM 2021-Lab &amp; Other HPS'!$BH$14:$BH$113=BJ11)*('C19RM 2021-Lab &amp; Other HPS'!$BQ$14:$BQ$113)*(('C19RM 2021-Lab &amp; Other HPS'!$AE$14:$AE$113)))),IF((INDEX(SETUP!$G$19:$G$503,(MATCH(1,(SETUP!$B$19:$B$503=B11)*(SETUP!$D$19:$D$503=D11),0))))=2,(SUMPRODUCT(('C19RM 2021-Lab &amp; Other HPS'!$A$14:$D$113=E11)*('C19RM 2021-Lab &amp; Other HPS'!$BH$14:$BH$113=BJ11)*('C19RM 2021-Lab &amp; Other HPS'!$BQ$14:$BQ$113)*(('C19RM 2021-Lab &amp; Other HPS'!$AF$14:$AF$113)))),IF((INDEX(SETUP!$G$19:$G$503,(MATCH(1,(SETUP!$B$19:$B$503=B11)*(SETUP!$D$19:$D$503=D11),0))))=1,(SUMPRODUCT(('C19RM 2021-Lab &amp; Other HPS'!$A$14:$D$113=E11)*('C19RM 2021-Lab &amp; Other HPS'!$BH$14:$BH$113=BJ11)*('C19RM 2021-Lab &amp; Other HPS'!$BQ$14:$BQ$113)*(('C19RM 2021-Lab &amp; Other HPS'!$AG$14:$AG$113)))),0)))),0)))</f>
        <v>0</v>
      </c>
      <c r="AD11" s="359" cm="1">
        <f t="array" ref="AD11">IF((INDEX(SETUP!$F$19:$F$503,(MATCH(1,(SETUP!$B$19:$B$503=B11)*(SETUP!$D$19:$D$503=D11),0))))="Upfront",
(SUMPRODUCT(('C19RM 2021-Lab &amp; Other HPS'!$A$14:$D$113=E11)*('C19RM 2021-Lab &amp; Other HPS'!$BH$14:$BH$113=BJ11)*('C19RM 2021-Lab &amp; Other HPS'!$BR$14:$BR$113)*(('C19RM 2021-Lab &amp; Other HPS'!$AL$14:$AL$113)))),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HPS'!$AE$14:$AE$113)))),IF((INDEX(SETUP!$G$19:$G$503,(MATCH(1,(SETUP!$B$19:$B$503=B11)*(SETUP!$D$19:$D$503=D11),0))))=3,((SUMPRODUCT(('C19RM 2021-Lab &amp; Other HPS'!$A$14:$D$113=E11)*('C19RM 2021-Lab &amp; Other HPS'!$BH$14:$BH$113=BJ11)*('C19RM 2021-Lab &amp; Other HPS'!$BQ$14:$BQ$113)*(('C19RM 2021-Lab &amp; Other HPS'!$AF$14:$AF$113))))),IF((INDEX(SETUP!$G$19:$G$503,(MATCH(1,(SETUP!$B$19:$B$503=B11)*(SETUP!$D$19:$D$503=D11),0))))=2,(SUMPRODUCT(('C19RM 2021-Lab &amp; Other HPS'!$A$14:$D$113=E11)*('C19RM 2021-Lab &amp; Other HPS'!$BH$14:$BH$113=BJ11)*('C19RM 2021-Lab &amp; Other HPS'!$BQ$14:$BQ$113)*(('C19RM 2021-Lab &amp; Other HPS'!$AG$14:$AG$113)))),IF((INDEX(SETUP!$G$19:$G$503,(MATCH(1,(SETUP!$B$19:$B$503=B11)*(SETUP!$D$19:$D$503=D11),0))))=1,(SUMPRODUCT(('C19RM 2021-Lab &amp; Other HPS'!$A$14:$D$113=E11)*('C19RM 2021-Lab &amp; Other HPS'!$BH$14:$BH$113=BJ11)*('C19RM 2021-Lab &amp; Other HPS'!$BQ$14:$BQ$113)*(('C19RM 2021-Lab &amp; Other HPS'!$AH$14:$AH$113)))),0)))),0)))</f>
        <v>0</v>
      </c>
      <c r="AE11" s="359" cm="1">
        <f t="array" ref="AE11">IF((INDEX(SETUP!$F$19:$F$503,(MATCH(1,(SETUP!$B$19:$B$503=B11)*(SETUP!$D$19:$D$503=D11),0))))="Upfront",
(SUMPRODUCT(('C19RM 2021-Lab &amp; Other HPS'!$A$14:$D$113=E11)*('C19RM 2021-Lab &amp; Other HPS'!$BH$14:$BH$113=BJ11)*('C19RM 2021-Lab &amp; Other HPS'!$BR$14:$BR$113)*(('C19RM 2021-Lab &amp; Other HPS'!$AM$14:$AM$113)))),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HPS'!$AF$14:$AF$113)))),IF((INDEX(SETUP!$G$19:$G$503,(MATCH(1,(SETUP!$B$19:$B$503=B11)*(SETUP!$D$19:$D$503=D11),0))))=3,(SUMPRODUCT(('C19RM 2021-Lab &amp; Other HPS'!$A$14:$D$113=E11)*('C19RM 2021-Lab &amp; Other HPS'!$BH$14:$BH$113=BJ11)*('C19RM 2021-Lab &amp; Other HPS'!$BQ$14:$BQ$113)*(('C19RM 2021-Lab &amp; Other HPS'!$AG$14:$AG$113)))),IF((INDEX(SETUP!$G$19:$G$503,(MATCH(1,(SETUP!$B$19:$B$503=B11)*(SETUP!$D$19:$D$503=D11),0))))=2,(SUMPRODUCT(('C19RM 2021-Lab &amp; Other HPS'!$A$14:$D$113=E11)*('C19RM 2021-Lab &amp; Other HPS'!$BH$14:$BH$113=BJ11)*('C19RM 2021-Lab &amp; Other HPS'!$BQ$14:$BQ$113)*(('C19RM 2021-Lab &amp; Other HPS'!$AH$14:$AH$113)))),IF((INDEX(SETUP!$G$19:$G$503,(MATCH(1,(SETUP!$B$19:$B$503=B11)*(SETUP!$D$19:$D$503=D11),0))))=1,(SUMPRODUCT(('C19RM 2021-Lab &amp; Other HPS'!$A$14:$D$113=E11)*('C19RM 2021-Lab &amp; Other HPS'!$BH$14:$BH$113=BJ11)*('C19RM 2021-Lab &amp; Other HPS'!$BR$14:$BR$113)*(('C19RM 2021-Lab &amp; Other HPS'!$AL$14:$AL$113)))),0)))),0)))</f>
        <v>0</v>
      </c>
      <c r="AF11" s="359" cm="1">
        <f t="array" ref="AF11">IF((INDEX(SETUP!$F$19:$F$503,(MATCH(1,(SETUP!$B$19:$B$503=B11)*(SETUP!$D$19:$D$503=D11),0))))="Upfront",
(SUMPRODUCT(('C19RM 2021-Lab &amp; Other HPS'!$A$14:$D$113=E11)*('C19RM 2021-Lab &amp; Other HPS'!$BH$14:$BH$113=BJ11)*('C19RM 2021-Lab &amp; Other HPS'!$BR$14:$BR$113)*(('C19RM 2021-Lab &amp; Other HPS'!$AN$14:$AN$113)))),
(IF((INDEX(SETUP!$F$19:$F$503,(MATCH(1,(SETUP!$B$19:$B$503=B11)*(SETUP!$D$19:$D$503=D11),0))))="At delivery",
IF((INDEX(SETUP!$G$19:$G$503,(MATCH(1,(SETUP!$B$19:$B$503=B11)*(SETUP!$D$19:$D$503=D11),0))))=4,
(SUMPRODUCT(('C19RM 2021-Lab &amp; Other HPS'!$A$14:$D$113=E11)*('C19RM 2021-Lab &amp; Other HPS'!$BH$14:$BH$113=BJ11)*('C19RM 2021-Lab &amp; Other HPS'!$BQ$14:$BQ$113)*(('C19RM 2021-Lab &amp; Other HPS'!$AG$14:$AG$113)))),IF((INDEX(SETUP!$G$19:$G$503,(MATCH(1,(SETUP!$B$19:$B$503=B11)*(SETUP!$D$19:$D$503=D11),0))))=3,(SUMPRODUCT(('C19RM 2021-Lab &amp; Other HPS'!$A$14:$D$113=E11)*('C19RM 2021-Lab &amp; Other HPS'!$BH$14:$BH$113=BJ11)*('C19RM 2021-Lab &amp; Other HPS'!$BQ$14:$BQ$113)*(('C19RM 2021-Lab &amp; Other HPS'!$AH$14:$AH$113)))),IF((INDEX(SETUP!$G$19:$G$503,(MATCH(1,(SETUP!$B$19:$B$503=B11)*(SETUP!$D$19:$D$503=D11),0))))=2,(SUMPRODUCT(('C19RM 2021-Lab &amp; Other HPS'!$A$14:$D$113=E11)*('C19RM 2021-Lab &amp; Other HPS'!$BH$14:$BH$113=BJ11)*('C19RM 2021-Lab &amp; Other HPS'!$BR$14:$BR$113)*(('C19RM 2021-Lab &amp; Other HPS'!$AL$14:$AL$113)))),IF((INDEX(SETUP!$G$19:$G$503,(MATCH(1,(SETUP!$B$19:$B$503=B11)*(SETUP!$D$19:$D$503=D11),0))))=1,(SUMPRODUCT(('C19RM 2021-Lab &amp; Other HPS'!$A$14:$D$113=E11)*('C19RM 2021-Lab &amp; Other HPS'!$BH$14:$BH$113=BJ11)*('C19RM 2021-Lab &amp; Other HPS'!$BR$14:$BR$113)*(('C19RM 2021-Lab &amp; Other HPS'!$AM$14:$AM$113)))),0)))),0)))</f>
        <v>0</v>
      </c>
      <c r="AG11" s="359" cm="1">
        <f t="array" ref="AG11">IF((INDEX(SETUP!$F$19:$F$503,(MATCH(1,(SETUP!$B$19:$B$503=B11)*(SETUP!$D$19:$D$503=D11),0))))="Upfront",(SUMPRODUCT(('C19RM 2021-Lab &amp; Other HPS'!$A$14:$D$113=E11)*('C19RM 2021-Lab &amp; Other HPS'!$BH$14:$BH$113=BJ11)*('C19RM 2021-Lab &amp; Other HPS'!$BR$14:$BR$113)*(('C19RM 2021-Lab &amp; Other HPS'!$AO$14:$AO$113)))),(IF((INDEX(SETUP!$F$19:$F$503,(MATCH(1,(SETUP!$B$19:$B$503=B11)*(SETUP!$D$19:$D$503=D11),0))))="At delivery",IF((INDEX(SETUP!$G$19:$G$503,(MATCH(1,(SETUP!$B$19:$B$503=B11)*(SETUP!$D$19:$D$503=D11),0))))=4,(SUMPRODUCT(('C19RM 2021-Lab &amp; Other HPS'!$A$14:$D$113=E11)*('C19RM 2021-Lab &amp; Other HPS'!$BH$14:$BH$113=BJ11)*('C19RM 2021-Lab &amp; Other HPS'!$BQ$14:$BQ$113)*(('C19RM 2021-Lab &amp; Other HPS'!$AH$14:$AH$113)))),IF((INDEX(SETUP!$G$19:$G$503,(MATCH(1,(SETUP!$B$19:$B$503=B11)*(SETUP!$D$19:$D$503=D11),0))))=3,(SUMPRODUCT(('C19RM 2021-Lab &amp; Other HPS'!$A$14:$D$113=E11)*('C19RM 2021-Lab &amp; Other HPS'!$BH$14:$BH$113=BJ11)*('C19RM 2021-Lab &amp; Other HPS'!$BR$14:$BR$113)*(('C19RM 2021-Lab &amp; Other HPS'!$AL$14:$AL$113)))),IF((INDEX(SETUP!$G$19:$G$503,(MATCH(1,(SETUP!$B$19:$B$503=B11)*(SETUP!$D$19:$D$503=D11),0))))=2,(SUMPRODUCT(('C19RM 2021-Lab &amp; Other HPS'!$A$14:$D$113=E11)*('C19RM 2021-Lab &amp; Other HPS'!$BH$14:$BH$113=BJ11)*('C19RM 2021-Lab &amp; Other HPS'!$BR$14:$BR$113)*(('C19RM 2021-Lab &amp; Other HPS'!$AM$14:$AM$113)))),IF((INDEX(SETUP!$G$19:$G$503,(MATCH(1,(SETUP!$B$19:$B$503=B11)*(SETUP!$D$19:$D$503=D11),0))))=1,(SUMPRODUCT(('C19RM 2021-Lab &amp; Other HPS'!$A$14:$D$113=E11)*('C19RM 2021-Lab &amp; Other HPS'!$BH$14:$BH$113=BJ11)*('C19RM 2021-Lab &amp; Other HPS'!$BR$14:$BR$113)*(('C19RM 2021-Lab &amp; Other HPS'!$AN$14:$AN$113)))),0)))),0)))</f>
        <v>0</v>
      </c>
      <c r="AH11" s="359" cm="1">
        <f t="array" ref="AH11">IF((INDEX(SETUP!$F$19:$F$503,(MATCH(1,(SETUP!$B$19:$B$503=B11)*(SETUP!$D$19:$D$503=D11),0))))="Upfront",
(SUMPRODUCT(('C19RM 2021-Lab &amp; Other HPS'!$A$14:$D$113=E11)*('C19RM 2021-Lab &amp; Other HPS'!$BH$14:$BH$113=BJ11)*('C19RM 2021-Lab &amp; Other HPS'!$BH$14:$BH$113=BJ11)*('C19RM 2021-Lab &amp; Other HPS'!$BS$14:$BS$113)*(('C19RM 2021-Lab &amp; Other HPS'!$AS$14:$AS$113)))),
(IF((INDEX(SETUP!$F$19:$F$503,(MATCH(1,(SETUP!$B$19:$B$503=B11)*(SETUP!$D$19:$D$503=D11),0))))="At delivery",
IF((INDEX(SETUP!$G$19:$G$503,(MATCH(1,(SETUP!$B$19:$B$503=B11)*(SETUP!$D$19:$D$503=D11),0))))=4,
(SUMPRODUCT(('C19RM 2021-Lab &amp; Other HPS'!$A$14:$D$113=E11)*('C19RM 2021-Lab &amp; Other HPS'!$BH$14:$BH$113=BJ11)*('C19RM 2021-Lab &amp; Other HPS'!$BH$14:$BH$113=BJ11)*('C19RM 2021-Lab &amp; Other HPS'!$BR$14:$BR$113)*(('C19RM 2021-Lab &amp; Other HPS'!$AL$14:$AL$113)))),IF((INDEX(SETUP!$G$19:$G$503,(MATCH(1,(SETUP!$B$19:$B$503=B11)*(SETUP!$D$19:$D$503=D11),0))))=3,((SUMPRODUCT(('C19RM 2021-Lab &amp; Other HPS'!$A$14:$D$113=E11)*('C19RM 2021-Lab &amp; Other HPS'!$BH$14:$BH$113=BJ11)*('C19RM 2021-Lab &amp; Other HPS'!$BH$14:$BH$113=BJ11)*('C19RM 2021-Lab &amp; Other HPS'!$BR$14:$BR$113)*(('C19RM 2021-Lab &amp; Other HPS'!$AM$14:$AM$113))))),IF((INDEX(SETUP!$G$19:$G$503,(MATCH(1,(SETUP!$B$19:$B$503=B11)*(SETUP!$D$19:$D$503=D11),0))))=2,(SUMPRODUCT(('C19RM 2021-Lab &amp; Other HPS'!$A$14:$D$113=E11)*('C19RM 2021-Lab &amp; Other HPS'!$BH$14:$BH$113=BJ11)*('C19RM 2021-Lab &amp; Other HPS'!$BR$14:$BR$113)*(('C19RM 2021-Lab &amp; Other HPS'!$AN$14:$AN$113)))),IF((INDEX(SETUP!$G$19:$G$503,(MATCH(1,(SETUP!$B$19:$B$503=B11)*(SETUP!$D$19:$D$503=D11),0))))=1,(SUMPRODUCT(('C19RM 2021-Lab &amp; Other HPS'!$A$14:$D$113=E11)*('C19RM 2021-Lab &amp; Other HPS'!$BH$14:$BH$113=BJ11)*('C19RM 2021-Lab &amp; Other HPS'!$BR$14:$BR$113)*(('C19RM 2021-Lab &amp; Other HPS'!$AO$14:$AO$113)))),0)))),0)))</f>
        <v>0</v>
      </c>
      <c r="AI11" s="359" cm="1">
        <f t="array" ref="AI11">IF((INDEX(SETUP!$F$19:$F$503,(MATCH(1,(SETUP!$B$19:$B$503=B11)*(SETUP!$D$19:$D$503=D11),0))))="Upfront",
(SUMPRODUCT(('C19RM 2021-Lab &amp; Other HPS'!$A$14:$D$113=E11)*('C19RM 2021-Lab &amp; Other HPS'!$BH$14:$BH$113=BJ11)*('C19RM 2021-Lab &amp; Other HPS'!$BS$14:$BS$113)*(('C19RM 2021-Lab &amp; Other HPS'!$AT$14:$AT$113)))),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HPS'!$AM$14:$AM$113)))),IF((INDEX(SETUP!$G$19:$G$503,(MATCH(1,(SETUP!$B$19:$B$503=B11)*(SETUP!$D$19:$D$503=D11),0))))=3,((SUMPRODUCT(('C19RM 2021-Lab &amp; Other HPS'!$A$14:$D$113=E11)*('C19RM 2021-Lab &amp; Other HPS'!$BH$14:$BH$113=BJ11)*('C19RM 2021-Lab &amp; Other HPS'!$BR$14:$BR$113)*(('C19RM 2021-Lab &amp; Other HPS'!$AN$14:$AN$113))))),IF((INDEX(SETUP!$G$19:$G$503,(MATCH(1,(SETUP!$B$19:$B$503=B11)*(SETUP!$D$19:$D$503=D11),0))))=2,(SUMPRODUCT(('C19RM 2021-Lab &amp; Other HPS'!$A$14:$D$113=E11)*('C19RM 2021-Lab &amp; Other HPS'!$BH$14:$BH$113=BJ11)*('C19RM 2021-Lab &amp; Other HPS'!$BR$14:$BR$113)*(('C19RM 2021-Lab &amp; Other HPS'!$AO$14:$AO$113)))),IF((INDEX(SETUP!$G$19:$G$503,(MATCH(1,(SETUP!$B$19:$B$503=B11)*(SETUP!$D$19:$D$503=D11),0))))=1,(SUMPRODUCT(('C19RM 2021-Lab &amp; Other HPS'!$A$14:$D$113=E11)*('C19RM 2021-Lab &amp; Other HPS'!$BH$14:$BH$113=BJ11)*('C19RM 2021-Lab &amp; Other HPS'!$BS$14:$BS$113)*(('C19RM 2021-Lab &amp; Other HPS'!$AS$14:$AS$113)))),0)))),0)))</f>
        <v>0</v>
      </c>
      <c r="AJ11" s="359" cm="1">
        <f t="array" ref="AJ11">IF((INDEX(SETUP!$F$19:$F$503,(MATCH(1,(SETUP!$B$19:$B$503=B11)*(SETUP!$D$19:$D$503=D11),0))))="Upfront",
(SUMPRODUCT(('C19RM 2021-Lab &amp; Other HPS'!$A$14:$D$113=E11)*('C19RM 2021-Lab &amp; Other HPS'!$BH$14:$BH$113=BJ11)*('C19RM 2021-Lab &amp; Other HPS'!$BS$14:$BS$113)*(('C19RM 2021-Lab &amp; Other HPS'!$AU$14:$AU$113)))),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HPS'!$AN$14:$AN$113)))),IF((INDEX(SETUP!$G$19:$G$503,(MATCH(1,(SETUP!$B$19:$B$503=B11)*(SETUP!$D$19:$D$503=D11),0))))=3,((SUMPRODUCT(('C19RM 2021-Lab &amp; Other HPS'!$A$14:$D$113=E11)*('C19RM 2021-Lab &amp; Other HPS'!$BH$14:$BH$113=BJ11)*('C19RM 2021-Lab &amp; Other HPS'!$BR$14:$BR$113)*(('C19RM 2021-Lab &amp; Other HPS'!$AO$14:$AO$113))))),IF((INDEX(SETUP!$G$19:$G$503,(MATCH(1,(SETUP!$B$19:$B$503=B11)*(SETUP!$D$19:$D$503=D11),0))))=2,(SUMPRODUCT(('C19RM 2021-Lab &amp; Other HPS'!$A$14:$D$113=E11)*('C19RM 2021-Lab &amp; Other HPS'!$BH$14:$BH$113=BJ11)*('C19RM 2021-Lab &amp; Other HPS'!$BS$14:$BS$113)*(('C19RM 2021-Lab &amp; Other HPS'!$AS$14:$AS$113)))),IF((INDEX(SETUP!$G$19:$G$503,(MATCH(1,(SETUP!$B$19:$B$503=B11)*(SETUP!$D$19:$D$503=D11),0))))=1,(SUMPRODUCT(('C19RM 2021-Lab &amp; Other HPS'!$A$14:$D$113=E11)*('C19RM 2021-Lab &amp; Other HPS'!$BH$14:$BH$113=BJ11)*('C19RM 2021-Lab &amp; Other HPS'!$BS$14:$BS$113)*(('C19RM 2021-Lab &amp; Other HPS'!$AT$14:$AT$113)))),0)))),0)))</f>
        <v>0</v>
      </c>
      <c r="AK11" s="359" cm="1">
        <f t="array" ref="AK11">IF((INDEX(SETUP!$F$19:$F$503,(MATCH(1,(SETUP!$B$19:$B$503=B11)*(SETUP!$D$19:$D$503=D11),0))))="Upfront",
(SUMPRODUCT(('C19RM 2021-Lab &amp; Other HPS'!$A$14:$D$113=E11)*('C19RM 2021-Lab &amp; Other HPS'!$BH$14:$BH$113=BJ11)*('C19RM 2021-Lab &amp; Other HPS'!$BS$14:$BS$113)*(('C19RM 2021-Lab &amp; Other HPS'!$AV$14:$AV$113)))),
(IF((INDEX(SETUP!$F$19:$F$503,(MATCH(1,(SETUP!$B$19:$B$503=B11)*(SETUP!$D$19:$D$503=D11),0))))="At delivery",
IF((INDEX(SETUP!$G$19:$G$503,(MATCH(1,(SETUP!$B$19:$B$503=B11)*(SETUP!$D$19:$D$503=D11),0))))=4,
(SUMPRODUCT(('C19RM 2021-Lab &amp; Other HPS'!$A$14:$D$113=E11)*('C19RM 2021-Lab &amp; Other HPS'!$BH$14:$BH$113=BJ11)*('C19RM 2021-Lab &amp; Other HPS'!$BR$14:$BR$113)*(('C19RM 2021-Lab &amp; Other HPS'!$AO$14:$AO$113)))),IF((INDEX(SETUP!$G$19:$G$503,(MATCH(1,(SETUP!$B$19:$B$503=B11)*(SETUP!$D$19:$D$503=D11),0))))=3,((SUMPRODUCT(('C19RM 2021-Lab &amp; Other HPS'!$A$14:$D$113=E11)*('C19RM 2021-Lab &amp; Other HPS'!$BH$14:$BH$113=BJ11)*('C19RM 2021-Lab &amp; Other HPS'!$BS$14:$BS$113)*(('C19RM 2021-Lab &amp; Other HPS'!$AS$14:$AS$113))))),IF((INDEX(SETUP!$G$19:$G$503,(MATCH(1,(SETUP!$B$19:$B$503=B11)*(SETUP!$D$19:$D$503=D11),0))))=2,(SUMPRODUCT(('C19RM 2021-Lab &amp; Other HPS'!$A$14:$D$113=E11)*('C19RM 2021-Lab &amp; Other HPS'!$BH$14:$BH$113=BJ11)*('C19RM 2021-Lab &amp; Other HPS'!$BS$14:$BS$113)*(('C19RM 2021-Lab &amp; Other HPS'!$AT$14:$AT$113)))),IF((INDEX(SETUP!$G$19:$G$503,(MATCH(1,(SETUP!$B$19:$B$503=B11)*(SETUP!$D$19:$D$503=D11),0))))=1,(SUMPRODUCT(('C19RM 2021-Lab &amp; Other HPS'!$A$14:$D$113=E11)*('C19RM 2021-Lab &amp; Other HPS'!$BH$14:$BH$113=BJ11)*('C19RM 2021-Lab &amp; Other HPS'!$BS$14:$BS$113)*(('C19RM 2021-Lab &amp; Other HPS'!$AU$14:$AU$113)))),0)))),0)))</f>
        <v>0</v>
      </c>
      <c r="AL11" s="359" cm="1">
        <f t="array" ref="AL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HPS'!$AS$14:$AS$113)))),IF((INDEX(SETUP!$G$19:$G$503,(MATCH(1,(SETUP!$B$19:$B$503=B11)*(SETUP!$D$19:$D$503=D11),0))))=3,(SUMPRODUCT(('C19RM 2021-Lab &amp; Other HPS'!$A$14:$D$113=E11)*('C19RM 2021-Lab &amp; Other HPS'!$BH$14:$BH$113=BJ11)*('C19RM 2021-Lab &amp; Other HPS'!$BS$14:$BS$113)*(('C19RM 2021-Lab &amp; Other HPS'!$AT$14:$AT$113)))),IF((INDEX(SETUP!$G$19:$G$503,(MATCH(1,(SETUP!$B$19:$B$503=B11)*(SETUP!$D$19:$D$503=D11),0))))=2,(SUMPRODUCT(('C19RM 2021-Lab &amp; Other HPS'!$A$14:$D$113=E11)*('C19RM 2021-Lab &amp; Other HPS'!$BH$14:$BH$113=BJ11)*('C19RM 2021-Lab &amp; Other HPS'!$BS$14:$BS$113)*(('C19RM 2021-Lab &amp; Other HPS'!$AU$14:$AU$113)))),
IF((INDEX(SETUP!$G$19:$G$503,(MATCH(1,(SETUP!$B$19:$B$503=B11)*(SETUP!$D$19:$D$503=D11),0))))=1,
(SUMPRODUCT(('C19RM 2021-Lab &amp; Other HPS'!$A$14:$D$113=E11)*('C19RM 2021-Lab &amp; Other HPS'!$BH$14:$BH$113=BJ11)*('C19RM 2021-Lab &amp; Other HPS'!$BS$14:$BS$113)*(('C19RM 2021-Lab &amp; Other HPS'!$AV$14:$AV$113)))),0)))),0)))</f>
        <v>0</v>
      </c>
      <c r="AM11" s="359" cm="1">
        <f t="array" ref="AM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HPS'!$AT$14:$AT$113)))),IF((INDEX(SETUP!$G$19:$G$503,(MATCH(1,(SETUP!$B$19:$B$503=B11)*(SETUP!$D$19:$D$503=D11),0))))=3,(SUMPRODUCT(('C19RM 2021-Lab &amp; Other HPS'!$A$14:$D$113=E11)*('C19RM 2021-Lab &amp; Other HPS'!$BH$14:$BH$113=BJ11)*('C19RM 2021-Lab &amp; Other HPS'!$BS$14:$BS$113)*(('C19RM 2021-Lab &amp; Other HPS'!$AU$14:$AU$113)))),IF((INDEX(SETUP!$G$19:$G$503,(MATCH(1,(SETUP!$B$19:$B$503=B11)*(SETUP!$D$19:$D$503=D11),0))))=2,(SUMPRODUCT(('C19RM 2021-Lab &amp; Other HPS'!$A$14:$D$113=E11)*('C19RM 2021-Lab &amp; Other HPS'!$BH$14:$BH$113=BJ11)*('C19RM 2021-Lab &amp; Other HPS'!$BS$14:$BS$113)*(('C19RM 2021-Lab &amp; Other HPS'!$AV$14:$AV$113)))),IF((INDEX(SETUP!$G$19:$G$503,(MATCH(1,(SETUP!$B$19:$B$503=B11)*(SETUP!$D$19:$D$503=D11),0))))=1,(0),0)))),0)))</f>
        <v>0</v>
      </c>
      <c r="AN11" s="359" cm="1">
        <f t="array" ref="AN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HPS'!$AU$14:$AU$113)))),IF((INDEX(SETUP!$G$19:$G$503,(MATCH(1,(SETUP!$B$19:$B$503=B11)*(SETUP!$D$19:$D$503=D11),0))))=3,(SUMPRODUCT(('C19RM 2021-Lab &amp; Other HPS'!$A$14:$D$113=E11)*('C19RM 2021-Lab &amp; Other HPS'!$BH$14:$BH$113=BJ11)*('C19RM 2021-Lab &amp; Other HPS'!$BS$14:$BS$113)*(('C19RM 2021-Lab &amp; Other HPS'!$AV$14:$AV$113)))),IF((INDEX(SETUP!$G$19:$G$503,(MATCH(1,(SETUP!$B$19:$B$503=B11)*(SETUP!$D$19:$D$503=D11),0))))=2,(0),IF((INDEX(SETUP!$G$19:$G$503,(MATCH(1,(SETUP!$B$19:$B$503=B11)*(SETUP!$D$19:$D$503=D11),0))))=1,(0),0)))),0)))</f>
        <v>0</v>
      </c>
      <c r="AO11" s="359" cm="1">
        <f t="array" ref="AO11">IF((INDEX(SETUP!$F$19:$F$503,(MATCH(1,(SETUP!$B$19:$B$503=B11)*(SETUP!$D$19:$D$503=D11),0))))="Upfront",0,(IF((INDEX(SETUP!$F$19:$F$503,(MATCH(1,(SETUP!$B$19:$B$503=B11)*(SETUP!$D$19:$D$503=D11),0))))="At delivery",IF((INDEX(SETUP!$G$19:$G$503,(MATCH(1,(SETUP!$B$19:$B$503=B11)*(SETUP!$D$19:$D$503=D11),0))))=4,(SUMPRODUCT(('C19RM 2021-Lab &amp; Other HPS'!$A$14:$D$113=E11)*('C19RM 2021-Lab &amp; Other HPS'!$BH$14:$BH$113=BJ11)*('C19RM 2021-Lab &amp; Other HPS'!$BS$14:$BS$113)*(('C19RM 2021-Lab &amp; Other HPS'!$AV$14:$AV$113)))),IF((INDEX(SETUP!$G$19:$G$503,(MATCH(1,(SETUP!$B$19:$B$503=B11)*(SETUP!$D$19:$D$503=D11),0))))=3,(0),IF((INDEX(SETUP!$G$19:$G$503,(MATCH(1,(SETUP!$B$19:$B$503=B11)*(SETUP!$D$19:$D$503=D11),0))))=2,(0),IF((INDEX(SETUP!$G$19:$G$503,(MATCH(1,(SETUP!$B$19:$B$503=B11)*(SETUP!$D$19:$D$503=D11),0))))=1,(0),0)))),0)))</f>
        <v>0</v>
      </c>
      <c r="AP11" s="359"/>
      <c r="AQ11" s="359"/>
      <c r="AR11" s="359"/>
      <c r="AS11" s="359"/>
      <c r="AT11" s="359" cm="1">
        <f t="array" ref="AT11">IF(BG11&gt;=1,0,IFERROR(SUMPRODUCT(($R$2:$AO$2=$AT$4)*($E$5:$E$100=E11)*($BC$5:$BC$100=BC11)*($R$5:$AO$100)),0))</f>
        <v>0</v>
      </c>
      <c r="AU11" s="359" cm="1">
        <f t="array" ref="AU11">IF(BG11&gt;=1,0,IFERROR(SUMPRODUCT(($R$2:$AO$2=$AU$4)*($E$5:$E$100=E11)*($BC$5:$BC$100=BC11)*($R$5:$AO$100)),0))</f>
        <v>0</v>
      </c>
      <c r="AV11" s="359" cm="1">
        <f t="array" ref="AV11">IF(BG11&gt;=1,0,IFERROR(SUMPRODUCT(($R$2:$AO$2=$AV$4)*($E$5:$E$100=E11)*($BC$5:$BC$100=BC11)*($R$5:$AO$100)),0))</f>
        <v>0</v>
      </c>
      <c r="AW11" s="359" cm="1">
        <f t="array" ref="AW11">IF(BG11&gt;=1,0,IFERROR(SUMPRODUCT(($R$2:$AO$2=$AW$4)*($E$5:$E$100=E11)*($BC$5:$BC$100=BC11)*($R$5:$AO$100)),0))</f>
        <v>0</v>
      </c>
      <c r="AX11" s="359" cm="1">
        <f t="array" ref="AX11">IF(BG11&gt;=1,0,IFERROR(SUMPRODUCT(($R$2:$AO$2=$AX$4)*($E$5:$E$100=E11)*($BC$5:$BC$100=BC11)*($R$5:$AO$100)),0))</f>
        <v>0</v>
      </c>
      <c r="AY11" s="359">
        <f t="shared" si="5"/>
        <v>0</v>
      </c>
      <c r="AZ11" s="359"/>
      <c r="BA11" s="233">
        <f t="shared" si="6"/>
        <v>0</v>
      </c>
      <c r="BB11" s="220" t="s">
        <v>83</v>
      </c>
      <c r="BC11" t="s">
        <v>183</v>
      </c>
      <c r="BD11" cm="1">
        <f t="array" ref="BD11">(SUMPRODUCT(('C19RM 2021-Lab &amp; Other HPS'!$A$14:$D$650=E11)*('C19RM 2021-Lab &amp; Other HPS'!$BU$14:$BU$650)))</f>
        <v>0</v>
      </c>
      <c r="BE11" cm="1">
        <f t="array" ref="BE11">(SUMPRODUCT((SETUP!$D$20:$D$67=D11)*(SETUP!$R$20:$R$67)))</f>
        <v>0</v>
      </c>
      <c r="BF11" cm="1">
        <f t="array" ref="BF11">(SUMPRODUCT(('C19RM 2021-Lab &amp; Other HPS'!$A$14:$D$650=E11)*('C19RM 2021-Lab &amp; Other HPS'!$BV$14:$BV$650)))</f>
        <v>0</v>
      </c>
      <c r="BG11">
        <f t="shared" si="11"/>
        <v>0</v>
      </c>
      <c r="BJ11" s="235">
        <v>6.6</v>
      </c>
    </row>
    <row r="12" spans="1:62" x14ac:dyDescent="0.35">
      <c r="A12" s="235">
        <v>1</v>
      </c>
      <c r="B12" s="220" t="s">
        <v>2750</v>
      </c>
      <c r="C12" s="235" t="s">
        <v>3192</v>
      </c>
      <c r="D12" s="235" t="s">
        <v>13</v>
      </c>
      <c r="E12" s="235" t="s">
        <v>2754</v>
      </c>
      <c r="F12" s="220">
        <f>SETUP!$E$3</f>
        <v>0</v>
      </c>
      <c r="G12" s="220" t="str">
        <f ca="1">SETUP!$J$5</f>
        <v>NA</v>
      </c>
      <c r="H12" s="220" t="str">
        <f>SETUP!$E$9</f>
        <v>C19RM</v>
      </c>
      <c r="I12" s="232">
        <f t="shared" ref="I12" si="18">IMP_ST_DATE</f>
        <v>44197</v>
      </c>
      <c r="J12" s="232">
        <f>SETUP!$L$14</f>
        <v>46022</v>
      </c>
      <c r="K12" s="220">
        <f>IFERROR(VLOOKUP(E12,'Master Data-C19RM'!$A$5:$B$35,2,0),0)</f>
        <v>0</v>
      </c>
      <c r="L12">
        <f t="shared" ref="L12" si="19">GRAN_NO</f>
        <v>0</v>
      </c>
      <c r="M12">
        <f>SETUP!$E$7</f>
        <v>0</v>
      </c>
      <c r="N12">
        <f>SETUP!$F$76</f>
        <v>6.1</v>
      </c>
      <c r="O12" t="str" cm="1">
        <f t="array" ref="O12">INDEX(SETUP!$E$19:$E$503,(MATCH(1,(SETUP!$B$19:$B$503=B12)*(SETUP!$D$19:$D$503=D12),0)))</f>
        <v>PR/SR</v>
      </c>
      <c r="P12" t="str" cm="1">
        <f t="array" ref="P12">INDEX(SETUP!$F$19:$F$503,(MATCH(1,(SETUP!$B$19:$B$503=B12)*(SETUP!$D$19:$D$503=D12),0)))</f>
        <v>At delivery</v>
      </c>
      <c r="Q12" cm="1">
        <f t="array" ref="Q12">INDEX(SETUP!$G$19:$G$503,(MATCH(1,(SETUP!$B$19:$B$503=B12)*(SETUP!$D$19:$D$503=D12),0)))</f>
        <v>1</v>
      </c>
      <c r="R12" s="359" cm="1">
        <f t="array" ref="R12">IF((INDEX(SETUP!$F$19:$F$503,(MATCH(1,(SETUP!$B$19:$B$503=B12)*(SETUP!$D$19:$D$503=D12),0))))="Upfront",(SUMPRODUCT(('C19RM 2021-Lab &amp; Other HPS'!$A$14:$D$113=E12)*('C19RM 2021-Lab &amp; Other HPS'!$BH$14:$BH$113=BJ12)*('C19RM 2021-Lab &amp; Other HPS'!$BO$14:$BO$113)*(('C19RM 2021-Lab &amp; Other HPS'!$Q$14:$Q$113)))),0)</f>
        <v>0</v>
      </c>
      <c r="S12" s="359" cm="1">
        <f t="array" ref="S12">IF((INDEX(SETUP!$F$19:$F$503,(MATCH(1,(SETUP!$B$19:$B$503=B12)*(SETUP!$D$19:$D$503=D12),0))))="Upfront",(SUMPRODUCT(('C19RM 2021-Lab &amp; Other HPS'!$A$14:$D$113=E12)*('C19RM 2021-Lab &amp; Other HPS'!$BH$14:$BH$113=BJ12)*('C19RM 2021-Lab &amp; Other HPS'!$BO$14:$BO$113)*(('C19RM 2021-Lab &amp; Other HPS'!$R$14:$R$113)))),(IF((INDEX(SETUP!$F$19:$F$503,(MATCH(1,(SETUP!$B$19:$B$503=B12)*(SETUP!$D$19:$D$503=D12),0))))="At delivery",IF((INDEX(SETUP!$G$19:$G$503,(MATCH(1,(SETUP!$B$19:$B$503=B12)*(SETUP!$D$19:$D$503=D12),0))))=1,(SUMPRODUCT(('C19RM 2021-Lab &amp; Other HPS'!$A$14:$D$113=E12)*('C19RM 2021-Lab &amp; Other HPS'!$BH$14:$BH$113=BJ12)*('C19RM 2021-Lab &amp; Other HPS'!$BO$14:$BO$113)*(('C19RM 2021-Lab &amp; Other HPS'!$Q$14:$Q$113)))),0),0)))</f>
        <v>0</v>
      </c>
      <c r="T12" s="359" cm="1">
        <f t="array" ref="T12">IF((INDEX(SETUP!$F$19:$F$503,(MATCH(1,(SETUP!$B$19:$B$503=B12)*(SETUP!$D$19:$D$503=D12),0))))="Upfront",(SUMPRODUCT(('C19RM 2021-Lab &amp; Other HPS'!$A$14:$D$113=E12)*('C19RM 2021-Lab &amp; Other HPS'!$BH$14:$BH$113=BJ12)*('C19RM 2021-Lab &amp; Other HPS'!$BO$14:$BO$113)*(('C19RM 2021-Lab &amp; Other HPS'!$S$14:$S$113)))),(IF((INDEX(SETUP!$F$19:$F$503,(MATCH(1,(SETUP!$B$19:$B$503=B12)*(SETUP!$D$19:$D$503=D12),0))))="At delivery",IF((INDEX(SETUP!$G$19:$G$503,(MATCH(1,(SETUP!$B$19:$B$503=B12)*(SETUP!$D$19:$D$503=D12),0))))=2,(SUMPRODUCT(('C19RM 2021-Lab &amp; Other HPS'!$A$14:$D$113=E12)*('C19RM 2021-Lab &amp; Other HPS'!$BH$14:$BH$113=BJ12)*('C19RM 2021-Lab &amp; Other HPS'!$BO$14:$BO$113)*(('C19RM 2021-Lab &amp; Other HPS'!$Q$14:$Q$113)))),IF((INDEX(SETUP!$G$19:$G$503,(MATCH(1,(SETUP!$B$19:$B$503=B12)*(SETUP!$D$19:$D$503=D12),0))))=1,(SUMPRODUCT(('C19RM 2021-Lab &amp; Other HPS'!$A$14:$D$113=E12)*('C19RM 2021-Lab &amp; Other HPS'!$BH$14:$BH$113=BJ12)*('C19RM 2021-Lab &amp; Other HPS'!$BO$14:$BO$113)*(('C19RM 2021-Lab &amp; Other HPS'!$R$14:$R$113)))),0)),0)))</f>
        <v>0</v>
      </c>
      <c r="U12" s="359" cm="1">
        <f t="array" ref="U12">IF((INDEX(SETUP!$F$19:$F$503,(MATCH(1,(SETUP!$B$19:$B$503=B12)*(SETUP!$D$19:$D$503=D12),0))))="Upfront",(SUMPRODUCT(('C19RM 2021-Lab &amp; Other HPS'!$A$14:$D$113=E12)*('C19RM 2021-Lab &amp; Other HPS'!$BH$14:$BH$113=BJ12)*('C19RM 2021-Lab &amp; Other HPS'!$BO$14:$BO$113)*(('C19RM 2021-Lab &amp; Other HPS'!$T$14:$T$113)))),(IF((INDEX(SETUP!$F$19:$F$503,(MATCH(1,(SETUP!$B$19:$B$503=B12)*(SETUP!$D$19:$D$503=D12),0))))="At delivery",IF((INDEX(SETUP!$G$19:$G$503,(MATCH(1,(SETUP!$B$19:$B$503=B12)*(SETUP!$D$19:$D$503=D12),0))))=3,(SUMPRODUCT(('C19RM 2021-Lab &amp; Other HPS'!$A$14:$D$113=E12)*('C19RM 2021-Lab &amp; Other HPS'!$BH$14:$BH$113=BJ12)*('C19RM 2021-Lab &amp; Other HPS'!$BO$14:$BO$113)*(('C19RM 2021-Lab &amp; Other HPS'!$Q$14:$Q$113)))),IF((INDEX(SETUP!$G$19:$G$503,(MATCH(1,(SETUP!$B$19:$B$503=B12)*(SETUP!$D$19:$D$503=D12),0))))=2,(SUMPRODUCT(('C19RM 2021-Lab &amp; Other HPS'!$A$14:$D$113=E12)*('C19RM 2021-Lab &amp; Other HPS'!$BH$14:$BH$113=BJ12)*('C19RM 2021-Lab &amp; Other HPS'!$BO$14:$BO$113)*(('C19RM 2021-Lab &amp; Other HPS'!$R$14:$R$113)))),IF((INDEX(SETUP!$G$19:$G$503,(MATCH(1,(SETUP!$B$19:$B$503=B12)*(SETUP!$D$19:$D$503=D12),0))))=1,(SUMPRODUCT(('C19RM 2021-Lab &amp; Other HPS'!$A$14:$D$113=E12)*('C19RM 2021-Lab &amp; Other HPS'!$BH$14:$BH$113=BJ12)*('C19RM 2021-Lab &amp; Other HPS'!$BO$14:$BO$113)*(('C19RM 2021-Lab &amp; Other HPS'!$S$14:$S$113)))),0))),0)))</f>
        <v>0</v>
      </c>
      <c r="V12" s="359" cm="1">
        <f t="array" ref="V12">IF((INDEX(SETUP!$F$19:$F$503,(MATCH(1,(SETUP!$B$19:$B$503=B12)*(SETUP!$D$19:$D$503=D12),0))))="Upfront",(SUMPRODUCT(('C19RM 2021-Lab &amp; Other HPS'!$A$14:$D$113=E12)*('C19RM 2021-Lab &amp; Other HPS'!$BH$14:$BH$113=BJ12)*('C19RM 2021-Lab &amp; Other HPS'!$BP$14:$BP$113)*(('C19RM 2021-Lab &amp; Other HPS'!$X$14:$X$113)))),(IF((INDEX(SETUP!$F$19:$F$503,(MATCH(1,(SETUP!$B$19:$B$503=B12)*(SETUP!$D$19:$D$503=D12),0))))="At delivery",IF((INDEX(SETUP!$G$19:$G$503,(MATCH(1,(SETUP!$B$19:$B$503=B12)*(SETUP!$D$19:$D$503=D12),0))))=4,(SUMPRODUCT(('C19RM 2021-Lab &amp; Other HPS'!$A$14:$D$113=E12)*('C19RM 2021-Lab &amp; Other HPS'!$BH$14:$BH$113=BJ12)*('C19RM 2021-Lab &amp; Other HPS'!$BO$14:$BO$113)*(('C19RM 2021-Lab &amp; Other HPS'!$Q$14:$Q$113)))),IF((INDEX(SETUP!$G$19:$G$503,(MATCH(1,(SETUP!$B$19:$B$503=B12)*(SETUP!$D$19:$D$503=D12),0))))=3,(SUMPRODUCT(('C19RM 2021-Lab &amp; Other HPS'!$A$14:$D$113=E12)*('C19RM 2021-Lab &amp; Other HPS'!$BH$14:$BH$113=BJ12)*('C19RM 2021-Lab &amp; Other HPS'!$BO$14:$BO$113)*(('C19RM 2021-Lab &amp; Other HPS'!$R$14:$R$113)))),IF((INDEX(SETUP!$G$19:$G$503,(MATCH(1,(SETUP!$B$19:$B$503=B12)*(SETUP!$D$19:$D$503=D12),0))))=2,(SUMPRODUCT(('C19RM 2021-Lab &amp; Other HPS'!$A$14:$D$113=E12)*('C19RM 2021-Lab &amp; Other HPS'!$BH$14:$BH$113=BJ12)*('C19RM 2021-Lab &amp; Other HPS'!$BO$14:$BO$113)*(('C19RM 2021-Lab &amp; Other HPS'!$S$14:$S$113)))),IF((INDEX(SETUP!$G$19:$G$503,(MATCH(1,(SETUP!$B$19:$B$503=B12)*(SETUP!$D$19:$D$503=D12),0))))=1,(SUMPRODUCT(('C19RM 2021-Lab &amp; Other HPS'!$A$14:$D$113=E12)*('C19RM 2021-Lab &amp; Other HPS'!$BH$14:$BH$113=BJ12)*('C19RM 2021-Lab &amp; Other HPS'!$BO$14:$BO$113)*(('C19RM 2021-Lab &amp; Other HPS'!$T$14:$T$113)))),0)))),0)))</f>
        <v>0</v>
      </c>
      <c r="W12" s="359" cm="1">
        <f t="array" ref="W12">IF((INDEX(SETUP!$F$19:$F$503,(MATCH(1,(SETUP!$B$19:$B$503=B12)*(SETUP!$D$19:$D$503=D12),0))))="Upfront",(SUMPRODUCT(('C19RM 2021-Lab &amp; Other HPS'!$A$14:$D$113=E12)*('C19RM 2021-Lab &amp; Other HPS'!$BH$14:$BH$113=BJ12)*('C19RM 2021-Lab &amp; Other HPS'!$BP$14:$BP$113)*(('C19RM 2021-Lab &amp; Other HPS'!$Y$14:$Y$113)))),(IF((INDEX(SETUP!$F$19:$F$503,(MATCH(1,(SETUP!$B$19:$B$503=B12)*(SETUP!$D$19:$D$503=D12),0))))="At delivery",IF((INDEX(SETUP!$G$19:$G$503,(MATCH(1,(SETUP!$B$19:$B$503=B12)*(SETUP!$D$19:$D$503=D12),0))))=4,(SUMPRODUCT(('C19RM 2021-Lab &amp; Other HPS'!$A$14:$D$113=E12)*('C19RM 2021-Lab &amp; Other HPS'!$BH$14:$BH$113=BJ12)*('C19RM 2021-Lab &amp; Other HPS'!$BO$14:$BO$113)*(('C19RM 2021-Lab &amp; Other HPS'!$R$14:$R$113)))),IF((INDEX(SETUP!$G$19:$G$503,(MATCH(1,(SETUP!$B$19:$B$503=B12)*(SETUP!$D$19:$D$503=D12),0))))=3,(SUMPRODUCT(('C19RM 2021-Lab &amp; Other HPS'!$A$14:$D$113=E12)*('C19RM 2021-Lab &amp; Other HPS'!$BH$14:$BH$113=BJ12)*('C19RM 2021-Lab &amp; Other HPS'!$BO$14:$BO$113)*(('C19RM 2021-Lab &amp; Other HPS'!$S$14:$S$113)))),IF((INDEX(SETUP!$G$19:$G$503,(MATCH(1,(SETUP!$B$19:$B$503=B12)*(SETUP!$D$19:$D$503=D12),0))))=2,((SUMPRODUCT(('C19RM 2021-Lab &amp; Other HPS'!$A$14:$D$113=E12)*('C19RM 2021-Lab &amp; Other HPS'!$BH$14:$BH$113=BJ12)*('C19RM 2021-Lab &amp; Other HPS'!$BO$14:$BO$113)*(('C19RM 2021-Lab &amp; Other HPS'!$T$14:$T$113))))),IF((INDEX(SETUP!$G$19:$G$503,(MATCH(1,(SETUP!$B$19:$B$503=B12)*(SETUP!$D$19:$D$503=D12),0))))=1,(SUMPRODUCT(('C19RM 2021-Lab &amp; Other HPS'!$A$14:$D$113=E12)*('C19RM 2021-Lab &amp; Other HPS'!$BH$14:$BH$113=BJ12)*('C19RM 2021-Lab &amp; Other HPS'!$BP$14:$BP$113)*(('C19RM 2021-Lab &amp; Other HPS'!$X$14:$X$113)))),0)))),0)))</f>
        <v>0</v>
      </c>
      <c r="X12" s="359" cm="1">
        <f t="array" ref="X12">IF((INDEX(SETUP!$F$19:$F$503,(MATCH(1,(SETUP!$B$19:$B$503=B12)*(SETUP!$D$19:$D$503=D12),0))))="Upfront",(SUMPRODUCT(('C19RM 2021-Lab &amp; Other HPS'!$A$14:$D$113=E12)*('C19RM 2021-Lab &amp; Other HPS'!$BH$14:$BH$113=BJ12)*('C19RM 2021-Lab &amp; Other HPS'!$BP$14:$BP$113)*(('C19RM 2021-Lab &amp; Other HPS'!$Z$14:$Z$113)))),(IF((INDEX(SETUP!$F$19:$F$503,(MATCH(1,(SETUP!$B$19:$B$503=B12)*(SETUP!$D$19:$D$503=D12),0))))="At delivery",IF((INDEX(SETUP!$G$19:$G$503,(MATCH(1,(SETUP!$B$19:$B$503=B12)*(SETUP!$D$19:$D$503=D12),0))))=4,(SUMPRODUCT(('C19RM 2021-Lab &amp; Other HPS'!$A$14:$D$113=E12)*('C19RM 2021-Lab &amp; Other HPS'!$BH$14:$BH$113=BJ12)*('C19RM 2021-Lab &amp; Other HPS'!$BO$14:$BO$113)*(('C19RM 2021-Lab &amp; Other HPS'!$S$14:$S$113)))),IF((INDEX(SETUP!$G$19:$G$503,(MATCH(1,(SETUP!$B$19:$B$503=B12)*(SETUP!$D$19:$D$503=D12),0))))=3,((SUMPRODUCT(('C19RM 2021-Lab &amp; Other HPS'!$A$14:$D$113=E12)*('C19RM 2021-Lab &amp; Other HPS'!$BH$14:$BH$113=BJ12)*('C19RM 2021-Lab &amp; Other HPS'!$BO$14:$BO$113)*(('C19RM 2021-Lab &amp; Other HPS'!$T$14:$T$113))))),IF((INDEX(SETUP!$G$19:$G$503,(MATCH(1,(SETUP!$B$19:$B$503=B12)*(SETUP!$D$19:$D$503=D12),0))))=2,(SUMPRODUCT(('C19RM 2021-Lab &amp; Other HPS'!$A$14:$D$113=E12)*('C19RM 2021-Lab &amp; Other HPS'!$BH$14:$BH$113=BJ12)*('C19RM 2021-Lab &amp; Other HPS'!$BP$14:$BP$113)*(('C19RM 2021-Lab &amp; Other HPS'!$X$14:$X$113)))),IF((INDEX(SETUP!$G$19:$G$503,(MATCH(1,(SETUP!$B$19:$B$503=B12)*(SETUP!$D$19:$D$503=D12),0))))=1,(SUMPRODUCT(('C19RM 2021-Lab &amp; Other HPS'!$A$14:$D$113=E12)*('C19RM 2021-Lab &amp; Other HPS'!$BH$14:$BH$113=BJ12)*('C19RM 2021-Lab &amp; Other HPS'!$BP$14:$BP$113)*(('C19RM 2021-Lab &amp; Other HPS'!$Y$14:$Y$113)))),0)))),0)))</f>
        <v>0</v>
      </c>
      <c r="Y12" s="359" cm="1">
        <f t="array" ref="Y12">IF((INDEX(SETUP!$F$19:$F$503,(MATCH(1,(SETUP!$B$19:$B$503=B12)*(SETUP!$D$19:$D$503=D12),0))))="Upfront",
(SUMPRODUCT(('C19RM 2021-Lab &amp; Other HPS'!$A$14:$D$113=E12)*('C19RM 2021-Lab &amp; Other HPS'!$BH$14:$BH$113=BJ12)*('C19RM 2021-Lab &amp; Other HPS'!$BP$14:$BP$113)*(('C19RM 2021-Lab &amp; Other HPS'!$AA$14:$AA$113)))),
(IF((INDEX(SETUP!$F$19:$F$503,(MATCH(1,(SETUP!$B$19:$B$503=B12)*(SETUP!$D$19:$D$503=D12),0))))="At delivery",
IF((INDEX(SETUP!$G$19:$G$503,(MATCH(1,(SETUP!$B$19:$B$503=B12)*(SETUP!$D$19:$D$503=D12),0))))=4,
((SUMPRODUCT(('C19RM 2021-Lab &amp; Other HPS'!$A$14:$D$113=E12)*('C19RM 2021-Lab &amp; Other HPS'!$BH$14:$BH$113=BJ12)*('C19RM 2021-Lab &amp; Other HPS'!$BO$14:$BO$113)*(('C19RM 2021-Lab &amp; Other HPS'!$T$14:$T$113))))),IF((INDEX(SETUP!$G$19:$G$503,(MATCH(1,(SETUP!$B$19:$B$503=B12)*(SETUP!$D$19:$D$503=D12),0))))=3,(SUMPRODUCT(('C19RM 2021-Lab &amp; Other HPS'!$A$14:$D$113=E12)*('C19RM 2021-Lab &amp; Other HPS'!$BH$14:$BH$113=BJ12)*('C19RM 2021-Lab &amp; Other HPS'!$BP$14:$BP$113)*(('C19RM 2021-Lab &amp; Other HPS'!$X$14:$X$113)))),IF((INDEX(SETUP!$G$19:$G$503,(MATCH(1,(SETUP!$B$19:$B$503=B12)*(SETUP!$D$19:$D$503=D12),0))))=2,(SUMPRODUCT(('C19RM 2021-Lab &amp; Other HPS'!$A$14:$D$113=E12)*('C19RM 2021-Lab &amp; Other HPS'!$BH$14:$BH$113=BJ12)*('C19RM 2021-Lab &amp; Other HPS'!$BP$14:$BP$113)*(('C19RM 2021-Lab &amp; Other HPS'!$Y$14:$Y$113)))),IF((INDEX(SETUP!$G$19:$G$503,(MATCH(1,(SETUP!$B$19:$B$503=B12)*(SETUP!$D$19:$D$503=D12),0))))=1,(SUMPRODUCT(('C19RM 2021-Lab &amp; Other HPS'!$A$14:$D$113=E12)*('C19RM 2021-Lab &amp; Other HPS'!$BH$14:$BH$113=BJ12)*('C19RM 2021-Lab &amp; Other HPS'!$BP$14:$BP$113)*(('C19RM 2021-Lab &amp; Other HPS'!$Z$14:$Z$113)))),0)))),0)))</f>
        <v>0</v>
      </c>
      <c r="Z12" s="359" cm="1">
        <f t="array" ref="Z12">IF((INDEX(SETUP!$F$19:$F$503,(MATCH(1,(SETUP!$B$19:$B$503=B12)*(SETUP!$D$19:$D$503=D12),0))))="Upfront",(SUMPRODUCT(('C19RM 2021-Lab &amp; Other HPS'!$A$14:$D$113=E12)*('C19RM 2021-Lab &amp; Other HPS'!$BH$14:$BH$113=BJ12)*('C19RM 2021-Lab &amp; Other HPS'!$BQ$14:$BQ$113)*(('C19RM 2021-Lab &amp; Other HPS'!$AE$14:$AE$113)))),(IF((INDEX(SETUP!$F$19:$F$503,(MATCH(1,(SETUP!$B$19:$B$503=B12)*(SETUP!$D$19:$D$503=D12),0))))="At delivery",IF((INDEX(SETUP!$G$19:$G$503,(MATCH(1,(SETUP!$B$19:$B$503=B12)*(SETUP!$D$19:$D$503=D12),0))))=4,(SUMPRODUCT(('C19RM 2021-Lab &amp; Other HPS'!$A$14:$D$113=E12)*('C19RM 2021-Lab &amp; Other HPS'!$BH$14:$BH$113=BJ12)*('C19RM 2021-Lab &amp; Other HPS'!$BP$14:$BP$113)*(('C19RM 2021-Lab &amp; Other HPS'!$X$14:$X$113)))),IF((INDEX(SETUP!$G$19:$G$503,(MATCH(1,(SETUP!$B$19:$B$503=B12)*(SETUP!$D$19:$D$503=D12),0))))=3,(SUMPRODUCT(('C19RM 2021-Lab &amp; Other HPS'!$A$14:$D$113=E12)*('C19RM 2021-Lab &amp; Other HPS'!$BH$14:$BH$113=BJ12)*('C19RM 2021-Lab &amp; Other HPS'!$BP$14:$BP$113)*(('C19RM 2021-Lab &amp; Other HPS'!$Y$14:$Y$113)))),IF((INDEX(SETUP!$G$19:$G$503,(MATCH(1,(SETUP!$B$19:$B$503=B12)*(SETUP!$D$19:$D$503=D12),0))))=2,(SUMPRODUCT(('C19RM 2021-Lab &amp; Other HPS'!$A$14:$D$113=E12)*('C19RM 2021-Lab &amp; Other HPS'!$BH$14:$BH$113=BJ12)*('C19RM 2021-Lab &amp; Other HPS'!$BP$14:$BP$113)*(('C19RM 2021-Lab &amp; Other HPS'!$Z$14:$Z$113)))),IF((INDEX(SETUP!$G$19:$G$503,(MATCH(1,(SETUP!$B$19:$B$503=B12)*(SETUP!$D$19:$D$503=D12),0))))=1,(SUMPRODUCT(('C19RM 2021-Lab &amp; Other HPS'!$A$14:$D$113=E12)*('C19RM 2021-Lab &amp; Other HPS'!$BH$14:$BH$113=BJ12)*('C19RM 2021-Lab &amp; Other HPS'!$BP$14:$BP$113)*(('C19RM 2021-Lab &amp; Other HPS'!$AA$14:$AA$113)))),0)))),0)))</f>
        <v>0</v>
      </c>
      <c r="AA12" s="359" cm="1">
        <f t="array" ref="AA12">IF((INDEX(SETUP!$F$19:$F$503,(MATCH(1,(SETUP!$B$19:$B$503=B12)*(SETUP!$D$19:$D$503=D12),0))))="Upfront",(SUMPRODUCT(('C19RM 2021-Lab &amp; Other HPS'!$A$14:$D$113=E12)*('C19RM 2021-Lab &amp; Other HPS'!$BH$14:$BH$113=BJ12)*('C19RM 2021-Lab &amp; Other HPS'!$BQ$14:$BQ$113)*(('C19RM 2021-Lab &amp; Other HPS'!$AF$14:$AF$113)))),(IF((INDEX(SETUP!$F$19:$F$503,(MATCH(1,(SETUP!$B$19:$B$503=B12)*(SETUP!$D$19:$D$503=D12),0))))="At delivery",IF((INDEX(SETUP!$G$19:$G$503,(MATCH(1,(SETUP!$B$19:$B$503=B12)*(SETUP!$D$19:$D$503=D12),0))))=4,(SUMPRODUCT(('C19RM 2021-Lab &amp; Other HPS'!$A$14:$D$113=E12)*('C19RM 2021-Lab &amp; Other HPS'!$BH$14:$BH$113=BJ12)*('C19RM 2021-Lab &amp; Other HPS'!$BP$14:$BP$113)*(('C19RM 2021-Lab &amp; Other HPS'!$Y$14:$Y$113)))),IF((INDEX(SETUP!$G$19:$G$503,(MATCH(1,(SETUP!$B$19:$B$503=B12)*(SETUP!$D$19:$D$503=D12),0))))=3,(SUMPRODUCT(('C19RM 2021-Lab &amp; Other HPS'!$A$14:$D$113=E12)*('C19RM 2021-Lab &amp; Other HPS'!$BH$14:$BH$113=BJ12)*('C19RM 2021-Lab &amp; Other HPS'!$BP$14:$BP$113)*(('C19RM 2021-Lab &amp; Other HPS'!$Z$14:$Z$113)))),IF((INDEX(SETUP!$G$19:$G$503,(MATCH(1,(SETUP!$B$19:$B$503=B12)*(SETUP!$D$19:$D$503=D12),0))))=2,((SUMPRODUCT(('C19RM 2021-Lab &amp; Other HPS'!$A$14:$D$113=E12)*('C19RM 2021-Lab &amp; Other HPS'!$BH$14:$BH$113=BJ12)*('C19RM 2021-Lab &amp; Other HPS'!$BP$14:$BP$113)*(('C19RM 2021-Lab &amp; Other HPS'!$AA$14:$AA$113))))),IF((INDEX(SETUP!$G$19:$G$503,(MATCH(1,(SETUP!$B$19:$B$503=B12)*(SETUP!$D$19:$D$503=D12),0))))=1,(SUMPRODUCT(('C19RM 2021-Lab &amp; Other HPS'!$A$14:$D$113=E12)*('C19RM 2021-Lab &amp; Other HPS'!$BH$14:$BH$113=BJ12)*('C19RM 2021-Lab &amp; Other HPS'!$BQ$14:$BQ$113)*(('C19RM 2021-Lab &amp; Other HPS'!$AE$14:$AE$113)))),0)))),0)))</f>
        <v>0</v>
      </c>
      <c r="AB12" s="359" cm="1">
        <f t="array" ref="AB12">IF((INDEX(SETUP!$F$19:$F$503,(MATCH(1,(SETUP!$B$19:$B$503=B12)*(SETUP!$D$19:$D$503=D12),0))))="Upfront",
(SUMPRODUCT(('C19RM 2021-Lab &amp; Other HPS'!$A$14:$D$113=E12)*('C19RM 2021-Lab &amp; Other HPS'!$BH$14:$BH$113=BJ12)*('C19RM 2021-Lab &amp; Other HPS'!$BQ$14:$BQ$113)*(('C19RM 2021-Lab &amp; Other HPS'!$AG$14:$AG$113)))),
(IF((INDEX(SETUP!$F$19:$F$503,(MATCH(1,(SETUP!$B$19:$B$503=B12)*(SETUP!$D$19:$D$503=D12),0))))="At delivery",
IF((INDEX(SETUP!$G$19:$G$503,(MATCH(1,(SETUP!$B$19:$B$503=B12)*(SETUP!$D$19:$D$503=D12),0))))=4,
(SUMPRODUCT(('C19RM 2021-Lab &amp; Other HPS'!$A$14:$D$113=E12)*('C19RM 2021-Lab &amp; Other HPS'!$BH$14:$BH$113=BJ12)*('C19RM 2021-Lab &amp; Other HPS'!$BP$14:$BP$113)*(('C19RM 2021-Lab &amp; Other HPS'!$Z$14:$Z$113)))),IF((INDEX(SETUP!$G$19:$G$503,(MATCH(1,(SETUP!$B$19:$B$503=B12)*(SETUP!$D$19:$D$503=D12),0))))=3,(SUMPRODUCT(('C19RM 2021-Lab &amp; Other HPS'!$A$14:$D$113=E12)*('C19RM 2021-Lab &amp; Other HPS'!$BH$14:$BH$113=BJ12)*('C19RM 2021-Lab &amp; Other HPS'!$BP$14:$BP$113)*(('C19RM 2021-Lab &amp; Other HPS'!$AA$14:$AA$113)))),IF((INDEX(SETUP!$G$19:$G$503,(MATCH(1,(SETUP!$B$19:$B$503=B12)*(SETUP!$D$19:$D$503=D12),0))))=2,(SUMPRODUCT(('C19RM 2021-Lab &amp; Other HPS'!$A$14:$D$113=E12)*('C19RM 2021-Lab &amp; Other HPS'!$BH$14:$BH$113=BJ12)*('C19RM 2021-Lab &amp; Other HPS'!$BQ$14:$BQ$113)*(('C19RM 2021-Lab &amp; Other HPS'!$AE$14:$AE$113)))),IF((INDEX(SETUP!$G$19:$G$503,(MATCH(1,(SETUP!$B$19:$B$503=B12)*(SETUP!$D$19:$D$503=D12),0))))=1,(SUMPRODUCT(('C19RM 2021-Lab &amp; Other HPS'!$A$14:$D$113=E12)*('C19RM 2021-Lab &amp; Other HPS'!$BH$14:$BH$113=BJ12)*('C19RM 2021-Lab &amp; Other HPS'!$BQ$14:$BQ$113)*(('C19RM 2021-Lab &amp; Other HPS'!$AF$14:$AF$113)))),0)))),0)))</f>
        <v>0</v>
      </c>
      <c r="AC12" s="359" cm="1">
        <f t="array" ref="AC12">IF((INDEX(SETUP!$F$19:$F$503,(MATCH(1,(SETUP!$B$19:$B$503=B12)*(SETUP!$D$19:$D$503=D12),0))))="Upfront",
(SUMPRODUCT(('C19RM 2021-Lab &amp; Other HPS'!$A$14:$D$113=E12)*('C19RM 2021-Lab &amp; Other HPS'!$BH$14:$BH$113=BJ12)*('C19RM 2021-Lab &amp; Other HPS'!$BQ$14:$BQ$113)*(('C19RM 2021-Lab &amp; Other HPS'!$AH$14:$AH$113)))),
(IF((INDEX(SETUP!$F$19:$F$503,(MATCH(1,(SETUP!$B$19:$B$503=B12)*(SETUP!$D$19:$D$503=D12),0))))="At delivery",
IF((INDEX(SETUP!$G$19:$G$503,(MATCH(1,(SETUP!$B$19:$B$503=B12)*(SETUP!$D$19:$D$503=D12),0))))=4,
(SUMPRODUCT(('C19RM 2021-Lab &amp; Other HPS'!$A$14:$D$113=E12)*('C19RM 2021-Lab &amp; Other HPS'!$BH$14:$BH$113=BJ12)*('C19RM 2021-Lab &amp; Other HPS'!$BP$14:$BP$113)*(('C19RM 2021-Lab &amp; Other HPS'!$AA$14:$AA$113)))),IF((INDEX(SETUP!$G$19:$G$503,(MATCH(1,(SETUP!$B$19:$B$503=B12)*(SETUP!$D$19:$D$503=D12),0))))=3,(SUMPRODUCT(('C19RM 2021-Lab &amp; Other HPS'!$A$14:$D$113=E12)*('C19RM 2021-Lab &amp; Other HPS'!$BH$14:$BH$113=BJ12)*('C19RM 2021-Lab &amp; Other HPS'!$BQ$14:$BQ$113)*(('C19RM 2021-Lab &amp; Other HPS'!$AE$14:$AE$113)))),IF((INDEX(SETUP!$G$19:$G$503,(MATCH(1,(SETUP!$B$19:$B$503=B12)*(SETUP!$D$19:$D$503=D12),0))))=2,(SUMPRODUCT(('C19RM 2021-Lab &amp; Other HPS'!$A$14:$D$113=E12)*('C19RM 2021-Lab &amp; Other HPS'!$BH$14:$BH$113=BJ12)*('C19RM 2021-Lab &amp; Other HPS'!$BQ$14:$BQ$113)*(('C19RM 2021-Lab &amp; Other HPS'!$AF$14:$AF$113)))),IF((INDEX(SETUP!$G$19:$G$503,(MATCH(1,(SETUP!$B$19:$B$503=B12)*(SETUP!$D$19:$D$503=D12),0))))=1,(SUMPRODUCT(('C19RM 2021-Lab &amp; Other HPS'!$A$14:$D$113=E12)*('C19RM 2021-Lab &amp; Other HPS'!$BH$14:$BH$113=BJ12)*('C19RM 2021-Lab &amp; Other HPS'!$BQ$14:$BQ$113)*(('C19RM 2021-Lab &amp; Other HPS'!$AG$14:$AG$113)))),0)))),0)))</f>
        <v>0</v>
      </c>
      <c r="AD12" s="359" cm="1">
        <f t="array" ref="AD12">IF((INDEX(SETUP!$F$19:$F$503,(MATCH(1,(SETUP!$B$19:$B$503=B12)*(SETUP!$D$19:$D$503=D12),0))))="Upfront",
(SUMPRODUCT(('C19RM 2021-Lab &amp; Other HPS'!$A$14:$D$113=E12)*('C19RM 2021-Lab &amp; Other HPS'!$BH$14:$BH$113=BJ12)*('C19RM 2021-Lab &amp; Other HPS'!$BR$14:$BR$113)*(('C19RM 2021-Lab &amp; Other HPS'!$AL$14:$AL$113)))),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HPS'!$AE$14:$AE$113)))),IF((INDEX(SETUP!$G$19:$G$503,(MATCH(1,(SETUP!$B$19:$B$503=B12)*(SETUP!$D$19:$D$503=D12),0))))=3,((SUMPRODUCT(('C19RM 2021-Lab &amp; Other HPS'!$A$14:$D$113=E12)*('C19RM 2021-Lab &amp; Other HPS'!$BH$14:$BH$113=BJ12)*('C19RM 2021-Lab &amp; Other HPS'!$BQ$14:$BQ$113)*(('C19RM 2021-Lab &amp; Other HPS'!$AF$14:$AF$113))))),IF((INDEX(SETUP!$G$19:$G$503,(MATCH(1,(SETUP!$B$19:$B$503=B12)*(SETUP!$D$19:$D$503=D12),0))))=2,(SUMPRODUCT(('C19RM 2021-Lab &amp; Other HPS'!$A$14:$D$113=E12)*('C19RM 2021-Lab &amp; Other HPS'!$BH$14:$BH$113=BJ12)*('C19RM 2021-Lab &amp; Other HPS'!$BQ$14:$BQ$113)*(('C19RM 2021-Lab &amp; Other HPS'!$AG$14:$AG$113)))),IF((INDEX(SETUP!$G$19:$G$503,(MATCH(1,(SETUP!$B$19:$B$503=B12)*(SETUP!$D$19:$D$503=D12),0))))=1,(SUMPRODUCT(('C19RM 2021-Lab &amp; Other HPS'!$A$14:$D$113=E12)*('C19RM 2021-Lab &amp; Other HPS'!$BH$14:$BH$113=BJ12)*('C19RM 2021-Lab &amp; Other HPS'!$BQ$14:$BQ$113)*(('C19RM 2021-Lab &amp; Other HPS'!$AH$14:$AH$113)))),0)))),0)))</f>
        <v>0</v>
      </c>
      <c r="AE12" s="359" cm="1">
        <f t="array" ref="AE12">IF((INDEX(SETUP!$F$19:$F$503,(MATCH(1,(SETUP!$B$19:$B$503=B12)*(SETUP!$D$19:$D$503=D12),0))))="Upfront",
(SUMPRODUCT(('C19RM 2021-Lab &amp; Other HPS'!$A$14:$D$113=E12)*('C19RM 2021-Lab &amp; Other HPS'!$BH$14:$BH$113=BJ12)*('C19RM 2021-Lab &amp; Other HPS'!$BR$14:$BR$113)*(('C19RM 2021-Lab &amp; Other HPS'!$AM$14:$AM$113)))),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HPS'!$AF$14:$AF$113)))),IF((INDEX(SETUP!$G$19:$G$503,(MATCH(1,(SETUP!$B$19:$B$503=B12)*(SETUP!$D$19:$D$503=D12),0))))=3,(SUMPRODUCT(('C19RM 2021-Lab &amp; Other HPS'!$A$14:$D$113=E12)*('C19RM 2021-Lab &amp; Other HPS'!$BH$14:$BH$113=BJ12)*('C19RM 2021-Lab &amp; Other HPS'!$BQ$14:$BQ$113)*(('C19RM 2021-Lab &amp; Other HPS'!$AG$14:$AG$113)))),IF((INDEX(SETUP!$G$19:$G$503,(MATCH(1,(SETUP!$B$19:$B$503=B12)*(SETUP!$D$19:$D$503=D12),0))))=2,(SUMPRODUCT(('C19RM 2021-Lab &amp; Other HPS'!$A$14:$D$113=E12)*('C19RM 2021-Lab &amp; Other HPS'!$BH$14:$BH$113=BJ12)*('C19RM 2021-Lab &amp; Other HPS'!$BQ$14:$BQ$113)*(('C19RM 2021-Lab &amp; Other HPS'!$AH$14:$AH$113)))),IF((INDEX(SETUP!$G$19:$G$503,(MATCH(1,(SETUP!$B$19:$B$503=B12)*(SETUP!$D$19:$D$503=D12),0))))=1,(SUMPRODUCT(('C19RM 2021-Lab &amp; Other HPS'!$A$14:$D$113=E12)*('C19RM 2021-Lab &amp; Other HPS'!$BH$14:$BH$113=BJ12)*('C19RM 2021-Lab &amp; Other HPS'!$BR$14:$BR$113)*(('C19RM 2021-Lab &amp; Other HPS'!$AL$14:$AL$113)))),0)))),0)))</f>
        <v>0</v>
      </c>
      <c r="AF12" s="359" cm="1">
        <f t="array" ref="AF12">IF((INDEX(SETUP!$F$19:$F$503,(MATCH(1,(SETUP!$B$19:$B$503=B12)*(SETUP!$D$19:$D$503=D12),0))))="Upfront",
(SUMPRODUCT(('C19RM 2021-Lab &amp; Other HPS'!$A$14:$D$113=E12)*('C19RM 2021-Lab &amp; Other HPS'!$BH$14:$BH$113=BJ12)*('C19RM 2021-Lab &amp; Other HPS'!$BR$14:$BR$113)*(('C19RM 2021-Lab &amp; Other HPS'!$AN$14:$AN$113)))),
(IF((INDEX(SETUP!$F$19:$F$503,(MATCH(1,(SETUP!$B$19:$B$503=B12)*(SETUP!$D$19:$D$503=D12),0))))="At delivery",
IF((INDEX(SETUP!$G$19:$G$503,(MATCH(1,(SETUP!$B$19:$B$503=B12)*(SETUP!$D$19:$D$503=D12),0))))=4,
(SUMPRODUCT(('C19RM 2021-Lab &amp; Other HPS'!$A$14:$D$113=E12)*('C19RM 2021-Lab &amp; Other HPS'!$BH$14:$BH$113=BJ12)*('C19RM 2021-Lab &amp; Other HPS'!$BQ$14:$BQ$113)*(('C19RM 2021-Lab &amp; Other HPS'!$AG$14:$AG$113)))),IF((INDEX(SETUP!$G$19:$G$503,(MATCH(1,(SETUP!$B$19:$B$503=B12)*(SETUP!$D$19:$D$503=D12),0))))=3,(SUMPRODUCT(('C19RM 2021-Lab &amp; Other HPS'!$A$14:$D$113=E12)*('C19RM 2021-Lab &amp; Other HPS'!$BH$14:$BH$113=BJ12)*('C19RM 2021-Lab &amp; Other HPS'!$BQ$14:$BQ$113)*(('C19RM 2021-Lab &amp; Other HPS'!$AH$14:$AH$113)))),IF((INDEX(SETUP!$G$19:$G$503,(MATCH(1,(SETUP!$B$19:$B$503=B12)*(SETUP!$D$19:$D$503=D12),0))))=2,(SUMPRODUCT(('C19RM 2021-Lab &amp; Other HPS'!$A$14:$D$113=E12)*('C19RM 2021-Lab &amp; Other HPS'!$BH$14:$BH$113=BJ12)*('C19RM 2021-Lab &amp; Other HPS'!$BR$14:$BR$113)*(('C19RM 2021-Lab &amp; Other HPS'!$AL$14:$AL$113)))),IF((INDEX(SETUP!$G$19:$G$503,(MATCH(1,(SETUP!$B$19:$B$503=B12)*(SETUP!$D$19:$D$503=D12),0))))=1,(SUMPRODUCT(('C19RM 2021-Lab &amp; Other HPS'!$A$14:$D$113=E12)*('C19RM 2021-Lab &amp; Other HPS'!$BH$14:$BH$113=BJ12)*('C19RM 2021-Lab &amp; Other HPS'!$BR$14:$BR$113)*(('C19RM 2021-Lab &amp; Other HPS'!$AM$14:$AM$113)))),0)))),0)))</f>
        <v>0</v>
      </c>
      <c r="AG12" s="359" cm="1">
        <f t="array" ref="AG12">IF((INDEX(SETUP!$F$19:$F$503,(MATCH(1,(SETUP!$B$19:$B$503=B12)*(SETUP!$D$19:$D$503=D12),0))))="Upfront",(SUMPRODUCT(('C19RM 2021-Lab &amp; Other HPS'!$A$14:$D$113=E12)*('C19RM 2021-Lab &amp; Other HPS'!$BH$14:$BH$113=BJ12)*('C19RM 2021-Lab &amp; Other HPS'!$BR$14:$BR$113)*(('C19RM 2021-Lab &amp; Other HPS'!$AO$14:$AO$113)))),(IF((INDEX(SETUP!$F$19:$F$503,(MATCH(1,(SETUP!$B$19:$B$503=B12)*(SETUP!$D$19:$D$503=D12),0))))="At delivery",IF((INDEX(SETUP!$G$19:$G$503,(MATCH(1,(SETUP!$B$19:$B$503=B12)*(SETUP!$D$19:$D$503=D12),0))))=4,(SUMPRODUCT(('C19RM 2021-Lab &amp; Other HPS'!$A$14:$D$113=E12)*('C19RM 2021-Lab &amp; Other HPS'!$BH$14:$BH$113=BJ12)*('C19RM 2021-Lab &amp; Other HPS'!$BQ$14:$BQ$113)*(('C19RM 2021-Lab &amp; Other HPS'!$AH$14:$AH$113)))),IF((INDEX(SETUP!$G$19:$G$503,(MATCH(1,(SETUP!$B$19:$B$503=B12)*(SETUP!$D$19:$D$503=D12),0))))=3,(SUMPRODUCT(('C19RM 2021-Lab &amp; Other HPS'!$A$14:$D$113=E12)*('C19RM 2021-Lab &amp; Other HPS'!$BH$14:$BH$113=BJ12)*('C19RM 2021-Lab &amp; Other HPS'!$BR$14:$BR$113)*(('C19RM 2021-Lab &amp; Other HPS'!$AL$14:$AL$113)))),IF((INDEX(SETUP!$G$19:$G$503,(MATCH(1,(SETUP!$B$19:$B$503=B12)*(SETUP!$D$19:$D$503=D12),0))))=2,(SUMPRODUCT(('C19RM 2021-Lab &amp; Other HPS'!$A$14:$D$113=E12)*('C19RM 2021-Lab &amp; Other HPS'!$BH$14:$BH$113=BJ12)*('C19RM 2021-Lab &amp; Other HPS'!$BR$14:$BR$113)*(('C19RM 2021-Lab &amp; Other HPS'!$AM$14:$AM$113)))),IF((INDEX(SETUP!$G$19:$G$503,(MATCH(1,(SETUP!$B$19:$B$503=B12)*(SETUP!$D$19:$D$503=D12),0))))=1,(SUMPRODUCT(('C19RM 2021-Lab &amp; Other HPS'!$A$14:$D$113=E12)*('C19RM 2021-Lab &amp; Other HPS'!$BH$14:$BH$113=BJ12)*('C19RM 2021-Lab &amp; Other HPS'!$BR$14:$BR$113)*(('C19RM 2021-Lab &amp; Other HPS'!$AN$14:$AN$113)))),0)))),0)))</f>
        <v>0</v>
      </c>
      <c r="AH12" s="359" cm="1">
        <f t="array" ref="AH12">IF((INDEX(SETUP!$F$19:$F$503,(MATCH(1,(SETUP!$B$19:$B$503=B12)*(SETUP!$D$19:$D$503=D12),0))))="Upfront",
(SUMPRODUCT(('C19RM 2021-Lab &amp; Other HPS'!$A$14:$D$113=E12)*('C19RM 2021-Lab &amp; Other HPS'!$BH$14:$BH$113=BJ12)*('C19RM 2021-Lab &amp; Other HPS'!$BH$14:$BH$113=BJ12)*('C19RM 2021-Lab &amp; Other HPS'!$BS$14:$BS$113)*(('C19RM 2021-Lab &amp; Other HPS'!$AS$14:$AS$113)))),
(IF((INDEX(SETUP!$F$19:$F$503,(MATCH(1,(SETUP!$B$19:$B$503=B12)*(SETUP!$D$19:$D$503=D12),0))))="At delivery",
IF((INDEX(SETUP!$G$19:$G$503,(MATCH(1,(SETUP!$B$19:$B$503=B12)*(SETUP!$D$19:$D$503=D12),0))))=4,
(SUMPRODUCT(('C19RM 2021-Lab &amp; Other HPS'!$A$14:$D$113=E12)*('C19RM 2021-Lab &amp; Other HPS'!$BH$14:$BH$113=BJ12)*('C19RM 2021-Lab &amp; Other HPS'!$BH$14:$BH$113=BJ12)*('C19RM 2021-Lab &amp; Other HPS'!$BR$14:$BR$113)*(('C19RM 2021-Lab &amp; Other HPS'!$AL$14:$AL$113)))),IF((INDEX(SETUP!$G$19:$G$503,(MATCH(1,(SETUP!$B$19:$B$503=B12)*(SETUP!$D$19:$D$503=D12),0))))=3,((SUMPRODUCT(('C19RM 2021-Lab &amp; Other HPS'!$A$14:$D$113=E12)*('C19RM 2021-Lab &amp; Other HPS'!$BH$14:$BH$113=BJ12)*('C19RM 2021-Lab &amp; Other HPS'!$BH$14:$BH$113=BJ12)*('C19RM 2021-Lab &amp; Other HPS'!$BR$14:$BR$113)*(('C19RM 2021-Lab &amp; Other HPS'!$AM$14:$AM$113))))),IF((INDEX(SETUP!$G$19:$G$503,(MATCH(1,(SETUP!$B$19:$B$503=B12)*(SETUP!$D$19:$D$503=D12),0))))=2,(SUMPRODUCT(('C19RM 2021-Lab &amp; Other HPS'!$A$14:$D$113=E12)*('C19RM 2021-Lab &amp; Other HPS'!$BH$14:$BH$113=BJ12)*('C19RM 2021-Lab &amp; Other HPS'!$BR$14:$BR$113)*(('C19RM 2021-Lab &amp; Other HPS'!$AN$14:$AN$113)))),IF((INDEX(SETUP!$G$19:$G$503,(MATCH(1,(SETUP!$B$19:$B$503=B12)*(SETUP!$D$19:$D$503=D12),0))))=1,(SUMPRODUCT(('C19RM 2021-Lab &amp; Other HPS'!$A$14:$D$113=E12)*('C19RM 2021-Lab &amp; Other HPS'!$BH$14:$BH$113=BJ12)*('C19RM 2021-Lab &amp; Other HPS'!$BR$14:$BR$113)*(('C19RM 2021-Lab &amp; Other HPS'!$AO$14:$AO$113)))),0)))),0)))</f>
        <v>0</v>
      </c>
      <c r="AI12" s="359" cm="1">
        <f t="array" ref="AI12">IF((INDEX(SETUP!$F$19:$F$503,(MATCH(1,(SETUP!$B$19:$B$503=B12)*(SETUP!$D$19:$D$503=D12),0))))="Upfront",
(SUMPRODUCT(('C19RM 2021-Lab &amp; Other HPS'!$A$14:$D$113=E12)*('C19RM 2021-Lab &amp; Other HPS'!$BH$14:$BH$113=BJ12)*('C19RM 2021-Lab &amp; Other HPS'!$BS$14:$BS$113)*(('C19RM 2021-Lab &amp; Other HPS'!$AT$14:$AT$113)))),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HPS'!$AM$14:$AM$113)))),IF((INDEX(SETUP!$G$19:$G$503,(MATCH(1,(SETUP!$B$19:$B$503=B12)*(SETUP!$D$19:$D$503=D12),0))))=3,((SUMPRODUCT(('C19RM 2021-Lab &amp; Other HPS'!$A$14:$D$113=E12)*('C19RM 2021-Lab &amp; Other HPS'!$BH$14:$BH$113=BJ12)*('C19RM 2021-Lab &amp; Other HPS'!$BR$14:$BR$113)*(('C19RM 2021-Lab &amp; Other HPS'!$AN$14:$AN$113))))),IF((INDEX(SETUP!$G$19:$G$503,(MATCH(1,(SETUP!$B$19:$B$503=B12)*(SETUP!$D$19:$D$503=D12),0))))=2,(SUMPRODUCT(('C19RM 2021-Lab &amp; Other HPS'!$A$14:$D$113=E12)*('C19RM 2021-Lab &amp; Other HPS'!$BH$14:$BH$113=BJ12)*('C19RM 2021-Lab &amp; Other HPS'!$BR$14:$BR$113)*(('C19RM 2021-Lab &amp; Other HPS'!$AO$14:$AO$113)))),IF((INDEX(SETUP!$G$19:$G$503,(MATCH(1,(SETUP!$B$19:$B$503=B12)*(SETUP!$D$19:$D$503=D12),0))))=1,(SUMPRODUCT(('C19RM 2021-Lab &amp; Other HPS'!$A$14:$D$113=E12)*('C19RM 2021-Lab &amp; Other HPS'!$BH$14:$BH$113=BJ12)*('C19RM 2021-Lab &amp; Other HPS'!$BS$14:$BS$113)*(('C19RM 2021-Lab &amp; Other HPS'!$AS$14:$AS$113)))),0)))),0)))</f>
        <v>0</v>
      </c>
      <c r="AJ12" s="359" cm="1">
        <f t="array" ref="AJ12">IF((INDEX(SETUP!$F$19:$F$503,(MATCH(1,(SETUP!$B$19:$B$503=B12)*(SETUP!$D$19:$D$503=D12),0))))="Upfront",
(SUMPRODUCT(('C19RM 2021-Lab &amp; Other HPS'!$A$14:$D$113=E12)*('C19RM 2021-Lab &amp; Other HPS'!$BH$14:$BH$113=BJ12)*('C19RM 2021-Lab &amp; Other HPS'!$BS$14:$BS$113)*(('C19RM 2021-Lab &amp; Other HPS'!$AU$14:$AU$113)))),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HPS'!$AN$14:$AN$113)))),IF((INDEX(SETUP!$G$19:$G$503,(MATCH(1,(SETUP!$B$19:$B$503=B12)*(SETUP!$D$19:$D$503=D12),0))))=3,((SUMPRODUCT(('C19RM 2021-Lab &amp; Other HPS'!$A$14:$D$113=E12)*('C19RM 2021-Lab &amp; Other HPS'!$BH$14:$BH$113=BJ12)*('C19RM 2021-Lab &amp; Other HPS'!$BR$14:$BR$113)*(('C19RM 2021-Lab &amp; Other HPS'!$AO$14:$AO$113))))),IF((INDEX(SETUP!$G$19:$G$503,(MATCH(1,(SETUP!$B$19:$B$503=B12)*(SETUP!$D$19:$D$503=D12),0))))=2,(SUMPRODUCT(('C19RM 2021-Lab &amp; Other HPS'!$A$14:$D$113=E12)*('C19RM 2021-Lab &amp; Other HPS'!$BH$14:$BH$113=BJ12)*('C19RM 2021-Lab &amp; Other HPS'!$BS$14:$BS$113)*(('C19RM 2021-Lab &amp; Other HPS'!$AS$14:$AS$113)))),IF((INDEX(SETUP!$G$19:$G$503,(MATCH(1,(SETUP!$B$19:$B$503=B12)*(SETUP!$D$19:$D$503=D12),0))))=1,(SUMPRODUCT(('C19RM 2021-Lab &amp; Other HPS'!$A$14:$D$113=E12)*('C19RM 2021-Lab &amp; Other HPS'!$BH$14:$BH$113=BJ12)*('C19RM 2021-Lab &amp; Other HPS'!$BS$14:$BS$113)*(('C19RM 2021-Lab &amp; Other HPS'!$AT$14:$AT$113)))),0)))),0)))</f>
        <v>0</v>
      </c>
      <c r="AK12" s="359" cm="1">
        <f t="array" ref="AK12">IF((INDEX(SETUP!$F$19:$F$503,(MATCH(1,(SETUP!$B$19:$B$503=B12)*(SETUP!$D$19:$D$503=D12),0))))="Upfront",
(SUMPRODUCT(('C19RM 2021-Lab &amp; Other HPS'!$A$14:$D$113=E12)*('C19RM 2021-Lab &amp; Other HPS'!$BH$14:$BH$113=BJ12)*('C19RM 2021-Lab &amp; Other HPS'!$BS$14:$BS$113)*(('C19RM 2021-Lab &amp; Other HPS'!$AV$14:$AV$113)))),
(IF((INDEX(SETUP!$F$19:$F$503,(MATCH(1,(SETUP!$B$19:$B$503=B12)*(SETUP!$D$19:$D$503=D12),0))))="At delivery",
IF((INDEX(SETUP!$G$19:$G$503,(MATCH(1,(SETUP!$B$19:$B$503=B12)*(SETUP!$D$19:$D$503=D12),0))))=4,
(SUMPRODUCT(('C19RM 2021-Lab &amp; Other HPS'!$A$14:$D$113=E12)*('C19RM 2021-Lab &amp; Other HPS'!$BH$14:$BH$113=BJ12)*('C19RM 2021-Lab &amp; Other HPS'!$BR$14:$BR$113)*(('C19RM 2021-Lab &amp; Other HPS'!$AO$14:$AO$113)))),IF((INDEX(SETUP!$G$19:$G$503,(MATCH(1,(SETUP!$B$19:$B$503=B12)*(SETUP!$D$19:$D$503=D12),0))))=3,((SUMPRODUCT(('C19RM 2021-Lab &amp; Other HPS'!$A$14:$D$113=E12)*('C19RM 2021-Lab &amp; Other HPS'!$BH$14:$BH$113=BJ12)*('C19RM 2021-Lab &amp; Other HPS'!$BS$14:$BS$113)*(('C19RM 2021-Lab &amp; Other HPS'!$AS$14:$AS$113))))),IF((INDEX(SETUP!$G$19:$G$503,(MATCH(1,(SETUP!$B$19:$B$503=B12)*(SETUP!$D$19:$D$503=D12),0))))=2,(SUMPRODUCT(('C19RM 2021-Lab &amp; Other HPS'!$A$14:$D$113=E12)*('C19RM 2021-Lab &amp; Other HPS'!$BH$14:$BH$113=BJ12)*('C19RM 2021-Lab &amp; Other HPS'!$BS$14:$BS$113)*(('C19RM 2021-Lab &amp; Other HPS'!$AT$14:$AT$113)))),IF((INDEX(SETUP!$G$19:$G$503,(MATCH(1,(SETUP!$B$19:$B$503=B12)*(SETUP!$D$19:$D$503=D12),0))))=1,(SUMPRODUCT(('C19RM 2021-Lab &amp; Other HPS'!$A$14:$D$113=E12)*('C19RM 2021-Lab &amp; Other HPS'!$BH$14:$BH$113=BJ12)*('C19RM 2021-Lab &amp; Other HPS'!$BS$14:$BS$113)*(('C19RM 2021-Lab &amp; Other HPS'!$AU$14:$AU$113)))),0)))),0)))</f>
        <v>0</v>
      </c>
      <c r="AL12" s="359" cm="1">
        <f t="array" ref="AL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HPS'!$AS$14:$AS$113)))),IF((INDEX(SETUP!$G$19:$G$503,(MATCH(1,(SETUP!$B$19:$B$503=B12)*(SETUP!$D$19:$D$503=D12),0))))=3,(SUMPRODUCT(('C19RM 2021-Lab &amp; Other HPS'!$A$14:$D$113=E12)*('C19RM 2021-Lab &amp; Other HPS'!$BH$14:$BH$113=BJ12)*('C19RM 2021-Lab &amp; Other HPS'!$BS$14:$BS$113)*(('C19RM 2021-Lab &amp; Other HPS'!$AT$14:$AT$113)))),IF((INDEX(SETUP!$G$19:$G$503,(MATCH(1,(SETUP!$B$19:$B$503=B12)*(SETUP!$D$19:$D$503=D12),0))))=2,(SUMPRODUCT(('C19RM 2021-Lab &amp; Other HPS'!$A$14:$D$113=E12)*('C19RM 2021-Lab &amp; Other HPS'!$BH$14:$BH$113=BJ12)*('C19RM 2021-Lab &amp; Other HPS'!$BS$14:$BS$113)*(('C19RM 2021-Lab &amp; Other HPS'!$AU$14:$AU$113)))),
IF((INDEX(SETUP!$G$19:$G$503,(MATCH(1,(SETUP!$B$19:$B$503=B12)*(SETUP!$D$19:$D$503=D12),0))))=1,
(SUMPRODUCT(('C19RM 2021-Lab &amp; Other HPS'!$A$14:$D$113=E12)*('C19RM 2021-Lab &amp; Other HPS'!$BH$14:$BH$113=BJ12)*('C19RM 2021-Lab &amp; Other HPS'!$BS$14:$BS$113)*(('C19RM 2021-Lab &amp; Other HPS'!$AV$14:$AV$113)))),0)))),0)))</f>
        <v>0</v>
      </c>
      <c r="AM12" s="359" cm="1">
        <f t="array" ref="AM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HPS'!$AT$14:$AT$113)))),IF((INDEX(SETUP!$G$19:$G$503,(MATCH(1,(SETUP!$B$19:$B$503=B12)*(SETUP!$D$19:$D$503=D12),0))))=3,(SUMPRODUCT(('C19RM 2021-Lab &amp; Other HPS'!$A$14:$D$113=E12)*('C19RM 2021-Lab &amp; Other HPS'!$BH$14:$BH$113=BJ12)*('C19RM 2021-Lab &amp; Other HPS'!$BS$14:$BS$113)*(('C19RM 2021-Lab &amp; Other HPS'!$AU$14:$AU$113)))),IF((INDEX(SETUP!$G$19:$G$503,(MATCH(1,(SETUP!$B$19:$B$503=B12)*(SETUP!$D$19:$D$503=D12),0))))=2,(SUMPRODUCT(('C19RM 2021-Lab &amp; Other HPS'!$A$14:$D$113=E12)*('C19RM 2021-Lab &amp; Other HPS'!$BH$14:$BH$113=BJ12)*('C19RM 2021-Lab &amp; Other HPS'!$BS$14:$BS$113)*(('C19RM 2021-Lab &amp; Other HPS'!$AV$14:$AV$113)))),IF((INDEX(SETUP!$G$19:$G$503,(MATCH(1,(SETUP!$B$19:$B$503=B12)*(SETUP!$D$19:$D$503=D12),0))))=1,(0),0)))),0)))</f>
        <v>0</v>
      </c>
      <c r="AN12" s="359" cm="1">
        <f t="array" ref="AN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HPS'!$AU$14:$AU$113)))),IF((INDEX(SETUP!$G$19:$G$503,(MATCH(1,(SETUP!$B$19:$B$503=B12)*(SETUP!$D$19:$D$503=D12),0))))=3,(SUMPRODUCT(('C19RM 2021-Lab &amp; Other HPS'!$A$14:$D$113=E12)*('C19RM 2021-Lab &amp; Other HPS'!$BH$14:$BH$113=BJ12)*('C19RM 2021-Lab &amp; Other HPS'!$BS$14:$BS$113)*(('C19RM 2021-Lab &amp; Other HPS'!$AV$14:$AV$113)))),IF((INDEX(SETUP!$G$19:$G$503,(MATCH(1,(SETUP!$B$19:$B$503=B12)*(SETUP!$D$19:$D$503=D12),0))))=2,(0),IF((INDEX(SETUP!$G$19:$G$503,(MATCH(1,(SETUP!$B$19:$B$503=B12)*(SETUP!$D$19:$D$503=D12),0))))=1,(0),0)))),0)))</f>
        <v>0</v>
      </c>
      <c r="AO12" s="359" cm="1">
        <f t="array" ref="AO12">IF((INDEX(SETUP!$F$19:$F$503,(MATCH(1,(SETUP!$B$19:$B$503=B12)*(SETUP!$D$19:$D$503=D12),0))))="Upfront",0,(IF((INDEX(SETUP!$F$19:$F$503,(MATCH(1,(SETUP!$B$19:$B$503=B12)*(SETUP!$D$19:$D$503=D12),0))))="At delivery",IF((INDEX(SETUP!$G$19:$G$503,(MATCH(1,(SETUP!$B$19:$B$503=B12)*(SETUP!$D$19:$D$503=D12),0))))=4,(SUMPRODUCT(('C19RM 2021-Lab &amp; Other HPS'!$A$14:$D$113=E12)*('C19RM 2021-Lab &amp; Other HPS'!$BH$14:$BH$113=BJ12)*('C19RM 2021-Lab &amp; Other HPS'!$BS$14:$BS$113)*(('C19RM 2021-Lab &amp; Other HPS'!$AV$14:$AV$113)))),IF((INDEX(SETUP!$G$19:$G$503,(MATCH(1,(SETUP!$B$19:$B$503=B12)*(SETUP!$D$19:$D$503=D12),0))))=3,(0),IF((INDEX(SETUP!$G$19:$G$503,(MATCH(1,(SETUP!$B$19:$B$503=B12)*(SETUP!$D$19:$D$503=D12),0))))=2,(0),IF((INDEX(SETUP!$G$19:$G$503,(MATCH(1,(SETUP!$B$19:$B$503=B12)*(SETUP!$D$19:$D$503=D12),0))))=1,(0),0)))),0)))</f>
        <v>0</v>
      </c>
      <c r="AP12" s="359"/>
      <c r="AQ12" s="359"/>
      <c r="AR12" s="359"/>
      <c r="AS12" s="359"/>
      <c r="AT12" s="359" cm="1">
        <f t="array" ref="AT12">IF(BG12&gt;=1,0,IFERROR(SUMPRODUCT(($R$2:$AO$2=$AT$4)*($E$5:$E$100=E12)*($BC$5:$BC$100=BC12)*($R$5:$AO$100)),0))</f>
        <v>0</v>
      </c>
      <c r="AU12" s="359" cm="1">
        <f t="array" ref="AU12">IF(BG12&gt;=1,0,IFERROR(SUMPRODUCT(($R$2:$AO$2=$AU$4)*($E$5:$E$100=E12)*($BC$5:$BC$100=BC12)*($R$5:$AO$100)),0))</f>
        <v>0</v>
      </c>
      <c r="AV12" s="359" cm="1">
        <f t="array" ref="AV12">IF(BG12&gt;=1,0,IFERROR(SUMPRODUCT(($R$2:$AO$2=$AV$4)*($E$5:$E$100=E12)*($BC$5:$BC$100=BC12)*($R$5:$AO$100)),0))</f>
        <v>0</v>
      </c>
      <c r="AW12" s="359" cm="1">
        <f t="array" ref="AW12">IF(BG12&gt;=1,0,IFERROR(SUMPRODUCT(($R$2:$AO$2=$AW$4)*($E$5:$E$100=E12)*($BC$5:$BC$100=BC12)*($R$5:$AO$100)),0))</f>
        <v>0</v>
      </c>
      <c r="AX12" s="359" cm="1">
        <f t="array" ref="AX12">IF(BG12&gt;=1,0,IFERROR(SUMPRODUCT(($R$2:$AO$2=$AX$4)*($E$5:$E$100=E12)*($BC$5:$BC$100=BC12)*($R$5:$AO$100)),0))</f>
        <v>0</v>
      </c>
      <c r="AY12" s="359">
        <f t="shared" si="5"/>
        <v>0</v>
      </c>
      <c r="AZ12" s="359"/>
      <c r="BA12" s="233">
        <f t="shared" si="6"/>
        <v>0</v>
      </c>
      <c r="BB12" s="220" t="s">
        <v>83</v>
      </c>
      <c r="BC12" t="s">
        <v>3299</v>
      </c>
      <c r="BD12" cm="1">
        <f t="array" ref="BD12">(SUMPRODUCT(('C19RM 2021-Lab &amp; Other HPS'!$A$14:$D$650=E12)*('C19RM 2021-Lab &amp; Other HPS'!$BU$14:$BU$650)))</f>
        <v>0</v>
      </c>
      <c r="BE12" cm="1">
        <f t="array" ref="BE12">(SUMPRODUCT((SETUP!$D$20:$D$67=D12)*(SETUP!$R$20:$R$67)))</f>
        <v>0</v>
      </c>
      <c r="BF12" cm="1">
        <f t="array" ref="BF12">(SUMPRODUCT(('C19RM 2021-Lab &amp; Other HPS'!$A$14:$D$650=E12)*('C19RM 2021-Lab &amp; Other HPS'!$BV$14:$BV$650)))</f>
        <v>0</v>
      </c>
      <c r="BG12">
        <f t="shared" si="11"/>
        <v>0</v>
      </c>
      <c r="BJ12" s="235">
        <v>6.4</v>
      </c>
    </row>
    <row r="13" spans="1:62" x14ac:dyDescent="0.35">
      <c r="A13" s="235">
        <v>1</v>
      </c>
      <c r="B13" s="220" t="s">
        <v>2750</v>
      </c>
      <c r="C13" s="235" t="s">
        <v>3192</v>
      </c>
      <c r="D13" s="235" t="s">
        <v>13</v>
      </c>
      <c r="E13" s="235" t="s">
        <v>2754</v>
      </c>
      <c r="F13" s="220">
        <f>SETUP!$E$3</f>
        <v>0</v>
      </c>
      <c r="G13" s="220" t="str">
        <f ca="1">SETUP!$J$5</f>
        <v>NA</v>
      </c>
      <c r="H13" s="220" t="str">
        <f>SETUP!$E$9</f>
        <v>C19RM</v>
      </c>
      <c r="I13" s="232">
        <f t="shared" ref="I13" si="20">IMP_ST_DATE</f>
        <v>44197</v>
      </c>
      <c r="J13" s="232">
        <f>SETUP!$L$14</f>
        <v>46022</v>
      </c>
      <c r="K13" s="220">
        <v>1</v>
      </c>
      <c r="L13">
        <f t="shared" ref="L13" si="21">GRAN_NO</f>
        <v>0</v>
      </c>
      <c r="M13">
        <f>SETUP!$E$7</f>
        <v>0</v>
      </c>
      <c r="N13">
        <f>SETUP!$F$76</f>
        <v>6.1</v>
      </c>
      <c r="O13" t="str" cm="1">
        <f t="array" ref="O13">INDEX(SETUP!$E$19:$E$503,(MATCH(1,(SETUP!$B$19:$B$503=B13)*(SETUP!$D$19:$D$503=D13),0)))</f>
        <v>PR/SR</v>
      </c>
      <c r="P13" t="str" cm="1">
        <f t="array" ref="P13">INDEX(SETUP!$F$19:$F$503,(MATCH(1,(SETUP!$B$19:$B$503=B13)*(SETUP!$D$19:$D$503=D13),0)))</f>
        <v>At delivery</v>
      </c>
      <c r="Q13" cm="1">
        <f t="array" ref="Q13">INDEX(SETUP!$G$19:$G$503,(MATCH(1,(SETUP!$B$19:$B$503=B13)*(SETUP!$D$19:$D$503=D13),0)))</f>
        <v>1</v>
      </c>
      <c r="R13" s="359" cm="1">
        <f t="array" ref="R13">IF((INDEX(SETUP!$F$19:$F$503,(MATCH(1,(SETUP!$B$19:$B$503=B13)*(SETUP!$D$19:$D$503=D13),0))))="Upfront",(SUMPRODUCT(('C19RM 2021-Lab &amp; Other HPS'!$A$14:$D$113=E13)*('C19RM 2021-Lab &amp; Other HPS'!$BH$14:$BH$113=BJ13)*('C19RM 2021-Lab &amp; Other HPS'!$BO$14:$BO$113)*(('C19RM 2021-Lab &amp; Other HPS'!$Q$14:$Q$113)))),0)</f>
        <v>0</v>
      </c>
      <c r="S13" s="359" cm="1">
        <f t="array" ref="S13">IF((INDEX(SETUP!$F$19:$F$503,(MATCH(1,(SETUP!$B$19:$B$503=B13)*(SETUP!$D$19:$D$503=D13),0))))="Upfront",(SUMPRODUCT(('C19RM 2021-Lab &amp; Other HPS'!$A$14:$D$113=E13)*('C19RM 2021-Lab &amp; Other HPS'!$BH$14:$BH$113=BJ13)*('C19RM 2021-Lab &amp; Other HPS'!$BO$14:$BO$113)*(('C19RM 2021-Lab &amp; Other HPS'!$R$14:$R$113)))),(IF((INDEX(SETUP!$F$19:$F$503,(MATCH(1,(SETUP!$B$19:$B$503=B13)*(SETUP!$D$19:$D$503=D13),0))))="At delivery",IF((INDEX(SETUP!$G$19:$G$503,(MATCH(1,(SETUP!$B$19:$B$503=B13)*(SETUP!$D$19:$D$503=D13),0))))=1,(SUMPRODUCT(('C19RM 2021-Lab &amp; Other HPS'!$A$14:$D$113=E13)*('C19RM 2021-Lab &amp; Other HPS'!$BH$14:$BH$113=BJ13)*('C19RM 2021-Lab &amp; Other HPS'!$BO$14:$BO$113)*(('C19RM 2021-Lab &amp; Other HPS'!$Q$14:$Q$113)))),0),0)))</f>
        <v>0</v>
      </c>
      <c r="T13" s="359" cm="1">
        <f t="array" ref="T13">IF((INDEX(SETUP!$F$19:$F$503,(MATCH(1,(SETUP!$B$19:$B$503=B13)*(SETUP!$D$19:$D$503=D13),0))))="Upfront",(SUMPRODUCT(('C19RM 2021-Lab &amp; Other HPS'!$A$14:$D$113=E13)*('C19RM 2021-Lab &amp; Other HPS'!$BH$14:$BH$113=BJ13)*('C19RM 2021-Lab &amp; Other HPS'!$BO$14:$BO$113)*(('C19RM 2021-Lab &amp; Other HPS'!$S$14:$S$113)))),(IF((INDEX(SETUP!$F$19:$F$503,(MATCH(1,(SETUP!$B$19:$B$503=B13)*(SETUP!$D$19:$D$503=D13),0))))="At delivery",IF((INDEX(SETUP!$G$19:$G$503,(MATCH(1,(SETUP!$B$19:$B$503=B13)*(SETUP!$D$19:$D$503=D13),0))))=2,(SUMPRODUCT(('C19RM 2021-Lab &amp; Other HPS'!$A$14:$D$113=E13)*('C19RM 2021-Lab &amp; Other HPS'!$BH$14:$BH$113=BJ13)*('C19RM 2021-Lab &amp; Other HPS'!$BO$14:$BO$113)*(('C19RM 2021-Lab &amp; Other HPS'!$Q$14:$Q$113)))),IF((INDEX(SETUP!$G$19:$G$503,(MATCH(1,(SETUP!$B$19:$B$503=B13)*(SETUP!$D$19:$D$503=D13),0))))=1,(SUMPRODUCT(('C19RM 2021-Lab &amp; Other HPS'!$A$14:$D$113=E13)*('C19RM 2021-Lab &amp; Other HPS'!$BH$14:$BH$113=BJ13)*('C19RM 2021-Lab &amp; Other HPS'!$BO$14:$BO$113)*(('C19RM 2021-Lab &amp; Other HPS'!$R$14:$R$113)))),0)),0)))</f>
        <v>0</v>
      </c>
      <c r="U13" s="359" cm="1">
        <f t="array" ref="U13">IF((INDEX(SETUP!$F$19:$F$503,(MATCH(1,(SETUP!$B$19:$B$503=B13)*(SETUP!$D$19:$D$503=D13),0))))="Upfront",(SUMPRODUCT(('C19RM 2021-Lab &amp; Other HPS'!$A$14:$D$113=E13)*('C19RM 2021-Lab &amp; Other HPS'!$BH$14:$BH$113=BJ13)*('C19RM 2021-Lab &amp; Other HPS'!$BO$14:$BO$113)*(('C19RM 2021-Lab &amp; Other HPS'!$T$14:$T$113)))),(IF((INDEX(SETUP!$F$19:$F$503,(MATCH(1,(SETUP!$B$19:$B$503=B13)*(SETUP!$D$19:$D$503=D13),0))))="At delivery",IF((INDEX(SETUP!$G$19:$G$503,(MATCH(1,(SETUP!$B$19:$B$503=B13)*(SETUP!$D$19:$D$503=D13),0))))=3,(SUMPRODUCT(('C19RM 2021-Lab &amp; Other HPS'!$A$14:$D$113=E13)*('C19RM 2021-Lab &amp; Other HPS'!$BH$14:$BH$113=BJ13)*('C19RM 2021-Lab &amp; Other HPS'!$BO$14:$BO$113)*(('C19RM 2021-Lab &amp; Other HPS'!$Q$14:$Q$113)))),IF((INDEX(SETUP!$G$19:$G$503,(MATCH(1,(SETUP!$B$19:$B$503=B13)*(SETUP!$D$19:$D$503=D13),0))))=2,(SUMPRODUCT(('C19RM 2021-Lab &amp; Other HPS'!$A$14:$D$113=E13)*('C19RM 2021-Lab &amp; Other HPS'!$BH$14:$BH$113=BJ13)*('C19RM 2021-Lab &amp; Other HPS'!$BO$14:$BO$113)*(('C19RM 2021-Lab &amp; Other HPS'!$R$14:$R$113)))),IF((INDEX(SETUP!$G$19:$G$503,(MATCH(1,(SETUP!$B$19:$B$503=B13)*(SETUP!$D$19:$D$503=D13),0))))=1,(SUMPRODUCT(('C19RM 2021-Lab &amp; Other HPS'!$A$14:$D$113=E13)*('C19RM 2021-Lab &amp; Other HPS'!$BH$14:$BH$113=BJ13)*('C19RM 2021-Lab &amp; Other HPS'!$BO$14:$BO$113)*(('C19RM 2021-Lab &amp; Other HPS'!$S$14:$S$113)))),0))),0)))</f>
        <v>0</v>
      </c>
      <c r="V13" s="359" cm="1">
        <f t="array" ref="V13">IF((INDEX(SETUP!$F$19:$F$503,(MATCH(1,(SETUP!$B$19:$B$503=B13)*(SETUP!$D$19:$D$503=D13),0))))="Upfront",(SUMPRODUCT(('C19RM 2021-Lab &amp; Other HPS'!$A$14:$D$113=E13)*('C19RM 2021-Lab &amp; Other HPS'!$BH$14:$BH$113=BJ13)*('C19RM 2021-Lab &amp; Other HPS'!$BP$14:$BP$113)*(('C19RM 2021-Lab &amp; Other HPS'!$X$14:$X$113)))),(IF((INDEX(SETUP!$F$19:$F$503,(MATCH(1,(SETUP!$B$19:$B$503=B13)*(SETUP!$D$19:$D$503=D13),0))))="At delivery",IF((INDEX(SETUP!$G$19:$G$503,(MATCH(1,(SETUP!$B$19:$B$503=B13)*(SETUP!$D$19:$D$503=D13),0))))=4,(SUMPRODUCT(('C19RM 2021-Lab &amp; Other HPS'!$A$14:$D$113=E13)*('C19RM 2021-Lab &amp; Other HPS'!$BH$14:$BH$113=BJ13)*('C19RM 2021-Lab &amp; Other HPS'!$BO$14:$BO$113)*(('C19RM 2021-Lab &amp; Other HPS'!$Q$14:$Q$113)))),IF((INDEX(SETUP!$G$19:$G$503,(MATCH(1,(SETUP!$B$19:$B$503=B13)*(SETUP!$D$19:$D$503=D13),0))))=3,(SUMPRODUCT(('C19RM 2021-Lab &amp; Other HPS'!$A$14:$D$113=E13)*('C19RM 2021-Lab &amp; Other HPS'!$BH$14:$BH$113=BJ13)*('C19RM 2021-Lab &amp; Other HPS'!$BO$14:$BO$113)*(('C19RM 2021-Lab &amp; Other HPS'!$R$14:$R$113)))),IF((INDEX(SETUP!$G$19:$G$503,(MATCH(1,(SETUP!$B$19:$B$503=B13)*(SETUP!$D$19:$D$503=D13),0))))=2,(SUMPRODUCT(('C19RM 2021-Lab &amp; Other HPS'!$A$14:$D$113=E13)*('C19RM 2021-Lab &amp; Other HPS'!$BH$14:$BH$113=BJ13)*('C19RM 2021-Lab &amp; Other HPS'!$BO$14:$BO$113)*(('C19RM 2021-Lab &amp; Other HPS'!$S$14:$S$113)))),IF((INDEX(SETUP!$G$19:$G$503,(MATCH(1,(SETUP!$B$19:$B$503=B13)*(SETUP!$D$19:$D$503=D13),0))))=1,(SUMPRODUCT(('C19RM 2021-Lab &amp; Other HPS'!$A$14:$D$113=E13)*('C19RM 2021-Lab &amp; Other HPS'!$BH$14:$BH$113=BJ13)*('C19RM 2021-Lab &amp; Other HPS'!$BO$14:$BO$113)*(('C19RM 2021-Lab &amp; Other HPS'!$T$14:$T$113)))),0)))),0)))</f>
        <v>0</v>
      </c>
      <c r="W13" s="359" cm="1">
        <f t="array" ref="W13">IF((INDEX(SETUP!$F$19:$F$503,(MATCH(1,(SETUP!$B$19:$B$503=B13)*(SETUP!$D$19:$D$503=D13),0))))="Upfront",(SUMPRODUCT(('C19RM 2021-Lab &amp; Other HPS'!$A$14:$D$113=E13)*('C19RM 2021-Lab &amp; Other HPS'!$BH$14:$BH$113=BJ13)*('C19RM 2021-Lab &amp; Other HPS'!$BP$14:$BP$113)*(('C19RM 2021-Lab &amp; Other HPS'!$Y$14:$Y$113)))),(IF((INDEX(SETUP!$F$19:$F$503,(MATCH(1,(SETUP!$B$19:$B$503=B13)*(SETUP!$D$19:$D$503=D13),0))))="At delivery",IF((INDEX(SETUP!$G$19:$G$503,(MATCH(1,(SETUP!$B$19:$B$503=B13)*(SETUP!$D$19:$D$503=D13),0))))=4,(SUMPRODUCT(('C19RM 2021-Lab &amp; Other HPS'!$A$14:$D$113=E13)*('C19RM 2021-Lab &amp; Other HPS'!$BH$14:$BH$113=BJ13)*('C19RM 2021-Lab &amp; Other HPS'!$BO$14:$BO$113)*(('C19RM 2021-Lab &amp; Other HPS'!$R$14:$R$113)))),IF((INDEX(SETUP!$G$19:$G$503,(MATCH(1,(SETUP!$B$19:$B$503=B13)*(SETUP!$D$19:$D$503=D13),0))))=3,(SUMPRODUCT(('C19RM 2021-Lab &amp; Other HPS'!$A$14:$D$113=E13)*('C19RM 2021-Lab &amp; Other HPS'!$BH$14:$BH$113=BJ13)*('C19RM 2021-Lab &amp; Other HPS'!$BO$14:$BO$113)*(('C19RM 2021-Lab &amp; Other HPS'!$S$14:$S$113)))),IF((INDEX(SETUP!$G$19:$G$503,(MATCH(1,(SETUP!$B$19:$B$503=B13)*(SETUP!$D$19:$D$503=D13),0))))=2,((SUMPRODUCT(('C19RM 2021-Lab &amp; Other HPS'!$A$14:$D$113=E13)*('C19RM 2021-Lab &amp; Other HPS'!$BH$14:$BH$113=BJ13)*('C19RM 2021-Lab &amp; Other HPS'!$BO$14:$BO$113)*(('C19RM 2021-Lab &amp; Other HPS'!$T$14:$T$113))))),IF((INDEX(SETUP!$G$19:$G$503,(MATCH(1,(SETUP!$B$19:$B$503=B13)*(SETUP!$D$19:$D$503=D13),0))))=1,(SUMPRODUCT(('C19RM 2021-Lab &amp; Other HPS'!$A$14:$D$113=E13)*('C19RM 2021-Lab &amp; Other HPS'!$BH$14:$BH$113=BJ13)*('C19RM 2021-Lab &amp; Other HPS'!$BP$14:$BP$113)*(('C19RM 2021-Lab &amp; Other HPS'!$X$14:$X$113)))),0)))),0)))</f>
        <v>0</v>
      </c>
      <c r="X13" s="359" cm="1">
        <f t="array" ref="X13">IF((INDEX(SETUP!$F$19:$F$503,(MATCH(1,(SETUP!$B$19:$B$503=B13)*(SETUP!$D$19:$D$503=D13),0))))="Upfront",(SUMPRODUCT(('C19RM 2021-Lab &amp; Other HPS'!$A$14:$D$113=E13)*('C19RM 2021-Lab &amp; Other HPS'!$BH$14:$BH$113=BJ13)*('C19RM 2021-Lab &amp; Other HPS'!$BP$14:$BP$113)*(('C19RM 2021-Lab &amp; Other HPS'!$Z$14:$Z$113)))),(IF((INDEX(SETUP!$F$19:$F$503,(MATCH(1,(SETUP!$B$19:$B$503=B13)*(SETUP!$D$19:$D$503=D13),0))))="At delivery",IF((INDEX(SETUP!$G$19:$G$503,(MATCH(1,(SETUP!$B$19:$B$503=B13)*(SETUP!$D$19:$D$503=D13),0))))=4,(SUMPRODUCT(('C19RM 2021-Lab &amp; Other HPS'!$A$14:$D$113=E13)*('C19RM 2021-Lab &amp; Other HPS'!$BH$14:$BH$113=BJ13)*('C19RM 2021-Lab &amp; Other HPS'!$BO$14:$BO$113)*(('C19RM 2021-Lab &amp; Other HPS'!$S$14:$S$113)))),IF((INDEX(SETUP!$G$19:$G$503,(MATCH(1,(SETUP!$B$19:$B$503=B13)*(SETUP!$D$19:$D$503=D13),0))))=3,((SUMPRODUCT(('C19RM 2021-Lab &amp; Other HPS'!$A$14:$D$113=E13)*('C19RM 2021-Lab &amp; Other HPS'!$BH$14:$BH$113=BJ13)*('C19RM 2021-Lab &amp; Other HPS'!$BO$14:$BO$113)*(('C19RM 2021-Lab &amp; Other HPS'!$T$14:$T$113))))),IF((INDEX(SETUP!$G$19:$G$503,(MATCH(1,(SETUP!$B$19:$B$503=B13)*(SETUP!$D$19:$D$503=D13),0))))=2,(SUMPRODUCT(('C19RM 2021-Lab &amp; Other HPS'!$A$14:$D$113=E13)*('C19RM 2021-Lab &amp; Other HPS'!$BH$14:$BH$113=BJ13)*('C19RM 2021-Lab &amp; Other HPS'!$BP$14:$BP$113)*(('C19RM 2021-Lab &amp; Other HPS'!$X$14:$X$113)))),IF((INDEX(SETUP!$G$19:$G$503,(MATCH(1,(SETUP!$B$19:$B$503=B13)*(SETUP!$D$19:$D$503=D13),0))))=1,(SUMPRODUCT(('C19RM 2021-Lab &amp; Other HPS'!$A$14:$D$113=E13)*('C19RM 2021-Lab &amp; Other HPS'!$BH$14:$BH$113=BJ13)*('C19RM 2021-Lab &amp; Other HPS'!$BP$14:$BP$113)*(('C19RM 2021-Lab &amp; Other HPS'!$Y$14:$Y$113)))),0)))),0)))</f>
        <v>0</v>
      </c>
      <c r="Y13" s="359" cm="1">
        <f t="array" ref="Y13">IF((INDEX(SETUP!$F$19:$F$503,(MATCH(1,(SETUP!$B$19:$B$503=B13)*(SETUP!$D$19:$D$503=D13),0))))="Upfront",
(SUMPRODUCT(('C19RM 2021-Lab &amp; Other HPS'!$A$14:$D$113=E13)*('C19RM 2021-Lab &amp; Other HPS'!$BH$14:$BH$113=BJ13)*('C19RM 2021-Lab &amp; Other HPS'!$BP$14:$BP$113)*(('C19RM 2021-Lab &amp; Other HPS'!$AA$14:$AA$113)))),
(IF((INDEX(SETUP!$F$19:$F$503,(MATCH(1,(SETUP!$B$19:$B$503=B13)*(SETUP!$D$19:$D$503=D13),0))))="At delivery",
IF((INDEX(SETUP!$G$19:$G$503,(MATCH(1,(SETUP!$B$19:$B$503=B13)*(SETUP!$D$19:$D$503=D13),0))))=4,
((SUMPRODUCT(('C19RM 2021-Lab &amp; Other HPS'!$A$14:$D$113=E13)*('C19RM 2021-Lab &amp; Other HPS'!$BH$14:$BH$113=BJ13)*('C19RM 2021-Lab &amp; Other HPS'!$BO$14:$BO$113)*(('C19RM 2021-Lab &amp; Other HPS'!$T$14:$T$113))))),IF((INDEX(SETUP!$G$19:$G$503,(MATCH(1,(SETUP!$B$19:$B$503=B13)*(SETUP!$D$19:$D$503=D13),0))))=3,(SUMPRODUCT(('C19RM 2021-Lab &amp; Other HPS'!$A$14:$D$113=E13)*('C19RM 2021-Lab &amp; Other HPS'!$BH$14:$BH$113=BJ13)*('C19RM 2021-Lab &amp; Other HPS'!$BP$14:$BP$113)*(('C19RM 2021-Lab &amp; Other HPS'!$X$14:$X$113)))),IF((INDEX(SETUP!$G$19:$G$503,(MATCH(1,(SETUP!$B$19:$B$503=B13)*(SETUP!$D$19:$D$503=D13),0))))=2,(SUMPRODUCT(('C19RM 2021-Lab &amp; Other HPS'!$A$14:$D$113=E13)*('C19RM 2021-Lab &amp; Other HPS'!$BH$14:$BH$113=BJ13)*('C19RM 2021-Lab &amp; Other HPS'!$BP$14:$BP$113)*(('C19RM 2021-Lab &amp; Other HPS'!$Y$14:$Y$113)))),IF((INDEX(SETUP!$G$19:$G$503,(MATCH(1,(SETUP!$B$19:$B$503=B13)*(SETUP!$D$19:$D$503=D13),0))))=1,(SUMPRODUCT(('C19RM 2021-Lab &amp; Other HPS'!$A$14:$D$113=E13)*('C19RM 2021-Lab &amp; Other HPS'!$BH$14:$BH$113=BJ13)*('C19RM 2021-Lab &amp; Other HPS'!$BP$14:$BP$113)*(('C19RM 2021-Lab &amp; Other HPS'!$Z$14:$Z$113)))),0)))),0)))</f>
        <v>0</v>
      </c>
      <c r="Z13" s="359" cm="1">
        <f t="array" ref="Z13">IF((INDEX(SETUP!$F$19:$F$503,(MATCH(1,(SETUP!$B$19:$B$503=B13)*(SETUP!$D$19:$D$503=D13),0))))="Upfront",(SUMPRODUCT(('C19RM 2021-Lab &amp; Other HPS'!$A$14:$D$113=E13)*('C19RM 2021-Lab &amp; Other HPS'!$BH$14:$BH$113=BJ13)*('C19RM 2021-Lab &amp; Other HPS'!$BQ$14:$BQ$113)*(('C19RM 2021-Lab &amp; Other HPS'!$AE$14:$AE$113)))),(IF((INDEX(SETUP!$F$19:$F$503,(MATCH(1,(SETUP!$B$19:$B$503=B13)*(SETUP!$D$19:$D$503=D13),0))))="At delivery",IF((INDEX(SETUP!$G$19:$G$503,(MATCH(1,(SETUP!$B$19:$B$503=B13)*(SETUP!$D$19:$D$503=D13),0))))=4,(SUMPRODUCT(('C19RM 2021-Lab &amp; Other HPS'!$A$14:$D$113=E13)*('C19RM 2021-Lab &amp; Other HPS'!$BH$14:$BH$113=BJ13)*('C19RM 2021-Lab &amp; Other HPS'!$BP$14:$BP$113)*(('C19RM 2021-Lab &amp; Other HPS'!$X$14:$X$113)))),IF((INDEX(SETUP!$G$19:$G$503,(MATCH(1,(SETUP!$B$19:$B$503=B13)*(SETUP!$D$19:$D$503=D13),0))))=3,(SUMPRODUCT(('C19RM 2021-Lab &amp; Other HPS'!$A$14:$D$113=E13)*('C19RM 2021-Lab &amp; Other HPS'!$BH$14:$BH$113=BJ13)*('C19RM 2021-Lab &amp; Other HPS'!$BP$14:$BP$113)*(('C19RM 2021-Lab &amp; Other HPS'!$Y$14:$Y$113)))),IF((INDEX(SETUP!$G$19:$G$503,(MATCH(1,(SETUP!$B$19:$B$503=B13)*(SETUP!$D$19:$D$503=D13),0))))=2,(SUMPRODUCT(('C19RM 2021-Lab &amp; Other HPS'!$A$14:$D$113=E13)*('C19RM 2021-Lab &amp; Other HPS'!$BH$14:$BH$113=BJ13)*('C19RM 2021-Lab &amp; Other HPS'!$BP$14:$BP$113)*(('C19RM 2021-Lab &amp; Other HPS'!$Z$14:$Z$113)))),IF((INDEX(SETUP!$G$19:$G$503,(MATCH(1,(SETUP!$B$19:$B$503=B13)*(SETUP!$D$19:$D$503=D13),0))))=1,(SUMPRODUCT(('C19RM 2021-Lab &amp; Other HPS'!$A$14:$D$113=E13)*('C19RM 2021-Lab &amp; Other HPS'!$BH$14:$BH$113=BJ13)*('C19RM 2021-Lab &amp; Other HPS'!$BP$14:$BP$113)*(('C19RM 2021-Lab &amp; Other HPS'!$AA$14:$AA$113)))),0)))),0)))</f>
        <v>0</v>
      </c>
      <c r="AA13" s="359" cm="1">
        <f t="array" ref="AA13">IF((INDEX(SETUP!$F$19:$F$503,(MATCH(1,(SETUP!$B$19:$B$503=B13)*(SETUP!$D$19:$D$503=D13),0))))="Upfront",(SUMPRODUCT(('C19RM 2021-Lab &amp; Other HPS'!$A$14:$D$113=E13)*('C19RM 2021-Lab &amp; Other HPS'!$BH$14:$BH$113=BJ13)*('C19RM 2021-Lab &amp; Other HPS'!$BQ$14:$BQ$113)*(('C19RM 2021-Lab &amp; Other HPS'!$AF$14:$AF$113)))),(IF((INDEX(SETUP!$F$19:$F$503,(MATCH(1,(SETUP!$B$19:$B$503=B13)*(SETUP!$D$19:$D$503=D13),0))))="At delivery",IF((INDEX(SETUP!$G$19:$G$503,(MATCH(1,(SETUP!$B$19:$B$503=B13)*(SETUP!$D$19:$D$503=D13),0))))=4,(SUMPRODUCT(('C19RM 2021-Lab &amp; Other HPS'!$A$14:$D$113=E13)*('C19RM 2021-Lab &amp; Other HPS'!$BH$14:$BH$113=BJ13)*('C19RM 2021-Lab &amp; Other HPS'!$BP$14:$BP$113)*(('C19RM 2021-Lab &amp; Other HPS'!$Y$14:$Y$113)))),IF((INDEX(SETUP!$G$19:$G$503,(MATCH(1,(SETUP!$B$19:$B$503=B13)*(SETUP!$D$19:$D$503=D13),0))))=3,(SUMPRODUCT(('C19RM 2021-Lab &amp; Other HPS'!$A$14:$D$113=E13)*('C19RM 2021-Lab &amp; Other HPS'!$BH$14:$BH$113=BJ13)*('C19RM 2021-Lab &amp; Other HPS'!$BP$14:$BP$113)*(('C19RM 2021-Lab &amp; Other HPS'!$Z$14:$Z$113)))),IF((INDEX(SETUP!$G$19:$G$503,(MATCH(1,(SETUP!$B$19:$B$503=B13)*(SETUP!$D$19:$D$503=D13),0))))=2,((SUMPRODUCT(('C19RM 2021-Lab &amp; Other HPS'!$A$14:$D$113=E13)*('C19RM 2021-Lab &amp; Other HPS'!$BH$14:$BH$113=BJ13)*('C19RM 2021-Lab &amp; Other HPS'!$BP$14:$BP$113)*(('C19RM 2021-Lab &amp; Other HPS'!$AA$14:$AA$113))))),IF((INDEX(SETUP!$G$19:$G$503,(MATCH(1,(SETUP!$B$19:$B$503=B13)*(SETUP!$D$19:$D$503=D13),0))))=1,(SUMPRODUCT(('C19RM 2021-Lab &amp; Other HPS'!$A$14:$D$113=E13)*('C19RM 2021-Lab &amp; Other HPS'!$BH$14:$BH$113=BJ13)*('C19RM 2021-Lab &amp; Other HPS'!$BQ$14:$BQ$113)*(('C19RM 2021-Lab &amp; Other HPS'!$AE$14:$AE$113)))),0)))),0)))</f>
        <v>0</v>
      </c>
      <c r="AB13" s="359" cm="1">
        <f t="array" ref="AB13">IF((INDEX(SETUP!$F$19:$F$503,(MATCH(1,(SETUP!$B$19:$B$503=B13)*(SETUP!$D$19:$D$503=D13),0))))="Upfront",
(SUMPRODUCT(('C19RM 2021-Lab &amp; Other HPS'!$A$14:$D$113=E13)*('C19RM 2021-Lab &amp; Other HPS'!$BH$14:$BH$113=BJ13)*('C19RM 2021-Lab &amp; Other HPS'!$BQ$14:$BQ$113)*(('C19RM 2021-Lab &amp; Other HPS'!$AG$14:$AG$113)))),
(IF((INDEX(SETUP!$F$19:$F$503,(MATCH(1,(SETUP!$B$19:$B$503=B13)*(SETUP!$D$19:$D$503=D13),0))))="At delivery",
IF((INDEX(SETUP!$G$19:$G$503,(MATCH(1,(SETUP!$B$19:$B$503=B13)*(SETUP!$D$19:$D$503=D13),0))))=4,
(SUMPRODUCT(('C19RM 2021-Lab &amp; Other HPS'!$A$14:$D$113=E13)*('C19RM 2021-Lab &amp; Other HPS'!$BH$14:$BH$113=BJ13)*('C19RM 2021-Lab &amp; Other HPS'!$BP$14:$BP$113)*(('C19RM 2021-Lab &amp; Other HPS'!$Z$14:$Z$113)))),IF((INDEX(SETUP!$G$19:$G$503,(MATCH(1,(SETUP!$B$19:$B$503=B13)*(SETUP!$D$19:$D$503=D13),0))))=3,(SUMPRODUCT(('C19RM 2021-Lab &amp; Other HPS'!$A$14:$D$113=E13)*('C19RM 2021-Lab &amp; Other HPS'!$BH$14:$BH$113=BJ13)*('C19RM 2021-Lab &amp; Other HPS'!$BP$14:$BP$113)*(('C19RM 2021-Lab &amp; Other HPS'!$AA$14:$AA$113)))),IF((INDEX(SETUP!$G$19:$G$503,(MATCH(1,(SETUP!$B$19:$B$503=B13)*(SETUP!$D$19:$D$503=D13),0))))=2,(SUMPRODUCT(('C19RM 2021-Lab &amp; Other HPS'!$A$14:$D$113=E13)*('C19RM 2021-Lab &amp; Other HPS'!$BH$14:$BH$113=BJ13)*('C19RM 2021-Lab &amp; Other HPS'!$BQ$14:$BQ$113)*(('C19RM 2021-Lab &amp; Other HPS'!$AE$14:$AE$113)))),IF((INDEX(SETUP!$G$19:$G$503,(MATCH(1,(SETUP!$B$19:$B$503=B13)*(SETUP!$D$19:$D$503=D13),0))))=1,(SUMPRODUCT(('C19RM 2021-Lab &amp; Other HPS'!$A$14:$D$113=E13)*('C19RM 2021-Lab &amp; Other HPS'!$BH$14:$BH$113=BJ13)*('C19RM 2021-Lab &amp; Other HPS'!$BQ$14:$BQ$113)*(('C19RM 2021-Lab &amp; Other HPS'!$AF$14:$AF$113)))),0)))),0)))</f>
        <v>0</v>
      </c>
      <c r="AC13" s="359" cm="1">
        <f t="array" ref="AC13">IF((INDEX(SETUP!$F$19:$F$503,(MATCH(1,(SETUP!$B$19:$B$503=B13)*(SETUP!$D$19:$D$503=D13),0))))="Upfront",
(SUMPRODUCT(('C19RM 2021-Lab &amp; Other HPS'!$A$14:$D$113=E13)*('C19RM 2021-Lab &amp; Other HPS'!$BH$14:$BH$113=BJ13)*('C19RM 2021-Lab &amp; Other HPS'!$BQ$14:$BQ$113)*(('C19RM 2021-Lab &amp; Other HPS'!$AH$14:$AH$113)))),
(IF((INDEX(SETUP!$F$19:$F$503,(MATCH(1,(SETUP!$B$19:$B$503=B13)*(SETUP!$D$19:$D$503=D13),0))))="At delivery",
IF((INDEX(SETUP!$G$19:$G$503,(MATCH(1,(SETUP!$B$19:$B$503=B13)*(SETUP!$D$19:$D$503=D13),0))))=4,
(SUMPRODUCT(('C19RM 2021-Lab &amp; Other HPS'!$A$14:$D$113=E13)*('C19RM 2021-Lab &amp; Other HPS'!$BH$14:$BH$113=BJ13)*('C19RM 2021-Lab &amp; Other HPS'!$BP$14:$BP$113)*(('C19RM 2021-Lab &amp; Other HPS'!$AA$14:$AA$113)))),IF((INDEX(SETUP!$G$19:$G$503,(MATCH(1,(SETUP!$B$19:$B$503=B13)*(SETUP!$D$19:$D$503=D13),0))))=3,(SUMPRODUCT(('C19RM 2021-Lab &amp; Other HPS'!$A$14:$D$113=E13)*('C19RM 2021-Lab &amp; Other HPS'!$BH$14:$BH$113=BJ13)*('C19RM 2021-Lab &amp; Other HPS'!$BQ$14:$BQ$113)*(('C19RM 2021-Lab &amp; Other HPS'!$AE$14:$AE$113)))),IF((INDEX(SETUP!$G$19:$G$503,(MATCH(1,(SETUP!$B$19:$B$503=B13)*(SETUP!$D$19:$D$503=D13),0))))=2,(SUMPRODUCT(('C19RM 2021-Lab &amp; Other HPS'!$A$14:$D$113=E13)*('C19RM 2021-Lab &amp; Other HPS'!$BH$14:$BH$113=BJ13)*('C19RM 2021-Lab &amp; Other HPS'!$BQ$14:$BQ$113)*(('C19RM 2021-Lab &amp; Other HPS'!$AF$14:$AF$113)))),IF((INDEX(SETUP!$G$19:$G$503,(MATCH(1,(SETUP!$B$19:$B$503=B13)*(SETUP!$D$19:$D$503=D13),0))))=1,(SUMPRODUCT(('C19RM 2021-Lab &amp; Other HPS'!$A$14:$D$113=E13)*('C19RM 2021-Lab &amp; Other HPS'!$BH$14:$BH$113=BJ13)*('C19RM 2021-Lab &amp; Other HPS'!$BQ$14:$BQ$113)*(('C19RM 2021-Lab &amp; Other HPS'!$AG$14:$AG$113)))),0)))),0)))</f>
        <v>0</v>
      </c>
      <c r="AD13" s="359" cm="1">
        <f t="array" ref="AD13">IF((INDEX(SETUP!$F$19:$F$503,(MATCH(1,(SETUP!$B$19:$B$503=B13)*(SETUP!$D$19:$D$503=D13),0))))="Upfront",
(SUMPRODUCT(('C19RM 2021-Lab &amp; Other HPS'!$A$14:$D$113=E13)*('C19RM 2021-Lab &amp; Other HPS'!$BH$14:$BH$113=BJ13)*('C19RM 2021-Lab &amp; Other HPS'!$BR$14:$BR$113)*(('C19RM 2021-Lab &amp; Other HPS'!$AL$14:$AL$113)))),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HPS'!$AE$14:$AE$113)))),IF((INDEX(SETUP!$G$19:$G$503,(MATCH(1,(SETUP!$B$19:$B$503=B13)*(SETUP!$D$19:$D$503=D13),0))))=3,((SUMPRODUCT(('C19RM 2021-Lab &amp; Other HPS'!$A$14:$D$113=E13)*('C19RM 2021-Lab &amp; Other HPS'!$BH$14:$BH$113=BJ13)*('C19RM 2021-Lab &amp; Other HPS'!$BQ$14:$BQ$113)*(('C19RM 2021-Lab &amp; Other HPS'!$AF$14:$AF$113))))),IF((INDEX(SETUP!$G$19:$G$503,(MATCH(1,(SETUP!$B$19:$B$503=B13)*(SETUP!$D$19:$D$503=D13),0))))=2,(SUMPRODUCT(('C19RM 2021-Lab &amp; Other HPS'!$A$14:$D$113=E13)*('C19RM 2021-Lab &amp; Other HPS'!$BH$14:$BH$113=BJ13)*('C19RM 2021-Lab &amp; Other HPS'!$BQ$14:$BQ$113)*(('C19RM 2021-Lab &amp; Other HPS'!$AG$14:$AG$113)))),IF((INDEX(SETUP!$G$19:$G$503,(MATCH(1,(SETUP!$B$19:$B$503=B13)*(SETUP!$D$19:$D$503=D13),0))))=1,(SUMPRODUCT(('C19RM 2021-Lab &amp; Other HPS'!$A$14:$D$113=E13)*('C19RM 2021-Lab &amp; Other HPS'!$BH$14:$BH$113=BJ13)*('C19RM 2021-Lab &amp; Other HPS'!$BQ$14:$BQ$113)*(('C19RM 2021-Lab &amp; Other HPS'!$AH$14:$AH$113)))),0)))),0)))</f>
        <v>0</v>
      </c>
      <c r="AE13" s="359" cm="1">
        <f t="array" ref="AE13">IF((INDEX(SETUP!$F$19:$F$503,(MATCH(1,(SETUP!$B$19:$B$503=B13)*(SETUP!$D$19:$D$503=D13),0))))="Upfront",
(SUMPRODUCT(('C19RM 2021-Lab &amp; Other HPS'!$A$14:$D$113=E13)*('C19RM 2021-Lab &amp; Other HPS'!$BH$14:$BH$113=BJ13)*('C19RM 2021-Lab &amp; Other HPS'!$BR$14:$BR$113)*(('C19RM 2021-Lab &amp; Other HPS'!$AM$14:$AM$113)))),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HPS'!$AF$14:$AF$113)))),IF((INDEX(SETUP!$G$19:$G$503,(MATCH(1,(SETUP!$B$19:$B$503=B13)*(SETUP!$D$19:$D$503=D13),0))))=3,(SUMPRODUCT(('C19RM 2021-Lab &amp; Other HPS'!$A$14:$D$113=E13)*('C19RM 2021-Lab &amp; Other HPS'!$BH$14:$BH$113=BJ13)*('C19RM 2021-Lab &amp; Other HPS'!$BQ$14:$BQ$113)*(('C19RM 2021-Lab &amp; Other HPS'!$AG$14:$AG$113)))),IF((INDEX(SETUP!$G$19:$G$503,(MATCH(1,(SETUP!$B$19:$B$503=B13)*(SETUP!$D$19:$D$503=D13),0))))=2,(SUMPRODUCT(('C19RM 2021-Lab &amp; Other HPS'!$A$14:$D$113=E13)*('C19RM 2021-Lab &amp; Other HPS'!$BH$14:$BH$113=BJ13)*('C19RM 2021-Lab &amp; Other HPS'!$BQ$14:$BQ$113)*(('C19RM 2021-Lab &amp; Other HPS'!$AH$14:$AH$113)))),IF((INDEX(SETUP!$G$19:$G$503,(MATCH(1,(SETUP!$B$19:$B$503=B13)*(SETUP!$D$19:$D$503=D13),0))))=1,(SUMPRODUCT(('C19RM 2021-Lab &amp; Other HPS'!$A$14:$D$113=E13)*('C19RM 2021-Lab &amp; Other HPS'!$BH$14:$BH$113=BJ13)*('C19RM 2021-Lab &amp; Other HPS'!$BR$14:$BR$113)*(('C19RM 2021-Lab &amp; Other HPS'!$AL$14:$AL$113)))),0)))),0)))</f>
        <v>0</v>
      </c>
      <c r="AF13" s="359" cm="1">
        <f t="array" ref="AF13">IF((INDEX(SETUP!$F$19:$F$503,(MATCH(1,(SETUP!$B$19:$B$503=B13)*(SETUP!$D$19:$D$503=D13),0))))="Upfront",
(SUMPRODUCT(('C19RM 2021-Lab &amp; Other HPS'!$A$14:$D$113=E13)*('C19RM 2021-Lab &amp; Other HPS'!$BH$14:$BH$113=BJ13)*('C19RM 2021-Lab &amp; Other HPS'!$BR$14:$BR$113)*(('C19RM 2021-Lab &amp; Other HPS'!$AN$14:$AN$113)))),
(IF((INDEX(SETUP!$F$19:$F$503,(MATCH(1,(SETUP!$B$19:$B$503=B13)*(SETUP!$D$19:$D$503=D13),0))))="At delivery",
IF((INDEX(SETUP!$G$19:$G$503,(MATCH(1,(SETUP!$B$19:$B$503=B13)*(SETUP!$D$19:$D$503=D13),0))))=4,
(SUMPRODUCT(('C19RM 2021-Lab &amp; Other HPS'!$A$14:$D$113=E13)*('C19RM 2021-Lab &amp; Other HPS'!$BH$14:$BH$113=BJ13)*('C19RM 2021-Lab &amp; Other HPS'!$BQ$14:$BQ$113)*(('C19RM 2021-Lab &amp; Other HPS'!$AG$14:$AG$113)))),IF((INDEX(SETUP!$G$19:$G$503,(MATCH(1,(SETUP!$B$19:$B$503=B13)*(SETUP!$D$19:$D$503=D13),0))))=3,(SUMPRODUCT(('C19RM 2021-Lab &amp; Other HPS'!$A$14:$D$113=E13)*('C19RM 2021-Lab &amp; Other HPS'!$BH$14:$BH$113=BJ13)*('C19RM 2021-Lab &amp; Other HPS'!$BQ$14:$BQ$113)*(('C19RM 2021-Lab &amp; Other HPS'!$AH$14:$AH$113)))),IF((INDEX(SETUP!$G$19:$G$503,(MATCH(1,(SETUP!$B$19:$B$503=B13)*(SETUP!$D$19:$D$503=D13),0))))=2,(SUMPRODUCT(('C19RM 2021-Lab &amp; Other HPS'!$A$14:$D$113=E13)*('C19RM 2021-Lab &amp; Other HPS'!$BH$14:$BH$113=BJ13)*('C19RM 2021-Lab &amp; Other HPS'!$BR$14:$BR$113)*(('C19RM 2021-Lab &amp; Other HPS'!$AL$14:$AL$113)))),IF((INDEX(SETUP!$G$19:$G$503,(MATCH(1,(SETUP!$B$19:$B$503=B13)*(SETUP!$D$19:$D$503=D13),0))))=1,(SUMPRODUCT(('C19RM 2021-Lab &amp; Other HPS'!$A$14:$D$113=E13)*('C19RM 2021-Lab &amp; Other HPS'!$BH$14:$BH$113=BJ13)*('C19RM 2021-Lab &amp; Other HPS'!$BR$14:$BR$113)*(('C19RM 2021-Lab &amp; Other HPS'!$AM$14:$AM$113)))),0)))),0)))</f>
        <v>0</v>
      </c>
      <c r="AG13" s="359" cm="1">
        <f t="array" ref="AG13">IF((INDEX(SETUP!$F$19:$F$503,(MATCH(1,(SETUP!$B$19:$B$503=B13)*(SETUP!$D$19:$D$503=D13),0))))="Upfront",(SUMPRODUCT(('C19RM 2021-Lab &amp; Other HPS'!$A$14:$D$113=E13)*('C19RM 2021-Lab &amp; Other HPS'!$BH$14:$BH$113=BJ13)*('C19RM 2021-Lab &amp; Other HPS'!$BR$14:$BR$113)*(('C19RM 2021-Lab &amp; Other HPS'!$AO$14:$AO$113)))),(IF((INDEX(SETUP!$F$19:$F$503,(MATCH(1,(SETUP!$B$19:$B$503=B13)*(SETUP!$D$19:$D$503=D13),0))))="At delivery",IF((INDEX(SETUP!$G$19:$G$503,(MATCH(1,(SETUP!$B$19:$B$503=B13)*(SETUP!$D$19:$D$503=D13),0))))=4,(SUMPRODUCT(('C19RM 2021-Lab &amp; Other HPS'!$A$14:$D$113=E13)*('C19RM 2021-Lab &amp; Other HPS'!$BH$14:$BH$113=BJ13)*('C19RM 2021-Lab &amp; Other HPS'!$BQ$14:$BQ$113)*(('C19RM 2021-Lab &amp; Other HPS'!$AH$14:$AH$113)))),IF((INDEX(SETUP!$G$19:$G$503,(MATCH(1,(SETUP!$B$19:$B$503=B13)*(SETUP!$D$19:$D$503=D13),0))))=3,(SUMPRODUCT(('C19RM 2021-Lab &amp; Other HPS'!$A$14:$D$113=E13)*('C19RM 2021-Lab &amp; Other HPS'!$BH$14:$BH$113=BJ13)*('C19RM 2021-Lab &amp; Other HPS'!$BR$14:$BR$113)*(('C19RM 2021-Lab &amp; Other HPS'!$AL$14:$AL$113)))),IF((INDEX(SETUP!$G$19:$G$503,(MATCH(1,(SETUP!$B$19:$B$503=B13)*(SETUP!$D$19:$D$503=D13),0))))=2,(SUMPRODUCT(('C19RM 2021-Lab &amp; Other HPS'!$A$14:$D$113=E13)*('C19RM 2021-Lab &amp; Other HPS'!$BH$14:$BH$113=BJ13)*('C19RM 2021-Lab &amp; Other HPS'!$BR$14:$BR$113)*(('C19RM 2021-Lab &amp; Other HPS'!$AM$14:$AM$113)))),IF((INDEX(SETUP!$G$19:$G$503,(MATCH(1,(SETUP!$B$19:$B$503=B13)*(SETUP!$D$19:$D$503=D13),0))))=1,(SUMPRODUCT(('C19RM 2021-Lab &amp; Other HPS'!$A$14:$D$113=E13)*('C19RM 2021-Lab &amp; Other HPS'!$BH$14:$BH$113=BJ13)*('C19RM 2021-Lab &amp; Other HPS'!$BR$14:$BR$113)*(('C19RM 2021-Lab &amp; Other HPS'!$AN$14:$AN$113)))),0)))),0)))</f>
        <v>0</v>
      </c>
      <c r="AH13" s="359" cm="1">
        <f t="array" ref="AH13">IF((INDEX(SETUP!$F$19:$F$503,(MATCH(1,(SETUP!$B$19:$B$503=B13)*(SETUP!$D$19:$D$503=D13),0))))="Upfront",
(SUMPRODUCT(('C19RM 2021-Lab &amp; Other HPS'!$A$14:$D$113=E13)*('C19RM 2021-Lab &amp; Other HPS'!$BH$14:$BH$113=BJ13)*('C19RM 2021-Lab &amp; Other HPS'!$BH$14:$BH$113=BJ13)*('C19RM 2021-Lab &amp; Other HPS'!$BS$14:$BS$113)*(('C19RM 2021-Lab &amp; Other HPS'!$AS$14:$AS$113)))),
(IF((INDEX(SETUP!$F$19:$F$503,(MATCH(1,(SETUP!$B$19:$B$503=B13)*(SETUP!$D$19:$D$503=D13),0))))="At delivery",
IF((INDEX(SETUP!$G$19:$G$503,(MATCH(1,(SETUP!$B$19:$B$503=B13)*(SETUP!$D$19:$D$503=D13),0))))=4,
(SUMPRODUCT(('C19RM 2021-Lab &amp; Other HPS'!$A$14:$D$113=E13)*('C19RM 2021-Lab &amp; Other HPS'!$BH$14:$BH$113=BJ13)*('C19RM 2021-Lab &amp; Other HPS'!$BH$14:$BH$113=BJ13)*('C19RM 2021-Lab &amp; Other HPS'!$BR$14:$BR$113)*(('C19RM 2021-Lab &amp; Other HPS'!$AL$14:$AL$113)))),IF((INDEX(SETUP!$G$19:$G$503,(MATCH(1,(SETUP!$B$19:$B$503=B13)*(SETUP!$D$19:$D$503=D13),0))))=3,((SUMPRODUCT(('C19RM 2021-Lab &amp; Other HPS'!$A$14:$D$113=E13)*('C19RM 2021-Lab &amp; Other HPS'!$BH$14:$BH$113=BJ13)*('C19RM 2021-Lab &amp; Other HPS'!$BH$14:$BH$113=BJ13)*('C19RM 2021-Lab &amp; Other HPS'!$BR$14:$BR$113)*(('C19RM 2021-Lab &amp; Other HPS'!$AM$14:$AM$113))))),IF((INDEX(SETUP!$G$19:$G$503,(MATCH(1,(SETUP!$B$19:$B$503=B13)*(SETUP!$D$19:$D$503=D13),0))))=2,(SUMPRODUCT(('C19RM 2021-Lab &amp; Other HPS'!$A$14:$D$113=E13)*('C19RM 2021-Lab &amp; Other HPS'!$BH$14:$BH$113=BJ13)*('C19RM 2021-Lab &amp; Other HPS'!$BR$14:$BR$113)*(('C19RM 2021-Lab &amp; Other HPS'!$AN$14:$AN$113)))),IF((INDEX(SETUP!$G$19:$G$503,(MATCH(1,(SETUP!$B$19:$B$503=B13)*(SETUP!$D$19:$D$503=D13),0))))=1,(SUMPRODUCT(('C19RM 2021-Lab &amp; Other HPS'!$A$14:$D$113=E13)*('C19RM 2021-Lab &amp; Other HPS'!$BH$14:$BH$113=BJ13)*('C19RM 2021-Lab &amp; Other HPS'!$BR$14:$BR$113)*(('C19RM 2021-Lab &amp; Other HPS'!$AO$14:$AO$113)))),0)))),0)))</f>
        <v>0</v>
      </c>
      <c r="AI13" s="359" cm="1">
        <f t="array" ref="AI13">IF((INDEX(SETUP!$F$19:$F$503,(MATCH(1,(SETUP!$B$19:$B$503=B13)*(SETUP!$D$19:$D$503=D13),0))))="Upfront",
(SUMPRODUCT(('C19RM 2021-Lab &amp; Other HPS'!$A$14:$D$113=E13)*('C19RM 2021-Lab &amp; Other HPS'!$BH$14:$BH$113=BJ13)*('C19RM 2021-Lab &amp; Other HPS'!$BS$14:$BS$113)*(('C19RM 2021-Lab &amp; Other HPS'!$AT$14:$AT$113)))),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HPS'!$AM$14:$AM$113)))),IF((INDEX(SETUP!$G$19:$G$503,(MATCH(1,(SETUP!$B$19:$B$503=B13)*(SETUP!$D$19:$D$503=D13),0))))=3,((SUMPRODUCT(('C19RM 2021-Lab &amp; Other HPS'!$A$14:$D$113=E13)*('C19RM 2021-Lab &amp; Other HPS'!$BH$14:$BH$113=BJ13)*('C19RM 2021-Lab &amp; Other HPS'!$BR$14:$BR$113)*(('C19RM 2021-Lab &amp; Other HPS'!$AN$14:$AN$113))))),IF((INDEX(SETUP!$G$19:$G$503,(MATCH(1,(SETUP!$B$19:$B$503=B13)*(SETUP!$D$19:$D$503=D13),0))))=2,(SUMPRODUCT(('C19RM 2021-Lab &amp; Other HPS'!$A$14:$D$113=E13)*('C19RM 2021-Lab &amp; Other HPS'!$BH$14:$BH$113=BJ13)*('C19RM 2021-Lab &amp; Other HPS'!$BR$14:$BR$113)*(('C19RM 2021-Lab &amp; Other HPS'!$AO$14:$AO$113)))),IF((INDEX(SETUP!$G$19:$G$503,(MATCH(1,(SETUP!$B$19:$B$503=B13)*(SETUP!$D$19:$D$503=D13),0))))=1,(SUMPRODUCT(('C19RM 2021-Lab &amp; Other HPS'!$A$14:$D$113=E13)*('C19RM 2021-Lab &amp; Other HPS'!$BH$14:$BH$113=BJ13)*('C19RM 2021-Lab &amp; Other HPS'!$BS$14:$BS$113)*(('C19RM 2021-Lab &amp; Other HPS'!$AS$14:$AS$113)))),0)))),0)))</f>
        <v>0</v>
      </c>
      <c r="AJ13" s="359" cm="1">
        <f t="array" ref="AJ13">IF((INDEX(SETUP!$F$19:$F$503,(MATCH(1,(SETUP!$B$19:$B$503=B13)*(SETUP!$D$19:$D$503=D13),0))))="Upfront",
(SUMPRODUCT(('C19RM 2021-Lab &amp; Other HPS'!$A$14:$D$113=E13)*('C19RM 2021-Lab &amp; Other HPS'!$BH$14:$BH$113=BJ13)*('C19RM 2021-Lab &amp; Other HPS'!$BS$14:$BS$113)*(('C19RM 2021-Lab &amp; Other HPS'!$AU$14:$AU$113)))),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HPS'!$AN$14:$AN$113)))),IF((INDEX(SETUP!$G$19:$G$503,(MATCH(1,(SETUP!$B$19:$B$503=B13)*(SETUP!$D$19:$D$503=D13),0))))=3,((SUMPRODUCT(('C19RM 2021-Lab &amp; Other HPS'!$A$14:$D$113=E13)*('C19RM 2021-Lab &amp; Other HPS'!$BH$14:$BH$113=BJ13)*('C19RM 2021-Lab &amp; Other HPS'!$BR$14:$BR$113)*(('C19RM 2021-Lab &amp; Other HPS'!$AO$14:$AO$113))))),IF((INDEX(SETUP!$G$19:$G$503,(MATCH(1,(SETUP!$B$19:$B$503=B13)*(SETUP!$D$19:$D$503=D13),0))))=2,(SUMPRODUCT(('C19RM 2021-Lab &amp; Other HPS'!$A$14:$D$113=E13)*('C19RM 2021-Lab &amp; Other HPS'!$BH$14:$BH$113=BJ13)*('C19RM 2021-Lab &amp; Other HPS'!$BS$14:$BS$113)*(('C19RM 2021-Lab &amp; Other HPS'!$AS$14:$AS$113)))),IF((INDEX(SETUP!$G$19:$G$503,(MATCH(1,(SETUP!$B$19:$B$503=B13)*(SETUP!$D$19:$D$503=D13),0))))=1,(SUMPRODUCT(('C19RM 2021-Lab &amp; Other HPS'!$A$14:$D$113=E13)*('C19RM 2021-Lab &amp; Other HPS'!$BH$14:$BH$113=BJ13)*('C19RM 2021-Lab &amp; Other HPS'!$BS$14:$BS$113)*(('C19RM 2021-Lab &amp; Other HPS'!$AT$14:$AT$113)))),0)))),0)))</f>
        <v>0</v>
      </c>
      <c r="AK13" s="359" cm="1">
        <f t="array" ref="AK13">IF((INDEX(SETUP!$F$19:$F$503,(MATCH(1,(SETUP!$B$19:$B$503=B13)*(SETUP!$D$19:$D$503=D13),0))))="Upfront",
(SUMPRODUCT(('C19RM 2021-Lab &amp; Other HPS'!$A$14:$D$113=E13)*('C19RM 2021-Lab &amp; Other HPS'!$BH$14:$BH$113=BJ13)*('C19RM 2021-Lab &amp; Other HPS'!$BS$14:$BS$113)*(('C19RM 2021-Lab &amp; Other HPS'!$AV$14:$AV$113)))),
(IF((INDEX(SETUP!$F$19:$F$503,(MATCH(1,(SETUP!$B$19:$B$503=B13)*(SETUP!$D$19:$D$503=D13),0))))="At delivery",
IF((INDEX(SETUP!$G$19:$G$503,(MATCH(1,(SETUP!$B$19:$B$503=B13)*(SETUP!$D$19:$D$503=D13),0))))=4,
(SUMPRODUCT(('C19RM 2021-Lab &amp; Other HPS'!$A$14:$D$113=E13)*('C19RM 2021-Lab &amp; Other HPS'!$BH$14:$BH$113=BJ13)*('C19RM 2021-Lab &amp; Other HPS'!$BR$14:$BR$113)*(('C19RM 2021-Lab &amp; Other HPS'!$AO$14:$AO$113)))),IF((INDEX(SETUP!$G$19:$G$503,(MATCH(1,(SETUP!$B$19:$B$503=B13)*(SETUP!$D$19:$D$503=D13),0))))=3,((SUMPRODUCT(('C19RM 2021-Lab &amp; Other HPS'!$A$14:$D$113=E13)*('C19RM 2021-Lab &amp; Other HPS'!$BH$14:$BH$113=BJ13)*('C19RM 2021-Lab &amp; Other HPS'!$BS$14:$BS$113)*(('C19RM 2021-Lab &amp; Other HPS'!$AS$14:$AS$113))))),IF((INDEX(SETUP!$G$19:$G$503,(MATCH(1,(SETUP!$B$19:$B$503=B13)*(SETUP!$D$19:$D$503=D13),0))))=2,(SUMPRODUCT(('C19RM 2021-Lab &amp; Other HPS'!$A$14:$D$113=E13)*('C19RM 2021-Lab &amp; Other HPS'!$BH$14:$BH$113=BJ13)*('C19RM 2021-Lab &amp; Other HPS'!$BS$14:$BS$113)*(('C19RM 2021-Lab &amp; Other HPS'!$AT$14:$AT$113)))),IF((INDEX(SETUP!$G$19:$G$503,(MATCH(1,(SETUP!$B$19:$B$503=B13)*(SETUP!$D$19:$D$503=D13),0))))=1,(SUMPRODUCT(('C19RM 2021-Lab &amp; Other HPS'!$A$14:$D$113=E13)*('C19RM 2021-Lab &amp; Other HPS'!$BH$14:$BH$113=BJ13)*('C19RM 2021-Lab &amp; Other HPS'!$BS$14:$BS$113)*(('C19RM 2021-Lab &amp; Other HPS'!$AU$14:$AU$113)))),0)))),0)))</f>
        <v>0</v>
      </c>
      <c r="AL13" s="359" cm="1">
        <f t="array" ref="AL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HPS'!$AS$14:$AS$113)))),IF((INDEX(SETUP!$G$19:$G$503,(MATCH(1,(SETUP!$B$19:$B$503=B13)*(SETUP!$D$19:$D$503=D13),0))))=3,(SUMPRODUCT(('C19RM 2021-Lab &amp; Other HPS'!$A$14:$D$113=E13)*('C19RM 2021-Lab &amp; Other HPS'!$BH$14:$BH$113=BJ13)*('C19RM 2021-Lab &amp; Other HPS'!$BS$14:$BS$113)*(('C19RM 2021-Lab &amp; Other HPS'!$AT$14:$AT$113)))),IF((INDEX(SETUP!$G$19:$G$503,(MATCH(1,(SETUP!$B$19:$B$503=B13)*(SETUP!$D$19:$D$503=D13),0))))=2,(SUMPRODUCT(('C19RM 2021-Lab &amp; Other HPS'!$A$14:$D$113=E13)*('C19RM 2021-Lab &amp; Other HPS'!$BH$14:$BH$113=BJ13)*('C19RM 2021-Lab &amp; Other HPS'!$BS$14:$BS$113)*(('C19RM 2021-Lab &amp; Other HPS'!$AU$14:$AU$113)))),
IF((INDEX(SETUP!$G$19:$G$503,(MATCH(1,(SETUP!$B$19:$B$503=B13)*(SETUP!$D$19:$D$503=D13),0))))=1,
(SUMPRODUCT(('C19RM 2021-Lab &amp; Other HPS'!$A$14:$D$113=E13)*('C19RM 2021-Lab &amp; Other HPS'!$BH$14:$BH$113=BJ13)*('C19RM 2021-Lab &amp; Other HPS'!$BS$14:$BS$113)*(('C19RM 2021-Lab &amp; Other HPS'!$AV$14:$AV$113)))),0)))),0)))</f>
        <v>0</v>
      </c>
      <c r="AM13" s="359" cm="1">
        <f t="array" ref="AM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HPS'!$AT$14:$AT$113)))),IF((INDEX(SETUP!$G$19:$G$503,(MATCH(1,(SETUP!$B$19:$B$503=B13)*(SETUP!$D$19:$D$503=D13),0))))=3,(SUMPRODUCT(('C19RM 2021-Lab &amp; Other HPS'!$A$14:$D$113=E13)*('C19RM 2021-Lab &amp; Other HPS'!$BH$14:$BH$113=BJ13)*('C19RM 2021-Lab &amp; Other HPS'!$BS$14:$BS$113)*(('C19RM 2021-Lab &amp; Other HPS'!$AU$14:$AU$113)))),IF((INDEX(SETUP!$G$19:$G$503,(MATCH(1,(SETUP!$B$19:$B$503=B13)*(SETUP!$D$19:$D$503=D13),0))))=2,(SUMPRODUCT(('C19RM 2021-Lab &amp; Other HPS'!$A$14:$D$113=E13)*('C19RM 2021-Lab &amp; Other HPS'!$BH$14:$BH$113=BJ13)*('C19RM 2021-Lab &amp; Other HPS'!$BS$14:$BS$113)*(('C19RM 2021-Lab &amp; Other HPS'!$AV$14:$AV$113)))),IF((INDEX(SETUP!$G$19:$G$503,(MATCH(1,(SETUP!$B$19:$B$503=B13)*(SETUP!$D$19:$D$503=D13),0))))=1,(0),0)))),0)))</f>
        <v>0</v>
      </c>
      <c r="AN13" s="359" cm="1">
        <f t="array" ref="AN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HPS'!$AU$14:$AU$113)))),IF((INDEX(SETUP!$G$19:$G$503,(MATCH(1,(SETUP!$B$19:$B$503=B13)*(SETUP!$D$19:$D$503=D13),0))))=3,(SUMPRODUCT(('C19RM 2021-Lab &amp; Other HPS'!$A$14:$D$113=E13)*('C19RM 2021-Lab &amp; Other HPS'!$BH$14:$BH$113=BJ13)*('C19RM 2021-Lab &amp; Other HPS'!$BS$14:$BS$113)*(('C19RM 2021-Lab &amp; Other HPS'!$AV$14:$AV$113)))),IF((INDEX(SETUP!$G$19:$G$503,(MATCH(1,(SETUP!$B$19:$B$503=B13)*(SETUP!$D$19:$D$503=D13),0))))=2,(0),IF((INDEX(SETUP!$G$19:$G$503,(MATCH(1,(SETUP!$B$19:$B$503=B13)*(SETUP!$D$19:$D$503=D13),0))))=1,(0),0)))),0)))</f>
        <v>0</v>
      </c>
      <c r="AO13" s="359" cm="1">
        <f t="array" ref="AO13">IF((INDEX(SETUP!$F$19:$F$503,(MATCH(1,(SETUP!$B$19:$B$503=B13)*(SETUP!$D$19:$D$503=D13),0))))="Upfront",0,(IF((INDEX(SETUP!$F$19:$F$503,(MATCH(1,(SETUP!$B$19:$B$503=B13)*(SETUP!$D$19:$D$503=D13),0))))="At delivery",IF((INDEX(SETUP!$G$19:$G$503,(MATCH(1,(SETUP!$B$19:$B$503=B13)*(SETUP!$D$19:$D$503=D13),0))))=4,(SUMPRODUCT(('C19RM 2021-Lab &amp; Other HPS'!$A$14:$D$113=E13)*('C19RM 2021-Lab &amp; Other HPS'!$BH$14:$BH$113=BJ13)*('C19RM 2021-Lab &amp; Other HPS'!$BS$14:$BS$113)*(('C19RM 2021-Lab &amp; Other HPS'!$AV$14:$AV$113)))),IF((INDEX(SETUP!$G$19:$G$503,(MATCH(1,(SETUP!$B$19:$B$503=B13)*(SETUP!$D$19:$D$503=D13),0))))=3,(0),IF((INDEX(SETUP!$G$19:$G$503,(MATCH(1,(SETUP!$B$19:$B$503=B13)*(SETUP!$D$19:$D$503=D13),0))))=2,(0),IF((INDEX(SETUP!$G$19:$G$503,(MATCH(1,(SETUP!$B$19:$B$503=B13)*(SETUP!$D$19:$D$503=D13),0))))=1,(0),0)))),0)))</f>
        <v>0</v>
      </c>
      <c r="AP13" s="359"/>
      <c r="AQ13" s="359"/>
      <c r="AR13" s="359"/>
      <c r="AS13" s="359"/>
      <c r="AT13" s="359" cm="1">
        <f t="array" ref="AT13">IF(BG13&gt;=1,0,IFERROR(SUMPRODUCT(($R$2:$AO$2=$AT$4)*($E$5:$E$100=E13)*($BC$5:$BC$100=BC13)*($R$5:$AO$100)),0))</f>
        <v>0</v>
      </c>
      <c r="AU13" s="359" cm="1">
        <f t="array" ref="AU13">IF(BG13&gt;=1,0,IFERROR(SUMPRODUCT(($R$2:$AO$2=$AU$4)*($E$5:$E$100=E13)*($BC$5:$BC$100=BC13)*($R$5:$AO$100)),0))</f>
        <v>0</v>
      </c>
      <c r="AV13" s="359" cm="1">
        <f t="array" ref="AV13">IF(BG13&gt;=1,0,IFERROR(SUMPRODUCT(($R$2:$AO$2=$AV$4)*($E$5:$E$100=E13)*($BC$5:$BC$100=BC13)*($R$5:$AO$100)),0))</f>
        <v>0</v>
      </c>
      <c r="AW13" s="359" cm="1">
        <f t="array" ref="AW13">IF(BG13&gt;=1,0,IFERROR(SUMPRODUCT(($R$2:$AO$2=$AW$4)*($E$5:$E$100=E13)*($BC$5:$BC$100=BC13)*($R$5:$AO$100)),0))</f>
        <v>0</v>
      </c>
      <c r="AX13" s="359" cm="1">
        <f t="array" ref="AX13">IF(BG13&gt;=1,0,IFERROR(SUMPRODUCT(($R$2:$AO$2=$AX$4)*($E$5:$E$100=E13)*($BC$5:$BC$100=BC13)*($R$5:$AO$100)),0))</f>
        <v>0</v>
      </c>
      <c r="AY13" s="359">
        <f t="shared" si="5"/>
        <v>0</v>
      </c>
      <c r="AZ13" s="359"/>
      <c r="BA13" s="233">
        <f t="shared" si="6"/>
        <v>0</v>
      </c>
      <c r="BB13" s="220" t="s">
        <v>83</v>
      </c>
      <c r="BC13" t="s">
        <v>182</v>
      </c>
      <c r="BD13" cm="1">
        <f t="array" ref="BD13">(SUMPRODUCT(('C19RM 2021-Lab &amp; Other HPS'!$A$14:$D$650=E13)*('C19RM 2021-Lab &amp; Other HPS'!$BU$14:$BU$650)))</f>
        <v>0</v>
      </c>
      <c r="BE13" cm="1">
        <f t="array" ref="BE13">(SUMPRODUCT((SETUP!$D$20:$D$67=D13)*(SETUP!$R$20:$R$67)))</f>
        <v>0</v>
      </c>
      <c r="BF13" cm="1">
        <f t="array" ref="BF13">(SUMPRODUCT(('C19RM 2021-Lab &amp; Other HPS'!$A$14:$D$650=E13)*('C19RM 2021-Lab &amp; Other HPS'!$BV$14:$BV$650)))</f>
        <v>0</v>
      </c>
      <c r="BG13">
        <f t="shared" si="11"/>
        <v>0</v>
      </c>
      <c r="BJ13" s="235">
        <v>6.5</v>
      </c>
    </row>
    <row r="14" spans="1:62" x14ac:dyDescent="0.35">
      <c r="A14" s="235">
        <v>1</v>
      </c>
      <c r="B14" s="220" t="s">
        <v>2750</v>
      </c>
      <c r="C14" s="235" t="s">
        <v>3192</v>
      </c>
      <c r="D14" s="235" t="s">
        <v>13</v>
      </c>
      <c r="E14" s="235" t="s">
        <v>2755</v>
      </c>
      <c r="F14" s="220">
        <f>SETUP!$E$3</f>
        <v>0</v>
      </c>
      <c r="G14" s="220" t="str">
        <f ca="1">SETUP!$J$5</f>
        <v>NA</v>
      </c>
      <c r="H14" s="220" t="str">
        <f>SETUP!$E$9</f>
        <v>C19RM</v>
      </c>
      <c r="I14" s="232">
        <f t="shared" ref="I14:I44" si="22">IMP_ST_DATE</f>
        <v>44197</v>
      </c>
      <c r="J14" s="232">
        <f>SETUP!$L$14</f>
        <v>46022</v>
      </c>
      <c r="K14" s="220">
        <v>1</v>
      </c>
      <c r="L14">
        <f t="shared" ref="L14:L44" si="23">GRAN_NO</f>
        <v>0</v>
      </c>
      <c r="M14">
        <f>SETUP!$E$7</f>
        <v>0</v>
      </c>
      <c r="N14">
        <f>SETUP!$F$76</f>
        <v>6.1</v>
      </c>
      <c r="O14" t="str" cm="1">
        <f t="array" ref="O14">INDEX(SETUP!$E$19:$E$503,(MATCH(1,(SETUP!$B$19:$B$503=B14)*(SETUP!$D$19:$D$503=D14),0)))</f>
        <v>PR/SR</v>
      </c>
      <c r="P14" t="str" cm="1">
        <f t="array" ref="P14">INDEX(SETUP!$F$19:$F$503,(MATCH(1,(SETUP!$B$19:$B$503=B14)*(SETUP!$D$19:$D$503=D14),0)))</f>
        <v>At delivery</v>
      </c>
      <c r="Q14" cm="1">
        <f t="array" ref="Q14">INDEX(SETUP!$G$19:$G$503,(MATCH(1,(SETUP!$B$19:$B$503=B14)*(SETUP!$D$19:$D$503=D14),0)))</f>
        <v>1</v>
      </c>
      <c r="R14" s="359" cm="1">
        <f t="array" ref="R14">IF((INDEX(SETUP!$F$19:$F$503,(MATCH(1,(SETUP!$B$19:$B$503=B14)*(SETUP!$D$19:$D$503=D14),0))))="Upfront",(SUMPRODUCT(('C19RM 2021-Lab &amp; Other HPS'!$A$14:$D$113=E14)*('C19RM 2021-Lab &amp; Other HPS'!$BH$14:$BH$113=BJ14)*('C19RM 2021-Lab &amp; Other HPS'!$BO$14:$BO$113)*(('C19RM 2021-Lab &amp; Other HPS'!$Q$14:$Q$113)))),0)</f>
        <v>0</v>
      </c>
      <c r="S14" s="359" cm="1">
        <f t="array" ref="S14">IF((INDEX(SETUP!$F$19:$F$503,(MATCH(1,(SETUP!$B$19:$B$503=B14)*(SETUP!$D$19:$D$503=D14),0))))="Upfront",(SUMPRODUCT(('C19RM 2021-Lab &amp; Other HPS'!$A$14:$D$113=E14)*('C19RM 2021-Lab &amp; Other HPS'!$BH$14:$BH$113=BJ14)*('C19RM 2021-Lab &amp; Other HPS'!$BO$14:$BO$113)*(('C19RM 2021-Lab &amp; Other HPS'!$R$14:$R$113)))),(IF((INDEX(SETUP!$F$19:$F$503,(MATCH(1,(SETUP!$B$19:$B$503=B14)*(SETUP!$D$19:$D$503=D14),0))))="At delivery",IF((INDEX(SETUP!$G$19:$G$503,(MATCH(1,(SETUP!$B$19:$B$503=B14)*(SETUP!$D$19:$D$503=D14),0))))=1,(SUMPRODUCT(('C19RM 2021-Lab &amp; Other HPS'!$A$14:$D$113=E14)*('C19RM 2021-Lab &amp; Other HPS'!$BH$14:$BH$113=BJ14)*('C19RM 2021-Lab &amp; Other HPS'!$BO$14:$BO$113)*(('C19RM 2021-Lab &amp; Other HPS'!$Q$14:$Q$113)))),0),0)))</f>
        <v>0</v>
      </c>
      <c r="T14" s="359" cm="1">
        <f t="array" ref="T14">IF((INDEX(SETUP!$F$19:$F$503,(MATCH(1,(SETUP!$B$19:$B$503=B14)*(SETUP!$D$19:$D$503=D14),0))))="Upfront",(SUMPRODUCT(('C19RM 2021-Lab &amp; Other HPS'!$A$14:$D$113=E14)*('C19RM 2021-Lab &amp; Other HPS'!$BH$14:$BH$113=BJ14)*('C19RM 2021-Lab &amp; Other HPS'!$BO$14:$BO$113)*(('C19RM 2021-Lab &amp; Other HPS'!$S$14:$S$113)))),(IF((INDEX(SETUP!$F$19:$F$503,(MATCH(1,(SETUP!$B$19:$B$503=B14)*(SETUP!$D$19:$D$503=D14),0))))="At delivery",IF((INDEX(SETUP!$G$19:$G$503,(MATCH(1,(SETUP!$B$19:$B$503=B14)*(SETUP!$D$19:$D$503=D14),0))))=2,(SUMPRODUCT(('C19RM 2021-Lab &amp; Other HPS'!$A$14:$D$113=E14)*('C19RM 2021-Lab &amp; Other HPS'!$BH$14:$BH$113=BJ14)*('C19RM 2021-Lab &amp; Other HPS'!$BO$14:$BO$113)*(('C19RM 2021-Lab &amp; Other HPS'!$Q$14:$Q$113)))),IF((INDEX(SETUP!$G$19:$G$503,(MATCH(1,(SETUP!$B$19:$B$503=B14)*(SETUP!$D$19:$D$503=D14),0))))=1,(SUMPRODUCT(('C19RM 2021-Lab &amp; Other HPS'!$A$14:$D$113=E14)*('C19RM 2021-Lab &amp; Other HPS'!$BH$14:$BH$113=BJ14)*('C19RM 2021-Lab &amp; Other HPS'!$BO$14:$BO$113)*(('C19RM 2021-Lab &amp; Other HPS'!$R$14:$R$113)))),0)),0)))</f>
        <v>0</v>
      </c>
      <c r="U14" s="359" cm="1">
        <f t="array" ref="U14">IF((INDEX(SETUP!$F$19:$F$503,(MATCH(1,(SETUP!$B$19:$B$503=B14)*(SETUP!$D$19:$D$503=D14),0))))="Upfront",(SUMPRODUCT(('C19RM 2021-Lab &amp; Other HPS'!$A$14:$D$113=E14)*('C19RM 2021-Lab &amp; Other HPS'!$BH$14:$BH$113=BJ14)*('C19RM 2021-Lab &amp; Other HPS'!$BO$14:$BO$113)*(('C19RM 2021-Lab &amp; Other HPS'!$T$14:$T$113)))),(IF((INDEX(SETUP!$F$19:$F$503,(MATCH(1,(SETUP!$B$19:$B$503=B14)*(SETUP!$D$19:$D$503=D14),0))))="At delivery",IF((INDEX(SETUP!$G$19:$G$503,(MATCH(1,(SETUP!$B$19:$B$503=B14)*(SETUP!$D$19:$D$503=D14),0))))=3,(SUMPRODUCT(('C19RM 2021-Lab &amp; Other HPS'!$A$14:$D$113=E14)*('C19RM 2021-Lab &amp; Other HPS'!$BH$14:$BH$113=BJ14)*('C19RM 2021-Lab &amp; Other HPS'!$BO$14:$BO$113)*(('C19RM 2021-Lab &amp; Other HPS'!$Q$14:$Q$113)))),IF((INDEX(SETUP!$G$19:$G$503,(MATCH(1,(SETUP!$B$19:$B$503=B14)*(SETUP!$D$19:$D$503=D14),0))))=2,(SUMPRODUCT(('C19RM 2021-Lab &amp; Other HPS'!$A$14:$D$113=E14)*('C19RM 2021-Lab &amp; Other HPS'!$BH$14:$BH$113=BJ14)*('C19RM 2021-Lab &amp; Other HPS'!$BO$14:$BO$113)*(('C19RM 2021-Lab &amp; Other HPS'!$R$14:$R$113)))),IF((INDEX(SETUP!$G$19:$G$503,(MATCH(1,(SETUP!$B$19:$B$503=B14)*(SETUP!$D$19:$D$503=D14),0))))=1,(SUMPRODUCT(('C19RM 2021-Lab &amp; Other HPS'!$A$14:$D$113=E14)*('C19RM 2021-Lab &amp; Other HPS'!$BH$14:$BH$113=BJ14)*('C19RM 2021-Lab &amp; Other HPS'!$BO$14:$BO$113)*(('C19RM 2021-Lab &amp; Other HPS'!$S$14:$S$113)))),0))),0)))</f>
        <v>0</v>
      </c>
      <c r="V14" s="359" cm="1">
        <f t="array" ref="V14">IF((INDEX(SETUP!$F$19:$F$503,(MATCH(1,(SETUP!$B$19:$B$503=B14)*(SETUP!$D$19:$D$503=D14),0))))="Upfront",(SUMPRODUCT(('C19RM 2021-Lab &amp; Other HPS'!$A$14:$D$113=E14)*('C19RM 2021-Lab &amp; Other HPS'!$BH$14:$BH$113=BJ14)*('C19RM 2021-Lab &amp; Other HPS'!$BP$14:$BP$113)*(('C19RM 2021-Lab &amp; Other HPS'!$X$14:$X$113)))),(IF((INDEX(SETUP!$F$19:$F$503,(MATCH(1,(SETUP!$B$19:$B$503=B14)*(SETUP!$D$19:$D$503=D14),0))))="At delivery",IF((INDEX(SETUP!$G$19:$G$503,(MATCH(1,(SETUP!$B$19:$B$503=B14)*(SETUP!$D$19:$D$503=D14),0))))=4,(SUMPRODUCT(('C19RM 2021-Lab &amp; Other HPS'!$A$14:$D$113=E14)*('C19RM 2021-Lab &amp; Other HPS'!$BH$14:$BH$113=BJ14)*('C19RM 2021-Lab &amp; Other HPS'!$BO$14:$BO$113)*(('C19RM 2021-Lab &amp; Other HPS'!$Q$14:$Q$113)))),IF((INDEX(SETUP!$G$19:$G$503,(MATCH(1,(SETUP!$B$19:$B$503=B14)*(SETUP!$D$19:$D$503=D14),0))))=3,(SUMPRODUCT(('C19RM 2021-Lab &amp; Other HPS'!$A$14:$D$113=E14)*('C19RM 2021-Lab &amp; Other HPS'!$BH$14:$BH$113=BJ14)*('C19RM 2021-Lab &amp; Other HPS'!$BO$14:$BO$113)*(('C19RM 2021-Lab &amp; Other HPS'!$R$14:$R$113)))),IF((INDEX(SETUP!$G$19:$G$503,(MATCH(1,(SETUP!$B$19:$B$503=B14)*(SETUP!$D$19:$D$503=D14),0))))=2,(SUMPRODUCT(('C19RM 2021-Lab &amp; Other HPS'!$A$14:$D$113=E14)*('C19RM 2021-Lab &amp; Other HPS'!$BH$14:$BH$113=BJ14)*('C19RM 2021-Lab &amp; Other HPS'!$BO$14:$BO$113)*(('C19RM 2021-Lab &amp; Other HPS'!$S$14:$S$113)))),IF((INDEX(SETUP!$G$19:$G$503,(MATCH(1,(SETUP!$B$19:$B$503=B14)*(SETUP!$D$19:$D$503=D14),0))))=1,(SUMPRODUCT(('C19RM 2021-Lab &amp; Other HPS'!$A$14:$D$113=E14)*('C19RM 2021-Lab &amp; Other HPS'!$BH$14:$BH$113=BJ14)*('C19RM 2021-Lab &amp; Other HPS'!$BO$14:$BO$113)*(('C19RM 2021-Lab &amp; Other HPS'!$T$14:$T$113)))),0)))),0)))</f>
        <v>0</v>
      </c>
      <c r="W14" s="359" cm="1">
        <f t="array" ref="W14">IF((INDEX(SETUP!$F$19:$F$503,(MATCH(1,(SETUP!$B$19:$B$503=B14)*(SETUP!$D$19:$D$503=D14),0))))="Upfront",(SUMPRODUCT(('C19RM 2021-Lab &amp; Other HPS'!$A$14:$D$113=E14)*('C19RM 2021-Lab &amp; Other HPS'!$BH$14:$BH$113=BJ14)*('C19RM 2021-Lab &amp; Other HPS'!$BP$14:$BP$113)*(('C19RM 2021-Lab &amp; Other HPS'!$Y$14:$Y$113)))),(IF((INDEX(SETUP!$F$19:$F$503,(MATCH(1,(SETUP!$B$19:$B$503=B14)*(SETUP!$D$19:$D$503=D14),0))))="At delivery",IF((INDEX(SETUP!$G$19:$G$503,(MATCH(1,(SETUP!$B$19:$B$503=B14)*(SETUP!$D$19:$D$503=D14),0))))=4,(SUMPRODUCT(('C19RM 2021-Lab &amp; Other HPS'!$A$14:$D$113=E14)*('C19RM 2021-Lab &amp; Other HPS'!$BH$14:$BH$113=BJ14)*('C19RM 2021-Lab &amp; Other HPS'!$BO$14:$BO$113)*(('C19RM 2021-Lab &amp; Other HPS'!$R$14:$R$113)))),IF((INDEX(SETUP!$G$19:$G$503,(MATCH(1,(SETUP!$B$19:$B$503=B14)*(SETUP!$D$19:$D$503=D14),0))))=3,(SUMPRODUCT(('C19RM 2021-Lab &amp; Other HPS'!$A$14:$D$113=E14)*('C19RM 2021-Lab &amp; Other HPS'!$BH$14:$BH$113=BJ14)*('C19RM 2021-Lab &amp; Other HPS'!$BO$14:$BO$113)*(('C19RM 2021-Lab &amp; Other HPS'!$S$14:$S$113)))),IF((INDEX(SETUP!$G$19:$G$503,(MATCH(1,(SETUP!$B$19:$B$503=B14)*(SETUP!$D$19:$D$503=D14),0))))=2,((SUMPRODUCT(('C19RM 2021-Lab &amp; Other HPS'!$A$14:$D$113=E14)*('C19RM 2021-Lab &amp; Other HPS'!$BH$14:$BH$113=BJ14)*('C19RM 2021-Lab &amp; Other HPS'!$BO$14:$BO$113)*(('C19RM 2021-Lab &amp; Other HPS'!$T$14:$T$113))))),IF((INDEX(SETUP!$G$19:$G$503,(MATCH(1,(SETUP!$B$19:$B$503=B14)*(SETUP!$D$19:$D$503=D14),0))))=1,(SUMPRODUCT(('C19RM 2021-Lab &amp; Other HPS'!$A$14:$D$113=E14)*('C19RM 2021-Lab &amp; Other HPS'!$BH$14:$BH$113=BJ14)*('C19RM 2021-Lab &amp; Other HPS'!$BP$14:$BP$113)*(('C19RM 2021-Lab &amp; Other HPS'!$X$14:$X$113)))),0)))),0)))</f>
        <v>0</v>
      </c>
      <c r="X14" s="359" cm="1">
        <f t="array" ref="X14">IF((INDEX(SETUP!$F$19:$F$503,(MATCH(1,(SETUP!$B$19:$B$503=B14)*(SETUP!$D$19:$D$503=D14),0))))="Upfront",(SUMPRODUCT(('C19RM 2021-Lab &amp; Other HPS'!$A$14:$D$113=E14)*('C19RM 2021-Lab &amp; Other HPS'!$BH$14:$BH$113=BJ14)*('C19RM 2021-Lab &amp; Other HPS'!$BP$14:$BP$113)*(('C19RM 2021-Lab &amp; Other HPS'!$Z$14:$Z$113)))),(IF((INDEX(SETUP!$F$19:$F$503,(MATCH(1,(SETUP!$B$19:$B$503=B14)*(SETUP!$D$19:$D$503=D14),0))))="At delivery",IF((INDEX(SETUP!$G$19:$G$503,(MATCH(1,(SETUP!$B$19:$B$503=B14)*(SETUP!$D$19:$D$503=D14),0))))=4,(SUMPRODUCT(('C19RM 2021-Lab &amp; Other HPS'!$A$14:$D$113=E14)*('C19RM 2021-Lab &amp; Other HPS'!$BH$14:$BH$113=BJ14)*('C19RM 2021-Lab &amp; Other HPS'!$BO$14:$BO$113)*(('C19RM 2021-Lab &amp; Other HPS'!$S$14:$S$113)))),IF((INDEX(SETUP!$G$19:$G$503,(MATCH(1,(SETUP!$B$19:$B$503=B14)*(SETUP!$D$19:$D$503=D14),0))))=3,((SUMPRODUCT(('C19RM 2021-Lab &amp; Other HPS'!$A$14:$D$113=E14)*('C19RM 2021-Lab &amp; Other HPS'!$BH$14:$BH$113=BJ14)*('C19RM 2021-Lab &amp; Other HPS'!$BO$14:$BO$113)*(('C19RM 2021-Lab &amp; Other HPS'!$T$14:$T$113))))),IF((INDEX(SETUP!$G$19:$G$503,(MATCH(1,(SETUP!$B$19:$B$503=B14)*(SETUP!$D$19:$D$503=D14),0))))=2,(SUMPRODUCT(('C19RM 2021-Lab &amp; Other HPS'!$A$14:$D$113=E14)*('C19RM 2021-Lab &amp; Other HPS'!$BH$14:$BH$113=BJ14)*('C19RM 2021-Lab &amp; Other HPS'!$BP$14:$BP$113)*(('C19RM 2021-Lab &amp; Other HPS'!$X$14:$X$113)))),IF((INDEX(SETUP!$G$19:$G$503,(MATCH(1,(SETUP!$B$19:$B$503=B14)*(SETUP!$D$19:$D$503=D14),0))))=1,(SUMPRODUCT(('C19RM 2021-Lab &amp; Other HPS'!$A$14:$D$113=E14)*('C19RM 2021-Lab &amp; Other HPS'!$BH$14:$BH$113=BJ14)*('C19RM 2021-Lab &amp; Other HPS'!$BP$14:$BP$113)*(('C19RM 2021-Lab &amp; Other HPS'!$Y$14:$Y$113)))),0)))),0)))</f>
        <v>0</v>
      </c>
      <c r="Y14" s="359" cm="1">
        <f t="array" ref="Y14">IF((INDEX(SETUP!$F$19:$F$503,(MATCH(1,(SETUP!$B$19:$B$503=B14)*(SETUP!$D$19:$D$503=D14),0))))="Upfront",
(SUMPRODUCT(('C19RM 2021-Lab &amp; Other HPS'!$A$14:$D$113=E14)*('C19RM 2021-Lab &amp; Other HPS'!$BH$14:$BH$113=BJ14)*('C19RM 2021-Lab &amp; Other HPS'!$BP$14:$BP$113)*(('C19RM 2021-Lab &amp; Other HPS'!$AA$14:$AA$113)))),
(IF((INDEX(SETUP!$F$19:$F$503,(MATCH(1,(SETUP!$B$19:$B$503=B14)*(SETUP!$D$19:$D$503=D14),0))))="At delivery",
IF((INDEX(SETUP!$G$19:$G$503,(MATCH(1,(SETUP!$B$19:$B$503=B14)*(SETUP!$D$19:$D$503=D14),0))))=4,
((SUMPRODUCT(('C19RM 2021-Lab &amp; Other HPS'!$A$14:$D$113=E14)*('C19RM 2021-Lab &amp; Other HPS'!$BH$14:$BH$113=BJ14)*('C19RM 2021-Lab &amp; Other HPS'!$BO$14:$BO$113)*(('C19RM 2021-Lab &amp; Other HPS'!$T$14:$T$113))))),IF((INDEX(SETUP!$G$19:$G$503,(MATCH(1,(SETUP!$B$19:$B$503=B14)*(SETUP!$D$19:$D$503=D14),0))))=3,(SUMPRODUCT(('C19RM 2021-Lab &amp; Other HPS'!$A$14:$D$113=E14)*('C19RM 2021-Lab &amp; Other HPS'!$BH$14:$BH$113=BJ14)*('C19RM 2021-Lab &amp; Other HPS'!$BP$14:$BP$113)*(('C19RM 2021-Lab &amp; Other HPS'!$X$14:$X$113)))),IF((INDEX(SETUP!$G$19:$G$503,(MATCH(1,(SETUP!$B$19:$B$503=B14)*(SETUP!$D$19:$D$503=D14),0))))=2,(SUMPRODUCT(('C19RM 2021-Lab &amp; Other HPS'!$A$14:$D$113=E14)*('C19RM 2021-Lab &amp; Other HPS'!$BH$14:$BH$113=BJ14)*('C19RM 2021-Lab &amp; Other HPS'!$BP$14:$BP$113)*(('C19RM 2021-Lab &amp; Other HPS'!$Y$14:$Y$113)))),IF((INDEX(SETUP!$G$19:$G$503,(MATCH(1,(SETUP!$B$19:$B$503=B14)*(SETUP!$D$19:$D$503=D14),0))))=1,(SUMPRODUCT(('C19RM 2021-Lab &amp; Other HPS'!$A$14:$D$113=E14)*('C19RM 2021-Lab &amp; Other HPS'!$BH$14:$BH$113=BJ14)*('C19RM 2021-Lab &amp; Other HPS'!$BP$14:$BP$113)*(('C19RM 2021-Lab &amp; Other HPS'!$Z$14:$Z$113)))),0)))),0)))</f>
        <v>0</v>
      </c>
      <c r="Z14" s="359" cm="1">
        <f t="array" ref="Z14">IF((INDEX(SETUP!$F$19:$F$503,(MATCH(1,(SETUP!$B$19:$B$503=B14)*(SETUP!$D$19:$D$503=D14),0))))="Upfront",(SUMPRODUCT(('C19RM 2021-Lab &amp; Other HPS'!$A$14:$D$113=E14)*('C19RM 2021-Lab &amp; Other HPS'!$BH$14:$BH$113=BJ14)*('C19RM 2021-Lab &amp; Other HPS'!$BQ$14:$BQ$113)*(('C19RM 2021-Lab &amp; Other HPS'!$AE$14:$AE$113)))),(IF((INDEX(SETUP!$F$19:$F$503,(MATCH(1,(SETUP!$B$19:$B$503=B14)*(SETUP!$D$19:$D$503=D14),0))))="At delivery",IF((INDEX(SETUP!$G$19:$G$503,(MATCH(1,(SETUP!$B$19:$B$503=B14)*(SETUP!$D$19:$D$503=D14),0))))=4,(SUMPRODUCT(('C19RM 2021-Lab &amp; Other HPS'!$A$14:$D$113=E14)*('C19RM 2021-Lab &amp; Other HPS'!$BH$14:$BH$113=BJ14)*('C19RM 2021-Lab &amp; Other HPS'!$BP$14:$BP$113)*(('C19RM 2021-Lab &amp; Other HPS'!$X$14:$X$113)))),IF((INDEX(SETUP!$G$19:$G$503,(MATCH(1,(SETUP!$B$19:$B$503=B14)*(SETUP!$D$19:$D$503=D14),0))))=3,(SUMPRODUCT(('C19RM 2021-Lab &amp; Other HPS'!$A$14:$D$113=E14)*('C19RM 2021-Lab &amp; Other HPS'!$BH$14:$BH$113=BJ14)*('C19RM 2021-Lab &amp; Other HPS'!$BP$14:$BP$113)*(('C19RM 2021-Lab &amp; Other HPS'!$Y$14:$Y$113)))),IF((INDEX(SETUP!$G$19:$G$503,(MATCH(1,(SETUP!$B$19:$B$503=B14)*(SETUP!$D$19:$D$503=D14),0))))=2,(SUMPRODUCT(('C19RM 2021-Lab &amp; Other HPS'!$A$14:$D$113=E14)*('C19RM 2021-Lab &amp; Other HPS'!$BH$14:$BH$113=BJ14)*('C19RM 2021-Lab &amp; Other HPS'!$BP$14:$BP$113)*(('C19RM 2021-Lab &amp; Other HPS'!$Z$14:$Z$113)))),IF((INDEX(SETUP!$G$19:$G$503,(MATCH(1,(SETUP!$B$19:$B$503=B14)*(SETUP!$D$19:$D$503=D14),0))))=1,(SUMPRODUCT(('C19RM 2021-Lab &amp; Other HPS'!$A$14:$D$113=E14)*('C19RM 2021-Lab &amp; Other HPS'!$BH$14:$BH$113=BJ14)*('C19RM 2021-Lab &amp; Other HPS'!$BP$14:$BP$113)*(('C19RM 2021-Lab &amp; Other HPS'!$AA$14:$AA$113)))),0)))),0)))</f>
        <v>0</v>
      </c>
      <c r="AA14" s="359" cm="1">
        <f t="array" ref="AA14">IF((INDEX(SETUP!$F$19:$F$503,(MATCH(1,(SETUP!$B$19:$B$503=B14)*(SETUP!$D$19:$D$503=D14),0))))="Upfront",(SUMPRODUCT(('C19RM 2021-Lab &amp; Other HPS'!$A$14:$D$113=E14)*('C19RM 2021-Lab &amp; Other HPS'!$BH$14:$BH$113=BJ14)*('C19RM 2021-Lab &amp; Other HPS'!$BQ$14:$BQ$113)*(('C19RM 2021-Lab &amp; Other HPS'!$AF$14:$AF$113)))),(IF((INDEX(SETUP!$F$19:$F$503,(MATCH(1,(SETUP!$B$19:$B$503=B14)*(SETUP!$D$19:$D$503=D14),0))))="At delivery",IF((INDEX(SETUP!$G$19:$G$503,(MATCH(1,(SETUP!$B$19:$B$503=B14)*(SETUP!$D$19:$D$503=D14),0))))=4,(SUMPRODUCT(('C19RM 2021-Lab &amp; Other HPS'!$A$14:$D$113=E14)*('C19RM 2021-Lab &amp; Other HPS'!$BH$14:$BH$113=BJ14)*('C19RM 2021-Lab &amp; Other HPS'!$BP$14:$BP$113)*(('C19RM 2021-Lab &amp; Other HPS'!$Y$14:$Y$113)))),IF((INDEX(SETUP!$G$19:$G$503,(MATCH(1,(SETUP!$B$19:$B$503=B14)*(SETUP!$D$19:$D$503=D14),0))))=3,(SUMPRODUCT(('C19RM 2021-Lab &amp; Other HPS'!$A$14:$D$113=E14)*('C19RM 2021-Lab &amp; Other HPS'!$BH$14:$BH$113=BJ14)*('C19RM 2021-Lab &amp; Other HPS'!$BP$14:$BP$113)*(('C19RM 2021-Lab &amp; Other HPS'!$Z$14:$Z$113)))),IF((INDEX(SETUP!$G$19:$G$503,(MATCH(1,(SETUP!$B$19:$B$503=B14)*(SETUP!$D$19:$D$503=D14),0))))=2,((SUMPRODUCT(('C19RM 2021-Lab &amp; Other HPS'!$A$14:$D$113=E14)*('C19RM 2021-Lab &amp; Other HPS'!$BH$14:$BH$113=BJ14)*('C19RM 2021-Lab &amp; Other HPS'!$BP$14:$BP$113)*(('C19RM 2021-Lab &amp; Other HPS'!$AA$14:$AA$113))))),IF((INDEX(SETUP!$G$19:$G$503,(MATCH(1,(SETUP!$B$19:$B$503=B14)*(SETUP!$D$19:$D$503=D14),0))))=1,(SUMPRODUCT(('C19RM 2021-Lab &amp; Other HPS'!$A$14:$D$113=E14)*('C19RM 2021-Lab &amp; Other HPS'!$BH$14:$BH$113=BJ14)*('C19RM 2021-Lab &amp; Other HPS'!$BQ$14:$BQ$113)*(('C19RM 2021-Lab &amp; Other HPS'!$AE$14:$AE$113)))),0)))),0)))</f>
        <v>0</v>
      </c>
      <c r="AB14" s="359" cm="1">
        <f t="array" ref="AB14">IF((INDEX(SETUP!$F$19:$F$503,(MATCH(1,(SETUP!$B$19:$B$503=B14)*(SETUP!$D$19:$D$503=D14),0))))="Upfront",
(SUMPRODUCT(('C19RM 2021-Lab &amp; Other HPS'!$A$14:$D$113=E14)*('C19RM 2021-Lab &amp; Other HPS'!$BH$14:$BH$113=BJ14)*('C19RM 2021-Lab &amp; Other HPS'!$BQ$14:$BQ$113)*(('C19RM 2021-Lab &amp; Other HPS'!$AG$14:$AG$113)))),
(IF((INDEX(SETUP!$F$19:$F$503,(MATCH(1,(SETUP!$B$19:$B$503=B14)*(SETUP!$D$19:$D$503=D14),0))))="At delivery",
IF((INDEX(SETUP!$G$19:$G$503,(MATCH(1,(SETUP!$B$19:$B$503=B14)*(SETUP!$D$19:$D$503=D14),0))))=4,
(SUMPRODUCT(('C19RM 2021-Lab &amp; Other HPS'!$A$14:$D$113=E14)*('C19RM 2021-Lab &amp; Other HPS'!$BH$14:$BH$113=BJ14)*('C19RM 2021-Lab &amp; Other HPS'!$BP$14:$BP$113)*(('C19RM 2021-Lab &amp; Other HPS'!$Z$14:$Z$113)))),IF((INDEX(SETUP!$G$19:$G$503,(MATCH(1,(SETUP!$B$19:$B$503=B14)*(SETUP!$D$19:$D$503=D14),0))))=3,(SUMPRODUCT(('C19RM 2021-Lab &amp; Other HPS'!$A$14:$D$113=E14)*('C19RM 2021-Lab &amp; Other HPS'!$BH$14:$BH$113=BJ14)*('C19RM 2021-Lab &amp; Other HPS'!$BP$14:$BP$113)*(('C19RM 2021-Lab &amp; Other HPS'!$AA$14:$AA$113)))),IF((INDEX(SETUP!$G$19:$G$503,(MATCH(1,(SETUP!$B$19:$B$503=B14)*(SETUP!$D$19:$D$503=D14),0))))=2,(SUMPRODUCT(('C19RM 2021-Lab &amp; Other HPS'!$A$14:$D$113=E14)*('C19RM 2021-Lab &amp; Other HPS'!$BH$14:$BH$113=BJ14)*('C19RM 2021-Lab &amp; Other HPS'!$BQ$14:$BQ$113)*(('C19RM 2021-Lab &amp; Other HPS'!$AE$14:$AE$113)))),IF((INDEX(SETUP!$G$19:$G$503,(MATCH(1,(SETUP!$B$19:$B$503=B14)*(SETUP!$D$19:$D$503=D14),0))))=1,(SUMPRODUCT(('C19RM 2021-Lab &amp; Other HPS'!$A$14:$D$113=E14)*('C19RM 2021-Lab &amp; Other HPS'!$BH$14:$BH$113=BJ14)*('C19RM 2021-Lab &amp; Other HPS'!$BQ$14:$BQ$113)*(('C19RM 2021-Lab &amp; Other HPS'!$AF$14:$AF$113)))),0)))),0)))</f>
        <v>0</v>
      </c>
      <c r="AC14" s="359" cm="1">
        <f t="array" ref="AC14">IF((INDEX(SETUP!$F$19:$F$503,(MATCH(1,(SETUP!$B$19:$B$503=B14)*(SETUP!$D$19:$D$503=D14),0))))="Upfront",
(SUMPRODUCT(('C19RM 2021-Lab &amp; Other HPS'!$A$14:$D$113=E14)*('C19RM 2021-Lab &amp; Other HPS'!$BH$14:$BH$113=BJ14)*('C19RM 2021-Lab &amp; Other HPS'!$BQ$14:$BQ$113)*(('C19RM 2021-Lab &amp; Other HPS'!$AH$14:$AH$113)))),
(IF((INDEX(SETUP!$F$19:$F$503,(MATCH(1,(SETUP!$B$19:$B$503=B14)*(SETUP!$D$19:$D$503=D14),0))))="At delivery",
IF((INDEX(SETUP!$G$19:$G$503,(MATCH(1,(SETUP!$B$19:$B$503=B14)*(SETUP!$D$19:$D$503=D14),0))))=4,
(SUMPRODUCT(('C19RM 2021-Lab &amp; Other HPS'!$A$14:$D$113=E14)*('C19RM 2021-Lab &amp; Other HPS'!$BH$14:$BH$113=BJ14)*('C19RM 2021-Lab &amp; Other HPS'!$BP$14:$BP$113)*(('C19RM 2021-Lab &amp; Other HPS'!$AA$14:$AA$113)))),IF((INDEX(SETUP!$G$19:$G$503,(MATCH(1,(SETUP!$B$19:$B$503=B14)*(SETUP!$D$19:$D$503=D14),0))))=3,(SUMPRODUCT(('C19RM 2021-Lab &amp; Other HPS'!$A$14:$D$113=E14)*('C19RM 2021-Lab &amp; Other HPS'!$BH$14:$BH$113=BJ14)*('C19RM 2021-Lab &amp; Other HPS'!$BQ$14:$BQ$113)*(('C19RM 2021-Lab &amp; Other HPS'!$AE$14:$AE$113)))),IF((INDEX(SETUP!$G$19:$G$503,(MATCH(1,(SETUP!$B$19:$B$503=B14)*(SETUP!$D$19:$D$503=D14),0))))=2,(SUMPRODUCT(('C19RM 2021-Lab &amp; Other HPS'!$A$14:$D$113=E14)*('C19RM 2021-Lab &amp; Other HPS'!$BH$14:$BH$113=BJ14)*('C19RM 2021-Lab &amp; Other HPS'!$BQ$14:$BQ$113)*(('C19RM 2021-Lab &amp; Other HPS'!$AF$14:$AF$113)))),IF((INDEX(SETUP!$G$19:$G$503,(MATCH(1,(SETUP!$B$19:$B$503=B14)*(SETUP!$D$19:$D$503=D14),0))))=1,(SUMPRODUCT(('C19RM 2021-Lab &amp; Other HPS'!$A$14:$D$113=E14)*('C19RM 2021-Lab &amp; Other HPS'!$BH$14:$BH$113=BJ14)*('C19RM 2021-Lab &amp; Other HPS'!$BQ$14:$BQ$113)*(('C19RM 2021-Lab &amp; Other HPS'!$AG$14:$AG$113)))),0)))),0)))</f>
        <v>0</v>
      </c>
      <c r="AD14" s="359" cm="1">
        <f t="array" ref="AD14">IF((INDEX(SETUP!$F$19:$F$503,(MATCH(1,(SETUP!$B$19:$B$503=B14)*(SETUP!$D$19:$D$503=D14),0))))="Upfront",
(SUMPRODUCT(('C19RM 2021-Lab &amp; Other HPS'!$A$14:$D$113=E14)*('C19RM 2021-Lab &amp; Other HPS'!$BH$14:$BH$113=BJ14)*('C19RM 2021-Lab &amp; Other HPS'!$BR$14:$BR$113)*(('C19RM 2021-Lab &amp; Other HPS'!$AL$14:$AL$113)))),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HPS'!$AE$14:$AE$113)))),IF((INDEX(SETUP!$G$19:$G$503,(MATCH(1,(SETUP!$B$19:$B$503=B14)*(SETUP!$D$19:$D$503=D14),0))))=3,((SUMPRODUCT(('C19RM 2021-Lab &amp; Other HPS'!$A$14:$D$113=E14)*('C19RM 2021-Lab &amp; Other HPS'!$BH$14:$BH$113=BJ14)*('C19RM 2021-Lab &amp; Other HPS'!$BQ$14:$BQ$113)*(('C19RM 2021-Lab &amp; Other HPS'!$AF$14:$AF$113))))),IF((INDEX(SETUP!$G$19:$G$503,(MATCH(1,(SETUP!$B$19:$B$503=B14)*(SETUP!$D$19:$D$503=D14),0))))=2,(SUMPRODUCT(('C19RM 2021-Lab &amp; Other HPS'!$A$14:$D$113=E14)*('C19RM 2021-Lab &amp; Other HPS'!$BH$14:$BH$113=BJ14)*('C19RM 2021-Lab &amp; Other HPS'!$BQ$14:$BQ$113)*(('C19RM 2021-Lab &amp; Other HPS'!$AG$14:$AG$113)))),IF((INDEX(SETUP!$G$19:$G$503,(MATCH(1,(SETUP!$B$19:$B$503=B14)*(SETUP!$D$19:$D$503=D14),0))))=1,(SUMPRODUCT(('C19RM 2021-Lab &amp; Other HPS'!$A$14:$D$113=E14)*('C19RM 2021-Lab &amp; Other HPS'!$BH$14:$BH$113=BJ14)*('C19RM 2021-Lab &amp; Other HPS'!$BQ$14:$BQ$113)*(('C19RM 2021-Lab &amp; Other HPS'!$AH$14:$AH$113)))),0)))),0)))</f>
        <v>0</v>
      </c>
      <c r="AE14" s="359" cm="1">
        <f t="array" ref="AE14">IF((INDEX(SETUP!$F$19:$F$503,(MATCH(1,(SETUP!$B$19:$B$503=B14)*(SETUP!$D$19:$D$503=D14),0))))="Upfront",
(SUMPRODUCT(('C19RM 2021-Lab &amp; Other HPS'!$A$14:$D$113=E14)*('C19RM 2021-Lab &amp; Other HPS'!$BH$14:$BH$113=BJ14)*('C19RM 2021-Lab &amp; Other HPS'!$BR$14:$BR$113)*(('C19RM 2021-Lab &amp; Other HPS'!$AM$14:$AM$113)))),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HPS'!$AF$14:$AF$113)))),IF((INDEX(SETUP!$G$19:$G$503,(MATCH(1,(SETUP!$B$19:$B$503=B14)*(SETUP!$D$19:$D$503=D14),0))))=3,(SUMPRODUCT(('C19RM 2021-Lab &amp; Other HPS'!$A$14:$D$113=E14)*('C19RM 2021-Lab &amp; Other HPS'!$BH$14:$BH$113=BJ14)*('C19RM 2021-Lab &amp; Other HPS'!$BQ$14:$BQ$113)*(('C19RM 2021-Lab &amp; Other HPS'!$AG$14:$AG$113)))),IF((INDEX(SETUP!$G$19:$G$503,(MATCH(1,(SETUP!$B$19:$B$503=B14)*(SETUP!$D$19:$D$503=D14),0))))=2,(SUMPRODUCT(('C19RM 2021-Lab &amp; Other HPS'!$A$14:$D$113=E14)*('C19RM 2021-Lab &amp; Other HPS'!$BH$14:$BH$113=BJ14)*('C19RM 2021-Lab &amp; Other HPS'!$BQ$14:$BQ$113)*(('C19RM 2021-Lab &amp; Other HPS'!$AH$14:$AH$113)))),IF((INDEX(SETUP!$G$19:$G$503,(MATCH(1,(SETUP!$B$19:$B$503=B14)*(SETUP!$D$19:$D$503=D14),0))))=1,(SUMPRODUCT(('C19RM 2021-Lab &amp; Other HPS'!$A$14:$D$113=E14)*('C19RM 2021-Lab &amp; Other HPS'!$BH$14:$BH$113=BJ14)*('C19RM 2021-Lab &amp; Other HPS'!$BR$14:$BR$113)*(('C19RM 2021-Lab &amp; Other HPS'!$AL$14:$AL$113)))),0)))),0)))</f>
        <v>0</v>
      </c>
      <c r="AF14" s="359" cm="1">
        <f t="array" ref="AF14">IF((INDEX(SETUP!$F$19:$F$503,(MATCH(1,(SETUP!$B$19:$B$503=B14)*(SETUP!$D$19:$D$503=D14),0))))="Upfront",
(SUMPRODUCT(('C19RM 2021-Lab &amp; Other HPS'!$A$14:$D$113=E14)*('C19RM 2021-Lab &amp; Other HPS'!$BH$14:$BH$113=BJ14)*('C19RM 2021-Lab &amp; Other HPS'!$BR$14:$BR$113)*(('C19RM 2021-Lab &amp; Other HPS'!$AN$14:$AN$113)))),
(IF((INDEX(SETUP!$F$19:$F$503,(MATCH(1,(SETUP!$B$19:$B$503=B14)*(SETUP!$D$19:$D$503=D14),0))))="At delivery",
IF((INDEX(SETUP!$G$19:$G$503,(MATCH(1,(SETUP!$B$19:$B$503=B14)*(SETUP!$D$19:$D$503=D14),0))))=4,
(SUMPRODUCT(('C19RM 2021-Lab &amp; Other HPS'!$A$14:$D$113=E14)*('C19RM 2021-Lab &amp; Other HPS'!$BH$14:$BH$113=BJ14)*('C19RM 2021-Lab &amp; Other HPS'!$BQ$14:$BQ$113)*(('C19RM 2021-Lab &amp; Other HPS'!$AG$14:$AG$113)))),IF((INDEX(SETUP!$G$19:$G$503,(MATCH(1,(SETUP!$B$19:$B$503=B14)*(SETUP!$D$19:$D$503=D14),0))))=3,(SUMPRODUCT(('C19RM 2021-Lab &amp; Other HPS'!$A$14:$D$113=E14)*('C19RM 2021-Lab &amp; Other HPS'!$BH$14:$BH$113=BJ14)*('C19RM 2021-Lab &amp; Other HPS'!$BQ$14:$BQ$113)*(('C19RM 2021-Lab &amp; Other HPS'!$AH$14:$AH$113)))),IF((INDEX(SETUP!$G$19:$G$503,(MATCH(1,(SETUP!$B$19:$B$503=B14)*(SETUP!$D$19:$D$503=D14),0))))=2,(SUMPRODUCT(('C19RM 2021-Lab &amp; Other HPS'!$A$14:$D$113=E14)*('C19RM 2021-Lab &amp; Other HPS'!$BH$14:$BH$113=BJ14)*('C19RM 2021-Lab &amp; Other HPS'!$BR$14:$BR$113)*(('C19RM 2021-Lab &amp; Other HPS'!$AL$14:$AL$113)))),IF((INDEX(SETUP!$G$19:$G$503,(MATCH(1,(SETUP!$B$19:$B$503=B14)*(SETUP!$D$19:$D$503=D14),0))))=1,(SUMPRODUCT(('C19RM 2021-Lab &amp; Other HPS'!$A$14:$D$113=E14)*('C19RM 2021-Lab &amp; Other HPS'!$BH$14:$BH$113=BJ14)*('C19RM 2021-Lab &amp; Other HPS'!$BR$14:$BR$113)*(('C19RM 2021-Lab &amp; Other HPS'!$AM$14:$AM$113)))),0)))),0)))</f>
        <v>0</v>
      </c>
      <c r="AG14" s="359" cm="1">
        <f t="array" ref="AG14">IF((INDEX(SETUP!$F$19:$F$503,(MATCH(1,(SETUP!$B$19:$B$503=B14)*(SETUP!$D$19:$D$503=D14),0))))="Upfront",(SUMPRODUCT(('C19RM 2021-Lab &amp; Other HPS'!$A$14:$D$113=E14)*('C19RM 2021-Lab &amp; Other HPS'!$BH$14:$BH$113=BJ14)*('C19RM 2021-Lab &amp; Other HPS'!$BR$14:$BR$113)*(('C19RM 2021-Lab &amp; Other HPS'!$AO$14:$AO$113)))),(IF((INDEX(SETUP!$F$19:$F$503,(MATCH(1,(SETUP!$B$19:$B$503=B14)*(SETUP!$D$19:$D$503=D14),0))))="At delivery",IF((INDEX(SETUP!$G$19:$G$503,(MATCH(1,(SETUP!$B$19:$B$503=B14)*(SETUP!$D$19:$D$503=D14),0))))=4,(SUMPRODUCT(('C19RM 2021-Lab &amp; Other HPS'!$A$14:$D$113=E14)*('C19RM 2021-Lab &amp; Other HPS'!$BH$14:$BH$113=BJ14)*('C19RM 2021-Lab &amp; Other HPS'!$BQ$14:$BQ$113)*(('C19RM 2021-Lab &amp; Other HPS'!$AH$14:$AH$113)))),IF((INDEX(SETUP!$G$19:$G$503,(MATCH(1,(SETUP!$B$19:$B$503=B14)*(SETUP!$D$19:$D$503=D14),0))))=3,(SUMPRODUCT(('C19RM 2021-Lab &amp; Other HPS'!$A$14:$D$113=E14)*('C19RM 2021-Lab &amp; Other HPS'!$BH$14:$BH$113=BJ14)*('C19RM 2021-Lab &amp; Other HPS'!$BR$14:$BR$113)*(('C19RM 2021-Lab &amp; Other HPS'!$AL$14:$AL$113)))),IF((INDEX(SETUP!$G$19:$G$503,(MATCH(1,(SETUP!$B$19:$B$503=B14)*(SETUP!$D$19:$D$503=D14),0))))=2,(SUMPRODUCT(('C19RM 2021-Lab &amp; Other HPS'!$A$14:$D$113=E14)*('C19RM 2021-Lab &amp; Other HPS'!$BH$14:$BH$113=BJ14)*('C19RM 2021-Lab &amp; Other HPS'!$BR$14:$BR$113)*(('C19RM 2021-Lab &amp; Other HPS'!$AM$14:$AM$113)))),IF((INDEX(SETUP!$G$19:$G$503,(MATCH(1,(SETUP!$B$19:$B$503=B14)*(SETUP!$D$19:$D$503=D14),0))))=1,(SUMPRODUCT(('C19RM 2021-Lab &amp; Other HPS'!$A$14:$D$113=E14)*('C19RM 2021-Lab &amp; Other HPS'!$BH$14:$BH$113=BJ14)*('C19RM 2021-Lab &amp; Other HPS'!$BR$14:$BR$113)*(('C19RM 2021-Lab &amp; Other HPS'!$AN$14:$AN$113)))),0)))),0)))</f>
        <v>0</v>
      </c>
      <c r="AH14" s="359" cm="1">
        <f t="array" ref="AH14">IF((INDEX(SETUP!$F$19:$F$503,(MATCH(1,(SETUP!$B$19:$B$503=B14)*(SETUP!$D$19:$D$503=D14),0))))="Upfront",
(SUMPRODUCT(('C19RM 2021-Lab &amp; Other HPS'!$A$14:$D$113=E14)*('C19RM 2021-Lab &amp; Other HPS'!$BH$14:$BH$113=BJ14)*('C19RM 2021-Lab &amp; Other HPS'!$BH$14:$BH$113=BJ14)*('C19RM 2021-Lab &amp; Other HPS'!$BS$14:$BS$113)*(('C19RM 2021-Lab &amp; Other HPS'!$AS$14:$AS$113)))),
(IF((INDEX(SETUP!$F$19:$F$503,(MATCH(1,(SETUP!$B$19:$B$503=B14)*(SETUP!$D$19:$D$503=D14),0))))="At delivery",
IF((INDEX(SETUP!$G$19:$G$503,(MATCH(1,(SETUP!$B$19:$B$503=B14)*(SETUP!$D$19:$D$503=D14),0))))=4,
(SUMPRODUCT(('C19RM 2021-Lab &amp; Other HPS'!$A$14:$D$113=E14)*('C19RM 2021-Lab &amp; Other HPS'!$BH$14:$BH$113=BJ14)*('C19RM 2021-Lab &amp; Other HPS'!$BH$14:$BH$113=BJ14)*('C19RM 2021-Lab &amp; Other HPS'!$BR$14:$BR$113)*(('C19RM 2021-Lab &amp; Other HPS'!$AL$14:$AL$113)))),IF((INDEX(SETUP!$G$19:$G$503,(MATCH(1,(SETUP!$B$19:$B$503=B14)*(SETUP!$D$19:$D$503=D14),0))))=3,((SUMPRODUCT(('C19RM 2021-Lab &amp; Other HPS'!$A$14:$D$113=E14)*('C19RM 2021-Lab &amp; Other HPS'!$BH$14:$BH$113=BJ14)*('C19RM 2021-Lab &amp; Other HPS'!$BH$14:$BH$113=BJ14)*('C19RM 2021-Lab &amp; Other HPS'!$BR$14:$BR$113)*(('C19RM 2021-Lab &amp; Other HPS'!$AM$14:$AM$113))))),IF((INDEX(SETUP!$G$19:$G$503,(MATCH(1,(SETUP!$B$19:$B$503=B14)*(SETUP!$D$19:$D$503=D14),0))))=2,(SUMPRODUCT(('C19RM 2021-Lab &amp; Other HPS'!$A$14:$D$113=E14)*('C19RM 2021-Lab &amp; Other HPS'!$BH$14:$BH$113=BJ14)*('C19RM 2021-Lab &amp; Other HPS'!$BR$14:$BR$113)*(('C19RM 2021-Lab &amp; Other HPS'!$AN$14:$AN$113)))),IF((INDEX(SETUP!$G$19:$G$503,(MATCH(1,(SETUP!$B$19:$B$503=B14)*(SETUP!$D$19:$D$503=D14),0))))=1,(SUMPRODUCT(('C19RM 2021-Lab &amp; Other HPS'!$A$14:$D$113=E14)*('C19RM 2021-Lab &amp; Other HPS'!$BH$14:$BH$113=BJ14)*('C19RM 2021-Lab &amp; Other HPS'!$BR$14:$BR$113)*(('C19RM 2021-Lab &amp; Other HPS'!$AO$14:$AO$113)))),0)))),0)))</f>
        <v>0</v>
      </c>
      <c r="AI14" s="359" cm="1">
        <f t="array" ref="AI14">IF((INDEX(SETUP!$F$19:$F$503,(MATCH(1,(SETUP!$B$19:$B$503=B14)*(SETUP!$D$19:$D$503=D14),0))))="Upfront",
(SUMPRODUCT(('C19RM 2021-Lab &amp; Other HPS'!$A$14:$D$113=E14)*('C19RM 2021-Lab &amp; Other HPS'!$BH$14:$BH$113=BJ14)*('C19RM 2021-Lab &amp; Other HPS'!$BS$14:$BS$113)*(('C19RM 2021-Lab &amp; Other HPS'!$AT$14:$AT$113)))),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HPS'!$AM$14:$AM$113)))),IF((INDEX(SETUP!$G$19:$G$503,(MATCH(1,(SETUP!$B$19:$B$503=B14)*(SETUP!$D$19:$D$503=D14),0))))=3,((SUMPRODUCT(('C19RM 2021-Lab &amp; Other HPS'!$A$14:$D$113=E14)*('C19RM 2021-Lab &amp; Other HPS'!$BH$14:$BH$113=BJ14)*('C19RM 2021-Lab &amp; Other HPS'!$BR$14:$BR$113)*(('C19RM 2021-Lab &amp; Other HPS'!$AN$14:$AN$113))))),IF((INDEX(SETUP!$G$19:$G$503,(MATCH(1,(SETUP!$B$19:$B$503=B14)*(SETUP!$D$19:$D$503=D14),0))))=2,(SUMPRODUCT(('C19RM 2021-Lab &amp; Other HPS'!$A$14:$D$113=E14)*('C19RM 2021-Lab &amp; Other HPS'!$BH$14:$BH$113=BJ14)*('C19RM 2021-Lab &amp; Other HPS'!$BR$14:$BR$113)*(('C19RM 2021-Lab &amp; Other HPS'!$AO$14:$AO$113)))),IF((INDEX(SETUP!$G$19:$G$503,(MATCH(1,(SETUP!$B$19:$B$503=B14)*(SETUP!$D$19:$D$503=D14),0))))=1,(SUMPRODUCT(('C19RM 2021-Lab &amp; Other HPS'!$A$14:$D$113=E14)*('C19RM 2021-Lab &amp; Other HPS'!$BH$14:$BH$113=BJ14)*('C19RM 2021-Lab &amp; Other HPS'!$BS$14:$BS$113)*(('C19RM 2021-Lab &amp; Other HPS'!$AS$14:$AS$113)))),0)))),0)))</f>
        <v>0</v>
      </c>
      <c r="AJ14" s="359" cm="1">
        <f t="array" ref="AJ14">IF((INDEX(SETUP!$F$19:$F$503,(MATCH(1,(SETUP!$B$19:$B$503=B14)*(SETUP!$D$19:$D$503=D14),0))))="Upfront",
(SUMPRODUCT(('C19RM 2021-Lab &amp; Other HPS'!$A$14:$D$113=E14)*('C19RM 2021-Lab &amp; Other HPS'!$BH$14:$BH$113=BJ14)*('C19RM 2021-Lab &amp; Other HPS'!$BS$14:$BS$113)*(('C19RM 2021-Lab &amp; Other HPS'!$AU$14:$AU$113)))),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HPS'!$AN$14:$AN$113)))),IF((INDEX(SETUP!$G$19:$G$503,(MATCH(1,(SETUP!$B$19:$B$503=B14)*(SETUP!$D$19:$D$503=D14),0))))=3,((SUMPRODUCT(('C19RM 2021-Lab &amp; Other HPS'!$A$14:$D$113=E14)*('C19RM 2021-Lab &amp; Other HPS'!$BH$14:$BH$113=BJ14)*('C19RM 2021-Lab &amp; Other HPS'!$BR$14:$BR$113)*(('C19RM 2021-Lab &amp; Other HPS'!$AO$14:$AO$113))))),IF((INDEX(SETUP!$G$19:$G$503,(MATCH(1,(SETUP!$B$19:$B$503=B14)*(SETUP!$D$19:$D$503=D14),0))))=2,(SUMPRODUCT(('C19RM 2021-Lab &amp; Other HPS'!$A$14:$D$113=E14)*('C19RM 2021-Lab &amp; Other HPS'!$BH$14:$BH$113=BJ14)*('C19RM 2021-Lab &amp; Other HPS'!$BS$14:$BS$113)*(('C19RM 2021-Lab &amp; Other HPS'!$AS$14:$AS$113)))),IF((INDEX(SETUP!$G$19:$G$503,(MATCH(1,(SETUP!$B$19:$B$503=B14)*(SETUP!$D$19:$D$503=D14),0))))=1,(SUMPRODUCT(('C19RM 2021-Lab &amp; Other HPS'!$A$14:$D$113=E14)*('C19RM 2021-Lab &amp; Other HPS'!$BH$14:$BH$113=BJ14)*('C19RM 2021-Lab &amp; Other HPS'!$BS$14:$BS$113)*(('C19RM 2021-Lab &amp; Other HPS'!$AT$14:$AT$113)))),0)))),0)))</f>
        <v>0</v>
      </c>
      <c r="AK14" s="359" cm="1">
        <f t="array" ref="AK14">IF((INDEX(SETUP!$F$19:$F$503,(MATCH(1,(SETUP!$B$19:$B$503=B14)*(SETUP!$D$19:$D$503=D14),0))))="Upfront",
(SUMPRODUCT(('C19RM 2021-Lab &amp; Other HPS'!$A$14:$D$113=E14)*('C19RM 2021-Lab &amp; Other HPS'!$BH$14:$BH$113=BJ14)*('C19RM 2021-Lab &amp; Other HPS'!$BS$14:$BS$113)*(('C19RM 2021-Lab &amp; Other HPS'!$AV$14:$AV$113)))),
(IF((INDEX(SETUP!$F$19:$F$503,(MATCH(1,(SETUP!$B$19:$B$503=B14)*(SETUP!$D$19:$D$503=D14),0))))="At delivery",
IF((INDEX(SETUP!$G$19:$G$503,(MATCH(1,(SETUP!$B$19:$B$503=B14)*(SETUP!$D$19:$D$503=D14),0))))=4,
(SUMPRODUCT(('C19RM 2021-Lab &amp; Other HPS'!$A$14:$D$113=E14)*('C19RM 2021-Lab &amp; Other HPS'!$BH$14:$BH$113=BJ14)*('C19RM 2021-Lab &amp; Other HPS'!$BR$14:$BR$113)*(('C19RM 2021-Lab &amp; Other HPS'!$AO$14:$AO$113)))),IF((INDEX(SETUP!$G$19:$G$503,(MATCH(1,(SETUP!$B$19:$B$503=B14)*(SETUP!$D$19:$D$503=D14),0))))=3,((SUMPRODUCT(('C19RM 2021-Lab &amp; Other HPS'!$A$14:$D$113=E14)*('C19RM 2021-Lab &amp; Other HPS'!$BH$14:$BH$113=BJ14)*('C19RM 2021-Lab &amp; Other HPS'!$BS$14:$BS$113)*(('C19RM 2021-Lab &amp; Other HPS'!$AS$14:$AS$113))))),IF((INDEX(SETUP!$G$19:$G$503,(MATCH(1,(SETUP!$B$19:$B$503=B14)*(SETUP!$D$19:$D$503=D14),0))))=2,(SUMPRODUCT(('C19RM 2021-Lab &amp; Other HPS'!$A$14:$D$113=E14)*('C19RM 2021-Lab &amp; Other HPS'!$BH$14:$BH$113=BJ14)*('C19RM 2021-Lab &amp; Other HPS'!$BS$14:$BS$113)*(('C19RM 2021-Lab &amp; Other HPS'!$AT$14:$AT$113)))),IF((INDEX(SETUP!$G$19:$G$503,(MATCH(1,(SETUP!$B$19:$B$503=B14)*(SETUP!$D$19:$D$503=D14),0))))=1,(SUMPRODUCT(('C19RM 2021-Lab &amp; Other HPS'!$A$14:$D$113=E14)*('C19RM 2021-Lab &amp; Other HPS'!$BH$14:$BH$113=BJ14)*('C19RM 2021-Lab &amp; Other HPS'!$BS$14:$BS$113)*(('C19RM 2021-Lab &amp; Other HPS'!$AU$14:$AU$113)))),0)))),0)))</f>
        <v>0</v>
      </c>
      <c r="AL14" s="359" cm="1">
        <f t="array" ref="AL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HPS'!$AS$14:$AS$113)))),IF((INDEX(SETUP!$G$19:$G$503,(MATCH(1,(SETUP!$B$19:$B$503=B14)*(SETUP!$D$19:$D$503=D14),0))))=3,(SUMPRODUCT(('C19RM 2021-Lab &amp; Other HPS'!$A$14:$D$113=E14)*('C19RM 2021-Lab &amp; Other HPS'!$BH$14:$BH$113=BJ14)*('C19RM 2021-Lab &amp; Other HPS'!$BS$14:$BS$113)*(('C19RM 2021-Lab &amp; Other HPS'!$AT$14:$AT$113)))),IF((INDEX(SETUP!$G$19:$G$503,(MATCH(1,(SETUP!$B$19:$B$503=B14)*(SETUP!$D$19:$D$503=D14),0))))=2,(SUMPRODUCT(('C19RM 2021-Lab &amp; Other HPS'!$A$14:$D$113=E14)*('C19RM 2021-Lab &amp; Other HPS'!$BH$14:$BH$113=BJ14)*('C19RM 2021-Lab &amp; Other HPS'!$BS$14:$BS$113)*(('C19RM 2021-Lab &amp; Other HPS'!$AU$14:$AU$113)))),
IF((INDEX(SETUP!$G$19:$G$503,(MATCH(1,(SETUP!$B$19:$B$503=B14)*(SETUP!$D$19:$D$503=D14),0))))=1,
(SUMPRODUCT(('C19RM 2021-Lab &amp; Other HPS'!$A$14:$D$113=E14)*('C19RM 2021-Lab &amp; Other HPS'!$BH$14:$BH$113=BJ14)*('C19RM 2021-Lab &amp; Other HPS'!$BS$14:$BS$113)*(('C19RM 2021-Lab &amp; Other HPS'!$AV$14:$AV$113)))),0)))),0)))</f>
        <v>0</v>
      </c>
      <c r="AM14" s="359" cm="1">
        <f t="array" ref="AM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HPS'!$AT$14:$AT$113)))),IF((INDEX(SETUP!$G$19:$G$503,(MATCH(1,(SETUP!$B$19:$B$503=B14)*(SETUP!$D$19:$D$503=D14),0))))=3,(SUMPRODUCT(('C19RM 2021-Lab &amp; Other HPS'!$A$14:$D$113=E14)*('C19RM 2021-Lab &amp; Other HPS'!$BH$14:$BH$113=BJ14)*('C19RM 2021-Lab &amp; Other HPS'!$BS$14:$BS$113)*(('C19RM 2021-Lab &amp; Other HPS'!$AU$14:$AU$113)))),IF((INDEX(SETUP!$G$19:$G$503,(MATCH(1,(SETUP!$B$19:$B$503=B14)*(SETUP!$D$19:$D$503=D14),0))))=2,(SUMPRODUCT(('C19RM 2021-Lab &amp; Other HPS'!$A$14:$D$113=E14)*('C19RM 2021-Lab &amp; Other HPS'!$BH$14:$BH$113=BJ14)*('C19RM 2021-Lab &amp; Other HPS'!$BS$14:$BS$113)*(('C19RM 2021-Lab &amp; Other HPS'!$AV$14:$AV$113)))),IF((INDEX(SETUP!$G$19:$G$503,(MATCH(1,(SETUP!$B$19:$B$503=B14)*(SETUP!$D$19:$D$503=D14),0))))=1,(0),0)))),0)))</f>
        <v>0</v>
      </c>
      <c r="AN14" s="359" cm="1">
        <f t="array" ref="AN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HPS'!$AU$14:$AU$113)))),IF((INDEX(SETUP!$G$19:$G$503,(MATCH(1,(SETUP!$B$19:$B$503=B14)*(SETUP!$D$19:$D$503=D14),0))))=3,(SUMPRODUCT(('C19RM 2021-Lab &amp; Other HPS'!$A$14:$D$113=E14)*('C19RM 2021-Lab &amp; Other HPS'!$BH$14:$BH$113=BJ14)*('C19RM 2021-Lab &amp; Other HPS'!$BS$14:$BS$113)*(('C19RM 2021-Lab &amp; Other HPS'!$AV$14:$AV$113)))),IF((INDEX(SETUP!$G$19:$G$503,(MATCH(1,(SETUP!$B$19:$B$503=B14)*(SETUP!$D$19:$D$503=D14),0))))=2,(0),IF((INDEX(SETUP!$G$19:$G$503,(MATCH(1,(SETUP!$B$19:$B$503=B14)*(SETUP!$D$19:$D$503=D14),0))))=1,(0),0)))),0)))</f>
        <v>0</v>
      </c>
      <c r="AO14" s="359" cm="1">
        <f t="array" ref="AO14">IF((INDEX(SETUP!$F$19:$F$503,(MATCH(1,(SETUP!$B$19:$B$503=B14)*(SETUP!$D$19:$D$503=D14),0))))="Upfront",0,(IF((INDEX(SETUP!$F$19:$F$503,(MATCH(1,(SETUP!$B$19:$B$503=B14)*(SETUP!$D$19:$D$503=D14),0))))="At delivery",IF((INDEX(SETUP!$G$19:$G$503,(MATCH(1,(SETUP!$B$19:$B$503=B14)*(SETUP!$D$19:$D$503=D14),0))))=4,(SUMPRODUCT(('C19RM 2021-Lab &amp; Other HPS'!$A$14:$D$113=E14)*('C19RM 2021-Lab &amp; Other HPS'!$BH$14:$BH$113=BJ14)*('C19RM 2021-Lab &amp; Other HPS'!$BS$14:$BS$113)*(('C19RM 2021-Lab &amp; Other HPS'!$AV$14:$AV$113)))),IF((INDEX(SETUP!$G$19:$G$503,(MATCH(1,(SETUP!$B$19:$B$503=B14)*(SETUP!$D$19:$D$503=D14),0))))=3,(0),IF((INDEX(SETUP!$G$19:$G$503,(MATCH(1,(SETUP!$B$19:$B$503=B14)*(SETUP!$D$19:$D$503=D14),0))))=2,(0),IF((INDEX(SETUP!$G$19:$G$503,(MATCH(1,(SETUP!$B$19:$B$503=B14)*(SETUP!$D$19:$D$503=D14),0))))=1,(0),0)))),0)))</f>
        <v>0</v>
      </c>
      <c r="AP14" s="359"/>
      <c r="AQ14" s="359"/>
      <c r="AR14" s="359"/>
      <c r="AS14" s="359"/>
      <c r="AT14" s="942" cm="1">
        <f t="array" ref="AT14">IF(BG14&gt;=1,0,IFERROR(SUMPRODUCT(($R$2:$AO$2=$AT$4)*($E$5:$E$100=E14)*($BC$5:$BC$100=BC14)*($R$5:$AO$100)),0))</f>
        <v>0</v>
      </c>
      <c r="AU14" s="359" cm="1">
        <f t="array" ref="AU14">IF(BG14&gt;=1,0,IFERROR(SUMPRODUCT(($R$2:$AO$2=$AU$4)*($E$5:$E$100=E14)*($BC$5:$BC$100=BC14)*($R$5:$AO$100)),0))</f>
        <v>0</v>
      </c>
      <c r="AV14" s="359" cm="1">
        <f t="array" ref="AV14">IF(BG14&gt;=1,0,IFERROR(SUMPRODUCT(($R$2:$AO$2=$AV$4)*($E$5:$E$100=E14)*($BC$5:$BC$100=BC14)*($R$5:$AO$100)),0))</f>
        <v>0</v>
      </c>
      <c r="AW14" s="359" cm="1">
        <f t="array" ref="AW14">IF(BG14&gt;=1,0,IFERROR(SUMPRODUCT(($R$2:$AO$2=$AW$4)*($E$5:$E$100=E14)*($BC$5:$BC$100=BC14)*($R$5:$AO$100)),0))</f>
        <v>0</v>
      </c>
      <c r="AX14" s="359" cm="1">
        <f t="array" ref="AX14">IF(BG14&gt;=1,0,IFERROR(SUMPRODUCT(($R$2:$AO$2=$AX$4)*($E$5:$E$100=E14)*($BC$5:$BC$100=BC14)*($R$5:$AO$100)),0))</f>
        <v>0</v>
      </c>
      <c r="AY14" s="359">
        <f t="shared" si="5"/>
        <v>0</v>
      </c>
      <c r="AZ14" s="359"/>
      <c r="BA14" s="233">
        <f t="shared" si="6"/>
        <v>0</v>
      </c>
      <c r="BB14" s="220" t="s">
        <v>83</v>
      </c>
      <c r="BC14" t="s">
        <v>182</v>
      </c>
      <c r="BD14" cm="1">
        <f t="array" ref="BD14">(SUMPRODUCT(('C19RM 2021-Lab &amp; Other HPS'!$A$14:$D$650=E14)*('C19RM 2021-Lab &amp; Other HPS'!$BU$14:$BU$650)))</f>
        <v>0</v>
      </c>
      <c r="BE14" cm="1">
        <f t="array" ref="BE14">(SUMPRODUCT((SETUP!$D$20:$D$67=D14)*(SETUP!$R$20:$R$67)))</f>
        <v>0</v>
      </c>
      <c r="BF14" cm="1">
        <f t="array" ref="BF14">(SUMPRODUCT(('C19RM 2021-Lab &amp; Other HPS'!$A$14:$D$650=E14)*('C19RM 2021-Lab &amp; Other HPS'!$BV$14:$BV$650)))</f>
        <v>0</v>
      </c>
      <c r="BG14">
        <f t="shared" si="11"/>
        <v>0</v>
      </c>
      <c r="BJ14" s="235">
        <v>6.5</v>
      </c>
    </row>
    <row r="15" spans="1:62" x14ac:dyDescent="0.35">
      <c r="A15" s="235">
        <v>1</v>
      </c>
      <c r="B15" s="220" t="s">
        <v>2750</v>
      </c>
      <c r="C15" s="235" t="s">
        <v>3192</v>
      </c>
      <c r="D15" s="235" t="s">
        <v>13</v>
      </c>
      <c r="E15" s="235" t="s">
        <v>2755</v>
      </c>
      <c r="F15" s="220">
        <f>SETUP!$E$3</f>
        <v>0</v>
      </c>
      <c r="G15" s="220" t="str">
        <f ca="1">SETUP!$J$5</f>
        <v>NA</v>
      </c>
      <c r="H15" s="220" t="str">
        <f>SETUP!$E$9</f>
        <v>C19RM</v>
      </c>
      <c r="I15" s="232">
        <f t="shared" si="22"/>
        <v>44197</v>
      </c>
      <c r="J15" s="232">
        <f>SETUP!$L$14</f>
        <v>46022</v>
      </c>
      <c r="K15" s="220">
        <f>IFERROR(VLOOKUP(E15,'Master Data-C19RM'!$A$5:$B$35,2,0),0)</f>
        <v>0</v>
      </c>
      <c r="L15">
        <f t="shared" si="23"/>
        <v>0</v>
      </c>
      <c r="M15">
        <f>SETUP!$E$7</f>
        <v>0</v>
      </c>
      <c r="N15">
        <f>SETUP!$F$76</f>
        <v>6.1</v>
      </c>
      <c r="O15" t="str" cm="1">
        <f t="array" ref="O15">INDEX(SETUP!$E$19:$E$503,(MATCH(1,(SETUP!$B$19:$B$503=B15)*(SETUP!$D$19:$D$503=D15),0)))</f>
        <v>PR/SR</v>
      </c>
      <c r="P15" t="str" cm="1">
        <f t="array" ref="P15">INDEX(SETUP!$F$19:$F$503,(MATCH(1,(SETUP!$B$19:$B$503=B15)*(SETUP!$D$19:$D$503=D15),0)))</f>
        <v>At delivery</v>
      </c>
      <c r="Q15" cm="1">
        <f t="array" ref="Q15">INDEX(SETUP!$G$19:$G$503,(MATCH(1,(SETUP!$B$19:$B$503=B15)*(SETUP!$D$19:$D$503=D15),0)))</f>
        <v>1</v>
      </c>
      <c r="R15" s="359" cm="1">
        <f t="array" ref="R15">IF((INDEX(SETUP!$F$19:$F$503,(MATCH(1,(SETUP!$B$19:$B$503=B15)*(SETUP!$D$19:$D$503=D15),0))))="Upfront",(SUMPRODUCT(('C19RM 2021-Lab &amp; Other HPS'!$A$14:$D$113=E15)*('C19RM 2021-Lab &amp; Other HPS'!$BH$14:$BH$113=BJ15)*('C19RM 2021-Lab &amp; Other HPS'!$BO$14:$BO$113)*(('C19RM 2021-Lab &amp; Other HPS'!$Q$14:$Q$113)))),0)</f>
        <v>0</v>
      </c>
      <c r="S15" s="359" cm="1">
        <f t="array" ref="S15">IF((INDEX(SETUP!$F$19:$F$503,(MATCH(1,(SETUP!$B$19:$B$503=B15)*(SETUP!$D$19:$D$503=D15),0))))="Upfront",(SUMPRODUCT(('C19RM 2021-Lab &amp; Other HPS'!$A$14:$D$113=E15)*('C19RM 2021-Lab &amp; Other HPS'!$BH$14:$BH$113=BJ15)*('C19RM 2021-Lab &amp; Other HPS'!$BO$14:$BO$113)*(('C19RM 2021-Lab &amp; Other HPS'!$R$14:$R$113)))),(IF((INDEX(SETUP!$F$19:$F$503,(MATCH(1,(SETUP!$B$19:$B$503=B15)*(SETUP!$D$19:$D$503=D15),0))))="At delivery",IF((INDEX(SETUP!$G$19:$G$503,(MATCH(1,(SETUP!$B$19:$B$503=B15)*(SETUP!$D$19:$D$503=D15),0))))=1,(SUMPRODUCT(('C19RM 2021-Lab &amp; Other HPS'!$A$14:$D$113=E15)*('C19RM 2021-Lab &amp; Other HPS'!$BH$14:$BH$113=BJ15)*('C19RM 2021-Lab &amp; Other HPS'!$BO$14:$BO$113)*(('C19RM 2021-Lab &amp; Other HPS'!$Q$14:$Q$113)))),0),0)))</f>
        <v>0</v>
      </c>
      <c r="T15" s="359" cm="1">
        <f t="array" ref="T15">IF((INDEX(SETUP!$F$19:$F$503,(MATCH(1,(SETUP!$B$19:$B$503=B15)*(SETUP!$D$19:$D$503=D15),0))))="Upfront",(SUMPRODUCT(('C19RM 2021-Lab &amp; Other HPS'!$A$14:$D$113=E15)*('C19RM 2021-Lab &amp; Other HPS'!$BH$14:$BH$113=BJ15)*('C19RM 2021-Lab &amp; Other HPS'!$BO$14:$BO$113)*(('C19RM 2021-Lab &amp; Other HPS'!$S$14:$S$113)))),(IF((INDEX(SETUP!$F$19:$F$503,(MATCH(1,(SETUP!$B$19:$B$503=B15)*(SETUP!$D$19:$D$503=D15),0))))="At delivery",IF((INDEX(SETUP!$G$19:$G$503,(MATCH(1,(SETUP!$B$19:$B$503=B15)*(SETUP!$D$19:$D$503=D15),0))))=2,(SUMPRODUCT(('C19RM 2021-Lab &amp; Other HPS'!$A$14:$D$113=E15)*('C19RM 2021-Lab &amp; Other HPS'!$BH$14:$BH$113=BJ15)*('C19RM 2021-Lab &amp; Other HPS'!$BO$14:$BO$113)*(('C19RM 2021-Lab &amp; Other HPS'!$Q$14:$Q$113)))),IF((INDEX(SETUP!$G$19:$G$503,(MATCH(1,(SETUP!$B$19:$B$503=B15)*(SETUP!$D$19:$D$503=D15),0))))=1,(SUMPRODUCT(('C19RM 2021-Lab &amp; Other HPS'!$A$14:$D$113=E15)*('C19RM 2021-Lab &amp; Other HPS'!$BH$14:$BH$113=BJ15)*('C19RM 2021-Lab &amp; Other HPS'!$BO$14:$BO$113)*(('C19RM 2021-Lab &amp; Other HPS'!$R$14:$R$113)))),0)),0)))</f>
        <v>0</v>
      </c>
      <c r="U15" s="359" cm="1">
        <f t="array" ref="U15">IF((INDEX(SETUP!$F$19:$F$503,(MATCH(1,(SETUP!$B$19:$B$503=B15)*(SETUP!$D$19:$D$503=D15),0))))="Upfront",(SUMPRODUCT(('C19RM 2021-Lab &amp; Other HPS'!$A$14:$D$113=E15)*('C19RM 2021-Lab &amp; Other HPS'!$BH$14:$BH$113=BJ15)*('C19RM 2021-Lab &amp; Other HPS'!$BO$14:$BO$113)*(('C19RM 2021-Lab &amp; Other HPS'!$T$14:$T$113)))),(IF((INDEX(SETUP!$F$19:$F$503,(MATCH(1,(SETUP!$B$19:$B$503=B15)*(SETUP!$D$19:$D$503=D15),0))))="At delivery",IF((INDEX(SETUP!$G$19:$G$503,(MATCH(1,(SETUP!$B$19:$B$503=B15)*(SETUP!$D$19:$D$503=D15),0))))=3,(SUMPRODUCT(('C19RM 2021-Lab &amp; Other HPS'!$A$14:$D$113=E15)*('C19RM 2021-Lab &amp; Other HPS'!$BH$14:$BH$113=BJ15)*('C19RM 2021-Lab &amp; Other HPS'!$BO$14:$BO$113)*(('C19RM 2021-Lab &amp; Other HPS'!$Q$14:$Q$113)))),IF((INDEX(SETUP!$G$19:$G$503,(MATCH(1,(SETUP!$B$19:$B$503=B15)*(SETUP!$D$19:$D$503=D15),0))))=2,(SUMPRODUCT(('C19RM 2021-Lab &amp; Other HPS'!$A$14:$D$113=E15)*('C19RM 2021-Lab &amp; Other HPS'!$BH$14:$BH$113=BJ15)*('C19RM 2021-Lab &amp; Other HPS'!$BO$14:$BO$113)*(('C19RM 2021-Lab &amp; Other HPS'!$R$14:$R$113)))),IF((INDEX(SETUP!$G$19:$G$503,(MATCH(1,(SETUP!$B$19:$B$503=B15)*(SETUP!$D$19:$D$503=D15),0))))=1,(SUMPRODUCT(('C19RM 2021-Lab &amp; Other HPS'!$A$14:$D$113=E15)*('C19RM 2021-Lab &amp; Other HPS'!$BH$14:$BH$113=BJ15)*('C19RM 2021-Lab &amp; Other HPS'!$BO$14:$BO$113)*(('C19RM 2021-Lab &amp; Other HPS'!$S$14:$S$113)))),0))),0)))</f>
        <v>0</v>
      </c>
      <c r="V15" s="359" cm="1">
        <f t="array" ref="V15">IF((INDEX(SETUP!$F$19:$F$503,(MATCH(1,(SETUP!$B$19:$B$503=B15)*(SETUP!$D$19:$D$503=D15),0))))="Upfront",(SUMPRODUCT(('C19RM 2021-Lab &amp; Other HPS'!$A$14:$D$113=E15)*('C19RM 2021-Lab &amp; Other HPS'!$BH$14:$BH$113=BJ15)*('C19RM 2021-Lab &amp; Other HPS'!$BP$14:$BP$113)*(('C19RM 2021-Lab &amp; Other HPS'!$X$14:$X$113)))),(IF((INDEX(SETUP!$F$19:$F$503,(MATCH(1,(SETUP!$B$19:$B$503=B15)*(SETUP!$D$19:$D$503=D15),0))))="At delivery",IF((INDEX(SETUP!$G$19:$G$503,(MATCH(1,(SETUP!$B$19:$B$503=B15)*(SETUP!$D$19:$D$503=D15),0))))=4,(SUMPRODUCT(('C19RM 2021-Lab &amp; Other HPS'!$A$14:$D$113=E15)*('C19RM 2021-Lab &amp; Other HPS'!$BH$14:$BH$113=BJ15)*('C19RM 2021-Lab &amp; Other HPS'!$BO$14:$BO$113)*(('C19RM 2021-Lab &amp; Other HPS'!$Q$14:$Q$113)))),IF((INDEX(SETUP!$G$19:$G$503,(MATCH(1,(SETUP!$B$19:$B$503=B15)*(SETUP!$D$19:$D$503=D15),0))))=3,(SUMPRODUCT(('C19RM 2021-Lab &amp; Other HPS'!$A$14:$D$113=E15)*('C19RM 2021-Lab &amp; Other HPS'!$BH$14:$BH$113=BJ15)*('C19RM 2021-Lab &amp; Other HPS'!$BO$14:$BO$113)*(('C19RM 2021-Lab &amp; Other HPS'!$R$14:$R$113)))),IF((INDEX(SETUP!$G$19:$G$503,(MATCH(1,(SETUP!$B$19:$B$503=B15)*(SETUP!$D$19:$D$503=D15),0))))=2,(SUMPRODUCT(('C19RM 2021-Lab &amp; Other HPS'!$A$14:$D$113=E15)*('C19RM 2021-Lab &amp; Other HPS'!$BH$14:$BH$113=BJ15)*('C19RM 2021-Lab &amp; Other HPS'!$BO$14:$BO$113)*(('C19RM 2021-Lab &amp; Other HPS'!$S$14:$S$113)))),IF((INDEX(SETUP!$G$19:$G$503,(MATCH(1,(SETUP!$B$19:$B$503=B15)*(SETUP!$D$19:$D$503=D15),0))))=1,(SUMPRODUCT(('C19RM 2021-Lab &amp; Other HPS'!$A$14:$D$113=E15)*('C19RM 2021-Lab &amp; Other HPS'!$BH$14:$BH$113=BJ15)*('C19RM 2021-Lab &amp; Other HPS'!$BO$14:$BO$113)*(('C19RM 2021-Lab &amp; Other HPS'!$T$14:$T$113)))),0)))),0)))</f>
        <v>0</v>
      </c>
      <c r="W15" s="359" cm="1">
        <f t="array" ref="W15">IF((INDEX(SETUP!$F$19:$F$503,(MATCH(1,(SETUP!$B$19:$B$503=B15)*(SETUP!$D$19:$D$503=D15),0))))="Upfront",(SUMPRODUCT(('C19RM 2021-Lab &amp; Other HPS'!$A$14:$D$113=E15)*('C19RM 2021-Lab &amp; Other HPS'!$BH$14:$BH$113=BJ15)*('C19RM 2021-Lab &amp; Other HPS'!$BP$14:$BP$113)*(('C19RM 2021-Lab &amp; Other HPS'!$Y$14:$Y$113)))),(IF((INDEX(SETUP!$F$19:$F$503,(MATCH(1,(SETUP!$B$19:$B$503=B15)*(SETUP!$D$19:$D$503=D15),0))))="At delivery",IF((INDEX(SETUP!$G$19:$G$503,(MATCH(1,(SETUP!$B$19:$B$503=B15)*(SETUP!$D$19:$D$503=D15),0))))=4,(SUMPRODUCT(('C19RM 2021-Lab &amp; Other HPS'!$A$14:$D$113=E15)*('C19RM 2021-Lab &amp; Other HPS'!$BH$14:$BH$113=BJ15)*('C19RM 2021-Lab &amp; Other HPS'!$BO$14:$BO$113)*(('C19RM 2021-Lab &amp; Other HPS'!$R$14:$R$113)))),IF((INDEX(SETUP!$G$19:$G$503,(MATCH(1,(SETUP!$B$19:$B$503=B15)*(SETUP!$D$19:$D$503=D15),0))))=3,(SUMPRODUCT(('C19RM 2021-Lab &amp; Other HPS'!$A$14:$D$113=E15)*('C19RM 2021-Lab &amp; Other HPS'!$BH$14:$BH$113=BJ15)*('C19RM 2021-Lab &amp; Other HPS'!$BO$14:$BO$113)*(('C19RM 2021-Lab &amp; Other HPS'!$S$14:$S$113)))),IF((INDEX(SETUP!$G$19:$G$503,(MATCH(1,(SETUP!$B$19:$B$503=B15)*(SETUP!$D$19:$D$503=D15),0))))=2,((SUMPRODUCT(('C19RM 2021-Lab &amp; Other HPS'!$A$14:$D$113=E15)*('C19RM 2021-Lab &amp; Other HPS'!$BH$14:$BH$113=BJ15)*('C19RM 2021-Lab &amp; Other HPS'!$BO$14:$BO$113)*(('C19RM 2021-Lab &amp; Other HPS'!$T$14:$T$113))))),IF((INDEX(SETUP!$G$19:$G$503,(MATCH(1,(SETUP!$B$19:$B$503=B15)*(SETUP!$D$19:$D$503=D15),0))))=1,(SUMPRODUCT(('C19RM 2021-Lab &amp; Other HPS'!$A$14:$D$113=E15)*('C19RM 2021-Lab &amp; Other HPS'!$BH$14:$BH$113=BJ15)*('C19RM 2021-Lab &amp; Other HPS'!$BP$14:$BP$113)*(('C19RM 2021-Lab &amp; Other HPS'!$X$14:$X$113)))),0)))),0)))</f>
        <v>0</v>
      </c>
      <c r="X15" s="359" cm="1">
        <f t="array" ref="X15">IF((INDEX(SETUP!$F$19:$F$503,(MATCH(1,(SETUP!$B$19:$B$503=B15)*(SETUP!$D$19:$D$503=D15),0))))="Upfront",(SUMPRODUCT(('C19RM 2021-Lab &amp; Other HPS'!$A$14:$D$113=E15)*('C19RM 2021-Lab &amp; Other HPS'!$BH$14:$BH$113=BJ15)*('C19RM 2021-Lab &amp; Other HPS'!$BP$14:$BP$113)*(('C19RM 2021-Lab &amp; Other HPS'!$Z$14:$Z$113)))),(IF((INDEX(SETUP!$F$19:$F$503,(MATCH(1,(SETUP!$B$19:$B$503=B15)*(SETUP!$D$19:$D$503=D15),0))))="At delivery",IF((INDEX(SETUP!$G$19:$G$503,(MATCH(1,(SETUP!$B$19:$B$503=B15)*(SETUP!$D$19:$D$503=D15),0))))=4,(SUMPRODUCT(('C19RM 2021-Lab &amp; Other HPS'!$A$14:$D$113=E15)*('C19RM 2021-Lab &amp; Other HPS'!$BH$14:$BH$113=BJ15)*('C19RM 2021-Lab &amp; Other HPS'!$BO$14:$BO$113)*(('C19RM 2021-Lab &amp; Other HPS'!$S$14:$S$113)))),IF((INDEX(SETUP!$G$19:$G$503,(MATCH(1,(SETUP!$B$19:$B$503=B15)*(SETUP!$D$19:$D$503=D15),0))))=3,((SUMPRODUCT(('C19RM 2021-Lab &amp; Other HPS'!$A$14:$D$113=E15)*('C19RM 2021-Lab &amp; Other HPS'!$BH$14:$BH$113=BJ15)*('C19RM 2021-Lab &amp; Other HPS'!$BO$14:$BO$113)*(('C19RM 2021-Lab &amp; Other HPS'!$T$14:$T$113))))),IF((INDEX(SETUP!$G$19:$G$503,(MATCH(1,(SETUP!$B$19:$B$503=B15)*(SETUP!$D$19:$D$503=D15),0))))=2,(SUMPRODUCT(('C19RM 2021-Lab &amp; Other HPS'!$A$14:$D$113=E15)*('C19RM 2021-Lab &amp; Other HPS'!$BH$14:$BH$113=BJ15)*('C19RM 2021-Lab &amp; Other HPS'!$BP$14:$BP$113)*(('C19RM 2021-Lab &amp; Other HPS'!$X$14:$X$113)))),IF((INDEX(SETUP!$G$19:$G$503,(MATCH(1,(SETUP!$B$19:$B$503=B15)*(SETUP!$D$19:$D$503=D15),0))))=1,(SUMPRODUCT(('C19RM 2021-Lab &amp; Other HPS'!$A$14:$D$113=E15)*('C19RM 2021-Lab &amp; Other HPS'!$BH$14:$BH$113=BJ15)*('C19RM 2021-Lab &amp; Other HPS'!$BP$14:$BP$113)*(('C19RM 2021-Lab &amp; Other HPS'!$Y$14:$Y$113)))),0)))),0)))</f>
        <v>0</v>
      </c>
      <c r="Y15" s="359" cm="1">
        <f t="array" ref="Y15">IF((INDEX(SETUP!$F$19:$F$503,(MATCH(1,(SETUP!$B$19:$B$503=B15)*(SETUP!$D$19:$D$503=D15),0))))="Upfront",
(SUMPRODUCT(('C19RM 2021-Lab &amp; Other HPS'!$A$14:$D$113=E15)*('C19RM 2021-Lab &amp; Other HPS'!$BH$14:$BH$113=BJ15)*('C19RM 2021-Lab &amp; Other HPS'!$BP$14:$BP$113)*(('C19RM 2021-Lab &amp; Other HPS'!$AA$14:$AA$113)))),
(IF((INDEX(SETUP!$F$19:$F$503,(MATCH(1,(SETUP!$B$19:$B$503=B15)*(SETUP!$D$19:$D$503=D15),0))))="At delivery",
IF((INDEX(SETUP!$G$19:$G$503,(MATCH(1,(SETUP!$B$19:$B$503=B15)*(SETUP!$D$19:$D$503=D15),0))))=4,
((SUMPRODUCT(('C19RM 2021-Lab &amp; Other HPS'!$A$14:$D$113=E15)*('C19RM 2021-Lab &amp; Other HPS'!$BH$14:$BH$113=BJ15)*('C19RM 2021-Lab &amp; Other HPS'!$BO$14:$BO$113)*(('C19RM 2021-Lab &amp; Other HPS'!$T$14:$T$113))))),IF((INDEX(SETUP!$G$19:$G$503,(MATCH(1,(SETUP!$B$19:$B$503=B15)*(SETUP!$D$19:$D$503=D15),0))))=3,(SUMPRODUCT(('C19RM 2021-Lab &amp; Other HPS'!$A$14:$D$113=E15)*('C19RM 2021-Lab &amp; Other HPS'!$BH$14:$BH$113=BJ15)*('C19RM 2021-Lab &amp; Other HPS'!$BP$14:$BP$113)*(('C19RM 2021-Lab &amp; Other HPS'!$X$14:$X$113)))),IF((INDEX(SETUP!$G$19:$G$503,(MATCH(1,(SETUP!$B$19:$B$503=B15)*(SETUP!$D$19:$D$503=D15),0))))=2,(SUMPRODUCT(('C19RM 2021-Lab &amp; Other HPS'!$A$14:$D$113=E15)*('C19RM 2021-Lab &amp; Other HPS'!$BH$14:$BH$113=BJ15)*('C19RM 2021-Lab &amp; Other HPS'!$BP$14:$BP$113)*(('C19RM 2021-Lab &amp; Other HPS'!$Y$14:$Y$113)))),IF((INDEX(SETUP!$G$19:$G$503,(MATCH(1,(SETUP!$B$19:$B$503=B15)*(SETUP!$D$19:$D$503=D15),0))))=1,(SUMPRODUCT(('C19RM 2021-Lab &amp; Other HPS'!$A$14:$D$113=E15)*('C19RM 2021-Lab &amp; Other HPS'!$BH$14:$BH$113=BJ15)*('C19RM 2021-Lab &amp; Other HPS'!$BP$14:$BP$113)*(('C19RM 2021-Lab &amp; Other HPS'!$Z$14:$Z$113)))),0)))),0)))</f>
        <v>0</v>
      </c>
      <c r="Z15" s="359" cm="1">
        <f t="array" ref="Z15">IF((INDEX(SETUP!$F$19:$F$503,(MATCH(1,(SETUP!$B$19:$B$503=B15)*(SETUP!$D$19:$D$503=D15),0))))="Upfront",(SUMPRODUCT(('C19RM 2021-Lab &amp; Other HPS'!$A$14:$D$113=E15)*('C19RM 2021-Lab &amp; Other HPS'!$BH$14:$BH$113=BJ15)*('C19RM 2021-Lab &amp; Other HPS'!$BQ$14:$BQ$113)*(('C19RM 2021-Lab &amp; Other HPS'!$AE$14:$AE$113)))),(IF((INDEX(SETUP!$F$19:$F$503,(MATCH(1,(SETUP!$B$19:$B$503=B15)*(SETUP!$D$19:$D$503=D15),0))))="At delivery",IF((INDEX(SETUP!$G$19:$G$503,(MATCH(1,(SETUP!$B$19:$B$503=B15)*(SETUP!$D$19:$D$503=D15),0))))=4,(SUMPRODUCT(('C19RM 2021-Lab &amp; Other HPS'!$A$14:$D$113=E15)*('C19RM 2021-Lab &amp; Other HPS'!$BH$14:$BH$113=BJ15)*('C19RM 2021-Lab &amp; Other HPS'!$BP$14:$BP$113)*(('C19RM 2021-Lab &amp; Other HPS'!$X$14:$X$113)))),IF((INDEX(SETUP!$G$19:$G$503,(MATCH(1,(SETUP!$B$19:$B$503=B15)*(SETUP!$D$19:$D$503=D15),0))))=3,(SUMPRODUCT(('C19RM 2021-Lab &amp; Other HPS'!$A$14:$D$113=E15)*('C19RM 2021-Lab &amp; Other HPS'!$BH$14:$BH$113=BJ15)*('C19RM 2021-Lab &amp; Other HPS'!$BP$14:$BP$113)*(('C19RM 2021-Lab &amp; Other HPS'!$Y$14:$Y$113)))),IF((INDEX(SETUP!$G$19:$G$503,(MATCH(1,(SETUP!$B$19:$B$503=B15)*(SETUP!$D$19:$D$503=D15),0))))=2,(SUMPRODUCT(('C19RM 2021-Lab &amp; Other HPS'!$A$14:$D$113=E15)*('C19RM 2021-Lab &amp; Other HPS'!$BH$14:$BH$113=BJ15)*('C19RM 2021-Lab &amp; Other HPS'!$BP$14:$BP$113)*(('C19RM 2021-Lab &amp; Other HPS'!$Z$14:$Z$113)))),IF((INDEX(SETUP!$G$19:$G$503,(MATCH(1,(SETUP!$B$19:$B$503=B15)*(SETUP!$D$19:$D$503=D15),0))))=1,(SUMPRODUCT(('C19RM 2021-Lab &amp; Other HPS'!$A$14:$D$113=E15)*('C19RM 2021-Lab &amp; Other HPS'!$BH$14:$BH$113=BJ15)*('C19RM 2021-Lab &amp; Other HPS'!$BP$14:$BP$113)*(('C19RM 2021-Lab &amp; Other HPS'!$AA$14:$AA$113)))),0)))),0)))</f>
        <v>0</v>
      </c>
      <c r="AA15" s="359" cm="1">
        <f t="array" ref="AA15">IF((INDEX(SETUP!$F$19:$F$503,(MATCH(1,(SETUP!$B$19:$B$503=B15)*(SETUP!$D$19:$D$503=D15),0))))="Upfront",(SUMPRODUCT(('C19RM 2021-Lab &amp; Other HPS'!$A$14:$D$113=E15)*('C19RM 2021-Lab &amp; Other HPS'!$BH$14:$BH$113=BJ15)*('C19RM 2021-Lab &amp; Other HPS'!$BQ$14:$BQ$113)*(('C19RM 2021-Lab &amp; Other HPS'!$AF$14:$AF$113)))),(IF((INDEX(SETUP!$F$19:$F$503,(MATCH(1,(SETUP!$B$19:$B$503=B15)*(SETUP!$D$19:$D$503=D15),0))))="At delivery",IF((INDEX(SETUP!$G$19:$G$503,(MATCH(1,(SETUP!$B$19:$B$503=B15)*(SETUP!$D$19:$D$503=D15),0))))=4,(SUMPRODUCT(('C19RM 2021-Lab &amp; Other HPS'!$A$14:$D$113=E15)*('C19RM 2021-Lab &amp; Other HPS'!$BH$14:$BH$113=BJ15)*('C19RM 2021-Lab &amp; Other HPS'!$BP$14:$BP$113)*(('C19RM 2021-Lab &amp; Other HPS'!$Y$14:$Y$113)))),IF((INDEX(SETUP!$G$19:$G$503,(MATCH(1,(SETUP!$B$19:$B$503=B15)*(SETUP!$D$19:$D$503=D15),0))))=3,(SUMPRODUCT(('C19RM 2021-Lab &amp; Other HPS'!$A$14:$D$113=E15)*('C19RM 2021-Lab &amp; Other HPS'!$BH$14:$BH$113=BJ15)*('C19RM 2021-Lab &amp; Other HPS'!$BP$14:$BP$113)*(('C19RM 2021-Lab &amp; Other HPS'!$Z$14:$Z$113)))),IF((INDEX(SETUP!$G$19:$G$503,(MATCH(1,(SETUP!$B$19:$B$503=B15)*(SETUP!$D$19:$D$503=D15),0))))=2,((SUMPRODUCT(('C19RM 2021-Lab &amp; Other HPS'!$A$14:$D$113=E15)*('C19RM 2021-Lab &amp; Other HPS'!$BH$14:$BH$113=BJ15)*('C19RM 2021-Lab &amp; Other HPS'!$BP$14:$BP$113)*(('C19RM 2021-Lab &amp; Other HPS'!$AA$14:$AA$113))))),IF((INDEX(SETUP!$G$19:$G$503,(MATCH(1,(SETUP!$B$19:$B$503=B15)*(SETUP!$D$19:$D$503=D15),0))))=1,(SUMPRODUCT(('C19RM 2021-Lab &amp; Other HPS'!$A$14:$D$113=E15)*('C19RM 2021-Lab &amp; Other HPS'!$BH$14:$BH$113=BJ15)*('C19RM 2021-Lab &amp; Other HPS'!$BQ$14:$BQ$113)*(('C19RM 2021-Lab &amp; Other HPS'!$AE$14:$AE$113)))),0)))),0)))</f>
        <v>0</v>
      </c>
      <c r="AB15" s="359" cm="1">
        <f t="array" ref="AB15">IF((INDEX(SETUP!$F$19:$F$503,(MATCH(1,(SETUP!$B$19:$B$503=B15)*(SETUP!$D$19:$D$503=D15),0))))="Upfront",
(SUMPRODUCT(('C19RM 2021-Lab &amp; Other HPS'!$A$14:$D$113=E15)*('C19RM 2021-Lab &amp; Other HPS'!$BH$14:$BH$113=BJ15)*('C19RM 2021-Lab &amp; Other HPS'!$BQ$14:$BQ$113)*(('C19RM 2021-Lab &amp; Other HPS'!$AG$14:$AG$113)))),
(IF((INDEX(SETUP!$F$19:$F$503,(MATCH(1,(SETUP!$B$19:$B$503=B15)*(SETUP!$D$19:$D$503=D15),0))))="At delivery",
IF((INDEX(SETUP!$G$19:$G$503,(MATCH(1,(SETUP!$B$19:$B$503=B15)*(SETUP!$D$19:$D$503=D15),0))))=4,
(SUMPRODUCT(('C19RM 2021-Lab &amp; Other HPS'!$A$14:$D$113=E15)*('C19RM 2021-Lab &amp; Other HPS'!$BH$14:$BH$113=BJ15)*('C19RM 2021-Lab &amp; Other HPS'!$BP$14:$BP$113)*(('C19RM 2021-Lab &amp; Other HPS'!$Z$14:$Z$113)))),IF((INDEX(SETUP!$G$19:$G$503,(MATCH(1,(SETUP!$B$19:$B$503=B15)*(SETUP!$D$19:$D$503=D15),0))))=3,(SUMPRODUCT(('C19RM 2021-Lab &amp; Other HPS'!$A$14:$D$113=E15)*('C19RM 2021-Lab &amp; Other HPS'!$BH$14:$BH$113=BJ15)*('C19RM 2021-Lab &amp; Other HPS'!$BP$14:$BP$113)*(('C19RM 2021-Lab &amp; Other HPS'!$AA$14:$AA$113)))),IF((INDEX(SETUP!$G$19:$G$503,(MATCH(1,(SETUP!$B$19:$B$503=B15)*(SETUP!$D$19:$D$503=D15),0))))=2,(SUMPRODUCT(('C19RM 2021-Lab &amp; Other HPS'!$A$14:$D$113=E15)*('C19RM 2021-Lab &amp; Other HPS'!$BH$14:$BH$113=BJ15)*('C19RM 2021-Lab &amp; Other HPS'!$BQ$14:$BQ$113)*(('C19RM 2021-Lab &amp; Other HPS'!$AE$14:$AE$113)))),IF((INDEX(SETUP!$G$19:$G$503,(MATCH(1,(SETUP!$B$19:$B$503=B15)*(SETUP!$D$19:$D$503=D15),0))))=1,(SUMPRODUCT(('C19RM 2021-Lab &amp; Other HPS'!$A$14:$D$113=E15)*('C19RM 2021-Lab &amp; Other HPS'!$BH$14:$BH$113=BJ15)*('C19RM 2021-Lab &amp; Other HPS'!$BQ$14:$BQ$113)*(('C19RM 2021-Lab &amp; Other HPS'!$AF$14:$AF$113)))),0)))),0)))</f>
        <v>0</v>
      </c>
      <c r="AC15" s="359" cm="1">
        <f t="array" ref="AC15">IF((INDEX(SETUP!$F$19:$F$503,(MATCH(1,(SETUP!$B$19:$B$503=B15)*(SETUP!$D$19:$D$503=D15),0))))="Upfront",
(SUMPRODUCT(('C19RM 2021-Lab &amp; Other HPS'!$A$14:$D$113=E15)*('C19RM 2021-Lab &amp; Other HPS'!$BH$14:$BH$113=BJ15)*('C19RM 2021-Lab &amp; Other HPS'!$BQ$14:$BQ$113)*(('C19RM 2021-Lab &amp; Other HPS'!$AH$14:$AH$113)))),
(IF((INDEX(SETUP!$F$19:$F$503,(MATCH(1,(SETUP!$B$19:$B$503=B15)*(SETUP!$D$19:$D$503=D15),0))))="At delivery",
IF((INDEX(SETUP!$G$19:$G$503,(MATCH(1,(SETUP!$B$19:$B$503=B15)*(SETUP!$D$19:$D$503=D15),0))))=4,
(SUMPRODUCT(('C19RM 2021-Lab &amp; Other HPS'!$A$14:$D$113=E15)*('C19RM 2021-Lab &amp; Other HPS'!$BH$14:$BH$113=BJ15)*('C19RM 2021-Lab &amp; Other HPS'!$BP$14:$BP$113)*(('C19RM 2021-Lab &amp; Other HPS'!$AA$14:$AA$113)))),IF((INDEX(SETUP!$G$19:$G$503,(MATCH(1,(SETUP!$B$19:$B$503=B15)*(SETUP!$D$19:$D$503=D15),0))))=3,(SUMPRODUCT(('C19RM 2021-Lab &amp; Other HPS'!$A$14:$D$113=E15)*('C19RM 2021-Lab &amp; Other HPS'!$BH$14:$BH$113=BJ15)*('C19RM 2021-Lab &amp; Other HPS'!$BQ$14:$BQ$113)*(('C19RM 2021-Lab &amp; Other HPS'!$AE$14:$AE$113)))),IF((INDEX(SETUP!$G$19:$G$503,(MATCH(1,(SETUP!$B$19:$B$503=B15)*(SETUP!$D$19:$D$503=D15),0))))=2,(SUMPRODUCT(('C19RM 2021-Lab &amp; Other HPS'!$A$14:$D$113=E15)*('C19RM 2021-Lab &amp; Other HPS'!$BH$14:$BH$113=BJ15)*('C19RM 2021-Lab &amp; Other HPS'!$BQ$14:$BQ$113)*(('C19RM 2021-Lab &amp; Other HPS'!$AF$14:$AF$113)))),IF((INDEX(SETUP!$G$19:$G$503,(MATCH(1,(SETUP!$B$19:$B$503=B15)*(SETUP!$D$19:$D$503=D15),0))))=1,(SUMPRODUCT(('C19RM 2021-Lab &amp; Other HPS'!$A$14:$D$113=E15)*('C19RM 2021-Lab &amp; Other HPS'!$BH$14:$BH$113=BJ15)*('C19RM 2021-Lab &amp; Other HPS'!$BQ$14:$BQ$113)*(('C19RM 2021-Lab &amp; Other HPS'!$AG$14:$AG$113)))),0)))),0)))</f>
        <v>0</v>
      </c>
      <c r="AD15" s="359" cm="1">
        <f t="array" ref="AD15">IF((INDEX(SETUP!$F$19:$F$503,(MATCH(1,(SETUP!$B$19:$B$503=B15)*(SETUP!$D$19:$D$503=D15),0))))="Upfront",
(SUMPRODUCT(('C19RM 2021-Lab &amp; Other HPS'!$A$14:$D$113=E15)*('C19RM 2021-Lab &amp; Other HPS'!$BH$14:$BH$113=BJ15)*('C19RM 2021-Lab &amp; Other HPS'!$BR$14:$BR$113)*(('C19RM 2021-Lab &amp; Other HPS'!$AL$14:$AL$113)))),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HPS'!$AE$14:$AE$113)))),IF((INDEX(SETUP!$G$19:$G$503,(MATCH(1,(SETUP!$B$19:$B$503=B15)*(SETUP!$D$19:$D$503=D15),0))))=3,((SUMPRODUCT(('C19RM 2021-Lab &amp; Other HPS'!$A$14:$D$113=E15)*('C19RM 2021-Lab &amp; Other HPS'!$BH$14:$BH$113=BJ15)*('C19RM 2021-Lab &amp; Other HPS'!$BQ$14:$BQ$113)*(('C19RM 2021-Lab &amp; Other HPS'!$AF$14:$AF$113))))),IF((INDEX(SETUP!$G$19:$G$503,(MATCH(1,(SETUP!$B$19:$B$503=B15)*(SETUP!$D$19:$D$503=D15),0))))=2,(SUMPRODUCT(('C19RM 2021-Lab &amp; Other HPS'!$A$14:$D$113=E15)*('C19RM 2021-Lab &amp; Other HPS'!$BH$14:$BH$113=BJ15)*('C19RM 2021-Lab &amp; Other HPS'!$BQ$14:$BQ$113)*(('C19RM 2021-Lab &amp; Other HPS'!$AG$14:$AG$113)))),IF((INDEX(SETUP!$G$19:$G$503,(MATCH(1,(SETUP!$B$19:$B$503=B15)*(SETUP!$D$19:$D$503=D15),0))))=1,(SUMPRODUCT(('C19RM 2021-Lab &amp; Other HPS'!$A$14:$D$113=E15)*('C19RM 2021-Lab &amp; Other HPS'!$BH$14:$BH$113=BJ15)*('C19RM 2021-Lab &amp; Other HPS'!$BQ$14:$BQ$113)*(('C19RM 2021-Lab &amp; Other HPS'!$AH$14:$AH$113)))),0)))),0)))</f>
        <v>0</v>
      </c>
      <c r="AE15" s="359" cm="1">
        <f t="array" ref="AE15">IF((INDEX(SETUP!$F$19:$F$503,(MATCH(1,(SETUP!$B$19:$B$503=B15)*(SETUP!$D$19:$D$503=D15),0))))="Upfront",
(SUMPRODUCT(('C19RM 2021-Lab &amp; Other HPS'!$A$14:$D$113=E15)*('C19RM 2021-Lab &amp; Other HPS'!$BH$14:$BH$113=BJ15)*('C19RM 2021-Lab &amp; Other HPS'!$BR$14:$BR$113)*(('C19RM 2021-Lab &amp; Other HPS'!$AM$14:$AM$113)))),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HPS'!$AF$14:$AF$113)))),IF((INDEX(SETUP!$G$19:$G$503,(MATCH(1,(SETUP!$B$19:$B$503=B15)*(SETUP!$D$19:$D$503=D15),0))))=3,(SUMPRODUCT(('C19RM 2021-Lab &amp; Other HPS'!$A$14:$D$113=E15)*('C19RM 2021-Lab &amp; Other HPS'!$BH$14:$BH$113=BJ15)*('C19RM 2021-Lab &amp; Other HPS'!$BQ$14:$BQ$113)*(('C19RM 2021-Lab &amp; Other HPS'!$AG$14:$AG$113)))),IF((INDEX(SETUP!$G$19:$G$503,(MATCH(1,(SETUP!$B$19:$B$503=B15)*(SETUP!$D$19:$D$503=D15),0))))=2,(SUMPRODUCT(('C19RM 2021-Lab &amp; Other HPS'!$A$14:$D$113=E15)*('C19RM 2021-Lab &amp; Other HPS'!$BH$14:$BH$113=BJ15)*('C19RM 2021-Lab &amp; Other HPS'!$BQ$14:$BQ$113)*(('C19RM 2021-Lab &amp; Other HPS'!$AH$14:$AH$113)))),IF((INDEX(SETUP!$G$19:$G$503,(MATCH(1,(SETUP!$B$19:$B$503=B15)*(SETUP!$D$19:$D$503=D15),0))))=1,(SUMPRODUCT(('C19RM 2021-Lab &amp; Other HPS'!$A$14:$D$113=E15)*('C19RM 2021-Lab &amp; Other HPS'!$BH$14:$BH$113=BJ15)*('C19RM 2021-Lab &amp; Other HPS'!$BR$14:$BR$113)*(('C19RM 2021-Lab &amp; Other HPS'!$AL$14:$AL$113)))),0)))),0)))</f>
        <v>0</v>
      </c>
      <c r="AF15" s="359" cm="1">
        <f t="array" ref="AF15">IF((INDEX(SETUP!$F$19:$F$503,(MATCH(1,(SETUP!$B$19:$B$503=B15)*(SETUP!$D$19:$D$503=D15),0))))="Upfront",
(SUMPRODUCT(('C19RM 2021-Lab &amp; Other HPS'!$A$14:$D$113=E15)*('C19RM 2021-Lab &amp; Other HPS'!$BH$14:$BH$113=BJ15)*('C19RM 2021-Lab &amp; Other HPS'!$BR$14:$BR$113)*(('C19RM 2021-Lab &amp; Other HPS'!$AN$14:$AN$113)))),
(IF((INDEX(SETUP!$F$19:$F$503,(MATCH(1,(SETUP!$B$19:$B$503=B15)*(SETUP!$D$19:$D$503=D15),0))))="At delivery",
IF((INDEX(SETUP!$G$19:$G$503,(MATCH(1,(SETUP!$B$19:$B$503=B15)*(SETUP!$D$19:$D$503=D15),0))))=4,
(SUMPRODUCT(('C19RM 2021-Lab &amp; Other HPS'!$A$14:$D$113=E15)*('C19RM 2021-Lab &amp; Other HPS'!$BH$14:$BH$113=BJ15)*('C19RM 2021-Lab &amp; Other HPS'!$BQ$14:$BQ$113)*(('C19RM 2021-Lab &amp; Other HPS'!$AG$14:$AG$113)))),IF((INDEX(SETUP!$G$19:$G$503,(MATCH(1,(SETUP!$B$19:$B$503=B15)*(SETUP!$D$19:$D$503=D15),0))))=3,(SUMPRODUCT(('C19RM 2021-Lab &amp; Other HPS'!$A$14:$D$113=E15)*('C19RM 2021-Lab &amp; Other HPS'!$BH$14:$BH$113=BJ15)*('C19RM 2021-Lab &amp; Other HPS'!$BQ$14:$BQ$113)*(('C19RM 2021-Lab &amp; Other HPS'!$AH$14:$AH$113)))),IF((INDEX(SETUP!$G$19:$G$503,(MATCH(1,(SETUP!$B$19:$B$503=B15)*(SETUP!$D$19:$D$503=D15),0))))=2,(SUMPRODUCT(('C19RM 2021-Lab &amp; Other HPS'!$A$14:$D$113=E15)*('C19RM 2021-Lab &amp; Other HPS'!$BH$14:$BH$113=BJ15)*('C19RM 2021-Lab &amp; Other HPS'!$BR$14:$BR$113)*(('C19RM 2021-Lab &amp; Other HPS'!$AL$14:$AL$113)))),IF((INDEX(SETUP!$G$19:$G$503,(MATCH(1,(SETUP!$B$19:$B$503=B15)*(SETUP!$D$19:$D$503=D15),0))))=1,(SUMPRODUCT(('C19RM 2021-Lab &amp; Other HPS'!$A$14:$D$113=E15)*('C19RM 2021-Lab &amp; Other HPS'!$BH$14:$BH$113=BJ15)*('C19RM 2021-Lab &amp; Other HPS'!$BR$14:$BR$113)*(('C19RM 2021-Lab &amp; Other HPS'!$AM$14:$AM$113)))),0)))),0)))</f>
        <v>0</v>
      </c>
      <c r="AG15" s="359" cm="1">
        <f t="array" ref="AG15">IF((INDEX(SETUP!$F$19:$F$503,(MATCH(1,(SETUP!$B$19:$B$503=B15)*(SETUP!$D$19:$D$503=D15),0))))="Upfront",(SUMPRODUCT(('C19RM 2021-Lab &amp; Other HPS'!$A$14:$D$113=E15)*('C19RM 2021-Lab &amp; Other HPS'!$BH$14:$BH$113=BJ15)*('C19RM 2021-Lab &amp; Other HPS'!$BR$14:$BR$113)*(('C19RM 2021-Lab &amp; Other HPS'!$AO$14:$AO$113)))),(IF((INDEX(SETUP!$F$19:$F$503,(MATCH(1,(SETUP!$B$19:$B$503=B15)*(SETUP!$D$19:$D$503=D15),0))))="At delivery",IF((INDEX(SETUP!$G$19:$G$503,(MATCH(1,(SETUP!$B$19:$B$503=B15)*(SETUP!$D$19:$D$503=D15),0))))=4,(SUMPRODUCT(('C19RM 2021-Lab &amp; Other HPS'!$A$14:$D$113=E15)*('C19RM 2021-Lab &amp; Other HPS'!$BH$14:$BH$113=BJ15)*('C19RM 2021-Lab &amp; Other HPS'!$BQ$14:$BQ$113)*(('C19RM 2021-Lab &amp; Other HPS'!$AH$14:$AH$113)))),IF((INDEX(SETUP!$G$19:$G$503,(MATCH(1,(SETUP!$B$19:$B$503=B15)*(SETUP!$D$19:$D$503=D15),0))))=3,(SUMPRODUCT(('C19RM 2021-Lab &amp; Other HPS'!$A$14:$D$113=E15)*('C19RM 2021-Lab &amp; Other HPS'!$BH$14:$BH$113=BJ15)*('C19RM 2021-Lab &amp; Other HPS'!$BR$14:$BR$113)*(('C19RM 2021-Lab &amp; Other HPS'!$AL$14:$AL$113)))),IF((INDEX(SETUP!$G$19:$G$503,(MATCH(1,(SETUP!$B$19:$B$503=B15)*(SETUP!$D$19:$D$503=D15),0))))=2,(SUMPRODUCT(('C19RM 2021-Lab &amp; Other HPS'!$A$14:$D$113=E15)*('C19RM 2021-Lab &amp; Other HPS'!$BH$14:$BH$113=BJ15)*('C19RM 2021-Lab &amp; Other HPS'!$BR$14:$BR$113)*(('C19RM 2021-Lab &amp; Other HPS'!$AM$14:$AM$113)))),IF((INDEX(SETUP!$G$19:$G$503,(MATCH(1,(SETUP!$B$19:$B$503=B15)*(SETUP!$D$19:$D$503=D15),0))))=1,(SUMPRODUCT(('C19RM 2021-Lab &amp; Other HPS'!$A$14:$D$113=E15)*('C19RM 2021-Lab &amp; Other HPS'!$BH$14:$BH$113=BJ15)*('C19RM 2021-Lab &amp; Other HPS'!$BR$14:$BR$113)*(('C19RM 2021-Lab &amp; Other HPS'!$AN$14:$AN$113)))),0)))),0)))</f>
        <v>0</v>
      </c>
      <c r="AH15" s="359" cm="1">
        <f t="array" ref="AH15">IF((INDEX(SETUP!$F$19:$F$503,(MATCH(1,(SETUP!$B$19:$B$503=B15)*(SETUP!$D$19:$D$503=D15),0))))="Upfront",
(SUMPRODUCT(('C19RM 2021-Lab &amp; Other HPS'!$A$14:$D$113=E15)*('C19RM 2021-Lab &amp; Other HPS'!$BH$14:$BH$113=BJ15)*('C19RM 2021-Lab &amp; Other HPS'!$BH$14:$BH$113=BJ15)*('C19RM 2021-Lab &amp; Other HPS'!$BS$14:$BS$113)*(('C19RM 2021-Lab &amp; Other HPS'!$AS$14:$AS$113)))),
(IF((INDEX(SETUP!$F$19:$F$503,(MATCH(1,(SETUP!$B$19:$B$503=B15)*(SETUP!$D$19:$D$503=D15),0))))="At delivery",
IF((INDEX(SETUP!$G$19:$G$503,(MATCH(1,(SETUP!$B$19:$B$503=B15)*(SETUP!$D$19:$D$503=D15),0))))=4,
(SUMPRODUCT(('C19RM 2021-Lab &amp; Other HPS'!$A$14:$D$113=E15)*('C19RM 2021-Lab &amp; Other HPS'!$BH$14:$BH$113=BJ15)*('C19RM 2021-Lab &amp; Other HPS'!$BH$14:$BH$113=BJ15)*('C19RM 2021-Lab &amp; Other HPS'!$BR$14:$BR$113)*(('C19RM 2021-Lab &amp; Other HPS'!$AL$14:$AL$113)))),IF((INDEX(SETUP!$G$19:$G$503,(MATCH(1,(SETUP!$B$19:$B$503=B15)*(SETUP!$D$19:$D$503=D15),0))))=3,((SUMPRODUCT(('C19RM 2021-Lab &amp; Other HPS'!$A$14:$D$113=E15)*('C19RM 2021-Lab &amp; Other HPS'!$BH$14:$BH$113=BJ15)*('C19RM 2021-Lab &amp; Other HPS'!$BH$14:$BH$113=BJ15)*('C19RM 2021-Lab &amp; Other HPS'!$BR$14:$BR$113)*(('C19RM 2021-Lab &amp; Other HPS'!$AM$14:$AM$113))))),IF((INDEX(SETUP!$G$19:$G$503,(MATCH(1,(SETUP!$B$19:$B$503=B15)*(SETUP!$D$19:$D$503=D15),0))))=2,(SUMPRODUCT(('C19RM 2021-Lab &amp; Other HPS'!$A$14:$D$113=E15)*('C19RM 2021-Lab &amp; Other HPS'!$BH$14:$BH$113=BJ15)*('C19RM 2021-Lab &amp; Other HPS'!$BR$14:$BR$113)*(('C19RM 2021-Lab &amp; Other HPS'!$AN$14:$AN$113)))),IF((INDEX(SETUP!$G$19:$G$503,(MATCH(1,(SETUP!$B$19:$B$503=B15)*(SETUP!$D$19:$D$503=D15),0))))=1,(SUMPRODUCT(('C19RM 2021-Lab &amp; Other HPS'!$A$14:$D$113=E15)*('C19RM 2021-Lab &amp; Other HPS'!$BH$14:$BH$113=BJ15)*('C19RM 2021-Lab &amp; Other HPS'!$BR$14:$BR$113)*(('C19RM 2021-Lab &amp; Other HPS'!$AO$14:$AO$113)))),0)))),0)))</f>
        <v>0</v>
      </c>
      <c r="AI15" s="359" cm="1">
        <f t="array" ref="AI15">IF((INDEX(SETUP!$F$19:$F$503,(MATCH(1,(SETUP!$B$19:$B$503=B15)*(SETUP!$D$19:$D$503=D15),0))))="Upfront",
(SUMPRODUCT(('C19RM 2021-Lab &amp; Other HPS'!$A$14:$D$113=E15)*('C19RM 2021-Lab &amp; Other HPS'!$BH$14:$BH$113=BJ15)*('C19RM 2021-Lab &amp; Other HPS'!$BS$14:$BS$113)*(('C19RM 2021-Lab &amp; Other HPS'!$AT$14:$AT$113)))),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HPS'!$AM$14:$AM$113)))),IF((INDEX(SETUP!$G$19:$G$503,(MATCH(1,(SETUP!$B$19:$B$503=B15)*(SETUP!$D$19:$D$503=D15),0))))=3,((SUMPRODUCT(('C19RM 2021-Lab &amp; Other HPS'!$A$14:$D$113=E15)*('C19RM 2021-Lab &amp; Other HPS'!$BH$14:$BH$113=BJ15)*('C19RM 2021-Lab &amp; Other HPS'!$BR$14:$BR$113)*(('C19RM 2021-Lab &amp; Other HPS'!$AN$14:$AN$113))))),IF((INDEX(SETUP!$G$19:$G$503,(MATCH(1,(SETUP!$B$19:$B$503=B15)*(SETUP!$D$19:$D$503=D15),0))))=2,(SUMPRODUCT(('C19RM 2021-Lab &amp; Other HPS'!$A$14:$D$113=E15)*('C19RM 2021-Lab &amp; Other HPS'!$BH$14:$BH$113=BJ15)*('C19RM 2021-Lab &amp; Other HPS'!$BR$14:$BR$113)*(('C19RM 2021-Lab &amp; Other HPS'!$AO$14:$AO$113)))),IF((INDEX(SETUP!$G$19:$G$503,(MATCH(1,(SETUP!$B$19:$B$503=B15)*(SETUP!$D$19:$D$503=D15),0))))=1,(SUMPRODUCT(('C19RM 2021-Lab &amp; Other HPS'!$A$14:$D$113=E15)*('C19RM 2021-Lab &amp; Other HPS'!$BH$14:$BH$113=BJ15)*('C19RM 2021-Lab &amp; Other HPS'!$BS$14:$BS$113)*(('C19RM 2021-Lab &amp; Other HPS'!$AS$14:$AS$113)))),0)))),0)))</f>
        <v>0</v>
      </c>
      <c r="AJ15" s="359" cm="1">
        <f t="array" ref="AJ15">IF((INDEX(SETUP!$F$19:$F$503,(MATCH(1,(SETUP!$B$19:$B$503=B15)*(SETUP!$D$19:$D$503=D15),0))))="Upfront",
(SUMPRODUCT(('C19RM 2021-Lab &amp; Other HPS'!$A$14:$D$113=E15)*('C19RM 2021-Lab &amp; Other HPS'!$BH$14:$BH$113=BJ15)*('C19RM 2021-Lab &amp; Other HPS'!$BS$14:$BS$113)*(('C19RM 2021-Lab &amp; Other HPS'!$AU$14:$AU$113)))),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HPS'!$AN$14:$AN$113)))),IF((INDEX(SETUP!$G$19:$G$503,(MATCH(1,(SETUP!$B$19:$B$503=B15)*(SETUP!$D$19:$D$503=D15),0))))=3,((SUMPRODUCT(('C19RM 2021-Lab &amp; Other HPS'!$A$14:$D$113=E15)*('C19RM 2021-Lab &amp; Other HPS'!$BH$14:$BH$113=BJ15)*('C19RM 2021-Lab &amp; Other HPS'!$BR$14:$BR$113)*(('C19RM 2021-Lab &amp; Other HPS'!$AO$14:$AO$113))))),IF((INDEX(SETUP!$G$19:$G$503,(MATCH(1,(SETUP!$B$19:$B$503=B15)*(SETUP!$D$19:$D$503=D15),0))))=2,(SUMPRODUCT(('C19RM 2021-Lab &amp; Other HPS'!$A$14:$D$113=E15)*('C19RM 2021-Lab &amp; Other HPS'!$BH$14:$BH$113=BJ15)*('C19RM 2021-Lab &amp; Other HPS'!$BS$14:$BS$113)*(('C19RM 2021-Lab &amp; Other HPS'!$AS$14:$AS$113)))),IF((INDEX(SETUP!$G$19:$G$503,(MATCH(1,(SETUP!$B$19:$B$503=B15)*(SETUP!$D$19:$D$503=D15),0))))=1,(SUMPRODUCT(('C19RM 2021-Lab &amp; Other HPS'!$A$14:$D$113=E15)*('C19RM 2021-Lab &amp; Other HPS'!$BH$14:$BH$113=BJ15)*('C19RM 2021-Lab &amp; Other HPS'!$BS$14:$BS$113)*(('C19RM 2021-Lab &amp; Other HPS'!$AT$14:$AT$113)))),0)))),0)))</f>
        <v>0</v>
      </c>
      <c r="AK15" s="359" cm="1">
        <f t="array" ref="AK15">IF((INDEX(SETUP!$F$19:$F$503,(MATCH(1,(SETUP!$B$19:$B$503=B15)*(SETUP!$D$19:$D$503=D15),0))))="Upfront",
(SUMPRODUCT(('C19RM 2021-Lab &amp; Other HPS'!$A$14:$D$113=E15)*('C19RM 2021-Lab &amp; Other HPS'!$BH$14:$BH$113=BJ15)*('C19RM 2021-Lab &amp; Other HPS'!$BS$14:$BS$113)*(('C19RM 2021-Lab &amp; Other HPS'!$AV$14:$AV$113)))),
(IF((INDEX(SETUP!$F$19:$F$503,(MATCH(1,(SETUP!$B$19:$B$503=B15)*(SETUP!$D$19:$D$503=D15),0))))="At delivery",
IF((INDEX(SETUP!$G$19:$G$503,(MATCH(1,(SETUP!$B$19:$B$503=B15)*(SETUP!$D$19:$D$503=D15),0))))=4,
(SUMPRODUCT(('C19RM 2021-Lab &amp; Other HPS'!$A$14:$D$113=E15)*('C19RM 2021-Lab &amp; Other HPS'!$BH$14:$BH$113=BJ15)*('C19RM 2021-Lab &amp; Other HPS'!$BR$14:$BR$113)*(('C19RM 2021-Lab &amp; Other HPS'!$AO$14:$AO$113)))),IF((INDEX(SETUP!$G$19:$G$503,(MATCH(1,(SETUP!$B$19:$B$503=B15)*(SETUP!$D$19:$D$503=D15),0))))=3,((SUMPRODUCT(('C19RM 2021-Lab &amp; Other HPS'!$A$14:$D$113=E15)*('C19RM 2021-Lab &amp; Other HPS'!$BH$14:$BH$113=BJ15)*('C19RM 2021-Lab &amp; Other HPS'!$BS$14:$BS$113)*(('C19RM 2021-Lab &amp; Other HPS'!$AS$14:$AS$113))))),IF((INDEX(SETUP!$G$19:$G$503,(MATCH(1,(SETUP!$B$19:$B$503=B15)*(SETUP!$D$19:$D$503=D15),0))))=2,(SUMPRODUCT(('C19RM 2021-Lab &amp; Other HPS'!$A$14:$D$113=E15)*('C19RM 2021-Lab &amp; Other HPS'!$BH$14:$BH$113=BJ15)*('C19RM 2021-Lab &amp; Other HPS'!$BS$14:$BS$113)*(('C19RM 2021-Lab &amp; Other HPS'!$AT$14:$AT$113)))),IF((INDEX(SETUP!$G$19:$G$503,(MATCH(1,(SETUP!$B$19:$B$503=B15)*(SETUP!$D$19:$D$503=D15),0))))=1,(SUMPRODUCT(('C19RM 2021-Lab &amp; Other HPS'!$A$14:$D$113=E15)*('C19RM 2021-Lab &amp; Other HPS'!$BH$14:$BH$113=BJ15)*('C19RM 2021-Lab &amp; Other HPS'!$BS$14:$BS$113)*(('C19RM 2021-Lab &amp; Other HPS'!$AU$14:$AU$113)))),0)))),0)))</f>
        <v>0</v>
      </c>
      <c r="AL15" s="359" cm="1">
        <f t="array" ref="AL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HPS'!$AS$14:$AS$113)))),IF((INDEX(SETUP!$G$19:$G$503,(MATCH(1,(SETUP!$B$19:$B$503=B15)*(SETUP!$D$19:$D$503=D15),0))))=3,(SUMPRODUCT(('C19RM 2021-Lab &amp; Other HPS'!$A$14:$D$113=E15)*('C19RM 2021-Lab &amp; Other HPS'!$BH$14:$BH$113=BJ15)*('C19RM 2021-Lab &amp; Other HPS'!$BS$14:$BS$113)*(('C19RM 2021-Lab &amp; Other HPS'!$AT$14:$AT$113)))),IF((INDEX(SETUP!$G$19:$G$503,(MATCH(1,(SETUP!$B$19:$B$503=B15)*(SETUP!$D$19:$D$503=D15),0))))=2,(SUMPRODUCT(('C19RM 2021-Lab &amp; Other HPS'!$A$14:$D$113=E15)*('C19RM 2021-Lab &amp; Other HPS'!$BH$14:$BH$113=BJ15)*('C19RM 2021-Lab &amp; Other HPS'!$BS$14:$BS$113)*(('C19RM 2021-Lab &amp; Other HPS'!$AU$14:$AU$113)))),
IF((INDEX(SETUP!$G$19:$G$503,(MATCH(1,(SETUP!$B$19:$B$503=B15)*(SETUP!$D$19:$D$503=D15),0))))=1,
(SUMPRODUCT(('C19RM 2021-Lab &amp; Other HPS'!$A$14:$D$113=E15)*('C19RM 2021-Lab &amp; Other HPS'!$BH$14:$BH$113=BJ15)*('C19RM 2021-Lab &amp; Other HPS'!$BS$14:$BS$113)*(('C19RM 2021-Lab &amp; Other HPS'!$AV$14:$AV$113)))),0)))),0)))</f>
        <v>0</v>
      </c>
      <c r="AM15" s="359" cm="1">
        <f t="array" ref="AM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HPS'!$AT$14:$AT$113)))),IF((INDEX(SETUP!$G$19:$G$503,(MATCH(1,(SETUP!$B$19:$B$503=B15)*(SETUP!$D$19:$D$503=D15),0))))=3,(SUMPRODUCT(('C19RM 2021-Lab &amp; Other HPS'!$A$14:$D$113=E15)*('C19RM 2021-Lab &amp; Other HPS'!$BH$14:$BH$113=BJ15)*('C19RM 2021-Lab &amp; Other HPS'!$BS$14:$BS$113)*(('C19RM 2021-Lab &amp; Other HPS'!$AU$14:$AU$113)))),IF((INDEX(SETUP!$G$19:$G$503,(MATCH(1,(SETUP!$B$19:$B$503=B15)*(SETUP!$D$19:$D$503=D15),0))))=2,(SUMPRODUCT(('C19RM 2021-Lab &amp; Other HPS'!$A$14:$D$113=E15)*('C19RM 2021-Lab &amp; Other HPS'!$BH$14:$BH$113=BJ15)*('C19RM 2021-Lab &amp; Other HPS'!$BS$14:$BS$113)*(('C19RM 2021-Lab &amp; Other HPS'!$AV$14:$AV$113)))),IF((INDEX(SETUP!$G$19:$G$503,(MATCH(1,(SETUP!$B$19:$B$503=B15)*(SETUP!$D$19:$D$503=D15),0))))=1,(0),0)))),0)))</f>
        <v>0</v>
      </c>
      <c r="AN15" s="359" cm="1">
        <f t="array" ref="AN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HPS'!$AU$14:$AU$113)))),IF((INDEX(SETUP!$G$19:$G$503,(MATCH(1,(SETUP!$B$19:$B$503=B15)*(SETUP!$D$19:$D$503=D15),0))))=3,(SUMPRODUCT(('C19RM 2021-Lab &amp; Other HPS'!$A$14:$D$113=E15)*('C19RM 2021-Lab &amp; Other HPS'!$BH$14:$BH$113=BJ15)*('C19RM 2021-Lab &amp; Other HPS'!$BS$14:$BS$113)*(('C19RM 2021-Lab &amp; Other HPS'!$AV$14:$AV$113)))),IF((INDEX(SETUP!$G$19:$G$503,(MATCH(1,(SETUP!$B$19:$B$503=B15)*(SETUP!$D$19:$D$503=D15),0))))=2,(0),IF((INDEX(SETUP!$G$19:$G$503,(MATCH(1,(SETUP!$B$19:$B$503=B15)*(SETUP!$D$19:$D$503=D15),0))))=1,(0),0)))),0)))</f>
        <v>0</v>
      </c>
      <c r="AO15" s="359" cm="1">
        <f t="array" ref="AO15">IF((INDEX(SETUP!$F$19:$F$503,(MATCH(1,(SETUP!$B$19:$B$503=B15)*(SETUP!$D$19:$D$503=D15),0))))="Upfront",0,(IF((INDEX(SETUP!$F$19:$F$503,(MATCH(1,(SETUP!$B$19:$B$503=B15)*(SETUP!$D$19:$D$503=D15),0))))="At delivery",IF((INDEX(SETUP!$G$19:$G$503,(MATCH(1,(SETUP!$B$19:$B$503=B15)*(SETUP!$D$19:$D$503=D15),0))))=4,(SUMPRODUCT(('C19RM 2021-Lab &amp; Other HPS'!$A$14:$D$113=E15)*('C19RM 2021-Lab &amp; Other HPS'!$BH$14:$BH$113=BJ15)*('C19RM 2021-Lab &amp; Other HPS'!$BS$14:$BS$113)*(('C19RM 2021-Lab &amp; Other HPS'!$AV$14:$AV$113)))),IF((INDEX(SETUP!$G$19:$G$503,(MATCH(1,(SETUP!$B$19:$B$503=B15)*(SETUP!$D$19:$D$503=D15),0))))=3,(0),IF((INDEX(SETUP!$G$19:$G$503,(MATCH(1,(SETUP!$B$19:$B$503=B15)*(SETUP!$D$19:$D$503=D15),0))))=2,(0),IF((INDEX(SETUP!$G$19:$G$503,(MATCH(1,(SETUP!$B$19:$B$503=B15)*(SETUP!$D$19:$D$503=D15),0))))=1,(0),0)))),0)))</f>
        <v>0</v>
      </c>
      <c r="AP15" s="359"/>
      <c r="AQ15" s="359"/>
      <c r="AR15" s="359"/>
      <c r="AS15" s="359"/>
      <c r="AT15" s="942" cm="1">
        <f t="array" ref="AT15">IF(BG15&gt;=1,0,IFERROR(SUMPRODUCT(($R$2:$AO$2=$AT$4)*($E$5:$E$100=E15)*($BC$5:$BC$100=BC15)*($R$5:$AO$100)),0))</f>
        <v>0</v>
      </c>
      <c r="AU15" s="359" cm="1">
        <f t="array" ref="AU15">IF(BG15&gt;=1,0,IFERROR(SUMPRODUCT(($R$2:$AO$2=$AU$4)*($E$5:$E$100=E15)*($BC$5:$BC$100=BC15)*($R$5:$AO$100)),0))</f>
        <v>0</v>
      </c>
      <c r="AV15" s="359" cm="1">
        <f t="array" ref="AV15">IF(BG15&gt;=1,0,IFERROR(SUMPRODUCT(($R$2:$AO$2=$AV$4)*($E$5:$E$100=E15)*($BC$5:$BC$100=BC15)*($R$5:$AO$100)),0))</f>
        <v>0</v>
      </c>
      <c r="AW15" s="359" cm="1">
        <f t="array" ref="AW15">IF(BG15&gt;=1,0,IFERROR(SUMPRODUCT(($R$2:$AO$2=$AW$4)*($E$5:$E$100=E15)*($BC$5:$BC$100=BC15)*($R$5:$AO$100)),0))</f>
        <v>0</v>
      </c>
      <c r="AX15" s="359" cm="1">
        <f t="array" ref="AX15">IF(BG15&gt;=1,0,IFERROR(SUMPRODUCT(($R$2:$AO$2=$AX$4)*($E$5:$E$100=E15)*($BC$5:$BC$100=BC15)*($R$5:$AO$100)),0))</f>
        <v>0</v>
      </c>
      <c r="AY15" s="359">
        <f t="shared" si="5"/>
        <v>0</v>
      </c>
      <c r="AZ15" s="359"/>
      <c r="BA15" s="233">
        <f t="shared" si="6"/>
        <v>0</v>
      </c>
      <c r="BB15" s="220" t="s">
        <v>83</v>
      </c>
      <c r="BC15" t="s">
        <v>183</v>
      </c>
      <c r="BD15" cm="1">
        <f t="array" ref="BD15">(SUMPRODUCT(('C19RM 2021-Lab &amp; Other HPS'!$A$14:$D$650=E15)*('C19RM 2021-Lab &amp; Other HPS'!$BU$14:$BU$650)))</f>
        <v>0</v>
      </c>
      <c r="BE15" cm="1">
        <f t="array" ref="BE15">(SUMPRODUCT((SETUP!$D$20:$D$67=D15)*(SETUP!$R$20:$R$67)))</f>
        <v>0</v>
      </c>
      <c r="BF15" cm="1">
        <f t="array" ref="BF15">(SUMPRODUCT(('C19RM 2021-Lab &amp; Other HPS'!$A$14:$D$650=E15)*('C19RM 2021-Lab &amp; Other HPS'!$BV$14:$BV$650)))</f>
        <v>0</v>
      </c>
      <c r="BG15">
        <f t="shared" ref="BG15:BG19" si="24">SUM(BD15:BE15)</f>
        <v>0</v>
      </c>
      <c r="BJ15" s="235">
        <v>6.6</v>
      </c>
    </row>
    <row r="16" spans="1:62" x14ac:dyDescent="0.35">
      <c r="A16" s="235">
        <v>1</v>
      </c>
      <c r="B16" s="220" t="s">
        <v>2750</v>
      </c>
      <c r="C16" s="235" t="s">
        <v>3192</v>
      </c>
      <c r="D16" s="235" t="s">
        <v>13</v>
      </c>
      <c r="E16" s="235" t="s">
        <v>2756</v>
      </c>
      <c r="F16" s="220">
        <f>SETUP!$E$3</f>
        <v>0</v>
      </c>
      <c r="G16" s="220" t="str">
        <f ca="1">SETUP!$J$5</f>
        <v>NA</v>
      </c>
      <c r="H16" s="220" t="str">
        <f>SETUP!$E$9</f>
        <v>C19RM</v>
      </c>
      <c r="I16" s="232">
        <f t="shared" si="22"/>
        <v>44197</v>
      </c>
      <c r="J16" s="232">
        <f>SETUP!$L$14</f>
        <v>46022</v>
      </c>
      <c r="K16" s="220">
        <f>IFERROR(VLOOKUP(E16,'Master Data-C19RM'!$A$5:$B$35,2,0),0)</f>
        <v>0</v>
      </c>
      <c r="L16">
        <f t="shared" si="23"/>
        <v>0</v>
      </c>
      <c r="M16">
        <f>SETUP!$E$7</f>
        <v>0</v>
      </c>
      <c r="N16">
        <f>SETUP!$F$76</f>
        <v>6.1</v>
      </c>
      <c r="O16" t="str" cm="1">
        <f t="array" ref="O16">INDEX(SETUP!$E$19:$E$503,(MATCH(1,(SETUP!$B$19:$B$503=B16)*(SETUP!$D$19:$D$503=D16),0)))</f>
        <v>PR/SR</v>
      </c>
      <c r="P16" t="str" cm="1">
        <f t="array" ref="P16">INDEX(SETUP!$F$19:$F$503,(MATCH(1,(SETUP!$B$19:$B$503=B16)*(SETUP!$D$19:$D$503=D16),0)))</f>
        <v>At delivery</v>
      </c>
      <c r="Q16" cm="1">
        <f t="array" ref="Q16">INDEX(SETUP!$G$19:$G$503,(MATCH(1,(SETUP!$B$19:$B$503=B16)*(SETUP!$D$19:$D$503=D16),0)))</f>
        <v>1</v>
      </c>
      <c r="R16" s="359" cm="1">
        <f t="array" ref="R16">IF((INDEX(SETUP!$F$19:$F$503,(MATCH(1,(SETUP!$B$19:$B$503=B16)*(SETUP!$D$19:$D$503=D16),0))))="Upfront",(SUMPRODUCT(('C19RM 2021-Lab &amp; Other HPS'!$A$14:$D$113=E16)*('C19RM 2021-Lab &amp; Other HPS'!$BH$14:$BH$113=BJ16)*('C19RM 2021-Lab &amp; Other HPS'!$BO$14:$BO$113)*(('C19RM 2021-Lab &amp; Other HPS'!$Q$14:$Q$113)))),0)</f>
        <v>0</v>
      </c>
      <c r="S16" s="359" cm="1">
        <f t="array" ref="S16">IF((INDEX(SETUP!$F$19:$F$503,(MATCH(1,(SETUP!$B$19:$B$503=B16)*(SETUP!$D$19:$D$503=D16),0))))="Upfront",(SUMPRODUCT(('C19RM 2021-Lab &amp; Other HPS'!$A$14:$D$113=E16)*('C19RM 2021-Lab &amp; Other HPS'!$BH$14:$BH$113=BJ16)*('C19RM 2021-Lab &amp; Other HPS'!$BO$14:$BO$113)*(('C19RM 2021-Lab &amp; Other HPS'!$R$14:$R$113)))),(IF((INDEX(SETUP!$F$19:$F$503,(MATCH(1,(SETUP!$B$19:$B$503=B16)*(SETUP!$D$19:$D$503=D16),0))))="At delivery",IF((INDEX(SETUP!$G$19:$G$503,(MATCH(1,(SETUP!$B$19:$B$503=B16)*(SETUP!$D$19:$D$503=D16),0))))=1,(SUMPRODUCT(('C19RM 2021-Lab &amp; Other HPS'!$A$14:$D$113=E16)*('C19RM 2021-Lab &amp; Other HPS'!$BH$14:$BH$113=BJ16)*('C19RM 2021-Lab &amp; Other HPS'!$BO$14:$BO$113)*(('C19RM 2021-Lab &amp; Other HPS'!$Q$14:$Q$113)))),0),0)))</f>
        <v>0</v>
      </c>
      <c r="T16" s="359" cm="1">
        <f t="array" ref="T16">IF((INDEX(SETUP!$F$19:$F$503,(MATCH(1,(SETUP!$B$19:$B$503=B16)*(SETUP!$D$19:$D$503=D16),0))))="Upfront",(SUMPRODUCT(('C19RM 2021-Lab &amp; Other HPS'!$A$14:$D$113=E16)*('C19RM 2021-Lab &amp; Other HPS'!$BH$14:$BH$113=BJ16)*('C19RM 2021-Lab &amp; Other HPS'!$BO$14:$BO$113)*(('C19RM 2021-Lab &amp; Other HPS'!$S$14:$S$113)))),(IF((INDEX(SETUP!$F$19:$F$503,(MATCH(1,(SETUP!$B$19:$B$503=B16)*(SETUP!$D$19:$D$503=D16),0))))="At delivery",IF((INDEX(SETUP!$G$19:$G$503,(MATCH(1,(SETUP!$B$19:$B$503=B16)*(SETUP!$D$19:$D$503=D16),0))))=2,(SUMPRODUCT(('C19RM 2021-Lab &amp; Other HPS'!$A$14:$D$113=E16)*('C19RM 2021-Lab &amp; Other HPS'!$BH$14:$BH$113=BJ16)*('C19RM 2021-Lab &amp; Other HPS'!$BO$14:$BO$113)*(('C19RM 2021-Lab &amp; Other HPS'!$Q$14:$Q$113)))),IF((INDEX(SETUP!$G$19:$G$503,(MATCH(1,(SETUP!$B$19:$B$503=B16)*(SETUP!$D$19:$D$503=D16),0))))=1,(SUMPRODUCT(('C19RM 2021-Lab &amp; Other HPS'!$A$14:$D$113=E16)*('C19RM 2021-Lab &amp; Other HPS'!$BH$14:$BH$113=BJ16)*('C19RM 2021-Lab &amp; Other HPS'!$BO$14:$BO$113)*(('C19RM 2021-Lab &amp; Other HPS'!$R$14:$R$113)))),0)),0)))</f>
        <v>0</v>
      </c>
      <c r="U16" s="359" cm="1">
        <f t="array" ref="U16">IF((INDEX(SETUP!$F$19:$F$503,(MATCH(1,(SETUP!$B$19:$B$503=B16)*(SETUP!$D$19:$D$503=D16),0))))="Upfront",(SUMPRODUCT(('C19RM 2021-Lab &amp; Other HPS'!$A$14:$D$113=E16)*('C19RM 2021-Lab &amp; Other HPS'!$BH$14:$BH$113=BJ16)*('C19RM 2021-Lab &amp; Other HPS'!$BO$14:$BO$113)*(('C19RM 2021-Lab &amp; Other HPS'!$T$14:$T$113)))),(IF((INDEX(SETUP!$F$19:$F$503,(MATCH(1,(SETUP!$B$19:$B$503=B16)*(SETUP!$D$19:$D$503=D16),0))))="At delivery",IF((INDEX(SETUP!$G$19:$G$503,(MATCH(1,(SETUP!$B$19:$B$503=B16)*(SETUP!$D$19:$D$503=D16),0))))=3,(SUMPRODUCT(('C19RM 2021-Lab &amp; Other HPS'!$A$14:$D$113=E16)*('C19RM 2021-Lab &amp; Other HPS'!$BH$14:$BH$113=BJ16)*('C19RM 2021-Lab &amp; Other HPS'!$BO$14:$BO$113)*(('C19RM 2021-Lab &amp; Other HPS'!$Q$14:$Q$113)))),IF((INDEX(SETUP!$G$19:$G$503,(MATCH(1,(SETUP!$B$19:$B$503=B16)*(SETUP!$D$19:$D$503=D16),0))))=2,(SUMPRODUCT(('C19RM 2021-Lab &amp; Other HPS'!$A$14:$D$113=E16)*('C19RM 2021-Lab &amp; Other HPS'!$BH$14:$BH$113=BJ16)*('C19RM 2021-Lab &amp; Other HPS'!$BO$14:$BO$113)*(('C19RM 2021-Lab &amp; Other HPS'!$R$14:$R$113)))),IF((INDEX(SETUP!$G$19:$G$503,(MATCH(1,(SETUP!$B$19:$B$503=B16)*(SETUP!$D$19:$D$503=D16),0))))=1,(SUMPRODUCT(('C19RM 2021-Lab &amp; Other HPS'!$A$14:$D$113=E16)*('C19RM 2021-Lab &amp; Other HPS'!$BH$14:$BH$113=BJ16)*('C19RM 2021-Lab &amp; Other HPS'!$BO$14:$BO$113)*(('C19RM 2021-Lab &amp; Other HPS'!$S$14:$S$113)))),0))),0)))</f>
        <v>0</v>
      </c>
      <c r="V16" s="359" cm="1">
        <f t="array" ref="V16">IF((INDEX(SETUP!$F$19:$F$503,(MATCH(1,(SETUP!$B$19:$B$503=B16)*(SETUP!$D$19:$D$503=D16),0))))="Upfront",(SUMPRODUCT(('C19RM 2021-Lab &amp; Other HPS'!$A$14:$D$113=E16)*('C19RM 2021-Lab &amp; Other HPS'!$BH$14:$BH$113=BJ16)*('C19RM 2021-Lab &amp; Other HPS'!$BP$14:$BP$113)*(('C19RM 2021-Lab &amp; Other HPS'!$X$14:$X$113)))),(IF((INDEX(SETUP!$F$19:$F$503,(MATCH(1,(SETUP!$B$19:$B$503=B16)*(SETUP!$D$19:$D$503=D16),0))))="At delivery",IF((INDEX(SETUP!$G$19:$G$503,(MATCH(1,(SETUP!$B$19:$B$503=B16)*(SETUP!$D$19:$D$503=D16),0))))=4,(SUMPRODUCT(('C19RM 2021-Lab &amp; Other HPS'!$A$14:$D$113=E16)*('C19RM 2021-Lab &amp; Other HPS'!$BH$14:$BH$113=BJ16)*('C19RM 2021-Lab &amp; Other HPS'!$BO$14:$BO$113)*(('C19RM 2021-Lab &amp; Other HPS'!$Q$14:$Q$113)))),IF((INDEX(SETUP!$G$19:$G$503,(MATCH(1,(SETUP!$B$19:$B$503=B16)*(SETUP!$D$19:$D$503=D16),0))))=3,(SUMPRODUCT(('C19RM 2021-Lab &amp; Other HPS'!$A$14:$D$113=E16)*('C19RM 2021-Lab &amp; Other HPS'!$BH$14:$BH$113=BJ16)*('C19RM 2021-Lab &amp; Other HPS'!$BO$14:$BO$113)*(('C19RM 2021-Lab &amp; Other HPS'!$R$14:$R$113)))),IF((INDEX(SETUP!$G$19:$G$503,(MATCH(1,(SETUP!$B$19:$B$503=B16)*(SETUP!$D$19:$D$503=D16),0))))=2,(SUMPRODUCT(('C19RM 2021-Lab &amp; Other HPS'!$A$14:$D$113=E16)*('C19RM 2021-Lab &amp; Other HPS'!$BH$14:$BH$113=BJ16)*('C19RM 2021-Lab &amp; Other HPS'!$BO$14:$BO$113)*(('C19RM 2021-Lab &amp; Other HPS'!$S$14:$S$113)))),IF((INDEX(SETUP!$G$19:$G$503,(MATCH(1,(SETUP!$B$19:$B$503=B16)*(SETUP!$D$19:$D$503=D16),0))))=1,(SUMPRODUCT(('C19RM 2021-Lab &amp; Other HPS'!$A$14:$D$113=E16)*('C19RM 2021-Lab &amp; Other HPS'!$BH$14:$BH$113=BJ16)*('C19RM 2021-Lab &amp; Other HPS'!$BO$14:$BO$113)*(('C19RM 2021-Lab &amp; Other HPS'!$T$14:$T$113)))),0)))),0)))</f>
        <v>0</v>
      </c>
      <c r="W16" s="359" cm="1">
        <f t="array" ref="W16">IF((INDEX(SETUP!$F$19:$F$503,(MATCH(1,(SETUP!$B$19:$B$503=B16)*(SETUP!$D$19:$D$503=D16),0))))="Upfront",(SUMPRODUCT(('C19RM 2021-Lab &amp; Other HPS'!$A$14:$D$113=E16)*('C19RM 2021-Lab &amp; Other HPS'!$BH$14:$BH$113=BJ16)*('C19RM 2021-Lab &amp; Other HPS'!$BP$14:$BP$113)*(('C19RM 2021-Lab &amp; Other HPS'!$Y$14:$Y$113)))),(IF((INDEX(SETUP!$F$19:$F$503,(MATCH(1,(SETUP!$B$19:$B$503=B16)*(SETUP!$D$19:$D$503=D16),0))))="At delivery",IF((INDEX(SETUP!$G$19:$G$503,(MATCH(1,(SETUP!$B$19:$B$503=B16)*(SETUP!$D$19:$D$503=D16),0))))=4,(SUMPRODUCT(('C19RM 2021-Lab &amp; Other HPS'!$A$14:$D$113=E16)*('C19RM 2021-Lab &amp; Other HPS'!$BH$14:$BH$113=BJ16)*('C19RM 2021-Lab &amp; Other HPS'!$BO$14:$BO$113)*(('C19RM 2021-Lab &amp; Other HPS'!$R$14:$R$113)))),IF((INDEX(SETUP!$G$19:$G$503,(MATCH(1,(SETUP!$B$19:$B$503=B16)*(SETUP!$D$19:$D$503=D16),0))))=3,(SUMPRODUCT(('C19RM 2021-Lab &amp; Other HPS'!$A$14:$D$113=E16)*('C19RM 2021-Lab &amp; Other HPS'!$BH$14:$BH$113=BJ16)*('C19RM 2021-Lab &amp; Other HPS'!$BO$14:$BO$113)*(('C19RM 2021-Lab &amp; Other HPS'!$S$14:$S$113)))),IF((INDEX(SETUP!$G$19:$G$503,(MATCH(1,(SETUP!$B$19:$B$503=B16)*(SETUP!$D$19:$D$503=D16),0))))=2,((SUMPRODUCT(('C19RM 2021-Lab &amp; Other HPS'!$A$14:$D$113=E16)*('C19RM 2021-Lab &amp; Other HPS'!$BH$14:$BH$113=BJ16)*('C19RM 2021-Lab &amp; Other HPS'!$BO$14:$BO$113)*(('C19RM 2021-Lab &amp; Other HPS'!$T$14:$T$113))))),IF((INDEX(SETUP!$G$19:$G$503,(MATCH(1,(SETUP!$B$19:$B$503=B16)*(SETUP!$D$19:$D$503=D16),0))))=1,(SUMPRODUCT(('C19RM 2021-Lab &amp; Other HPS'!$A$14:$D$113=E16)*('C19RM 2021-Lab &amp; Other HPS'!$BH$14:$BH$113=BJ16)*('C19RM 2021-Lab &amp; Other HPS'!$BP$14:$BP$113)*(('C19RM 2021-Lab &amp; Other HPS'!$X$14:$X$113)))),0)))),0)))</f>
        <v>0</v>
      </c>
      <c r="X16" s="359" cm="1">
        <f t="array" ref="X16">IF((INDEX(SETUP!$F$19:$F$503,(MATCH(1,(SETUP!$B$19:$B$503=B16)*(SETUP!$D$19:$D$503=D16),0))))="Upfront",(SUMPRODUCT(('C19RM 2021-Lab &amp; Other HPS'!$A$14:$D$113=E16)*('C19RM 2021-Lab &amp; Other HPS'!$BH$14:$BH$113=BJ16)*('C19RM 2021-Lab &amp; Other HPS'!$BP$14:$BP$113)*(('C19RM 2021-Lab &amp; Other HPS'!$Z$14:$Z$113)))),(IF((INDEX(SETUP!$F$19:$F$503,(MATCH(1,(SETUP!$B$19:$B$503=B16)*(SETUP!$D$19:$D$503=D16),0))))="At delivery",IF((INDEX(SETUP!$G$19:$G$503,(MATCH(1,(SETUP!$B$19:$B$503=B16)*(SETUP!$D$19:$D$503=D16),0))))=4,(SUMPRODUCT(('C19RM 2021-Lab &amp; Other HPS'!$A$14:$D$113=E16)*('C19RM 2021-Lab &amp; Other HPS'!$BH$14:$BH$113=BJ16)*('C19RM 2021-Lab &amp; Other HPS'!$BO$14:$BO$113)*(('C19RM 2021-Lab &amp; Other HPS'!$S$14:$S$113)))),IF((INDEX(SETUP!$G$19:$G$503,(MATCH(1,(SETUP!$B$19:$B$503=B16)*(SETUP!$D$19:$D$503=D16),0))))=3,((SUMPRODUCT(('C19RM 2021-Lab &amp; Other HPS'!$A$14:$D$113=E16)*('C19RM 2021-Lab &amp; Other HPS'!$BH$14:$BH$113=BJ16)*('C19RM 2021-Lab &amp; Other HPS'!$BO$14:$BO$113)*(('C19RM 2021-Lab &amp; Other HPS'!$T$14:$T$113))))),IF((INDEX(SETUP!$G$19:$G$503,(MATCH(1,(SETUP!$B$19:$B$503=B16)*(SETUP!$D$19:$D$503=D16),0))))=2,(SUMPRODUCT(('C19RM 2021-Lab &amp; Other HPS'!$A$14:$D$113=E16)*('C19RM 2021-Lab &amp; Other HPS'!$BH$14:$BH$113=BJ16)*('C19RM 2021-Lab &amp; Other HPS'!$BP$14:$BP$113)*(('C19RM 2021-Lab &amp; Other HPS'!$X$14:$X$113)))),IF((INDEX(SETUP!$G$19:$G$503,(MATCH(1,(SETUP!$B$19:$B$503=B16)*(SETUP!$D$19:$D$503=D16),0))))=1,(SUMPRODUCT(('C19RM 2021-Lab &amp; Other HPS'!$A$14:$D$113=E16)*('C19RM 2021-Lab &amp; Other HPS'!$BH$14:$BH$113=BJ16)*('C19RM 2021-Lab &amp; Other HPS'!$BP$14:$BP$113)*(('C19RM 2021-Lab &amp; Other HPS'!$Y$14:$Y$113)))),0)))),0)))</f>
        <v>0</v>
      </c>
      <c r="Y16" s="359" cm="1">
        <f t="array" ref="Y16">IF((INDEX(SETUP!$F$19:$F$503,(MATCH(1,(SETUP!$B$19:$B$503=B16)*(SETUP!$D$19:$D$503=D16),0))))="Upfront",
(SUMPRODUCT(('C19RM 2021-Lab &amp; Other HPS'!$A$14:$D$113=E16)*('C19RM 2021-Lab &amp; Other HPS'!$BH$14:$BH$113=BJ16)*('C19RM 2021-Lab &amp; Other HPS'!$BP$14:$BP$113)*(('C19RM 2021-Lab &amp; Other HPS'!$AA$14:$AA$113)))),
(IF((INDEX(SETUP!$F$19:$F$503,(MATCH(1,(SETUP!$B$19:$B$503=B16)*(SETUP!$D$19:$D$503=D16),0))))="At delivery",
IF((INDEX(SETUP!$G$19:$G$503,(MATCH(1,(SETUP!$B$19:$B$503=B16)*(SETUP!$D$19:$D$503=D16),0))))=4,
((SUMPRODUCT(('C19RM 2021-Lab &amp; Other HPS'!$A$14:$D$113=E16)*('C19RM 2021-Lab &amp; Other HPS'!$BH$14:$BH$113=BJ16)*('C19RM 2021-Lab &amp; Other HPS'!$BO$14:$BO$113)*(('C19RM 2021-Lab &amp; Other HPS'!$T$14:$T$113))))),IF((INDEX(SETUP!$G$19:$G$503,(MATCH(1,(SETUP!$B$19:$B$503=B16)*(SETUP!$D$19:$D$503=D16),0))))=3,(SUMPRODUCT(('C19RM 2021-Lab &amp; Other HPS'!$A$14:$D$113=E16)*('C19RM 2021-Lab &amp; Other HPS'!$BH$14:$BH$113=BJ16)*('C19RM 2021-Lab &amp; Other HPS'!$BP$14:$BP$113)*(('C19RM 2021-Lab &amp; Other HPS'!$X$14:$X$113)))),IF((INDEX(SETUP!$G$19:$G$503,(MATCH(1,(SETUP!$B$19:$B$503=B16)*(SETUP!$D$19:$D$503=D16),0))))=2,(SUMPRODUCT(('C19RM 2021-Lab &amp; Other HPS'!$A$14:$D$113=E16)*('C19RM 2021-Lab &amp; Other HPS'!$BH$14:$BH$113=BJ16)*('C19RM 2021-Lab &amp; Other HPS'!$BP$14:$BP$113)*(('C19RM 2021-Lab &amp; Other HPS'!$Y$14:$Y$113)))),IF((INDEX(SETUP!$G$19:$G$503,(MATCH(1,(SETUP!$B$19:$B$503=B16)*(SETUP!$D$19:$D$503=D16),0))))=1,(SUMPRODUCT(('C19RM 2021-Lab &amp; Other HPS'!$A$14:$D$113=E16)*('C19RM 2021-Lab &amp; Other HPS'!$BH$14:$BH$113=BJ16)*('C19RM 2021-Lab &amp; Other HPS'!$BP$14:$BP$113)*(('C19RM 2021-Lab &amp; Other HPS'!$Z$14:$Z$113)))),0)))),0)))</f>
        <v>0</v>
      </c>
      <c r="Z16" s="359" cm="1">
        <f t="array" ref="Z16">IF((INDEX(SETUP!$F$19:$F$503,(MATCH(1,(SETUP!$B$19:$B$503=B16)*(SETUP!$D$19:$D$503=D16),0))))="Upfront",(SUMPRODUCT(('C19RM 2021-Lab &amp; Other HPS'!$A$14:$D$113=E16)*('C19RM 2021-Lab &amp; Other HPS'!$BH$14:$BH$113=BJ16)*('C19RM 2021-Lab &amp; Other HPS'!$BQ$14:$BQ$113)*(('C19RM 2021-Lab &amp; Other HPS'!$AE$14:$AE$113)))),(IF((INDEX(SETUP!$F$19:$F$503,(MATCH(1,(SETUP!$B$19:$B$503=B16)*(SETUP!$D$19:$D$503=D16),0))))="At delivery",IF((INDEX(SETUP!$G$19:$G$503,(MATCH(1,(SETUP!$B$19:$B$503=B16)*(SETUP!$D$19:$D$503=D16),0))))=4,(SUMPRODUCT(('C19RM 2021-Lab &amp; Other HPS'!$A$14:$D$113=E16)*('C19RM 2021-Lab &amp; Other HPS'!$BH$14:$BH$113=BJ16)*('C19RM 2021-Lab &amp; Other HPS'!$BP$14:$BP$113)*(('C19RM 2021-Lab &amp; Other HPS'!$X$14:$X$113)))),IF((INDEX(SETUP!$G$19:$G$503,(MATCH(1,(SETUP!$B$19:$B$503=B16)*(SETUP!$D$19:$D$503=D16),0))))=3,(SUMPRODUCT(('C19RM 2021-Lab &amp; Other HPS'!$A$14:$D$113=E16)*('C19RM 2021-Lab &amp; Other HPS'!$BH$14:$BH$113=BJ16)*('C19RM 2021-Lab &amp; Other HPS'!$BP$14:$BP$113)*(('C19RM 2021-Lab &amp; Other HPS'!$Y$14:$Y$113)))),IF((INDEX(SETUP!$G$19:$G$503,(MATCH(1,(SETUP!$B$19:$B$503=B16)*(SETUP!$D$19:$D$503=D16),0))))=2,(SUMPRODUCT(('C19RM 2021-Lab &amp; Other HPS'!$A$14:$D$113=E16)*('C19RM 2021-Lab &amp; Other HPS'!$BH$14:$BH$113=BJ16)*('C19RM 2021-Lab &amp; Other HPS'!$BP$14:$BP$113)*(('C19RM 2021-Lab &amp; Other HPS'!$Z$14:$Z$113)))),IF((INDEX(SETUP!$G$19:$G$503,(MATCH(1,(SETUP!$B$19:$B$503=B16)*(SETUP!$D$19:$D$503=D16),0))))=1,(SUMPRODUCT(('C19RM 2021-Lab &amp; Other HPS'!$A$14:$D$113=E16)*('C19RM 2021-Lab &amp; Other HPS'!$BH$14:$BH$113=BJ16)*('C19RM 2021-Lab &amp; Other HPS'!$BP$14:$BP$113)*(('C19RM 2021-Lab &amp; Other HPS'!$AA$14:$AA$113)))),0)))),0)))</f>
        <v>0</v>
      </c>
      <c r="AA16" s="359" cm="1">
        <f t="array" ref="AA16">IF((INDEX(SETUP!$F$19:$F$503,(MATCH(1,(SETUP!$B$19:$B$503=B16)*(SETUP!$D$19:$D$503=D16),0))))="Upfront",(SUMPRODUCT(('C19RM 2021-Lab &amp; Other HPS'!$A$14:$D$113=E16)*('C19RM 2021-Lab &amp; Other HPS'!$BH$14:$BH$113=BJ16)*('C19RM 2021-Lab &amp; Other HPS'!$BQ$14:$BQ$113)*(('C19RM 2021-Lab &amp; Other HPS'!$AF$14:$AF$113)))),(IF((INDEX(SETUP!$F$19:$F$503,(MATCH(1,(SETUP!$B$19:$B$503=B16)*(SETUP!$D$19:$D$503=D16),0))))="At delivery",IF((INDEX(SETUP!$G$19:$G$503,(MATCH(1,(SETUP!$B$19:$B$503=B16)*(SETUP!$D$19:$D$503=D16),0))))=4,(SUMPRODUCT(('C19RM 2021-Lab &amp; Other HPS'!$A$14:$D$113=E16)*('C19RM 2021-Lab &amp; Other HPS'!$BH$14:$BH$113=BJ16)*('C19RM 2021-Lab &amp; Other HPS'!$BP$14:$BP$113)*(('C19RM 2021-Lab &amp; Other HPS'!$Y$14:$Y$113)))),IF((INDEX(SETUP!$G$19:$G$503,(MATCH(1,(SETUP!$B$19:$B$503=B16)*(SETUP!$D$19:$D$503=D16),0))))=3,(SUMPRODUCT(('C19RM 2021-Lab &amp; Other HPS'!$A$14:$D$113=E16)*('C19RM 2021-Lab &amp; Other HPS'!$BH$14:$BH$113=BJ16)*('C19RM 2021-Lab &amp; Other HPS'!$BP$14:$BP$113)*(('C19RM 2021-Lab &amp; Other HPS'!$Z$14:$Z$113)))),IF((INDEX(SETUP!$G$19:$G$503,(MATCH(1,(SETUP!$B$19:$B$503=B16)*(SETUP!$D$19:$D$503=D16),0))))=2,((SUMPRODUCT(('C19RM 2021-Lab &amp; Other HPS'!$A$14:$D$113=E16)*('C19RM 2021-Lab &amp; Other HPS'!$BH$14:$BH$113=BJ16)*('C19RM 2021-Lab &amp; Other HPS'!$BP$14:$BP$113)*(('C19RM 2021-Lab &amp; Other HPS'!$AA$14:$AA$113))))),IF((INDEX(SETUP!$G$19:$G$503,(MATCH(1,(SETUP!$B$19:$B$503=B16)*(SETUP!$D$19:$D$503=D16),0))))=1,(SUMPRODUCT(('C19RM 2021-Lab &amp; Other HPS'!$A$14:$D$113=E16)*('C19RM 2021-Lab &amp; Other HPS'!$BH$14:$BH$113=BJ16)*('C19RM 2021-Lab &amp; Other HPS'!$BQ$14:$BQ$113)*(('C19RM 2021-Lab &amp; Other HPS'!$AE$14:$AE$113)))),0)))),0)))</f>
        <v>0</v>
      </c>
      <c r="AB16" s="359" cm="1">
        <f t="array" ref="AB16">IF((INDEX(SETUP!$F$19:$F$503,(MATCH(1,(SETUP!$B$19:$B$503=B16)*(SETUP!$D$19:$D$503=D16),0))))="Upfront",
(SUMPRODUCT(('C19RM 2021-Lab &amp; Other HPS'!$A$14:$D$113=E16)*('C19RM 2021-Lab &amp; Other HPS'!$BH$14:$BH$113=BJ16)*('C19RM 2021-Lab &amp; Other HPS'!$BQ$14:$BQ$113)*(('C19RM 2021-Lab &amp; Other HPS'!$AG$14:$AG$113)))),
(IF((INDEX(SETUP!$F$19:$F$503,(MATCH(1,(SETUP!$B$19:$B$503=B16)*(SETUP!$D$19:$D$503=D16),0))))="At delivery",
IF((INDEX(SETUP!$G$19:$G$503,(MATCH(1,(SETUP!$B$19:$B$503=B16)*(SETUP!$D$19:$D$503=D16),0))))=4,
(SUMPRODUCT(('C19RM 2021-Lab &amp; Other HPS'!$A$14:$D$113=E16)*('C19RM 2021-Lab &amp; Other HPS'!$BH$14:$BH$113=BJ16)*('C19RM 2021-Lab &amp; Other HPS'!$BP$14:$BP$113)*(('C19RM 2021-Lab &amp; Other HPS'!$Z$14:$Z$113)))),IF((INDEX(SETUP!$G$19:$G$503,(MATCH(1,(SETUP!$B$19:$B$503=B16)*(SETUP!$D$19:$D$503=D16),0))))=3,(SUMPRODUCT(('C19RM 2021-Lab &amp; Other HPS'!$A$14:$D$113=E16)*('C19RM 2021-Lab &amp; Other HPS'!$BH$14:$BH$113=BJ16)*('C19RM 2021-Lab &amp; Other HPS'!$BP$14:$BP$113)*(('C19RM 2021-Lab &amp; Other HPS'!$AA$14:$AA$113)))),IF((INDEX(SETUP!$G$19:$G$503,(MATCH(1,(SETUP!$B$19:$B$503=B16)*(SETUP!$D$19:$D$503=D16),0))))=2,(SUMPRODUCT(('C19RM 2021-Lab &amp; Other HPS'!$A$14:$D$113=E16)*('C19RM 2021-Lab &amp; Other HPS'!$BH$14:$BH$113=BJ16)*('C19RM 2021-Lab &amp; Other HPS'!$BQ$14:$BQ$113)*(('C19RM 2021-Lab &amp; Other HPS'!$AE$14:$AE$113)))),IF((INDEX(SETUP!$G$19:$G$503,(MATCH(1,(SETUP!$B$19:$B$503=B16)*(SETUP!$D$19:$D$503=D16),0))))=1,(SUMPRODUCT(('C19RM 2021-Lab &amp; Other HPS'!$A$14:$D$113=E16)*('C19RM 2021-Lab &amp; Other HPS'!$BH$14:$BH$113=BJ16)*('C19RM 2021-Lab &amp; Other HPS'!$BQ$14:$BQ$113)*(('C19RM 2021-Lab &amp; Other HPS'!$AF$14:$AF$113)))),0)))),0)))</f>
        <v>0</v>
      </c>
      <c r="AC16" s="359" cm="1">
        <f t="array" ref="AC16">IF((INDEX(SETUP!$F$19:$F$503,(MATCH(1,(SETUP!$B$19:$B$503=B16)*(SETUP!$D$19:$D$503=D16),0))))="Upfront",
(SUMPRODUCT(('C19RM 2021-Lab &amp; Other HPS'!$A$14:$D$113=E16)*('C19RM 2021-Lab &amp; Other HPS'!$BH$14:$BH$113=BJ16)*('C19RM 2021-Lab &amp; Other HPS'!$BQ$14:$BQ$113)*(('C19RM 2021-Lab &amp; Other HPS'!$AH$14:$AH$113)))),
(IF((INDEX(SETUP!$F$19:$F$503,(MATCH(1,(SETUP!$B$19:$B$503=B16)*(SETUP!$D$19:$D$503=D16),0))))="At delivery",
IF((INDEX(SETUP!$G$19:$G$503,(MATCH(1,(SETUP!$B$19:$B$503=B16)*(SETUP!$D$19:$D$503=D16),0))))=4,
(SUMPRODUCT(('C19RM 2021-Lab &amp; Other HPS'!$A$14:$D$113=E16)*('C19RM 2021-Lab &amp; Other HPS'!$BH$14:$BH$113=BJ16)*('C19RM 2021-Lab &amp; Other HPS'!$BP$14:$BP$113)*(('C19RM 2021-Lab &amp; Other HPS'!$AA$14:$AA$113)))),IF((INDEX(SETUP!$G$19:$G$503,(MATCH(1,(SETUP!$B$19:$B$503=B16)*(SETUP!$D$19:$D$503=D16),0))))=3,(SUMPRODUCT(('C19RM 2021-Lab &amp; Other HPS'!$A$14:$D$113=E16)*('C19RM 2021-Lab &amp; Other HPS'!$BH$14:$BH$113=BJ16)*('C19RM 2021-Lab &amp; Other HPS'!$BQ$14:$BQ$113)*(('C19RM 2021-Lab &amp; Other HPS'!$AE$14:$AE$113)))),IF((INDEX(SETUP!$G$19:$G$503,(MATCH(1,(SETUP!$B$19:$B$503=B16)*(SETUP!$D$19:$D$503=D16),0))))=2,(SUMPRODUCT(('C19RM 2021-Lab &amp; Other HPS'!$A$14:$D$113=E16)*('C19RM 2021-Lab &amp; Other HPS'!$BH$14:$BH$113=BJ16)*('C19RM 2021-Lab &amp; Other HPS'!$BQ$14:$BQ$113)*(('C19RM 2021-Lab &amp; Other HPS'!$AF$14:$AF$113)))),IF((INDEX(SETUP!$G$19:$G$503,(MATCH(1,(SETUP!$B$19:$B$503=B16)*(SETUP!$D$19:$D$503=D16),0))))=1,(SUMPRODUCT(('C19RM 2021-Lab &amp; Other HPS'!$A$14:$D$113=E16)*('C19RM 2021-Lab &amp; Other HPS'!$BH$14:$BH$113=BJ16)*('C19RM 2021-Lab &amp; Other HPS'!$BQ$14:$BQ$113)*(('C19RM 2021-Lab &amp; Other HPS'!$AG$14:$AG$113)))),0)))),0)))</f>
        <v>0</v>
      </c>
      <c r="AD16" s="359" cm="1">
        <f t="array" ref="AD16">IF((INDEX(SETUP!$F$19:$F$503,(MATCH(1,(SETUP!$B$19:$B$503=B16)*(SETUP!$D$19:$D$503=D16),0))))="Upfront",
(SUMPRODUCT(('C19RM 2021-Lab &amp; Other HPS'!$A$14:$D$113=E16)*('C19RM 2021-Lab &amp; Other HPS'!$BH$14:$BH$113=BJ16)*('C19RM 2021-Lab &amp; Other HPS'!$BR$14:$BR$113)*(('C19RM 2021-Lab &amp; Other HPS'!$AL$14:$AL$113)))),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HPS'!$AE$14:$AE$113)))),IF((INDEX(SETUP!$G$19:$G$503,(MATCH(1,(SETUP!$B$19:$B$503=B16)*(SETUP!$D$19:$D$503=D16),0))))=3,((SUMPRODUCT(('C19RM 2021-Lab &amp; Other HPS'!$A$14:$D$113=E16)*('C19RM 2021-Lab &amp; Other HPS'!$BH$14:$BH$113=BJ16)*('C19RM 2021-Lab &amp; Other HPS'!$BQ$14:$BQ$113)*(('C19RM 2021-Lab &amp; Other HPS'!$AF$14:$AF$113))))),IF((INDEX(SETUP!$G$19:$G$503,(MATCH(1,(SETUP!$B$19:$B$503=B16)*(SETUP!$D$19:$D$503=D16),0))))=2,(SUMPRODUCT(('C19RM 2021-Lab &amp; Other HPS'!$A$14:$D$113=E16)*('C19RM 2021-Lab &amp; Other HPS'!$BH$14:$BH$113=BJ16)*('C19RM 2021-Lab &amp; Other HPS'!$BQ$14:$BQ$113)*(('C19RM 2021-Lab &amp; Other HPS'!$AG$14:$AG$113)))),IF((INDEX(SETUP!$G$19:$G$503,(MATCH(1,(SETUP!$B$19:$B$503=B16)*(SETUP!$D$19:$D$503=D16),0))))=1,(SUMPRODUCT(('C19RM 2021-Lab &amp; Other HPS'!$A$14:$D$113=E16)*('C19RM 2021-Lab &amp; Other HPS'!$BH$14:$BH$113=BJ16)*('C19RM 2021-Lab &amp; Other HPS'!$BQ$14:$BQ$113)*(('C19RM 2021-Lab &amp; Other HPS'!$AH$14:$AH$113)))),0)))),0)))</f>
        <v>0</v>
      </c>
      <c r="AE16" s="359" cm="1">
        <f t="array" ref="AE16">IF((INDEX(SETUP!$F$19:$F$503,(MATCH(1,(SETUP!$B$19:$B$503=B16)*(SETUP!$D$19:$D$503=D16),0))))="Upfront",
(SUMPRODUCT(('C19RM 2021-Lab &amp; Other HPS'!$A$14:$D$113=E16)*('C19RM 2021-Lab &amp; Other HPS'!$BH$14:$BH$113=BJ16)*('C19RM 2021-Lab &amp; Other HPS'!$BR$14:$BR$113)*(('C19RM 2021-Lab &amp; Other HPS'!$AM$14:$AM$113)))),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HPS'!$AF$14:$AF$113)))),IF((INDEX(SETUP!$G$19:$G$503,(MATCH(1,(SETUP!$B$19:$B$503=B16)*(SETUP!$D$19:$D$503=D16),0))))=3,(SUMPRODUCT(('C19RM 2021-Lab &amp; Other HPS'!$A$14:$D$113=E16)*('C19RM 2021-Lab &amp; Other HPS'!$BH$14:$BH$113=BJ16)*('C19RM 2021-Lab &amp; Other HPS'!$BQ$14:$BQ$113)*(('C19RM 2021-Lab &amp; Other HPS'!$AG$14:$AG$113)))),IF((INDEX(SETUP!$G$19:$G$503,(MATCH(1,(SETUP!$B$19:$B$503=B16)*(SETUP!$D$19:$D$503=D16),0))))=2,(SUMPRODUCT(('C19RM 2021-Lab &amp; Other HPS'!$A$14:$D$113=E16)*('C19RM 2021-Lab &amp; Other HPS'!$BH$14:$BH$113=BJ16)*('C19RM 2021-Lab &amp; Other HPS'!$BQ$14:$BQ$113)*(('C19RM 2021-Lab &amp; Other HPS'!$AH$14:$AH$113)))),IF((INDEX(SETUP!$G$19:$G$503,(MATCH(1,(SETUP!$B$19:$B$503=B16)*(SETUP!$D$19:$D$503=D16),0))))=1,(SUMPRODUCT(('C19RM 2021-Lab &amp; Other HPS'!$A$14:$D$113=E16)*('C19RM 2021-Lab &amp; Other HPS'!$BH$14:$BH$113=BJ16)*('C19RM 2021-Lab &amp; Other HPS'!$BR$14:$BR$113)*(('C19RM 2021-Lab &amp; Other HPS'!$AL$14:$AL$113)))),0)))),0)))</f>
        <v>0</v>
      </c>
      <c r="AF16" s="359" cm="1">
        <f t="array" ref="AF16">IF((INDEX(SETUP!$F$19:$F$503,(MATCH(1,(SETUP!$B$19:$B$503=B16)*(SETUP!$D$19:$D$503=D16),0))))="Upfront",
(SUMPRODUCT(('C19RM 2021-Lab &amp; Other HPS'!$A$14:$D$113=E16)*('C19RM 2021-Lab &amp; Other HPS'!$BH$14:$BH$113=BJ16)*('C19RM 2021-Lab &amp; Other HPS'!$BR$14:$BR$113)*(('C19RM 2021-Lab &amp; Other HPS'!$AN$14:$AN$113)))),
(IF((INDEX(SETUP!$F$19:$F$503,(MATCH(1,(SETUP!$B$19:$B$503=B16)*(SETUP!$D$19:$D$503=D16),0))))="At delivery",
IF((INDEX(SETUP!$G$19:$G$503,(MATCH(1,(SETUP!$B$19:$B$503=B16)*(SETUP!$D$19:$D$503=D16),0))))=4,
(SUMPRODUCT(('C19RM 2021-Lab &amp; Other HPS'!$A$14:$D$113=E16)*('C19RM 2021-Lab &amp; Other HPS'!$BH$14:$BH$113=BJ16)*('C19RM 2021-Lab &amp; Other HPS'!$BQ$14:$BQ$113)*(('C19RM 2021-Lab &amp; Other HPS'!$AG$14:$AG$113)))),IF((INDEX(SETUP!$G$19:$G$503,(MATCH(1,(SETUP!$B$19:$B$503=B16)*(SETUP!$D$19:$D$503=D16),0))))=3,(SUMPRODUCT(('C19RM 2021-Lab &amp; Other HPS'!$A$14:$D$113=E16)*('C19RM 2021-Lab &amp; Other HPS'!$BH$14:$BH$113=BJ16)*('C19RM 2021-Lab &amp; Other HPS'!$BQ$14:$BQ$113)*(('C19RM 2021-Lab &amp; Other HPS'!$AH$14:$AH$113)))),IF((INDEX(SETUP!$G$19:$G$503,(MATCH(1,(SETUP!$B$19:$B$503=B16)*(SETUP!$D$19:$D$503=D16),0))))=2,(SUMPRODUCT(('C19RM 2021-Lab &amp; Other HPS'!$A$14:$D$113=E16)*('C19RM 2021-Lab &amp; Other HPS'!$BH$14:$BH$113=BJ16)*('C19RM 2021-Lab &amp; Other HPS'!$BR$14:$BR$113)*(('C19RM 2021-Lab &amp; Other HPS'!$AL$14:$AL$113)))),IF((INDEX(SETUP!$G$19:$G$503,(MATCH(1,(SETUP!$B$19:$B$503=B16)*(SETUP!$D$19:$D$503=D16),0))))=1,(SUMPRODUCT(('C19RM 2021-Lab &amp; Other HPS'!$A$14:$D$113=E16)*('C19RM 2021-Lab &amp; Other HPS'!$BH$14:$BH$113=BJ16)*('C19RM 2021-Lab &amp; Other HPS'!$BR$14:$BR$113)*(('C19RM 2021-Lab &amp; Other HPS'!$AM$14:$AM$113)))),0)))),0)))</f>
        <v>0</v>
      </c>
      <c r="AG16" s="359" cm="1">
        <f t="array" ref="AG16">IF((INDEX(SETUP!$F$19:$F$503,(MATCH(1,(SETUP!$B$19:$B$503=B16)*(SETUP!$D$19:$D$503=D16),0))))="Upfront",(SUMPRODUCT(('C19RM 2021-Lab &amp; Other HPS'!$A$14:$D$113=E16)*('C19RM 2021-Lab &amp; Other HPS'!$BH$14:$BH$113=BJ16)*('C19RM 2021-Lab &amp; Other HPS'!$BR$14:$BR$113)*(('C19RM 2021-Lab &amp; Other HPS'!$AO$14:$AO$113)))),(IF((INDEX(SETUP!$F$19:$F$503,(MATCH(1,(SETUP!$B$19:$B$503=B16)*(SETUP!$D$19:$D$503=D16),0))))="At delivery",IF((INDEX(SETUP!$G$19:$G$503,(MATCH(1,(SETUP!$B$19:$B$503=B16)*(SETUP!$D$19:$D$503=D16),0))))=4,(SUMPRODUCT(('C19RM 2021-Lab &amp; Other HPS'!$A$14:$D$113=E16)*('C19RM 2021-Lab &amp; Other HPS'!$BH$14:$BH$113=BJ16)*('C19RM 2021-Lab &amp; Other HPS'!$BQ$14:$BQ$113)*(('C19RM 2021-Lab &amp; Other HPS'!$AH$14:$AH$113)))),IF((INDEX(SETUP!$G$19:$G$503,(MATCH(1,(SETUP!$B$19:$B$503=B16)*(SETUP!$D$19:$D$503=D16),0))))=3,(SUMPRODUCT(('C19RM 2021-Lab &amp; Other HPS'!$A$14:$D$113=E16)*('C19RM 2021-Lab &amp; Other HPS'!$BH$14:$BH$113=BJ16)*('C19RM 2021-Lab &amp; Other HPS'!$BR$14:$BR$113)*(('C19RM 2021-Lab &amp; Other HPS'!$AL$14:$AL$113)))),IF((INDEX(SETUP!$G$19:$G$503,(MATCH(1,(SETUP!$B$19:$B$503=B16)*(SETUP!$D$19:$D$503=D16),0))))=2,(SUMPRODUCT(('C19RM 2021-Lab &amp; Other HPS'!$A$14:$D$113=E16)*('C19RM 2021-Lab &amp; Other HPS'!$BH$14:$BH$113=BJ16)*('C19RM 2021-Lab &amp; Other HPS'!$BR$14:$BR$113)*(('C19RM 2021-Lab &amp; Other HPS'!$AM$14:$AM$113)))),IF((INDEX(SETUP!$G$19:$G$503,(MATCH(1,(SETUP!$B$19:$B$503=B16)*(SETUP!$D$19:$D$503=D16),0))))=1,(SUMPRODUCT(('C19RM 2021-Lab &amp; Other HPS'!$A$14:$D$113=E16)*('C19RM 2021-Lab &amp; Other HPS'!$BH$14:$BH$113=BJ16)*('C19RM 2021-Lab &amp; Other HPS'!$BR$14:$BR$113)*(('C19RM 2021-Lab &amp; Other HPS'!$AN$14:$AN$113)))),0)))),0)))</f>
        <v>0</v>
      </c>
      <c r="AH16" s="359" cm="1">
        <f t="array" ref="AH16">IF((INDEX(SETUP!$F$19:$F$503,(MATCH(1,(SETUP!$B$19:$B$503=B16)*(SETUP!$D$19:$D$503=D16),0))))="Upfront",
(SUMPRODUCT(('C19RM 2021-Lab &amp; Other HPS'!$A$14:$D$113=E16)*('C19RM 2021-Lab &amp; Other HPS'!$BH$14:$BH$113=BJ16)*('C19RM 2021-Lab &amp; Other HPS'!$BH$14:$BH$113=BJ16)*('C19RM 2021-Lab &amp; Other HPS'!$BS$14:$BS$113)*(('C19RM 2021-Lab &amp; Other HPS'!$AS$14:$AS$113)))),
(IF((INDEX(SETUP!$F$19:$F$503,(MATCH(1,(SETUP!$B$19:$B$503=B16)*(SETUP!$D$19:$D$503=D16),0))))="At delivery",
IF((INDEX(SETUP!$G$19:$G$503,(MATCH(1,(SETUP!$B$19:$B$503=B16)*(SETUP!$D$19:$D$503=D16),0))))=4,
(SUMPRODUCT(('C19RM 2021-Lab &amp; Other HPS'!$A$14:$D$113=E16)*('C19RM 2021-Lab &amp; Other HPS'!$BH$14:$BH$113=BJ16)*('C19RM 2021-Lab &amp; Other HPS'!$BH$14:$BH$113=BJ16)*('C19RM 2021-Lab &amp; Other HPS'!$BR$14:$BR$113)*(('C19RM 2021-Lab &amp; Other HPS'!$AL$14:$AL$113)))),IF((INDEX(SETUP!$G$19:$G$503,(MATCH(1,(SETUP!$B$19:$B$503=B16)*(SETUP!$D$19:$D$503=D16),0))))=3,((SUMPRODUCT(('C19RM 2021-Lab &amp; Other HPS'!$A$14:$D$113=E16)*('C19RM 2021-Lab &amp; Other HPS'!$BH$14:$BH$113=BJ16)*('C19RM 2021-Lab &amp; Other HPS'!$BH$14:$BH$113=BJ16)*('C19RM 2021-Lab &amp; Other HPS'!$BR$14:$BR$113)*(('C19RM 2021-Lab &amp; Other HPS'!$AM$14:$AM$113))))),IF((INDEX(SETUP!$G$19:$G$503,(MATCH(1,(SETUP!$B$19:$B$503=B16)*(SETUP!$D$19:$D$503=D16),0))))=2,(SUMPRODUCT(('C19RM 2021-Lab &amp; Other HPS'!$A$14:$D$113=E16)*('C19RM 2021-Lab &amp; Other HPS'!$BH$14:$BH$113=BJ16)*('C19RM 2021-Lab &amp; Other HPS'!$BR$14:$BR$113)*(('C19RM 2021-Lab &amp; Other HPS'!$AN$14:$AN$113)))),IF((INDEX(SETUP!$G$19:$G$503,(MATCH(1,(SETUP!$B$19:$B$503=B16)*(SETUP!$D$19:$D$503=D16),0))))=1,(SUMPRODUCT(('C19RM 2021-Lab &amp; Other HPS'!$A$14:$D$113=E16)*('C19RM 2021-Lab &amp; Other HPS'!$BH$14:$BH$113=BJ16)*('C19RM 2021-Lab &amp; Other HPS'!$BR$14:$BR$113)*(('C19RM 2021-Lab &amp; Other HPS'!$AO$14:$AO$113)))),0)))),0)))</f>
        <v>0</v>
      </c>
      <c r="AI16" s="359" cm="1">
        <f t="array" ref="AI16">IF((INDEX(SETUP!$F$19:$F$503,(MATCH(1,(SETUP!$B$19:$B$503=B16)*(SETUP!$D$19:$D$503=D16),0))))="Upfront",
(SUMPRODUCT(('C19RM 2021-Lab &amp; Other HPS'!$A$14:$D$113=E16)*('C19RM 2021-Lab &amp; Other HPS'!$BH$14:$BH$113=BJ16)*('C19RM 2021-Lab &amp; Other HPS'!$BS$14:$BS$113)*(('C19RM 2021-Lab &amp; Other HPS'!$AT$14:$AT$113)))),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HPS'!$AM$14:$AM$113)))),IF((INDEX(SETUP!$G$19:$G$503,(MATCH(1,(SETUP!$B$19:$B$503=B16)*(SETUP!$D$19:$D$503=D16),0))))=3,((SUMPRODUCT(('C19RM 2021-Lab &amp; Other HPS'!$A$14:$D$113=E16)*('C19RM 2021-Lab &amp; Other HPS'!$BH$14:$BH$113=BJ16)*('C19RM 2021-Lab &amp; Other HPS'!$BR$14:$BR$113)*(('C19RM 2021-Lab &amp; Other HPS'!$AN$14:$AN$113))))),IF((INDEX(SETUP!$G$19:$G$503,(MATCH(1,(SETUP!$B$19:$B$503=B16)*(SETUP!$D$19:$D$503=D16),0))))=2,(SUMPRODUCT(('C19RM 2021-Lab &amp; Other HPS'!$A$14:$D$113=E16)*('C19RM 2021-Lab &amp; Other HPS'!$BH$14:$BH$113=BJ16)*('C19RM 2021-Lab &amp; Other HPS'!$BR$14:$BR$113)*(('C19RM 2021-Lab &amp; Other HPS'!$AO$14:$AO$113)))),IF((INDEX(SETUP!$G$19:$G$503,(MATCH(1,(SETUP!$B$19:$B$503=B16)*(SETUP!$D$19:$D$503=D16),0))))=1,(SUMPRODUCT(('C19RM 2021-Lab &amp; Other HPS'!$A$14:$D$113=E16)*('C19RM 2021-Lab &amp; Other HPS'!$BH$14:$BH$113=BJ16)*('C19RM 2021-Lab &amp; Other HPS'!$BS$14:$BS$113)*(('C19RM 2021-Lab &amp; Other HPS'!$AS$14:$AS$113)))),0)))),0)))</f>
        <v>0</v>
      </c>
      <c r="AJ16" s="359" cm="1">
        <f t="array" ref="AJ16">IF((INDEX(SETUP!$F$19:$F$503,(MATCH(1,(SETUP!$B$19:$B$503=B16)*(SETUP!$D$19:$D$503=D16),0))))="Upfront",
(SUMPRODUCT(('C19RM 2021-Lab &amp; Other HPS'!$A$14:$D$113=E16)*('C19RM 2021-Lab &amp; Other HPS'!$BH$14:$BH$113=BJ16)*('C19RM 2021-Lab &amp; Other HPS'!$BS$14:$BS$113)*(('C19RM 2021-Lab &amp; Other HPS'!$AU$14:$AU$113)))),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HPS'!$AN$14:$AN$113)))),IF((INDEX(SETUP!$G$19:$G$503,(MATCH(1,(SETUP!$B$19:$B$503=B16)*(SETUP!$D$19:$D$503=D16),0))))=3,((SUMPRODUCT(('C19RM 2021-Lab &amp; Other HPS'!$A$14:$D$113=E16)*('C19RM 2021-Lab &amp; Other HPS'!$BH$14:$BH$113=BJ16)*('C19RM 2021-Lab &amp; Other HPS'!$BR$14:$BR$113)*(('C19RM 2021-Lab &amp; Other HPS'!$AO$14:$AO$113))))),IF((INDEX(SETUP!$G$19:$G$503,(MATCH(1,(SETUP!$B$19:$B$503=B16)*(SETUP!$D$19:$D$503=D16),0))))=2,(SUMPRODUCT(('C19RM 2021-Lab &amp; Other HPS'!$A$14:$D$113=E16)*('C19RM 2021-Lab &amp; Other HPS'!$BH$14:$BH$113=BJ16)*('C19RM 2021-Lab &amp; Other HPS'!$BS$14:$BS$113)*(('C19RM 2021-Lab &amp; Other HPS'!$AS$14:$AS$113)))),IF((INDEX(SETUP!$G$19:$G$503,(MATCH(1,(SETUP!$B$19:$B$503=B16)*(SETUP!$D$19:$D$503=D16),0))))=1,(SUMPRODUCT(('C19RM 2021-Lab &amp; Other HPS'!$A$14:$D$113=E16)*('C19RM 2021-Lab &amp; Other HPS'!$BH$14:$BH$113=BJ16)*('C19RM 2021-Lab &amp; Other HPS'!$BS$14:$BS$113)*(('C19RM 2021-Lab &amp; Other HPS'!$AT$14:$AT$113)))),0)))),0)))</f>
        <v>0</v>
      </c>
      <c r="AK16" s="359" cm="1">
        <f t="array" ref="AK16">IF((INDEX(SETUP!$F$19:$F$503,(MATCH(1,(SETUP!$B$19:$B$503=B16)*(SETUP!$D$19:$D$503=D16),0))))="Upfront",
(SUMPRODUCT(('C19RM 2021-Lab &amp; Other HPS'!$A$14:$D$113=E16)*('C19RM 2021-Lab &amp; Other HPS'!$BH$14:$BH$113=BJ16)*('C19RM 2021-Lab &amp; Other HPS'!$BS$14:$BS$113)*(('C19RM 2021-Lab &amp; Other HPS'!$AV$14:$AV$113)))),
(IF((INDEX(SETUP!$F$19:$F$503,(MATCH(1,(SETUP!$B$19:$B$503=B16)*(SETUP!$D$19:$D$503=D16),0))))="At delivery",
IF((INDEX(SETUP!$G$19:$G$503,(MATCH(1,(SETUP!$B$19:$B$503=B16)*(SETUP!$D$19:$D$503=D16),0))))=4,
(SUMPRODUCT(('C19RM 2021-Lab &amp; Other HPS'!$A$14:$D$113=E16)*('C19RM 2021-Lab &amp; Other HPS'!$BH$14:$BH$113=BJ16)*('C19RM 2021-Lab &amp; Other HPS'!$BR$14:$BR$113)*(('C19RM 2021-Lab &amp; Other HPS'!$AO$14:$AO$113)))),IF((INDEX(SETUP!$G$19:$G$503,(MATCH(1,(SETUP!$B$19:$B$503=B16)*(SETUP!$D$19:$D$503=D16),0))))=3,((SUMPRODUCT(('C19RM 2021-Lab &amp; Other HPS'!$A$14:$D$113=E16)*('C19RM 2021-Lab &amp; Other HPS'!$BH$14:$BH$113=BJ16)*('C19RM 2021-Lab &amp; Other HPS'!$BS$14:$BS$113)*(('C19RM 2021-Lab &amp; Other HPS'!$AS$14:$AS$113))))),IF((INDEX(SETUP!$G$19:$G$503,(MATCH(1,(SETUP!$B$19:$B$503=B16)*(SETUP!$D$19:$D$503=D16),0))))=2,(SUMPRODUCT(('C19RM 2021-Lab &amp; Other HPS'!$A$14:$D$113=E16)*('C19RM 2021-Lab &amp; Other HPS'!$BH$14:$BH$113=BJ16)*('C19RM 2021-Lab &amp; Other HPS'!$BS$14:$BS$113)*(('C19RM 2021-Lab &amp; Other HPS'!$AT$14:$AT$113)))),IF((INDEX(SETUP!$G$19:$G$503,(MATCH(1,(SETUP!$B$19:$B$503=B16)*(SETUP!$D$19:$D$503=D16),0))))=1,(SUMPRODUCT(('C19RM 2021-Lab &amp; Other HPS'!$A$14:$D$113=E16)*('C19RM 2021-Lab &amp; Other HPS'!$BH$14:$BH$113=BJ16)*('C19RM 2021-Lab &amp; Other HPS'!$BS$14:$BS$113)*(('C19RM 2021-Lab &amp; Other HPS'!$AU$14:$AU$113)))),0)))),0)))</f>
        <v>0</v>
      </c>
      <c r="AL16" s="359" cm="1">
        <f t="array" ref="AL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HPS'!$AS$14:$AS$113)))),IF((INDEX(SETUP!$G$19:$G$503,(MATCH(1,(SETUP!$B$19:$B$503=B16)*(SETUP!$D$19:$D$503=D16),0))))=3,(SUMPRODUCT(('C19RM 2021-Lab &amp; Other HPS'!$A$14:$D$113=E16)*('C19RM 2021-Lab &amp; Other HPS'!$BH$14:$BH$113=BJ16)*('C19RM 2021-Lab &amp; Other HPS'!$BS$14:$BS$113)*(('C19RM 2021-Lab &amp; Other HPS'!$AT$14:$AT$113)))),IF((INDEX(SETUP!$G$19:$G$503,(MATCH(1,(SETUP!$B$19:$B$503=B16)*(SETUP!$D$19:$D$503=D16),0))))=2,(SUMPRODUCT(('C19RM 2021-Lab &amp; Other HPS'!$A$14:$D$113=E16)*('C19RM 2021-Lab &amp; Other HPS'!$BH$14:$BH$113=BJ16)*('C19RM 2021-Lab &amp; Other HPS'!$BS$14:$BS$113)*(('C19RM 2021-Lab &amp; Other HPS'!$AU$14:$AU$113)))),
IF((INDEX(SETUP!$G$19:$G$503,(MATCH(1,(SETUP!$B$19:$B$503=B16)*(SETUP!$D$19:$D$503=D16),0))))=1,
(SUMPRODUCT(('C19RM 2021-Lab &amp; Other HPS'!$A$14:$D$113=E16)*('C19RM 2021-Lab &amp; Other HPS'!$BH$14:$BH$113=BJ16)*('C19RM 2021-Lab &amp; Other HPS'!$BS$14:$BS$113)*(('C19RM 2021-Lab &amp; Other HPS'!$AV$14:$AV$113)))),0)))),0)))</f>
        <v>0</v>
      </c>
      <c r="AM16" s="359" cm="1">
        <f t="array" ref="AM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HPS'!$AT$14:$AT$113)))),IF((INDEX(SETUP!$G$19:$G$503,(MATCH(1,(SETUP!$B$19:$B$503=B16)*(SETUP!$D$19:$D$503=D16),0))))=3,(SUMPRODUCT(('C19RM 2021-Lab &amp; Other HPS'!$A$14:$D$113=E16)*('C19RM 2021-Lab &amp; Other HPS'!$BH$14:$BH$113=BJ16)*('C19RM 2021-Lab &amp; Other HPS'!$BS$14:$BS$113)*(('C19RM 2021-Lab &amp; Other HPS'!$AU$14:$AU$113)))),IF((INDEX(SETUP!$G$19:$G$503,(MATCH(1,(SETUP!$B$19:$B$503=B16)*(SETUP!$D$19:$D$503=D16),0))))=2,(SUMPRODUCT(('C19RM 2021-Lab &amp; Other HPS'!$A$14:$D$113=E16)*('C19RM 2021-Lab &amp; Other HPS'!$BH$14:$BH$113=BJ16)*('C19RM 2021-Lab &amp; Other HPS'!$BS$14:$BS$113)*(('C19RM 2021-Lab &amp; Other HPS'!$AV$14:$AV$113)))),IF((INDEX(SETUP!$G$19:$G$503,(MATCH(1,(SETUP!$B$19:$B$503=B16)*(SETUP!$D$19:$D$503=D16),0))))=1,(0),0)))),0)))</f>
        <v>0</v>
      </c>
      <c r="AN16" s="359" cm="1">
        <f t="array" ref="AN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HPS'!$AU$14:$AU$113)))),IF((INDEX(SETUP!$G$19:$G$503,(MATCH(1,(SETUP!$B$19:$B$503=B16)*(SETUP!$D$19:$D$503=D16),0))))=3,(SUMPRODUCT(('C19RM 2021-Lab &amp; Other HPS'!$A$14:$D$113=E16)*('C19RM 2021-Lab &amp; Other HPS'!$BH$14:$BH$113=BJ16)*('C19RM 2021-Lab &amp; Other HPS'!$BS$14:$BS$113)*(('C19RM 2021-Lab &amp; Other HPS'!$AV$14:$AV$113)))),IF((INDEX(SETUP!$G$19:$G$503,(MATCH(1,(SETUP!$B$19:$B$503=B16)*(SETUP!$D$19:$D$503=D16),0))))=2,(0),IF((INDEX(SETUP!$G$19:$G$503,(MATCH(1,(SETUP!$B$19:$B$503=B16)*(SETUP!$D$19:$D$503=D16),0))))=1,(0),0)))),0)))</f>
        <v>0</v>
      </c>
      <c r="AO16" s="359" cm="1">
        <f t="array" ref="AO16">IF((INDEX(SETUP!$F$19:$F$503,(MATCH(1,(SETUP!$B$19:$B$503=B16)*(SETUP!$D$19:$D$503=D16),0))))="Upfront",0,(IF((INDEX(SETUP!$F$19:$F$503,(MATCH(1,(SETUP!$B$19:$B$503=B16)*(SETUP!$D$19:$D$503=D16),0))))="At delivery",IF((INDEX(SETUP!$G$19:$G$503,(MATCH(1,(SETUP!$B$19:$B$503=B16)*(SETUP!$D$19:$D$503=D16),0))))=4,(SUMPRODUCT(('C19RM 2021-Lab &amp; Other HPS'!$A$14:$D$113=E16)*('C19RM 2021-Lab &amp; Other HPS'!$BH$14:$BH$113=BJ16)*('C19RM 2021-Lab &amp; Other HPS'!$BS$14:$BS$113)*(('C19RM 2021-Lab &amp; Other HPS'!$AV$14:$AV$113)))),IF((INDEX(SETUP!$G$19:$G$503,(MATCH(1,(SETUP!$B$19:$B$503=B16)*(SETUP!$D$19:$D$503=D16),0))))=3,(0),IF((INDEX(SETUP!$G$19:$G$503,(MATCH(1,(SETUP!$B$19:$B$503=B16)*(SETUP!$D$19:$D$503=D16),0))))=2,(0),IF((INDEX(SETUP!$G$19:$G$503,(MATCH(1,(SETUP!$B$19:$B$503=B16)*(SETUP!$D$19:$D$503=D16),0))))=1,(0),0)))),0)))</f>
        <v>0</v>
      </c>
      <c r="AP16" s="359"/>
      <c r="AQ16" s="359"/>
      <c r="AR16" s="359"/>
      <c r="AS16" s="359"/>
      <c r="AT16" s="942" cm="1">
        <f t="array" ref="AT16">IF(BG16&gt;=1,0,IFERROR(SUMPRODUCT(($R$2:$AO$2=$AT$4)*($E$5:$E$100=E16)*($BC$5:$BC$100=BC16)*($R$5:$AO$100)),0))</f>
        <v>0</v>
      </c>
      <c r="AU16" s="359" cm="1">
        <f t="array" ref="AU16">IF(BG16&gt;=1,0,IFERROR(SUMPRODUCT(($R$2:$AO$2=$AU$4)*($E$5:$E$100=E16)*($BC$5:$BC$100=BC16)*($R$5:$AO$100)),0))</f>
        <v>0</v>
      </c>
      <c r="AV16" s="359" cm="1">
        <f t="array" ref="AV16">IF(BG16&gt;=1,0,IFERROR(SUMPRODUCT(($R$2:$AO$2=$AV$4)*($E$5:$E$100=E16)*($BC$5:$BC$100=BC16)*($R$5:$AO$100)),0))</f>
        <v>0</v>
      </c>
      <c r="AW16" s="359" cm="1">
        <f t="array" ref="AW16">IF(BG16&gt;=1,0,IFERROR(SUMPRODUCT(($R$2:$AO$2=$AW$4)*($E$5:$E$100=E16)*($BC$5:$BC$100=BC16)*($R$5:$AO$100)),0))</f>
        <v>0</v>
      </c>
      <c r="AX16" s="359" cm="1">
        <f t="array" ref="AX16">IF(BG16&gt;=1,0,IFERROR(SUMPRODUCT(($R$2:$AO$2=$AX$4)*($E$5:$E$100=E16)*($BC$5:$BC$100=BC16)*($R$5:$AO$100)),0))</f>
        <v>0</v>
      </c>
      <c r="AY16" s="359">
        <f t="shared" si="5"/>
        <v>0</v>
      </c>
      <c r="AZ16" s="359"/>
      <c r="BA16" s="233">
        <f t="shared" si="6"/>
        <v>0</v>
      </c>
      <c r="BB16" s="220" t="s">
        <v>83</v>
      </c>
      <c r="BC16" t="s">
        <v>3299</v>
      </c>
      <c r="BD16" cm="1">
        <f t="array" ref="BD16">(SUMPRODUCT(('C19RM 2021-Lab &amp; Other HPS'!$A$14:$D$650=E16)*('C19RM 2021-Lab &amp; Other HPS'!$BU$14:$BU$650)))</f>
        <v>0</v>
      </c>
      <c r="BE16" cm="1">
        <f t="array" ref="BE16">(SUMPRODUCT((SETUP!$D$20:$D$67=D16)*(SETUP!$R$20:$R$67)))</f>
        <v>0</v>
      </c>
      <c r="BF16" cm="1">
        <f t="array" ref="BF16">(SUMPRODUCT(('C19RM 2021-Lab &amp; Other HPS'!$A$14:$D$650=E16)*('C19RM 2021-Lab &amp; Other HPS'!$BV$14:$BV$650)))</f>
        <v>0</v>
      </c>
      <c r="BG16">
        <f t="shared" si="24"/>
        <v>0</v>
      </c>
      <c r="BJ16" s="235">
        <v>6.4</v>
      </c>
    </row>
    <row r="17" spans="1:62" x14ac:dyDescent="0.35">
      <c r="A17" s="235">
        <v>1</v>
      </c>
      <c r="B17" s="220" t="s">
        <v>2750</v>
      </c>
      <c r="C17" s="235" t="s">
        <v>3192</v>
      </c>
      <c r="D17" s="235" t="s">
        <v>13</v>
      </c>
      <c r="E17" s="235" t="s">
        <v>2756</v>
      </c>
      <c r="F17" s="220">
        <f>SETUP!$E$3</f>
        <v>0</v>
      </c>
      <c r="G17" s="220" t="str">
        <f ca="1">SETUP!$J$5</f>
        <v>NA</v>
      </c>
      <c r="H17" s="220" t="str">
        <f>SETUP!$E$9</f>
        <v>C19RM</v>
      </c>
      <c r="I17" s="232">
        <f t="shared" si="22"/>
        <v>44197</v>
      </c>
      <c r="J17" s="232">
        <f>SETUP!$L$14</f>
        <v>46022</v>
      </c>
      <c r="K17" s="220">
        <v>1</v>
      </c>
      <c r="L17">
        <f t="shared" si="23"/>
        <v>0</v>
      </c>
      <c r="M17">
        <f>SETUP!$E$7</f>
        <v>0</v>
      </c>
      <c r="N17">
        <f>SETUP!$F$76</f>
        <v>6.1</v>
      </c>
      <c r="O17" t="str" cm="1">
        <f t="array" ref="O17">INDEX(SETUP!$E$19:$E$503,(MATCH(1,(SETUP!$B$19:$B$503=B17)*(SETUP!$D$19:$D$503=D17),0)))</f>
        <v>PR/SR</v>
      </c>
      <c r="P17" t="str" cm="1">
        <f t="array" ref="P17">INDEX(SETUP!$F$19:$F$503,(MATCH(1,(SETUP!$B$19:$B$503=B17)*(SETUP!$D$19:$D$503=D17),0)))</f>
        <v>At delivery</v>
      </c>
      <c r="Q17" cm="1">
        <f t="array" ref="Q17">INDEX(SETUP!$G$19:$G$503,(MATCH(1,(SETUP!$B$19:$B$503=B17)*(SETUP!$D$19:$D$503=D17),0)))</f>
        <v>1</v>
      </c>
      <c r="R17" s="359" cm="1">
        <f t="array" ref="R17">IF((INDEX(SETUP!$F$19:$F$503,(MATCH(1,(SETUP!$B$19:$B$503=B17)*(SETUP!$D$19:$D$503=D17),0))))="Upfront",(SUMPRODUCT(('C19RM 2021-Lab &amp; Other HPS'!$A$14:$D$113=E17)*('C19RM 2021-Lab &amp; Other HPS'!$BH$14:$BH$113=BJ17)*('C19RM 2021-Lab &amp; Other HPS'!$BO$14:$BO$113)*(('C19RM 2021-Lab &amp; Other HPS'!$Q$14:$Q$113)))),0)</f>
        <v>0</v>
      </c>
      <c r="S17" s="359" cm="1">
        <f t="array" ref="S17">IF((INDEX(SETUP!$F$19:$F$503,(MATCH(1,(SETUP!$B$19:$B$503=B17)*(SETUP!$D$19:$D$503=D17),0))))="Upfront",(SUMPRODUCT(('C19RM 2021-Lab &amp; Other HPS'!$A$14:$D$113=E17)*('C19RM 2021-Lab &amp; Other HPS'!$BH$14:$BH$113=BJ17)*('C19RM 2021-Lab &amp; Other HPS'!$BO$14:$BO$113)*(('C19RM 2021-Lab &amp; Other HPS'!$R$14:$R$113)))),(IF((INDEX(SETUP!$F$19:$F$503,(MATCH(1,(SETUP!$B$19:$B$503=B17)*(SETUP!$D$19:$D$503=D17),0))))="At delivery",IF((INDEX(SETUP!$G$19:$G$503,(MATCH(1,(SETUP!$B$19:$B$503=B17)*(SETUP!$D$19:$D$503=D17),0))))=1,(SUMPRODUCT(('C19RM 2021-Lab &amp; Other HPS'!$A$14:$D$113=E17)*('C19RM 2021-Lab &amp; Other HPS'!$BH$14:$BH$113=BJ17)*('C19RM 2021-Lab &amp; Other HPS'!$BO$14:$BO$113)*(('C19RM 2021-Lab &amp; Other HPS'!$Q$14:$Q$113)))),0),0)))</f>
        <v>0</v>
      </c>
      <c r="T17" s="359" cm="1">
        <f t="array" ref="T17">IF((INDEX(SETUP!$F$19:$F$503,(MATCH(1,(SETUP!$B$19:$B$503=B17)*(SETUP!$D$19:$D$503=D17),0))))="Upfront",(SUMPRODUCT(('C19RM 2021-Lab &amp; Other HPS'!$A$14:$D$113=E17)*('C19RM 2021-Lab &amp; Other HPS'!$BH$14:$BH$113=BJ17)*('C19RM 2021-Lab &amp; Other HPS'!$BO$14:$BO$113)*(('C19RM 2021-Lab &amp; Other HPS'!$S$14:$S$113)))),(IF((INDEX(SETUP!$F$19:$F$503,(MATCH(1,(SETUP!$B$19:$B$503=B17)*(SETUP!$D$19:$D$503=D17),0))))="At delivery",IF((INDEX(SETUP!$G$19:$G$503,(MATCH(1,(SETUP!$B$19:$B$503=B17)*(SETUP!$D$19:$D$503=D17),0))))=2,(SUMPRODUCT(('C19RM 2021-Lab &amp; Other HPS'!$A$14:$D$113=E17)*('C19RM 2021-Lab &amp; Other HPS'!$BH$14:$BH$113=BJ17)*('C19RM 2021-Lab &amp; Other HPS'!$BO$14:$BO$113)*(('C19RM 2021-Lab &amp; Other HPS'!$Q$14:$Q$113)))),IF((INDEX(SETUP!$G$19:$G$503,(MATCH(1,(SETUP!$B$19:$B$503=B17)*(SETUP!$D$19:$D$503=D17),0))))=1,(SUMPRODUCT(('C19RM 2021-Lab &amp; Other HPS'!$A$14:$D$113=E17)*('C19RM 2021-Lab &amp; Other HPS'!$BH$14:$BH$113=BJ17)*('C19RM 2021-Lab &amp; Other HPS'!$BO$14:$BO$113)*(('C19RM 2021-Lab &amp; Other HPS'!$R$14:$R$113)))),0)),0)))</f>
        <v>0</v>
      </c>
      <c r="U17" s="359" cm="1">
        <f t="array" ref="U17">IF((INDEX(SETUP!$F$19:$F$503,(MATCH(1,(SETUP!$B$19:$B$503=B17)*(SETUP!$D$19:$D$503=D17),0))))="Upfront",(SUMPRODUCT(('C19RM 2021-Lab &amp; Other HPS'!$A$14:$D$113=E17)*('C19RM 2021-Lab &amp; Other HPS'!$BH$14:$BH$113=BJ17)*('C19RM 2021-Lab &amp; Other HPS'!$BO$14:$BO$113)*(('C19RM 2021-Lab &amp; Other HPS'!$T$14:$T$113)))),(IF((INDEX(SETUP!$F$19:$F$503,(MATCH(1,(SETUP!$B$19:$B$503=B17)*(SETUP!$D$19:$D$503=D17),0))))="At delivery",IF((INDEX(SETUP!$G$19:$G$503,(MATCH(1,(SETUP!$B$19:$B$503=B17)*(SETUP!$D$19:$D$503=D17),0))))=3,(SUMPRODUCT(('C19RM 2021-Lab &amp; Other HPS'!$A$14:$D$113=E17)*('C19RM 2021-Lab &amp; Other HPS'!$BH$14:$BH$113=BJ17)*('C19RM 2021-Lab &amp; Other HPS'!$BO$14:$BO$113)*(('C19RM 2021-Lab &amp; Other HPS'!$Q$14:$Q$113)))),IF((INDEX(SETUP!$G$19:$G$503,(MATCH(1,(SETUP!$B$19:$B$503=B17)*(SETUP!$D$19:$D$503=D17),0))))=2,(SUMPRODUCT(('C19RM 2021-Lab &amp; Other HPS'!$A$14:$D$113=E17)*('C19RM 2021-Lab &amp; Other HPS'!$BH$14:$BH$113=BJ17)*('C19RM 2021-Lab &amp; Other HPS'!$BO$14:$BO$113)*(('C19RM 2021-Lab &amp; Other HPS'!$R$14:$R$113)))),IF((INDEX(SETUP!$G$19:$G$503,(MATCH(1,(SETUP!$B$19:$B$503=B17)*(SETUP!$D$19:$D$503=D17),0))))=1,(SUMPRODUCT(('C19RM 2021-Lab &amp; Other HPS'!$A$14:$D$113=E17)*('C19RM 2021-Lab &amp; Other HPS'!$BH$14:$BH$113=BJ17)*('C19RM 2021-Lab &amp; Other HPS'!$BO$14:$BO$113)*(('C19RM 2021-Lab &amp; Other HPS'!$S$14:$S$113)))),0))),0)))</f>
        <v>0</v>
      </c>
      <c r="V17" s="359" cm="1">
        <f t="array" ref="V17">IF((INDEX(SETUP!$F$19:$F$503,(MATCH(1,(SETUP!$B$19:$B$503=B17)*(SETUP!$D$19:$D$503=D17),0))))="Upfront",(SUMPRODUCT(('C19RM 2021-Lab &amp; Other HPS'!$A$14:$D$113=E17)*('C19RM 2021-Lab &amp; Other HPS'!$BH$14:$BH$113=BJ17)*('C19RM 2021-Lab &amp; Other HPS'!$BP$14:$BP$113)*(('C19RM 2021-Lab &amp; Other HPS'!$X$14:$X$113)))),(IF((INDEX(SETUP!$F$19:$F$503,(MATCH(1,(SETUP!$B$19:$B$503=B17)*(SETUP!$D$19:$D$503=D17),0))))="At delivery",IF((INDEX(SETUP!$G$19:$G$503,(MATCH(1,(SETUP!$B$19:$B$503=B17)*(SETUP!$D$19:$D$503=D17),0))))=4,(SUMPRODUCT(('C19RM 2021-Lab &amp; Other HPS'!$A$14:$D$113=E17)*('C19RM 2021-Lab &amp; Other HPS'!$BH$14:$BH$113=BJ17)*('C19RM 2021-Lab &amp; Other HPS'!$BO$14:$BO$113)*(('C19RM 2021-Lab &amp; Other HPS'!$Q$14:$Q$113)))),IF((INDEX(SETUP!$G$19:$G$503,(MATCH(1,(SETUP!$B$19:$B$503=B17)*(SETUP!$D$19:$D$503=D17),0))))=3,(SUMPRODUCT(('C19RM 2021-Lab &amp; Other HPS'!$A$14:$D$113=E17)*('C19RM 2021-Lab &amp; Other HPS'!$BH$14:$BH$113=BJ17)*('C19RM 2021-Lab &amp; Other HPS'!$BO$14:$BO$113)*(('C19RM 2021-Lab &amp; Other HPS'!$R$14:$R$113)))),IF((INDEX(SETUP!$G$19:$G$503,(MATCH(1,(SETUP!$B$19:$B$503=B17)*(SETUP!$D$19:$D$503=D17),0))))=2,(SUMPRODUCT(('C19RM 2021-Lab &amp; Other HPS'!$A$14:$D$113=E17)*('C19RM 2021-Lab &amp; Other HPS'!$BH$14:$BH$113=BJ17)*('C19RM 2021-Lab &amp; Other HPS'!$BO$14:$BO$113)*(('C19RM 2021-Lab &amp; Other HPS'!$S$14:$S$113)))),IF((INDEX(SETUP!$G$19:$G$503,(MATCH(1,(SETUP!$B$19:$B$503=B17)*(SETUP!$D$19:$D$503=D17),0))))=1,(SUMPRODUCT(('C19RM 2021-Lab &amp; Other HPS'!$A$14:$D$113=E17)*('C19RM 2021-Lab &amp; Other HPS'!$BH$14:$BH$113=BJ17)*('C19RM 2021-Lab &amp; Other HPS'!$BO$14:$BO$113)*(('C19RM 2021-Lab &amp; Other HPS'!$T$14:$T$113)))),0)))),0)))</f>
        <v>0</v>
      </c>
      <c r="W17" s="359" cm="1">
        <f t="array" ref="W17">IF((INDEX(SETUP!$F$19:$F$503,(MATCH(1,(SETUP!$B$19:$B$503=B17)*(SETUP!$D$19:$D$503=D17),0))))="Upfront",(SUMPRODUCT(('C19RM 2021-Lab &amp; Other HPS'!$A$14:$D$113=E17)*('C19RM 2021-Lab &amp; Other HPS'!$BH$14:$BH$113=BJ17)*('C19RM 2021-Lab &amp; Other HPS'!$BP$14:$BP$113)*(('C19RM 2021-Lab &amp; Other HPS'!$Y$14:$Y$113)))),(IF((INDEX(SETUP!$F$19:$F$503,(MATCH(1,(SETUP!$B$19:$B$503=B17)*(SETUP!$D$19:$D$503=D17),0))))="At delivery",IF((INDEX(SETUP!$G$19:$G$503,(MATCH(1,(SETUP!$B$19:$B$503=B17)*(SETUP!$D$19:$D$503=D17),0))))=4,(SUMPRODUCT(('C19RM 2021-Lab &amp; Other HPS'!$A$14:$D$113=E17)*('C19RM 2021-Lab &amp; Other HPS'!$BH$14:$BH$113=BJ17)*('C19RM 2021-Lab &amp; Other HPS'!$BO$14:$BO$113)*(('C19RM 2021-Lab &amp; Other HPS'!$R$14:$R$113)))),IF((INDEX(SETUP!$G$19:$G$503,(MATCH(1,(SETUP!$B$19:$B$503=B17)*(SETUP!$D$19:$D$503=D17),0))))=3,(SUMPRODUCT(('C19RM 2021-Lab &amp; Other HPS'!$A$14:$D$113=E17)*('C19RM 2021-Lab &amp; Other HPS'!$BH$14:$BH$113=BJ17)*('C19RM 2021-Lab &amp; Other HPS'!$BO$14:$BO$113)*(('C19RM 2021-Lab &amp; Other HPS'!$S$14:$S$113)))),IF((INDEX(SETUP!$G$19:$G$503,(MATCH(1,(SETUP!$B$19:$B$503=B17)*(SETUP!$D$19:$D$503=D17),0))))=2,((SUMPRODUCT(('C19RM 2021-Lab &amp; Other HPS'!$A$14:$D$113=E17)*('C19RM 2021-Lab &amp; Other HPS'!$BH$14:$BH$113=BJ17)*('C19RM 2021-Lab &amp; Other HPS'!$BO$14:$BO$113)*(('C19RM 2021-Lab &amp; Other HPS'!$T$14:$T$113))))),IF((INDEX(SETUP!$G$19:$G$503,(MATCH(1,(SETUP!$B$19:$B$503=B17)*(SETUP!$D$19:$D$503=D17),0))))=1,(SUMPRODUCT(('C19RM 2021-Lab &amp; Other HPS'!$A$14:$D$113=E17)*('C19RM 2021-Lab &amp; Other HPS'!$BH$14:$BH$113=BJ17)*('C19RM 2021-Lab &amp; Other HPS'!$BP$14:$BP$113)*(('C19RM 2021-Lab &amp; Other HPS'!$X$14:$X$113)))),0)))),0)))</f>
        <v>0</v>
      </c>
      <c r="X17" s="359" cm="1">
        <f t="array" ref="X17">IF((INDEX(SETUP!$F$19:$F$503,(MATCH(1,(SETUP!$B$19:$B$503=B17)*(SETUP!$D$19:$D$503=D17),0))))="Upfront",(SUMPRODUCT(('C19RM 2021-Lab &amp; Other HPS'!$A$14:$D$113=E17)*('C19RM 2021-Lab &amp; Other HPS'!$BH$14:$BH$113=BJ17)*('C19RM 2021-Lab &amp; Other HPS'!$BP$14:$BP$113)*(('C19RM 2021-Lab &amp; Other HPS'!$Z$14:$Z$113)))),(IF((INDEX(SETUP!$F$19:$F$503,(MATCH(1,(SETUP!$B$19:$B$503=B17)*(SETUP!$D$19:$D$503=D17),0))))="At delivery",IF((INDEX(SETUP!$G$19:$G$503,(MATCH(1,(SETUP!$B$19:$B$503=B17)*(SETUP!$D$19:$D$503=D17),0))))=4,(SUMPRODUCT(('C19RM 2021-Lab &amp; Other HPS'!$A$14:$D$113=E17)*('C19RM 2021-Lab &amp; Other HPS'!$BH$14:$BH$113=BJ17)*('C19RM 2021-Lab &amp; Other HPS'!$BO$14:$BO$113)*(('C19RM 2021-Lab &amp; Other HPS'!$S$14:$S$113)))),IF((INDEX(SETUP!$G$19:$G$503,(MATCH(1,(SETUP!$B$19:$B$503=B17)*(SETUP!$D$19:$D$503=D17),0))))=3,((SUMPRODUCT(('C19RM 2021-Lab &amp; Other HPS'!$A$14:$D$113=E17)*('C19RM 2021-Lab &amp; Other HPS'!$BH$14:$BH$113=BJ17)*('C19RM 2021-Lab &amp; Other HPS'!$BO$14:$BO$113)*(('C19RM 2021-Lab &amp; Other HPS'!$T$14:$T$113))))),IF((INDEX(SETUP!$G$19:$G$503,(MATCH(1,(SETUP!$B$19:$B$503=B17)*(SETUP!$D$19:$D$503=D17),0))))=2,(SUMPRODUCT(('C19RM 2021-Lab &amp; Other HPS'!$A$14:$D$113=E17)*('C19RM 2021-Lab &amp; Other HPS'!$BH$14:$BH$113=BJ17)*('C19RM 2021-Lab &amp; Other HPS'!$BP$14:$BP$113)*(('C19RM 2021-Lab &amp; Other HPS'!$X$14:$X$113)))),IF((INDEX(SETUP!$G$19:$G$503,(MATCH(1,(SETUP!$B$19:$B$503=B17)*(SETUP!$D$19:$D$503=D17),0))))=1,(SUMPRODUCT(('C19RM 2021-Lab &amp; Other HPS'!$A$14:$D$113=E17)*('C19RM 2021-Lab &amp; Other HPS'!$BH$14:$BH$113=BJ17)*('C19RM 2021-Lab &amp; Other HPS'!$BP$14:$BP$113)*(('C19RM 2021-Lab &amp; Other HPS'!$Y$14:$Y$113)))),0)))),0)))</f>
        <v>0</v>
      </c>
      <c r="Y17" s="359" cm="1">
        <f t="array" ref="Y17">IF((INDEX(SETUP!$F$19:$F$503,(MATCH(1,(SETUP!$B$19:$B$503=B17)*(SETUP!$D$19:$D$503=D17),0))))="Upfront",
(SUMPRODUCT(('C19RM 2021-Lab &amp; Other HPS'!$A$14:$D$113=E17)*('C19RM 2021-Lab &amp; Other HPS'!$BH$14:$BH$113=BJ17)*('C19RM 2021-Lab &amp; Other HPS'!$BP$14:$BP$113)*(('C19RM 2021-Lab &amp; Other HPS'!$AA$14:$AA$113)))),
(IF((INDEX(SETUP!$F$19:$F$503,(MATCH(1,(SETUP!$B$19:$B$503=B17)*(SETUP!$D$19:$D$503=D17),0))))="At delivery",
IF((INDEX(SETUP!$G$19:$G$503,(MATCH(1,(SETUP!$B$19:$B$503=B17)*(SETUP!$D$19:$D$503=D17),0))))=4,
((SUMPRODUCT(('C19RM 2021-Lab &amp; Other HPS'!$A$14:$D$113=E17)*('C19RM 2021-Lab &amp; Other HPS'!$BH$14:$BH$113=BJ17)*('C19RM 2021-Lab &amp; Other HPS'!$BO$14:$BO$113)*(('C19RM 2021-Lab &amp; Other HPS'!$T$14:$T$113))))),IF((INDEX(SETUP!$G$19:$G$503,(MATCH(1,(SETUP!$B$19:$B$503=B17)*(SETUP!$D$19:$D$503=D17),0))))=3,(SUMPRODUCT(('C19RM 2021-Lab &amp; Other HPS'!$A$14:$D$113=E17)*('C19RM 2021-Lab &amp; Other HPS'!$BH$14:$BH$113=BJ17)*('C19RM 2021-Lab &amp; Other HPS'!$BP$14:$BP$113)*(('C19RM 2021-Lab &amp; Other HPS'!$X$14:$X$113)))),IF((INDEX(SETUP!$G$19:$G$503,(MATCH(1,(SETUP!$B$19:$B$503=B17)*(SETUP!$D$19:$D$503=D17),0))))=2,(SUMPRODUCT(('C19RM 2021-Lab &amp; Other HPS'!$A$14:$D$113=E17)*('C19RM 2021-Lab &amp; Other HPS'!$BH$14:$BH$113=BJ17)*('C19RM 2021-Lab &amp; Other HPS'!$BP$14:$BP$113)*(('C19RM 2021-Lab &amp; Other HPS'!$Y$14:$Y$113)))),IF((INDEX(SETUP!$G$19:$G$503,(MATCH(1,(SETUP!$B$19:$B$503=B17)*(SETUP!$D$19:$D$503=D17),0))))=1,(SUMPRODUCT(('C19RM 2021-Lab &amp; Other HPS'!$A$14:$D$113=E17)*('C19RM 2021-Lab &amp; Other HPS'!$BH$14:$BH$113=BJ17)*('C19RM 2021-Lab &amp; Other HPS'!$BP$14:$BP$113)*(('C19RM 2021-Lab &amp; Other HPS'!$Z$14:$Z$113)))),0)))),0)))</f>
        <v>0</v>
      </c>
      <c r="Z17" s="359" cm="1">
        <f t="array" ref="Z17">IF((INDEX(SETUP!$F$19:$F$503,(MATCH(1,(SETUP!$B$19:$B$503=B17)*(SETUP!$D$19:$D$503=D17),0))))="Upfront",(SUMPRODUCT(('C19RM 2021-Lab &amp; Other HPS'!$A$14:$D$113=E17)*('C19RM 2021-Lab &amp; Other HPS'!$BH$14:$BH$113=BJ17)*('C19RM 2021-Lab &amp; Other HPS'!$BQ$14:$BQ$113)*(('C19RM 2021-Lab &amp; Other HPS'!$AE$14:$AE$113)))),(IF((INDEX(SETUP!$F$19:$F$503,(MATCH(1,(SETUP!$B$19:$B$503=B17)*(SETUP!$D$19:$D$503=D17),0))))="At delivery",IF((INDEX(SETUP!$G$19:$G$503,(MATCH(1,(SETUP!$B$19:$B$503=B17)*(SETUP!$D$19:$D$503=D17),0))))=4,(SUMPRODUCT(('C19RM 2021-Lab &amp; Other HPS'!$A$14:$D$113=E17)*('C19RM 2021-Lab &amp; Other HPS'!$BH$14:$BH$113=BJ17)*('C19RM 2021-Lab &amp; Other HPS'!$BP$14:$BP$113)*(('C19RM 2021-Lab &amp; Other HPS'!$X$14:$X$113)))),IF((INDEX(SETUP!$G$19:$G$503,(MATCH(1,(SETUP!$B$19:$B$503=B17)*(SETUP!$D$19:$D$503=D17),0))))=3,(SUMPRODUCT(('C19RM 2021-Lab &amp; Other HPS'!$A$14:$D$113=E17)*('C19RM 2021-Lab &amp; Other HPS'!$BH$14:$BH$113=BJ17)*('C19RM 2021-Lab &amp; Other HPS'!$BP$14:$BP$113)*(('C19RM 2021-Lab &amp; Other HPS'!$Y$14:$Y$113)))),IF((INDEX(SETUP!$G$19:$G$503,(MATCH(1,(SETUP!$B$19:$B$503=B17)*(SETUP!$D$19:$D$503=D17),0))))=2,(SUMPRODUCT(('C19RM 2021-Lab &amp; Other HPS'!$A$14:$D$113=E17)*('C19RM 2021-Lab &amp; Other HPS'!$BH$14:$BH$113=BJ17)*('C19RM 2021-Lab &amp; Other HPS'!$BP$14:$BP$113)*(('C19RM 2021-Lab &amp; Other HPS'!$Z$14:$Z$113)))),IF((INDEX(SETUP!$G$19:$G$503,(MATCH(1,(SETUP!$B$19:$B$503=B17)*(SETUP!$D$19:$D$503=D17),0))))=1,(SUMPRODUCT(('C19RM 2021-Lab &amp; Other HPS'!$A$14:$D$113=E17)*('C19RM 2021-Lab &amp; Other HPS'!$BH$14:$BH$113=BJ17)*('C19RM 2021-Lab &amp; Other HPS'!$BP$14:$BP$113)*(('C19RM 2021-Lab &amp; Other HPS'!$AA$14:$AA$113)))),0)))),0)))</f>
        <v>0</v>
      </c>
      <c r="AA17" s="359" cm="1">
        <f t="array" ref="AA17">IF((INDEX(SETUP!$F$19:$F$503,(MATCH(1,(SETUP!$B$19:$B$503=B17)*(SETUP!$D$19:$D$503=D17),0))))="Upfront",(SUMPRODUCT(('C19RM 2021-Lab &amp; Other HPS'!$A$14:$D$113=E17)*('C19RM 2021-Lab &amp; Other HPS'!$BH$14:$BH$113=BJ17)*('C19RM 2021-Lab &amp; Other HPS'!$BQ$14:$BQ$113)*(('C19RM 2021-Lab &amp; Other HPS'!$AF$14:$AF$113)))),(IF((INDEX(SETUP!$F$19:$F$503,(MATCH(1,(SETUP!$B$19:$B$503=B17)*(SETUP!$D$19:$D$503=D17),0))))="At delivery",IF((INDEX(SETUP!$G$19:$G$503,(MATCH(1,(SETUP!$B$19:$B$503=B17)*(SETUP!$D$19:$D$503=D17),0))))=4,(SUMPRODUCT(('C19RM 2021-Lab &amp; Other HPS'!$A$14:$D$113=E17)*('C19RM 2021-Lab &amp; Other HPS'!$BH$14:$BH$113=BJ17)*('C19RM 2021-Lab &amp; Other HPS'!$BP$14:$BP$113)*(('C19RM 2021-Lab &amp; Other HPS'!$Y$14:$Y$113)))),IF((INDEX(SETUP!$G$19:$G$503,(MATCH(1,(SETUP!$B$19:$B$503=B17)*(SETUP!$D$19:$D$503=D17),0))))=3,(SUMPRODUCT(('C19RM 2021-Lab &amp; Other HPS'!$A$14:$D$113=E17)*('C19RM 2021-Lab &amp; Other HPS'!$BH$14:$BH$113=BJ17)*('C19RM 2021-Lab &amp; Other HPS'!$BP$14:$BP$113)*(('C19RM 2021-Lab &amp; Other HPS'!$Z$14:$Z$113)))),IF((INDEX(SETUP!$G$19:$G$503,(MATCH(1,(SETUP!$B$19:$B$503=B17)*(SETUP!$D$19:$D$503=D17),0))))=2,((SUMPRODUCT(('C19RM 2021-Lab &amp; Other HPS'!$A$14:$D$113=E17)*('C19RM 2021-Lab &amp; Other HPS'!$BH$14:$BH$113=BJ17)*('C19RM 2021-Lab &amp; Other HPS'!$BP$14:$BP$113)*(('C19RM 2021-Lab &amp; Other HPS'!$AA$14:$AA$113))))),IF((INDEX(SETUP!$G$19:$G$503,(MATCH(1,(SETUP!$B$19:$B$503=B17)*(SETUP!$D$19:$D$503=D17),0))))=1,(SUMPRODUCT(('C19RM 2021-Lab &amp; Other HPS'!$A$14:$D$113=E17)*('C19RM 2021-Lab &amp; Other HPS'!$BH$14:$BH$113=BJ17)*('C19RM 2021-Lab &amp; Other HPS'!$BQ$14:$BQ$113)*(('C19RM 2021-Lab &amp; Other HPS'!$AE$14:$AE$113)))),0)))),0)))</f>
        <v>0</v>
      </c>
      <c r="AB17" s="359" cm="1">
        <f t="array" ref="AB17">IF((INDEX(SETUP!$F$19:$F$503,(MATCH(1,(SETUP!$B$19:$B$503=B17)*(SETUP!$D$19:$D$503=D17),0))))="Upfront",
(SUMPRODUCT(('C19RM 2021-Lab &amp; Other HPS'!$A$14:$D$113=E17)*('C19RM 2021-Lab &amp; Other HPS'!$BH$14:$BH$113=BJ17)*('C19RM 2021-Lab &amp; Other HPS'!$BQ$14:$BQ$113)*(('C19RM 2021-Lab &amp; Other HPS'!$AG$14:$AG$113)))),
(IF((INDEX(SETUP!$F$19:$F$503,(MATCH(1,(SETUP!$B$19:$B$503=B17)*(SETUP!$D$19:$D$503=D17),0))))="At delivery",
IF((INDEX(SETUP!$G$19:$G$503,(MATCH(1,(SETUP!$B$19:$B$503=B17)*(SETUP!$D$19:$D$503=D17),0))))=4,
(SUMPRODUCT(('C19RM 2021-Lab &amp; Other HPS'!$A$14:$D$113=E17)*('C19RM 2021-Lab &amp; Other HPS'!$BH$14:$BH$113=BJ17)*('C19RM 2021-Lab &amp; Other HPS'!$BP$14:$BP$113)*(('C19RM 2021-Lab &amp; Other HPS'!$Z$14:$Z$113)))),IF((INDEX(SETUP!$G$19:$G$503,(MATCH(1,(SETUP!$B$19:$B$503=B17)*(SETUP!$D$19:$D$503=D17),0))))=3,(SUMPRODUCT(('C19RM 2021-Lab &amp; Other HPS'!$A$14:$D$113=E17)*('C19RM 2021-Lab &amp; Other HPS'!$BH$14:$BH$113=BJ17)*('C19RM 2021-Lab &amp; Other HPS'!$BP$14:$BP$113)*(('C19RM 2021-Lab &amp; Other HPS'!$AA$14:$AA$113)))),IF((INDEX(SETUP!$G$19:$G$503,(MATCH(1,(SETUP!$B$19:$B$503=B17)*(SETUP!$D$19:$D$503=D17),0))))=2,(SUMPRODUCT(('C19RM 2021-Lab &amp; Other HPS'!$A$14:$D$113=E17)*('C19RM 2021-Lab &amp; Other HPS'!$BH$14:$BH$113=BJ17)*('C19RM 2021-Lab &amp; Other HPS'!$BQ$14:$BQ$113)*(('C19RM 2021-Lab &amp; Other HPS'!$AE$14:$AE$113)))),IF((INDEX(SETUP!$G$19:$G$503,(MATCH(1,(SETUP!$B$19:$B$503=B17)*(SETUP!$D$19:$D$503=D17),0))))=1,(SUMPRODUCT(('C19RM 2021-Lab &amp; Other HPS'!$A$14:$D$113=E17)*('C19RM 2021-Lab &amp; Other HPS'!$BH$14:$BH$113=BJ17)*('C19RM 2021-Lab &amp; Other HPS'!$BQ$14:$BQ$113)*(('C19RM 2021-Lab &amp; Other HPS'!$AF$14:$AF$113)))),0)))),0)))</f>
        <v>0</v>
      </c>
      <c r="AC17" s="359" cm="1">
        <f t="array" ref="AC17">IF((INDEX(SETUP!$F$19:$F$503,(MATCH(1,(SETUP!$B$19:$B$503=B17)*(SETUP!$D$19:$D$503=D17),0))))="Upfront",
(SUMPRODUCT(('C19RM 2021-Lab &amp; Other HPS'!$A$14:$D$113=E17)*('C19RM 2021-Lab &amp; Other HPS'!$BH$14:$BH$113=BJ17)*('C19RM 2021-Lab &amp; Other HPS'!$BQ$14:$BQ$113)*(('C19RM 2021-Lab &amp; Other HPS'!$AH$14:$AH$113)))),
(IF((INDEX(SETUP!$F$19:$F$503,(MATCH(1,(SETUP!$B$19:$B$503=B17)*(SETUP!$D$19:$D$503=D17),0))))="At delivery",
IF((INDEX(SETUP!$G$19:$G$503,(MATCH(1,(SETUP!$B$19:$B$503=B17)*(SETUP!$D$19:$D$503=D17),0))))=4,
(SUMPRODUCT(('C19RM 2021-Lab &amp; Other HPS'!$A$14:$D$113=E17)*('C19RM 2021-Lab &amp; Other HPS'!$BH$14:$BH$113=BJ17)*('C19RM 2021-Lab &amp; Other HPS'!$BP$14:$BP$113)*(('C19RM 2021-Lab &amp; Other HPS'!$AA$14:$AA$113)))),IF((INDEX(SETUP!$G$19:$G$503,(MATCH(1,(SETUP!$B$19:$B$503=B17)*(SETUP!$D$19:$D$503=D17),0))))=3,(SUMPRODUCT(('C19RM 2021-Lab &amp; Other HPS'!$A$14:$D$113=E17)*('C19RM 2021-Lab &amp; Other HPS'!$BH$14:$BH$113=BJ17)*('C19RM 2021-Lab &amp; Other HPS'!$BQ$14:$BQ$113)*(('C19RM 2021-Lab &amp; Other HPS'!$AE$14:$AE$113)))),IF((INDEX(SETUP!$G$19:$G$503,(MATCH(1,(SETUP!$B$19:$B$503=B17)*(SETUP!$D$19:$D$503=D17),0))))=2,(SUMPRODUCT(('C19RM 2021-Lab &amp; Other HPS'!$A$14:$D$113=E17)*('C19RM 2021-Lab &amp; Other HPS'!$BH$14:$BH$113=BJ17)*('C19RM 2021-Lab &amp; Other HPS'!$BQ$14:$BQ$113)*(('C19RM 2021-Lab &amp; Other HPS'!$AF$14:$AF$113)))),IF((INDEX(SETUP!$G$19:$G$503,(MATCH(1,(SETUP!$B$19:$B$503=B17)*(SETUP!$D$19:$D$503=D17),0))))=1,(SUMPRODUCT(('C19RM 2021-Lab &amp; Other HPS'!$A$14:$D$113=E17)*('C19RM 2021-Lab &amp; Other HPS'!$BH$14:$BH$113=BJ17)*('C19RM 2021-Lab &amp; Other HPS'!$BQ$14:$BQ$113)*(('C19RM 2021-Lab &amp; Other HPS'!$AG$14:$AG$113)))),0)))),0)))</f>
        <v>0</v>
      </c>
      <c r="AD17" s="359" cm="1">
        <f t="array" ref="AD17">IF((INDEX(SETUP!$F$19:$F$503,(MATCH(1,(SETUP!$B$19:$B$503=B17)*(SETUP!$D$19:$D$503=D17),0))))="Upfront",
(SUMPRODUCT(('C19RM 2021-Lab &amp; Other HPS'!$A$14:$D$113=E17)*('C19RM 2021-Lab &amp; Other HPS'!$BH$14:$BH$113=BJ17)*('C19RM 2021-Lab &amp; Other HPS'!$BR$14:$BR$113)*(('C19RM 2021-Lab &amp; Other HPS'!$AL$14:$AL$113)))),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HPS'!$AE$14:$AE$113)))),IF((INDEX(SETUP!$G$19:$G$503,(MATCH(1,(SETUP!$B$19:$B$503=B17)*(SETUP!$D$19:$D$503=D17),0))))=3,((SUMPRODUCT(('C19RM 2021-Lab &amp; Other HPS'!$A$14:$D$113=E17)*('C19RM 2021-Lab &amp; Other HPS'!$BH$14:$BH$113=BJ17)*('C19RM 2021-Lab &amp; Other HPS'!$BQ$14:$BQ$113)*(('C19RM 2021-Lab &amp; Other HPS'!$AF$14:$AF$113))))),IF((INDEX(SETUP!$G$19:$G$503,(MATCH(1,(SETUP!$B$19:$B$503=B17)*(SETUP!$D$19:$D$503=D17),0))))=2,(SUMPRODUCT(('C19RM 2021-Lab &amp; Other HPS'!$A$14:$D$113=E17)*('C19RM 2021-Lab &amp; Other HPS'!$BH$14:$BH$113=BJ17)*('C19RM 2021-Lab &amp; Other HPS'!$BQ$14:$BQ$113)*(('C19RM 2021-Lab &amp; Other HPS'!$AG$14:$AG$113)))),IF((INDEX(SETUP!$G$19:$G$503,(MATCH(1,(SETUP!$B$19:$B$503=B17)*(SETUP!$D$19:$D$503=D17),0))))=1,(SUMPRODUCT(('C19RM 2021-Lab &amp; Other HPS'!$A$14:$D$113=E17)*('C19RM 2021-Lab &amp; Other HPS'!$BH$14:$BH$113=BJ17)*('C19RM 2021-Lab &amp; Other HPS'!$BQ$14:$BQ$113)*(('C19RM 2021-Lab &amp; Other HPS'!$AH$14:$AH$113)))),0)))),0)))</f>
        <v>0</v>
      </c>
      <c r="AE17" s="359" cm="1">
        <f t="array" ref="AE17">IF((INDEX(SETUP!$F$19:$F$503,(MATCH(1,(SETUP!$B$19:$B$503=B17)*(SETUP!$D$19:$D$503=D17),0))))="Upfront",
(SUMPRODUCT(('C19RM 2021-Lab &amp; Other HPS'!$A$14:$D$113=E17)*('C19RM 2021-Lab &amp; Other HPS'!$BH$14:$BH$113=BJ17)*('C19RM 2021-Lab &amp; Other HPS'!$BR$14:$BR$113)*(('C19RM 2021-Lab &amp; Other HPS'!$AM$14:$AM$113)))),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HPS'!$AF$14:$AF$113)))),IF((INDEX(SETUP!$G$19:$G$503,(MATCH(1,(SETUP!$B$19:$B$503=B17)*(SETUP!$D$19:$D$503=D17),0))))=3,(SUMPRODUCT(('C19RM 2021-Lab &amp; Other HPS'!$A$14:$D$113=E17)*('C19RM 2021-Lab &amp; Other HPS'!$BH$14:$BH$113=BJ17)*('C19RM 2021-Lab &amp; Other HPS'!$BQ$14:$BQ$113)*(('C19RM 2021-Lab &amp; Other HPS'!$AG$14:$AG$113)))),IF((INDEX(SETUP!$G$19:$G$503,(MATCH(1,(SETUP!$B$19:$B$503=B17)*(SETUP!$D$19:$D$503=D17),0))))=2,(SUMPRODUCT(('C19RM 2021-Lab &amp; Other HPS'!$A$14:$D$113=E17)*('C19RM 2021-Lab &amp; Other HPS'!$BH$14:$BH$113=BJ17)*('C19RM 2021-Lab &amp; Other HPS'!$BQ$14:$BQ$113)*(('C19RM 2021-Lab &amp; Other HPS'!$AH$14:$AH$113)))),IF((INDEX(SETUP!$G$19:$G$503,(MATCH(1,(SETUP!$B$19:$B$503=B17)*(SETUP!$D$19:$D$503=D17),0))))=1,(SUMPRODUCT(('C19RM 2021-Lab &amp; Other HPS'!$A$14:$D$113=E17)*('C19RM 2021-Lab &amp; Other HPS'!$BH$14:$BH$113=BJ17)*('C19RM 2021-Lab &amp; Other HPS'!$BR$14:$BR$113)*(('C19RM 2021-Lab &amp; Other HPS'!$AL$14:$AL$113)))),0)))),0)))</f>
        <v>0</v>
      </c>
      <c r="AF17" s="359" cm="1">
        <f t="array" ref="AF17">IF((INDEX(SETUP!$F$19:$F$503,(MATCH(1,(SETUP!$B$19:$B$503=B17)*(SETUP!$D$19:$D$503=D17),0))))="Upfront",
(SUMPRODUCT(('C19RM 2021-Lab &amp; Other HPS'!$A$14:$D$113=E17)*('C19RM 2021-Lab &amp; Other HPS'!$BH$14:$BH$113=BJ17)*('C19RM 2021-Lab &amp; Other HPS'!$BR$14:$BR$113)*(('C19RM 2021-Lab &amp; Other HPS'!$AN$14:$AN$113)))),
(IF((INDEX(SETUP!$F$19:$F$503,(MATCH(1,(SETUP!$B$19:$B$503=B17)*(SETUP!$D$19:$D$503=D17),0))))="At delivery",
IF((INDEX(SETUP!$G$19:$G$503,(MATCH(1,(SETUP!$B$19:$B$503=B17)*(SETUP!$D$19:$D$503=D17),0))))=4,
(SUMPRODUCT(('C19RM 2021-Lab &amp; Other HPS'!$A$14:$D$113=E17)*('C19RM 2021-Lab &amp; Other HPS'!$BH$14:$BH$113=BJ17)*('C19RM 2021-Lab &amp; Other HPS'!$BQ$14:$BQ$113)*(('C19RM 2021-Lab &amp; Other HPS'!$AG$14:$AG$113)))),IF((INDEX(SETUP!$G$19:$G$503,(MATCH(1,(SETUP!$B$19:$B$503=B17)*(SETUP!$D$19:$D$503=D17),0))))=3,(SUMPRODUCT(('C19RM 2021-Lab &amp; Other HPS'!$A$14:$D$113=E17)*('C19RM 2021-Lab &amp; Other HPS'!$BH$14:$BH$113=BJ17)*('C19RM 2021-Lab &amp; Other HPS'!$BQ$14:$BQ$113)*(('C19RM 2021-Lab &amp; Other HPS'!$AH$14:$AH$113)))),IF((INDEX(SETUP!$G$19:$G$503,(MATCH(1,(SETUP!$B$19:$B$503=B17)*(SETUP!$D$19:$D$503=D17),0))))=2,(SUMPRODUCT(('C19RM 2021-Lab &amp; Other HPS'!$A$14:$D$113=E17)*('C19RM 2021-Lab &amp; Other HPS'!$BH$14:$BH$113=BJ17)*('C19RM 2021-Lab &amp; Other HPS'!$BR$14:$BR$113)*(('C19RM 2021-Lab &amp; Other HPS'!$AL$14:$AL$113)))),IF((INDEX(SETUP!$G$19:$G$503,(MATCH(1,(SETUP!$B$19:$B$503=B17)*(SETUP!$D$19:$D$503=D17),0))))=1,(SUMPRODUCT(('C19RM 2021-Lab &amp; Other HPS'!$A$14:$D$113=E17)*('C19RM 2021-Lab &amp; Other HPS'!$BH$14:$BH$113=BJ17)*('C19RM 2021-Lab &amp; Other HPS'!$BR$14:$BR$113)*(('C19RM 2021-Lab &amp; Other HPS'!$AM$14:$AM$113)))),0)))),0)))</f>
        <v>0</v>
      </c>
      <c r="AG17" s="359" cm="1">
        <f t="array" ref="AG17">IF((INDEX(SETUP!$F$19:$F$503,(MATCH(1,(SETUP!$B$19:$B$503=B17)*(SETUP!$D$19:$D$503=D17),0))))="Upfront",(SUMPRODUCT(('C19RM 2021-Lab &amp; Other HPS'!$A$14:$D$113=E17)*('C19RM 2021-Lab &amp; Other HPS'!$BH$14:$BH$113=BJ17)*('C19RM 2021-Lab &amp; Other HPS'!$BR$14:$BR$113)*(('C19RM 2021-Lab &amp; Other HPS'!$AO$14:$AO$113)))),(IF((INDEX(SETUP!$F$19:$F$503,(MATCH(1,(SETUP!$B$19:$B$503=B17)*(SETUP!$D$19:$D$503=D17),0))))="At delivery",IF((INDEX(SETUP!$G$19:$G$503,(MATCH(1,(SETUP!$B$19:$B$503=B17)*(SETUP!$D$19:$D$503=D17),0))))=4,(SUMPRODUCT(('C19RM 2021-Lab &amp; Other HPS'!$A$14:$D$113=E17)*('C19RM 2021-Lab &amp; Other HPS'!$BH$14:$BH$113=BJ17)*('C19RM 2021-Lab &amp; Other HPS'!$BQ$14:$BQ$113)*(('C19RM 2021-Lab &amp; Other HPS'!$AH$14:$AH$113)))),IF((INDEX(SETUP!$G$19:$G$503,(MATCH(1,(SETUP!$B$19:$B$503=B17)*(SETUP!$D$19:$D$503=D17),0))))=3,(SUMPRODUCT(('C19RM 2021-Lab &amp; Other HPS'!$A$14:$D$113=E17)*('C19RM 2021-Lab &amp; Other HPS'!$BH$14:$BH$113=BJ17)*('C19RM 2021-Lab &amp; Other HPS'!$BR$14:$BR$113)*(('C19RM 2021-Lab &amp; Other HPS'!$AL$14:$AL$113)))),IF((INDEX(SETUP!$G$19:$G$503,(MATCH(1,(SETUP!$B$19:$B$503=B17)*(SETUP!$D$19:$D$503=D17),0))))=2,(SUMPRODUCT(('C19RM 2021-Lab &amp; Other HPS'!$A$14:$D$113=E17)*('C19RM 2021-Lab &amp; Other HPS'!$BH$14:$BH$113=BJ17)*('C19RM 2021-Lab &amp; Other HPS'!$BR$14:$BR$113)*(('C19RM 2021-Lab &amp; Other HPS'!$AM$14:$AM$113)))),IF((INDEX(SETUP!$G$19:$G$503,(MATCH(1,(SETUP!$B$19:$B$503=B17)*(SETUP!$D$19:$D$503=D17),0))))=1,(SUMPRODUCT(('C19RM 2021-Lab &amp; Other HPS'!$A$14:$D$113=E17)*('C19RM 2021-Lab &amp; Other HPS'!$BH$14:$BH$113=BJ17)*('C19RM 2021-Lab &amp; Other HPS'!$BR$14:$BR$113)*(('C19RM 2021-Lab &amp; Other HPS'!$AN$14:$AN$113)))),0)))),0)))</f>
        <v>0</v>
      </c>
      <c r="AH17" s="359" cm="1">
        <f t="array" ref="AH17">IF((INDEX(SETUP!$F$19:$F$503,(MATCH(1,(SETUP!$B$19:$B$503=B17)*(SETUP!$D$19:$D$503=D17),0))))="Upfront",
(SUMPRODUCT(('C19RM 2021-Lab &amp; Other HPS'!$A$14:$D$113=E17)*('C19RM 2021-Lab &amp; Other HPS'!$BH$14:$BH$113=BJ17)*('C19RM 2021-Lab &amp; Other HPS'!$BH$14:$BH$113=BJ17)*('C19RM 2021-Lab &amp; Other HPS'!$BS$14:$BS$113)*(('C19RM 2021-Lab &amp; Other HPS'!$AS$14:$AS$113)))),
(IF((INDEX(SETUP!$F$19:$F$503,(MATCH(1,(SETUP!$B$19:$B$503=B17)*(SETUP!$D$19:$D$503=D17),0))))="At delivery",
IF((INDEX(SETUP!$G$19:$G$503,(MATCH(1,(SETUP!$B$19:$B$503=B17)*(SETUP!$D$19:$D$503=D17),0))))=4,
(SUMPRODUCT(('C19RM 2021-Lab &amp; Other HPS'!$A$14:$D$113=E17)*('C19RM 2021-Lab &amp; Other HPS'!$BH$14:$BH$113=BJ17)*('C19RM 2021-Lab &amp; Other HPS'!$BH$14:$BH$113=BJ17)*('C19RM 2021-Lab &amp; Other HPS'!$BR$14:$BR$113)*(('C19RM 2021-Lab &amp; Other HPS'!$AL$14:$AL$113)))),IF((INDEX(SETUP!$G$19:$G$503,(MATCH(1,(SETUP!$B$19:$B$503=B17)*(SETUP!$D$19:$D$503=D17),0))))=3,((SUMPRODUCT(('C19RM 2021-Lab &amp; Other HPS'!$A$14:$D$113=E17)*('C19RM 2021-Lab &amp; Other HPS'!$BH$14:$BH$113=BJ17)*('C19RM 2021-Lab &amp; Other HPS'!$BH$14:$BH$113=BJ17)*('C19RM 2021-Lab &amp; Other HPS'!$BR$14:$BR$113)*(('C19RM 2021-Lab &amp; Other HPS'!$AM$14:$AM$113))))),IF((INDEX(SETUP!$G$19:$G$503,(MATCH(1,(SETUP!$B$19:$B$503=B17)*(SETUP!$D$19:$D$503=D17),0))))=2,(SUMPRODUCT(('C19RM 2021-Lab &amp; Other HPS'!$A$14:$D$113=E17)*('C19RM 2021-Lab &amp; Other HPS'!$BH$14:$BH$113=BJ17)*('C19RM 2021-Lab &amp; Other HPS'!$BR$14:$BR$113)*(('C19RM 2021-Lab &amp; Other HPS'!$AN$14:$AN$113)))),IF((INDEX(SETUP!$G$19:$G$503,(MATCH(1,(SETUP!$B$19:$B$503=B17)*(SETUP!$D$19:$D$503=D17),0))))=1,(SUMPRODUCT(('C19RM 2021-Lab &amp; Other HPS'!$A$14:$D$113=E17)*('C19RM 2021-Lab &amp; Other HPS'!$BH$14:$BH$113=BJ17)*('C19RM 2021-Lab &amp; Other HPS'!$BR$14:$BR$113)*(('C19RM 2021-Lab &amp; Other HPS'!$AO$14:$AO$113)))),0)))),0)))</f>
        <v>0</v>
      </c>
      <c r="AI17" s="359" cm="1">
        <f t="array" ref="AI17">IF((INDEX(SETUP!$F$19:$F$503,(MATCH(1,(SETUP!$B$19:$B$503=B17)*(SETUP!$D$19:$D$503=D17),0))))="Upfront",
(SUMPRODUCT(('C19RM 2021-Lab &amp; Other HPS'!$A$14:$D$113=E17)*('C19RM 2021-Lab &amp; Other HPS'!$BH$14:$BH$113=BJ17)*('C19RM 2021-Lab &amp; Other HPS'!$BS$14:$BS$113)*(('C19RM 2021-Lab &amp; Other HPS'!$AT$14:$AT$113)))),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HPS'!$AM$14:$AM$113)))),IF((INDEX(SETUP!$G$19:$G$503,(MATCH(1,(SETUP!$B$19:$B$503=B17)*(SETUP!$D$19:$D$503=D17),0))))=3,((SUMPRODUCT(('C19RM 2021-Lab &amp; Other HPS'!$A$14:$D$113=E17)*('C19RM 2021-Lab &amp; Other HPS'!$BH$14:$BH$113=BJ17)*('C19RM 2021-Lab &amp; Other HPS'!$BR$14:$BR$113)*(('C19RM 2021-Lab &amp; Other HPS'!$AN$14:$AN$113))))),IF((INDEX(SETUP!$G$19:$G$503,(MATCH(1,(SETUP!$B$19:$B$503=B17)*(SETUP!$D$19:$D$503=D17),0))))=2,(SUMPRODUCT(('C19RM 2021-Lab &amp; Other HPS'!$A$14:$D$113=E17)*('C19RM 2021-Lab &amp; Other HPS'!$BH$14:$BH$113=BJ17)*('C19RM 2021-Lab &amp; Other HPS'!$BR$14:$BR$113)*(('C19RM 2021-Lab &amp; Other HPS'!$AO$14:$AO$113)))),IF((INDEX(SETUP!$G$19:$G$503,(MATCH(1,(SETUP!$B$19:$B$503=B17)*(SETUP!$D$19:$D$503=D17),0))))=1,(SUMPRODUCT(('C19RM 2021-Lab &amp; Other HPS'!$A$14:$D$113=E17)*('C19RM 2021-Lab &amp; Other HPS'!$BH$14:$BH$113=BJ17)*('C19RM 2021-Lab &amp; Other HPS'!$BS$14:$BS$113)*(('C19RM 2021-Lab &amp; Other HPS'!$AS$14:$AS$113)))),0)))),0)))</f>
        <v>0</v>
      </c>
      <c r="AJ17" s="359" cm="1">
        <f t="array" ref="AJ17">IF((INDEX(SETUP!$F$19:$F$503,(MATCH(1,(SETUP!$B$19:$B$503=B17)*(SETUP!$D$19:$D$503=D17),0))))="Upfront",
(SUMPRODUCT(('C19RM 2021-Lab &amp; Other HPS'!$A$14:$D$113=E17)*('C19RM 2021-Lab &amp; Other HPS'!$BH$14:$BH$113=BJ17)*('C19RM 2021-Lab &amp; Other HPS'!$BS$14:$BS$113)*(('C19RM 2021-Lab &amp; Other HPS'!$AU$14:$AU$113)))),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HPS'!$AN$14:$AN$113)))),IF((INDEX(SETUP!$G$19:$G$503,(MATCH(1,(SETUP!$B$19:$B$503=B17)*(SETUP!$D$19:$D$503=D17),0))))=3,((SUMPRODUCT(('C19RM 2021-Lab &amp; Other HPS'!$A$14:$D$113=E17)*('C19RM 2021-Lab &amp; Other HPS'!$BH$14:$BH$113=BJ17)*('C19RM 2021-Lab &amp; Other HPS'!$BR$14:$BR$113)*(('C19RM 2021-Lab &amp; Other HPS'!$AO$14:$AO$113))))),IF((INDEX(SETUP!$G$19:$G$503,(MATCH(1,(SETUP!$B$19:$B$503=B17)*(SETUP!$D$19:$D$503=D17),0))))=2,(SUMPRODUCT(('C19RM 2021-Lab &amp; Other HPS'!$A$14:$D$113=E17)*('C19RM 2021-Lab &amp; Other HPS'!$BH$14:$BH$113=BJ17)*('C19RM 2021-Lab &amp; Other HPS'!$BS$14:$BS$113)*(('C19RM 2021-Lab &amp; Other HPS'!$AS$14:$AS$113)))),IF((INDEX(SETUP!$G$19:$G$503,(MATCH(1,(SETUP!$B$19:$B$503=B17)*(SETUP!$D$19:$D$503=D17),0))))=1,(SUMPRODUCT(('C19RM 2021-Lab &amp; Other HPS'!$A$14:$D$113=E17)*('C19RM 2021-Lab &amp; Other HPS'!$BH$14:$BH$113=BJ17)*('C19RM 2021-Lab &amp; Other HPS'!$BS$14:$BS$113)*(('C19RM 2021-Lab &amp; Other HPS'!$AT$14:$AT$113)))),0)))),0)))</f>
        <v>0</v>
      </c>
      <c r="AK17" s="359" cm="1">
        <f t="array" ref="AK17">IF((INDEX(SETUP!$F$19:$F$503,(MATCH(1,(SETUP!$B$19:$B$503=B17)*(SETUP!$D$19:$D$503=D17),0))))="Upfront",
(SUMPRODUCT(('C19RM 2021-Lab &amp; Other HPS'!$A$14:$D$113=E17)*('C19RM 2021-Lab &amp; Other HPS'!$BH$14:$BH$113=BJ17)*('C19RM 2021-Lab &amp; Other HPS'!$BS$14:$BS$113)*(('C19RM 2021-Lab &amp; Other HPS'!$AV$14:$AV$113)))),
(IF((INDEX(SETUP!$F$19:$F$503,(MATCH(1,(SETUP!$B$19:$B$503=B17)*(SETUP!$D$19:$D$503=D17),0))))="At delivery",
IF((INDEX(SETUP!$G$19:$G$503,(MATCH(1,(SETUP!$B$19:$B$503=B17)*(SETUP!$D$19:$D$503=D17),0))))=4,
(SUMPRODUCT(('C19RM 2021-Lab &amp; Other HPS'!$A$14:$D$113=E17)*('C19RM 2021-Lab &amp; Other HPS'!$BH$14:$BH$113=BJ17)*('C19RM 2021-Lab &amp; Other HPS'!$BR$14:$BR$113)*(('C19RM 2021-Lab &amp; Other HPS'!$AO$14:$AO$113)))),IF((INDEX(SETUP!$G$19:$G$503,(MATCH(1,(SETUP!$B$19:$B$503=B17)*(SETUP!$D$19:$D$503=D17),0))))=3,((SUMPRODUCT(('C19RM 2021-Lab &amp; Other HPS'!$A$14:$D$113=E17)*('C19RM 2021-Lab &amp; Other HPS'!$BH$14:$BH$113=BJ17)*('C19RM 2021-Lab &amp; Other HPS'!$BS$14:$BS$113)*(('C19RM 2021-Lab &amp; Other HPS'!$AS$14:$AS$113))))),IF((INDEX(SETUP!$G$19:$G$503,(MATCH(1,(SETUP!$B$19:$B$503=B17)*(SETUP!$D$19:$D$503=D17),0))))=2,(SUMPRODUCT(('C19RM 2021-Lab &amp; Other HPS'!$A$14:$D$113=E17)*('C19RM 2021-Lab &amp; Other HPS'!$BH$14:$BH$113=BJ17)*('C19RM 2021-Lab &amp; Other HPS'!$BS$14:$BS$113)*(('C19RM 2021-Lab &amp; Other HPS'!$AT$14:$AT$113)))),IF((INDEX(SETUP!$G$19:$G$503,(MATCH(1,(SETUP!$B$19:$B$503=B17)*(SETUP!$D$19:$D$503=D17),0))))=1,(SUMPRODUCT(('C19RM 2021-Lab &amp; Other HPS'!$A$14:$D$113=E17)*('C19RM 2021-Lab &amp; Other HPS'!$BH$14:$BH$113=BJ17)*('C19RM 2021-Lab &amp; Other HPS'!$BS$14:$BS$113)*(('C19RM 2021-Lab &amp; Other HPS'!$AU$14:$AU$113)))),0)))),0)))</f>
        <v>0</v>
      </c>
      <c r="AL17" s="359" cm="1">
        <f t="array" ref="AL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HPS'!$AS$14:$AS$113)))),IF((INDEX(SETUP!$G$19:$G$503,(MATCH(1,(SETUP!$B$19:$B$503=B17)*(SETUP!$D$19:$D$503=D17),0))))=3,(SUMPRODUCT(('C19RM 2021-Lab &amp; Other HPS'!$A$14:$D$113=E17)*('C19RM 2021-Lab &amp; Other HPS'!$BH$14:$BH$113=BJ17)*('C19RM 2021-Lab &amp; Other HPS'!$BS$14:$BS$113)*(('C19RM 2021-Lab &amp; Other HPS'!$AT$14:$AT$113)))),IF((INDEX(SETUP!$G$19:$G$503,(MATCH(1,(SETUP!$B$19:$B$503=B17)*(SETUP!$D$19:$D$503=D17),0))))=2,(SUMPRODUCT(('C19RM 2021-Lab &amp; Other HPS'!$A$14:$D$113=E17)*('C19RM 2021-Lab &amp; Other HPS'!$BH$14:$BH$113=BJ17)*('C19RM 2021-Lab &amp; Other HPS'!$BS$14:$BS$113)*(('C19RM 2021-Lab &amp; Other HPS'!$AU$14:$AU$113)))),
IF((INDEX(SETUP!$G$19:$G$503,(MATCH(1,(SETUP!$B$19:$B$503=B17)*(SETUP!$D$19:$D$503=D17),0))))=1,
(SUMPRODUCT(('C19RM 2021-Lab &amp; Other HPS'!$A$14:$D$113=E17)*('C19RM 2021-Lab &amp; Other HPS'!$BH$14:$BH$113=BJ17)*('C19RM 2021-Lab &amp; Other HPS'!$BS$14:$BS$113)*(('C19RM 2021-Lab &amp; Other HPS'!$AV$14:$AV$113)))),0)))),0)))</f>
        <v>0</v>
      </c>
      <c r="AM17" s="359" cm="1">
        <f t="array" ref="AM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HPS'!$AT$14:$AT$113)))),IF((INDEX(SETUP!$G$19:$G$503,(MATCH(1,(SETUP!$B$19:$B$503=B17)*(SETUP!$D$19:$D$503=D17),0))))=3,(SUMPRODUCT(('C19RM 2021-Lab &amp; Other HPS'!$A$14:$D$113=E17)*('C19RM 2021-Lab &amp; Other HPS'!$BH$14:$BH$113=BJ17)*('C19RM 2021-Lab &amp; Other HPS'!$BS$14:$BS$113)*(('C19RM 2021-Lab &amp; Other HPS'!$AU$14:$AU$113)))),IF((INDEX(SETUP!$G$19:$G$503,(MATCH(1,(SETUP!$B$19:$B$503=B17)*(SETUP!$D$19:$D$503=D17),0))))=2,(SUMPRODUCT(('C19RM 2021-Lab &amp; Other HPS'!$A$14:$D$113=E17)*('C19RM 2021-Lab &amp; Other HPS'!$BH$14:$BH$113=BJ17)*('C19RM 2021-Lab &amp; Other HPS'!$BS$14:$BS$113)*(('C19RM 2021-Lab &amp; Other HPS'!$AV$14:$AV$113)))),IF((INDEX(SETUP!$G$19:$G$503,(MATCH(1,(SETUP!$B$19:$B$503=B17)*(SETUP!$D$19:$D$503=D17),0))))=1,(0),0)))),0)))</f>
        <v>0</v>
      </c>
      <c r="AN17" s="359" cm="1">
        <f t="array" ref="AN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HPS'!$AU$14:$AU$113)))),IF((INDEX(SETUP!$G$19:$G$503,(MATCH(1,(SETUP!$B$19:$B$503=B17)*(SETUP!$D$19:$D$503=D17),0))))=3,(SUMPRODUCT(('C19RM 2021-Lab &amp; Other HPS'!$A$14:$D$113=E17)*('C19RM 2021-Lab &amp; Other HPS'!$BH$14:$BH$113=BJ17)*('C19RM 2021-Lab &amp; Other HPS'!$BS$14:$BS$113)*(('C19RM 2021-Lab &amp; Other HPS'!$AV$14:$AV$113)))),IF((INDEX(SETUP!$G$19:$G$503,(MATCH(1,(SETUP!$B$19:$B$503=B17)*(SETUP!$D$19:$D$503=D17),0))))=2,(0),IF((INDEX(SETUP!$G$19:$G$503,(MATCH(1,(SETUP!$B$19:$B$503=B17)*(SETUP!$D$19:$D$503=D17),0))))=1,(0),0)))),0)))</f>
        <v>0</v>
      </c>
      <c r="AO17" s="359" cm="1">
        <f t="array" ref="AO17">IF((INDEX(SETUP!$F$19:$F$503,(MATCH(1,(SETUP!$B$19:$B$503=B17)*(SETUP!$D$19:$D$503=D17),0))))="Upfront",0,(IF((INDEX(SETUP!$F$19:$F$503,(MATCH(1,(SETUP!$B$19:$B$503=B17)*(SETUP!$D$19:$D$503=D17),0))))="At delivery",IF((INDEX(SETUP!$G$19:$G$503,(MATCH(1,(SETUP!$B$19:$B$503=B17)*(SETUP!$D$19:$D$503=D17),0))))=4,(SUMPRODUCT(('C19RM 2021-Lab &amp; Other HPS'!$A$14:$D$113=E17)*('C19RM 2021-Lab &amp; Other HPS'!$BH$14:$BH$113=BJ17)*('C19RM 2021-Lab &amp; Other HPS'!$BS$14:$BS$113)*(('C19RM 2021-Lab &amp; Other HPS'!$AV$14:$AV$113)))),IF((INDEX(SETUP!$G$19:$G$503,(MATCH(1,(SETUP!$B$19:$B$503=B17)*(SETUP!$D$19:$D$503=D17),0))))=3,(0),IF((INDEX(SETUP!$G$19:$G$503,(MATCH(1,(SETUP!$B$19:$B$503=B17)*(SETUP!$D$19:$D$503=D17),0))))=2,(0),IF((INDEX(SETUP!$G$19:$G$503,(MATCH(1,(SETUP!$B$19:$B$503=B17)*(SETUP!$D$19:$D$503=D17),0))))=1,(0),0)))),0)))</f>
        <v>0</v>
      </c>
      <c r="AP17" s="359"/>
      <c r="AQ17" s="359"/>
      <c r="AR17" s="359"/>
      <c r="AS17" s="359"/>
      <c r="AT17" s="942" cm="1">
        <f t="array" ref="AT17">IF(BG17&gt;=1,0,IFERROR(SUMPRODUCT(($R$2:$AO$2=$AT$4)*($E$5:$E$100=E17)*($BC$5:$BC$100=BC17)*($R$5:$AO$100)),0))</f>
        <v>0</v>
      </c>
      <c r="AU17" s="359" cm="1">
        <f t="array" ref="AU17">IF(BG17&gt;=1,0,IFERROR(SUMPRODUCT(($R$2:$AO$2=$AU$4)*($E$5:$E$100=E17)*($BC$5:$BC$100=BC17)*($R$5:$AO$100)),0))</f>
        <v>0</v>
      </c>
      <c r="AV17" s="359" cm="1">
        <f t="array" ref="AV17">IF(BG17&gt;=1,0,IFERROR(SUMPRODUCT(($R$2:$AO$2=$AV$4)*($E$5:$E$100=E17)*($BC$5:$BC$100=BC17)*($R$5:$AO$100)),0))</f>
        <v>0</v>
      </c>
      <c r="AW17" s="359" cm="1">
        <f t="array" ref="AW17">IF(BG17&gt;=1,0,IFERROR(SUMPRODUCT(($R$2:$AO$2=$AW$4)*($E$5:$E$100=E17)*($BC$5:$BC$100=BC17)*($R$5:$AO$100)),0))</f>
        <v>0</v>
      </c>
      <c r="AX17" s="359" cm="1">
        <f t="array" ref="AX17">IF(BG17&gt;=1,0,IFERROR(SUMPRODUCT(($R$2:$AO$2=$AX$4)*($E$5:$E$100=E17)*($BC$5:$BC$100=BC17)*($R$5:$AO$100)),0))</f>
        <v>0</v>
      </c>
      <c r="AY17" s="359">
        <f t="shared" si="5"/>
        <v>0</v>
      </c>
      <c r="AZ17" s="359"/>
      <c r="BA17" s="233">
        <f t="shared" si="6"/>
        <v>0</v>
      </c>
      <c r="BB17" s="220" t="s">
        <v>83</v>
      </c>
      <c r="BC17" t="s">
        <v>182</v>
      </c>
      <c r="BD17" cm="1">
        <f t="array" ref="BD17">(SUMPRODUCT(('C19RM 2021-Lab &amp; Other HPS'!$A$14:$D$650=E17)*('C19RM 2021-Lab &amp; Other HPS'!$BU$14:$BU$650)))</f>
        <v>0</v>
      </c>
      <c r="BE17" cm="1">
        <f t="array" ref="BE17">(SUMPRODUCT((SETUP!$D$20:$D$67=D17)*(SETUP!$R$20:$R$67)))</f>
        <v>0</v>
      </c>
      <c r="BF17" cm="1">
        <f t="array" ref="BF17">(SUMPRODUCT(('C19RM 2021-Lab &amp; Other HPS'!$A$14:$D$650=E17)*('C19RM 2021-Lab &amp; Other HPS'!$BV$14:$BV$650)))</f>
        <v>0</v>
      </c>
      <c r="BG17">
        <f t="shared" si="24"/>
        <v>0</v>
      </c>
      <c r="BJ17" s="235">
        <v>6.5</v>
      </c>
    </row>
    <row r="18" spans="1:62" x14ac:dyDescent="0.35">
      <c r="A18" s="235">
        <v>1</v>
      </c>
      <c r="B18" s="220" t="s">
        <v>2750</v>
      </c>
      <c r="C18" s="235" t="s">
        <v>3192</v>
      </c>
      <c r="D18" s="235" t="s">
        <v>15</v>
      </c>
      <c r="E18" s="235" t="s">
        <v>16</v>
      </c>
      <c r="F18" s="220">
        <f>SETUP!$E$3</f>
        <v>0</v>
      </c>
      <c r="G18" s="220" t="str">
        <f ca="1">SETUP!$J$5</f>
        <v>NA</v>
      </c>
      <c r="H18" s="220" t="str">
        <f>SETUP!$E$9</f>
        <v>C19RM</v>
      </c>
      <c r="I18" s="232">
        <f t="shared" si="22"/>
        <v>44197</v>
      </c>
      <c r="J18" s="232">
        <f>SETUP!$L$14</f>
        <v>46022</v>
      </c>
      <c r="K18" s="220">
        <f>IFERROR(VLOOKUP(E18,'Master Data-C19RM'!$A$5:$B$35,2,0),0)</f>
        <v>0</v>
      </c>
      <c r="L18">
        <f t="shared" si="23"/>
        <v>0</v>
      </c>
      <c r="M18">
        <f>SETUP!$E$7</f>
        <v>0</v>
      </c>
      <c r="N18">
        <f>SETUP!$F$76</f>
        <v>6.1</v>
      </c>
      <c r="O18" t="str" cm="1">
        <f t="array" ref="O18">INDEX(SETUP!$E$19:$E$503,(MATCH(1,(SETUP!$B$19:$B$503=B18)*(SETUP!$D$19:$D$503=D18),0)))</f>
        <v>PR/SR</v>
      </c>
      <c r="P18" t="str" cm="1">
        <f t="array" ref="P18">INDEX(SETUP!$F$19:$F$503,(MATCH(1,(SETUP!$B$19:$B$503=B18)*(SETUP!$D$19:$D$503=D18),0)))</f>
        <v>At delivery</v>
      </c>
      <c r="Q18" cm="1">
        <f t="array" ref="Q18">INDEX(SETUP!$G$19:$G$503,(MATCH(1,(SETUP!$B$19:$B$503=B18)*(SETUP!$D$19:$D$503=D18),0)))</f>
        <v>1</v>
      </c>
      <c r="R18" s="359" cm="1">
        <f t="array" ref="R18">IF((INDEX(SETUP!$F$19:$F$503,(MATCH(1,(SETUP!$B$19:$B$503=B18)*(SETUP!$D$19:$D$503=D18),0))))="Upfront",(SUMPRODUCT(('C19RM 2021-Lab &amp; Other HPS'!$A$14:$D$113=E18)*('C19RM 2021-Lab &amp; Other HPS'!$BH$14:$BH$113=BJ18)*('C19RM 2021-Lab &amp; Other HPS'!$BO$14:$BO$113)*(('C19RM 2021-Lab &amp; Other HPS'!$Q$14:$Q$113)))),0)</f>
        <v>0</v>
      </c>
      <c r="S18" s="359" cm="1">
        <f t="array" ref="S18">IF((INDEX(SETUP!$F$19:$F$503,(MATCH(1,(SETUP!$B$19:$B$503=B18)*(SETUP!$D$19:$D$503=D18),0))))="Upfront",(SUMPRODUCT(('C19RM 2021-Lab &amp; Other HPS'!$A$14:$D$113=E18)*('C19RM 2021-Lab &amp; Other HPS'!$BH$14:$BH$113=BJ18)*('C19RM 2021-Lab &amp; Other HPS'!$BO$14:$BO$113)*(('C19RM 2021-Lab &amp; Other HPS'!$R$14:$R$113)))),(IF((INDEX(SETUP!$F$19:$F$503,(MATCH(1,(SETUP!$B$19:$B$503=B18)*(SETUP!$D$19:$D$503=D18),0))))="At delivery",IF((INDEX(SETUP!$G$19:$G$503,(MATCH(1,(SETUP!$B$19:$B$503=B18)*(SETUP!$D$19:$D$503=D18),0))))=1,(SUMPRODUCT(('C19RM 2021-Lab &amp; Other HPS'!$A$14:$D$113=E18)*('C19RM 2021-Lab &amp; Other HPS'!$BH$14:$BH$113=BJ18)*('C19RM 2021-Lab &amp; Other HPS'!$BO$14:$BO$113)*(('C19RM 2021-Lab &amp; Other HPS'!$Q$14:$Q$113)))),0),0)))</f>
        <v>0</v>
      </c>
      <c r="T18" s="359" cm="1">
        <f t="array" ref="T18">IF((INDEX(SETUP!$F$19:$F$503,(MATCH(1,(SETUP!$B$19:$B$503=B18)*(SETUP!$D$19:$D$503=D18),0))))="Upfront",(SUMPRODUCT(('C19RM 2021-Lab &amp; Other HPS'!$A$14:$D$113=E18)*('C19RM 2021-Lab &amp; Other HPS'!$BH$14:$BH$113=BJ18)*('C19RM 2021-Lab &amp; Other HPS'!$BO$14:$BO$113)*(('C19RM 2021-Lab &amp; Other HPS'!$S$14:$S$113)))),(IF((INDEX(SETUP!$F$19:$F$503,(MATCH(1,(SETUP!$B$19:$B$503=B18)*(SETUP!$D$19:$D$503=D18),0))))="At delivery",IF((INDEX(SETUP!$G$19:$G$503,(MATCH(1,(SETUP!$B$19:$B$503=B18)*(SETUP!$D$19:$D$503=D18),0))))=2,(SUMPRODUCT(('C19RM 2021-Lab &amp; Other HPS'!$A$14:$D$113=E18)*('C19RM 2021-Lab &amp; Other HPS'!$BH$14:$BH$113=BJ18)*('C19RM 2021-Lab &amp; Other HPS'!$BO$14:$BO$113)*(('C19RM 2021-Lab &amp; Other HPS'!$Q$14:$Q$113)))),IF((INDEX(SETUP!$G$19:$G$503,(MATCH(1,(SETUP!$B$19:$B$503=B18)*(SETUP!$D$19:$D$503=D18),0))))=1,(SUMPRODUCT(('C19RM 2021-Lab &amp; Other HPS'!$A$14:$D$113=E18)*('C19RM 2021-Lab &amp; Other HPS'!$BH$14:$BH$113=BJ18)*('C19RM 2021-Lab &amp; Other HPS'!$BO$14:$BO$113)*(('C19RM 2021-Lab &amp; Other HPS'!$R$14:$R$113)))),0)),0)))</f>
        <v>0</v>
      </c>
      <c r="U18" s="359" cm="1">
        <f t="array" ref="U18">IF((INDEX(SETUP!$F$19:$F$503,(MATCH(1,(SETUP!$B$19:$B$503=B18)*(SETUP!$D$19:$D$503=D18),0))))="Upfront",(SUMPRODUCT(('C19RM 2021-Lab &amp; Other HPS'!$A$14:$D$113=E18)*('C19RM 2021-Lab &amp; Other HPS'!$BH$14:$BH$113=BJ18)*('C19RM 2021-Lab &amp; Other HPS'!$BO$14:$BO$113)*(('C19RM 2021-Lab &amp; Other HPS'!$T$14:$T$113)))),(IF((INDEX(SETUP!$F$19:$F$503,(MATCH(1,(SETUP!$B$19:$B$503=B18)*(SETUP!$D$19:$D$503=D18),0))))="At delivery",IF((INDEX(SETUP!$G$19:$G$503,(MATCH(1,(SETUP!$B$19:$B$503=B18)*(SETUP!$D$19:$D$503=D18),0))))=3,(SUMPRODUCT(('C19RM 2021-Lab &amp; Other HPS'!$A$14:$D$113=E18)*('C19RM 2021-Lab &amp; Other HPS'!$BH$14:$BH$113=BJ18)*('C19RM 2021-Lab &amp; Other HPS'!$BO$14:$BO$113)*(('C19RM 2021-Lab &amp; Other HPS'!$Q$14:$Q$113)))),IF((INDEX(SETUP!$G$19:$G$503,(MATCH(1,(SETUP!$B$19:$B$503=B18)*(SETUP!$D$19:$D$503=D18),0))))=2,(SUMPRODUCT(('C19RM 2021-Lab &amp; Other HPS'!$A$14:$D$113=E18)*('C19RM 2021-Lab &amp; Other HPS'!$BH$14:$BH$113=BJ18)*('C19RM 2021-Lab &amp; Other HPS'!$BO$14:$BO$113)*(('C19RM 2021-Lab &amp; Other HPS'!$R$14:$R$113)))),IF((INDEX(SETUP!$G$19:$G$503,(MATCH(1,(SETUP!$B$19:$B$503=B18)*(SETUP!$D$19:$D$503=D18),0))))=1,(SUMPRODUCT(('C19RM 2021-Lab &amp; Other HPS'!$A$14:$D$113=E18)*('C19RM 2021-Lab &amp; Other HPS'!$BH$14:$BH$113=BJ18)*('C19RM 2021-Lab &amp; Other HPS'!$BO$14:$BO$113)*(('C19RM 2021-Lab &amp; Other HPS'!$S$14:$S$113)))),0))),0)))</f>
        <v>0</v>
      </c>
      <c r="V18" s="359" cm="1">
        <f t="array" ref="V18">IF((INDEX(SETUP!$F$19:$F$503,(MATCH(1,(SETUP!$B$19:$B$503=B18)*(SETUP!$D$19:$D$503=D18),0))))="Upfront",(SUMPRODUCT(('C19RM 2021-Lab &amp; Other HPS'!$A$14:$D$113=E18)*('C19RM 2021-Lab &amp; Other HPS'!$BH$14:$BH$113=BJ18)*('C19RM 2021-Lab &amp; Other HPS'!$BP$14:$BP$113)*(('C19RM 2021-Lab &amp; Other HPS'!$X$14:$X$113)))),(IF((INDEX(SETUP!$F$19:$F$503,(MATCH(1,(SETUP!$B$19:$B$503=B18)*(SETUP!$D$19:$D$503=D18),0))))="At delivery",IF((INDEX(SETUP!$G$19:$G$503,(MATCH(1,(SETUP!$B$19:$B$503=B18)*(SETUP!$D$19:$D$503=D18),0))))=4,(SUMPRODUCT(('C19RM 2021-Lab &amp; Other HPS'!$A$14:$D$113=E18)*('C19RM 2021-Lab &amp; Other HPS'!$BH$14:$BH$113=BJ18)*('C19RM 2021-Lab &amp; Other HPS'!$BO$14:$BO$113)*(('C19RM 2021-Lab &amp; Other HPS'!$Q$14:$Q$113)))),IF((INDEX(SETUP!$G$19:$G$503,(MATCH(1,(SETUP!$B$19:$B$503=B18)*(SETUP!$D$19:$D$503=D18),0))))=3,(SUMPRODUCT(('C19RM 2021-Lab &amp; Other HPS'!$A$14:$D$113=E18)*('C19RM 2021-Lab &amp; Other HPS'!$BH$14:$BH$113=BJ18)*('C19RM 2021-Lab &amp; Other HPS'!$BO$14:$BO$113)*(('C19RM 2021-Lab &amp; Other HPS'!$R$14:$R$113)))),IF((INDEX(SETUP!$G$19:$G$503,(MATCH(1,(SETUP!$B$19:$B$503=B18)*(SETUP!$D$19:$D$503=D18),0))))=2,(SUMPRODUCT(('C19RM 2021-Lab &amp; Other HPS'!$A$14:$D$113=E18)*('C19RM 2021-Lab &amp; Other HPS'!$BH$14:$BH$113=BJ18)*('C19RM 2021-Lab &amp; Other HPS'!$BO$14:$BO$113)*(('C19RM 2021-Lab &amp; Other HPS'!$S$14:$S$113)))),IF((INDEX(SETUP!$G$19:$G$503,(MATCH(1,(SETUP!$B$19:$B$503=B18)*(SETUP!$D$19:$D$503=D18),0))))=1,(SUMPRODUCT(('C19RM 2021-Lab &amp; Other HPS'!$A$14:$D$113=E18)*('C19RM 2021-Lab &amp; Other HPS'!$BH$14:$BH$113=BJ18)*('C19RM 2021-Lab &amp; Other HPS'!$BO$14:$BO$113)*(('C19RM 2021-Lab &amp; Other HPS'!$T$14:$T$113)))),0)))),0)))</f>
        <v>0</v>
      </c>
      <c r="W18" s="359" cm="1">
        <f t="array" ref="W18">IF((INDEX(SETUP!$F$19:$F$503,(MATCH(1,(SETUP!$B$19:$B$503=B18)*(SETUP!$D$19:$D$503=D18),0))))="Upfront",(SUMPRODUCT(('C19RM 2021-Lab &amp; Other HPS'!$A$14:$D$113=E18)*('C19RM 2021-Lab &amp; Other HPS'!$BH$14:$BH$113=BJ18)*('C19RM 2021-Lab &amp; Other HPS'!$BP$14:$BP$113)*(('C19RM 2021-Lab &amp; Other HPS'!$Y$14:$Y$113)))),(IF((INDEX(SETUP!$F$19:$F$503,(MATCH(1,(SETUP!$B$19:$B$503=B18)*(SETUP!$D$19:$D$503=D18),0))))="At delivery",IF((INDEX(SETUP!$G$19:$G$503,(MATCH(1,(SETUP!$B$19:$B$503=B18)*(SETUP!$D$19:$D$503=D18),0))))=4,(SUMPRODUCT(('C19RM 2021-Lab &amp; Other HPS'!$A$14:$D$113=E18)*('C19RM 2021-Lab &amp; Other HPS'!$BH$14:$BH$113=BJ18)*('C19RM 2021-Lab &amp; Other HPS'!$BO$14:$BO$113)*(('C19RM 2021-Lab &amp; Other HPS'!$R$14:$R$113)))),IF((INDEX(SETUP!$G$19:$G$503,(MATCH(1,(SETUP!$B$19:$B$503=B18)*(SETUP!$D$19:$D$503=D18),0))))=3,(SUMPRODUCT(('C19RM 2021-Lab &amp; Other HPS'!$A$14:$D$113=E18)*('C19RM 2021-Lab &amp; Other HPS'!$BH$14:$BH$113=BJ18)*('C19RM 2021-Lab &amp; Other HPS'!$BO$14:$BO$113)*(('C19RM 2021-Lab &amp; Other HPS'!$S$14:$S$113)))),IF((INDEX(SETUP!$G$19:$G$503,(MATCH(1,(SETUP!$B$19:$B$503=B18)*(SETUP!$D$19:$D$503=D18),0))))=2,((SUMPRODUCT(('C19RM 2021-Lab &amp; Other HPS'!$A$14:$D$113=E18)*('C19RM 2021-Lab &amp; Other HPS'!$BH$14:$BH$113=BJ18)*('C19RM 2021-Lab &amp; Other HPS'!$BO$14:$BO$113)*(('C19RM 2021-Lab &amp; Other HPS'!$T$14:$T$113))))),IF((INDEX(SETUP!$G$19:$G$503,(MATCH(1,(SETUP!$B$19:$B$503=B18)*(SETUP!$D$19:$D$503=D18),0))))=1,(SUMPRODUCT(('C19RM 2021-Lab &amp; Other HPS'!$A$14:$D$113=E18)*('C19RM 2021-Lab &amp; Other HPS'!$BH$14:$BH$113=BJ18)*('C19RM 2021-Lab &amp; Other HPS'!$BP$14:$BP$113)*(('C19RM 2021-Lab &amp; Other HPS'!$X$14:$X$113)))),0)))),0)))</f>
        <v>0</v>
      </c>
      <c r="X18" s="359" cm="1">
        <f t="array" ref="X18">IF((INDEX(SETUP!$F$19:$F$503,(MATCH(1,(SETUP!$B$19:$B$503=B18)*(SETUP!$D$19:$D$503=D18),0))))="Upfront",(SUMPRODUCT(('C19RM 2021-Lab &amp; Other HPS'!$A$14:$D$113=E18)*('C19RM 2021-Lab &amp; Other HPS'!$BH$14:$BH$113=BJ18)*('C19RM 2021-Lab &amp; Other HPS'!$BP$14:$BP$113)*(('C19RM 2021-Lab &amp; Other HPS'!$Z$14:$Z$113)))),(IF((INDEX(SETUP!$F$19:$F$503,(MATCH(1,(SETUP!$B$19:$B$503=B18)*(SETUP!$D$19:$D$503=D18),0))))="At delivery",IF((INDEX(SETUP!$G$19:$G$503,(MATCH(1,(SETUP!$B$19:$B$503=B18)*(SETUP!$D$19:$D$503=D18),0))))=4,(SUMPRODUCT(('C19RM 2021-Lab &amp; Other HPS'!$A$14:$D$113=E18)*('C19RM 2021-Lab &amp; Other HPS'!$BH$14:$BH$113=BJ18)*('C19RM 2021-Lab &amp; Other HPS'!$BO$14:$BO$113)*(('C19RM 2021-Lab &amp; Other HPS'!$S$14:$S$113)))),IF((INDEX(SETUP!$G$19:$G$503,(MATCH(1,(SETUP!$B$19:$B$503=B18)*(SETUP!$D$19:$D$503=D18),0))))=3,((SUMPRODUCT(('C19RM 2021-Lab &amp; Other HPS'!$A$14:$D$113=E18)*('C19RM 2021-Lab &amp; Other HPS'!$BH$14:$BH$113=BJ18)*('C19RM 2021-Lab &amp; Other HPS'!$BO$14:$BO$113)*(('C19RM 2021-Lab &amp; Other HPS'!$T$14:$T$113))))),IF((INDEX(SETUP!$G$19:$G$503,(MATCH(1,(SETUP!$B$19:$B$503=B18)*(SETUP!$D$19:$D$503=D18),0))))=2,(SUMPRODUCT(('C19RM 2021-Lab &amp; Other HPS'!$A$14:$D$113=E18)*('C19RM 2021-Lab &amp; Other HPS'!$BH$14:$BH$113=BJ18)*('C19RM 2021-Lab &amp; Other HPS'!$BP$14:$BP$113)*(('C19RM 2021-Lab &amp; Other HPS'!$X$14:$X$113)))),IF((INDEX(SETUP!$G$19:$G$503,(MATCH(1,(SETUP!$B$19:$B$503=B18)*(SETUP!$D$19:$D$503=D18),0))))=1,(SUMPRODUCT(('C19RM 2021-Lab &amp; Other HPS'!$A$14:$D$113=E18)*('C19RM 2021-Lab &amp; Other HPS'!$BH$14:$BH$113=BJ18)*('C19RM 2021-Lab &amp; Other HPS'!$BP$14:$BP$113)*(('C19RM 2021-Lab &amp; Other HPS'!$Y$14:$Y$113)))),0)))),0)))</f>
        <v>0</v>
      </c>
      <c r="Y18" s="359" cm="1">
        <f t="array" ref="Y18">IF((INDEX(SETUP!$F$19:$F$503,(MATCH(1,(SETUP!$B$19:$B$503=B18)*(SETUP!$D$19:$D$503=D18),0))))="Upfront",
(SUMPRODUCT(('C19RM 2021-Lab &amp; Other HPS'!$A$14:$D$113=E18)*('C19RM 2021-Lab &amp; Other HPS'!$BH$14:$BH$113=BJ18)*('C19RM 2021-Lab &amp; Other HPS'!$BP$14:$BP$113)*(('C19RM 2021-Lab &amp; Other HPS'!$AA$14:$AA$113)))),
(IF((INDEX(SETUP!$F$19:$F$503,(MATCH(1,(SETUP!$B$19:$B$503=B18)*(SETUP!$D$19:$D$503=D18),0))))="At delivery",
IF((INDEX(SETUP!$G$19:$G$503,(MATCH(1,(SETUP!$B$19:$B$503=B18)*(SETUP!$D$19:$D$503=D18),0))))=4,
((SUMPRODUCT(('C19RM 2021-Lab &amp; Other HPS'!$A$14:$D$113=E18)*('C19RM 2021-Lab &amp; Other HPS'!$BH$14:$BH$113=BJ18)*('C19RM 2021-Lab &amp; Other HPS'!$BO$14:$BO$113)*(('C19RM 2021-Lab &amp; Other HPS'!$T$14:$T$113))))),IF((INDEX(SETUP!$G$19:$G$503,(MATCH(1,(SETUP!$B$19:$B$503=B18)*(SETUP!$D$19:$D$503=D18),0))))=3,(SUMPRODUCT(('C19RM 2021-Lab &amp; Other HPS'!$A$14:$D$113=E18)*('C19RM 2021-Lab &amp; Other HPS'!$BH$14:$BH$113=BJ18)*('C19RM 2021-Lab &amp; Other HPS'!$BP$14:$BP$113)*(('C19RM 2021-Lab &amp; Other HPS'!$X$14:$X$113)))),IF((INDEX(SETUP!$G$19:$G$503,(MATCH(1,(SETUP!$B$19:$B$503=B18)*(SETUP!$D$19:$D$503=D18),0))))=2,(SUMPRODUCT(('C19RM 2021-Lab &amp; Other HPS'!$A$14:$D$113=E18)*('C19RM 2021-Lab &amp; Other HPS'!$BH$14:$BH$113=BJ18)*('C19RM 2021-Lab &amp; Other HPS'!$BP$14:$BP$113)*(('C19RM 2021-Lab &amp; Other HPS'!$Y$14:$Y$113)))),IF((INDEX(SETUP!$G$19:$G$503,(MATCH(1,(SETUP!$B$19:$B$503=B18)*(SETUP!$D$19:$D$503=D18),0))))=1,(SUMPRODUCT(('C19RM 2021-Lab &amp; Other HPS'!$A$14:$D$113=E18)*('C19RM 2021-Lab &amp; Other HPS'!$BH$14:$BH$113=BJ18)*('C19RM 2021-Lab &amp; Other HPS'!$BP$14:$BP$113)*(('C19RM 2021-Lab &amp; Other HPS'!$Z$14:$Z$113)))),0)))),0)))</f>
        <v>0</v>
      </c>
      <c r="Z18" s="359" cm="1">
        <f t="array" ref="Z18">IF((INDEX(SETUP!$F$19:$F$503,(MATCH(1,(SETUP!$B$19:$B$503=B18)*(SETUP!$D$19:$D$503=D18),0))))="Upfront",(SUMPRODUCT(('C19RM 2021-Lab &amp; Other HPS'!$A$14:$D$113=E18)*('C19RM 2021-Lab &amp; Other HPS'!$BH$14:$BH$113=BJ18)*('C19RM 2021-Lab &amp; Other HPS'!$BQ$14:$BQ$113)*(('C19RM 2021-Lab &amp; Other HPS'!$AE$14:$AE$113)))),(IF((INDEX(SETUP!$F$19:$F$503,(MATCH(1,(SETUP!$B$19:$B$503=B18)*(SETUP!$D$19:$D$503=D18),0))))="At delivery",IF((INDEX(SETUP!$G$19:$G$503,(MATCH(1,(SETUP!$B$19:$B$503=B18)*(SETUP!$D$19:$D$503=D18),0))))=4,(SUMPRODUCT(('C19RM 2021-Lab &amp; Other HPS'!$A$14:$D$113=E18)*('C19RM 2021-Lab &amp; Other HPS'!$BH$14:$BH$113=BJ18)*('C19RM 2021-Lab &amp; Other HPS'!$BP$14:$BP$113)*(('C19RM 2021-Lab &amp; Other HPS'!$X$14:$X$113)))),IF((INDEX(SETUP!$G$19:$G$503,(MATCH(1,(SETUP!$B$19:$B$503=B18)*(SETUP!$D$19:$D$503=D18),0))))=3,(SUMPRODUCT(('C19RM 2021-Lab &amp; Other HPS'!$A$14:$D$113=E18)*('C19RM 2021-Lab &amp; Other HPS'!$BH$14:$BH$113=BJ18)*('C19RM 2021-Lab &amp; Other HPS'!$BP$14:$BP$113)*(('C19RM 2021-Lab &amp; Other HPS'!$Y$14:$Y$113)))),IF((INDEX(SETUP!$G$19:$G$503,(MATCH(1,(SETUP!$B$19:$B$503=B18)*(SETUP!$D$19:$D$503=D18),0))))=2,(SUMPRODUCT(('C19RM 2021-Lab &amp; Other HPS'!$A$14:$D$113=E18)*('C19RM 2021-Lab &amp; Other HPS'!$BH$14:$BH$113=BJ18)*('C19RM 2021-Lab &amp; Other HPS'!$BP$14:$BP$113)*(('C19RM 2021-Lab &amp; Other HPS'!$Z$14:$Z$113)))),IF((INDEX(SETUP!$G$19:$G$503,(MATCH(1,(SETUP!$B$19:$B$503=B18)*(SETUP!$D$19:$D$503=D18),0))))=1,(SUMPRODUCT(('C19RM 2021-Lab &amp; Other HPS'!$A$14:$D$113=E18)*('C19RM 2021-Lab &amp; Other HPS'!$BH$14:$BH$113=BJ18)*('C19RM 2021-Lab &amp; Other HPS'!$BP$14:$BP$113)*(('C19RM 2021-Lab &amp; Other HPS'!$AA$14:$AA$113)))),0)))),0)))</f>
        <v>0</v>
      </c>
      <c r="AA18" s="359" cm="1">
        <f t="array" ref="AA18">IF((INDEX(SETUP!$F$19:$F$503,(MATCH(1,(SETUP!$B$19:$B$503=B18)*(SETUP!$D$19:$D$503=D18),0))))="Upfront",(SUMPRODUCT(('C19RM 2021-Lab &amp; Other HPS'!$A$14:$D$113=E18)*('C19RM 2021-Lab &amp; Other HPS'!$BH$14:$BH$113=BJ18)*('C19RM 2021-Lab &amp; Other HPS'!$BQ$14:$BQ$113)*(('C19RM 2021-Lab &amp; Other HPS'!$AF$14:$AF$113)))),(IF((INDEX(SETUP!$F$19:$F$503,(MATCH(1,(SETUP!$B$19:$B$503=B18)*(SETUP!$D$19:$D$503=D18),0))))="At delivery",IF((INDEX(SETUP!$G$19:$G$503,(MATCH(1,(SETUP!$B$19:$B$503=B18)*(SETUP!$D$19:$D$503=D18),0))))=4,(SUMPRODUCT(('C19RM 2021-Lab &amp; Other HPS'!$A$14:$D$113=E18)*('C19RM 2021-Lab &amp; Other HPS'!$BH$14:$BH$113=BJ18)*('C19RM 2021-Lab &amp; Other HPS'!$BP$14:$BP$113)*(('C19RM 2021-Lab &amp; Other HPS'!$Y$14:$Y$113)))),IF((INDEX(SETUP!$G$19:$G$503,(MATCH(1,(SETUP!$B$19:$B$503=B18)*(SETUP!$D$19:$D$503=D18),0))))=3,(SUMPRODUCT(('C19RM 2021-Lab &amp; Other HPS'!$A$14:$D$113=E18)*('C19RM 2021-Lab &amp; Other HPS'!$BH$14:$BH$113=BJ18)*('C19RM 2021-Lab &amp; Other HPS'!$BP$14:$BP$113)*(('C19RM 2021-Lab &amp; Other HPS'!$Z$14:$Z$113)))),IF((INDEX(SETUP!$G$19:$G$503,(MATCH(1,(SETUP!$B$19:$B$503=B18)*(SETUP!$D$19:$D$503=D18),0))))=2,((SUMPRODUCT(('C19RM 2021-Lab &amp; Other HPS'!$A$14:$D$113=E18)*('C19RM 2021-Lab &amp; Other HPS'!$BH$14:$BH$113=BJ18)*('C19RM 2021-Lab &amp; Other HPS'!$BP$14:$BP$113)*(('C19RM 2021-Lab &amp; Other HPS'!$AA$14:$AA$113))))),IF((INDEX(SETUP!$G$19:$G$503,(MATCH(1,(SETUP!$B$19:$B$503=B18)*(SETUP!$D$19:$D$503=D18),0))))=1,(SUMPRODUCT(('C19RM 2021-Lab &amp; Other HPS'!$A$14:$D$113=E18)*('C19RM 2021-Lab &amp; Other HPS'!$BH$14:$BH$113=BJ18)*('C19RM 2021-Lab &amp; Other HPS'!$BQ$14:$BQ$113)*(('C19RM 2021-Lab &amp; Other HPS'!$AE$14:$AE$113)))),0)))),0)))</f>
        <v>0</v>
      </c>
      <c r="AB18" s="359" cm="1">
        <f t="array" ref="AB18">IF((INDEX(SETUP!$F$19:$F$503,(MATCH(1,(SETUP!$B$19:$B$503=B18)*(SETUP!$D$19:$D$503=D18),0))))="Upfront",
(SUMPRODUCT(('C19RM 2021-Lab &amp; Other HPS'!$A$14:$D$113=E18)*('C19RM 2021-Lab &amp; Other HPS'!$BH$14:$BH$113=BJ18)*('C19RM 2021-Lab &amp; Other HPS'!$BQ$14:$BQ$113)*(('C19RM 2021-Lab &amp; Other HPS'!$AG$14:$AG$113)))),
(IF((INDEX(SETUP!$F$19:$F$503,(MATCH(1,(SETUP!$B$19:$B$503=B18)*(SETUP!$D$19:$D$503=D18),0))))="At delivery",
IF((INDEX(SETUP!$G$19:$G$503,(MATCH(1,(SETUP!$B$19:$B$503=B18)*(SETUP!$D$19:$D$503=D18),0))))=4,
(SUMPRODUCT(('C19RM 2021-Lab &amp; Other HPS'!$A$14:$D$113=E18)*('C19RM 2021-Lab &amp; Other HPS'!$BH$14:$BH$113=BJ18)*('C19RM 2021-Lab &amp; Other HPS'!$BP$14:$BP$113)*(('C19RM 2021-Lab &amp; Other HPS'!$Z$14:$Z$113)))),IF((INDEX(SETUP!$G$19:$G$503,(MATCH(1,(SETUP!$B$19:$B$503=B18)*(SETUP!$D$19:$D$503=D18),0))))=3,(SUMPRODUCT(('C19RM 2021-Lab &amp; Other HPS'!$A$14:$D$113=E18)*('C19RM 2021-Lab &amp; Other HPS'!$BH$14:$BH$113=BJ18)*('C19RM 2021-Lab &amp; Other HPS'!$BP$14:$BP$113)*(('C19RM 2021-Lab &amp; Other HPS'!$AA$14:$AA$113)))),IF((INDEX(SETUP!$G$19:$G$503,(MATCH(1,(SETUP!$B$19:$B$503=B18)*(SETUP!$D$19:$D$503=D18),0))))=2,(SUMPRODUCT(('C19RM 2021-Lab &amp; Other HPS'!$A$14:$D$113=E18)*('C19RM 2021-Lab &amp; Other HPS'!$BH$14:$BH$113=BJ18)*('C19RM 2021-Lab &amp; Other HPS'!$BQ$14:$BQ$113)*(('C19RM 2021-Lab &amp; Other HPS'!$AE$14:$AE$113)))),IF((INDEX(SETUP!$G$19:$G$503,(MATCH(1,(SETUP!$B$19:$B$503=B18)*(SETUP!$D$19:$D$503=D18),0))))=1,(SUMPRODUCT(('C19RM 2021-Lab &amp; Other HPS'!$A$14:$D$113=E18)*('C19RM 2021-Lab &amp; Other HPS'!$BH$14:$BH$113=BJ18)*('C19RM 2021-Lab &amp; Other HPS'!$BQ$14:$BQ$113)*(('C19RM 2021-Lab &amp; Other HPS'!$AF$14:$AF$113)))),0)))),0)))</f>
        <v>0</v>
      </c>
      <c r="AC18" s="359" cm="1">
        <f t="array" ref="AC18">IF((INDEX(SETUP!$F$19:$F$503,(MATCH(1,(SETUP!$B$19:$B$503=B18)*(SETUP!$D$19:$D$503=D18),0))))="Upfront",
(SUMPRODUCT(('C19RM 2021-Lab &amp; Other HPS'!$A$14:$D$113=E18)*('C19RM 2021-Lab &amp; Other HPS'!$BH$14:$BH$113=BJ18)*('C19RM 2021-Lab &amp; Other HPS'!$BQ$14:$BQ$113)*(('C19RM 2021-Lab &amp; Other HPS'!$AH$14:$AH$113)))),
(IF((INDEX(SETUP!$F$19:$F$503,(MATCH(1,(SETUP!$B$19:$B$503=B18)*(SETUP!$D$19:$D$503=D18),0))))="At delivery",
IF((INDEX(SETUP!$G$19:$G$503,(MATCH(1,(SETUP!$B$19:$B$503=B18)*(SETUP!$D$19:$D$503=D18),0))))=4,
(SUMPRODUCT(('C19RM 2021-Lab &amp; Other HPS'!$A$14:$D$113=E18)*('C19RM 2021-Lab &amp; Other HPS'!$BH$14:$BH$113=BJ18)*('C19RM 2021-Lab &amp; Other HPS'!$BP$14:$BP$113)*(('C19RM 2021-Lab &amp; Other HPS'!$AA$14:$AA$113)))),IF((INDEX(SETUP!$G$19:$G$503,(MATCH(1,(SETUP!$B$19:$B$503=B18)*(SETUP!$D$19:$D$503=D18),0))))=3,(SUMPRODUCT(('C19RM 2021-Lab &amp; Other HPS'!$A$14:$D$113=E18)*('C19RM 2021-Lab &amp; Other HPS'!$BH$14:$BH$113=BJ18)*('C19RM 2021-Lab &amp; Other HPS'!$BQ$14:$BQ$113)*(('C19RM 2021-Lab &amp; Other HPS'!$AE$14:$AE$113)))),IF((INDEX(SETUP!$G$19:$G$503,(MATCH(1,(SETUP!$B$19:$B$503=B18)*(SETUP!$D$19:$D$503=D18),0))))=2,(SUMPRODUCT(('C19RM 2021-Lab &amp; Other HPS'!$A$14:$D$113=E18)*('C19RM 2021-Lab &amp; Other HPS'!$BH$14:$BH$113=BJ18)*('C19RM 2021-Lab &amp; Other HPS'!$BQ$14:$BQ$113)*(('C19RM 2021-Lab &amp; Other HPS'!$AF$14:$AF$113)))),IF((INDEX(SETUP!$G$19:$G$503,(MATCH(1,(SETUP!$B$19:$B$503=B18)*(SETUP!$D$19:$D$503=D18),0))))=1,(SUMPRODUCT(('C19RM 2021-Lab &amp; Other HPS'!$A$14:$D$113=E18)*('C19RM 2021-Lab &amp; Other HPS'!$BH$14:$BH$113=BJ18)*('C19RM 2021-Lab &amp; Other HPS'!$BQ$14:$BQ$113)*(('C19RM 2021-Lab &amp; Other HPS'!$AG$14:$AG$113)))),0)))),0)))</f>
        <v>0</v>
      </c>
      <c r="AD18" s="359" cm="1">
        <f t="array" ref="AD18">IF((INDEX(SETUP!$F$19:$F$503,(MATCH(1,(SETUP!$B$19:$B$503=B18)*(SETUP!$D$19:$D$503=D18),0))))="Upfront",
(SUMPRODUCT(('C19RM 2021-Lab &amp; Other HPS'!$A$14:$D$113=E18)*('C19RM 2021-Lab &amp; Other HPS'!$BH$14:$BH$113=BJ18)*('C19RM 2021-Lab &amp; Other HPS'!$BR$14:$BR$113)*(('C19RM 2021-Lab &amp; Other HPS'!$AL$14:$AL$113)))),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HPS'!$AE$14:$AE$113)))),IF((INDEX(SETUP!$G$19:$G$503,(MATCH(1,(SETUP!$B$19:$B$503=B18)*(SETUP!$D$19:$D$503=D18),0))))=3,((SUMPRODUCT(('C19RM 2021-Lab &amp; Other HPS'!$A$14:$D$113=E18)*('C19RM 2021-Lab &amp; Other HPS'!$BH$14:$BH$113=BJ18)*('C19RM 2021-Lab &amp; Other HPS'!$BQ$14:$BQ$113)*(('C19RM 2021-Lab &amp; Other HPS'!$AF$14:$AF$113))))),IF((INDEX(SETUP!$G$19:$G$503,(MATCH(1,(SETUP!$B$19:$B$503=B18)*(SETUP!$D$19:$D$503=D18),0))))=2,(SUMPRODUCT(('C19RM 2021-Lab &amp; Other HPS'!$A$14:$D$113=E18)*('C19RM 2021-Lab &amp; Other HPS'!$BH$14:$BH$113=BJ18)*('C19RM 2021-Lab &amp; Other HPS'!$BQ$14:$BQ$113)*(('C19RM 2021-Lab &amp; Other HPS'!$AG$14:$AG$113)))),IF((INDEX(SETUP!$G$19:$G$503,(MATCH(1,(SETUP!$B$19:$B$503=B18)*(SETUP!$D$19:$D$503=D18),0))))=1,(SUMPRODUCT(('C19RM 2021-Lab &amp; Other HPS'!$A$14:$D$113=E18)*('C19RM 2021-Lab &amp; Other HPS'!$BH$14:$BH$113=BJ18)*('C19RM 2021-Lab &amp; Other HPS'!$BQ$14:$BQ$113)*(('C19RM 2021-Lab &amp; Other HPS'!$AH$14:$AH$113)))),0)))),0)))</f>
        <v>0</v>
      </c>
      <c r="AE18" s="359" cm="1">
        <f t="array" ref="AE18">IF((INDEX(SETUP!$F$19:$F$503,(MATCH(1,(SETUP!$B$19:$B$503=B18)*(SETUP!$D$19:$D$503=D18),0))))="Upfront",
(SUMPRODUCT(('C19RM 2021-Lab &amp; Other HPS'!$A$14:$D$113=E18)*('C19RM 2021-Lab &amp; Other HPS'!$BH$14:$BH$113=BJ18)*('C19RM 2021-Lab &amp; Other HPS'!$BR$14:$BR$113)*(('C19RM 2021-Lab &amp; Other HPS'!$AM$14:$AM$113)))),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HPS'!$AF$14:$AF$113)))),IF((INDEX(SETUP!$G$19:$G$503,(MATCH(1,(SETUP!$B$19:$B$503=B18)*(SETUP!$D$19:$D$503=D18),0))))=3,(SUMPRODUCT(('C19RM 2021-Lab &amp; Other HPS'!$A$14:$D$113=E18)*('C19RM 2021-Lab &amp; Other HPS'!$BH$14:$BH$113=BJ18)*('C19RM 2021-Lab &amp; Other HPS'!$BQ$14:$BQ$113)*(('C19RM 2021-Lab &amp; Other HPS'!$AG$14:$AG$113)))),IF((INDEX(SETUP!$G$19:$G$503,(MATCH(1,(SETUP!$B$19:$B$503=B18)*(SETUP!$D$19:$D$503=D18),0))))=2,(SUMPRODUCT(('C19RM 2021-Lab &amp; Other HPS'!$A$14:$D$113=E18)*('C19RM 2021-Lab &amp; Other HPS'!$BH$14:$BH$113=BJ18)*('C19RM 2021-Lab &amp; Other HPS'!$BQ$14:$BQ$113)*(('C19RM 2021-Lab &amp; Other HPS'!$AH$14:$AH$113)))),IF((INDEX(SETUP!$G$19:$G$503,(MATCH(1,(SETUP!$B$19:$B$503=B18)*(SETUP!$D$19:$D$503=D18),0))))=1,(SUMPRODUCT(('C19RM 2021-Lab &amp; Other HPS'!$A$14:$D$113=E18)*('C19RM 2021-Lab &amp; Other HPS'!$BH$14:$BH$113=BJ18)*('C19RM 2021-Lab &amp; Other HPS'!$BR$14:$BR$113)*(('C19RM 2021-Lab &amp; Other HPS'!$AL$14:$AL$113)))),0)))),0)))</f>
        <v>0</v>
      </c>
      <c r="AF18" s="359" cm="1">
        <f t="array" ref="AF18">IF((INDEX(SETUP!$F$19:$F$503,(MATCH(1,(SETUP!$B$19:$B$503=B18)*(SETUP!$D$19:$D$503=D18),0))))="Upfront",
(SUMPRODUCT(('C19RM 2021-Lab &amp; Other HPS'!$A$14:$D$113=E18)*('C19RM 2021-Lab &amp; Other HPS'!$BH$14:$BH$113=BJ18)*('C19RM 2021-Lab &amp; Other HPS'!$BR$14:$BR$113)*(('C19RM 2021-Lab &amp; Other HPS'!$AN$14:$AN$113)))),
(IF((INDEX(SETUP!$F$19:$F$503,(MATCH(1,(SETUP!$B$19:$B$503=B18)*(SETUP!$D$19:$D$503=D18),0))))="At delivery",
IF((INDEX(SETUP!$G$19:$G$503,(MATCH(1,(SETUP!$B$19:$B$503=B18)*(SETUP!$D$19:$D$503=D18),0))))=4,
(SUMPRODUCT(('C19RM 2021-Lab &amp; Other HPS'!$A$14:$D$113=E18)*('C19RM 2021-Lab &amp; Other HPS'!$BH$14:$BH$113=BJ18)*('C19RM 2021-Lab &amp; Other HPS'!$BQ$14:$BQ$113)*(('C19RM 2021-Lab &amp; Other HPS'!$AG$14:$AG$113)))),IF((INDEX(SETUP!$G$19:$G$503,(MATCH(1,(SETUP!$B$19:$B$503=B18)*(SETUP!$D$19:$D$503=D18),0))))=3,(SUMPRODUCT(('C19RM 2021-Lab &amp; Other HPS'!$A$14:$D$113=E18)*('C19RM 2021-Lab &amp; Other HPS'!$BH$14:$BH$113=BJ18)*('C19RM 2021-Lab &amp; Other HPS'!$BQ$14:$BQ$113)*(('C19RM 2021-Lab &amp; Other HPS'!$AH$14:$AH$113)))),IF((INDEX(SETUP!$G$19:$G$503,(MATCH(1,(SETUP!$B$19:$B$503=B18)*(SETUP!$D$19:$D$503=D18),0))))=2,(SUMPRODUCT(('C19RM 2021-Lab &amp; Other HPS'!$A$14:$D$113=E18)*('C19RM 2021-Lab &amp; Other HPS'!$BH$14:$BH$113=BJ18)*('C19RM 2021-Lab &amp; Other HPS'!$BR$14:$BR$113)*(('C19RM 2021-Lab &amp; Other HPS'!$AL$14:$AL$113)))),IF((INDEX(SETUP!$G$19:$G$503,(MATCH(1,(SETUP!$B$19:$B$503=B18)*(SETUP!$D$19:$D$503=D18),0))))=1,(SUMPRODUCT(('C19RM 2021-Lab &amp; Other HPS'!$A$14:$D$113=E18)*('C19RM 2021-Lab &amp; Other HPS'!$BH$14:$BH$113=BJ18)*('C19RM 2021-Lab &amp; Other HPS'!$BR$14:$BR$113)*(('C19RM 2021-Lab &amp; Other HPS'!$AM$14:$AM$113)))),0)))),0)))</f>
        <v>0</v>
      </c>
      <c r="AG18" s="359" cm="1">
        <f t="array" ref="AG18">IF((INDEX(SETUP!$F$19:$F$503,(MATCH(1,(SETUP!$B$19:$B$503=B18)*(SETUP!$D$19:$D$503=D18),0))))="Upfront",(SUMPRODUCT(('C19RM 2021-Lab &amp; Other HPS'!$A$14:$D$113=E18)*('C19RM 2021-Lab &amp; Other HPS'!$BH$14:$BH$113=BJ18)*('C19RM 2021-Lab &amp; Other HPS'!$BR$14:$BR$113)*(('C19RM 2021-Lab &amp; Other HPS'!$AO$14:$AO$113)))),(IF((INDEX(SETUP!$F$19:$F$503,(MATCH(1,(SETUP!$B$19:$B$503=B18)*(SETUP!$D$19:$D$503=D18),0))))="At delivery",IF((INDEX(SETUP!$G$19:$G$503,(MATCH(1,(SETUP!$B$19:$B$503=B18)*(SETUP!$D$19:$D$503=D18),0))))=4,(SUMPRODUCT(('C19RM 2021-Lab &amp; Other HPS'!$A$14:$D$113=E18)*('C19RM 2021-Lab &amp; Other HPS'!$BH$14:$BH$113=BJ18)*('C19RM 2021-Lab &amp; Other HPS'!$BQ$14:$BQ$113)*(('C19RM 2021-Lab &amp; Other HPS'!$AH$14:$AH$113)))),IF((INDEX(SETUP!$G$19:$G$503,(MATCH(1,(SETUP!$B$19:$B$503=B18)*(SETUP!$D$19:$D$503=D18),0))))=3,(SUMPRODUCT(('C19RM 2021-Lab &amp; Other HPS'!$A$14:$D$113=E18)*('C19RM 2021-Lab &amp; Other HPS'!$BH$14:$BH$113=BJ18)*('C19RM 2021-Lab &amp; Other HPS'!$BR$14:$BR$113)*(('C19RM 2021-Lab &amp; Other HPS'!$AL$14:$AL$113)))),IF((INDEX(SETUP!$G$19:$G$503,(MATCH(1,(SETUP!$B$19:$B$503=B18)*(SETUP!$D$19:$D$503=D18),0))))=2,(SUMPRODUCT(('C19RM 2021-Lab &amp; Other HPS'!$A$14:$D$113=E18)*('C19RM 2021-Lab &amp; Other HPS'!$BH$14:$BH$113=BJ18)*('C19RM 2021-Lab &amp; Other HPS'!$BR$14:$BR$113)*(('C19RM 2021-Lab &amp; Other HPS'!$AM$14:$AM$113)))),IF((INDEX(SETUP!$G$19:$G$503,(MATCH(1,(SETUP!$B$19:$B$503=B18)*(SETUP!$D$19:$D$503=D18),0))))=1,(SUMPRODUCT(('C19RM 2021-Lab &amp; Other HPS'!$A$14:$D$113=E18)*('C19RM 2021-Lab &amp; Other HPS'!$BH$14:$BH$113=BJ18)*('C19RM 2021-Lab &amp; Other HPS'!$BR$14:$BR$113)*(('C19RM 2021-Lab &amp; Other HPS'!$AN$14:$AN$113)))),0)))),0)))</f>
        <v>0</v>
      </c>
      <c r="AH18" s="359" cm="1">
        <f t="array" ref="AH18">IF((INDEX(SETUP!$F$19:$F$503,(MATCH(1,(SETUP!$B$19:$B$503=B18)*(SETUP!$D$19:$D$503=D18),0))))="Upfront",
(SUMPRODUCT(('C19RM 2021-Lab &amp; Other HPS'!$A$14:$D$113=E18)*('C19RM 2021-Lab &amp; Other HPS'!$BH$14:$BH$113=BJ18)*('C19RM 2021-Lab &amp; Other HPS'!$BH$14:$BH$113=BJ18)*('C19RM 2021-Lab &amp; Other HPS'!$BS$14:$BS$113)*(('C19RM 2021-Lab &amp; Other HPS'!$AS$14:$AS$113)))),
(IF((INDEX(SETUP!$F$19:$F$503,(MATCH(1,(SETUP!$B$19:$B$503=B18)*(SETUP!$D$19:$D$503=D18),0))))="At delivery",
IF((INDEX(SETUP!$G$19:$G$503,(MATCH(1,(SETUP!$B$19:$B$503=B18)*(SETUP!$D$19:$D$503=D18),0))))=4,
(SUMPRODUCT(('C19RM 2021-Lab &amp; Other HPS'!$A$14:$D$113=E18)*('C19RM 2021-Lab &amp; Other HPS'!$BH$14:$BH$113=BJ18)*('C19RM 2021-Lab &amp; Other HPS'!$BH$14:$BH$113=BJ18)*('C19RM 2021-Lab &amp; Other HPS'!$BR$14:$BR$113)*(('C19RM 2021-Lab &amp; Other HPS'!$AL$14:$AL$113)))),IF((INDEX(SETUP!$G$19:$G$503,(MATCH(1,(SETUP!$B$19:$B$503=B18)*(SETUP!$D$19:$D$503=D18),0))))=3,((SUMPRODUCT(('C19RM 2021-Lab &amp; Other HPS'!$A$14:$D$113=E18)*('C19RM 2021-Lab &amp; Other HPS'!$BH$14:$BH$113=BJ18)*('C19RM 2021-Lab &amp; Other HPS'!$BH$14:$BH$113=BJ18)*('C19RM 2021-Lab &amp; Other HPS'!$BR$14:$BR$113)*(('C19RM 2021-Lab &amp; Other HPS'!$AM$14:$AM$113))))),IF((INDEX(SETUP!$G$19:$G$503,(MATCH(1,(SETUP!$B$19:$B$503=B18)*(SETUP!$D$19:$D$503=D18),0))))=2,(SUMPRODUCT(('C19RM 2021-Lab &amp; Other HPS'!$A$14:$D$113=E18)*('C19RM 2021-Lab &amp; Other HPS'!$BH$14:$BH$113=BJ18)*('C19RM 2021-Lab &amp; Other HPS'!$BR$14:$BR$113)*(('C19RM 2021-Lab &amp; Other HPS'!$AN$14:$AN$113)))),IF((INDEX(SETUP!$G$19:$G$503,(MATCH(1,(SETUP!$B$19:$B$503=B18)*(SETUP!$D$19:$D$503=D18),0))))=1,(SUMPRODUCT(('C19RM 2021-Lab &amp; Other HPS'!$A$14:$D$113=E18)*('C19RM 2021-Lab &amp; Other HPS'!$BH$14:$BH$113=BJ18)*('C19RM 2021-Lab &amp; Other HPS'!$BR$14:$BR$113)*(('C19RM 2021-Lab &amp; Other HPS'!$AO$14:$AO$113)))),0)))),0)))</f>
        <v>0</v>
      </c>
      <c r="AI18" s="359" cm="1">
        <f t="array" ref="AI18">IF((INDEX(SETUP!$F$19:$F$503,(MATCH(1,(SETUP!$B$19:$B$503=B18)*(SETUP!$D$19:$D$503=D18),0))))="Upfront",
(SUMPRODUCT(('C19RM 2021-Lab &amp; Other HPS'!$A$14:$D$113=E18)*('C19RM 2021-Lab &amp; Other HPS'!$BH$14:$BH$113=BJ18)*('C19RM 2021-Lab &amp; Other HPS'!$BS$14:$BS$113)*(('C19RM 2021-Lab &amp; Other HPS'!$AT$14:$AT$113)))),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HPS'!$AM$14:$AM$113)))),IF((INDEX(SETUP!$G$19:$G$503,(MATCH(1,(SETUP!$B$19:$B$503=B18)*(SETUP!$D$19:$D$503=D18),0))))=3,((SUMPRODUCT(('C19RM 2021-Lab &amp; Other HPS'!$A$14:$D$113=E18)*('C19RM 2021-Lab &amp; Other HPS'!$BH$14:$BH$113=BJ18)*('C19RM 2021-Lab &amp; Other HPS'!$BR$14:$BR$113)*(('C19RM 2021-Lab &amp; Other HPS'!$AN$14:$AN$113))))),IF((INDEX(SETUP!$G$19:$G$503,(MATCH(1,(SETUP!$B$19:$B$503=B18)*(SETUP!$D$19:$D$503=D18),0))))=2,(SUMPRODUCT(('C19RM 2021-Lab &amp; Other HPS'!$A$14:$D$113=E18)*('C19RM 2021-Lab &amp; Other HPS'!$BH$14:$BH$113=BJ18)*('C19RM 2021-Lab &amp; Other HPS'!$BR$14:$BR$113)*(('C19RM 2021-Lab &amp; Other HPS'!$AO$14:$AO$113)))),IF((INDEX(SETUP!$G$19:$G$503,(MATCH(1,(SETUP!$B$19:$B$503=B18)*(SETUP!$D$19:$D$503=D18),0))))=1,(SUMPRODUCT(('C19RM 2021-Lab &amp; Other HPS'!$A$14:$D$113=E18)*('C19RM 2021-Lab &amp; Other HPS'!$BH$14:$BH$113=BJ18)*('C19RM 2021-Lab &amp; Other HPS'!$BS$14:$BS$113)*(('C19RM 2021-Lab &amp; Other HPS'!$AS$14:$AS$113)))),0)))),0)))</f>
        <v>0</v>
      </c>
      <c r="AJ18" s="359" cm="1">
        <f t="array" ref="AJ18">IF((INDEX(SETUP!$F$19:$F$503,(MATCH(1,(SETUP!$B$19:$B$503=B18)*(SETUP!$D$19:$D$503=D18),0))))="Upfront",
(SUMPRODUCT(('C19RM 2021-Lab &amp; Other HPS'!$A$14:$D$113=E18)*('C19RM 2021-Lab &amp; Other HPS'!$BH$14:$BH$113=BJ18)*('C19RM 2021-Lab &amp; Other HPS'!$BS$14:$BS$113)*(('C19RM 2021-Lab &amp; Other HPS'!$AU$14:$AU$113)))),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HPS'!$AN$14:$AN$113)))),IF((INDEX(SETUP!$G$19:$G$503,(MATCH(1,(SETUP!$B$19:$B$503=B18)*(SETUP!$D$19:$D$503=D18),0))))=3,((SUMPRODUCT(('C19RM 2021-Lab &amp; Other HPS'!$A$14:$D$113=E18)*('C19RM 2021-Lab &amp; Other HPS'!$BH$14:$BH$113=BJ18)*('C19RM 2021-Lab &amp; Other HPS'!$BR$14:$BR$113)*(('C19RM 2021-Lab &amp; Other HPS'!$AO$14:$AO$113))))),IF((INDEX(SETUP!$G$19:$G$503,(MATCH(1,(SETUP!$B$19:$B$503=B18)*(SETUP!$D$19:$D$503=D18),0))))=2,(SUMPRODUCT(('C19RM 2021-Lab &amp; Other HPS'!$A$14:$D$113=E18)*('C19RM 2021-Lab &amp; Other HPS'!$BH$14:$BH$113=BJ18)*('C19RM 2021-Lab &amp; Other HPS'!$BS$14:$BS$113)*(('C19RM 2021-Lab &amp; Other HPS'!$AS$14:$AS$113)))),IF((INDEX(SETUP!$G$19:$G$503,(MATCH(1,(SETUP!$B$19:$B$503=B18)*(SETUP!$D$19:$D$503=D18),0))))=1,(SUMPRODUCT(('C19RM 2021-Lab &amp; Other HPS'!$A$14:$D$113=E18)*('C19RM 2021-Lab &amp; Other HPS'!$BH$14:$BH$113=BJ18)*('C19RM 2021-Lab &amp; Other HPS'!$BS$14:$BS$113)*(('C19RM 2021-Lab &amp; Other HPS'!$AT$14:$AT$113)))),0)))),0)))</f>
        <v>0</v>
      </c>
      <c r="AK18" s="359" cm="1">
        <f t="array" ref="AK18">IF((INDEX(SETUP!$F$19:$F$503,(MATCH(1,(SETUP!$B$19:$B$503=B18)*(SETUP!$D$19:$D$503=D18),0))))="Upfront",
(SUMPRODUCT(('C19RM 2021-Lab &amp; Other HPS'!$A$14:$D$113=E18)*('C19RM 2021-Lab &amp; Other HPS'!$BH$14:$BH$113=BJ18)*('C19RM 2021-Lab &amp; Other HPS'!$BS$14:$BS$113)*(('C19RM 2021-Lab &amp; Other HPS'!$AV$14:$AV$113)))),
(IF((INDEX(SETUP!$F$19:$F$503,(MATCH(1,(SETUP!$B$19:$B$503=B18)*(SETUP!$D$19:$D$503=D18),0))))="At delivery",
IF((INDEX(SETUP!$G$19:$G$503,(MATCH(1,(SETUP!$B$19:$B$503=B18)*(SETUP!$D$19:$D$503=D18),0))))=4,
(SUMPRODUCT(('C19RM 2021-Lab &amp; Other HPS'!$A$14:$D$113=E18)*('C19RM 2021-Lab &amp; Other HPS'!$BH$14:$BH$113=BJ18)*('C19RM 2021-Lab &amp; Other HPS'!$BR$14:$BR$113)*(('C19RM 2021-Lab &amp; Other HPS'!$AO$14:$AO$113)))),IF((INDEX(SETUP!$G$19:$G$503,(MATCH(1,(SETUP!$B$19:$B$503=B18)*(SETUP!$D$19:$D$503=D18),0))))=3,((SUMPRODUCT(('C19RM 2021-Lab &amp; Other HPS'!$A$14:$D$113=E18)*('C19RM 2021-Lab &amp; Other HPS'!$BH$14:$BH$113=BJ18)*('C19RM 2021-Lab &amp; Other HPS'!$BS$14:$BS$113)*(('C19RM 2021-Lab &amp; Other HPS'!$AS$14:$AS$113))))),IF((INDEX(SETUP!$G$19:$G$503,(MATCH(1,(SETUP!$B$19:$B$503=B18)*(SETUP!$D$19:$D$503=D18),0))))=2,(SUMPRODUCT(('C19RM 2021-Lab &amp; Other HPS'!$A$14:$D$113=E18)*('C19RM 2021-Lab &amp; Other HPS'!$BH$14:$BH$113=BJ18)*('C19RM 2021-Lab &amp; Other HPS'!$BS$14:$BS$113)*(('C19RM 2021-Lab &amp; Other HPS'!$AT$14:$AT$113)))),IF((INDEX(SETUP!$G$19:$G$503,(MATCH(1,(SETUP!$B$19:$B$503=B18)*(SETUP!$D$19:$D$503=D18),0))))=1,(SUMPRODUCT(('C19RM 2021-Lab &amp; Other HPS'!$A$14:$D$113=E18)*('C19RM 2021-Lab &amp; Other HPS'!$BH$14:$BH$113=BJ18)*('C19RM 2021-Lab &amp; Other HPS'!$BS$14:$BS$113)*(('C19RM 2021-Lab &amp; Other HPS'!$AU$14:$AU$113)))),0)))),0)))</f>
        <v>0</v>
      </c>
      <c r="AL18" s="359" cm="1">
        <f t="array" ref="AL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HPS'!$AS$14:$AS$113)))),IF((INDEX(SETUP!$G$19:$G$503,(MATCH(1,(SETUP!$B$19:$B$503=B18)*(SETUP!$D$19:$D$503=D18),0))))=3,(SUMPRODUCT(('C19RM 2021-Lab &amp; Other HPS'!$A$14:$D$113=E18)*('C19RM 2021-Lab &amp; Other HPS'!$BH$14:$BH$113=BJ18)*('C19RM 2021-Lab &amp; Other HPS'!$BS$14:$BS$113)*(('C19RM 2021-Lab &amp; Other HPS'!$AT$14:$AT$113)))),IF((INDEX(SETUP!$G$19:$G$503,(MATCH(1,(SETUP!$B$19:$B$503=B18)*(SETUP!$D$19:$D$503=D18),0))))=2,(SUMPRODUCT(('C19RM 2021-Lab &amp; Other HPS'!$A$14:$D$113=E18)*('C19RM 2021-Lab &amp; Other HPS'!$BH$14:$BH$113=BJ18)*('C19RM 2021-Lab &amp; Other HPS'!$BS$14:$BS$113)*(('C19RM 2021-Lab &amp; Other HPS'!$AU$14:$AU$113)))),
IF((INDEX(SETUP!$G$19:$G$503,(MATCH(1,(SETUP!$B$19:$B$503=B18)*(SETUP!$D$19:$D$503=D18),0))))=1,
(SUMPRODUCT(('C19RM 2021-Lab &amp; Other HPS'!$A$14:$D$113=E18)*('C19RM 2021-Lab &amp; Other HPS'!$BH$14:$BH$113=BJ18)*('C19RM 2021-Lab &amp; Other HPS'!$BS$14:$BS$113)*(('C19RM 2021-Lab &amp; Other HPS'!$AV$14:$AV$113)))),0)))),0)))</f>
        <v>0</v>
      </c>
      <c r="AM18" s="359" cm="1">
        <f t="array" ref="AM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HPS'!$AT$14:$AT$113)))),IF((INDEX(SETUP!$G$19:$G$503,(MATCH(1,(SETUP!$B$19:$B$503=B18)*(SETUP!$D$19:$D$503=D18),0))))=3,(SUMPRODUCT(('C19RM 2021-Lab &amp; Other HPS'!$A$14:$D$113=E18)*('C19RM 2021-Lab &amp; Other HPS'!$BH$14:$BH$113=BJ18)*('C19RM 2021-Lab &amp; Other HPS'!$BS$14:$BS$113)*(('C19RM 2021-Lab &amp; Other HPS'!$AU$14:$AU$113)))),IF((INDEX(SETUP!$G$19:$G$503,(MATCH(1,(SETUP!$B$19:$B$503=B18)*(SETUP!$D$19:$D$503=D18),0))))=2,(SUMPRODUCT(('C19RM 2021-Lab &amp; Other HPS'!$A$14:$D$113=E18)*('C19RM 2021-Lab &amp; Other HPS'!$BH$14:$BH$113=BJ18)*('C19RM 2021-Lab &amp; Other HPS'!$BS$14:$BS$113)*(('C19RM 2021-Lab &amp; Other HPS'!$AV$14:$AV$113)))),IF((INDEX(SETUP!$G$19:$G$503,(MATCH(1,(SETUP!$B$19:$B$503=B18)*(SETUP!$D$19:$D$503=D18),0))))=1,(0),0)))),0)))</f>
        <v>0</v>
      </c>
      <c r="AN18" s="359" cm="1">
        <f t="array" ref="AN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HPS'!$AU$14:$AU$113)))),IF((INDEX(SETUP!$G$19:$G$503,(MATCH(1,(SETUP!$B$19:$B$503=B18)*(SETUP!$D$19:$D$503=D18),0))))=3,(SUMPRODUCT(('C19RM 2021-Lab &amp; Other HPS'!$A$14:$D$113=E18)*('C19RM 2021-Lab &amp; Other HPS'!$BH$14:$BH$113=BJ18)*('C19RM 2021-Lab &amp; Other HPS'!$BS$14:$BS$113)*(('C19RM 2021-Lab &amp; Other HPS'!$AV$14:$AV$113)))),IF((INDEX(SETUP!$G$19:$G$503,(MATCH(1,(SETUP!$B$19:$B$503=B18)*(SETUP!$D$19:$D$503=D18),0))))=2,(0),IF((INDEX(SETUP!$G$19:$G$503,(MATCH(1,(SETUP!$B$19:$B$503=B18)*(SETUP!$D$19:$D$503=D18),0))))=1,(0),0)))),0)))</f>
        <v>0</v>
      </c>
      <c r="AO18" s="359" cm="1">
        <f t="array" ref="AO18">IF((INDEX(SETUP!$F$19:$F$503,(MATCH(1,(SETUP!$B$19:$B$503=B18)*(SETUP!$D$19:$D$503=D18),0))))="Upfront",0,(IF((INDEX(SETUP!$F$19:$F$503,(MATCH(1,(SETUP!$B$19:$B$503=B18)*(SETUP!$D$19:$D$503=D18),0))))="At delivery",IF((INDEX(SETUP!$G$19:$G$503,(MATCH(1,(SETUP!$B$19:$B$503=B18)*(SETUP!$D$19:$D$503=D18),0))))=4,(SUMPRODUCT(('C19RM 2021-Lab &amp; Other HPS'!$A$14:$D$113=E18)*('C19RM 2021-Lab &amp; Other HPS'!$BH$14:$BH$113=BJ18)*('C19RM 2021-Lab &amp; Other HPS'!$BS$14:$BS$113)*(('C19RM 2021-Lab &amp; Other HPS'!$AV$14:$AV$113)))),IF((INDEX(SETUP!$G$19:$G$503,(MATCH(1,(SETUP!$B$19:$B$503=B18)*(SETUP!$D$19:$D$503=D18),0))))=3,(0),IF((INDEX(SETUP!$G$19:$G$503,(MATCH(1,(SETUP!$B$19:$B$503=B18)*(SETUP!$D$19:$D$503=D18),0))))=2,(0),IF((INDEX(SETUP!$G$19:$G$503,(MATCH(1,(SETUP!$B$19:$B$503=B18)*(SETUP!$D$19:$D$503=D18),0))))=1,(0),0)))),0)))</f>
        <v>0</v>
      </c>
      <c r="AP18" s="359"/>
      <c r="AQ18" s="359"/>
      <c r="AR18" s="359"/>
      <c r="AS18" s="359"/>
      <c r="AT18" s="942" cm="1">
        <f t="array" ref="AT18">IF(BG18&gt;=1,0,IFERROR(SUMPRODUCT(($R$2:$AO$2=$AT$4)*($E$5:$E$100=E18)*($BC$5:$BC$100=BC18)*($R$5:$AO$100)),0))</f>
        <v>0</v>
      </c>
      <c r="AU18" s="359" cm="1">
        <f t="array" ref="AU18">IF(BG18&gt;=1,0,IFERROR(SUMPRODUCT(($R$2:$AO$2=$AU$4)*($E$5:$E$100=E18)*($BC$5:$BC$100=BC18)*($R$5:$AO$100)),0))</f>
        <v>0</v>
      </c>
      <c r="AV18" s="359" cm="1">
        <f t="array" ref="AV18">IF(BG18&gt;=1,0,IFERROR(SUMPRODUCT(($R$2:$AO$2=$AV$4)*($E$5:$E$100=E18)*($BC$5:$BC$100=BC18)*($R$5:$AO$100)),0))</f>
        <v>0</v>
      </c>
      <c r="AW18" s="359" cm="1">
        <f t="array" ref="AW18">IF(BG18&gt;=1,0,IFERROR(SUMPRODUCT(($R$2:$AO$2=$AW$4)*($E$5:$E$100=E18)*($BC$5:$BC$100=BC18)*($R$5:$AO$100)),0))</f>
        <v>0</v>
      </c>
      <c r="AX18" s="359" cm="1">
        <f t="array" ref="AX18">IF(BG18&gt;=1,0,IFERROR(SUMPRODUCT(($R$2:$AO$2=$AX$4)*($E$5:$E$100=E18)*($BC$5:$BC$100=BC18)*($R$5:$AO$100)),0))</f>
        <v>0</v>
      </c>
      <c r="AY18" s="359">
        <f t="shared" si="5"/>
        <v>0</v>
      </c>
      <c r="AZ18" s="359"/>
      <c r="BA18" s="233">
        <f t="shared" si="6"/>
        <v>0</v>
      </c>
      <c r="BB18" s="220" t="s">
        <v>83</v>
      </c>
      <c r="BC18" t="s">
        <v>180</v>
      </c>
      <c r="BD18" cm="1">
        <f t="array" ref="BD18">(SUMPRODUCT(('C19RM 2021-Lab &amp; Other HPS'!$A$14:$D$650=E18)*('C19RM 2021-Lab &amp; Other HPS'!$BU$14:$BU$650)))</f>
        <v>0</v>
      </c>
      <c r="BE18" cm="1">
        <f t="array" ref="BE18">(SUMPRODUCT((SETUP!$D$20:$D$67=D18)*(SETUP!$R$20:$R$67)))</f>
        <v>0</v>
      </c>
      <c r="BF18" cm="1">
        <f t="array" ref="BF18">(SUMPRODUCT(('C19RM 2021-Lab &amp; Other HPS'!$A$14:$D$650=E18)*('C19RM 2021-Lab &amp; Other HPS'!$BV$14:$BV$650)))</f>
        <v>0</v>
      </c>
      <c r="BG18">
        <f t="shared" si="24"/>
        <v>0</v>
      </c>
      <c r="BJ18" s="235">
        <v>5.6</v>
      </c>
    </row>
    <row r="19" spans="1:62" x14ac:dyDescent="0.35">
      <c r="A19" s="235">
        <v>1</v>
      </c>
      <c r="B19" s="220" t="s">
        <v>2750</v>
      </c>
      <c r="C19" s="235" t="s">
        <v>3192</v>
      </c>
      <c r="D19" s="235" t="s">
        <v>15</v>
      </c>
      <c r="E19" s="235" t="s">
        <v>16</v>
      </c>
      <c r="F19" s="220">
        <f>SETUP!$E$3</f>
        <v>0</v>
      </c>
      <c r="G19" s="220" t="str">
        <f ca="1">SETUP!$J$5</f>
        <v>NA</v>
      </c>
      <c r="H19" s="220" t="str">
        <f>SETUP!$E$9</f>
        <v>C19RM</v>
      </c>
      <c r="I19" s="232">
        <f t="shared" si="22"/>
        <v>44197</v>
      </c>
      <c r="J19" s="232">
        <f>SETUP!$L$14</f>
        <v>46022</v>
      </c>
      <c r="K19" s="220">
        <f>IFERROR(VLOOKUP(E19,'Master Data-C19RM'!$A$5:$B$35,2,0),0)</f>
        <v>0</v>
      </c>
      <c r="L19">
        <f t="shared" si="23"/>
        <v>0</v>
      </c>
      <c r="M19">
        <f>SETUP!$E$7</f>
        <v>0</v>
      </c>
      <c r="N19">
        <f>SETUP!$F$76</f>
        <v>6.1</v>
      </c>
      <c r="O19" t="str" cm="1">
        <f t="array" ref="O19">INDEX(SETUP!$E$19:$E$503,(MATCH(1,(SETUP!$B$19:$B$503=B19)*(SETUP!$D$19:$D$503=D19),0)))</f>
        <v>PR/SR</v>
      </c>
      <c r="P19" t="str" cm="1">
        <f t="array" ref="P19">INDEX(SETUP!$F$19:$F$503,(MATCH(1,(SETUP!$B$19:$B$503=B19)*(SETUP!$D$19:$D$503=D19),0)))</f>
        <v>At delivery</v>
      </c>
      <c r="Q19" cm="1">
        <f t="array" ref="Q19">INDEX(SETUP!$G$19:$G$503,(MATCH(1,(SETUP!$B$19:$B$503=B19)*(SETUP!$D$19:$D$503=D19),0)))</f>
        <v>1</v>
      </c>
      <c r="R19" s="359" cm="1">
        <f t="array" ref="R19">IF((INDEX(SETUP!$F$19:$F$503,(MATCH(1,(SETUP!$B$19:$B$503=B19)*(SETUP!$D$19:$D$503=D19),0))))="Upfront",(SUMPRODUCT(('C19RM 2021-Lab &amp; Other HPS'!$A$14:$D$113=E19)*('C19RM 2021-Lab &amp; Other HPS'!$BH$14:$BH$113=BJ19)*('C19RM 2021-Lab &amp; Other HPS'!$BO$14:$BO$113)*(('C19RM 2021-Lab &amp; Other HPS'!$Q$14:$Q$113)))),0)</f>
        <v>0</v>
      </c>
      <c r="S19" s="359" cm="1">
        <f t="array" ref="S19">IF((INDEX(SETUP!$F$19:$F$503,(MATCH(1,(SETUP!$B$19:$B$503=B19)*(SETUP!$D$19:$D$503=D19),0))))="Upfront",(SUMPRODUCT(('C19RM 2021-Lab &amp; Other HPS'!$A$14:$D$113=E19)*('C19RM 2021-Lab &amp; Other HPS'!$BH$14:$BH$113=BJ19)*('C19RM 2021-Lab &amp; Other HPS'!$BO$14:$BO$113)*(('C19RM 2021-Lab &amp; Other HPS'!$R$14:$R$113)))),(IF((INDEX(SETUP!$F$19:$F$503,(MATCH(1,(SETUP!$B$19:$B$503=B19)*(SETUP!$D$19:$D$503=D19),0))))="At delivery",IF((INDEX(SETUP!$G$19:$G$503,(MATCH(1,(SETUP!$B$19:$B$503=B19)*(SETUP!$D$19:$D$503=D19),0))))=1,(SUMPRODUCT(('C19RM 2021-Lab &amp; Other HPS'!$A$14:$D$113=E19)*('C19RM 2021-Lab &amp; Other HPS'!$BH$14:$BH$113=BJ19)*('C19RM 2021-Lab &amp; Other HPS'!$BO$14:$BO$113)*(('C19RM 2021-Lab &amp; Other HPS'!$Q$14:$Q$113)))),0),0)))</f>
        <v>0</v>
      </c>
      <c r="T19" s="359" cm="1">
        <f t="array" ref="T19">IF((INDEX(SETUP!$F$19:$F$503,(MATCH(1,(SETUP!$B$19:$B$503=B19)*(SETUP!$D$19:$D$503=D19),0))))="Upfront",(SUMPRODUCT(('C19RM 2021-Lab &amp; Other HPS'!$A$14:$D$113=E19)*('C19RM 2021-Lab &amp; Other HPS'!$BH$14:$BH$113=BJ19)*('C19RM 2021-Lab &amp; Other HPS'!$BO$14:$BO$113)*(('C19RM 2021-Lab &amp; Other HPS'!$S$14:$S$113)))),(IF((INDEX(SETUP!$F$19:$F$503,(MATCH(1,(SETUP!$B$19:$B$503=B19)*(SETUP!$D$19:$D$503=D19),0))))="At delivery",IF((INDEX(SETUP!$G$19:$G$503,(MATCH(1,(SETUP!$B$19:$B$503=B19)*(SETUP!$D$19:$D$503=D19),0))))=2,(SUMPRODUCT(('C19RM 2021-Lab &amp; Other HPS'!$A$14:$D$113=E19)*('C19RM 2021-Lab &amp; Other HPS'!$BH$14:$BH$113=BJ19)*('C19RM 2021-Lab &amp; Other HPS'!$BO$14:$BO$113)*(('C19RM 2021-Lab &amp; Other HPS'!$Q$14:$Q$113)))),IF((INDEX(SETUP!$G$19:$G$503,(MATCH(1,(SETUP!$B$19:$B$503=B19)*(SETUP!$D$19:$D$503=D19),0))))=1,(SUMPRODUCT(('C19RM 2021-Lab &amp; Other HPS'!$A$14:$D$113=E19)*('C19RM 2021-Lab &amp; Other HPS'!$BH$14:$BH$113=BJ19)*('C19RM 2021-Lab &amp; Other HPS'!$BO$14:$BO$113)*(('C19RM 2021-Lab &amp; Other HPS'!$R$14:$R$113)))),0)),0)))</f>
        <v>0</v>
      </c>
      <c r="U19" s="359" cm="1">
        <f t="array" ref="U19">IF((INDEX(SETUP!$F$19:$F$503,(MATCH(1,(SETUP!$B$19:$B$503=B19)*(SETUP!$D$19:$D$503=D19),0))))="Upfront",(SUMPRODUCT(('C19RM 2021-Lab &amp; Other HPS'!$A$14:$D$113=E19)*('C19RM 2021-Lab &amp; Other HPS'!$BH$14:$BH$113=BJ19)*('C19RM 2021-Lab &amp; Other HPS'!$BO$14:$BO$113)*(('C19RM 2021-Lab &amp; Other HPS'!$T$14:$T$113)))),(IF((INDEX(SETUP!$F$19:$F$503,(MATCH(1,(SETUP!$B$19:$B$503=B19)*(SETUP!$D$19:$D$503=D19),0))))="At delivery",IF((INDEX(SETUP!$G$19:$G$503,(MATCH(1,(SETUP!$B$19:$B$503=B19)*(SETUP!$D$19:$D$503=D19),0))))=3,(SUMPRODUCT(('C19RM 2021-Lab &amp; Other HPS'!$A$14:$D$113=E19)*('C19RM 2021-Lab &amp; Other HPS'!$BH$14:$BH$113=BJ19)*('C19RM 2021-Lab &amp; Other HPS'!$BO$14:$BO$113)*(('C19RM 2021-Lab &amp; Other HPS'!$Q$14:$Q$113)))),IF((INDEX(SETUP!$G$19:$G$503,(MATCH(1,(SETUP!$B$19:$B$503=B19)*(SETUP!$D$19:$D$503=D19),0))))=2,(SUMPRODUCT(('C19RM 2021-Lab &amp; Other HPS'!$A$14:$D$113=E19)*('C19RM 2021-Lab &amp; Other HPS'!$BH$14:$BH$113=BJ19)*('C19RM 2021-Lab &amp; Other HPS'!$BO$14:$BO$113)*(('C19RM 2021-Lab &amp; Other HPS'!$R$14:$R$113)))),IF((INDEX(SETUP!$G$19:$G$503,(MATCH(1,(SETUP!$B$19:$B$503=B19)*(SETUP!$D$19:$D$503=D19),0))))=1,(SUMPRODUCT(('C19RM 2021-Lab &amp; Other HPS'!$A$14:$D$113=E19)*('C19RM 2021-Lab &amp; Other HPS'!$BH$14:$BH$113=BJ19)*('C19RM 2021-Lab &amp; Other HPS'!$BO$14:$BO$113)*(('C19RM 2021-Lab &amp; Other HPS'!$S$14:$S$113)))),0))),0)))</f>
        <v>0</v>
      </c>
      <c r="V19" s="359" cm="1">
        <f t="array" ref="V19">IF((INDEX(SETUP!$F$19:$F$503,(MATCH(1,(SETUP!$B$19:$B$503=B19)*(SETUP!$D$19:$D$503=D19),0))))="Upfront",(SUMPRODUCT(('C19RM 2021-Lab &amp; Other HPS'!$A$14:$D$113=E19)*('C19RM 2021-Lab &amp; Other HPS'!$BH$14:$BH$113=BJ19)*('C19RM 2021-Lab &amp; Other HPS'!$BP$14:$BP$113)*(('C19RM 2021-Lab &amp; Other HPS'!$X$14:$X$113)))),(IF((INDEX(SETUP!$F$19:$F$503,(MATCH(1,(SETUP!$B$19:$B$503=B19)*(SETUP!$D$19:$D$503=D19),0))))="At delivery",IF((INDEX(SETUP!$G$19:$G$503,(MATCH(1,(SETUP!$B$19:$B$503=B19)*(SETUP!$D$19:$D$503=D19),0))))=4,(SUMPRODUCT(('C19RM 2021-Lab &amp; Other HPS'!$A$14:$D$113=E19)*('C19RM 2021-Lab &amp; Other HPS'!$BH$14:$BH$113=BJ19)*('C19RM 2021-Lab &amp; Other HPS'!$BO$14:$BO$113)*(('C19RM 2021-Lab &amp; Other HPS'!$Q$14:$Q$113)))),IF((INDEX(SETUP!$G$19:$G$503,(MATCH(1,(SETUP!$B$19:$B$503=B19)*(SETUP!$D$19:$D$503=D19),0))))=3,(SUMPRODUCT(('C19RM 2021-Lab &amp; Other HPS'!$A$14:$D$113=E19)*('C19RM 2021-Lab &amp; Other HPS'!$BH$14:$BH$113=BJ19)*('C19RM 2021-Lab &amp; Other HPS'!$BO$14:$BO$113)*(('C19RM 2021-Lab &amp; Other HPS'!$R$14:$R$113)))),IF((INDEX(SETUP!$G$19:$G$503,(MATCH(1,(SETUP!$B$19:$B$503=B19)*(SETUP!$D$19:$D$503=D19),0))))=2,(SUMPRODUCT(('C19RM 2021-Lab &amp; Other HPS'!$A$14:$D$113=E19)*('C19RM 2021-Lab &amp; Other HPS'!$BH$14:$BH$113=BJ19)*('C19RM 2021-Lab &amp; Other HPS'!$BO$14:$BO$113)*(('C19RM 2021-Lab &amp; Other HPS'!$S$14:$S$113)))),IF((INDEX(SETUP!$G$19:$G$503,(MATCH(1,(SETUP!$B$19:$B$503=B19)*(SETUP!$D$19:$D$503=D19),0))))=1,(SUMPRODUCT(('C19RM 2021-Lab &amp; Other HPS'!$A$14:$D$113=E19)*('C19RM 2021-Lab &amp; Other HPS'!$BH$14:$BH$113=BJ19)*('C19RM 2021-Lab &amp; Other HPS'!$BO$14:$BO$113)*(('C19RM 2021-Lab &amp; Other HPS'!$T$14:$T$113)))),0)))),0)))</f>
        <v>0</v>
      </c>
      <c r="W19" s="359" cm="1">
        <f t="array" ref="W19">IF((INDEX(SETUP!$F$19:$F$503,(MATCH(1,(SETUP!$B$19:$B$503=B19)*(SETUP!$D$19:$D$503=D19),0))))="Upfront",(SUMPRODUCT(('C19RM 2021-Lab &amp; Other HPS'!$A$14:$D$113=E19)*('C19RM 2021-Lab &amp; Other HPS'!$BH$14:$BH$113=BJ19)*('C19RM 2021-Lab &amp; Other HPS'!$BP$14:$BP$113)*(('C19RM 2021-Lab &amp; Other HPS'!$Y$14:$Y$113)))),(IF((INDEX(SETUP!$F$19:$F$503,(MATCH(1,(SETUP!$B$19:$B$503=B19)*(SETUP!$D$19:$D$503=D19),0))))="At delivery",IF((INDEX(SETUP!$G$19:$G$503,(MATCH(1,(SETUP!$B$19:$B$503=B19)*(SETUP!$D$19:$D$503=D19),0))))=4,(SUMPRODUCT(('C19RM 2021-Lab &amp; Other HPS'!$A$14:$D$113=E19)*('C19RM 2021-Lab &amp; Other HPS'!$BH$14:$BH$113=BJ19)*('C19RM 2021-Lab &amp; Other HPS'!$BO$14:$BO$113)*(('C19RM 2021-Lab &amp; Other HPS'!$R$14:$R$113)))),IF((INDEX(SETUP!$G$19:$G$503,(MATCH(1,(SETUP!$B$19:$B$503=B19)*(SETUP!$D$19:$D$503=D19),0))))=3,(SUMPRODUCT(('C19RM 2021-Lab &amp; Other HPS'!$A$14:$D$113=E19)*('C19RM 2021-Lab &amp; Other HPS'!$BH$14:$BH$113=BJ19)*('C19RM 2021-Lab &amp; Other HPS'!$BO$14:$BO$113)*(('C19RM 2021-Lab &amp; Other HPS'!$S$14:$S$113)))),IF((INDEX(SETUP!$G$19:$G$503,(MATCH(1,(SETUP!$B$19:$B$503=B19)*(SETUP!$D$19:$D$503=D19),0))))=2,((SUMPRODUCT(('C19RM 2021-Lab &amp; Other HPS'!$A$14:$D$113=E19)*('C19RM 2021-Lab &amp; Other HPS'!$BH$14:$BH$113=BJ19)*('C19RM 2021-Lab &amp; Other HPS'!$BO$14:$BO$113)*(('C19RM 2021-Lab &amp; Other HPS'!$T$14:$T$113))))),IF((INDEX(SETUP!$G$19:$G$503,(MATCH(1,(SETUP!$B$19:$B$503=B19)*(SETUP!$D$19:$D$503=D19),0))))=1,(SUMPRODUCT(('C19RM 2021-Lab &amp; Other HPS'!$A$14:$D$113=E19)*('C19RM 2021-Lab &amp; Other HPS'!$BH$14:$BH$113=BJ19)*('C19RM 2021-Lab &amp; Other HPS'!$BP$14:$BP$113)*(('C19RM 2021-Lab &amp; Other HPS'!$X$14:$X$113)))),0)))),0)))</f>
        <v>0</v>
      </c>
      <c r="X19" s="359" cm="1">
        <f t="array" ref="X19">IF((INDEX(SETUP!$F$19:$F$503,(MATCH(1,(SETUP!$B$19:$B$503=B19)*(SETUP!$D$19:$D$503=D19),0))))="Upfront",(SUMPRODUCT(('C19RM 2021-Lab &amp; Other HPS'!$A$14:$D$113=E19)*('C19RM 2021-Lab &amp; Other HPS'!$BH$14:$BH$113=BJ19)*('C19RM 2021-Lab &amp; Other HPS'!$BP$14:$BP$113)*(('C19RM 2021-Lab &amp; Other HPS'!$Z$14:$Z$113)))),(IF((INDEX(SETUP!$F$19:$F$503,(MATCH(1,(SETUP!$B$19:$B$503=B19)*(SETUP!$D$19:$D$503=D19),0))))="At delivery",IF((INDEX(SETUP!$G$19:$G$503,(MATCH(1,(SETUP!$B$19:$B$503=B19)*(SETUP!$D$19:$D$503=D19),0))))=4,(SUMPRODUCT(('C19RM 2021-Lab &amp; Other HPS'!$A$14:$D$113=E19)*('C19RM 2021-Lab &amp; Other HPS'!$BH$14:$BH$113=BJ19)*('C19RM 2021-Lab &amp; Other HPS'!$BO$14:$BO$113)*(('C19RM 2021-Lab &amp; Other HPS'!$S$14:$S$113)))),IF((INDEX(SETUP!$G$19:$G$503,(MATCH(1,(SETUP!$B$19:$B$503=B19)*(SETUP!$D$19:$D$503=D19),0))))=3,((SUMPRODUCT(('C19RM 2021-Lab &amp; Other HPS'!$A$14:$D$113=E19)*('C19RM 2021-Lab &amp; Other HPS'!$BH$14:$BH$113=BJ19)*('C19RM 2021-Lab &amp; Other HPS'!$BO$14:$BO$113)*(('C19RM 2021-Lab &amp; Other HPS'!$T$14:$T$113))))),IF((INDEX(SETUP!$G$19:$G$503,(MATCH(1,(SETUP!$B$19:$B$503=B19)*(SETUP!$D$19:$D$503=D19),0))))=2,(SUMPRODUCT(('C19RM 2021-Lab &amp; Other HPS'!$A$14:$D$113=E19)*('C19RM 2021-Lab &amp; Other HPS'!$BH$14:$BH$113=BJ19)*('C19RM 2021-Lab &amp; Other HPS'!$BP$14:$BP$113)*(('C19RM 2021-Lab &amp; Other HPS'!$X$14:$X$113)))),IF((INDEX(SETUP!$G$19:$G$503,(MATCH(1,(SETUP!$B$19:$B$503=B19)*(SETUP!$D$19:$D$503=D19),0))))=1,(SUMPRODUCT(('C19RM 2021-Lab &amp; Other HPS'!$A$14:$D$113=E19)*('C19RM 2021-Lab &amp; Other HPS'!$BH$14:$BH$113=BJ19)*('C19RM 2021-Lab &amp; Other HPS'!$BP$14:$BP$113)*(('C19RM 2021-Lab &amp; Other HPS'!$Y$14:$Y$113)))),0)))),0)))</f>
        <v>0</v>
      </c>
      <c r="Y19" s="359" cm="1">
        <f t="array" ref="Y19">IF((INDEX(SETUP!$F$19:$F$503,(MATCH(1,(SETUP!$B$19:$B$503=B19)*(SETUP!$D$19:$D$503=D19),0))))="Upfront",
(SUMPRODUCT(('C19RM 2021-Lab &amp; Other HPS'!$A$14:$D$113=E19)*('C19RM 2021-Lab &amp; Other HPS'!$BH$14:$BH$113=BJ19)*('C19RM 2021-Lab &amp; Other HPS'!$BP$14:$BP$113)*(('C19RM 2021-Lab &amp; Other HPS'!$AA$14:$AA$113)))),
(IF((INDEX(SETUP!$F$19:$F$503,(MATCH(1,(SETUP!$B$19:$B$503=B19)*(SETUP!$D$19:$D$503=D19),0))))="At delivery",
IF((INDEX(SETUP!$G$19:$G$503,(MATCH(1,(SETUP!$B$19:$B$503=B19)*(SETUP!$D$19:$D$503=D19),0))))=4,
((SUMPRODUCT(('C19RM 2021-Lab &amp; Other HPS'!$A$14:$D$113=E19)*('C19RM 2021-Lab &amp; Other HPS'!$BH$14:$BH$113=BJ19)*('C19RM 2021-Lab &amp; Other HPS'!$BO$14:$BO$113)*(('C19RM 2021-Lab &amp; Other HPS'!$T$14:$T$113))))),IF((INDEX(SETUP!$G$19:$G$503,(MATCH(1,(SETUP!$B$19:$B$503=B19)*(SETUP!$D$19:$D$503=D19),0))))=3,(SUMPRODUCT(('C19RM 2021-Lab &amp; Other HPS'!$A$14:$D$113=E19)*('C19RM 2021-Lab &amp; Other HPS'!$BH$14:$BH$113=BJ19)*('C19RM 2021-Lab &amp; Other HPS'!$BP$14:$BP$113)*(('C19RM 2021-Lab &amp; Other HPS'!$X$14:$X$113)))),IF((INDEX(SETUP!$G$19:$G$503,(MATCH(1,(SETUP!$B$19:$B$503=B19)*(SETUP!$D$19:$D$503=D19),0))))=2,(SUMPRODUCT(('C19RM 2021-Lab &amp; Other HPS'!$A$14:$D$113=E19)*('C19RM 2021-Lab &amp; Other HPS'!$BH$14:$BH$113=BJ19)*('C19RM 2021-Lab &amp; Other HPS'!$BP$14:$BP$113)*(('C19RM 2021-Lab &amp; Other HPS'!$Y$14:$Y$113)))),IF((INDEX(SETUP!$G$19:$G$503,(MATCH(1,(SETUP!$B$19:$B$503=B19)*(SETUP!$D$19:$D$503=D19),0))))=1,(SUMPRODUCT(('C19RM 2021-Lab &amp; Other HPS'!$A$14:$D$113=E19)*('C19RM 2021-Lab &amp; Other HPS'!$BH$14:$BH$113=BJ19)*('C19RM 2021-Lab &amp; Other HPS'!$BP$14:$BP$113)*(('C19RM 2021-Lab &amp; Other HPS'!$Z$14:$Z$113)))),0)))),0)))</f>
        <v>0</v>
      </c>
      <c r="Z19" s="359" cm="1">
        <f t="array" ref="Z19">IF((INDEX(SETUP!$F$19:$F$503,(MATCH(1,(SETUP!$B$19:$B$503=B19)*(SETUP!$D$19:$D$503=D19),0))))="Upfront",(SUMPRODUCT(('C19RM 2021-Lab &amp; Other HPS'!$A$14:$D$113=E19)*('C19RM 2021-Lab &amp; Other HPS'!$BH$14:$BH$113=BJ19)*('C19RM 2021-Lab &amp; Other HPS'!$BQ$14:$BQ$113)*(('C19RM 2021-Lab &amp; Other HPS'!$AE$14:$AE$113)))),(IF((INDEX(SETUP!$F$19:$F$503,(MATCH(1,(SETUP!$B$19:$B$503=B19)*(SETUP!$D$19:$D$503=D19),0))))="At delivery",IF((INDEX(SETUP!$G$19:$G$503,(MATCH(1,(SETUP!$B$19:$B$503=B19)*(SETUP!$D$19:$D$503=D19),0))))=4,(SUMPRODUCT(('C19RM 2021-Lab &amp; Other HPS'!$A$14:$D$113=E19)*('C19RM 2021-Lab &amp; Other HPS'!$BH$14:$BH$113=BJ19)*('C19RM 2021-Lab &amp; Other HPS'!$BP$14:$BP$113)*(('C19RM 2021-Lab &amp; Other HPS'!$X$14:$X$113)))),IF((INDEX(SETUP!$G$19:$G$503,(MATCH(1,(SETUP!$B$19:$B$503=B19)*(SETUP!$D$19:$D$503=D19),0))))=3,(SUMPRODUCT(('C19RM 2021-Lab &amp; Other HPS'!$A$14:$D$113=E19)*('C19RM 2021-Lab &amp; Other HPS'!$BH$14:$BH$113=BJ19)*('C19RM 2021-Lab &amp; Other HPS'!$BP$14:$BP$113)*(('C19RM 2021-Lab &amp; Other HPS'!$Y$14:$Y$113)))),IF((INDEX(SETUP!$G$19:$G$503,(MATCH(1,(SETUP!$B$19:$B$503=B19)*(SETUP!$D$19:$D$503=D19),0))))=2,(SUMPRODUCT(('C19RM 2021-Lab &amp; Other HPS'!$A$14:$D$113=E19)*('C19RM 2021-Lab &amp; Other HPS'!$BH$14:$BH$113=BJ19)*('C19RM 2021-Lab &amp; Other HPS'!$BP$14:$BP$113)*(('C19RM 2021-Lab &amp; Other HPS'!$Z$14:$Z$113)))),IF((INDEX(SETUP!$G$19:$G$503,(MATCH(1,(SETUP!$B$19:$B$503=B19)*(SETUP!$D$19:$D$503=D19),0))))=1,(SUMPRODUCT(('C19RM 2021-Lab &amp; Other HPS'!$A$14:$D$113=E19)*('C19RM 2021-Lab &amp; Other HPS'!$BH$14:$BH$113=BJ19)*('C19RM 2021-Lab &amp; Other HPS'!$BP$14:$BP$113)*(('C19RM 2021-Lab &amp; Other HPS'!$AA$14:$AA$113)))),0)))),0)))</f>
        <v>0</v>
      </c>
      <c r="AA19" s="359" cm="1">
        <f t="array" ref="AA19">IF((INDEX(SETUP!$F$19:$F$503,(MATCH(1,(SETUP!$B$19:$B$503=B19)*(SETUP!$D$19:$D$503=D19),0))))="Upfront",(SUMPRODUCT(('C19RM 2021-Lab &amp; Other HPS'!$A$14:$D$113=E19)*('C19RM 2021-Lab &amp; Other HPS'!$BH$14:$BH$113=BJ19)*('C19RM 2021-Lab &amp; Other HPS'!$BQ$14:$BQ$113)*(('C19RM 2021-Lab &amp; Other HPS'!$AF$14:$AF$113)))),(IF((INDEX(SETUP!$F$19:$F$503,(MATCH(1,(SETUP!$B$19:$B$503=B19)*(SETUP!$D$19:$D$503=D19),0))))="At delivery",IF((INDEX(SETUP!$G$19:$G$503,(MATCH(1,(SETUP!$B$19:$B$503=B19)*(SETUP!$D$19:$D$503=D19),0))))=4,(SUMPRODUCT(('C19RM 2021-Lab &amp; Other HPS'!$A$14:$D$113=E19)*('C19RM 2021-Lab &amp; Other HPS'!$BH$14:$BH$113=BJ19)*('C19RM 2021-Lab &amp; Other HPS'!$BP$14:$BP$113)*(('C19RM 2021-Lab &amp; Other HPS'!$Y$14:$Y$113)))),IF((INDEX(SETUP!$G$19:$G$503,(MATCH(1,(SETUP!$B$19:$B$503=B19)*(SETUP!$D$19:$D$503=D19),0))))=3,(SUMPRODUCT(('C19RM 2021-Lab &amp; Other HPS'!$A$14:$D$113=E19)*('C19RM 2021-Lab &amp; Other HPS'!$BH$14:$BH$113=BJ19)*('C19RM 2021-Lab &amp; Other HPS'!$BP$14:$BP$113)*(('C19RM 2021-Lab &amp; Other HPS'!$Z$14:$Z$113)))),IF((INDEX(SETUP!$G$19:$G$503,(MATCH(1,(SETUP!$B$19:$B$503=B19)*(SETUP!$D$19:$D$503=D19),0))))=2,((SUMPRODUCT(('C19RM 2021-Lab &amp; Other HPS'!$A$14:$D$113=E19)*('C19RM 2021-Lab &amp; Other HPS'!$BH$14:$BH$113=BJ19)*('C19RM 2021-Lab &amp; Other HPS'!$BP$14:$BP$113)*(('C19RM 2021-Lab &amp; Other HPS'!$AA$14:$AA$113))))),IF((INDEX(SETUP!$G$19:$G$503,(MATCH(1,(SETUP!$B$19:$B$503=B19)*(SETUP!$D$19:$D$503=D19),0))))=1,(SUMPRODUCT(('C19RM 2021-Lab &amp; Other HPS'!$A$14:$D$113=E19)*('C19RM 2021-Lab &amp; Other HPS'!$BH$14:$BH$113=BJ19)*('C19RM 2021-Lab &amp; Other HPS'!$BQ$14:$BQ$113)*(('C19RM 2021-Lab &amp; Other HPS'!$AE$14:$AE$113)))),0)))),0)))</f>
        <v>0</v>
      </c>
      <c r="AB19" s="359" cm="1">
        <f t="array" ref="AB19">IF((INDEX(SETUP!$F$19:$F$503,(MATCH(1,(SETUP!$B$19:$B$503=B19)*(SETUP!$D$19:$D$503=D19),0))))="Upfront",
(SUMPRODUCT(('C19RM 2021-Lab &amp; Other HPS'!$A$14:$D$113=E19)*('C19RM 2021-Lab &amp; Other HPS'!$BH$14:$BH$113=BJ19)*('C19RM 2021-Lab &amp; Other HPS'!$BQ$14:$BQ$113)*(('C19RM 2021-Lab &amp; Other HPS'!$AG$14:$AG$113)))),
(IF((INDEX(SETUP!$F$19:$F$503,(MATCH(1,(SETUP!$B$19:$B$503=B19)*(SETUP!$D$19:$D$503=D19),0))))="At delivery",
IF((INDEX(SETUP!$G$19:$G$503,(MATCH(1,(SETUP!$B$19:$B$503=B19)*(SETUP!$D$19:$D$503=D19),0))))=4,
(SUMPRODUCT(('C19RM 2021-Lab &amp; Other HPS'!$A$14:$D$113=E19)*('C19RM 2021-Lab &amp; Other HPS'!$BH$14:$BH$113=BJ19)*('C19RM 2021-Lab &amp; Other HPS'!$BP$14:$BP$113)*(('C19RM 2021-Lab &amp; Other HPS'!$Z$14:$Z$113)))),IF((INDEX(SETUP!$G$19:$G$503,(MATCH(1,(SETUP!$B$19:$B$503=B19)*(SETUP!$D$19:$D$503=D19),0))))=3,(SUMPRODUCT(('C19RM 2021-Lab &amp; Other HPS'!$A$14:$D$113=E19)*('C19RM 2021-Lab &amp; Other HPS'!$BH$14:$BH$113=BJ19)*('C19RM 2021-Lab &amp; Other HPS'!$BP$14:$BP$113)*(('C19RM 2021-Lab &amp; Other HPS'!$AA$14:$AA$113)))),IF((INDEX(SETUP!$G$19:$G$503,(MATCH(1,(SETUP!$B$19:$B$503=B19)*(SETUP!$D$19:$D$503=D19),0))))=2,(SUMPRODUCT(('C19RM 2021-Lab &amp; Other HPS'!$A$14:$D$113=E19)*('C19RM 2021-Lab &amp; Other HPS'!$BH$14:$BH$113=BJ19)*('C19RM 2021-Lab &amp; Other HPS'!$BQ$14:$BQ$113)*(('C19RM 2021-Lab &amp; Other HPS'!$AE$14:$AE$113)))),IF((INDEX(SETUP!$G$19:$G$503,(MATCH(1,(SETUP!$B$19:$B$503=B19)*(SETUP!$D$19:$D$503=D19),0))))=1,(SUMPRODUCT(('C19RM 2021-Lab &amp; Other HPS'!$A$14:$D$113=E19)*('C19RM 2021-Lab &amp; Other HPS'!$BH$14:$BH$113=BJ19)*('C19RM 2021-Lab &amp; Other HPS'!$BQ$14:$BQ$113)*(('C19RM 2021-Lab &amp; Other HPS'!$AF$14:$AF$113)))),0)))),0)))</f>
        <v>0</v>
      </c>
      <c r="AC19" s="359" cm="1">
        <f t="array" ref="AC19">IF((INDEX(SETUP!$F$19:$F$503,(MATCH(1,(SETUP!$B$19:$B$503=B19)*(SETUP!$D$19:$D$503=D19),0))))="Upfront",
(SUMPRODUCT(('C19RM 2021-Lab &amp; Other HPS'!$A$14:$D$113=E19)*('C19RM 2021-Lab &amp; Other HPS'!$BH$14:$BH$113=BJ19)*('C19RM 2021-Lab &amp; Other HPS'!$BQ$14:$BQ$113)*(('C19RM 2021-Lab &amp; Other HPS'!$AH$14:$AH$113)))),
(IF((INDEX(SETUP!$F$19:$F$503,(MATCH(1,(SETUP!$B$19:$B$503=B19)*(SETUP!$D$19:$D$503=D19),0))))="At delivery",
IF((INDEX(SETUP!$G$19:$G$503,(MATCH(1,(SETUP!$B$19:$B$503=B19)*(SETUP!$D$19:$D$503=D19),0))))=4,
(SUMPRODUCT(('C19RM 2021-Lab &amp; Other HPS'!$A$14:$D$113=E19)*('C19RM 2021-Lab &amp; Other HPS'!$BH$14:$BH$113=BJ19)*('C19RM 2021-Lab &amp; Other HPS'!$BP$14:$BP$113)*(('C19RM 2021-Lab &amp; Other HPS'!$AA$14:$AA$113)))),IF((INDEX(SETUP!$G$19:$G$503,(MATCH(1,(SETUP!$B$19:$B$503=B19)*(SETUP!$D$19:$D$503=D19),0))))=3,(SUMPRODUCT(('C19RM 2021-Lab &amp; Other HPS'!$A$14:$D$113=E19)*('C19RM 2021-Lab &amp; Other HPS'!$BH$14:$BH$113=BJ19)*('C19RM 2021-Lab &amp; Other HPS'!$BQ$14:$BQ$113)*(('C19RM 2021-Lab &amp; Other HPS'!$AE$14:$AE$113)))),IF((INDEX(SETUP!$G$19:$G$503,(MATCH(1,(SETUP!$B$19:$B$503=B19)*(SETUP!$D$19:$D$503=D19),0))))=2,(SUMPRODUCT(('C19RM 2021-Lab &amp; Other HPS'!$A$14:$D$113=E19)*('C19RM 2021-Lab &amp; Other HPS'!$BH$14:$BH$113=BJ19)*('C19RM 2021-Lab &amp; Other HPS'!$BQ$14:$BQ$113)*(('C19RM 2021-Lab &amp; Other HPS'!$AF$14:$AF$113)))),IF((INDEX(SETUP!$G$19:$G$503,(MATCH(1,(SETUP!$B$19:$B$503=B19)*(SETUP!$D$19:$D$503=D19),0))))=1,(SUMPRODUCT(('C19RM 2021-Lab &amp; Other HPS'!$A$14:$D$113=E19)*('C19RM 2021-Lab &amp; Other HPS'!$BH$14:$BH$113=BJ19)*('C19RM 2021-Lab &amp; Other HPS'!$BQ$14:$BQ$113)*(('C19RM 2021-Lab &amp; Other HPS'!$AG$14:$AG$113)))),0)))),0)))</f>
        <v>0</v>
      </c>
      <c r="AD19" s="359" cm="1">
        <f t="array" ref="AD19">IF((INDEX(SETUP!$F$19:$F$503,(MATCH(1,(SETUP!$B$19:$B$503=B19)*(SETUP!$D$19:$D$503=D19),0))))="Upfront",
(SUMPRODUCT(('C19RM 2021-Lab &amp; Other HPS'!$A$14:$D$113=E19)*('C19RM 2021-Lab &amp; Other HPS'!$BH$14:$BH$113=BJ19)*('C19RM 2021-Lab &amp; Other HPS'!$BR$14:$BR$113)*(('C19RM 2021-Lab &amp; Other HPS'!$AL$14:$AL$113)))),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HPS'!$AE$14:$AE$113)))),IF((INDEX(SETUP!$G$19:$G$503,(MATCH(1,(SETUP!$B$19:$B$503=B19)*(SETUP!$D$19:$D$503=D19),0))))=3,((SUMPRODUCT(('C19RM 2021-Lab &amp; Other HPS'!$A$14:$D$113=E19)*('C19RM 2021-Lab &amp; Other HPS'!$BH$14:$BH$113=BJ19)*('C19RM 2021-Lab &amp; Other HPS'!$BQ$14:$BQ$113)*(('C19RM 2021-Lab &amp; Other HPS'!$AF$14:$AF$113))))),IF((INDEX(SETUP!$G$19:$G$503,(MATCH(1,(SETUP!$B$19:$B$503=B19)*(SETUP!$D$19:$D$503=D19),0))))=2,(SUMPRODUCT(('C19RM 2021-Lab &amp; Other HPS'!$A$14:$D$113=E19)*('C19RM 2021-Lab &amp; Other HPS'!$BH$14:$BH$113=BJ19)*('C19RM 2021-Lab &amp; Other HPS'!$BQ$14:$BQ$113)*(('C19RM 2021-Lab &amp; Other HPS'!$AG$14:$AG$113)))),IF((INDEX(SETUP!$G$19:$G$503,(MATCH(1,(SETUP!$B$19:$B$503=B19)*(SETUP!$D$19:$D$503=D19),0))))=1,(SUMPRODUCT(('C19RM 2021-Lab &amp; Other HPS'!$A$14:$D$113=E19)*('C19RM 2021-Lab &amp; Other HPS'!$BH$14:$BH$113=BJ19)*('C19RM 2021-Lab &amp; Other HPS'!$BQ$14:$BQ$113)*(('C19RM 2021-Lab &amp; Other HPS'!$AH$14:$AH$113)))),0)))),0)))</f>
        <v>0</v>
      </c>
      <c r="AE19" s="359" cm="1">
        <f t="array" ref="AE19">IF((INDEX(SETUP!$F$19:$F$503,(MATCH(1,(SETUP!$B$19:$B$503=B19)*(SETUP!$D$19:$D$503=D19),0))))="Upfront",
(SUMPRODUCT(('C19RM 2021-Lab &amp; Other HPS'!$A$14:$D$113=E19)*('C19RM 2021-Lab &amp; Other HPS'!$BH$14:$BH$113=BJ19)*('C19RM 2021-Lab &amp; Other HPS'!$BR$14:$BR$113)*(('C19RM 2021-Lab &amp; Other HPS'!$AM$14:$AM$113)))),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HPS'!$AF$14:$AF$113)))),IF((INDEX(SETUP!$G$19:$G$503,(MATCH(1,(SETUP!$B$19:$B$503=B19)*(SETUP!$D$19:$D$503=D19),0))))=3,(SUMPRODUCT(('C19RM 2021-Lab &amp; Other HPS'!$A$14:$D$113=E19)*('C19RM 2021-Lab &amp; Other HPS'!$BH$14:$BH$113=BJ19)*('C19RM 2021-Lab &amp; Other HPS'!$BQ$14:$BQ$113)*(('C19RM 2021-Lab &amp; Other HPS'!$AG$14:$AG$113)))),IF((INDEX(SETUP!$G$19:$G$503,(MATCH(1,(SETUP!$B$19:$B$503=B19)*(SETUP!$D$19:$D$503=D19),0))))=2,(SUMPRODUCT(('C19RM 2021-Lab &amp; Other HPS'!$A$14:$D$113=E19)*('C19RM 2021-Lab &amp; Other HPS'!$BH$14:$BH$113=BJ19)*('C19RM 2021-Lab &amp; Other HPS'!$BQ$14:$BQ$113)*(('C19RM 2021-Lab &amp; Other HPS'!$AH$14:$AH$113)))),IF((INDEX(SETUP!$G$19:$G$503,(MATCH(1,(SETUP!$B$19:$B$503=B19)*(SETUP!$D$19:$D$503=D19),0))))=1,(SUMPRODUCT(('C19RM 2021-Lab &amp; Other HPS'!$A$14:$D$113=E19)*('C19RM 2021-Lab &amp; Other HPS'!$BH$14:$BH$113=BJ19)*('C19RM 2021-Lab &amp; Other HPS'!$BR$14:$BR$113)*(('C19RM 2021-Lab &amp; Other HPS'!$AL$14:$AL$113)))),0)))),0)))</f>
        <v>0</v>
      </c>
      <c r="AF19" s="359" cm="1">
        <f t="array" ref="AF19">IF((INDEX(SETUP!$F$19:$F$503,(MATCH(1,(SETUP!$B$19:$B$503=B19)*(SETUP!$D$19:$D$503=D19),0))))="Upfront",
(SUMPRODUCT(('C19RM 2021-Lab &amp; Other HPS'!$A$14:$D$113=E19)*('C19RM 2021-Lab &amp; Other HPS'!$BH$14:$BH$113=BJ19)*('C19RM 2021-Lab &amp; Other HPS'!$BR$14:$BR$113)*(('C19RM 2021-Lab &amp; Other HPS'!$AN$14:$AN$113)))),
(IF((INDEX(SETUP!$F$19:$F$503,(MATCH(1,(SETUP!$B$19:$B$503=B19)*(SETUP!$D$19:$D$503=D19),0))))="At delivery",
IF((INDEX(SETUP!$G$19:$G$503,(MATCH(1,(SETUP!$B$19:$B$503=B19)*(SETUP!$D$19:$D$503=D19),0))))=4,
(SUMPRODUCT(('C19RM 2021-Lab &amp; Other HPS'!$A$14:$D$113=E19)*('C19RM 2021-Lab &amp; Other HPS'!$BH$14:$BH$113=BJ19)*('C19RM 2021-Lab &amp; Other HPS'!$BQ$14:$BQ$113)*(('C19RM 2021-Lab &amp; Other HPS'!$AG$14:$AG$113)))),IF((INDEX(SETUP!$G$19:$G$503,(MATCH(1,(SETUP!$B$19:$B$503=B19)*(SETUP!$D$19:$D$503=D19),0))))=3,(SUMPRODUCT(('C19RM 2021-Lab &amp; Other HPS'!$A$14:$D$113=E19)*('C19RM 2021-Lab &amp; Other HPS'!$BH$14:$BH$113=BJ19)*('C19RM 2021-Lab &amp; Other HPS'!$BQ$14:$BQ$113)*(('C19RM 2021-Lab &amp; Other HPS'!$AH$14:$AH$113)))),IF((INDEX(SETUP!$G$19:$G$503,(MATCH(1,(SETUP!$B$19:$B$503=B19)*(SETUP!$D$19:$D$503=D19),0))))=2,(SUMPRODUCT(('C19RM 2021-Lab &amp; Other HPS'!$A$14:$D$113=E19)*('C19RM 2021-Lab &amp; Other HPS'!$BH$14:$BH$113=BJ19)*('C19RM 2021-Lab &amp; Other HPS'!$BR$14:$BR$113)*(('C19RM 2021-Lab &amp; Other HPS'!$AL$14:$AL$113)))),IF((INDEX(SETUP!$G$19:$G$503,(MATCH(1,(SETUP!$B$19:$B$503=B19)*(SETUP!$D$19:$D$503=D19),0))))=1,(SUMPRODUCT(('C19RM 2021-Lab &amp; Other HPS'!$A$14:$D$113=E19)*('C19RM 2021-Lab &amp; Other HPS'!$BH$14:$BH$113=BJ19)*('C19RM 2021-Lab &amp; Other HPS'!$BR$14:$BR$113)*(('C19RM 2021-Lab &amp; Other HPS'!$AM$14:$AM$113)))),0)))),0)))</f>
        <v>0</v>
      </c>
      <c r="AG19" s="359" cm="1">
        <f t="array" ref="AG19">IF((INDEX(SETUP!$F$19:$F$503,(MATCH(1,(SETUP!$B$19:$B$503=B19)*(SETUP!$D$19:$D$503=D19),0))))="Upfront",(SUMPRODUCT(('C19RM 2021-Lab &amp; Other HPS'!$A$14:$D$113=E19)*('C19RM 2021-Lab &amp; Other HPS'!$BH$14:$BH$113=BJ19)*('C19RM 2021-Lab &amp; Other HPS'!$BR$14:$BR$113)*(('C19RM 2021-Lab &amp; Other HPS'!$AO$14:$AO$113)))),(IF((INDEX(SETUP!$F$19:$F$503,(MATCH(1,(SETUP!$B$19:$B$503=B19)*(SETUP!$D$19:$D$503=D19),0))))="At delivery",IF((INDEX(SETUP!$G$19:$G$503,(MATCH(1,(SETUP!$B$19:$B$503=B19)*(SETUP!$D$19:$D$503=D19),0))))=4,(SUMPRODUCT(('C19RM 2021-Lab &amp; Other HPS'!$A$14:$D$113=E19)*('C19RM 2021-Lab &amp; Other HPS'!$BH$14:$BH$113=BJ19)*('C19RM 2021-Lab &amp; Other HPS'!$BQ$14:$BQ$113)*(('C19RM 2021-Lab &amp; Other HPS'!$AH$14:$AH$113)))),IF((INDEX(SETUP!$G$19:$G$503,(MATCH(1,(SETUP!$B$19:$B$503=B19)*(SETUP!$D$19:$D$503=D19),0))))=3,(SUMPRODUCT(('C19RM 2021-Lab &amp; Other HPS'!$A$14:$D$113=E19)*('C19RM 2021-Lab &amp; Other HPS'!$BH$14:$BH$113=BJ19)*('C19RM 2021-Lab &amp; Other HPS'!$BR$14:$BR$113)*(('C19RM 2021-Lab &amp; Other HPS'!$AL$14:$AL$113)))),IF((INDEX(SETUP!$G$19:$G$503,(MATCH(1,(SETUP!$B$19:$B$503=B19)*(SETUP!$D$19:$D$503=D19),0))))=2,(SUMPRODUCT(('C19RM 2021-Lab &amp; Other HPS'!$A$14:$D$113=E19)*('C19RM 2021-Lab &amp; Other HPS'!$BH$14:$BH$113=BJ19)*('C19RM 2021-Lab &amp; Other HPS'!$BR$14:$BR$113)*(('C19RM 2021-Lab &amp; Other HPS'!$AM$14:$AM$113)))),IF((INDEX(SETUP!$G$19:$G$503,(MATCH(1,(SETUP!$B$19:$B$503=B19)*(SETUP!$D$19:$D$503=D19),0))))=1,(SUMPRODUCT(('C19RM 2021-Lab &amp; Other HPS'!$A$14:$D$113=E19)*('C19RM 2021-Lab &amp; Other HPS'!$BH$14:$BH$113=BJ19)*('C19RM 2021-Lab &amp; Other HPS'!$BR$14:$BR$113)*(('C19RM 2021-Lab &amp; Other HPS'!$AN$14:$AN$113)))),0)))),0)))</f>
        <v>0</v>
      </c>
      <c r="AH19" s="359" cm="1">
        <f t="array" ref="AH19">IF((INDEX(SETUP!$F$19:$F$503,(MATCH(1,(SETUP!$B$19:$B$503=B19)*(SETUP!$D$19:$D$503=D19),0))))="Upfront",
(SUMPRODUCT(('C19RM 2021-Lab &amp; Other HPS'!$A$14:$D$113=E19)*('C19RM 2021-Lab &amp; Other HPS'!$BH$14:$BH$113=BJ19)*('C19RM 2021-Lab &amp; Other HPS'!$BH$14:$BH$113=BJ19)*('C19RM 2021-Lab &amp; Other HPS'!$BS$14:$BS$113)*(('C19RM 2021-Lab &amp; Other HPS'!$AS$14:$AS$113)))),
(IF((INDEX(SETUP!$F$19:$F$503,(MATCH(1,(SETUP!$B$19:$B$503=B19)*(SETUP!$D$19:$D$503=D19),0))))="At delivery",
IF((INDEX(SETUP!$G$19:$G$503,(MATCH(1,(SETUP!$B$19:$B$503=B19)*(SETUP!$D$19:$D$503=D19),0))))=4,
(SUMPRODUCT(('C19RM 2021-Lab &amp; Other HPS'!$A$14:$D$113=E19)*('C19RM 2021-Lab &amp; Other HPS'!$BH$14:$BH$113=BJ19)*('C19RM 2021-Lab &amp; Other HPS'!$BH$14:$BH$113=BJ19)*('C19RM 2021-Lab &amp; Other HPS'!$BR$14:$BR$113)*(('C19RM 2021-Lab &amp; Other HPS'!$AL$14:$AL$113)))),IF((INDEX(SETUP!$G$19:$G$503,(MATCH(1,(SETUP!$B$19:$B$503=B19)*(SETUP!$D$19:$D$503=D19),0))))=3,((SUMPRODUCT(('C19RM 2021-Lab &amp; Other HPS'!$A$14:$D$113=E19)*('C19RM 2021-Lab &amp; Other HPS'!$BH$14:$BH$113=BJ19)*('C19RM 2021-Lab &amp; Other HPS'!$BH$14:$BH$113=BJ19)*('C19RM 2021-Lab &amp; Other HPS'!$BR$14:$BR$113)*(('C19RM 2021-Lab &amp; Other HPS'!$AM$14:$AM$113))))),IF((INDEX(SETUP!$G$19:$G$503,(MATCH(1,(SETUP!$B$19:$B$503=B19)*(SETUP!$D$19:$D$503=D19),0))))=2,(SUMPRODUCT(('C19RM 2021-Lab &amp; Other HPS'!$A$14:$D$113=E19)*('C19RM 2021-Lab &amp; Other HPS'!$BH$14:$BH$113=BJ19)*('C19RM 2021-Lab &amp; Other HPS'!$BR$14:$BR$113)*(('C19RM 2021-Lab &amp; Other HPS'!$AN$14:$AN$113)))),IF((INDEX(SETUP!$G$19:$G$503,(MATCH(1,(SETUP!$B$19:$B$503=B19)*(SETUP!$D$19:$D$503=D19),0))))=1,(SUMPRODUCT(('C19RM 2021-Lab &amp; Other HPS'!$A$14:$D$113=E19)*('C19RM 2021-Lab &amp; Other HPS'!$BH$14:$BH$113=BJ19)*('C19RM 2021-Lab &amp; Other HPS'!$BR$14:$BR$113)*(('C19RM 2021-Lab &amp; Other HPS'!$AO$14:$AO$113)))),0)))),0)))</f>
        <v>0</v>
      </c>
      <c r="AI19" s="359" cm="1">
        <f t="array" ref="AI19">IF((INDEX(SETUP!$F$19:$F$503,(MATCH(1,(SETUP!$B$19:$B$503=B19)*(SETUP!$D$19:$D$503=D19),0))))="Upfront",
(SUMPRODUCT(('C19RM 2021-Lab &amp; Other HPS'!$A$14:$D$113=E19)*('C19RM 2021-Lab &amp; Other HPS'!$BH$14:$BH$113=BJ19)*('C19RM 2021-Lab &amp; Other HPS'!$BS$14:$BS$113)*(('C19RM 2021-Lab &amp; Other HPS'!$AT$14:$AT$113)))),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HPS'!$AM$14:$AM$113)))),IF((INDEX(SETUP!$G$19:$G$503,(MATCH(1,(SETUP!$B$19:$B$503=B19)*(SETUP!$D$19:$D$503=D19),0))))=3,((SUMPRODUCT(('C19RM 2021-Lab &amp; Other HPS'!$A$14:$D$113=E19)*('C19RM 2021-Lab &amp; Other HPS'!$BH$14:$BH$113=BJ19)*('C19RM 2021-Lab &amp; Other HPS'!$BR$14:$BR$113)*(('C19RM 2021-Lab &amp; Other HPS'!$AN$14:$AN$113))))),IF((INDEX(SETUP!$G$19:$G$503,(MATCH(1,(SETUP!$B$19:$B$503=B19)*(SETUP!$D$19:$D$503=D19),0))))=2,(SUMPRODUCT(('C19RM 2021-Lab &amp; Other HPS'!$A$14:$D$113=E19)*('C19RM 2021-Lab &amp; Other HPS'!$BH$14:$BH$113=BJ19)*('C19RM 2021-Lab &amp; Other HPS'!$BR$14:$BR$113)*(('C19RM 2021-Lab &amp; Other HPS'!$AO$14:$AO$113)))),IF((INDEX(SETUP!$G$19:$G$503,(MATCH(1,(SETUP!$B$19:$B$503=B19)*(SETUP!$D$19:$D$503=D19),0))))=1,(SUMPRODUCT(('C19RM 2021-Lab &amp; Other HPS'!$A$14:$D$113=E19)*('C19RM 2021-Lab &amp; Other HPS'!$BH$14:$BH$113=BJ19)*('C19RM 2021-Lab &amp; Other HPS'!$BS$14:$BS$113)*(('C19RM 2021-Lab &amp; Other HPS'!$AS$14:$AS$113)))),0)))),0)))</f>
        <v>0</v>
      </c>
      <c r="AJ19" s="359" cm="1">
        <f t="array" ref="AJ19">IF((INDEX(SETUP!$F$19:$F$503,(MATCH(1,(SETUP!$B$19:$B$503=B19)*(SETUP!$D$19:$D$503=D19),0))))="Upfront",
(SUMPRODUCT(('C19RM 2021-Lab &amp; Other HPS'!$A$14:$D$113=E19)*('C19RM 2021-Lab &amp; Other HPS'!$BH$14:$BH$113=BJ19)*('C19RM 2021-Lab &amp; Other HPS'!$BS$14:$BS$113)*(('C19RM 2021-Lab &amp; Other HPS'!$AU$14:$AU$113)))),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HPS'!$AN$14:$AN$113)))),IF((INDEX(SETUP!$G$19:$G$503,(MATCH(1,(SETUP!$B$19:$B$503=B19)*(SETUP!$D$19:$D$503=D19),0))))=3,((SUMPRODUCT(('C19RM 2021-Lab &amp; Other HPS'!$A$14:$D$113=E19)*('C19RM 2021-Lab &amp; Other HPS'!$BH$14:$BH$113=BJ19)*('C19RM 2021-Lab &amp; Other HPS'!$BR$14:$BR$113)*(('C19RM 2021-Lab &amp; Other HPS'!$AO$14:$AO$113))))),IF((INDEX(SETUP!$G$19:$G$503,(MATCH(1,(SETUP!$B$19:$B$503=B19)*(SETUP!$D$19:$D$503=D19),0))))=2,(SUMPRODUCT(('C19RM 2021-Lab &amp; Other HPS'!$A$14:$D$113=E19)*('C19RM 2021-Lab &amp; Other HPS'!$BH$14:$BH$113=BJ19)*('C19RM 2021-Lab &amp; Other HPS'!$BS$14:$BS$113)*(('C19RM 2021-Lab &amp; Other HPS'!$AS$14:$AS$113)))),IF((INDEX(SETUP!$G$19:$G$503,(MATCH(1,(SETUP!$B$19:$B$503=B19)*(SETUP!$D$19:$D$503=D19),0))))=1,(SUMPRODUCT(('C19RM 2021-Lab &amp; Other HPS'!$A$14:$D$113=E19)*('C19RM 2021-Lab &amp; Other HPS'!$BH$14:$BH$113=BJ19)*('C19RM 2021-Lab &amp; Other HPS'!$BS$14:$BS$113)*(('C19RM 2021-Lab &amp; Other HPS'!$AT$14:$AT$113)))),0)))),0)))</f>
        <v>0</v>
      </c>
      <c r="AK19" s="359" cm="1">
        <f t="array" ref="AK19">IF((INDEX(SETUP!$F$19:$F$503,(MATCH(1,(SETUP!$B$19:$B$503=B19)*(SETUP!$D$19:$D$503=D19),0))))="Upfront",
(SUMPRODUCT(('C19RM 2021-Lab &amp; Other HPS'!$A$14:$D$113=E19)*('C19RM 2021-Lab &amp; Other HPS'!$BH$14:$BH$113=BJ19)*('C19RM 2021-Lab &amp; Other HPS'!$BS$14:$BS$113)*(('C19RM 2021-Lab &amp; Other HPS'!$AV$14:$AV$113)))),
(IF((INDEX(SETUP!$F$19:$F$503,(MATCH(1,(SETUP!$B$19:$B$503=B19)*(SETUP!$D$19:$D$503=D19),0))))="At delivery",
IF((INDEX(SETUP!$G$19:$G$503,(MATCH(1,(SETUP!$B$19:$B$503=B19)*(SETUP!$D$19:$D$503=D19),0))))=4,
(SUMPRODUCT(('C19RM 2021-Lab &amp; Other HPS'!$A$14:$D$113=E19)*('C19RM 2021-Lab &amp; Other HPS'!$BH$14:$BH$113=BJ19)*('C19RM 2021-Lab &amp; Other HPS'!$BR$14:$BR$113)*(('C19RM 2021-Lab &amp; Other HPS'!$AO$14:$AO$113)))),IF((INDEX(SETUP!$G$19:$G$503,(MATCH(1,(SETUP!$B$19:$B$503=B19)*(SETUP!$D$19:$D$503=D19),0))))=3,((SUMPRODUCT(('C19RM 2021-Lab &amp; Other HPS'!$A$14:$D$113=E19)*('C19RM 2021-Lab &amp; Other HPS'!$BH$14:$BH$113=BJ19)*('C19RM 2021-Lab &amp; Other HPS'!$BS$14:$BS$113)*(('C19RM 2021-Lab &amp; Other HPS'!$AS$14:$AS$113))))),IF((INDEX(SETUP!$G$19:$G$503,(MATCH(1,(SETUP!$B$19:$B$503=B19)*(SETUP!$D$19:$D$503=D19),0))))=2,(SUMPRODUCT(('C19RM 2021-Lab &amp; Other HPS'!$A$14:$D$113=E19)*('C19RM 2021-Lab &amp; Other HPS'!$BH$14:$BH$113=BJ19)*('C19RM 2021-Lab &amp; Other HPS'!$BS$14:$BS$113)*(('C19RM 2021-Lab &amp; Other HPS'!$AT$14:$AT$113)))),IF((INDEX(SETUP!$G$19:$G$503,(MATCH(1,(SETUP!$B$19:$B$503=B19)*(SETUP!$D$19:$D$503=D19),0))))=1,(SUMPRODUCT(('C19RM 2021-Lab &amp; Other HPS'!$A$14:$D$113=E19)*('C19RM 2021-Lab &amp; Other HPS'!$BH$14:$BH$113=BJ19)*('C19RM 2021-Lab &amp; Other HPS'!$BS$14:$BS$113)*(('C19RM 2021-Lab &amp; Other HPS'!$AU$14:$AU$113)))),0)))),0)))</f>
        <v>0</v>
      </c>
      <c r="AL19" s="359" cm="1">
        <f t="array" ref="AL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HPS'!$AS$14:$AS$113)))),IF((INDEX(SETUP!$G$19:$G$503,(MATCH(1,(SETUP!$B$19:$B$503=B19)*(SETUP!$D$19:$D$503=D19),0))))=3,(SUMPRODUCT(('C19RM 2021-Lab &amp; Other HPS'!$A$14:$D$113=E19)*('C19RM 2021-Lab &amp; Other HPS'!$BH$14:$BH$113=BJ19)*('C19RM 2021-Lab &amp; Other HPS'!$BS$14:$BS$113)*(('C19RM 2021-Lab &amp; Other HPS'!$AT$14:$AT$113)))),IF((INDEX(SETUP!$G$19:$G$503,(MATCH(1,(SETUP!$B$19:$B$503=B19)*(SETUP!$D$19:$D$503=D19),0))))=2,(SUMPRODUCT(('C19RM 2021-Lab &amp; Other HPS'!$A$14:$D$113=E19)*('C19RM 2021-Lab &amp; Other HPS'!$BH$14:$BH$113=BJ19)*('C19RM 2021-Lab &amp; Other HPS'!$BS$14:$BS$113)*(('C19RM 2021-Lab &amp; Other HPS'!$AU$14:$AU$113)))),
IF((INDEX(SETUP!$G$19:$G$503,(MATCH(1,(SETUP!$B$19:$B$503=B19)*(SETUP!$D$19:$D$503=D19),0))))=1,
(SUMPRODUCT(('C19RM 2021-Lab &amp; Other HPS'!$A$14:$D$113=E19)*('C19RM 2021-Lab &amp; Other HPS'!$BH$14:$BH$113=BJ19)*('C19RM 2021-Lab &amp; Other HPS'!$BS$14:$BS$113)*(('C19RM 2021-Lab &amp; Other HPS'!$AV$14:$AV$113)))),0)))),0)))</f>
        <v>0</v>
      </c>
      <c r="AM19" s="359" cm="1">
        <f t="array" ref="AM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HPS'!$AT$14:$AT$113)))),IF((INDEX(SETUP!$G$19:$G$503,(MATCH(1,(SETUP!$B$19:$B$503=B19)*(SETUP!$D$19:$D$503=D19),0))))=3,(SUMPRODUCT(('C19RM 2021-Lab &amp; Other HPS'!$A$14:$D$113=E19)*('C19RM 2021-Lab &amp; Other HPS'!$BH$14:$BH$113=BJ19)*('C19RM 2021-Lab &amp; Other HPS'!$BS$14:$BS$113)*(('C19RM 2021-Lab &amp; Other HPS'!$AU$14:$AU$113)))),IF((INDEX(SETUP!$G$19:$G$503,(MATCH(1,(SETUP!$B$19:$B$503=B19)*(SETUP!$D$19:$D$503=D19),0))))=2,(SUMPRODUCT(('C19RM 2021-Lab &amp; Other HPS'!$A$14:$D$113=E19)*('C19RM 2021-Lab &amp; Other HPS'!$BH$14:$BH$113=BJ19)*('C19RM 2021-Lab &amp; Other HPS'!$BS$14:$BS$113)*(('C19RM 2021-Lab &amp; Other HPS'!$AV$14:$AV$113)))),IF((INDEX(SETUP!$G$19:$G$503,(MATCH(1,(SETUP!$B$19:$B$503=B19)*(SETUP!$D$19:$D$503=D19),0))))=1,(0),0)))),0)))</f>
        <v>0</v>
      </c>
      <c r="AN19" s="359" cm="1">
        <f t="array" ref="AN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HPS'!$AU$14:$AU$113)))),IF((INDEX(SETUP!$G$19:$G$503,(MATCH(1,(SETUP!$B$19:$B$503=B19)*(SETUP!$D$19:$D$503=D19),0))))=3,(SUMPRODUCT(('C19RM 2021-Lab &amp; Other HPS'!$A$14:$D$113=E19)*('C19RM 2021-Lab &amp; Other HPS'!$BH$14:$BH$113=BJ19)*('C19RM 2021-Lab &amp; Other HPS'!$BS$14:$BS$113)*(('C19RM 2021-Lab &amp; Other HPS'!$AV$14:$AV$113)))),IF((INDEX(SETUP!$G$19:$G$503,(MATCH(1,(SETUP!$B$19:$B$503=B19)*(SETUP!$D$19:$D$503=D19),0))))=2,(0),IF((INDEX(SETUP!$G$19:$G$503,(MATCH(1,(SETUP!$B$19:$B$503=B19)*(SETUP!$D$19:$D$503=D19),0))))=1,(0),0)))),0)))</f>
        <v>0</v>
      </c>
      <c r="AO19" s="359" cm="1">
        <f t="array" ref="AO19">IF((INDEX(SETUP!$F$19:$F$503,(MATCH(1,(SETUP!$B$19:$B$503=B19)*(SETUP!$D$19:$D$503=D19),0))))="Upfront",0,(IF((INDEX(SETUP!$F$19:$F$503,(MATCH(1,(SETUP!$B$19:$B$503=B19)*(SETUP!$D$19:$D$503=D19),0))))="At delivery",IF((INDEX(SETUP!$G$19:$G$503,(MATCH(1,(SETUP!$B$19:$B$503=B19)*(SETUP!$D$19:$D$503=D19),0))))=4,(SUMPRODUCT(('C19RM 2021-Lab &amp; Other HPS'!$A$14:$D$113=E19)*('C19RM 2021-Lab &amp; Other HPS'!$BH$14:$BH$113=BJ19)*('C19RM 2021-Lab &amp; Other HPS'!$BS$14:$BS$113)*(('C19RM 2021-Lab &amp; Other HPS'!$AV$14:$AV$113)))),IF((INDEX(SETUP!$G$19:$G$503,(MATCH(1,(SETUP!$B$19:$B$503=B19)*(SETUP!$D$19:$D$503=D19),0))))=3,(0),IF((INDEX(SETUP!$G$19:$G$503,(MATCH(1,(SETUP!$B$19:$B$503=B19)*(SETUP!$D$19:$D$503=D19),0))))=2,(0),IF((INDEX(SETUP!$G$19:$G$503,(MATCH(1,(SETUP!$B$19:$B$503=B19)*(SETUP!$D$19:$D$503=D19),0))))=1,(0),0)))),0)))</f>
        <v>0</v>
      </c>
      <c r="AP19" s="359"/>
      <c r="AQ19" s="359"/>
      <c r="AR19" s="359"/>
      <c r="AS19" s="359"/>
      <c r="AT19" s="942" cm="1">
        <f t="array" ref="AT19">IF(BG19&gt;=1,0,IFERROR(SUMPRODUCT(($R$2:$AO$2=$AT$4)*($E$5:$E$100=E19)*($BC$5:$BC$100=BC19)*($R$5:$AO$100)),0))</f>
        <v>0</v>
      </c>
      <c r="AU19" s="359" cm="1">
        <f t="array" ref="AU19">IF(BG19&gt;=1,0,IFERROR(SUMPRODUCT(($R$2:$AO$2=$AU$4)*($E$5:$E$100=E19)*($BC$5:$BC$100=BC19)*($R$5:$AO$100)),0))</f>
        <v>0</v>
      </c>
      <c r="AV19" s="359" cm="1">
        <f t="array" ref="AV19">IF(BG19&gt;=1,0,IFERROR(SUMPRODUCT(($R$2:$AO$2=$AV$4)*($E$5:$E$100=E19)*($BC$5:$BC$100=BC19)*($R$5:$AO$100)),0))</f>
        <v>0</v>
      </c>
      <c r="AW19" s="359" cm="1">
        <f t="array" ref="AW19">IF(BG19&gt;=1,0,IFERROR(SUMPRODUCT(($R$2:$AO$2=$AW$4)*($E$5:$E$100=E19)*($BC$5:$BC$100=BC19)*($R$5:$AO$100)),0))</f>
        <v>0</v>
      </c>
      <c r="AX19" s="359" cm="1">
        <f t="array" ref="AX19">IF(BG19&gt;=1,0,IFERROR(SUMPRODUCT(($R$2:$AO$2=$AX$4)*($E$5:$E$100=E19)*($BC$5:$BC$100=BC19)*($R$5:$AO$100)),0))</f>
        <v>0</v>
      </c>
      <c r="AY19" s="359">
        <f t="shared" si="5"/>
        <v>0</v>
      </c>
      <c r="AZ19" s="359"/>
      <c r="BA19" s="233">
        <f t="shared" si="6"/>
        <v>0</v>
      </c>
      <c r="BB19" s="220" t="s">
        <v>83</v>
      </c>
      <c r="BC19" t="s">
        <v>181</v>
      </c>
      <c r="BD19" cm="1">
        <f t="array" ref="BD19">(SUMPRODUCT(('C19RM 2021-Lab &amp; Other HPS'!$A$14:$D$650=E19)*('C19RM 2021-Lab &amp; Other HPS'!$BU$14:$BU$650)))</f>
        <v>0</v>
      </c>
      <c r="BE19" cm="1">
        <f t="array" ref="BE19">(SUMPRODUCT((SETUP!$D$20:$D$67=D19)*(SETUP!$R$20:$R$67)))</f>
        <v>0</v>
      </c>
      <c r="BF19" cm="1">
        <f t="array" ref="BF19">(SUMPRODUCT(('C19RM 2021-Lab &amp; Other HPS'!$A$14:$D$650=E19)*('C19RM 2021-Lab &amp; Other HPS'!$BV$14:$BV$650)))</f>
        <v>0</v>
      </c>
      <c r="BG19">
        <f t="shared" si="24"/>
        <v>0</v>
      </c>
      <c r="BJ19" s="235">
        <v>5.8</v>
      </c>
    </row>
    <row r="20" spans="1:62" x14ac:dyDescent="0.35">
      <c r="A20" s="235">
        <v>2</v>
      </c>
      <c r="B20" s="220" t="s">
        <v>2750</v>
      </c>
      <c r="C20" s="235" t="s">
        <v>3193</v>
      </c>
      <c r="D20" s="235" t="s">
        <v>17</v>
      </c>
      <c r="E20" s="235" t="s">
        <v>2758</v>
      </c>
      <c r="F20" s="220">
        <f>SETUP!$E$3</f>
        <v>0</v>
      </c>
      <c r="G20" s="220" t="str">
        <f ca="1">SETUP!$J$5</f>
        <v>NA</v>
      </c>
      <c r="H20" s="220" t="str">
        <f>SETUP!$E$9</f>
        <v>C19RM</v>
      </c>
      <c r="I20" s="232">
        <f t="shared" si="22"/>
        <v>44197</v>
      </c>
      <c r="J20" s="232">
        <f>SETUP!$L$14</f>
        <v>46022</v>
      </c>
      <c r="K20" s="220">
        <f>IFERROR(VLOOKUP(E20,'Master Data-C19RM'!$A$5:$B$35,2,0),0)</f>
        <v>0</v>
      </c>
      <c r="L20">
        <f t="shared" si="23"/>
        <v>0</v>
      </c>
      <c r="M20">
        <f>SETUP!$E$7</f>
        <v>0</v>
      </c>
      <c r="N20">
        <f>SETUP!$F$76</f>
        <v>6.1</v>
      </c>
      <c r="O20" t="str" cm="1">
        <f t="array" ref="O20">INDEX(SETUP!$E$19:$E$503,(MATCH(1,(SETUP!$B$19:$B$503=B20)*(SETUP!$D$19:$D$503=D20),0)))</f>
        <v>PR/SR</v>
      </c>
      <c r="P20" t="str" cm="1">
        <f t="array" ref="P20">INDEX(SETUP!$F$19:$F$503,(MATCH(1,(SETUP!$B$19:$B$503=B20)*(SETUP!$D$19:$D$503=D20),0)))</f>
        <v>At delivery</v>
      </c>
      <c r="Q20" cm="1">
        <f t="array" ref="Q20">INDEX(SETUP!$G$19:$G$503,(MATCH(1,(SETUP!$B$19:$B$503=B20)*(SETUP!$D$19:$D$503=D20),0)))</f>
        <v>1</v>
      </c>
      <c r="R20" s="359" cm="1">
        <f t="array" ref="R20">IF((INDEX(SETUP!$F$19:$F$503,(MATCH(1,(SETUP!$B$19:$B$503=B20)*(SETUP!$D$19:$D$503=D20),0))))="Upfront",(SUMPRODUCT(('C19RM 2021-Lab &amp; Other HPS'!$A$121:$D$220=E20)*('C19RM 2021-Lab &amp; Other HPS'!$BH$121:$BH$220=BJ20)*('C19RM 2021-Lab &amp; Other HPS'!$BO$121:$BO$220)*(('C19RM 2021-Lab &amp; Other HPS'!$Q$121:$Q$220)))),0)</f>
        <v>0</v>
      </c>
      <c r="S20" s="359" cm="1">
        <f t="array" ref="S20">IF((INDEX(SETUP!$F$19:$F$503,(MATCH(1,(SETUP!$B$19:$B$503=B20)*(SETUP!$D$19:$D$503=D20),0))))="Upfront",(SUMPRODUCT(('C19RM 2021-Lab &amp; Other HPS'!$A$121:$D$220=E20)*('C19RM 2021-Lab &amp; Other HPS'!$BH$121:$BH$220=BJ20)*('C19RM 2021-Lab &amp; Other HPS'!$BO$121:$BO$220)*(('C19RM 2021-Lab &amp; Other HPS'!$R$121:$R$220)))),(IF((INDEX(SETUP!$F$19:$F$503,(MATCH(1,(SETUP!$B$19:$B$503=B20)*(SETUP!$D$19:$D$503=D20),0))))="At delivery",IF((INDEX(SETUP!$G$19:$G$503,(MATCH(1,(SETUP!$B$19:$B$503=B20)*(SETUP!$D$19:$D$503=D20),0))))=1,(SUMPRODUCT(('C19RM 2021-Lab &amp; Other HPS'!$A$121:$D$220=E20)*('C19RM 2021-Lab &amp; Other HPS'!$BH$121:$BH$220=BJ20)*('C19RM 2021-Lab &amp; Other HPS'!$BO$121:$BO$220)*(('C19RM 2021-Lab &amp; Other HPS'!$Q$121:$Q$220)))),0),0)))</f>
        <v>0</v>
      </c>
      <c r="T20" s="359" cm="1">
        <f t="array" ref="T20">IF((INDEX(SETUP!$F$19:$F$503,(MATCH(1,(SETUP!$B$19:$B$503=B20)*(SETUP!$D$19:$D$503=D20),0))))="Upfront",(SUMPRODUCT(('C19RM 2021-Lab &amp; Other HPS'!$A$121:$D$220=E20)*('C19RM 2021-Lab &amp; Other HPS'!$BH$121:$BH$220=BJ20)*('C19RM 2021-Lab &amp; Other HPS'!$BO$121:$BO$220)*(('C19RM 2021-Lab &amp; Other HPS'!$S$121:$S$220)))),(IF((INDEX(SETUP!$F$19:$F$503,(MATCH(1,(SETUP!$B$19:$B$503=B20)*(SETUP!$D$19:$D$503=D20),0))))="At delivery",IF((INDEX(SETUP!$G$19:$G$503,(MATCH(1,(SETUP!$B$19:$B$503=B20)*(SETUP!$D$19:$D$503=D20),0))))=2,(SUMPRODUCT(('C19RM 2021-Lab &amp; Other HPS'!$A$121:$D$220=E20)*('C19RM 2021-Lab &amp; Other HPS'!$BH$121:$BH$220=BJ20)*('C19RM 2021-Lab &amp; Other HPS'!$BO$121:$BO$220)*(('C19RM 2021-Lab &amp; Other HPS'!$Q$121:$Q$220)))),IF((INDEX(SETUP!$G$19:$G$503,(MATCH(1,(SETUP!$B$19:$B$503=B20)*(SETUP!$D$19:$D$503=D20),0))))=1,(SUMPRODUCT(('C19RM 2021-Lab &amp; Other HPS'!$A$121:$D$220=E20)*('C19RM 2021-Lab &amp; Other HPS'!$BH$121:$BH$220=BJ20)*('C19RM 2021-Lab &amp; Other HPS'!$BO$121:$BO$220)*(('C19RM 2021-Lab &amp; Other HPS'!$R$121:$R$220)))),0)),0)))</f>
        <v>0</v>
      </c>
      <c r="U20" s="359" cm="1">
        <f t="array" ref="U20">IF((INDEX(SETUP!$F$19:$F$503,(MATCH(1,(SETUP!$B$19:$B$503=B20)*(SETUP!$D$19:$D$503=D20),0))))="Upfront",(SUMPRODUCT(('C19RM 2021-Lab &amp; Other HPS'!$A$121:$D$220=E20)*('C19RM 2021-Lab &amp; Other HPS'!$BH$121:$BH$220=BJ20)*('C19RM 2021-Lab &amp; Other HPS'!$BO$121:$BO$220)*(('C19RM 2021-Lab &amp; Other HPS'!$T$121:$T$220)))),(IF((INDEX(SETUP!$F$19:$F$503,(MATCH(1,(SETUP!$B$19:$B$503=B20)*(SETUP!$D$19:$D$503=D20),0))))="At delivery",IF((INDEX(SETUP!$G$19:$G$503,(MATCH(1,(SETUP!$B$19:$B$503=B20)*(SETUP!$D$19:$D$503=D20),0))))=3,(SUMPRODUCT(('C19RM 2021-Lab &amp; Other HPS'!$A$121:$D$220=E20)*('C19RM 2021-Lab &amp; Other HPS'!$BH$121:$BH$220=BJ20)*('C19RM 2021-Lab &amp; Other HPS'!$BO$121:$BO$220)*(('C19RM 2021-Lab &amp; Other HPS'!$Q$121:$Q$220)))),IF((INDEX(SETUP!$G$19:$G$503,(MATCH(1,(SETUP!$B$19:$B$503=B20)*(SETUP!$D$19:$D$503=D20),0))))=2,(SUMPRODUCT(('C19RM 2021-Lab &amp; Other HPS'!$A$121:$D$220=E20)*('C19RM 2021-Lab &amp; Other HPS'!$BH$121:$BH$220=BJ20)*('C19RM 2021-Lab &amp; Other HPS'!$BO$121:$BO$220)*(('C19RM 2021-Lab &amp; Other HPS'!$R$121:$R$220)))),IF((INDEX(SETUP!$G$19:$G$503,(MATCH(1,(SETUP!$B$19:$B$503=B20)*(SETUP!$D$19:$D$503=D20),0))))=1,(SUMPRODUCT(('C19RM 2021-Lab &amp; Other HPS'!$A$121:$D$220=E20)*('C19RM 2021-Lab &amp; Other HPS'!$BH$121:$BH$220=BJ20)*('C19RM 2021-Lab &amp; Other HPS'!$BO$121:$BO$220)*(('C19RM 2021-Lab &amp; Other HPS'!$S$121:$S$220)))),0))),0)))</f>
        <v>0</v>
      </c>
      <c r="V20" s="359" cm="1">
        <f t="array" ref="V20">IF((INDEX(SETUP!$F$19:$F$503,(MATCH(1,(SETUP!$B$19:$B$503=B20)*(SETUP!$D$19:$D$503=D20),0))))="Upfront",(SUMPRODUCT(('C19RM 2021-Lab &amp; Other HPS'!$A$121:$D$220=E20)*('C19RM 2021-Lab &amp; Other HPS'!$BH$121:$BH$220=BJ20)*('C19RM 2021-Lab &amp; Other HPS'!$BP$121:$BP$220)*(('C19RM 2021-Lab &amp; Other HPS'!$X$121:$X$220)))),(IF((INDEX(SETUP!$F$19:$F$503,(MATCH(1,(SETUP!$B$19:$B$503=B20)*(SETUP!$D$19:$D$503=D20),0))))="At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HPS'!$Q$121:$Q$220)))),IF((INDEX(SETUP!$G$19:$G$503,(MATCH(1,(SETUP!$B$19:$B$503=B20)*(SETUP!$D$19:$D$503=D20),0))))=3,(SUMPRODUCT(('C19RM 2021-Lab &amp; Other HPS'!$A$121:$D$220=E20)*('C19RM 2021-Lab &amp; Other HPS'!$BH$121:$BH$220=BJ20)*('C19RM 2021-Lab &amp; Other HPS'!$BO$121:$BO$220)*(('C19RM 2021-Lab &amp; Other HPS'!$R$121:$R$220)))),IF((INDEX(SETUP!$G$19:$G$503,(MATCH(1,(SETUP!$B$19:$B$503=B20)*(SETUP!$D$19:$D$503=D20),0))))=2,(SUMPRODUCT(('C19RM 2021-Lab &amp; Other HPS'!$A$121:$D$220=E20)*('C19RM 2021-Lab &amp; Other HPS'!$BH$121:$BH$220=BJ20)*('C19RM 2021-Lab &amp; Other HPS'!$BO$121:$BO$220)*(('C19RM 2021-Lab &amp; Other HPS'!$S$121:$S$220)))),IF((INDEX(SETUP!$G$19:$G$503,(MATCH(1,(SETUP!$B$19:$B$503=B20)*(SETUP!$D$19:$D$503=D20),0))))=1,(SUMPRODUCT(('C19RM 2021-Lab &amp; Other HPS'!$A$121:$D$220=E20)*('C19RM 2021-Lab &amp; Other HPS'!$BH$121:$BH$220=BJ20)*('C19RM 2021-Lab &amp; Other HPS'!$BO$121:$BO$220)*(('C19RM 2021-Lab &amp; Other HPS'!$T$121:$T$220)))),0)))),0)))</f>
        <v>0</v>
      </c>
      <c r="W20" s="359" cm="1">
        <f t="array" ref="W20">IF((INDEX(SETUP!$F$19:$F$503,(MATCH(1,(SETUP!$B$19:$B$503=B20)*(SETUP!$D$19:$D$503=D20),0))))="Upfront",(SUMPRODUCT(('C19RM 2021-Lab &amp; Other HPS'!$A$121:$D$220=E20)*('C19RM 2021-Lab &amp; Other HPS'!$BH$121:$BH$220=BJ20)*('C19RM 2021-Lab &amp; Other HPS'!$BP$121:$BP$220)*(('C19RM 2021-Lab &amp; Other HPS'!$Y$121:$Y$220)))),(IF((INDEX(SETUP!$F$19:$F$503,(MATCH(1,(SETUP!$B$19:$B$503=B20)*(SETUP!$D$19:$D$503=D20),0))))="At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HPS'!$R$121:$R$220)))),IF((INDEX(SETUP!$G$19:$G$503,(MATCH(1,(SETUP!$B$19:$B$503=B20)*(SETUP!$D$19:$D$503=D20),0))))=3,(SUMPRODUCT(('C19RM 2021-Lab &amp; Other HPS'!$A$121:$D$220=E20)*('C19RM 2021-Lab &amp; Other HPS'!$BH$121:$BH$220=BJ20)*('C19RM 2021-Lab &amp; Other HPS'!$BO$121:$BO$220)*(('C19RM 2021-Lab &amp; Other HPS'!$S$121:$S$220)))),IF((INDEX(SETUP!$G$19:$G$503,(MATCH(1,(SETUP!$B$19:$B$503=B20)*(SETUP!$D$19:$D$503=D20),0))))=2,((SUMPRODUCT(('C19RM 2021-Lab &amp; Other HPS'!$A$121:$D$220=E20)*('C19RM 2021-Lab &amp; Other HPS'!$BH$121:$BH$220=BJ20)*('C19RM 2021-Lab &amp; Other HPS'!$BO$121:$BO$220)*(('C19RM 2021-Lab &amp; Other HPS'!$T$121:$T$220))))),IF((INDEX(SETUP!$G$19:$G$503,(MATCH(1,(SETUP!$B$19:$B$503=B20)*(SETUP!$D$19:$D$503=D20),0))))=1,(SUMPRODUCT(('C19RM 2021-Lab &amp; Other HPS'!$A$121:$D$220=E20)*('C19RM 2021-Lab &amp; Other HPS'!$BH$121:$BH$220=BJ20)*('C19RM 2021-Lab &amp; Other HPS'!$BP$121:$BP$220)*(('C19RM 2021-Lab &amp; Other HPS'!$X$121:$X$220)))),0)))),0)))</f>
        <v>0</v>
      </c>
      <c r="X20" s="359" cm="1">
        <f t="array" ref="X20">IF((INDEX(SETUP!$F$19:$F$503,(MATCH(1,(SETUP!$B$19:$B$503=B20)*(SETUP!$D$19:$D$503=D20),0))))="Upfront",(SUMPRODUCT(('C19RM 2021-Lab &amp; Other HPS'!$A$121:$D$220=E20)*('C19RM 2021-Lab &amp; Other HPS'!$BH$121:$BH$220=BJ20)*('C19RM 2021-Lab &amp; Other HPS'!$BP$121:$BP$220)*(('C19RM 2021-Lab &amp; Other HPS'!$Z$121:$Z$220)))),(IF((INDEX(SETUP!$F$19:$F$503,(MATCH(1,(SETUP!$B$19:$B$503=B20)*(SETUP!$D$19:$D$503=D20),0))))="At delivery",IF((INDEX(SETUP!$G$19:$G$503,(MATCH(1,(SETUP!$B$19:$B$503=B20)*(SETUP!$D$19:$D$503=D20),0))))=4,(SUMPRODUCT(('C19RM 2021-Lab &amp; Other HPS'!$A$121:$D$220=E20)*('C19RM 2021-Lab &amp; Other HPS'!$BH$121:$BH$220=BJ20)*('C19RM 2021-Lab &amp; Other HPS'!$BO$121:$BO$220)*(('C19RM 2021-Lab &amp; Other HPS'!$S$121:$S$220)))),IF((INDEX(SETUP!$G$19:$G$503,(MATCH(1,(SETUP!$B$19:$B$503=B20)*(SETUP!$D$19:$D$503=D20),0))))=3,((SUMPRODUCT(('C19RM 2021-Lab &amp; Other HPS'!$A$121:$D$220=E20)*('C19RM 2021-Lab &amp; Other HPS'!$BH$121:$BH$220=BJ20)*('C19RM 2021-Lab &amp; Other HPS'!$BO$121:$BO$220)*(('C19RM 2021-Lab &amp; Other HPS'!$T$121:$T$220))))),IF((INDEX(SETUP!$G$19:$G$503,(MATCH(1,(SETUP!$B$19:$B$503=B20)*(SETUP!$D$19:$D$503=D20),0))))=2,(SUMPRODUCT(('C19RM 2021-Lab &amp; Other HPS'!$A$121:$D$220=E20)*('C19RM 2021-Lab &amp; Other HPS'!$BH$121:$BH$220=BJ20)*('C19RM 2021-Lab &amp; Other HPS'!$BP$121:$BP$220)*(('C19RM 2021-Lab &amp; Other HPS'!$X$121:$X$220)))),IF((INDEX(SETUP!$G$19:$G$503,(MATCH(1,(SETUP!$B$19:$B$503=B20)*(SETUP!$D$19:$D$503=D20),0))))=1,(SUMPRODUCT(('C19RM 2021-Lab &amp; Other HPS'!$A$121:$D$220=E20)*('C19RM 2021-Lab &amp; Other HPS'!$BH$121:$BH$220=BJ20)*('C19RM 2021-Lab &amp; Other HPS'!$BP$121:$BP$220)*(('C19RM 2021-Lab &amp; Other HPS'!$Y$121:$Y$220)))),0)))),0)))</f>
        <v>0</v>
      </c>
      <c r="Y20" s="359" cm="1">
        <f t="array" ref="Y20">IF((INDEX(SETUP!$F$19:$F$503,(MATCH(1,(SETUP!$B$19:$B$503=B20)*(SETUP!$D$19:$D$503=D20),0))))="Upfront",
(SUMPRODUCT(('C19RM 2021-Lab &amp; Other HPS'!$A$121:$D$220=E20)*('C19RM 2021-Lab &amp; Other HPS'!$BH$121:$BH$220=BJ20)*('C19RM 2021-Lab &amp; Other HPS'!$BP$121:$BP$220)*(('C19RM 2021-Lab &amp; Other HPS'!$AA$121:$AA$220)))),
(IF((INDEX(SETUP!$F$19:$F$503,(MATCH(1,(SETUP!$B$19:$B$503=B20)*(SETUP!$D$19:$D$503=D20),0))))="At delivery",
IF((INDEX(SETUP!$G$19:$G$503,(MATCH(1,(SETUP!$B$19:$B$503=B20)*(SETUP!$D$19:$D$503=D20),0))))=4,
((SUMPRODUCT(('C19RM 2021-Lab &amp; Other HPS'!$A$121:$D$220=E20)*('C19RM 2021-Lab &amp; Other HPS'!$BH$121:$BH$220=BJ20)*('C19RM 2021-Lab &amp; Other HPS'!$BO$121:$BO$220)*(('C19RM 2021-Lab &amp; Other HPS'!$T$121:$T$220))))),IF((INDEX(SETUP!$G$19:$G$503,(MATCH(1,(SETUP!$B$19:$B$503=B20)*(SETUP!$D$19:$D$503=D20),0))))=3,(SUMPRODUCT(('C19RM 2021-Lab &amp; Other HPS'!$A$121:$D$220=E20)*('C19RM 2021-Lab &amp; Other HPS'!$BH$121:$BH$220=BJ20)*('C19RM 2021-Lab &amp; Other HPS'!$BP$121:$BP$220)*(('C19RM 2021-Lab &amp; Other HPS'!$X$121:$X$220)))),IF((INDEX(SETUP!$G$19:$G$503,(MATCH(1,(SETUP!$B$19:$B$503=B20)*(SETUP!$D$19:$D$503=D20),0))))=2,(SUMPRODUCT(('C19RM 2021-Lab &amp; Other HPS'!$A$121:$D$220=E20)*('C19RM 2021-Lab &amp; Other HPS'!$BH$121:$BH$220=BJ20)*('C19RM 2021-Lab &amp; Other HPS'!$BP$121:$BP$220)*(('C19RM 2021-Lab &amp; Other HPS'!$Y$121:$Y$220)))),IF((INDEX(SETUP!$G$19:$G$503,(MATCH(1,(SETUP!$B$19:$B$503=B20)*(SETUP!$D$19:$D$503=D20),0))))=1,(SUMPRODUCT(('C19RM 2021-Lab &amp; Other HPS'!$A$121:$D$220=E20)*('C19RM 2021-Lab &amp; Other HPS'!$BH$121:$BH$220=BJ20)*('C19RM 2021-Lab &amp; Other HPS'!$BP$121:$BP$220)*(('C19RM 2021-Lab &amp; Other HPS'!$Z$121:$Z$220)))),0)))),0)))</f>
        <v>0</v>
      </c>
      <c r="Z20" s="359" cm="1">
        <f t="array" ref="Z20">IF((INDEX(SETUP!$F$19:$F$503,(MATCH(1,(SETUP!$B$19:$B$503=B20)*(SETUP!$D$19:$D$503=D20),0))))="Upfront",(SUMPRODUCT(('C19RM 2021-Lab &amp; Other HPS'!$A$121:$D$220=E20)*('C19RM 2021-Lab &amp; Other HPS'!$BH$121:$BH$220=BJ20)*('C19RM 2021-Lab &amp; Other HPS'!$BQ$121:$BQ$220)*(('C19RM 2021-Lab &amp; Other HPS'!$AE$121:$AE$220)))),(IF((INDEX(SETUP!$F$19:$F$503,(MATCH(1,(SETUP!$B$19:$B$503=B20)*(SETUP!$D$19:$D$503=D20),0))))="At delivery",IF((INDEX(SETUP!$G$19:$G$503,(MATCH(1,(SETUP!$B$19:$B$503=B20)*(SETUP!$D$19:$D$503=D20),0))))=4,(SUMPRODUCT(('C19RM 2021-Lab &amp; Other HPS'!$A$121:$D$220=E20)*('C19RM 2021-Lab &amp; Other HPS'!$BH$121:$BH$220=BJ20)*('C19RM 2021-Lab &amp; Other HPS'!$BP$121:$BP$220)*(('C19RM 2021-Lab &amp; Other HPS'!$X$121:$X$220)))),IF((INDEX(SETUP!$G$19:$G$503,(MATCH(1,(SETUP!$B$19:$B$503=B20)*(SETUP!$D$19:$D$503=D20),0))))=3,(SUMPRODUCT(('C19RM 2021-Lab &amp; Other HPS'!$A$121:$D$220=E20)*('C19RM 2021-Lab &amp; Other HPS'!$BH$121:$BH$220=BJ20)*('C19RM 2021-Lab &amp; Other HPS'!$BP$121:$BP$220)*(('C19RM 2021-Lab &amp; Other HPS'!$Y$121:$Y$220)))),IF((INDEX(SETUP!$G$19:$G$503,(MATCH(1,(SETUP!$B$19:$B$503=B20)*(SETUP!$D$19:$D$503=D20),0))))=2,(SUMPRODUCT(('C19RM 2021-Lab &amp; Other HPS'!$A$121:$D$220=E20)*('C19RM 2021-Lab &amp; Other HPS'!$BH$121:$BH$220=BJ20)*('C19RM 2021-Lab &amp; Other HPS'!$BP$121:$BP$220)*(('C19RM 2021-Lab &amp; Other HPS'!$Z$121:$Z$220)))),IF((INDEX(SETUP!$G$19:$G$503,(MATCH(1,(SETUP!$B$19:$B$503=B20)*(SETUP!$D$19:$D$503=D20),0))))=1,(SUMPRODUCT(('C19RM 2021-Lab &amp; Other HPS'!$A$121:$D$220=E20)*('C19RM 2021-Lab &amp; Other HPS'!$BH$121:$BH$220=BJ20)*('C19RM 2021-Lab &amp; Other HPS'!$BP$121:$BP$220)*(('C19RM 2021-Lab &amp; Other HPS'!$AA$121:$AA$220)))),0)))),0)))</f>
        <v>0</v>
      </c>
      <c r="AA20" s="359" cm="1">
        <f t="array" ref="AA20">IF((INDEX(SETUP!$F$19:$F$503,(MATCH(1,(SETUP!$B$19:$B$503=B20)*(SETUP!$D$19:$D$503=D20),0))))="Upfront",(SUMPRODUCT(('C19RM 2021-Lab &amp; Other HPS'!$A$121:$D$220=E20)*('C19RM 2021-Lab &amp; Other HPS'!$BH$121:$BH$220=BJ20)*('C19RM 2021-Lab &amp; Other HPS'!$BQ$121:$BQ$220)*(('C19RM 2021-Lab &amp; Other HPS'!$AF$121:$AF$220)))),(IF((INDEX(SETUP!$F$19:$F$503,(MATCH(1,(SETUP!$B$19:$B$503=B20)*(SETUP!$D$19:$D$503=D20),0))))="At delivery",IF((INDEX(SETUP!$G$19:$G$503,(MATCH(1,(SETUP!$B$19:$B$503=B20)*(SETUP!$D$19:$D$503=D20),0))))=4,(SUMPRODUCT(('C19RM 2021-Lab &amp; Other HPS'!$A$121:$D$220=E20)*('C19RM 2021-Lab &amp; Other HPS'!$BH$121:$BH$220=BJ20)*('C19RM 2021-Lab &amp; Other HPS'!$BP$121:$BP$220)*(('C19RM 2021-Lab &amp; Other HPS'!$Y$121:$Y$220)))),IF((INDEX(SETUP!$G$19:$G$503,(MATCH(1,(SETUP!$B$19:$B$503=B20)*(SETUP!$D$19:$D$503=D20),0))))=3,(SUMPRODUCT(('C19RM 2021-Lab &amp; Other HPS'!$A$121:$D$220=E20)*('C19RM 2021-Lab &amp; Other HPS'!$BH$121:$BH$220=BJ20)*('C19RM 2021-Lab &amp; Other HPS'!$BP$121:$BP$220)*(('C19RM 2021-Lab &amp; Other HPS'!$Z$121:$Z$220)))),IF((INDEX(SETUP!$G$19:$G$503,(MATCH(1,(SETUP!$B$19:$B$503=B20)*(SETUP!$D$19:$D$503=D20),0))))=2,((SUMPRODUCT(('C19RM 2021-Lab &amp; Other HPS'!$A$121:$D$220=E20)*('C19RM 2021-Lab &amp; Other HPS'!$BH$121:$BH$220=BJ20)*('C19RM 2021-Lab &amp; Other HPS'!$BP$121:$BP$220)*(('C19RM 2021-Lab &amp; Other HPS'!$AA$121:$AA$220))))),IF((INDEX(SETUP!$G$19:$G$503,(MATCH(1,(SETUP!$B$19:$B$503=B20)*(SETUP!$D$19:$D$503=D20),0))))=1,(SUMPRODUCT(('C19RM 2021-Lab &amp; Other HPS'!$A$121:$D$220=E20)*('C19RM 2021-Lab &amp; Other HPS'!$BH$121:$BH$220=BJ20)*('C19RM 2021-Lab &amp; Other HPS'!$BQ$121:$BQ$220)*(('C19RM 2021-Lab &amp; Other HPS'!$AE$121:$AE$220)))),0)))),0)))</f>
        <v>0</v>
      </c>
      <c r="AB20" s="359" cm="1">
        <f t="array" ref="AB20">IF((INDEX(SETUP!$F$19:$F$503,(MATCH(1,(SETUP!$B$19:$B$503=B20)*(SETUP!$D$19:$D$503=D20),0))))="Upfront",
(SUMPRODUCT(('C19RM 2021-Lab &amp; Other HPS'!$A$121:$D$220=E20)*('C19RM 2021-Lab &amp; Other HPS'!$BH$121:$BH$220=BJ20)*('C19RM 2021-Lab &amp; Other HPS'!$BQ$121:$BQ$220)*(('C19RM 2021-Lab &amp; Other HPS'!$AG$121:$AG$220)))),
(IF((INDEX(SETUP!$F$19:$F$503,(MATCH(1,(SETUP!$B$19:$B$503=B20)*(SETUP!$D$19:$D$503=D20),0))))="At delivery",
IF((INDEX(SETUP!$G$19:$G$503,(MATCH(1,(SETUP!$B$19:$B$503=B20)*(SETUP!$D$19:$D$503=D20),0))))=4,
(SUMPRODUCT(('C19RM 2021-Lab &amp; Other HPS'!$A$121:$D$220=E20)*('C19RM 2021-Lab &amp; Other HPS'!$BH$121:$BH$220=BJ20)*('C19RM 2021-Lab &amp; Other HPS'!$BP$121:$BP$220)*(('C19RM 2021-Lab &amp; Other HPS'!$Z$121:$Z$220)))),IF((INDEX(SETUP!$G$19:$G$503,(MATCH(1,(SETUP!$B$19:$B$503=B20)*(SETUP!$D$19:$D$503=D20),0))))=3,(SUMPRODUCT(('C19RM 2021-Lab &amp; Other HPS'!$A$121:$D$220=E20)*('C19RM 2021-Lab &amp; Other HPS'!$BH$121:$BH$220=BJ20)*('C19RM 2021-Lab &amp; Other HPS'!$BP$121:$BP$220)*(('C19RM 2021-Lab &amp; Other HPS'!$AA$121:$AA$220)))),IF((INDEX(SETUP!$G$19:$G$503,(MATCH(1,(SETUP!$B$19:$B$503=B20)*(SETUP!$D$19:$D$503=D20),0))))=2,(SUMPRODUCT(('C19RM 2021-Lab &amp; Other HPS'!$A$121:$D$220=E20)*('C19RM 2021-Lab &amp; Other HPS'!$BH$121:$BH$220=BJ20)*('C19RM 2021-Lab &amp; Other HPS'!$BQ$121:$BQ$220)*(('C19RM 2021-Lab &amp; Other HPS'!$AE$121:$AE$220)))),IF((INDEX(SETUP!$G$19:$G$503,(MATCH(1,(SETUP!$B$19:$B$503=B20)*(SETUP!$D$19:$D$503=D20),0))))=1,(SUMPRODUCT(('C19RM 2021-Lab &amp; Other HPS'!$A$121:$D$220=E20)*('C19RM 2021-Lab &amp; Other HPS'!$BH$121:$BH$220=BJ20)*('C19RM 2021-Lab &amp; Other HPS'!$BQ$121:$BQ$220)*(('C19RM 2021-Lab &amp; Other HPS'!$AF$121:$AF$220)))),0)))),0)))</f>
        <v>0</v>
      </c>
      <c r="AC20" s="359" cm="1">
        <f t="array" ref="AC20">IF((INDEX(SETUP!$F$19:$F$503,(MATCH(1,(SETUP!$B$19:$B$503=B20)*(SETUP!$D$19:$D$503=D20),0))))="Upfront",
(SUMPRODUCT(('C19RM 2021-Lab &amp; Other HPS'!$A$121:$D$220=E20)*('C19RM 2021-Lab &amp; Other HPS'!$BH$121:$BH$220=BJ20)*('C19RM 2021-Lab &amp; Other HPS'!$BQ$121:$BQ$220)*(('C19RM 2021-Lab &amp; Other HPS'!$AH$121:$AH$220)))),
(IF((INDEX(SETUP!$F$19:$F$503,(MATCH(1,(SETUP!$B$19:$B$503=B20)*(SETUP!$D$19:$D$503=D20),0))))="At delivery",
IF((INDEX(SETUP!$G$19:$G$503,(MATCH(1,(SETUP!$B$19:$B$503=B20)*(SETUP!$D$19:$D$503=D20),0))))=4,
(SUMPRODUCT(('C19RM 2021-Lab &amp; Other HPS'!$A$121:$D$220=E20)*('C19RM 2021-Lab &amp; Other HPS'!$BH$121:$BH$220=BJ20)*('C19RM 2021-Lab &amp; Other HPS'!$BP$121:$BP$220)*(('C19RM 2021-Lab &amp; Other HPS'!$AA$121:$AA$220)))),IF((INDEX(SETUP!$G$19:$G$503,(MATCH(1,(SETUP!$B$19:$B$503=B20)*(SETUP!$D$19:$D$503=D20),0))))=3,(SUMPRODUCT(('C19RM 2021-Lab &amp; Other HPS'!$A$121:$D$220=E20)*('C19RM 2021-Lab &amp; Other HPS'!$BH$121:$BH$220=BJ20)*('C19RM 2021-Lab &amp; Other HPS'!$BQ$121:$BQ$220)*(('C19RM 2021-Lab &amp; Other HPS'!$AE$121:$AE$220)))),IF((INDEX(SETUP!$G$19:$G$503,(MATCH(1,(SETUP!$B$19:$B$503=B20)*(SETUP!$D$19:$D$503=D20),0))))=2,(SUMPRODUCT(('C19RM 2021-Lab &amp; Other HPS'!$A$121:$D$220=E20)*('C19RM 2021-Lab &amp; Other HPS'!$BH$121:$BH$220=BJ20)*('C19RM 2021-Lab &amp; Other HPS'!$BQ$121:$BQ$220)*(('C19RM 2021-Lab &amp; Other HPS'!$AF$121:$AF$220)))),IF((INDEX(SETUP!$G$19:$G$503,(MATCH(1,(SETUP!$B$19:$B$503=B20)*(SETUP!$D$19:$D$503=D20),0))))=1,(SUMPRODUCT(('C19RM 2021-Lab &amp; Other HPS'!$A$121:$D$220=E20)*('C19RM 2021-Lab &amp; Other HPS'!$BH$121:$BH$220=BJ20)*('C19RM 2021-Lab &amp; Other HPS'!$BQ$121:$BQ$220)*(('C19RM 2021-Lab &amp; Other HPS'!$AG$121:$AG$220)))),0)))),0)))</f>
        <v>0</v>
      </c>
      <c r="AD20" s="359" cm="1">
        <f t="array" ref="AD20">IF((INDEX(SETUP!$F$19:$F$503,(MATCH(1,(SETUP!$B$19:$B$503=B20)*(SETUP!$D$19:$D$503=D20),0))))="Upfront",
(SUMPRODUCT(('C19RM 2021-Lab &amp; Other HPS'!$A$121:$D$220=E20)*('C19RM 2021-Lab &amp; Other HPS'!$BH$121:$BH$220=BJ20)*('C19RM 2021-Lab &amp; Other HPS'!$BR$121:$BR$220)*(('C19RM 2021-Lab &amp; Other HPS'!$AL$121:$AL$220)))),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HPS'!$AE$121:$AE$220)))),IF((INDEX(SETUP!$G$19:$G$503,(MATCH(1,(SETUP!$B$19:$B$503=B20)*(SETUP!$D$19:$D$503=D20),0))))=3,((SUMPRODUCT(('C19RM 2021-Lab &amp; Other HPS'!$A$121:$D$220=E20)*('C19RM 2021-Lab &amp; Other HPS'!$BH$121:$BH$220=BJ20)*('C19RM 2021-Lab &amp; Other HPS'!$BQ$121:$BQ$220)*(('C19RM 2021-Lab &amp; Other HPS'!$AF$121:$AF$220))))),IF((INDEX(SETUP!$G$19:$G$503,(MATCH(1,(SETUP!$B$19:$B$503=B20)*(SETUP!$D$19:$D$503=D20),0))))=2,(SUMPRODUCT(('C19RM 2021-Lab &amp; Other HPS'!$A$121:$D$220=E20)*('C19RM 2021-Lab &amp; Other HPS'!$BH$121:$BH$220=BJ20)*('C19RM 2021-Lab &amp; Other HPS'!$BQ$121:$BQ$220)*(('C19RM 2021-Lab &amp; Other HPS'!$AG$121:$AG$220)))),IF((INDEX(SETUP!$G$19:$G$503,(MATCH(1,(SETUP!$B$19:$B$503=B20)*(SETUP!$D$19:$D$503=D20),0))))=1,(SUMPRODUCT(('C19RM 2021-Lab &amp; Other HPS'!$A$121:$D$220=E20)*('C19RM 2021-Lab &amp; Other HPS'!$BH$121:$BH$220=BJ20)*('C19RM 2021-Lab &amp; Other HPS'!$BQ$121:$BQ$220)*(('C19RM 2021-Lab &amp; Other HPS'!$AH$121:$AH$220)))),0)))),0)))</f>
        <v>0</v>
      </c>
      <c r="AE20" s="359" cm="1">
        <f t="array" ref="AE20">IF((INDEX(SETUP!$F$19:$F$503,(MATCH(1,(SETUP!$B$19:$B$503=B20)*(SETUP!$D$19:$D$503=D20),0))))="Upfront",
(SUMPRODUCT(('C19RM 2021-Lab &amp; Other HPS'!$A$121:$D$220=E20)*('C19RM 2021-Lab &amp; Other HPS'!$BH$121:$BH$220=BJ20)*('C19RM 2021-Lab &amp; Other HPS'!$BR$121:$BR$220)*(('C19RM 2021-Lab &amp; Other HPS'!$AM$121:$AM$220)))),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HPS'!$AF$121:$AF$220)))),IF((INDEX(SETUP!$G$19:$G$503,(MATCH(1,(SETUP!$B$19:$B$503=B20)*(SETUP!$D$19:$D$503=D20),0))))=3,(SUMPRODUCT(('C19RM 2021-Lab &amp; Other HPS'!$A$121:$D$220=E20)*('C19RM 2021-Lab &amp; Other HPS'!$BH$121:$BH$220=BJ20)*('C19RM 2021-Lab &amp; Other HPS'!$BQ$121:$BQ$220)*(('C19RM 2021-Lab &amp; Other HPS'!$AG$121:$AG$220)))),IF((INDEX(SETUP!$G$19:$G$503,(MATCH(1,(SETUP!$B$19:$B$503=B20)*(SETUP!$D$19:$D$503=D20),0))))=2,(SUMPRODUCT(('C19RM 2021-Lab &amp; Other HPS'!$A$121:$D$220=E20)*('C19RM 2021-Lab &amp; Other HPS'!$BH$121:$BH$220=BJ20)*('C19RM 2021-Lab &amp; Other HPS'!$BQ$121:$BQ$220)*(('C19RM 2021-Lab &amp; Other HPS'!$AH$121:$AH$220)))),IF((INDEX(SETUP!$G$19:$G$503,(MATCH(1,(SETUP!$B$19:$B$503=B20)*(SETUP!$D$19:$D$503=D20),0))))=1,(SUMPRODUCT(('C19RM 2021-Lab &amp; Other HPS'!$A$121:$D$220=E20)*('C19RM 2021-Lab &amp; Other HPS'!$BH$121:$BH$220=BJ20)*('C19RM 2021-Lab &amp; Other HPS'!$BR$121:$BR$220)*(('C19RM 2021-Lab &amp; Other HPS'!$AL$121:$AL$220)))),0)))),0)))</f>
        <v>0</v>
      </c>
      <c r="AF20" s="359" cm="1">
        <f t="array" ref="AF20">IF((INDEX(SETUP!$F$19:$F$503,(MATCH(1,(SETUP!$B$19:$B$503=B20)*(SETUP!$D$19:$D$503=D20),0))))="Upfront",
(SUMPRODUCT(('C19RM 2021-Lab &amp; Other HPS'!$A$121:$D$220=E20)*('C19RM 2021-Lab &amp; Other HPS'!$BH$121:$BH$220=BJ20)*('C19RM 2021-Lab &amp; Other HPS'!$BR$121:$BR$220)*(('C19RM 2021-Lab &amp; Other HPS'!$AN$121:$AN$220)))),
(IF((INDEX(SETUP!$F$19:$F$503,(MATCH(1,(SETUP!$B$19:$B$503=B20)*(SETUP!$D$19:$D$503=D20),0))))="At delivery",
IF((INDEX(SETUP!$G$19:$G$503,(MATCH(1,(SETUP!$B$19:$B$503=B20)*(SETUP!$D$19:$D$503=D20),0))))=4,
(SUMPRODUCT(('C19RM 2021-Lab &amp; Other HPS'!$A$121:$D$220=E20)*('C19RM 2021-Lab &amp; Other HPS'!$BH$121:$BH$220=BJ20)*('C19RM 2021-Lab &amp; Other HPS'!$BQ$121:$BQ$220)*(('C19RM 2021-Lab &amp; Other HPS'!$AG$121:$AG$220)))),IF((INDEX(SETUP!$G$19:$G$503,(MATCH(1,(SETUP!$B$19:$B$503=B20)*(SETUP!$D$19:$D$503=D20),0))))=3,(SUMPRODUCT(('C19RM 2021-Lab &amp; Other HPS'!$A$121:$D$220=E20)*('C19RM 2021-Lab &amp; Other HPS'!$BH$121:$BH$220=BJ20)*('C19RM 2021-Lab &amp; Other HPS'!$BQ$121:$BQ$220)*(('C19RM 2021-Lab &amp; Other HPS'!$AH$121:$AH$220)))),IF((INDEX(SETUP!$G$19:$G$503,(MATCH(1,(SETUP!$B$19:$B$503=B20)*(SETUP!$D$19:$D$503=D20),0))))=2,(SUMPRODUCT(('C19RM 2021-Lab &amp; Other HPS'!$A$121:$D$220=E20)*('C19RM 2021-Lab &amp; Other HPS'!$BH$121:$BH$220=BJ20)*('C19RM 2021-Lab &amp; Other HPS'!$BR$121:$BR$220)*(('C19RM 2021-Lab &amp; Other HPS'!$AL$121:$AL$220)))),IF((INDEX(SETUP!$G$19:$G$503,(MATCH(1,(SETUP!$B$19:$B$503=B20)*(SETUP!$D$19:$D$503=D20),0))))=1,(SUMPRODUCT(('C19RM 2021-Lab &amp; Other HPS'!$A$121:$D$220=E20)*('C19RM 2021-Lab &amp; Other HPS'!$BH$121:$BH$220=BJ20)*('C19RM 2021-Lab &amp; Other HPS'!$BR$121:$BR$220)*(('C19RM 2021-Lab &amp; Other HPS'!$AM$121:$AM$220)))),0)))),0)))</f>
        <v>0</v>
      </c>
      <c r="AG20" s="359" cm="1">
        <f t="array" ref="AG20">IF((INDEX(SETUP!$F$19:$F$503,(MATCH(1,(SETUP!$B$19:$B$503=B20)*(SETUP!$D$19:$D$503=D20),0))))="Upfront",(SUMPRODUCT(('C19RM 2021-Lab &amp; Other HPS'!$A$121:$D$220=E20)*('C19RM 2021-Lab &amp; Other HPS'!$BH$121:$BH$220=BJ20)*('C19RM 2021-Lab &amp; Other HPS'!$BR$121:$BR$220)*(('C19RM 2021-Lab &amp; Other HPS'!$AO$121:$AO$220)))),(IF((INDEX(SETUP!$F$19:$F$503,(MATCH(1,(SETUP!$B$19:$B$503=B20)*(SETUP!$D$19:$D$503=D20),0))))="At delivery",IF((INDEX(SETUP!$G$19:$G$503,(MATCH(1,(SETUP!$B$19:$B$503=B20)*(SETUP!$D$19:$D$503=D20),0))))=4,(SUMPRODUCT(('C19RM 2021-Lab &amp; Other HPS'!$A$121:$D$220=E20)*('C19RM 2021-Lab &amp; Other HPS'!$BH$121:$BH$220=BJ20)*('C19RM 2021-Lab &amp; Other HPS'!$BQ$121:$BQ$220)*(('C19RM 2021-Lab &amp; Other HPS'!$AH$121:$AH$220)))),IF((INDEX(SETUP!$G$19:$G$503,(MATCH(1,(SETUP!$B$19:$B$503=B20)*(SETUP!$D$19:$D$503=D20),0))))=3,(SUMPRODUCT(('C19RM 2021-Lab &amp; Other HPS'!$A$121:$D$220=E20)*('C19RM 2021-Lab &amp; Other HPS'!$BH$121:$BH$220=BJ20)*('C19RM 2021-Lab &amp; Other HPS'!$BR$121:$BR$220)*(('C19RM 2021-Lab &amp; Other HPS'!$AL$121:$AL$220)))),IF((INDEX(SETUP!$G$19:$G$503,(MATCH(1,(SETUP!$B$19:$B$503=B20)*(SETUP!$D$19:$D$503=D20),0))))=2,(SUMPRODUCT(('C19RM 2021-Lab &amp; Other HPS'!$A$121:$D$220=E20)*('C19RM 2021-Lab &amp; Other HPS'!$BH$121:$BH$220=BJ20)*('C19RM 2021-Lab &amp; Other HPS'!$BR$121:$BR$220)*(('C19RM 2021-Lab &amp; Other HPS'!$AM$121:$AM$220)))),IF((INDEX(SETUP!$G$19:$G$503,(MATCH(1,(SETUP!$B$19:$B$503=B20)*(SETUP!$D$19:$D$503=D20),0))))=1,(SUMPRODUCT(('C19RM 2021-Lab &amp; Other HPS'!$A$121:$D$220=E20)*('C19RM 2021-Lab &amp; Other HPS'!$BH$121:$BH$220=BJ20)*('C19RM 2021-Lab &amp; Other HPS'!$BR$121:$BR$220)*(('C19RM 2021-Lab &amp; Other HPS'!$AN$121:$AN$220)))),0)))),0)))</f>
        <v>0</v>
      </c>
      <c r="AH20" s="359" cm="1">
        <f t="array" ref="AH20">IF((INDEX(SETUP!$F$19:$F$503,(MATCH(1,(SETUP!$B$19:$B$503=B20)*(SETUP!$D$19:$D$503=D20),0))))="Upfront",
(SUMPRODUCT(('C19RM 2021-Lab &amp; Other HPS'!$A$121:$D$220=E20)*('C19RM 2021-Lab &amp; Other HPS'!$BH$121:$BH$220=BJ20)*('C19RM 2021-Lab &amp; Other HPS'!$BS$121:$BS$220)*(('C19RM 2021-Lab &amp; Other HPS'!$AS$121:$AS$220)))),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HPS'!$AL$121:$AL$220)))),IF((INDEX(SETUP!$G$19:$G$503,(MATCH(1,(SETUP!$B$19:$B$503=B20)*(SETUP!$D$19:$D$503=D20),0))))=3,((SUMPRODUCT(('C19RM 2021-Lab &amp; Other HPS'!$A$121:$D$220=E20)*('C19RM 2021-Lab &amp; Other HPS'!$BH$121:$BH$220=BJ20)*('C19RM 2021-Lab &amp; Other HPS'!$BR$121:$BR$220)*(('C19RM 2021-Lab &amp; Other HPS'!$AM$121:$AM$220))))),IF((INDEX(SETUP!$G$19:$G$503,(MATCH(1,(SETUP!$B$19:$B$503=B20)*(SETUP!$D$19:$D$503=D20),0))))=2,(SUMPRODUCT(('C19RM 2021-Lab &amp; Other HPS'!$A$121:$D$220=E20)*('C19RM 2021-Lab &amp; Other HPS'!$BH$121:$BH$220=BJ20)*('C19RM 2021-Lab &amp; Other HPS'!$BR$121:$BR$220)*(('C19RM 2021-Lab &amp; Other HPS'!$AN$121:$AN$220)))),IF((INDEX(SETUP!$G$19:$G$503,(MATCH(1,(SETUP!$B$19:$B$503=B20)*(SETUP!$D$19:$D$503=D20),0))))=1,(SUMPRODUCT(('C19RM 2021-Lab &amp; Other HPS'!$A$121:$D$220=E20)*('C19RM 2021-Lab &amp; Other HPS'!$BH$121:$BH$220=BJ20)*('C19RM 2021-Lab &amp; Other HPS'!$BR$121:$BR$220)*(('C19RM 2021-Lab &amp; Other HPS'!$AO$121:$AO$220)))),0)))),0)))</f>
        <v>0</v>
      </c>
      <c r="AI20" s="359" cm="1">
        <f t="array" ref="AI20">IF((INDEX(SETUP!$F$19:$F$503,(MATCH(1,(SETUP!$B$19:$B$503=B20)*(SETUP!$D$19:$D$503=D20),0))))="Upfront",
(SUMPRODUCT(('C19RM 2021-Lab &amp; Other HPS'!$A$121:$D$220=E20)*('C19RM 2021-Lab &amp; Other HPS'!$BH$121:$BH$220=BJ20)*('C19RM 2021-Lab &amp; Other HPS'!$BS$121:$BS$220)*(('C19RM 2021-Lab &amp; Other HPS'!$AT$121:$AT$220)))),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HPS'!$AM$121:$AM$220)))),IF((INDEX(SETUP!$G$19:$G$503,(MATCH(1,(SETUP!$B$19:$B$503=B20)*(SETUP!$D$19:$D$503=D20),0))))=3,((SUMPRODUCT(('C19RM 2021-Lab &amp; Other HPS'!$A$121:$D$220=E20)*('C19RM 2021-Lab &amp; Other HPS'!$BH$121:$BH$220=BJ20)*('C19RM 2021-Lab &amp; Other HPS'!$BR$121:$BR$220)*(('C19RM 2021-Lab &amp; Other HPS'!$AN$121:$AN$220))))),IF((INDEX(SETUP!$G$19:$G$503,(MATCH(1,(SETUP!$B$19:$B$503=B20)*(SETUP!$D$19:$D$503=D20),0))))=2,(SUMPRODUCT(('C19RM 2021-Lab &amp; Other HPS'!$A$121:$D$220=E20)*('C19RM 2021-Lab &amp; Other HPS'!$BH$121:$BH$220=BJ20)*('C19RM 2021-Lab &amp; Other HPS'!$BR$121:$BR$220)*(('C19RM 2021-Lab &amp; Other HPS'!$AO$121:$AO$220)))),IF((INDEX(SETUP!$G$19:$G$503,(MATCH(1,(SETUP!$B$19:$B$503=B20)*(SETUP!$D$19:$D$503=D20),0))))=1,(SUMPRODUCT(('C19RM 2021-Lab &amp; Other HPS'!$A$121:$D$220=E20)*('C19RM 2021-Lab &amp; Other HPS'!$BH$121:$BH$220=BJ20)*('C19RM 2021-Lab &amp; Other HPS'!$BS$121:$BS$220)*(('C19RM 2021-Lab &amp; Other HPS'!$AS$121:$AS$220)))),0)))),0)))</f>
        <v>0</v>
      </c>
      <c r="AJ20" s="359" cm="1">
        <f t="array" ref="AJ20">IF((INDEX(SETUP!$F$19:$F$503,(MATCH(1,(SETUP!$B$19:$B$503=B20)*(SETUP!$D$19:$D$503=D20),0))))="Upfront",
(SUMPRODUCT(('C19RM 2021-Lab &amp; Other HPS'!$A$121:$D$220=E20)*('C19RM 2021-Lab &amp; Other HPS'!$BH$121:$BH$220=BJ20)*('C19RM 2021-Lab &amp; Other HPS'!$BS$121:$BS$220)*(('C19RM 2021-Lab &amp; Other HPS'!$AU$121:$AU$220)))),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HPS'!$AN$121:$AN$220)))),IF((INDEX(SETUP!$G$19:$G$503,(MATCH(1,(SETUP!$B$19:$B$503=B20)*(SETUP!$D$19:$D$503=D20),0))))=3,((SUMPRODUCT(('C19RM 2021-Lab &amp; Other HPS'!$A$121:$D$220=E20)*('C19RM 2021-Lab &amp; Other HPS'!$BH$121:$BH$220=BJ20)*('C19RM 2021-Lab &amp; Other HPS'!$BR$121:$BR$220)*(('C19RM 2021-Lab &amp; Other HPS'!$AO$121:$AO$220))))),IF((INDEX(SETUP!$G$19:$G$503,(MATCH(1,(SETUP!$B$19:$B$503=B20)*(SETUP!$D$19:$D$503=D20),0))))=2,(SUMPRODUCT(('C19RM 2021-Lab &amp; Other HPS'!$A$121:$D$220=E20)*('C19RM 2021-Lab &amp; Other HPS'!$BH$121:$BH$220=BJ20)*('C19RM 2021-Lab &amp; Other HPS'!$BS$121:$BS$220)*(('C19RM 2021-Lab &amp; Other HPS'!$AS$121:$AS$220)))),IF((INDEX(SETUP!$G$19:$G$503,(MATCH(1,(SETUP!$B$19:$B$503=B20)*(SETUP!$D$19:$D$503=D20),0))))=1,(SUMPRODUCT(('C19RM 2021-Lab &amp; Other HPS'!$A$121:$D$220=E20)*('C19RM 2021-Lab &amp; Other HPS'!$BH$121:$BH$220=BJ20)*('C19RM 2021-Lab &amp; Other HPS'!$BS$121:$BS$220)*(('C19RM 2021-Lab &amp; Other HPS'!$AT$121:$AT$220)))),0)))),0)))</f>
        <v>0</v>
      </c>
      <c r="AK20" s="359" cm="1">
        <f t="array" ref="AK20">IF((INDEX(SETUP!$F$19:$F$503,(MATCH(1,(SETUP!$B$19:$B$503=B20)*(SETUP!$D$19:$D$503=D20),0))))="Upfront",
(SUMPRODUCT(('C19RM 2021-Lab &amp; Other HPS'!$A$121:$D$220=E20)*('C19RM 2021-Lab &amp; Other HPS'!$BH$121:$BH$220=BJ20)*('C19RM 2021-Lab &amp; Other HPS'!$BS$121:$BS$220)*(('C19RM 2021-Lab &amp; Other HPS'!$AV$121:$AV$220)))),
(IF((INDEX(SETUP!$F$19:$F$503,(MATCH(1,(SETUP!$B$19:$B$503=B20)*(SETUP!$D$19:$D$503=D20),0))))="At delivery",
IF((INDEX(SETUP!$G$19:$G$503,(MATCH(1,(SETUP!$B$19:$B$503=B20)*(SETUP!$D$19:$D$503=D20),0))))=4,
(SUMPRODUCT(('C19RM 2021-Lab &amp; Other HPS'!$A$121:$D$220=E20)*('C19RM 2021-Lab &amp; Other HPS'!$BH$121:$BH$220=BJ20)*('C19RM 2021-Lab &amp; Other HPS'!$BR$121:$BR$220)*(('C19RM 2021-Lab &amp; Other HPS'!$AO$121:$AO$220)))),IF((INDEX(SETUP!$G$19:$G$503,(MATCH(1,(SETUP!$B$19:$B$503=B20)*(SETUP!$D$19:$D$503=D20),0))))=3,((SUMPRODUCT(('C19RM 2021-Lab &amp; Other HPS'!$A$121:$D$220=E20)*('C19RM 2021-Lab &amp; Other HPS'!$BH$121:$BH$220=BJ20)*('C19RM 2021-Lab &amp; Other HPS'!$BS$121:$BS$220)*(('C19RM 2021-Lab &amp; Other HPS'!$AS$121:$AS$220))))),IF((INDEX(SETUP!$G$19:$G$503,(MATCH(1,(SETUP!$B$19:$B$503=B20)*(SETUP!$D$19:$D$503=D20),0))))=2,(SUMPRODUCT(('C19RM 2021-Lab &amp; Other HPS'!$A$121:$D$220=E20)*('C19RM 2021-Lab &amp; Other HPS'!$BH$121:$BH$220=BJ20)*('C19RM 2021-Lab &amp; Other HPS'!$BS$121:$BS$220)*(('C19RM 2021-Lab &amp; Other HPS'!$AT$121:$AT$220)))),IF((INDEX(SETUP!$G$19:$G$503,(MATCH(1,(SETUP!$B$19:$B$503=B20)*(SETUP!$D$19:$D$503=D20),0))))=1,(SUMPRODUCT(('C19RM 2021-Lab &amp; Other HPS'!$A$121:$D$220=E20)*('C19RM 2021-Lab &amp; Other HPS'!$BH$121:$BH$220=BJ20)*('C19RM 2021-Lab &amp; Other HPS'!$BS$121:$BS$220)*(('C19RM 2021-Lab &amp; Other HPS'!$AU$121:$AU$220)))),0)))),0)))</f>
        <v>0</v>
      </c>
      <c r="AL20" s="359" cm="1">
        <f t="array" ref="AL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HPS'!$AS$121:$AS$220)))),IF((INDEX(SETUP!$G$19:$G$503,(MATCH(1,(SETUP!$B$19:$B$503=B20)*(SETUP!$D$19:$D$503=D20),0))))=3,(SUMPRODUCT(('C19RM 2021-Lab &amp; Other HPS'!$A$121:$D$220=E20)*('C19RM 2021-Lab &amp; Other HPS'!$BH$121:$BH$220=BJ20)*('C19RM 2021-Lab &amp; Other HPS'!$BS$121:$BS$220)*(('C19RM 2021-Lab &amp; Other HPS'!$AT$121:$AT$220)))),IF((INDEX(SETUP!$G$19:$G$503,(MATCH(1,(SETUP!$B$19:$B$503=B20)*(SETUP!$D$19:$D$503=D20),0))))=2,(SUMPRODUCT(('C19RM 2021-Lab &amp; Other HPS'!$A$121:$D$220=E20)*('C19RM 2021-Lab &amp; Other HPS'!$BH$121:$BH$220=BJ20)*('C19RM 2021-Lab &amp; Other HPS'!$BS$121:$BS$220)*(('C19RM 2021-Lab &amp; Other HPS'!$AU$121:$AU$220)))),
IF((INDEX(SETUP!$G$19:$G$503,(MATCH(1,(SETUP!$B$19:$B$503=B20)*(SETUP!$D$19:$D$503=D20),0))))=1,
(SUMPRODUCT(('C19RM 2021-Lab &amp; Other HPS'!$A$121:$D$220=E20)*('C19RM 2021-Lab &amp; Other HPS'!$BH$121:$BH$220=BJ20)*('C19RM 2021-Lab &amp; Other HPS'!$BS$121:$BS$220)*(('C19RM 2021-Lab &amp; Other HPS'!$AV$121:$AV$220)))),0)))),0)))</f>
        <v>0</v>
      </c>
      <c r="AM20" s="359" cm="1">
        <f t="array" ref="AM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HPS'!$AT$121:$AT$220)))),IF((INDEX(SETUP!$G$19:$G$503,(MATCH(1,(SETUP!$B$19:$B$503=B20)*(SETUP!$D$19:$D$503=D20),0))))=3,(SUMPRODUCT(('C19RM 2021-Lab &amp; Other HPS'!$A$121:$D$220=E20)*('C19RM 2021-Lab &amp; Other HPS'!$BH$121:$BH$220=BJ20)*('C19RM 2021-Lab &amp; Other HPS'!$BS$121:$BS$220)*(('C19RM 2021-Lab &amp; Other HPS'!$AU$121:$AU$220)))),IF((INDEX(SETUP!$G$19:$G$503,(MATCH(1,(SETUP!$B$19:$B$503=B20)*(SETUP!$D$19:$D$503=D20),0))))=2,(SUMPRODUCT(('C19RM 2021-Lab &amp; Other HPS'!$A$121:$D$220=E20)*('C19RM 2021-Lab &amp; Other HPS'!$BH$121:$BH$220=BJ20)*('C19RM 2021-Lab &amp; Other HPS'!$BS$121:$BS$220)*(('C19RM 2021-Lab &amp; Other HPS'!$AV$121:$AV$220)))),IF((INDEX(SETUP!$G$19:$G$503,(MATCH(1,(SETUP!$B$19:$B$503=B20)*(SETUP!$D$19:$D$503=D20),0))))=1,(0),0)))),0)))</f>
        <v>0</v>
      </c>
      <c r="AN20" s="359" cm="1">
        <f t="array" ref="AN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HPS'!$AU$121:$AU$220)))),IF((INDEX(SETUP!$G$19:$G$503,(MATCH(1,(SETUP!$B$19:$B$503=B20)*(SETUP!$D$19:$D$503=D20),0))))=3,(SUMPRODUCT(('C19RM 2021-Lab &amp; Other HPS'!$A$121:$D$220=E20)*('C19RM 2021-Lab &amp; Other HPS'!$BH$121:$BH$220=BJ20)*('C19RM 2021-Lab &amp; Other HPS'!$BS$121:$BS$220)*(('C19RM 2021-Lab &amp; Other HPS'!$AV$121:$AV$220)))),IF((INDEX(SETUP!$G$19:$G$503,(MATCH(1,(SETUP!$B$19:$B$503=B20)*(SETUP!$D$19:$D$503=D20),0))))=2,(0),IF((INDEX(SETUP!$G$19:$G$503,(MATCH(1,(SETUP!$B$19:$B$503=B20)*(SETUP!$D$19:$D$503=D20),0))))=1,(0),0)))),0)))</f>
        <v>0</v>
      </c>
      <c r="AO20" s="359" cm="1">
        <f t="array" ref="AO20">IF((INDEX(SETUP!$F$19:$F$503,(MATCH(1,(SETUP!$B$19:$B$503=B20)*(SETUP!$D$19:$D$503=D20),0))))="Upfront",0,(IF((INDEX(SETUP!$F$19:$F$503,(MATCH(1,(SETUP!$B$19:$B$503=B20)*(SETUP!$D$19:$D$503=D20),0))))="At delivery",IF((INDEX(SETUP!$G$19:$G$503,(MATCH(1,(SETUP!$B$19:$B$503=B20)*(SETUP!$D$19:$D$503=D20),0))))=4,(SUMPRODUCT(('C19RM 2021-Lab &amp; Other HPS'!$A$121:$D$220=E20)*('C19RM 2021-Lab &amp; Other HPS'!$BH$121:$BH$220=BJ20)*('C19RM 2021-Lab &amp; Other HPS'!$BS$121:$BS$220)*(('C19RM 2021-Lab &amp; Other HPS'!$AV$121:$AV$220)))),IF((INDEX(SETUP!$G$19:$G$503,(MATCH(1,(SETUP!$B$19:$B$503=B20)*(SETUP!$D$19:$D$503=D20),0))))=3,(0),IF((INDEX(SETUP!$G$19:$G$503,(MATCH(1,(SETUP!$B$19:$B$503=B20)*(SETUP!$D$19:$D$503=D20),0))))=2,(0),IF((INDEX(SETUP!$G$19:$G$503,(MATCH(1,(SETUP!$B$19:$B$503=B20)*(SETUP!$D$19:$D$503=D20),0))))=1,(0),0)))),0)))</f>
        <v>0</v>
      </c>
      <c r="AP20" s="359"/>
      <c r="AQ20" s="359"/>
      <c r="AR20" s="359"/>
      <c r="AS20" s="359"/>
      <c r="AT20" s="359" cm="1">
        <f t="array" ref="AT20">IF(BG20&gt;=1,0,IFERROR(SUMPRODUCT(($R$2:$AO$2=$AT$4)*($E$5:$E$100=E20)*($BC$5:$BC$100=BC20)*($R$5:$AO$100)),0))</f>
        <v>0</v>
      </c>
      <c r="AU20" s="359" cm="1">
        <f t="array" ref="AU20">IF(BG20&gt;=1,0,IFERROR(SUMPRODUCT(($R$2:$AO$2=$AU$4)*($E$5:$E$100=E20)*($BC$5:$BC$100=BC20)*($R$5:$AO$100)),0))</f>
        <v>0</v>
      </c>
      <c r="AV20" s="359" cm="1">
        <f t="array" ref="AV20">IF(BG20&gt;=1,0,IFERROR(SUMPRODUCT(($R$2:$AO$2=$AV$4)*($E$5:$E$100=E20)*($BC$5:$BC$100=BC20)*($R$5:$AO$100)),0))</f>
        <v>0</v>
      </c>
      <c r="AW20" s="359" cm="1">
        <f t="array" ref="AW20">IF(BG20&gt;=1,0,IFERROR(SUMPRODUCT(($R$2:$AO$2=$AW$4)*($E$5:$E$100=E20)*($BC$5:$BC$100=BC20)*($R$5:$AO$100)),0))</f>
        <v>0</v>
      </c>
      <c r="AX20" s="359" cm="1">
        <f t="array" ref="AX20">IF(BG20&gt;=1,0,IFERROR(SUMPRODUCT(($R$2:$AO$2=$AX$4)*($E$5:$E$100=E20)*($BC$5:$BC$100=BC20)*($R$5:$AO$100)),0))</f>
        <v>0</v>
      </c>
      <c r="AY20" s="359">
        <f t="shared" si="5"/>
        <v>0</v>
      </c>
      <c r="AZ20" s="359"/>
      <c r="BA20" s="233">
        <f t="shared" si="6"/>
        <v>0</v>
      </c>
      <c r="BB20" s="220" t="s">
        <v>83</v>
      </c>
      <c r="BC20" t="s">
        <v>1996</v>
      </c>
      <c r="BD20" cm="1">
        <f t="array" ref="BD20">(SUMPRODUCT(('C19RM 2021-Lab &amp; Other HPS'!$A$14:$D$650=E20)*('C19RM 2021-Lab &amp; Other HPS'!$BU$14:$BU$650)))</f>
        <v>0</v>
      </c>
      <c r="BE20" cm="1">
        <f t="array" ref="BE20">(SUMPRODUCT((SETUP!$D$20:$D$67=D20)*(SETUP!$R$20:$R$67)))</f>
        <v>0</v>
      </c>
      <c r="BF20" cm="1">
        <f t="array" ref="BF20">(SUMPRODUCT(('C19RM 2021-Lab &amp; Other HPS'!$A$14:$D$650=E20)*('C19RM 2021-Lab &amp; Other HPS'!$BV$14:$BV$650)))</f>
        <v>0</v>
      </c>
      <c r="BG20">
        <f t="shared" si="11"/>
        <v>0</v>
      </c>
      <c r="BJ20" s="235">
        <v>5.12</v>
      </c>
    </row>
    <row r="21" spans="1:62" x14ac:dyDescent="0.35">
      <c r="A21" s="235">
        <v>2</v>
      </c>
      <c r="B21" s="220" t="s">
        <v>2750</v>
      </c>
      <c r="C21" s="235" t="s">
        <v>3193</v>
      </c>
      <c r="D21" s="235" t="s">
        <v>19</v>
      </c>
      <c r="E21" s="235" t="s">
        <v>2759</v>
      </c>
      <c r="F21" s="220">
        <f>SETUP!$E$3</f>
        <v>0</v>
      </c>
      <c r="G21" s="220" t="str">
        <f ca="1">SETUP!$J$5</f>
        <v>NA</v>
      </c>
      <c r="H21" s="220" t="str">
        <f>SETUP!$E$9</f>
        <v>C19RM</v>
      </c>
      <c r="I21" s="232">
        <f t="shared" si="22"/>
        <v>44197</v>
      </c>
      <c r="J21" s="232">
        <f>SETUP!$L$14</f>
        <v>46022</v>
      </c>
      <c r="K21" s="220">
        <v>1</v>
      </c>
      <c r="L21">
        <f t="shared" si="23"/>
        <v>0</v>
      </c>
      <c r="M21">
        <f>SETUP!$E$7</f>
        <v>0</v>
      </c>
      <c r="N21">
        <f>SETUP!$F$76</f>
        <v>6.1</v>
      </c>
      <c r="O21" t="str" cm="1">
        <f t="array" ref="O21">INDEX(SETUP!$E$19:$E$503,(MATCH(1,(SETUP!$B$19:$B$503=B21)*(SETUP!$D$19:$D$503=D21),0)))</f>
        <v>PR/SR</v>
      </c>
      <c r="P21" t="str" cm="1">
        <f t="array" ref="P21">INDEX(SETUP!$F$19:$F$503,(MATCH(1,(SETUP!$B$19:$B$503=B21)*(SETUP!$D$19:$D$503=D21),0)))</f>
        <v>At delivery</v>
      </c>
      <c r="Q21" cm="1">
        <f t="array" ref="Q21">INDEX(SETUP!$G$19:$G$503,(MATCH(1,(SETUP!$B$19:$B$503=B21)*(SETUP!$D$19:$D$503=D21),0)))</f>
        <v>1</v>
      </c>
      <c r="R21" s="359" cm="1">
        <f t="array" ref="R21">IF((INDEX(SETUP!$F$19:$F$503,(MATCH(1,(SETUP!$B$19:$B$503=B21)*(SETUP!$D$19:$D$503=D21),0))))="Upfront",(SUMPRODUCT(('C19RM 2021-Lab &amp; Other HPS'!$A$121:$D$220=E21)*('C19RM 2021-Lab &amp; Other HPS'!$BH$121:$BH$220=BJ21)*('C19RM 2021-Lab &amp; Other HPS'!$BO$121:$BO$220)*(('C19RM 2021-Lab &amp; Other HPS'!$Q$121:$Q$220)))),0)</f>
        <v>0</v>
      </c>
      <c r="S21" s="359" cm="1">
        <f t="array" ref="S21">IF((INDEX(SETUP!$F$19:$F$503,(MATCH(1,(SETUP!$B$19:$B$503=B21)*(SETUP!$D$19:$D$503=D21),0))))="Upfront",(SUMPRODUCT(('C19RM 2021-Lab &amp; Other HPS'!$A$121:$D$220=E21)*('C19RM 2021-Lab &amp; Other HPS'!$BH$121:$BH$220=BJ21)*('C19RM 2021-Lab &amp; Other HPS'!$BO$121:$BO$220)*(('C19RM 2021-Lab &amp; Other HPS'!$R$121:$R$220)))),(IF((INDEX(SETUP!$F$19:$F$503,(MATCH(1,(SETUP!$B$19:$B$503=B21)*(SETUP!$D$19:$D$503=D21),0))))="At delivery",IF((INDEX(SETUP!$G$19:$G$503,(MATCH(1,(SETUP!$B$19:$B$503=B21)*(SETUP!$D$19:$D$503=D21),0))))=1,(SUMPRODUCT(('C19RM 2021-Lab &amp; Other HPS'!$A$121:$D$220=E21)*('C19RM 2021-Lab &amp; Other HPS'!$BH$121:$BH$220=BJ21)*('C19RM 2021-Lab &amp; Other HPS'!$BO$121:$BO$220)*(('C19RM 2021-Lab &amp; Other HPS'!$Q$121:$Q$220)))),0),0)))</f>
        <v>0</v>
      </c>
      <c r="T21" s="359" cm="1">
        <f t="array" ref="T21">IF((INDEX(SETUP!$F$19:$F$503,(MATCH(1,(SETUP!$B$19:$B$503=B21)*(SETUP!$D$19:$D$503=D21),0))))="Upfront",(SUMPRODUCT(('C19RM 2021-Lab &amp; Other HPS'!$A$121:$D$220=E21)*('C19RM 2021-Lab &amp; Other HPS'!$BH$121:$BH$220=BJ21)*('C19RM 2021-Lab &amp; Other HPS'!$BO$121:$BO$220)*(('C19RM 2021-Lab &amp; Other HPS'!$S$121:$S$220)))),(IF((INDEX(SETUP!$F$19:$F$503,(MATCH(1,(SETUP!$B$19:$B$503=B21)*(SETUP!$D$19:$D$503=D21),0))))="At delivery",IF((INDEX(SETUP!$G$19:$G$503,(MATCH(1,(SETUP!$B$19:$B$503=B21)*(SETUP!$D$19:$D$503=D21),0))))=2,(SUMPRODUCT(('C19RM 2021-Lab &amp; Other HPS'!$A$121:$D$220=E21)*('C19RM 2021-Lab &amp; Other HPS'!$BH$121:$BH$220=BJ21)*('C19RM 2021-Lab &amp; Other HPS'!$BO$121:$BO$220)*(('C19RM 2021-Lab &amp; Other HPS'!$Q$121:$Q$220)))),IF((INDEX(SETUP!$G$19:$G$503,(MATCH(1,(SETUP!$B$19:$B$503=B21)*(SETUP!$D$19:$D$503=D21),0))))=1,(SUMPRODUCT(('C19RM 2021-Lab &amp; Other HPS'!$A$121:$D$220=E21)*('C19RM 2021-Lab &amp; Other HPS'!$BH$121:$BH$220=BJ21)*('C19RM 2021-Lab &amp; Other HPS'!$BO$121:$BO$220)*(('C19RM 2021-Lab &amp; Other HPS'!$R$121:$R$220)))),0)),0)))</f>
        <v>0</v>
      </c>
      <c r="U21" s="359" cm="1">
        <f t="array" ref="U21">IF((INDEX(SETUP!$F$19:$F$503,(MATCH(1,(SETUP!$B$19:$B$503=B21)*(SETUP!$D$19:$D$503=D21),0))))="Upfront",(SUMPRODUCT(('C19RM 2021-Lab &amp; Other HPS'!$A$121:$D$220=E21)*('C19RM 2021-Lab &amp; Other HPS'!$BH$121:$BH$220=BJ21)*('C19RM 2021-Lab &amp; Other HPS'!$BO$121:$BO$220)*(('C19RM 2021-Lab &amp; Other HPS'!$T$121:$T$220)))),(IF((INDEX(SETUP!$F$19:$F$503,(MATCH(1,(SETUP!$B$19:$B$503=B21)*(SETUP!$D$19:$D$503=D21),0))))="At delivery",IF((INDEX(SETUP!$G$19:$G$503,(MATCH(1,(SETUP!$B$19:$B$503=B21)*(SETUP!$D$19:$D$503=D21),0))))=3,(SUMPRODUCT(('C19RM 2021-Lab &amp; Other HPS'!$A$121:$D$220=E21)*('C19RM 2021-Lab &amp; Other HPS'!$BH$121:$BH$220=BJ21)*('C19RM 2021-Lab &amp; Other HPS'!$BO$121:$BO$220)*(('C19RM 2021-Lab &amp; Other HPS'!$Q$121:$Q$220)))),IF((INDEX(SETUP!$G$19:$G$503,(MATCH(1,(SETUP!$B$19:$B$503=B21)*(SETUP!$D$19:$D$503=D21),0))))=2,(SUMPRODUCT(('C19RM 2021-Lab &amp; Other HPS'!$A$121:$D$220=E21)*('C19RM 2021-Lab &amp; Other HPS'!$BH$121:$BH$220=BJ21)*('C19RM 2021-Lab &amp; Other HPS'!$BO$121:$BO$220)*(('C19RM 2021-Lab &amp; Other HPS'!$R$121:$R$220)))),IF((INDEX(SETUP!$G$19:$G$503,(MATCH(1,(SETUP!$B$19:$B$503=B21)*(SETUP!$D$19:$D$503=D21),0))))=1,(SUMPRODUCT(('C19RM 2021-Lab &amp; Other HPS'!$A$121:$D$220=E21)*('C19RM 2021-Lab &amp; Other HPS'!$BH$121:$BH$220=BJ21)*('C19RM 2021-Lab &amp; Other HPS'!$BO$121:$BO$220)*(('C19RM 2021-Lab &amp; Other HPS'!$S$121:$S$220)))),0))),0)))</f>
        <v>0</v>
      </c>
      <c r="V21" s="359" cm="1">
        <f t="array" ref="V21">IF((INDEX(SETUP!$F$19:$F$503,(MATCH(1,(SETUP!$B$19:$B$503=B21)*(SETUP!$D$19:$D$503=D21),0))))="Upfront",(SUMPRODUCT(('C19RM 2021-Lab &amp; Other HPS'!$A$121:$D$220=E21)*('C19RM 2021-Lab &amp; Other HPS'!$BH$121:$BH$220=BJ21)*('C19RM 2021-Lab &amp; Other HPS'!$BP$121:$BP$220)*(('C19RM 2021-Lab &amp; Other HPS'!$X$121:$X$220)))),(IF((INDEX(SETUP!$F$19:$F$503,(MATCH(1,(SETUP!$B$19:$B$503=B21)*(SETUP!$D$19:$D$503=D21),0))))="At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HPS'!$Q$121:$Q$220)))),IF((INDEX(SETUP!$G$19:$G$503,(MATCH(1,(SETUP!$B$19:$B$503=B21)*(SETUP!$D$19:$D$503=D21),0))))=3,(SUMPRODUCT(('C19RM 2021-Lab &amp; Other HPS'!$A$121:$D$220=E21)*('C19RM 2021-Lab &amp; Other HPS'!$BH$121:$BH$220=BJ21)*('C19RM 2021-Lab &amp; Other HPS'!$BO$121:$BO$220)*(('C19RM 2021-Lab &amp; Other HPS'!$R$121:$R$220)))),IF((INDEX(SETUP!$G$19:$G$503,(MATCH(1,(SETUP!$B$19:$B$503=B21)*(SETUP!$D$19:$D$503=D21),0))))=2,(SUMPRODUCT(('C19RM 2021-Lab &amp; Other HPS'!$A$121:$D$220=E21)*('C19RM 2021-Lab &amp; Other HPS'!$BH$121:$BH$220=BJ21)*('C19RM 2021-Lab &amp; Other HPS'!$BO$121:$BO$220)*(('C19RM 2021-Lab &amp; Other HPS'!$S$121:$S$220)))),IF((INDEX(SETUP!$G$19:$G$503,(MATCH(1,(SETUP!$B$19:$B$503=B21)*(SETUP!$D$19:$D$503=D21),0))))=1,(SUMPRODUCT(('C19RM 2021-Lab &amp; Other HPS'!$A$121:$D$220=E21)*('C19RM 2021-Lab &amp; Other HPS'!$BH$121:$BH$220=BJ21)*('C19RM 2021-Lab &amp; Other HPS'!$BO$121:$BO$220)*(('C19RM 2021-Lab &amp; Other HPS'!$T$121:$T$220)))),0)))),0)))</f>
        <v>0</v>
      </c>
      <c r="W21" s="359" cm="1">
        <f t="array" ref="W21">IF((INDEX(SETUP!$F$19:$F$503,(MATCH(1,(SETUP!$B$19:$B$503=B21)*(SETUP!$D$19:$D$503=D21),0))))="Upfront",(SUMPRODUCT(('C19RM 2021-Lab &amp; Other HPS'!$A$121:$D$220=E21)*('C19RM 2021-Lab &amp; Other HPS'!$BH$121:$BH$220=BJ21)*('C19RM 2021-Lab &amp; Other HPS'!$BP$121:$BP$220)*(('C19RM 2021-Lab &amp; Other HPS'!$Y$121:$Y$220)))),(IF((INDEX(SETUP!$F$19:$F$503,(MATCH(1,(SETUP!$B$19:$B$503=B21)*(SETUP!$D$19:$D$503=D21),0))))="At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HPS'!$R$121:$R$220)))),IF((INDEX(SETUP!$G$19:$G$503,(MATCH(1,(SETUP!$B$19:$B$503=B21)*(SETUP!$D$19:$D$503=D21),0))))=3,(SUMPRODUCT(('C19RM 2021-Lab &amp; Other HPS'!$A$121:$D$220=E21)*('C19RM 2021-Lab &amp; Other HPS'!$BH$121:$BH$220=BJ21)*('C19RM 2021-Lab &amp; Other HPS'!$BO$121:$BO$220)*(('C19RM 2021-Lab &amp; Other HPS'!$S$121:$S$220)))),IF((INDEX(SETUP!$G$19:$G$503,(MATCH(1,(SETUP!$B$19:$B$503=B21)*(SETUP!$D$19:$D$503=D21),0))))=2,((SUMPRODUCT(('C19RM 2021-Lab &amp; Other HPS'!$A$121:$D$220=E21)*('C19RM 2021-Lab &amp; Other HPS'!$BH$121:$BH$220=BJ21)*('C19RM 2021-Lab &amp; Other HPS'!$BO$121:$BO$220)*(('C19RM 2021-Lab &amp; Other HPS'!$T$121:$T$220))))),IF((INDEX(SETUP!$G$19:$G$503,(MATCH(1,(SETUP!$B$19:$B$503=B21)*(SETUP!$D$19:$D$503=D21),0))))=1,(SUMPRODUCT(('C19RM 2021-Lab &amp; Other HPS'!$A$121:$D$220=E21)*('C19RM 2021-Lab &amp; Other HPS'!$BH$121:$BH$220=BJ21)*('C19RM 2021-Lab &amp; Other HPS'!$BP$121:$BP$220)*(('C19RM 2021-Lab &amp; Other HPS'!$X$121:$X$220)))),0)))),0)))</f>
        <v>0</v>
      </c>
      <c r="X21" s="359" cm="1">
        <f t="array" ref="X21">IF((INDEX(SETUP!$F$19:$F$503,(MATCH(1,(SETUP!$B$19:$B$503=B21)*(SETUP!$D$19:$D$503=D21),0))))="Upfront",(SUMPRODUCT(('C19RM 2021-Lab &amp; Other HPS'!$A$121:$D$220=E21)*('C19RM 2021-Lab &amp; Other HPS'!$BH$121:$BH$220=BJ21)*('C19RM 2021-Lab &amp; Other HPS'!$BP$121:$BP$220)*(('C19RM 2021-Lab &amp; Other HPS'!$Z$121:$Z$220)))),(IF((INDEX(SETUP!$F$19:$F$503,(MATCH(1,(SETUP!$B$19:$B$503=B21)*(SETUP!$D$19:$D$503=D21),0))))="At delivery",IF((INDEX(SETUP!$G$19:$G$503,(MATCH(1,(SETUP!$B$19:$B$503=B21)*(SETUP!$D$19:$D$503=D21),0))))=4,(SUMPRODUCT(('C19RM 2021-Lab &amp; Other HPS'!$A$121:$D$220=E21)*('C19RM 2021-Lab &amp; Other HPS'!$BH$121:$BH$220=BJ21)*('C19RM 2021-Lab &amp; Other HPS'!$BO$121:$BO$220)*(('C19RM 2021-Lab &amp; Other HPS'!$S$121:$S$220)))),IF((INDEX(SETUP!$G$19:$G$503,(MATCH(1,(SETUP!$B$19:$B$503=B21)*(SETUP!$D$19:$D$503=D21),0))))=3,((SUMPRODUCT(('C19RM 2021-Lab &amp; Other HPS'!$A$121:$D$220=E21)*('C19RM 2021-Lab &amp; Other HPS'!$BH$121:$BH$220=BJ21)*('C19RM 2021-Lab &amp; Other HPS'!$BO$121:$BO$220)*(('C19RM 2021-Lab &amp; Other HPS'!$T$121:$T$220))))),IF((INDEX(SETUP!$G$19:$G$503,(MATCH(1,(SETUP!$B$19:$B$503=B21)*(SETUP!$D$19:$D$503=D21),0))))=2,(SUMPRODUCT(('C19RM 2021-Lab &amp; Other HPS'!$A$121:$D$220=E21)*('C19RM 2021-Lab &amp; Other HPS'!$BH$121:$BH$220=BJ21)*('C19RM 2021-Lab &amp; Other HPS'!$BP$121:$BP$220)*(('C19RM 2021-Lab &amp; Other HPS'!$X$121:$X$220)))),IF((INDEX(SETUP!$G$19:$G$503,(MATCH(1,(SETUP!$B$19:$B$503=B21)*(SETUP!$D$19:$D$503=D21),0))))=1,(SUMPRODUCT(('C19RM 2021-Lab &amp; Other HPS'!$A$121:$D$220=E21)*('C19RM 2021-Lab &amp; Other HPS'!$BH$121:$BH$220=BJ21)*('C19RM 2021-Lab &amp; Other HPS'!$BP$121:$BP$220)*(('C19RM 2021-Lab &amp; Other HPS'!$Y$121:$Y$220)))),0)))),0)))</f>
        <v>0</v>
      </c>
      <c r="Y21" s="359" cm="1">
        <f t="array" ref="Y21">IF((INDEX(SETUP!$F$19:$F$503,(MATCH(1,(SETUP!$B$19:$B$503=B21)*(SETUP!$D$19:$D$503=D21),0))))="Upfront",
(SUMPRODUCT(('C19RM 2021-Lab &amp; Other HPS'!$A$121:$D$220=E21)*('C19RM 2021-Lab &amp; Other HPS'!$BH$121:$BH$220=BJ21)*('C19RM 2021-Lab &amp; Other HPS'!$BP$121:$BP$220)*(('C19RM 2021-Lab &amp; Other HPS'!$AA$121:$AA$220)))),
(IF((INDEX(SETUP!$F$19:$F$503,(MATCH(1,(SETUP!$B$19:$B$503=B21)*(SETUP!$D$19:$D$503=D21),0))))="At delivery",
IF((INDEX(SETUP!$G$19:$G$503,(MATCH(1,(SETUP!$B$19:$B$503=B21)*(SETUP!$D$19:$D$503=D21),0))))=4,
((SUMPRODUCT(('C19RM 2021-Lab &amp; Other HPS'!$A$121:$D$220=E21)*('C19RM 2021-Lab &amp; Other HPS'!$BH$121:$BH$220=BJ21)*('C19RM 2021-Lab &amp; Other HPS'!$BO$121:$BO$220)*(('C19RM 2021-Lab &amp; Other HPS'!$T$121:$T$220))))),IF((INDEX(SETUP!$G$19:$G$503,(MATCH(1,(SETUP!$B$19:$B$503=B21)*(SETUP!$D$19:$D$503=D21),0))))=3,(SUMPRODUCT(('C19RM 2021-Lab &amp; Other HPS'!$A$121:$D$220=E21)*('C19RM 2021-Lab &amp; Other HPS'!$BH$121:$BH$220=BJ21)*('C19RM 2021-Lab &amp; Other HPS'!$BP$121:$BP$220)*(('C19RM 2021-Lab &amp; Other HPS'!$X$121:$X$220)))),IF((INDEX(SETUP!$G$19:$G$503,(MATCH(1,(SETUP!$B$19:$B$503=B21)*(SETUP!$D$19:$D$503=D21),0))))=2,(SUMPRODUCT(('C19RM 2021-Lab &amp; Other HPS'!$A$121:$D$220=E21)*('C19RM 2021-Lab &amp; Other HPS'!$BH$121:$BH$220=BJ21)*('C19RM 2021-Lab &amp; Other HPS'!$BP$121:$BP$220)*(('C19RM 2021-Lab &amp; Other HPS'!$Y$121:$Y$220)))),IF((INDEX(SETUP!$G$19:$G$503,(MATCH(1,(SETUP!$B$19:$B$503=B21)*(SETUP!$D$19:$D$503=D21),0))))=1,(SUMPRODUCT(('C19RM 2021-Lab &amp; Other HPS'!$A$121:$D$220=E21)*('C19RM 2021-Lab &amp; Other HPS'!$BH$121:$BH$220=BJ21)*('C19RM 2021-Lab &amp; Other HPS'!$BP$121:$BP$220)*(('C19RM 2021-Lab &amp; Other HPS'!$Z$121:$Z$220)))),0)))),0)))</f>
        <v>0</v>
      </c>
      <c r="Z21" s="359" cm="1">
        <f t="array" ref="Z21">IF((INDEX(SETUP!$F$19:$F$503,(MATCH(1,(SETUP!$B$19:$B$503=B21)*(SETUP!$D$19:$D$503=D21),0))))="Upfront",(SUMPRODUCT(('C19RM 2021-Lab &amp; Other HPS'!$A$121:$D$220=E21)*('C19RM 2021-Lab &amp; Other HPS'!$BH$121:$BH$220=BJ21)*('C19RM 2021-Lab &amp; Other HPS'!$BQ$121:$BQ$220)*(('C19RM 2021-Lab &amp; Other HPS'!$AE$121:$AE$220)))),(IF((INDEX(SETUP!$F$19:$F$503,(MATCH(1,(SETUP!$B$19:$B$503=B21)*(SETUP!$D$19:$D$503=D21),0))))="At delivery",IF((INDEX(SETUP!$G$19:$G$503,(MATCH(1,(SETUP!$B$19:$B$503=B21)*(SETUP!$D$19:$D$503=D21),0))))=4,(SUMPRODUCT(('C19RM 2021-Lab &amp; Other HPS'!$A$121:$D$220=E21)*('C19RM 2021-Lab &amp; Other HPS'!$BH$121:$BH$220=BJ21)*('C19RM 2021-Lab &amp; Other HPS'!$BP$121:$BP$220)*(('C19RM 2021-Lab &amp; Other HPS'!$X$121:$X$220)))),IF((INDEX(SETUP!$G$19:$G$503,(MATCH(1,(SETUP!$B$19:$B$503=B21)*(SETUP!$D$19:$D$503=D21),0))))=3,(SUMPRODUCT(('C19RM 2021-Lab &amp; Other HPS'!$A$121:$D$220=E21)*('C19RM 2021-Lab &amp; Other HPS'!$BH$121:$BH$220=BJ21)*('C19RM 2021-Lab &amp; Other HPS'!$BP$121:$BP$220)*(('C19RM 2021-Lab &amp; Other HPS'!$Y$121:$Y$220)))),IF((INDEX(SETUP!$G$19:$G$503,(MATCH(1,(SETUP!$B$19:$B$503=B21)*(SETUP!$D$19:$D$503=D21),0))))=2,(SUMPRODUCT(('C19RM 2021-Lab &amp; Other HPS'!$A$121:$D$220=E21)*('C19RM 2021-Lab &amp; Other HPS'!$BH$121:$BH$220=BJ21)*('C19RM 2021-Lab &amp; Other HPS'!$BP$121:$BP$220)*(('C19RM 2021-Lab &amp; Other HPS'!$Z$121:$Z$220)))),IF((INDEX(SETUP!$G$19:$G$503,(MATCH(1,(SETUP!$B$19:$B$503=B21)*(SETUP!$D$19:$D$503=D21),0))))=1,(SUMPRODUCT(('C19RM 2021-Lab &amp; Other HPS'!$A$121:$D$220=E21)*('C19RM 2021-Lab &amp; Other HPS'!$BH$121:$BH$220=BJ21)*('C19RM 2021-Lab &amp; Other HPS'!$BP$121:$BP$220)*(('C19RM 2021-Lab &amp; Other HPS'!$AA$121:$AA$220)))),0)))),0)))</f>
        <v>0</v>
      </c>
      <c r="AA21" s="359" cm="1">
        <f t="array" ref="AA21">IF((INDEX(SETUP!$F$19:$F$503,(MATCH(1,(SETUP!$B$19:$B$503=B21)*(SETUP!$D$19:$D$503=D21),0))))="Upfront",(SUMPRODUCT(('C19RM 2021-Lab &amp; Other HPS'!$A$121:$D$220=E21)*('C19RM 2021-Lab &amp; Other HPS'!$BH$121:$BH$220=BJ21)*('C19RM 2021-Lab &amp; Other HPS'!$BQ$121:$BQ$220)*(('C19RM 2021-Lab &amp; Other HPS'!$AF$121:$AF$220)))),(IF((INDEX(SETUP!$F$19:$F$503,(MATCH(1,(SETUP!$B$19:$B$503=B21)*(SETUP!$D$19:$D$503=D21),0))))="At delivery",IF((INDEX(SETUP!$G$19:$G$503,(MATCH(1,(SETUP!$B$19:$B$503=B21)*(SETUP!$D$19:$D$503=D21),0))))=4,(SUMPRODUCT(('C19RM 2021-Lab &amp; Other HPS'!$A$121:$D$220=E21)*('C19RM 2021-Lab &amp; Other HPS'!$BH$121:$BH$220=BJ21)*('C19RM 2021-Lab &amp; Other HPS'!$BP$121:$BP$220)*(('C19RM 2021-Lab &amp; Other HPS'!$Y$121:$Y$220)))),IF((INDEX(SETUP!$G$19:$G$503,(MATCH(1,(SETUP!$B$19:$B$503=B21)*(SETUP!$D$19:$D$503=D21),0))))=3,(SUMPRODUCT(('C19RM 2021-Lab &amp; Other HPS'!$A$121:$D$220=E21)*('C19RM 2021-Lab &amp; Other HPS'!$BH$121:$BH$220=BJ21)*('C19RM 2021-Lab &amp; Other HPS'!$BP$121:$BP$220)*(('C19RM 2021-Lab &amp; Other HPS'!$Z$121:$Z$220)))),IF((INDEX(SETUP!$G$19:$G$503,(MATCH(1,(SETUP!$B$19:$B$503=B21)*(SETUP!$D$19:$D$503=D21),0))))=2,((SUMPRODUCT(('C19RM 2021-Lab &amp; Other HPS'!$A$121:$D$220=E21)*('C19RM 2021-Lab &amp; Other HPS'!$BH$121:$BH$220=BJ21)*('C19RM 2021-Lab &amp; Other HPS'!$BP$121:$BP$220)*(('C19RM 2021-Lab &amp; Other HPS'!$AA$121:$AA$220))))),IF((INDEX(SETUP!$G$19:$G$503,(MATCH(1,(SETUP!$B$19:$B$503=B21)*(SETUP!$D$19:$D$503=D21),0))))=1,(SUMPRODUCT(('C19RM 2021-Lab &amp; Other HPS'!$A$121:$D$220=E21)*('C19RM 2021-Lab &amp; Other HPS'!$BH$121:$BH$220=BJ21)*('C19RM 2021-Lab &amp; Other HPS'!$BQ$121:$BQ$220)*(('C19RM 2021-Lab &amp; Other HPS'!$AE$121:$AE$220)))),0)))),0)))</f>
        <v>0</v>
      </c>
      <c r="AB21" s="359" cm="1">
        <f t="array" ref="AB21">IF((INDEX(SETUP!$F$19:$F$503,(MATCH(1,(SETUP!$B$19:$B$503=B21)*(SETUP!$D$19:$D$503=D21),0))))="Upfront",
(SUMPRODUCT(('C19RM 2021-Lab &amp; Other HPS'!$A$121:$D$220=E21)*('C19RM 2021-Lab &amp; Other HPS'!$BH$121:$BH$220=BJ21)*('C19RM 2021-Lab &amp; Other HPS'!$BQ$121:$BQ$220)*(('C19RM 2021-Lab &amp; Other HPS'!$AG$121:$AG$220)))),
(IF((INDEX(SETUP!$F$19:$F$503,(MATCH(1,(SETUP!$B$19:$B$503=B21)*(SETUP!$D$19:$D$503=D21),0))))="At delivery",
IF((INDEX(SETUP!$G$19:$G$503,(MATCH(1,(SETUP!$B$19:$B$503=B21)*(SETUP!$D$19:$D$503=D21),0))))=4,
(SUMPRODUCT(('C19RM 2021-Lab &amp; Other HPS'!$A$121:$D$220=E21)*('C19RM 2021-Lab &amp; Other HPS'!$BH$121:$BH$220=BJ21)*('C19RM 2021-Lab &amp; Other HPS'!$BP$121:$BP$220)*(('C19RM 2021-Lab &amp; Other HPS'!$Z$121:$Z$220)))),IF((INDEX(SETUP!$G$19:$G$503,(MATCH(1,(SETUP!$B$19:$B$503=B21)*(SETUP!$D$19:$D$503=D21),0))))=3,(SUMPRODUCT(('C19RM 2021-Lab &amp; Other HPS'!$A$121:$D$220=E21)*('C19RM 2021-Lab &amp; Other HPS'!$BH$121:$BH$220=BJ21)*('C19RM 2021-Lab &amp; Other HPS'!$BP$121:$BP$220)*(('C19RM 2021-Lab &amp; Other HPS'!$AA$121:$AA$220)))),IF((INDEX(SETUP!$G$19:$G$503,(MATCH(1,(SETUP!$B$19:$B$503=B21)*(SETUP!$D$19:$D$503=D21),0))))=2,(SUMPRODUCT(('C19RM 2021-Lab &amp; Other HPS'!$A$121:$D$220=E21)*('C19RM 2021-Lab &amp; Other HPS'!$BH$121:$BH$220=BJ21)*('C19RM 2021-Lab &amp; Other HPS'!$BQ$121:$BQ$220)*(('C19RM 2021-Lab &amp; Other HPS'!$AE$121:$AE$220)))),IF((INDEX(SETUP!$G$19:$G$503,(MATCH(1,(SETUP!$B$19:$B$503=B21)*(SETUP!$D$19:$D$503=D21),0))))=1,(SUMPRODUCT(('C19RM 2021-Lab &amp; Other HPS'!$A$121:$D$220=E21)*('C19RM 2021-Lab &amp; Other HPS'!$BH$121:$BH$220=BJ21)*('C19RM 2021-Lab &amp; Other HPS'!$BQ$121:$BQ$220)*(('C19RM 2021-Lab &amp; Other HPS'!$AF$121:$AF$220)))),0)))),0)))</f>
        <v>0</v>
      </c>
      <c r="AC21" s="359" cm="1">
        <f t="array" ref="AC21">IF((INDEX(SETUP!$F$19:$F$503,(MATCH(1,(SETUP!$B$19:$B$503=B21)*(SETUP!$D$19:$D$503=D21),0))))="Upfront",
(SUMPRODUCT(('C19RM 2021-Lab &amp; Other HPS'!$A$121:$D$220=E21)*('C19RM 2021-Lab &amp; Other HPS'!$BH$121:$BH$220=BJ21)*('C19RM 2021-Lab &amp; Other HPS'!$BQ$121:$BQ$220)*(('C19RM 2021-Lab &amp; Other HPS'!$AH$121:$AH$220)))),
(IF((INDEX(SETUP!$F$19:$F$503,(MATCH(1,(SETUP!$B$19:$B$503=B21)*(SETUP!$D$19:$D$503=D21),0))))="At delivery",
IF((INDEX(SETUP!$G$19:$G$503,(MATCH(1,(SETUP!$B$19:$B$503=B21)*(SETUP!$D$19:$D$503=D21),0))))=4,
(SUMPRODUCT(('C19RM 2021-Lab &amp; Other HPS'!$A$121:$D$220=E21)*('C19RM 2021-Lab &amp; Other HPS'!$BH$121:$BH$220=BJ21)*('C19RM 2021-Lab &amp; Other HPS'!$BP$121:$BP$220)*(('C19RM 2021-Lab &amp; Other HPS'!$AA$121:$AA$220)))),IF((INDEX(SETUP!$G$19:$G$503,(MATCH(1,(SETUP!$B$19:$B$503=B21)*(SETUP!$D$19:$D$503=D21),0))))=3,(SUMPRODUCT(('C19RM 2021-Lab &amp; Other HPS'!$A$121:$D$220=E21)*('C19RM 2021-Lab &amp; Other HPS'!$BH$121:$BH$220=BJ21)*('C19RM 2021-Lab &amp; Other HPS'!$BQ$121:$BQ$220)*(('C19RM 2021-Lab &amp; Other HPS'!$AE$121:$AE$220)))),IF((INDEX(SETUP!$G$19:$G$503,(MATCH(1,(SETUP!$B$19:$B$503=B21)*(SETUP!$D$19:$D$503=D21),0))))=2,(SUMPRODUCT(('C19RM 2021-Lab &amp; Other HPS'!$A$121:$D$220=E21)*('C19RM 2021-Lab &amp; Other HPS'!$BH$121:$BH$220=BJ21)*('C19RM 2021-Lab &amp; Other HPS'!$BQ$121:$BQ$220)*(('C19RM 2021-Lab &amp; Other HPS'!$AF$121:$AF$220)))),IF((INDEX(SETUP!$G$19:$G$503,(MATCH(1,(SETUP!$B$19:$B$503=B21)*(SETUP!$D$19:$D$503=D21),0))))=1,(SUMPRODUCT(('C19RM 2021-Lab &amp; Other HPS'!$A$121:$D$220=E21)*('C19RM 2021-Lab &amp; Other HPS'!$BH$121:$BH$220=BJ21)*('C19RM 2021-Lab &amp; Other HPS'!$BQ$121:$BQ$220)*(('C19RM 2021-Lab &amp; Other HPS'!$AG$121:$AG$220)))),0)))),0)))</f>
        <v>0</v>
      </c>
      <c r="AD21" s="359" cm="1">
        <f t="array" ref="AD21">IF((INDEX(SETUP!$F$19:$F$503,(MATCH(1,(SETUP!$B$19:$B$503=B21)*(SETUP!$D$19:$D$503=D21),0))))="Upfront",
(SUMPRODUCT(('C19RM 2021-Lab &amp; Other HPS'!$A$121:$D$220=E21)*('C19RM 2021-Lab &amp; Other HPS'!$BH$121:$BH$220=BJ21)*('C19RM 2021-Lab &amp; Other HPS'!$BR$121:$BR$220)*(('C19RM 2021-Lab &amp; Other HPS'!$AL$121:$AL$220)))),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HPS'!$AE$121:$AE$220)))),IF((INDEX(SETUP!$G$19:$G$503,(MATCH(1,(SETUP!$B$19:$B$503=B21)*(SETUP!$D$19:$D$503=D21),0))))=3,((SUMPRODUCT(('C19RM 2021-Lab &amp; Other HPS'!$A$121:$D$220=E21)*('C19RM 2021-Lab &amp; Other HPS'!$BH$121:$BH$220=BJ21)*('C19RM 2021-Lab &amp; Other HPS'!$BQ$121:$BQ$220)*(('C19RM 2021-Lab &amp; Other HPS'!$AF$121:$AF$220))))),IF((INDEX(SETUP!$G$19:$G$503,(MATCH(1,(SETUP!$B$19:$B$503=B21)*(SETUP!$D$19:$D$503=D21),0))))=2,(SUMPRODUCT(('C19RM 2021-Lab &amp; Other HPS'!$A$121:$D$220=E21)*('C19RM 2021-Lab &amp; Other HPS'!$BH$121:$BH$220=BJ21)*('C19RM 2021-Lab &amp; Other HPS'!$BQ$121:$BQ$220)*(('C19RM 2021-Lab &amp; Other HPS'!$AG$121:$AG$220)))),IF((INDEX(SETUP!$G$19:$G$503,(MATCH(1,(SETUP!$B$19:$B$503=B21)*(SETUP!$D$19:$D$503=D21),0))))=1,(SUMPRODUCT(('C19RM 2021-Lab &amp; Other HPS'!$A$121:$D$220=E21)*('C19RM 2021-Lab &amp; Other HPS'!$BH$121:$BH$220=BJ21)*('C19RM 2021-Lab &amp; Other HPS'!$BQ$121:$BQ$220)*(('C19RM 2021-Lab &amp; Other HPS'!$AH$121:$AH$220)))),0)))),0)))</f>
        <v>0</v>
      </c>
      <c r="AE21" s="359" cm="1">
        <f t="array" ref="AE21">IF((INDEX(SETUP!$F$19:$F$503,(MATCH(1,(SETUP!$B$19:$B$503=B21)*(SETUP!$D$19:$D$503=D21),0))))="Upfront",
(SUMPRODUCT(('C19RM 2021-Lab &amp; Other HPS'!$A$121:$D$220=E21)*('C19RM 2021-Lab &amp; Other HPS'!$BH$121:$BH$220=BJ21)*('C19RM 2021-Lab &amp; Other HPS'!$BR$121:$BR$220)*(('C19RM 2021-Lab &amp; Other HPS'!$AM$121:$AM$220)))),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HPS'!$AF$121:$AF$220)))),IF((INDEX(SETUP!$G$19:$G$503,(MATCH(1,(SETUP!$B$19:$B$503=B21)*(SETUP!$D$19:$D$503=D21),0))))=3,(SUMPRODUCT(('C19RM 2021-Lab &amp; Other HPS'!$A$121:$D$220=E21)*('C19RM 2021-Lab &amp; Other HPS'!$BH$121:$BH$220=BJ21)*('C19RM 2021-Lab &amp; Other HPS'!$BQ$121:$BQ$220)*(('C19RM 2021-Lab &amp; Other HPS'!$AG$121:$AG$220)))),IF((INDEX(SETUP!$G$19:$G$503,(MATCH(1,(SETUP!$B$19:$B$503=B21)*(SETUP!$D$19:$D$503=D21),0))))=2,(SUMPRODUCT(('C19RM 2021-Lab &amp; Other HPS'!$A$121:$D$220=E21)*('C19RM 2021-Lab &amp; Other HPS'!$BH$121:$BH$220=BJ21)*('C19RM 2021-Lab &amp; Other HPS'!$BQ$121:$BQ$220)*(('C19RM 2021-Lab &amp; Other HPS'!$AH$121:$AH$220)))),IF((INDEX(SETUP!$G$19:$G$503,(MATCH(1,(SETUP!$B$19:$B$503=B21)*(SETUP!$D$19:$D$503=D21),0))))=1,(SUMPRODUCT(('C19RM 2021-Lab &amp; Other HPS'!$A$121:$D$220=E21)*('C19RM 2021-Lab &amp; Other HPS'!$BH$121:$BH$220=BJ21)*('C19RM 2021-Lab &amp; Other HPS'!$BR$121:$BR$220)*(('C19RM 2021-Lab &amp; Other HPS'!$AL$121:$AL$220)))),0)))),0)))</f>
        <v>0</v>
      </c>
      <c r="AF21" s="359" cm="1">
        <f t="array" ref="AF21">IF((INDEX(SETUP!$F$19:$F$503,(MATCH(1,(SETUP!$B$19:$B$503=B21)*(SETUP!$D$19:$D$503=D21),0))))="Upfront",
(SUMPRODUCT(('C19RM 2021-Lab &amp; Other HPS'!$A$121:$D$220=E21)*('C19RM 2021-Lab &amp; Other HPS'!$BH$121:$BH$220=BJ21)*('C19RM 2021-Lab &amp; Other HPS'!$BR$121:$BR$220)*(('C19RM 2021-Lab &amp; Other HPS'!$AN$121:$AN$220)))),
(IF((INDEX(SETUP!$F$19:$F$503,(MATCH(1,(SETUP!$B$19:$B$503=B21)*(SETUP!$D$19:$D$503=D21),0))))="At delivery",
IF((INDEX(SETUP!$G$19:$G$503,(MATCH(1,(SETUP!$B$19:$B$503=B21)*(SETUP!$D$19:$D$503=D21),0))))=4,
(SUMPRODUCT(('C19RM 2021-Lab &amp; Other HPS'!$A$121:$D$220=E21)*('C19RM 2021-Lab &amp; Other HPS'!$BH$121:$BH$220=BJ21)*('C19RM 2021-Lab &amp; Other HPS'!$BQ$121:$BQ$220)*(('C19RM 2021-Lab &amp; Other HPS'!$AG$121:$AG$220)))),IF((INDEX(SETUP!$G$19:$G$503,(MATCH(1,(SETUP!$B$19:$B$503=B21)*(SETUP!$D$19:$D$503=D21),0))))=3,(SUMPRODUCT(('C19RM 2021-Lab &amp; Other HPS'!$A$121:$D$220=E21)*('C19RM 2021-Lab &amp; Other HPS'!$BH$121:$BH$220=BJ21)*('C19RM 2021-Lab &amp; Other HPS'!$BQ$121:$BQ$220)*(('C19RM 2021-Lab &amp; Other HPS'!$AH$121:$AH$220)))),IF((INDEX(SETUP!$G$19:$G$503,(MATCH(1,(SETUP!$B$19:$B$503=B21)*(SETUP!$D$19:$D$503=D21),0))))=2,(SUMPRODUCT(('C19RM 2021-Lab &amp; Other HPS'!$A$121:$D$220=E21)*('C19RM 2021-Lab &amp; Other HPS'!$BH$121:$BH$220=BJ21)*('C19RM 2021-Lab &amp; Other HPS'!$BR$121:$BR$220)*(('C19RM 2021-Lab &amp; Other HPS'!$AL$121:$AL$220)))),IF((INDEX(SETUP!$G$19:$G$503,(MATCH(1,(SETUP!$B$19:$B$503=B21)*(SETUP!$D$19:$D$503=D21),0))))=1,(SUMPRODUCT(('C19RM 2021-Lab &amp; Other HPS'!$A$121:$D$220=E21)*('C19RM 2021-Lab &amp; Other HPS'!$BH$121:$BH$220=BJ21)*('C19RM 2021-Lab &amp; Other HPS'!$BR$121:$BR$220)*(('C19RM 2021-Lab &amp; Other HPS'!$AM$121:$AM$220)))),0)))),0)))</f>
        <v>0</v>
      </c>
      <c r="AG21" s="359" cm="1">
        <f t="array" ref="AG21">IF((INDEX(SETUP!$F$19:$F$503,(MATCH(1,(SETUP!$B$19:$B$503=B21)*(SETUP!$D$19:$D$503=D21),0))))="Upfront",(SUMPRODUCT(('C19RM 2021-Lab &amp; Other HPS'!$A$121:$D$220=E21)*('C19RM 2021-Lab &amp; Other HPS'!$BH$121:$BH$220=BJ21)*('C19RM 2021-Lab &amp; Other HPS'!$BR$121:$BR$220)*(('C19RM 2021-Lab &amp; Other HPS'!$AO$121:$AO$220)))),(IF((INDEX(SETUP!$F$19:$F$503,(MATCH(1,(SETUP!$B$19:$B$503=B21)*(SETUP!$D$19:$D$503=D21),0))))="At delivery",IF((INDEX(SETUP!$G$19:$G$503,(MATCH(1,(SETUP!$B$19:$B$503=B21)*(SETUP!$D$19:$D$503=D21),0))))=4,(SUMPRODUCT(('C19RM 2021-Lab &amp; Other HPS'!$A$121:$D$220=E21)*('C19RM 2021-Lab &amp; Other HPS'!$BH$121:$BH$220=BJ21)*('C19RM 2021-Lab &amp; Other HPS'!$BQ$121:$BQ$220)*(('C19RM 2021-Lab &amp; Other HPS'!$AH$121:$AH$220)))),IF((INDEX(SETUP!$G$19:$G$503,(MATCH(1,(SETUP!$B$19:$B$503=B21)*(SETUP!$D$19:$D$503=D21),0))))=3,(SUMPRODUCT(('C19RM 2021-Lab &amp; Other HPS'!$A$121:$D$220=E21)*('C19RM 2021-Lab &amp; Other HPS'!$BH$121:$BH$220=BJ21)*('C19RM 2021-Lab &amp; Other HPS'!$BR$121:$BR$220)*(('C19RM 2021-Lab &amp; Other HPS'!$AL$121:$AL$220)))),IF((INDEX(SETUP!$G$19:$G$503,(MATCH(1,(SETUP!$B$19:$B$503=B21)*(SETUP!$D$19:$D$503=D21),0))))=2,(SUMPRODUCT(('C19RM 2021-Lab &amp; Other HPS'!$A$121:$D$220=E21)*('C19RM 2021-Lab &amp; Other HPS'!$BH$121:$BH$220=BJ21)*('C19RM 2021-Lab &amp; Other HPS'!$BR$121:$BR$220)*(('C19RM 2021-Lab &amp; Other HPS'!$AM$121:$AM$220)))),IF((INDEX(SETUP!$G$19:$G$503,(MATCH(1,(SETUP!$B$19:$B$503=B21)*(SETUP!$D$19:$D$503=D21),0))))=1,(SUMPRODUCT(('C19RM 2021-Lab &amp; Other HPS'!$A$121:$D$220=E21)*('C19RM 2021-Lab &amp; Other HPS'!$BH$121:$BH$220=BJ21)*('C19RM 2021-Lab &amp; Other HPS'!$BR$121:$BR$220)*(('C19RM 2021-Lab &amp; Other HPS'!$AN$121:$AN$220)))),0)))),0)))</f>
        <v>0</v>
      </c>
      <c r="AH21" s="359" cm="1">
        <f t="array" ref="AH21">IF((INDEX(SETUP!$F$19:$F$503,(MATCH(1,(SETUP!$B$19:$B$503=B21)*(SETUP!$D$19:$D$503=D21),0))))="Upfront",
(SUMPRODUCT(('C19RM 2021-Lab &amp; Other HPS'!$A$121:$D$220=E21)*('C19RM 2021-Lab &amp; Other HPS'!$BH$121:$BH$220=BJ21)*('C19RM 2021-Lab &amp; Other HPS'!$BS$121:$BS$220)*(('C19RM 2021-Lab &amp; Other HPS'!$AS$121:$AS$220)))),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HPS'!$AL$121:$AL$220)))),IF((INDEX(SETUP!$G$19:$G$503,(MATCH(1,(SETUP!$B$19:$B$503=B21)*(SETUP!$D$19:$D$503=D21),0))))=3,((SUMPRODUCT(('C19RM 2021-Lab &amp; Other HPS'!$A$121:$D$220=E21)*('C19RM 2021-Lab &amp; Other HPS'!$BH$121:$BH$220=BJ21)*('C19RM 2021-Lab &amp; Other HPS'!$BR$121:$BR$220)*(('C19RM 2021-Lab &amp; Other HPS'!$AM$121:$AM$220))))),IF((INDEX(SETUP!$G$19:$G$503,(MATCH(1,(SETUP!$B$19:$B$503=B21)*(SETUP!$D$19:$D$503=D21),0))))=2,(SUMPRODUCT(('C19RM 2021-Lab &amp; Other HPS'!$A$121:$D$220=E21)*('C19RM 2021-Lab &amp; Other HPS'!$BH$121:$BH$220=BJ21)*('C19RM 2021-Lab &amp; Other HPS'!$BR$121:$BR$220)*(('C19RM 2021-Lab &amp; Other HPS'!$AN$121:$AN$220)))),IF((INDEX(SETUP!$G$19:$G$503,(MATCH(1,(SETUP!$B$19:$B$503=B21)*(SETUP!$D$19:$D$503=D21),0))))=1,(SUMPRODUCT(('C19RM 2021-Lab &amp; Other HPS'!$A$121:$D$220=E21)*('C19RM 2021-Lab &amp; Other HPS'!$BH$121:$BH$220=BJ21)*('C19RM 2021-Lab &amp; Other HPS'!$BR$121:$BR$220)*(('C19RM 2021-Lab &amp; Other HPS'!$AO$121:$AO$220)))),0)))),0)))</f>
        <v>0</v>
      </c>
      <c r="AI21" s="359" cm="1">
        <f t="array" ref="AI21">IF((INDEX(SETUP!$F$19:$F$503,(MATCH(1,(SETUP!$B$19:$B$503=B21)*(SETUP!$D$19:$D$503=D21),0))))="Upfront",
(SUMPRODUCT(('C19RM 2021-Lab &amp; Other HPS'!$A$121:$D$220=E21)*('C19RM 2021-Lab &amp; Other HPS'!$BH$121:$BH$220=BJ21)*('C19RM 2021-Lab &amp; Other HPS'!$BS$121:$BS$220)*(('C19RM 2021-Lab &amp; Other HPS'!$AT$121:$AT$220)))),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HPS'!$AM$121:$AM$220)))),IF((INDEX(SETUP!$G$19:$G$503,(MATCH(1,(SETUP!$B$19:$B$503=B21)*(SETUP!$D$19:$D$503=D21),0))))=3,((SUMPRODUCT(('C19RM 2021-Lab &amp; Other HPS'!$A$121:$D$220=E21)*('C19RM 2021-Lab &amp; Other HPS'!$BH$121:$BH$220=BJ21)*('C19RM 2021-Lab &amp; Other HPS'!$BR$121:$BR$220)*(('C19RM 2021-Lab &amp; Other HPS'!$AN$121:$AN$220))))),IF((INDEX(SETUP!$G$19:$G$503,(MATCH(1,(SETUP!$B$19:$B$503=B21)*(SETUP!$D$19:$D$503=D21),0))))=2,(SUMPRODUCT(('C19RM 2021-Lab &amp; Other HPS'!$A$121:$D$220=E21)*('C19RM 2021-Lab &amp; Other HPS'!$BH$121:$BH$220=BJ21)*('C19RM 2021-Lab &amp; Other HPS'!$BR$121:$BR$220)*(('C19RM 2021-Lab &amp; Other HPS'!$AO$121:$AO$220)))),IF((INDEX(SETUP!$G$19:$G$503,(MATCH(1,(SETUP!$B$19:$B$503=B21)*(SETUP!$D$19:$D$503=D21),0))))=1,(SUMPRODUCT(('C19RM 2021-Lab &amp; Other HPS'!$A$121:$D$220=E21)*('C19RM 2021-Lab &amp; Other HPS'!$BH$121:$BH$220=BJ21)*('C19RM 2021-Lab &amp; Other HPS'!$BS$121:$BS$220)*(('C19RM 2021-Lab &amp; Other HPS'!$AS$121:$AS$220)))),0)))),0)))</f>
        <v>0</v>
      </c>
      <c r="AJ21" s="359" cm="1">
        <f t="array" ref="AJ21">IF((INDEX(SETUP!$F$19:$F$503,(MATCH(1,(SETUP!$B$19:$B$503=B21)*(SETUP!$D$19:$D$503=D21),0))))="Upfront",
(SUMPRODUCT(('C19RM 2021-Lab &amp; Other HPS'!$A$121:$D$220=E21)*('C19RM 2021-Lab &amp; Other HPS'!$BH$121:$BH$220=BJ21)*('C19RM 2021-Lab &amp; Other HPS'!$BS$121:$BS$220)*(('C19RM 2021-Lab &amp; Other HPS'!$AU$121:$AU$220)))),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HPS'!$AN$121:$AN$220)))),IF((INDEX(SETUP!$G$19:$G$503,(MATCH(1,(SETUP!$B$19:$B$503=B21)*(SETUP!$D$19:$D$503=D21),0))))=3,((SUMPRODUCT(('C19RM 2021-Lab &amp; Other HPS'!$A$121:$D$220=E21)*('C19RM 2021-Lab &amp; Other HPS'!$BH$121:$BH$220=BJ21)*('C19RM 2021-Lab &amp; Other HPS'!$BR$121:$BR$220)*(('C19RM 2021-Lab &amp; Other HPS'!$AO$121:$AO$220))))),IF((INDEX(SETUP!$G$19:$G$503,(MATCH(1,(SETUP!$B$19:$B$503=B21)*(SETUP!$D$19:$D$503=D21),0))))=2,(SUMPRODUCT(('C19RM 2021-Lab &amp; Other HPS'!$A$121:$D$220=E21)*('C19RM 2021-Lab &amp; Other HPS'!$BH$121:$BH$220=BJ21)*('C19RM 2021-Lab &amp; Other HPS'!$BS$121:$BS$220)*(('C19RM 2021-Lab &amp; Other HPS'!$AS$121:$AS$220)))),IF((INDEX(SETUP!$G$19:$G$503,(MATCH(1,(SETUP!$B$19:$B$503=B21)*(SETUP!$D$19:$D$503=D21),0))))=1,(SUMPRODUCT(('C19RM 2021-Lab &amp; Other HPS'!$A$121:$D$220=E21)*('C19RM 2021-Lab &amp; Other HPS'!$BH$121:$BH$220=BJ21)*('C19RM 2021-Lab &amp; Other HPS'!$BS$121:$BS$220)*(('C19RM 2021-Lab &amp; Other HPS'!$AT$121:$AT$220)))),0)))),0)))</f>
        <v>0</v>
      </c>
      <c r="AK21" s="359" cm="1">
        <f t="array" ref="AK21">IF((INDEX(SETUP!$F$19:$F$503,(MATCH(1,(SETUP!$B$19:$B$503=B21)*(SETUP!$D$19:$D$503=D21),0))))="Upfront",
(SUMPRODUCT(('C19RM 2021-Lab &amp; Other HPS'!$A$121:$D$220=E21)*('C19RM 2021-Lab &amp; Other HPS'!$BH$121:$BH$220=BJ21)*('C19RM 2021-Lab &amp; Other HPS'!$BS$121:$BS$220)*(('C19RM 2021-Lab &amp; Other HPS'!$AV$121:$AV$220)))),
(IF((INDEX(SETUP!$F$19:$F$503,(MATCH(1,(SETUP!$B$19:$B$503=B21)*(SETUP!$D$19:$D$503=D21),0))))="At delivery",
IF((INDEX(SETUP!$G$19:$G$503,(MATCH(1,(SETUP!$B$19:$B$503=B21)*(SETUP!$D$19:$D$503=D21),0))))=4,
(SUMPRODUCT(('C19RM 2021-Lab &amp; Other HPS'!$A$121:$D$220=E21)*('C19RM 2021-Lab &amp; Other HPS'!$BH$121:$BH$220=BJ21)*('C19RM 2021-Lab &amp; Other HPS'!$BR$121:$BR$220)*(('C19RM 2021-Lab &amp; Other HPS'!$AO$121:$AO$220)))),IF((INDEX(SETUP!$G$19:$G$503,(MATCH(1,(SETUP!$B$19:$B$503=B21)*(SETUP!$D$19:$D$503=D21),0))))=3,((SUMPRODUCT(('C19RM 2021-Lab &amp; Other HPS'!$A$121:$D$220=E21)*('C19RM 2021-Lab &amp; Other HPS'!$BH$121:$BH$220=BJ21)*('C19RM 2021-Lab &amp; Other HPS'!$BS$121:$BS$220)*(('C19RM 2021-Lab &amp; Other HPS'!$AS$121:$AS$220))))),IF((INDEX(SETUP!$G$19:$G$503,(MATCH(1,(SETUP!$B$19:$B$503=B21)*(SETUP!$D$19:$D$503=D21),0))))=2,(SUMPRODUCT(('C19RM 2021-Lab &amp; Other HPS'!$A$121:$D$220=E21)*('C19RM 2021-Lab &amp; Other HPS'!$BH$121:$BH$220=BJ21)*('C19RM 2021-Lab &amp; Other HPS'!$BS$121:$BS$220)*(('C19RM 2021-Lab &amp; Other HPS'!$AT$121:$AT$220)))),IF((INDEX(SETUP!$G$19:$G$503,(MATCH(1,(SETUP!$B$19:$B$503=B21)*(SETUP!$D$19:$D$503=D21),0))))=1,(SUMPRODUCT(('C19RM 2021-Lab &amp; Other HPS'!$A$121:$D$220=E21)*('C19RM 2021-Lab &amp; Other HPS'!$BH$121:$BH$220=BJ21)*('C19RM 2021-Lab &amp; Other HPS'!$BS$121:$BS$220)*(('C19RM 2021-Lab &amp; Other HPS'!$AU$121:$AU$220)))),0)))),0)))</f>
        <v>0</v>
      </c>
      <c r="AL21" s="359" cm="1">
        <f t="array" ref="AL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HPS'!$AS$121:$AS$220)))),IF((INDEX(SETUP!$G$19:$G$503,(MATCH(1,(SETUP!$B$19:$B$503=B21)*(SETUP!$D$19:$D$503=D21),0))))=3,(SUMPRODUCT(('C19RM 2021-Lab &amp; Other HPS'!$A$121:$D$220=E21)*('C19RM 2021-Lab &amp; Other HPS'!$BH$121:$BH$220=BJ21)*('C19RM 2021-Lab &amp; Other HPS'!$BS$121:$BS$220)*(('C19RM 2021-Lab &amp; Other HPS'!$AT$121:$AT$220)))),IF((INDEX(SETUP!$G$19:$G$503,(MATCH(1,(SETUP!$B$19:$B$503=B21)*(SETUP!$D$19:$D$503=D21),0))))=2,(SUMPRODUCT(('C19RM 2021-Lab &amp; Other HPS'!$A$121:$D$220=E21)*('C19RM 2021-Lab &amp; Other HPS'!$BH$121:$BH$220=BJ21)*('C19RM 2021-Lab &amp; Other HPS'!$BS$121:$BS$220)*(('C19RM 2021-Lab &amp; Other HPS'!$AU$121:$AU$220)))),
IF((INDEX(SETUP!$G$19:$G$503,(MATCH(1,(SETUP!$B$19:$B$503=B21)*(SETUP!$D$19:$D$503=D21),0))))=1,
(SUMPRODUCT(('C19RM 2021-Lab &amp; Other HPS'!$A$121:$D$220=E21)*('C19RM 2021-Lab &amp; Other HPS'!$BH$121:$BH$220=BJ21)*('C19RM 2021-Lab &amp; Other HPS'!$BS$121:$BS$220)*(('C19RM 2021-Lab &amp; Other HPS'!$AV$121:$AV$220)))),0)))),0)))</f>
        <v>0</v>
      </c>
      <c r="AM21" s="359" cm="1">
        <f t="array" ref="AM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HPS'!$AT$121:$AT$220)))),IF((INDEX(SETUP!$G$19:$G$503,(MATCH(1,(SETUP!$B$19:$B$503=B21)*(SETUP!$D$19:$D$503=D21),0))))=3,(SUMPRODUCT(('C19RM 2021-Lab &amp; Other HPS'!$A$121:$D$220=E21)*('C19RM 2021-Lab &amp; Other HPS'!$BH$121:$BH$220=BJ21)*('C19RM 2021-Lab &amp; Other HPS'!$BS$121:$BS$220)*(('C19RM 2021-Lab &amp; Other HPS'!$AU$121:$AU$220)))),IF((INDEX(SETUP!$G$19:$G$503,(MATCH(1,(SETUP!$B$19:$B$503=B21)*(SETUP!$D$19:$D$503=D21),0))))=2,(SUMPRODUCT(('C19RM 2021-Lab &amp; Other HPS'!$A$121:$D$220=E21)*('C19RM 2021-Lab &amp; Other HPS'!$BH$121:$BH$220=BJ21)*('C19RM 2021-Lab &amp; Other HPS'!$BS$121:$BS$220)*(('C19RM 2021-Lab &amp; Other HPS'!$AV$121:$AV$220)))),IF((INDEX(SETUP!$G$19:$G$503,(MATCH(1,(SETUP!$B$19:$B$503=B21)*(SETUP!$D$19:$D$503=D21),0))))=1,(0),0)))),0)))</f>
        <v>0</v>
      </c>
      <c r="AN21" s="359" cm="1">
        <f t="array" ref="AN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HPS'!$AU$121:$AU$220)))),IF((INDEX(SETUP!$G$19:$G$503,(MATCH(1,(SETUP!$B$19:$B$503=B21)*(SETUP!$D$19:$D$503=D21),0))))=3,(SUMPRODUCT(('C19RM 2021-Lab &amp; Other HPS'!$A$121:$D$220=E21)*('C19RM 2021-Lab &amp; Other HPS'!$BH$121:$BH$220=BJ21)*('C19RM 2021-Lab &amp; Other HPS'!$BS$121:$BS$220)*(('C19RM 2021-Lab &amp; Other HPS'!$AV$121:$AV$220)))),IF((INDEX(SETUP!$G$19:$G$503,(MATCH(1,(SETUP!$B$19:$B$503=B21)*(SETUP!$D$19:$D$503=D21),0))))=2,(0),IF((INDEX(SETUP!$G$19:$G$503,(MATCH(1,(SETUP!$B$19:$B$503=B21)*(SETUP!$D$19:$D$503=D21),0))))=1,(0),0)))),0)))</f>
        <v>0</v>
      </c>
      <c r="AO21" s="359" cm="1">
        <f t="array" ref="AO21">IF((INDEX(SETUP!$F$19:$F$503,(MATCH(1,(SETUP!$B$19:$B$503=B21)*(SETUP!$D$19:$D$503=D21),0))))="Upfront",0,(IF((INDEX(SETUP!$F$19:$F$503,(MATCH(1,(SETUP!$B$19:$B$503=B21)*(SETUP!$D$19:$D$503=D21),0))))="At delivery",IF((INDEX(SETUP!$G$19:$G$503,(MATCH(1,(SETUP!$B$19:$B$503=B21)*(SETUP!$D$19:$D$503=D21),0))))=4,(SUMPRODUCT(('C19RM 2021-Lab &amp; Other HPS'!$A$121:$D$220=E21)*('C19RM 2021-Lab &amp; Other HPS'!$BH$121:$BH$220=BJ21)*('C19RM 2021-Lab &amp; Other HPS'!$BS$121:$BS$220)*(('C19RM 2021-Lab &amp; Other HPS'!$AV$121:$AV$220)))),IF((INDEX(SETUP!$G$19:$G$503,(MATCH(1,(SETUP!$B$19:$B$503=B21)*(SETUP!$D$19:$D$503=D21),0))))=3,(0),IF((INDEX(SETUP!$G$19:$G$503,(MATCH(1,(SETUP!$B$19:$B$503=B21)*(SETUP!$D$19:$D$503=D21),0))))=2,(0),IF((INDEX(SETUP!$G$19:$G$503,(MATCH(1,(SETUP!$B$19:$B$503=B21)*(SETUP!$D$19:$D$503=D21),0))))=1,(0),0)))),0)))</f>
        <v>0</v>
      </c>
      <c r="AP21" s="359"/>
      <c r="AQ21" s="359"/>
      <c r="AR21" s="359"/>
      <c r="AS21" s="359"/>
      <c r="AT21" s="359" cm="1">
        <f t="array" ref="AT21">IF(BG21&gt;=1,0,IFERROR(SUMPRODUCT(($R$2:$AO$2=$AT$4)*($E$5:$E$100=E21)*($BC$5:$BC$100=BC21)*($R$5:$AO$100)),0))</f>
        <v>0</v>
      </c>
      <c r="AU21" s="359" cm="1">
        <f t="array" ref="AU21">IF(BG21&gt;=1,0,IFERROR(SUMPRODUCT(($R$2:$AO$2=$AU$4)*($E$5:$E$100=E21)*($BC$5:$BC$100=BC21)*($R$5:$AO$100)),0))</f>
        <v>0</v>
      </c>
      <c r="AV21" s="359" cm="1">
        <f t="array" ref="AV21">IF(BG21&gt;=1,0,IFERROR(SUMPRODUCT(($R$2:$AO$2=$AV$4)*($E$5:$E$100=E21)*($BC$5:$BC$100=BC21)*($R$5:$AO$100)),0))</f>
        <v>0</v>
      </c>
      <c r="AW21" s="359" cm="1">
        <f t="array" ref="AW21">IF(BG21&gt;=1,0,IFERROR(SUMPRODUCT(($R$2:$AO$2=$AW$4)*($E$5:$E$100=E21)*($BC$5:$BC$100=BC21)*($R$5:$AO$100)),0))</f>
        <v>0</v>
      </c>
      <c r="AX21" s="359" cm="1">
        <f t="array" ref="AX21">IF(BG21&gt;=1,0,IFERROR(SUMPRODUCT(($R$2:$AO$2=$AX$4)*($E$5:$E$100=E21)*($BC$5:$BC$100=BC21)*($R$5:$AO$100)),0))</f>
        <v>0</v>
      </c>
      <c r="AY21" s="359">
        <f t="shared" si="5"/>
        <v>0</v>
      </c>
      <c r="AZ21" s="359"/>
      <c r="BA21" s="233">
        <f t="shared" si="6"/>
        <v>0</v>
      </c>
      <c r="BB21" s="220" t="s">
        <v>83</v>
      </c>
      <c r="BC21" t="s">
        <v>182</v>
      </c>
      <c r="BD21" cm="1">
        <f t="array" ref="BD21">(SUMPRODUCT(('C19RM 2021-Lab &amp; Other HPS'!$A$14:$D$650=E21)*('C19RM 2021-Lab &amp; Other HPS'!$BU$14:$BU$650)))</f>
        <v>0</v>
      </c>
      <c r="BE21" cm="1">
        <f t="array" ref="BE21">(SUMPRODUCT((SETUP!$D$20:$D$67=D21)*(SETUP!$R$20:$R$67)))</f>
        <v>0</v>
      </c>
      <c r="BF21" cm="1">
        <f t="array" ref="BF21">(SUMPRODUCT(('C19RM 2021-Lab &amp; Other HPS'!$A$14:$D$650=E21)*('C19RM 2021-Lab &amp; Other HPS'!$BV$14:$BV$650)))</f>
        <v>0</v>
      </c>
      <c r="BG21">
        <f t="shared" si="11"/>
        <v>0</v>
      </c>
      <c r="BJ21" s="235">
        <v>6.5</v>
      </c>
    </row>
    <row r="22" spans="1:62" x14ac:dyDescent="0.35">
      <c r="A22" s="235">
        <v>2</v>
      </c>
      <c r="B22" s="220" t="s">
        <v>2750</v>
      </c>
      <c r="C22" s="235" t="s">
        <v>3193</v>
      </c>
      <c r="D22" s="235" t="s">
        <v>19</v>
      </c>
      <c r="E22" s="235" t="s">
        <v>2759</v>
      </c>
      <c r="F22" s="220">
        <f>SETUP!$E$3</f>
        <v>0</v>
      </c>
      <c r="G22" s="220" t="str">
        <f ca="1">SETUP!$J$5</f>
        <v>NA</v>
      </c>
      <c r="H22" s="220" t="str">
        <f>SETUP!$E$9</f>
        <v>C19RM</v>
      </c>
      <c r="I22" s="232">
        <f t="shared" si="22"/>
        <v>44197</v>
      </c>
      <c r="J22" s="232">
        <f>SETUP!$L$14</f>
        <v>46022</v>
      </c>
      <c r="K22" s="220">
        <f>IFERROR(VLOOKUP(E22,'Master Data-C19RM'!$A$5:$B$35,2,0),0)</f>
        <v>0</v>
      </c>
      <c r="L22">
        <f t="shared" si="23"/>
        <v>0</v>
      </c>
      <c r="M22">
        <f>SETUP!$E$7</f>
        <v>0</v>
      </c>
      <c r="N22">
        <f>SETUP!$F$76</f>
        <v>6.1</v>
      </c>
      <c r="O22" t="str" cm="1">
        <f t="array" ref="O22">INDEX(SETUP!$E$19:$E$503,(MATCH(1,(SETUP!$B$19:$B$503=B22)*(SETUP!$D$19:$D$503=D22),0)))</f>
        <v>PR/SR</v>
      </c>
      <c r="P22" t="str" cm="1">
        <f t="array" ref="P22">INDEX(SETUP!$F$19:$F$503,(MATCH(1,(SETUP!$B$19:$B$503=B22)*(SETUP!$D$19:$D$503=D22),0)))</f>
        <v>At delivery</v>
      </c>
      <c r="Q22" cm="1">
        <f t="array" ref="Q22">INDEX(SETUP!$G$19:$G$503,(MATCH(1,(SETUP!$B$19:$B$503=B22)*(SETUP!$D$19:$D$503=D22),0)))</f>
        <v>1</v>
      </c>
      <c r="R22" s="359" cm="1">
        <f t="array" ref="R22">IF((INDEX(SETUP!$F$19:$F$503,(MATCH(1,(SETUP!$B$19:$B$503=B22)*(SETUP!$D$19:$D$503=D22),0))))="Upfront",(SUMPRODUCT(('C19RM 2021-Lab &amp; Other HPS'!$A$121:$D$220=E22)*('C19RM 2021-Lab &amp; Other HPS'!$BH$121:$BH$220=BJ22)*('C19RM 2021-Lab &amp; Other HPS'!$BO$121:$BO$220)*(('C19RM 2021-Lab &amp; Other HPS'!$Q$121:$Q$220)))),0)</f>
        <v>0</v>
      </c>
      <c r="S22" s="359" cm="1">
        <f t="array" ref="S22">IF((INDEX(SETUP!$F$19:$F$503,(MATCH(1,(SETUP!$B$19:$B$503=B22)*(SETUP!$D$19:$D$503=D22),0))))="Upfront",(SUMPRODUCT(('C19RM 2021-Lab &amp; Other HPS'!$A$121:$D$220=E22)*('C19RM 2021-Lab &amp; Other HPS'!$BH$121:$BH$220=BJ22)*('C19RM 2021-Lab &amp; Other HPS'!$BO$121:$BO$220)*(('C19RM 2021-Lab &amp; Other HPS'!$R$121:$R$220)))),(IF((INDEX(SETUP!$F$19:$F$503,(MATCH(1,(SETUP!$B$19:$B$503=B22)*(SETUP!$D$19:$D$503=D22),0))))="At delivery",IF((INDEX(SETUP!$G$19:$G$503,(MATCH(1,(SETUP!$B$19:$B$503=B22)*(SETUP!$D$19:$D$503=D22),0))))=1,(SUMPRODUCT(('C19RM 2021-Lab &amp; Other HPS'!$A$121:$D$220=E22)*('C19RM 2021-Lab &amp; Other HPS'!$BH$121:$BH$220=BJ22)*('C19RM 2021-Lab &amp; Other HPS'!$BO$121:$BO$220)*(('C19RM 2021-Lab &amp; Other HPS'!$Q$121:$Q$220)))),0),0)))</f>
        <v>0</v>
      </c>
      <c r="T22" s="359" cm="1">
        <f t="array" ref="T22">IF((INDEX(SETUP!$F$19:$F$503,(MATCH(1,(SETUP!$B$19:$B$503=B22)*(SETUP!$D$19:$D$503=D22),0))))="Upfront",(SUMPRODUCT(('C19RM 2021-Lab &amp; Other HPS'!$A$121:$D$220=E22)*('C19RM 2021-Lab &amp; Other HPS'!$BH$121:$BH$220=BJ22)*('C19RM 2021-Lab &amp; Other HPS'!$BO$121:$BO$220)*(('C19RM 2021-Lab &amp; Other HPS'!$S$121:$S$220)))),(IF((INDEX(SETUP!$F$19:$F$503,(MATCH(1,(SETUP!$B$19:$B$503=B22)*(SETUP!$D$19:$D$503=D22),0))))="At delivery",IF((INDEX(SETUP!$G$19:$G$503,(MATCH(1,(SETUP!$B$19:$B$503=B22)*(SETUP!$D$19:$D$503=D22),0))))=2,(SUMPRODUCT(('C19RM 2021-Lab &amp; Other HPS'!$A$121:$D$220=E22)*('C19RM 2021-Lab &amp; Other HPS'!$BH$121:$BH$220=BJ22)*('C19RM 2021-Lab &amp; Other HPS'!$BO$121:$BO$220)*(('C19RM 2021-Lab &amp; Other HPS'!$Q$121:$Q$220)))),IF((INDEX(SETUP!$G$19:$G$503,(MATCH(1,(SETUP!$B$19:$B$503=B22)*(SETUP!$D$19:$D$503=D22),0))))=1,(SUMPRODUCT(('C19RM 2021-Lab &amp; Other HPS'!$A$121:$D$220=E22)*('C19RM 2021-Lab &amp; Other HPS'!$BH$121:$BH$220=BJ22)*('C19RM 2021-Lab &amp; Other HPS'!$BO$121:$BO$220)*(('C19RM 2021-Lab &amp; Other HPS'!$R$121:$R$220)))),0)),0)))</f>
        <v>0</v>
      </c>
      <c r="U22" s="359" cm="1">
        <f t="array" ref="U22">IF((INDEX(SETUP!$F$19:$F$503,(MATCH(1,(SETUP!$B$19:$B$503=B22)*(SETUP!$D$19:$D$503=D22),0))))="Upfront",(SUMPRODUCT(('C19RM 2021-Lab &amp; Other HPS'!$A$121:$D$220=E22)*('C19RM 2021-Lab &amp; Other HPS'!$BH$121:$BH$220=BJ22)*('C19RM 2021-Lab &amp; Other HPS'!$BO$121:$BO$220)*(('C19RM 2021-Lab &amp; Other HPS'!$T$121:$T$220)))),(IF((INDEX(SETUP!$F$19:$F$503,(MATCH(1,(SETUP!$B$19:$B$503=B22)*(SETUP!$D$19:$D$503=D22),0))))="At delivery",IF((INDEX(SETUP!$G$19:$G$503,(MATCH(1,(SETUP!$B$19:$B$503=B22)*(SETUP!$D$19:$D$503=D22),0))))=3,(SUMPRODUCT(('C19RM 2021-Lab &amp; Other HPS'!$A$121:$D$220=E22)*('C19RM 2021-Lab &amp; Other HPS'!$BH$121:$BH$220=BJ22)*('C19RM 2021-Lab &amp; Other HPS'!$BO$121:$BO$220)*(('C19RM 2021-Lab &amp; Other HPS'!$Q$121:$Q$220)))),IF((INDEX(SETUP!$G$19:$G$503,(MATCH(1,(SETUP!$B$19:$B$503=B22)*(SETUP!$D$19:$D$503=D22),0))))=2,(SUMPRODUCT(('C19RM 2021-Lab &amp; Other HPS'!$A$121:$D$220=E22)*('C19RM 2021-Lab &amp; Other HPS'!$BH$121:$BH$220=BJ22)*('C19RM 2021-Lab &amp; Other HPS'!$BO$121:$BO$220)*(('C19RM 2021-Lab &amp; Other HPS'!$R$121:$R$220)))),IF((INDEX(SETUP!$G$19:$G$503,(MATCH(1,(SETUP!$B$19:$B$503=B22)*(SETUP!$D$19:$D$503=D22),0))))=1,(SUMPRODUCT(('C19RM 2021-Lab &amp; Other HPS'!$A$121:$D$220=E22)*('C19RM 2021-Lab &amp; Other HPS'!$BH$121:$BH$220=BJ22)*('C19RM 2021-Lab &amp; Other HPS'!$BO$121:$BO$220)*(('C19RM 2021-Lab &amp; Other HPS'!$S$121:$S$220)))),0))),0)))</f>
        <v>0</v>
      </c>
      <c r="V22" s="359" cm="1">
        <f t="array" ref="V22">IF((INDEX(SETUP!$F$19:$F$503,(MATCH(1,(SETUP!$B$19:$B$503=B22)*(SETUP!$D$19:$D$503=D22),0))))="Upfront",(SUMPRODUCT(('C19RM 2021-Lab &amp; Other HPS'!$A$121:$D$220=E22)*('C19RM 2021-Lab &amp; Other HPS'!$BH$121:$BH$220=BJ22)*('C19RM 2021-Lab &amp; Other HPS'!$BP$121:$BP$220)*(('C19RM 2021-Lab &amp; Other HPS'!$X$121:$X$220)))),(IF((INDEX(SETUP!$F$19:$F$503,(MATCH(1,(SETUP!$B$19:$B$503=B22)*(SETUP!$D$19:$D$503=D22),0))))="At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HPS'!$Q$121:$Q$220)))),IF((INDEX(SETUP!$G$19:$G$503,(MATCH(1,(SETUP!$B$19:$B$503=B22)*(SETUP!$D$19:$D$503=D22),0))))=3,(SUMPRODUCT(('C19RM 2021-Lab &amp; Other HPS'!$A$121:$D$220=E22)*('C19RM 2021-Lab &amp; Other HPS'!$BH$121:$BH$220=BJ22)*('C19RM 2021-Lab &amp; Other HPS'!$BO$121:$BO$220)*(('C19RM 2021-Lab &amp; Other HPS'!$R$121:$R$220)))),IF((INDEX(SETUP!$G$19:$G$503,(MATCH(1,(SETUP!$B$19:$B$503=B22)*(SETUP!$D$19:$D$503=D22),0))))=2,(SUMPRODUCT(('C19RM 2021-Lab &amp; Other HPS'!$A$121:$D$220=E22)*('C19RM 2021-Lab &amp; Other HPS'!$BH$121:$BH$220=BJ22)*('C19RM 2021-Lab &amp; Other HPS'!$BO$121:$BO$220)*(('C19RM 2021-Lab &amp; Other HPS'!$S$121:$S$220)))),IF((INDEX(SETUP!$G$19:$G$503,(MATCH(1,(SETUP!$B$19:$B$503=B22)*(SETUP!$D$19:$D$503=D22),0))))=1,(SUMPRODUCT(('C19RM 2021-Lab &amp; Other HPS'!$A$121:$D$220=E22)*('C19RM 2021-Lab &amp; Other HPS'!$BH$121:$BH$220=BJ22)*('C19RM 2021-Lab &amp; Other HPS'!$BO$121:$BO$220)*(('C19RM 2021-Lab &amp; Other HPS'!$T$121:$T$220)))),0)))),0)))</f>
        <v>0</v>
      </c>
      <c r="W22" s="359" cm="1">
        <f t="array" ref="W22">IF((INDEX(SETUP!$F$19:$F$503,(MATCH(1,(SETUP!$B$19:$B$503=B22)*(SETUP!$D$19:$D$503=D22),0))))="Upfront",(SUMPRODUCT(('C19RM 2021-Lab &amp; Other HPS'!$A$121:$D$220=E22)*('C19RM 2021-Lab &amp; Other HPS'!$BH$121:$BH$220=BJ22)*('C19RM 2021-Lab &amp; Other HPS'!$BP$121:$BP$220)*(('C19RM 2021-Lab &amp; Other HPS'!$Y$121:$Y$220)))),(IF((INDEX(SETUP!$F$19:$F$503,(MATCH(1,(SETUP!$B$19:$B$503=B22)*(SETUP!$D$19:$D$503=D22),0))))="At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HPS'!$R$121:$R$220)))),IF((INDEX(SETUP!$G$19:$G$503,(MATCH(1,(SETUP!$B$19:$B$503=B22)*(SETUP!$D$19:$D$503=D22),0))))=3,(SUMPRODUCT(('C19RM 2021-Lab &amp; Other HPS'!$A$121:$D$220=E22)*('C19RM 2021-Lab &amp; Other HPS'!$BH$121:$BH$220=BJ22)*('C19RM 2021-Lab &amp; Other HPS'!$BO$121:$BO$220)*(('C19RM 2021-Lab &amp; Other HPS'!$S$121:$S$220)))),IF((INDEX(SETUP!$G$19:$G$503,(MATCH(1,(SETUP!$B$19:$B$503=B22)*(SETUP!$D$19:$D$503=D22),0))))=2,((SUMPRODUCT(('C19RM 2021-Lab &amp; Other HPS'!$A$121:$D$220=E22)*('C19RM 2021-Lab &amp; Other HPS'!$BH$121:$BH$220=BJ22)*('C19RM 2021-Lab &amp; Other HPS'!$BO$121:$BO$220)*(('C19RM 2021-Lab &amp; Other HPS'!$T$121:$T$220))))),IF((INDEX(SETUP!$G$19:$G$503,(MATCH(1,(SETUP!$B$19:$B$503=B22)*(SETUP!$D$19:$D$503=D22),0))))=1,(SUMPRODUCT(('C19RM 2021-Lab &amp; Other HPS'!$A$121:$D$220=E22)*('C19RM 2021-Lab &amp; Other HPS'!$BH$121:$BH$220=BJ22)*('C19RM 2021-Lab &amp; Other HPS'!$BP$121:$BP$220)*(('C19RM 2021-Lab &amp; Other HPS'!$X$121:$X$220)))),0)))),0)))</f>
        <v>0</v>
      </c>
      <c r="X22" s="359" cm="1">
        <f t="array" ref="X22">IF((INDEX(SETUP!$F$19:$F$503,(MATCH(1,(SETUP!$B$19:$B$503=B22)*(SETUP!$D$19:$D$503=D22),0))))="Upfront",(SUMPRODUCT(('C19RM 2021-Lab &amp; Other HPS'!$A$121:$D$220=E22)*('C19RM 2021-Lab &amp; Other HPS'!$BH$121:$BH$220=BJ22)*('C19RM 2021-Lab &amp; Other HPS'!$BP$121:$BP$220)*(('C19RM 2021-Lab &amp; Other HPS'!$Z$121:$Z$220)))),(IF((INDEX(SETUP!$F$19:$F$503,(MATCH(1,(SETUP!$B$19:$B$503=B22)*(SETUP!$D$19:$D$503=D22),0))))="At delivery",IF((INDEX(SETUP!$G$19:$G$503,(MATCH(1,(SETUP!$B$19:$B$503=B22)*(SETUP!$D$19:$D$503=D22),0))))=4,(SUMPRODUCT(('C19RM 2021-Lab &amp; Other HPS'!$A$121:$D$220=E22)*('C19RM 2021-Lab &amp; Other HPS'!$BH$121:$BH$220=BJ22)*('C19RM 2021-Lab &amp; Other HPS'!$BO$121:$BO$220)*(('C19RM 2021-Lab &amp; Other HPS'!$S$121:$S$220)))),IF((INDEX(SETUP!$G$19:$G$503,(MATCH(1,(SETUP!$B$19:$B$503=B22)*(SETUP!$D$19:$D$503=D22),0))))=3,((SUMPRODUCT(('C19RM 2021-Lab &amp; Other HPS'!$A$121:$D$220=E22)*('C19RM 2021-Lab &amp; Other HPS'!$BH$121:$BH$220=BJ22)*('C19RM 2021-Lab &amp; Other HPS'!$BO$121:$BO$220)*(('C19RM 2021-Lab &amp; Other HPS'!$T$121:$T$220))))),IF((INDEX(SETUP!$G$19:$G$503,(MATCH(1,(SETUP!$B$19:$B$503=B22)*(SETUP!$D$19:$D$503=D22),0))))=2,(SUMPRODUCT(('C19RM 2021-Lab &amp; Other HPS'!$A$121:$D$220=E22)*('C19RM 2021-Lab &amp; Other HPS'!$BH$121:$BH$220=BJ22)*('C19RM 2021-Lab &amp; Other HPS'!$BP$121:$BP$220)*(('C19RM 2021-Lab &amp; Other HPS'!$X$121:$X$220)))),IF((INDEX(SETUP!$G$19:$G$503,(MATCH(1,(SETUP!$B$19:$B$503=B22)*(SETUP!$D$19:$D$503=D22),0))))=1,(SUMPRODUCT(('C19RM 2021-Lab &amp; Other HPS'!$A$121:$D$220=E22)*('C19RM 2021-Lab &amp; Other HPS'!$BH$121:$BH$220=BJ22)*('C19RM 2021-Lab &amp; Other HPS'!$BP$121:$BP$220)*(('C19RM 2021-Lab &amp; Other HPS'!$Y$121:$Y$220)))),0)))),0)))</f>
        <v>0</v>
      </c>
      <c r="Y22" s="359" cm="1">
        <f t="array" ref="Y22">IF((INDEX(SETUP!$F$19:$F$503,(MATCH(1,(SETUP!$B$19:$B$503=B22)*(SETUP!$D$19:$D$503=D22),0))))="Upfront",
(SUMPRODUCT(('C19RM 2021-Lab &amp; Other HPS'!$A$121:$D$220=E22)*('C19RM 2021-Lab &amp; Other HPS'!$BH$121:$BH$220=BJ22)*('C19RM 2021-Lab &amp; Other HPS'!$BP$121:$BP$220)*(('C19RM 2021-Lab &amp; Other HPS'!$AA$121:$AA$220)))),
(IF((INDEX(SETUP!$F$19:$F$503,(MATCH(1,(SETUP!$B$19:$B$503=B22)*(SETUP!$D$19:$D$503=D22),0))))="At delivery",
IF((INDEX(SETUP!$G$19:$G$503,(MATCH(1,(SETUP!$B$19:$B$503=B22)*(SETUP!$D$19:$D$503=D22),0))))=4,
((SUMPRODUCT(('C19RM 2021-Lab &amp; Other HPS'!$A$121:$D$220=E22)*('C19RM 2021-Lab &amp; Other HPS'!$BH$121:$BH$220=BJ22)*('C19RM 2021-Lab &amp; Other HPS'!$BO$121:$BO$220)*(('C19RM 2021-Lab &amp; Other HPS'!$T$121:$T$220))))),IF((INDEX(SETUP!$G$19:$G$503,(MATCH(1,(SETUP!$B$19:$B$503=B22)*(SETUP!$D$19:$D$503=D22),0))))=3,(SUMPRODUCT(('C19RM 2021-Lab &amp; Other HPS'!$A$121:$D$220=E22)*('C19RM 2021-Lab &amp; Other HPS'!$BH$121:$BH$220=BJ22)*('C19RM 2021-Lab &amp; Other HPS'!$BP$121:$BP$220)*(('C19RM 2021-Lab &amp; Other HPS'!$X$121:$X$220)))),IF((INDEX(SETUP!$G$19:$G$503,(MATCH(1,(SETUP!$B$19:$B$503=B22)*(SETUP!$D$19:$D$503=D22),0))))=2,(SUMPRODUCT(('C19RM 2021-Lab &amp; Other HPS'!$A$121:$D$220=E22)*('C19RM 2021-Lab &amp; Other HPS'!$BH$121:$BH$220=BJ22)*('C19RM 2021-Lab &amp; Other HPS'!$BP$121:$BP$220)*(('C19RM 2021-Lab &amp; Other HPS'!$Y$121:$Y$220)))),IF((INDEX(SETUP!$G$19:$G$503,(MATCH(1,(SETUP!$B$19:$B$503=B22)*(SETUP!$D$19:$D$503=D22),0))))=1,(SUMPRODUCT(('C19RM 2021-Lab &amp; Other HPS'!$A$121:$D$220=E22)*('C19RM 2021-Lab &amp; Other HPS'!$BH$121:$BH$220=BJ22)*('C19RM 2021-Lab &amp; Other HPS'!$BP$121:$BP$220)*(('C19RM 2021-Lab &amp; Other HPS'!$Z$121:$Z$220)))),0)))),0)))</f>
        <v>0</v>
      </c>
      <c r="Z22" s="359" cm="1">
        <f t="array" ref="Z22">IF((INDEX(SETUP!$F$19:$F$503,(MATCH(1,(SETUP!$B$19:$B$503=B22)*(SETUP!$D$19:$D$503=D22),0))))="Upfront",(SUMPRODUCT(('C19RM 2021-Lab &amp; Other HPS'!$A$121:$D$220=E22)*('C19RM 2021-Lab &amp; Other HPS'!$BH$121:$BH$220=BJ22)*('C19RM 2021-Lab &amp; Other HPS'!$BQ$121:$BQ$220)*(('C19RM 2021-Lab &amp; Other HPS'!$AE$121:$AE$220)))),(IF((INDEX(SETUP!$F$19:$F$503,(MATCH(1,(SETUP!$B$19:$B$503=B22)*(SETUP!$D$19:$D$503=D22),0))))="At delivery",IF((INDEX(SETUP!$G$19:$G$503,(MATCH(1,(SETUP!$B$19:$B$503=B22)*(SETUP!$D$19:$D$503=D22),0))))=4,(SUMPRODUCT(('C19RM 2021-Lab &amp; Other HPS'!$A$121:$D$220=E22)*('C19RM 2021-Lab &amp; Other HPS'!$BH$121:$BH$220=BJ22)*('C19RM 2021-Lab &amp; Other HPS'!$BP$121:$BP$220)*(('C19RM 2021-Lab &amp; Other HPS'!$X$121:$X$220)))),IF((INDEX(SETUP!$G$19:$G$503,(MATCH(1,(SETUP!$B$19:$B$503=B22)*(SETUP!$D$19:$D$503=D22),0))))=3,(SUMPRODUCT(('C19RM 2021-Lab &amp; Other HPS'!$A$121:$D$220=E22)*('C19RM 2021-Lab &amp; Other HPS'!$BH$121:$BH$220=BJ22)*('C19RM 2021-Lab &amp; Other HPS'!$BP$121:$BP$220)*(('C19RM 2021-Lab &amp; Other HPS'!$Y$121:$Y$220)))),IF((INDEX(SETUP!$G$19:$G$503,(MATCH(1,(SETUP!$B$19:$B$503=B22)*(SETUP!$D$19:$D$503=D22),0))))=2,(SUMPRODUCT(('C19RM 2021-Lab &amp; Other HPS'!$A$121:$D$220=E22)*('C19RM 2021-Lab &amp; Other HPS'!$BH$121:$BH$220=BJ22)*('C19RM 2021-Lab &amp; Other HPS'!$BP$121:$BP$220)*(('C19RM 2021-Lab &amp; Other HPS'!$Z$121:$Z$220)))),IF((INDEX(SETUP!$G$19:$G$503,(MATCH(1,(SETUP!$B$19:$B$503=B22)*(SETUP!$D$19:$D$503=D22),0))))=1,(SUMPRODUCT(('C19RM 2021-Lab &amp; Other HPS'!$A$121:$D$220=E22)*('C19RM 2021-Lab &amp; Other HPS'!$BH$121:$BH$220=BJ22)*('C19RM 2021-Lab &amp; Other HPS'!$BP$121:$BP$220)*(('C19RM 2021-Lab &amp; Other HPS'!$AA$121:$AA$220)))),0)))),0)))</f>
        <v>0</v>
      </c>
      <c r="AA22" s="359" cm="1">
        <f t="array" ref="AA22">IF((INDEX(SETUP!$F$19:$F$503,(MATCH(1,(SETUP!$B$19:$B$503=B22)*(SETUP!$D$19:$D$503=D22),0))))="Upfront",(SUMPRODUCT(('C19RM 2021-Lab &amp; Other HPS'!$A$121:$D$220=E22)*('C19RM 2021-Lab &amp; Other HPS'!$BH$121:$BH$220=BJ22)*('C19RM 2021-Lab &amp; Other HPS'!$BQ$121:$BQ$220)*(('C19RM 2021-Lab &amp; Other HPS'!$AF$121:$AF$220)))),(IF((INDEX(SETUP!$F$19:$F$503,(MATCH(1,(SETUP!$B$19:$B$503=B22)*(SETUP!$D$19:$D$503=D22),0))))="At delivery",IF((INDEX(SETUP!$G$19:$G$503,(MATCH(1,(SETUP!$B$19:$B$503=B22)*(SETUP!$D$19:$D$503=D22),0))))=4,(SUMPRODUCT(('C19RM 2021-Lab &amp; Other HPS'!$A$121:$D$220=E22)*('C19RM 2021-Lab &amp; Other HPS'!$BH$121:$BH$220=BJ22)*('C19RM 2021-Lab &amp; Other HPS'!$BP$121:$BP$220)*(('C19RM 2021-Lab &amp; Other HPS'!$Y$121:$Y$220)))),IF((INDEX(SETUP!$G$19:$G$503,(MATCH(1,(SETUP!$B$19:$B$503=B22)*(SETUP!$D$19:$D$503=D22),0))))=3,(SUMPRODUCT(('C19RM 2021-Lab &amp; Other HPS'!$A$121:$D$220=E22)*('C19RM 2021-Lab &amp; Other HPS'!$BH$121:$BH$220=BJ22)*('C19RM 2021-Lab &amp; Other HPS'!$BP$121:$BP$220)*(('C19RM 2021-Lab &amp; Other HPS'!$Z$121:$Z$220)))),IF((INDEX(SETUP!$G$19:$G$503,(MATCH(1,(SETUP!$B$19:$B$503=B22)*(SETUP!$D$19:$D$503=D22),0))))=2,((SUMPRODUCT(('C19RM 2021-Lab &amp; Other HPS'!$A$121:$D$220=E22)*('C19RM 2021-Lab &amp; Other HPS'!$BH$121:$BH$220=BJ22)*('C19RM 2021-Lab &amp; Other HPS'!$BP$121:$BP$220)*(('C19RM 2021-Lab &amp; Other HPS'!$AA$121:$AA$220))))),IF((INDEX(SETUP!$G$19:$G$503,(MATCH(1,(SETUP!$B$19:$B$503=B22)*(SETUP!$D$19:$D$503=D22),0))))=1,(SUMPRODUCT(('C19RM 2021-Lab &amp; Other HPS'!$A$121:$D$220=E22)*('C19RM 2021-Lab &amp; Other HPS'!$BH$121:$BH$220=BJ22)*('C19RM 2021-Lab &amp; Other HPS'!$BQ$121:$BQ$220)*(('C19RM 2021-Lab &amp; Other HPS'!$AE$121:$AE$220)))),0)))),0)))</f>
        <v>0</v>
      </c>
      <c r="AB22" s="359" cm="1">
        <f t="array" ref="AB22">IF((INDEX(SETUP!$F$19:$F$503,(MATCH(1,(SETUP!$B$19:$B$503=B22)*(SETUP!$D$19:$D$503=D22),0))))="Upfront",
(SUMPRODUCT(('C19RM 2021-Lab &amp; Other HPS'!$A$121:$D$220=E22)*('C19RM 2021-Lab &amp; Other HPS'!$BH$121:$BH$220=BJ22)*('C19RM 2021-Lab &amp; Other HPS'!$BQ$121:$BQ$220)*(('C19RM 2021-Lab &amp; Other HPS'!$AG$121:$AG$220)))),
(IF((INDEX(SETUP!$F$19:$F$503,(MATCH(1,(SETUP!$B$19:$B$503=B22)*(SETUP!$D$19:$D$503=D22),0))))="At delivery",
IF((INDEX(SETUP!$G$19:$G$503,(MATCH(1,(SETUP!$B$19:$B$503=B22)*(SETUP!$D$19:$D$503=D22),0))))=4,
(SUMPRODUCT(('C19RM 2021-Lab &amp; Other HPS'!$A$121:$D$220=E22)*('C19RM 2021-Lab &amp; Other HPS'!$BH$121:$BH$220=BJ22)*('C19RM 2021-Lab &amp; Other HPS'!$BP$121:$BP$220)*(('C19RM 2021-Lab &amp; Other HPS'!$Z$121:$Z$220)))),IF((INDEX(SETUP!$G$19:$G$503,(MATCH(1,(SETUP!$B$19:$B$503=B22)*(SETUP!$D$19:$D$503=D22),0))))=3,(SUMPRODUCT(('C19RM 2021-Lab &amp; Other HPS'!$A$121:$D$220=E22)*('C19RM 2021-Lab &amp; Other HPS'!$BH$121:$BH$220=BJ22)*('C19RM 2021-Lab &amp; Other HPS'!$BP$121:$BP$220)*(('C19RM 2021-Lab &amp; Other HPS'!$AA$121:$AA$220)))),IF((INDEX(SETUP!$G$19:$G$503,(MATCH(1,(SETUP!$B$19:$B$503=B22)*(SETUP!$D$19:$D$503=D22),0))))=2,(SUMPRODUCT(('C19RM 2021-Lab &amp; Other HPS'!$A$121:$D$220=E22)*('C19RM 2021-Lab &amp; Other HPS'!$BH$121:$BH$220=BJ22)*('C19RM 2021-Lab &amp; Other HPS'!$BQ$121:$BQ$220)*(('C19RM 2021-Lab &amp; Other HPS'!$AE$121:$AE$220)))),IF((INDEX(SETUP!$G$19:$G$503,(MATCH(1,(SETUP!$B$19:$B$503=B22)*(SETUP!$D$19:$D$503=D22),0))))=1,(SUMPRODUCT(('C19RM 2021-Lab &amp; Other HPS'!$A$121:$D$220=E22)*('C19RM 2021-Lab &amp; Other HPS'!$BH$121:$BH$220=BJ22)*('C19RM 2021-Lab &amp; Other HPS'!$BQ$121:$BQ$220)*(('C19RM 2021-Lab &amp; Other HPS'!$AF$121:$AF$220)))),0)))),0)))</f>
        <v>0</v>
      </c>
      <c r="AC22" s="359" cm="1">
        <f t="array" ref="AC22">IF((INDEX(SETUP!$F$19:$F$503,(MATCH(1,(SETUP!$B$19:$B$503=B22)*(SETUP!$D$19:$D$503=D22),0))))="Upfront",
(SUMPRODUCT(('C19RM 2021-Lab &amp; Other HPS'!$A$121:$D$220=E22)*('C19RM 2021-Lab &amp; Other HPS'!$BH$121:$BH$220=BJ22)*('C19RM 2021-Lab &amp; Other HPS'!$BQ$121:$BQ$220)*(('C19RM 2021-Lab &amp; Other HPS'!$AH$121:$AH$220)))),
(IF((INDEX(SETUP!$F$19:$F$503,(MATCH(1,(SETUP!$B$19:$B$503=B22)*(SETUP!$D$19:$D$503=D22),0))))="At delivery",
IF((INDEX(SETUP!$G$19:$G$503,(MATCH(1,(SETUP!$B$19:$B$503=B22)*(SETUP!$D$19:$D$503=D22),0))))=4,
(SUMPRODUCT(('C19RM 2021-Lab &amp; Other HPS'!$A$121:$D$220=E22)*('C19RM 2021-Lab &amp; Other HPS'!$BH$121:$BH$220=BJ22)*('C19RM 2021-Lab &amp; Other HPS'!$BP$121:$BP$220)*(('C19RM 2021-Lab &amp; Other HPS'!$AA$121:$AA$220)))),IF((INDEX(SETUP!$G$19:$G$503,(MATCH(1,(SETUP!$B$19:$B$503=B22)*(SETUP!$D$19:$D$503=D22),0))))=3,(SUMPRODUCT(('C19RM 2021-Lab &amp; Other HPS'!$A$121:$D$220=E22)*('C19RM 2021-Lab &amp; Other HPS'!$BH$121:$BH$220=BJ22)*('C19RM 2021-Lab &amp; Other HPS'!$BQ$121:$BQ$220)*(('C19RM 2021-Lab &amp; Other HPS'!$AE$121:$AE$220)))),IF((INDEX(SETUP!$G$19:$G$503,(MATCH(1,(SETUP!$B$19:$B$503=B22)*(SETUP!$D$19:$D$503=D22),0))))=2,(SUMPRODUCT(('C19RM 2021-Lab &amp; Other HPS'!$A$121:$D$220=E22)*('C19RM 2021-Lab &amp; Other HPS'!$BH$121:$BH$220=BJ22)*('C19RM 2021-Lab &amp; Other HPS'!$BQ$121:$BQ$220)*(('C19RM 2021-Lab &amp; Other HPS'!$AF$121:$AF$220)))),IF((INDEX(SETUP!$G$19:$G$503,(MATCH(1,(SETUP!$B$19:$B$503=B22)*(SETUP!$D$19:$D$503=D22),0))))=1,(SUMPRODUCT(('C19RM 2021-Lab &amp; Other HPS'!$A$121:$D$220=E22)*('C19RM 2021-Lab &amp; Other HPS'!$BH$121:$BH$220=BJ22)*('C19RM 2021-Lab &amp; Other HPS'!$BQ$121:$BQ$220)*(('C19RM 2021-Lab &amp; Other HPS'!$AG$121:$AG$220)))),0)))),0)))</f>
        <v>0</v>
      </c>
      <c r="AD22" s="359" cm="1">
        <f t="array" ref="AD22">IF((INDEX(SETUP!$F$19:$F$503,(MATCH(1,(SETUP!$B$19:$B$503=B22)*(SETUP!$D$19:$D$503=D22),0))))="Upfront",
(SUMPRODUCT(('C19RM 2021-Lab &amp; Other HPS'!$A$121:$D$220=E22)*('C19RM 2021-Lab &amp; Other HPS'!$BH$121:$BH$220=BJ22)*('C19RM 2021-Lab &amp; Other HPS'!$BR$121:$BR$220)*(('C19RM 2021-Lab &amp; Other HPS'!$AL$121:$AL$220)))),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HPS'!$AE$121:$AE$220)))),IF((INDEX(SETUP!$G$19:$G$503,(MATCH(1,(SETUP!$B$19:$B$503=B22)*(SETUP!$D$19:$D$503=D22),0))))=3,((SUMPRODUCT(('C19RM 2021-Lab &amp; Other HPS'!$A$121:$D$220=E22)*('C19RM 2021-Lab &amp; Other HPS'!$BH$121:$BH$220=BJ22)*('C19RM 2021-Lab &amp; Other HPS'!$BQ$121:$BQ$220)*(('C19RM 2021-Lab &amp; Other HPS'!$AF$121:$AF$220))))),IF((INDEX(SETUP!$G$19:$G$503,(MATCH(1,(SETUP!$B$19:$B$503=B22)*(SETUP!$D$19:$D$503=D22),0))))=2,(SUMPRODUCT(('C19RM 2021-Lab &amp; Other HPS'!$A$121:$D$220=E22)*('C19RM 2021-Lab &amp; Other HPS'!$BH$121:$BH$220=BJ22)*('C19RM 2021-Lab &amp; Other HPS'!$BQ$121:$BQ$220)*(('C19RM 2021-Lab &amp; Other HPS'!$AG$121:$AG$220)))),IF((INDEX(SETUP!$G$19:$G$503,(MATCH(1,(SETUP!$B$19:$B$503=B22)*(SETUP!$D$19:$D$503=D22),0))))=1,(SUMPRODUCT(('C19RM 2021-Lab &amp; Other HPS'!$A$121:$D$220=E22)*('C19RM 2021-Lab &amp; Other HPS'!$BH$121:$BH$220=BJ22)*('C19RM 2021-Lab &amp; Other HPS'!$BQ$121:$BQ$220)*(('C19RM 2021-Lab &amp; Other HPS'!$AH$121:$AH$220)))),0)))),0)))</f>
        <v>0</v>
      </c>
      <c r="AE22" s="359" cm="1">
        <f t="array" ref="AE22">IF((INDEX(SETUP!$F$19:$F$503,(MATCH(1,(SETUP!$B$19:$B$503=B22)*(SETUP!$D$19:$D$503=D22),0))))="Upfront",
(SUMPRODUCT(('C19RM 2021-Lab &amp; Other HPS'!$A$121:$D$220=E22)*('C19RM 2021-Lab &amp; Other HPS'!$BH$121:$BH$220=BJ22)*('C19RM 2021-Lab &amp; Other HPS'!$BR$121:$BR$220)*(('C19RM 2021-Lab &amp; Other HPS'!$AM$121:$AM$220)))),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HPS'!$AF$121:$AF$220)))),IF((INDEX(SETUP!$G$19:$G$503,(MATCH(1,(SETUP!$B$19:$B$503=B22)*(SETUP!$D$19:$D$503=D22),0))))=3,(SUMPRODUCT(('C19RM 2021-Lab &amp; Other HPS'!$A$121:$D$220=E22)*('C19RM 2021-Lab &amp; Other HPS'!$BH$121:$BH$220=BJ22)*('C19RM 2021-Lab &amp; Other HPS'!$BQ$121:$BQ$220)*(('C19RM 2021-Lab &amp; Other HPS'!$AG$121:$AG$220)))),IF((INDEX(SETUP!$G$19:$G$503,(MATCH(1,(SETUP!$B$19:$B$503=B22)*(SETUP!$D$19:$D$503=D22),0))))=2,(SUMPRODUCT(('C19RM 2021-Lab &amp; Other HPS'!$A$121:$D$220=E22)*('C19RM 2021-Lab &amp; Other HPS'!$BH$121:$BH$220=BJ22)*('C19RM 2021-Lab &amp; Other HPS'!$BQ$121:$BQ$220)*(('C19RM 2021-Lab &amp; Other HPS'!$AH$121:$AH$220)))),IF((INDEX(SETUP!$G$19:$G$503,(MATCH(1,(SETUP!$B$19:$B$503=B22)*(SETUP!$D$19:$D$503=D22),0))))=1,(SUMPRODUCT(('C19RM 2021-Lab &amp; Other HPS'!$A$121:$D$220=E22)*('C19RM 2021-Lab &amp; Other HPS'!$BH$121:$BH$220=BJ22)*('C19RM 2021-Lab &amp; Other HPS'!$BR$121:$BR$220)*(('C19RM 2021-Lab &amp; Other HPS'!$AL$121:$AL$220)))),0)))),0)))</f>
        <v>0</v>
      </c>
      <c r="AF22" s="359" cm="1">
        <f t="array" ref="AF22">IF((INDEX(SETUP!$F$19:$F$503,(MATCH(1,(SETUP!$B$19:$B$503=B22)*(SETUP!$D$19:$D$503=D22),0))))="Upfront",
(SUMPRODUCT(('C19RM 2021-Lab &amp; Other HPS'!$A$121:$D$220=E22)*('C19RM 2021-Lab &amp; Other HPS'!$BH$121:$BH$220=BJ22)*('C19RM 2021-Lab &amp; Other HPS'!$BR$121:$BR$220)*(('C19RM 2021-Lab &amp; Other HPS'!$AN$121:$AN$220)))),
(IF((INDEX(SETUP!$F$19:$F$503,(MATCH(1,(SETUP!$B$19:$B$503=B22)*(SETUP!$D$19:$D$503=D22),0))))="At delivery",
IF((INDEX(SETUP!$G$19:$G$503,(MATCH(1,(SETUP!$B$19:$B$503=B22)*(SETUP!$D$19:$D$503=D22),0))))=4,
(SUMPRODUCT(('C19RM 2021-Lab &amp; Other HPS'!$A$121:$D$220=E22)*('C19RM 2021-Lab &amp; Other HPS'!$BH$121:$BH$220=BJ22)*('C19RM 2021-Lab &amp; Other HPS'!$BQ$121:$BQ$220)*(('C19RM 2021-Lab &amp; Other HPS'!$AG$121:$AG$220)))),IF((INDEX(SETUP!$G$19:$G$503,(MATCH(1,(SETUP!$B$19:$B$503=B22)*(SETUP!$D$19:$D$503=D22),0))))=3,(SUMPRODUCT(('C19RM 2021-Lab &amp; Other HPS'!$A$121:$D$220=E22)*('C19RM 2021-Lab &amp; Other HPS'!$BH$121:$BH$220=BJ22)*('C19RM 2021-Lab &amp; Other HPS'!$BQ$121:$BQ$220)*(('C19RM 2021-Lab &amp; Other HPS'!$AH$121:$AH$220)))),IF((INDEX(SETUP!$G$19:$G$503,(MATCH(1,(SETUP!$B$19:$B$503=B22)*(SETUP!$D$19:$D$503=D22),0))))=2,(SUMPRODUCT(('C19RM 2021-Lab &amp; Other HPS'!$A$121:$D$220=E22)*('C19RM 2021-Lab &amp; Other HPS'!$BH$121:$BH$220=BJ22)*('C19RM 2021-Lab &amp; Other HPS'!$BR$121:$BR$220)*(('C19RM 2021-Lab &amp; Other HPS'!$AL$121:$AL$220)))),IF((INDEX(SETUP!$G$19:$G$503,(MATCH(1,(SETUP!$B$19:$B$503=B22)*(SETUP!$D$19:$D$503=D22),0))))=1,(SUMPRODUCT(('C19RM 2021-Lab &amp; Other HPS'!$A$121:$D$220=E22)*('C19RM 2021-Lab &amp; Other HPS'!$BH$121:$BH$220=BJ22)*('C19RM 2021-Lab &amp; Other HPS'!$BR$121:$BR$220)*(('C19RM 2021-Lab &amp; Other HPS'!$AM$121:$AM$220)))),0)))),0)))</f>
        <v>0</v>
      </c>
      <c r="AG22" s="359" cm="1">
        <f t="array" ref="AG22">IF((INDEX(SETUP!$F$19:$F$503,(MATCH(1,(SETUP!$B$19:$B$503=B22)*(SETUP!$D$19:$D$503=D22),0))))="Upfront",(SUMPRODUCT(('C19RM 2021-Lab &amp; Other HPS'!$A$121:$D$220=E22)*('C19RM 2021-Lab &amp; Other HPS'!$BH$121:$BH$220=BJ22)*('C19RM 2021-Lab &amp; Other HPS'!$BR$121:$BR$220)*(('C19RM 2021-Lab &amp; Other HPS'!$AO$121:$AO$220)))),(IF((INDEX(SETUP!$F$19:$F$503,(MATCH(1,(SETUP!$B$19:$B$503=B22)*(SETUP!$D$19:$D$503=D22),0))))="At delivery",IF((INDEX(SETUP!$G$19:$G$503,(MATCH(1,(SETUP!$B$19:$B$503=B22)*(SETUP!$D$19:$D$503=D22),0))))=4,(SUMPRODUCT(('C19RM 2021-Lab &amp; Other HPS'!$A$121:$D$220=E22)*('C19RM 2021-Lab &amp; Other HPS'!$BH$121:$BH$220=BJ22)*('C19RM 2021-Lab &amp; Other HPS'!$BQ$121:$BQ$220)*(('C19RM 2021-Lab &amp; Other HPS'!$AH$121:$AH$220)))),IF((INDEX(SETUP!$G$19:$G$503,(MATCH(1,(SETUP!$B$19:$B$503=B22)*(SETUP!$D$19:$D$503=D22),0))))=3,(SUMPRODUCT(('C19RM 2021-Lab &amp; Other HPS'!$A$121:$D$220=E22)*('C19RM 2021-Lab &amp; Other HPS'!$BH$121:$BH$220=BJ22)*('C19RM 2021-Lab &amp; Other HPS'!$BR$121:$BR$220)*(('C19RM 2021-Lab &amp; Other HPS'!$AL$121:$AL$220)))),IF((INDEX(SETUP!$G$19:$G$503,(MATCH(1,(SETUP!$B$19:$B$503=B22)*(SETUP!$D$19:$D$503=D22),0))))=2,(SUMPRODUCT(('C19RM 2021-Lab &amp; Other HPS'!$A$121:$D$220=E22)*('C19RM 2021-Lab &amp; Other HPS'!$BH$121:$BH$220=BJ22)*('C19RM 2021-Lab &amp; Other HPS'!$BR$121:$BR$220)*(('C19RM 2021-Lab &amp; Other HPS'!$AM$121:$AM$220)))),IF((INDEX(SETUP!$G$19:$G$503,(MATCH(1,(SETUP!$B$19:$B$503=B22)*(SETUP!$D$19:$D$503=D22),0))))=1,(SUMPRODUCT(('C19RM 2021-Lab &amp; Other HPS'!$A$121:$D$220=E22)*('C19RM 2021-Lab &amp; Other HPS'!$BH$121:$BH$220=BJ22)*('C19RM 2021-Lab &amp; Other HPS'!$BR$121:$BR$220)*(('C19RM 2021-Lab &amp; Other HPS'!$AN$121:$AN$220)))),0)))),0)))</f>
        <v>0</v>
      </c>
      <c r="AH22" s="359" cm="1">
        <f t="array" ref="AH22">IF((INDEX(SETUP!$F$19:$F$503,(MATCH(1,(SETUP!$B$19:$B$503=B22)*(SETUP!$D$19:$D$503=D22),0))))="Upfront",
(SUMPRODUCT(('C19RM 2021-Lab &amp; Other HPS'!$A$121:$D$220=E22)*('C19RM 2021-Lab &amp; Other HPS'!$BH$121:$BH$220=BJ22)*('C19RM 2021-Lab &amp; Other HPS'!$BS$121:$BS$220)*(('C19RM 2021-Lab &amp; Other HPS'!$AS$121:$AS$220)))),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HPS'!$AL$121:$AL$220)))),IF((INDEX(SETUP!$G$19:$G$503,(MATCH(1,(SETUP!$B$19:$B$503=B22)*(SETUP!$D$19:$D$503=D22),0))))=3,((SUMPRODUCT(('C19RM 2021-Lab &amp; Other HPS'!$A$121:$D$220=E22)*('C19RM 2021-Lab &amp; Other HPS'!$BH$121:$BH$220=BJ22)*('C19RM 2021-Lab &amp; Other HPS'!$BR$121:$BR$220)*(('C19RM 2021-Lab &amp; Other HPS'!$AM$121:$AM$220))))),IF((INDEX(SETUP!$G$19:$G$503,(MATCH(1,(SETUP!$B$19:$B$503=B22)*(SETUP!$D$19:$D$503=D22),0))))=2,(SUMPRODUCT(('C19RM 2021-Lab &amp; Other HPS'!$A$121:$D$220=E22)*('C19RM 2021-Lab &amp; Other HPS'!$BH$121:$BH$220=BJ22)*('C19RM 2021-Lab &amp; Other HPS'!$BR$121:$BR$220)*(('C19RM 2021-Lab &amp; Other HPS'!$AN$121:$AN$220)))),IF((INDEX(SETUP!$G$19:$G$503,(MATCH(1,(SETUP!$B$19:$B$503=B22)*(SETUP!$D$19:$D$503=D22),0))))=1,(SUMPRODUCT(('C19RM 2021-Lab &amp; Other HPS'!$A$121:$D$220=E22)*('C19RM 2021-Lab &amp; Other HPS'!$BH$121:$BH$220=BJ22)*('C19RM 2021-Lab &amp; Other HPS'!$BR$121:$BR$220)*(('C19RM 2021-Lab &amp; Other HPS'!$AO$121:$AO$220)))),0)))),0)))</f>
        <v>0</v>
      </c>
      <c r="AI22" s="359" cm="1">
        <f t="array" ref="AI22">IF((INDEX(SETUP!$F$19:$F$503,(MATCH(1,(SETUP!$B$19:$B$503=B22)*(SETUP!$D$19:$D$503=D22),0))))="Upfront",
(SUMPRODUCT(('C19RM 2021-Lab &amp; Other HPS'!$A$121:$D$220=E22)*('C19RM 2021-Lab &amp; Other HPS'!$BH$121:$BH$220=BJ22)*('C19RM 2021-Lab &amp; Other HPS'!$BS$121:$BS$220)*(('C19RM 2021-Lab &amp; Other HPS'!$AT$121:$AT$220)))),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HPS'!$AM$121:$AM$220)))),IF((INDEX(SETUP!$G$19:$G$503,(MATCH(1,(SETUP!$B$19:$B$503=B22)*(SETUP!$D$19:$D$503=D22),0))))=3,((SUMPRODUCT(('C19RM 2021-Lab &amp; Other HPS'!$A$121:$D$220=E22)*('C19RM 2021-Lab &amp; Other HPS'!$BH$121:$BH$220=BJ22)*('C19RM 2021-Lab &amp; Other HPS'!$BR$121:$BR$220)*(('C19RM 2021-Lab &amp; Other HPS'!$AN$121:$AN$220))))),IF((INDEX(SETUP!$G$19:$G$503,(MATCH(1,(SETUP!$B$19:$B$503=B22)*(SETUP!$D$19:$D$503=D22),0))))=2,(SUMPRODUCT(('C19RM 2021-Lab &amp; Other HPS'!$A$121:$D$220=E22)*('C19RM 2021-Lab &amp; Other HPS'!$BH$121:$BH$220=BJ22)*('C19RM 2021-Lab &amp; Other HPS'!$BR$121:$BR$220)*(('C19RM 2021-Lab &amp; Other HPS'!$AO$121:$AO$220)))),IF((INDEX(SETUP!$G$19:$G$503,(MATCH(1,(SETUP!$B$19:$B$503=B22)*(SETUP!$D$19:$D$503=D22),0))))=1,(SUMPRODUCT(('C19RM 2021-Lab &amp; Other HPS'!$A$121:$D$220=E22)*('C19RM 2021-Lab &amp; Other HPS'!$BH$121:$BH$220=BJ22)*('C19RM 2021-Lab &amp; Other HPS'!$BS$121:$BS$220)*(('C19RM 2021-Lab &amp; Other HPS'!$AS$121:$AS$220)))),0)))),0)))</f>
        <v>0</v>
      </c>
      <c r="AJ22" s="359" cm="1">
        <f t="array" ref="AJ22">IF((INDEX(SETUP!$F$19:$F$503,(MATCH(1,(SETUP!$B$19:$B$503=B22)*(SETUP!$D$19:$D$503=D22),0))))="Upfront",
(SUMPRODUCT(('C19RM 2021-Lab &amp; Other HPS'!$A$121:$D$220=E22)*('C19RM 2021-Lab &amp; Other HPS'!$BH$121:$BH$220=BJ22)*('C19RM 2021-Lab &amp; Other HPS'!$BS$121:$BS$220)*(('C19RM 2021-Lab &amp; Other HPS'!$AU$121:$AU$220)))),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HPS'!$AN$121:$AN$220)))),IF((INDEX(SETUP!$G$19:$G$503,(MATCH(1,(SETUP!$B$19:$B$503=B22)*(SETUP!$D$19:$D$503=D22),0))))=3,((SUMPRODUCT(('C19RM 2021-Lab &amp; Other HPS'!$A$121:$D$220=E22)*('C19RM 2021-Lab &amp; Other HPS'!$BH$121:$BH$220=BJ22)*('C19RM 2021-Lab &amp; Other HPS'!$BR$121:$BR$220)*(('C19RM 2021-Lab &amp; Other HPS'!$AO$121:$AO$220))))),IF((INDEX(SETUP!$G$19:$G$503,(MATCH(1,(SETUP!$B$19:$B$503=B22)*(SETUP!$D$19:$D$503=D22),0))))=2,(SUMPRODUCT(('C19RM 2021-Lab &amp; Other HPS'!$A$121:$D$220=E22)*('C19RM 2021-Lab &amp; Other HPS'!$BH$121:$BH$220=BJ22)*('C19RM 2021-Lab &amp; Other HPS'!$BS$121:$BS$220)*(('C19RM 2021-Lab &amp; Other HPS'!$AS$121:$AS$220)))),IF((INDEX(SETUP!$G$19:$G$503,(MATCH(1,(SETUP!$B$19:$B$503=B22)*(SETUP!$D$19:$D$503=D22),0))))=1,(SUMPRODUCT(('C19RM 2021-Lab &amp; Other HPS'!$A$121:$D$220=E22)*('C19RM 2021-Lab &amp; Other HPS'!$BH$121:$BH$220=BJ22)*('C19RM 2021-Lab &amp; Other HPS'!$BS$121:$BS$220)*(('C19RM 2021-Lab &amp; Other HPS'!$AT$121:$AT$220)))),0)))),0)))</f>
        <v>0</v>
      </c>
      <c r="AK22" s="359" cm="1">
        <f t="array" ref="AK22">IF((INDEX(SETUP!$F$19:$F$503,(MATCH(1,(SETUP!$B$19:$B$503=B22)*(SETUP!$D$19:$D$503=D22),0))))="Upfront",
(SUMPRODUCT(('C19RM 2021-Lab &amp; Other HPS'!$A$121:$D$220=E22)*('C19RM 2021-Lab &amp; Other HPS'!$BH$121:$BH$220=BJ22)*('C19RM 2021-Lab &amp; Other HPS'!$BS$121:$BS$220)*(('C19RM 2021-Lab &amp; Other HPS'!$AV$121:$AV$220)))),
(IF((INDEX(SETUP!$F$19:$F$503,(MATCH(1,(SETUP!$B$19:$B$503=B22)*(SETUP!$D$19:$D$503=D22),0))))="At delivery",
IF((INDEX(SETUP!$G$19:$G$503,(MATCH(1,(SETUP!$B$19:$B$503=B22)*(SETUP!$D$19:$D$503=D22),0))))=4,
(SUMPRODUCT(('C19RM 2021-Lab &amp; Other HPS'!$A$121:$D$220=E22)*('C19RM 2021-Lab &amp; Other HPS'!$BH$121:$BH$220=BJ22)*('C19RM 2021-Lab &amp; Other HPS'!$BR$121:$BR$220)*(('C19RM 2021-Lab &amp; Other HPS'!$AO$121:$AO$220)))),IF((INDEX(SETUP!$G$19:$G$503,(MATCH(1,(SETUP!$B$19:$B$503=B22)*(SETUP!$D$19:$D$503=D22),0))))=3,((SUMPRODUCT(('C19RM 2021-Lab &amp; Other HPS'!$A$121:$D$220=E22)*('C19RM 2021-Lab &amp; Other HPS'!$BH$121:$BH$220=BJ22)*('C19RM 2021-Lab &amp; Other HPS'!$BS$121:$BS$220)*(('C19RM 2021-Lab &amp; Other HPS'!$AS$121:$AS$220))))),IF((INDEX(SETUP!$G$19:$G$503,(MATCH(1,(SETUP!$B$19:$B$503=B22)*(SETUP!$D$19:$D$503=D22),0))))=2,(SUMPRODUCT(('C19RM 2021-Lab &amp; Other HPS'!$A$121:$D$220=E22)*('C19RM 2021-Lab &amp; Other HPS'!$BH$121:$BH$220=BJ22)*('C19RM 2021-Lab &amp; Other HPS'!$BS$121:$BS$220)*(('C19RM 2021-Lab &amp; Other HPS'!$AT$121:$AT$220)))),IF((INDEX(SETUP!$G$19:$G$503,(MATCH(1,(SETUP!$B$19:$B$503=B22)*(SETUP!$D$19:$D$503=D22),0))))=1,(SUMPRODUCT(('C19RM 2021-Lab &amp; Other HPS'!$A$121:$D$220=E22)*('C19RM 2021-Lab &amp; Other HPS'!$BH$121:$BH$220=BJ22)*('C19RM 2021-Lab &amp; Other HPS'!$BS$121:$BS$220)*(('C19RM 2021-Lab &amp; Other HPS'!$AU$121:$AU$220)))),0)))),0)))</f>
        <v>0</v>
      </c>
      <c r="AL22" s="359" cm="1">
        <f t="array" ref="AL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HPS'!$AS$121:$AS$220)))),IF((INDEX(SETUP!$G$19:$G$503,(MATCH(1,(SETUP!$B$19:$B$503=B22)*(SETUP!$D$19:$D$503=D22),0))))=3,(SUMPRODUCT(('C19RM 2021-Lab &amp; Other HPS'!$A$121:$D$220=E22)*('C19RM 2021-Lab &amp; Other HPS'!$BH$121:$BH$220=BJ22)*('C19RM 2021-Lab &amp; Other HPS'!$BS$121:$BS$220)*(('C19RM 2021-Lab &amp; Other HPS'!$AT$121:$AT$220)))),IF((INDEX(SETUP!$G$19:$G$503,(MATCH(1,(SETUP!$B$19:$B$503=B22)*(SETUP!$D$19:$D$503=D22),0))))=2,(SUMPRODUCT(('C19RM 2021-Lab &amp; Other HPS'!$A$121:$D$220=E22)*('C19RM 2021-Lab &amp; Other HPS'!$BH$121:$BH$220=BJ22)*('C19RM 2021-Lab &amp; Other HPS'!$BS$121:$BS$220)*(('C19RM 2021-Lab &amp; Other HPS'!$AU$121:$AU$220)))),
IF((INDEX(SETUP!$G$19:$G$503,(MATCH(1,(SETUP!$B$19:$B$503=B22)*(SETUP!$D$19:$D$503=D22),0))))=1,
(SUMPRODUCT(('C19RM 2021-Lab &amp; Other HPS'!$A$121:$D$220=E22)*('C19RM 2021-Lab &amp; Other HPS'!$BH$121:$BH$220=BJ22)*('C19RM 2021-Lab &amp; Other HPS'!$BS$121:$BS$220)*(('C19RM 2021-Lab &amp; Other HPS'!$AV$121:$AV$220)))),0)))),0)))</f>
        <v>0</v>
      </c>
      <c r="AM22" s="359" cm="1">
        <f t="array" ref="AM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HPS'!$AT$121:$AT$220)))),IF((INDEX(SETUP!$G$19:$G$503,(MATCH(1,(SETUP!$B$19:$B$503=B22)*(SETUP!$D$19:$D$503=D22),0))))=3,(SUMPRODUCT(('C19RM 2021-Lab &amp; Other HPS'!$A$121:$D$220=E22)*('C19RM 2021-Lab &amp; Other HPS'!$BH$121:$BH$220=BJ22)*('C19RM 2021-Lab &amp; Other HPS'!$BS$121:$BS$220)*(('C19RM 2021-Lab &amp; Other HPS'!$AU$121:$AU$220)))),IF((INDEX(SETUP!$G$19:$G$503,(MATCH(1,(SETUP!$B$19:$B$503=B22)*(SETUP!$D$19:$D$503=D22),0))))=2,(SUMPRODUCT(('C19RM 2021-Lab &amp; Other HPS'!$A$121:$D$220=E22)*('C19RM 2021-Lab &amp; Other HPS'!$BH$121:$BH$220=BJ22)*('C19RM 2021-Lab &amp; Other HPS'!$BS$121:$BS$220)*(('C19RM 2021-Lab &amp; Other HPS'!$AV$121:$AV$220)))),IF((INDEX(SETUP!$G$19:$G$503,(MATCH(1,(SETUP!$B$19:$B$503=B22)*(SETUP!$D$19:$D$503=D22),0))))=1,(0),0)))),0)))</f>
        <v>0</v>
      </c>
      <c r="AN22" s="359" cm="1">
        <f t="array" ref="AN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HPS'!$AU$121:$AU$220)))),IF((INDEX(SETUP!$G$19:$G$503,(MATCH(1,(SETUP!$B$19:$B$503=B22)*(SETUP!$D$19:$D$503=D22),0))))=3,(SUMPRODUCT(('C19RM 2021-Lab &amp; Other HPS'!$A$121:$D$220=E22)*('C19RM 2021-Lab &amp; Other HPS'!$BH$121:$BH$220=BJ22)*('C19RM 2021-Lab &amp; Other HPS'!$BS$121:$BS$220)*(('C19RM 2021-Lab &amp; Other HPS'!$AV$121:$AV$220)))),IF((INDEX(SETUP!$G$19:$G$503,(MATCH(1,(SETUP!$B$19:$B$503=B22)*(SETUP!$D$19:$D$503=D22),0))))=2,(0),IF((INDEX(SETUP!$G$19:$G$503,(MATCH(1,(SETUP!$B$19:$B$503=B22)*(SETUP!$D$19:$D$503=D22),0))))=1,(0),0)))),0)))</f>
        <v>0</v>
      </c>
      <c r="AO22" s="359" cm="1">
        <f t="array" ref="AO22">IF((INDEX(SETUP!$F$19:$F$503,(MATCH(1,(SETUP!$B$19:$B$503=B22)*(SETUP!$D$19:$D$503=D22),0))))="Upfront",0,(IF((INDEX(SETUP!$F$19:$F$503,(MATCH(1,(SETUP!$B$19:$B$503=B22)*(SETUP!$D$19:$D$503=D22),0))))="At delivery",IF((INDEX(SETUP!$G$19:$G$503,(MATCH(1,(SETUP!$B$19:$B$503=B22)*(SETUP!$D$19:$D$503=D22),0))))=4,(SUMPRODUCT(('C19RM 2021-Lab &amp; Other HPS'!$A$121:$D$220=E22)*('C19RM 2021-Lab &amp; Other HPS'!$BH$121:$BH$220=BJ22)*('C19RM 2021-Lab &amp; Other HPS'!$BS$121:$BS$220)*(('C19RM 2021-Lab &amp; Other HPS'!$AV$121:$AV$220)))),IF((INDEX(SETUP!$G$19:$G$503,(MATCH(1,(SETUP!$B$19:$B$503=B22)*(SETUP!$D$19:$D$503=D22),0))))=3,(0),IF((INDEX(SETUP!$G$19:$G$503,(MATCH(1,(SETUP!$B$19:$B$503=B22)*(SETUP!$D$19:$D$503=D22),0))))=2,(0),IF((INDEX(SETUP!$G$19:$G$503,(MATCH(1,(SETUP!$B$19:$B$503=B22)*(SETUP!$D$19:$D$503=D22),0))))=1,(0),0)))),0)))</f>
        <v>0</v>
      </c>
      <c r="AP22" s="359"/>
      <c r="AQ22" s="359"/>
      <c r="AR22" s="359"/>
      <c r="AS22" s="359"/>
      <c r="AT22" s="359" cm="1">
        <f t="array" ref="AT22">IF(BG22&gt;=1,0,IFERROR(SUMPRODUCT(($R$2:$AO$2=$AT$4)*($E$5:$E$100=E22)*($BC$5:$BC$100=BC22)*($R$5:$AO$100)),0))</f>
        <v>0</v>
      </c>
      <c r="AU22" s="359" cm="1">
        <f t="array" ref="AU22">IF(BG22&gt;=1,0,IFERROR(SUMPRODUCT(($R$2:$AO$2=$AU$4)*($E$5:$E$100=E22)*($BC$5:$BC$100=BC22)*($R$5:$AO$100)),0))</f>
        <v>0</v>
      </c>
      <c r="AV22" s="359" cm="1">
        <f t="array" ref="AV22">IF(BG22&gt;=1,0,IFERROR(SUMPRODUCT(($R$2:$AO$2=$AV$4)*($E$5:$E$100=E22)*($BC$5:$BC$100=BC22)*($R$5:$AO$100)),0))</f>
        <v>0</v>
      </c>
      <c r="AW22" s="359" cm="1">
        <f t="array" ref="AW22">IF(BG22&gt;=1,0,IFERROR(SUMPRODUCT(($R$2:$AO$2=$AW$4)*($E$5:$E$100=E22)*($BC$5:$BC$100=BC22)*($R$5:$AO$100)),0))</f>
        <v>0</v>
      </c>
      <c r="AX22" s="359" cm="1">
        <f t="array" ref="AX22">IF(BG22&gt;=1,0,IFERROR(SUMPRODUCT(($R$2:$AO$2=$AX$4)*($E$5:$E$100=E22)*($BC$5:$BC$100=BC22)*($R$5:$AO$100)),0))</f>
        <v>0</v>
      </c>
      <c r="AY22" s="359">
        <f t="shared" si="5"/>
        <v>0</v>
      </c>
      <c r="AZ22" s="359"/>
      <c r="BA22" s="233">
        <f t="shared" si="6"/>
        <v>0</v>
      </c>
      <c r="BB22" s="220" t="s">
        <v>83</v>
      </c>
      <c r="BC22" t="s">
        <v>3300</v>
      </c>
      <c r="BD22" cm="1">
        <f t="array" ref="BD22">(SUMPRODUCT(('C19RM 2021-Lab &amp; Other HPS'!$A$14:$D$650=E22)*('C19RM 2021-Lab &amp; Other HPS'!$BU$14:$BU$650)))</f>
        <v>0</v>
      </c>
      <c r="BE22" cm="1">
        <f t="array" ref="BE22">(SUMPRODUCT((SETUP!$D$20:$D$67=D22)*(SETUP!$R$20:$R$67)))</f>
        <v>0</v>
      </c>
      <c r="BF22" cm="1">
        <f t="array" ref="BF22">(SUMPRODUCT(('C19RM 2021-Lab &amp; Other HPS'!$A$14:$D$650=E22)*('C19RM 2021-Lab &amp; Other HPS'!$BV$14:$BV$650)))</f>
        <v>0</v>
      </c>
      <c r="BG22">
        <f t="shared" si="11"/>
        <v>0</v>
      </c>
      <c r="BJ22" s="235">
        <v>6.7</v>
      </c>
    </row>
    <row r="23" spans="1:62" x14ac:dyDescent="0.35">
      <c r="A23" s="235">
        <v>2</v>
      </c>
      <c r="B23" s="220" t="s">
        <v>2750</v>
      </c>
      <c r="C23" s="235" t="s">
        <v>3193</v>
      </c>
      <c r="D23" s="947" t="s">
        <v>122</v>
      </c>
      <c r="E23" s="235" t="s">
        <v>2757</v>
      </c>
      <c r="F23" s="220">
        <f>SETUP!$E$3</f>
        <v>0</v>
      </c>
      <c r="G23" s="220" t="str">
        <f ca="1">SETUP!$J$5</f>
        <v>NA</v>
      </c>
      <c r="H23" s="220" t="str">
        <f>SETUP!$E$9</f>
        <v>C19RM</v>
      </c>
      <c r="I23" s="232">
        <f t="shared" si="22"/>
        <v>44197</v>
      </c>
      <c r="J23" s="232">
        <f>SETUP!$L$14</f>
        <v>46022</v>
      </c>
      <c r="K23" s="220">
        <f>IFERROR(VLOOKUP(E23,'Master Data-C19RM'!$A$5:$B$35,2,0),0)</f>
        <v>0</v>
      </c>
      <c r="L23">
        <f t="shared" si="23"/>
        <v>0</v>
      </c>
      <c r="M23">
        <f>SETUP!$E$7</f>
        <v>0</v>
      </c>
      <c r="N23">
        <f>SETUP!$F$76</f>
        <v>6.1</v>
      </c>
      <c r="O23" t="str" cm="1">
        <f t="array" ref="O23">INDEX(SETUP!$E$19:$E$503,(MATCH(1,(SETUP!$B$19:$B$503=B23)*(SETUP!$D$19:$D$503=D23),0)))</f>
        <v>PR/SR</v>
      </c>
      <c r="P23" t="str" cm="1">
        <f t="array" ref="P23">INDEX(SETUP!$F$19:$F$503,(MATCH(1,(SETUP!$B$19:$B$503=B23)*(SETUP!$D$19:$D$503=D23),0)))</f>
        <v>At delivery</v>
      </c>
      <c r="Q23" cm="1">
        <f t="array" ref="Q23">INDEX(SETUP!$G$19:$G$503,(MATCH(1,(SETUP!$B$19:$B$503=B23)*(SETUP!$D$19:$D$503=D23),0)))</f>
        <v>1</v>
      </c>
      <c r="R23" s="359" cm="1">
        <f t="array" ref="R23">IF((INDEX(SETUP!$F$19:$F$503,(MATCH(1,(SETUP!$B$19:$B$503=B23)*(SETUP!$D$19:$D$503=D23),0))))="Upfront",(SUMPRODUCT(('C19RM 2021-Lab &amp; Other HPS'!$A$121:$D$220=E23)*('C19RM 2021-Lab &amp; Other HPS'!$BH$121:$BH$220=BJ23)*('C19RM 2021-Lab &amp; Other HPS'!$BO$121:$BO$220)*(('C19RM 2021-Lab &amp; Other HPS'!$Q$121:$Q$220)))),0)</f>
        <v>0</v>
      </c>
      <c r="S23" s="359" cm="1">
        <f t="array" ref="S23">IF((INDEX(SETUP!$F$19:$F$503,(MATCH(1,(SETUP!$B$19:$B$503=B23)*(SETUP!$D$19:$D$503=D23),0))))="Upfront",(SUMPRODUCT(('C19RM 2021-Lab &amp; Other HPS'!$A$121:$D$220=E23)*('C19RM 2021-Lab &amp; Other HPS'!$BH$121:$BH$220=BJ23)*('C19RM 2021-Lab &amp; Other HPS'!$BO$121:$BO$220)*(('C19RM 2021-Lab &amp; Other HPS'!$R$121:$R$220)))),(IF((INDEX(SETUP!$F$19:$F$503,(MATCH(1,(SETUP!$B$19:$B$503=B23)*(SETUP!$D$19:$D$503=D23),0))))="At delivery",IF((INDEX(SETUP!$G$19:$G$503,(MATCH(1,(SETUP!$B$19:$B$503=B23)*(SETUP!$D$19:$D$503=D23),0))))=1,(SUMPRODUCT(('C19RM 2021-Lab &amp; Other HPS'!$A$121:$D$220=E23)*('C19RM 2021-Lab &amp; Other HPS'!$BH$121:$BH$220=BJ23)*('C19RM 2021-Lab &amp; Other HPS'!$BO$121:$BO$220)*(('C19RM 2021-Lab &amp; Other HPS'!$Q$121:$Q$220)))),0),0)))</f>
        <v>0</v>
      </c>
      <c r="T23" s="359" cm="1">
        <f t="array" ref="T23">IF((INDEX(SETUP!$F$19:$F$503,(MATCH(1,(SETUP!$B$19:$B$503=B23)*(SETUP!$D$19:$D$503=D23),0))))="Upfront",(SUMPRODUCT(('C19RM 2021-Lab &amp; Other HPS'!$A$121:$D$220=E23)*('C19RM 2021-Lab &amp; Other HPS'!$BH$121:$BH$220=BJ23)*('C19RM 2021-Lab &amp; Other HPS'!$BO$121:$BO$220)*(('C19RM 2021-Lab &amp; Other HPS'!$S$121:$S$220)))),(IF((INDEX(SETUP!$F$19:$F$503,(MATCH(1,(SETUP!$B$19:$B$503=B23)*(SETUP!$D$19:$D$503=D23),0))))="At delivery",IF((INDEX(SETUP!$G$19:$G$503,(MATCH(1,(SETUP!$B$19:$B$503=B23)*(SETUP!$D$19:$D$503=D23),0))))=2,(SUMPRODUCT(('C19RM 2021-Lab &amp; Other HPS'!$A$121:$D$220=E23)*('C19RM 2021-Lab &amp; Other HPS'!$BH$121:$BH$220=BJ23)*('C19RM 2021-Lab &amp; Other HPS'!$BO$121:$BO$220)*(('C19RM 2021-Lab &amp; Other HPS'!$Q$121:$Q$220)))),IF((INDEX(SETUP!$G$19:$G$503,(MATCH(1,(SETUP!$B$19:$B$503=B23)*(SETUP!$D$19:$D$503=D23),0))))=1,(SUMPRODUCT(('C19RM 2021-Lab &amp; Other HPS'!$A$121:$D$220=E23)*('C19RM 2021-Lab &amp; Other HPS'!$BH$121:$BH$220=BJ23)*('C19RM 2021-Lab &amp; Other HPS'!$BO$121:$BO$220)*(('C19RM 2021-Lab &amp; Other HPS'!$R$121:$R$220)))),0)),0)))</f>
        <v>0</v>
      </c>
      <c r="U23" s="359" cm="1">
        <f t="array" ref="U23">IF((INDEX(SETUP!$F$19:$F$503,(MATCH(1,(SETUP!$B$19:$B$503=B23)*(SETUP!$D$19:$D$503=D23),0))))="Upfront",(SUMPRODUCT(('C19RM 2021-Lab &amp; Other HPS'!$A$121:$D$220=E23)*('C19RM 2021-Lab &amp; Other HPS'!$BH$121:$BH$220=BJ23)*('C19RM 2021-Lab &amp; Other HPS'!$BO$121:$BO$220)*(('C19RM 2021-Lab &amp; Other HPS'!$T$121:$T$220)))),(IF((INDEX(SETUP!$F$19:$F$503,(MATCH(1,(SETUP!$B$19:$B$503=B23)*(SETUP!$D$19:$D$503=D23),0))))="At delivery",IF((INDEX(SETUP!$G$19:$G$503,(MATCH(1,(SETUP!$B$19:$B$503=B23)*(SETUP!$D$19:$D$503=D23),0))))=3,(SUMPRODUCT(('C19RM 2021-Lab &amp; Other HPS'!$A$121:$D$220=E23)*('C19RM 2021-Lab &amp; Other HPS'!$BH$121:$BH$220=BJ23)*('C19RM 2021-Lab &amp; Other HPS'!$BO$121:$BO$220)*(('C19RM 2021-Lab &amp; Other HPS'!$Q$121:$Q$220)))),IF((INDEX(SETUP!$G$19:$G$503,(MATCH(1,(SETUP!$B$19:$B$503=B23)*(SETUP!$D$19:$D$503=D23),0))))=2,(SUMPRODUCT(('C19RM 2021-Lab &amp; Other HPS'!$A$121:$D$220=E23)*('C19RM 2021-Lab &amp; Other HPS'!$BH$121:$BH$220=BJ23)*('C19RM 2021-Lab &amp; Other HPS'!$BO$121:$BO$220)*(('C19RM 2021-Lab &amp; Other HPS'!$R$121:$R$220)))),IF((INDEX(SETUP!$G$19:$G$503,(MATCH(1,(SETUP!$B$19:$B$503=B23)*(SETUP!$D$19:$D$503=D23),0))))=1,(SUMPRODUCT(('C19RM 2021-Lab &amp; Other HPS'!$A$121:$D$220=E23)*('C19RM 2021-Lab &amp; Other HPS'!$BH$121:$BH$220=BJ23)*('C19RM 2021-Lab &amp; Other HPS'!$BO$121:$BO$220)*(('C19RM 2021-Lab &amp; Other HPS'!$S$121:$S$220)))),0))),0)))</f>
        <v>0</v>
      </c>
      <c r="V23" s="359" cm="1">
        <f t="array" ref="V23">IF((INDEX(SETUP!$F$19:$F$503,(MATCH(1,(SETUP!$B$19:$B$503=B23)*(SETUP!$D$19:$D$503=D23),0))))="Upfront",(SUMPRODUCT(('C19RM 2021-Lab &amp; Other HPS'!$A$121:$D$220=E23)*('C19RM 2021-Lab &amp; Other HPS'!$BH$121:$BH$220=BJ23)*('C19RM 2021-Lab &amp; Other HPS'!$BP$121:$BP$220)*(('C19RM 2021-Lab &amp; Other HPS'!$X$121:$X$220)))),(IF((INDEX(SETUP!$F$19:$F$503,(MATCH(1,(SETUP!$B$19:$B$503=B23)*(SETUP!$D$19:$D$503=D23),0))))="At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HPS'!$Q$121:$Q$220)))),IF((INDEX(SETUP!$G$19:$G$503,(MATCH(1,(SETUP!$B$19:$B$503=B23)*(SETUP!$D$19:$D$503=D23),0))))=3,(SUMPRODUCT(('C19RM 2021-Lab &amp; Other HPS'!$A$121:$D$220=E23)*('C19RM 2021-Lab &amp; Other HPS'!$BH$121:$BH$220=BJ23)*('C19RM 2021-Lab &amp; Other HPS'!$BO$121:$BO$220)*(('C19RM 2021-Lab &amp; Other HPS'!$R$121:$R$220)))),IF((INDEX(SETUP!$G$19:$G$503,(MATCH(1,(SETUP!$B$19:$B$503=B23)*(SETUP!$D$19:$D$503=D23),0))))=2,(SUMPRODUCT(('C19RM 2021-Lab &amp; Other HPS'!$A$121:$D$220=E23)*('C19RM 2021-Lab &amp; Other HPS'!$BH$121:$BH$220=BJ23)*('C19RM 2021-Lab &amp; Other HPS'!$BO$121:$BO$220)*(('C19RM 2021-Lab &amp; Other HPS'!$S$121:$S$220)))),IF((INDEX(SETUP!$G$19:$G$503,(MATCH(1,(SETUP!$B$19:$B$503=B23)*(SETUP!$D$19:$D$503=D23),0))))=1,(SUMPRODUCT(('C19RM 2021-Lab &amp; Other HPS'!$A$121:$D$220=E23)*('C19RM 2021-Lab &amp; Other HPS'!$BH$121:$BH$220=BJ23)*('C19RM 2021-Lab &amp; Other HPS'!$BO$121:$BO$220)*(('C19RM 2021-Lab &amp; Other HPS'!$T$121:$T$220)))),0)))),0)))</f>
        <v>0</v>
      </c>
      <c r="W23" s="359" cm="1">
        <f t="array" ref="W23">IF((INDEX(SETUP!$F$19:$F$503,(MATCH(1,(SETUP!$B$19:$B$503=B23)*(SETUP!$D$19:$D$503=D23),0))))="Upfront",(SUMPRODUCT(('C19RM 2021-Lab &amp; Other HPS'!$A$121:$D$220=E23)*('C19RM 2021-Lab &amp; Other HPS'!$BH$121:$BH$220=BJ23)*('C19RM 2021-Lab &amp; Other HPS'!$BP$121:$BP$220)*(('C19RM 2021-Lab &amp; Other HPS'!$Y$121:$Y$220)))),(IF((INDEX(SETUP!$F$19:$F$503,(MATCH(1,(SETUP!$B$19:$B$503=B23)*(SETUP!$D$19:$D$503=D23),0))))="At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HPS'!$R$121:$R$220)))),IF((INDEX(SETUP!$G$19:$G$503,(MATCH(1,(SETUP!$B$19:$B$503=B23)*(SETUP!$D$19:$D$503=D23),0))))=3,(SUMPRODUCT(('C19RM 2021-Lab &amp; Other HPS'!$A$121:$D$220=E23)*('C19RM 2021-Lab &amp; Other HPS'!$BH$121:$BH$220=BJ23)*('C19RM 2021-Lab &amp; Other HPS'!$BO$121:$BO$220)*(('C19RM 2021-Lab &amp; Other HPS'!$S$121:$S$220)))),IF((INDEX(SETUP!$G$19:$G$503,(MATCH(1,(SETUP!$B$19:$B$503=B23)*(SETUP!$D$19:$D$503=D23),0))))=2,((SUMPRODUCT(('C19RM 2021-Lab &amp; Other HPS'!$A$121:$D$220=E23)*('C19RM 2021-Lab &amp; Other HPS'!$BH$121:$BH$220=BJ23)*('C19RM 2021-Lab &amp; Other HPS'!$BO$121:$BO$220)*(('C19RM 2021-Lab &amp; Other HPS'!$T$121:$T$220))))),IF((INDEX(SETUP!$G$19:$G$503,(MATCH(1,(SETUP!$B$19:$B$503=B23)*(SETUP!$D$19:$D$503=D23),0))))=1,(SUMPRODUCT(('C19RM 2021-Lab &amp; Other HPS'!$A$121:$D$220=E23)*('C19RM 2021-Lab &amp; Other HPS'!$BH$121:$BH$220=BJ23)*('C19RM 2021-Lab &amp; Other HPS'!$BP$121:$BP$220)*(('C19RM 2021-Lab &amp; Other HPS'!$X$121:$X$220)))),0)))),0)))</f>
        <v>0</v>
      </c>
      <c r="X23" s="359" cm="1">
        <f t="array" ref="X23">IF((INDEX(SETUP!$F$19:$F$503,(MATCH(1,(SETUP!$B$19:$B$503=B23)*(SETUP!$D$19:$D$503=D23),0))))="Upfront",(SUMPRODUCT(('C19RM 2021-Lab &amp; Other HPS'!$A$121:$D$220=E23)*('C19RM 2021-Lab &amp; Other HPS'!$BH$121:$BH$220=BJ23)*('C19RM 2021-Lab &amp; Other HPS'!$BP$121:$BP$220)*(('C19RM 2021-Lab &amp; Other HPS'!$Z$121:$Z$220)))),(IF((INDEX(SETUP!$F$19:$F$503,(MATCH(1,(SETUP!$B$19:$B$503=B23)*(SETUP!$D$19:$D$503=D23),0))))="At delivery",IF((INDEX(SETUP!$G$19:$G$503,(MATCH(1,(SETUP!$B$19:$B$503=B23)*(SETUP!$D$19:$D$503=D23),0))))=4,(SUMPRODUCT(('C19RM 2021-Lab &amp; Other HPS'!$A$121:$D$220=E23)*('C19RM 2021-Lab &amp; Other HPS'!$BH$121:$BH$220=BJ23)*('C19RM 2021-Lab &amp; Other HPS'!$BO$121:$BO$220)*(('C19RM 2021-Lab &amp; Other HPS'!$S$121:$S$220)))),IF((INDEX(SETUP!$G$19:$G$503,(MATCH(1,(SETUP!$B$19:$B$503=B23)*(SETUP!$D$19:$D$503=D23),0))))=3,((SUMPRODUCT(('C19RM 2021-Lab &amp; Other HPS'!$A$121:$D$220=E23)*('C19RM 2021-Lab &amp; Other HPS'!$BH$121:$BH$220=BJ23)*('C19RM 2021-Lab &amp; Other HPS'!$BO$121:$BO$220)*(('C19RM 2021-Lab &amp; Other HPS'!$T$121:$T$220))))),IF((INDEX(SETUP!$G$19:$G$503,(MATCH(1,(SETUP!$B$19:$B$503=B23)*(SETUP!$D$19:$D$503=D23),0))))=2,(SUMPRODUCT(('C19RM 2021-Lab &amp; Other HPS'!$A$121:$D$220=E23)*('C19RM 2021-Lab &amp; Other HPS'!$BH$121:$BH$220=BJ23)*('C19RM 2021-Lab &amp; Other HPS'!$BP$121:$BP$220)*(('C19RM 2021-Lab &amp; Other HPS'!$X$121:$X$220)))),IF((INDEX(SETUP!$G$19:$G$503,(MATCH(1,(SETUP!$B$19:$B$503=B23)*(SETUP!$D$19:$D$503=D23),0))))=1,(SUMPRODUCT(('C19RM 2021-Lab &amp; Other HPS'!$A$121:$D$220=E23)*('C19RM 2021-Lab &amp; Other HPS'!$BH$121:$BH$220=BJ23)*('C19RM 2021-Lab &amp; Other HPS'!$BP$121:$BP$220)*(('C19RM 2021-Lab &amp; Other HPS'!$Y$121:$Y$220)))),0)))),0)))</f>
        <v>0</v>
      </c>
      <c r="Y23" s="359" cm="1">
        <f t="array" ref="Y23">IF((INDEX(SETUP!$F$19:$F$503,(MATCH(1,(SETUP!$B$19:$B$503=B23)*(SETUP!$D$19:$D$503=D23),0))))="Upfront",
(SUMPRODUCT(('C19RM 2021-Lab &amp; Other HPS'!$A$121:$D$220=E23)*('C19RM 2021-Lab &amp; Other HPS'!$BH$121:$BH$220=BJ23)*('C19RM 2021-Lab &amp; Other HPS'!$BP$121:$BP$220)*(('C19RM 2021-Lab &amp; Other HPS'!$AA$121:$AA$220)))),
(IF((INDEX(SETUP!$F$19:$F$503,(MATCH(1,(SETUP!$B$19:$B$503=B23)*(SETUP!$D$19:$D$503=D23),0))))="At delivery",
IF((INDEX(SETUP!$G$19:$G$503,(MATCH(1,(SETUP!$B$19:$B$503=B23)*(SETUP!$D$19:$D$503=D23),0))))=4,
((SUMPRODUCT(('C19RM 2021-Lab &amp; Other HPS'!$A$121:$D$220=E23)*('C19RM 2021-Lab &amp; Other HPS'!$BH$121:$BH$220=BJ23)*('C19RM 2021-Lab &amp; Other HPS'!$BO$121:$BO$220)*(('C19RM 2021-Lab &amp; Other HPS'!$T$121:$T$220))))),IF((INDEX(SETUP!$G$19:$G$503,(MATCH(1,(SETUP!$B$19:$B$503=B23)*(SETUP!$D$19:$D$503=D23),0))))=3,(SUMPRODUCT(('C19RM 2021-Lab &amp; Other HPS'!$A$121:$D$220=E23)*('C19RM 2021-Lab &amp; Other HPS'!$BH$121:$BH$220=BJ23)*('C19RM 2021-Lab &amp; Other HPS'!$BP$121:$BP$220)*(('C19RM 2021-Lab &amp; Other HPS'!$X$121:$X$220)))),IF((INDEX(SETUP!$G$19:$G$503,(MATCH(1,(SETUP!$B$19:$B$503=B23)*(SETUP!$D$19:$D$503=D23),0))))=2,(SUMPRODUCT(('C19RM 2021-Lab &amp; Other HPS'!$A$121:$D$220=E23)*('C19RM 2021-Lab &amp; Other HPS'!$BH$121:$BH$220=BJ23)*('C19RM 2021-Lab &amp; Other HPS'!$BP$121:$BP$220)*(('C19RM 2021-Lab &amp; Other HPS'!$Y$121:$Y$220)))),IF((INDEX(SETUP!$G$19:$G$503,(MATCH(1,(SETUP!$B$19:$B$503=B23)*(SETUP!$D$19:$D$503=D23),0))))=1,(SUMPRODUCT(('C19RM 2021-Lab &amp; Other HPS'!$A$121:$D$220=E23)*('C19RM 2021-Lab &amp; Other HPS'!$BH$121:$BH$220=BJ23)*('C19RM 2021-Lab &amp; Other HPS'!$BP$121:$BP$220)*(('C19RM 2021-Lab &amp; Other HPS'!$Z$121:$Z$220)))),0)))),0)))</f>
        <v>0</v>
      </c>
      <c r="Z23" s="359" cm="1">
        <f t="array" ref="Z23">IF((INDEX(SETUP!$F$19:$F$503,(MATCH(1,(SETUP!$B$19:$B$503=B23)*(SETUP!$D$19:$D$503=D23),0))))="Upfront",(SUMPRODUCT(('C19RM 2021-Lab &amp; Other HPS'!$A$121:$D$220=E23)*('C19RM 2021-Lab &amp; Other HPS'!$BH$121:$BH$220=BJ23)*('C19RM 2021-Lab &amp; Other HPS'!$BQ$121:$BQ$220)*(('C19RM 2021-Lab &amp; Other HPS'!$AE$121:$AE$220)))),(IF((INDEX(SETUP!$F$19:$F$503,(MATCH(1,(SETUP!$B$19:$B$503=B23)*(SETUP!$D$19:$D$503=D23),0))))="At delivery",IF((INDEX(SETUP!$G$19:$G$503,(MATCH(1,(SETUP!$B$19:$B$503=B23)*(SETUP!$D$19:$D$503=D23),0))))=4,(SUMPRODUCT(('C19RM 2021-Lab &amp; Other HPS'!$A$121:$D$220=E23)*('C19RM 2021-Lab &amp; Other HPS'!$BH$121:$BH$220=BJ23)*('C19RM 2021-Lab &amp; Other HPS'!$BP$121:$BP$220)*(('C19RM 2021-Lab &amp; Other HPS'!$X$121:$X$220)))),IF((INDEX(SETUP!$G$19:$G$503,(MATCH(1,(SETUP!$B$19:$B$503=B23)*(SETUP!$D$19:$D$503=D23),0))))=3,(SUMPRODUCT(('C19RM 2021-Lab &amp; Other HPS'!$A$121:$D$220=E23)*('C19RM 2021-Lab &amp; Other HPS'!$BH$121:$BH$220=BJ23)*('C19RM 2021-Lab &amp; Other HPS'!$BP$121:$BP$220)*(('C19RM 2021-Lab &amp; Other HPS'!$Y$121:$Y$220)))),IF((INDEX(SETUP!$G$19:$G$503,(MATCH(1,(SETUP!$B$19:$B$503=B23)*(SETUP!$D$19:$D$503=D23),0))))=2,(SUMPRODUCT(('C19RM 2021-Lab &amp; Other HPS'!$A$121:$D$220=E23)*('C19RM 2021-Lab &amp; Other HPS'!$BH$121:$BH$220=BJ23)*('C19RM 2021-Lab &amp; Other HPS'!$BP$121:$BP$220)*(('C19RM 2021-Lab &amp; Other HPS'!$Z$121:$Z$220)))),IF((INDEX(SETUP!$G$19:$G$503,(MATCH(1,(SETUP!$B$19:$B$503=B23)*(SETUP!$D$19:$D$503=D23),0))))=1,(SUMPRODUCT(('C19RM 2021-Lab &amp; Other HPS'!$A$121:$D$220=E23)*('C19RM 2021-Lab &amp; Other HPS'!$BH$121:$BH$220=BJ23)*('C19RM 2021-Lab &amp; Other HPS'!$BP$121:$BP$220)*(('C19RM 2021-Lab &amp; Other HPS'!$AA$121:$AA$220)))),0)))),0)))</f>
        <v>0</v>
      </c>
      <c r="AA23" s="359" cm="1">
        <f t="array" ref="AA23">IF((INDEX(SETUP!$F$19:$F$503,(MATCH(1,(SETUP!$B$19:$B$503=B23)*(SETUP!$D$19:$D$503=D23),0))))="Upfront",(SUMPRODUCT(('C19RM 2021-Lab &amp; Other HPS'!$A$121:$D$220=E23)*('C19RM 2021-Lab &amp; Other HPS'!$BH$121:$BH$220=BJ23)*('C19RM 2021-Lab &amp; Other HPS'!$BQ$121:$BQ$220)*(('C19RM 2021-Lab &amp; Other HPS'!$AF$121:$AF$220)))),(IF((INDEX(SETUP!$F$19:$F$503,(MATCH(1,(SETUP!$B$19:$B$503=B23)*(SETUP!$D$19:$D$503=D23),0))))="At delivery",IF((INDEX(SETUP!$G$19:$G$503,(MATCH(1,(SETUP!$B$19:$B$503=B23)*(SETUP!$D$19:$D$503=D23),0))))=4,(SUMPRODUCT(('C19RM 2021-Lab &amp; Other HPS'!$A$121:$D$220=E23)*('C19RM 2021-Lab &amp; Other HPS'!$BH$121:$BH$220=BJ23)*('C19RM 2021-Lab &amp; Other HPS'!$BP$121:$BP$220)*(('C19RM 2021-Lab &amp; Other HPS'!$Y$121:$Y$220)))),IF((INDEX(SETUP!$G$19:$G$503,(MATCH(1,(SETUP!$B$19:$B$503=B23)*(SETUP!$D$19:$D$503=D23),0))))=3,(SUMPRODUCT(('C19RM 2021-Lab &amp; Other HPS'!$A$121:$D$220=E23)*('C19RM 2021-Lab &amp; Other HPS'!$BH$121:$BH$220=BJ23)*('C19RM 2021-Lab &amp; Other HPS'!$BP$121:$BP$220)*(('C19RM 2021-Lab &amp; Other HPS'!$Z$121:$Z$220)))),IF((INDEX(SETUP!$G$19:$G$503,(MATCH(1,(SETUP!$B$19:$B$503=B23)*(SETUP!$D$19:$D$503=D23),0))))=2,((SUMPRODUCT(('C19RM 2021-Lab &amp; Other HPS'!$A$121:$D$220=E23)*('C19RM 2021-Lab &amp; Other HPS'!$BH$121:$BH$220=BJ23)*('C19RM 2021-Lab &amp; Other HPS'!$BP$121:$BP$220)*(('C19RM 2021-Lab &amp; Other HPS'!$AA$121:$AA$220))))),IF((INDEX(SETUP!$G$19:$G$503,(MATCH(1,(SETUP!$B$19:$B$503=B23)*(SETUP!$D$19:$D$503=D23),0))))=1,(SUMPRODUCT(('C19RM 2021-Lab &amp; Other HPS'!$A$121:$D$220=E23)*('C19RM 2021-Lab &amp; Other HPS'!$BH$121:$BH$220=BJ23)*('C19RM 2021-Lab &amp; Other HPS'!$BQ$121:$BQ$220)*(('C19RM 2021-Lab &amp; Other HPS'!$AE$121:$AE$220)))),0)))),0)))</f>
        <v>0</v>
      </c>
      <c r="AB23" s="359" cm="1">
        <f t="array" ref="AB23">IF((INDEX(SETUP!$F$19:$F$503,(MATCH(1,(SETUP!$B$19:$B$503=B23)*(SETUP!$D$19:$D$503=D23),0))))="Upfront",
(SUMPRODUCT(('C19RM 2021-Lab &amp; Other HPS'!$A$121:$D$220=E23)*('C19RM 2021-Lab &amp; Other HPS'!$BH$121:$BH$220=BJ23)*('C19RM 2021-Lab &amp; Other HPS'!$BQ$121:$BQ$220)*(('C19RM 2021-Lab &amp; Other HPS'!$AG$121:$AG$220)))),
(IF((INDEX(SETUP!$F$19:$F$503,(MATCH(1,(SETUP!$B$19:$B$503=B23)*(SETUP!$D$19:$D$503=D23),0))))="At delivery",
IF((INDEX(SETUP!$G$19:$G$503,(MATCH(1,(SETUP!$B$19:$B$503=B23)*(SETUP!$D$19:$D$503=D23),0))))=4,
(SUMPRODUCT(('C19RM 2021-Lab &amp; Other HPS'!$A$121:$D$220=E23)*('C19RM 2021-Lab &amp; Other HPS'!$BH$121:$BH$220=BJ23)*('C19RM 2021-Lab &amp; Other HPS'!$BP$121:$BP$220)*(('C19RM 2021-Lab &amp; Other HPS'!$Z$121:$Z$220)))),IF((INDEX(SETUP!$G$19:$G$503,(MATCH(1,(SETUP!$B$19:$B$503=B23)*(SETUP!$D$19:$D$503=D23),0))))=3,(SUMPRODUCT(('C19RM 2021-Lab &amp; Other HPS'!$A$121:$D$220=E23)*('C19RM 2021-Lab &amp; Other HPS'!$BH$121:$BH$220=BJ23)*('C19RM 2021-Lab &amp; Other HPS'!$BP$121:$BP$220)*(('C19RM 2021-Lab &amp; Other HPS'!$AA$121:$AA$220)))),IF((INDEX(SETUP!$G$19:$G$503,(MATCH(1,(SETUP!$B$19:$B$503=B23)*(SETUP!$D$19:$D$503=D23),0))))=2,(SUMPRODUCT(('C19RM 2021-Lab &amp; Other HPS'!$A$121:$D$220=E23)*('C19RM 2021-Lab &amp; Other HPS'!$BH$121:$BH$220=BJ23)*('C19RM 2021-Lab &amp; Other HPS'!$BQ$121:$BQ$220)*(('C19RM 2021-Lab &amp; Other HPS'!$AE$121:$AE$220)))),IF((INDEX(SETUP!$G$19:$G$503,(MATCH(1,(SETUP!$B$19:$B$503=B23)*(SETUP!$D$19:$D$503=D23),0))))=1,(SUMPRODUCT(('C19RM 2021-Lab &amp; Other HPS'!$A$121:$D$220=E23)*('C19RM 2021-Lab &amp; Other HPS'!$BH$121:$BH$220=BJ23)*('C19RM 2021-Lab &amp; Other HPS'!$BQ$121:$BQ$220)*(('C19RM 2021-Lab &amp; Other HPS'!$AF$121:$AF$220)))),0)))),0)))</f>
        <v>0</v>
      </c>
      <c r="AC23" s="359" cm="1">
        <f t="array" ref="AC23">IF((INDEX(SETUP!$F$19:$F$503,(MATCH(1,(SETUP!$B$19:$B$503=B23)*(SETUP!$D$19:$D$503=D23),0))))="Upfront",
(SUMPRODUCT(('C19RM 2021-Lab &amp; Other HPS'!$A$121:$D$220=E23)*('C19RM 2021-Lab &amp; Other HPS'!$BH$121:$BH$220=BJ23)*('C19RM 2021-Lab &amp; Other HPS'!$BQ$121:$BQ$220)*(('C19RM 2021-Lab &amp; Other HPS'!$AH$121:$AH$220)))),
(IF((INDEX(SETUP!$F$19:$F$503,(MATCH(1,(SETUP!$B$19:$B$503=B23)*(SETUP!$D$19:$D$503=D23),0))))="At delivery",
IF((INDEX(SETUP!$G$19:$G$503,(MATCH(1,(SETUP!$B$19:$B$503=B23)*(SETUP!$D$19:$D$503=D23),0))))=4,
(SUMPRODUCT(('C19RM 2021-Lab &amp; Other HPS'!$A$121:$D$220=E23)*('C19RM 2021-Lab &amp; Other HPS'!$BH$121:$BH$220=BJ23)*('C19RM 2021-Lab &amp; Other HPS'!$BP$121:$BP$220)*(('C19RM 2021-Lab &amp; Other HPS'!$AA$121:$AA$220)))),IF((INDEX(SETUP!$G$19:$G$503,(MATCH(1,(SETUP!$B$19:$B$503=B23)*(SETUP!$D$19:$D$503=D23),0))))=3,(SUMPRODUCT(('C19RM 2021-Lab &amp; Other HPS'!$A$121:$D$220=E23)*('C19RM 2021-Lab &amp; Other HPS'!$BH$121:$BH$220=BJ23)*('C19RM 2021-Lab &amp; Other HPS'!$BQ$121:$BQ$220)*(('C19RM 2021-Lab &amp; Other HPS'!$AE$121:$AE$220)))),IF((INDEX(SETUP!$G$19:$G$503,(MATCH(1,(SETUP!$B$19:$B$503=B23)*(SETUP!$D$19:$D$503=D23),0))))=2,(SUMPRODUCT(('C19RM 2021-Lab &amp; Other HPS'!$A$121:$D$220=E23)*('C19RM 2021-Lab &amp; Other HPS'!$BH$121:$BH$220=BJ23)*('C19RM 2021-Lab &amp; Other HPS'!$BQ$121:$BQ$220)*(('C19RM 2021-Lab &amp; Other HPS'!$AF$121:$AF$220)))),IF((INDEX(SETUP!$G$19:$G$503,(MATCH(1,(SETUP!$B$19:$B$503=B23)*(SETUP!$D$19:$D$503=D23),0))))=1,(SUMPRODUCT(('C19RM 2021-Lab &amp; Other HPS'!$A$121:$D$220=E23)*('C19RM 2021-Lab &amp; Other HPS'!$BH$121:$BH$220=BJ23)*('C19RM 2021-Lab &amp; Other HPS'!$BQ$121:$BQ$220)*(('C19RM 2021-Lab &amp; Other HPS'!$AG$121:$AG$220)))),0)))),0)))</f>
        <v>0</v>
      </c>
      <c r="AD23" s="359" cm="1">
        <f t="array" ref="AD23">IF((INDEX(SETUP!$F$19:$F$503,(MATCH(1,(SETUP!$B$19:$B$503=B23)*(SETUP!$D$19:$D$503=D23),0))))="Upfront",
(SUMPRODUCT(('C19RM 2021-Lab &amp; Other HPS'!$A$121:$D$220=E23)*('C19RM 2021-Lab &amp; Other HPS'!$BH$121:$BH$220=BJ23)*('C19RM 2021-Lab &amp; Other HPS'!$BR$121:$BR$220)*(('C19RM 2021-Lab &amp; Other HPS'!$AL$121:$AL$220)))),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HPS'!$AE$121:$AE$220)))),IF((INDEX(SETUP!$G$19:$G$503,(MATCH(1,(SETUP!$B$19:$B$503=B23)*(SETUP!$D$19:$D$503=D23),0))))=3,((SUMPRODUCT(('C19RM 2021-Lab &amp; Other HPS'!$A$121:$D$220=E23)*('C19RM 2021-Lab &amp; Other HPS'!$BH$121:$BH$220=BJ23)*('C19RM 2021-Lab &amp; Other HPS'!$BQ$121:$BQ$220)*(('C19RM 2021-Lab &amp; Other HPS'!$AF$121:$AF$220))))),IF((INDEX(SETUP!$G$19:$G$503,(MATCH(1,(SETUP!$B$19:$B$503=B23)*(SETUP!$D$19:$D$503=D23),0))))=2,(SUMPRODUCT(('C19RM 2021-Lab &amp; Other HPS'!$A$121:$D$220=E23)*('C19RM 2021-Lab &amp; Other HPS'!$BH$121:$BH$220=BJ23)*('C19RM 2021-Lab &amp; Other HPS'!$BQ$121:$BQ$220)*(('C19RM 2021-Lab &amp; Other HPS'!$AG$121:$AG$220)))),IF((INDEX(SETUP!$G$19:$G$503,(MATCH(1,(SETUP!$B$19:$B$503=B23)*(SETUP!$D$19:$D$503=D23),0))))=1,(SUMPRODUCT(('C19RM 2021-Lab &amp; Other HPS'!$A$121:$D$220=E23)*('C19RM 2021-Lab &amp; Other HPS'!$BH$121:$BH$220=BJ23)*('C19RM 2021-Lab &amp; Other HPS'!$BQ$121:$BQ$220)*(('C19RM 2021-Lab &amp; Other HPS'!$AH$121:$AH$220)))),0)))),0)))</f>
        <v>0</v>
      </c>
      <c r="AE23" s="359" cm="1">
        <f t="array" ref="AE23">IF((INDEX(SETUP!$F$19:$F$503,(MATCH(1,(SETUP!$B$19:$B$503=B23)*(SETUP!$D$19:$D$503=D23),0))))="Upfront",
(SUMPRODUCT(('C19RM 2021-Lab &amp; Other HPS'!$A$121:$D$220=E23)*('C19RM 2021-Lab &amp; Other HPS'!$BH$121:$BH$220=BJ23)*('C19RM 2021-Lab &amp; Other HPS'!$BR$121:$BR$220)*(('C19RM 2021-Lab &amp; Other HPS'!$AM$121:$AM$220)))),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HPS'!$AF$121:$AF$220)))),IF((INDEX(SETUP!$G$19:$G$503,(MATCH(1,(SETUP!$B$19:$B$503=B23)*(SETUP!$D$19:$D$503=D23),0))))=3,(SUMPRODUCT(('C19RM 2021-Lab &amp; Other HPS'!$A$121:$D$220=E23)*('C19RM 2021-Lab &amp; Other HPS'!$BH$121:$BH$220=BJ23)*('C19RM 2021-Lab &amp; Other HPS'!$BQ$121:$BQ$220)*(('C19RM 2021-Lab &amp; Other HPS'!$AG$121:$AG$220)))),IF((INDEX(SETUP!$G$19:$G$503,(MATCH(1,(SETUP!$B$19:$B$503=B23)*(SETUP!$D$19:$D$503=D23),0))))=2,(SUMPRODUCT(('C19RM 2021-Lab &amp; Other HPS'!$A$121:$D$220=E23)*('C19RM 2021-Lab &amp; Other HPS'!$BH$121:$BH$220=BJ23)*('C19RM 2021-Lab &amp; Other HPS'!$BQ$121:$BQ$220)*(('C19RM 2021-Lab &amp; Other HPS'!$AH$121:$AH$220)))),IF((INDEX(SETUP!$G$19:$G$503,(MATCH(1,(SETUP!$B$19:$B$503=B23)*(SETUP!$D$19:$D$503=D23),0))))=1,(SUMPRODUCT(('C19RM 2021-Lab &amp; Other HPS'!$A$121:$D$220=E23)*('C19RM 2021-Lab &amp; Other HPS'!$BH$121:$BH$220=BJ23)*('C19RM 2021-Lab &amp; Other HPS'!$BR$121:$BR$220)*(('C19RM 2021-Lab &amp; Other HPS'!$AL$121:$AL$220)))),0)))),0)))</f>
        <v>0</v>
      </c>
      <c r="AF23" s="359" cm="1">
        <f t="array" ref="AF23">IF((INDEX(SETUP!$F$19:$F$503,(MATCH(1,(SETUP!$B$19:$B$503=B23)*(SETUP!$D$19:$D$503=D23),0))))="Upfront",
(SUMPRODUCT(('C19RM 2021-Lab &amp; Other HPS'!$A$121:$D$220=E23)*('C19RM 2021-Lab &amp; Other HPS'!$BH$121:$BH$220=BJ23)*('C19RM 2021-Lab &amp; Other HPS'!$BR$121:$BR$220)*(('C19RM 2021-Lab &amp; Other HPS'!$AN$121:$AN$220)))),
(IF((INDEX(SETUP!$F$19:$F$503,(MATCH(1,(SETUP!$B$19:$B$503=B23)*(SETUP!$D$19:$D$503=D23),0))))="At delivery",
IF((INDEX(SETUP!$G$19:$G$503,(MATCH(1,(SETUP!$B$19:$B$503=B23)*(SETUP!$D$19:$D$503=D23),0))))=4,
(SUMPRODUCT(('C19RM 2021-Lab &amp; Other HPS'!$A$121:$D$220=E23)*('C19RM 2021-Lab &amp; Other HPS'!$BH$121:$BH$220=BJ23)*('C19RM 2021-Lab &amp; Other HPS'!$BQ$121:$BQ$220)*(('C19RM 2021-Lab &amp; Other HPS'!$AG$121:$AG$220)))),IF((INDEX(SETUP!$G$19:$G$503,(MATCH(1,(SETUP!$B$19:$B$503=B23)*(SETUP!$D$19:$D$503=D23),0))))=3,(SUMPRODUCT(('C19RM 2021-Lab &amp; Other HPS'!$A$121:$D$220=E23)*('C19RM 2021-Lab &amp; Other HPS'!$BH$121:$BH$220=BJ23)*('C19RM 2021-Lab &amp; Other HPS'!$BQ$121:$BQ$220)*(('C19RM 2021-Lab &amp; Other HPS'!$AH$121:$AH$220)))),IF((INDEX(SETUP!$G$19:$G$503,(MATCH(1,(SETUP!$B$19:$B$503=B23)*(SETUP!$D$19:$D$503=D23),0))))=2,(SUMPRODUCT(('C19RM 2021-Lab &amp; Other HPS'!$A$121:$D$220=E23)*('C19RM 2021-Lab &amp; Other HPS'!$BH$121:$BH$220=BJ23)*('C19RM 2021-Lab &amp; Other HPS'!$BR$121:$BR$220)*(('C19RM 2021-Lab &amp; Other HPS'!$AL$121:$AL$220)))),IF((INDEX(SETUP!$G$19:$G$503,(MATCH(1,(SETUP!$B$19:$B$503=B23)*(SETUP!$D$19:$D$503=D23),0))))=1,(SUMPRODUCT(('C19RM 2021-Lab &amp; Other HPS'!$A$121:$D$220=E23)*('C19RM 2021-Lab &amp; Other HPS'!$BH$121:$BH$220=BJ23)*('C19RM 2021-Lab &amp; Other HPS'!$BR$121:$BR$220)*(('C19RM 2021-Lab &amp; Other HPS'!$AM$121:$AM$220)))),0)))),0)))</f>
        <v>0</v>
      </c>
      <c r="AG23" s="359" cm="1">
        <f t="array" ref="AG23">IF((INDEX(SETUP!$F$19:$F$503,(MATCH(1,(SETUP!$B$19:$B$503=B23)*(SETUP!$D$19:$D$503=D23),0))))="Upfront",(SUMPRODUCT(('C19RM 2021-Lab &amp; Other HPS'!$A$121:$D$220=E23)*('C19RM 2021-Lab &amp; Other HPS'!$BH$121:$BH$220=BJ23)*('C19RM 2021-Lab &amp; Other HPS'!$BR$121:$BR$220)*(('C19RM 2021-Lab &amp; Other HPS'!$AO$121:$AO$220)))),(IF((INDEX(SETUP!$F$19:$F$503,(MATCH(1,(SETUP!$B$19:$B$503=B23)*(SETUP!$D$19:$D$503=D23),0))))="At delivery",IF((INDEX(SETUP!$G$19:$G$503,(MATCH(1,(SETUP!$B$19:$B$503=B23)*(SETUP!$D$19:$D$503=D23),0))))=4,(SUMPRODUCT(('C19RM 2021-Lab &amp; Other HPS'!$A$121:$D$220=E23)*('C19RM 2021-Lab &amp; Other HPS'!$BH$121:$BH$220=BJ23)*('C19RM 2021-Lab &amp; Other HPS'!$BQ$121:$BQ$220)*(('C19RM 2021-Lab &amp; Other HPS'!$AH$121:$AH$220)))),IF((INDEX(SETUP!$G$19:$G$503,(MATCH(1,(SETUP!$B$19:$B$503=B23)*(SETUP!$D$19:$D$503=D23),0))))=3,(SUMPRODUCT(('C19RM 2021-Lab &amp; Other HPS'!$A$121:$D$220=E23)*('C19RM 2021-Lab &amp; Other HPS'!$BH$121:$BH$220=BJ23)*('C19RM 2021-Lab &amp; Other HPS'!$BR$121:$BR$220)*(('C19RM 2021-Lab &amp; Other HPS'!$AL$121:$AL$220)))),IF((INDEX(SETUP!$G$19:$G$503,(MATCH(1,(SETUP!$B$19:$B$503=B23)*(SETUP!$D$19:$D$503=D23),0))))=2,(SUMPRODUCT(('C19RM 2021-Lab &amp; Other HPS'!$A$121:$D$220=E23)*('C19RM 2021-Lab &amp; Other HPS'!$BH$121:$BH$220=BJ23)*('C19RM 2021-Lab &amp; Other HPS'!$BR$121:$BR$220)*(('C19RM 2021-Lab &amp; Other HPS'!$AM$121:$AM$220)))),IF((INDEX(SETUP!$G$19:$G$503,(MATCH(1,(SETUP!$B$19:$B$503=B23)*(SETUP!$D$19:$D$503=D23),0))))=1,(SUMPRODUCT(('C19RM 2021-Lab &amp; Other HPS'!$A$121:$D$220=E23)*('C19RM 2021-Lab &amp; Other HPS'!$BH$121:$BH$220=BJ23)*('C19RM 2021-Lab &amp; Other HPS'!$BR$121:$BR$220)*(('C19RM 2021-Lab &amp; Other HPS'!$AN$121:$AN$220)))),0)))),0)))</f>
        <v>0</v>
      </c>
      <c r="AH23" s="359" cm="1">
        <f t="array" ref="AH23">IF((INDEX(SETUP!$F$19:$F$503,(MATCH(1,(SETUP!$B$19:$B$503=B23)*(SETUP!$D$19:$D$503=D23),0))))="Upfront",
(SUMPRODUCT(('C19RM 2021-Lab &amp; Other HPS'!$A$121:$D$220=E23)*('C19RM 2021-Lab &amp; Other HPS'!$BH$121:$BH$220=BJ23)*('C19RM 2021-Lab &amp; Other HPS'!$BS$121:$BS$220)*(('C19RM 2021-Lab &amp; Other HPS'!$AS$121:$AS$220)))),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HPS'!$AL$121:$AL$220)))),IF((INDEX(SETUP!$G$19:$G$503,(MATCH(1,(SETUP!$B$19:$B$503=B23)*(SETUP!$D$19:$D$503=D23),0))))=3,((SUMPRODUCT(('C19RM 2021-Lab &amp; Other HPS'!$A$121:$D$220=E23)*('C19RM 2021-Lab &amp; Other HPS'!$BH$121:$BH$220=BJ23)*('C19RM 2021-Lab &amp; Other HPS'!$BR$121:$BR$220)*(('C19RM 2021-Lab &amp; Other HPS'!$AM$121:$AM$220))))),IF((INDEX(SETUP!$G$19:$G$503,(MATCH(1,(SETUP!$B$19:$B$503=B23)*(SETUP!$D$19:$D$503=D23),0))))=2,(SUMPRODUCT(('C19RM 2021-Lab &amp; Other HPS'!$A$121:$D$220=E23)*('C19RM 2021-Lab &amp; Other HPS'!$BH$121:$BH$220=BJ23)*('C19RM 2021-Lab &amp; Other HPS'!$BR$121:$BR$220)*(('C19RM 2021-Lab &amp; Other HPS'!$AN$121:$AN$220)))),IF((INDEX(SETUP!$G$19:$G$503,(MATCH(1,(SETUP!$B$19:$B$503=B23)*(SETUP!$D$19:$D$503=D23),0))))=1,(SUMPRODUCT(('C19RM 2021-Lab &amp; Other HPS'!$A$121:$D$220=E23)*('C19RM 2021-Lab &amp; Other HPS'!$BH$121:$BH$220=BJ23)*('C19RM 2021-Lab &amp; Other HPS'!$BR$121:$BR$220)*(('C19RM 2021-Lab &amp; Other HPS'!$AO$121:$AO$220)))),0)))),0)))</f>
        <v>0</v>
      </c>
      <c r="AI23" s="359" cm="1">
        <f t="array" ref="AI23">IF((INDEX(SETUP!$F$19:$F$503,(MATCH(1,(SETUP!$B$19:$B$503=B23)*(SETUP!$D$19:$D$503=D23),0))))="Upfront",
(SUMPRODUCT(('C19RM 2021-Lab &amp; Other HPS'!$A$121:$D$220=E23)*('C19RM 2021-Lab &amp; Other HPS'!$BH$121:$BH$220=BJ23)*('C19RM 2021-Lab &amp; Other HPS'!$BS$121:$BS$220)*(('C19RM 2021-Lab &amp; Other HPS'!$AT$121:$AT$220)))),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HPS'!$AM$121:$AM$220)))),IF((INDEX(SETUP!$G$19:$G$503,(MATCH(1,(SETUP!$B$19:$B$503=B23)*(SETUP!$D$19:$D$503=D23),0))))=3,((SUMPRODUCT(('C19RM 2021-Lab &amp; Other HPS'!$A$121:$D$220=E23)*('C19RM 2021-Lab &amp; Other HPS'!$BH$121:$BH$220=BJ23)*('C19RM 2021-Lab &amp; Other HPS'!$BR$121:$BR$220)*(('C19RM 2021-Lab &amp; Other HPS'!$AN$121:$AN$220))))),IF((INDEX(SETUP!$G$19:$G$503,(MATCH(1,(SETUP!$B$19:$B$503=B23)*(SETUP!$D$19:$D$503=D23),0))))=2,(SUMPRODUCT(('C19RM 2021-Lab &amp; Other HPS'!$A$121:$D$220=E23)*('C19RM 2021-Lab &amp; Other HPS'!$BH$121:$BH$220=BJ23)*('C19RM 2021-Lab &amp; Other HPS'!$BR$121:$BR$220)*(('C19RM 2021-Lab &amp; Other HPS'!$AO$121:$AO$220)))),IF((INDEX(SETUP!$G$19:$G$503,(MATCH(1,(SETUP!$B$19:$B$503=B23)*(SETUP!$D$19:$D$503=D23),0))))=1,(SUMPRODUCT(('C19RM 2021-Lab &amp; Other HPS'!$A$121:$D$220=E23)*('C19RM 2021-Lab &amp; Other HPS'!$BH$121:$BH$220=BJ23)*('C19RM 2021-Lab &amp; Other HPS'!$BS$121:$BS$220)*(('C19RM 2021-Lab &amp; Other HPS'!$AS$121:$AS$220)))),0)))),0)))</f>
        <v>0</v>
      </c>
      <c r="AJ23" s="359" cm="1">
        <f t="array" ref="AJ23">IF((INDEX(SETUP!$F$19:$F$503,(MATCH(1,(SETUP!$B$19:$B$503=B23)*(SETUP!$D$19:$D$503=D23),0))))="Upfront",
(SUMPRODUCT(('C19RM 2021-Lab &amp; Other HPS'!$A$121:$D$220=E23)*('C19RM 2021-Lab &amp; Other HPS'!$BH$121:$BH$220=BJ23)*('C19RM 2021-Lab &amp; Other HPS'!$BS$121:$BS$220)*(('C19RM 2021-Lab &amp; Other HPS'!$AU$121:$AU$220)))),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HPS'!$AN$121:$AN$220)))),IF((INDEX(SETUP!$G$19:$G$503,(MATCH(1,(SETUP!$B$19:$B$503=B23)*(SETUP!$D$19:$D$503=D23),0))))=3,((SUMPRODUCT(('C19RM 2021-Lab &amp; Other HPS'!$A$121:$D$220=E23)*('C19RM 2021-Lab &amp; Other HPS'!$BH$121:$BH$220=BJ23)*('C19RM 2021-Lab &amp; Other HPS'!$BR$121:$BR$220)*(('C19RM 2021-Lab &amp; Other HPS'!$AO$121:$AO$220))))),IF((INDEX(SETUP!$G$19:$G$503,(MATCH(1,(SETUP!$B$19:$B$503=B23)*(SETUP!$D$19:$D$503=D23),0))))=2,(SUMPRODUCT(('C19RM 2021-Lab &amp; Other HPS'!$A$121:$D$220=E23)*('C19RM 2021-Lab &amp; Other HPS'!$BH$121:$BH$220=BJ23)*('C19RM 2021-Lab &amp; Other HPS'!$BS$121:$BS$220)*(('C19RM 2021-Lab &amp; Other HPS'!$AS$121:$AS$220)))),IF((INDEX(SETUP!$G$19:$G$503,(MATCH(1,(SETUP!$B$19:$B$503=B23)*(SETUP!$D$19:$D$503=D23),0))))=1,(SUMPRODUCT(('C19RM 2021-Lab &amp; Other HPS'!$A$121:$D$220=E23)*('C19RM 2021-Lab &amp; Other HPS'!$BH$121:$BH$220=BJ23)*('C19RM 2021-Lab &amp; Other HPS'!$BS$121:$BS$220)*(('C19RM 2021-Lab &amp; Other HPS'!$AT$121:$AT$220)))),0)))),0)))</f>
        <v>0</v>
      </c>
      <c r="AK23" s="359" cm="1">
        <f t="array" ref="AK23">IF((INDEX(SETUP!$F$19:$F$503,(MATCH(1,(SETUP!$B$19:$B$503=B23)*(SETUP!$D$19:$D$503=D23),0))))="Upfront",
(SUMPRODUCT(('C19RM 2021-Lab &amp; Other HPS'!$A$121:$D$220=E23)*('C19RM 2021-Lab &amp; Other HPS'!$BH$121:$BH$220=BJ23)*('C19RM 2021-Lab &amp; Other HPS'!$BS$121:$BS$220)*(('C19RM 2021-Lab &amp; Other HPS'!$AV$121:$AV$220)))),
(IF((INDEX(SETUP!$F$19:$F$503,(MATCH(1,(SETUP!$B$19:$B$503=B23)*(SETUP!$D$19:$D$503=D23),0))))="At delivery",
IF((INDEX(SETUP!$G$19:$G$503,(MATCH(1,(SETUP!$B$19:$B$503=B23)*(SETUP!$D$19:$D$503=D23),0))))=4,
(SUMPRODUCT(('C19RM 2021-Lab &amp; Other HPS'!$A$121:$D$220=E23)*('C19RM 2021-Lab &amp; Other HPS'!$BH$121:$BH$220=BJ23)*('C19RM 2021-Lab &amp; Other HPS'!$BR$121:$BR$220)*(('C19RM 2021-Lab &amp; Other HPS'!$AO$121:$AO$220)))),IF((INDEX(SETUP!$G$19:$G$503,(MATCH(1,(SETUP!$B$19:$B$503=B23)*(SETUP!$D$19:$D$503=D23),0))))=3,((SUMPRODUCT(('C19RM 2021-Lab &amp; Other HPS'!$A$121:$D$220=E23)*('C19RM 2021-Lab &amp; Other HPS'!$BH$121:$BH$220=BJ23)*('C19RM 2021-Lab &amp; Other HPS'!$BS$121:$BS$220)*(('C19RM 2021-Lab &amp; Other HPS'!$AS$121:$AS$220))))),IF((INDEX(SETUP!$G$19:$G$503,(MATCH(1,(SETUP!$B$19:$B$503=B23)*(SETUP!$D$19:$D$503=D23),0))))=2,(SUMPRODUCT(('C19RM 2021-Lab &amp; Other HPS'!$A$121:$D$220=E23)*('C19RM 2021-Lab &amp; Other HPS'!$BH$121:$BH$220=BJ23)*('C19RM 2021-Lab &amp; Other HPS'!$BS$121:$BS$220)*(('C19RM 2021-Lab &amp; Other HPS'!$AT$121:$AT$220)))),IF((INDEX(SETUP!$G$19:$G$503,(MATCH(1,(SETUP!$B$19:$B$503=B23)*(SETUP!$D$19:$D$503=D23),0))))=1,(SUMPRODUCT(('C19RM 2021-Lab &amp; Other HPS'!$A$121:$D$220=E23)*('C19RM 2021-Lab &amp; Other HPS'!$BH$121:$BH$220=BJ23)*('C19RM 2021-Lab &amp; Other HPS'!$BS$121:$BS$220)*(('C19RM 2021-Lab &amp; Other HPS'!$AU$121:$AU$220)))),0)))),0)))</f>
        <v>0</v>
      </c>
      <c r="AL23" s="359" cm="1">
        <f t="array" ref="AL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HPS'!$AS$121:$AS$220)))),IF((INDEX(SETUP!$G$19:$G$503,(MATCH(1,(SETUP!$B$19:$B$503=B23)*(SETUP!$D$19:$D$503=D23),0))))=3,(SUMPRODUCT(('C19RM 2021-Lab &amp; Other HPS'!$A$121:$D$220=E23)*('C19RM 2021-Lab &amp; Other HPS'!$BH$121:$BH$220=BJ23)*('C19RM 2021-Lab &amp; Other HPS'!$BS$121:$BS$220)*(('C19RM 2021-Lab &amp; Other HPS'!$AT$121:$AT$220)))),IF((INDEX(SETUP!$G$19:$G$503,(MATCH(1,(SETUP!$B$19:$B$503=B23)*(SETUP!$D$19:$D$503=D23),0))))=2,(SUMPRODUCT(('C19RM 2021-Lab &amp; Other HPS'!$A$121:$D$220=E23)*('C19RM 2021-Lab &amp; Other HPS'!$BH$121:$BH$220=BJ23)*('C19RM 2021-Lab &amp; Other HPS'!$BS$121:$BS$220)*(('C19RM 2021-Lab &amp; Other HPS'!$AU$121:$AU$220)))),
IF((INDEX(SETUP!$G$19:$G$503,(MATCH(1,(SETUP!$B$19:$B$503=B23)*(SETUP!$D$19:$D$503=D23),0))))=1,
(SUMPRODUCT(('C19RM 2021-Lab &amp; Other HPS'!$A$121:$D$220=E23)*('C19RM 2021-Lab &amp; Other HPS'!$BH$121:$BH$220=BJ23)*('C19RM 2021-Lab &amp; Other HPS'!$BS$121:$BS$220)*(('C19RM 2021-Lab &amp; Other HPS'!$AV$121:$AV$220)))),0)))),0)))</f>
        <v>0</v>
      </c>
      <c r="AM23" s="359" cm="1">
        <f t="array" ref="AM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HPS'!$AT$121:$AT$220)))),IF((INDEX(SETUP!$G$19:$G$503,(MATCH(1,(SETUP!$B$19:$B$503=B23)*(SETUP!$D$19:$D$503=D23),0))))=3,(SUMPRODUCT(('C19RM 2021-Lab &amp; Other HPS'!$A$121:$D$220=E23)*('C19RM 2021-Lab &amp; Other HPS'!$BH$121:$BH$220=BJ23)*('C19RM 2021-Lab &amp; Other HPS'!$BS$121:$BS$220)*(('C19RM 2021-Lab &amp; Other HPS'!$AU$121:$AU$220)))),IF((INDEX(SETUP!$G$19:$G$503,(MATCH(1,(SETUP!$B$19:$B$503=B23)*(SETUP!$D$19:$D$503=D23),0))))=2,(SUMPRODUCT(('C19RM 2021-Lab &amp; Other HPS'!$A$121:$D$220=E23)*('C19RM 2021-Lab &amp; Other HPS'!$BH$121:$BH$220=BJ23)*('C19RM 2021-Lab &amp; Other HPS'!$BS$121:$BS$220)*(('C19RM 2021-Lab &amp; Other HPS'!$AV$121:$AV$220)))),IF((INDEX(SETUP!$G$19:$G$503,(MATCH(1,(SETUP!$B$19:$B$503=B23)*(SETUP!$D$19:$D$503=D23),0))))=1,(0),0)))),0)))</f>
        <v>0</v>
      </c>
      <c r="AN23" s="359" cm="1">
        <f t="array" ref="AN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HPS'!$AU$121:$AU$220)))),IF((INDEX(SETUP!$G$19:$G$503,(MATCH(1,(SETUP!$B$19:$B$503=B23)*(SETUP!$D$19:$D$503=D23),0))))=3,(SUMPRODUCT(('C19RM 2021-Lab &amp; Other HPS'!$A$121:$D$220=E23)*('C19RM 2021-Lab &amp; Other HPS'!$BH$121:$BH$220=BJ23)*('C19RM 2021-Lab &amp; Other HPS'!$BS$121:$BS$220)*(('C19RM 2021-Lab &amp; Other HPS'!$AV$121:$AV$220)))),IF((INDEX(SETUP!$G$19:$G$503,(MATCH(1,(SETUP!$B$19:$B$503=B23)*(SETUP!$D$19:$D$503=D23),0))))=2,(0),IF((INDEX(SETUP!$G$19:$G$503,(MATCH(1,(SETUP!$B$19:$B$503=B23)*(SETUP!$D$19:$D$503=D23),0))))=1,(0),0)))),0)))</f>
        <v>0</v>
      </c>
      <c r="AO23" s="359" cm="1">
        <f t="array" ref="AO23">IF((INDEX(SETUP!$F$19:$F$503,(MATCH(1,(SETUP!$B$19:$B$503=B23)*(SETUP!$D$19:$D$503=D23),0))))="Upfront",0,(IF((INDEX(SETUP!$F$19:$F$503,(MATCH(1,(SETUP!$B$19:$B$503=B23)*(SETUP!$D$19:$D$503=D23),0))))="At delivery",IF((INDEX(SETUP!$G$19:$G$503,(MATCH(1,(SETUP!$B$19:$B$503=B23)*(SETUP!$D$19:$D$503=D23),0))))=4,(SUMPRODUCT(('C19RM 2021-Lab &amp; Other HPS'!$A$121:$D$220=E23)*('C19RM 2021-Lab &amp; Other HPS'!$BH$121:$BH$220=BJ23)*('C19RM 2021-Lab &amp; Other HPS'!$BS$121:$BS$220)*(('C19RM 2021-Lab &amp; Other HPS'!$AV$121:$AV$220)))),IF((INDEX(SETUP!$G$19:$G$503,(MATCH(1,(SETUP!$B$19:$B$503=B23)*(SETUP!$D$19:$D$503=D23),0))))=3,(0),IF((INDEX(SETUP!$G$19:$G$503,(MATCH(1,(SETUP!$B$19:$B$503=B23)*(SETUP!$D$19:$D$503=D23),0))))=2,(0),IF((INDEX(SETUP!$G$19:$G$503,(MATCH(1,(SETUP!$B$19:$B$503=B23)*(SETUP!$D$19:$D$503=D23),0))))=1,(0),0)))),0)))</f>
        <v>0</v>
      </c>
      <c r="AP23" s="359"/>
      <c r="AQ23" s="359"/>
      <c r="AR23" s="359"/>
      <c r="AS23" s="359"/>
      <c r="AT23" s="359" cm="1">
        <f t="array" ref="AT23">IF(BG23&gt;=1,0,IFERROR(SUMPRODUCT(($R$2:$AO$2=$AT$4)*($E$5:$E$100=E23)*($BC$5:$BC$100=BC23)*($R$5:$AO$100)),0))</f>
        <v>0</v>
      </c>
      <c r="AU23" s="359" cm="1">
        <f t="array" ref="AU23">IF(BG23&gt;=1,0,IFERROR(SUMPRODUCT(($R$2:$AO$2=$AU$4)*($E$5:$E$100=E23)*($BC$5:$BC$100=BC23)*($R$5:$AO$100)),0))</f>
        <v>0</v>
      </c>
      <c r="AV23" s="359" cm="1">
        <f t="array" ref="AV23">IF(BG23&gt;=1,0,IFERROR(SUMPRODUCT(($R$2:$AO$2=$AV$4)*($E$5:$E$100=E23)*($BC$5:$BC$100=BC23)*($R$5:$AO$100)),0))</f>
        <v>0</v>
      </c>
      <c r="AW23" s="359" cm="1">
        <f t="array" ref="AW23">IF(BG23&gt;=1,0,IFERROR(SUMPRODUCT(($R$2:$AO$2=$AW$4)*($E$5:$E$100=E23)*($BC$5:$BC$100=BC23)*($R$5:$AO$100)),0))</f>
        <v>0</v>
      </c>
      <c r="AX23" s="359" cm="1">
        <f t="array" ref="AX23">IF(BG23&gt;=1,0,IFERROR(SUMPRODUCT(($R$2:$AO$2=$AX$4)*($E$5:$E$100=E23)*($BC$5:$BC$100=BC23)*($R$5:$AO$100)),0))</f>
        <v>0</v>
      </c>
      <c r="AY23" s="359">
        <f t="shared" si="5"/>
        <v>0</v>
      </c>
      <c r="AZ23" s="359"/>
      <c r="BA23" s="233">
        <f t="shared" si="6"/>
        <v>0</v>
      </c>
      <c r="BB23" s="220" t="s">
        <v>83</v>
      </c>
      <c r="BC23" t="s">
        <v>1996</v>
      </c>
      <c r="BD23" cm="1">
        <f t="array" ref="BD23">(SUMPRODUCT(('C19RM 2021-Lab &amp; Other HPS'!$A$14:$D$650=E23)*('C19RM 2021-Lab &amp; Other HPS'!$BU$14:$BU$650)))</f>
        <v>0</v>
      </c>
      <c r="BE23" cm="1">
        <f t="array" ref="BE23">(SUMPRODUCT((SETUP!$D$20:$D$67=D23)*(SETUP!$R$20:$R$67)))</f>
        <v>0</v>
      </c>
      <c r="BF23" cm="1">
        <f t="array" ref="BF23">(SUMPRODUCT(('C19RM 2021-Lab &amp; Other HPS'!$A$14:$D$650=E23)*('C19RM 2021-Lab &amp; Other HPS'!$BV$14:$BV$650)))</f>
        <v>0</v>
      </c>
      <c r="BG23">
        <f t="shared" ref="BG23:BG29" si="25">SUM(BD23:BE23)</f>
        <v>0</v>
      </c>
      <c r="BJ23" s="235">
        <v>5.12</v>
      </c>
    </row>
    <row r="24" spans="1:62" x14ac:dyDescent="0.35">
      <c r="A24" s="235">
        <v>2</v>
      </c>
      <c r="B24" s="220" t="s">
        <v>2750</v>
      </c>
      <c r="C24" s="235" t="s">
        <v>3193</v>
      </c>
      <c r="D24" s="235" t="s">
        <v>122</v>
      </c>
      <c r="E24" s="235" t="s">
        <v>2757</v>
      </c>
      <c r="F24" s="220">
        <f>SETUP!$E$3</f>
        <v>0</v>
      </c>
      <c r="G24" s="220" t="str">
        <f ca="1">SETUP!$J$5</f>
        <v>NA</v>
      </c>
      <c r="H24" s="220" t="str">
        <f>SETUP!$E$9</f>
        <v>C19RM</v>
      </c>
      <c r="I24" s="232">
        <f t="shared" si="22"/>
        <v>44197</v>
      </c>
      <c r="J24" s="232">
        <f>SETUP!$L$14</f>
        <v>46022</v>
      </c>
      <c r="K24" s="220">
        <v>1</v>
      </c>
      <c r="L24">
        <f t="shared" si="23"/>
        <v>0</v>
      </c>
      <c r="M24">
        <f>SETUP!$E$7</f>
        <v>0</v>
      </c>
      <c r="N24">
        <f>SETUP!$F$76</f>
        <v>6.1</v>
      </c>
      <c r="O24" t="str" cm="1">
        <f t="array" ref="O24">INDEX(SETUP!$E$19:$E$503,(MATCH(1,(SETUP!$B$19:$B$503=B24)*(SETUP!$D$19:$D$503=D24),0)))</f>
        <v>PR/SR</v>
      </c>
      <c r="P24" t="str" cm="1">
        <f t="array" ref="P24">INDEX(SETUP!$F$19:$F$503,(MATCH(1,(SETUP!$B$19:$B$503=B24)*(SETUP!$D$19:$D$503=D24),0)))</f>
        <v>At delivery</v>
      </c>
      <c r="Q24" cm="1">
        <f t="array" ref="Q24">INDEX(SETUP!$G$19:$G$503,(MATCH(1,(SETUP!$B$19:$B$503=B24)*(SETUP!$D$19:$D$503=D24),0)))</f>
        <v>1</v>
      </c>
      <c r="R24" s="359" cm="1">
        <f t="array" ref="R24">IF((INDEX(SETUP!$F$19:$F$503,(MATCH(1,(SETUP!$B$19:$B$503=B24)*(SETUP!$D$19:$D$503=D24),0))))="Upfront",(SUMPRODUCT(('C19RM 2021-Lab &amp; Other HPS'!$A$121:$D$220=E24)*('C19RM 2021-Lab &amp; Other HPS'!$BH$121:$BH$220=BJ24)*('C19RM 2021-Lab &amp; Other HPS'!$BO$121:$BO$220)*(('C19RM 2021-Lab &amp; Other HPS'!$Q$121:$Q$220)))),0)</f>
        <v>0</v>
      </c>
      <c r="S24" s="359" cm="1">
        <f t="array" ref="S24">IF((INDEX(SETUP!$F$19:$F$503,(MATCH(1,(SETUP!$B$19:$B$503=B24)*(SETUP!$D$19:$D$503=D24),0))))="Upfront",(SUMPRODUCT(('C19RM 2021-Lab &amp; Other HPS'!$A$121:$D$220=E24)*('C19RM 2021-Lab &amp; Other HPS'!$BH$121:$BH$220=BJ24)*('C19RM 2021-Lab &amp; Other HPS'!$BO$121:$BO$220)*(('C19RM 2021-Lab &amp; Other HPS'!$R$121:$R$220)))),(IF((INDEX(SETUP!$F$19:$F$503,(MATCH(1,(SETUP!$B$19:$B$503=B24)*(SETUP!$D$19:$D$503=D24),0))))="At delivery",IF((INDEX(SETUP!$G$19:$G$503,(MATCH(1,(SETUP!$B$19:$B$503=B24)*(SETUP!$D$19:$D$503=D24),0))))=1,(SUMPRODUCT(('C19RM 2021-Lab &amp; Other HPS'!$A$121:$D$220=E24)*('C19RM 2021-Lab &amp; Other HPS'!$BH$121:$BH$220=BJ24)*('C19RM 2021-Lab &amp; Other HPS'!$BO$121:$BO$220)*(('C19RM 2021-Lab &amp; Other HPS'!$Q$121:$Q$220)))),0),0)))</f>
        <v>0</v>
      </c>
      <c r="T24" s="359" cm="1">
        <f t="array" ref="T24">IF((INDEX(SETUP!$F$19:$F$503,(MATCH(1,(SETUP!$B$19:$B$503=B24)*(SETUP!$D$19:$D$503=D24),0))))="Upfront",(SUMPRODUCT(('C19RM 2021-Lab &amp; Other HPS'!$A$121:$D$220=E24)*('C19RM 2021-Lab &amp; Other HPS'!$BH$121:$BH$220=BJ24)*('C19RM 2021-Lab &amp; Other HPS'!$BO$121:$BO$220)*(('C19RM 2021-Lab &amp; Other HPS'!$S$121:$S$220)))),(IF((INDEX(SETUP!$F$19:$F$503,(MATCH(1,(SETUP!$B$19:$B$503=B24)*(SETUP!$D$19:$D$503=D24),0))))="At delivery",IF((INDEX(SETUP!$G$19:$G$503,(MATCH(1,(SETUP!$B$19:$B$503=B24)*(SETUP!$D$19:$D$503=D24),0))))=2,(SUMPRODUCT(('C19RM 2021-Lab &amp; Other HPS'!$A$121:$D$220=E24)*('C19RM 2021-Lab &amp; Other HPS'!$BH$121:$BH$220=BJ24)*('C19RM 2021-Lab &amp; Other HPS'!$BO$121:$BO$220)*(('C19RM 2021-Lab &amp; Other HPS'!$Q$121:$Q$220)))),IF((INDEX(SETUP!$G$19:$G$503,(MATCH(1,(SETUP!$B$19:$B$503=B24)*(SETUP!$D$19:$D$503=D24),0))))=1,(SUMPRODUCT(('C19RM 2021-Lab &amp; Other HPS'!$A$121:$D$220=E24)*('C19RM 2021-Lab &amp; Other HPS'!$BH$121:$BH$220=BJ24)*('C19RM 2021-Lab &amp; Other HPS'!$BO$121:$BO$220)*(('C19RM 2021-Lab &amp; Other HPS'!$R$121:$R$220)))),0)),0)))</f>
        <v>0</v>
      </c>
      <c r="U24" s="359" cm="1">
        <f t="array" ref="U24">IF((INDEX(SETUP!$F$19:$F$503,(MATCH(1,(SETUP!$B$19:$B$503=B24)*(SETUP!$D$19:$D$503=D24),0))))="Upfront",(SUMPRODUCT(('C19RM 2021-Lab &amp; Other HPS'!$A$121:$D$220=E24)*('C19RM 2021-Lab &amp; Other HPS'!$BH$121:$BH$220=BJ24)*('C19RM 2021-Lab &amp; Other HPS'!$BO$121:$BO$220)*(('C19RM 2021-Lab &amp; Other HPS'!$T$121:$T$220)))),(IF((INDEX(SETUP!$F$19:$F$503,(MATCH(1,(SETUP!$B$19:$B$503=B24)*(SETUP!$D$19:$D$503=D24),0))))="At delivery",IF((INDEX(SETUP!$G$19:$G$503,(MATCH(1,(SETUP!$B$19:$B$503=B24)*(SETUP!$D$19:$D$503=D24),0))))=3,(SUMPRODUCT(('C19RM 2021-Lab &amp; Other HPS'!$A$121:$D$220=E24)*('C19RM 2021-Lab &amp; Other HPS'!$BH$121:$BH$220=BJ24)*('C19RM 2021-Lab &amp; Other HPS'!$BO$121:$BO$220)*(('C19RM 2021-Lab &amp; Other HPS'!$Q$121:$Q$220)))),IF((INDEX(SETUP!$G$19:$G$503,(MATCH(1,(SETUP!$B$19:$B$503=B24)*(SETUP!$D$19:$D$503=D24),0))))=2,(SUMPRODUCT(('C19RM 2021-Lab &amp; Other HPS'!$A$121:$D$220=E24)*('C19RM 2021-Lab &amp; Other HPS'!$BH$121:$BH$220=BJ24)*('C19RM 2021-Lab &amp; Other HPS'!$BO$121:$BO$220)*(('C19RM 2021-Lab &amp; Other HPS'!$R$121:$R$220)))),IF((INDEX(SETUP!$G$19:$G$503,(MATCH(1,(SETUP!$B$19:$B$503=B24)*(SETUP!$D$19:$D$503=D24),0))))=1,(SUMPRODUCT(('C19RM 2021-Lab &amp; Other HPS'!$A$121:$D$220=E24)*('C19RM 2021-Lab &amp; Other HPS'!$BH$121:$BH$220=BJ24)*('C19RM 2021-Lab &amp; Other HPS'!$BO$121:$BO$220)*(('C19RM 2021-Lab &amp; Other HPS'!$S$121:$S$220)))),0))),0)))</f>
        <v>0</v>
      </c>
      <c r="V24" s="359" cm="1">
        <f t="array" ref="V24">IF((INDEX(SETUP!$F$19:$F$503,(MATCH(1,(SETUP!$B$19:$B$503=B24)*(SETUP!$D$19:$D$503=D24),0))))="Upfront",(SUMPRODUCT(('C19RM 2021-Lab &amp; Other HPS'!$A$121:$D$220=E24)*('C19RM 2021-Lab &amp; Other HPS'!$BH$121:$BH$220=BJ24)*('C19RM 2021-Lab &amp; Other HPS'!$BP$121:$BP$220)*(('C19RM 2021-Lab &amp; Other HPS'!$X$121:$X$220)))),(IF((INDEX(SETUP!$F$19:$F$503,(MATCH(1,(SETUP!$B$19:$B$503=B24)*(SETUP!$D$19:$D$503=D24),0))))="At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HPS'!$Q$121:$Q$220)))),IF((INDEX(SETUP!$G$19:$G$503,(MATCH(1,(SETUP!$B$19:$B$503=B24)*(SETUP!$D$19:$D$503=D24),0))))=3,(SUMPRODUCT(('C19RM 2021-Lab &amp; Other HPS'!$A$121:$D$220=E24)*('C19RM 2021-Lab &amp; Other HPS'!$BH$121:$BH$220=BJ24)*('C19RM 2021-Lab &amp; Other HPS'!$BO$121:$BO$220)*(('C19RM 2021-Lab &amp; Other HPS'!$R$121:$R$220)))),IF((INDEX(SETUP!$G$19:$G$503,(MATCH(1,(SETUP!$B$19:$B$503=B24)*(SETUP!$D$19:$D$503=D24),0))))=2,(SUMPRODUCT(('C19RM 2021-Lab &amp; Other HPS'!$A$121:$D$220=E24)*('C19RM 2021-Lab &amp; Other HPS'!$BH$121:$BH$220=BJ24)*('C19RM 2021-Lab &amp; Other HPS'!$BO$121:$BO$220)*(('C19RM 2021-Lab &amp; Other HPS'!$S$121:$S$220)))),IF((INDEX(SETUP!$G$19:$G$503,(MATCH(1,(SETUP!$B$19:$B$503=B24)*(SETUP!$D$19:$D$503=D24),0))))=1,(SUMPRODUCT(('C19RM 2021-Lab &amp; Other HPS'!$A$121:$D$220=E24)*('C19RM 2021-Lab &amp; Other HPS'!$BH$121:$BH$220=BJ24)*('C19RM 2021-Lab &amp; Other HPS'!$BO$121:$BO$220)*(('C19RM 2021-Lab &amp; Other HPS'!$T$121:$T$220)))),0)))),0)))</f>
        <v>0</v>
      </c>
      <c r="W24" s="359" cm="1">
        <f t="array" ref="W24">IF((INDEX(SETUP!$F$19:$F$503,(MATCH(1,(SETUP!$B$19:$B$503=B24)*(SETUP!$D$19:$D$503=D24),0))))="Upfront",(SUMPRODUCT(('C19RM 2021-Lab &amp; Other HPS'!$A$121:$D$220=E24)*('C19RM 2021-Lab &amp; Other HPS'!$BH$121:$BH$220=BJ24)*('C19RM 2021-Lab &amp; Other HPS'!$BP$121:$BP$220)*(('C19RM 2021-Lab &amp; Other HPS'!$Y$121:$Y$220)))),(IF((INDEX(SETUP!$F$19:$F$503,(MATCH(1,(SETUP!$B$19:$B$503=B24)*(SETUP!$D$19:$D$503=D24),0))))="At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HPS'!$R$121:$R$220)))),IF((INDEX(SETUP!$G$19:$G$503,(MATCH(1,(SETUP!$B$19:$B$503=B24)*(SETUP!$D$19:$D$503=D24),0))))=3,(SUMPRODUCT(('C19RM 2021-Lab &amp; Other HPS'!$A$121:$D$220=E24)*('C19RM 2021-Lab &amp; Other HPS'!$BH$121:$BH$220=BJ24)*('C19RM 2021-Lab &amp; Other HPS'!$BO$121:$BO$220)*(('C19RM 2021-Lab &amp; Other HPS'!$S$121:$S$220)))),IF((INDEX(SETUP!$G$19:$G$503,(MATCH(1,(SETUP!$B$19:$B$503=B24)*(SETUP!$D$19:$D$503=D24),0))))=2,((SUMPRODUCT(('C19RM 2021-Lab &amp; Other HPS'!$A$121:$D$220=E24)*('C19RM 2021-Lab &amp; Other HPS'!$BH$121:$BH$220=BJ24)*('C19RM 2021-Lab &amp; Other HPS'!$BO$121:$BO$220)*(('C19RM 2021-Lab &amp; Other HPS'!$T$121:$T$220))))),IF((INDEX(SETUP!$G$19:$G$503,(MATCH(1,(SETUP!$B$19:$B$503=B24)*(SETUP!$D$19:$D$503=D24),0))))=1,(SUMPRODUCT(('C19RM 2021-Lab &amp; Other HPS'!$A$121:$D$220=E24)*('C19RM 2021-Lab &amp; Other HPS'!$BH$121:$BH$220=BJ24)*('C19RM 2021-Lab &amp; Other HPS'!$BP$121:$BP$220)*(('C19RM 2021-Lab &amp; Other HPS'!$X$121:$X$220)))),0)))),0)))</f>
        <v>0</v>
      </c>
      <c r="X24" s="359" cm="1">
        <f t="array" ref="X24">IF((INDEX(SETUP!$F$19:$F$503,(MATCH(1,(SETUP!$B$19:$B$503=B24)*(SETUP!$D$19:$D$503=D24),0))))="Upfront",(SUMPRODUCT(('C19RM 2021-Lab &amp; Other HPS'!$A$121:$D$220=E24)*('C19RM 2021-Lab &amp; Other HPS'!$BH$121:$BH$220=BJ24)*('C19RM 2021-Lab &amp; Other HPS'!$BP$121:$BP$220)*(('C19RM 2021-Lab &amp; Other HPS'!$Z$121:$Z$220)))),(IF((INDEX(SETUP!$F$19:$F$503,(MATCH(1,(SETUP!$B$19:$B$503=B24)*(SETUP!$D$19:$D$503=D24),0))))="At delivery",IF((INDEX(SETUP!$G$19:$G$503,(MATCH(1,(SETUP!$B$19:$B$503=B24)*(SETUP!$D$19:$D$503=D24),0))))=4,(SUMPRODUCT(('C19RM 2021-Lab &amp; Other HPS'!$A$121:$D$220=E24)*('C19RM 2021-Lab &amp; Other HPS'!$BH$121:$BH$220=BJ24)*('C19RM 2021-Lab &amp; Other HPS'!$BO$121:$BO$220)*(('C19RM 2021-Lab &amp; Other HPS'!$S$121:$S$220)))),IF((INDEX(SETUP!$G$19:$G$503,(MATCH(1,(SETUP!$B$19:$B$503=B24)*(SETUP!$D$19:$D$503=D24),0))))=3,((SUMPRODUCT(('C19RM 2021-Lab &amp; Other HPS'!$A$121:$D$220=E24)*('C19RM 2021-Lab &amp; Other HPS'!$BH$121:$BH$220=BJ24)*('C19RM 2021-Lab &amp; Other HPS'!$BO$121:$BO$220)*(('C19RM 2021-Lab &amp; Other HPS'!$T$121:$T$220))))),IF((INDEX(SETUP!$G$19:$G$503,(MATCH(1,(SETUP!$B$19:$B$503=B24)*(SETUP!$D$19:$D$503=D24),0))))=2,(SUMPRODUCT(('C19RM 2021-Lab &amp; Other HPS'!$A$121:$D$220=E24)*('C19RM 2021-Lab &amp; Other HPS'!$BH$121:$BH$220=BJ24)*('C19RM 2021-Lab &amp; Other HPS'!$BP$121:$BP$220)*(('C19RM 2021-Lab &amp; Other HPS'!$X$121:$X$220)))),IF((INDEX(SETUP!$G$19:$G$503,(MATCH(1,(SETUP!$B$19:$B$503=B24)*(SETUP!$D$19:$D$503=D24),0))))=1,(SUMPRODUCT(('C19RM 2021-Lab &amp; Other HPS'!$A$121:$D$220=E24)*('C19RM 2021-Lab &amp; Other HPS'!$BH$121:$BH$220=BJ24)*('C19RM 2021-Lab &amp; Other HPS'!$BP$121:$BP$220)*(('C19RM 2021-Lab &amp; Other HPS'!$Y$121:$Y$220)))),0)))),0)))</f>
        <v>0</v>
      </c>
      <c r="Y24" s="359" cm="1">
        <f t="array" ref="Y24">IF((INDEX(SETUP!$F$19:$F$503,(MATCH(1,(SETUP!$B$19:$B$503=B24)*(SETUP!$D$19:$D$503=D24),0))))="Upfront",
(SUMPRODUCT(('C19RM 2021-Lab &amp; Other HPS'!$A$121:$D$220=E24)*('C19RM 2021-Lab &amp; Other HPS'!$BH$121:$BH$220=BJ24)*('C19RM 2021-Lab &amp; Other HPS'!$BP$121:$BP$220)*(('C19RM 2021-Lab &amp; Other HPS'!$AA$121:$AA$220)))),
(IF((INDEX(SETUP!$F$19:$F$503,(MATCH(1,(SETUP!$B$19:$B$503=B24)*(SETUP!$D$19:$D$503=D24),0))))="At delivery",
IF((INDEX(SETUP!$G$19:$G$503,(MATCH(1,(SETUP!$B$19:$B$503=B24)*(SETUP!$D$19:$D$503=D24),0))))=4,
((SUMPRODUCT(('C19RM 2021-Lab &amp; Other HPS'!$A$121:$D$220=E24)*('C19RM 2021-Lab &amp; Other HPS'!$BH$121:$BH$220=BJ24)*('C19RM 2021-Lab &amp; Other HPS'!$BO$121:$BO$220)*(('C19RM 2021-Lab &amp; Other HPS'!$T$121:$T$220))))),IF((INDEX(SETUP!$G$19:$G$503,(MATCH(1,(SETUP!$B$19:$B$503=B24)*(SETUP!$D$19:$D$503=D24),0))))=3,(SUMPRODUCT(('C19RM 2021-Lab &amp; Other HPS'!$A$121:$D$220=E24)*('C19RM 2021-Lab &amp; Other HPS'!$BH$121:$BH$220=BJ24)*('C19RM 2021-Lab &amp; Other HPS'!$BP$121:$BP$220)*(('C19RM 2021-Lab &amp; Other HPS'!$X$121:$X$220)))),IF((INDEX(SETUP!$G$19:$G$503,(MATCH(1,(SETUP!$B$19:$B$503=B24)*(SETUP!$D$19:$D$503=D24),0))))=2,(SUMPRODUCT(('C19RM 2021-Lab &amp; Other HPS'!$A$121:$D$220=E24)*('C19RM 2021-Lab &amp; Other HPS'!$BH$121:$BH$220=BJ24)*('C19RM 2021-Lab &amp; Other HPS'!$BP$121:$BP$220)*(('C19RM 2021-Lab &amp; Other HPS'!$Y$121:$Y$220)))),IF((INDEX(SETUP!$G$19:$G$503,(MATCH(1,(SETUP!$B$19:$B$503=B24)*(SETUP!$D$19:$D$503=D24),0))))=1,(SUMPRODUCT(('C19RM 2021-Lab &amp; Other HPS'!$A$121:$D$220=E24)*('C19RM 2021-Lab &amp; Other HPS'!$BH$121:$BH$220=BJ24)*('C19RM 2021-Lab &amp; Other HPS'!$BP$121:$BP$220)*(('C19RM 2021-Lab &amp; Other HPS'!$Z$121:$Z$220)))),0)))),0)))</f>
        <v>0</v>
      </c>
      <c r="Z24" s="359" cm="1">
        <f t="array" ref="Z24">IF((INDEX(SETUP!$F$19:$F$503,(MATCH(1,(SETUP!$B$19:$B$503=B24)*(SETUP!$D$19:$D$503=D24),0))))="Upfront",(SUMPRODUCT(('C19RM 2021-Lab &amp; Other HPS'!$A$121:$D$220=E24)*('C19RM 2021-Lab &amp; Other HPS'!$BH$121:$BH$220=BJ24)*('C19RM 2021-Lab &amp; Other HPS'!$BQ$121:$BQ$220)*(('C19RM 2021-Lab &amp; Other HPS'!$AE$121:$AE$220)))),(IF((INDEX(SETUP!$F$19:$F$503,(MATCH(1,(SETUP!$B$19:$B$503=B24)*(SETUP!$D$19:$D$503=D24),0))))="At delivery",IF((INDEX(SETUP!$G$19:$G$503,(MATCH(1,(SETUP!$B$19:$B$503=B24)*(SETUP!$D$19:$D$503=D24),0))))=4,(SUMPRODUCT(('C19RM 2021-Lab &amp; Other HPS'!$A$121:$D$220=E24)*('C19RM 2021-Lab &amp; Other HPS'!$BH$121:$BH$220=BJ24)*('C19RM 2021-Lab &amp; Other HPS'!$BP$121:$BP$220)*(('C19RM 2021-Lab &amp; Other HPS'!$X$121:$X$220)))),IF((INDEX(SETUP!$G$19:$G$503,(MATCH(1,(SETUP!$B$19:$B$503=B24)*(SETUP!$D$19:$D$503=D24),0))))=3,(SUMPRODUCT(('C19RM 2021-Lab &amp; Other HPS'!$A$121:$D$220=E24)*('C19RM 2021-Lab &amp; Other HPS'!$BH$121:$BH$220=BJ24)*('C19RM 2021-Lab &amp; Other HPS'!$BP$121:$BP$220)*(('C19RM 2021-Lab &amp; Other HPS'!$Y$121:$Y$220)))),IF((INDEX(SETUP!$G$19:$G$503,(MATCH(1,(SETUP!$B$19:$B$503=B24)*(SETUP!$D$19:$D$503=D24),0))))=2,(SUMPRODUCT(('C19RM 2021-Lab &amp; Other HPS'!$A$121:$D$220=E24)*('C19RM 2021-Lab &amp; Other HPS'!$BH$121:$BH$220=BJ24)*('C19RM 2021-Lab &amp; Other HPS'!$BP$121:$BP$220)*(('C19RM 2021-Lab &amp; Other HPS'!$Z$121:$Z$220)))),IF((INDEX(SETUP!$G$19:$G$503,(MATCH(1,(SETUP!$B$19:$B$503=B24)*(SETUP!$D$19:$D$503=D24),0))))=1,(SUMPRODUCT(('C19RM 2021-Lab &amp; Other HPS'!$A$121:$D$220=E24)*('C19RM 2021-Lab &amp; Other HPS'!$BH$121:$BH$220=BJ24)*('C19RM 2021-Lab &amp; Other HPS'!$BP$121:$BP$220)*(('C19RM 2021-Lab &amp; Other HPS'!$AA$121:$AA$220)))),0)))),0)))</f>
        <v>0</v>
      </c>
      <c r="AA24" s="359" cm="1">
        <f t="array" ref="AA24">IF((INDEX(SETUP!$F$19:$F$503,(MATCH(1,(SETUP!$B$19:$B$503=B24)*(SETUP!$D$19:$D$503=D24),0))))="Upfront",(SUMPRODUCT(('C19RM 2021-Lab &amp; Other HPS'!$A$121:$D$220=E24)*('C19RM 2021-Lab &amp; Other HPS'!$BH$121:$BH$220=BJ24)*('C19RM 2021-Lab &amp; Other HPS'!$BQ$121:$BQ$220)*(('C19RM 2021-Lab &amp; Other HPS'!$AF$121:$AF$220)))),(IF((INDEX(SETUP!$F$19:$F$503,(MATCH(1,(SETUP!$B$19:$B$503=B24)*(SETUP!$D$19:$D$503=D24),0))))="At delivery",IF((INDEX(SETUP!$G$19:$G$503,(MATCH(1,(SETUP!$B$19:$B$503=B24)*(SETUP!$D$19:$D$503=D24),0))))=4,(SUMPRODUCT(('C19RM 2021-Lab &amp; Other HPS'!$A$121:$D$220=E24)*('C19RM 2021-Lab &amp; Other HPS'!$BH$121:$BH$220=BJ24)*('C19RM 2021-Lab &amp; Other HPS'!$BP$121:$BP$220)*(('C19RM 2021-Lab &amp; Other HPS'!$Y$121:$Y$220)))),IF((INDEX(SETUP!$G$19:$G$503,(MATCH(1,(SETUP!$B$19:$B$503=B24)*(SETUP!$D$19:$D$503=D24),0))))=3,(SUMPRODUCT(('C19RM 2021-Lab &amp; Other HPS'!$A$121:$D$220=E24)*('C19RM 2021-Lab &amp; Other HPS'!$BH$121:$BH$220=BJ24)*('C19RM 2021-Lab &amp; Other HPS'!$BP$121:$BP$220)*(('C19RM 2021-Lab &amp; Other HPS'!$Z$121:$Z$220)))),IF((INDEX(SETUP!$G$19:$G$503,(MATCH(1,(SETUP!$B$19:$B$503=B24)*(SETUP!$D$19:$D$503=D24),0))))=2,((SUMPRODUCT(('C19RM 2021-Lab &amp; Other HPS'!$A$121:$D$220=E24)*('C19RM 2021-Lab &amp; Other HPS'!$BH$121:$BH$220=BJ24)*('C19RM 2021-Lab &amp; Other HPS'!$BP$121:$BP$220)*(('C19RM 2021-Lab &amp; Other HPS'!$AA$121:$AA$220))))),IF((INDEX(SETUP!$G$19:$G$503,(MATCH(1,(SETUP!$B$19:$B$503=B24)*(SETUP!$D$19:$D$503=D24),0))))=1,(SUMPRODUCT(('C19RM 2021-Lab &amp; Other HPS'!$A$121:$D$220=E24)*('C19RM 2021-Lab &amp; Other HPS'!$BH$121:$BH$220=BJ24)*('C19RM 2021-Lab &amp; Other HPS'!$BQ$121:$BQ$220)*(('C19RM 2021-Lab &amp; Other HPS'!$AE$121:$AE$220)))),0)))),0)))</f>
        <v>0</v>
      </c>
      <c r="AB24" s="359" cm="1">
        <f t="array" ref="AB24">IF((INDEX(SETUP!$F$19:$F$503,(MATCH(1,(SETUP!$B$19:$B$503=B24)*(SETUP!$D$19:$D$503=D24),0))))="Upfront",
(SUMPRODUCT(('C19RM 2021-Lab &amp; Other HPS'!$A$121:$D$220=E24)*('C19RM 2021-Lab &amp; Other HPS'!$BH$121:$BH$220=BJ24)*('C19RM 2021-Lab &amp; Other HPS'!$BQ$121:$BQ$220)*(('C19RM 2021-Lab &amp; Other HPS'!$AG$121:$AG$220)))),
(IF((INDEX(SETUP!$F$19:$F$503,(MATCH(1,(SETUP!$B$19:$B$503=B24)*(SETUP!$D$19:$D$503=D24),0))))="At delivery",
IF((INDEX(SETUP!$G$19:$G$503,(MATCH(1,(SETUP!$B$19:$B$503=B24)*(SETUP!$D$19:$D$503=D24),0))))=4,
(SUMPRODUCT(('C19RM 2021-Lab &amp; Other HPS'!$A$121:$D$220=E24)*('C19RM 2021-Lab &amp; Other HPS'!$BH$121:$BH$220=BJ24)*('C19RM 2021-Lab &amp; Other HPS'!$BP$121:$BP$220)*(('C19RM 2021-Lab &amp; Other HPS'!$Z$121:$Z$220)))),IF((INDEX(SETUP!$G$19:$G$503,(MATCH(1,(SETUP!$B$19:$B$503=B24)*(SETUP!$D$19:$D$503=D24),0))))=3,(SUMPRODUCT(('C19RM 2021-Lab &amp; Other HPS'!$A$121:$D$220=E24)*('C19RM 2021-Lab &amp; Other HPS'!$BH$121:$BH$220=BJ24)*('C19RM 2021-Lab &amp; Other HPS'!$BP$121:$BP$220)*(('C19RM 2021-Lab &amp; Other HPS'!$AA$121:$AA$220)))),IF((INDEX(SETUP!$G$19:$G$503,(MATCH(1,(SETUP!$B$19:$B$503=B24)*(SETUP!$D$19:$D$503=D24),0))))=2,(SUMPRODUCT(('C19RM 2021-Lab &amp; Other HPS'!$A$121:$D$220=E24)*('C19RM 2021-Lab &amp; Other HPS'!$BH$121:$BH$220=BJ24)*('C19RM 2021-Lab &amp; Other HPS'!$BQ$121:$BQ$220)*(('C19RM 2021-Lab &amp; Other HPS'!$AE$121:$AE$220)))),IF((INDEX(SETUP!$G$19:$G$503,(MATCH(1,(SETUP!$B$19:$B$503=B24)*(SETUP!$D$19:$D$503=D24),0))))=1,(SUMPRODUCT(('C19RM 2021-Lab &amp; Other HPS'!$A$121:$D$220=E24)*('C19RM 2021-Lab &amp; Other HPS'!$BH$121:$BH$220=BJ24)*('C19RM 2021-Lab &amp; Other HPS'!$BQ$121:$BQ$220)*(('C19RM 2021-Lab &amp; Other HPS'!$AF$121:$AF$220)))),0)))),0)))</f>
        <v>0</v>
      </c>
      <c r="AC24" s="359" cm="1">
        <f t="array" ref="AC24">IF((INDEX(SETUP!$F$19:$F$503,(MATCH(1,(SETUP!$B$19:$B$503=B24)*(SETUP!$D$19:$D$503=D24),0))))="Upfront",
(SUMPRODUCT(('C19RM 2021-Lab &amp; Other HPS'!$A$121:$D$220=E24)*('C19RM 2021-Lab &amp; Other HPS'!$BH$121:$BH$220=BJ24)*('C19RM 2021-Lab &amp; Other HPS'!$BQ$121:$BQ$220)*(('C19RM 2021-Lab &amp; Other HPS'!$AH$121:$AH$220)))),
(IF((INDEX(SETUP!$F$19:$F$503,(MATCH(1,(SETUP!$B$19:$B$503=B24)*(SETUP!$D$19:$D$503=D24),0))))="At delivery",
IF((INDEX(SETUP!$G$19:$G$503,(MATCH(1,(SETUP!$B$19:$B$503=B24)*(SETUP!$D$19:$D$503=D24),0))))=4,
(SUMPRODUCT(('C19RM 2021-Lab &amp; Other HPS'!$A$121:$D$220=E24)*('C19RM 2021-Lab &amp; Other HPS'!$BH$121:$BH$220=BJ24)*('C19RM 2021-Lab &amp; Other HPS'!$BP$121:$BP$220)*(('C19RM 2021-Lab &amp; Other HPS'!$AA$121:$AA$220)))),IF((INDEX(SETUP!$G$19:$G$503,(MATCH(1,(SETUP!$B$19:$B$503=B24)*(SETUP!$D$19:$D$503=D24),0))))=3,(SUMPRODUCT(('C19RM 2021-Lab &amp; Other HPS'!$A$121:$D$220=E24)*('C19RM 2021-Lab &amp; Other HPS'!$BH$121:$BH$220=BJ24)*('C19RM 2021-Lab &amp; Other HPS'!$BQ$121:$BQ$220)*(('C19RM 2021-Lab &amp; Other HPS'!$AE$121:$AE$220)))),IF((INDEX(SETUP!$G$19:$G$503,(MATCH(1,(SETUP!$B$19:$B$503=B24)*(SETUP!$D$19:$D$503=D24),0))))=2,(SUMPRODUCT(('C19RM 2021-Lab &amp; Other HPS'!$A$121:$D$220=E24)*('C19RM 2021-Lab &amp; Other HPS'!$BH$121:$BH$220=BJ24)*('C19RM 2021-Lab &amp; Other HPS'!$BQ$121:$BQ$220)*(('C19RM 2021-Lab &amp; Other HPS'!$AF$121:$AF$220)))),IF((INDEX(SETUP!$G$19:$G$503,(MATCH(1,(SETUP!$B$19:$B$503=B24)*(SETUP!$D$19:$D$503=D24),0))))=1,(SUMPRODUCT(('C19RM 2021-Lab &amp; Other HPS'!$A$121:$D$220=E24)*('C19RM 2021-Lab &amp; Other HPS'!$BH$121:$BH$220=BJ24)*('C19RM 2021-Lab &amp; Other HPS'!$BQ$121:$BQ$220)*(('C19RM 2021-Lab &amp; Other HPS'!$AG$121:$AG$220)))),0)))),0)))</f>
        <v>0</v>
      </c>
      <c r="AD24" s="359" cm="1">
        <f t="array" ref="AD24">IF((INDEX(SETUP!$F$19:$F$503,(MATCH(1,(SETUP!$B$19:$B$503=B24)*(SETUP!$D$19:$D$503=D24),0))))="Upfront",
(SUMPRODUCT(('C19RM 2021-Lab &amp; Other HPS'!$A$121:$D$220=E24)*('C19RM 2021-Lab &amp; Other HPS'!$BH$121:$BH$220=BJ24)*('C19RM 2021-Lab &amp; Other HPS'!$BR$121:$BR$220)*(('C19RM 2021-Lab &amp; Other HPS'!$AL$121:$AL$220)))),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HPS'!$AE$121:$AE$220)))),IF((INDEX(SETUP!$G$19:$G$503,(MATCH(1,(SETUP!$B$19:$B$503=B24)*(SETUP!$D$19:$D$503=D24),0))))=3,((SUMPRODUCT(('C19RM 2021-Lab &amp; Other HPS'!$A$121:$D$220=E24)*('C19RM 2021-Lab &amp; Other HPS'!$BH$121:$BH$220=BJ24)*('C19RM 2021-Lab &amp; Other HPS'!$BQ$121:$BQ$220)*(('C19RM 2021-Lab &amp; Other HPS'!$AF$121:$AF$220))))),IF((INDEX(SETUP!$G$19:$G$503,(MATCH(1,(SETUP!$B$19:$B$503=B24)*(SETUP!$D$19:$D$503=D24),0))))=2,(SUMPRODUCT(('C19RM 2021-Lab &amp; Other HPS'!$A$121:$D$220=E24)*('C19RM 2021-Lab &amp; Other HPS'!$BH$121:$BH$220=BJ24)*('C19RM 2021-Lab &amp; Other HPS'!$BQ$121:$BQ$220)*(('C19RM 2021-Lab &amp; Other HPS'!$AG$121:$AG$220)))),IF((INDEX(SETUP!$G$19:$G$503,(MATCH(1,(SETUP!$B$19:$B$503=B24)*(SETUP!$D$19:$D$503=D24),0))))=1,(SUMPRODUCT(('C19RM 2021-Lab &amp; Other HPS'!$A$121:$D$220=E24)*('C19RM 2021-Lab &amp; Other HPS'!$BH$121:$BH$220=BJ24)*('C19RM 2021-Lab &amp; Other HPS'!$BQ$121:$BQ$220)*(('C19RM 2021-Lab &amp; Other HPS'!$AH$121:$AH$220)))),0)))),0)))</f>
        <v>0</v>
      </c>
      <c r="AE24" s="359" cm="1">
        <f t="array" ref="AE24">IF((INDEX(SETUP!$F$19:$F$503,(MATCH(1,(SETUP!$B$19:$B$503=B24)*(SETUP!$D$19:$D$503=D24),0))))="Upfront",
(SUMPRODUCT(('C19RM 2021-Lab &amp; Other HPS'!$A$121:$D$220=E24)*('C19RM 2021-Lab &amp; Other HPS'!$BH$121:$BH$220=BJ24)*('C19RM 2021-Lab &amp; Other HPS'!$BR$121:$BR$220)*(('C19RM 2021-Lab &amp; Other HPS'!$AM$121:$AM$220)))),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HPS'!$AF$121:$AF$220)))),IF((INDEX(SETUP!$G$19:$G$503,(MATCH(1,(SETUP!$B$19:$B$503=B24)*(SETUP!$D$19:$D$503=D24),0))))=3,(SUMPRODUCT(('C19RM 2021-Lab &amp; Other HPS'!$A$121:$D$220=E24)*('C19RM 2021-Lab &amp; Other HPS'!$BH$121:$BH$220=BJ24)*('C19RM 2021-Lab &amp; Other HPS'!$BQ$121:$BQ$220)*(('C19RM 2021-Lab &amp; Other HPS'!$AG$121:$AG$220)))),IF((INDEX(SETUP!$G$19:$G$503,(MATCH(1,(SETUP!$B$19:$B$503=B24)*(SETUP!$D$19:$D$503=D24),0))))=2,(SUMPRODUCT(('C19RM 2021-Lab &amp; Other HPS'!$A$121:$D$220=E24)*('C19RM 2021-Lab &amp; Other HPS'!$BH$121:$BH$220=BJ24)*('C19RM 2021-Lab &amp; Other HPS'!$BQ$121:$BQ$220)*(('C19RM 2021-Lab &amp; Other HPS'!$AH$121:$AH$220)))),IF((INDEX(SETUP!$G$19:$G$503,(MATCH(1,(SETUP!$B$19:$B$503=B24)*(SETUP!$D$19:$D$503=D24),0))))=1,(SUMPRODUCT(('C19RM 2021-Lab &amp; Other HPS'!$A$121:$D$220=E24)*('C19RM 2021-Lab &amp; Other HPS'!$BH$121:$BH$220=BJ24)*('C19RM 2021-Lab &amp; Other HPS'!$BR$121:$BR$220)*(('C19RM 2021-Lab &amp; Other HPS'!$AL$121:$AL$220)))),0)))),0)))</f>
        <v>0</v>
      </c>
      <c r="AF24" s="359" cm="1">
        <f t="array" ref="AF24">IF((INDEX(SETUP!$F$19:$F$503,(MATCH(1,(SETUP!$B$19:$B$503=B24)*(SETUP!$D$19:$D$503=D24),0))))="Upfront",
(SUMPRODUCT(('C19RM 2021-Lab &amp; Other HPS'!$A$121:$D$220=E24)*('C19RM 2021-Lab &amp; Other HPS'!$BH$121:$BH$220=BJ24)*('C19RM 2021-Lab &amp; Other HPS'!$BR$121:$BR$220)*(('C19RM 2021-Lab &amp; Other HPS'!$AN$121:$AN$220)))),
(IF((INDEX(SETUP!$F$19:$F$503,(MATCH(1,(SETUP!$B$19:$B$503=B24)*(SETUP!$D$19:$D$503=D24),0))))="At delivery",
IF((INDEX(SETUP!$G$19:$G$503,(MATCH(1,(SETUP!$B$19:$B$503=B24)*(SETUP!$D$19:$D$503=D24),0))))=4,
(SUMPRODUCT(('C19RM 2021-Lab &amp; Other HPS'!$A$121:$D$220=E24)*('C19RM 2021-Lab &amp; Other HPS'!$BH$121:$BH$220=BJ24)*('C19RM 2021-Lab &amp; Other HPS'!$BQ$121:$BQ$220)*(('C19RM 2021-Lab &amp; Other HPS'!$AG$121:$AG$220)))),IF((INDEX(SETUP!$G$19:$G$503,(MATCH(1,(SETUP!$B$19:$B$503=B24)*(SETUP!$D$19:$D$503=D24),0))))=3,(SUMPRODUCT(('C19RM 2021-Lab &amp; Other HPS'!$A$121:$D$220=E24)*('C19RM 2021-Lab &amp; Other HPS'!$BH$121:$BH$220=BJ24)*('C19RM 2021-Lab &amp; Other HPS'!$BQ$121:$BQ$220)*(('C19RM 2021-Lab &amp; Other HPS'!$AH$121:$AH$220)))),IF((INDEX(SETUP!$G$19:$G$503,(MATCH(1,(SETUP!$B$19:$B$503=B24)*(SETUP!$D$19:$D$503=D24),0))))=2,(SUMPRODUCT(('C19RM 2021-Lab &amp; Other HPS'!$A$121:$D$220=E24)*('C19RM 2021-Lab &amp; Other HPS'!$BH$121:$BH$220=BJ24)*('C19RM 2021-Lab &amp; Other HPS'!$BR$121:$BR$220)*(('C19RM 2021-Lab &amp; Other HPS'!$AL$121:$AL$220)))),IF((INDEX(SETUP!$G$19:$G$503,(MATCH(1,(SETUP!$B$19:$B$503=B24)*(SETUP!$D$19:$D$503=D24),0))))=1,(SUMPRODUCT(('C19RM 2021-Lab &amp; Other HPS'!$A$121:$D$220=E24)*('C19RM 2021-Lab &amp; Other HPS'!$BH$121:$BH$220=BJ24)*('C19RM 2021-Lab &amp; Other HPS'!$BR$121:$BR$220)*(('C19RM 2021-Lab &amp; Other HPS'!$AM$121:$AM$220)))),0)))),0)))</f>
        <v>0</v>
      </c>
      <c r="AG24" s="359" cm="1">
        <f t="array" ref="AG24">IF((INDEX(SETUP!$F$19:$F$503,(MATCH(1,(SETUP!$B$19:$B$503=B24)*(SETUP!$D$19:$D$503=D24),0))))="Upfront",(SUMPRODUCT(('C19RM 2021-Lab &amp; Other HPS'!$A$121:$D$220=E24)*('C19RM 2021-Lab &amp; Other HPS'!$BH$121:$BH$220=BJ24)*('C19RM 2021-Lab &amp; Other HPS'!$BR$121:$BR$220)*(('C19RM 2021-Lab &amp; Other HPS'!$AO$121:$AO$220)))),(IF((INDEX(SETUP!$F$19:$F$503,(MATCH(1,(SETUP!$B$19:$B$503=B24)*(SETUP!$D$19:$D$503=D24),0))))="At delivery",IF((INDEX(SETUP!$G$19:$G$503,(MATCH(1,(SETUP!$B$19:$B$503=B24)*(SETUP!$D$19:$D$503=D24),0))))=4,(SUMPRODUCT(('C19RM 2021-Lab &amp; Other HPS'!$A$121:$D$220=E24)*('C19RM 2021-Lab &amp; Other HPS'!$BH$121:$BH$220=BJ24)*('C19RM 2021-Lab &amp; Other HPS'!$BQ$121:$BQ$220)*(('C19RM 2021-Lab &amp; Other HPS'!$AH$121:$AH$220)))),IF((INDEX(SETUP!$G$19:$G$503,(MATCH(1,(SETUP!$B$19:$B$503=B24)*(SETUP!$D$19:$D$503=D24),0))))=3,(SUMPRODUCT(('C19RM 2021-Lab &amp; Other HPS'!$A$121:$D$220=E24)*('C19RM 2021-Lab &amp; Other HPS'!$BH$121:$BH$220=BJ24)*('C19RM 2021-Lab &amp; Other HPS'!$BR$121:$BR$220)*(('C19RM 2021-Lab &amp; Other HPS'!$AL$121:$AL$220)))),IF((INDEX(SETUP!$G$19:$G$503,(MATCH(1,(SETUP!$B$19:$B$503=B24)*(SETUP!$D$19:$D$503=D24),0))))=2,(SUMPRODUCT(('C19RM 2021-Lab &amp; Other HPS'!$A$121:$D$220=E24)*('C19RM 2021-Lab &amp; Other HPS'!$BH$121:$BH$220=BJ24)*('C19RM 2021-Lab &amp; Other HPS'!$BR$121:$BR$220)*(('C19RM 2021-Lab &amp; Other HPS'!$AM$121:$AM$220)))),IF((INDEX(SETUP!$G$19:$G$503,(MATCH(1,(SETUP!$B$19:$B$503=B24)*(SETUP!$D$19:$D$503=D24),0))))=1,(SUMPRODUCT(('C19RM 2021-Lab &amp; Other HPS'!$A$121:$D$220=E24)*('C19RM 2021-Lab &amp; Other HPS'!$BH$121:$BH$220=BJ24)*('C19RM 2021-Lab &amp; Other HPS'!$BR$121:$BR$220)*(('C19RM 2021-Lab &amp; Other HPS'!$AN$121:$AN$220)))),0)))),0)))</f>
        <v>0</v>
      </c>
      <c r="AH24" s="359" cm="1">
        <f t="array" ref="AH24">IF((INDEX(SETUP!$F$19:$F$503,(MATCH(1,(SETUP!$B$19:$B$503=B24)*(SETUP!$D$19:$D$503=D24),0))))="Upfront",
(SUMPRODUCT(('C19RM 2021-Lab &amp; Other HPS'!$A$121:$D$220=E24)*('C19RM 2021-Lab &amp; Other HPS'!$BH$121:$BH$220=BJ24)*('C19RM 2021-Lab &amp; Other HPS'!$BS$121:$BS$220)*(('C19RM 2021-Lab &amp; Other HPS'!$AS$121:$AS$220)))),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HPS'!$AL$121:$AL$220)))),IF((INDEX(SETUP!$G$19:$G$503,(MATCH(1,(SETUP!$B$19:$B$503=B24)*(SETUP!$D$19:$D$503=D24),0))))=3,((SUMPRODUCT(('C19RM 2021-Lab &amp; Other HPS'!$A$121:$D$220=E24)*('C19RM 2021-Lab &amp; Other HPS'!$BH$121:$BH$220=BJ24)*('C19RM 2021-Lab &amp; Other HPS'!$BR$121:$BR$220)*(('C19RM 2021-Lab &amp; Other HPS'!$AM$121:$AM$220))))),IF((INDEX(SETUP!$G$19:$G$503,(MATCH(1,(SETUP!$B$19:$B$503=B24)*(SETUP!$D$19:$D$503=D24),0))))=2,(SUMPRODUCT(('C19RM 2021-Lab &amp; Other HPS'!$A$121:$D$220=E24)*('C19RM 2021-Lab &amp; Other HPS'!$BH$121:$BH$220=BJ24)*('C19RM 2021-Lab &amp; Other HPS'!$BR$121:$BR$220)*(('C19RM 2021-Lab &amp; Other HPS'!$AN$121:$AN$220)))),IF((INDEX(SETUP!$G$19:$G$503,(MATCH(1,(SETUP!$B$19:$B$503=B24)*(SETUP!$D$19:$D$503=D24),0))))=1,(SUMPRODUCT(('C19RM 2021-Lab &amp; Other HPS'!$A$121:$D$220=E24)*('C19RM 2021-Lab &amp; Other HPS'!$BH$121:$BH$220=BJ24)*('C19RM 2021-Lab &amp; Other HPS'!$BR$121:$BR$220)*(('C19RM 2021-Lab &amp; Other HPS'!$AO$121:$AO$220)))),0)))),0)))</f>
        <v>0</v>
      </c>
      <c r="AI24" s="359" cm="1">
        <f t="array" ref="AI24">IF((INDEX(SETUP!$F$19:$F$503,(MATCH(1,(SETUP!$B$19:$B$503=B24)*(SETUP!$D$19:$D$503=D24),0))))="Upfront",
(SUMPRODUCT(('C19RM 2021-Lab &amp; Other HPS'!$A$121:$D$220=E24)*('C19RM 2021-Lab &amp; Other HPS'!$BH$121:$BH$220=BJ24)*('C19RM 2021-Lab &amp; Other HPS'!$BS$121:$BS$220)*(('C19RM 2021-Lab &amp; Other HPS'!$AT$121:$AT$220)))),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HPS'!$AM$121:$AM$220)))),IF((INDEX(SETUP!$G$19:$G$503,(MATCH(1,(SETUP!$B$19:$B$503=B24)*(SETUP!$D$19:$D$503=D24),0))))=3,((SUMPRODUCT(('C19RM 2021-Lab &amp; Other HPS'!$A$121:$D$220=E24)*('C19RM 2021-Lab &amp; Other HPS'!$BH$121:$BH$220=BJ24)*('C19RM 2021-Lab &amp; Other HPS'!$BR$121:$BR$220)*(('C19RM 2021-Lab &amp; Other HPS'!$AN$121:$AN$220))))),IF((INDEX(SETUP!$G$19:$G$503,(MATCH(1,(SETUP!$B$19:$B$503=B24)*(SETUP!$D$19:$D$503=D24),0))))=2,(SUMPRODUCT(('C19RM 2021-Lab &amp; Other HPS'!$A$121:$D$220=E24)*('C19RM 2021-Lab &amp; Other HPS'!$BH$121:$BH$220=BJ24)*('C19RM 2021-Lab &amp; Other HPS'!$BR$121:$BR$220)*(('C19RM 2021-Lab &amp; Other HPS'!$AO$121:$AO$220)))),IF((INDEX(SETUP!$G$19:$G$503,(MATCH(1,(SETUP!$B$19:$B$503=B24)*(SETUP!$D$19:$D$503=D24),0))))=1,(SUMPRODUCT(('C19RM 2021-Lab &amp; Other HPS'!$A$121:$D$220=E24)*('C19RM 2021-Lab &amp; Other HPS'!$BH$121:$BH$220=BJ24)*('C19RM 2021-Lab &amp; Other HPS'!$BS$121:$BS$220)*(('C19RM 2021-Lab &amp; Other HPS'!$AS$121:$AS$220)))),0)))),0)))</f>
        <v>0</v>
      </c>
      <c r="AJ24" s="359" cm="1">
        <f t="array" ref="AJ24">IF((INDEX(SETUP!$F$19:$F$503,(MATCH(1,(SETUP!$B$19:$B$503=B24)*(SETUP!$D$19:$D$503=D24),0))))="Upfront",
(SUMPRODUCT(('C19RM 2021-Lab &amp; Other HPS'!$A$121:$D$220=E24)*('C19RM 2021-Lab &amp; Other HPS'!$BH$121:$BH$220=BJ24)*('C19RM 2021-Lab &amp; Other HPS'!$BS$121:$BS$220)*(('C19RM 2021-Lab &amp; Other HPS'!$AU$121:$AU$220)))),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HPS'!$AN$121:$AN$220)))),IF((INDEX(SETUP!$G$19:$G$503,(MATCH(1,(SETUP!$B$19:$B$503=B24)*(SETUP!$D$19:$D$503=D24),0))))=3,((SUMPRODUCT(('C19RM 2021-Lab &amp; Other HPS'!$A$121:$D$220=E24)*('C19RM 2021-Lab &amp; Other HPS'!$BH$121:$BH$220=BJ24)*('C19RM 2021-Lab &amp; Other HPS'!$BR$121:$BR$220)*(('C19RM 2021-Lab &amp; Other HPS'!$AO$121:$AO$220))))),IF((INDEX(SETUP!$G$19:$G$503,(MATCH(1,(SETUP!$B$19:$B$503=B24)*(SETUP!$D$19:$D$503=D24),0))))=2,(SUMPRODUCT(('C19RM 2021-Lab &amp; Other HPS'!$A$121:$D$220=E24)*('C19RM 2021-Lab &amp; Other HPS'!$BH$121:$BH$220=BJ24)*('C19RM 2021-Lab &amp; Other HPS'!$BS$121:$BS$220)*(('C19RM 2021-Lab &amp; Other HPS'!$AS$121:$AS$220)))),IF((INDEX(SETUP!$G$19:$G$503,(MATCH(1,(SETUP!$B$19:$B$503=B24)*(SETUP!$D$19:$D$503=D24),0))))=1,(SUMPRODUCT(('C19RM 2021-Lab &amp; Other HPS'!$A$121:$D$220=E24)*('C19RM 2021-Lab &amp; Other HPS'!$BH$121:$BH$220=BJ24)*('C19RM 2021-Lab &amp; Other HPS'!$BS$121:$BS$220)*(('C19RM 2021-Lab &amp; Other HPS'!$AT$121:$AT$220)))),0)))),0)))</f>
        <v>0</v>
      </c>
      <c r="AK24" s="359" cm="1">
        <f t="array" ref="AK24">IF((INDEX(SETUP!$F$19:$F$503,(MATCH(1,(SETUP!$B$19:$B$503=B24)*(SETUP!$D$19:$D$503=D24),0))))="Upfront",
(SUMPRODUCT(('C19RM 2021-Lab &amp; Other HPS'!$A$121:$D$220=E24)*('C19RM 2021-Lab &amp; Other HPS'!$BH$121:$BH$220=BJ24)*('C19RM 2021-Lab &amp; Other HPS'!$BS$121:$BS$220)*(('C19RM 2021-Lab &amp; Other HPS'!$AV$121:$AV$220)))),
(IF((INDEX(SETUP!$F$19:$F$503,(MATCH(1,(SETUP!$B$19:$B$503=B24)*(SETUP!$D$19:$D$503=D24),0))))="At delivery",
IF((INDEX(SETUP!$G$19:$G$503,(MATCH(1,(SETUP!$B$19:$B$503=B24)*(SETUP!$D$19:$D$503=D24),0))))=4,
(SUMPRODUCT(('C19RM 2021-Lab &amp; Other HPS'!$A$121:$D$220=E24)*('C19RM 2021-Lab &amp; Other HPS'!$BH$121:$BH$220=BJ24)*('C19RM 2021-Lab &amp; Other HPS'!$BR$121:$BR$220)*(('C19RM 2021-Lab &amp; Other HPS'!$AO$121:$AO$220)))),IF((INDEX(SETUP!$G$19:$G$503,(MATCH(1,(SETUP!$B$19:$B$503=B24)*(SETUP!$D$19:$D$503=D24),0))))=3,((SUMPRODUCT(('C19RM 2021-Lab &amp; Other HPS'!$A$121:$D$220=E24)*('C19RM 2021-Lab &amp; Other HPS'!$BH$121:$BH$220=BJ24)*('C19RM 2021-Lab &amp; Other HPS'!$BS$121:$BS$220)*(('C19RM 2021-Lab &amp; Other HPS'!$AS$121:$AS$220))))),IF((INDEX(SETUP!$G$19:$G$503,(MATCH(1,(SETUP!$B$19:$B$503=B24)*(SETUP!$D$19:$D$503=D24),0))))=2,(SUMPRODUCT(('C19RM 2021-Lab &amp; Other HPS'!$A$121:$D$220=E24)*('C19RM 2021-Lab &amp; Other HPS'!$BH$121:$BH$220=BJ24)*('C19RM 2021-Lab &amp; Other HPS'!$BS$121:$BS$220)*(('C19RM 2021-Lab &amp; Other HPS'!$AT$121:$AT$220)))),IF((INDEX(SETUP!$G$19:$G$503,(MATCH(1,(SETUP!$B$19:$B$503=B24)*(SETUP!$D$19:$D$503=D24),0))))=1,(SUMPRODUCT(('C19RM 2021-Lab &amp; Other HPS'!$A$121:$D$220=E24)*('C19RM 2021-Lab &amp; Other HPS'!$BH$121:$BH$220=BJ24)*('C19RM 2021-Lab &amp; Other HPS'!$BS$121:$BS$220)*(('C19RM 2021-Lab &amp; Other HPS'!$AU$121:$AU$220)))),0)))),0)))</f>
        <v>0</v>
      </c>
      <c r="AL24" s="359" cm="1">
        <f t="array" ref="AL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HPS'!$AS$121:$AS$220)))),IF((INDEX(SETUP!$G$19:$G$503,(MATCH(1,(SETUP!$B$19:$B$503=B24)*(SETUP!$D$19:$D$503=D24),0))))=3,(SUMPRODUCT(('C19RM 2021-Lab &amp; Other HPS'!$A$121:$D$220=E24)*('C19RM 2021-Lab &amp; Other HPS'!$BH$121:$BH$220=BJ24)*('C19RM 2021-Lab &amp; Other HPS'!$BS$121:$BS$220)*(('C19RM 2021-Lab &amp; Other HPS'!$AT$121:$AT$220)))),IF((INDEX(SETUP!$G$19:$G$503,(MATCH(1,(SETUP!$B$19:$B$503=B24)*(SETUP!$D$19:$D$503=D24),0))))=2,(SUMPRODUCT(('C19RM 2021-Lab &amp; Other HPS'!$A$121:$D$220=E24)*('C19RM 2021-Lab &amp; Other HPS'!$BH$121:$BH$220=BJ24)*('C19RM 2021-Lab &amp; Other HPS'!$BS$121:$BS$220)*(('C19RM 2021-Lab &amp; Other HPS'!$AU$121:$AU$220)))),
IF((INDEX(SETUP!$G$19:$G$503,(MATCH(1,(SETUP!$B$19:$B$503=B24)*(SETUP!$D$19:$D$503=D24),0))))=1,
(SUMPRODUCT(('C19RM 2021-Lab &amp; Other HPS'!$A$121:$D$220=E24)*('C19RM 2021-Lab &amp; Other HPS'!$BH$121:$BH$220=BJ24)*('C19RM 2021-Lab &amp; Other HPS'!$BS$121:$BS$220)*(('C19RM 2021-Lab &amp; Other HPS'!$AV$121:$AV$220)))),0)))),0)))</f>
        <v>0</v>
      </c>
      <c r="AM24" s="359" cm="1">
        <f t="array" ref="AM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HPS'!$AT$121:$AT$220)))),IF((INDEX(SETUP!$G$19:$G$503,(MATCH(1,(SETUP!$B$19:$B$503=B24)*(SETUP!$D$19:$D$503=D24),0))))=3,(SUMPRODUCT(('C19RM 2021-Lab &amp; Other HPS'!$A$121:$D$220=E24)*('C19RM 2021-Lab &amp; Other HPS'!$BH$121:$BH$220=BJ24)*('C19RM 2021-Lab &amp; Other HPS'!$BS$121:$BS$220)*(('C19RM 2021-Lab &amp; Other HPS'!$AU$121:$AU$220)))),IF((INDEX(SETUP!$G$19:$G$503,(MATCH(1,(SETUP!$B$19:$B$503=B24)*(SETUP!$D$19:$D$503=D24),0))))=2,(SUMPRODUCT(('C19RM 2021-Lab &amp; Other HPS'!$A$121:$D$220=E24)*('C19RM 2021-Lab &amp; Other HPS'!$BH$121:$BH$220=BJ24)*('C19RM 2021-Lab &amp; Other HPS'!$BS$121:$BS$220)*(('C19RM 2021-Lab &amp; Other HPS'!$AV$121:$AV$220)))),IF((INDEX(SETUP!$G$19:$G$503,(MATCH(1,(SETUP!$B$19:$B$503=B24)*(SETUP!$D$19:$D$503=D24),0))))=1,(0),0)))),0)))</f>
        <v>0</v>
      </c>
      <c r="AN24" s="359" cm="1">
        <f t="array" ref="AN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HPS'!$AU$121:$AU$220)))),IF((INDEX(SETUP!$G$19:$G$503,(MATCH(1,(SETUP!$B$19:$B$503=B24)*(SETUP!$D$19:$D$503=D24),0))))=3,(SUMPRODUCT(('C19RM 2021-Lab &amp; Other HPS'!$A$121:$D$220=E24)*('C19RM 2021-Lab &amp; Other HPS'!$BH$121:$BH$220=BJ24)*('C19RM 2021-Lab &amp; Other HPS'!$BS$121:$BS$220)*(('C19RM 2021-Lab &amp; Other HPS'!$AV$121:$AV$220)))),IF((INDEX(SETUP!$G$19:$G$503,(MATCH(1,(SETUP!$B$19:$B$503=B24)*(SETUP!$D$19:$D$503=D24),0))))=2,(0),IF((INDEX(SETUP!$G$19:$G$503,(MATCH(1,(SETUP!$B$19:$B$503=B24)*(SETUP!$D$19:$D$503=D24),0))))=1,(0),0)))),0)))</f>
        <v>0</v>
      </c>
      <c r="AO24" s="359" cm="1">
        <f t="array" ref="AO24">IF((INDEX(SETUP!$F$19:$F$503,(MATCH(1,(SETUP!$B$19:$B$503=B24)*(SETUP!$D$19:$D$503=D24),0))))="Upfront",0,(IF((INDEX(SETUP!$F$19:$F$503,(MATCH(1,(SETUP!$B$19:$B$503=B24)*(SETUP!$D$19:$D$503=D24),0))))="At delivery",IF((INDEX(SETUP!$G$19:$G$503,(MATCH(1,(SETUP!$B$19:$B$503=B24)*(SETUP!$D$19:$D$503=D24),0))))=4,(SUMPRODUCT(('C19RM 2021-Lab &amp; Other HPS'!$A$121:$D$220=E24)*('C19RM 2021-Lab &amp; Other HPS'!$BH$121:$BH$220=BJ24)*('C19RM 2021-Lab &amp; Other HPS'!$BS$121:$BS$220)*(('C19RM 2021-Lab &amp; Other HPS'!$AV$121:$AV$220)))),IF((INDEX(SETUP!$G$19:$G$503,(MATCH(1,(SETUP!$B$19:$B$503=B24)*(SETUP!$D$19:$D$503=D24),0))))=3,(0),IF((INDEX(SETUP!$G$19:$G$503,(MATCH(1,(SETUP!$B$19:$B$503=B24)*(SETUP!$D$19:$D$503=D24),0))))=2,(0),IF((INDEX(SETUP!$G$19:$G$503,(MATCH(1,(SETUP!$B$19:$B$503=B24)*(SETUP!$D$19:$D$503=D24),0))))=1,(0),0)))),0)))</f>
        <v>0</v>
      </c>
      <c r="AP24" s="359"/>
      <c r="AQ24" s="359"/>
      <c r="AR24" s="359"/>
      <c r="AS24" s="359"/>
      <c r="AT24" s="359" cm="1">
        <f t="array" ref="AT24">IF(BG24&gt;=1,0,IFERROR(SUMPRODUCT(($R$2:$AO$2=$AT$4)*($E$5:$E$100=E24)*($BC$5:$BC$100=BC24)*($R$5:$AO$100)),0))</f>
        <v>0</v>
      </c>
      <c r="AU24" s="359" cm="1">
        <f t="array" ref="AU24">IF(BG24&gt;=1,0,IFERROR(SUMPRODUCT(($R$2:$AO$2=$AU$4)*($E$5:$E$100=E24)*($BC$5:$BC$100=BC24)*($R$5:$AO$100)),0))</f>
        <v>0</v>
      </c>
      <c r="AV24" s="359" cm="1">
        <f t="array" ref="AV24">IF(BG24&gt;=1,0,IFERROR(SUMPRODUCT(($R$2:$AO$2=$AV$4)*($E$5:$E$100=E24)*($BC$5:$BC$100=BC24)*($R$5:$AO$100)),0))</f>
        <v>0</v>
      </c>
      <c r="AW24" s="359" cm="1">
        <f t="array" ref="AW24">IF(BG24&gt;=1,0,IFERROR(SUMPRODUCT(($R$2:$AO$2=$AW$4)*($E$5:$E$100=E24)*($BC$5:$BC$100=BC24)*($R$5:$AO$100)),0))</f>
        <v>0</v>
      </c>
      <c r="AX24" s="359" cm="1">
        <f t="array" ref="AX24">IF(BG24&gt;=1,0,IFERROR(SUMPRODUCT(($R$2:$AO$2=$AX$4)*($E$5:$E$100=E24)*($BC$5:$BC$100=BC24)*($R$5:$AO$100)),0))</f>
        <v>0</v>
      </c>
      <c r="AY24" s="359">
        <f t="shared" si="5"/>
        <v>0</v>
      </c>
      <c r="AZ24" s="359"/>
      <c r="BA24" s="233">
        <f t="shared" si="6"/>
        <v>0</v>
      </c>
      <c r="BB24" s="220" t="s">
        <v>83</v>
      </c>
      <c r="BC24" t="s">
        <v>182</v>
      </c>
      <c r="BD24" cm="1">
        <f t="array" ref="BD24">(SUMPRODUCT(('C19RM 2021-Lab &amp; Other HPS'!$A$14:$D$650=E24)*('C19RM 2021-Lab &amp; Other HPS'!$BU$14:$BU$650)))</f>
        <v>0</v>
      </c>
      <c r="BE24" cm="1">
        <f t="array" ref="BE24">(SUMPRODUCT((SETUP!$D$20:$D$67=D24)*(SETUP!$R$20:$R$67)))</f>
        <v>0</v>
      </c>
      <c r="BF24" cm="1">
        <f t="array" ref="BF24">(SUMPRODUCT(('C19RM 2021-Lab &amp; Other HPS'!$A$14:$D$650=E24)*('C19RM 2021-Lab &amp; Other HPS'!$BV$14:$BV$650)))</f>
        <v>0</v>
      </c>
      <c r="BG24">
        <f t="shared" si="25"/>
        <v>0</v>
      </c>
      <c r="BJ24" s="235">
        <v>6.5</v>
      </c>
    </row>
    <row r="25" spans="1:62" x14ac:dyDescent="0.35">
      <c r="A25" s="235">
        <v>2</v>
      </c>
      <c r="B25" s="220" t="s">
        <v>2750</v>
      </c>
      <c r="C25" s="235" t="s">
        <v>3193</v>
      </c>
      <c r="D25" s="235" t="s">
        <v>21</v>
      </c>
      <c r="E25" s="235" t="s">
        <v>2760</v>
      </c>
      <c r="F25" s="220">
        <f>SETUP!$E$3</f>
        <v>0</v>
      </c>
      <c r="G25" s="220" t="str">
        <f ca="1">SETUP!$J$5</f>
        <v>NA</v>
      </c>
      <c r="H25" s="220" t="str">
        <f>SETUP!$E$9</f>
        <v>C19RM</v>
      </c>
      <c r="I25" s="232">
        <f t="shared" si="22"/>
        <v>44197</v>
      </c>
      <c r="J25" s="232">
        <f>SETUP!$L$14</f>
        <v>46022</v>
      </c>
      <c r="K25" s="220">
        <v>1</v>
      </c>
      <c r="L25">
        <f t="shared" si="23"/>
        <v>0</v>
      </c>
      <c r="M25">
        <f>SETUP!$E$7</f>
        <v>0</v>
      </c>
      <c r="N25">
        <f>SETUP!$F$76</f>
        <v>6.1</v>
      </c>
      <c r="O25" t="str" cm="1">
        <f t="array" ref="O25">INDEX(SETUP!$E$19:$E$503,(MATCH(1,(SETUP!$B$19:$B$503=B25)*(SETUP!$D$19:$D$503=D25),0)))</f>
        <v>PR/SR</v>
      </c>
      <c r="P25" t="str" cm="1">
        <f t="array" ref="P25">INDEX(SETUP!$F$19:$F$503,(MATCH(1,(SETUP!$B$19:$B$503=B25)*(SETUP!$D$19:$D$503=D25),0)))</f>
        <v>At delivery</v>
      </c>
      <c r="Q25" cm="1">
        <f t="array" ref="Q25">INDEX(SETUP!$G$19:$G$503,(MATCH(1,(SETUP!$B$19:$B$503=B25)*(SETUP!$D$19:$D$503=D25),0)))</f>
        <v>1</v>
      </c>
      <c r="R25" s="359" cm="1">
        <f t="array" ref="R25">IF((INDEX(SETUP!$F$19:$F$503,(MATCH(1,(SETUP!$B$19:$B$503=B25)*(SETUP!$D$19:$D$503=D25),0))))="Upfront",(SUMPRODUCT(('C19RM 2021-Lab &amp; Other HPS'!$A$121:$D$220=E25)*('C19RM 2021-Lab &amp; Other HPS'!$BH$121:$BH$220=BJ25)*('C19RM 2021-Lab &amp; Other HPS'!$BO$121:$BO$220)*(('C19RM 2021-Lab &amp; Other HPS'!$Q$121:$Q$220)))),0)</f>
        <v>0</v>
      </c>
      <c r="S25" s="359" cm="1">
        <f t="array" ref="S25">IF((INDEX(SETUP!$F$19:$F$503,(MATCH(1,(SETUP!$B$19:$B$503=B25)*(SETUP!$D$19:$D$503=D25),0))))="Upfront",(SUMPRODUCT(('C19RM 2021-Lab &amp; Other HPS'!$A$121:$D$220=E25)*('C19RM 2021-Lab &amp; Other HPS'!$BH$121:$BH$220=BJ25)*('C19RM 2021-Lab &amp; Other HPS'!$BO$121:$BO$220)*(('C19RM 2021-Lab &amp; Other HPS'!$R$121:$R$220)))),(IF((INDEX(SETUP!$F$19:$F$503,(MATCH(1,(SETUP!$B$19:$B$503=B25)*(SETUP!$D$19:$D$503=D25),0))))="At delivery",IF((INDEX(SETUP!$G$19:$G$503,(MATCH(1,(SETUP!$B$19:$B$503=B25)*(SETUP!$D$19:$D$503=D25),0))))=1,(SUMPRODUCT(('C19RM 2021-Lab &amp; Other HPS'!$A$121:$D$220=E25)*('C19RM 2021-Lab &amp; Other HPS'!$BH$121:$BH$220=BJ25)*('C19RM 2021-Lab &amp; Other HPS'!$BO$121:$BO$220)*(('C19RM 2021-Lab &amp; Other HPS'!$Q$121:$Q$220)))),0),0)))</f>
        <v>0</v>
      </c>
      <c r="T25" s="359" cm="1">
        <f t="array" ref="T25">IF((INDEX(SETUP!$F$19:$F$503,(MATCH(1,(SETUP!$B$19:$B$503=B25)*(SETUP!$D$19:$D$503=D25),0))))="Upfront",(SUMPRODUCT(('C19RM 2021-Lab &amp; Other HPS'!$A$121:$D$220=E25)*('C19RM 2021-Lab &amp; Other HPS'!$BH$121:$BH$220=BJ25)*('C19RM 2021-Lab &amp; Other HPS'!$BO$121:$BO$220)*(('C19RM 2021-Lab &amp; Other HPS'!$S$121:$S$220)))),(IF((INDEX(SETUP!$F$19:$F$503,(MATCH(1,(SETUP!$B$19:$B$503=B25)*(SETUP!$D$19:$D$503=D25),0))))="At delivery",IF((INDEX(SETUP!$G$19:$G$503,(MATCH(1,(SETUP!$B$19:$B$503=B25)*(SETUP!$D$19:$D$503=D25),0))))=2,(SUMPRODUCT(('C19RM 2021-Lab &amp; Other HPS'!$A$121:$D$220=E25)*('C19RM 2021-Lab &amp; Other HPS'!$BH$121:$BH$220=BJ25)*('C19RM 2021-Lab &amp; Other HPS'!$BO$121:$BO$220)*(('C19RM 2021-Lab &amp; Other HPS'!$Q$121:$Q$220)))),IF((INDEX(SETUP!$G$19:$G$503,(MATCH(1,(SETUP!$B$19:$B$503=B25)*(SETUP!$D$19:$D$503=D25),0))))=1,(SUMPRODUCT(('C19RM 2021-Lab &amp; Other HPS'!$A$121:$D$220=E25)*('C19RM 2021-Lab &amp; Other HPS'!$BH$121:$BH$220=BJ25)*('C19RM 2021-Lab &amp; Other HPS'!$BO$121:$BO$220)*(('C19RM 2021-Lab &amp; Other HPS'!$R$121:$R$220)))),0)),0)))</f>
        <v>0</v>
      </c>
      <c r="U25" s="359" cm="1">
        <f t="array" ref="U25">IF((INDEX(SETUP!$F$19:$F$503,(MATCH(1,(SETUP!$B$19:$B$503=B25)*(SETUP!$D$19:$D$503=D25),0))))="Upfront",(SUMPRODUCT(('C19RM 2021-Lab &amp; Other HPS'!$A$121:$D$220=E25)*('C19RM 2021-Lab &amp; Other HPS'!$BH$121:$BH$220=BJ25)*('C19RM 2021-Lab &amp; Other HPS'!$BO$121:$BO$220)*(('C19RM 2021-Lab &amp; Other HPS'!$T$121:$T$220)))),(IF((INDEX(SETUP!$F$19:$F$503,(MATCH(1,(SETUP!$B$19:$B$503=B25)*(SETUP!$D$19:$D$503=D25),0))))="At delivery",IF((INDEX(SETUP!$G$19:$G$503,(MATCH(1,(SETUP!$B$19:$B$503=B25)*(SETUP!$D$19:$D$503=D25),0))))=3,(SUMPRODUCT(('C19RM 2021-Lab &amp; Other HPS'!$A$121:$D$220=E25)*('C19RM 2021-Lab &amp; Other HPS'!$BH$121:$BH$220=BJ25)*('C19RM 2021-Lab &amp; Other HPS'!$BO$121:$BO$220)*(('C19RM 2021-Lab &amp; Other HPS'!$Q$121:$Q$220)))),IF((INDEX(SETUP!$G$19:$G$503,(MATCH(1,(SETUP!$B$19:$B$503=B25)*(SETUP!$D$19:$D$503=D25),0))))=2,(SUMPRODUCT(('C19RM 2021-Lab &amp; Other HPS'!$A$121:$D$220=E25)*('C19RM 2021-Lab &amp; Other HPS'!$BH$121:$BH$220=BJ25)*('C19RM 2021-Lab &amp; Other HPS'!$BO$121:$BO$220)*(('C19RM 2021-Lab &amp; Other HPS'!$R$121:$R$220)))),IF((INDEX(SETUP!$G$19:$G$503,(MATCH(1,(SETUP!$B$19:$B$503=B25)*(SETUP!$D$19:$D$503=D25),0))))=1,(SUMPRODUCT(('C19RM 2021-Lab &amp; Other HPS'!$A$121:$D$220=E25)*('C19RM 2021-Lab &amp; Other HPS'!$BH$121:$BH$220=BJ25)*('C19RM 2021-Lab &amp; Other HPS'!$BO$121:$BO$220)*(('C19RM 2021-Lab &amp; Other HPS'!$S$121:$S$220)))),0))),0)))</f>
        <v>0</v>
      </c>
      <c r="V25" s="359" cm="1">
        <f t="array" ref="V25">IF((INDEX(SETUP!$F$19:$F$503,(MATCH(1,(SETUP!$B$19:$B$503=B25)*(SETUP!$D$19:$D$503=D25),0))))="Upfront",(SUMPRODUCT(('C19RM 2021-Lab &amp; Other HPS'!$A$121:$D$220=E25)*('C19RM 2021-Lab &amp; Other HPS'!$BH$121:$BH$220=BJ25)*('C19RM 2021-Lab &amp; Other HPS'!$BP$121:$BP$220)*(('C19RM 2021-Lab &amp; Other HPS'!$X$121:$X$220)))),(IF((INDEX(SETUP!$F$19:$F$503,(MATCH(1,(SETUP!$B$19:$B$503=B25)*(SETUP!$D$19:$D$503=D25),0))))="At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HPS'!$Q$121:$Q$220)))),IF((INDEX(SETUP!$G$19:$G$503,(MATCH(1,(SETUP!$B$19:$B$503=B25)*(SETUP!$D$19:$D$503=D25),0))))=3,(SUMPRODUCT(('C19RM 2021-Lab &amp; Other HPS'!$A$121:$D$220=E25)*('C19RM 2021-Lab &amp; Other HPS'!$BH$121:$BH$220=BJ25)*('C19RM 2021-Lab &amp; Other HPS'!$BO$121:$BO$220)*(('C19RM 2021-Lab &amp; Other HPS'!$R$121:$R$220)))),IF((INDEX(SETUP!$G$19:$G$503,(MATCH(1,(SETUP!$B$19:$B$503=B25)*(SETUP!$D$19:$D$503=D25),0))))=2,(SUMPRODUCT(('C19RM 2021-Lab &amp; Other HPS'!$A$121:$D$220=E25)*('C19RM 2021-Lab &amp; Other HPS'!$BH$121:$BH$220=BJ25)*('C19RM 2021-Lab &amp; Other HPS'!$BO$121:$BO$220)*(('C19RM 2021-Lab &amp; Other HPS'!$S$121:$S$220)))),IF((INDEX(SETUP!$G$19:$G$503,(MATCH(1,(SETUP!$B$19:$B$503=B25)*(SETUP!$D$19:$D$503=D25),0))))=1,(SUMPRODUCT(('C19RM 2021-Lab &amp; Other HPS'!$A$121:$D$220=E25)*('C19RM 2021-Lab &amp; Other HPS'!$BH$121:$BH$220=BJ25)*('C19RM 2021-Lab &amp; Other HPS'!$BO$121:$BO$220)*(('C19RM 2021-Lab &amp; Other HPS'!$T$121:$T$220)))),0)))),0)))</f>
        <v>0</v>
      </c>
      <c r="W25" s="359" cm="1">
        <f t="array" ref="W25">IF((INDEX(SETUP!$F$19:$F$503,(MATCH(1,(SETUP!$B$19:$B$503=B25)*(SETUP!$D$19:$D$503=D25),0))))="Upfront",(SUMPRODUCT(('C19RM 2021-Lab &amp; Other HPS'!$A$121:$D$220=E25)*('C19RM 2021-Lab &amp; Other HPS'!$BH$121:$BH$220=BJ25)*('C19RM 2021-Lab &amp; Other HPS'!$BP$121:$BP$220)*(('C19RM 2021-Lab &amp; Other HPS'!$Y$121:$Y$220)))),(IF((INDEX(SETUP!$F$19:$F$503,(MATCH(1,(SETUP!$B$19:$B$503=B25)*(SETUP!$D$19:$D$503=D25),0))))="At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HPS'!$R$121:$R$220)))),IF((INDEX(SETUP!$G$19:$G$503,(MATCH(1,(SETUP!$B$19:$B$503=B25)*(SETUP!$D$19:$D$503=D25),0))))=3,(SUMPRODUCT(('C19RM 2021-Lab &amp; Other HPS'!$A$121:$D$220=E25)*('C19RM 2021-Lab &amp; Other HPS'!$BH$121:$BH$220=BJ25)*('C19RM 2021-Lab &amp; Other HPS'!$BO$121:$BO$220)*(('C19RM 2021-Lab &amp; Other HPS'!$S$121:$S$220)))),IF((INDEX(SETUP!$G$19:$G$503,(MATCH(1,(SETUP!$B$19:$B$503=B25)*(SETUP!$D$19:$D$503=D25),0))))=2,((SUMPRODUCT(('C19RM 2021-Lab &amp; Other HPS'!$A$121:$D$220=E25)*('C19RM 2021-Lab &amp; Other HPS'!$BH$121:$BH$220=BJ25)*('C19RM 2021-Lab &amp; Other HPS'!$BO$121:$BO$220)*(('C19RM 2021-Lab &amp; Other HPS'!$T$121:$T$220))))),IF((INDEX(SETUP!$G$19:$G$503,(MATCH(1,(SETUP!$B$19:$B$503=B25)*(SETUP!$D$19:$D$503=D25),0))))=1,(SUMPRODUCT(('C19RM 2021-Lab &amp; Other HPS'!$A$121:$D$220=E25)*('C19RM 2021-Lab &amp; Other HPS'!$BH$121:$BH$220=BJ25)*('C19RM 2021-Lab &amp; Other HPS'!$BP$121:$BP$220)*(('C19RM 2021-Lab &amp; Other HPS'!$X$121:$X$220)))),0)))),0)))</f>
        <v>0</v>
      </c>
      <c r="X25" s="359" cm="1">
        <f t="array" ref="X25">IF((INDEX(SETUP!$F$19:$F$503,(MATCH(1,(SETUP!$B$19:$B$503=B25)*(SETUP!$D$19:$D$503=D25),0))))="Upfront",(SUMPRODUCT(('C19RM 2021-Lab &amp; Other HPS'!$A$121:$D$220=E25)*('C19RM 2021-Lab &amp; Other HPS'!$BH$121:$BH$220=BJ25)*('C19RM 2021-Lab &amp; Other HPS'!$BP$121:$BP$220)*(('C19RM 2021-Lab &amp; Other HPS'!$Z$121:$Z$220)))),(IF((INDEX(SETUP!$F$19:$F$503,(MATCH(1,(SETUP!$B$19:$B$503=B25)*(SETUP!$D$19:$D$503=D25),0))))="At delivery",IF((INDEX(SETUP!$G$19:$G$503,(MATCH(1,(SETUP!$B$19:$B$503=B25)*(SETUP!$D$19:$D$503=D25),0))))=4,(SUMPRODUCT(('C19RM 2021-Lab &amp; Other HPS'!$A$121:$D$220=E25)*('C19RM 2021-Lab &amp; Other HPS'!$BH$121:$BH$220=BJ25)*('C19RM 2021-Lab &amp; Other HPS'!$BO$121:$BO$220)*(('C19RM 2021-Lab &amp; Other HPS'!$S$121:$S$220)))),IF((INDEX(SETUP!$G$19:$G$503,(MATCH(1,(SETUP!$B$19:$B$503=B25)*(SETUP!$D$19:$D$503=D25),0))))=3,((SUMPRODUCT(('C19RM 2021-Lab &amp; Other HPS'!$A$121:$D$220=E25)*('C19RM 2021-Lab &amp; Other HPS'!$BH$121:$BH$220=BJ25)*('C19RM 2021-Lab &amp; Other HPS'!$BO$121:$BO$220)*(('C19RM 2021-Lab &amp; Other HPS'!$T$121:$T$220))))),IF((INDEX(SETUP!$G$19:$G$503,(MATCH(1,(SETUP!$B$19:$B$503=B25)*(SETUP!$D$19:$D$503=D25),0))))=2,(SUMPRODUCT(('C19RM 2021-Lab &amp; Other HPS'!$A$121:$D$220=E25)*('C19RM 2021-Lab &amp; Other HPS'!$BH$121:$BH$220=BJ25)*('C19RM 2021-Lab &amp; Other HPS'!$BP$121:$BP$220)*(('C19RM 2021-Lab &amp; Other HPS'!$X$121:$X$220)))),IF((INDEX(SETUP!$G$19:$G$503,(MATCH(1,(SETUP!$B$19:$B$503=B25)*(SETUP!$D$19:$D$503=D25),0))))=1,(SUMPRODUCT(('C19RM 2021-Lab &amp; Other HPS'!$A$121:$D$220=E25)*('C19RM 2021-Lab &amp; Other HPS'!$BH$121:$BH$220=BJ25)*('C19RM 2021-Lab &amp; Other HPS'!$BP$121:$BP$220)*(('C19RM 2021-Lab &amp; Other HPS'!$Y$121:$Y$220)))),0)))),0)))</f>
        <v>0</v>
      </c>
      <c r="Y25" s="359" cm="1">
        <f t="array" ref="Y25">IF((INDEX(SETUP!$F$19:$F$503,(MATCH(1,(SETUP!$B$19:$B$503=B25)*(SETUP!$D$19:$D$503=D25),0))))="Upfront",
(SUMPRODUCT(('C19RM 2021-Lab &amp; Other HPS'!$A$121:$D$220=E25)*('C19RM 2021-Lab &amp; Other HPS'!$BH$121:$BH$220=BJ25)*('C19RM 2021-Lab &amp; Other HPS'!$BP$121:$BP$220)*(('C19RM 2021-Lab &amp; Other HPS'!$AA$121:$AA$220)))),
(IF((INDEX(SETUP!$F$19:$F$503,(MATCH(1,(SETUP!$B$19:$B$503=B25)*(SETUP!$D$19:$D$503=D25),0))))="At delivery",
IF((INDEX(SETUP!$G$19:$G$503,(MATCH(1,(SETUP!$B$19:$B$503=B25)*(SETUP!$D$19:$D$503=D25),0))))=4,
((SUMPRODUCT(('C19RM 2021-Lab &amp; Other HPS'!$A$121:$D$220=E25)*('C19RM 2021-Lab &amp; Other HPS'!$BH$121:$BH$220=BJ25)*('C19RM 2021-Lab &amp; Other HPS'!$BO$121:$BO$220)*(('C19RM 2021-Lab &amp; Other HPS'!$T$121:$T$220))))),IF((INDEX(SETUP!$G$19:$G$503,(MATCH(1,(SETUP!$B$19:$B$503=B25)*(SETUP!$D$19:$D$503=D25),0))))=3,(SUMPRODUCT(('C19RM 2021-Lab &amp; Other HPS'!$A$121:$D$220=E25)*('C19RM 2021-Lab &amp; Other HPS'!$BH$121:$BH$220=BJ25)*('C19RM 2021-Lab &amp; Other HPS'!$BP$121:$BP$220)*(('C19RM 2021-Lab &amp; Other HPS'!$X$121:$X$220)))),IF((INDEX(SETUP!$G$19:$G$503,(MATCH(1,(SETUP!$B$19:$B$503=B25)*(SETUP!$D$19:$D$503=D25),0))))=2,(SUMPRODUCT(('C19RM 2021-Lab &amp; Other HPS'!$A$121:$D$220=E25)*('C19RM 2021-Lab &amp; Other HPS'!$BH$121:$BH$220=BJ25)*('C19RM 2021-Lab &amp; Other HPS'!$BP$121:$BP$220)*(('C19RM 2021-Lab &amp; Other HPS'!$Y$121:$Y$220)))),IF((INDEX(SETUP!$G$19:$G$503,(MATCH(1,(SETUP!$B$19:$B$503=B25)*(SETUP!$D$19:$D$503=D25),0))))=1,(SUMPRODUCT(('C19RM 2021-Lab &amp; Other HPS'!$A$121:$D$220=E25)*('C19RM 2021-Lab &amp; Other HPS'!$BH$121:$BH$220=BJ25)*('C19RM 2021-Lab &amp; Other HPS'!$BP$121:$BP$220)*(('C19RM 2021-Lab &amp; Other HPS'!$Z$121:$Z$220)))),0)))),0)))</f>
        <v>0</v>
      </c>
      <c r="Z25" s="359" cm="1">
        <f t="array" ref="Z25">IF((INDEX(SETUP!$F$19:$F$503,(MATCH(1,(SETUP!$B$19:$B$503=B25)*(SETUP!$D$19:$D$503=D25),0))))="Upfront",(SUMPRODUCT(('C19RM 2021-Lab &amp; Other HPS'!$A$121:$D$220=E25)*('C19RM 2021-Lab &amp; Other HPS'!$BH$121:$BH$220=BJ25)*('C19RM 2021-Lab &amp; Other HPS'!$BQ$121:$BQ$220)*(('C19RM 2021-Lab &amp; Other HPS'!$AE$121:$AE$220)))),(IF((INDEX(SETUP!$F$19:$F$503,(MATCH(1,(SETUP!$B$19:$B$503=B25)*(SETUP!$D$19:$D$503=D25),0))))="At delivery",IF((INDEX(SETUP!$G$19:$G$503,(MATCH(1,(SETUP!$B$19:$B$503=B25)*(SETUP!$D$19:$D$503=D25),0))))=4,(SUMPRODUCT(('C19RM 2021-Lab &amp; Other HPS'!$A$121:$D$220=E25)*('C19RM 2021-Lab &amp; Other HPS'!$BH$121:$BH$220=BJ25)*('C19RM 2021-Lab &amp; Other HPS'!$BP$121:$BP$220)*(('C19RM 2021-Lab &amp; Other HPS'!$X$121:$X$220)))),IF((INDEX(SETUP!$G$19:$G$503,(MATCH(1,(SETUP!$B$19:$B$503=B25)*(SETUP!$D$19:$D$503=D25),0))))=3,(SUMPRODUCT(('C19RM 2021-Lab &amp; Other HPS'!$A$121:$D$220=E25)*('C19RM 2021-Lab &amp; Other HPS'!$BH$121:$BH$220=BJ25)*('C19RM 2021-Lab &amp; Other HPS'!$BP$121:$BP$220)*(('C19RM 2021-Lab &amp; Other HPS'!$Y$121:$Y$220)))),IF((INDEX(SETUP!$G$19:$G$503,(MATCH(1,(SETUP!$B$19:$B$503=B25)*(SETUP!$D$19:$D$503=D25),0))))=2,(SUMPRODUCT(('C19RM 2021-Lab &amp; Other HPS'!$A$121:$D$220=E25)*('C19RM 2021-Lab &amp; Other HPS'!$BH$121:$BH$220=BJ25)*('C19RM 2021-Lab &amp; Other HPS'!$BP$121:$BP$220)*(('C19RM 2021-Lab &amp; Other HPS'!$Z$121:$Z$220)))),IF((INDEX(SETUP!$G$19:$G$503,(MATCH(1,(SETUP!$B$19:$B$503=B25)*(SETUP!$D$19:$D$503=D25),0))))=1,(SUMPRODUCT(('C19RM 2021-Lab &amp; Other HPS'!$A$121:$D$220=E25)*('C19RM 2021-Lab &amp; Other HPS'!$BH$121:$BH$220=BJ25)*('C19RM 2021-Lab &amp; Other HPS'!$BP$121:$BP$220)*(('C19RM 2021-Lab &amp; Other HPS'!$AA$121:$AA$220)))),0)))),0)))</f>
        <v>0</v>
      </c>
      <c r="AA25" s="359" cm="1">
        <f t="array" ref="AA25">IF((INDEX(SETUP!$F$19:$F$503,(MATCH(1,(SETUP!$B$19:$B$503=B25)*(SETUP!$D$19:$D$503=D25),0))))="Upfront",(SUMPRODUCT(('C19RM 2021-Lab &amp; Other HPS'!$A$121:$D$220=E25)*('C19RM 2021-Lab &amp; Other HPS'!$BH$121:$BH$220=BJ25)*('C19RM 2021-Lab &amp; Other HPS'!$BQ$121:$BQ$220)*(('C19RM 2021-Lab &amp; Other HPS'!$AF$121:$AF$220)))),(IF((INDEX(SETUP!$F$19:$F$503,(MATCH(1,(SETUP!$B$19:$B$503=B25)*(SETUP!$D$19:$D$503=D25),0))))="At delivery",IF((INDEX(SETUP!$G$19:$G$503,(MATCH(1,(SETUP!$B$19:$B$503=B25)*(SETUP!$D$19:$D$503=D25),0))))=4,(SUMPRODUCT(('C19RM 2021-Lab &amp; Other HPS'!$A$121:$D$220=E25)*('C19RM 2021-Lab &amp; Other HPS'!$BH$121:$BH$220=BJ25)*('C19RM 2021-Lab &amp; Other HPS'!$BP$121:$BP$220)*(('C19RM 2021-Lab &amp; Other HPS'!$Y$121:$Y$220)))),IF((INDEX(SETUP!$G$19:$G$503,(MATCH(1,(SETUP!$B$19:$B$503=B25)*(SETUP!$D$19:$D$503=D25),0))))=3,(SUMPRODUCT(('C19RM 2021-Lab &amp; Other HPS'!$A$121:$D$220=E25)*('C19RM 2021-Lab &amp; Other HPS'!$BH$121:$BH$220=BJ25)*('C19RM 2021-Lab &amp; Other HPS'!$BP$121:$BP$220)*(('C19RM 2021-Lab &amp; Other HPS'!$Z$121:$Z$220)))),IF((INDEX(SETUP!$G$19:$G$503,(MATCH(1,(SETUP!$B$19:$B$503=B25)*(SETUP!$D$19:$D$503=D25),0))))=2,((SUMPRODUCT(('C19RM 2021-Lab &amp; Other HPS'!$A$121:$D$220=E25)*('C19RM 2021-Lab &amp; Other HPS'!$BH$121:$BH$220=BJ25)*('C19RM 2021-Lab &amp; Other HPS'!$BP$121:$BP$220)*(('C19RM 2021-Lab &amp; Other HPS'!$AA$121:$AA$220))))),IF((INDEX(SETUP!$G$19:$G$503,(MATCH(1,(SETUP!$B$19:$B$503=B25)*(SETUP!$D$19:$D$503=D25),0))))=1,(SUMPRODUCT(('C19RM 2021-Lab &amp; Other HPS'!$A$121:$D$220=E25)*('C19RM 2021-Lab &amp; Other HPS'!$BH$121:$BH$220=BJ25)*('C19RM 2021-Lab &amp; Other HPS'!$BQ$121:$BQ$220)*(('C19RM 2021-Lab &amp; Other HPS'!$AE$121:$AE$220)))),0)))),0)))</f>
        <v>0</v>
      </c>
      <c r="AB25" s="359" cm="1">
        <f t="array" ref="AB25">IF((INDEX(SETUP!$F$19:$F$503,(MATCH(1,(SETUP!$B$19:$B$503=B25)*(SETUP!$D$19:$D$503=D25),0))))="Upfront",
(SUMPRODUCT(('C19RM 2021-Lab &amp; Other HPS'!$A$121:$D$220=E25)*('C19RM 2021-Lab &amp; Other HPS'!$BH$121:$BH$220=BJ25)*('C19RM 2021-Lab &amp; Other HPS'!$BQ$121:$BQ$220)*(('C19RM 2021-Lab &amp; Other HPS'!$AG$121:$AG$220)))),
(IF((INDEX(SETUP!$F$19:$F$503,(MATCH(1,(SETUP!$B$19:$B$503=B25)*(SETUP!$D$19:$D$503=D25),0))))="At delivery",
IF((INDEX(SETUP!$G$19:$G$503,(MATCH(1,(SETUP!$B$19:$B$503=B25)*(SETUP!$D$19:$D$503=D25),0))))=4,
(SUMPRODUCT(('C19RM 2021-Lab &amp; Other HPS'!$A$121:$D$220=E25)*('C19RM 2021-Lab &amp; Other HPS'!$BH$121:$BH$220=BJ25)*('C19RM 2021-Lab &amp; Other HPS'!$BP$121:$BP$220)*(('C19RM 2021-Lab &amp; Other HPS'!$Z$121:$Z$220)))),IF((INDEX(SETUP!$G$19:$G$503,(MATCH(1,(SETUP!$B$19:$B$503=B25)*(SETUP!$D$19:$D$503=D25),0))))=3,(SUMPRODUCT(('C19RM 2021-Lab &amp; Other HPS'!$A$121:$D$220=E25)*('C19RM 2021-Lab &amp; Other HPS'!$BH$121:$BH$220=BJ25)*('C19RM 2021-Lab &amp; Other HPS'!$BP$121:$BP$220)*(('C19RM 2021-Lab &amp; Other HPS'!$AA$121:$AA$220)))),IF((INDEX(SETUP!$G$19:$G$503,(MATCH(1,(SETUP!$B$19:$B$503=B25)*(SETUP!$D$19:$D$503=D25),0))))=2,(SUMPRODUCT(('C19RM 2021-Lab &amp; Other HPS'!$A$121:$D$220=E25)*('C19RM 2021-Lab &amp; Other HPS'!$BH$121:$BH$220=BJ25)*('C19RM 2021-Lab &amp; Other HPS'!$BQ$121:$BQ$220)*(('C19RM 2021-Lab &amp; Other HPS'!$AE$121:$AE$220)))),IF((INDEX(SETUP!$G$19:$G$503,(MATCH(1,(SETUP!$B$19:$B$503=B25)*(SETUP!$D$19:$D$503=D25),0))))=1,(SUMPRODUCT(('C19RM 2021-Lab &amp; Other HPS'!$A$121:$D$220=E25)*('C19RM 2021-Lab &amp; Other HPS'!$BH$121:$BH$220=BJ25)*('C19RM 2021-Lab &amp; Other HPS'!$BQ$121:$BQ$220)*(('C19RM 2021-Lab &amp; Other HPS'!$AF$121:$AF$220)))),0)))),0)))</f>
        <v>0</v>
      </c>
      <c r="AC25" s="359" cm="1">
        <f t="array" ref="AC25">IF((INDEX(SETUP!$F$19:$F$503,(MATCH(1,(SETUP!$B$19:$B$503=B25)*(SETUP!$D$19:$D$503=D25),0))))="Upfront",
(SUMPRODUCT(('C19RM 2021-Lab &amp; Other HPS'!$A$121:$D$220=E25)*('C19RM 2021-Lab &amp; Other HPS'!$BH$121:$BH$220=BJ25)*('C19RM 2021-Lab &amp; Other HPS'!$BQ$121:$BQ$220)*(('C19RM 2021-Lab &amp; Other HPS'!$AH$121:$AH$220)))),
(IF((INDEX(SETUP!$F$19:$F$503,(MATCH(1,(SETUP!$B$19:$B$503=B25)*(SETUP!$D$19:$D$503=D25),0))))="At delivery",
IF((INDEX(SETUP!$G$19:$G$503,(MATCH(1,(SETUP!$B$19:$B$503=B25)*(SETUP!$D$19:$D$503=D25),0))))=4,
(SUMPRODUCT(('C19RM 2021-Lab &amp; Other HPS'!$A$121:$D$220=E25)*('C19RM 2021-Lab &amp; Other HPS'!$BH$121:$BH$220=BJ25)*('C19RM 2021-Lab &amp; Other HPS'!$BP$121:$BP$220)*(('C19RM 2021-Lab &amp; Other HPS'!$AA$121:$AA$220)))),IF((INDEX(SETUP!$G$19:$G$503,(MATCH(1,(SETUP!$B$19:$B$503=B25)*(SETUP!$D$19:$D$503=D25),0))))=3,(SUMPRODUCT(('C19RM 2021-Lab &amp; Other HPS'!$A$121:$D$220=E25)*('C19RM 2021-Lab &amp; Other HPS'!$BH$121:$BH$220=BJ25)*('C19RM 2021-Lab &amp; Other HPS'!$BQ$121:$BQ$220)*(('C19RM 2021-Lab &amp; Other HPS'!$AE$121:$AE$220)))),IF((INDEX(SETUP!$G$19:$G$503,(MATCH(1,(SETUP!$B$19:$B$503=B25)*(SETUP!$D$19:$D$503=D25),0))))=2,(SUMPRODUCT(('C19RM 2021-Lab &amp; Other HPS'!$A$121:$D$220=E25)*('C19RM 2021-Lab &amp; Other HPS'!$BH$121:$BH$220=BJ25)*('C19RM 2021-Lab &amp; Other HPS'!$BQ$121:$BQ$220)*(('C19RM 2021-Lab &amp; Other HPS'!$AF$121:$AF$220)))),IF((INDEX(SETUP!$G$19:$G$503,(MATCH(1,(SETUP!$B$19:$B$503=B25)*(SETUP!$D$19:$D$503=D25),0))))=1,(SUMPRODUCT(('C19RM 2021-Lab &amp; Other HPS'!$A$121:$D$220=E25)*('C19RM 2021-Lab &amp; Other HPS'!$BH$121:$BH$220=BJ25)*('C19RM 2021-Lab &amp; Other HPS'!$BQ$121:$BQ$220)*(('C19RM 2021-Lab &amp; Other HPS'!$AG$121:$AG$220)))),0)))),0)))</f>
        <v>0</v>
      </c>
      <c r="AD25" s="359" cm="1">
        <f t="array" ref="AD25">IF((INDEX(SETUP!$F$19:$F$503,(MATCH(1,(SETUP!$B$19:$B$503=B25)*(SETUP!$D$19:$D$503=D25),0))))="Upfront",
(SUMPRODUCT(('C19RM 2021-Lab &amp; Other HPS'!$A$121:$D$220=E25)*('C19RM 2021-Lab &amp; Other HPS'!$BH$121:$BH$220=BJ25)*('C19RM 2021-Lab &amp; Other HPS'!$BR$121:$BR$220)*(('C19RM 2021-Lab &amp; Other HPS'!$AL$121:$AL$220)))),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HPS'!$AE$121:$AE$220)))),IF((INDEX(SETUP!$G$19:$G$503,(MATCH(1,(SETUP!$B$19:$B$503=B25)*(SETUP!$D$19:$D$503=D25),0))))=3,((SUMPRODUCT(('C19RM 2021-Lab &amp; Other HPS'!$A$121:$D$220=E25)*('C19RM 2021-Lab &amp; Other HPS'!$BH$121:$BH$220=BJ25)*('C19RM 2021-Lab &amp; Other HPS'!$BQ$121:$BQ$220)*(('C19RM 2021-Lab &amp; Other HPS'!$AF$121:$AF$220))))),IF((INDEX(SETUP!$G$19:$G$503,(MATCH(1,(SETUP!$B$19:$B$503=B25)*(SETUP!$D$19:$D$503=D25),0))))=2,(SUMPRODUCT(('C19RM 2021-Lab &amp; Other HPS'!$A$121:$D$220=E25)*('C19RM 2021-Lab &amp; Other HPS'!$BH$121:$BH$220=BJ25)*('C19RM 2021-Lab &amp; Other HPS'!$BQ$121:$BQ$220)*(('C19RM 2021-Lab &amp; Other HPS'!$AG$121:$AG$220)))),IF((INDEX(SETUP!$G$19:$G$503,(MATCH(1,(SETUP!$B$19:$B$503=B25)*(SETUP!$D$19:$D$503=D25),0))))=1,(SUMPRODUCT(('C19RM 2021-Lab &amp; Other HPS'!$A$121:$D$220=E25)*('C19RM 2021-Lab &amp; Other HPS'!$BH$121:$BH$220=BJ25)*('C19RM 2021-Lab &amp; Other HPS'!$BQ$121:$BQ$220)*(('C19RM 2021-Lab &amp; Other HPS'!$AH$121:$AH$220)))),0)))),0)))</f>
        <v>0</v>
      </c>
      <c r="AE25" s="359" cm="1">
        <f t="array" ref="AE25">IF((INDEX(SETUP!$F$19:$F$503,(MATCH(1,(SETUP!$B$19:$B$503=B25)*(SETUP!$D$19:$D$503=D25),0))))="Upfront",
(SUMPRODUCT(('C19RM 2021-Lab &amp; Other HPS'!$A$121:$D$220=E25)*('C19RM 2021-Lab &amp; Other HPS'!$BH$121:$BH$220=BJ25)*('C19RM 2021-Lab &amp; Other HPS'!$BR$121:$BR$220)*(('C19RM 2021-Lab &amp; Other HPS'!$AM$121:$AM$220)))),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HPS'!$AF$121:$AF$220)))),IF((INDEX(SETUP!$G$19:$G$503,(MATCH(1,(SETUP!$B$19:$B$503=B25)*(SETUP!$D$19:$D$503=D25),0))))=3,(SUMPRODUCT(('C19RM 2021-Lab &amp; Other HPS'!$A$121:$D$220=E25)*('C19RM 2021-Lab &amp; Other HPS'!$BH$121:$BH$220=BJ25)*('C19RM 2021-Lab &amp; Other HPS'!$BQ$121:$BQ$220)*(('C19RM 2021-Lab &amp; Other HPS'!$AG$121:$AG$220)))),IF((INDEX(SETUP!$G$19:$G$503,(MATCH(1,(SETUP!$B$19:$B$503=B25)*(SETUP!$D$19:$D$503=D25),0))))=2,(SUMPRODUCT(('C19RM 2021-Lab &amp; Other HPS'!$A$121:$D$220=E25)*('C19RM 2021-Lab &amp; Other HPS'!$BH$121:$BH$220=BJ25)*('C19RM 2021-Lab &amp; Other HPS'!$BQ$121:$BQ$220)*(('C19RM 2021-Lab &amp; Other HPS'!$AH$121:$AH$220)))),IF((INDEX(SETUP!$G$19:$G$503,(MATCH(1,(SETUP!$B$19:$B$503=B25)*(SETUP!$D$19:$D$503=D25),0))))=1,(SUMPRODUCT(('C19RM 2021-Lab &amp; Other HPS'!$A$121:$D$220=E25)*('C19RM 2021-Lab &amp; Other HPS'!$BH$121:$BH$220=BJ25)*('C19RM 2021-Lab &amp; Other HPS'!$BR$121:$BR$220)*(('C19RM 2021-Lab &amp; Other HPS'!$AL$121:$AL$220)))),0)))),0)))</f>
        <v>0</v>
      </c>
      <c r="AF25" s="359" cm="1">
        <f t="array" ref="AF25">IF((INDEX(SETUP!$F$19:$F$503,(MATCH(1,(SETUP!$B$19:$B$503=B25)*(SETUP!$D$19:$D$503=D25),0))))="Upfront",
(SUMPRODUCT(('C19RM 2021-Lab &amp; Other HPS'!$A$121:$D$220=E25)*('C19RM 2021-Lab &amp; Other HPS'!$BH$121:$BH$220=BJ25)*('C19RM 2021-Lab &amp; Other HPS'!$BR$121:$BR$220)*(('C19RM 2021-Lab &amp; Other HPS'!$AN$121:$AN$220)))),
(IF((INDEX(SETUP!$F$19:$F$503,(MATCH(1,(SETUP!$B$19:$B$503=B25)*(SETUP!$D$19:$D$503=D25),0))))="At delivery",
IF((INDEX(SETUP!$G$19:$G$503,(MATCH(1,(SETUP!$B$19:$B$503=B25)*(SETUP!$D$19:$D$503=D25),0))))=4,
(SUMPRODUCT(('C19RM 2021-Lab &amp; Other HPS'!$A$121:$D$220=E25)*('C19RM 2021-Lab &amp; Other HPS'!$BH$121:$BH$220=BJ25)*('C19RM 2021-Lab &amp; Other HPS'!$BQ$121:$BQ$220)*(('C19RM 2021-Lab &amp; Other HPS'!$AG$121:$AG$220)))),IF((INDEX(SETUP!$G$19:$G$503,(MATCH(1,(SETUP!$B$19:$B$503=B25)*(SETUP!$D$19:$D$503=D25),0))))=3,(SUMPRODUCT(('C19RM 2021-Lab &amp; Other HPS'!$A$121:$D$220=E25)*('C19RM 2021-Lab &amp; Other HPS'!$BH$121:$BH$220=BJ25)*('C19RM 2021-Lab &amp; Other HPS'!$BQ$121:$BQ$220)*(('C19RM 2021-Lab &amp; Other HPS'!$AH$121:$AH$220)))),IF((INDEX(SETUP!$G$19:$G$503,(MATCH(1,(SETUP!$B$19:$B$503=B25)*(SETUP!$D$19:$D$503=D25),0))))=2,(SUMPRODUCT(('C19RM 2021-Lab &amp; Other HPS'!$A$121:$D$220=E25)*('C19RM 2021-Lab &amp; Other HPS'!$BH$121:$BH$220=BJ25)*('C19RM 2021-Lab &amp; Other HPS'!$BR$121:$BR$220)*(('C19RM 2021-Lab &amp; Other HPS'!$AL$121:$AL$220)))),IF((INDEX(SETUP!$G$19:$G$503,(MATCH(1,(SETUP!$B$19:$B$503=B25)*(SETUP!$D$19:$D$503=D25),0))))=1,(SUMPRODUCT(('C19RM 2021-Lab &amp; Other HPS'!$A$121:$D$220=E25)*('C19RM 2021-Lab &amp; Other HPS'!$BH$121:$BH$220=BJ25)*('C19RM 2021-Lab &amp; Other HPS'!$BR$121:$BR$220)*(('C19RM 2021-Lab &amp; Other HPS'!$AM$121:$AM$220)))),0)))),0)))</f>
        <v>0</v>
      </c>
      <c r="AG25" s="359" cm="1">
        <f t="array" ref="AG25">IF((INDEX(SETUP!$F$19:$F$503,(MATCH(1,(SETUP!$B$19:$B$503=B25)*(SETUP!$D$19:$D$503=D25),0))))="Upfront",(SUMPRODUCT(('C19RM 2021-Lab &amp; Other HPS'!$A$121:$D$220=E25)*('C19RM 2021-Lab &amp; Other HPS'!$BH$121:$BH$220=BJ25)*('C19RM 2021-Lab &amp; Other HPS'!$BR$121:$BR$220)*(('C19RM 2021-Lab &amp; Other HPS'!$AO$121:$AO$220)))),(IF((INDEX(SETUP!$F$19:$F$503,(MATCH(1,(SETUP!$B$19:$B$503=B25)*(SETUP!$D$19:$D$503=D25),0))))="At delivery",IF((INDEX(SETUP!$G$19:$G$503,(MATCH(1,(SETUP!$B$19:$B$503=B25)*(SETUP!$D$19:$D$503=D25),0))))=4,(SUMPRODUCT(('C19RM 2021-Lab &amp; Other HPS'!$A$121:$D$220=E25)*('C19RM 2021-Lab &amp; Other HPS'!$BH$121:$BH$220=BJ25)*('C19RM 2021-Lab &amp; Other HPS'!$BQ$121:$BQ$220)*(('C19RM 2021-Lab &amp; Other HPS'!$AH$121:$AH$220)))),IF((INDEX(SETUP!$G$19:$G$503,(MATCH(1,(SETUP!$B$19:$B$503=B25)*(SETUP!$D$19:$D$503=D25),0))))=3,(SUMPRODUCT(('C19RM 2021-Lab &amp; Other HPS'!$A$121:$D$220=E25)*('C19RM 2021-Lab &amp; Other HPS'!$BH$121:$BH$220=BJ25)*('C19RM 2021-Lab &amp; Other HPS'!$BR$121:$BR$220)*(('C19RM 2021-Lab &amp; Other HPS'!$AL$121:$AL$220)))),IF((INDEX(SETUP!$G$19:$G$503,(MATCH(1,(SETUP!$B$19:$B$503=B25)*(SETUP!$D$19:$D$503=D25),0))))=2,(SUMPRODUCT(('C19RM 2021-Lab &amp; Other HPS'!$A$121:$D$220=E25)*('C19RM 2021-Lab &amp; Other HPS'!$BH$121:$BH$220=BJ25)*('C19RM 2021-Lab &amp; Other HPS'!$BR$121:$BR$220)*(('C19RM 2021-Lab &amp; Other HPS'!$AM$121:$AM$220)))),IF((INDEX(SETUP!$G$19:$G$503,(MATCH(1,(SETUP!$B$19:$B$503=B25)*(SETUP!$D$19:$D$503=D25),0))))=1,(SUMPRODUCT(('C19RM 2021-Lab &amp; Other HPS'!$A$121:$D$220=E25)*('C19RM 2021-Lab &amp; Other HPS'!$BH$121:$BH$220=BJ25)*('C19RM 2021-Lab &amp; Other HPS'!$BR$121:$BR$220)*(('C19RM 2021-Lab &amp; Other HPS'!$AN$121:$AN$220)))),0)))),0)))</f>
        <v>0</v>
      </c>
      <c r="AH25" s="359" cm="1">
        <f t="array" ref="AH25">IF((INDEX(SETUP!$F$19:$F$503,(MATCH(1,(SETUP!$B$19:$B$503=B25)*(SETUP!$D$19:$D$503=D25),0))))="Upfront",
(SUMPRODUCT(('C19RM 2021-Lab &amp; Other HPS'!$A$121:$D$220=E25)*('C19RM 2021-Lab &amp; Other HPS'!$BH$121:$BH$220=BJ25)*('C19RM 2021-Lab &amp; Other HPS'!$BS$121:$BS$220)*(('C19RM 2021-Lab &amp; Other HPS'!$AS$121:$AS$220)))),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HPS'!$AL$121:$AL$220)))),IF((INDEX(SETUP!$G$19:$G$503,(MATCH(1,(SETUP!$B$19:$B$503=B25)*(SETUP!$D$19:$D$503=D25),0))))=3,((SUMPRODUCT(('C19RM 2021-Lab &amp; Other HPS'!$A$121:$D$220=E25)*('C19RM 2021-Lab &amp; Other HPS'!$BH$121:$BH$220=BJ25)*('C19RM 2021-Lab &amp; Other HPS'!$BR$121:$BR$220)*(('C19RM 2021-Lab &amp; Other HPS'!$AM$121:$AM$220))))),IF((INDEX(SETUP!$G$19:$G$503,(MATCH(1,(SETUP!$B$19:$B$503=B25)*(SETUP!$D$19:$D$503=D25),0))))=2,(SUMPRODUCT(('C19RM 2021-Lab &amp; Other HPS'!$A$121:$D$220=E25)*('C19RM 2021-Lab &amp; Other HPS'!$BH$121:$BH$220=BJ25)*('C19RM 2021-Lab &amp; Other HPS'!$BR$121:$BR$220)*(('C19RM 2021-Lab &amp; Other HPS'!$AN$121:$AN$220)))),IF((INDEX(SETUP!$G$19:$G$503,(MATCH(1,(SETUP!$B$19:$B$503=B25)*(SETUP!$D$19:$D$503=D25),0))))=1,(SUMPRODUCT(('C19RM 2021-Lab &amp; Other HPS'!$A$121:$D$220=E25)*('C19RM 2021-Lab &amp; Other HPS'!$BH$121:$BH$220=BJ25)*('C19RM 2021-Lab &amp; Other HPS'!$BR$121:$BR$220)*(('C19RM 2021-Lab &amp; Other HPS'!$AO$121:$AO$220)))),0)))),0)))</f>
        <v>0</v>
      </c>
      <c r="AI25" s="359" cm="1">
        <f t="array" ref="AI25">IF((INDEX(SETUP!$F$19:$F$503,(MATCH(1,(SETUP!$B$19:$B$503=B25)*(SETUP!$D$19:$D$503=D25),0))))="Upfront",
(SUMPRODUCT(('C19RM 2021-Lab &amp; Other HPS'!$A$121:$D$220=E25)*('C19RM 2021-Lab &amp; Other HPS'!$BH$121:$BH$220=BJ25)*('C19RM 2021-Lab &amp; Other HPS'!$BS$121:$BS$220)*(('C19RM 2021-Lab &amp; Other HPS'!$AT$121:$AT$220)))),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HPS'!$AM$121:$AM$220)))),IF((INDEX(SETUP!$G$19:$G$503,(MATCH(1,(SETUP!$B$19:$B$503=B25)*(SETUP!$D$19:$D$503=D25),0))))=3,((SUMPRODUCT(('C19RM 2021-Lab &amp; Other HPS'!$A$121:$D$220=E25)*('C19RM 2021-Lab &amp; Other HPS'!$BH$121:$BH$220=BJ25)*('C19RM 2021-Lab &amp; Other HPS'!$BR$121:$BR$220)*(('C19RM 2021-Lab &amp; Other HPS'!$AN$121:$AN$220))))),IF((INDEX(SETUP!$G$19:$G$503,(MATCH(1,(SETUP!$B$19:$B$503=B25)*(SETUP!$D$19:$D$503=D25),0))))=2,(SUMPRODUCT(('C19RM 2021-Lab &amp; Other HPS'!$A$121:$D$220=E25)*('C19RM 2021-Lab &amp; Other HPS'!$BH$121:$BH$220=BJ25)*('C19RM 2021-Lab &amp; Other HPS'!$BR$121:$BR$220)*(('C19RM 2021-Lab &amp; Other HPS'!$AO$121:$AO$220)))),IF((INDEX(SETUP!$G$19:$G$503,(MATCH(1,(SETUP!$B$19:$B$503=B25)*(SETUP!$D$19:$D$503=D25),0))))=1,(SUMPRODUCT(('C19RM 2021-Lab &amp; Other HPS'!$A$121:$D$220=E25)*('C19RM 2021-Lab &amp; Other HPS'!$BH$121:$BH$220=BJ25)*('C19RM 2021-Lab &amp; Other HPS'!$BS$121:$BS$220)*(('C19RM 2021-Lab &amp; Other HPS'!$AS$121:$AS$220)))),0)))),0)))</f>
        <v>0</v>
      </c>
      <c r="AJ25" s="359" cm="1">
        <f t="array" ref="AJ25">IF((INDEX(SETUP!$F$19:$F$503,(MATCH(1,(SETUP!$B$19:$B$503=B25)*(SETUP!$D$19:$D$503=D25),0))))="Upfront",
(SUMPRODUCT(('C19RM 2021-Lab &amp; Other HPS'!$A$121:$D$220=E25)*('C19RM 2021-Lab &amp; Other HPS'!$BH$121:$BH$220=BJ25)*('C19RM 2021-Lab &amp; Other HPS'!$BS$121:$BS$220)*(('C19RM 2021-Lab &amp; Other HPS'!$AU$121:$AU$220)))),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HPS'!$AN$121:$AN$220)))),IF((INDEX(SETUP!$G$19:$G$503,(MATCH(1,(SETUP!$B$19:$B$503=B25)*(SETUP!$D$19:$D$503=D25),0))))=3,((SUMPRODUCT(('C19RM 2021-Lab &amp; Other HPS'!$A$121:$D$220=E25)*('C19RM 2021-Lab &amp; Other HPS'!$BH$121:$BH$220=BJ25)*('C19RM 2021-Lab &amp; Other HPS'!$BR$121:$BR$220)*(('C19RM 2021-Lab &amp; Other HPS'!$AO$121:$AO$220))))),IF((INDEX(SETUP!$G$19:$G$503,(MATCH(1,(SETUP!$B$19:$B$503=B25)*(SETUP!$D$19:$D$503=D25),0))))=2,(SUMPRODUCT(('C19RM 2021-Lab &amp; Other HPS'!$A$121:$D$220=E25)*('C19RM 2021-Lab &amp; Other HPS'!$BH$121:$BH$220=BJ25)*('C19RM 2021-Lab &amp; Other HPS'!$BS$121:$BS$220)*(('C19RM 2021-Lab &amp; Other HPS'!$AS$121:$AS$220)))),IF((INDEX(SETUP!$G$19:$G$503,(MATCH(1,(SETUP!$B$19:$B$503=B25)*(SETUP!$D$19:$D$503=D25),0))))=1,(SUMPRODUCT(('C19RM 2021-Lab &amp; Other HPS'!$A$121:$D$220=E25)*('C19RM 2021-Lab &amp; Other HPS'!$BH$121:$BH$220=BJ25)*('C19RM 2021-Lab &amp; Other HPS'!$BS$121:$BS$220)*(('C19RM 2021-Lab &amp; Other HPS'!$AT$121:$AT$220)))),0)))),0)))</f>
        <v>0</v>
      </c>
      <c r="AK25" s="359" cm="1">
        <f t="array" ref="AK25">IF((INDEX(SETUP!$F$19:$F$503,(MATCH(1,(SETUP!$B$19:$B$503=B25)*(SETUP!$D$19:$D$503=D25),0))))="Upfront",
(SUMPRODUCT(('C19RM 2021-Lab &amp; Other HPS'!$A$121:$D$220=E25)*('C19RM 2021-Lab &amp; Other HPS'!$BH$121:$BH$220=BJ25)*('C19RM 2021-Lab &amp; Other HPS'!$BS$121:$BS$220)*(('C19RM 2021-Lab &amp; Other HPS'!$AV$121:$AV$220)))),
(IF((INDEX(SETUP!$F$19:$F$503,(MATCH(1,(SETUP!$B$19:$B$503=B25)*(SETUP!$D$19:$D$503=D25),0))))="At delivery",
IF((INDEX(SETUP!$G$19:$G$503,(MATCH(1,(SETUP!$B$19:$B$503=B25)*(SETUP!$D$19:$D$503=D25),0))))=4,
(SUMPRODUCT(('C19RM 2021-Lab &amp; Other HPS'!$A$121:$D$220=E25)*('C19RM 2021-Lab &amp; Other HPS'!$BH$121:$BH$220=BJ25)*('C19RM 2021-Lab &amp; Other HPS'!$BR$121:$BR$220)*(('C19RM 2021-Lab &amp; Other HPS'!$AO$121:$AO$220)))),IF((INDEX(SETUP!$G$19:$G$503,(MATCH(1,(SETUP!$B$19:$B$503=B25)*(SETUP!$D$19:$D$503=D25),0))))=3,((SUMPRODUCT(('C19RM 2021-Lab &amp; Other HPS'!$A$121:$D$220=E25)*('C19RM 2021-Lab &amp; Other HPS'!$BH$121:$BH$220=BJ25)*('C19RM 2021-Lab &amp; Other HPS'!$BS$121:$BS$220)*(('C19RM 2021-Lab &amp; Other HPS'!$AS$121:$AS$220))))),IF((INDEX(SETUP!$G$19:$G$503,(MATCH(1,(SETUP!$B$19:$B$503=B25)*(SETUP!$D$19:$D$503=D25),0))))=2,(SUMPRODUCT(('C19RM 2021-Lab &amp; Other HPS'!$A$121:$D$220=E25)*('C19RM 2021-Lab &amp; Other HPS'!$BH$121:$BH$220=BJ25)*('C19RM 2021-Lab &amp; Other HPS'!$BS$121:$BS$220)*(('C19RM 2021-Lab &amp; Other HPS'!$AT$121:$AT$220)))),IF((INDEX(SETUP!$G$19:$G$503,(MATCH(1,(SETUP!$B$19:$B$503=B25)*(SETUP!$D$19:$D$503=D25),0))))=1,(SUMPRODUCT(('C19RM 2021-Lab &amp; Other HPS'!$A$121:$D$220=E25)*('C19RM 2021-Lab &amp; Other HPS'!$BH$121:$BH$220=BJ25)*('C19RM 2021-Lab &amp; Other HPS'!$BS$121:$BS$220)*(('C19RM 2021-Lab &amp; Other HPS'!$AU$121:$AU$220)))),0)))),0)))</f>
        <v>0</v>
      </c>
      <c r="AL25" s="359" cm="1">
        <f t="array" ref="AL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HPS'!$AS$121:$AS$220)))),IF((INDEX(SETUP!$G$19:$G$503,(MATCH(1,(SETUP!$B$19:$B$503=B25)*(SETUP!$D$19:$D$503=D25),0))))=3,(SUMPRODUCT(('C19RM 2021-Lab &amp; Other HPS'!$A$121:$D$220=E25)*('C19RM 2021-Lab &amp; Other HPS'!$BH$121:$BH$220=BJ25)*('C19RM 2021-Lab &amp; Other HPS'!$BS$121:$BS$220)*(('C19RM 2021-Lab &amp; Other HPS'!$AT$121:$AT$220)))),IF((INDEX(SETUP!$G$19:$G$503,(MATCH(1,(SETUP!$B$19:$B$503=B25)*(SETUP!$D$19:$D$503=D25),0))))=2,(SUMPRODUCT(('C19RM 2021-Lab &amp; Other HPS'!$A$121:$D$220=E25)*('C19RM 2021-Lab &amp; Other HPS'!$BH$121:$BH$220=BJ25)*('C19RM 2021-Lab &amp; Other HPS'!$BS$121:$BS$220)*(('C19RM 2021-Lab &amp; Other HPS'!$AU$121:$AU$220)))),
IF((INDEX(SETUP!$G$19:$G$503,(MATCH(1,(SETUP!$B$19:$B$503=B25)*(SETUP!$D$19:$D$503=D25),0))))=1,
(SUMPRODUCT(('C19RM 2021-Lab &amp; Other HPS'!$A$121:$D$220=E25)*('C19RM 2021-Lab &amp; Other HPS'!$BH$121:$BH$220=BJ25)*('C19RM 2021-Lab &amp; Other HPS'!$BS$121:$BS$220)*(('C19RM 2021-Lab &amp; Other HPS'!$AV$121:$AV$220)))),0)))),0)))</f>
        <v>0</v>
      </c>
      <c r="AM25" s="359" cm="1">
        <f t="array" ref="AM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HPS'!$AT$121:$AT$220)))),IF((INDEX(SETUP!$G$19:$G$503,(MATCH(1,(SETUP!$B$19:$B$503=B25)*(SETUP!$D$19:$D$503=D25),0))))=3,(SUMPRODUCT(('C19RM 2021-Lab &amp; Other HPS'!$A$121:$D$220=E25)*('C19RM 2021-Lab &amp; Other HPS'!$BH$121:$BH$220=BJ25)*('C19RM 2021-Lab &amp; Other HPS'!$BS$121:$BS$220)*(('C19RM 2021-Lab &amp; Other HPS'!$AU$121:$AU$220)))),IF((INDEX(SETUP!$G$19:$G$503,(MATCH(1,(SETUP!$B$19:$B$503=B25)*(SETUP!$D$19:$D$503=D25),0))))=2,(SUMPRODUCT(('C19RM 2021-Lab &amp; Other HPS'!$A$121:$D$220=E25)*('C19RM 2021-Lab &amp; Other HPS'!$BH$121:$BH$220=BJ25)*('C19RM 2021-Lab &amp; Other HPS'!$BS$121:$BS$220)*(('C19RM 2021-Lab &amp; Other HPS'!$AV$121:$AV$220)))),IF((INDEX(SETUP!$G$19:$G$503,(MATCH(1,(SETUP!$B$19:$B$503=B25)*(SETUP!$D$19:$D$503=D25),0))))=1,(0),0)))),0)))</f>
        <v>0</v>
      </c>
      <c r="AN25" s="359" cm="1">
        <f t="array" ref="AN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HPS'!$AU$121:$AU$220)))),IF((INDEX(SETUP!$G$19:$G$503,(MATCH(1,(SETUP!$B$19:$B$503=B25)*(SETUP!$D$19:$D$503=D25),0))))=3,(SUMPRODUCT(('C19RM 2021-Lab &amp; Other HPS'!$A$121:$D$220=E25)*('C19RM 2021-Lab &amp; Other HPS'!$BH$121:$BH$220=BJ25)*('C19RM 2021-Lab &amp; Other HPS'!$BS$121:$BS$220)*(('C19RM 2021-Lab &amp; Other HPS'!$AV$121:$AV$220)))),IF((INDEX(SETUP!$G$19:$G$503,(MATCH(1,(SETUP!$B$19:$B$503=B25)*(SETUP!$D$19:$D$503=D25),0))))=2,(0),IF((INDEX(SETUP!$G$19:$G$503,(MATCH(1,(SETUP!$B$19:$B$503=B25)*(SETUP!$D$19:$D$503=D25),0))))=1,(0),0)))),0)))</f>
        <v>0</v>
      </c>
      <c r="AO25" s="359" cm="1">
        <f t="array" ref="AO25">IF((INDEX(SETUP!$F$19:$F$503,(MATCH(1,(SETUP!$B$19:$B$503=B25)*(SETUP!$D$19:$D$503=D25),0))))="Upfront",0,(IF((INDEX(SETUP!$F$19:$F$503,(MATCH(1,(SETUP!$B$19:$B$503=B25)*(SETUP!$D$19:$D$503=D25),0))))="At delivery",IF((INDEX(SETUP!$G$19:$G$503,(MATCH(1,(SETUP!$B$19:$B$503=B25)*(SETUP!$D$19:$D$503=D25),0))))=4,(SUMPRODUCT(('C19RM 2021-Lab &amp; Other HPS'!$A$121:$D$220=E25)*('C19RM 2021-Lab &amp; Other HPS'!$BH$121:$BH$220=BJ25)*('C19RM 2021-Lab &amp; Other HPS'!$BS$121:$BS$220)*(('C19RM 2021-Lab &amp; Other HPS'!$AV$121:$AV$220)))),IF((INDEX(SETUP!$G$19:$G$503,(MATCH(1,(SETUP!$B$19:$B$503=B25)*(SETUP!$D$19:$D$503=D25),0))))=3,(0),IF((INDEX(SETUP!$G$19:$G$503,(MATCH(1,(SETUP!$B$19:$B$503=B25)*(SETUP!$D$19:$D$503=D25),0))))=2,(0),IF((INDEX(SETUP!$G$19:$G$503,(MATCH(1,(SETUP!$B$19:$B$503=B25)*(SETUP!$D$19:$D$503=D25),0))))=1,(0),0)))),0)))</f>
        <v>0</v>
      </c>
      <c r="AP25" s="359"/>
      <c r="AQ25" s="359"/>
      <c r="AR25" s="359"/>
      <c r="AS25" s="359"/>
      <c r="AT25" s="359" cm="1">
        <f t="array" ref="AT25">IF(BG25&gt;=1,0,IFERROR(SUMPRODUCT(($R$2:$AO$2=$AT$4)*($E$5:$E$100=E25)*($BC$5:$BC$100=BC25)*($R$5:$AO$100)),0))</f>
        <v>0</v>
      </c>
      <c r="AU25" s="359" cm="1">
        <f t="array" ref="AU25">IF(BG25&gt;=1,0,IFERROR(SUMPRODUCT(($R$2:$AO$2=$AU$4)*($E$5:$E$100=E25)*($BC$5:$BC$100=BC25)*($R$5:$AO$100)),0))</f>
        <v>0</v>
      </c>
      <c r="AV25" s="359" cm="1">
        <f t="array" ref="AV25">IF(BG25&gt;=1,0,IFERROR(SUMPRODUCT(($R$2:$AO$2=$AV$4)*($E$5:$E$100=E25)*($BC$5:$BC$100=BC25)*($R$5:$AO$100)),0))</f>
        <v>0</v>
      </c>
      <c r="AW25" s="359" cm="1">
        <f t="array" ref="AW25">IF(BG25&gt;=1,0,IFERROR(SUMPRODUCT(($R$2:$AO$2=$AW$4)*($E$5:$E$100=E25)*($BC$5:$BC$100=BC25)*($R$5:$AO$100)),0))</f>
        <v>0</v>
      </c>
      <c r="AX25" s="359" cm="1">
        <f t="array" ref="AX25">IF(BG25&gt;=1,0,IFERROR(SUMPRODUCT(($R$2:$AO$2=$AX$4)*($E$5:$E$100=E25)*($BC$5:$BC$100=BC25)*($R$5:$AO$100)),0))</f>
        <v>0</v>
      </c>
      <c r="AY25" s="359">
        <f t="shared" si="5"/>
        <v>0</v>
      </c>
      <c r="AZ25" s="359"/>
      <c r="BA25" s="233">
        <f t="shared" si="6"/>
        <v>0</v>
      </c>
      <c r="BB25" s="220" t="s">
        <v>83</v>
      </c>
      <c r="BC25" t="s">
        <v>182</v>
      </c>
      <c r="BD25" cm="1">
        <f t="array" ref="BD25">(SUMPRODUCT(('C19RM 2021-Lab &amp; Other HPS'!$A$14:$D$650=E25)*('C19RM 2021-Lab &amp; Other HPS'!$BU$14:$BU$650)))</f>
        <v>0</v>
      </c>
      <c r="BE25" cm="1">
        <f t="array" ref="BE25">(SUMPRODUCT((SETUP!$D$20:$D$67=D25)*(SETUP!$R$20:$R$67)))</f>
        <v>0</v>
      </c>
      <c r="BF25" cm="1">
        <f t="array" ref="BF25">(SUMPRODUCT(('C19RM 2021-Lab &amp; Other HPS'!$A$14:$D$650=E25)*('C19RM 2021-Lab &amp; Other HPS'!$BV$14:$BV$650)))</f>
        <v>0</v>
      </c>
      <c r="BG25">
        <f t="shared" si="25"/>
        <v>0</v>
      </c>
      <c r="BJ25" s="235">
        <v>6.5</v>
      </c>
    </row>
    <row r="26" spans="1:62" x14ac:dyDescent="0.35">
      <c r="A26" s="235">
        <v>2</v>
      </c>
      <c r="B26" s="220" t="s">
        <v>2750</v>
      </c>
      <c r="C26" s="235" t="s">
        <v>3193</v>
      </c>
      <c r="D26" s="235" t="s">
        <v>21</v>
      </c>
      <c r="E26" s="235" t="s">
        <v>2760</v>
      </c>
      <c r="F26" s="220">
        <f>SETUP!$E$3</f>
        <v>0</v>
      </c>
      <c r="G26" s="220" t="str">
        <f ca="1">SETUP!$J$5</f>
        <v>NA</v>
      </c>
      <c r="H26" s="220" t="str">
        <f>SETUP!$E$9</f>
        <v>C19RM</v>
      </c>
      <c r="I26" s="232">
        <f t="shared" si="22"/>
        <v>44197</v>
      </c>
      <c r="J26" s="232">
        <f>SETUP!$L$14</f>
        <v>46022</v>
      </c>
      <c r="K26" s="220">
        <f>IFERROR(VLOOKUP(E26,'Master Data-C19RM'!$A$5:$B$35,2,0),0)</f>
        <v>0</v>
      </c>
      <c r="L26">
        <f t="shared" si="23"/>
        <v>0</v>
      </c>
      <c r="M26">
        <f>SETUP!$E$7</f>
        <v>0</v>
      </c>
      <c r="N26">
        <f>SETUP!$F$76</f>
        <v>6.1</v>
      </c>
      <c r="O26" t="str" cm="1">
        <f t="array" ref="O26">INDEX(SETUP!$E$19:$E$503,(MATCH(1,(SETUP!$B$19:$B$503=B26)*(SETUP!$D$19:$D$503=D26),0)))</f>
        <v>PR/SR</v>
      </c>
      <c r="P26" t="str" cm="1">
        <f t="array" ref="P26">INDEX(SETUP!$F$19:$F$503,(MATCH(1,(SETUP!$B$19:$B$503=B26)*(SETUP!$D$19:$D$503=D26),0)))</f>
        <v>At delivery</v>
      </c>
      <c r="Q26" cm="1">
        <f t="array" ref="Q26">INDEX(SETUP!$G$19:$G$503,(MATCH(1,(SETUP!$B$19:$B$503=B26)*(SETUP!$D$19:$D$503=D26),0)))</f>
        <v>1</v>
      </c>
      <c r="R26" s="359" cm="1">
        <f t="array" ref="R26">IF((INDEX(SETUP!$F$19:$F$503,(MATCH(1,(SETUP!$B$19:$B$503=B26)*(SETUP!$D$19:$D$503=D26),0))))="Upfront",(SUMPRODUCT(('C19RM 2021-Lab &amp; Other HPS'!$A$121:$D$220=E26)*('C19RM 2021-Lab &amp; Other HPS'!$BH$121:$BH$220=BJ26)*('C19RM 2021-Lab &amp; Other HPS'!$BO$121:$BO$220)*(('C19RM 2021-Lab &amp; Other HPS'!$Q$121:$Q$220)))),0)</f>
        <v>0</v>
      </c>
      <c r="S26" s="359" cm="1">
        <f t="array" ref="S26">IF((INDEX(SETUP!$F$19:$F$503,(MATCH(1,(SETUP!$B$19:$B$503=B26)*(SETUP!$D$19:$D$503=D26),0))))="Upfront",(SUMPRODUCT(('C19RM 2021-Lab &amp; Other HPS'!$A$121:$D$220=E26)*('C19RM 2021-Lab &amp; Other HPS'!$BH$121:$BH$220=BJ26)*('C19RM 2021-Lab &amp; Other HPS'!$BO$121:$BO$220)*(('C19RM 2021-Lab &amp; Other HPS'!$R$121:$R$220)))),(IF((INDEX(SETUP!$F$19:$F$503,(MATCH(1,(SETUP!$B$19:$B$503=B26)*(SETUP!$D$19:$D$503=D26),0))))="At delivery",IF((INDEX(SETUP!$G$19:$G$503,(MATCH(1,(SETUP!$B$19:$B$503=B26)*(SETUP!$D$19:$D$503=D26),0))))=1,(SUMPRODUCT(('C19RM 2021-Lab &amp; Other HPS'!$A$121:$D$220=E26)*('C19RM 2021-Lab &amp; Other HPS'!$BH$121:$BH$220=BJ26)*('C19RM 2021-Lab &amp; Other HPS'!$BO$121:$BO$220)*(('C19RM 2021-Lab &amp; Other HPS'!$Q$121:$Q$220)))),0),0)))</f>
        <v>0</v>
      </c>
      <c r="T26" s="359" cm="1">
        <f t="array" ref="T26">IF((INDEX(SETUP!$F$19:$F$503,(MATCH(1,(SETUP!$B$19:$B$503=B26)*(SETUP!$D$19:$D$503=D26),0))))="Upfront",(SUMPRODUCT(('C19RM 2021-Lab &amp; Other HPS'!$A$121:$D$220=E26)*('C19RM 2021-Lab &amp; Other HPS'!$BH$121:$BH$220=BJ26)*('C19RM 2021-Lab &amp; Other HPS'!$BO$121:$BO$220)*(('C19RM 2021-Lab &amp; Other HPS'!$S$121:$S$220)))),(IF((INDEX(SETUP!$F$19:$F$503,(MATCH(1,(SETUP!$B$19:$B$503=B26)*(SETUP!$D$19:$D$503=D26),0))))="At delivery",IF((INDEX(SETUP!$G$19:$G$503,(MATCH(1,(SETUP!$B$19:$B$503=B26)*(SETUP!$D$19:$D$503=D26),0))))=2,(SUMPRODUCT(('C19RM 2021-Lab &amp; Other HPS'!$A$121:$D$220=E26)*('C19RM 2021-Lab &amp; Other HPS'!$BH$121:$BH$220=BJ26)*('C19RM 2021-Lab &amp; Other HPS'!$BO$121:$BO$220)*(('C19RM 2021-Lab &amp; Other HPS'!$Q$121:$Q$220)))),IF((INDEX(SETUP!$G$19:$G$503,(MATCH(1,(SETUP!$B$19:$B$503=B26)*(SETUP!$D$19:$D$503=D26),0))))=1,(SUMPRODUCT(('C19RM 2021-Lab &amp; Other HPS'!$A$121:$D$220=E26)*('C19RM 2021-Lab &amp; Other HPS'!$BH$121:$BH$220=BJ26)*('C19RM 2021-Lab &amp; Other HPS'!$BO$121:$BO$220)*(('C19RM 2021-Lab &amp; Other HPS'!$R$121:$R$220)))),0)),0)))</f>
        <v>0</v>
      </c>
      <c r="U26" s="359" cm="1">
        <f t="array" ref="U26">IF((INDEX(SETUP!$F$19:$F$503,(MATCH(1,(SETUP!$B$19:$B$503=B26)*(SETUP!$D$19:$D$503=D26),0))))="Upfront",(SUMPRODUCT(('C19RM 2021-Lab &amp; Other HPS'!$A$121:$D$220=E26)*('C19RM 2021-Lab &amp; Other HPS'!$BH$121:$BH$220=BJ26)*('C19RM 2021-Lab &amp; Other HPS'!$BO$121:$BO$220)*(('C19RM 2021-Lab &amp; Other HPS'!$T$121:$T$220)))),(IF((INDEX(SETUP!$F$19:$F$503,(MATCH(1,(SETUP!$B$19:$B$503=B26)*(SETUP!$D$19:$D$503=D26),0))))="At delivery",IF((INDEX(SETUP!$G$19:$G$503,(MATCH(1,(SETUP!$B$19:$B$503=B26)*(SETUP!$D$19:$D$503=D26),0))))=3,(SUMPRODUCT(('C19RM 2021-Lab &amp; Other HPS'!$A$121:$D$220=E26)*('C19RM 2021-Lab &amp; Other HPS'!$BH$121:$BH$220=BJ26)*('C19RM 2021-Lab &amp; Other HPS'!$BO$121:$BO$220)*(('C19RM 2021-Lab &amp; Other HPS'!$Q$121:$Q$220)))),IF((INDEX(SETUP!$G$19:$G$503,(MATCH(1,(SETUP!$B$19:$B$503=B26)*(SETUP!$D$19:$D$503=D26),0))))=2,(SUMPRODUCT(('C19RM 2021-Lab &amp; Other HPS'!$A$121:$D$220=E26)*('C19RM 2021-Lab &amp; Other HPS'!$BH$121:$BH$220=BJ26)*('C19RM 2021-Lab &amp; Other HPS'!$BO$121:$BO$220)*(('C19RM 2021-Lab &amp; Other HPS'!$R$121:$R$220)))),IF((INDEX(SETUP!$G$19:$G$503,(MATCH(1,(SETUP!$B$19:$B$503=B26)*(SETUP!$D$19:$D$503=D26),0))))=1,(SUMPRODUCT(('C19RM 2021-Lab &amp; Other HPS'!$A$121:$D$220=E26)*('C19RM 2021-Lab &amp; Other HPS'!$BH$121:$BH$220=BJ26)*('C19RM 2021-Lab &amp; Other HPS'!$BO$121:$BO$220)*(('C19RM 2021-Lab &amp; Other HPS'!$S$121:$S$220)))),0))),0)))</f>
        <v>0</v>
      </c>
      <c r="V26" s="359" cm="1">
        <f t="array" ref="V26">IF((INDEX(SETUP!$F$19:$F$503,(MATCH(1,(SETUP!$B$19:$B$503=B26)*(SETUP!$D$19:$D$503=D26),0))))="Upfront",(SUMPRODUCT(('C19RM 2021-Lab &amp; Other HPS'!$A$121:$D$220=E26)*('C19RM 2021-Lab &amp; Other HPS'!$BH$121:$BH$220=BJ26)*('C19RM 2021-Lab &amp; Other HPS'!$BP$121:$BP$220)*(('C19RM 2021-Lab &amp; Other HPS'!$X$121:$X$220)))),(IF((INDEX(SETUP!$F$19:$F$503,(MATCH(1,(SETUP!$B$19:$B$503=B26)*(SETUP!$D$19:$D$503=D26),0))))="At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HPS'!$Q$121:$Q$220)))),IF((INDEX(SETUP!$G$19:$G$503,(MATCH(1,(SETUP!$B$19:$B$503=B26)*(SETUP!$D$19:$D$503=D26),0))))=3,(SUMPRODUCT(('C19RM 2021-Lab &amp; Other HPS'!$A$121:$D$220=E26)*('C19RM 2021-Lab &amp; Other HPS'!$BH$121:$BH$220=BJ26)*('C19RM 2021-Lab &amp; Other HPS'!$BO$121:$BO$220)*(('C19RM 2021-Lab &amp; Other HPS'!$R$121:$R$220)))),IF((INDEX(SETUP!$G$19:$G$503,(MATCH(1,(SETUP!$B$19:$B$503=B26)*(SETUP!$D$19:$D$503=D26),0))))=2,(SUMPRODUCT(('C19RM 2021-Lab &amp; Other HPS'!$A$121:$D$220=E26)*('C19RM 2021-Lab &amp; Other HPS'!$BH$121:$BH$220=BJ26)*('C19RM 2021-Lab &amp; Other HPS'!$BO$121:$BO$220)*(('C19RM 2021-Lab &amp; Other HPS'!$S$121:$S$220)))),IF((INDEX(SETUP!$G$19:$G$503,(MATCH(1,(SETUP!$B$19:$B$503=B26)*(SETUP!$D$19:$D$503=D26),0))))=1,(SUMPRODUCT(('C19RM 2021-Lab &amp; Other HPS'!$A$121:$D$220=E26)*('C19RM 2021-Lab &amp; Other HPS'!$BH$121:$BH$220=BJ26)*('C19RM 2021-Lab &amp; Other HPS'!$BO$121:$BO$220)*(('C19RM 2021-Lab &amp; Other HPS'!$T$121:$T$220)))),0)))),0)))</f>
        <v>0</v>
      </c>
      <c r="W26" s="359" cm="1">
        <f t="array" ref="W26">IF((INDEX(SETUP!$F$19:$F$503,(MATCH(1,(SETUP!$B$19:$B$503=B26)*(SETUP!$D$19:$D$503=D26),0))))="Upfront",(SUMPRODUCT(('C19RM 2021-Lab &amp; Other HPS'!$A$121:$D$220=E26)*('C19RM 2021-Lab &amp; Other HPS'!$BH$121:$BH$220=BJ26)*('C19RM 2021-Lab &amp; Other HPS'!$BP$121:$BP$220)*(('C19RM 2021-Lab &amp; Other HPS'!$Y$121:$Y$220)))),(IF((INDEX(SETUP!$F$19:$F$503,(MATCH(1,(SETUP!$B$19:$B$503=B26)*(SETUP!$D$19:$D$503=D26),0))))="At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HPS'!$R$121:$R$220)))),IF((INDEX(SETUP!$G$19:$G$503,(MATCH(1,(SETUP!$B$19:$B$503=B26)*(SETUP!$D$19:$D$503=D26),0))))=3,(SUMPRODUCT(('C19RM 2021-Lab &amp; Other HPS'!$A$121:$D$220=E26)*('C19RM 2021-Lab &amp; Other HPS'!$BH$121:$BH$220=BJ26)*('C19RM 2021-Lab &amp; Other HPS'!$BO$121:$BO$220)*(('C19RM 2021-Lab &amp; Other HPS'!$S$121:$S$220)))),IF((INDEX(SETUP!$G$19:$G$503,(MATCH(1,(SETUP!$B$19:$B$503=B26)*(SETUP!$D$19:$D$503=D26),0))))=2,((SUMPRODUCT(('C19RM 2021-Lab &amp; Other HPS'!$A$121:$D$220=E26)*('C19RM 2021-Lab &amp; Other HPS'!$BH$121:$BH$220=BJ26)*('C19RM 2021-Lab &amp; Other HPS'!$BO$121:$BO$220)*(('C19RM 2021-Lab &amp; Other HPS'!$T$121:$T$220))))),IF((INDEX(SETUP!$G$19:$G$503,(MATCH(1,(SETUP!$B$19:$B$503=B26)*(SETUP!$D$19:$D$503=D26),0))))=1,(SUMPRODUCT(('C19RM 2021-Lab &amp; Other HPS'!$A$121:$D$220=E26)*('C19RM 2021-Lab &amp; Other HPS'!$BH$121:$BH$220=BJ26)*('C19RM 2021-Lab &amp; Other HPS'!$BP$121:$BP$220)*(('C19RM 2021-Lab &amp; Other HPS'!$X$121:$X$220)))),0)))),0)))</f>
        <v>0</v>
      </c>
      <c r="X26" s="359" cm="1">
        <f t="array" ref="X26">IF((INDEX(SETUP!$F$19:$F$503,(MATCH(1,(SETUP!$B$19:$B$503=B26)*(SETUP!$D$19:$D$503=D26),0))))="Upfront",(SUMPRODUCT(('C19RM 2021-Lab &amp; Other HPS'!$A$121:$D$220=E26)*('C19RM 2021-Lab &amp; Other HPS'!$BH$121:$BH$220=BJ26)*('C19RM 2021-Lab &amp; Other HPS'!$BP$121:$BP$220)*(('C19RM 2021-Lab &amp; Other HPS'!$Z$121:$Z$220)))),(IF((INDEX(SETUP!$F$19:$F$503,(MATCH(1,(SETUP!$B$19:$B$503=B26)*(SETUP!$D$19:$D$503=D26),0))))="At delivery",IF((INDEX(SETUP!$G$19:$G$503,(MATCH(1,(SETUP!$B$19:$B$503=B26)*(SETUP!$D$19:$D$503=D26),0))))=4,(SUMPRODUCT(('C19RM 2021-Lab &amp; Other HPS'!$A$121:$D$220=E26)*('C19RM 2021-Lab &amp; Other HPS'!$BH$121:$BH$220=BJ26)*('C19RM 2021-Lab &amp; Other HPS'!$BO$121:$BO$220)*(('C19RM 2021-Lab &amp; Other HPS'!$S$121:$S$220)))),IF((INDEX(SETUP!$G$19:$G$503,(MATCH(1,(SETUP!$B$19:$B$503=B26)*(SETUP!$D$19:$D$503=D26),0))))=3,((SUMPRODUCT(('C19RM 2021-Lab &amp; Other HPS'!$A$121:$D$220=E26)*('C19RM 2021-Lab &amp; Other HPS'!$BH$121:$BH$220=BJ26)*('C19RM 2021-Lab &amp; Other HPS'!$BO$121:$BO$220)*(('C19RM 2021-Lab &amp; Other HPS'!$T$121:$T$220))))),IF((INDEX(SETUP!$G$19:$G$503,(MATCH(1,(SETUP!$B$19:$B$503=B26)*(SETUP!$D$19:$D$503=D26),0))))=2,(SUMPRODUCT(('C19RM 2021-Lab &amp; Other HPS'!$A$121:$D$220=E26)*('C19RM 2021-Lab &amp; Other HPS'!$BH$121:$BH$220=BJ26)*('C19RM 2021-Lab &amp; Other HPS'!$BP$121:$BP$220)*(('C19RM 2021-Lab &amp; Other HPS'!$X$121:$X$220)))),IF((INDEX(SETUP!$G$19:$G$503,(MATCH(1,(SETUP!$B$19:$B$503=B26)*(SETUP!$D$19:$D$503=D26),0))))=1,(SUMPRODUCT(('C19RM 2021-Lab &amp; Other HPS'!$A$121:$D$220=E26)*('C19RM 2021-Lab &amp; Other HPS'!$BH$121:$BH$220=BJ26)*('C19RM 2021-Lab &amp; Other HPS'!$BP$121:$BP$220)*(('C19RM 2021-Lab &amp; Other HPS'!$Y$121:$Y$220)))),0)))),0)))</f>
        <v>0</v>
      </c>
      <c r="Y26" s="359" cm="1">
        <f t="array" ref="Y26">IF((INDEX(SETUP!$F$19:$F$503,(MATCH(1,(SETUP!$B$19:$B$503=B26)*(SETUP!$D$19:$D$503=D26),0))))="Upfront",
(SUMPRODUCT(('C19RM 2021-Lab &amp; Other HPS'!$A$121:$D$220=E26)*('C19RM 2021-Lab &amp; Other HPS'!$BH$121:$BH$220=BJ26)*('C19RM 2021-Lab &amp; Other HPS'!$BP$121:$BP$220)*(('C19RM 2021-Lab &amp; Other HPS'!$AA$121:$AA$220)))),
(IF((INDEX(SETUP!$F$19:$F$503,(MATCH(1,(SETUP!$B$19:$B$503=B26)*(SETUP!$D$19:$D$503=D26),0))))="At delivery",
IF((INDEX(SETUP!$G$19:$G$503,(MATCH(1,(SETUP!$B$19:$B$503=B26)*(SETUP!$D$19:$D$503=D26),0))))=4,
((SUMPRODUCT(('C19RM 2021-Lab &amp; Other HPS'!$A$121:$D$220=E26)*('C19RM 2021-Lab &amp; Other HPS'!$BH$121:$BH$220=BJ26)*('C19RM 2021-Lab &amp; Other HPS'!$BO$121:$BO$220)*(('C19RM 2021-Lab &amp; Other HPS'!$T$121:$T$220))))),IF((INDEX(SETUP!$G$19:$G$503,(MATCH(1,(SETUP!$B$19:$B$503=B26)*(SETUP!$D$19:$D$503=D26),0))))=3,(SUMPRODUCT(('C19RM 2021-Lab &amp; Other HPS'!$A$121:$D$220=E26)*('C19RM 2021-Lab &amp; Other HPS'!$BH$121:$BH$220=BJ26)*('C19RM 2021-Lab &amp; Other HPS'!$BP$121:$BP$220)*(('C19RM 2021-Lab &amp; Other HPS'!$X$121:$X$220)))),IF((INDEX(SETUP!$G$19:$G$503,(MATCH(1,(SETUP!$B$19:$B$503=B26)*(SETUP!$D$19:$D$503=D26),0))))=2,(SUMPRODUCT(('C19RM 2021-Lab &amp; Other HPS'!$A$121:$D$220=E26)*('C19RM 2021-Lab &amp; Other HPS'!$BH$121:$BH$220=BJ26)*('C19RM 2021-Lab &amp; Other HPS'!$BP$121:$BP$220)*(('C19RM 2021-Lab &amp; Other HPS'!$Y$121:$Y$220)))),IF((INDEX(SETUP!$G$19:$G$503,(MATCH(1,(SETUP!$B$19:$B$503=B26)*(SETUP!$D$19:$D$503=D26),0))))=1,(SUMPRODUCT(('C19RM 2021-Lab &amp; Other HPS'!$A$121:$D$220=E26)*('C19RM 2021-Lab &amp; Other HPS'!$BH$121:$BH$220=BJ26)*('C19RM 2021-Lab &amp; Other HPS'!$BP$121:$BP$220)*(('C19RM 2021-Lab &amp; Other HPS'!$Z$121:$Z$220)))),0)))),0)))</f>
        <v>0</v>
      </c>
      <c r="Z26" s="359" cm="1">
        <f t="array" ref="Z26">IF((INDEX(SETUP!$F$19:$F$503,(MATCH(1,(SETUP!$B$19:$B$503=B26)*(SETUP!$D$19:$D$503=D26),0))))="Upfront",(SUMPRODUCT(('C19RM 2021-Lab &amp; Other HPS'!$A$121:$D$220=E26)*('C19RM 2021-Lab &amp; Other HPS'!$BH$121:$BH$220=BJ26)*('C19RM 2021-Lab &amp; Other HPS'!$BQ$121:$BQ$220)*(('C19RM 2021-Lab &amp; Other HPS'!$AE$121:$AE$220)))),(IF((INDEX(SETUP!$F$19:$F$503,(MATCH(1,(SETUP!$B$19:$B$503=B26)*(SETUP!$D$19:$D$503=D26),0))))="At delivery",IF((INDEX(SETUP!$G$19:$G$503,(MATCH(1,(SETUP!$B$19:$B$503=B26)*(SETUP!$D$19:$D$503=D26),0))))=4,(SUMPRODUCT(('C19RM 2021-Lab &amp; Other HPS'!$A$121:$D$220=E26)*('C19RM 2021-Lab &amp; Other HPS'!$BH$121:$BH$220=BJ26)*('C19RM 2021-Lab &amp; Other HPS'!$BP$121:$BP$220)*(('C19RM 2021-Lab &amp; Other HPS'!$X$121:$X$220)))),IF((INDEX(SETUP!$G$19:$G$503,(MATCH(1,(SETUP!$B$19:$B$503=B26)*(SETUP!$D$19:$D$503=D26),0))))=3,(SUMPRODUCT(('C19RM 2021-Lab &amp; Other HPS'!$A$121:$D$220=E26)*('C19RM 2021-Lab &amp; Other HPS'!$BH$121:$BH$220=BJ26)*('C19RM 2021-Lab &amp; Other HPS'!$BP$121:$BP$220)*(('C19RM 2021-Lab &amp; Other HPS'!$Y$121:$Y$220)))),IF((INDEX(SETUP!$G$19:$G$503,(MATCH(1,(SETUP!$B$19:$B$503=B26)*(SETUP!$D$19:$D$503=D26),0))))=2,(SUMPRODUCT(('C19RM 2021-Lab &amp; Other HPS'!$A$121:$D$220=E26)*('C19RM 2021-Lab &amp; Other HPS'!$BH$121:$BH$220=BJ26)*('C19RM 2021-Lab &amp; Other HPS'!$BP$121:$BP$220)*(('C19RM 2021-Lab &amp; Other HPS'!$Z$121:$Z$220)))),IF((INDEX(SETUP!$G$19:$G$503,(MATCH(1,(SETUP!$B$19:$B$503=B26)*(SETUP!$D$19:$D$503=D26),0))))=1,(SUMPRODUCT(('C19RM 2021-Lab &amp; Other HPS'!$A$121:$D$220=E26)*('C19RM 2021-Lab &amp; Other HPS'!$BH$121:$BH$220=BJ26)*('C19RM 2021-Lab &amp; Other HPS'!$BP$121:$BP$220)*(('C19RM 2021-Lab &amp; Other HPS'!$AA$121:$AA$220)))),0)))),0)))</f>
        <v>0</v>
      </c>
      <c r="AA26" s="359" cm="1">
        <f t="array" ref="AA26">IF((INDEX(SETUP!$F$19:$F$503,(MATCH(1,(SETUP!$B$19:$B$503=B26)*(SETUP!$D$19:$D$503=D26),0))))="Upfront",(SUMPRODUCT(('C19RM 2021-Lab &amp; Other HPS'!$A$121:$D$220=E26)*('C19RM 2021-Lab &amp; Other HPS'!$BH$121:$BH$220=BJ26)*('C19RM 2021-Lab &amp; Other HPS'!$BQ$121:$BQ$220)*(('C19RM 2021-Lab &amp; Other HPS'!$AF$121:$AF$220)))),(IF((INDEX(SETUP!$F$19:$F$503,(MATCH(1,(SETUP!$B$19:$B$503=B26)*(SETUP!$D$19:$D$503=D26),0))))="At delivery",IF((INDEX(SETUP!$G$19:$G$503,(MATCH(1,(SETUP!$B$19:$B$503=B26)*(SETUP!$D$19:$D$503=D26),0))))=4,(SUMPRODUCT(('C19RM 2021-Lab &amp; Other HPS'!$A$121:$D$220=E26)*('C19RM 2021-Lab &amp; Other HPS'!$BH$121:$BH$220=BJ26)*('C19RM 2021-Lab &amp; Other HPS'!$BP$121:$BP$220)*(('C19RM 2021-Lab &amp; Other HPS'!$Y$121:$Y$220)))),IF((INDEX(SETUP!$G$19:$G$503,(MATCH(1,(SETUP!$B$19:$B$503=B26)*(SETUP!$D$19:$D$503=D26),0))))=3,(SUMPRODUCT(('C19RM 2021-Lab &amp; Other HPS'!$A$121:$D$220=E26)*('C19RM 2021-Lab &amp; Other HPS'!$BH$121:$BH$220=BJ26)*('C19RM 2021-Lab &amp; Other HPS'!$BP$121:$BP$220)*(('C19RM 2021-Lab &amp; Other HPS'!$Z$121:$Z$220)))),IF((INDEX(SETUP!$G$19:$G$503,(MATCH(1,(SETUP!$B$19:$B$503=B26)*(SETUP!$D$19:$D$503=D26),0))))=2,((SUMPRODUCT(('C19RM 2021-Lab &amp; Other HPS'!$A$121:$D$220=E26)*('C19RM 2021-Lab &amp; Other HPS'!$BH$121:$BH$220=BJ26)*('C19RM 2021-Lab &amp; Other HPS'!$BP$121:$BP$220)*(('C19RM 2021-Lab &amp; Other HPS'!$AA$121:$AA$220))))),IF((INDEX(SETUP!$G$19:$G$503,(MATCH(1,(SETUP!$B$19:$B$503=B26)*(SETUP!$D$19:$D$503=D26),0))))=1,(SUMPRODUCT(('C19RM 2021-Lab &amp; Other HPS'!$A$121:$D$220=E26)*('C19RM 2021-Lab &amp; Other HPS'!$BH$121:$BH$220=BJ26)*('C19RM 2021-Lab &amp; Other HPS'!$BQ$121:$BQ$220)*(('C19RM 2021-Lab &amp; Other HPS'!$AE$121:$AE$220)))),0)))),0)))</f>
        <v>0</v>
      </c>
      <c r="AB26" s="359" cm="1">
        <f t="array" ref="AB26">IF((INDEX(SETUP!$F$19:$F$503,(MATCH(1,(SETUP!$B$19:$B$503=B26)*(SETUP!$D$19:$D$503=D26),0))))="Upfront",
(SUMPRODUCT(('C19RM 2021-Lab &amp; Other HPS'!$A$121:$D$220=E26)*('C19RM 2021-Lab &amp; Other HPS'!$BH$121:$BH$220=BJ26)*('C19RM 2021-Lab &amp; Other HPS'!$BQ$121:$BQ$220)*(('C19RM 2021-Lab &amp; Other HPS'!$AG$121:$AG$220)))),
(IF((INDEX(SETUP!$F$19:$F$503,(MATCH(1,(SETUP!$B$19:$B$503=B26)*(SETUP!$D$19:$D$503=D26),0))))="At delivery",
IF((INDEX(SETUP!$G$19:$G$503,(MATCH(1,(SETUP!$B$19:$B$503=B26)*(SETUP!$D$19:$D$503=D26),0))))=4,
(SUMPRODUCT(('C19RM 2021-Lab &amp; Other HPS'!$A$121:$D$220=E26)*('C19RM 2021-Lab &amp; Other HPS'!$BH$121:$BH$220=BJ26)*('C19RM 2021-Lab &amp; Other HPS'!$BP$121:$BP$220)*(('C19RM 2021-Lab &amp; Other HPS'!$Z$121:$Z$220)))),IF((INDEX(SETUP!$G$19:$G$503,(MATCH(1,(SETUP!$B$19:$B$503=B26)*(SETUP!$D$19:$D$503=D26),0))))=3,(SUMPRODUCT(('C19RM 2021-Lab &amp; Other HPS'!$A$121:$D$220=E26)*('C19RM 2021-Lab &amp; Other HPS'!$BH$121:$BH$220=BJ26)*('C19RM 2021-Lab &amp; Other HPS'!$BP$121:$BP$220)*(('C19RM 2021-Lab &amp; Other HPS'!$AA$121:$AA$220)))),IF((INDEX(SETUP!$G$19:$G$503,(MATCH(1,(SETUP!$B$19:$B$503=B26)*(SETUP!$D$19:$D$503=D26),0))))=2,(SUMPRODUCT(('C19RM 2021-Lab &amp; Other HPS'!$A$121:$D$220=E26)*('C19RM 2021-Lab &amp; Other HPS'!$BH$121:$BH$220=BJ26)*('C19RM 2021-Lab &amp; Other HPS'!$BQ$121:$BQ$220)*(('C19RM 2021-Lab &amp; Other HPS'!$AE$121:$AE$220)))),IF((INDEX(SETUP!$G$19:$G$503,(MATCH(1,(SETUP!$B$19:$B$503=B26)*(SETUP!$D$19:$D$503=D26),0))))=1,(SUMPRODUCT(('C19RM 2021-Lab &amp; Other HPS'!$A$121:$D$220=E26)*('C19RM 2021-Lab &amp; Other HPS'!$BH$121:$BH$220=BJ26)*('C19RM 2021-Lab &amp; Other HPS'!$BQ$121:$BQ$220)*(('C19RM 2021-Lab &amp; Other HPS'!$AF$121:$AF$220)))),0)))),0)))</f>
        <v>0</v>
      </c>
      <c r="AC26" s="359" cm="1">
        <f t="array" ref="AC26">IF((INDEX(SETUP!$F$19:$F$503,(MATCH(1,(SETUP!$B$19:$B$503=B26)*(SETUP!$D$19:$D$503=D26),0))))="Upfront",
(SUMPRODUCT(('C19RM 2021-Lab &amp; Other HPS'!$A$121:$D$220=E26)*('C19RM 2021-Lab &amp; Other HPS'!$BH$121:$BH$220=BJ26)*('C19RM 2021-Lab &amp; Other HPS'!$BQ$121:$BQ$220)*(('C19RM 2021-Lab &amp; Other HPS'!$AH$121:$AH$220)))),
(IF((INDEX(SETUP!$F$19:$F$503,(MATCH(1,(SETUP!$B$19:$B$503=B26)*(SETUP!$D$19:$D$503=D26),0))))="At delivery",
IF((INDEX(SETUP!$G$19:$G$503,(MATCH(1,(SETUP!$B$19:$B$503=B26)*(SETUP!$D$19:$D$503=D26),0))))=4,
(SUMPRODUCT(('C19RM 2021-Lab &amp; Other HPS'!$A$121:$D$220=E26)*('C19RM 2021-Lab &amp; Other HPS'!$BH$121:$BH$220=BJ26)*('C19RM 2021-Lab &amp; Other HPS'!$BP$121:$BP$220)*(('C19RM 2021-Lab &amp; Other HPS'!$AA$121:$AA$220)))),IF((INDEX(SETUP!$G$19:$G$503,(MATCH(1,(SETUP!$B$19:$B$503=B26)*(SETUP!$D$19:$D$503=D26),0))))=3,(SUMPRODUCT(('C19RM 2021-Lab &amp; Other HPS'!$A$121:$D$220=E26)*('C19RM 2021-Lab &amp; Other HPS'!$BH$121:$BH$220=BJ26)*('C19RM 2021-Lab &amp; Other HPS'!$BQ$121:$BQ$220)*(('C19RM 2021-Lab &amp; Other HPS'!$AE$121:$AE$220)))),IF((INDEX(SETUP!$G$19:$G$503,(MATCH(1,(SETUP!$B$19:$B$503=B26)*(SETUP!$D$19:$D$503=D26),0))))=2,(SUMPRODUCT(('C19RM 2021-Lab &amp; Other HPS'!$A$121:$D$220=E26)*('C19RM 2021-Lab &amp; Other HPS'!$BH$121:$BH$220=BJ26)*('C19RM 2021-Lab &amp; Other HPS'!$BQ$121:$BQ$220)*(('C19RM 2021-Lab &amp; Other HPS'!$AF$121:$AF$220)))),IF((INDEX(SETUP!$G$19:$G$503,(MATCH(1,(SETUP!$B$19:$B$503=B26)*(SETUP!$D$19:$D$503=D26),0))))=1,(SUMPRODUCT(('C19RM 2021-Lab &amp; Other HPS'!$A$121:$D$220=E26)*('C19RM 2021-Lab &amp; Other HPS'!$BH$121:$BH$220=BJ26)*('C19RM 2021-Lab &amp; Other HPS'!$BQ$121:$BQ$220)*(('C19RM 2021-Lab &amp; Other HPS'!$AG$121:$AG$220)))),0)))),0)))</f>
        <v>0</v>
      </c>
      <c r="AD26" s="359" cm="1">
        <f t="array" ref="AD26">IF((INDEX(SETUP!$F$19:$F$503,(MATCH(1,(SETUP!$B$19:$B$503=B26)*(SETUP!$D$19:$D$503=D26),0))))="Upfront",
(SUMPRODUCT(('C19RM 2021-Lab &amp; Other HPS'!$A$121:$D$220=E26)*('C19RM 2021-Lab &amp; Other HPS'!$BH$121:$BH$220=BJ26)*('C19RM 2021-Lab &amp; Other HPS'!$BR$121:$BR$220)*(('C19RM 2021-Lab &amp; Other HPS'!$AL$121:$AL$220)))),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HPS'!$AE$121:$AE$220)))),IF((INDEX(SETUP!$G$19:$G$503,(MATCH(1,(SETUP!$B$19:$B$503=B26)*(SETUP!$D$19:$D$503=D26),0))))=3,((SUMPRODUCT(('C19RM 2021-Lab &amp; Other HPS'!$A$121:$D$220=E26)*('C19RM 2021-Lab &amp; Other HPS'!$BH$121:$BH$220=BJ26)*('C19RM 2021-Lab &amp; Other HPS'!$BQ$121:$BQ$220)*(('C19RM 2021-Lab &amp; Other HPS'!$AF$121:$AF$220))))),IF((INDEX(SETUP!$G$19:$G$503,(MATCH(1,(SETUP!$B$19:$B$503=B26)*(SETUP!$D$19:$D$503=D26),0))))=2,(SUMPRODUCT(('C19RM 2021-Lab &amp; Other HPS'!$A$121:$D$220=E26)*('C19RM 2021-Lab &amp; Other HPS'!$BH$121:$BH$220=BJ26)*('C19RM 2021-Lab &amp; Other HPS'!$BQ$121:$BQ$220)*(('C19RM 2021-Lab &amp; Other HPS'!$AG$121:$AG$220)))),IF((INDEX(SETUP!$G$19:$G$503,(MATCH(1,(SETUP!$B$19:$B$503=B26)*(SETUP!$D$19:$D$503=D26),0))))=1,(SUMPRODUCT(('C19RM 2021-Lab &amp; Other HPS'!$A$121:$D$220=E26)*('C19RM 2021-Lab &amp; Other HPS'!$BH$121:$BH$220=BJ26)*('C19RM 2021-Lab &amp; Other HPS'!$BQ$121:$BQ$220)*(('C19RM 2021-Lab &amp; Other HPS'!$AH$121:$AH$220)))),0)))),0)))</f>
        <v>0</v>
      </c>
      <c r="AE26" s="359" cm="1">
        <f t="array" ref="AE26">IF((INDEX(SETUP!$F$19:$F$503,(MATCH(1,(SETUP!$B$19:$B$503=B26)*(SETUP!$D$19:$D$503=D26),0))))="Upfront",
(SUMPRODUCT(('C19RM 2021-Lab &amp; Other HPS'!$A$121:$D$220=E26)*('C19RM 2021-Lab &amp; Other HPS'!$BH$121:$BH$220=BJ26)*('C19RM 2021-Lab &amp; Other HPS'!$BR$121:$BR$220)*(('C19RM 2021-Lab &amp; Other HPS'!$AM$121:$AM$220)))),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HPS'!$AF$121:$AF$220)))),IF((INDEX(SETUP!$G$19:$G$503,(MATCH(1,(SETUP!$B$19:$B$503=B26)*(SETUP!$D$19:$D$503=D26),0))))=3,(SUMPRODUCT(('C19RM 2021-Lab &amp; Other HPS'!$A$121:$D$220=E26)*('C19RM 2021-Lab &amp; Other HPS'!$BH$121:$BH$220=BJ26)*('C19RM 2021-Lab &amp; Other HPS'!$BQ$121:$BQ$220)*(('C19RM 2021-Lab &amp; Other HPS'!$AG$121:$AG$220)))),IF((INDEX(SETUP!$G$19:$G$503,(MATCH(1,(SETUP!$B$19:$B$503=B26)*(SETUP!$D$19:$D$503=D26),0))))=2,(SUMPRODUCT(('C19RM 2021-Lab &amp; Other HPS'!$A$121:$D$220=E26)*('C19RM 2021-Lab &amp; Other HPS'!$BH$121:$BH$220=BJ26)*('C19RM 2021-Lab &amp; Other HPS'!$BQ$121:$BQ$220)*(('C19RM 2021-Lab &amp; Other HPS'!$AH$121:$AH$220)))),IF((INDEX(SETUP!$G$19:$G$503,(MATCH(1,(SETUP!$B$19:$B$503=B26)*(SETUP!$D$19:$D$503=D26),0))))=1,(SUMPRODUCT(('C19RM 2021-Lab &amp; Other HPS'!$A$121:$D$220=E26)*('C19RM 2021-Lab &amp; Other HPS'!$BH$121:$BH$220=BJ26)*('C19RM 2021-Lab &amp; Other HPS'!$BR$121:$BR$220)*(('C19RM 2021-Lab &amp; Other HPS'!$AL$121:$AL$220)))),0)))),0)))</f>
        <v>0</v>
      </c>
      <c r="AF26" s="359" cm="1">
        <f t="array" ref="AF26">IF((INDEX(SETUP!$F$19:$F$503,(MATCH(1,(SETUP!$B$19:$B$503=B26)*(SETUP!$D$19:$D$503=D26),0))))="Upfront",
(SUMPRODUCT(('C19RM 2021-Lab &amp; Other HPS'!$A$121:$D$220=E26)*('C19RM 2021-Lab &amp; Other HPS'!$BH$121:$BH$220=BJ26)*('C19RM 2021-Lab &amp; Other HPS'!$BR$121:$BR$220)*(('C19RM 2021-Lab &amp; Other HPS'!$AN$121:$AN$220)))),
(IF((INDEX(SETUP!$F$19:$F$503,(MATCH(1,(SETUP!$B$19:$B$503=B26)*(SETUP!$D$19:$D$503=D26),0))))="At delivery",
IF((INDEX(SETUP!$G$19:$G$503,(MATCH(1,(SETUP!$B$19:$B$503=B26)*(SETUP!$D$19:$D$503=D26),0))))=4,
(SUMPRODUCT(('C19RM 2021-Lab &amp; Other HPS'!$A$121:$D$220=E26)*('C19RM 2021-Lab &amp; Other HPS'!$BH$121:$BH$220=BJ26)*('C19RM 2021-Lab &amp; Other HPS'!$BQ$121:$BQ$220)*(('C19RM 2021-Lab &amp; Other HPS'!$AG$121:$AG$220)))),IF((INDEX(SETUP!$G$19:$G$503,(MATCH(1,(SETUP!$B$19:$B$503=B26)*(SETUP!$D$19:$D$503=D26),0))))=3,(SUMPRODUCT(('C19RM 2021-Lab &amp; Other HPS'!$A$121:$D$220=E26)*('C19RM 2021-Lab &amp; Other HPS'!$BH$121:$BH$220=BJ26)*('C19RM 2021-Lab &amp; Other HPS'!$BQ$121:$BQ$220)*(('C19RM 2021-Lab &amp; Other HPS'!$AH$121:$AH$220)))),IF((INDEX(SETUP!$G$19:$G$503,(MATCH(1,(SETUP!$B$19:$B$503=B26)*(SETUP!$D$19:$D$503=D26),0))))=2,(SUMPRODUCT(('C19RM 2021-Lab &amp; Other HPS'!$A$121:$D$220=E26)*('C19RM 2021-Lab &amp; Other HPS'!$BH$121:$BH$220=BJ26)*('C19RM 2021-Lab &amp; Other HPS'!$BR$121:$BR$220)*(('C19RM 2021-Lab &amp; Other HPS'!$AL$121:$AL$220)))),IF((INDEX(SETUP!$G$19:$G$503,(MATCH(1,(SETUP!$B$19:$B$503=B26)*(SETUP!$D$19:$D$503=D26),0))))=1,(SUMPRODUCT(('C19RM 2021-Lab &amp; Other HPS'!$A$121:$D$220=E26)*('C19RM 2021-Lab &amp; Other HPS'!$BH$121:$BH$220=BJ26)*('C19RM 2021-Lab &amp; Other HPS'!$BR$121:$BR$220)*(('C19RM 2021-Lab &amp; Other HPS'!$AM$121:$AM$220)))),0)))),0)))</f>
        <v>0</v>
      </c>
      <c r="AG26" s="359" cm="1">
        <f t="array" ref="AG26">IF((INDEX(SETUP!$F$19:$F$503,(MATCH(1,(SETUP!$B$19:$B$503=B26)*(SETUP!$D$19:$D$503=D26),0))))="Upfront",(SUMPRODUCT(('C19RM 2021-Lab &amp; Other HPS'!$A$121:$D$220=E26)*('C19RM 2021-Lab &amp; Other HPS'!$BH$121:$BH$220=BJ26)*('C19RM 2021-Lab &amp; Other HPS'!$BR$121:$BR$220)*(('C19RM 2021-Lab &amp; Other HPS'!$AO$121:$AO$220)))),(IF((INDEX(SETUP!$F$19:$F$503,(MATCH(1,(SETUP!$B$19:$B$503=B26)*(SETUP!$D$19:$D$503=D26),0))))="At delivery",IF((INDEX(SETUP!$G$19:$G$503,(MATCH(1,(SETUP!$B$19:$B$503=B26)*(SETUP!$D$19:$D$503=D26),0))))=4,(SUMPRODUCT(('C19RM 2021-Lab &amp; Other HPS'!$A$121:$D$220=E26)*('C19RM 2021-Lab &amp; Other HPS'!$BH$121:$BH$220=BJ26)*('C19RM 2021-Lab &amp; Other HPS'!$BQ$121:$BQ$220)*(('C19RM 2021-Lab &amp; Other HPS'!$AH$121:$AH$220)))),IF((INDEX(SETUP!$G$19:$G$503,(MATCH(1,(SETUP!$B$19:$B$503=B26)*(SETUP!$D$19:$D$503=D26),0))))=3,(SUMPRODUCT(('C19RM 2021-Lab &amp; Other HPS'!$A$121:$D$220=E26)*('C19RM 2021-Lab &amp; Other HPS'!$BH$121:$BH$220=BJ26)*('C19RM 2021-Lab &amp; Other HPS'!$BR$121:$BR$220)*(('C19RM 2021-Lab &amp; Other HPS'!$AL$121:$AL$220)))),IF((INDEX(SETUP!$G$19:$G$503,(MATCH(1,(SETUP!$B$19:$B$503=B26)*(SETUP!$D$19:$D$503=D26),0))))=2,(SUMPRODUCT(('C19RM 2021-Lab &amp; Other HPS'!$A$121:$D$220=E26)*('C19RM 2021-Lab &amp; Other HPS'!$BH$121:$BH$220=BJ26)*('C19RM 2021-Lab &amp; Other HPS'!$BR$121:$BR$220)*(('C19RM 2021-Lab &amp; Other HPS'!$AM$121:$AM$220)))),IF((INDEX(SETUP!$G$19:$G$503,(MATCH(1,(SETUP!$B$19:$B$503=B26)*(SETUP!$D$19:$D$503=D26),0))))=1,(SUMPRODUCT(('C19RM 2021-Lab &amp; Other HPS'!$A$121:$D$220=E26)*('C19RM 2021-Lab &amp; Other HPS'!$BH$121:$BH$220=BJ26)*('C19RM 2021-Lab &amp; Other HPS'!$BR$121:$BR$220)*(('C19RM 2021-Lab &amp; Other HPS'!$AN$121:$AN$220)))),0)))),0)))</f>
        <v>0</v>
      </c>
      <c r="AH26" s="359" cm="1">
        <f t="array" ref="AH26">IF((INDEX(SETUP!$F$19:$F$503,(MATCH(1,(SETUP!$B$19:$B$503=B26)*(SETUP!$D$19:$D$503=D26),0))))="Upfront",
(SUMPRODUCT(('C19RM 2021-Lab &amp; Other HPS'!$A$121:$D$220=E26)*('C19RM 2021-Lab &amp; Other HPS'!$BH$121:$BH$220=BJ26)*('C19RM 2021-Lab &amp; Other HPS'!$BS$121:$BS$220)*(('C19RM 2021-Lab &amp; Other HPS'!$AS$121:$AS$220)))),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HPS'!$AL$121:$AL$220)))),IF((INDEX(SETUP!$G$19:$G$503,(MATCH(1,(SETUP!$B$19:$B$503=B26)*(SETUP!$D$19:$D$503=D26),0))))=3,((SUMPRODUCT(('C19RM 2021-Lab &amp; Other HPS'!$A$121:$D$220=E26)*('C19RM 2021-Lab &amp; Other HPS'!$BH$121:$BH$220=BJ26)*('C19RM 2021-Lab &amp; Other HPS'!$BR$121:$BR$220)*(('C19RM 2021-Lab &amp; Other HPS'!$AM$121:$AM$220))))),IF((INDEX(SETUP!$G$19:$G$503,(MATCH(1,(SETUP!$B$19:$B$503=B26)*(SETUP!$D$19:$D$503=D26),0))))=2,(SUMPRODUCT(('C19RM 2021-Lab &amp; Other HPS'!$A$121:$D$220=E26)*('C19RM 2021-Lab &amp; Other HPS'!$BH$121:$BH$220=BJ26)*('C19RM 2021-Lab &amp; Other HPS'!$BR$121:$BR$220)*(('C19RM 2021-Lab &amp; Other HPS'!$AN$121:$AN$220)))),IF((INDEX(SETUP!$G$19:$G$503,(MATCH(1,(SETUP!$B$19:$B$503=B26)*(SETUP!$D$19:$D$503=D26),0))))=1,(SUMPRODUCT(('C19RM 2021-Lab &amp; Other HPS'!$A$121:$D$220=E26)*('C19RM 2021-Lab &amp; Other HPS'!$BH$121:$BH$220=BJ26)*('C19RM 2021-Lab &amp; Other HPS'!$BR$121:$BR$220)*(('C19RM 2021-Lab &amp; Other HPS'!$AO$121:$AO$220)))),0)))),0)))</f>
        <v>0</v>
      </c>
      <c r="AI26" s="359" cm="1">
        <f t="array" ref="AI26">IF((INDEX(SETUP!$F$19:$F$503,(MATCH(1,(SETUP!$B$19:$B$503=B26)*(SETUP!$D$19:$D$503=D26),0))))="Upfront",
(SUMPRODUCT(('C19RM 2021-Lab &amp; Other HPS'!$A$121:$D$220=E26)*('C19RM 2021-Lab &amp; Other HPS'!$BH$121:$BH$220=BJ26)*('C19RM 2021-Lab &amp; Other HPS'!$BS$121:$BS$220)*(('C19RM 2021-Lab &amp; Other HPS'!$AT$121:$AT$220)))),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HPS'!$AM$121:$AM$220)))),IF((INDEX(SETUP!$G$19:$G$503,(MATCH(1,(SETUP!$B$19:$B$503=B26)*(SETUP!$D$19:$D$503=D26),0))))=3,((SUMPRODUCT(('C19RM 2021-Lab &amp; Other HPS'!$A$121:$D$220=E26)*('C19RM 2021-Lab &amp; Other HPS'!$BH$121:$BH$220=BJ26)*('C19RM 2021-Lab &amp; Other HPS'!$BR$121:$BR$220)*(('C19RM 2021-Lab &amp; Other HPS'!$AN$121:$AN$220))))),IF((INDEX(SETUP!$G$19:$G$503,(MATCH(1,(SETUP!$B$19:$B$503=B26)*(SETUP!$D$19:$D$503=D26),0))))=2,(SUMPRODUCT(('C19RM 2021-Lab &amp; Other HPS'!$A$121:$D$220=E26)*('C19RM 2021-Lab &amp; Other HPS'!$BH$121:$BH$220=BJ26)*('C19RM 2021-Lab &amp; Other HPS'!$BR$121:$BR$220)*(('C19RM 2021-Lab &amp; Other HPS'!$AO$121:$AO$220)))),IF((INDEX(SETUP!$G$19:$G$503,(MATCH(1,(SETUP!$B$19:$B$503=B26)*(SETUP!$D$19:$D$503=D26),0))))=1,(SUMPRODUCT(('C19RM 2021-Lab &amp; Other HPS'!$A$121:$D$220=E26)*('C19RM 2021-Lab &amp; Other HPS'!$BH$121:$BH$220=BJ26)*('C19RM 2021-Lab &amp; Other HPS'!$BS$121:$BS$220)*(('C19RM 2021-Lab &amp; Other HPS'!$AS$121:$AS$220)))),0)))),0)))</f>
        <v>0</v>
      </c>
      <c r="AJ26" s="359" cm="1">
        <f t="array" ref="AJ26">IF((INDEX(SETUP!$F$19:$F$503,(MATCH(1,(SETUP!$B$19:$B$503=B26)*(SETUP!$D$19:$D$503=D26),0))))="Upfront",
(SUMPRODUCT(('C19RM 2021-Lab &amp; Other HPS'!$A$121:$D$220=E26)*('C19RM 2021-Lab &amp; Other HPS'!$BH$121:$BH$220=BJ26)*('C19RM 2021-Lab &amp; Other HPS'!$BS$121:$BS$220)*(('C19RM 2021-Lab &amp; Other HPS'!$AU$121:$AU$220)))),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HPS'!$AN$121:$AN$220)))),IF((INDEX(SETUP!$G$19:$G$503,(MATCH(1,(SETUP!$B$19:$B$503=B26)*(SETUP!$D$19:$D$503=D26),0))))=3,((SUMPRODUCT(('C19RM 2021-Lab &amp; Other HPS'!$A$121:$D$220=E26)*('C19RM 2021-Lab &amp; Other HPS'!$BH$121:$BH$220=BJ26)*('C19RM 2021-Lab &amp; Other HPS'!$BR$121:$BR$220)*(('C19RM 2021-Lab &amp; Other HPS'!$AO$121:$AO$220))))),IF((INDEX(SETUP!$G$19:$G$503,(MATCH(1,(SETUP!$B$19:$B$503=B26)*(SETUP!$D$19:$D$503=D26),0))))=2,(SUMPRODUCT(('C19RM 2021-Lab &amp; Other HPS'!$A$121:$D$220=E26)*('C19RM 2021-Lab &amp; Other HPS'!$BH$121:$BH$220=BJ26)*('C19RM 2021-Lab &amp; Other HPS'!$BS$121:$BS$220)*(('C19RM 2021-Lab &amp; Other HPS'!$AS$121:$AS$220)))),IF((INDEX(SETUP!$G$19:$G$503,(MATCH(1,(SETUP!$B$19:$B$503=B26)*(SETUP!$D$19:$D$503=D26),0))))=1,(SUMPRODUCT(('C19RM 2021-Lab &amp; Other HPS'!$A$121:$D$220=E26)*('C19RM 2021-Lab &amp; Other HPS'!$BH$121:$BH$220=BJ26)*('C19RM 2021-Lab &amp; Other HPS'!$BS$121:$BS$220)*(('C19RM 2021-Lab &amp; Other HPS'!$AT$121:$AT$220)))),0)))),0)))</f>
        <v>0</v>
      </c>
      <c r="AK26" s="359" cm="1">
        <f t="array" ref="AK26">IF((INDEX(SETUP!$F$19:$F$503,(MATCH(1,(SETUP!$B$19:$B$503=B26)*(SETUP!$D$19:$D$503=D26),0))))="Upfront",
(SUMPRODUCT(('C19RM 2021-Lab &amp; Other HPS'!$A$121:$D$220=E26)*('C19RM 2021-Lab &amp; Other HPS'!$BH$121:$BH$220=BJ26)*('C19RM 2021-Lab &amp; Other HPS'!$BS$121:$BS$220)*(('C19RM 2021-Lab &amp; Other HPS'!$AV$121:$AV$220)))),
(IF((INDEX(SETUP!$F$19:$F$503,(MATCH(1,(SETUP!$B$19:$B$503=B26)*(SETUP!$D$19:$D$503=D26),0))))="At delivery",
IF((INDEX(SETUP!$G$19:$G$503,(MATCH(1,(SETUP!$B$19:$B$503=B26)*(SETUP!$D$19:$D$503=D26),0))))=4,
(SUMPRODUCT(('C19RM 2021-Lab &amp; Other HPS'!$A$121:$D$220=E26)*('C19RM 2021-Lab &amp; Other HPS'!$BH$121:$BH$220=BJ26)*('C19RM 2021-Lab &amp; Other HPS'!$BR$121:$BR$220)*(('C19RM 2021-Lab &amp; Other HPS'!$AO$121:$AO$220)))),IF((INDEX(SETUP!$G$19:$G$503,(MATCH(1,(SETUP!$B$19:$B$503=B26)*(SETUP!$D$19:$D$503=D26),0))))=3,((SUMPRODUCT(('C19RM 2021-Lab &amp; Other HPS'!$A$121:$D$220=E26)*('C19RM 2021-Lab &amp; Other HPS'!$BH$121:$BH$220=BJ26)*('C19RM 2021-Lab &amp; Other HPS'!$BS$121:$BS$220)*(('C19RM 2021-Lab &amp; Other HPS'!$AS$121:$AS$220))))),IF((INDEX(SETUP!$G$19:$G$503,(MATCH(1,(SETUP!$B$19:$B$503=B26)*(SETUP!$D$19:$D$503=D26),0))))=2,(SUMPRODUCT(('C19RM 2021-Lab &amp; Other HPS'!$A$121:$D$220=E26)*('C19RM 2021-Lab &amp; Other HPS'!$BH$121:$BH$220=BJ26)*('C19RM 2021-Lab &amp; Other HPS'!$BS$121:$BS$220)*(('C19RM 2021-Lab &amp; Other HPS'!$AT$121:$AT$220)))),IF((INDEX(SETUP!$G$19:$G$503,(MATCH(1,(SETUP!$B$19:$B$503=B26)*(SETUP!$D$19:$D$503=D26),0))))=1,(SUMPRODUCT(('C19RM 2021-Lab &amp; Other HPS'!$A$121:$D$220=E26)*('C19RM 2021-Lab &amp; Other HPS'!$BH$121:$BH$220=BJ26)*('C19RM 2021-Lab &amp; Other HPS'!$BS$121:$BS$220)*(('C19RM 2021-Lab &amp; Other HPS'!$AU$121:$AU$220)))),0)))),0)))</f>
        <v>0</v>
      </c>
      <c r="AL26" s="359" cm="1">
        <f t="array" ref="AL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HPS'!$AS$121:$AS$220)))),IF((INDEX(SETUP!$G$19:$G$503,(MATCH(1,(SETUP!$B$19:$B$503=B26)*(SETUP!$D$19:$D$503=D26),0))))=3,(SUMPRODUCT(('C19RM 2021-Lab &amp; Other HPS'!$A$121:$D$220=E26)*('C19RM 2021-Lab &amp; Other HPS'!$BH$121:$BH$220=BJ26)*('C19RM 2021-Lab &amp; Other HPS'!$BS$121:$BS$220)*(('C19RM 2021-Lab &amp; Other HPS'!$AT$121:$AT$220)))),IF((INDEX(SETUP!$G$19:$G$503,(MATCH(1,(SETUP!$B$19:$B$503=B26)*(SETUP!$D$19:$D$503=D26),0))))=2,(SUMPRODUCT(('C19RM 2021-Lab &amp; Other HPS'!$A$121:$D$220=E26)*('C19RM 2021-Lab &amp; Other HPS'!$BH$121:$BH$220=BJ26)*('C19RM 2021-Lab &amp; Other HPS'!$BS$121:$BS$220)*(('C19RM 2021-Lab &amp; Other HPS'!$AU$121:$AU$220)))),
IF((INDEX(SETUP!$G$19:$G$503,(MATCH(1,(SETUP!$B$19:$B$503=B26)*(SETUP!$D$19:$D$503=D26),0))))=1,
(SUMPRODUCT(('C19RM 2021-Lab &amp; Other HPS'!$A$121:$D$220=E26)*('C19RM 2021-Lab &amp; Other HPS'!$BH$121:$BH$220=BJ26)*('C19RM 2021-Lab &amp; Other HPS'!$BS$121:$BS$220)*(('C19RM 2021-Lab &amp; Other HPS'!$AV$121:$AV$220)))),0)))),0)))</f>
        <v>0</v>
      </c>
      <c r="AM26" s="359" cm="1">
        <f t="array" ref="AM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HPS'!$AT$121:$AT$220)))),IF((INDEX(SETUP!$G$19:$G$503,(MATCH(1,(SETUP!$B$19:$B$503=B26)*(SETUP!$D$19:$D$503=D26),0))))=3,(SUMPRODUCT(('C19RM 2021-Lab &amp; Other HPS'!$A$121:$D$220=E26)*('C19RM 2021-Lab &amp; Other HPS'!$BH$121:$BH$220=BJ26)*('C19RM 2021-Lab &amp; Other HPS'!$BS$121:$BS$220)*(('C19RM 2021-Lab &amp; Other HPS'!$AU$121:$AU$220)))),IF((INDEX(SETUP!$G$19:$G$503,(MATCH(1,(SETUP!$B$19:$B$503=B26)*(SETUP!$D$19:$D$503=D26),0))))=2,(SUMPRODUCT(('C19RM 2021-Lab &amp; Other HPS'!$A$121:$D$220=E26)*('C19RM 2021-Lab &amp; Other HPS'!$BH$121:$BH$220=BJ26)*('C19RM 2021-Lab &amp; Other HPS'!$BS$121:$BS$220)*(('C19RM 2021-Lab &amp; Other HPS'!$AV$121:$AV$220)))),IF((INDEX(SETUP!$G$19:$G$503,(MATCH(1,(SETUP!$B$19:$B$503=B26)*(SETUP!$D$19:$D$503=D26),0))))=1,(0),0)))),0)))</f>
        <v>0</v>
      </c>
      <c r="AN26" s="359" cm="1">
        <f t="array" ref="AN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HPS'!$AU$121:$AU$220)))),IF((INDEX(SETUP!$G$19:$G$503,(MATCH(1,(SETUP!$B$19:$B$503=B26)*(SETUP!$D$19:$D$503=D26),0))))=3,(SUMPRODUCT(('C19RM 2021-Lab &amp; Other HPS'!$A$121:$D$220=E26)*('C19RM 2021-Lab &amp; Other HPS'!$BH$121:$BH$220=BJ26)*('C19RM 2021-Lab &amp; Other HPS'!$BS$121:$BS$220)*(('C19RM 2021-Lab &amp; Other HPS'!$AV$121:$AV$220)))),IF((INDEX(SETUP!$G$19:$G$503,(MATCH(1,(SETUP!$B$19:$B$503=B26)*(SETUP!$D$19:$D$503=D26),0))))=2,(0),IF((INDEX(SETUP!$G$19:$G$503,(MATCH(1,(SETUP!$B$19:$B$503=B26)*(SETUP!$D$19:$D$503=D26),0))))=1,(0),0)))),0)))</f>
        <v>0</v>
      </c>
      <c r="AO26" s="359" cm="1">
        <f t="array" ref="AO26">IF((INDEX(SETUP!$F$19:$F$503,(MATCH(1,(SETUP!$B$19:$B$503=B26)*(SETUP!$D$19:$D$503=D26),0))))="Upfront",0,(IF((INDEX(SETUP!$F$19:$F$503,(MATCH(1,(SETUP!$B$19:$B$503=B26)*(SETUP!$D$19:$D$503=D26),0))))="At delivery",IF((INDEX(SETUP!$G$19:$G$503,(MATCH(1,(SETUP!$B$19:$B$503=B26)*(SETUP!$D$19:$D$503=D26),0))))=4,(SUMPRODUCT(('C19RM 2021-Lab &amp; Other HPS'!$A$121:$D$220=E26)*('C19RM 2021-Lab &amp; Other HPS'!$BH$121:$BH$220=BJ26)*('C19RM 2021-Lab &amp; Other HPS'!$BS$121:$BS$220)*(('C19RM 2021-Lab &amp; Other HPS'!$AV$121:$AV$220)))),IF((INDEX(SETUP!$G$19:$G$503,(MATCH(1,(SETUP!$B$19:$B$503=B26)*(SETUP!$D$19:$D$503=D26),0))))=3,(0),IF((INDEX(SETUP!$G$19:$G$503,(MATCH(1,(SETUP!$B$19:$B$503=B26)*(SETUP!$D$19:$D$503=D26),0))))=2,(0),IF((INDEX(SETUP!$G$19:$G$503,(MATCH(1,(SETUP!$B$19:$B$503=B26)*(SETUP!$D$19:$D$503=D26),0))))=1,(0),0)))),0)))</f>
        <v>0</v>
      </c>
      <c r="AP26" s="359"/>
      <c r="AQ26" s="359"/>
      <c r="AR26" s="359"/>
      <c r="AS26" s="359"/>
      <c r="AT26" s="359" cm="1">
        <f t="array" ref="AT26">IF(BG26&gt;=1,0,IFERROR(SUMPRODUCT(($R$2:$AO$2=$AT$4)*($E$5:$E$100=E26)*($BC$5:$BC$100=BC26)*($R$5:$AO$100)),0))</f>
        <v>0</v>
      </c>
      <c r="AU26" s="359" cm="1">
        <f t="array" ref="AU26">IF(BG26&gt;=1,0,IFERROR(SUMPRODUCT(($R$2:$AO$2=$AU$4)*($E$5:$E$100=E26)*($BC$5:$BC$100=BC26)*($R$5:$AO$100)),0))</f>
        <v>0</v>
      </c>
      <c r="AV26" s="359" cm="1">
        <f t="array" ref="AV26">IF(BG26&gt;=1,0,IFERROR(SUMPRODUCT(($R$2:$AO$2=$AV$4)*($E$5:$E$100=E26)*($BC$5:$BC$100=BC26)*($R$5:$AO$100)),0))</f>
        <v>0</v>
      </c>
      <c r="AW26" s="359" cm="1">
        <f t="array" ref="AW26">IF(BG26&gt;=1,0,IFERROR(SUMPRODUCT(($R$2:$AO$2=$AW$4)*($E$5:$E$100=E26)*($BC$5:$BC$100=BC26)*($R$5:$AO$100)),0))</f>
        <v>0</v>
      </c>
      <c r="AX26" s="359" cm="1">
        <f t="array" ref="AX26">IF(BG26&gt;=1,0,IFERROR(SUMPRODUCT(($R$2:$AO$2=$AX$4)*($E$5:$E$100=E26)*($BC$5:$BC$100=BC26)*($R$5:$AO$100)),0))</f>
        <v>0</v>
      </c>
      <c r="AY26" s="359">
        <f t="shared" si="5"/>
        <v>0</v>
      </c>
      <c r="AZ26" s="359"/>
      <c r="BA26" s="233">
        <f t="shared" si="6"/>
        <v>0</v>
      </c>
      <c r="BB26" s="220" t="s">
        <v>83</v>
      </c>
      <c r="BC26" t="s">
        <v>183</v>
      </c>
      <c r="BD26" cm="1">
        <f t="array" ref="BD26">(SUMPRODUCT(('C19RM 2021-Lab &amp; Other HPS'!$A$14:$D$650=E26)*('C19RM 2021-Lab &amp; Other HPS'!$BU$14:$BU$650)))</f>
        <v>0</v>
      </c>
      <c r="BE26" cm="1">
        <f t="array" ref="BE26">(SUMPRODUCT((SETUP!$D$20:$D$67=D26)*(SETUP!$R$20:$R$67)))</f>
        <v>0</v>
      </c>
      <c r="BF26" cm="1">
        <f t="array" ref="BF26">(SUMPRODUCT(('C19RM 2021-Lab &amp; Other HPS'!$A$14:$D$650=E26)*('C19RM 2021-Lab &amp; Other HPS'!$BV$14:$BV$650)))</f>
        <v>0</v>
      </c>
      <c r="BG26">
        <f t="shared" si="25"/>
        <v>0</v>
      </c>
      <c r="BJ26" s="235">
        <v>6.6</v>
      </c>
    </row>
    <row r="27" spans="1:62" x14ac:dyDescent="0.35">
      <c r="A27" s="235">
        <v>3</v>
      </c>
      <c r="B27" s="220" t="s">
        <v>2750</v>
      </c>
      <c r="C27" s="235" t="s">
        <v>3194</v>
      </c>
      <c r="D27" s="235" t="s">
        <v>22</v>
      </c>
      <c r="E27" s="235" t="s">
        <v>2761</v>
      </c>
      <c r="F27" s="220">
        <f>SETUP!$E$3</f>
        <v>0</v>
      </c>
      <c r="G27" s="220" t="str">
        <f ca="1">SETUP!$J$5</f>
        <v>NA</v>
      </c>
      <c r="H27" s="220" t="str">
        <f>SETUP!$E$9</f>
        <v>C19RM</v>
      </c>
      <c r="I27" s="232">
        <f t="shared" si="22"/>
        <v>44197</v>
      </c>
      <c r="J27" s="232">
        <f>SETUP!$L$14</f>
        <v>46022</v>
      </c>
      <c r="K27" s="220">
        <f>IFERROR(VLOOKUP(E27,'Master Data-C19RM'!$A$5:$B$35,2,0),0)</f>
        <v>0</v>
      </c>
      <c r="L27">
        <f t="shared" si="23"/>
        <v>0</v>
      </c>
      <c r="M27">
        <f>SETUP!$E$7</f>
        <v>0</v>
      </c>
      <c r="N27">
        <f>SETUP!$F$76</f>
        <v>6.1</v>
      </c>
      <c r="O27" t="str" cm="1">
        <f t="array" ref="O27">INDEX(SETUP!$E$19:$E$503,(MATCH(1,(SETUP!$B$19:$B$503=B27)*(SETUP!$D$19:$D$503=D27),0)))</f>
        <v>PR/SR</v>
      </c>
      <c r="P27" t="str" cm="1">
        <f t="array" ref="P27">INDEX(SETUP!$F$19:$F$503,(MATCH(1,(SETUP!$B$19:$B$503=B27)*(SETUP!$D$19:$D$503=D27),0)))</f>
        <v>At delivery</v>
      </c>
      <c r="Q27" cm="1">
        <f t="array" ref="Q27">INDEX(SETUP!$G$19:$G$503,(MATCH(1,(SETUP!$B$19:$B$503=B27)*(SETUP!$D$19:$D$503=D27),0)))</f>
        <v>1</v>
      </c>
      <c r="R27" s="359" cm="1">
        <f t="array" ref="R27">IF((INDEX(SETUP!$F$19:$F$503,(MATCH(1,(SETUP!$B$19:$B$503=B27)*(SETUP!$D$19:$D$503=D27),0))))="Upfront",(SUMPRODUCT(('C19RM 2021-Lab &amp; Other HPS'!$A$228:$D$327=E27)*('C19RM 2021-Lab &amp; Other HPS'!$BH$228:$BH$327=BJ27)*('C19RM 2021-Lab &amp; Other HPS'!$BO$228:$BO$327)*(('C19RM 2021-Lab &amp; Other HPS'!$Q$228:$Q$327)))),0)</f>
        <v>0</v>
      </c>
      <c r="S27" s="359" cm="1">
        <f t="array" ref="S27">IF((INDEX(SETUP!$F$19:$F$503,(MATCH(1,(SETUP!$B$19:$B$503=B27)*(SETUP!$D$19:$D$503=D27),0))))="Upfront",(SUMPRODUCT(('C19RM 2021-Lab &amp; Other HPS'!$A$228:$D$327=E27)*('C19RM 2021-Lab &amp; Other HPS'!$BH$228:$BH$327=BJ27)*('C19RM 2021-Lab &amp; Other HPS'!$BO$228:$BO$327)*(('C19RM 2021-Lab &amp; Other HPS'!$R$228:$R$327)))),(IF((INDEX(SETUP!$F$19:$F$503,(MATCH(1,(SETUP!$B$19:$B$503=B27)*(SETUP!$D$19:$D$503=D27),0))))="At delivery",IF((INDEX(SETUP!$G$19:$G$503,(MATCH(1,(SETUP!$B$19:$B$503=B27)*(SETUP!$D$19:$D$503=D27),0))))=1,(SUMPRODUCT(('C19RM 2021-Lab &amp; Other HPS'!$A$228:$D$327=E27)*('C19RM 2021-Lab &amp; Other HPS'!$BH$228:$BH$327=BJ27)*('C19RM 2021-Lab &amp; Other HPS'!$BO$228:$BO$327)*(('C19RM 2021-Lab &amp; Other HPS'!$Q$228:$Q$327)))),0),0)))</f>
        <v>0</v>
      </c>
      <c r="T27" s="359" cm="1">
        <f t="array" ref="T27">IF((INDEX(SETUP!$F$19:$F$503,(MATCH(1,(SETUP!$B$19:$B$503=B27)*(SETUP!$D$19:$D$503=D27),0))))="Upfront",(SUMPRODUCT(('C19RM 2021-Lab &amp; Other HPS'!$A$228:$D$327=E27)*('C19RM 2021-Lab &amp; Other HPS'!$BH$228:$BH$327=BJ27)*('C19RM 2021-Lab &amp; Other HPS'!$BO$228:$BO$327)*(('C19RM 2021-Lab &amp; Other HPS'!$S$228:$S$327)))),(IF((INDEX(SETUP!$F$19:$F$503,(MATCH(1,(SETUP!$B$19:$B$503=B27)*(SETUP!$D$19:$D$503=D27),0))))="At delivery",IF((INDEX(SETUP!$G$19:$G$503,(MATCH(1,(SETUP!$B$19:$B$503=B27)*(SETUP!$D$19:$D$503=D27),0))))=2,(SUMPRODUCT(('C19RM 2021-Lab &amp; Other HPS'!$A$228:$D$327=E27)*('C19RM 2021-Lab &amp; Other HPS'!$BH$228:$BH$327=BJ27)*('C19RM 2021-Lab &amp; Other HPS'!$BO$228:$BO$327)*(('C19RM 2021-Lab &amp; Other HPS'!$Q$228:$Q$327)))),IF((INDEX(SETUP!$G$19:$G$503,(MATCH(1,(SETUP!$B$19:$B$503=B27)*(SETUP!$D$19:$D$503=D27),0))))=1,(SUMPRODUCT(('C19RM 2021-Lab &amp; Other HPS'!$A$228:$D$327=E27)*('C19RM 2021-Lab &amp; Other HPS'!$BH$228:$BH$327=BJ27)*('C19RM 2021-Lab &amp; Other HPS'!$BO$228:$BO$327)*(('C19RM 2021-Lab &amp; Other HPS'!$R$228:$R$327)))),0)),0)))</f>
        <v>0</v>
      </c>
      <c r="U27" s="359" cm="1">
        <f t="array" ref="U27">IF((INDEX(SETUP!$F$19:$F$503,(MATCH(1,(SETUP!$B$19:$B$503=B27)*(SETUP!$D$19:$D$503=D27),0))))="Upfront",(SUMPRODUCT(('C19RM 2021-Lab &amp; Other HPS'!$A$228:$D$327=E27)*('C19RM 2021-Lab &amp; Other HPS'!$BH$228:$BH$327=BJ27)*('C19RM 2021-Lab &amp; Other HPS'!$BO$228:$BO$327)*(('C19RM 2021-Lab &amp; Other HPS'!$T$228:$T$327)))),(IF((INDEX(SETUP!$F$19:$F$503,(MATCH(1,(SETUP!$B$19:$B$503=B27)*(SETUP!$D$19:$D$503=D27),0))))="At delivery",IF((INDEX(SETUP!$G$19:$G$503,(MATCH(1,(SETUP!$B$19:$B$503=B27)*(SETUP!$D$19:$D$503=D27),0))))=3,(SUMPRODUCT(('C19RM 2021-Lab &amp; Other HPS'!$A$228:$D$327=E27)*('C19RM 2021-Lab &amp; Other HPS'!$BH$228:$BH$327=BJ27)*('C19RM 2021-Lab &amp; Other HPS'!$BO$228:$BO$327)*(('C19RM 2021-Lab &amp; Other HPS'!$Q$228:$Q$327)))),IF((INDEX(SETUP!$G$19:$G$503,(MATCH(1,(SETUP!$B$19:$B$503=B27)*(SETUP!$D$19:$D$503=D27),0))))=2,(SUMPRODUCT(('C19RM 2021-Lab &amp; Other HPS'!$A$228:$D$327=E27)*('C19RM 2021-Lab &amp; Other HPS'!$BH$228:$BH$327=BJ27)*('C19RM 2021-Lab &amp; Other HPS'!$BO$228:$BO$327)*(('C19RM 2021-Lab &amp; Other HPS'!$R$228:$R$327)))),IF((INDEX(SETUP!$G$19:$G$503,(MATCH(1,(SETUP!$B$19:$B$503=B27)*(SETUP!$D$19:$D$503=D27),0))))=1,(SUMPRODUCT(('C19RM 2021-Lab &amp; Other HPS'!$A$228:$D$327=E27)*('C19RM 2021-Lab &amp; Other HPS'!$BH$228:$BH$327=BJ27)*('C19RM 2021-Lab &amp; Other HPS'!$BO$228:$BO$327)*(('C19RM 2021-Lab &amp; Other HPS'!$S$228:$S$327)))),0))),0)))</f>
        <v>0</v>
      </c>
      <c r="V27" s="359" cm="1">
        <f t="array" ref="V27">IF((INDEX(SETUP!$F$19:$F$503,(MATCH(1,(SETUP!$B$19:$B$503=B27)*(SETUP!$D$19:$D$503=D27),0))))="Upfront",(SUMPRODUCT(('C19RM 2021-Lab &amp; Other HPS'!$A$228:$D$327=E27)*('C19RM 2021-Lab &amp; Other HPS'!$BH$228:$BH$327=BJ27)*('C19RM 2021-Lab &amp; Other HPS'!$BP$228:$BP$327)*(('C19RM 2021-Lab &amp; Other HPS'!$X$228:$X$327)))),(IF((INDEX(SETUP!$F$19:$F$503,(MATCH(1,(SETUP!$B$19:$B$503=B27)*(SETUP!$D$19:$D$503=D27),0))))="At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HPS'!$Q$228:$Q$327)))),IF((INDEX(SETUP!$G$19:$G$503,(MATCH(1,(SETUP!$B$19:$B$503=B27)*(SETUP!$D$19:$D$503=D27),0))))=3,(SUMPRODUCT(('C19RM 2021-Lab &amp; Other HPS'!$A$228:$D$327=E27)*('C19RM 2021-Lab &amp; Other HPS'!$BH$228:$BH$327=BJ27)*('C19RM 2021-Lab &amp; Other HPS'!$BO$228:$BO$327)*(('C19RM 2021-Lab &amp; Other HPS'!$R$228:$R$327)))),IF((INDEX(SETUP!$G$19:$G$503,(MATCH(1,(SETUP!$B$19:$B$503=B27)*(SETUP!$D$19:$D$503=D27),0))))=2,(SUMPRODUCT(('C19RM 2021-Lab &amp; Other HPS'!$A$228:$D$327=E27)*('C19RM 2021-Lab &amp; Other HPS'!$BH$228:$BH$327=BJ27)*('C19RM 2021-Lab &amp; Other HPS'!$BO$228:$BO$327)*(('C19RM 2021-Lab &amp; Other HPS'!$S$228:$S$327)))),IF((INDEX(SETUP!$G$19:$G$503,(MATCH(1,(SETUP!$B$19:$B$503=B27)*(SETUP!$D$19:$D$503=D27),0))))=1,(SUMPRODUCT(('C19RM 2021-Lab &amp; Other HPS'!$A$228:$D$327=E27)*('C19RM 2021-Lab &amp; Other HPS'!$BH$228:$BH$327=BJ27)*('C19RM 2021-Lab &amp; Other HPS'!$BO$228:$BO$327)*(('C19RM 2021-Lab &amp; Other HPS'!$T$228:$T$327)))),0)))),0)))</f>
        <v>0</v>
      </c>
      <c r="W27" s="359" cm="1">
        <f t="array" ref="W27">IF((INDEX(SETUP!$F$19:$F$503,(MATCH(1,(SETUP!$B$19:$B$503=B27)*(SETUP!$D$19:$D$503=D27),0))))="Upfront",(SUMPRODUCT(('C19RM 2021-Lab &amp; Other HPS'!$A$228:$D$327=E27)*('C19RM 2021-Lab &amp; Other HPS'!$BH$228:$BH$327=BJ27)*('C19RM 2021-Lab &amp; Other HPS'!$BP$228:$BP$327)*(('C19RM 2021-Lab &amp; Other HPS'!$Y$228:$Y$327)))),(IF((INDEX(SETUP!$F$19:$F$503,(MATCH(1,(SETUP!$B$19:$B$503=B27)*(SETUP!$D$19:$D$503=D27),0))))="At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HPS'!$R$228:$R$327)))),IF((INDEX(SETUP!$G$19:$G$503,(MATCH(1,(SETUP!$B$19:$B$503=B27)*(SETUP!$D$19:$D$503=D27),0))))=3,(SUMPRODUCT(('C19RM 2021-Lab &amp; Other HPS'!$A$228:$D$327=E27)*('C19RM 2021-Lab &amp; Other HPS'!$BH$228:$BH$327=BJ27)*('C19RM 2021-Lab &amp; Other HPS'!$BO$228:$BO$327)*(('C19RM 2021-Lab &amp; Other HPS'!$S$228:$S$327)))),IF((INDEX(SETUP!$G$19:$G$503,(MATCH(1,(SETUP!$B$19:$B$503=B27)*(SETUP!$D$19:$D$503=D27),0))))=2,((SUMPRODUCT(('C19RM 2021-Lab &amp; Other HPS'!$A$228:$D$327=E27)*('C19RM 2021-Lab &amp; Other HPS'!$BH$228:$BH$327=BJ27)*('C19RM 2021-Lab &amp; Other HPS'!$BO$228:$BO$327)*(('C19RM 2021-Lab &amp; Other HPS'!$T$228:$T$327))))),IF((INDEX(SETUP!$G$19:$G$503,(MATCH(1,(SETUP!$B$19:$B$503=B27)*(SETUP!$D$19:$D$503=D27),0))))=1,(SUMPRODUCT(('C19RM 2021-Lab &amp; Other HPS'!$A$228:$D$327=E27)*('C19RM 2021-Lab &amp; Other HPS'!$BH$228:$BH$327=BJ27)*('C19RM 2021-Lab &amp; Other HPS'!$BP$228:$BP$327)*(('C19RM 2021-Lab &amp; Other HPS'!$X$228:$X$327)))),0)))),0)))</f>
        <v>0</v>
      </c>
      <c r="X27" s="359" cm="1">
        <f t="array" ref="X27">IF((INDEX(SETUP!$F$19:$F$503,(MATCH(1,(SETUP!$B$19:$B$503=B27)*(SETUP!$D$19:$D$503=D27),0))))="Upfront",(SUMPRODUCT(('C19RM 2021-Lab &amp; Other HPS'!$A$228:$D$327=E27)*('C19RM 2021-Lab &amp; Other HPS'!$BH$228:$BH$327=BJ27)*('C19RM 2021-Lab &amp; Other HPS'!$BP$228:$BP$327)*(('C19RM 2021-Lab &amp; Other HPS'!$Z$228:$Z$327)))),(IF((INDEX(SETUP!$F$19:$F$503,(MATCH(1,(SETUP!$B$19:$B$503=B27)*(SETUP!$D$19:$D$503=D27),0))))="At delivery",IF((INDEX(SETUP!$G$19:$G$503,(MATCH(1,(SETUP!$B$19:$B$503=B27)*(SETUP!$D$19:$D$503=D27),0))))=4,(SUMPRODUCT(('C19RM 2021-Lab &amp; Other HPS'!$A$228:$D$327=E27)*('C19RM 2021-Lab &amp; Other HPS'!$BH$228:$BH$327=BJ27)*('C19RM 2021-Lab &amp; Other HPS'!$BO$228:$BO$327)*(('C19RM 2021-Lab &amp; Other HPS'!$S$228:$S$327)))),IF((INDEX(SETUP!$G$19:$G$503,(MATCH(1,(SETUP!$B$19:$B$503=B27)*(SETUP!$D$19:$D$503=D27),0))))=3,((SUMPRODUCT(('C19RM 2021-Lab &amp; Other HPS'!$A$228:$D$327=E27)*('C19RM 2021-Lab &amp; Other HPS'!$BH$228:$BH$327=BJ27)*('C19RM 2021-Lab &amp; Other HPS'!$BO$228:$BO$327)*(('C19RM 2021-Lab &amp; Other HPS'!$T$228:$T$327))))),IF((INDEX(SETUP!$G$19:$G$503,(MATCH(1,(SETUP!$B$19:$B$503=B27)*(SETUP!$D$19:$D$503=D27),0))))=2,(SUMPRODUCT(('C19RM 2021-Lab &amp; Other HPS'!$A$228:$D$327=E27)*('C19RM 2021-Lab &amp; Other HPS'!$BH$228:$BH$327=BJ27)*('C19RM 2021-Lab &amp; Other HPS'!$BP$228:$BP$327)*(('C19RM 2021-Lab &amp; Other HPS'!$X$228:$X$327)))),IF((INDEX(SETUP!$G$19:$G$503,(MATCH(1,(SETUP!$B$19:$B$503=B27)*(SETUP!$D$19:$D$503=D27),0))))=1,(SUMPRODUCT(('C19RM 2021-Lab &amp; Other HPS'!$A$228:$D$327=E27)*('C19RM 2021-Lab &amp; Other HPS'!$BH$228:$BH$327=BJ27)*('C19RM 2021-Lab &amp; Other HPS'!$BP$228:$BP$327)*(('C19RM 2021-Lab &amp; Other HPS'!$Y$228:$Y$327)))),0)))),0)))</f>
        <v>0</v>
      </c>
      <c r="Y27" s="359" cm="1">
        <f t="array" ref="Y27">IF((INDEX(SETUP!$F$19:$F$503,(MATCH(1,(SETUP!$B$19:$B$503=B27)*(SETUP!$D$19:$D$503=D27),0))))="Upfront",
(SUMPRODUCT(('C19RM 2021-Lab &amp; Other HPS'!$A$228:$D$327=E27)*('C19RM 2021-Lab &amp; Other HPS'!$BH$228:$BH$327=BJ27)*('C19RM 2021-Lab &amp; Other HPS'!$BP$228:$BP$327)*(('C19RM 2021-Lab &amp; Other HPS'!$AA$228:$AA$327)))),
(IF((INDEX(SETUP!$F$19:$F$503,(MATCH(1,(SETUP!$B$19:$B$503=B27)*(SETUP!$D$19:$D$503=D27),0))))="At delivery",
IF((INDEX(SETUP!$G$19:$G$503,(MATCH(1,(SETUP!$B$19:$B$503=B27)*(SETUP!$D$19:$D$503=D27),0))))=4,
((SUMPRODUCT(('C19RM 2021-Lab &amp; Other HPS'!$A$228:$D$327=E27)*('C19RM 2021-Lab &amp; Other HPS'!$BH$228:$BH$327=BJ27)*('C19RM 2021-Lab &amp; Other HPS'!$BO$228:$BO$327)*(('C19RM 2021-Lab &amp; Other HPS'!$T$228:$T$327))))),IF((INDEX(SETUP!$G$19:$G$503,(MATCH(1,(SETUP!$B$19:$B$503=B27)*(SETUP!$D$19:$D$503=D27),0))))=3,(SUMPRODUCT(('C19RM 2021-Lab &amp; Other HPS'!$A$228:$D$327=E27)*('C19RM 2021-Lab &amp; Other HPS'!$BH$228:$BH$327=BJ27)*('C19RM 2021-Lab &amp; Other HPS'!$BP$228:$BP$327)*(('C19RM 2021-Lab &amp; Other HPS'!$X$228:$X$327)))),IF((INDEX(SETUP!$G$19:$G$503,(MATCH(1,(SETUP!$B$19:$B$503=B27)*(SETUP!$D$19:$D$503=D27),0))))=2,(SUMPRODUCT(('C19RM 2021-Lab &amp; Other HPS'!$A$228:$D$327=E27)*('C19RM 2021-Lab &amp; Other HPS'!$BH$228:$BH$327=BJ27)*('C19RM 2021-Lab &amp; Other HPS'!$BP$228:$BP$327)*(('C19RM 2021-Lab &amp; Other HPS'!$Y$228:$Y$327)))),IF((INDEX(SETUP!$G$19:$G$503,(MATCH(1,(SETUP!$B$19:$B$503=B27)*(SETUP!$D$19:$D$503=D27),0))))=1,(SUMPRODUCT(('C19RM 2021-Lab &amp; Other HPS'!$A$228:$D$327=E27)*('C19RM 2021-Lab &amp; Other HPS'!$BH$228:$BH$327=BJ27)*('C19RM 2021-Lab &amp; Other HPS'!$BP$228:$BP$327)*(('C19RM 2021-Lab &amp; Other HPS'!$Z$228:$Z$327)))),0)))),0)))</f>
        <v>0</v>
      </c>
      <c r="Z27" s="359" cm="1">
        <f t="array" ref="Z27">IF((INDEX(SETUP!$F$19:$F$503,(MATCH(1,(SETUP!$B$19:$B$503=B27)*(SETUP!$D$19:$D$503=D27),0))))="Upfront",(SUMPRODUCT(('C19RM 2021-Lab &amp; Other HPS'!$A$228:$D$327=E27)*('C19RM 2021-Lab &amp; Other HPS'!$BH$228:$BH$327=BJ27)*('C19RM 2021-Lab &amp; Other HPS'!$BQ$228:$BQ$327)*(('C19RM 2021-Lab &amp; Other HPS'!$AE$228:$AE$327)))),(IF((INDEX(SETUP!$F$19:$F$503,(MATCH(1,(SETUP!$B$19:$B$503=B27)*(SETUP!$D$19:$D$503=D27),0))))="At delivery",IF((INDEX(SETUP!$G$19:$G$503,(MATCH(1,(SETUP!$B$19:$B$503=B27)*(SETUP!$D$19:$D$503=D27),0))))=4,(SUMPRODUCT(('C19RM 2021-Lab &amp; Other HPS'!$A$228:$D$327=E27)*('C19RM 2021-Lab &amp; Other HPS'!$BH$228:$BH$327=BJ27)*('C19RM 2021-Lab &amp; Other HPS'!$BP$228:$BP$327)*(('C19RM 2021-Lab &amp; Other HPS'!$X$228:$X$327)))),IF((INDEX(SETUP!$G$19:$G$503,(MATCH(1,(SETUP!$B$19:$B$503=B27)*(SETUP!$D$19:$D$503=D27),0))))=3,(SUMPRODUCT(('C19RM 2021-Lab &amp; Other HPS'!$A$228:$D$327=E27)*('C19RM 2021-Lab &amp; Other HPS'!$BH$228:$BH$327=BJ27)*('C19RM 2021-Lab &amp; Other HPS'!$BP$228:$BP$327)*(('C19RM 2021-Lab &amp; Other HPS'!$Y$228:$Y$327)))),IF((INDEX(SETUP!$G$19:$G$503,(MATCH(1,(SETUP!$B$19:$B$503=B27)*(SETUP!$D$19:$D$503=D27),0))))=2,(SUMPRODUCT(('C19RM 2021-Lab &amp; Other HPS'!$A$228:$D$327=E27)*('C19RM 2021-Lab &amp; Other HPS'!$BH$228:$BH$327=BJ27)*('C19RM 2021-Lab &amp; Other HPS'!$BP$228:$BP$327)*(('C19RM 2021-Lab &amp; Other HPS'!$Z$228:$Z$327)))),IF((INDEX(SETUP!$G$19:$G$503,(MATCH(1,(SETUP!$B$19:$B$503=B27)*(SETUP!$D$19:$D$503=D27),0))))=1,(SUMPRODUCT(('C19RM 2021-Lab &amp; Other HPS'!$A$228:$D$327=E27)*('C19RM 2021-Lab &amp; Other HPS'!$BH$228:$BH$327=BJ27)*('C19RM 2021-Lab &amp; Other HPS'!$BP$228:$BP$327)*(('C19RM 2021-Lab &amp; Other HPS'!$AA$228:$AA$327)))),0)))),0)))</f>
        <v>0</v>
      </c>
      <c r="AA27" s="359" cm="1">
        <f t="array" ref="AA27">IF((INDEX(SETUP!$F$19:$F$503,(MATCH(1,(SETUP!$B$19:$B$503=B27)*(SETUP!$D$19:$D$503=D27),0))))="Upfront",(SUMPRODUCT(('C19RM 2021-Lab &amp; Other HPS'!$A$228:$D$327=E27)*('C19RM 2021-Lab &amp; Other HPS'!$BH$228:$BH$327=BJ27)*('C19RM 2021-Lab &amp; Other HPS'!$BQ$228:$BQ$327)*(('C19RM 2021-Lab &amp; Other HPS'!$AF$228:$AF$327)))),(IF((INDEX(SETUP!$F$19:$F$503,(MATCH(1,(SETUP!$B$19:$B$503=B27)*(SETUP!$D$19:$D$503=D27),0))))="At delivery",IF((INDEX(SETUP!$G$19:$G$503,(MATCH(1,(SETUP!$B$19:$B$503=B27)*(SETUP!$D$19:$D$503=D27),0))))=4,(SUMPRODUCT(('C19RM 2021-Lab &amp; Other HPS'!$A$228:$D$327=E27)*('C19RM 2021-Lab &amp; Other HPS'!$BH$228:$BH$327=BJ27)*('C19RM 2021-Lab &amp; Other HPS'!$BP$228:$BP$327)*(('C19RM 2021-Lab &amp; Other HPS'!$Y$228:$Y$327)))),IF((INDEX(SETUP!$G$19:$G$503,(MATCH(1,(SETUP!$B$19:$B$503=B27)*(SETUP!$D$19:$D$503=D27),0))))=3,(SUMPRODUCT(('C19RM 2021-Lab &amp; Other HPS'!$A$228:$D$327=E27)*('C19RM 2021-Lab &amp; Other HPS'!$BH$228:$BH$327=BJ27)*('C19RM 2021-Lab &amp; Other HPS'!$BP$228:$BP$327)*(('C19RM 2021-Lab &amp; Other HPS'!$Z$228:$Z$327)))),IF((INDEX(SETUP!$G$19:$G$503,(MATCH(1,(SETUP!$B$19:$B$503=B27)*(SETUP!$D$19:$D$503=D27),0))))=2,((SUMPRODUCT(('C19RM 2021-Lab &amp; Other HPS'!$A$228:$D$327=E27)*('C19RM 2021-Lab &amp; Other HPS'!$BH$228:$BH$327=BJ27)*('C19RM 2021-Lab &amp; Other HPS'!$BP$228:$BP$327)*(('C19RM 2021-Lab &amp; Other HPS'!$AA$228:$AA$327))))),IF((INDEX(SETUP!$G$19:$G$503,(MATCH(1,(SETUP!$B$19:$B$503=B27)*(SETUP!$D$19:$D$503=D27),0))))=1,(SUMPRODUCT(('C19RM 2021-Lab &amp; Other HPS'!$A$228:$D$327=E27)*('C19RM 2021-Lab &amp; Other HPS'!$BH$228:$BH$327=BJ27)*('C19RM 2021-Lab &amp; Other HPS'!$BQ$228:$BQ$327)*(('C19RM 2021-Lab &amp; Other HPS'!$AE$228:$AE$327)))),0)))),0)))</f>
        <v>0</v>
      </c>
      <c r="AB27" s="359" cm="1">
        <f t="array" ref="AB27">IF((INDEX(SETUP!$F$19:$F$503,(MATCH(1,(SETUP!$B$19:$B$503=B27)*(SETUP!$D$19:$D$503=D27),0))))="Upfront",
(SUMPRODUCT(('C19RM 2021-Lab &amp; Other HPS'!$A$228:$D$327=E27)*('C19RM 2021-Lab &amp; Other HPS'!$BH$228:$BH$327=BJ27)*('C19RM 2021-Lab &amp; Other HPS'!$BQ$228:$BQ$327)*(('C19RM 2021-Lab &amp; Other HPS'!$AG$228:$AG$327)))),
(IF((INDEX(SETUP!$F$19:$F$503,(MATCH(1,(SETUP!$B$19:$B$503=B27)*(SETUP!$D$19:$D$503=D27),0))))="At delivery",
IF((INDEX(SETUP!$G$19:$G$503,(MATCH(1,(SETUP!$B$19:$B$503=B27)*(SETUP!$D$19:$D$503=D27),0))))=4,
(SUMPRODUCT(('C19RM 2021-Lab &amp; Other HPS'!$A$228:$D$327=E27)*('C19RM 2021-Lab &amp; Other HPS'!$BH$228:$BH$327=BJ27)*('C19RM 2021-Lab &amp; Other HPS'!$BP$228:$BP$327)*(('C19RM 2021-Lab &amp; Other HPS'!$Z$228:$Z$327)))),IF((INDEX(SETUP!$G$19:$G$503,(MATCH(1,(SETUP!$B$19:$B$503=B27)*(SETUP!$D$19:$D$503=D27),0))))=3,(SUMPRODUCT(('C19RM 2021-Lab &amp; Other HPS'!$A$228:$D$327=E27)*('C19RM 2021-Lab &amp; Other HPS'!$BH$228:$BH$327=BJ27)*('C19RM 2021-Lab &amp; Other HPS'!$BP$228:$BP$327)*(('C19RM 2021-Lab &amp; Other HPS'!$AA$228:$AA$327)))),IF((INDEX(SETUP!$G$19:$G$503,(MATCH(1,(SETUP!$B$19:$B$503=B27)*(SETUP!$D$19:$D$503=D27),0))))=2,(SUMPRODUCT(('C19RM 2021-Lab &amp; Other HPS'!$A$228:$D$327=E27)*('C19RM 2021-Lab &amp; Other HPS'!$BH$228:$BH$327=BJ27)*('C19RM 2021-Lab &amp; Other HPS'!$BQ$228:$BQ$327)*(('C19RM 2021-Lab &amp; Other HPS'!$AE$228:$AE$327)))),IF((INDEX(SETUP!$G$19:$G$503,(MATCH(1,(SETUP!$B$19:$B$503=B27)*(SETUP!$D$19:$D$503=D27),0))))=1,(SUMPRODUCT(('C19RM 2021-Lab &amp; Other HPS'!$A$228:$D$327=E27)*('C19RM 2021-Lab &amp; Other HPS'!$BH$228:$BH$327=BJ27)*('C19RM 2021-Lab &amp; Other HPS'!$BQ$228:$BQ$327)*(('C19RM 2021-Lab &amp; Other HPS'!$AF$228:$AF$327)))),0)))),0)))</f>
        <v>0</v>
      </c>
      <c r="AC27" s="359" cm="1">
        <f t="array" ref="AC27">IF((INDEX(SETUP!$F$19:$F$503,(MATCH(1,(SETUP!$B$19:$B$503=B27)*(SETUP!$D$19:$D$503=D27),0))))="Upfront",
(SUMPRODUCT(('C19RM 2021-Lab &amp; Other HPS'!$A$228:$D$327=E27)*('C19RM 2021-Lab &amp; Other HPS'!$BH$228:$BH$327=BJ27)*('C19RM 2021-Lab &amp; Other HPS'!$BQ$228:$BQ$327)*(('C19RM 2021-Lab &amp; Other HPS'!$AH$228:$AH$327)))),
(IF((INDEX(SETUP!$F$19:$F$503,(MATCH(1,(SETUP!$B$19:$B$503=B27)*(SETUP!$D$19:$D$503=D27),0))))="At delivery",
IF((INDEX(SETUP!$G$19:$G$503,(MATCH(1,(SETUP!$B$19:$B$503=B27)*(SETUP!$D$19:$D$503=D27),0))))=4,
(SUMPRODUCT(('C19RM 2021-Lab &amp; Other HPS'!$A$228:$D$327=E27)*('C19RM 2021-Lab &amp; Other HPS'!$BH$228:$BH$327=BJ27)*('C19RM 2021-Lab &amp; Other HPS'!$BP$228:$BP$327)*(('C19RM 2021-Lab &amp; Other HPS'!$AA$228:$AA$327)))),IF((INDEX(SETUP!$G$19:$G$503,(MATCH(1,(SETUP!$B$19:$B$503=B27)*(SETUP!$D$19:$D$503=D27),0))))=3,(SUMPRODUCT(('C19RM 2021-Lab &amp; Other HPS'!$A$228:$D$327=E27)*('C19RM 2021-Lab &amp; Other HPS'!$BH$228:$BH$327=BJ27)*('C19RM 2021-Lab &amp; Other HPS'!$BQ$228:$BQ$327)*(('C19RM 2021-Lab &amp; Other HPS'!$AE$228:$AE$327)))),IF((INDEX(SETUP!$G$19:$G$503,(MATCH(1,(SETUP!$B$19:$B$503=B27)*(SETUP!$D$19:$D$503=D27),0))))=2,(SUMPRODUCT(('C19RM 2021-Lab &amp; Other HPS'!$A$228:$D$327=E27)*('C19RM 2021-Lab &amp; Other HPS'!$BH$228:$BH$327=BJ27)*('C19RM 2021-Lab &amp; Other HPS'!$BQ$228:$BQ$327)*(('C19RM 2021-Lab &amp; Other HPS'!$AF$228:$AF$327)))),IF((INDEX(SETUP!$G$19:$G$503,(MATCH(1,(SETUP!$B$19:$B$503=B27)*(SETUP!$D$19:$D$503=D27),0))))=1,(SUMPRODUCT(('C19RM 2021-Lab &amp; Other HPS'!$A$228:$D$327=E27)*('C19RM 2021-Lab &amp; Other HPS'!$BH$228:$BH$327=BJ27)*('C19RM 2021-Lab &amp; Other HPS'!$BQ$228:$BQ$327)*(('C19RM 2021-Lab &amp; Other HPS'!$AG$228:$AG$327)))),0)))),0)))</f>
        <v>0</v>
      </c>
      <c r="AD27" s="359" cm="1">
        <f t="array" ref="AD27">IF((INDEX(SETUP!$F$19:$F$503,(MATCH(1,(SETUP!$B$19:$B$503=B27)*(SETUP!$D$19:$D$503=D27),0))))="Upfront",
(SUMPRODUCT(('C19RM 2021-Lab &amp; Other HPS'!$A$228:$D$327=E27)*('C19RM 2021-Lab &amp; Other HPS'!$BH$228:$BH$327=BJ27)*('C19RM 2021-Lab &amp; Other HPS'!$BR$228:$BR$327)*(('C19RM 2021-Lab &amp; Other HPS'!$AL$228:$AL$327)))),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HPS'!$AE$228:$AE$327)))),IF((INDEX(SETUP!$G$19:$G$503,(MATCH(1,(SETUP!$B$19:$B$503=B27)*(SETUP!$D$19:$D$503=D27),0))))=3,((SUMPRODUCT(('C19RM 2021-Lab &amp; Other HPS'!$A$228:$D$327=E27)*('C19RM 2021-Lab &amp; Other HPS'!$BH$228:$BH$327=BJ27)*('C19RM 2021-Lab &amp; Other HPS'!$BQ$228:$BQ$327)*(('C19RM 2021-Lab &amp; Other HPS'!$AF$228:$AF$327))))),IF((INDEX(SETUP!$G$19:$G$503,(MATCH(1,(SETUP!$B$19:$B$503=B27)*(SETUP!$D$19:$D$503=D27),0))))=2,(SUMPRODUCT(('C19RM 2021-Lab &amp; Other HPS'!$A$228:$D$327=E27)*('C19RM 2021-Lab &amp; Other HPS'!$BH$228:$BH$327=BJ27)*('C19RM 2021-Lab &amp; Other HPS'!$BQ$228:$BQ$327)*(('C19RM 2021-Lab &amp; Other HPS'!$AG$228:$AG$327)))),IF((INDEX(SETUP!$G$19:$G$503,(MATCH(1,(SETUP!$B$19:$B$503=B27)*(SETUP!$D$19:$D$503=D27),0))))=1,(SUMPRODUCT(('C19RM 2021-Lab &amp; Other HPS'!$A$228:$D$327=E27)*('C19RM 2021-Lab &amp; Other HPS'!$BH$228:$BH$327=BJ27)*('C19RM 2021-Lab &amp; Other HPS'!$BQ$228:$BQ$327)*(('C19RM 2021-Lab &amp; Other HPS'!$AH$228:$AH$327)))),0)))),0)))</f>
        <v>0</v>
      </c>
      <c r="AE27" s="359" cm="1">
        <f t="array" ref="AE27">IF((INDEX(SETUP!$F$19:$F$503,(MATCH(1,(SETUP!$B$19:$B$503=B27)*(SETUP!$D$19:$D$503=D27),0))))="Upfront",
(SUMPRODUCT(('C19RM 2021-Lab &amp; Other HPS'!$A$228:$D$327=E27)*('C19RM 2021-Lab &amp; Other HPS'!$BH$228:$BH$327=BJ27)*('C19RM 2021-Lab &amp; Other HPS'!$BR$228:$BR$327)*(('C19RM 2021-Lab &amp; Other HPS'!$AM$228:$AM$327)))),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HPS'!$AF$228:$AF$327)))),IF((INDEX(SETUP!$G$19:$G$503,(MATCH(1,(SETUP!$B$19:$B$503=B27)*(SETUP!$D$19:$D$503=D27),0))))=3,(SUMPRODUCT(('C19RM 2021-Lab &amp; Other HPS'!$A$228:$D$327=E27)*('C19RM 2021-Lab &amp; Other HPS'!$BH$228:$BH$327=BJ27)*('C19RM 2021-Lab &amp; Other HPS'!$BQ$228:$BQ$327)*(('C19RM 2021-Lab &amp; Other HPS'!$AG$228:$AG$327)))),IF((INDEX(SETUP!$G$19:$G$503,(MATCH(1,(SETUP!$B$19:$B$503=B27)*(SETUP!$D$19:$D$503=D27),0))))=2,(SUMPRODUCT(('C19RM 2021-Lab &amp; Other HPS'!$A$228:$D$327=E27)*('C19RM 2021-Lab &amp; Other HPS'!$BH$228:$BH$327=BJ27)*('C19RM 2021-Lab &amp; Other HPS'!$BQ$228:$BQ$327)*(('C19RM 2021-Lab &amp; Other HPS'!$AH$228:$AH$327)))),IF((INDEX(SETUP!$G$19:$G$503,(MATCH(1,(SETUP!$B$19:$B$503=B27)*(SETUP!$D$19:$D$503=D27),0))))=1,(SUMPRODUCT(('C19RM 2021-Lab &amp; Other HPS'!$A$228:$D$327=E27)*('C19RM 2021-Lab &amp; Other HPS'!$BH$228:$BH$327=BJ27)*('C19RM 2021-Lab &amp; Other HPS'!$BR$228:$BR$327)*(('C19RM 2021-Lab &amp; Other HPS'!$AL$228:$AL$327)))),0)))),0)))</f>
        <v>0</v>
      </c>
      <c r="AF27" s="359" cm="1">
        <f t="array" ref="AF27">IF((INDEX(SETUP!$F$19:$F$503,(MATCH(1,(SETUP!$B$19:$B$503=B27)*(SETUP!$D$19:$D$503=D27),0))))="Upfront",
(SUMPRODUCT(('C19RM 2021-Lab &amp; Other HPS'!$A$228:$D$327=E27)*('C19RM 2021-Lab &amp; Other HPS'!$BH$228:$BH$327=BJ27)*('C19RM 2021-Lab &amp; Other HPS'!$BR$228:$BR$327)*(('C19RM 2021-Lab &amp; Other HPS'!$AN$228:$AN$327)))),
(IF((INDEX(SETUP!$F$19:$F$503,(MATCH(1,(SETUP!$B$19:$B$503=B27)*(SETUP!$D$19:$D$503=D27),0))))="At delivery",
IF((INDEX(SETUP!$G$19:$G$503,(MATCH(1,(SETUP!$B$19:$B$503=B27)*(SETUP!$D$19:$D$503=D27),0))))=4,
(SUMPRODUCT(('C19RM 2021-Lab &amp; Other HPS'!$A$228:$D$327=E27)*('C19RM 2021-Lab &amp; Other HPS'!$BH$228:$BH$327=BJ27)*('C19RM 2021-Lab &amp; Other HPS'!$BQ$228:$BQ$327)*(('C19RM 2021-Lab &amp; Other HPS'!$AG$228:$AG$327)))),IF((INDEX(SETUP!$G$19:$G$503,(MATCH(1,(SETUP!$B$19:$B$503=B27)*(SETUP!$D$19:$D$503=D27),0))))=3,(SUMPRODUCT(('C19RM 2021-Lab &amp; Other HPS'!$A$228:$D$327=E27)*('C19RM 2021-Lab &amp; Other HPS'!$BH$228:$BH$327=BJ27)*('C19RM 2021-Lab &amp; Other HPS'!$BQ$228:$BQ$327)*(('C19RM 2021-Lab &amp; Other HPS'!$AH$228:$AH$327)))),IF((INDEX(SETUP!$G$19:$G$503,(MATCH(1,(SETUP!$B$19:$B$503=B27)*(SETUP!$D$19:$D$503=D27),0))))=2,(SUMPRODUCT(('C19RM 2021-Lab &amp; Other HPS'!$A$228:$D$327=E27)*('C19RM 2021-Lab &amp; Other HPS'!$BH$228:$BH$327=BJ27)*('C19RM 2021-Lab &amp; Other HPS'!$BR$228:$BR$327)*(('C19RM 2021-Lab &amp; Other HPS'!$AL$228:$AL$327)))),IF((INDEX(SETUP!$G$19:$G$503,(MATCH(1,(SETUP!$B$19:$B$503=B27)*(SETUP!$D$19:$D$503=D27),0))))=1,(SUMPRODUCT(('C19RM 2021-Lab &amp; Other HPS'!$A$228:$D$327=E27)*('C19RM 2021-Lab &amp; Other HPS'!$BH$228:$BH$327=BJ27)*('C19RM 2021-Lab &amp; Other HPS'!$BR$228:$BR$327)*(('C19RM 2021-Lab &amp; Other HPS'!$AM$228:$AM$327)))),0)))),0)))</f>
        <v>0</v>
      </c>
      <c r="AG27" s="359" cm="1">
        <f t="array" ref="AG27">IF((INDEX(SETUP!$F$19:$F$503,(MATCH(1,(SETUP!$B$19:$B$503=B27)*(SETUP!$D$19:$D$503=D27),0))))="Upfront",(SUMPRODUCT(('C19RM 2021-Lab &amp; Other HPS'!$A$228:$D$327=E27)*('C19RM 2021-Lab &amp; Other HPS'!$BH$228:$BH$327=BJ27)*('C19RM 2021-Lab &amp; Other HPS'!$BR$228:$BR$327)*(('C19RM 2021-Lab &amp; Other HPS'!$AO$228:$AO$327)))),(IF((INDEX(SETUP!$F$19:$F$503,(MATCH(1,(SETUP!$B$19:$B$503=B27)*(SETUP!$D$19:$D$503=D27),0))))="At delivery",IF((INDEX(SETUP!$G$19:$G$503,(MATCH(1,(SETUP!$B$19:$B$503=B27)*(SETUP!$D$19:$D$503=D27),0))))=4,(SUMPRODUCT(('C19RM 2021-Lab &amp; Other HPS'!$A$228:$D$327=E27)*('C19RM 2021-Lab &amp; Other HPS'!$BH$228:$BH$327=BJ27)*('C19RM 2021-Lab &amp; Other HPS'!$BQ$228:$BQ$327)*(('C19RM 2021-Lab &amp; Other HPS'!$AH$228:$AH$327)))),IF((INDEX(SETUP!$G$19:$G$503,(MATCH(1,(SETUP!$B$19:$B$503=B27)*(SETUP!$D$19:$D$503=D27),0))))=3,(SUMPRODUCT(('C19RM 2021-Lab &amp; Other HPS'!$A$228:$D$327=E27)*('C19RM 2021-Lab &amp; Other HPS'!$BH$228:$BH$327=BJ27)*('C19RM 2021-Lab &amp; Other HPS'!$BR$228:$BR$327)*(('C19RM 2021-Lab &amp; Other HPS'!$AL$228:$AL$327)))),IF((INDEX(SETUP!$G$19:$G$503,(MATCH(1,(SETUP!$B$19:$B$503=B27)*(SETUP!$D$19:$D$503=D27),0))))=2,(SUMPRODUCT(('C19RM 2021-Lab &amp; Other HPS'!$A$228:$D$327=E27)*('C19RM 2021-Lab &amp; Other HPS'!$BH$228:$BH$327=BJ27)*('C19RM 2021-Lab &amp; Other HPS'!$BR$228:$BR$327)*(('C19RM 2021-Lab &amp; Other HPS'!$AM$228:$AM$327)))),IF((INDEX(SETUP!$G$19:$G$503,(MATCH(1,(SETUP!$B$19:$B$503=B27)*(SETUP!$D$19:$D$503=D27),0))))=1,(SUMPRODUCT(('C19RM 2021-Lab &amp; Other HPS'!$A$228:$D$327=E27)*('C19RM 2021-Lab &amp; Other HPS'!$BH$228:$BH$327=BJ27)*('C19RM 2021-Lab &amp; Other HPS'!$BR$228:$BR$327)*(('C19RM 2021-Lab &amp; Other HPS'!$AN$228:$AN$327)))),0)))),0)))</f>
        <v>0</v>
      </c>
      <c r="AH27" s="359" cm="1">
        <f t="array" ref="AH27">IF((INDEX(SETUP!$F$19:$F$503,(MATCH(1,(SETUP!$B$19:$B$503=B27)*(SETUP!$D$19:$D$503=D27),0))))="Upfront",
(SUMPRODUCT(('C19RM 2021-Lab &amp; Other HPS'!$A$228:$D$327=E27)*('C19RM 2021-Lab &amp; Other HPS'!$BH$228:$BH$327=BJ27)*('C19RM 2021-Lab &amp; Other HPS'!$BS$228:$BS$327)*(('C19RM 2021-Lab &amp; Other HPS'!$AS$228:$AS$327)))),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HPS'!$AL$228:$AL$327)))),IF((INDEX(SETUP!$G$19:$G$503,(MATCH(1,(SETUP!$B$19:$B$503=B27)*(SETUP!$D$19:$D$503=D27),0))))=3,((SUMPRODUCT(('C19RM 2021-Lab &amp; Other HPS'!$A$228:$D$327=E27)*('C19RM 2021-Lab &amp; Other HPS'!$BH$228:$BH$327=BJ27)*('C19RM 2021-Lab &amp; Other HPS'!$BR$228:$BR$327)*(('C19RM 2021-Lab &amp; Other HPS'!$AM$228:$AM$327))))),IF((INDEX(SETUP!$G$19:$G$503,(MATCH(1,(SETUP!$B$19:$B$503=B27)*(SETUP!$D$19:$D$503=D27),0))))=2,(SUMPRODUCT(('C19RM 2021-Lab &amp; Other HPS'!$A$228:$D$327=E27)*('C19RM 2021-Lab &amp; Other HPS'!$BH$228:$BH$327=BJ27)*('C19RM 2021-Lab &amp; Other HPS'!$BR$228:$BR$327)*(('C19RM 2021-Lab &amp; Other HPS'!$AN$228:$AN$327)))),IF((INDEX(SETUP!$G$19:$G$503,(MATCH(1,(SETUP!$B$19:$B$503=B27)*(SETUP!$D$19:$D$503=D27),0))))=1,(SUMPRODUCT(('C19RM 2021-Lab &amp; Other HPS'!$A$228:$D$327=E27)*('C19RM 2021-Lab &amp; Other HPS'!$BH$228:$BH$327=BJ27)*('C19RM 2021-Lab &amp; Other HPS'!$BR$228:$BR$327)*(('C19RM 2021-Lab &amp; Other HPS'!$AO$228:$AO$327)))),0)))),0)))</f>
        <v>0</v>
      </c>
      <c r="AI27" s="359" cm="1">
        <f t="array" ref="AI27">IF((INDEX(SETUP!$F$19:$F$503,(MATCH(1,(SETUP!$B$19:$B$503=B27)*(SETUP!$D$19:$D$503=D27),0))))="Upfront",
(SUMPRODUCT(('C19RM 2021-Lab &amp; Other HPS'!$A$228:$D$327=E27)*('C19RM 2021-Lab &amp; Other HPS'!$BS$228:$BS$327)*('C19RM 2021-Lab &amp; Other HPS'!$BH$228:$BH$327=BJ27)*(('C19RM 2021-Lab &amp; Other HPS'!$AT$228:$AT$327)))),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HPS'!$AM$228:$AM$327)))),IF((INDEX(SETUP!$G$19:$G$503,(MATCH(1,(SETUP!$B$19:$B$503=B27)*(SETUP!$D$19:$D$503=D27),0))))=3,((SUMPRODUCT(('C19RM 2021-Lab &amp; Other HPS'!$A$228:$D$327=E27)*('C19RM 2021-Lab &amp; Other HPS'!$BH$228:$BH$327=BJ27)*('C19RM 2021-Lab &amp; Other HPS'!$BR$228:$BR$327)*(('C19RM 2021-Lab &amp; Other HPS'!$AN$228:$AN$327))))),IF((INDEX(SETUP!$G$19:$G$503,(MATCH(1,(SETUP!$B$19:$B$503=B27)*(SETUP!$D$19:$D$503=D27),0))))=2,(SUMPRODUCT(('C19RM 2021-Lab &amp; Other HPS'!$A$228:$D$327=E27)*('C19RM 2021-Lab &amp; Other HPS'!$BH$228:$BH$327=BJ27)*('C19RM 2021-Lab &amp; Other HPS'!$BR$228:$BR$327)*(('C19RM 2021-Lab &amp; Other HPS'!$AO$228:$AO$327)))),IF((INDEX(SETUP!$G$19:$G$503,(MATCH(1,(SETUP!$B$19:$B$503=B27)*(SETUP!$D$19:$D$503=D27),0))))=1,(SUMPRODUCT(('C19RM 2021-Lab &amp; Other HPS'!$A$228:$D$327=E27)*('C19RM 2021-Lab &amp; Other HPS'!$BH$228:$BH$327=BJ27)*('C19RM 2021-Lab &amp; Other HPS'!$BS$228:$BS$327)*(('C19RM 2021-Lab &amp; Other HPS'!$AS$228:$AS$327)))),0)))),0)))</f>
        <v>0</v>
      </c>
      <c r="AJ27" s="359" cm="1">
        <f t="array" ref="AJ27">IF((INDEX(SETUP!$F$19:$F$503,(MATCH(1,(SETUP!$B$19:$B$503=B27)*(SETUP!$D$19:$D$503=D27),0))))="Upfront",
(SUMPRODUCT(('C19RM 2021-Lab &amp; Other HPS'!$A$228:$D$327=E27)*('C19RM 2021-Lab &amp; Other HPS'!$BH$228:$BH$327=BJ27)*('C19RM 2021-Lab &amp; Other HPS'!$BS$228:$BS$327)*(('C19RM 2021-Lab &amp; Other HPS'!$AU$228:$AU$327)))),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HPS'!$AN$228:$AN$327)))),IF((INDEX(SETUP!$G$19:$G$503,(MATCH(1,(SETUP!$B$19:$B$503=B27)*(SETUP!$D$19:$D$503=D27),0))))=3,((SUMPRODUCT(('C19RM 2021-Lab &amp; Other HPS'!$A$228:$D$327=E27)*('C19RM 2021-Lab &amp; Other HPS'!$BH$228:$BH$327=BJ27)*('C19RM 2021-Lab &amp; Other HPS'!$BR$228:$BR$327)*(('C19RM 2021-Lab &amp; Other HPS'!$AO$228:$AO$327))))),IF((INDEX(SETUP!$G$19:$G$503,(MATCH(1,(SETUP!$B$19:$B$503=B27)*(SETUP!$D$19:$D$503=D27),0))))=2,(SUMPRODUCT(('C19RM 2021-Lab &amp; Other HPS'!$A$228:$D$327=E27)*('C19RM 2021-Lab &amp; Other HPS'!$BH$228:$BH$327=BJ27)*('C19RM 2021-Lab &amp; Other HPS'!$BS$228:$BS$327)*(('C19RM 2021-Lab &amp; Other HPS'!$AS$228:$AS$327)))),IF((INDEX(SETUP!$G$19:$G$503,(MATCH(1,(SETUP!$B$19:$B$503=B27)*(SETUP!$D$19:$D$503=D27),0))))=1,(SUMPRODUCT(('C19RM 2021-Lab &amp; Other HPS'!$A$228:$D$327=E27)*('C19RM 2021-Lab &amp; Other HPS'!$BH$228:$BH$327=BJ27)*('C19RM 2021-Lab &amp; Other HPS'!$BS$228:$BS$327)*(('C19RM 2021-Lab &amp; Other HPS'!$AT$228:$AT$327)))),0)))),0)))</f>
        <v>0</v>
      </c>
      <c r="AK27" s="359" cm="1">
        <f t="array" ref="AK27">IF((INDEX(SETUP!$F$19:$F$503,(MATCH(1,(SETUP!$B$19:$B$503=B27)*(SETUP!$D$19:$D$503=D27),0))))="Upfront",
(SUMPRODUCT(('C19RM 2021-Lab &amp; Other HPS'!$A$228:$D$327=E27)*('C19RM 2021-Lab &amp; Other HPS'!$BH$228:$BH$327=BJ27)*('C19RM 2021-Lab &amp; Other HPS'!$BS$228:$BS$327)*(('C19RM 2021-Lab &amp; Other HPS'!$AV$228:$AV$327)))),
(IF((INDEX(SETUP!$F$19:$F$503,(MATCH(1,(SETUP!$B$19:$B$503=B27)*(SETUP!$D$19:$D$503=D27),0))))="At delivery",
IF((INDEX(SETUP!$G$19:$G$503,(MATCH(1,(SETUP!$B$19:$B$503=B27)*(SETUP!$D$19:$D$503=D27),0))))=4,
(SUMPRODUCT(('C19RM 2021-Lab &amp; Other HPS'!$A$228:$D$327=E27)*('C19RM 2021-Lab &amp; Other HPS'!$BH$228:$BH$327=BJ27)*('C19RM 2021-Lab &amp; Other HPS'!$BR$228:$BR$327)*(('C19RM 2021-Lab &amp; Other HPS'!$AO$228:$AO$327)))),IF((INDEX(SETUP!$G$19:$G$503,(MATCH(1,(SETUP!$B$19:$B$503=B27)*(SETUP!$D$19:$D$503=D27),0))))=3,((SUMPRODUCT(('C19RM 2021-Lab &amp; Other HPS'!$A$228:$D$327=E27)*('C19RM 2021-Lab &amp; Other HPS'!$BH$228:$BH$327=BJ27)*('C19RM 2021-Lab &amp; Other HPS'!$BS$228:$BS$327)*(('C19RM 2021-Lab &amp; Other HPS'!$AS$228:$AS$327))))),IF((INDEX(SETUP!$G$19:$G$503,(MATCH(1,(SETUP!$B$19:$B$503=B27)*(SETUP!$D$19:$D$503=D27),0))))=2,(SUMPRODUCT(('C19RM 2021-Lab &amp; Other HPS'!$A$228:$D$327=E27)*('C19RM 2021-Lab &amp; Other HPS'!$BH$228:$BH$327=BJ27)*('C19RM 2021-Lab &amp; Other HPS'!$BS$228:$BS$327)*(('C19RM 2021-Lab &amp; Other HPS'!$AT$228:$AT$327)))),IF((INDEX(SETUP!$G$19:$G$503,(MATCH(1,(SETUP!$B$19:$B$503=B27)*(SETUP!$D$19:$D$503=D27),0))))=1,(SUMPRODUCT(('C19RM 2021-Lab &amp; Other HPS'!$A$228:$D$327=E27)*('C19RM 2021-Lab &amp; Other HPS'!$BH$228:$BH$327=BJ27)*('C19RM 2021-Lab &amp; Other HPS'!$BS$228:$BS$327)*(('C19RM 2021-Lab &amp; Other HPS'!$AU$228:$AU$327)))),0)))),0)))</f>
        <v>0</v>
      </c>
      <c r="AL27" s="359" cm="1">
        <f t="array" ref="AL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HPS'!$AS$228:$AS$327)))),IF((INDEX(SETUP!$G$19:$G$503,(MATCH(1,(SETUP!$B$19:$B$503=B27)*(SETUP!$D$19:$D$503=D27),0))))=3,(SUMPRODUCT(('C19RM 2021-Lab &amp; Other HPS'!$A$228:$D$327=E27)*('C19RM 2021-Lab &amp; Other HPS'!$BH$228:$BH$327=BJ27)*('C19RM 2021-Lab &amp; Other HPS'!$BS$228:$BS$327)*(('C19RM 2021-Lab &amp; Other HPS'!$AT$228:$AT$327)))),IF((INDEX(SETUP!$G$19:$G$503,(MATCH(1,(SETUP!$B$19:$B$503=B27)*(SETUP!$D$19:$D$503=D27),0))))=2,(SUMPRODUCT(('C19RM 2021-Lab &amp; Other HPS'!$A$228:$D$327=E27)*('C19RM 2021-Lab &amp; Other HPS'!$BH$228:$BH$327=BJ27)*('C19RM 2021-Lab &amp; Other HPS'!$BS$228:$BS$327)*(('C19RM 2021-Lab &amp; Other HPS'!$AU$228:$AU$327)))),
IF((INDEX(SETUP!$G$19:$G$503,(MATCH(1,(SETUP!$B$19:$B$503=B27)*(SETUP!$D$19:$D$503=D27),0))))=1,
(SUMPRODUCT(('C19RM 2021-Lab &amp; Other HPS'!$A$228:$D$327=E27)*('C19RM 2021-Lab &amp; Other HPS'!$BH$228:$BH$327=BJ27)*('C19RM 2021-Lab &amp; Other HPS'!$BS$228:$BS$327)*(('C19RM 2021-Lab &amp; Other HPS'!$AV$228:$AV$327)))),0)))),0)))</f>
        <v>0</v>
      </c>
      <c r="AM27" s="359" cm="1">
        <f t="array" ref="AM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HPS'!$AT$228:$AT$327)))),IF((INDEX(SETUP!$G$19:$G$503,(MATCH(1,(SETUP!$B$19:$B$503=B27)*(SETUP!$D$19:$D$503=D27),0))))=3,(SUMPRODUCT(('C19RM 2021-Lab &amp; Other HPS'!$A$228:$D$327=E27)*('C19RM 2021-Lab &amp; Other HPS'!$BH$228:$BH$327=BJ27)*('C19RM 2021-Lab &amp; Other HPS'!$BS$228:$BS$327)*(('C19RM 2021-Lab &amp; Other HPS'!$AU$228:$AU$327)))),IF((INDEX(SETUP!$G$19:$G$503,(MATCH(1,(SETUP!$B$19:$B$503=B27)*(SETUP!$D$19:$D$503=D27),0))))=2,(SUMPRODUCT(('C19RM 2021-Lab &amp; Other HPS'!$A$228:$D$327=E27)*('C19RM 2021-Lab &amp; Other HPS'!$BH$228:$BH$327=BJ27)*('C19RM 2021-Lab &amp; Other HPS'!$BS$228:$BS$327)*(('C19RM 2021-Lab &amp; Other HPS'!$AV$228:$AV$327)))),IF((INDEX(SETUP!$G$19:$G$503,(MATCH(1,(SETUP!$B$19:$B$503=B27)*(SETUP!$D$19:$D$503=D27),0))))=1,(0),0)))),0)))</f>
        <v>0</v>
      </c>
      <c r="AN27" s="359" cm="1">
        <f t="array" ref="AN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HPS'!$AU$228:$AU$327)))),IF((INDEX(SETUP!$G$19:$G$503,(MATCH(1,(SETUP!$B$19:$B$503=B27)*(SETUP!$D$19:$D$503=D27),0))))=3,(SUMPRODUCT(('C19RM 2021-Lab &amp; Other HPS'!$A$228:$D$327=E27)*('C19RM 2021-Lab &amp; Other HPS'!$BH$228:$BH$327=BJ27)*('C19RM 2021-Lab &amp; Other HPS'!$BS$228:$BS$327)*(('C19RM 2021-Lab &amp; Other HPS'!$AV$228:$AV$327)))),IF((INDEX(SETUP!$G$19:$G$503,(MATCH(1,(SETUP!$B$19:$B$503=B27)*(SETUP!$D$19:$D$503=D27),0))))=2,(0),IF((INDEX(SETUP!$G$19:$G$503,(MATCH(1,(SETUP!$B$19:$B$503=B27)*(SETUP!$D$19:$D$503=D27),0))))=1,(0),0)))),0)))</f>
        <v>0</v>
      </c>
      <c r="AO27" s="359" cm="1">
        <f t="array" ref="AO27">IF((INDEX(SETUP!$F$19:$F$503,(MATCH(1,(SETUP!$B$19:$B$503=B27)*(SETUP!$D$19:$D$503=D27),0))))="Upfront",0,(IF((INDEX(SETUP!$F$19:$F$503,(MATCH(1,(SETUP!$B$19:$B$503=B27)*(SETUP!$D$19:$D$503=D27),0))))="At delivery",IF((INDEX(SETUP!$G$19:$G$503,(MATCH(1,(SETUP!$B$19:$B$503=B27)*(SETUP!$D$19:$D$503=D27),0))))=4,(SUMPRODUCT(('C19RM 2021-Lab &amp; Other HPS'!$A$228:$D$327=E27)*('C19RM 2021-Lab &amp; Other HPS'!$BH$228:$BH$327=BJ27)*('C19RM 2021-Lab &amp; Other HPS'!$BS$228:$BS$327)*(('C19RM 2021-Lab &amp; Other HPS'!$AV$228:$AV$327)))),IF((INDEX(SETUP!$G$19:$G$503,(MATCH(1,(SETUP!$B$19:$B$503=B27)*(SETUP!$D$19:$D$503=D27),0))))=3,(0),IF((INDEX(SETUP!$G$19:$G$503,(MATCH(1,(SETUP!$B$19:$B$503=B27)*(SETUP!$D$19:$D$503=D27),0))))=2,(0),IF((INDEX(SETUP!$G$19:$G$503,(MATCH(1,(SETUP!$B$19:$B$503=B27)*(SETUP!$D$19:$D$503=D27),0))))=1,(0),0)))),0)))</f>
        <v>0</v>
      </c>
      <c r="AP27" s="359"/>
      <c r="AQ27" s="359"/>
      <c r="AR27" s="359"/>
      <c r="AS27" s="359"/>
      <c r="AT27" s="359" cm="1">
        <f t="array" ref="AT27">IF(BG27&gt;=1,0,IFERROR(SUMPRODUCT(($R$2:$AO$2=$AT$4)*($E$5:$E$100=E27)*($BC$5:$BC$100=BC27)*($R$5:$AO$100)),0))</f>
        <v>0</v>
      </c>
      <c r="AU27" s="359" cm="1">
        <f t="array" ref="AU27">IF(BG27&gt;=1,0,IFERROR(SUMPRODUCT(($R$2:$AO$2=$AU$4)*($E$5:$E$100=E27)*($BC$5:$BC$100=BC27)*($R$5:$AO$100)),0))</f>
        <v>0</v>
      </c>
      <c r="AV27" s="359" cm="1">
        <f t="array" ref="AV27">IF(BG27&gt;=1,0,IFERROR(SUMPRODUCT(($R$2:$AO$2=$AV$4)*($E$5:$E$100=E27)*($BC$5:$BC$100=BC27)*($R$5:$AO$100)),0))</f>
        <v>0</v>
      </c>
      <c r="AW27" s="359" cm="1">
        <f t="array" ref="AW27">IF(BG27&gt;=1,0,IFERROR(SUMPRODUCT(($R$2:$AO$2=$AW$4)*($E$5:$E$100=E27)*($BC$5:$BC$100=BC27)*($R$5:$AO$100)),0))</f>
        <v>0</v>
      </c>
      <c r="AX27" s="359" cm="1">
        <f t="array" ref="AX27">IF(BG27&gt;=1,0,IFERROR(SUMPRODUCT(($R$2:$AO$2=$AX$4)*($E$5:$E$100=E27)*($BC$5:$BC$100=BC27)*($R$5:$AO$100)),0))</f>
        <v>0</v>
      </c>
      <c r="AY27" s="359">
        <f t="shared" si="5"/>
        <v>0</v>
      </c>
      <c r="AZ27" s="359"/>
      <c r="BA27" s="233">
        <f t="shared" si="6"/>
        <v>0</v>
      </c>
      <c r="BB27" s="220" t="s">
        <v>83</v>
      </c>
      <c r="BC27" t="s">
        <v>181</v>
      </c>
      <c r="BD27" cm="1">
        <f t="array" ref="BD27">(SUMPRODUCT(('C19RM 2021-Lab &amp; Other HPS'!$A$14:$D$650=E27)*('C19RM 2021-Lab &amp; Other HPS'!$BU$14:$BU$650)))</f>
        <v>0</v>
      </c>
      <c r="BE27" cm="1">
        <f t="array" ref="BE27">(SUMPRODUCT((SETUP!$D$20:$D$67=D27)*(SETUP!$R$20:$R$67)))</f>
        <v>0</v>
      </c>
      <c r="BF27" cm="1">
        <f t="array" ref="BF27">(SUMPRODUCT(('C19RM 2021-Lab &amp; Other HPS'!$A$14:$D$650=E27)*('C19RM 2021-Lab &amp; Other HPS'!$BV$14:$BV$650)))</f>
        <v>0</v>
      </c>
      <c r="BG27">
        <f t="shared" si="25"/>
        <v>0</v>
      </c>
      <c r="BJ27" s="235">
        <v>5.8</v>
      </c>
    </row>
    <row r="28" spans="1:62" x14ac:dyDescent="0.35">
      <c r="A28" s="235">
        <v>3</v>
      </c>
      <c r="B28" s="220" t="s">
        <v>2750</v>
      </c>
      <c r="C28" s="235" t="s">
        <v>3194</v>
      </c>
      <c r="D28" s="235" t="s">
        <v>23</v>
      </c>
      <c r="E28" s="235" t="s">
        <v>2762</v>
      </c>
      <c r="F28" s="220">
        <f>SETUP!$E$3</f>
        <v>0</v>
      </c>
      <c r="G28" s="220" t="str">
        <f ca="1">SETUP!$J$5</f>
        <v>NA</v>
      </c>
      <c r="H28" s="220" t="str">
        <f>SETUP!$E$9</f>
        <v>C19RM</v>
      </c>
      <c r="I28" s="232">
        <f t="shared" si="22"/>
        <v>44197</v>
      </c>
      <c r="J28" s="232">
        <f>SETUP!$L$14</f>
        <v>46022</v>
      </c>
      <c r="K28" s="220">
        <f>IFERROR(VLOOKUP(E28,'Master Data-C19RM'!$A$5:$B$35,2,0),0)</f>
        <v>0</v>
      </c>
      <c r="L28">
        <f t="shared" si="23"/>
        <v>0</v>
      </c>
      <c r="M28">
        <f>SETUP!$E$7</f>
        <v>0</v>
      </c>
      <c r="N28">
        <f>SETUP!$F$76</f>
        <v>6.1</v>
      </c>
      <c r="O28" t="str" cm="1">
        <f t="array" ref="O28">INDEX(SETUP!$E$19:$E$503,(MATCH(1,(SETUP!$B$19:$B$503=B28)*(SETUP!$D$19:$D$503=D28),0)))</f>
        <v>PR/SR</v>
      </c>
      <c r="P28" t="str" cm="1">
        <f t="array" ref="P28">INDEX(SETUP!$F$19:$F$503,(MATCH(1,(SETUP!$B$19:$B$503=B28)*(SETUP!$D$19:$D$503=D28),0)))</f>
        <v>At delivery</v>
      </c>
      <c r="Q28" cm="1">
        <f t="array" ref="Q28">INDEX(SETUP!$G$19:$G$503,(MATCH(1,(SETUP!$B$19:$B$503=B28)*(SETUP!$D$19:$D$503=D28),0)))</f>
        <v>1</v>
      </c>
      <c r="R28" s="359" cm="1">
        <f t="array" ref="R28">IF((INDEX(SETUP!$F$19:$F$503,(MATCH(1,(SETUP!$B$19:$B$503=B28)*(SETUP!$D$19:$D$503=D28),0))))="Upfront",(SUMPRODUCT(('C19RM 2021-Lab &amp; Other HPS'!$A$228:$D$327=E28)*('C19RM 2021-Lab &amp; Other HPS'!$BH$228:$BH$327=BJ28)*('C19RM 2021-Lab &amp; Other HPS'!$BO$228:$BO$327)*(('C19RM 2021-Lab &amp; Other HPS'!$Q$228:$Q$327)))),0)</f>
        <v>0</v>
      </c>
      <c r="S28" s="359" cm="1">
        <f t="array" ref="S28">IF((INDEX(SETUP!$F$19:$F$503,(MATCH(1,(SETUP!$B$19:$B$503=B28)*(SETUP!$D$19:$D$503=D28),0))))="Upfront",(SUMPRODUCT(('C19RM 2021-Lab &amp; Other HPS'!$A$228:$D$327=E28)*('C19RM 2021-Lab &amp; Other HPS'!$BH$228:$BH$327=BJ28)*('C19RM 2021-Lab &amp; Other HPS'!$BO$228:$BO$327)*(('C19RM 2021-Lab &amp; Other HPS'!$R$228:$R$327)))),(IF((INDEX(SETUP!$F$19:$F$503,(MATCH(1,(SETUP!$B$19:$B$503=B28)*(SETUP!$D$19:$D$503=D28),0))))="At delivery",IF((INDEX(SETUP!$G$19:$G$503,(MATCH(1,(SETUP!$B$19:$B$503=B28)*(SETUP!$D$19:$D$503=D28),0))))=1,(SUMPRODUCT(('C19RM 2021-Lab &amp; Other HPS'!$A$228:$D$327=E28)*('C19RM 2021-Lab &amp; Other HPS'!$BH$228:$BH$327=BJ28)*('C19RM 2021-Lab &amp; Other HPS'!$BO$228:$BO$327)*(('C19RM 2021-Lab &amp; Other HPS'!$Q$228:$Q$327)))),0),0)))</f>
        <v>0</v>
      </c>
      <c r="T28" s="359" cm="1">
        <f t="array" ref="T28">IF((INDEX(SETUP!$F$19:$F$503,(MATCH(1,(SETUP!$B$19:$B$503=B28)*(SETUP!$D$19:$D$503=D28),0))))="Upfront",(SUMPRODUCT(('C19RM 2021-Lab &amp; Other HPS'!$A$228:$D$327=E28)*('C19RM 2021-Lab &amp; Other HPS'!$BH$228:$BH$327=BJ28)*('C19RM 2021-Lab &amp; Other HPS'!$BO$228:$BO$327)*(('C19RM 2021-Lab &amp; Other HPS'!$S$228:$S$327)))),(IF((INDEX(SETUP!$F$19:$F$503,(MATCH(1,(SETUP!$B$19:$B$503=B28)*(SETUP!$D$19:$D$503=D28),0))))="At delivery",IF((INDEX(SETUP!$G$19:$G$503,(MATCH(1,(SETUP!$B$19:$B$503=B28)*(SETUP!$D$19:$D$503=D28),0))))=2,(SUMPRODUCT(('C19RM 2021-Lab &amp; Other HPS'!$A$228:$D$327=E28)*('C19RM 2021-Lab &amp; Other HPS'!$BH$228:$BH$327=BJ28)*('C19RM 2021-Lab &amp; Other HPS'!$BO$228:$BO$327)*(('C19RM 2021-Lab &amp; Other HPS'!$Q$228:$Q$327)))),IF((INDEX(SETUP!$G$19:$G$503,(MATCH(1,(SETUP!$B$19:$B$503=B28)*(SETUP!$D$19:$D$503=D28),0))))=1,(SUMPRODUCT(('C19RM 2021-Lab &amp; Other HPS'!$A$228:$D$327=E28)*('C19RM 2021-Lab &amp; Other HPS'!$BH$228:$BH$327=BJ28)*('C19RM 2021-Lab &amp; Other HPS'!$BO$228:$BO$327)*(('C19RM 2021-Lab &amp; Other HPS'!$R$228:$R$327)))),0)),0)))</f>
        <v>0</v>
      </c>
      <c r="U28" s="359" cm="1">
        <f t="array" ref="U28">IF((INDEX(SETUP!$F$19:$F$503,(MATCH(1,(SETUP!$B$19:$B$503=B28)*(SETUP!$D$19:$D$503=D28),0))))="Upfront",(SUMPRODUCT(('C19RM 2021-Lab &amp; Other HPS'!$A$228:$D$327=E28)*('C19RM 2021-Lab &amp; Other HPS'!$BH$228:$BH$327=BJ28)*('C19RM 2021-Lab &amp; Other HPS'!$BO$228:$BO$327)*(('C19RM 2021-Lab &amp; Other HPS'!$T$228:$T$327)))),(IF((INDEX(SETUP!$F$19:$F$503,(MATCH(1,(SETUP!$B$19:$B$503=B28)*(SETUP!$D$19:$D$503=D28),0))))="At delivery",IF((INDEX(SETUP!$G$19:$G$503,(MATCH(1,(SETUP!$B$19:$B$503=B28)*(SETUP!$D$19:$D$503=D28),0))))=3,(SUMPRODUCT(('C19RM 2021-Lab &amp; Other HPS'!$A$228:$D$327=E28)*('C19RM 2021-Lab &amp; Other HPS'!$BH$228:$BH$327=BJ28)*('C19RM 2021-Lab &amp; Other HPS'!$BO$228:$BO$327)*(('C19RM 2021-Lab &amp; Other HPS'!$Q$228:$Q$327)))),IF((INDEX(SETUP!$G$19:$G$503,(MATCH(1,(SETUP!$B$19:$B$503=B28)*(SETUP!$D$19:$D$503=D28),0))))=2,(SUMPRODUCT(('C19RM 2021-Lab &amp; Other HPS'!$A$228:$D$327=E28)*('C19RM 2021-Lab &amp; Other HPS'!$BH$228:$BH$327=BJ28)*('C19RM 2021-Lab &amp; Other HPS'!$BO$228:$BO$327)*(('C19RM 2021-Lab &amp; Other HPS'!$R$228:$R$327)))),IF((INDEX(SETUP!$G$19:$G$503,(MATCH(1,(SETUP!$B$19:$B$503=B28)*(SETUP!$D$19:$D$503=D28),0))))=1,(SUMPRODUCT(('C19RM 2021-Lab &amp; Other HPS'!$A$228:$D$327=E28)*('C19RM 2021-Lab &amp; Other HPS'!$BH$228:$BH$327=BJ28)*('C19RM 2021-Lab &amp; Other HPS'!$BO$228:$BO$327)*(('C19RM 2021-Lab &amp; Other HPS'!$S$228:$S$327)))),0))),0)))</f>
        <v>0</v>
      </c>
      <c r="V28" s="359" cm="1">
        <f t="array" ref="V28">IF((INDEX(SETUP!$F$19:$F$503,(MATCH(1,(SETUP!$B$19:$B$503=B28)*(SETUP!$D$19:$D$503=D28),0))))="Upfront",(SUMPRODUCT(('C19RM 2021-Lab &amp; Other HPS'!$A$228:$D$327=E28)*('C19RM 2021-Lab &amp; Other HPS'!$BH$228:$BH$327=BJ28)*('C19RM 2021-Lab &amp; Other HPS'!$BP$228:$BP$327)*(('C19RM 2021-Lab &amp; Other HPS'!$X$228:$X$327)))),(IF((INDEX(SETUP!$F$19:$F$503,(MATCH(1,(SETUP!$B$19:$B$503=B28)*(SETUP!$D$19:$D$503=D28),0))))="At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HPS'!$Q$228:$Q$327)))),IF((INDEX(SETUP!$G$19:$G$503,(MATCH(1,(SETUP!$B$19:$B$503=B28)*(SETUP!$D$19:$D$503=D28),0))))=3,(SUMPRODUCT(('C19RM 2021-Lab &amp; Other HPS'!$A$228:$D$327=E28)*('C19RM 2021-Lab &amp; Other HPS'!$BH$228:$BH$327=BJ28)*('C19RM 2021-Lab &amp; Other HPS'!$BO$228:$BO$327)*(('C19RM 2021-Lab &amp; Other HPS'!$R$228:$R$327)))),IF((INDEX(SETUP!$G$19:$G$503,(MATCH(1,(SETUP!$B$19:$B$503=B28)*(SETUP!$D$19:$D$503=D28),0))))=2,(SUMPRODUCT(('C19RM 2021-Lab &amp; Other HPS'!$A$228:$D$327=E28)*('C19RM 2021-Lab &amp; Other HPS'!$BH$228:$BH$327=BJ28)*('C19RM 2021-Lab &amp; Other HPS'!$BO$228:$BO$327)*(('C19RM 2021-Lab &amp; Other HPS'!$S$228:$S$327)))),IF((INDEX(SETUP!$G$19:$G$503,(MATCH(1,(SETUP!$B$19:$B$503=B28)*(SETUP!$D$19:$D$503=D28),0))))=1,(SUMPRODUCT(('C19RM 2021-Lab &amp; Other HPS'!$A$228:$D$327=E28)*('C19RM 2021-Lab &amp; Other HPS'!$BH$228:$BH$327=BJ28)*('C19RM 2021-Lab &amp; Other HPS'!$BO$228:$BO$327)*(('C19RM 2021-Lab &amp; Other HPS'!$T$228:$T$327)))),0)))),0)))</f>
        <v>0</v>
      </c>
      <c r="W28" s="359" cm="1">
        <f t="array" ref="W28">IF((INDEX(SETUP!$F$19:$F$503,(MATCH(1,(SETUP!$B$19:$B$503=B28)*(SETUP!$D$19:$D$503=D28),0))))="Upfront",(SUMPRODUCT(('C19RM 2021-Lab &amp; Other HPS'!$A$228:$D$327=E28)*('C19RM 2021-Lab &amp; Other HPS'!$BH$228:$BH$327=BJ28)*('C19RM 2021-Lab &amp; Other HPS'!$BP$228:$BP$327)*(('C19RM 2021-Lab &amp; Other HPS'!$Y$228:$Y$327)))),(IF((INDEX(SETUP!$F$19:$F$503,(MATCH(1,(SETUP!$B$19:$B$503=B28)*(SETUP!$D$19:$D$503=D28),0))))="At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HPS'!$R$228:$R$327)))),IF((INDEX(SETUP!$G$19:$G$503,(MATCH(1,(SETUP!$B$19:$B$503=B28)*(SETUP!$D$19:$D$503=D28),0))))=3,(SUMPRODUCT(('C19RM 2021-Lab &amp; Other HPS'!$A$228:$D$327=E28)*('C19RM 2021-Lab &amp; Other HPS'!$BH$228:$BH$327=BJ28)*('C19RM 2021-Lab &amp; Other HPS'!$BO$228:$BO$327)*(('C19RM 2021-Lab &amp; Other HPS'!$S$228:$S$327)))),IF((INDEX(SETUP!$G$19:$G$503,(MATCH(1,(SETUP!$B$19:$B$503=B28)*(SETUP!$D$19:$D$503=D28),0))))=2,((SUMPRODUCT(('C19RM 2021-Lab &amp; Other HPS'!$A$228:$D$327=E28)*('C19RM 2021-Lab &amp; Other HPS'!$BH$228:$BH$327=BJ28)*('C19RM 2021-Lab &amp; Other HPS'!$BO$228:$BO$327)*(('C19RM 2021-Lab &amp; Other HPS'!$T$228:$T$327))))),IF((INDEX(SETUP!$G$19:$G$503,(MATCH(1,(SETUP!$B$19:$B$503=B28)*(SETUP!$D$19:$D$503=D28),0))))=1,(SUMPRODUCT(('C19RM 2021-Lab &amp; Other HPS'!$A$228:$D$327=E28)*('C19RM 2021-Lab &amp; Other HPS'!$BH$228:$BH$327=BJ28)*('C19RM 2021-Lab &amp; Other HPS'!$BP$228:$BP$327)*(('C19RM 2021-Lab &amp; Other HPS'!$X$228:$X$327)))),0)))),0)))</f>
        <v>0</v>
      </c>
      <c r="X28" s="359" cm="1">
        <f t="array" ref="X28">IF((INDEX(SETUP!$F$19:$F$503,(MATCH(1,(SETUP!$B$19:$B$503=B28)*(SETUP!$D$19:$D$503=D28),0))))="Upfront",(SUMPRODUCT(('C19RM 2021-Lab &amp; Other HPS'!$A$228:$D$327=E28)*('C19RM 2021-Lab &amp; Other HPS'!$BH$228:$BH$327=BJ28)*('C19RM 2021-Lab &amp; Other HPS'!$BP$228:$BP$327)*(('C19RM 2021-Lab &amp; Other HPS'!$Z$228:$Z$327)))),(IF((INDEX(SETUP!$F$19:$F$503,(MATCH(1,(SETUP!$B$19:$B$503=B28)*(SETUP!$D$19:$D$503=D28),0))))="At delivery",IF((INDEX(SETUP!$G$19:$G$503,(MATCH(1,(SETUP!$B$19:$B$503=B28)*(SETUP!$D$19:$D$503=D28),0))))=4,(SUMPRODUCT(('C19RM 2021-Lab &amp; Other HPS'!$A$228:$D$327=E28)*('C19RM 2021-Lab &amp; Other HPS'!$BH$228:$BH$327=BJ28)*('C19RM 2021-Lab &amp; Other HPS'!$BO$228:$BO$327)*(('C19RM 2021-Lab &amp; Other HPS'!$S$228:$S$327)))),IF((INDEX(SETUP!$G$19:$G$503,(MATCH(1,(SETUP!$B$19:$B$503=B28)*(SETUP!$D$19:$D$503=D28),0))))=3,((SUMPRODUCT(('C19RM 2021-Lab &amp; Other HPS'!$A$228:$D$327=E28)*('C19RM 2021-Lab &amp; Other HPS'!$BH$228:$BH$327=BJ28)*('C19RM 2021-Lab &amp; Other HPS'!$BO$228:$BO$327)*(('C19RM 2021-Lab &amp; Other HPS'!$T$228:$T$327))))),IF((INDEX(SETUP!$G$19:$G$503,(MATCH(1,(SETUP!$B$19:$B$503=B28)*(SETUP!$D$19:$D$503=D28),0))))=2,(SUMPRODUCT(('C19RM 2021-Lab &amp; Other HPS'!$A$228:$D$327=E28)*('C19RM 2021-Lab &amp; Other HPS'!$BH$228:$BH$327=BJ28)*('C19RM 2021-Lab &amp; Other HPS'!$BP$228:$BP$327)*(('C19RM 2021-Lab &amp; Other HPS'!$X$228:$X$327)))),IF((INDEX(SETUP!$G$19:$G$503,(MATCH(1,(SETUP!$B$19:$B$503=B28)*(SETUP!$D$19:$D$503=D28),0))))=1,(SUMPRODUCT(('C19RM 2021-Lab &amp; Other HPS'!$A$228:$D$327=E28)*('C19RM 2021-Lab &amp; Other HPS'!$BH$228:$BH$327=BJ28)*('C19RM 2021-Lab &amp; Other HPS'!$BP$228:$BP$327)*(('C19RM 2021-Lab &amp; Other HPS'!$Y$228:$Y$327)))),0)))),0)))</f>
        <v>0</v>
      </c>
      <c r="Y28" s="359" cm="1">
        <f t="array" ref="Y28">IF((INDEX(SETUP!$F$19:$F$503,(MATCH(1,(SETUP!$B$19:$B$503=B28)*(SETUP!$D$19:$D$503=D28),0))))="Upfront",
(SUMPRODUCT(('C19RM 2021-Lab &amp; Other HPS'!$A$228:$D$327=E28)*('C19RM 2021-Lab &amp; Other HPS'!$BH$228:$BH$327=BJ28)*('C19RM 2021-Lab &amp; Other HPS'!$BP$228:$BP$327)*(('C19RM 2021-Lab &amp; Other HPS'!$AA$228:$AA$327)))),
(IF((INDEX(SETUP!$F$19:$F$503,(MATCH(1,(SETUP!$B$19:$B$503=B28)*(SETUP!$D$19:$D$503=D28),0))))="At delivery",
IF((INDEX(SETUP!$G$19:$G$503,(MATCH(1,(SETUP!$B$19:$B$503=B28)*(SETUP!$D$19:$D$503=D28),0))))=4,
((SUMPRODUCT(('C19RM 2021-Lab &amp; Other HPS'!$A$228:$D$327=E28)*('C19RM 2021-Lab &amp; Other HPS'!$BH$228:$BH$327=BJ28)*('C19RM 2021-Lab &amp; Other HPS'!$BO$228:$BO$327)*(('C19RM 2021-Lab &amp; Other HPS'!$T$228:$T$327))))),IF((INDEX(SETUP!$G$19:$G$503,(MATCH(1,(SETUP!$B$19:$B$503=B28)*(SETUP!$D$19:$D$503=D28),0))))=3,(SUMPRODUCT(('C19RM 2021-Lab &amp; Other HPS'!$A$228:$D$327=E28)*('C19RM 2021-Lab &amp; Other HPS'!$BH$228:$BH$327=BJ28)*('C19RM 2021-Lab &amp; Other HPS'!$BP$228:$BP$327)*(('C19RM 2021-Lab &amp; Other HPS'!$X$228:$X$327)))),IF((INDEX(SETUP!$G$19:$G$503,(MATCH(1,(SETUP!$B$19:$B$503=B28)*(SETUP!$D$19:$D$503=D28),0))))=2,(SUMPRODUCT(('C19RM 2021-Lab &amp; Other HPS'!$A$228:$D$327=E28)*('C19RM 2021-Lab &amp; Other HPS'!$BH$228:$BH$327=BJ28)*('C19RM 2021-Lab &amp; Other HPS'!$BP$228:$BP$327)*(('C19RM 2021-Lab &amp; Other HPS'!$Y$228:$Y$327)))),IF((INDEX(SETUP!$G$19:$G$503,(MATCH(1,(SETUP!$B$19:$B$503=B28)*(SETUP!$D$19:$D$503=D28),0))))=1,(SUMPRODUCT(('C19RM 2021-Lab &amp; Other HPS'!$A$228:$D$327=E28)*('C19RM 2021-Lab &amp; Other HPS'!$BH$228:$BH$327=BJ28)*('C19RM 2021-Lab &amp; Other HPS'!$BP$228:$BP$327)*(('C19RM 2021-Lab &amp; Other HPS'!$Z$228:$Z$327)))),0)))),0)))</f>
        <v>0</v>
      </c>
      <c r="Z28" s="359" cm="1">
        <f t="array" ref="Z28">IF((INDEX(SETUP!$F$19:$F$503,(MATCH(1,(SETUP!$B$19:$B$503=B28)*(SETUP!$D$19:$D$503=D28),0))))="Upfront",(SUMPRODUCT(('C19RM 2021-Lab &amp; Other HPS'!$A$228:$D$327=E28)*('C19RM 2021-Lab &amp; Other HPS'!$BH$228:$BH$327=BJ28)*('C19RM 2021-Lab &amp; Other HPS'!$BQ$228:$BQ$327)*(('C19RM 2021-Lab &amp; Other HPS'!$AE$228:$AE$327)))),(IF((INDEX(SETUP!$F$19:$F$503,(MATCH(1,(SETUP!$B$19:$B$503=B28)*(SETUP!$D$19:$D$503=D28),0))))="At delivery",IF((INDEX(SETUP!$G$19:$G$503,(MATCH(1,(SETUP!$B$19:$B$503=B28)*(SETUP!$D$19:$D$503=D28),0))))=4,(SUMPRODUCT(('C19RM 2021-Lab &amp; Other HPS'!$A$228:$D$327=E28)*('C19RM 2021-Lab &amp; Other HPS'!$BH$228:$BH$327=BJ28)*('C19RM 2021-Lab &amp; Other HPS'!$BP$228:$BP$327)*(('C19RM 2021-Lab &amp; Other HPS'!$X$228:$X$327)))),IF((INDEX(SETUP!$G$19:$G$503,(MATCH(1,(SETUP!$B$19:$B$503=B28)*(SETUP!$D$19:$D$503=D28),0))))=3,(SUMPRODUCT(('C19RM 2021-Lab &amp; Other HPS'!$A$228:$D$327=E28)*('C19RM 2021-Lab &amp; Other HPS'!$BH$228:$BH$327=BJ28)*('C19RM 2021-Lab &amp; Other HPS'!$BP$228:$BP$327)*(('C19RM 2021-Lab &amp; Other HPS'!$Y$228:$Y$327)))),IF((INDEX(SETUP!$G$19:$G$503,(MATCH(1,(SETUP!$B$19:$B$503=B28)*(SETUP!$D$19:$D$503=D28),0))))=2,(SUMPRODUCT(('C19RM 2021-Lab &amp; Other HPS'!$A$228:$D$327=E28)*('C19RM 2021-Lab &amp; Other HPS'!$BH$228:$BH$327=BJ28)*('C19RM 2021-Lab &amp; Other HPS'!$BP$228:$BP$327)*(('C19RM 2021-Lab &amp; Other HPS'!$Z$228:$Z$327)))),IF((INDEX(SETUP!$G$19:$G$503,(MATCH(1,(SETUP!$B$19:$B$503=B28)*(SETUP!$D$19:$D$503=D28),0))))=1,(SUMPRODUCT(('C19RM 2021-Lab &amp; Other HPS'!$A$228:$D$327=E28)*('C19RM 2021-Lab &amp; Other HPS'!$BH$228:$BH$327=BJ28)*('C19RM 2021-Lab &amp; Other HPS'!$BP$228:$BP$327)*(('C19RM 2021-Lab &amp; Other HPS'!$AA$228:$AA$327)))),0)))),0)))</f>
        <v>0</v>
      </c>
      <c r="AA28" s="359" cm="1">
        <f t="array" ref="AA28">IF((INDEX(SETUP!$F$19:$F$503,(MATCH(1,(SETUP!$B$19:$B$503=B28)*(SETUP!$D$19:$D$503=D28),0))))="Upfront",(SUMPRODUCT(('C19RM 2021-Lab &amp; Other HPS'!$A$228:$D$327=E28)*('C19RM 2021-Lab &amp; Other HPS'!$BH$228:$BH$327=BJ28)*('C19RM 2021-Lab &amp; Other HPS'!$BQ$228:$BQ$327)*(('C19RM 2021-Lab &amp; Other HPS'!$AF$228:$AF$327)))),(IF((INDEX(SETUP!$F$19:$F$503,(MATCH(1,(SETUP!$B$19:$B$503=B28)*(SETUP!$D$19:$D$503=D28),0))))="At delivery",IF((INDEX(SETUP!$G$19:$G$503,(MATCH(1,(SETUP!$B$19:$B$503=B28)*(SETUP!$D$19:$D$503=D28),0))))=4,(SUMPRODUCT(('C19RM 2021-Lab &amp; Other HPS'!$A$228:$D$327=E28)*('C19RM 2021-Lab &amp; Other HPS'!$BH$228:$BH$327=BJ28)*('C19RM 2021-Lab &amp; Other HPS'!$BP$228:$BP$327)*(('C19RM 2021-Lab &amp; Other HPS'!$Y$228:$Y$327)))),IF((INDEX(SETUP!$G$19:$G$503,(MATCH(1,(SETUP!$B$19:$B$503=B28)*(SETUP!$D$19:$D$503=D28),0))))=3,(SUMPRODUCT(('C19RM 2021-Lab &amp; Other HPS'!$A$228:$D$327=E28)*('C19RM 2021-Lab &amp; Other HPS'!$BH$228:$BH$327=BJ28)*('C19RM 2021-Lab &amp; Other HPS'!$BP$228:$BP$327)*(('C19RM 2021-Lab &amp; Other HPS'!$Z$228:$Z$327)))),IF((INDEX(SETUP!$G$19:$G$503,(MATCH(1,(SETUP!$B$19:$B$503=B28)*(SETUP!$D$19:$D$503=D28),0))))=2,((SUMPRODUCT(('C19RM 2021-Lab &amp; Other HPS'!$A$228:$D$327=E28)*('C19RM 2021-Lab &amp; Other HPS'!$BH$228:$BH$327=BJ28)*('C19RM 2021-Lab &amp; Other HPS'!$BP$228:$BP$327)*(('C19RM 2021-Lab &amp; Other HPS'!$AA$228:$AA$327))))),IF((INDEX(SETUP!$G$19:$G$503,(MATCH(1,(SETUP!$B$19:$B$503=B28)*(SETUP!$D$19:$D$503=D28),0))))=1,(SUMPRODUCT(('C19RM 2021-Lab &amp; Other HPS'!$A$228:$D$327=E28)*('C19RM 2021-Lab &amp; Other HPS'!$BH$228:$BH$327=BJ28)*('C19RM 2021-Lab &amp; Other HPS'!$BQ$228:$BQ$327)*(('C19RM 2021-Lab &amp; Other HPS'!$AE$228:$AE$327)))),0)))),0)))</f>
        <v>0</v>
      </c>
      <c r="AB28" s="359" cm="1">
        <f t="array" ref="AB28">IF((INDEX(SETUP!$F$19:$F$503,(MATCH(1,(SETUP!$B$19:$B$503=B28)*(SETUP!$D$19:$D$503=D28),0))))="Upfront",
(SUMPRODUCT(('C19RM 2021-Lab &amp; Other HPS'!$A$228:$D$327=E28)*('C19RM 2021-Lab &amp; Other HPS'!$BH$228:$BH$327=BJ28)*('C19RM 2021-Lab &amp; Other HPS'!$BQ$228:$BQ$327)*(('C19RM 2021-Lab &amp; Other HPS'!$AG$228:$AG$327)))),
(IF((INDEX(SETUP!$F$19:$F$503,(MATCH(1,(SETUP!$B$19:$B$503=B28)*(SETUP!$D$19:$D$503=D28),0))))="At delivery",
IF((INDEX(SETUP!$G$19:$G$503,(MATCH(1,(SETUP!$B$19:$B$503=B28)*(SETUP!$D$19:$D$503=D28),0))))=4,
(SUMPRODUCT(('C19RM 2021-Lab &amp; Other HPS'!$A$228:$D$327=E28)*('C19RM 2021-Lab &amp; Other HPS'!$BH$228:$BH$327=BJ28)*('C19RM 2021-Lab &amp; Other HPS'!$BP$228:$BP$327)*(('C19RM 2021-Lab &amp; Other HPS'!$Z$228:$Z$327)))),IF((INDEX(SETUP!$G$19:$G$503,(MATCH(1,(SETUP!$B$19:$B$503=B28)*(SETUP!$D$19:$D$503=D28),0))))=3,(SUMPRODUCT(('C19RM 2021-Lab &amp; Other HPS'!$A$228:$D$327=E28)*('C19RM 2021-Lab &amp; Other HPS'!$BH$228:$BH$327=BJ28)*('C19RM 2021-Lab &amp; Other HPS'!$BP$228:$BP$327)*(('C19RM 2021-Lab &amp; Other HPS'!$AA$228:$AA$327)))),IF((INDEX(SETUP!$G$19:$G$503,(MATCH(1,(SETUP!$B$19:$B$503=B28)*(SETUP!$D$19:$D$503=D28),0))))=2,(SUMPRODUCT(('C19RM 2021-Lab &amp; Other HPS'!$A$228:$D$327=E28)*('C19RM 2021-Lab &amp; Other HPS'!$BH$228:$BH$327=BJ28)*('C19RM 2021-Lab &amp; Other HPS'!$BQ$228:$BQ$327)*(('C19RM 2021-Lab &amp; Other HPS'!$AE$228:$AE$327)))),IF((INDEX(SETUP!$G$19:$G$503,(MATCH(1,(SETUP!$B$19:$B$503=B28)*(SETUP!$D$19:$D$503=D28),0))))=1,(SUMPRODUCT(('C19RM 2021-Lab &amp; Other HPS'!$A$228:$D$327=E28)*('C19RM 2021-Lab &amp; Other HPS'!$BH$228:$BH$327=BJ28)*('C19RM 2021-Lab &amp; Other HPS'!$BQ$228:$BQ$327)*(('C19RM 2021-Lab &amp; Other HPS'!$AF$228:$AF$327)))),0)))),0)))</f>
        <v>0</v>
      </c>
      <c r="AC28" s="359" cm="1">
        <f t="array" ref="AC28">IF((INDEX(SETUP!$F$19:$F$503,(MATCH(1,(SETUP!$B$19:$B$503=B28)*(SETUP!$D$19:$D$503=D28),0))))="Upfront",
(SUMPRODUCT(('C19RM 2021-Lab &amp; Other HPS'!$A$228:$D$327=E28)*('C19RM 2021-Lab &amp; Other HPS'!$BH$228:$BH$327=BJ28)*('C19RM 2021-Lab &amp; Other HPS'!$BQ$228:$BQ$327)*(('C19RM 2021-Lab &amp; Other HPS'!$AH$228:$AH$327)))),
(IF((INDEX(SETUP!$F$19:$F$503,(MATCH(1,(SETUP!$B$19:$B$503=B28)*(SETUP!$D$19:$D$503=D28),0))))="At delivery",
IF((INDEX(SETUP!$G$19:$G$503,(MATCH(1,(SETUP!$B$19:$B$503=B28)*(SETUP!$D$19:$D$503=D28),0))))=4,
(SUMPRODUCT(('C19RM 2021-Lab &amp; Other HPS'!$A$228:$D$327=E28)*('C19RM 2021-Lab &amp; Other HPS'!$BH$228:$BH$327=BJ28)*('C19RM 2021-Lab &amp; Other HPS'!$BP$228:$BP$327)*(('C19RM 2021-Lab &amp; Other HPS'!$AA$228:$AA$327)))),IF((INDEX(SETUP!$G$19:$G$503,(MATCH(1,(SETUP!$B$19:$B$503=B28)*(SETUP!$D$19:$D$503=D28),0))))=3,(SUMPRODUCT(('C19RM 2021-Lab &amp; Other HPS'!$A$228:$D$327=E28)*('C19RM 2021-Lab &amp; Other HPS'!$BH$228:$BH$327=BJ28)*('C19RM 2021-Lab &amp; Other HPS'!$BQ$228:$BQ$327)*(('C19RM 2021-Lab &amp; Other HPS'!$AE$228:$AE$327)))),IF((INDEX(SETUP!$G$19:$G$503,(MATCH(1,(SETUP!$B$19:$B$503=B28)*(SETUP!$D$19:$D$503=D28),0))))=2,(SUMPRODUCT(('C19RM 2021-Lab &amp; Other HPS'!$A$228:$D$327=E28)*('C19RM 2021-Lab &amp; Other HPS'!$BH$228:$BH$327=BJ28)*('C19RM 2021-Lab &amp; Other HPS'!$BQ$228:$BQ$327)*(('C19RM 2021-Lab &amp; Other HPS'!$AF$228:$AF$327)))),IF((INDEX(SETUP!$G$19:$G$503,(MATCH(1,(SETUP!$B$19:$B$503=B28)*(SETUP!$D$19:$D$503=D28),0))))=1,(SUMPRODUCT(('C19RM 2021-Lab &amp; Other HPS'!$A$228:$D$327=E28)*('C19RM 2021-Lab &amp; Other HPS'!$BH$228:$BH$327=BJ28)*('C19RM 2021-Lab &amp; Other HPS'!$BQ$228:$BQ$327)*(('C19RM 2021-Lab &amp; Other HPS'!$AG$228:$AG$327)))),0)))),0)))</f>
        <v>0</v>
      </c>
      <c r="AD28" s="359" cm="1">
        <f t="array" ref="AD28">IF((INDEX(SETUP!$F$19:$F$503,(MATCH(1,(SETUP!$B$19:$B$503=B28)*(SETUP!$D$19:$D$503=D28),0))))="Upfront",
(SUMPRODUCT(('C19RM 2021-Lab &amp; Other HPS'!$A$228:$D$327=E28)*('C19RM 2021-Lab &amp; Other HPS'!$BH$228:$BH$327=BJ28)*('C19RM 2021-Lab &amp; Other HPS'!$BR$228:$BR$327)*(('C19RM 2021-Lab &amp; Other HPS'!$AL$228:$AL$327)))),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HPS'!$AE$228:$AE$327)))),IF((INDEX(SETUP!$G$19:$G$503,(MATCH(1,(SETUP!$B$19:$B$503=B28)*(SETUP!$D$19:$D$503=D28),0))))=3,((SUMPRODUCT(('C19RM 2021-Lab &amp; Other HPS'!$A$228:$D$327=E28)*('C19RM 2021-Lab &amp; Other HPS'!$BH$228:$BH$327=BJ28)*('C19RM 2021-Lab &amp; Other HPS'!$BQ$228:$BQ$327)*(('C19RM 2021-Lab &amp; Other HPS'!$AF$228:$AF$327))))),IF((INDEX(SETUP!$G$19:$G$503,(MATCH(1,(SETUP!$B$19:$B$503=B28)*(SETUP!$D$19:$D$503=D28),0))))=2,(SUMPRODUCT(('C19RM 2021-Lab &amp; Other HPS'!$A$228:$D$327=E28)*('C19RM 2021-Lab &amp; Other HPS'!$BH$228:$BH$327=BJ28)*('C19RM 2021-Lab &amp; Other HPS'!$BQ$228:$BQ$327)*(('C19RM 2021-Lab &amp; Other HPS'!$AG$228:$AG$327)))),IF((INDEX(SETUP!$G$19:$G$503,(MATCH(1,(SETUP!$B$19:$B$503=B28)*(SETUP!$D$19:$D$503=D28),0))))=1,(SUMPRODUCT(('C19RM 2021-Lab &amp; Other HPS'!$A$228:$D$327=E28)*('C19RM 2021-Lab &amp; Other HPS'!$BH$228:$BH$327=BJ28)*('C19RM 2021-Lab &amp; Other HPS'!$BQ$228:$BQ$327)*(('C19RM 2021-Lab &amp; Other HPS'!$AH$228:$AH$327)))),0)))),0)))</f>
        <v>0</v>
      </c>
      <c r="AE28" s="359" cm="1">
        <f t="array" ref="AE28">IF((INDEX(SETUP!$F$19:$F$503,(MATCH(1,(SETUP!$B$19:$B$503=B28)*(SETUP!$D$19:$D$503=D28),0))))="Upfront",
(SUMPRODUCT(('C19RM 2021-Lab &amp; Other HPS'!$A$228:$D$327=E28)*('C19RM 2021-Lab &amp; Other HPS'!$BH$228:$BH$327=BJ28)*('C19RM 2021-Lab &amp; Other HPS'!$BR$228:$BR$327)*(('C19RM 2021-Lab &amp; Other HPS'!$AM$228:$AM$327)))),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HPS'!$AF$228:$AF$327)))),IF((INDEX(SETUP!$G$19:$G$503,(MATCH(1,(SETUP!$B$19:$B$503=B28)*(SETUP!$D$19:$D$503=D28),0))))=3,(SUMPRODUCT(('C19RM 2021-Lab &amp; Other HPS'!$A$228:$D$327=E28)*('C19RM 2021-Lab &amp; Other HPS'!$BH$228:$BH$327=BJ28)*('C19RM 2021-Lab &amp; Other HPS'!$BQ$228:$BQ$327)*(('C19RM 2021-Lab &amp; Other HPS'!$AG$228:$AG$327)))),IF((INDEX(SETUP!$G$19:$G$503,(MATCH(1,(SETUP!$B$19:$B$503=B28)*(SETUP!$D$19:$D$503=D28),0))))=2,(SUMPRODUCT(('C19RM 2021-Lab &amp; Other HPS'!$A$228:$D$327=E28)*('C19RM 2021-Lab &amp; Other HPS'!$BH$228:$BH$327=BJ28)*('C19RM 2021-Lab &amp; Other HPS'!$BQ$228:$BQ$327)*(('C19RM 2021-Lab &amp; Other HPS'!$AH$228:$AH$327)))),IF((INDEX(SETUP!$G$19:$G$503,(MATCH(1,(SETUP!$B$19:$B$503=B28)*(SETUP!$D$19:$D$503=D28),0))))=1,(SUMPRODUCT(('C19RM 2021-Lab &amp; Other HPS'!$A$228:$D$327=E28)*('C19RM 2021-Lab &amp; Other HPS'!$BH$228:$BH$327=BJ28)*('C19RM 2021-Lab &amp; Other HPS'!$BR$228:$BR$327)*(('C19RM 2021-Lab &amp; Other HPS'!$AL$228:$AL$327)))),0)))),0)))</f>
        <v>0</v>
      </c>
      <c r="AF28" s="359" cm="1">
        <f t="array" ref="AF28">IF((INDEX(SETUP!$F$19:$F$503,(MATCH(1,(SETUP!$B$19:$B$503=B28)*(SETUP!$D$19:$D$503=D28),0))))="Upfront",
(SUMPRODUCT(('C19RM 2021-Lab &amp; Other HPS'!$A$228:$D$327=E28)*('C19RM 2021-Lab &amp; Other HPS'!$BH$228:$BH$327=BJ28)*('C19RM 2021-Lab &amp; Other HPS'!$BR$228:$BR$327)*(('C19RM 2021-Lab &amp; Other HPS'!$AN$228:$AN$327)))),
(IF((INDEX(SETUP!$F$19:$F$503,(MATCH(1,(SETUP!$B$19:$B$503=B28)*(SETUP!$D$19:$D$503=D28),0))))="At delivery",
IF((INDEX(SETUP!$G$19:$G$503,(MATCH(1,(SETUP!$B$19:$B$503=B28)*(SETUP!$D$19:$D$503=D28),0))))=4,
(SUMPRODUCT(('C19RM 2021-Lab &amp; Other HPS'!$A$228:$D$327=E28)*('C19RM 2021-Lab &amp; Other HPS'!$BH$228:$BH$327=BJ28)*('C19RM 2021-Lab &amp; Other HPS'!$BQ$228:$BQ$327)*(('C19RM 2021-Lab &amp; Other HPS'!$AG$228:$AG$327)))),IF((INDEX(SETUP!$G$19:$G$503,(MATCH(1,(SETUP!$B$19:$B$503=B28)*(SETUP!$D$19:$D$503=D28),0))))=3,(SUMPRODUCT(('C19RM 2021-Lab &amp; Other HPS'!$A$228:$D$327=E28)*('C19RM 2021-Lab &amp; Other HPS'!$BH$228:$BH$327=BJ28)*('C19RM 2021-Lab &amp; Other HPS'!$BQ$228:$BQ$327)*(('C19RM 2021-Lab &amp; Other HPS'!$AH$228:$AH$327)))),IF((INDEX(SETUP!$G$19:$G$503,(MATCH(1,(SETUP!$B$19:$B$503=B28)*(SETUP!$D$19:$D$503=D28),0))))=2,(SUMPRODUCT(('C19RM 2021-Lab &amp; Other HPS'!$A$228:$D$327=E28)*('C19RM 2021-Lab &amp; Other HPS'!$BH$228:$BH$327=BJ28)*('C19RM 2021-Lab &amp; Other HPS'!$BR$228:$BR$327)*(('C19RM 2021-Lab &amp; Other HPS'!$AL$228:$AL$327)))),IF((INDEX(SETUP!$G$19:$G$503,(MATCH(1,(SETUP!$B$19:$B$503=B28)*(SETUP!$D$19:$D$503=D28),0))))=1,(SUMPRODUCT(('C19RM 2021-Lab &amp; Other HPS'!$A$228:$D$327=E28)*('C19RM 2021-Lab &amp; Other HPS'!$BH$228:$BH$327=BJ28)*('C19RM 2021-Lab &amp; Other HPS'!$BR$228:$BR$327)*(('C19RM 2021-Lab &amp; Other HPS'!$AM$228:$AM$327)))),0)))),0)))</f>
        <v>0</v>
      </c>
      <c r="AG28" s="359" cm="1">
        <f t="array" ref="AG28">IF((INDEX(SETUP!$F$19:$F$503,(MATCH(1,(SETUP!$B$19:$B$503=B28)*(SETUP!$D$19:$D$503=D28),0))))="Upfront",(SUMPRODUCT(('C19RM 2021-Lab &amp; Other HPS'!$A$228:$D$327=E28)*('C19RM 2021-Lab &amp; Other HPS'!$BH$228:$BH$327=BJ28)*('C19RM 2021-Lab &amp; Other HPS'!$BR$228:$BR$327)*(('C19RM 2021-Lab &amp; Other HPS'!$AO$228:$AO$327)))),(IF((INDEX(SETUP!$F$19:$F$503,(MATCH(1,(SETUP!$B$19:$B$503=B28)*(SETUP!$D$19:$D$503=D28),0))))="At delivery",IF((INDEX(SETUP!$G$19:$G$503,(MATCH(1,(SETUP!$B$19:$B$503=B28)*(SETUP!$D$19:$D$503=D28),0))))=4,(SUMPRODUCT(('C19RM 2021-Lab &amp; Other HPS'!$A$228:$D$327=E28)*('C19RM 2021-Lab &amp; Other HPS'!$BH$228:$BH$327=BJ28)*('C19RM 2021-Lab &amp; Other HPS'!$BQ$228:$BQ$327)*(('C19RM 2021-Lab &amp; Other HPS'!$AH$228:$AH$327)))),IF((INDEX(SETUP!$G$19:$G$503,(MATCH(1,(SETUP!$B$19:$B$503=B28)*(SETUP!$D$19:$D$503=D28),0))))=3,(SUMPRODUCT(('C19RM 2021-Lab &amp; Other HPS'!$A$228:$D$327=E28)*('C19RM 2021-Lab &amp; Other HPS'!$BH$228:$BH$327=BJ28)*('C19RM 2021-Lab &amp; Other HPS'!$BR$228:$BR$327)*(('C19RM 2021-Lab &amp; Other HPS'!$AL$228:$AL$327)))),IF((INDEX(SETUP!$G$19:$G$503,(MATCH(1,(SETUP!$B$19:$B$503=B28)*(SETUP!$D$19:$D$503=D28),0))))=2,(SUMPRODUCT(('C19RM 2021-Lab &amp; Other HPS'!$A$228:$D$327=E28)*('C19RM 2021-Lab &amp; Other HPS'!$BH$228:$BH$327=BJ28)*('C19RM 2021-Lab &amp; Other HPS'!$BR$228:$BR$327)*(('C19RM 2021-Lab &amp; Other HPS'!$AM$228:$AM$327)))),IF((INDEX(SETUP!$G$19:$G$503,(MATCH(1,(SETUP!$B$19:$B$503=B28)*(SETUP!$D$19:$D$503=D28),0))))=1,(SUMPRODUCT(('C19RM 2021-Lab &amp; Other HPS'!$A$228:$D$327=E28)*('C19RM 2021-Lab &amp; Other HPS'!$BH$228:$BH$327=BJ28)*('C19RM 2021-Lab &amp; Other HPS'!$BR$228:$BR$327)*(('C19RM 2021-Lab &amp; Other HPS'!$AN$228:$AN$327)))),0)))),0)))</f>
        <v>0</v>
      </c>
      <c r="AH28" s="359" cm="1">
        <f t="array" ref="AH28">IF((INDEX(SETUP!$F$19:$F$503,(MATCH(1,(SETUP!$B$19:$B$503=B28)*(SETUP!$D$19:$D$503=D28),0))))="Upfront",
(SUMPRODUCT(('C19RM 2021-Lab &amp; Other HPS'!$A$228:$D$327=E28)*('C19RM 2021-Lab &amp; Other HPS'!$BH$228:$BH$327=BJ28)*('C19RM 2021-Lab &amp; Other HPS'!$BS$228:$BS$327)*(('C19RM 2021-Lab &amp; Other HPS'!$AS$228:$AS$327)))),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HPS'!$AL$228:$AL$327)))),IF((INDEX(SETUP!$G$19:$G$503,(MATCH(1,(SETUP!$B$19:$B$503=B28)*(SETUP!$D$19:$D$503=D28),0))))=3,((SUMPRODUCT(('C19RM 2021-Lab &amp; Other HPS'!$A$228:$D$327=E28)*('C19RM 2021-Lab &amp; Other HPS'!$BH$228:$BH$327=BJ28)*('C19RM 2021-Lab &amp; Other HPS'!$BR$228:$BR$327)*(('C19RM 2021-Lab &amp; Other HPS'!$AM$228:$AM$327))))),IF((INDEX(SETUP!$G$19:$G$503,(MATCH(1,(SETUP!$B$19:$B$503=B28)*(SETUP!$D$19:$D$503=D28),0))))=2,(SUMPRODUCT(('C19RM 2021-Lab &amp; Other HPS'!$A$228:$D$327=E28)*('C19RM 2021-Lab &amp; Other HPS'!$BH$228:$BH$327=BJ28)*('C19RM 2021-Lab &amp; Other HPS'!$BR$228:$BR$327)*(('C19RM 2021-Lab &amp; Other HPS'!$AN$228:$AN$327)))),IF((INDEX(SETUP!$G$19:$G$503,(MATCH(1,(SETUP!$B$19:$B$503=B28)*(SETUP!$D$19:$D$503=D28),0))))=1,(SUMPRODUCT(('C19RM 2021-Lab &amp; Other HPS'!$A$228:$D$327=E28)*('C19RM 2021-Lab &amp; Other HPS'!$BH$228:$BH$327=BJ28)*('C19RM 2021-Lab &amp; Other HPS'!$BR$228:$BR$327)*(('C19RM 2021-Lab &amp; Other HPS'!$AO$228:$AO$327)))),0)))),0)))</f>
        <v>0</v>
      </c>
      <c r="AI28" s="359" cm="1">
        <f t="array" ref="AI28">IF((INDEX(SETUP!$F$19:$F$503,(MATCH(1,(SETUP!$B$19:$B$503=B28)*(SETUP!$D$19:$D$503=D28),0))))="Upfront",
(SUMPRODUCT(('C19RM 2021-Lab &amp; Other HPS'!$A$228:$D$327=E28)*('C19RM 2021-Lab &amp; Other HPS'!$BS$228:$BS$327)*('C19RM 2021-Lab &amp; Other HPS'!$BH$228:$BH$327=BJ28)*(('C19RM 2021-Lab &amp; Other HPS'!$AT$228:$AT$327)))),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HPS'!$AM$228:$AM$327)))),IF((INDEX(SETUP!$G$19:$G$503,(MATCH(1,(SETUP!$B$19:$B$503=B28)*(SETUP!$D$19:$D$503=D28),0))))=3,((SUMPRODUCT(('C19RM 2021-Lab &amp; Other HPS'!$A$228:$D$327=E28)*('C19RM 2021-Lab &amp; Other HPS'!$BH$228:$BH$327=BJ28)*('C19RM 2021-Lab &amp; Other HPS'!$BR$228:$BR$327)*(('C19RM 2021-Lab &amp; Other HPS'!$AN$228:$AN$327))))),IF((INDEX(SETUP!$G$19:$G$503,(MATCH(1,(SETUP!$B$19:$B$503=B28)*(SETUP!$D$19:$D$503=D28),0))))=2,(SUMPRODUCT(('C19RM 2021-Lab &amp; Other HPS'!$A$228:$D$327=E28)*('C19RM 2021-Lab &amp; Other HPS'!$BH$228:$BH$327=BJ28)*('C19RM 2021-Lab &amp; Other HPS'!$BR$228:$BR$327)*(('C19RM 2021-Lab &amp; Other HPS'!$AO$228:$AO$327)))),IF((INDEX(SETUP!$G$19:$G$503,(MATCH(1,(SETUP!$B$19:$B$503=B28)*(SETUP!$D$19:$D$503=D28),0))))=1,(SUMPRODUCT(('C19RM 2021-Lab &amp; Other HPS'!$A$228:$D$327=E28)*('C19RM 2021-Lab &amp; Other HPS'!$BH$228:$BH$327=BJ28)*('C19RM 2021-Lab &amp; Other HPS'!$BS$228:$BS$327)*(('C19RM 2021-Lab &amp; Other HPS'!$AS$228:$AS$327)))),0)))),0)))</f>
        <v>0</v>
      </c>
      <c r="AJ28" s="359" cm="1">
        <f t="array" ref="AJ28">IF((INDEX(SETUP!$F$19:$F$503,(MATCH(1,(SETUP!$B$19:$B$503=B28)*(SETUP!$D$19:$D$503=D28),0))))="Upfront",
(SUMPRODUCT(('C19RM 2021-Lab &amp; Other HPS'!$A$228:$D$327=E28)*('C19RM 2021-Lab &amp; Other HPS'!$BH$228:$BH$327=BJ28)*('C19RM 2021-Lab &amp; Other HPS'!$BS$228:$BS$327)*(('C19RM 2021-Lab &amp; Other HPS'!$AU$228:$AU$327)))),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HPS'!$AN$228:$AN$327)))),IF((INDEX(SETUP!$G$19:$G$503,(MATCH(1,(SETUP!$B$19:$B$503=B28)*(SETUP!$D$19:$D$503=D28),0))))=3,((SUMPRODUCT(('C19RM 2021-Lab &amp; Other HPS'!$A$228:$D$327=E28)*('C19RM 2021-Lab &amp; Other HPS'!$BH$228:$BH$327=BJ28)*('C19RM 2021-Lab &amp; Other HPS'!$BR$228:$BR$327)*(('C19RM 2021-Lab &amp; Other HPS'!$AO$228:$AO$327))))),IF((INDEX(SETUP!$G$19:$G$503,(MATCH(1,(SETUP!$B$19:$B$503=B28)*(SETUP!$D$19:$D$503=D28),0))))=2,(SUMPRODUCT(('C19RM 2021-Lab &amp; Other HPS'!$A$228:$D$327=E28)*('C19RM 2021-Lab &amp; Other HPS'!$BH$228:$BH$327=BJ28)*('C19RM 2021-Lab &amp; Other HPS'!$BS$228:$BS$327)*(('C19RM 2021-Lab &amp; Other HPS'!$AS$228:$AS$327)))),IF((INDEX(SETUP!$G$19:$G$503,(MATCH(1,(SETUP!$B$19:$B$503=B28)*(SETUP!$D$19:$D$503=D28),0))))=1,(SUMPRODUCT(('C19RM 2021-Lab &amp; Other HPS'!$A$228:$D$327=E28)*('C19RM 2021-Lab &amp; Other HPS'!$BH$228:$BH$327=BJ28)*('C19RM 2021-Lab &amp; Other HPS'!$BS$228:$BS$327)*(('C19RM 2021-Lab &amp; Other HPS'!$AT$228:$AT$327)))),0)))),0)))</f>
        <v>0</v>
      </c>
      <c r="AK28" s="359" cm="1">
        <f t="array" ref="AK28">IF((INDEX(SETUP!$F$19:$F$503,(MATCH(1,(SETUP!$B$19:$B$503=B28)*(SETUP!$D$19:$D$503=D28),0))))="Upfront",
(SUMPRODUCT(('C19RM 2021-Lab &amp; Other HPS'!$A$228:$D$327=E28)*('C19RM 2021-Lab &amp; Other HPS'!$BH$228:$BH$327=BJ28)*('C19RM 2021-Lab &amp; Other HPS'!$BS$228:$BS$327)*(('C19RM 2021-Lab &amp; Other HPS'!$AV$228:$AV$327)))),
(IF((INDEX(SETUP!$F$19:$F$503,(MATCH(1,(SETUP!$B$19:$B$503=B28)*(SETUP!$D$19:$D$503=D28),0))))="At delivery",
IF((INDEX(SETUP!$G$19:$G$503,(MATCH(1,(SETUP!$B$19:$B$503=B28)*(SETUP!$D$19:$D$503=D28),0))))=4,
(SUMPRODUCT(('C19RM 2021-Lab &amp; Other HPS'!$A$228:$D$327=E28)*('C19RM 2021-Lab &amp; Other HPS'!$BH$228:$BH$327=BJ28)*('C19RM 2021-Lab &amp; Other HPS'!$BR$228:$BR$327)*(('C19RM 2021-Lab &amp; Other HPS'!$AO$228:$AO$327)))),IF((INDEX(SETUP!$G$19:$G$503,(MATCH(1,(SETUP!$B$19:$B$503=B28)*(SETUP!$D$19:$D$503=D28),0))))=3,((SUMPRODUCT(('C19RM 2021-Lab &amp; Other HPS'!$A$228:$D$327=E28)*('C19RM 2021-Lab &amp; Other HPS'!$BH$228:$BH$327=BJ28)*('C19RM 2021-Lab &amp; Other HPS'!$BS$228:$BS$327)*(('C19RM 2021-Lab &amp; Other HPS'!$AS$228:$AS$327))))),IF((INDEX(SETUP!$G$19:$G$503,(MATCH(1,(SETUP!$B$19:$B$503=B28)*(SETUP!$D$19:$D$503=D28),0))))=2,(SUMPRODUCT(('C19RM 2021-Lab &amp; Other HPS'!$A$228:$D$327=E28)*('C19RM 2021-Lab &amp; Other HPS'!$BH$228:$BH$327=BJ28)*('C19RM 2021-Lab &amp; Other HPS'!$BS$228:$BS$327)*(('C19RM 2021-Lab &amp; Other HPS'!$AT$228:$AT$327)))),IF((INDEX(SETUP!$G$19:$G$503,(MATCH(1,(SETUP!$B$19:$B$503=B28)*(SETUP!$D$19:$D$503=D28),0))))=1,(SUMPRODUCT(('C19RM 2021-Lab &amp; Other HPS'!$A$228:$D$327=E28)*('C19RM 2021-Lab &amp; Other HPS'!$BH$228:$BH$327=BJ28)*('C19RM 2021-Lab &amp; Other HPS'!$BS$228:$BS$327)*(('C19RM 2021-Lab &amp; Other HPS'!$AU$228:$AU$327)))),0)))),0)))</f>
        <v>0</v>
      </c>
      <c r="AL28" s="359" cm="1">
        <f t="array" ref="AL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HPS'!$AS$228:$AS$327)))),IF((INDEX(SETUP!$G$19:$G$503,(MATCH(1,(SETUP!$B$19:$B$503=B28)*(SETUP!$D$19:$D$503=D28),0))))=3,(SUMPRODUCT(('C19RM 2021-Lab &amp; Other HPS'!$A$228:$D$327=E28)*('C19RM 2021-Lab &amp; Other HPS'!$BH$228:$BH$327=BJ28)*('C19RM 2021-Lab &amp; Other HPS'!$BS$228:$BS$327)*(('C19RM 2021-Lab &amp; Other HPS'!$AT$228:$AT$327)))),IF((INDEX(SETUP!$G$19:$G$503,(MATCH(1,(SETUP!$B$19:$B$503=B28)*(SETUP!$D$19:$D$503=D28),0))))=2,(SUMPRODUCT(('C19RM 2021-Lab &amp; Other HPS'!$A$228:$D$327=E28)*('C19RM 2021-Lab &amp; Other HPS'!$BH$228:$BH$327=BJ28)*('C19RM 2021-Lab &amp; Other HPS'!$BS$228:$BS$327)*(('C19RM 2021-Lab &amp; Other HPS'!$AU$228:$AU$327)))),
IF((INDEX(SETUP!$G$19:$G$503,(MATCH(1,(SETUP!$B$19:$B$503=B28)*(SETUP!$D$19:$D$503=D28),0))))=1,
(SUMPRODUCT(('C19RM 2021-Lab &amp; Other HPS'!$A$228:$D$327=E28)*('C19RM 2021-Lab &amp; Other HPS'!$BH$228:$BH$327=BJ28)*('C19RM 2021-Lab &amp; Other HPS'!$BS$228:$BS$327)*(('C19RM 2021-Lab &amp; Other HPS'!$AV$228:$AV$327)))),0)))),0)))</f>
        <v>0</v>
      </c>
      <c r="AM28" s="359" cm="1">
        <f t="array" ref="AM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HPS'!$AT$228:$AT$327)))),IF((INDEX(SETUP!$G$19:$G$503,(MATCH(1,(SETUP!$B$19:$B$503=B28)*(SETUP!$D$19:$D$503=D28),0))))=3,(SUMPRODUCT(('C19RM 2021-Lab &amp; Other HPS'!$A$228:$D$327=E28)*('C19RM 2021-Lab &amp; Other HPS'!$BH$228:$BH$327=BJ28)*('C19RM 2021-Lab &amp; Other HPS'!$BS$228:$BS$327)*(('C19RM 2021-Lab &amp; Other HPS'!$AU$228:$AU$327)))),IF((INDEX(SETUP!$G$19:$G$503,(MATCH(1,(SETUP!$B$19:$B$503=B28)*(SETUP!$D$19:$D$503=D28),0))))=2,(SUMPRODUCT(('C19RM 2021-Lab &amp; Other HPS'!$A$228:$D$327=E28)*('C19RM 2021-Lab &amp; Other HPS'!$BH$228:$BH$327=BJ28)*('C19RM 2021-Lab &amp; Other HPS'!$BS$228:$BS$327)*(('C19RM 2021-Lab &amp; Other HPS'!$AV$228:$AV$327)))),IF((INDEX(SETUP!$G$19:$G$503,(MATCH(1,(SETUP!$B$19:$B$503=B28)*(SETUP!$D$19:$D$503=D28),0))))=1,(0),0)))),0)))</f>
        <v>0</v>
      </c>
      <c r="AN28" s="359" cm="1">
        <f t="array" ref="AN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HPS'!$AU$228:$AU$327)))),IF((INDEX(SETUP!$G$19:$G$503,(MATCH(1,(SETUP!$B$19:$B$503=B28)*(SETUP!$D$19:$D$503=D28),0))))=3,(SUMPRODUCT(('C19RM 2021-Lab &amp; Other HPS'!$A$228:$D$327=E28)*('C19RM 2021-Lab &amp; Other HPS'!$BH$228:$BH$327=BJ28)*('C19RM 2021-Lab &amp; Other HPS'!$BS$228:$BS$327)*(('C19RM 2021-Lab &amp; Other HPS'!$AV$228:$AV$327)))),IF((INDEX(SETUP!$G$19:$G$503,(MATCH(1,(SETUP!$B$19:$B$503=B28)*(SETUP!$D$19:$D$503=D28),0))))=2,(0),IF((INDEX(SETUP!$G$19:$G$503,(MATCH(1,(SETUP!$B$19:$B$503=B28)*(SETUP!$D$19:$D$503=D28),0))))=1,(0),0)))),0)))</f>
        <v>0</v>
      </c>
      <c r="AO28" s="359" cm="1">
        <f t="array" ref="AO28">IF((INDEX(SETUP!$F$19:$F$503,(MATCH(1,(SETUP!$B$19:$B$503=B28)*(SETUP!$D$19:$D$503=D28),0))))="Upfront",0,(IF((INDEX(SETUP!$F$19:$F$503,(MATCH(1,(SETUP!$B$19:$B$503=B28)*(SETUP!$D$19:$D$503=D28),0))))="At delivery",IF((INDEX(SETUP!$G$19:$G$503,(MATCH(1,(SETUP!$B$19:$B$503=B28)*(SETUP!$D$19:$D$503=D28),0))))=4,(SUMPRODUCT(('C19RM 2021-Lab &amp; Other HPS'!$A$228:$D$327=E28)*('C19RM 2021-Lab &amp; Other HPS'!$BH$228:$BH$327=BJ28)*('C19RM 2021-Lab &amp; Other HPS'!$BS$228:$BS$327)*(('C19RM 2021-Lab &amp; Other HPS'!$AV$228:$AV$327)))),IF((INDEX(SETUP!$G$19:$G$503,(MATCH(1,(SETUP!$B$19:$B$503=B28)*(SETUP!$D$19:$D$503=D28),0))))=3,(0),IF((INDEX(SETUP!$G$19:$G$503,(MATCH(1,(SETUP!$B$19:$B$503=B28)*(SETUP!$D$19:$D$503=D28),0))))=2,(0),IF((INDEX(SETUP!$G$19:$G$503,(MATCH(1,(SETUP!$B$19:$B$503=B28)*(SETUP!$D$19:$D$503=D28),0))))=1,(0),0)))),0)))</f>
        <v>0</v>
      </c>
      <c r="AP28" s="359"/>
      <c r="AQ28" s="359"/>
      <c r="AR28" s="359"/>
      <c r="AS28" s="359"/>
      <c r="AT28" s="359" cm="1">
        <f t="array" ref="AT28">IF(BG28&gt;=1,0,IFERROR(SUMPRODUCT(($R$2:$AO$2=$AT$4)*($E$5:$E$100=E28)*($BC$5:$BC$100=BC28)*($R$5:$AO$100)),0))</f>
        <v>0</v>
      </c>
      <c r="AU28" s="359" cm="1">
        <f t="array" ref="AU28">IF(BG28&gt;=1,0,IFERROR(SUMPRODUCT(($R$2:$AO$2=$AU$4)*($E$5:$E$100=E28)*($BC$5:$BC$100=BC28)*($R$5:$AO$100)),0))</f>
        <v>0</v>
      </c>
      <c r="AV28" s="359" cm="1">
        <f t="array" ref="AV28">IF(BG28&gt;=1,0,IFERROR(SUMPRODUCT(($R$2:$AO$2=$AV$4)*($E$5:$E$100=E28)*($BC$5:$BC$100=BC28)*($R$5:$AO$100)),0))</f>
        <v>0</v>
      </c>
      <c r="AW28" s="359" cm="1">
        <f t="array" ref="AW28">IF(BG28&gt;=1,0,IFERROR(SUMPRODUCT(($R$2:$AO$2=$AW$4)*($E$5:$E$100=E28)*($BC$5:$BC$100=BC28)*($R$5:$AO$100)),0))</f>
        <v>0</v>
      </c>
      <c r="AX28" s="359" cm="1">
        <f t="array" ref="AX28">IF(BG28&gt;=1,0,IFERROR(SUMPRODUCT(($R$2:$AO$2=$AX$4)*($E$5:$E$100=E28)*($BC$5:$BC$100=BC28)*($R$5:$AO$100)),0))</f>
        <v>0</v>
      </c>
      <c r="AY28" s="359">
        <f t="shared" si="5"/>
        <v>0</v>
      </c>
      <c r="AZ28" s="359"/>
      <c r="BA28" s="233">
        <f t="shared" si="6"/>
        <v>0</v>
      </c>
      <c r="BB28" s="220" t="s">
        <v>83</v>
      </c>
      <c r="BC28" t="s">
        <v>184</v>
      </c>
      <c r="BD28" cm="1">
        <f t="array" ref="BD28">(SUMPRODUCT(('C19RM 2021-Lab &amp; Other HPS'!$A$14:$D$650=E28)*('C19RM 2021-Lab &amp; Other HPS'!$BU$14:$BU$650)))</f>
        <v>0</v>
      </c>
      <c r="BE28" cm="1">
        <f t="array" ref="BE28">(SUMPRODUCT((SETUP!$D$20:$D$67=D28)*(SETUP!$R$20:$R$67)))</f>
        <v>0</v>
      </c>
      <c r="BF28" cm="1">
        <f t="array" ref="BF28">(SUMPRODUCT(('C19RM 2021-Lab &amp; Other HPS'!$A$14:$D$650=E28)*('C19RM 2021-Lab &amp; Other HPS'!$BV$14:$BV$650)))</f>
        <v>0</v>
      </c>
      <c r="BG28">
        <f t="shared" si="25"/>
        <v>0</v>
      </c>
      <c r="BJ28" s="235">
        <v>5.1100000000000003</v>
      </c>
    </row>
    <row r="29" spans="1:62" x14ac:dyDescent="0.35">
      <c r="A29" s="235">
        <v>3</v>
      </c>
      <c r="B29" s="220" t="s">
        <v>2750</v>
      </c>
      <c r="C29" s="235" t="s">
        <v>3194</v>
      </c>
      <c r="D29" s="235" t="s">
        <v>23</v>
      </c>
      <c r="E29" s="235" t="s">
        <v>2763</v>
      </c>
      <c r="F29" s="220">
        <f>SETUP!$E$3</f>
        <v>0</v>
      </c>
      <c r="G29" s="220" t="str">
        <f ca="1">SETUP!$J$5</f>
        <v>NA</v>
      </c>
      <c r="H29" s="220" t="str">
        <f>SETUP!$E$9</f>
        <v>C19RM</v>
      </c>
      <c r="I29" s="232">
        <f t="shared" si="22"/>
        <v>44197</v>
      </c>
      <c r="J29" s="232">
        <f>SETUP!$L$14</f>
        <v>46022</v>
      </c>
      <c r="K29" s="220">
        <f>IFERROR(VLOOKUP(E29,'Master Data-C19RM'!$A$5:$B$35,2,0),0)</f>
        <v>0</v>
      </c>
      <c r="L29">
        <f t="shared" si="23"/>
        <v>0</v>
      </c>
      <c r="M29">
        <f>SETUP!$E$7</f>
        <v>0</v>
      </c>
      <c r="N29">
        <f>SETUP!$F$76</f>
        <v>6.1</v>
      </c>
      <c r="O29" t="str" cm="1">
        <f t="array" ref="O29">INDEX(SETUP!$E$19:$E$503,(MATCH(1,(SETUP!$B$19:$B$503=B29)*(SETUP!$D$19:$D$503=D29),0)))</f>
        <v>PR/SR</v>
      </c>
      <c r="P29" t="str" cm="1">
        <f t="array" ref="P29">INDEX(SETUP!$F$19:$F$503,(MATCH(1,(SETUP!$B$19:$B$503=B29)*(SETUP!$D$19:$D$503=D29),0)))</f>
        <v>At delivery</v>
      </c>
      <c r="Q29" cm="1">
        <f t="array" ref="Q29">INDEX(SETUP!$G$19:$G$503,(MATCH(1,(SETUP!$B$19:$B$503=B29)*(SETUP!$D$19:$D$503=D29),0)))</f>
        <v>1</v>
      </c>
      <c r="R29" s="359" cm="1">
        <f t="array" ref="R29">IF((INDEX(SETUP!$F$19:$F$503,(MATCH(1,(SETUP!$B$19:$B$503=B29)*(SETUP!$D$19:$D$503=D29),0))))="Upfront",(SUMPRODUCT(('C19RM 2021-Lab &amp; Other HPS'!$A$228:$D$327=E29)*('C19RM 2021-Lab &amp; Other HPS'!$BH$228:$BH$327=BJ29)*('C19RM 2021-Lab &amp; Other HPS'!$BO$228:$BO$327)*(('C19RM 2021-Lab &amp; Other HPS'!$Q$228:$Q$327)))),0)</f>
        <v>0</v>
      </c>
      <c r="S29" s="359" cm="1">
        <f t="array" ref="S29">IF((INDEX(SETUP!$F$19:$F$503,(MATCH(1,(SETUP!$B$19:$B$503=B29)*(SETUP!$D$19:$D$503=D29),0))))="Upfront",(SUMPRODUCT(('C19RM 2021-Lab &amp; Other HPS'!$A$228:$D$327=E29)*('C19RM 2021-Lab &amp; Other HPS'!$BH$228:$BH$327=BJ29)*('C19RM 2021-Lab &amp; Other HPS'!$BO$228:$BO$327)*(('C19RM 2021-Lab &amp; Other HPS'!$R$228:$R$327)))),(IF((INDEX(SETUP!$F$19:$F$503,(MATCH(1,(SETUP!$B$19:$B$503=B29)*(SETUP!$D$19:$D$503=D29),0))))="At delivery",IF((INDEX(SETUP!$G$19:$G$503,(MATCH(1,(SETUP!$B$19:$B$503=B29)*(SETUP!$D$19:$D$503=D29),0))))=1,(SUMPRODUCT(('C19RM 2021-Lab &amp; Other HPS'!$A$228:$D$327=E29)*('C19RM 2021-Lab &amp; Other HPS'!$BH$228:$BH$327=BJ29)*('C19RM 2021-Lab &amp; Other HPS'!$BO$228:$BO$327)*(('C19RM 2021-Lab &amp; Other HPS'!$Q$228:$Q$327)))),0),0)))</f>
        <v>0</v>
      </c>
      <c r="T29" s="359" cm="1">
        <f t="array" ref="T29">IF((INDEX(SETUP!$F$19:$F$503,(MATCH(1,(SETUP!$B$19:$B$503=B29)*(SETUP!$D$19:$D$503=D29),0))))="Upfront",(SUMPRODUCT(('C19RM 2021-Lab &amp; Other HPS'!$A$228:$D$327=E29)*('C19RM 2021-Lab &amp; Other HPS'!$BH$228:$BH$327=BJ29)*('C19RM 2021-Lab &amp; Other HPS'!$BO$228:$BO$327)*(('C19RM 2021-Lab &amp; Other HPS'!$S$228:$S$327)))),(IF((INDEX(SETUP!$F$19:$F$503,(MATCH(1,(SETUP!$B$19:$B$503=B29)*(SETUP!$D$19:$D$503=D29),0))))="At delivery",IF((INDEX(SETUP!$G$19:$G$503,(MATCH(1,(SETUP!$B$19:$B$503=B29)*(SETUP!$D$19:$D$503=D29),0))))=2,(SUMPRODUCT(('C19RM 2021-Lab &amp; Other HPS'!$A$228:$D$327=E29)*('C19RM 2021-Lab &amp; Other HPS'!$BH$228:$BH$327=BJ29)*('C19RM 2021-Lab &amp; Other HPS'!$BO$228:$BO$327)*(('C19RM 2021-Lab &amp; Other HPS'!$Q$228:$Q$327)))),IF((INDEX(SETUP!$G$19:$G$503,(MATCH(1,(SETUP!$B$19:$B$503=B29)*(SETUP!$D$19:$D$503=D29),0))))=1,(SUMPRODUCT(('C19RM 2021-Lab &amp; Other HPS'!$A$228:$D$327=E29)*('C19RM 2021-Lab &amp; Other HPS'!$BH$228:$BH$327=BJ29)*('C19RM 2021-Lab &amp; Other HPS'!$BO$228:$BO$327)*(('C19RM 2021-Lab &amp; Other HPS'!$R$228:$R$327)))),0)),0)))</f>
        <v>0</v>
      </c>
      <c r="U29" s="359" cm="1">
        <f t="array" ref="U29">IF((INDEX(SETUP!$F$19:$F$503,(MATCH(1,(SETUP!$B$19:$B$503=B29)*(SETUP!$D$19:$D$503=D29),0))))="Upfront",(SUMPRODUCT(('C19RM 2021-Lab &amp; Other HPS'!$A$228:$D$327=E29)*('C19RM 2021-Lab &amp; Other HPS'!$BH$228:$BH$327=BJ29)*('C19RM 2021-Lab &amp; Other HPS'!$BO$228:$BO$327)*(('C19RM 2021-Lab &amp; Other HPS'!$T$228:$T$327)))),(IF((INDEX(SETUP!$F$19:$F$503,(MATCH(1,(SETUP!$B$19:$B$503=B29)*(SETUP!$D$19:$D$503=D29),0))))="At delivery",IF((INDEX(SETUP!$G$19:$G$503,(MATCH(1,(SETUP!$B$19:$B$503=B29)*(SETUP!$D$19:$D$503=D29),0))))=3,(SUMPRODUCT(('C19RM 2021-Lab &amp; Other HPS'!$A$228:$D$327=E29)*('C19RM 2021-Lab &amp; Other HPS'!$BH$228:$BH$327=BJ29)*('C19RM 2021-Lab &amp; Other HPS'!$BO$228:$BO$327)*(('C19RM 2021-Lab &amp; Other HPS'!$Q$228:$Q$327)))),IF((INDEX(SETUP!$G$19:$G$503,(MATCH(1,(SETUP!$B$19:$B$503=B29)*(SETUP!$D$19:$D$503=D29),0))))=2,(SUMPRODUCT(('C19RM 2021-Lab &amp; Other HPS'!$A$228:$D$327=E29)*('C19RM 2021-Lab &amp; Other HPS'!$BH$228:$BH$327=BJ29)*('C19RM 2021-Lab &amp; Other HPS'!$BO$228:$BO$327)*(('C19RM 2021-Lab &amp; Other HPS'!$R$228:$R$327)))),IF((INDEX(SETUP!$G$19:$G$503,(MATCH(1,(SETUP!$B$19:$B$503=B29)*(SETUP!$D$19:$D$503=D29),0))))=1,(SUMPRODUCT(('C19RM 2021-Lab &amp; Other HPS'!$A$228:$D$327=E29)*('C19RM 2021-Lab &amp; Other HPS'!$BH$228:$BH$327=BJ29)*('C19RM 2021-Lab &amp; Other HPS'!$BO$228:$BO$327)*(('C19RM 2021-Lab &amp; Other HPS'!$S$228:$S$327)))),0))),0)))</f>
        <v>0</v>
      </c>
      <c r="V29" s="359" cm="1">
        <f t="array" ref="V29">IF((INDEX(SETUP!$F$19:$F$503,(MATCH(1,(SETUP!$B$19:$B$503=B29)*(SETUP!$D$19:$D$503=D29),0))))="Upfront",(SUMPRODUCT(('C19RM 2021-Lab &amp; Other HPS'!$A$228:$D$327=E29)*('C19RM 2021-Lab &amp; Other HPS'!$BH$228:$BH$327=BJ29)*('C19RM 2021-Lab &amp; Other HPS'!$BP$228:$BP$327)*(('C19RM 2021-Lab &amp; Other HPS'!$X$228:$X$327)))),(IF((INDEX(SETUP!$F$19:$F$503,(MATCH(1,(SETUP!$B$19:$B$503=B29)*(SETUP!$D$19:$D$503=D29),0))))="At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HPS'!$Q$228:$Q$327)))),IF((INDEX(SETUP!$G$19:$G$503,(MATCH(1,(SETUP!$B$19:$B$503=B29)*(SETUP!$D$19:$D$503=D29),0))))=3,(SUMPRODUCT(('C19RM 2021-Lab &amp; Other HPS'!$A$228:$D$327=E29)*('C19RM 2021-Lab &amp; Other HPS'!$BH$228:$BH$327=BJ29)*('C19RM 2021-Lab &amp; Other HPS'!$BO$228:$BO$327)*(('C19RM 2021-Lab &amp; Other HPS'!$R$228:$R$327)))),IF((INDEX(SETUP!$G$19:$G$503,(MATCH(1,(SETUP!$B$19:$B$503=B29)*(SETUP!$D$19:$D$503=D29),0))))=2,(SUMPRODUCT(('C19RM 2021-Lab &amp; Other HPS'!$A$228:$D$327=E29)*('C19RM 2021-Lab &amp; Other HPS'!$BH$228:$BH$327=BJ29)*('C19RM 2021-Lab &amp; Other HPS'!$BO$228:$BO$327)*(('C19RM 2021-Lab &amp; Other HPS'!$S$228:$S$327)))),IF((INDEX(SETUP!$G$19:$G$503,(MATCH(1,(SETUP!$B$19:$B$503=B29)*(SETUP!$D$19:$D$503=D29),0))))=1,(SUMPRODUCT(('C19RM 2021-Lab &amp; Other HPS'!$A$228:$D$327=E29)*('C19RM 2021-Lab &amp; Other HPS'!$BH$228:$BH$327=BJ29)*('C19RM 2021-Lab &amp; Other HPS'!$BO$228:$BO$327)*(('C19RM 2021-Lab &amp; Other HPS'!$T$228:$T$327)))),0)))),0)))</f>
        <v>0</v>
      </c>
      <c r="W29" s="359" cm="1">
        <f t="array" ref="W29">IF((INDEX(SETUP!$F$19:$F$503,(MATCH(1,(SETUP!$B$19:$B$503=B29)*(SETUP!$D$19:$D$503=D29),0))))="Upfront",(SUMPRODUCT(('C19RM 2021-Lab &amp; Other HPS'!$A$228:$D$327=E29)*('C19RM 2021-Lab &amp; Other HPS'!$BH$228:$BH$327=BJ29)*('C19RM 2021-Lab &amp; Other HPS'!$BP$228:$BP$327)*(('C19RM 2021-Lab &amp; Other HPS'!$Y$228:$Y$327)))),(IF((INDEX(SETUP!$F$19:$F$503,(MATCH(1,(SETUP!$B$19:$B$503=B29)*(SETUP!$D$19:$D$503=D29),0))))="At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HPS'!$R$228:$R$327)))),IF((INDEX(SETUP!$G$19:$G$503,(MATCH(1,(SETUP!$B$19:$B$503=B29)*(SETUP!$D$19:$D$503=D29),0))))=3,(SUMPRODUCT(('C19RM 2021-Lab &amp; Other HPS'!$A$228:$D$327=E29)*('C19RM 2021-Lab &amp; Other HPS'!$BH$228:$BH$327=BJ29)*('C19RM 2021-Lab &amp; Other HPS'!$BO$228:$BO$327)*(('C19RM 2021-Lab &amp; Other HPS'!$S$228:$S$327)))),IF((INDEX(SETUP!$G$19:$G$503,(MATCH(1,(SETUP!$B$19:$B$503=B29)*(SETUP!$D$19:$D$503=D29),0))))=2,((SUMPRODUCT(('C19RM 2021-Lab &amp; Other HPS'!$A$228:$D$327=E29)*('C19RM 2021-Lab &amp; Other HPS'!$BH$228:$BH$327=BJ29)*('C19RM 2021-Lab &amp; Other HPS'!$BO$228:$BO$327)*(('C19RM 2021-Lab &amp; Other HPS'!$T$228:$T$327))))),IF((INDEX(SETUP!$G$19:$G$503,(MATCH(1,(SETUP!$B$19:$B$503=B29)*(SETUP!$D$19:$D$503=D29),0))))=1,(SUMPRODUCT(('C19RM 2021-Lab &amp; Other HPS'!$A$228:$D$327=E29)*('C19RM 2021-Lab &amp; Other HPS'!$BH$228:$BH$327=BJ29)*('C19RM 2021-Lab &amp; Other HPS'!$BP$228:$BP$327)*(('C19RM 2021-Lab &amp; Other HPS'!$X$228:$X$327)))),0)))),0)))</f>
        <v>0</v>
      </c>
      <c r="X29" s="359" cm="1">
        <f t="array" ref="X29">IF((INDEX(SETUP!$F$19:$F$503,(MATCH(1,(SETUP!$B$19:$B$503=B29)*(SETUP!$D$19:$D$503=D29),0))))="Upfront",(SUMPRODUCT(('C19RM 2021-Lab &amp; Other HPS'!$A$228:$D$327=E29)*('C19RM 2021-Lab &amp; Other HPS'!$BH$228:$BH$327=BJ29)*('C19RM 2021-Lab &amp; Other HPS'!$BP$228:$BP$327)*(('C19RM 2021-Lab &amp; Other HPS'!$Z$228:$Z$327)))),(IF((INDEX(SETUP!$F$19:$F$503,(MATCH(1,(SETUP!$B$19:$B$503=B29)*(SETUP!$D$19:$D$503=D29),0))))="At delivery",IF((INDEX(SETUP!$G$19:$G$503,(MATCH(1,(SETUP!$B$19:$B$503=B29)*(SETUP!$D$19:$D$503=D29),0))))=4,(SUMPRODUCT(('C19RM 2021-Lab &amp; Other HPS'!$A$228:$D$327=E29)*('C19RM 2021-Lab &amp; Other HPS'!$BH$228:$BH$327=BJ29)*('C19RM 2021-Lab &amp; Other HPS'!$BO$228:$BO$327)*(('C19RM 2021-Lab &amp; Other HPS'!$S$228:$S$327)))),IF((INDEX(SETUP!$G$19:$G$503,(MATCH(1,(SETUP!$B$19:$B$503=B29)*(SETUP!$D$19:$D$503=D29),0))))=3,((SUMPRODUCT(('C19RM 2021-Lab &amp; Other HPS'!$A$228:$D$327=E29)*('C19RM 2021-Lab &amp; Other HPS'!$BH$228:$BH$327=BJ29)*('C19RM 2021-Lab &amp; Other HPS'!$BO$228:$BO$327)*(('C19RM 2021-Lab &amp; Other HPS'!$T$228:$T$327))))),IF((INDEX(SETUP!$G$19:$G$503,(MATCH(1,(SETUP!$B$19:$B$503=B29)*(SETUP!$D$19:$D$503=D29),0))))=2,(SUMPRODUCT(('C19RM 2021-Lab &amp; Other HPS'!$A$228:$D$327=E29)*('C19RM 2021-Lab &amp; Other HPS'!$BH$228:$BH$327=BJ29)*('C19RM 2021-Lab &amp; Other HPS'!$BP$228:$BP$327)*(('C19RM 2021-Lab &amp; Other HPS'!$X$228:$X$327)))),IF((INDEX(SETUP!$G$19:$G$503,(MATCH(1,(SETUP!$B$19:$B$503=B29)*(SETUP!$D$19:$D$503=D29),0))))=1,(SUMPRODUCT(('C19RM 2021-Lab &amp; Other HPS'!$A$228:$D$327=E29)*('C19RM 2021-Lab &amp; Other HPS'!$BH$228:$BH$327=BJ29)*('C19RM 2021-Lab &amp; Other HPS'!$BP$228:$BP$327)*(('C19RM 2021-Lab &amp; Other HPS'!$Y$228:$Y$327)))),0)))),0)))</f>
        <v>0</v>
      </c>
      <c r="Y29" s="359" cm="1">
        <f t="array" ref="Y29">IF((INDEX(SETUP!$F$19:$F$503,(MATCH(1,(SETUP!$B$19:$B$503=B29)*(SETUP!$D$19:$D$503=D29),0))))="Upfront",
(SUMPRODUCT(('C19RM 2021-Lab &amp; Other HPS'!$A$228:$D$327=E29)*('C19RM 2021-Lab &amp; Other HPS'!$BH$228:$BH$327=BJ29)*('C19RM 2021-Lab &amp; Other HPS'!$BP$228:$BP$327)*(('C19RM 2021-Lab &amp; Other HPS'!$AA$228:$AA$327)))),
(IF((INDEX(SETUP!$F$19:$F$503,(MATCH(1,(SETUP!$B$19:$B$503=B29)*(SETUP!$D$19:$D$503=D29),0))))="At delivery",
IF((INDEX(SETUP!$G$19:$G$503,(MATCH(1,(SETUP!$B$19:$B$503=B29)*(SETUP!$D$19:$D$503=D29),0))))=4,
((SUMPRODUCT(('C19RM 2021-Lab &amp; Other HPS'!$A$228:$D$327=E29)*('C19RM 2021-Lab &amp; Other HPS'!$BH$228:$BH$327=BJ29)*('C19RM 2021-Lab &amp; Other HPS'!$BO$228:$BO$327)*(('C19RM 2021-Lab &amp; Other HPS'!$T$228:$T$327))))),IF((INDEX(SETUP!$G$19:$G$503,(MATCH(1,(SETUP!$B$19:$B$503=B29)*(SETUP!$D$19:$D$503=D29),0))))=3,(SUMPRODUCT(('C19RM 2021-Lab &amp; Other HPS'!$A$228:$D$327=E29)*('C19RM 2021-Lab &amp; Other HPS'!$BH$228:$BH$327=BJ29)*('C19RM 2021-Lab &amp; Other HPS'!$BP$228:$BP$327)*(('C19RM 2021-Lab &amp; Other HPS'!$X$228:$X$327)))),IF((INDEX(SETUP!$G$19:$G$503,(MATCH(1,(SETUP!$B$19:$B$503=B29)*(SETUP!$D$19:$D$503=D29),0))))=2,(SUMPRODUCT(('C19RM 2021-Lab &amp; Other HPS'!$A$228:$D$327=E29)*('C19RM 2021-Lab &amp; Other HPS'!$BH$228:$BH$327=BJ29)*('C19RM 2021-Lab &amp; Other HPS'!$BP$228:$BP$327)*(('C19RM 2021-Lab &amp; Other HPS'!$Y$228:$Y$327)))),IF((INDEX(SETUP!$G$19:$G$503,(MATCH(1,(SETUP!$B$19:$B$503=B29)*(SETUP!$D$19:$D$503=D29),0))))=1,(SUMPRODUCT(('C19RM 2021-Lab &amp; Other HPS'!$A$228:$D$327=E29)*('C19RM 2021-Lab &amp; Other HPS'!$BH$228:$BH$327=BJ29)*('C19RM 2021-Lab &amp; Other HPS'!$BP$228:$BP$327)*(('C19RM 2021-Lab &amp; Other HPS'!$Z$228:$Z$327)))),0)))),0)))</f>
        <v>0</v>
      </c>
      <c r="Z29" s="359" cm="1">
        <f t="array" ref="Z29">IF((INDEX(SETUP!$F$19:$F$503,(MATCH(1,(SETUP!$B$19:$B$503=B29)*(SETUP!$D$19:$D$503=D29),0))))="Upfront",(SUMPRODUCT(('C19RM 2021-Lab &amp; Other HPS'!$A$228:$D$327=E29)*('C19RM 2021-Lab &amp; Other HPS'!$BH$228:$BH$327=BJ29)*('C19RM 2021-Lab &amp; Other HPS'!$BQ$228:$BQ$327)*(('C19RM 2021-Lab &amp; Other HPS'!$AE$228:$AE$327)))),(IF((INDEX(SETUP!$F$19:$F$503,(MATCH(1,(SETUP!$B$19:$B$503=B29)*(SETUP!$D$19:$D$503=D29),0))))="At delivery",IF((INDEX(SETUP!$G$19:$G$503,(MATCH(1,(SETUP!$B$19:$B$503=B29)*(SETUP!$D$19:$D$503=D29),0))))=4,(SUMPRODUCT(('C19RM 2021-Lab &amp; Other HPS'!$A$228:$D$327=E29)*('C19RM 2021-Lab &amp; Other HPS'!$BH$228:$BH$327=BJ29)*('C19RM 2021-Lab &amp; Other HPS'!$BP$228:$BP$327)*(('C19RM 2021-Lab &amp; Other HPS'!$X$228:$X$327)))),IF((INDEX(SETUP!$G$19:$G$503,(MATCH(1,(SETUP!$B$19:$B$503=B29)*(SETUP!$D$19:$D$503=D29),0))))=3,(SUMPRODUCT(('C19RM 2021-Lab &amp; Other HPS'!$A$228:$D$327=E29)*('C19RM 2021-Lab &amp; Other HPS'!$BH$228:$BH$327=BJ29)*('C19RM 2021-Lab &amp; Other HPS'!$BP$228:$BP$327)*(('C19RM 2021-Lab &amp; Other HPS'!$Y$228:$Y$327)))),IF((INDEX(SETUP!$G$19:$G$503,(MATCH(1,(SETUP!$B$19:$B$503=B29)*(SETUP!$D$19:$D$503=D29),0))))=2,(SUMPRODUCT(('C19RM 2021-Lab &amp; Other HPS'!$A$228:$D$327=E29)*('C19RM 2021-Lab &amp; Other HPS'!$BH$228:$BH$327=BJ29)*('C19RM 2021-Lab &amp; Other HPS'!$BP$228:$BP$327)*(('C19RM 2021-Lab &amp; Other HPS'!$Z$228:$Z$327)))),IF((INDEX(SETUP!$G$19:$G$503,(MATCH(1,(SETUP!$B$19:$B$503=B29)*(SETUP!$D$19:$D$503=D29),0))))=1,(SUMPRODUCT(('C19RM 2021-Lab &amp; Other HPS'!$A$228:$D$327=E29)*('C19RM 2021-Lab &amp; Other HPS'!$BH$228:$BH$327=BJ29)*('C19RM 2021-Lab &amp; Other HPS'!$BP$228:$BP$327)*(('C19RM 2021-Lab &amp; Other HPS'!$AA$228:$AA$327)))),0)))),0)))</f>
        <v>0</v>
      </c>
      <c r="AA29" s="359" cm="1">
        <f t="array" ref="AA29">IF((INDEX(SETUP!$F$19:$F$503,(MATCH(1,(SETUP!$B$19:$B$503=B29)*(SETUP!$D$19:$D$503=D29),0))))="Upfront",(SUMPRODUCT(('C19RM 2021-Lab &amp; Other HPS'!$A$228:$D$327=E29)*('C19RM 2021-Lab &amp; Other HPS'!$BH$228:$BH$327=BJ29)*('C19RM 2021-Lab &amp; Other HPS'!$BQ$228:$BQ$327)*(('C19RM 2021-Lab &amp; Other HPS'!$AF$228:$AF$327)))),(IF((INDEX(SETUP!$F$19:$F$503,(MATCH(1,(SETUP!$B$19:$B$503=B29)*(SETUP!$D$19:$D$503=D29),0))))="At delivery",IF((INDEX(SETUP!$G$19:$G$503,(MATCH(1,(SETUP!$B$19:$B$503=B29)*(SETUP!$D$19:$D$503=D29),0))))=4,(SUMPRODUCT(('C19RM 2021-Lab &amp; Other HPS'!$A$228:$D$327=E29)*('C19RM 2021-Lab &amp; Other HPS'!$BH$228:$BH$327=BJ29)*('C19RM 2021-Lab &amp; Other HPS'!$BP$228:$BP$327)*(('C19RM 2021-Lab &amp; Other HPS'!$Y$228:$Y$327)))),IF((INDEX(SETUP!$G$19:$G$503,(MATCH(1,(SETUP!$B$19:$B$503=B29)*(SETUP!$D$19:$D$503=D29),0))))=3,(SUMPRODUCT(('C19RM 2021-Lab &amp; Other HPS'!$A$228:$D$327=E29)*('C19RM 2021-Lab &amp; Other HPS'!$BH$228:$BH$327=BJ29)*('C19RM 2021-Lab &amp; Other HPS'!$BP$228:$BP$327)*(('C19RM 2021-Lab &amp; Other HPS'!$Z$228:$Z$327)))),IF((INDEX(SETUP!$G$19:$G$503,(MATCH(1,(SETUP!$B$19:$B$503=B29)*(SETUP!$D$19:$D$503=D29),0))))=2,((SUMPRODUCT(('C19RM 2021-Lab &amp; Other HPS'!$A$228:$D$327=E29)*('C19RM 2021-Lab &amp; Other HPS'!$BH$228:$BH$327=BJ29)*('C19RM 2021-Lab &amp; Other HPS'!$BP$228:$BP$327)*(('C19RM 2021-Lab &amp; Other HPS'!$AA$228:$AA$327))))),IF((INDEX(SETUP!$G$19:$G$503,(MATCH(1,(SETUP!$B$19:$B$503=B29)*(SETUP!$D$19:$D$503=D29),0))))=1,(SUMPRODUCT(('C19RM 2021-Lab &amp; Other HPS'!$A$228:$D$327=E29)*('C19RM 2021-Lab &amp; Other HPS'!$BH$228:$BH$327=BJ29)*('C19RM 2021-Lab &amp; Other HPS'!$BQ$228:$BQ$327)*(('C19RM 2021-Lab &amp; Other HPS'!$AE$228:$AE$327)))),0)))),0)))</f>
        <v>0</v>
      </c>
      <c r="AB29" s="359" cm="1">
        <f t="array" ref="AB29">IF((INDEX(SETUP!$F$19:$F$503,(MATCH(1,(SETUP!$B$19:$B$503=B29)*(SETUP!$D$19:$D$503=D29),0))))="Upfront",
(SUMPRODUCT(('C19RM 2021-Lab &amp; Other HPS'!$A$228:$D$327=E29)*('C19RM 2021-Lab &amp; Other HPS'!$BH$228:$BH$327=BJ29)*('C19RM 2021-Lab &amp; Other HPS'!$BQ$228:$BQ$327)*(('C19RM 2021-Lab &amp; Other HPS'!$AG$228:$AG$327)))),
(IF((INDEX(SETUP!$F$19:$F$503,(MATCH(1,(SETUP!$B$19:$B$503=B29)*(SETUP!$D$19:$D$503=D29),0))))="At delivery",
IF((INDEX(SETUP!$G$19:$G$503,(MATCH(1,(SETUP!$B$19:$B$503=B29)*(SETUP!$D$19:$D$503=D29),0))))=4,
(SUMPRODUCT(('C19RM 2021-Lab &amp; Other HPS'!$A$228:$D$327=E29)*('C19RM 2021-Lab &amp; Other HPS'!$BH$228:$BH$327=BJ29)*('C19RM 2021-Lab &amp; Other HPS'!$BP$228:$BP$327)*(('C19RM 2021-Lab &amp; Other HPS'!$Z$228:$Z$327)))),IF((INDEX(SETUP!$G$19:$G$503,(MATCH(1,(SETUP!$B$19:$B$503=B29)*(SETUP!$D$19:$D$503=D29),0))))=3,(SUMPRODUCT(('C19RM 2021-Lab &amp; Other HPS'!$A$228:$D$327=E29)*('C19RM 2021-Lab &amp; Other HPS'!$BH$228:$BH$327=BJ29)*('C19RM 2021-Lab &amp; Other HPS'!$BP$228:$BP$327)*(('C19RM 2021-Lab &amp; Other HPS'!$AA$228:$AA$327)))),IF((INDEX(SETUP!$G$19:$G$503,(MATCH(1,(SETUP!$B$19:$B$503=B29)*(SETUP!$D$19:$D$503=D29),0))))=2,(SUMPRODUCT(('C19RM 2021-Lab &amp; Other HPS'!$A$228:$D$327=E29)*('C19RM 2021-Lab &amp; Other HPS'!$BH$228:$BH$327=BJ29)*('C19RM 2021-Lab &amp; Other HPS'!$BQ$228:$BQ$327)*(('C19RM 2021-Lab &amp; Other HPS'!$AE$228:$AE$327)))),IF((INDEX(SETUP!$G$19:$G$503,(MATCH(1,(SETUP!$B$19:$B$503=B29)*(SETUP!$D$19:$D$503=D29),0))))=1,(SUMPRODUCT(('C19RM 2021-Lab &amp; Other HPS'!$A$228:$D$327=E29)*('C19RM 2021-Lab &amp; Other HPS'!$BH$228:$BH$327=BJ29)*('C19RM 2021-Lab &amp; Other HPS'!$BQ$228:$BQ$327)*(('C19RM 2021-Lab &amp; Other HPS'!$AF$228:$AF$327)))),0)))),0)))</f>
        <v>0</v>
      </c>
      <c r="AC29" s="359" cm="1">
        <f t="array" ref="AC29">IF((INDEX(SETUP!$F$19:$F$503,(MATCH(1,(SETUP!$B$19:$B$503=B29)*(SETUP!$D$19:$D$503=D29),0))))="Upfront",
(SUMPRODUCT(('C19RM 2021-Lab &amp; Other HPS'!$A$228:$D$327=E29)*('C19RM 2021-Lab &amp; Other HPS'!$BH$228:$BH$327=BJ29)*('C19RM 2021-Lab &amp; Other HPS'!$BQ$228:$BQ$327)*(('C19RM 2021-Lab &amp; Other HPS'!$AH$228:$AH$327)))),
(IF((INDEX(SETUP!$F$19:$F$503,(MATCH(1,(SETUP!$B$19:$B$503=B29)*(SETUP!$D$19:$D$503=D29),0))))="At delivery",
IF((INDEX(SETUP!$G$19:$G$503,(MATCH(1,(SETUP!$B$19:$B$503=B29)*(SETUP!$D$19:$D$503=D29),0))))=4,
(SUMPRODUCT(('C19RM 2021-Lab &amp; Other HPS'!$A$228:$D$327=E29)*('C19RM 2021-Lab &amp; Other HPS'!$BH$228:$BH$327=BJ29)*('C19RM 2021-Lab &amp; Other HPS'!$BP$228:$BP$327)*(('C19RM 2021-Lab &amp; Other HPS'!$AA$228:$AA$327)))),IF((INDEX(SETUP!$G$19:$G$503,(MATCH(1,(SETUP!$B$19:$B$503=B29)*(SETUP!$D$19:$D$503=D29),0))))=3,(SUMPRODUCT(('C19RM 2021-Lab &amp; Other HPS'!$A$228:$D$327=E29)*('C19RM 2021-Lab &amp; Other HPS'!$BH$228:$BH$327=BJ29)*('C19RM 2021-Lab &amp; Other HPS'!$BQ$228:$BQ$327)*(('C19RM 2021-Lab &amp; Other HPS'!$AE$228:$AE$327)))),IF((INDEX(SETUP!$G$19:$G$503,(MATCH(1,(SETUP!$B$19:$B$503=B29)*(SETUP!$D$19:$D$503=D29),0))))=2,(SUMPRODUCT(('C19RM 2021-Lab &amp; Other HPS'!$A$228:$D$327=E29)*('C19RM 2021-Lab &amp; Other HPS'!$BH$228:$BH$327=BJ29)*('C19RM 2021-Lab &amp; Other HPS'!$BQ$228:$BQ$327)*(('C19RM 2021-Lab &amp; Other HPS'!$AF$228:$AF$327)))),IF((INDEX(SETUP!$G$19:$G$503,(MATCH(1,(SETUP!$B$19:$B$503=B29)*(SETUP!$D$19:$D$503=D29),0))))=1,(SUMPRODUCT(('C19RM 2021-Lab &amp; Other HPS'!$A$228:$D$327=E29)*('C19RM 2021-Lab &amp; Other HPS'!$BH$228:$BH$327=BJ29)*('C19RM 2021-Lab &amp; Other HPS'!$BQ$228:$BQ$327)*(('C19RM 2021-Lab &amp; Other HPS'!$AG$228:$AG$327)))),0)))),0)))</f>
        <v>0</v>
      </c>
      <c r="AD29" s="359" cm="1">
        <f t="array" ref="AD29">IF((INDEX(SETUP!$F$19:$F$503,(MATCH(1,(SETUP!$B$19:$B$503=B29)*(SETUP!$D$19:$D$503=D29),0))))="Upfront",
(SUMPRODUCT(('C19RM 2021-Lab &amp; Other HPS'!$A$228:$D$327=E29)*('C19RM 2021-Lab &amp; Other HPS'!$BH$228:$BH$327=BJ29)*('C19RM 2021-Lab &amp; Other HPS'!$BR$228:$BR$327)*(('C19RM 2021-Lab &amp; Other HPS'!$AL$228:$AL$327)))),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HPS'!$AE$228:$AE$327)))),IF((INDEX(SETUP!$G$19:$G$503,(MATCH(1,(SETUP!$B$19:$B$503=B29)*(SETUP!$D$19:$D$503=D29),0))))=3,((SUMPRODUCT(('C19RM 2021-Lab &amp; Other HPS'!$A$228:$D$327=E29)*('C19RM 2021-Lab &amp; Other HPS'!$BH$228:$BH$327=BJ29)*('C19RM 2021-Lab &amp; Other HPS'!$BQ$228:$BQ$327)*(('C19RM 2021-Lab &amp; Other HPS'!$AF$228:$AF$327))))),IF((INDEX(SETUP!$G$19:$G$503,(MATCH(1,(SETUP!$B$19:$B$503=B29)*(SETUP!$D$19:$D$503=D29),0))))=2,(SUMPRODUCT(('C19RM 2021-Lab &amp; Other HPS'!$A$228:$D$327=E29)*('C19RM 2021-Lab &amp; Other HPS'!$BH$228:$BH$327=BJ29)*('C19RM 2021-Lab &amp; Other HPS'!$BQ$228:$BQ$327)*(('C19RM 2021-Lab &amp; Other HPS'!$AG$228:$AG$327)))),IF((INDEX(SETUP!$G$19:$G$503,(MATCH(1,(SETUP!$B$19:$B$503=B29)*(SETUP!$D$19:$D$503=D29),0))))=1,(SUMPRODUCT(('C19RM 2021-Lab &amp; Other HPS'!$A$228:$D$327=E29)*('C19RM 2021-Lab &amp; Other HPS'!$BH$228:$BH$327=BJ29)*('C19RM 2021-Lab &amp; Other HPS'!$BQ$228:$BQ$327)*(('C19RM 2021-Lab &amp; Other HPS'!$AH$228:$AH$327)))),0)))),0)))</f>
        <v>0</v>
      </c>
      <c r="AE29" s="359" cm="1">
        <f t="array" ref="AE29">IF((INDEX(SETUP!$F$19:$F$503,(MATCH(1,(SETUP!$B$19:$B$503=B29)*(SETUP!$D$19:$D$503=D29),0))))="Upfront",
(SUMPRODUCT(('C19RM 2021-Lab &amp; Other HPS'!$A$228:$D$327=E29)*('C19RM 2021-Lab &amp; Other HPS'!$BH$228:$BH$327=BJ29)*('C19RM 2021-Lab &amp; Other HPS'!$BR$228:$BR$327)*(('C19RM 2021-Lab &amp; Other HPS'!$AM$228:$AM$327)))),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HPS'!$AF$228:$AF$327)))),IF((INDEX(SETUP!$G$19:$G$503,(MATCH(1,(SETUP!$B$19:$B$503=B29)*(SETUP!$D$19:$D$503=D29),0))))=3,(SUMPRODUCT(('C19RM 2021-Lab &amp; Other HPS'!$A$228:$D$327=E29)*('C19RM 2021-Lab &amp; Other HPS'!$BH$228:$BH$327=BJ29)*('C19RM 2021-Lab &amp; Other HPS'!$BQ$228:$BQ$327)*(('C19RM 2021-Lab &amp; Other HPS'!$AG$228:$AG$327)))),IF((INDEX(SETUP!$G$19:$G$503,(MATCH(1,(SETUP!$B$19:$B$503=B29)*(SETUP!$D$19:$D$503=D29),0))))=2,(SUMPRODUCT(('C19RM 2021-Lab &amp; Other HPS'!$A$228:$D$327=E29)*('C19RM 2021-Lab &amp; Other HPS'!$BH$228:$BH$327=BJ29)*('C19RM 2021-Lab &amp; Other HPS'!$BQ$228:$BQ$327)*(('C19RM 2021-Lab &amp; Other HPS'!$AH$228:$AH$327)))),IF((INDEX(SETUP!$G$19:$G$503,(MATCH(1,(SETUP!$B$19:$B$503=B29)*(SETUP!$D$19:$D$503=D29),0))))=1,(SUMPRODUCT(('C19RM 2021-Lab &amp; Other HPS'!$A$228:$D$327=E29)*('C19RM 2021-Lab &amp; Other HPS'!$BH$228:$BH$327=BJ29)*('C19RM 2021-Lab &amp; Other HPS'!$BR$228:$BR$327)*(('C19RM 2021-Lab &amp; Other HPS'!$AL$228:$AL$327)))),0)))),0)))</f>
        <v>0</v>
      </c>
      <c r="AF29" s="359" cm="1">
        <f t="array" ref="AF29">IF((INDEX(SETUP!$F$19:$F$503,(MATCH(1,(SETUP!$B$19:$B$503=B29)*(SETUP!$D$19:$D$503=D29),0))))="Upfront",
(SUMPRODUCT(('C19RM 2021-Lab &amp; Other HPS'!$A$228:$D$327=E29)*('C19RM 2021-Lab &amp; Other HPS'!$BH$228:$BH$327=BJ29)*('C19RM 2021-Lab &amp; Other HPS'!$BR$228:$BR$327)*(('C19RM 2021-Lab &amp; Other HPS'!$AN$228:$AN$327)))),
(IF((INDEX(SETUP!$F$19:$F$503,(MATCH(1,(SETUP!$B$19:$B$503=B29)*(SETUP!$D$19:$D$503=D29),0))))="At delivery",
IF((INDEX(SETUP!$G$19:$G$503,(MATCH(1,(SETUP!$B$19:$B$503=B29)*(SETUP!$D$19:$D$503=D29),0))))=4,
(SUMPRODUCT(('C19RM 2021-Lab &amp; Other HPS'!$A$228:$D$327=E29)*('C19RM 2021-Lab &amp; Other HPS'!$BH$228:$BH$327=BJ29)*('C19RM 2021-Lab &amp; Other HPS'!$BQ$228:$BQ$327)*(('C19RM 2021-Lab &amp; Other HPS'!$AG$228:$AG$327)))),IF((INDEX(SETUP!$G$19:$G$503,(MATCH(1,(SETUP!$B$19:$B$503=B29)*(SETUP!$D$19:$D$503=D29),0))))=3,(SUMPRODUCT(('C19RM 2021-Lab &amp; Other HPS'!$A$228:$D$327=E29)*('C19RM 2021-Lab &amp; Other HPS'!$BH$228:$BH$327=BJ29)*('C19RM 2021-Lab &amp; Other HPS'!$BQ$228:$BQ$327)*(('C19RM 2021-Lab &amp; Other HPS'!$AH$228:$AH$327)))),IF((INDEX(SETUP!$G$19:$G$503,(MATCH(1,(SETUP!$B$19:$B$503=B29)*(SETUP!$D$19:$D$503=D29),0))))=2,(SUMPRODUCT(('C19RM 2021-Lab &amp; Other HPS'!$A$228:$D$327=E29)*('C19RM 2021-Lab &amp; Other HPS'!$BH$228:$BH$327=BJ29)*('C19RM 2021-Lab &amp; Other HPS'!$BR$228:$BR$327)*(('C19RM 2021-Lab &amp; Other HPS'!$AL$228:$AL$327)))),IF((INDEX(SETUP!$G$19:$G$503,(MATCH(1,(SETUP!$B$19:$B$503=B29)*(SETUP!$D$19:$D$503=D29),0))))=1,(SUMPRODUCT(('C19RM 2021-Lab &amp; Other HPS'!$A$228:$D$327=E29)*('C19RM 2021-Lab &amp; Other HPS'!$BH$228:$BH$327=BJ29)*('C19RM 2021-Lab &amp; Other HPS'!$BR$228:$BR$327)*(('C19RM 2021-Lab &amp; Other HPS'!$AM$228:$AM$327)))),0)))),0)))</f>
        <v>0</v>
      </c>
      <c r="AG29" s="359" cm="1">
        <f t="array" ref="AG29">IF((INDEX(SETUP!$F$19:$F$503,(MATCH(1,(SETUP!$B$19:$B$503=B29)*(SETUP!$D$19:$D$503=D29),0))))="Upfront",(SUMPRODUCT(('C19RM 2021-Lab &amp; Other HPS'!$A$228:$D$327=E29)*('C19RM 2021-Lab &amp; Other HPS'!$BH$228:$BH$327=BJ29)*('C19RM 2021-Lab &amp; Other HPS'!$BR$228:$BR$327)*(('C19RM 2021-Lab &amp; Other HPS'!$AO$228:$AO$327)))),(IF((INDEX(SETUP!$F$19:$F$503,(MATCH(1,(SETUP!$B$19:$B$503=B29)*(SETUP!$D$19:$D$503=D29),0))))="At delivery",IF((INDEX(SETUP!$G$19:$G$503,(MATCH(1,(SETUP!$B$19:$B$503=B29)*(SETUP!$D$19:$D$503=D29),0))))=4,(SUMPRODUCT(('C19RM 2021-Lab &amp; Other HPS'!$A$228:$D$327=E29)*('C19RM 2021-Lab &amp; Other HPS'!$BH$228:$BH$327=BJ29)*('C19RM 2021-Lab &amp; Other HPS'!$BQ$228:$BQ$327)*(('C19RM 2021-Lab &amp; Other HPS'!$AH$228:$AH$327)))),IF((INDEX(SETUP!$G$19:$G$503,(MATCH(1,(SETUP!$B$19:$B$503=B29)*(SETUP!$D$19:$D$503=D29),0))))=3,(SUMPRODUCT(('C19RM 2021-Lab &amp; Other HPS'!$A$228:$D$327=E29)*('C19RM 2021-Lab &amp; Other HPS'!$BH$228:$BH$327=BJ29)*('C19RM 2021-Lab &amp; Other HPS'!$BR$228:$BR$327)*(('C19RM 2021-Lab &amp; Other HPS'!$AL$228:$AL$327)))),IF((INDEX(SETUP!$G$19:$G$503,(MATCH(1,(SETUP!$B$19:$B$503=B29)*(SETUP!$D$19:$D$503=D29),0))))=2,(SUMPRODUCT(('C19RM 2021-Lab &amp; Other HPS'!$A$228:$D$327=E29)*('C19RM 2021-Lab &amp; Other HPS'!$BH$228:$BH$327=BJ29)*('C19RM 2021-Lab &amp; Other HPS'!$BR$228:$BR$327)*(('C19RM 2021-Lab &amp; Other HPS'!$AM$228:$AM$327)))),IF((INDEX(SETUP!$G$19:$G$503,(MATCH(1,(SETUP!$B$19:$B$503=B29)*(SETUP!$D$19:$D$503=D29),0))))=1,(SUMPRODUCT(('C19RM 2021-Lab &amp; Other HPS'!$A$228:$D$327=E29)*('C19RM 2021-Lab &amp; Other HPS'!$BH$228:$BH$327=BJ29)*('C19RM 2021-Lab &amp; Other HPS'!$BR$228:$BR$327)*(('C19RM 2021-Lab &amp; Other HPS'!$AN$228:$AN$327)))),0)))),0)))</f>
        <v>0</v>
      </c>
      <c r="AH29" s="359" cm="1">
        <f t="array" ref="AH29">IF((INDEX(SETUP!$F$19:$F$503,(MATCH(1,(SETUP!$B$19:$B$503=B29)*(SETUP!$D$19:$D$503=D29),0))))="Upfront",
(SUMPRODUCT(('C19RM 2021-Lab &amp; Other HPS'!$A$228:$D$327=E29)*('C19RM 2021-Lab &amp; Other HPS'!$BH$228:$BH$327=BJ29)*('C19RM 2021-Lab &amp; Other HPS'!$BS$228:$BS$327)*(('C19RM 2021-Lab &amp; Other HPS'!$AS$228:$AS$327)))),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HPS'!$AL$228:$AL$327)))),IF((INDEX(SETUP!$G$19:$G$503,(MATCH(1,(SETUP!$B$19:$B$503=B29)*(SETUP!$D$19:$D$503=D29),0))))=3,((SUMPRODUCT(('C19RM 2021-Lab &amp; Other HPS'!$A$228:$D$327=E29)*('C19RM 2021-Lab &amp; Other HPS'!$BH$228:$BH$327=BJ29)*('C19RM 2021-Lab &amp; Other HPS'!$BR$228:$BR$327)*(('C19RM 2021-Lab &amp; Other HPS'!$AM$228:$AM$327))))),IF((INDEX(SETUP!$G$19:$G$503,(MATCH(1,(SETUP!$B$19:$B$503=B29)*(SETUP!$D$19:$D$503=D29),0))))=2,(SUMPRODUCT(('C19RM 2021-Lab &amp; Other HPS'!$A$228:$D$327=E29)*('C19RM 2021-Lab &amp; Other HPS'!$BH$228:$BH$327=BJ29)*('C19RM 2021-Lab &amp; Other HPS'!$BR$228:$BR$327)*(('C19RM 2021-Lab &amp; Other HPS'!$AN$228:$AN$327)))),IF((INDEX(SETUP!$G$19:$G$503,(MATCH(1,(SETUP!$B$19:$B$503=B29)*(SETUP!$D$19:$D$503=D29),0))))=1,(SUMPRODUCT(('C19RM 2021-Lab &amp; Other HPS'!$A$228:$D$327=E29)*('C19RM 2021-Lab &amp; Other HPS'!$BH$228:$BH$327=BJ29)*('C19RM 2021-Lab &amp; Other HPS'!$BR$228:$BR$327)*(('C19RM 2021-Lab &amp; Other HPS'!$AO$228:$AO$327)))),0)))),0)))</f>
        <v>0</v>
      </c>
      <c r="AI29" s="359" cm="1">
        <f t="array" ref="AI29">IF((INDEX(SETUP!$F$19:$F$503,(MATCH(1,(SETUP!$B$19:$B$503=B29)*(SETUP!$D$19:$D$503=D29),0))))="Upfront",
(SUMPRODUCT(('C19RM 2021-Lab &amp; Other HPS'!$A$228:$D$327=E29)*('C19RM 2021-Lab &amp; Other HPS'!$BS$228:$BS$327)*('C19RM 2021-Lab &amp; Other HPS'!$BH$228:$BH$327=BJ29)*(('C19RM 2021-Lab &amp; Other HPS'!$AT$228:$AT$327)))),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HPS'!$AM$228:$AM$327)))),IF((INDEX(SETUP!$G$19:$G$503,(MATCH(1,(SETUP!$B$19:$B$503=B29)*(SETUP!$D$19:$D$503=D29),0))))=3,((SUMPRODUCT(('C19RM 2021-Lab &amp; Other HPS'!$A$228:$D$327=E29)*('C19RM 2021-Lab &amp; Other HPS'!$BH$228:$BH$327=BJ29)*('C19RM 2021-Lab &amp; Other HPS'!$BR$228:$BR$327)*(('C19RM 2021-Lab &amp; Other HPS'!$AN$228:$AN$327))))),IF((INDEX(SETUP!$G$19:$G$503,(MATCH(1,(SETUP!$B$19:$B$503=B29)*(SETUP!$D$19:$D$503=D29),0))))=2,(SUMPRODUCT(('C19RM 2021-Lab &amp; Other HPS'!$A$228:$D$327=E29)*('C19RM 2021-Lab &amp; Other HPS'!$BH$228:$BH$327=BJ29)*('C19RM 2021-Lab &amp; Other HPS'!$BR$228:$BR$327)*(('C19RM 2021-Lab &amp; Other HPS'!$AO$228:$AO$327)))),IF((INDEX(SETUP!$G$19:$G$503,(MATCH(1,(SETUP!$B$19:$B$503=B29)*(SETUP!$D$19:$D$503=D29),0))))=1,(SUMPRODUCT(('C19RM 2021-Lab &amp; Other HPS'!$A$228:$D$327=E29)*('C19RM 2021-Lab &amp; Other HPS'!$BH$228:$BH$327=BJ29)*('C19RM 2021-Lab &amp; Other HPS'!$BS$228:$BS$327)*(('C19RM 2021-Lab &amp; Other HPS'!$AS$228:$AS$327)))),0)))),0)))</f>
        <v>0</v>
      </c>
      <c r="AJ29" s="359" cm="1">
        <f t="array" ref="AJ29">IF((INDEX(SETUP!$F$19:$F$503,(MATCH(1,(SETUP!$B$19:$B$503=B29)*(SETUP!$D$19:$D$503=D29),0))))="Upfront",
(SUMPRODUCT(('C19RM 2021-Lab &amp; Other HPS'!$A$228:$D$327=E29)*('C19RM 2021-Lab &amp; Other HPS'!$BH$228:$BH$327=BJ29)*('C19RM 2021-Lab &amp; Other HPS'!$BS$228:$BS$327)*(('C19RM 2021-Lab &amp; Other HPS'!$AU$228:$AU$327)))),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HPS'!$AN$228:$AN$327)))),IF((INDEX(SETUP!$G$19:$G$503,(MATCH(1,(SETUP!$B$19:$B$503=B29)*(SETUP!$D$19:$D$503=D29),0))))=3,((SUMPRODUCT(('C19RM 2021-Lab &amp; Other HPS'!$A$228:$D$327=E29)*('C19RM 2021-Lab &amp; Other HPS'!$BH$228:$BH$327=BJ29)*('C19RM 2021-Lab &amp; Other HPS'!$BR$228:$BR$327)*(('C19RM 2021-Lab &amp; Other HPS'!$AO$228:$AO$327))))),IF((INDEX(SETUP!$G$19:$G$503,(MATCH(1,(SETUP!$B$19:$B$503=B29)*(SETUP!$D$19:$D$503=D29),0))))=2,(SUMPRODUCT(('C19RM 2021-Lab &amp; Other HPS'!$A$228:$D$327=E29)*('C19RM 2021-Lab &amp; Other HPS'!$BH$228:$BH$327=BJ29)*('C19RM 2021-Lab &amp; Other HPS'!$BS$228:$BS$327)*(('C19RM 2021-Lab &amp; Other HPS'!$AS$228:$AS$327)))),IF((INDEX(SETUP!$G$19:$G$503,(MATCH(1,(SETUP!$B$19:$B$503=B29)*(SETUP!$D$19:$D$503=D29),0))))=1,(SUMPRODUCT(('C19RM 2021-Lab &amp; Other HPS'!$A$228:$D$327=E29)*('C19RM 2021-Lab &amp; Other HPS'!$BH$228:$BH$327=BJ29)*('C19RM 2021-Lab &amp; Other HPS'!$BS$228:$BS$327)*(('C19RM 2021-Lab &amp; Other HPS'!$AT$228:$AT$327)))),0)))),0)))</f>
        <v>0</v>
      </c>
      <c r="AK29" s="359" cm="1">
        <f t="array" ref="AK29">IF((INDEX(SETUP!$F$19:$F$503,(MATCH(1,(SETUP!$B$19:$B$503=B29)*(SETUP!$D$19:$D$503=D29),0))))="Upfront",
(SUMPRODUCT(('C19RM 2021-Lab &amp; Other HPS'!$A$228:$D$327=E29)*('C19RM 2021-Lab &amp; Other HPS'!$BH$228:$BH$327=BJ29)*('C19RM 2021-Lab &amp; Other HPS'!$BS$228:$BS$327)*(('C19RM 2021-Lab &amp; Other HPS'!$AV$228:$AV$327)))),
(IF((INDEX(SETUP!$F$19:$F$503,(MATCH(1,(SETUP!$B$19:$B$503=B29)*(SETUP!$D$19:$D$503=D29),0))))="At delivery",
IF((INDEX(SETUP!$G$19:$G$503,(MATCH(1,(SETUP!$B$19:$B$503=B29)*(SETUP!$D$19:$D$503=D29),0))))=4,
(SUMPRODUCT(('C19RM 2021-Lab &amp; Other HPS'!$A$228:$D$327=E29)*('C19RM 2021-Lab &amp; Other HPS'!$BH$228:$BH$327=BJ29)*('C19RM 2021-Lab &amp; Other HPS'!$BR$228:$BR$327)*(('C19RM 2021-Lab &amp; Other HPS'!$AO$228:$AO$327)))),IF((INDEX(SETUP!$G$19:$G$503,(MATCH(1,(SETUP!$B$19:$B$503=B29)*(SETUP!$D$19:$D$503=D29),0))))=3,((SUMPRODUCT(('C19RM 2021-Lab &amp; Other HPS'!$A$228:$D$327=E29)*('C19RM 2021-Lab &amp; Other HPS'!$BH$228:$BH$327=BJ29)*('C19RM 2021-Lab &amp; Other HPS'!$BS$228:$BS$327)*(('C19RM 2021-Lab &amp; Other HPS'!$AS$228:$AS$327))))),IF((INDEX(SETUP!$G$19:$G$503,(MATCH(1,(SETUP!$B$19:$B$503=B29)*(SETUP!$D$19:$D$503=D29),0))))=2,(SUMPRODUCT(('C19RM 2021-Lab &amp; Other HPS'!$A$228:$D$327=E29)*('C19RM 2021-Lab &amp; Other HPS'!$BH$228:$BH$327=BJ29)*('C19RM 2021-Lab &amp; Other HPS'!$BS$228:$BS$327)*(('C19RM 2021-Lab &amp; Other HPS'!$AT$228:$AT$327)))),IF((INDEX(SETUP!$G$19:$G$503,(MATCH(1,(SETUP!$B$19:$B$503=B29)*(SETUP!$D$19:$D$503=D29),0))))=1,(SUMPRODUCT(('C19RM 2021-Lab &amp; Other HPS'!$A$228:$D$327=E29)*('C19RM 2021-Lab &amp; Other HPS'!$BH$228:$BH$327=BJ29)*('C19RM 2021-Lab &amp; Other HPS'!$BS$228:$BS$327)*(('C19RM 2021-Lab &amp; Other HPS'!$AU$228:$AU$327)))),0)))),0)))</f>
        <v>0</v>
      </c>
      <c r="AL29" s="359" cm="1">
        <f t="array" ref="AL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HPS'!$AS$228:$AS$327)))),IF((INDEX(SETUP!$G$19:$G$503,(MATCH(1,(SETUP!$B$19:$B$503=B29)*(SETUP!$D$19:$D$503=D29),0))))=3,(SUMPRODUCT(('C19RM 2021-Lab &amp; Other HPS'!$A$228:$D$327=E29)*('C19RM 2021-Lab &amp; Other HPS'!$BH$228:$BH$327=BJ29)*('C19RM 2021-Lab &amp; Other HPS'!$BS$228:$BS$327)*(('C19RM 2021-Lab &amp; Other HPS'!$AT$228:$AT$327)))),IF((INDEX(SETUP!$G$19:$G$503,(MATCH(1,(SETUP!$B$19:$B$503=B29)*(SETUP!$D$19:$D$503=D29),0))))=2,(SUMPRODUCT(('C19RM 2021-Lab &amp; Other HPS'!$A$228:$D$327=E29)*('C19RM 2021-Lab &amp; Other HPS'!$BH$228:$BH$327=BJ29)*('C19RM 2021-Lab &amp; Other HPS'!$BS$228:$BS$327)*(('C19RM 2021-Lab &amp; Other HPS'!$AU$228:$AU$327)))),
IF((INDEX(SETUP!$G$19:$G$503,(MATCH(1,(SETUP!$B$19:$B$503=B29)*(SETUP!$D$19:$D$503=D29),0))))=1,
(SUMPRODUCT(('C19RM 2021-Lab &amp; Other HPS'!$A$228:$D$327=E29)*('C19RM 2021-Lab &amp; Other HPS'!$BH$228:$BH$327=BJ29)*('C19RM 2021-Lab &amp; Other HPS'!$BS$228:$BS$327)*(('C19RM 2021-Lab &amp; Other HPS'!$AV$228:$AV$327)))),0)))),0)))</f>
        <v>0</v>
      </c>
      <c r="AM29" s="359" cm="1">
        <f t="array" ref="AM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HPS'!$AT$228:$AT$327)))),IF((INDEX(SETUP!$G$19:$G$503,(MATCH(1,(SETUP!$B$19:$B$503=B29)*(SETUP!$D$19:$D$503=D29),0))))=3,(SUMPRODUCT(('C19RM 2021-Lab &amp; Other HPS'!$A$228:$D$327=E29)*('C19RM 2021-Lab &amp; Other HPS'!$BH$228:$BH$327=BJ29)*('C19RM 2021-Lab &amp; Other HPS'!$BS$228:$BS$327)*(('C19RM 2021-Lab &amp; Other HPS'!$AU$228:$AU$327)))),IF((INDEX(SETUP!$G$19:$G$503,(MATCH(1,(SETUP!$B$19:$B$503=B29)*(SETUP!$D$19:$D$503=D29),0))))=2,(SUMPRODUCT(('C19RM 2021-Lab &amp; Other HPS'!$A$228:$D$327=E29)*('C19RM 2021-Lab &amp; Other HPS'!$BH$228:$BH$327=BJ29)*('C19RM 2021-Lab &amp; Other HPS'!$BS$228:$BS$327)*(('C19RM 2021-Lab &amp; Other HPS'!$AV$228:$AV$327)))),IF((INDEX(SETUP!$G$19:$G$503,(MATCH(1,(SETUP!$B$19:$B$503=B29)*(SETUP!$D$19:$D$503=D29),0))))=1,(0),0)))),0)))</f>
        <v>0</v>
      </c>
      <c r="AN29" s="359" cm="1">
        <f t="array" ref="AN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HPS'!$AU$228:$AU$327)))),IF((INDEX(SETUP!$G$19:$G$503,(MATCH(1,(SETUP!$B$19:$B$503=B29)*(SETUP!$D$19:$D$503=D29),0))))=3,(SUMPRODUCT(('C19RM 2021-Lab &amp; Other HPS'!$A$228:$D$327=E29)*('C19RM 2021-Lab &amp; Other HPS'!$BH$228:$BH$327=BJ29)*('C19RM 2021-Lab &amp; Other HPS'!$BS$228:$BS$327)*(('C19RM 2021-Lab &amp; Other HPS'!$AV$228:$AV$327)))),IF((INDEX(SETUP!$G$19:$G$503,(MATCH(1,(SETUP!$B$19:$B$503=B29)*(SETUP!$D$19:$D$503=D29),0))))=2,(0),IF((INDEX(SETUP!$G$19:$G$503,(MATCH(1,(SETUP!$B$19:$B$503=B29)*(SETUP!$D$19:$D$503=D29),0))))=1,(0),0)))),0)))</f>
        <v>0</v>
      </c>
      <c r="AO29" s="359" cm="1">
        <f t="array" ref="AO29">IF((INDEX(SETUP!$F$19:$F$503,(MATCH(1,(SETUP!$B$19:$B$503=B29)*(SETUP!$D$19:$D$503=D29),0))))="Upfront",0,(IF((INDEX(SETUP!$F$19:$F$503,(MATCH(1,(SETUP!$B$19:$B$503=B29)*(SETUP!$D$19:$D$503=D29),0))))="At delivery",IF((INDEX(SETUP!$G$19:$G$503,(MATCH(1,(SETUP!$B$19:$B$503=B29)*(SETUP!$D$19:$D$503=D29),0))))=4,(SUMPRODUCT(('C19RM 2021-Lab &amp; Other HPS'!$A$228:$D$327=E29)*('C19RM 2021-Lab &amp; Other HPS'!$BH$228:$BH$327=BJ29)*('C19RM 2021-Lab &amp; Other HPS'!$BS$228:$BS$327)*(('C19RM 2021-Lab &amp; Other HPS'!$AV$228:$AV$327)))),IF((INDEX(SETUP!$G$19:$G$503,(MATCH(1,(SETUP!$B$19:$B$503=B29)*(SETUP!$D$19:$D$503=D29),0))))=3,(0),IF((INDEX(SETUP!$G$19:$G$503,(MATCH(1,(SETUP!$B$19:$B$503=B29)*(SETUP!$D$19:$D$503=D29),0))))=2,(0),IF((INDEX(SETUP!$G$19:$G$503,(MATCH(1,(SETUP!$B$19:$B$503=B29)*(SETUP!$D$19:$D$503=D29),0))))=1,(0),0)))),0)))</f>
        <v>0</v>
      </c>
      <c r="AP29" s="359"/>
      <c r="AQ29" s="359"/>
      <c r="AR29" s="359"/>
      <c r="AS29" s="359"/>
      <c r="AT29" s="359" cm="1">
        <f t="array" ref="AT29">IF(BG29&gt;=1,0,IFERROR(SUMPRODUCT(($R$2:$AO$2=$AT$4)*($E$5:$E$100=E29)*($BC$5:$BC$100=BC29)*($R$5:$AO$100)),0))</f>
        <v>0</v>
      </c>
      <c r="AU29" s="359" cm="1">
        <f t="array" ref="AU29">IF(BG29&gt;=1,0,IFERROR(SUMPRODUCT(($R$2:$AO$2=$AU$4)*($E$5:$E$100=E29)*($BC$5:$BC$100=BC29)*($R$5:$AO$100)),0))</f>
        <v>0</v>
      </c>
      <c r="AV29" s="359" cm="1">
        <f t="array" ref="AV29">IF(BG29&gt;=1,0,IFERROR(SUMPRODUCT(($R$2:$AO$2=$AV$4)*($E$5:$E$100=E29)*($BC$5:$BC$100=BC29)*($R$5:$AO$100)),0))</f>
        <v>0</v>
      </c>
      <c r="AW29" s="359" cm="1">
        <f t="array" ref="AW29">IF(BG29&gt;=1,0,IFERROR(SUMPRODUCT(($R$2:$AO$2=$AW$4)*($E$5:$E$100=E29)*($BC$5:$BC$100=BC29)*($R$5:$AO$100)),0))</f>
        <v>0</v>
      </c>
      <c r="AX29" s="359" cm="1">
        <f t="array" ref="AX29">IF(BG29&gt;=1,0,IFERROR(SUMPRODUCT(($R$2:$AO$2=$AX$4)*($E$5:$E$100=E29)*($BC$5:$BC$100=BC29)*($R$5:$AO$100)),0))</f>
        <v>0</v>
      </c>
      <c r="AY29" s="359">
        <f t="shared" si="5"/>
        <v>0</v>
      </c>
      <c r="AZ29" s="359"/>
      <c r="BA29" s="233">
        <f t="shared" si="6"/>
        <v>0</v>
      </c>
      <c r="BB29" s="220" t="s">
        <v>83</v>
      </c>
      <c r="BC29" t="s">
        <v>184</v>
      </c>
      <c r="BD29" cm="1">
        <f t="array" ref="BD29">(SUMPRODUCT(('C19RM 2021-Lab &amp; Other HPS'!$A$14:$D$650=E29)*('C19RM 2021-Lab &amp; Other HPS'!$BU$14:$BU$650)))</f>
        <v>0</v>
      </c>
      <c r="BE29" cm="1">
        <f t="array" ref="BE29">(SUMPRODUCT((SETUP!$D$20:$D$67=D29)*(SETUP!$R$20:$R$67)))</f>
        <v>0</v>
      </c>
      <c r="BF29" cm="1">
        <f t="array" ref="BF29">(SUMPRODUCT(('C19RM 2021-Lab &amp; Other HPS'!$A$14:$D$650=E29)*('C19RM 2021-Lab &amp; Other HPS'!$BV$14:$BV$650)))</f>
        <v>0</v>
      </c>
      <c r="BG29">
        <f t="shared" si="25"/>
        <v>0</v>
      </c>
      <c r="BJ29" s="235">
        <v>5.1100000000000003</v>
      </c>
    </row>
    <row r="30" spans="1:62" x14ac:dyDescent="0.35">
      <c r="A30" s="235">
        <v>4</v>
      </c>
      <c r="B30" s="220" t="s">
        <v>2750</v>
      </c>
      <c r="C30" s="235" t="s">
        <v>3195</v>
      </c>
      <c r="D30" s="235" t="s">
        <v>25</v>
      </c>
      <c r="E30" s="235" t="s">
        <v>26</v>
      </c>
      <c r="F30" s="220">
        <f>SETUP!$E$3</f>
        <v>0</v>
      </c>
      <c r="G30" s="220" t="str">
        <f ca="1">SETUP!$J$5</f>
        <v>NA</v>
      </c>
      <c r="H30" s="220" t="str">
        <f>SETUP!$E$9</f>
        <v>C19RM</v>
      </c>
      <c r="I30" s="232">
        <f t="shared" si="22"/>
        <v>44197</v>
      </c>
      <c r="J30" s="232">
        <f>SETUP!$L$14</f>
        <v>46022</v>
      </c>
      <c r="K30" s="220">
        <f>IFERROR(VLOOKUP(E30,'Master Data-C19RM'!$A$5:$B$35,2,0),0)</f>
        <v>0</v>
      </c>
      <c r="L30">
        <f t="shared" si="23"/>
        <v>0</v>
      </c>
      <c r="M30">
        <f>SETUP!$E$7</f>
        <v>0</v>
      </c>
      <c r="N30">
        <f>SETUP!$F$76</f>
        <v>6.1</v>
      </c>
      <c r="O30" t="str" cm="1">
        <f t="array" ref="O30">INDEX(SETUP!$E$19:$E$503,(MATCH(1,(SETUP!$B$19:$B$503=B30)*(SETUP!$D$19:$D$503=D30),0)))</f>
        <v>PR/SR</v>
      </c>
      <c r="P30" t="str" cm="1">
        <f t="array" ref="P30">INDEX(SETUP!$F$19:$F$503,(MATCH(1,(SETUP!$B$19:$B$503=B30)*(SETUP!$D$19:$D$503=D30),0)))</f>
        <v>At delivery</v>
      </c>
      <c r="Q30" cm="1">
        <f t="array" ref="Q30">INDEX(SETUP!$G$19:$G$503,(MATCH(1,(SETUP!$B$19:$B$503=B30)*(SETUP!$D$19:$D$503=D30),0)))</f>
        <v>1</v>
      </c>
      <c r="R30" s="359" cm="1">
        <f t="array" ref="R30">IF((INDEX(SETUP!$F$19:$F$503,(MATCH(1,(SETUP!$B$19:$B$503=B30)*(SETUP!$D$19:$D$503=D30),0))))="Upfront",(SUMPRODUCT(('C19RM 2021-Lab &amp; Other HPS'!$A$336:$D$435=E30)*('C19RM 2021-Lab &amp; Other HPS'!$BH$336:$BH$435=BJ30)*('C19RM 2021-Lab &amp; Other HPS'!$BO$336:$BO$435)*(('C19RM 2021-Lab &amp; Other HPS'!$Q$336:$Q$435)))),0)</f>
        <v>0</v>
      </c>
      <c r="S30" s="359" cm="1">
        <f t="array" ref="S30">IF((INDEX(SETUP!$F$19:$F$503,(MATCH(1,(SETUP!$B$19:$B$503=B30)*(SETUP!$D$19:$D$503=D30),0))))="Upfront",(SUMPRODUCT(('C19RM 2021-Lab &amp; Other HPS'!$A$336:$D$435=E30)*('C19RM 2021-Lab &amp; Other HPS'!$BH$336:$BH$435=BJ30)*('C19RM 2021-Lab &amp; Other HPS'!$BO$336:$BO$435)*(('C19RM 2021-Lab &amp; Other HPS'!$R$336:$R$435)))),(IF((INDEX(SETUP!$F$19:$F$503,(MATCH(1,(SETUP!$B$19:$B$503=B30)*(SETUP!$D$19:$D$503=D30),0))))="At delivery",IF((INDEX(SETUP!$G$19:$G$503,(MATCH(1,(SETUP!$B$19:$B$503=B30)*(SETUP!$D$19:$D$503=D30),0))))=1,(SUMPRODUCT(('C19RM 2021-Lab &amp; Other HPS'!$A$336:$D$435=E30)*('C19RM 2021-Lab &amp; Other HPS'!$BH$336:$BH$435=BJ30)*('C19RM 2021-Lab &amp; Other HPS'!$BO$336:$BO$435)*(('C19RM 2021-Lab &amp; Other HPS'!$Q$336:$Q$435)))),0),0)))</f>
        <v>0</v>
      </c>
      <c r="T30" s="359" cm="1">
        <f t="array" ref="T30">IF((INDEX(SETUP!$F$19:$F$503,(MATCH(1,(SETUP!$B$19:$B$503=B30)*(SETUP!$D$19:$D$503=D30),0))))="Upfront",(SUMPRODUCT(('C19RM 2021-Lab &amp; Other HPS'!$A$336:$D$435=E30)*('C19RM 2021-Lab &amp; Other HPS'!$BH$336:$BH$435=BJ30)*('C19RM 2021-Lab &amp; Other HPS'!$BO$336:$BO$435)*(('C19RM 2021-Lab &amp; Other HPS'!$S$336:$S$435)))),(IF((INDEX(SETUP!$F$19:$F$503,(MATCH(1,(SETUP!$B$19:$B$503=B30)*(SETUP!$D$19:$D$503=D30),0))))="At delivery",IF((INDEX(SETUP!$G$19:$G$503,(MATCH(1,(SETUP!$B$19:$B$503=B30)*(SETUP!$D$19:$D$503=D30),0))))=2,(SUMPRODUCT(('C19RM 2021-Lab &amp; Other HPS'!$A$336:$D$435=E30)*('C19RM 2021-Lab &amp; Other HPS'!$BH$336:$BH$435=BJ30)*('C19RM 2021-Lab &amp; Other HPS'!$BO$336:$BO$435)*(('C19RM 2021-Lab &amp; Other HPS'!$Q$336:$Q$435)))),IF((INDEX(SETUP!$G$19:$G$503,(MATCH(1,(SETUP!$B$19:$B$503=B30)*(SETUP!$D$19:$D$503=D30),0))))=1,(SUMPRODUCT(('C19RM 2021-Lab &amp; Other HPS'!$A$336:$D$435=E30)*('C19RM 2021-Lab &amp; Other HPS'!$BH$336:$BH$435=BJ30)*('C19RM 2021-Lab &amp; Other HPS'!$BO$336:$BO$435)*(('C19RM 2021-Lab &amp; Other HPS'!$R$336:$R$435)))),0)),0)))</f>
        <v>0</v>
      </c>
      <c r="U30" s="359" cm="1">
        <f t="array" ref="U30">IF((INDEX(SETUP!$F$19:$F$503,(MATCH(1,(SETUP!$B$19:$B$503=B30)*(SETUP!$D$19:$D$503=D30),0))))="Upfront",(SUMPRODUCT(('C19RM 2021-Lab &amp; Other HPS'!$A$336:$D$435=E30)*('C19RM 2021-Lab &amp; Other HPS'!$BH$336:$BH$435=BJ30)*('C19RM 2021-Lab &amp; Other HPS'!$BO$336:$BO$435)*(('C19RM 2021-Lab &amp; Other HPS'!$T$336:$T$435)))),(IF((INDEX(SETUP!$F$19:$F$503,(MATCH(1,(SETUP!$B$19:$B$503=B30)*(SETUP!$D$19:$D$503=D30),0))))="At delivery",IF((INDEX(SETUP!$G$19:$G$503,(MATCH(1,(SETUP!$B$19:$B$503=B30)*(SETUP!$D$19:$D$503=D30),0))))=3,(SUMPRODUCT(('C19RM 2021-Lab &amp; Other HPS'!$A$336:$D$435=E30)*('C19RM 2021-Lab &amp; Other HPS'!$BH$336:$BH$435=BJ30)*('C19RM 2021-Lab &amp; Other HPS'!$BO$336:$BO$435)*(('C19RM 2021-Lab &amp; Other HPS'!$Q$336:$Q$435)))),IF((INDEX(SETUP!$G$19:$G$503,(MATCH(1,(SETUP!$B$19:$B$503=B30)*(SETUP!$D$19:$D$503=D30),0))))=2,(SUMPRODUCT(('C19RM 2021-Lab &amp; Other HPS'!$A$336:$D$435=E30)*('C19RM 2021-Lab &amp; Other HPS'!$BH$336:$BH$435=BJ30)*('C19RM 2021-Lab &amp; Other HPS'!$BO$336:$BO$435)*(('C19RM 2021-Lab &amp; Other HPS'!$R$336:$R$435)))),IF((INDEX(SETUP!$G$19:$G$503,(MATCH(1,(SETUP!$B$19:$B$503=B30)*(SETUP!$D$19:$D$503=D30),0))))=1,(SUMPRODUCT(('C19RM 2021-Lab &amp; Other HPS'!$A$336:$D$435=E30)*('C19RM 2021-Lab &amp; Other HPS'!$BH$336:$BH$435=BJ30)*('C19RM 2021-Lab &amp; Other HPS'!$BO$336:$BO$435)*(('C19RM 2021-Lab &amp; Other HPS'!$S$336:$S$435)))),0))),0)))</f>
        <v>0</v>
      </c>
      <c r="V30" s="359" cm="1">
        <f t="array" ref="V30">IF((INDEX(SETUP!$F$19:$F$503,(MATCH(1,(SETUP!$B$19:$B$503=B30)*(SETUP!$D$19:$D$503=D30),0))))="Upfront",(SUMPRODUCT(('C19RM 2021-Lab &amp; Other HPS'!$A$336:$D$435=E30)*('C19RM 2021-Lab &amp; Other HPS'!$BH$336:$BH$435=BJ30)*('C19RM 2021-Lab &amp; Other HPS'!$BP$336:$BP$435)*(('C19RM 2021-Lab &amp; Other HPS'!$X$336:$X$435)))),(IF((INDEX(SETUP!$F$19:$F$503,(MATCH(1,(SETUP!$B$19:$B$503=B30)*(SETUP!$D$19:$D$503=D30),0))))="At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HPS'!$Q$336:$Q$435)))),IF((INDEX(SETUP!$G$19:$G$503,(MATCH(1,(SETUP!$B$19:$B$503=B30)*(SETUP!$D$19:$D$503=D30),0))))=3,(SUMPRODUCT(('C19RM 2021-Lab &amp; Other HPS'!$A$336:$D$435=E30)*('C19RM 2021-Lab &amp; Other HPS'!$BH$336:$BH$435=BJ30)*('C19RM 2021-Lab &amp; Other HPS'!$BO$336:$BO$435)*(('C19RM 2021-Lab &amp; Other HPS'!$R$336:$R$435)))),IF((INDEX(SETUP!$G$19:$G$503,(MATCH(1,(SETUP!$B$19:$B$503=B30)*(SETUP!$D$19:$D$503=D30),0))))=2,(SUMPRODUCT(('C19RM 2021-Lab &amp; Other HPS'!$A$336:$D$435=E30)*('C19RM 2021-Lab &amp; Other HPS'!$BH$336:$BH$435=BJ30)*('C19RM 2021-Lab &amp; Other HPS'!$BO$336:$BO$435)*(('C19RM 2021-Lab &amp; Other HPS'!$S$336:$S$435)))),IF((INDEX(SETUP!$G$19:$G$503,(MATCH(1,(SETUP!$B$19:$B$503=B30)*(SETUP!$D$19:$D$503=D30),0))))=1,(SUMPRODUCT(('C19RM 2021-Lab &amp; Other HPS'!$A$336:$D$435=E30)*('C19RM 2021-Lab &amp; Other HPS'!$BH$336:$BH$435=BJ30)*('C19RM 2021-Lab &amp; Other HPS'!$BO$336:$BO$435)*(('C19RM 2021-Lab &amp; Other HPS'!$T$336:$T$435)))),0)))),0)))</f>
        <v>0</v>
      </c>
      <c r="W30" s="359" cm="1">
        <f t="array" ref="W30">IF((INDEX(SETUP!$F$19:$F$503,(MATCH(1,(SETUP!$B$19:$B$503=B30)*(SETUP!$D$19:$D$503=D30),0))))="Upfront",(SUMPRODUCT(('C19RM 2021-Lab &amp; Other HPS'!$A$336:$D$435=E30)*('C19RM 2021-Lab &amp; Other HPS'!$BH$336:$BH$435=BJ30)*('C19RM 2021-Lab &amp; Other HPS'!$BP$336:$BP$435)*(('C19RM 2021-Lab &amp; Other HPS'!$Y$336:$Y$435)))),(IF((INDEX(SETUP!$F$19:$F$503,(MATCH(1,(SETUP!$B$19:$B$503=B30)*(SETUP!$D$19:$D$503=D30),0))))="At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HPS'!$R$336:$R$435)))),IF((INDEX(SETUP!$G$19:$G$503,(MATCH(1,(SETUP!$B$19:$B$503=B30)*(SETUP!$D$19:$D$503=D30),0))))=3,(SUMPRODUCT(('C19RM 2021-Lab &amp; Other HPS'!$A$336:$D$435=E30)*('C19RM 2021-Lab &amp; Other HPS'!$BH$336:$BH$435=BJ30)*('C19RM 2021-Lab &amp; Other HPS'!$BO$336:$BO$435)*(('C19RM 2021-Lab &amp; Other HPS'!$S$336:$S$435)))),IF((INDEX(SETUP!$G$19:$G$503,(MATCH(1,(SETUP!$B$19:$B$503=B30)*(SETUP!$D$19:$D$503=D30),0))))=2,((SUMPRODUCT(('C19RM 2021-Lab &amp; Other HPS'!$A$336:$D$435=E30)*('C19RM 2021-Lab &amp; Other HPS'!$BH$336:$BH$435=BJ30)*('C19RM 2021-Lab &amp; Other HPS'!$BO$336:$BO$435)*(('C19RM 2021-Lab &amp; Other HPS'!$T$336:$T$435))))),IF((INDEX(SETUP!$G$19:$G$503,(MATCH(1,(SETUP!$B$19:$B$503=B30)*(SETUP!$D$19:$D$503=D30),0))))=1,(SUMPRODUCT(('C19RM 2021-Lab &amp; Other HPS'!$A$336:$D$435=E30)*('C19RM 2021-Lab &amp; Other HPS'!$BH$336:$BH$435=BJ30)*('C19RM 2021-Lab &amp; Other HPS'!$BP$336:$BP$435)*(('C19RM 2021-Lab &amp; Other HPS'!$X$336:$X$435)))),0)))),0)))</f>
        <v>0</v>
      </c>
      <c r="X30" s="359" cm="1">
        <f t="array" ref="X30">IF((INDEX(SETUP!$F$19:$F$503,(MATCH(1,(SETUP!$B$19:$B$503=B30)*(SETUP!$D$19:$D$503=D30),0))))="Upfront",(SUMPRODUCT(('C19RM 2021-Lab &amp; Other HPS'!$A$336:$D$435=E30)*('C19RM 2021-Lab &amp; Other HPS'!$BH$336:$BH$435=BJ30)*('C19RM 2021-Lab &amp; Other HPS'!$BP$336:$BP$435)*(('C19RM 2021-Lab &amp; Other HPS'!$Z$336:$Z$435)))),(IF((INDEX(SETUP!$F$19:$F$503,(MATCH(1,(SETUP!$B$19:$B$503=B30)*(SETUP!$D$19:$D$503=D30),0))))="At delivery",IF((INDEX(SETUP!$G$19:$G$503,(MATCH(1,(SETUP!$B$19:$B$503=B30)*(SETUP!$D$19:$D$503=D30),0))))=4,(SUMPRODUCT(('C19RM 2021-Lab &amp; Other HPS'!$A$336:$D$435=E30)*('C19RM 2021-Lab &amp; Other HPS'!$BH$336:$BH$435=BJ30)*('C19RM 2021-Lab &amp; Other HPS'!$BO$336:$BO$435)*(('C19RM 2021-Lab &amp; Other HPS'!$S$336:$S$435)))),IF((INDEX(SETUP!$G$19:$G$503,(MATCH(1,(SETUP!$B$19:$B$503=B30)*(SETUP!$D$19:$D$503=D30),0))))=3,((SUMPRODUCT(('C19RM 2021-Lab &amp; Other HPS'!$A$336:$D$435=E30)*('C19RM 2021-Lab &amp; Other HPS'!$BH$336:$BH$435=BJ30)*('C19RM 2021-Lab &amp; Other HPS'!$BO$336:$BO$435)*(('C19RM 2021-Lab &amp; Other HPS'!$T$336:$T$435))))),IF((INDEX(SETUP!$G$19:$G$503,(MATCH(1,(SETUP!$B$19:$B$503=B30)*(SETUP!$D$19:$D$503=D30),0))))=2,(SUMPRODUCT(('C19RM 2021-Lab &amp; Other HPS'!$A$336:$D$435=E30)*('C19RM 2021-Lab &amp; Other HPS'!$BH$336:$BH$435=BJ30)*('C19RM 2021-Lab &amp; Other HPS'!$BP$336:$BP$435)*(('C19RM 2021-Lab &amp; Other HPS'!$X$336:$X$435)))),IF((INDEX(SETUP!$G$19:$G$503,(MATCH(1,(SETUP!$B$19:$B$503=B30)*(SETUP!$D$19:$D$503=D30),0))))=1,(SUMPRODUCT(('C19RM 2021-Lab &amp; Other HPS'!$A$336:$D$435=E30)*('C19RM 2021-Lab &amp; Other HPS'!$BH$336:$BH$435=BJ30)*('C19RM 2021-Lab &amp; Other HPS'!$BP$336:$BP$435)*(('C19RM 2021-Lab &amp; Other HPS'!$Y$336:$Y$435)))),0)))),0)))</f>
        <v>0</v>
      </c>
      <c r="Y30" s="359" cm="1">
        <f t="array" ref="Y30">IF((INDEX(SETUP!$F$19:$F$503,(MATCH(1,(SETUP!$B$19:$B$503=B30)*(SETUP!$D$19:$D$503=D30),0))))="Upfront",
(SUMPRODUCT(('C19RM 2021-Lab &amp; Other HPS'!$A$336:$D$435=E30)*('C19RM 2021-Lab &amp; Other HPS'!$BH$336:$BH$435=BJ30)*('C19RM 2021-Lab &amp; Other HPS'!$BP$336:$BP$435)*(('C19RM 2021-Lab &amp; Other HPS'!$AA$336:$AA$435)))),
(IF((INDEX(SETUP!$F$19:$F$503,(MATCH(1,(SETUP!$B$19:$B$503=B30)*(SETUP!$D$19:$D$503=D30),0))))="At delivery",
IF((INDEX(SETUP!$G$19:$G$503,(MATCH(1,(SETUP!$B$19:$B$503=B30)*(SETUP!$D$19:$D$503=D30),0))))=4,
((SUMPRODUCT(('C19RM 2021-Lab &amp; Other HPS'!$A$336:$D$435=E30)*('C19RM 2021-Lab &amp; Other HPS'!$BH$336:$BH$435=BJ30)*('C19RM 2021-Lab &amp; Other HPS'!$BO$336:$BO$435)*(('C19RM 2021-Lab &amp; Other HPS'!$T$336:$T$435))))),IF((INDEX(SETUP!$G$19:$G$503,(MATCH(1,(SETUP!$B$19:$B$503=B30)*(SETUP!$D$19:$D$503=D30),0))))=3,(SUMPRODUCT(('C19RM 2021-Lab &amp; Other HPS'!$A$336:$D$435=E30)*('C19RM 2021-Lab &amp; Other HPS'!$BH$336:$BH$435=BJ30)*('C19RM 2021-Lab &amp; Other HPS'!$BP$336:$BP$435)*(('C19RM 2021-Lab &amp; Other HPS'!$X$336:$X$435)))),IF((INDEX(SETUP!$G$19:$G$503,(MATCH(1,(SETUP!$B$19:$B$503=B30)*(SETUP!$D$19:$D$503=D30),0))))=2,(SUMPRODUCT(('C19RM 2021-Lab &amp; Other HPS'!$A$336:$D$435=E30)*('C19RM 2021-Lab &amp; Other HPS'!$BH$336:$BH$435=BJ30)*('C19RM 2021-Lab &amp; Other HPS'!$BP$336:$BP$435)*(('C19RM 2021-Lab &amp; Other HPS'!$Y$336:$Y$435)))),IF((INDEX(SETUP!$G$19:$G$503,(MATCH(1,(SETUP!$B$19:$B$503=B30)*(SETUP!$D$19:$D$503=D30),0))))=1,(SUMPRODUCT(('C19RM 2021-Lab &amp; Other HPS'!$A$336:$D$435=E30)*('C19RM 2021-Lab &amp; Other HPS'!$BH$336:$BH$435=BJ30)*('C19RM 2021-Lab &amp; Other HPS'!$BP$336:$BP$435)*(('C19RM 2021-Lab &amp; Other HPS'!$Z$336:$Z$435)))),0)))),0)))</f>
        <v>0</v>
      </c>
      <c r="Z30" s="359" cm="1">
        <f t="array" ref="Z30">IF((INDEX(SETUP!$F$19:$F$503,(MATCH(1,(SETUP!$B$19:$B$503=B30)*(SETUP!$D$19:$D$503=D30),0))))="Upfront",(SUMPRODUCT(('C19RM 2021-Lab &amp; Other HPS'!$A$336:$D$435=E30)*('C19RM 2021-Lab &amp; Other HPS'!$BH$336:$BH$435=BJ30)*('C19RM 2021-Lab &amp; Other HPS'!$BQ$336:$BQ$435)*(('C19RM 2021-Lab &amp; Other HPS'!$AE$336:$AE$435)))),(IF((INDEX(SETUP!$F$19:$F$503,(MATCH(1,(SETUP!$B$19:$B$503=B30)*(SETUP!$D$19:$D$503=D30),0))))="At delivery",IF((INDEX(SETUP!$G$19:$G$503,(MATCH(1,(SETUP!$B$19:$B$503=B30)*(SETUP!$D$19:$D$503=D30),0))))=4,(SUMPRODUCT(('C19RM 2021-Lab &amp; Other HPS'!$A$336:$D$435=E30)*('C19RM 2021-Lab &amp; Other HPS'!$BH$336:$BH$435=BJ30)*('C19RM 2021-Lab &amp; Other HPS'!$BP$336:$BP$435)*(('C19RM 2021-Lab &amp; Other HPS'!$X$336:$X$435)))),IF((INDEX(SETUP!$G$19:$G$503,(MATCH(1,(SETUP!$B$19:$B$503=B30)*(SETUP!$D$19:$D$503=D30),0))))=3,(SUMPRODUCT(('C19RM 2021-Lab &amp; Other HPS'!$A$336:$D$435=E30)*('C19RM 2021-Lab &amp; Other HPS'!$BH$336:$BH$435=BJ30)*('C19RM 2021-Lab &amp; Other HPS'!$BP$336:$BP$435)*(('C19RM 2021-Lab &amp; Other HPS'!$Y$336:$Y$435)))),IF((INDEX(SETUP!$G$19:$G$503,(MATCH(1,(SETUP!$B$19:$B$503=B30)*(SETUP!$D$19:$D$503=D30),0))))=2,(SUMPRODUCT(('C19RM 2021-Lab &amp; Other HPS'!$A$336:$D$435=E30)*('C19RM 2021-Lab &amp; Other HPS'!$BH$336:$BH$435=BJ30)*('C19RM 2021-Lab &amp; Other HPS'!$BP$336:$BP$435)*(('C19RM 2021-Lab &amp; Other HPS'!$Z$336:$Z$435)))),IF((INDEX(SETUP!$G$19:$G$503,(MATCH(1,(SETUP!$B$19:$B$503=B30)*(SETUP!$D$19:$D$503=D30),0))))=1,(SUMPRODUCT(('C19RM 2021-Lab &amp; Other HPS'!$A$336:$D$435=E30)*('C19RM 2021-Lab &amp; Other HPS'!$BH$336:$BH$435=BJ30)*('C19RM 2021-Lab &amp; Other HPS'!$BP$336:$BP$435)*(('C19RM 2021-Lab &amp; Other HPS'!$AA$336:$AA$435)))),0)))),0)))</f>
        <v>0</v>
      </c>
      <c r="AA30" s="359" cm="1">
        <f t="array" ref="AA30">IF((INDEX(SETUP!$F$19:$F$503,(MATCH(1,(SETUP!$B$19:$B$503=B30)*(SETUP!$D$19:$D$503=D30),0))))="Upfront",(SUMPRODUCT(('C19RM 2021-Lab &amp; Other HPS'!$A$336:$D$435=E30)*('C19RM 2021-Lab &amp; Other HPS'!$BH$336:$BH$435=BJ30)*('C19RM 2021-Lab &amp; Other HPS'!$BQ$336:$BQ$435)*(('C19RM 2021-Lab &amp; Other HPS'!$AF$336:$AF$435)))),(IF((INDEX(SETUP!$F$19:$F$503,(MATCH(1,(SETUP!$B$19:$B$503=B30)*(SETUP!$D$19:$D$503=D30),0))))="At delivery",IF((INDEX(SETUP!$G$19:$G$503,(MATCH(1,(SETUP!$B$19:$B$503=B30)*(SETUP!$D$19:$D$503=D30),0))))=4,(SUMPRODUCT(('C19RM 2021-Lab &amp; Other HPS'!$A$336:$D$435=E30)*('C19RM 2021-Lab &amp; Other HPS'!$BH$336:$BH$435=BJ30)*('C19RM 2021-Lab &amp; Other HPS'!$BP$336:$BP$435)*(('C19RM 2021-Lab &amp; Other HPS'!$Y$336:$Y$435)))),IF((INDEX(SETUP!$G$19:$G$503,(MATCH(1,(SETUP!$B$19:$B$503=B30)*(SETUP!$D$19:$D$503=D30),0))))=3,(SUMPRODUCT(('C19RM 2021-Lab &amp; Other HPS'!$A$336:$D$435=E30)*('C19RM 2021-Lab &amp; Other HPS'!$BH$336:$BH$435=BJ30)*('C19RM 2021-Lab &amp; Other HPS'!$BP$336:$BP$435)*(('C19RM 2021-Lab &amp; Other HPS'!$Z$336:$Z$435)))),IF((INDEX(SETUP!$G$19:$G$503,(MATCH(1,(SETUP!$B$19:$B$503=B30)*(SETUP!$D$19:$D$503=D30),0))))=2,((SUMPRODUCT(('C19RM 2021-Lab &amp; Other HPS'!$A$336:$D$435=E30)*('C19RM 2021-Lab &amp; Other HPS'!$BH$336:$BH$435=BJ30)*('C19RM 2021-Lab &amp; Other HPS'!$BP$336:$BP$435)*(('C19RM 2021-Lab &amp; Other HPS'!$AA$336:$AA$435))))),IF((INDEX(SETUP!$G$19:$G$503,(MATCH(1,(SETUP!$B$19:$B$503=B30)*(SETUP!$D$19:$D$503=D30),0))))=1,(SUMPRODUCT(('C19RM 2021-Lab &amp; Other HPS'!$A$336:$D$435=E30)*('C19RM 2021-Lab &amp; Other HPS'!$BH$336:$BH$435=BJ30)*('C19RM 2021-Lab &amp; Other HPS'!$BQ$336:$BQ$435)*(('C19RM 2021-Lab &amp; Other HPS'!$AE$336:$AE$435)))),0)))),0)))</f>
        <v>0</v>
      </c>
      <c r="AB30" s="359" cm="1">
        <f t="array" ref="AB30">IF((INDEX(SETUP!$F$19:$F$503,(MATCH(1,(SETUP!$B$19:$B$503=B30)*(SETUP!$D$19:$D$503=D30),0))))="Upfront",
(SUMPRODUCT(('C19RM 2021-Lab &amp; Other HPS'!$A$336:$D$435=E30)*('C19RM 2021-Lab &amp; Other HPS'!$BH$336:$BH$435=BJ30)*('C19RM 2021-Lab &amp; Other HPS'!$BQ$336:$BQ$435)*(('C19RM 2021-Lab &amp; Other HPS'!$AG$336:$AG$435)))),
(IF((INDEX(SETUP!$F$19:$F$503,(MATCH(1,(SETUP!$B$19:$B$503=B30)*(SETUP!$D$19:$D$503=D30),0))))="At delivery",
IF((INDEX(SETUP!$G$19:$G$503,(MATCH(1,(SETUP!$B$19:$B$503=B30)*(SETUP!$D$19:$D$503=D30),0))))=4,
(SUMPRODUCT(('C19RM 2021-Lab &amp; Other HPS'!$A$336:$D$435=E30)*('C19RM 2021-Lab &amp; Other HPS'!$BH$336:$BH$435=BJ30)*('C19RM 2021-Lab &amp; Other HPS'!$BP$336:$BP$435)*(('C19RM 2021-Lab &amp; Other HPS'!$Z$336:$Z$435)))),IF((INDEX(SETUP!$G$19:$G$503,(MATCH(1,(SETUP!$B$19:$B$503=B30)*(SETUP!$D$19:$D$503=D30),0))))=3,(SUMPRODUCT(('C19RM 2021-Lab &amp; Other HPS'!$A$336:$D$435=E30)*('C19RM 2021-Lab &amp; Other HPS'!$BH$336:$BH$435=BJ30)*('C19RM 2021-Lab &amp; Other HPS'!$BP$336:$BP$435)*(('C19RM 2021-Lab &amp; Other HPS'!$AA$336:$AA$435)))),IF((INDEX(SETUP!$G$19:$G$503,(MATCH(1,(SETUP!$B$19:$B$503=B30)*(SETUP!$D$19:$D$503=D30),0))))=2,(SUMPRODUCT(('C19RM 2021-Lab &amp; Other HPS'!$A$336:$D$435=E30)*('C19RM 2021-Lab &amp; Other HPS'!$BH$336:$BH$435=BJ30)*('C19RM 2021-Lab &amp; Other HPS'!$BQ$336:$BQ$435)*(('C19RM 2021-Lab &amp; Other HPS'!$AE$336:$AE$435)))),IF((INDEX(SETUP!$G$19:$G$503,(MATCH(1,(SETUP!$B$19:$B$503=B30)*(SETUP!$D$19:$D$503=D30),0))))=1,(SUMPRODUCT(('C19RM 2021-Lab &amp; Other HPS'!$A$336:$D$435=E30)*('C19RM 2021-Lab &amp; Other HPS'!$BH$336:$BH$435=BJ30)*('C19RM 2021-Lab &amp; Other HPS'!$BQ$336:$BQ$435)*(('C19RM 2021-Lab &amp; Other HPS'!$AF$336:$AF$435)))),0)))),0)))</f>
        <v>0</v>
      </c>
      <c r="AC30" s="359" cm="1">
        <f t="array" ref="AC30">IF((INDEX(SETUP!$F$19:$F$503,(MATCH(1,(SETUP!$B$19:$B$503=B30)*(SETUP!$D$19:$D$503=D30),0))))="Upfront",
(SUMPRODUCT(('C19RM 2021-Lab &amp; Other HPS'!$A$336:$D$435=E30)*('C19RM 2021-Lab &amp; Other HPS'!$BH$336:$BH$435=BJ30)*('C19RM 2021-Lab &amp; Other HPS'!$BQ$336:$BQ$435)*(('C19RM 2021-Lab &amp; Other HPS'!$AH$336:$AH$435)))),
(IF((INDEX(SETUP!$F$19:$F$503,(MATCH(1,(SETUP!$B$19:$B$503=B30)*(SETUP!$D$19:$D$503=D30),0))))="At delivery",
IF((INDEX(SETUP!$G$19:$G$503,(MATCH(1,(SETUP!$B$19:$B$503=B30)*(SETUP!$D$19:$D$503=D30),0))))=4,
(SUMPRODUCT(('C19RM 2021-Lab &amp; Other HPS'!$A$336:$D$435=E30)*('C19RM 2021-Lab &amp; Other HPS'!$BH$336:$BH$435=BJ30)*('C19RM 2021-Lab &amp; Other HPS'!$BP$336:$BP$435)*(('C19RM 2021-Lab &amp; Other HPS'!$AA$336:$AA$435)))),IF((INDEX(SETUP!$G$19:$G$503,(MATCH(1,(SETUP!$B$19:$B$503=B30)*(SETUP!$D$19:$D$503=D30),0))))=3,(SUMPRODUCT(('C19RM 2021-Lab &amp; Other HPS'!$A$336:$D$435=E30)*('C19RM 2021-Lab &amp; Other HPS'!$BH$336:$BH$435=BJ30)*('C19RM 2021-Lab &amp; Other HPS'!$BQ$336:$BQ$435)*(('C19RM 2021-Lab &amp; Other HPS'!$AE$336:$AE$435)))),IF((INDEX(SETUP!$G$19:$G$503,(MATCH(1,(SETUP!$B$19:$B$503=B30)*(SETUP!$D$19:$D$503=D30),0))))=2,(SUMPRODUCT(('C19RM 2021-Lab &amp; Other HPS'!$A$336:$D$435=E30)*('C19RM 2021-Lab &amp; Other HPS'!$BH$336:$BH$435=BJ30)*('C19RM 2021-Lab &amp; Other HPS'!$BQ$336:$BQ$435)*(('C19RM 2021-Lab &amp; Other HPS'!$AF$336:$AF$435)))),IF((INDEX(SETUP!$G$19:$G$503,(MATCH(1,(SETUP!$B$19:$B$503=B30)*(SETUP!$D$19:$D$503=D30),0))))=1,(SUMPRODUCT(('C19RM 2021-Lab &amp; Other HPS'!$A$336:$D$435=E30)*('C19RM 2021-Lab &amp; Other HPS'!$BH$336:$BH$435=BJ30)*('C19RM 2021-Lab &amp; Other HPS'!$BQ$336:$BQ$435)*(('C19RM 2021-Lab &amp; Other HPS'!$AG$336:$AG$435)))),0)))),0)))</f>
        <v>0</v>
      </c>
      <c r="AD30" s="359" cm="1">
        <f t="array" ref="AD30">IF((INDEX(SETUP!$F$19:$F$503,(MATCH(1,(SETUP!$B$19:$B$503=B30)*(SETUP!$D$19:$D$503=D30),0))))="Upfront",
(SUMPRODUCT(('C19RM 2021-Lab &amp; Other HPS'!$A$336:$D$435=E30)*('C19RM 2021-Lab &amp; Other HPS'!$BH$336:$BH$435=BJ30)*('C19RM 2021-Lab &amp; Other HPS'!$BR$336:$BR$435)*(('C19RM 2021-Lab &amp; Other HPS'!$AL$336:$AL$435)))),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HPS'!$AE$336:$AE$435)))),IF((INDEX(SETUP!$G$19:$G$503,(MATCH(1,(SETUP!$B$19:$B$503=B30)*(SETUP!$D$19:$D$503=D30),0))))=3,((SUMPRODUCT(('C19RM 2021-Lab &amp; Other HPS'!$A$336:$D$435=E30)*('C19RM 2021-Lab &amp; Other HPS'!$BH$336:$BH$435=BJ30)*('C19RM 2021-Lab &amp; Other HPS'!$BQ$336:$BQ$435)*(('C19RM 2021-Lab &amp; Other HPS'!$AF$336:$AF$435))))),IF((INDEX(SETUP!$G$19:$G$503,(MATCH(1,(SETUP!$B$19:$B$503=B30)*(SETUP!$D$19:$D$503=D30),0))))=2,(SUMPRODUCT(('C19RM 2021-Lab &amp; Other HPS'!$A$336:$D$435=E30)*('C19RM 2021-Lab &amp; Other HPS'!$BH$336:$BH$435=BJ30)*('C19RM 2021-Lab &amp; Other HPS'!$BQ$336:$BQ$435)*(('C19RM 2021-Lab &amp; Other HPS'!$AG$336:$AG$435)))),IF((INDEX(SETUP!$G$19:$G$503,(MATCH(1,(SETUP!$B$19:$B$503=B30)*(SETUP!$D$19:$D$503=D30),0))))=1,(SUMPRODUCT(('C19RM 2021-Lab &amp; Other HPS'!$A$336:$D$435=E30)*('C19RM 2021-Lab &amp; Other HPS'!$BH$336:$BH$435=BJ30)*('C19RM 2021-Lab &amp; Other HPS'!$BQ$336:$BQ$435)*(('C19RM 2021-Lab &amp; Other HPS'!$AH$336:$AH$435)))),0)))),0)))</f>
        <v>0</v>
      </c>
      <c r="AE30" s="359" cm="1">
        <f t="array" ref="AE30">IF((INDEX(SETUP!$F$19:$F$503,(MATCH(1,(SETUP!$B$19:$B$503=B30)*(SETUP!$D$19:$D$503=D30),0))))="Upfront",
(SUMPRODUCT(('C19RM 2021-Lab &amp; Other HPS'!$A$336:$D$435=E30)*('C19RM 2021-Lab &amp; Other HPS'!$BH$336:$BH$435=BJ30)*('C19RM 2021-Lab &amp; Other HPS'!$BR$336:$BR$435)*(('C19RM 2021-Lab &amp; Other HPS'!$AM$336:$AM$435)))),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HPS'!$AF$336:$AF$435)))),IF((INDEX(SETUP!$G$19:$G$503,(MATCH(1,(SETUP!$B$19:$B$503=B30)*(SETUP!$D$19:$D$503=D30),0))))=3,(SUMPRODUCT(('C19RM 2021-Lab &amp; Other HPS'!$A$336:$D$435=E30)*('C19RM 2021-Lab &amp; Other HPS'!$BH$336:$BH$435=BJ30)*('C19RM 2021-Lab &amp; Other HPS'!$BQ$336:$BQ$435)*(('C19RM 2021-Lab &amp; Other HPS'!$AG$336:$AG$435)))),IF((INDEX(SETUP!$G$19:$G$503,(MATCH(1,(SETUP!$B$19:$B$503=B30)*(SETUP!$D$19:$D$503=D30),0))))=2,(SUMPRODUCT(('C19RM 2021-Lab &amp; Other HPS'!$A$336:$D$435=E30)*('C19RM 2021-Lab &amp; Other HPS'!$BH$336:$BH$435=BJ30)*('C19RM 2021-Lab &amp; Other HPS'!$BQ$336:$BQ$435)*(('C19RM 2021-Lab &amp; Other HPS'!$AH$336:$AH$435)))),IF((INDEX(SETUP!$G$19:$G$503,(MATCH(1,(SETUP!$B$19:$B$503=B30)*(SETUP!$D$19:$D$503=D30),0))))=1,(SUMPRODUCT(('C19RM 2021-Lab &amp; Other HPS'!$A$336:$D$435=E30)*('C19RM 2021-Lab &amp; Other HPS'!$BH$336:$BH$435=BJ30)*('C19RM 2021-Lab &amp; Other HPS'!$BR$336:$BR$435)*(('C19RM 2021-Lab &amp; Other HPS'!$AL$336:$AL$435)))),0)))),0)))</f>
        <v>0</v>
      </c>
      <c r="AF30" s="359" cm="1">
        <f t="array" ref="AF30">IF((INDEX(SETUP!$F$19:$F$503,(MATCH(1,(SETUP!$B$19:$B$503=B30)*(SETUP!$D$19:$D$503=D30),0))))="Upfront",
(SUMPRODUCT(('C19RM 2021-Lab &amp; Other HPS'!$A$336:$D$435=E30)*('C19RM 2021-Lab &amp; Other HPS'!$BH$336:$BH$435=BJ30)*('C19RM 2021-Lab &amp; Other HPS'!$BR$336:$BR$435)*(('C19RM 2021-Lab &amp; Other HPS'!$AN$336:$AN$435)))),
(IF((INDEX(SETUP!$F$19:$F$503,(MATCH(1,(SETUP!$B$19:$B$503=B30)*(SETUP!$D$19:$D$503=D30),0))))="At delivery",
IF((INDEX(SETUP!$G$19:$G$503,(MATCH(1,(SETUP!$B$19:$B$503=B30)*(SETUP!$D$19:$D$503=D30),0))))=4,
(SUMPRODUCT(('C19RM 2021-Lab &amp; Other HPS'!$A$336:$D$435=E30)*('C19RM 2021-Lab &amp; Other HPS'!$BH$336:$BH$435=BJ30)*('C19RM 2021-Lab &amp; Other HPS'!$BQ$336:$BQ$435)*(('C19RM 2021-Lab &amp; Other HPS'!$AG$336:$AG$435)))),IF((INDEX(SETUP!$G$19:$G$503,(MATCH(1,(SETUP!$B$19:$B$503=B30)*(SETUP!$D$19:$D$503=D30),0))))=3,(SUMPRODUCT(('C19RM 2021-Lab &amp; Other HPS'!$A$336:$D$435=E30)*('C19RM 2021-Lab &amp; Other HPS'!$BH$336:$BH$435=BJ30)*('C19RM 2021-Lab &amp; Other HPS'!$BQ$336:$BQ$435)*(('C19RM 2021-Lab &amp; Other HPS'!$AH$336:$AH$435)))),IF((INDEX(SETUP!$G$19:$G$503,(MATCH(1,(SETUP!$B$19:$B$503=B30)*(SETUP!$D$19:$D$503=D30),0))))=2,(SUMPRODUCT(('C19RM 2021-Lab &amp; Other HPS'!$A$336:$D$435=E30)*('C19RM 2021-Lab &amp; Other HPS'!$BH$336:$BH$435=BJ30)*('C19RM 2021-Lab &amp; Other HPS'!$BR$336:$BR$435)*(('C19RM 2021-Lab &amp; Other HPS'!$AL$336:$AL$435)))),IF((INDEX(SETUP!$G$19:$G$503,(MATCH(1,(SETUP!$B$19:$B$503=B30)*(SETUP!$D$19:$D$503=D30),0))))=1,(SUMPRODUCT(('C19RM 2021-Lab &amp; Other HPS'!$A$336:$D$435=E30)*('C19RM 2021-Lab &amp; Other HPS'!$BH$336:$BH$435=BJ30)*('C19RM 2021-Lab &amp; Other HPS'!$BR$336:$BR$435)*(('C19RM 2021-Lab &amp; Other HPS'!$AM$336:$AM$435)))),0)))),0)))</f>
        <v>0</v>
      </c>
      <c r="AG30" s="359" cm="1">
        <f t="array" ref="AG30">IF((INDEX(SETUP!$F$19:$F$503,(MATCH(1,(SETUP!$B$19:$B$503=B30)*(SETUP!$D$19:$D$503=D30),0))))="Upfront",(SUMPRODUCT(('C19RM 2021-Lab &amp; Other HPS'!$A$336:$D$435=E30)*('C19RM 2021-Lab &amp; Other HPS'!$BH$336:$BH$435=BJ30)*('C19RM 2021-Lab &amp; Other HPS'!$BH$336:$BH$435=BJ30)*('C19RM 2021-Lab &amp; Other HPS'!$BR$336:$BR$435)*(('C19RM 2021-Lab &amp; Other HPS'!$AO$336:$AO$435)))),(IF((INDEX(SETUP!$F$19:$F$503,(MATCH(1,(SETUP!$B$19:$B$503=B30)*(SETUP!$D$19:$D$503=D30),0))))="At delivery",IF((INDEX(SETUP!$G$19:$G$503,(MATCH(1,(SETUP!$B$19:$B$503=B30)*(SETUP!$D$19:$D$503=D30),0))))=4,(SUMPRODUCT(('C19RM 2021-Lab &amp; Other HPS'!$A$336:$D$435=E30)*('C19RM 2021-Lab &amp; Other HPS'!$BH$336:$BH$435=BJ30)*('C19RM 2021-Lab &amp; Other HPS'!$BQ$336:$BQ$435)*(('C19RM 2021-Lab &amp; Other HPS'!$AH$336:$AH$435)))),IF((INDEX(SETUP!$G$19:$G$503,(MATCH(1,(SETUP!$B$19:$B$503=B30)*(SETUP!$D$19:$D$503=D30),0))))=3,(SUMPRODUCT(('C19RM 2021-Lab &amp; Other HPS'!$A$336:$D$435=E30)*('C19RM 2021-Lab &amp; Other HPS'!$BH$336:$BH$435=BJ30)*('C19RM 2021-Lab &amp; Other HPS'!$BR$336:$BR$435)*(('C19RM 2021-Lab &amp; Other HPS'!$AL$336:$AL$435)))),IF((INDEX(SETUP!$G$19:$G$503,(MATCH(1,(SETUP!$B$19:$B$503=B30)*(SETUP!$D$19:$D$503=D30),0))))=2,(SUMPRODUCT(('C19RM 2021-Lab &amp; Other HPS'!$A$336:$D$435=E30)*('C19RM 2021-Lab &amp; Other HPS'!$BH$336:$BH$435=BJ30)*('C19RM 2021-Lab &amp; Other HPS'!$BR$336:$BR$435)*(('C19RM 2021-Lab &amp; Other HPS'!$AM$336:$AM$435)))),IF((INDEX(SETUP!$G$19:$G$503,(MATCH(1,(SETUP!$B$19:$B$503=B30)*(SETUP!$D$19:$D$503=D30),0))))=1,(SUMPRODUCT(('C19RM 2021-Lab &amp; Other HPS'!$A$336:$D$435=E30)*('C19RM 2021-Lab &amp; Other HPS'!$BH$336:$BH$435=BJ30)*('C19RM 2021-Lab &amp; Other HPS'!$BR$336:$BR$435)*(('C19RM 2021-Lab &amp; Other HPS'!$AN$336:$AN$435)))),0)))),0)))</f>
        <v>0</v>
      </c>
      <c r="AH30" s="359" cm="1">
        <f t="array" ref="AH30">IF((INDEX(SETUP!$F$19:$F$503,(MATCH(1,(SETUP!$B$19:$B$503=B30)*(SETUP!$D$19:$D$503=D30),0))))="Upfront",
(SUMPRODUCT(('C19RM 2021-Lab &amp; Other HPS'!$A$336:$D$435=E30)*('C19RM 2021-Lab &amp; Other HPS'!$BH$336:$BH$435=BJ30)*('C19RM 2021-Lab &amp; Other HPS'!$BS$336:$BS$435)*(('C19RM 2021-Lab &amp; Other HPS'!$AS$336:$AS$435)))),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HPS'!$AL$336:$AL$435)))),IF((INDEX(SETUP!$G$19:$G$503,(MATCH(1,(SETUP!$B$19:$B$503=B30)*(SETUP!$D$19:$D$503=D30),0))))=3,((SUMPRODUCT(('C19RM 2021-Lab &amp; Other HPS'!$A$336:$D$435=E30)*('C19RM 2021-Lab &amp; Other HPS'!$BH$336:$BH$435=BJ30)*('C19RM 2021-Lab &amp; Other HPS'!$BR$336:$BR$435)*(('C19RM 2021-Lab &amp; Other HPS'!$AM$336:$AM$435))))),IF((INDEX(SETUP!$G$19:$G$503,(MATCH(1,(SETUP!$B$19:$B$503=B30)*(SETUP!$D$19:$D$503=D30),0))))=2,(SUMPRODUCT(('C19RM 2021-Lab &amp; Other HPS'!$A$336:$D$435=E30)*('C19RM 2021-Lab &amp; Other HPS'!$BH$336:$BH$435=BJ30)*('C19RM 2021-Lab &amp; Other HPS'!$BR$336:$BR$435)*(('C19RM 2021-Lab &amp; Other HPS'!$AN$336:$AN$435)))),IF((INDEX(SETUP!$G$19:$G$503,(MATCH(1,(SETUP!$B$19:$B$503=B30)*(SETUP!$D$19:$D$503=D30),0))))=1,(SUMPRODUCT(('C19RM 2021-Lab &amp; Other HPS'!$A$336:$D$435=E30)*('C19RM 2021-Lab &amp; Other HPS'!$BH$336:$BH$435=BJ30)*('C19RM 2021-Lab &amp; Other HPS'!$BR$336:$BR$435)*(('C19RM 2021-Lab &amp; Other HPS'!$AO$336:$AO$435)))),0)))),0)))</f>
        <v>0</v>
      </c>
      <c r="AI30" s="359" cm="1">
        <f t="array" ref="AI30">IF((INDEX(SETUP!$F$19:$F$503,(MATCH(1,(SETUP!$B$19:$B$503=B30)*(SETUP!$D$19:$D$503=D30),0))))="Upfront",
(SUMPRODUCT(('C19RM 2021-Lab &amp; Other HPS'!$A$336:$D$435=E30)*('C19RM 2021-Lab &amp; Other HPS'!$BH$336:$BH$435=BJ30)*('C19RM 2021-Lab &amp; Other HPS'!$BS$336:$BS$435)*(('C19RM 2021-Lab &amp; Other HPS'!$AT$336:$AT$435)))),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HPS'!$AM$336:$AM$435)))),IF((INDEX(SETUP!$G$19:$G$503,(MATCH(1,(SETUP!$B$19:$B$503=B30)*(SETUP!$D$19:$D$503=D30),0))))=3,((SUMPRODUCT(('C19RM 2021-Lab &amp; Other HPS'!$A$336:$D$435=E30)*('C19RM 2021-Lab &amp; Other HPS'!$BH$336:$BH$435=BJ30)*('C19RM 2021-Lab &amp; Other HPS'!$BR$336:$BR$435)*(('C19RM 2021-Lab &amp; Other HPS'!$AN$336:$AN$435))))),IF((INDEX(SETUP!$G$19:$G$503,(MATCH(1,(SETUP!$B$19:$B$503=B30)*(SETUP!$D$19:$D$503=D30),0))))=2,(SUMPRODUCT(('C19RM 2021-Lab &amp; Other HPS'!$A$336:$D$435=E30)*('C19RM 2021-Lab &amp; Other HPS'!$BH$336:$BH$435=BJ30)*('C19RM 2021-Lab &amp; Other HPS'!$BR$336:$BR$435)*(('C19RM 2021-Lab &amp; Other HPS'!$AO$336:$AO$435)))),IF((INDEX(SETUP!$G$19:$G$503,(MATCH(1,(SETUP!$B$19:$B$503=B30)*(SETUP!$D$19:$D$503=D30),0))))=1,(SUMPRODUCT(('C19RM 2021-Lab &amp; Other HPS'!$A$336:$D$435=E30)*('C19RM 2021-Lab &amp; Other HPS'!$BH$336:$BH$435=BJ30)*('C19RM 2021-Lab &amp; Other HPS'!$BS$336:$BS$435)*(('C19RM 2021-Lab &amp; Other HPS'!$AS$336:$AS$435)))),0)))),0)))</f>
        <v>0</v>
      </c>
      <c r="AJ30" s="359" cm="1">
        <f t="array" ref="AJ30">IF((INDEX(SETUP!$F$19:$F$503,(MATCH(1,(SETUP!$B$19:$B$503=B30)*(SETUP!$D$19:$D$503=D30),0))))="Upfront",
(SUMPRODUCT(('C19RM 2021-Lab &amp; Other HPS'!$A$336:$D$435=E30)*('C19RM 2021-Lab &amp; Other HPS'!$BH$336:$BH$435=BJ30)*('C19RM 2021-Lab &amp; Other HPS'!$BS$336:$BS$435)*(('C19RM 2021-Lab &amp; Other HPS'!$AU$336:$AU$435)))),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HPS'!$AN$336:$AN$435)))),IF((INDEX(SETUP!$G$19:$G$503,(MATCH(1,(SETUP!$B$19:$B$503=B30)*(SETUP!$D$19:$D$503=D30),0))))=3,((SUMPRODUCT(('C19RM 2021-Lab &amp; Other HPS'!$A$336:$D$435=E30)*('C19RM 2021-Lab &amp; Other HPS'!$BH$336:$BH$435=BJ30)*('C19RM 2021-Lab &amp; Other HPS'!$BR$336:$BR$435)*(('C19RM 2021-Lab &amp; Other HPS'!$AO$336:$AO$435))))),IF((INDEX(SETUP!$G$19:$G$503,(MATCH(1,(SETUP!$B$19:$B$503=B30)*(SETUP!$D$19:$D$503=D30),0))))=2,(SUMPRODUCT(('C19RM 2021-Lab &amp; Other HPS'!$A$336:$D$435=E30)*('C19RM 2021-Lab &amp; Other HPS'!$BH$336:$BH$435=BJ30)*('C19RM 2021-Lab &amp; Other HPS'!$BS$336:$BS$435)*(('C19RM 2021-Lab &amp; Other HPS'!$AS$336:$AS$435)))),IF((INDEX(SETUP!$G$19:$G$503,(MATCH(1,(SETUP!$B$19:$B$503=B30)*(SETUP!$D$19:$D$503=D30),0))))=1,(SUMPRODUCT(('C19RM 2021-Lab &amp; Other HPS'!$A$336:$D$435=E30)*('C19RM 2021-Lab &amp; Other HPS'!$BH$336:$BH$435=BJ30)*('C19RM 2021-Lab &amp; Other HPS'!$BS$336:$BS$435)*(('C19RM 2021-Lab &amp; Other HPS'!$AT$336:$AT$435)))),0)))),0)))</f>
        <v>0</v>
      </c>
      <c r="AK30" s="359" cm="1">
        <f t="array" ref="AK30">IF((INDEX(SETUP!$F$19:$F$503,(MATCH(1,(SETUP!$B$19:$B$503=B30)*(SETUP!$D$19:$D$503=D30),0))))="Upfront",
(SUMPRODUCT(('C19RM 2021-Lab &amp; Other HPS'!$A$336:$D$435=E30)*('C19RM 2021-Lab &amp; Other HPS'!$BH$336:$BH$435=BJ30)*('C19RM 2021-Lab &amp; Other HPS'!$BS$336:$BS$435)*(('C19RM 2021-Lab &amp; Other HPS'!$AV$336:$AV$435)))),
(IF((INDEX(SETUP!$F$19:$F$503,(MATCH(1,(SETUP!$B$19:$B$503=B30)*(SETUP!$D$19:$D$503=D30),0))))="At delivery",
IF((INDEX(SETUP!$G$19:$G$503,(MATCH(1,(SETUP!$B$19:$B$503=B30)*(SETUP!$D$19:$D$503=D30),0))))=4,
(SUMPRODUCT(('C19RM 2021-Lab &amp; Other HPS'!$A$336:$D$435=E30)*('C19RM 2021-Lab &amp; Other HPS'!$BH$336:$BH$435=BJ30)*('C19RM 2021-Lab &amp; Other HPS'!$BR$336:$BR$435)*(('C19RM 2021-Lab &amp; Other HPS'!$AO$336:$AO$435)))),IF((INDEX(SETUP!$G$19:$G$503,(MATCH(1,(SETUP!$B$19:$B$503=B30)*(SETUP!$D$19:$D$503=D30),0))))=3,((SUMPRODUCT(('C19RM 2021-Lab &amp; Other HPS'!$A$336:$D$435=E30)*('C19RM 2021-Lab &amp; Other HPS'!$BH$336:$BH$435=BJ30)*('C19RM 2021-Lab &amp; Other HPS'!$BS$336:$BS$435)*(('C19RM 2021-Lab &amp; Other HPS'!$AS$336:$AS$435))))),IF((INDEX(SETUP!$G$19:$G$503,(MATCH(1,(SETUP!$B$19:$B$503=B30)*(SETUP!$D$19:$D$503=D30),0))))=2,(SUMPRODUCT(('C19RM 2021-Lab &amp; Other HPS'!$A$336:$D$435=E30)*('C19RM 2021-Lab &amp; Other HPS'!$BH$336:$BH$435=BJ30)*('C19RM 2021-Lab &amp; Other HPS'!$BS$336:$BS$435)*(('C19RM 2021-Lab &amp; Other HPS'!$AT$336:$AT$435)))),IF((INDEX(SETUP!$G$19:$G$503,(MATCH(1,(SETUP!$B$19:$B$503=B30)*(SETUP!$D$19:$D$503=D30),0))))=1,(SUMPRODUCT(('C19RM 2021-Lab &amp; Other HPS'!$A$336:$D$435=E30)*('C19RM 2021-Lab &amp; Other HPS'!$BH$336:$BH$435=BJ30)*('C19RM 2021-Lab &amp; Other HPS'!$BS$336:$BS$435)*(('C19RM 2021-Lab &amp; Other HPS'!$AU$336:$AU$435)))),0)))),0)))</f>
        <v>0</v>
      </c>
      <c r="AL30" s="359" cm="1">
        <f t="array" ref="AL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HPS'!$AS$336:$AS$435)))),IF((INDEX(SETUP!$G$19:$G$503,(MATCH(1,(SETUP!$B$19:$B$503=B30)*(SETUP!$D$19:$D$503=D30),0))))=3,(SUMPRODUCT(('C19RM 2021-Lab &amp; Other HPS'!$A$336:$D$435=E30)*('C19RM 2021-Lab &amp; Other HPS'!$BH$336:$BH$435=BJ30)*('C19RM 2021-Lab &amp; Other HPS'!$BS$336:$BS$435)*(('C19RM 2021-Lab &amp; Other HPS'!$AT$336:$AT$435)))),IF((INDEX(SETUP!$G$19:$G$503,(MATCH(1,(SETUP!$B$19:$B$503=B30)*(SETUP!$D$19:$D$503=D30),0))))=2,(SUMPRODUCT(('C19RM 2021-Lab &amp; Other HPS'!$A$336:$D$435=E30)*('C19RM 2021-Lab &amp; Other HPS'!$BH$336:$BH$435=BJ30)*('C19RM 2021-Lab &amp; Other HPS'!$BS$336:$BS$435)*(('C19RM 2021-Lab &amp; Other HPS'!$AU$336:$AU$435)))),
IF((INDEX(SETUP!$G$19:$G$503,(MATCH(1,(SETUP!$B$19:$B$503=B30)*(SETUP!$D$19:$D$503=D30),0))))=1,
(SUMPRODUCT(('C19RM 2021-Lab &amp; Other HPS'!$A$336:$D$435=E30)*('C19RM 2021-Lab &amp; Other HPS'!$BH$336:$BH$435=BJ30)*('C19RM 2021-Lab &amp; Other HPS'!$BS$336:$BS$435)*(('C19RM 2021-Lab &amp; Other HPS'!$AV$336:$AV$435)))),0)))),0)))</f>
        <v>0</v>
      </c>
      <c r="AM30" s="359" cm="1">
        <f t="array" ref="AM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HPS'!$AT$336:$AT$435)))),IF((INDEX(SETUP!$G$19:$G$503,(MATCH(1,(SETUP!$B$19:$B$503=B30)*(SETUP!$D$19:$D$503=D30),0))))=3,(SUMPRODUCT(('C19RM 2021-Lab &amp; Other HPS'!$A$336:$D$435=E30)*('C19RM 2021-Lab &amp; Other HPS'!$BH$336:$BH$435=BJ30)*('C19RM 2021-Lab &amp; Other HPS'!$BS$336:$BS$435)*(('C19RM 2021-Lab &amp; Other HPS'!$AU$336:$AU$435)))),IF((INDEX(SETUP!$G$19:$G$503,(MATCH(1,(SETUP!$B$19:$B$503=B30)*(SETUP!$D$19:$D$503=D30),0))))=2,(SUMPRODUCT(('C19RM 2021-Lab &amp; Other HPS'!$A$336:$D$435=E30)*('C19RM 2021-Lab &amp; Other HPS'!$BH$336:$BH$435=BJ30)*('C19RM 2021-Lab &amp; Other HPS'!$BS$336:$BS$435)*(('C19RM 2021-Lab &amp; Other HPS'!$AV$336:$AV$435)))),IF((INDEX(SETUP!$G$19:$G$503,(MATCH(1,(SETUP!$B$19:$B$503=B30)*(SETUP!$D$19:$D$503=D30),0))))=1,(0),0)))),0)))</f>
        <v>0</v>
      </c>
      <c r="AN30" s="359" cm="1">
        <f t="array" ref="AN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HPS'!$AU$336:$AU$435)))),IF((INDEX(SETUP!$G$19:$G$503,(MATCH(1,(SETUP!$B$19:$B$503=B30)*(SETUP!$D$19:$D$503=D30),0))))=3,(SUMPRODUCT(('C19RM 2021-Lab &amp; Other HPS'!$A$336:$D$435=E30)*('C19RM 2021-Lab &amp; Other HPS'!$BH$336:$BH$435=BJ30)*('C19RM 2021-Lab &amp; Other HPS'!$BS$336:$BS$435)*(('C19RM 2021-Lab &amp; Other HPS'!$AV$336:$AV$435)))),IF((INDEX(SETUP!$G$19:$G$503,(MATCH(1,(SETUP!$B$19:$B$503=B30)*(SETUP!$D$19:$D$503=D30),0))))=2,(0),IF((INDEX(SETUP!$G$19:$G$503,(MATCH(1,(SETUP!$B$19:$B$503=B30)*(SETUP!$D$19:$D$503=D30),0))))=1,(0),0)))),0)))</f>
        <v>0</v>
      </c>
      <c r="AO30" s="359" cm="1">
        <f t="array" ref="AO30">IF((INDEX(SETUP!$F$19:$F$503,(MATCH(1,(SETUP!$B$19:$B$503=B30)*(SETUP!$D$19:$D$503=D30),0))))="Upfront",0,(IF((INDEX(SETUP!$F$19:$F$503,(MATCH(1,(SETUP!$B$19:$B$503=B30)*(SETUP!$D$19:$D$503=D30),0))))="At delivery",IF((INDEX(SETUP!$G$19:$G$503,(MATCH(1,(SETUP!$B$19:$B$503=B30)*(SETUP!$D$19:$D$503=D30),0))))=4,(SUMPRODUCT(('C19RM 2021-Lab &amp; Other HPS'!$A$336:$D$435=E30)*('C19RM 2021-Lab &amp; Other HPS'!$BH$336:$BH$435=BJ30)*('C19RM 2021-Lab &amp; Other HPS'!$BS$336:$BS$435)*(('C19RM 2021-Lab &amp; Other HPS'!$AV$336:$AV$435)))),IF((INDEX(SETUP!$G$19:$G$503,(MATCH(1,(SETUP!$B$19:$B$503=B30)*(SETUP!$D$19:$D$503=D30),0))))=3,(0),IF((INDEX(SETUP!$G$19:$G$503,(MATCH(1,(SETUP!$B$19:$B$503=B30)*(SETUP!$D$19:$D$503=D30),0))))=2,(0),IF((INDEX(SETUP!$G$19:$G$503,(MATCH(1,(SETUP!$B$19:$B$503=B30)*(SETUP!$D$19:$D$503=D30),0))))=1,(0),0)))),0)))</f>
        <v>0</v>
      </c>
      <c r="AP30" s="359"/>
      <c r="AQ30" s="359"/>
      <c r="AR30" s="359"/>
      <c r="AS30" s="359"/>
      <c r="AT30" s="359" cm="1">
        <f t="array" ref="AT30">IF(BG30&gt;=1,0,IFERROR(SUMPRODUCT(($R$2:$AO$2=$AT$4)*($E$5:$E$100=E30)*($BC$5:$BC$100=BC30)*($R$5:$AO$100)),0))</f>
        <v>0</v>
      </c>
      <c r="AU30" s="359" cm="1">
        <f t="array" ref="AU30">IF(BG30&gt;=1,0,IFERROR(SUMPRODUCT(($R$2:$AO$2=$AU$4)*($E$5:$E$100=E30)*($BC$5:$BC$100=BC30)*($R$5:$AO$100)),0))</f>
        <v>0</v>
      </c>
      <c r="AV30" s="359" cm="1">
        <f t="array" ref="AV30">IF(BG30&gt;=1,0,IFERROR(SUMPRODUCT(($R$2:$AO$2=$AV$4)*($E$5:$E$100=E30)*($BC$5:$BC$100=BC30)*($R$5:$AO$100)),0))</f>
        <v>0</v>
      </c>
      <c r="AW30" s="359" cm="1">
        <f t="array" ref="AW30">IF(BG30&gt;=1,0,IFERROR(SUMPRODUCT(($R$2:$AO$2=$AW$4)*($E$5:$E$100=E30)*($BC$5:$BC$100=BC30)*($R$5:$AO$100)),0))</f>
        <v>0</v>
      </c>
      <c r="AX30" s="359" cm="1">
        <f t="array" ref="AX30">IF(BG30&gt;=1,0,IFERROR(SUMPRODUCT(($R$2:$AO$2=$AX$4)*($E$5:$E$100=E30)*($BC$5:$BC$100=BC30)*($R$5:$AO$100)),0))</f>
        <v>0</v>
      </c>
      <c r="AY30" s="359">
        <f t="shared" si="5"/>
        <v>0</v>
      </c>
      <c r="AZ30" s="359"/>
      <c r="BA30" s="233">
        <f t="shared" si="6"/>
        <v>0</v>
      </c>
      <c r="BB30" s="220" t="s">
        <v>83</v>
      </c>
      <c r="BC30" t="s">
        <v>179</v>
      </c>
      <c r="BD30" cm="1">
        <f t="array" ref="BD30">(SUMPRODUCT(('C19RM 2021-Lab &amp; Other HPS'!$A$14:$D$650=E30)*('C19RM 2021-Lab &amp; Other HPS'!$BU$14:$BU$650)))</f>
        <v>0</v>
      </c>
      <c r="BE30" cm="1">
        <f t="array" ref="BE30">(SUMPRODUCT((SETUP!$D$20:$D$67=D30)*(SETUP!$R$20:$R$67)))</f>
        <v>0</v>
      </c>
      <c r="BF30" cm="1">
        <f t="array" ref="BF30">(SUMPRODUCT(('C19RM 2021-Lab &amp; Other HPS'!$A$14:$D$650=E30)*('C19RM 2021-Lab &amp; Other HPS'!$BV$14:$BV$650)))</f>
        <v>0</v>
      </c>
      <c r="BG30">
        <f t="shared" ref="BG30:BG40" si="26">SUM(BD30:BE30)</f>
        <v>0</v>
      </c>
      <c r="BJ30" s="235">
        <v>5.4</v>
      </c>
    </row>
    <row r="31" spans="1:62" x14ac:dyDescent="0.35">
      <c r="A31" s="235">
        <v>4</v>
      </c>
      <c r="B31" s="220" t="s">
        <v>2750</v>
      </c>
      <c r="C31" s="235" t="s">
        <v>3195</v>
      </c>
      <c r="D31" s="235" t="s">
        <v>25</v>
      </c>
      <c r="E31" s="235" t="s">
        <v>26</v>
      </c>
      <c r="F31" s="220">
        <f>SETUP!$E$3</f>
        <v>0</v>
      </c>
      <c r="G31" s="220" t="str">
        <f ca="1">SETUP!$J$5</f>
        <v>NA</v>
      </c>
      <c r="H31" s="220" t="str">
        <f>SETUP!$E$9</f>
        <v>C19RM</v>
      </c>
      <c r="I31" s="232">
        <f t="shared" si="22"/>
        <v>44197</v>
      </c>
      <c r="J31" s="232">
        <f>SETUP!$L$14</f>
        <v>46022</v>
      </c>
      <c r="K31" s="220">
        <v>1</v>
      </c>
      <c r="L31">
        <f t="shared" si="23"/>
        <v>0</v>
      </c>
      <c r="M31">
        <f>SETUP!$E$7</f>
        <v>0</v>
      </c>
      <c r="N31">
        <f>SETUP!$F$76</f>
        <v>6.1</v>
      </c>
      <c r="O31" t="str" cm="1">
        <f t="array" ref="O31">INDEX(SETUP!$E$19:$E$503,(MATCH(1,(SETUP!$B$19:$B$503=B31)*(SETUP!$D$19:$D$503=D31),0)))</f>
        <v>PR/SR</v>
      </c>
      <c r="P31" t="str" cm="1">
        <f t="array" ref="P31">INDEX(SETUP!$F$19:$F$503,(MATCH(1,(SETUP!$B$19:$B$503=B31)*(SETUP!$D$19:$D$503=D31),0)))</f>
        <v>At delivery</v>
      </c>
      <c r="Q31" cm="1">
        <f t="array" ref="Q31">INDEX(SETUP!$G$19:$G$503,(MATCH(1,(SETUP!$B$19:$B$503=B31)*(SETUP!$D$19:$D$503=D31),0)))</f>
        <v>1</v>
      </c>
      <c r="R31" s="359" cm="1">
        <f t="array" ref="R31">IF((INDEX(SETUP!$F$19:$F$503,(MATCH(1,(SETUP!$B$19:$B$503=B31)*(SETUP!$D$19:$D$503=D31),0))))="Upfront",(SUMPRODUCT(('C19RM 2021-Lab &amp; Other HPS'!$A$336:$D$435=E31)*('C19RM 2021-Lab &amp; Other HPS'!$BH$336:$BH$435=BJ31)*('C19RM 2021-Lab &amp; Other HPS'!$BO$336:$BO$435)*(('C19RM 2021-Lab &amp; Other HPS'!$Q$336:$Q$435)))),0)</f>
        <v>0</v>
      </c>
      <c r="S31" s="359" cm="1">
        <f t="array" ref="S31">IF((INDEX(SETUP!$F$19:$F$503,(MATCH(1,(SETUP!$B$19:$B$503=B31)*(SETUP!$D$19:$D$503=D31),0))))="Upfront",(SUMPRODUCT(('C19RM 2021-Lab &amp; Other HPS'!$A$336:$D$435=E31)*('C19RM 2021-Lab &amp; Other HPS'!$BH$336:$BH$435=BJ31)*('C19RM 2021-Lab &amp; Other HPS'!$BO$336:$BO$435)*(('C19RM 2021-Lab &amp; Other HPS'!$R$336:$R$435)))),(IF((INDEX(SETUP!$F$19:$F$503,(MATCH(1,(SETUP!$B$19:$B$503=B31)*(SETUP!$D$19:$D$503=D31),0))))="At delivery",IF((INDEX(SETUP!$G$19:$G$503,(MATCH(1,(SETUP!$B$19:$B$503=B31)*(SETUP!$D$19:$D$503=D31),0))))=1,(SUMPRODUCT(('C19RM 2021-Lab &amp; Other HPS'!$A$336:$D$435=E31)*('C19RM 2021-Lab &amp; Other HPS'!$BH$336:$BH$435=BJ31)*('C19RM 2021-Lab &amp; Other HPS'!$BO$336:$BO$435)*(('C19RM 2021-Lab &amp; Other HPS'!$Q$336:$Q$435)))),0),0)))</f>
        <v>0</v>
      </c>
      <c r="T31" s="359" cm="1">
        <f t="array" ref="T31">IF((INDEX(SETUP!$F$19:$F$503,(MATCH(1,(SETUP!$B$19:$B$503=B31)*(SETUP!$D$19:$D$503=D31),0))))="Upfront",(SUMPRODUCT(('C19RM 2021-Lab &amp; Other HPS'!$A$336:$D$435=E31)*('C19RM 2021-Lab &amp; Other HPS'!$BH$336:$BH$435=BJ31)*('C19RM 2021-Lab &amp; Other HPS'!$BO$336:$BO$435)*(('C19RM 2021-Lab &amp; Other HPS'!$S$336:$S$435)))),(IF((INDEX(SETUP!$F$19:$F$503,(MATCH(1,(SETUP!$B$19:$B$503=B31)*(SETUP!$D$19:$D$503=D31),0))))="At delivery",IF((INDEX(SETUP!$G$19:$G$503,(MATCH(1,(SETUP!$B$19:$B$503=B31)*(SETUP!$D$19:$D$503=D31),0))))=2,(SUMPRODUCT(('C19RM 2021-Lab &amp; Other HPS'!$A$336:$D$435=E31)*('C19RM 2021-Lab &amp; Other HPS'!$BH$336:$BH$435=BJ31)*('C19RM 2021-Lab &amp; Other HPS'!$BO$336:$BO$435)*(('C19RM 2021-Lab &amp; Other HPS'!$Q$336:$Q$435)))),IF((INDEX(SETUP!$G$19:$G$503,(MATCH(1,(SETUP!$B$19:$B$503=B31)*(SETUP!$D$19:$D$503=D31),0))))=1,(SUMPRODUCT(('C19RM 2021-Lab &amp; Other HPS'!$A$336:$D$435=E31)*('C19RM 2021-Lab &amp; Other HPS'!$BH$336:$BH$435=BJ31)*('C19RM 2021-Lab &amp; Other HPS'!$BO$336:$BO$435)*(('C19RM 2021-Lab &amp; Other HPS'!$R$336:$R$435)))),0)),0)))</f>
        <v>0</v>
      </c>
      <c r="U31" s="359" cm="1">
        <f t="array" ref="U31">IF((INDEX(SETUP!$F$19:$F$503,(MATCH(1,(SETUP!$B$19:$B$503=B31)*(SETUP!$D$19:$D$503=D31),0))))="Upfront",(SUMPRODUCT(('C19RM 2021-Lab &amp; Other HPS'!$A$336:$D$435=E31)*('C19RM 2021-Lab &amp; Other HPS'!$BH$336:$BH$435=BJ31)*('C19RM 2021-Lab &amp; Other HPS'!$BO$336:$BO$435)*(('C19RM 2021-Lab &amp; Other HPS'!$T$336:$T$435)))),(IF((INDEX(SETUP!$F$19:$F$503,(MATCH(1,(SETUP!$B$19:$B$503=B31)*(SETUP!$D$19:$D$503=D31),0))))="At delivery",IF((INDEX(SETUP!$G$19:$G$503,(MATCH(1,(SETUP!$B$19:$B$503=B31)*(SETUP!$D$19:$D$503=D31),0))))=3,(SUMPRODUCT(('C19RM 2021-Lab &amp; Other HPS'!$A$336:$D$435=E31)*('C19RM 2021-Lab &amp; Other HPS'!$BH$336:$BH$435=BJ31)*('C19RM 2021-Lab &amp; Other HPS'!$BO$336:$BO$435)*(('C19RM 2021-Lab &amp; Other HPS'!$Q$336:$Q$435)))),IF((INDEX(SETUP!$G$19:$G$503,(MATCH(1,(SETUP!$B$19:$B$503=B31)*(SETUP!$D$19:$D$503=D31),0))))=2,(SUMPRODUCT(('C19RM 2021-Lab &amp; Other HPS'!$A$336:$D$435=E31)*('C19RM 2021-Lab &amp; Other HPS'!$BH$336:$BH$435=BJ31)*('C19RM 2021-Lab &amp; Other HPS'!$BO$336:$BO$435)*(('C19RM 2021-Lab &amp; Other HPS'!$R$336:$R$435)))),IF((INDEX(SETUP!$G$19:$G$503,(MATCH(1,(SETUP!$B$19:$B$503=B31)*(SETUP!$D$19:$D$503=D31),0))))=1,(SUMPRODUCT(('C19RM 2021-Lab &amp; Other HPS'!$A$336:$D$435=E31)*('C19RM 2021-Lab &amp; Other HPS'!$BH$336:$BH$435=BJ31)*('C19RM 2021-Lab &amp; Other HPS'!$BO$336:$BO$435)*(('C19RM 2021-Lab &amp; Other HPS'!$S$336:$S$435)))),0))),0)))</f>
        <v>0</v>
      </c>
      <c r="V31" s="359" cm="1">
        <f t="array" ref="V31">IF((INDEX(SETUP!$F$19:$F$503,(MATCH(1,(SETUP!$B$19:$B$503=B31)*(SETUP!$D$19:$D$503=D31),0))))="Upfront",(SUMPRODUCT(('C19RM 2021-Lab &amp; Other HPS'!$A$336:$D$435=E31)*('C19RM 2021-Lab &amp; Other HPS'!$BH$336:$BH$435=BJ31)*('C19RM 2021-Lab &amp; Other HPS'!$BP$336:$BP$435)*(('C19RM 2021-Lab &amp; Other HPS'!$X$336:$X$435)))),(IF((INDEX(SETUP!$F$19:$F$503,(MATCH(1,(SETUP!$B$19:$B$503=B31)*(SETUP!$D$19:$D$503=D31),0))))="At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HPS'!$Q$336:$Q$435)))),IF((INDEX(SETUP!$G$19:$G$503,(MATCH(1,(SETUP!$B$19:$B$503=B31)*(SETUP!$D$19:$D$503=D31),0))))=3,(SUMPRODUCT(('C19RM 2021-Lab &amp; Other HPS'!$A$336:$D$435=E31)*('C19RM 2021-Lab &amp; Other HPS'!$BH$336:$BH$435=BJ31)*('C19RM 2021-Lab &amp; Other HPS'!$BO$336:$BO$435)*(('C19RM 2021-Lab &amp; Other HPS'!$R$336:$R$435)))),IF((INDEX(SETUP!$G$19:$G$503,(MATCH(1,(SETUP!$B$19:$B$503=B31)*(SETUP!$D$19:$D$503=D31),0))))=2,(SUMPRODUCT(('C19RM 2021-Lab &amp; Other HPS'!$A$336:$D$435=E31)*('C19RM 2021-Lab &amp; Other HPS'!$BH$336:$BH$435=BJ31)*('C19RM 2021-Lab &amp; Other HPS'!$BO$336:$BO$435)*(('C19RM 2021-Lab &amp; Other HPS'!$S$336:$S$435)))),IF((INDEX(SETUP!$G$19:$G$503,(MATCH(1,(SETUP!$B$19:$B$503=B31)*(SETUP!$D$19:$D$503=D31),0))))=1,(SUMPRODUCT(('C19RM 2021-Lab &amp; Other HPS'!$A$336:$D$435=E31)*('C19RM 2021-Lab &amp; Other HPS'!$BH$336:$BH$435=BJ31)*('C19RM 2021-Lab &amp; Other HPS'!$BO$336:$BO$435)*(('C19RM 2021-Lab &amp; Other HPS'!$T$336:$T$435)))),0)))),0)))</f>
        <v>0</v>
      </c>
      <c r="W31" s="359" cm="1">
        <f t="array" ref="W31">IF((INDEX(SETUP!$F$19:$F$503,(MATCH(1,(SETUP!$B$19:$B$503=B31)*(SETUP!$D$19:$D$503=D31),0))))="Upfront",(SUMPRODUCT(('C19RM 2021-Lab &amp; Other HPS'!$A$336:$D$435=E31)*('C19RM 2021-Lab &amp; Other HPS'!$BH$336:$BH$435=BJ31)*('C19RM 2021-Lab &amp; Other HPS'!$BP$336:$BP$435)*(('C19RM 2021-Lab &amp; Other HPS'!$Y$336:$Y$435)))),(IF((INDEX(SETUP!$F$19:$F$503,(MATCH(1,(SETUP!$B$19:$B$503=B31)*(SETUP!$D$19:$D$503=D31),0))))="At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HPS'!$R$336:$R$435)))),IF((INDEX(SETUP!$G$19:$G$503,(MATCH(1,(SETUP!$B$19:$B$503=B31)*(SETUP!$D$19:$D$503=D31),0))))=3,(SUMPRODUCT(('C19RM 2021-Lab &amp; Other HPS'!$A$336:$D$435=E31)*('C19RM 2021-Lab &amp; Other HPS'!$BH$336:$BH$435=BJ31)*('C19RM 2021-Lab &amp; Other HPS'!$BO$336:$BO$435)*(('C19RM 2021-Lab &amp; Other HPS'!$S$336:$S$435)))),IF((INDEX(SETUP!$G$19:$G$503,(MATCH(1,(SETUP!$B$19:$B$503=B31)*(SETUP!$D$19:$D$503=D31),0))))=2,((SUMPRODUCT(('C19RM 2021-Lab &amp; Other HPS'!$A$336:$D$435=E31)*('C19RM 2021-Lab &amp; Other HPS'!$BH$336:$BH$435=BJ31)*('C19RM 2021-Lab &amp; Other HPS'!$BO$336:$BO$435)*(('C19RM 2021-Lab &amp; Other HPS'!$T$336:$T$435))))),IF((INDEX(SETUP!$G$19:$G$503,(MATCH(1,(SETUP!$B$19:$B$503=B31)*(SETUP!$D$19:$D$503=D31),0))))=1,(SUMPRODUCT(('C19RM 2021-Lab &amp; Other HPS'!$A$336:$D$435=E31)*('C19RM 2021-Lab &amp; Other HPS'!$BH$336:$BH$435=BJ31)*('C19RM 2021-Lab &amp; Other HPS'!$BP$336:$BP$435)*(('C19RM 2021-Lab &amp; Other HPS'!$X$336:$X$435)))),0)))),0)))</f>
        <v>0</v>
      </c>
      <c r="X31" s="359" cm="1">
        <f t="array" ref="X31">IF((INDEX(SETUP!$F$19:$F$503,(MATCH(1,(SETUP!$B$19:$B$503=B31)*(SETUP!$D$19:$D$503=D31),0))))="Upfront",(SUMPRODUCT(('C19RM 2021-Lab &amp; Other HPS'!$A$336:$D$435=E31)*('C19RM 2021-Lab &amp; Other HPS'!$BH$336:$BH$435=BJ31)*('C19RM 2021-Lab &amp; Other HPS'!$BP$336:$BP$435)*(('C19RM 2021-Lab &amp; Other HPS'!$Z$336:$Z$435)))),(IF((INDEX(SETUP!$F$19:$F$503,(MATCH(1,(SETUP!$B$19:$B$503=B31)*(SETUP!$D$19:$D$503=D31),0))))="At delivery",IF((INDEX(SETUP!$G$19:$G$503,(MATCH(1,(SETUP!$B$19:$B$503=B31)*(SETUP!$D$19:$D$503=D31),0))))=4,(SUMPRODUCT(('C19RM 2021-Lab &amp; Other HPS'!$A$336:$D$435=E31)*('C19RM 2021-Lab &amp; Other HPS'!$BH$336:$BH$435=BJ31)*('C19RM 2021-Lab &amp; Other HPS'!$BO$336:$BO$435)*(('C19RM 2021-Lab &amp; Other HPS'!$S$336:$S$435)))),IF((INDEX(SETUP!$G$19:$G$503,(MATCH(1,(SETUP!$B$19:$B$503=B31)*(SETUP!$D$19:$D$503=D31),0))))=3,((SUMPRODUCT(('C19RM 2021-Lab &amp; Other HPS'!$A$336:$D$435=E31)*('C19RM 2021-Lab &amp; Other HPS'!$BH$336:$BH$435=BJ31)*('C19RM 2021-Lab &amp; Other HPS'!$BO$336:$BO$435)*(('C19RM 2021-Lab &amp; Other HPS'!$T$336:$T$435))))),IF((INDEX(SETUP!$G$19:$G$503,(MATCH(1,(SETUP!$B$19:$B$503=B31)*(SETUP!$D$19:$D$503=D31),0))))=2,(SUMPRODUCT(('C19RM 2021-Lab &amp; Other HPS'!$A$336:$D$435=E31)*('C19RM 2021-Lab &amp; Other HPS'!$BH$336:$BH$435=BJ31)*('C19RM 2021-Lab &amp; Other HPS'!$BP$336:$BP$435)*(('C19RM 2021-Lab &amp; Other HPS'!$X$336:$X$435)))),IF((INDEX(SETUP!$G$19:$G$503,(MATCH(1,(SETUP!$B$19:$B$503=B31)*(SETUP!$D$19:$D$503=D31),0))))=1,(SUMPRODUCT(('C19RM 2021-Lab &amp; Other HPS'!$A$336:$D$435=E31)*('C19RM 2021-Lab &amp; Other HPS'!$BH$336:$BH$435=BJ31)*('C19RM 2021-Lab &amp; Other HPS'!$BP$336:$BP$435)*(('C19RM 2021-Lab &amp; Other HPS'!$Y$336:$Y$435)))),0)))),0)))</f>
        <v>0</v>
      </c>
      <c r="Y31" s="359" cm="1">
        <f t="array" ref="Y31">IF((INDEX(SETUP!$F$19:$F$503,(MATCH(1,(SETUP!$B$19:$B$503=B31)*(SETUP!$D$19:$D$503=D31),0))))="Upfront",
(SUMPRODUCT(('C19RM 2021-Lab &amp; Other HPS'!$A$336:$D$435=E31)*('C19RM 2021-Lab &amp; Other HPS'!$BH$336:$BH$435=BJ31)*('C19RM 2021-Lab &amp; Other HPS'!$BP$336:$BP$435)*(('C19RM 2021-Lab &amp; Other HPS'!$AA$336:$AA$435)))),
(IF((INDEX(SETUP!$F$19:$F$503,(MATCH(1,(SETUP!$B$19:$B$503=B31)*(SETUP!$D$19:$D$503=D31),0))))="At delivery",
IF((INDEX(SETUP!$G$19:$G$503,(MATCH(1,(SETUP!$B$19:$B$503=B31)*(SETUP!$D$19:$D$503=D31),0))))=4,
((SUMPRODUCT(('C19RM 2021-Lab &amp; Other HPS'!$A$336:$D$435=E31)*('C19RM 2021-Lab &amp; Other HPS'!$BH$336:$BH$435=BJ31)*('C19RM 2021-Lab &amp; Other HPS'!$BO$336:$BO$435)*(('C19RM 2021-Lab &amp; Other HPS'!$T$336:$T$435))))),IF((INDEX(SETUP!$G$19:$G$503,(MATCH(1,(SETUP!$B$19:$B$503=B31)*(SETUP!$D$19:$D$503=D31),0))))=3,(SUMPRODUCT(('C19RM 2021-Lab &amp; Other HPS'!$A$336:$D$435=E31)*('C19RM 2021-Lab &amp; Other HPS'!$BH$336:$BH$435=BJ31)*('C19RM 2021-Lab &amp; Other HPS'!$BP$336:$BP$435)*(('C19RM 2021-Lab &amp; Other HPS'!$X$336:$X$435)))),IF((INDEX(SETUP!$G$19:$G$503,(MATCH(1,(SETUP!$B$19:$B$503=B31)*(SETUP!$D$19:$D$503=D31),0))))=2,(SUMPRODUCT(('C19RM 2021-Lab &amp; Other HPS'!$A$336:$D$435=E31)*('C19RM 2021-Lab &amp; Other HPS'!$BH$336:$BH$435=BJ31)*('C19RM 2021-Lab &amp; Other HPS'!$BP$336:$BP$435)*(('C19RM 2021-Lab &amp; Other HPS'!$Y$336:$Y$435)))),IF((INDEX(SETUP!$G$19:$G$503,(MATCH(1,(SETUP!$B$19:$B$503=B31)*(SETUP!$D$19:$D$503=D31),0))))=1,(SUMPRODUCT(('C19RM 2021-Lab &amp; Other HPS'!$A$336:$D$435=E31)*('C19RM 2021-Lab &amp; Other HPS'!$BH$336:$BH$435=BJ31)*('C19RM 2021-Lab &amp; Other HPS'!$BP$336:$BP$435)*(('C19RM 2021-Lab &amp; Other HPS'!$Z$336:$Z$435)))),0)))),0)))</f>
        <v>0</v>
      </c>
      <c r="Z31" s="359" cm="1">
        <f t="array" ref="Z31">IF((INDEX(SETUP!$F$19:$F$503,(MATCH(1,(SETUP!$B$19:$B$503=B31)*(SETUP!$D$19:$D$503=D31),0))))="Upfront",(SUMPRODUCT(('C19RM 2021-Lab &amp; Other HPS'!$A$336:$D$435=E31)*('C19RM 2021-Lab &amp; Other HPS'!$BH$336:$BH$435=BJ31)*('C19RM 2021-Lab &amp; Other HPS'!$BQ$336:$BQ$435)*(('C19RM 2021-Lab &amp; Other HPS'!$AE$336:$AE$435)))),(IF((INDEX(SETUP!$F$19:$F$503,(MATCH(1,(SETUP!$B$19:$B$503=B31)*(SETUP!$D$19:$D$503=D31),0))))="At delivery",IF((INDEX(SETUP!$G$19:$G$503,(MATCH(1,(SETUP!$B$19:$B$503=B31)*(SETUP!$D$19:$D$503=D31),0))))=4,(SUMPRODUCT(('C19RM 2021-Lab &amp; Other HPS'!$A$336:$D$435=E31)*('C19RM 2021-Lab &amp; Other HPS'!$BH$336:$BH$435=BJ31)*('C19RM 2021-Lab &amp; Other HPS'!$BP$336:$BP$435)*(('C19RM 2021-Lab &amp; Other HPS'!$X$336:$X$435)))),IF((INDEX(SETUP!$G$19:$G$503,(MATCH(1,(SETUP!$B$19:$B$503=B31)*(SETUP!$D$19:$D$503=D31),0))))=3,(SUMPRODUCT(('C19RM 2021-Lab &amp; Other HPS'!$A$336:$D$435=E31)*('C19RM 2021-Lab &amp; Other HPS'!$BH$336:$BH$435=BJ31)*('C19RM 2021-Lab &amp; Other HPS'!$BP$336:$BP$435)*(('C19RM 2021-Lab &amp; Other HPS'!$Y$336:$Y$435)))),IF((INDEX(SETUP!$G$19:$G$503,(MATCH(1,(SETUP!$B$19:$B$503=B31)*(SETUP!$D$19:$D$503=D31),0))))=2,(SUMPRODUCT(('C19RM 2021-Lab &amp; Other HPS'!$A$336:$D$435=E31)*('C19RM 2021-Lab &amp; Other HPS'!$BH$336:$BH$435=BJ31)*('C19RM 2021-Lab &amp; Other HPS'!$BP$336:$BP$435)*(('C19RM 2021-Lab &amp; Other HPS'!$Z$336:$Z$435)))),IF((INDEX(SETUP!$G$19:$G$503,(MATCH(1,(SETUP!$B$19:$B$503=B31)*(SETUP!$D$19:$D$503=D31),0))))=1,(SUMPRODUCT(('C19RM 2021-Lab &amp; Other HPS'!$A$336:$D$435=E31)*('C19RM 2021-Lab &amp; Other HPS'!$BH$336:$BH$435=BJ31)*('C19RM 2021-Lab &amp; Other HPS'!$BP$336:$BP$435)*(('C19RM 2021-Lab &amp; Other HPS'!$AA$336:$AA$435)))),0)))),0)))</f>
        <v>0</v>
      </c>
      <c r="AA31" s="359" cm="1">
        <f t="array" ref="AA31">IF((INDEX(SETUP!$F$19:$F$503,(MATCH(1,(SETUP!$B$19:$B$503=B31)*(SETUP!$D$19:$D$503=D31),0))))="Upfront",(SUMPRODUCT(('C19RM 2021-Lab &amp; Other HPS'!$A$336:$D$435=E31)*('C19RM 2021-Lab &amp; Other HPS'!$BH$336:$BH$435=BJ31)*('C19RM 2021-Lab &amp; Other HPS'!$BQ$336:$BQ$435)*(('C19RM 2021-Lab &amp; Other HPS'!$AF$336:$AF$435)))),(IF((INDEX(SETUP!$F$19:$F$503,(MATCH(1,(SETUP!$B$19:$B$503=B31)*(SETUP!$D$19:$D$503=D31),0))))="At delivery",IF((INDEX(SETUP!$G$19:$G$503,(MATCH(1,(SETUP!$B$19:$B$503=B31)*(SETUP!$D$19:$D$503=D31),0))))=4,(SUMPRODUCT(('C19RM 2021-Lab &amp; Other HPS'!$A$336:$D$435=E31)*('C19RM 2021-Lab &amp; Other HPS'!$BH$336:$BH$435=BJ31)*('C19RM 2021-Lab &amp; Other HPS'!$BP$336:$BP$435)*(('C19RM 2021-Lab &amp; Other HPS'!$Y$336:$Y$435)))),IF((INDEX(SETUP!$G$19:$G$503,(MATCH(1,(SETUP!$B$19:$B$503=B31)*(SETUP!$D$19:$D$503=D31),0))))=3,(SUMPRODUCT(('C19RM 2021-Lab &amp; Other HPS'!$A$336:$D$435=E31)*('C19RM 2021-Lab &amp; Other HPS'!$BH$336:$BH$435=BJ31)*('C19RM 2021-Lab &amp; Other HPS'!$BP$336:$BP$435)*(('C19RM 2021-Lab &amp; Other HPS'!$Z$336:$Z$435)))),IF((INDEX(SETUP!$G$19:$G$503,(MATCH(1,(SETUP!$B$19:$B$503=B31)*(SETUP!$D$19:$D$503=D31),0))))=2,((SUMPRODUCT(('C19RM 2021-Lab &amp; Other HPS'!$A$336:$D$435=E31)*('C19RM 2021-Lab &amp; Other HPS'!$BH$336:$BH$435=BJ31)*('C19RM 2021-Lab &amp; Other HPS'!$BP$336:$BP$435)*(('C19RM 2021-Lab &amp; Other HPS'!$AA$336:$AA$435))))),IF((INDEX(SETUP!$G$19:$G$503,(MATCH(1,(SETUP!$B$19:$B$503=B31)*(SETUP!$D$19:$D$503=D31),0))))=1,(SUMPRODUCT(('C19RM 2021-Lab &amp; Other HPS'!$A$336:$D$435=E31)*('C19RM 2021-Lab &amp; Other HPS'!$BH$336:$BH$435=BJ31)*('C19RM 2021-Lab &amp; Other HPS'!$BQ$336:$BQ$435)*(('C19RM 2021-Lab &amp; Other HPS'!$AE$336:$AE$435)))),0)))),0)))</f>
        <v>0</v>
      </c>
      <c r="AB31" s="359" cm="1">
        <f t="array" ref="AB31">IF((INDEX(SETUP!$F$19:$F$503,(MATCH(1,(SETUP!$B$19:$B$503=B31)*(SETUP!$D$19:$D$503=D31),0))))="Upfront",
(SUMPRODUCT(('C19RM 2021-Lab &amp; Other HPS'!$A$336:$D$435=E31)*('C19RM 2021-Lab &amp; Other HPS'!$BH$336:$BH$435=BJ31)*('C19RM 2021-Lab &amp; Other HPS'!$BQ$336:$BQ$435)*(('C19RM 2021-Lab &amp; Other HPS'!$AG$336:$AG$435)))),
(IF((INDEX(SETUP!$F$19:$F$503,(MATCH(1,(SETUP!$B$19:$B$503=B31)*(SETUP!$D$19:$D$503=D31),0))))="At delivery",
IF((INDEX(SETUP!$G$19:$G$503,(MATCH(1,(SETUP!$B$19:$B$503=B31)*(SETUP!$D$19:$D$503=D31),0))))=4,
(SUMPRODUCT(('C19RM 2021-Lab &amp; Other HPS'!$A$336:$D$435=E31)*('C19RM 2021-Lab &amp; Other HPS'!$BH$336:$BH$435=BJ31)*('C19RM 2021-Lab &amp; Other HPS'!$BP$336:$BP$435)*(('C19RM 2021-Lab &amp; Other HPS'!$Z$336:$Z$435)))),IF((INDEX(SETUP!$G$19:$G$503,(MATCH(1,(SETUP!$B$19:$B$503=B31)*(SETUP!$D$19:$D$503=D31),0))))=3,(SUMPRODUCT(('C19RM 2021-Lab &amp; Other HPS'!$A$336:$D$435=E31)*('C19RM 2021-Lab &amp; Other HPS'!$BH$336:$BH$435=BJ31)*('C19RM 2021-Lab &amp; Other HPS'!$BP$336:$BP$435)*(('C19RM 2021-Lab &amp; Other HPS'!$AA$336:$AA$435)))),IF((INDEX(SETUP!$G$19:$G$503,(MATCH(1,(SETUP!$B$19:$B$503=B31)*(SETUP!$D$19:$D$503=D31),0))))=2,(SUMPRODUCT(('C19RM 2021-Lab &amp; Other HPS'!$A$336:$D$435=E31)*('C19RM 2021-Lab &amp; Other HPS'!$BH$336:$BH$435=BJ31)*('C19RM 2021-Lab &amp; Other HPS'!$BQ$336:$BQ$435)*(('C19RM 2021-Lab &amp; Other HPS'!$AE$336:$AE$435)))),IF((INDEX(SETUP!$G$19:$G$503,(MATCH(1,(SETUP!$B$19:$B$503=B31)*(SETUP!$D$19:$D$503=D31),0))))=1,(SUMPRODUCT(('C19RM 2021-Lab &amp; Other HPS'!$A$336:$D$435=E31)*('C19RM 2021-Lab &amp; Other HPS'!$BH$336:$BH$435=BJ31)*('C19RM 2021-Lab &amp; Other HPS'!$BQ$336:$BQ$435)*(('C19RM 2021-Lab &amp; Other HPS'!$AF$336:$AF$435)))),0)))),0)))</f>
        <v>0</v>
      </c>
      <c r="AC31" s="359" cm="1">
        <f t="array" ref="AC31">IF((INDEX(SETUP!$F$19:$F$503,(MATCH(1,(SETUP!$B$19:$B$503=B31)*(SETUP!$D$19:$D$503=D31),0))))="Upfront",
(SUMPRODUCT(('C19RM 2021-Lab &amp; Other HPS'!$A$336:$D$435=E31)*('C19RM 2021-Lab &amp; Other HPS'!$BH$336:$BH$435=BJ31)*('C19RM 2021-Lab &amp; Other HPS'!$BQ$336:$BQ$435)*(('C19RM 2021-Lab &amp; Other HPS'!$AH$336:$AH$435)))),
(IF((INDEX(SETUP!$F$19:$F$503,(MATCH(1,(SETUP!$B$19:$B$503=B31)*(SETUP!$D$19:$D$503=D31),0))))="At delivery",
IF((INDEX(SETUP!$G$19:$G$503,(MATCH(1,(SETUP!$B$19:$B$503=B31)*(SETUP!$D$19:$D$503=D31),0))))=4,
(SUMPRODUCT(('C19RM 2021-Lab &amp; Other HPS'!$A$336:$D$435=E31)*('C19RM 2021-Lab &amp; Other HPS'!$BH$336:$BH$435=BJ31)*('C19RM 2021-Lab &amp; Other HPS'!$BP$336:$BP$435)*(('C19RM 2021-Lab &amp; Other HPS'!$AA$336:$AA$435)))),IF((INDEX(SETUP!$G$19:$G$503,(MATCH(1,(SETUP!$B$19:$B$503=B31)*(SETUP!$D$19:$D$503=D31),0))))=3,(SUMPRODUCT(('C19RM 2021-Lab &amp; Other HPS'!$A$336:$D$435=E31)*('C19RM 2021-Lab &amp; Other HPS'!$BH$336:$BH$435=BJ31)*('C19RM 2021-Lab &amp; Other HPS'!$BQ$336:$BQ$435)*(('C19RM 2021-Lab &amp; Other HPS'!$AE$336:$AE$435)))),IF((INDEX(SETUP!$G$19:$G$503,(MATCH(1,(SETUP!$B$19:$B$503=B31)*(SETUP!$D$19:$D$503=D31),0))))=2,(SUMPRODUCT(('C19RM 2021-Lab &amp; Other HPS'!$A$336:$D$435=E31)*('C19RM 2021-Lab &amp; Other HPS'!$BH$336:$BH$435=BJ31)*('C19RM 2021-Lab &amp; Other HPS'!$BQ$336:$BQ$435)*(('C19RM 2021-Lab &amp; Other HPS'!$AF$336:$AF$435)))),IF((INDEX(SETUP!$G$19:$G$503,(MATCH(1,(SETUP!$B$19:$B$503=B31)*(SETUP!$D$19:$D$503=D31),0))))=1,(SUMPRODUCT(('C19RM 2021-Lab &amp; Other HPS'!$A$336:$D$435=E31)*('C19RM 2021-Lab &amp; Other HPS'!$BH$336:$BH$435=BJ31)*('C19RM 2021-Lab &amp; Other HPS'!$BQ$336:$BQ$435)*(('C19RM 2021-Lab &amp; Other HPS'!$AG$336:$AG$435)))),0)))),0)))</f>
        <v>0</v>
      </c>
      <c r="AD31" s="359" cm="1">
        <f t="array" ref="AD31">IF((INDEX(SETUP!$F$19:$F$503,(MATCH(1,(SETUP!$B$19:$B$503=B31)*(SETUP!$D$19:$D$503=D31),0))))="Upfront",
(SUMPRODUCT(('C19RM 2021-Lab &amp; Other HPS'!$A$336:$D$435=E31)*('C19RM 2021-Lab &amp; Other HPS'!$BH$336:$BH$435=BJ31)*('C19RM 2021-Lab &amp; Other HPS'!$BR$336:$BR$435)*(('C19RM 2021-Lab &amp; Other HPS'!$AL$336:$AL$435)))),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HPS'!$AE$336:$AE$435)))),IF((INDEX(SETUP!$G$19:$G$503,(MATCH(1,(SETUP!$B$19:$B$503=B31)*(SETUP!$D$19:$D$503=D31),0))))=3,((SUMPRODUCT(('C19RM 2021-Lab &amp; Other HPS'!$A$336:$D$435=E31)*('C19RM 2021-Lab &amp; Other HPS'!$BH$336:$BH$435=BJ31)*('C19RM 2021-Lab &amp; Other HPS'!$BQ$336:$BQ$435)*(('C19RM 2021-Lab &amp; Other HPS'!$AF$336:$AF$435))))),IF((INDEX(SETUP!$G$19:$G$503,(MATCH(1,(SETUP!$B$19:$B$503=B31)*(SETUP!$D$19:$D$503=D31),0))))=2,(SUMPRODUCT(('C19RM 2021-Lab &amp; Other HPS'!$A$336:$D$435=E31)*('C19RM 2021-Lab &amp; Other HPS'!$BH$336:$BH$435=BJ31)*('C19RM 2021-Lab &amp; Other HPS'!$BQ$336:$BQ$435)*(('C19RM 2021-Lab &amp; Other HPS'!$AG$336:$AG$435)))),IF((INDEX(SETUP!$G$19:$G$503,(MATCH(1,(SETUP!$B$19:$B$503=B31)*(SETUP!$D$19:$D$503=D31),0))))=1,(SUMPRODUCT(('C19RM 2021-Lab &amp; Other HPS'!$A$336:$D$435=E31)*('C19RM 2021-Lab &amp; Other HPS'!$BH$336:$BH$435=BJ31)*('C19RM 2021-Lab &amp; Other HPS'!$BQ$336:$BQ$435)*(('C19RM 2021-Lab &amp; Other HPS'!$AH$336:$AH$435)))),0)))),0)))</f>
        <v>0</v>
      </c>
      <c r="AE31" s="359" cm="1">
        <f t="array" ref="AE31">IF((INDEX(SETUP!$F$19:$F$503,(MATCH(1,(SETUP!$B$19:$B$503=B31)*(SETUP!$D$19:$D$503=D31),0))))="Upfront",
(SUMPRODUCT(('C19RM 2021-Lab &amp; Other HPS'!$A$336:$D$435=E31)*('C19RM 2021-Lab &amp; Other HPS'!$BH$336:$BH$435=BJ31)*('C19RM 2021-Lab &amp; Other HPS'!$BR$336:$BR$435)*(('C19RM 2021-Lab &amp; Other HPS'!$AM$336:$AM$435)))),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HPS'!$AF$336:$AF$435)))),IF((INDEX(SETUP!$G$19:$G$503,(MATCH(1,(SETUP!$B$19:$B$503=B31)*(SETUP!$D$19:$D$503=D31),0))))=3,(SUMPRODUCT(('C19RM 2021-Lab &amp; Other HPS'!$A$336:$D$435=E31)*('C19RM 2021-Lab &amp; Other HPS'!$BH$336:$BH$435=BJ31)*('C19RM 2021-Lab &amp; Other HPS'!$BQ$336:$BQ$435)*(('C19RM 2021-Lab &amp; Other HPS'!$AG$336:$AG$435)))),IF((INDEX(SETUP!$G$19:$G$503,(MATCH(1,(SETUP!$B$19:$B$503=B31)*(SETUP!$D$19:$D$503=D31),0))))=2,(SUMPRODUCT(('C19RM 2021-Lab &amp; Other HPS'!$A$336:$D$435=E31)*('C19RM 2021-Lab &amp; Other HPS'!$BH$336:$BH$435=BJ31)*('C19RM 2021-Lab &amp; Other HPS'!$BQ$336:$BQ$435)*(('C19RM 2021-Lab &amp; Other HPS'!$AH$336:$AH$435)))),IF((INDEX(SETUP!$G$19:$G$503,(MATCH(1,(SETUP!$B$19:$B$503=B31)*(SETUP!$D$19:$D$503=D31),0))))=1,(SUMPRODUCT(('C19RM 2021-Lab &amp; Other HPS'!$A$336:$D$435=E31)*('C19RM 2021-Lab &amp; Other HPS'!$BH$336:$BH$435=BJ31)*('C19RM 2021-Lab &amp; Other HPS'!$BR$336:$BR$435)*(('C19RM 2021-Lab &amp; Other HPS'!$AL$336:$AL$435)))),0)))),0)))</f>
        <v>0</v>
      </c>
      <c r="AF31" s="359" cm="1">
        <f t="array" ref="AF31">IF((INDEX(SETUP!$F$19:$F$503,(MATCH(1,(SETUP!$B$19:$B$503=B31)*(SETUP!$D$19:$D$503=D31),0))))="Upfront",
(SUMPRODUCT(('C19RM 2021-Lab &amp; Other HPS'!$A$336:$D$435=E31)*('C19RM 2021-Lab &amp; Other HPS'!$BH$336:$BH$435=BJ31)*('C19RM 2021-Lab &amp; Other HPS'!$BR$336:$BR$435)*(('C19RM 2021-Lab &amp; Other HPS'!$AN$336:$AN$435)))),
(IF((INDEX(SETUP!$F$19:$F$503,(MATCH(1,(SETUP!$B$19:$B$503=B31)*(SETUP!$D$19:$D$503=D31),0))))="At delivery",
IF((INDEX(SETUP!$G$19:$G$503,(MATCH(1,(SETUP!$B$19:$B$503=B31)*(SETUP!$D$19:$D$503=D31),0))))=4,
(SUMPRODUCT(('C19RM 2021-Lab &amp; Other HPS'!$A$336:$D$435=E31)*('C19RM 2021-Lab &amp; Other HPS'!$BH$336:$BH$435=BJ31)*('C19RM 2021-Lab &amp; Other HPS'!$BQ$336:$BQ$435)*(('C19RM 2021-Lab &amp; Other HPS'!$AG$336:$AG$435)))),IF((INDEX(SETUP!$G$19:$G$503,(MATCH(1,(SETUP!$B$19:$B$503=B31)*(SETUP!$D$19:$D$503=D31),0))))=3,(SUMPRODUCT(('C19RM 2021-Lab &amp; Other HPS'!$A$336:$D$435=E31)*('C19RM 2021-Lab &amp; Other HPS'!$BH$336:$BH$435=BJ31)*('C19RM 2021-Lab &amp; Other HPS'!$BQ$336:$BQ$435)*(('C19RM 2021-Lab &amp; Other HPS'!$AH$336:$AH$435)))),IF((INDEX(SETUP!$G$19:$G$503,(MATCH(1,(SETUP!$B$19:$B$503=B31)*(SETUP!$D$19:$D$503=D31),0))))=2,(SUMPRODUCT(('C19RM 2021-Lab &amp; Other HPS'!$A$336:$D$435=E31)*('C19RM 2021-Lab &amp; Other HPS'!$BH$336:$BH$435=BJ31)*('C19RM 2021-Lab &amp; Other HPS'!$BR$336:$BR$435)*(('C19RM 2021-Lab &amp; Other HPS'!$AL$336:$AL$435)))),IF((INDEX(SETUP!$G$19:$G$503,(MATCH(1,(SETUP!$B$19:$B$503=B31)*(SETUP!$D$19:$D$503=D31),0))))=1,(SUMPRODUCT(('C19RM 2021-Lab &amp; Other HPS'!$A$336:$D$435=E31)*('C19RM 2021-Lab &amp; Other HPS'!$BH$336:$BH$435=BJ31)*('C19RM 2021-Lab &amp; Other HPS'!$BR$336:$BR$435)*(('C19RM 2021-Lab &amp; Other HPS'!$AM$336:$AM$435)))),0)))),0)))</f>
        <v>0</v>
      </c>
      <c r="AG31" s="359" cm="1">
        <f t="array" ref="AG31">IF((INDEX(SETUP!$F$19:$F$503,(MATCH(1,(SETUP!$B$19:$B$503=B31)*(SETUP!$D$19:$D$503=D31),0))))="Upfront",(SUMPRODUCT(('C19RM 2021-Lab &amp; Other HPS'!$A$336:$D$435=E31)*('C19RM 2021-Lab &amp; Other HPS'!$BH$336:$BH$435=BJ31)*('C19RM 2021-Lab &amp; Other HPS'!$BH$336:$BH$435=BJ31)*('C19RM 2021-Lab &amp; Other HPS'!$BR$336:$BR$435)*(('C19RM 2021-Lab &amp; Other HPS'!$AO$336:$AO$435)))),(IF((INDEX(SETUP!$F$19:$F$503,(MATCH(1,(SETUP!$B$19:$B$503=B31)*(SETUP!$D$19:$D$503=D31),0))))="At delivery",IF((INDEX(SETUP!$G$19:$G$503,(MATCH(1,(SETUP!$B$19:$B$503=B31)*(SETUP!$D$19:$D$503=D31),0))))=4,(SUMPRODUCT(('C19RM 2021-Lab &amp; Other HPS'!$A$336:$D$435=E31)*('C19RM 2021-Lab &amp; Other HPS'!$BH$336:$BH$435=BJ31)*('C19RM 2021-Lab &amp; Other HPS'!$BQ$336:$BQ$435)*(('C19RM 2021-Lab &amp; Other HPS'!$AH$336:$AH$435)))),IF((INDEX(SETUP!$G$19:$G$503,(MATCH(1,(SETUP!$B$19:$B$503=B31)*(SETUP!$D$19:$D$503=D31),0))))=3,(SUMPRODUCT(('C19RM 2021-Lab &amp; Other HPS'!$A$336:$D$435=E31)*('C19RM 2021-Lab &amp; Other HPS'!$BH$336:$BH$435=BJ31)*('C19RM 2021-Lab &amp; Other HPS'!$BR$336:$BR$435)*(('C19RM 2021-Lab &amp; Other HPS'!$AL$336:$AL$435)))),IF((INDEX(SETUP!$G$19:$G$503,(MATCH(1,(SETUP!$B$19:$B$503=B31)*(SETUP!$D$19:$D$503=D31),0))))=2,(SUMPRODUCT(('C19RM 2021-Lab &amp; Other HPS'!$A$336:$D$435=E31)*('C19RM 2021-Lab &amp; Other HPS'!$BH$336:$BH$435=BJ31)*('C19RM 2021-Lab &amp; Other HPS'!$BR$336:$BR$435)*(('C19RM 2021-Lab &amp; Other HPS'!$AM$336:$AM$435)))),IF((INDEX(SETUP!$G$19:$G$503,(MATCH(1,(SETUP!$B$19:$B$503=B31)*(SETUP!$D$19:$D$503=D31),0))))=1,(SUMPRODUCT(('C19RM 2021-Lab &amp; Other HPS'!$A$336:$D$435=E31)*('C19RM 2021-Lab &amp; Other HPS'!$BH$336:$BH$435=BJ31)*('C19RM 2021-Lab &amp; Other HPS'!$BR$336:$BR$435)*(('C19RM 2021-Lab &amp; Other HPS'!$AN$336:$AN$435)))),0)))),0)))</f>
        <v>0</v>
      </c>
      <c r="AH31" s="359" cm="1">
        <f t="array" ref="AH31">IF((INDEX(SETUP!$F$19:$F$503,(MATCH(1,(SETUP!$B$19:$B$503=B31)*(SETUP!$D$19:$D$503=D31),0))))="Upfront",
(SUMPRODUCT(('C19RM 2021-Lab &amp; Other HPS'!$A$336:$D$435=E31)*('C19RM 2021-Lab &amp; Other HPS'!$BH$336:$BH$435=BJ31)*('C19RM 2021-Lab &amp; Other HPS'!$BS$336:$BS$435)*(('C19RM 2021-Lab &amp; Other HPS'!$AS$336:$AS$435)))),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HPS'!$AL$336:$AL$435)))),IF((INDEX(SETUP!$G$19:$G$503,(MATCH(1,(SETUP!$B$19:$B$503=B31)*(SETUP!$D$19:$D$503=D31),0))))=3,((SUMPRODUCT(('C19RM 2021-Lab &amp; Other HPS'!$A$336:$D$435=E31)*('C19RM 2021-Lab &amp; Other HPS'!$BH$336:$BH$435=BJ31)*('C19RM 2021-Lab &amp; Other HPS'!$BR$336:$BR$435)*(('C19RM 2021-Lab &amp; Other HPS'!$AM$336:$AM$435))))),IF((INDEX(SETUP!$G$19:$G$503,(MATCH(1,(SETUP!$B$19:$B$503=B31)*(SETUP!$D$19:$D$503=D31),0))))=2,(SUMPRODUCT(('C19RM 2021-Lab &amp; Other HPS'!$A$336:$D$435=E31)*('C19RM 2021-Lab &amp; Other HPS'!$BH$336:$BH$435=BJ31)*('C19RM 2021-Lab &amp; Other HPS'!$BR$336:$BR$435)*(('C19RM 2021-Lab &amp; Other HPS'!$AN$336:$AN$435)))),IF((INDEX(SETUP!$G$19:$G$503,(MATCH(1,(SETUP!$B$19:$B$503=B31)*(SETUP!$D$19:$D$503=D31),0))))=1,(SUMPRODUCT(('C19RM 2021-Lab &amp; Other HPS'!$A$336:$D$435=E31)*('C19RM 2021-Lab &amp; Other HPS'!$BH$336:$BH$435=BJ31)*('C19RM 2021-Lab &amp; Other HPS'!$BR$336:$BR$435)*(('C19RM 2021-Lab &amp; Other HPS'!$AO$336:$AO$435)))),0)))),0)))</f>
        <v>0</v>
      </c>
      <c r="AI31" s="359" cm="1">
        <f t="array" ref="AI31">IF((INDEX(SETUP!$F$19:$F$503,(MATCH(1,(SETUP!$B$19:$B$503=B31)*(SETUP!$D$19:$D$503=D31),0))))="Upfront",
(SUMPRODUCT(('C19RM 2021-Lab &amp; Other HPS'!$A$336:$D$435=E31)*('C19RM 2021-Lab &amp; Other HPS'!$BH$336:$BH$435=BJ31)*('C19RM 2021-Lab &amp; Other HPS'!$BS$336:$BS$435)*(('C19RM 2021-Lab &amp; Other HPS'!$AT$336:$AT$435)))),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HPS'!$AM$336:$AM$435)))),IF((INDEX(SETUP!$G$19:$G$503,(MATCH(1,(SETUP!$B$19:$B$503=B31)*(SETUP!$D$19:$D$503=D31),0))))=3,((SUMPRODUCT(('C19RM 2021-Lab &amp; Other HPS'!$A$336:$D$435=E31)*('C19RM 2021-Lab &amp; Other HPS'!$BH$336:$BH$435=BJ31)*('C19RM 2021-Lab &amp; Other HPS'!$BR$336:$BR$435)*(('C19RM 2021-Lab &amp; Other HPS'!$AN$336:$AN$435))))),IF((INDEX(SETUP!$G$19:$G$503,(MATCH(1,(SETUP!$B$19:$B$503=B31)*(SETUP!$D$19:$D$503=D31),0))))=2,(SUMPRODUCT(('C19RM 2021-Lab &amp; Other HPS'!$A$336:$D$435=E31)*('C19RM 2021-Lab &amp; Other HPS'!$BH$336:$BH$435=BJ31)*('C19RM 2021-Lab &amp; Other HPS'!$BR$336:$BR$435)*(('C19RM 2021-Lab &amp; Other HPS'!$AO$336:$AO$435)))),IF((INDEX(SETUP!$G$19:$G$503,(MATCH(1,(SETUP!$B$19:$B$503=B31)*(SETUP!$D$19:$D$503=D31),0))))=1,(SUMPRODUCT(('C19RM 2021-Lab &amp; Other HPS'!$A$336:$D$435=E31)*('C19RM 2021-Lab &amp; Other HPS'!$BH$336:$BH$435=BJ31)*('C19RM 2021-Lab &amp; Other HPS'!$BS$336:$BS$435)*(('C19RM 2021-Lab &amp; Other HPS'!$AS$336:$AS$435)))),0)))),0)))</f>
        <v>0</v>
      </c>
      <c r="AJ31" s="359" cm="1">
        <f t="array" ref="AJ31">IF((INDEX(SETUP!$F$19:$F$503,(MATCH(1,(SETUP!$B$19:$B$503=B31)*(SETUP!$D$19:$D$503=D31),0))))="Upfront",
(SUMPRODUCT(('C19RM 2021-Lab &amp; Other HPS'!$A$336:$D$435=E31)*('C19RM 2021-Lab &amp; Other HPS'!$BH$336:$BH$435=BJ31)*('C19RM 2021-Lab &amp; Other HPS'!$BS$336:$BS$435)*(('C19RM 2021-Lab &amp; Other HPS'!$AU$336:$AU$435)))),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HPS'!$AN$336:$AN$435)))),IF((INDEX(SETUP!$G$19:$G$503,(MATCH(1,(SETUP!$B$19:$B$503=B31)*(SETUP!$D$19:$D$503=D31),0))))=3,((SUMPRODUCT(('C19RM 2021-Lab &amp; Other HPS'!$A$336:$D$435=E31)*('C19RM 2021-Lab &amp; Other HPS'!$BH$336:$BH$435=BJ31)*('C19RM 2021-Lab &amp; Other HPS'!$BR$336:$BR$435)*(('C19RM 2021-Lab &amp; Other HPS'!$AO$336:$AO$435))))),IF((INDEX(SETUP!$G$19:$G$503,(MATCH(1,(SETUP!$B$19:$B$503=B31)*(SETUP!$D$19:$D$503=D31),0))))=2,(SUMPRODUCT(('C19RM 2021-Lab &amp; Other HPS'!$A$336:$D$435=E31)*('C19RM 2021-Lab &amp; Other HPS'!$BH$336:$BH$435=BJ31)*('C19RM 2021-Lab &amp; Other HPS'!$BS$336:$BS$435)*(('C19RM 2021-Lab &amp; Other HPS'!$AS$336:$AS$435)))),IF((INDEX(SETUP!$G$19:$G$503,(MATCH(1,(SETUP!$B$19:$B$503=B31)*(SETUP!$D$19:$D$503=D31),0))))=1,(SUMPRODUCT(('C19RM 2021-Lab &amp; Other HPS'!$A$336:$D$435=E31)*('C19RM 2021-Lab &amp; Other HPS'!$BH$336:$BH$435=BJ31)*('C19RM 2021-Lab &amp; Other HPS'!$BS$336:$BS$435)*(('C19RM 2021-Lab &amp; Other HPS'!$AT$336:$AT$435)))),0)))),0)))</f>
        <v>0</v>
      </c>
      <c r="AK31" s="359" cm="1">
        <f t="array" ref="AK31">IF((INDEX(SETUP!$F$19:$F$503,(MATCH(1,(SETUP!$B$19:$B$503=B31)*(SETUP!$D$19:$D$503=D31),0))))="Upfront",
(SUMPRODUCT(('C19RM 2021-Lab &amp; Other HPS'!$A$336:$D$435=E31)*('C19RM 2021-Lab &amp; Other HPS'!$BH$336:$BH$435=BJ31)*('C19RM 2021-Lab &amp; Other HPS'!$BS$336:$BS$435)*(('C19RM 2021-Lab &amp; Other HPS'!$AV$336:$AV$435)))),
(IF((INDEX(SETUP!$F$19:$F$503,(MATCH(1,(SETUP!$B$19:$B$503=B31)*(SETUP!$D$19:$D$503=D31),0))))="At delivery",
IF((INDEX(SETUP!$G$19:$G$503,(MATCH(1,(SETUP!$B$19:$B$503=B31)*(SETUP!$D$19:$D$503=D31),0))))=4,
(SUMPRODUCT(('C19RM 2021-Lab &amp; Other HPS'!$A$336:$D$435=E31)*('C19RM 2021-Lab &amp; Other HPS'!$BH$336:$BH$435=BJ31)*('C19RM 2021-Lab &amp; Other HPS'!$BR$336:$BR$435)*(('C19RM 2021-Lab &amp; Other HPS'!$AO$336:$AO$435)))),IF((INDEX(SETUP!$G$19:$G$503,(MATCH(1,(SETUP!$B$19:$B$503=B31)*(SETUP!$D$19:$D$503=D31),0))))=3,((SUMPRODUCT(('C19RM 2021-Lab &amp; Other HPS'!$A$336:$D$435=E31)*('C19RM 2021-Lab &amp; Other HPS'!$BH$336:$BH$435=BJ31)*('C19RM 2021-Lab &amp; Other HPS'!$BS$336:$BS$435)*(('C19RM 2021-Lab &amp; Other HPS'!$AS$336:$AS$435))))),IF((INDEX(SETUP!$G$19:$G$503,(MATCH(1,(SETUP!$B$19:$B$503=B31)*(SETUP!$D$19:$D$503=D31),0))))=2,(SUMPRODUCT(('C19RM 2021-Lab &amp; Other HPS'!$A$336:$D$435=E31)*('C19RM 2021-Lab &amp; Other HPS'!$BH$336:$BH$435=BJ31)*('C19RM 2021-Lab &amp; Other HPS'!$BS$336:$BS$435)*(('C19RM 2021-Lab &amp; Other HPS'!$AT$336:$AT$435)))),IF((INDEX(SETUP!$G$19:$G$503,(MATCH(1,(SETUP!$B$19:$B$503=B31)*(SETUP!$D$19:$D$503=D31),0))))=1,(SUMPRODUCT(('C19RM 2021-Lab &amp; Other HPS'!$A$336:$D$435=E31)*('C19RM 2021-Lab &amp; Other HPS'!$BH$336:$BH$435=BJ31)*('C19RM 2021-Lab &amp; Other HPS'!$BS$336:$BS$435)*(('C19RM 2021-Lab &amp; Other HPS'!$AU$336:$AU$435)))),0)))),0)))</f>
        <v>0</v>
      </c>
      <c r="AL31" s="359" cm="1">
        <f t="array" ref="AL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HPS'!$AS$336:$AS$435)))),IF((INDEX(SETUP!$G$19:$G$503,(MATCH(1,(SETUP!$B$19:$B$503=B31)*(SETUP!$D$19:$D$503=D31),0))))=3,(SUMPRODUCT(('C19RM 2021-Lab &amp; Other HPS'!$A$336:$D$435=E31)*('C19RM 2021-Lab &amp; Other HPS'!$BH$336:$BH$435=BJ31)*('C19RM 2021-Lab &amp; Other HPS'!$BS$336:$BS$435)*(('C19RM 2021-Lab &amp; Other HPS'!$AT$336:$AT$435)))),IF((INDEX(SETUP!$G$19:$G$503,(MATCH(1,(SETUP!$B$19:$B$503=B31)*(SETUP!$D$19:$D$503=D31),0))))=2,(SUMPRODUCT(('C19RM 2021-Lab &amp; Other HPS'!$A$336:$D$435=E31)*('C19RM 2021-Lab &amp; Other HPS'!$BH$336:$BH$435=BJ31)*('C19RM 2021-Lab &amp; Other HPS'!$BS$336:$BS$435)*(('C19RM 2021-Lab &amp; Other HPS'!$AU$336:$AU$435)))),
IF((INDEX(SETUP!$G$19:$G$503,(MATCH(1,(SETUP!$B$19:$B$503=B31)*(SETUP!$D$19:$D$503=D31),0))))=1,
(SUMPRODUCT(('C19RM 2021-Lab &amp; Other HPS'!$A$336:$D$435=E31)*('C19RM 2021-Lab &amp; Other HPS'!$BH$336:$BH$435=BJ31)*('C19RM 2021-Lab &amp; Other HPS'!$BS$336:$BS$435)*(('C19RM 2021-Lab &amp; Other HPS'!$AV$336:$AV$435)))),0)))),0)))</f>
        <v>0</v>
      </c>
      <c r="AM31" s="359" cm="1">
        <f t="array" ref="AM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HPS'!$AT$336:$AT$435)))),IF((INDEX(SETUP!$G$19:$G$503,(MATCH(1,(SETUP!$B$19:$B$503=B31)*(SETUP!$D$19:$D$503=D31),0))))=3,(SUMPRODUCT(('C19RM 2021-Lab &amp; Other HPS'!$A$336:$D$435=E31)*('C19RM 2021-Lab &amp; Other HPS'!$BH$336:$BH$435=BJ31)*('C19RM 2021-Lab &amp; Other HPS'!$BS$336:$BS$435)*(('C19RM 2021-Lab &amp; Other HPS'!$AU$336:$AU$435)))),IF((INDEX(SETUP!$G$19:$G$503,(MATCH(1,(SETUP!$B$19:$B$503=B31)*(SETUP!$D$19:$D$503=D31),0))))=2,(SUMPRODUCT(('C19RM 2021-Lab &amp; Other HPS'!$A$336:$D$435=E31)*('C19RM 2021-Lab &amp; Other HPS'!$BH$336:$BH$435=BJ31)*('C19RM 2021-Lab &amp; Other HPS'!$BS$336:$BS$435)*(('C19RM 2021-Lab &amp; Other HPS'!$AV$336:$AV$435)))),IF((INDEX(SETUP!$G$19:$G$503,(MATCH(1,(SETUP!$B$19:$B$503=B31)*(SETUP!$D$19:$D$503=D31),0))))=1,(0),0)))),0)))</f>
        <v>0</v>
      </c>
      <c r="AN31" s="359" cm="1">
        <f t="array" ref="AN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HPS'!$AU$336:$AU$435)))),IF((INDEX(SETUP!$G$19:$G$503,(MATCH(1,(SETUP!$B$19:$B$503=B31)*(SETUP!$D$19:$D$503=D31),0))))=3,(SUMPRODUCT(('C19RM 2021-Lab &amp; Other HPS'!$A$336:$D$435=E31)*('C19RM 2021-Lab &amp; Other HPS'!$BH$336:$BH$435=BJ31)*('C19RM 2021-Lab &amp; Other HPS'!$BS$336:$BS$435)*(('C19RM 2021-Lab &amp; Other HPS'!$AV$336:$AV$435)))),IF((INDEX(SETUP!$G$19:$G$503,(MATCH(1,(SETUP!$B$19:$B$503=B31)*(SETUP!$D$19:$D$503=D31),0))))=2,(0),IF((INDEX(SETUP!$G$19:$G$503,(MATCH(1,(SETUP!$B$19:$B$503=B31)*(SETUP!$D$19:$D$503=D31),0))))=1,(0),0)))),0)))</f>
        <v>0</v>
      </c>
      <c r="AO31" s="359" cm="1">
        <f t="array" ref="AO31">IF((INDEX(SETUP!$F$19:$F$503,(MATCH(1,(SETUP!$B$19:$B$503=B31)*(SETUP!$D$19:$D$503=D31),0))))="Upfront",0,(IF((INDEX(SETUP!$F$19:$F$503,(MATCH(1,(SETUP!$B$19:$B$503=B31)*(SETUP!$D$19:$D$503=D31),0))))="At delivery",IF((INDEX(SETUP!$G$19:$G$503,(MATCH(1,(SETUP!$B$19:$B$503=B31)*(SETUP!$D$19:$D$503=D31),0))))=4,(SUMPRODUCT(('C19RM 2021-Lab &amp; Other HPS'!$A$336:$D$435=E31)*('C19RM 2021-Lab &amp; Other HPS'!$BH$336:$BH$435=BJ31)*('C19RM 2021-Lab &amp; Other HPS'!$BS$336:$BS$435)*(('C19RM 2021-Lab &amp; Other HPS'!$AV$336:$AV$435)))),IF((INDEX(SETUP!$G$19:$G$503,(MATCH(1,(SETUP!$B$19:$B$503=B31)*(SETUP!$D$19:$D$503=D31),0))))=3,(0),IF((INDEX(SETUP!$G$19:$G$503,(MATCH(1,(SETUP!$B$19:$B$503=B31)*(SETUP!$D$19:$D$503=D31),0))))=2,(0),IF((INDEX(SETUP!$G$19:$G$503,(MATCH(1,(SETUP!$B$19:$B$503=B31)*(SETUP!$D$19:$D$503=D31),0))))=1,(0),0)))),0)))</f>
        <v>0</v>
      </c>
      <c r="AP31" s="359"/>
      <c r="AQ31" s="359"/>
      <c r="AR31" s="359"/>
      <c r="AS31" s="359"/>
      <c r="AT31" s="359" cm="1">
        <f t="array" ref="AT31">IF(BG31&gt;=1,0,IFERROR(SUMPRODUCT(($R$2:$AO$2=$AT$4)*($E$5:$E$100=E31)*($BC$5:$BC$100=BC31)*($R$5:$AO$100)),0))</f>
        <v>0</v>
      </c>
      <c r="AU31" s="359" cm="1">
        <f t="array" ref="AU31">IF(BG31&gt;=1,0,IFERROR(SUMPRODUCT(($R$2:$AO$2=$AU$4)*($E$5:$E$100=E31)*($BC$5:$BC$100=BC31)*($R$5:$AO$100)),0))</f>
        <v>0</v>
      </c>
      <c r="AV31" s="359" cm="1">
        <f t="array" ref="AV31">IF(BG31&gt;=1,0,IFERROR(SUMPRODUCT(($R$2:$AO$2=$AV$4)*($E$5:$E$100=E31)*($BC$5:$BC$100=BC31)*($R$5:$AO$100)),0))</f>
        <v>0</v>
      </c>
      <c r="AW31" s="359" cm="1">
        <f t="array" ref="AW31">IF(BG31&gt;=1,0,IFERROR(SUMPRODUCT(($R$2:$AO$2=$AW$4)*($E$5:$E$100=E31)*($BC$5:$BC$100=BC31)*($R$5:$AO$100)),0))</f>
        <v>0</v>
      </c>
      <c r="AX31" s="359" cm="1">
        <f t="array" ref="AX31">IF(BG31&gt;=1,0,IFERROR(SUMPRODUCT(($R$2:$AO$2=$AX$4)*($E$5:$E$100=E31)*($BC$5:$BC$100=BC31)*($R$5:$AO$100)),0))</f>
        <v>0</v>
      </c>
      <c r="AY31" s="359">
        <f t="shared" si="5"/>
        <v>0</v>
      </c>
      <c r="AZ31" s="359"/>
      <c r="BA31" s="233">
        <f t="shared" si="6"/>
        <v>0</v>
      </c>
      <c r="BB31" s="220" t="s">
        <v>83</v>
      </c>
      <c r="BC31" t="s">
        <v>182</v>
      </c>
      <c r="BD31" cm="1">
        <f t="array" ref="BD31">(SUMPRODUCT(('C19RM 2021-Lab &amp; Other HPS'!$A$14:$D$650=E31)*('C19RM 2021-Lab &amp; Other HPS'!$BU$14:$BU$650)))</f>
        <v>0</v>
      </c>
      <c r="BE31" cm="1">
        <f t="array" ref="BE31">(SUMPRODUCT((SETUP!$D$20:$D$67=D31)*(SETUP!$R$20:$R$67)))</f>
        <v>0</v>
      </c>
      <c r="BF31" cm="1">
        <f t="array" ref="BF31">(SUMPRODUCT(('C19RM 2021-Lab &amp; Other HPS'!$A$14:$D$650=E31)*('C19RM 2021-Lab &amp; Other HPS'!$BV$14:$BV$650)))</f>
        <v>0</v>
      </c>
      <c r="BG31">
        <f t="shared" si="26"/>
        <v>0</v>
      </c>
      <c r="BJ31" s="235">
        <v>6.5</v>
      </c>
    </row>
    <row r="32" spans="1:62" s="9" customFormat="1" x14ac:dyDescent="0.35">
      <c r="A32" s="943">
        <v>4</v>
      </c>
      <c r="B32" s="944" t="s">
        <v>2750</v>
      </c>
      <c r="C32" s="943" t="s">
        <v>3195</v>
      </c>
      <c r="D32" s="943" t="s">
        <v>25</v>
      </c>
      <c r="E32" s="943" t="s">
        <v>26</v>
      </c>
      <c r="F32" s="944">
        <f>SETUP!$E$3</f>
        <v>0</v>
      </c>
      <c r="G32" s="944" t="str">
        <f ca="1">SETUP!$J$5</f>
        <v>NA</v>
      </c>
      <c r="H32" s="220" t="str">
        <f>SETUP!$E$9</f>
        <v>C19RM</v>
      </c>
      <c r="I32" s="232">
        <f t="shared" si="22"/>
        <v>44197</v>
      </c>
      <c r="J32" s="232">
        <f>SETUP!$L$14</f>
        <v>46022</v>
      </c>
      <c r="K32" s="220">
        <f>IFERROR(VLOOKUP(E32,'Master Data-C19RM'!$A$5:$B$35,2,0),0)</f>
        <v>0</v>
      </c>
      <c r="L32">
        <f t="shared" si="23"/>
        <v>0</v>
      </c>
      <c r="M32">
        <f>SETUP!$E$7</f>
        <v>0</v>
      </c>
      <c r="N32">
        <f>SETUP!$F$76</f>
        <v>6.1</v>
      </c>
      <c r="O32" t="str" cm="1">
        <f t="array" ref="O32">INDEX(SETUP!$E$19:$E$503,(MATCH(1,(SETUP!$B$19:$B$503=B32)*(SETUP!$D$19:$D$503=D32),0)))</f>
        <v>PR/SR</v>
      </c>
      <c r="P32" t="str" cm="1">
        <f t="array" ref="P32">INDEX(SETUP!$F$19:$F$503,(MATCH(1,(SETUP!$B$19:$B$503=B32)*(SETUP!$D$19:$D$503=D32),0)))</f>
        <v>At delivery</v>
      </c>
      <c r="Q32" s="9" cm="1">
        <f t="array" ref="Q32">INDEX(SETUP!$G$19:$G$503,(MATCH(1,(SETUP!$B$19:$B$503=B32)*(SETUP!$D$19:$D$503=D32),0)))</f>
        <v>1</v>
      </c>
      <c r="R32" s="945" cm="1">
        <f t="array" ref="R32">IF((INDEX(SETUP!$F$19:$F$503,(MATCH(1,(SETUP!$B$19:$B$503=B32)*(SETUP!$D$19:$D$503=D32),0))))="Upfront",(SUMPRODUCT(('C19RM 2021-Lab &amp; Other HPS'!$A$336:$D$435=E32)*('C19RM 2021-Lab &amp; Other HPS'!$BH$336:$BH$435=BJ32)*('C19RM 2021-Lab &amp; Other HPS'!$BO$336:$BO$435)*(('C19RM 2021-Lab &amp; Other HPS'!$Q$336:$Q$435)))),0)</f>
        <v>0</v>
      </c>
      <c r="S32" s="945" cm="1">
        <f t="array" ref="S32">IF((INDEX(SETUP!$F$19:$F$503,(MATCH(1,(SETUP!$B$19:$B$503=B32)*(SETUP!$D$19:$D$503=D32),0))))="Upfront",(SUMPRODUCT(('C19RM 2021-Lab &amp; Other HPS'!$A$336:$D$435=E32)*('C19RM 2021-Lab &amp; Other HPS'!$BH$336:$BH$435=BJ32)*('C19RM 2021-Lab &amp; Other HPS'!$BO$336:$BO$435)*(('C19RM 2021-Lab &amp; Other HPS'!$R$336:$R$435)))),(IF((INDEX(SETUP!$F$19:$F$503,(MATCH(1,(SETUP!$B$19:$B$503=B32)*(SETUP!$D$19:$D$503=D32),0))))="At delivery",IF((INDEX(SETUP!$G$19:$G$503,(MATCH(1,(SETUP!$B$19:$B$503=B32)*(SETUP!$D$19:$D$503=D32),0))))=1,(SUMPRODUCT(('C19RM 2021-Lab &amp; Other HPS'!$A$336:$D$435=E32)*('C19RM 2021-Lab &amp; Other HPS'!$BH$336:$BH$435=BJ32)*('C19RM 2021-Lab &amp; Other HPS'!$BO$336:$BO$435)*(('C19RM 2021-Lab &amp; Other HPS'!$Q$336:$Q$435)))),0),0)))</f>
        <v>0</v>
      </c>
      <c r="T32" s="945" cm="1">
        <f t="array" ref="T32">IF((INDEX(SETUP!$F$19:$F$503,(MATCH(1,(SETUP!$B$19:$B$503=B32)*(SETUP!$D$19:$D$503=D32),0))))="Upfront",(SUMPRODUCT(('C19RM 2021-Lab &amp; Other HPS'!$A$336:$D$435=E32)*('C19RM 2021-Lab &amp; Other HPS'!$BH$336:$BH$435=BJ32)*('C19RM 2021-Lab &amp; Other HPS'!$BO$336:$BO$435)*(('C19RM 2021-Lab &amp; Other HPS'!$S$336:$S$435)))),(IF((INDEX(SETUP!$F$19:$F$503,(MATCH(1,(SETUP!$B$19:$B$503=B32)*(SETUP!$D$19:$D$503=D32),0))))="At delivery",IF((INDEX(SETUP!$G$19:$G$503,(MATCH(1,(SETUP!$B$19:$B$503=B32)*(SETUP!$D$19:$D$503=D32),0))))=2,(SUMPRODUCT(('C19RM 2021-Lab &amp; Other HPS'!$A$336:$D$435=E32)*('C19RM 2021-Lab &amp; Other HPS'!$BH$336:$BH$435=BJ32)*('C19RM 2021-Lab &amp; Other HPS'!$BO$336:$BO$435)*(('C19RM 2021-Lab &amp; Other HPS'!$Q$336:$Q$435)))),IF((INDEX(SETUP!$G$19:$G$503,(MATCH(1,(SETUP!$B$19:$B$503=B32)*(SETUP!$D$19:$D$503=D32),0))))=1,(SUMPRODUCT(('C19RM 2021-Lab &amp; Other HPS'!$A$336:$D$435=E32)*('C19RM 2021-Lab &amp; Other HPS'!$BH$336:$BH$435=BJ32)*('C19RM 2021-Lab &amp; Other HPS'!$BO$336:$BO$435)*(('C19RM 2021-Lab &amp; Other HPS'!$R$336:$R$435)))),0)),0)))</f>
        <v>0</v>
      </c>
      <c r="U32" s="945" cm="1">
        <f t="array" ref="U32">IF((INDEX(SETUP!$F$19:$F$503,(MATCH(1,(SETUP!$B$19:$B$503=B32)*(SETUP!$D$19:$D$503=D32),0))))="Upfront",(SUMPRODUCT(('C19RM 2021-Lab &amp; Other HPS'!$A$336:$D$435=E32)*('C19RM 2021-Lab &amp; Other HPS'!$BH$336:$BH$435=BJ32)*('C19RM 2021-Lab &amp; Other HPS'!$BO$336:$BO$435)*(('C19RM 2021-Lab &amp; Other HPS'!$T$336:$T$435)))),(IF((INDEX(SETUP!$F$19:$F$503,(MATCH(1,(SETUP!$B$19:$B$503=B32)*(SETUP!$D$19:$D$503=D32),0))))="At delivery",IF((INDEX(SETUP!$G$19:$G$503,(MATCH(1,(SETUP!$B$19:$B$503=B32)*(SETUP!$D$19:$D$503=D32),0))))=3,(SUMPRODUCT(('C19RM 2021-Lab &amp; Other HPS'!$A$336:$D$435=E32)*('C19RM 2021-Lab &amp; Other HPS'!$BH$336:$BH$435=BJ32)*('C19RM 2021-Lab &amp; Other HPS'!$BO$336:$BO$435)*(('C19RM 2021-Lab &amp; Other HPS'!$Q$336:$Q$435)))),IF((INDEX(SETUP!$G$19:$G$503,(MATCH(1,(SETUP!$B$19:$B$503=B32)*(SETUP!$D$19:$D$503=D32),0))))=2,(SUMPRODUCT(('C19RM 2021-Lab &amp; Other HPS'!$A$336:$D$435=E32)*('C19RM 2021-Lab &amp; Other HPS'!$BH$336:$BH$435=BJ32)*('C19RM 2021-Lab &amp; Other HPS'!$BO$336:$BO$435)*(('C19RM 2021-Lab &amp; Other HPS'!$R$336:$R$435)))),IF((INDEX(SETUP!$G$19:$G$503,(MATCH(1,(SETUP!$B$19:$B$503=B32)*(SETUP!$D$19:$D$503=D32),0))))=1,(SUMPRODUCT(('C19RM 2021-Lab &amp; Other HPS'!$A$336:$D$435=E32)*('C19RM 2021-Lab &amp; Other HPS'!$BH$336:$BH$435=BJ32)*('C19RM 2021-Lab &amp; Other HPS'!$BO$336:$BO$435)*(('C19RM 2021-Lab &amp; Other HPS'!$S$336:$S$435)))),0))),0)))</f>
        <v>0</v>
      </c>
      <c r="V32" s="945" cm="1">
        <f t="array" ref="V32">IF((INDEX(SETUP!$F$19:$F$503,(MATCH(1,(SETUP!$B$19:$B$503=B32)*(SETUP!$D$19:$D$503=D32),0))))="Upfront",(SUMPRODUCT(('C19RM 2021-Lab &amp; Other HPS'!$A$336:$D$435=E32)*('C19RM 2021-Lab &amp; Other HPS'!$BH$336:$BH$435=BJ32)*('C19RM 2021-Lab &amp; Other HPS'!$BP$336:$BP$435)*(('C19RM 2021-Lab &amp; Other HPS'!$X$336:$X$435)))),(IF((INDEX(SETUP!$F$19:$F$503,(MATCH(1,(SETUP!$B$19:$B$503=B32)*(SETUP!$D$19:$D$503=D32),0))))="At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HPS'!$Q$336:$Q$435)))),IF((INDEX(SETUP!$G$19:$G$503,(MATCH(1,(SETUP!$B$19:$B$503=B32)*(SETUP!$D$19:$D$503=D32),0))))=3,(SUMPRODUCT(('C19RM 2021-Lab &amp; Other HPS'!$A$336:$D$435=E32)*('C19RM 2021-Lab &amp; Other HPS'!$BH$336:$BH$435=BJ32)*('C19RM 2021-Lab &amp; Other HPS'!$BO$336:$BO$435)*(('C19RM 2021-Lab &amp; Other HPS'!$R$336:$R$435)))),IF((INDEX(SETUP!$G$19:$G$503,(MATCH(1,(SETUP!$B$19:$B$503=B32)*(SETUP!$D$19:$D$503=D32),0))))=2,(SUMPRODUCT(('C19RM 2021-Lab &amp; Other HPS'!$A$336:$D$435=E32)*('C19RM 2021-Lab &amp; Other HPS'!$BH$336:$BH$435=BJ32)*('C19RM 2021-Lab &amp; Other HPS'!$BO$336:$BO$435)*(('C19RM 2021-Lab &amp; Other HPS'!$S$336:$S$435)))),IF((INDEX(SETUP!$G$19:$G$503,(MATCH(1,(SETUP!$B$19:$B$503=B32)*(SETUP!$D$19:$D$503=D32),0))))=1,(SUMPRODUCT(('C19RM 2021-Lab &amp; Other HPS'!$A$336:$D$435=E32)*('C19RM 2021-Lab &amp; Other HPS'!$BH$336:$BH$435=BJ32)*('C19RM 2021-Lab &amp; Other HPS'!$BO$336:$BO$435)*(('C19RM 2021-Lab &amp; Other HPS'!$T$336:$T$435)))),0)))),0)))</f>
        <v>0</v>
      </c>
      <c r="W32" s="945" cm="1">
        <f t="array" ref="W32">IF((INDEX(SETUP!$F$19:$F$503,(MATCH(1,(SETUP!$B$19:$B$503=B32)*(SETUP!$D$19:$D$503=D32),0))))="Upfront",(SUMPRODUCT(('C19RM 2021-Lab &amp; Other HPS'!$A$336:$D$435=E32)*('C19RM 2021-Lab &amp; Other HPS'!$BH$336:$BH$435=BJ32)*('C19RM 2021-Lab &amp; Other HPS'!$BP$336:$BP$435)*(('C19RM 2021-Lab &amp; Other HPS'!$Y$336:$Y$435)))),(IF((INDEX(SETUP!$F$19:$F$503,(MATCH(1,(SETUP!$B$19:$B$503=B32)*(SETUP!$D$19:$D$503=D32),0))))="At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HPS'!$R$336:$R$435)))),IF((INDEX(SETUP!$G$19:$G$503,(MATCH(1,(SETUP!$B$19:$B$503=B32)*(SETUP!$D$19:$D$503=D32),0))))=3,(SUMPRODUCT(('C19RM 2021-Lab &amp; Other HPS'!$A$336:$D$435=E32)*('C19RM 2021-Lab &amp; Other HPS'!$BH$336:$BH$435=BJ32)*('C19RM 2021-Lab &amp; Other HPS'!$BO$336:$BO$435)*(('C19RM 2021-Lab &amp; Other HPS'!$S$336:$S$435)))),IF((INDEX(SETUP!$G$19:$G$503,(MATCH(1,(SETUP!$B$19:$B$503=B32)*(SETUP!$D$19:$D$503=D32),0))))=2,((SUMPRODUCT(('C19RM 2021-Lab &amp; Other HPS'!$A$336:$D$435=E32)*('C19RM 2021-Lab &amp; Other HPS'!$BH$336:$BH$435=BJ32)*('C19RM 2021-Lab &amp; Other HPS'!$BO$336:$BO$435)*(('C19RM 2021-Lab &amp; Other HPS'!$T$336:$T$435))))),IF((INDEX(SETUP!$G$19:$G$503,(MATCH(1,(SETUP!$B$19:$B$503=B32)*(SETUP!$D$19:$D$503=D32),0))))=1,(SUMPRODUCT(('C19RM 2021-Lab &amp; Other HPS'!$A$336:$D$435=E32)*('C19RM 2021-Lab &amp; Other HPS'!$BH$336:$BH$435=BJ32)*('C19RM 2021-Lab &amp; Other HPS'!$BP$336:$BP$435)*(('C19RM 2021-Lab &amp; Other HPS'!$X$336:$X$435)))),0)))),0)))</f>
        <v>0</v>
      </c>
      <c r="X32" s="945" cm="1">
        <f t="array" ref="X32">IF((INDEX(SETUP!$F$19:$F$503,(MATCH(1,(SETUP!$B$19:$B$503=B32)*(SETUP!$D$19:$D$503=D32),0))))="Upfront",(SUMPRODUCT(('C19RM 2021-Lab &amp; Other HPS'!$A$336:$D$435=E32)*('C19RM 2021-Lab &amp; Other HPS'!$BH$336:$BH$435=BJ32)*('C19RM 2021-Lab &amp; Other HPS'!$BP$336:$BP$435)*(('C19RM 2021-Lab &amp; Other HPS'!$Z$336:$Z$435)))),(IF((INDEX(SETUP!$F$19:$F$503,(MATCH(1,(SETUP!$B$19:$B$503=B32)*(SETUP!$D$19:$D$503=D32),0))))="At delivery",IF((INDEX(SETUP!$G$19:$G$503,(MATCH(1,(SETUP!$B$19:$B$503=B32)*(SETUP!$D$19:$D$503=D32),0))))=4,(SUMPRODUCT(('C19RM 2021-Lab &amp; Other HPS'!$A$336:$D$435=E32)*('C19RM 2021-Lab &amp; Other HPS'!$BH$336:$BH$435=BJ32)*('C19RM 2021-Lab &amp; Other HPS'!$BO$336:$BO$435)*(('C19RM 2021-Lab &amp; Other HPS'!$S$336:$S$435)))),IF((INDEX(SETUP!$G$19:$G$503,(MATCH(1,(SETUP!$B$19:$B$503=B32)*(SETUP!$D$19:$D$503=D32),0))))=3,((SUMPRODUCT(('C19RM 2021-Lab &amp; Other HPS'!$A$336:$D$435=E32)*('C19RM 2021-Lab &amp; Other HPS'!$BH$336:$BH$435=BJ32)*('C19RM 2021-Lab &amp; Other HPS'!$BO$336:$BO$435)*(('C19RM 2021-Lab &amp; Other HPS'!$T$336:$T$435))))),IF((INDEX(SETUP!$G$19:$G$503,(MATCH(1,(SETUP!$B$19:$B$503=B32)*(SETUP!$D$19:$D$503=D32),0))))=2,(SUMPRODUCT(('C19RM 2021-Lab &amp; Other HPS'!$A$336:$D$435=E32)*('C19RM 2021-Lab &amp; Other HPS'!$BH$336:$BH$435=BJ32)*('C19RM 2021-Lab &amp; Other HPS'!$BP$336:$BP$435)*(('C19RM 2021-Lab &amp; Other HPS'!$X$336:$X$435)))),IF((INDEX(SETUP!$G$19:$G$503,(MATCH(1,(SETUP!$B$19:$B$503=B32)*(SETUP!$D$19:$D$503=D32),0))))=1,(SUMPRODUCT(('C19RM 2021-Lab &amp; Other HPS'!$A$336:$D$435=E32)*('C19RM 2021-Lab &amp; Other HPS'!$BH$336:$BH$435=BJ32)*('C19RM 2021-Lab &amp; Other HPS'!$BP$336:$BP$435)*(('C19RM 2021-Lab &amp; Other HPS'!$Y$336:$Y$435)))),0)))),0)))</f>
        <v>0</v>
      </c>
      <c r="Y32" s="945" cm="1">
        <f t="array" ref="Y32">IF((INDEX(SETUP!$F$19:$F$503,(MATCH(1,(SETUP!$B$19:$B$503=B32)*(SETUP!$D$19:$D$503=D32),0))))="Upfront",
(SUMPRODUCT(('C19RM 2021-Lab &amp; Other HPS'!$A$336:$D$435=E32)*('C19RM 2021-Lab &amp; Other HPS'!$BH$336:$BH$435=BJ32)*('C19RM 2021-Lab &amp; Other HPS'!$BP$336:$BP$435)*(('C19RM 2021-Lab &amp; Other HPS'!$AA$336:$AA$435)))),
(IF((INDEX(SETUP!$F$19:$F$503,(MATCH(1,(SETUP!$B$19:$B$503=B32)*(SETUP!$D$19:$D$503=D32),0))))="At delivery",
IF((INDEX(SETUP!$G$19:$G$503,(MATCH(1,(SETUP!$B$19:$B$503=B32)*(SETUP!$D$19:$D$503=D32),0))))=4,
((SUMPRODUCT(('C19RM 2021-Lab &amp; Other HPS'!$A$336:$D$435=E32)*('C19RM 2021-Lab &amp; Other HPS'!$BH$336:$BH$435=BJ32)*('C19RM 2021-Lab &amp; Other HPS'!$BO$336:$BO$435)*(('C19RM 2021-Lab &amp; Other HPS'!$T$336:$T$435))))),IF((INDEX(SETUP!$G$19:$G$503,(MATCH(1,(SETUP!$B$19:$B$503=B32)*(SETUP!$D$19:$D$503=D32),0))))=3,(SUMPRODUCT(('C19RM 2021-Lab &amp; Other HPS'!$A$336:$D$435=E32)*('C19RM 2021-Lab &amp; Other HPS'!$BH$336:$BH$435=BJ32)*('C19RM 2021-Lab &amp; Other HPS'!$BP$336:$BP$435)*(('C19RM 2021-Lab &amp; Other HPS'!$X$336:$X$435)))),IF((INDEX(SETUP!$G$19:$G$503,(MATCH(1,(SETUP!$B$19:$B$503=B32)*(SETUP!$D$19:$D$503=D32),0))))=2,(SUMPRODUCT(('C19RM 2021-Lab &amp; Other HPS'!$A$336:$D$435=E32)*('C19RM 2021-Lab &amp; Other HPS'!$BH$336:$BH$435=BJ32)*('C19RM 2021-Lab &amp; Other HPS'!$BP$336:$BP$435)*(('C19RM 2021-Lab &amp; Other HPS'!$Y$336:$Y$435)))),IF((INDEX(SETUP!$G$19:$G$503,(MATCH(1,(SETUP!$B$19:$B$503=B32)*(SETUP!$D$19:$D$503=D32),0))))=1,(SUMPRODUCT(('C19RM 2021-Lab &amp; Other HPS'!$A$336:$D$435=E32)*('C19RM 2021-Lab &amp; Other HPS'!$BH$336:$BH$435=BJ32)*('C19RM 2021-Lab &amp; Other HPS'!$BP$336:$BP$435)*(('C19RM 2021-Lab &amp; Other HPS'!$Z$336:$Z$435)))),0)))),0)))</f>
        <v>0</v>
      </c>
      <c r="Z32" s="945" cm="1">
        <f t="array" ref="Z32">IF((INDEX(SETUP!$F$19:$F$503,(MATCH(1,(SETUP!$B$19:$B$503=B32)*(SETUP!$D$19:$D$503=D32),0))))="Upfront",(SUMPRODUCT(('C19RM 2021-Lab &amp; Other HPS'!$A$336:$D$435=E32)*('C19RM 2021-Lab &amp; Other HPS'!$BH$336:$BH$435=BJ32)*('C19RM 2021-Lab &amp; Other HPS'!$BQ$336:$BQ$435)*(('C19RM 2021-Lab &amp; Other HPS'!$AE$336:$AE$435)))),(IF((INDEX(SETUP!$F$19:$F$503,(MATCH(1,(SETUP!$B$19:$B$503=B32)*(SETUP!$D$19:$D$503=D32),0))))="At delivery",IF((INDEX(SETUP!$G$19:$G$503,(MATCH(1,(SETUP!$B$19:$B$503=B32)*(SETUP!$D$19:$D$503=D32),0))))=4,(SUMPRODUCT(('C19RM 2021-Lab &amp; Other HPS'!$A$336:$D$435=E32)*('C19RM 2021-Lab &amp; Other HPS'!$BH$336:$BH$435=BJ32)*('C19RM 2021-Lab &amp; Other HPS'!$BP$336:$BP$435)*(('C19RM 2021-Lab &amp; Other HPS'!$X$336:$X$435)))),IF((INDEX(SETUP!$G$19:$G$503,(MATCH(1,(SETUP!$B$19:$B$503=B32)*(SETUP!$D$19:$D$503=D32),0))))=3,(SUMPRODUCT(('C19RM 2021-Lab &amp; Other HPS'!$A$336:$D$435=E32)*('C19RM 2021-Lab &amp; Other HPS'!$BH$336:$BH$435=BJ32)*('C19RM 2021-Lab &amp; Other HPS'!$BP$336:$BP$435)*(('C19RM 2021-Lab &amp; Other HPS'!$Y$336:$Y$435)))),IF((INDEX(SETUP!$G$19:$G$503,(MATCH(1,(SETUP!$B$19:$B$503=B32)*(SETUP!$D$19:$D$503=D32),0))))=2,(SUMPRODUCT(('C19RM 2021-Lab &amp; Other HPS'!$A$336:$D$435=E32)*('C19RM 2021-Lab &amp; Other HPS'!$BH$336:$BH$435=BJ32)*('C19RM 2021-Lab &amp; Other HPS'!$BP$336:$BP$435)*(('C19RM 2021-Lab &amp; Other HPS'!$Z$336:$Z$435)))),IF((INDEX(SETUP!$G$19:$G$503,(MATCH(1,(SETUP!$B$19:$B$503=B32)*(SETUP!$D$19:$D$503=D32),0))))=1,(SUMPRODUCT(('C19RM 2021-Lab &amp; Other HPS'!$A$336:$D$435=E32)*('C19RM 2021-Lab &amp; Other HPS'!$BH$336:$BH$435=BJ32)*('C19RM 2021-Lab &amp; Other HPS'!$BP$336:$BP$435)*(('C19RM 2021-Lab &amp; Other HPS'!$AA$336:$AA$435)))),0)))),0)))</f>
        <v>0</v>
      </c>
      <c r="AA32" s="945" cm="1">
        <f t="array" ref="AA32">IF((INDEX(SETUP!$F$19:$F$503,(MATCH(1,(SETUP!$B$19:$B$503=B32)*(SETUP!$D$19:$D$503=D32),0))))="Upfront",(SUMPRODUCT(('C19RM 2021-Lab &amp; Other HPS'!$A$336:$D$435=E32)*('C19RM 2021-Lab &amp; Other HPS'!$BH$336:$BH$435=BJ32)*('C19RM 2021-Lab &amp; Other HPS'!$BQ$336:$BQ$435)*(('C19RM 2021-Lab &amp; Other HPS'!$AF$336:$AF$435)))),(IF((INDEX(SETUP!$F$19:$F$503,(MATCH(1,(SETUP!$B$19:$B$503=B32)*(SETUP!$D$19:$D$503=D32),0))))="At delivery",IF((INDEX(SETUP!$G$19:$G$503,(MATCH(1,(SETUP!$B$19:$B$503=B32)*(SETUP!$D$19:$D$503=D32),0))))=4,(SUMPRODUCT(('C19RM 2021-Lab &amp; Other HPS'!$A$336:$D$435=E32)*('C19RM 2021-Lab &amp; Other HPS'!$BH$336:$BH$435=BJ32)*('C19RM 2021-Lab &amp; Other HPS'!$BP$336:$BP$435)*(('C19RM 2021-Lab &amp; Other HPS'!$Y$336:$Y$435)))),IF((INDEX(SETUP!$G$19:$G$503,(MATCH(1,(SETUP!$B$19:$B$503=B32)*(SETUP!$D$19:$D$503=D32),0))))=3,(SUMPRODUCT(('C19RM 2021-Lab &amp; Other HPS'!$A$336:$D$435=E32)*('C19RM 2021-Lab &amp; Other HPS'!$BH$336:$BH$435=BJ32)*('C19RM 2021-Lab &amp; Other HPS'!$BP$336:$BP$435)*(('C19RM 2021-Lab &amp; Other HPS'!$Z$336:$Z$435)))),IF((INDEX(SETUP!$G$19:$G$503,(MATCH(1,(SETUP!$B$19:$B$503=B32)*(SETUP!$D$19:$D$503=D32),0))))=2,((SUMPRODUCT(('C19RM 2021-Lab &amp; Other HPS'!$A$336:$D$435=E32)*('C19RM 2021-Lab &amp; Other HPS'!$BH$336:$BH$435=BJ32)*('C19RM 2021-Lab &amp; Other HPS'!$BP$336:$BP$435)*(('C19RM 2021-Lab &amp; Other HPS'!$AA$336:$AA$435))))),IF((INDEX(SETUP!$G$19:$G$503,(MATCH(1,(SETUP!$B$19:$B$503=B32)*(SETUP!$D$19:$D$503=D32),0))))=1,(SUMPRODUCT(('C19RM 2021-Lab &amp; Other HPS'!$A$336:$D$435=E32)*('C19RM 2021-Lab &amp; Other HPS'!$BH$336:$BH$435=BJ32)*('C19RM 2021-Lab &amp; Other HPS'!$BQ$336:$BQ$435)*(('C19RM 2021-Lab &amp; Other HPS'!$AE$336:$AE$435)))),0)))),0)))</f>
        <v>0</v>
      </c>
      <c r="AB32" s="945" cm="1">
        <f t="array" ref="AB32">IF((INDEX(SETUP!$F$19:$F$503,(MATCH(1,(SETUP!$B$19:$B$503=B32)*(SETUP!$D$19:$D$503=D32),0))))="Upfront",
(SUMPRODUCT(('C19RM 2021-Lab &amp; Other HPS'!$A$336:$D$435=E32)*('C19RM 2021-Lab &amp; Other HPS'!$BH$336:$BH$435=BJ32)*('C19RM 2021-Lab &amp; Other HPS'!$BQ$336:$BQ$435)*(('C19RM 2021-Lab &amp; Other HPS'!$AG$336:$AG$435)))),
(IF((INDEX(SETUP!$F$19:$F$503,(MATCH(1,(SETUP!$B$19:$B$503=B32)*(SETUP!$D$19:$D$503=D32),0))))="At delivery",
IF((INDEX(SETUP!$G$19:$G$503,(MATCH(1,(SETUP!$B$19:$B$503=B32)*(SETUP!$D$19:$D$503=D32),0))))=4,
(SUMPRODUCT(('C19RM 2021-Lab &amp; Other HPS'!$A$336:$D$435=E32)*('C19RM 2021-Lab &amp; Other HPS'!$BH$336:$BH$435=BJ32)*('C19RM 2021-Lab &amp; Other HPS'!$BP$336:$BP$435)*(('C19RM 2021-Lab &amp; Other HPS'!$Z$336:$Z$435)))),IF((INDEX(SETUP!$G$19:$G$503,(MATCH(1,(SETUP!$B$19:$B$503=B32)*(SETUP!$D$19:$D$503=D32),0))))=3,(SUMPRODUCT(('C19RM 2021-Lab &amp; Other HPS'!$A$336:$D$435=E32)*('C19RM 2021-Lab &amp; Other HPS'!$BH$336:$BH$435=BJ32)*('C19RM 2021-Lab &amp; Other HPS'!$BP$336:$BP$435)*(('C19RM 2021-Lab &amp; Other HPS'!$AA$336:$AA$435)))),IF((INDEX(SETUP!$G$19:$G$503,(MATCH(1,(SETUP!$B$19:$B$503=B32)*(SETUP!$D$19:$D$503=D32),0))))=2,(SUMPRODUCT(('C19RM 2021-Lab &amp; Other HPS'!$A$336:$D$435=E32)*('C19RM 2021-Lab &amp; Other HPS'!$BH$336:$BH$435=BJ32)*('C19RM 2021-Lab &amp; Other HPS'!$BQ$336:$BQ$435)*(('C19RM 2021-Lab &amp; Other HPS'!$AE$336:$AE$435)))),IF((INDEX(SETUP!$G$19:$G$503,(MATCH(1,(SETUP!$B$19:$B$503=B32)*(SETUP!$D$19:$D$503=D32),0))))=1,(SUMPRODUCT(('C19RM 2021-Lab &amp; Other HPS'!$A$336:$D$435=E32)*('C19RM 2021-Lab &amp; Other HPS'!$BH$336:$BH$435=BJ32)*('C19RM 2021-Lab &amp; Other HPS'!$BQ$336:$BQ$435)*(('C19RM 2021-Lab &amp; Other HPS'!$AF$336:$AF$435)))),0)))),0)))</f>
        <v>0</v>
      </c>
      <c r="AC32" s="945" cm="1">
        <f t="array" ref="AC32">IF((INDEX(SETUP!$F$19:$F$503,(MATCH(1,(SETUP!$B$19:$B$503=B32)*(SETUP!$D$19:$D$503=D32),0))))="Upfront",
(SUMPRODUCT(('C19RM 2021-Lab &amp; Other HPS'!$A$336:$D$435=E32)*('C19RM 2021-Lab &amp; Other HPS'!$BH$336:$BH$435=BJ32)*('C19RM 2021-Lab &amp; Other HPS'!$BQ$336:$BQ$435)*(('C19RM 2021-Lab &amp; Other HPS'!$AH$336:$AH$435)))),
(IF((INDEX(SETUP!$F$19:$F$503,(MATCH(1,(SETUP!$B$19:$B$503=B32)*(SETUP!$D$19:$D$503=D32),0))))="At delivery",
IF((INDEX(SETUP!$G$19:$G$503,(MATCH(1,(SETUP!$B$19:$B$503=B32)*(SETUP!$D$19:$D$503=D32),0))))=4,
(SUMPRODUCT(('C19RM 2021-Lab &amp; Other HPS'!$A$336:$D$435=E32)*('C19RM 2021-Lab &amp; Other HPS'!$BH$336:$BH$435=BJ32)*('C19RM 2021-Lab &amp; Other HPS'!$BP$336:$BP$435)*(('C19RM 2021-Lab &amp; Other HPS'!$AA$336:$AA$435)))),IF((INDEX(SETUP!$G$19:$G$503,(MATCH(1,(SETUP!$B$19:$B$503=B32)*(SETUP!$D$19:$D$503=D32),0))))=3,(SUMPRODUCT(('C19RM 2021-Lab &amp; Other HPS'!$A$336:$D$435=E32)*('C19RM 2021-Lab &amp; Other HPS'!$BH$336:$BH$435=BJ32)*('C19RM 2021-Lab &amp; Other HPS'!$BQ$336:$BQ$435)*(('C19RM 2021-Lab &amp; Other HPS'!$AE$336:$AE$435)))),IF((INDEX(SETUP!$G$19:$G$503,(MATCH(1,(SETUP!$B$19:$B$503=B32)*(SETUP!$D$19:$D$503=D32),0))))=2,(SUMPRODUCT(('C19RM 2021-Lab &amp; Other HPS'!$A$336:$D$435=E32)*('C19RM 2021-Lab &amp; Other HPS'!$BH$336:$BH$435=BJ32)*('C19RM 2021-Lab &amp; Other HPS'!$BQ$336:$BQ$435)*(('C19RM 2021-Lab &amp; Other HPS'!$AF$336:$AF$435)))),IF((INDEX(SETUP!$G$19:$G$503,(MATCH(1,(SETUP!$B$19:$B$503=B32)*(SETUP!$D$19:$D$503=D32),0))))=1,(SUMPRODUCT(('C19RM 2021-Lab &amp; Other HPS'!$A$336:$D$435=E32)*('C19RM 2021-Lab &amp; Other HPS'!$BH$336:$BH$435=BJ32)*('C19RM 2021-Lab &amp; Other HPS'!$BQ$336:$BQ$435)*(('C19RM 2021-Lab &amp; Other HPS'!$AG$336:$AG$435)))),0)))),0)))</f>
        <v>0</v>
      </c>
      <c r="AD32" s="945" cm="1">
        <f t="array" ref="AD32">IF((INDEX(SETUP!$F$19:$F$503,(MATCH(1,(SETUP!$B$19:$B$503=B32)*(SETUP!$D$19:$D$503=D32),0))))="Upfront",
(SUMPRODUCT(('C19RM 2021-Lab &amp; Other HPS'!$A$336:$D$435=E32)*('C19RM 2021-Lab &amp; Other HPS'!$BH$336:$BH$435=BJ32)*('C19RM 2021-Lab &amp; Other HPS'!$BR$336:$BR$435)*(('C19RM 2021-Lab &amp; Other HPS'!$AL$336:$AL$435)))),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HPS'!$AE$336:$AE$435)))),IF((INDEX(SETUP!$G$19:$G$503,(MATCH(1,(SETUP!$B$19:$B$503=B32)*(SETUP!$D$19:$D$503=D32),0))))=3,((SUMPRODUCT(('C19RM 2021-Lab &amp; Other HPS'!$A$336:$D$435=E32)*('C19RM 2021-Lab &amp; Other HPS'!$BH$336:$BH$435=BJ32)*('C19RM 2021-Lab &amp; Other HPS'!$BQ$336:$BQ$435)*(('C19RM 2021-Lab &amp; Other HPS'!$AF$336:$AF$435))))),IF((INDEX(SETUP!$G$19:$G$503,(MATCH(1,(SETUP!$B$19:$B$503=B32)*(SETUP!$D$19:$D$503=D32),0))))=2,(SUMPRODUCT(('C19RM 2021-Lab &amp; Other HPS'!$A$336:$D$435=E32)*('C19RM 2021-Lab &amp; Other HPS'!$BH$336:$BH$435=BJ32)*('C19RM 2021-Lab &amp; Other HPS'!$BQ$336:$BQ$435)*(('C19RM 2021-Lab &amp; Other HPS'!$AG$336:$AG$435)))),IF((INDEX(SETUP!$G$19:$G$503,(MATCH(1,(SETUP!$B$19:$B$503=B32)*(SETUP!$D$19:$D$503=D32),0))))=1,(SUMPRODUCT(('C19RM 2021-Lab &amp; Other HPS'!$A$336:$D$435=E32)*('C19RM 2021-Lab &amp; Other HPS'!$BH$336:$BH$435=BJ32)*('C19RM 2021-Lab &amp; Other HPS'!$BQ$336:$BQ$435)*(('C19RM 2021-Lab &amp; Other HPS'!$AH$336:$AH$435)))),0)))),0)))</f>
        <v>0</v>
      </c>
      <c r="AE32" s="945" cm="1">
        <f t="array" ref="AE32">IF((INDEX(SETUP!$F$19:$F$503,(MATCH(1,(SETUP!$B$19:$B$503=B32)*(SETUP!$D$19:$D$503=D32),0))))="Upfront",
(SUMPRODUCT(('C19RM 2021-Lab &amp; Other HPS'!$A$336:$D$435=E32)*('C19RM 2021-Lab &amp; Other HPS'!$BH$336:$BH$435=BJ32)*('C19RM 2021-Lab &amp; Other HPS'!$BR$336:$BR$435)*(('C19RM 2021-Lab &amp; Other HPS'!$AM$336:$AM$435)))),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HPS'!$AF$336:$AF$435)))),IF((INDEX(SETUP!$G$19:$G$503,(MATCH(1,(SETUP!$B$19:$B$503=B32)*(SETUP!$D$19:$D$503=D32),0))))=3,(SUMPRODUCT(('C19RM 2021-Lab &amp; Other HPS'!$A$336:$D$435=E32)*('C19RM 2021-Lab &amp; Other HPS'!$BH$336:$BH$435=BJ32)*('C19RM 2021-Lab &amp; Other HPS'!$BQ$336:$BQ$435)*(('C19RM 2021-Lab &amp; Other HPS'!$AG$336:$AG$435)))),IF((INDEX(SETUP!$G$19:$G$503,(MATCH(1,(SETUP!$B$19:$B$503=B32)*(SETUP!$D$19:$D$503=D32),0))))=2,(SUMPRODUCT(('C19RM 2021-Lab &amp; Other HPS'!$A$336:$D$435=E32)*('C19RM 2021-Lab &amp; Other HPS'!$BH$336:$BH$435=BJ32)*('C19RM 2021-Lab &amp; Other HPS'!$BQ$336:$BQ$435)*(('C19RM 2021-Lab &amp; Other HPS'!$AH$336:$AH$435)))),IF((INDEX(SETUP!$G$19:$G$503,(MATCH(1,(SETUP!$B$19:$B$503=B32)*(SETUP!$D$19:$D$503=D32),0))))=1,(SUMPRODUCT(('C19RM 2021-Lab &amp; Other HPS'!$A$336:$D$435=E32)*('C19RM 2021-Lab &amp; Other HPS'!$BH$336:$BH$435=BJ32)*('C19RM 2021-Lab &amp; Other HPS'!$BR$336:$BR$435)*(('C19RM 2021-Lab &amp; Other HPS'!$AL$336:$AL$435)))),0)))),0)))</f>
        <v>0</v>
      </c>
      <c r="AF32" s="945" cm="1">
        <f t="array" ref="AF32">IF((INDEX(SETUP!$F$19:$F$503,(MATCH(1,(SETUP!$B$19:$B$503=B32)*(SETUP!$D$19:$D$503=D32),0))))="Upfront",
(SUMPRODUCT(('C19RM 2021-Lab &amp; Other HPS'!$A$336:$D$435=E32)*('C19RM 2021-Lab &amp; Other HPS'!$BH$336:$BH$435=BJ32)*('C19RM 2021-Lab &amp; Other HPS'!$BR$336:$BR$435)*(('C19RM 2021-Lab &amp; Other HPS'!$AN$336:$AN$435)))),
(IF((INDEX(SETUP!$F$19:$F$503,(MATCH(1,(SETUP!$B$19:$B$503=B32)*(SETUP!$D$19:$D$503=D32),0))))="At delivery",
IF((INDEX(SETUP!$G$19:$G$503,(MATCH(1,(SETUP!$B$19:$B$503=B32)*(SETUP!$D$19:$D$503=D32),0))))=4,
(SUMPRODUCT(('C19RM 2021-Lab &amp; Other HPS'!$A$336:$D$435=E32)*('C19RM 2021-Lab &amp; Other HPS'!$BH$336:$BH$435=BJ32)*('C19RM 2021-Lab &amp; Other HPS'!$BQ$336:$BQ$435)*(('C19RM 2021-Lab &amp; Other HPS'!$AG$336:$AG$435)))),IF((INDEX(SETUP!$G$19:$G$503,(MATCH(1,(SETUP!$B$19:$B$503=B32)*(SETUP!$D$19:$D$503=D32),0))))=3,(SUMPRODUCT(('C19RM 2021-Lab &amp; Other HPS'!$A$336:$D$435=E32)*('C19RM 2021-Lab &amp; Other HPS'!$BH$336:$BH$435=BJ32)*('C19RM 2021-Lab &amp; Other HPS'!$BQ$336:$BQ$435)*(('C19RM 2021-Lab &amp; Other HPS'!$AH$336:$AH$435)))),IF((INDEX(SETUP!$G$19:$G$503,(MATCH(1,(SETUP!$B$19:$B$503=B32)*(SETUP!$D$19:$D$503=D32),0))))=2,(SUMPRODUCT(('C19RM 2021-Lab &amp; Other HPS'!$A$336:$D$435=E32)*('C19RM 2021-Lab &amp; Other HPS'!$BH$336:$BH$435=BJ32)*('C19RM 2021-Lab &amp; Other HPS'!$BR$336:$BR$435)*(('C19RM 2021-Lab &amp; Other HPS'!$AL$336:$AL$435)))),IF((INDEX(SETUP!$G$19:$G$503,(MATCH(1,(SETUP!$B$19:$B$503=B32)*(SETUP!$D$19:$D$503=D32),0))))=1,(SUMPRODUCT(('C19RM 2021-Lab &amp; Other HPS'!$A$336:$D$435=E32)*('C19RM 2021-Lab &amp; Other HPS'!$BH$336:$BH$435=BJ32)*('C19RM 2021-Lab &amp; Other HPS'!$BR$336:$BR$435)*(('C19RM 2021-Lab &amp; Other HPS'!$AM$336:$AM$435)))),0)))),0)))</f>
        <v>0</v>
      </c>
      <c r="AG32" s="945" cm="1">
        <f t="array" ref="AG32">IF((INDEX(SETUP!$F$19:$F$503,(MATCH(1,(SETUP!$B$19:$B$503=B32)*(SETUP!$D$19:$D$503=D32),0))))="Upfront",(SUMPRODUCT(('C19RM 2021-Lab &amp; Other HPS'!$A$336:$D$435=E32)*('C19RM 2021-Lab &amp; Other HPS'!$BH$336:$BH$435=BJ32)*('C19RM 2021-Lab &amp; Other HPS'!$BH$336:$BH$435=BJ32)*('C19RM 2021-Lab &amp; Other HPS'!$BR$336:$BR$435)*(('C19RM 2021-Lab &amp; Other HPS'!$AO$336:$AO$435)))),(IF((INDEX(SETUP!$F$19:$F$503,(MATCH(1,(SETUP!$B$19:$B$503=B32)*(SETUP!$D$19:$D$503=D32),0))))="At delivery",IF((INDEX(SETUP!$G$19:$G$503,(MATCH(1,(SETUP!$B$19:$B$503=B32)*(SETUP!$D$19:$D$503=D32),0))))=4,(SUMPRODUCT(('C19RM 2021-Lab &amp; Other HPS'!$A$336:$D$435=E32)*('C19RM 2021-Lab &amp; Other HPS'!$BH$336:$BH$435=BJ32)*('C19RM 2021-Lab &amp; Other HPS'!$BQ$336:$BQ$435)*(('C19RM 2021-Lab &amp; Other HPS'!$AH$336:$AH$435)))),IF((INDEX(SETUP!$G$19:$G$503,(MATCH(1,(SETUP!$B$19:$B$503=B32)*(SETUP!$D$19:$D$503=D32),0))))=3,(SUMPRODUCT(('C19RM 2021-Lab &amp; Other HPS'!$A$336:$D$435=E32)*('C19RM 2021-Lab &amp; Other HPS'!$BH$336:$BH$435=BJ32)*('C19RM 2021-Lab &amp; Other HPS'!$BR$336:$BR$435)*(('C19RM 2021-Lab &amp; Other HPS'!$AL$336:$AL$435)))),IF((INDEX(SETUP!$G$19:$G$503,(MATCH(1,(SETUP!$B$19:$B$503=B32)*(SETUP!$D$19:$D$503=D32),0))))=2,(SUMPRODUCT(('C19RM 2021-Lab &amp; Other HPS'!$A$336:$D$435=E32)*('C19RM 2021-Lab &amp; Other HPS'!$BH$336:$BH$435=BJ32)*('C19RM 2021-Lab &amp; Other HPS'!$BR$336:$BR$435)*(('C19RM 2021-Lab &amp; Other HPS'!$AM$336:$AM$435)))),IF((INDEX(SETUP!$G$19:$G$503,(MATCH(1,(SETUP!$B$19:$B$503=B32)*(SETUP!$D$19:$D$503=D32),0))))=1,(SUMPRODUCT(('C19RM 2021-Lab &amp; Other HPS'!$A$336:$D$435=E32)*('C19RM 2021-Lab &amp; Other HPS'!$BH$336:$BH$435=BJ32)*('C19RM 2021-Lab &amp; Other HPS'!$BR$336:$BR$435)*(('C19RM 2021-Lab &amp; Other HPS'!$AN$336:$AN$435)))),0)))),0)))</f>
        <v>0</v>
      </c>
      <c r="AH32" s="945" cm="1">
        <f t="array" ref="AH32">IF((INDEX(SETUP!$F$19:$F$503,(MATCH(1,(SETUP!$B$19:$B$503=B32)*(SETUP!$D$19:$D$503=D32),0))))="Upfront",
(SUMPRODUCT(('C19RM 2021-Lab &amp; Other HPS'!$A$336:$D$435=E32)*('C19RM 2021-Lab &amp; Other HPS'!$BH$336:$BH$435=BJ32)*('C19RM 2021-Lab &amp; Other HPS'!$BS$336:$BS$435)*(('C19RM 2021-Lab &amp; Other HPS'!$AS$336:$AS$435)))),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HPS'!$AL$336:$AL$435)))),IF((INDEX(SETUP!$G$19:$G$503,(MATCH(1,(SETUP!$B$19:$B$503=B32)*(SETUP!$D$19:$D$503=D32),0))))=3,((SUMPRODUCT(('C19RM 2021-Lab &amp; Other HPS'!$A$336:$D$435=E32)*('C19RM 2021-Lab &amp; Other HPS'!$BH$336:$BH$435=BJ32)*('C19RM 2021-Lab &amp; Other HPS'!$BR$336:$BR$435)*(('C19RM 2021-Lab &amp; Other HPS'!$AM$336:$AM$435))))),IF((INDEX(SETUP!$G$19:$G$503,(MATCH(1,(SETUP!$B$19:$B$503=B32)*(SETUP!$D$19:$D$503=D32),0))))=2,(SUMPRODUCT(('C19RM 2021-Lab &amp; Other HPS'!$A$336:$D$435=E32)*('C19RM 2021-Lab &amp; Other HPS'!$BH$336:$BH$435=BJ32)*('C19RM 2021-Lab &amp; Other HPS'!$BR$336:$BR$435)*(('C19RM 2021-Lab &amp; Other HPS'!$AN$336:$AN$435)))),IF((INDEX(SETUP!$G$19:$G$503,(MATCH(1,(SETUP!$B$19:$B$503=B32)*(SETUP!$D$19:$D$503=D32),0))))=1,(SUMPRODUCT(('C19RM 2021-Lab &amp; Other HPS'!$A$336:$D$435=E32)*('C19RM 2021-Lab &amp; Other HPS'!$BH$336:$BH$435=BJ32)*('C19RM 2021-Lab &amp; Other HPS'!$BR$336:$BR$435)*(('C19RM 2021-Lab &amp; Other HPS'!$AO$336:$AO$435)))),0)))),0)))</f>
        <v>0</v>
      </c>
      <c r="AI32" s="945" cm="1">
        <f t="array" ref="AI32">IF((INDEX(SETUP!$F$19:$F$503,(MATCH(1,(SETUP!$B$19:$B$503=B32)*(SETUP!$D$19:$D$503=D32),0))))="Upfront",
(SUMPRODUCT(('C19RM 2021-Lab &amp; Other HPS'!$A$336:$D$435=E32)*('C19RM 2021-Lab &amp; Other HPS'!$BH$336:$BH$435=BJ32)*('C19RM 2021-Lab &amp; Other HPS'!$BS$336:$BS$435)*(('C19RM 2021-Lab &amp; Other HPS'!$AT$336:$AT$435)))),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HPS'!$AM$336:$AM$435)))),IF((INDEX(SETUP!$G$19:$G$503,(MATCH(1,(SETUP!$B$19:$B$503=B32)*(SETUP!$D$19:$D$503=D32),0))))=3,((SUMPRODUCT(('C19RM 2021-Lab &amp; Other HPS'!$A$336:$D$435=E32)*('C19RM 2021-Lab &amp; Other HPS'!$BH$336:$BH$435=BJ32)*('C19RM 2021-Lab &amp; Other HPS'!$BR$336:$BR$435)*(('C19RM 2021-Lab &amp; Other HPS'!$AN$336:$AN$435))))),IF((INDEX(SETUP!$G$19:$G$503,(MATCH(1,(SETUP!$B$19:$B$503=B32)*(SETUP!$D$19:$D$503=D32),0))))=2,(SUMPRODUCT(('C19RM 2021-Lab &amp; Other HPS'!$A$336:$D$435=E32)*('C19RM 2021-Lab &amp; Other HPS'!$BH$336:$BH$435=BJ32)*('C19RM 2021-Lab &amp; Other HPS'!$BR$336:$BR$435)*(('C19RM 2021-Lab &amp; Other HPS'!$AO$336:$AO$435)))),IF((INDEX(SETUP!$G$19:$G$503,(MATCH(1,(SETUP!$B$19:$B$503=B32)*(SETUP!$D$19:$D$503=D32),0))))=1,(SUMPRODUCT(('C19RM 2021-Lab &amp; Other HPS'!$A$336:$D$435=E32)*('C19RM 2021-Lab &amp; Other HPS'!$BH$336:$BH$435=BJ32)*('C19RM 2021-Lab &amp; Other HPS'!$BS$336:$BS$435)*(('C19RM 2021-Lab &amp; Other HPS'!$AS$336:$AS$435)))),0)))),0)))</f>
        <v>0</v>
      </c>
      <c r="AJ32" s="945" cm="1">
        <f t="array" ref="AJ32">IF((INDEX(SETUP!$F$19:$F$503,(MATCH(1,(SETUP!$B$19:$B$503=B32)*(SETUP!$D$19:$D$503=D32),0))))="Upfront",
(SUMPRODUCT(('C19RM 2021-Lab &amp; Other HPS'!$A$336:$D$435=E32)*('C19RM 2021-Lab &amp; Other HPS'!$BH$336:$BH$435=BJ32)*('C19RM 2021-Lab &amp; Other HPS'!$BS$336:$BS$435)*(('C19RM 2021-Lab &amp; Other HPS'!$AU$336:$AU$435)))),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HPS'!$AN$336:$AN$435)))),IF((INDEX(SETUP!$G$19:$G$503,(MATCH(1,(SETUP!$B$19:$B$503=B32)*(SETUP!$D$19:$D$503=D32),0))))=3,((SUMPRODUCT(('C19RM 2021-Lab &amp; Other HPS'!$A$336:$D$435=E32)*('C19RM 2021-Lab &amp; Other HPS'!$BH$336:$BH$435=BJ32)*('C19RM 2021-Lab &amp; Other HPS'!$BR$336:$BR$435)*(('C19RM 2021-Lab &amp; Other HPS'!$AO$336:$AO$435))))),IF((INDEX(SETUP!$G$19:$G$503,(MATCH(1,(SETUP!$B$19:$B$503=B32)*(SETUP!$D$19:$D$503=D32),0))))=2,(SUMPRODUCT(('C19RM 2021-Lab &amp; Other HPS'!$A$336:$D$435=E32)*('C19RM 2021-Lab &amp; Other HPS'!$BH$336:$BH$435=BJ32)*('C19RM 2021-Lab &amp; Other HPS'!$BS$336:$BS$435)*(('C19RM 2021-Lab &amp; Other HPS'!$AS$336:$AS$435)))),IF((INDEX(SETUP!$G$19:$G$503,(MATCH(1,(SETUP!$B$19:$B$503=B32)*(SETUP!$D$19:$D$503=D32),0))))=1,(SUMPRODUCT(('C19RM 2021-Lab &amp; Other HPS'!$A$336:$D$435=E32)*('C19RM 2021-Lab &amp; Other HPS'!$BH$336:$BH$435=BJ32)*('C19RM 2021-Lab &amp; Other HPS'!$BS$336:$BS$435)*(('C19RM 2021-Lab &amp; Other HPS'!$AT$336:$AT$435)))),0)))),0)))</f>
        <v>0</v>
      </c>
      <c r="AK32" s="945" cm="1">
        <f t="array" ref="AK32">IF((INDEX(SETUP!$F$19:$F$503,(MATCH(1,(SETUP!$B$19:$B$503=B32)*(SETUP!$D$19:$D$503=D32),0))))="Upfront",
(SUMPRODUCT(('C19RM 2021-Lab &amp; Other HPS'!$A$336:$D$435=E32)*('C19RM 2021-Lab &amp; Other HPS'!$BH$336:$BH$435=BJ32)*('C19RM 2021-Lab &amp; Other HPS'!$BS$336:$BS$435)*(('C19RM 2021-Lab &amp; Other HPS'!$AV$336:$AV$435)))),
(IF((INDEX(SETUP!$F$19:$F$503,(MATCH(1,(SETUP!$B$19:$B$503=B32)*(SETUP!$D$19:$D$503=D32),0))))="At delivery",
IF((INDEX(SETUP!$G$19:$G$503,(MATCH(1,(SETUP!$B$19:$B$503=B32)*(SETUP!$D$19:$D$503=D32),0))))=4,
(SUMPRODUCT(('C19RM 2021-Lab &amp; Other HPS'!$A$336:$D$435=E32)*('C19RM 2021-Lab &amp; Other HPS'!$BH$336:$BH$435=BJ32)*('C19RM 2021-Lab &amp; Other HPS'!$BR$336:$BR$435)*(('C19RM 2021-Lab &amp; Other HPS'!$AO$336:$AO$435)))),IF((INDEX(SETUP!$G$19:$G$503,(MATCH(1,(SETUP!$B$19:$B$503=B32)*(SETUP!$D$19:$D$503=D32),0))))=3,((SUMPRODUCT(('C19RM 2021-Lab &amp; Other HPS'!$A$336:$D$435=E32)*('C19RM 2021-Lab &amp; Other HPS'!$BH$336:$BH$435=BJ32)*('C19RM 2021-Lab &amp; Other HPS'!$BS$336:$BS$435)*(('C19RM 2021-Lab &amp; Other HPS'!$AS$336:$AS$435))))),IF((INDEX(SETUP!$G$19:$G$503,(MATCH(1,(SETUP!$B$19:$B$503=B32)*(SETUP!$D$19:$D$503=D32),0))))=2,(SUMPRODUCT(('C19RM 2021-Lab &amp; Other HPS'!$A$336:$D$435=E32)*('C19RM 2021-Lab &amp; Other HPS'!$BH$336:$BH$435=BJ32)*('C19RM 2021-Lab &amp; Other HPS'!$BS$336:$BS$435)*(('C19RM 2021-Lab &amp; Other HPS'!$AT$336:$AT$435)))),IF((INDEX(SETUP!$G$19:$G$503,(MATCH(1,(SETUP!$B$19:$B$503=B32)*(SETUP!$D$19:$D$503=D32),0))))=1,(SUMPRODUCT(('C19RM 2021-Lab &amp; Other HPS'!$A$336:$D$435=E32)*('C19RM 2021-Lab &amp; Other HPS'!$BH$336:$BH$435=BJ32)*('C19RM 2021-Lab &amp; Other HPS'!$BS$336:$BS$435)*(('C19RM 2021-Lab &amp; Other HPS'!$AU$336:$AU$435)))),0)))),0)))</f>
        <v>0</v>
      </c>
      <c r="AL32" s="945" cm="1">
        <f t="array" ref="AL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HPS'!$AS$336:$AS$435)))),IF((INDEX(SETUP!$G$19:$G$503,(MATCH(1,(SETUP!$B$19:$B$503=B32)*(SETUP!$D$19:$D$503=D32),0))))=3,(SUMPRODUCT(('C19RM 2021-Lab &amp; Other HPS'!$A$336:$D$435=E32)*('C19RM 2021-Lab &amp; Other HPS'!$BH$336:$BH$435=BJ32)*('C19RM 2021-Lab &amp; Other HPS'!$BS$336:$BS$435)*(('C19RM 2021-Lab &amp; Other HPS'!$AT$336:$AT$435)))),IF((INDEX(SETUP!$G$19:$G$503,(MATCH(1,(SETUP!$B$19:$B$503=B32)*(SETUP!$D$19:$D$503=D32),0))))=2,(SUMPRODUCT(('C19RM 2021-Lab &amp; Other HPS'!$A$336:$D$435=E32)*('C19RM 2021-Lab &amp; Other HPS'!$BH$336:$BH$435=BJ32)*('C19RM 2021-Lab &amp; Other HPS'!$BS$336:$BS$435)*(('C19RM 2021-Lab &amp; Other HPS'!$AU$336:$AU$435)))),
IF((INDEX(SETUP!$G$19:$G$503,(MATCH(1,(SETUP!$B$19:$B$503=B32)*(SETUP!$D$19:$D$503=D32),0))))=1,
(SUMPRODUCT(('C19RM 2021-Lab &amp; Other HPS'!$A$336:$D$435=E32)*('C19RM 2021-Lab &amp; Other HPS'!$BH$336:$BH$435=BJ32)*('C19RM 2021-Lab &amp; Other HPS'!$BS$336:$BS$435)*(('C19RM 2021-Lab &amp; Other HPS'!$AV$336:$AV$435)))),0)))),0)))</f>
        <v>0</v>
      </c>
      <c r="AM32" s="945" cm="1">
        <f t="array" ref="AM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HPS'!$AT$336:$AT$435)))),IF((INDEX(SETUP!$G$19:$G$503,(MATCH(1,(SETUP!$B$19:$B$503=B32)*(SETUP!$D$19:$D$503=D32),0))))=3,(SUMPRODUCT(('C19RM 2021-Lab &amp; Other HPS'!$A$336:$D$435=E32)*('C19RM 2021-Lab &amp; Other HPS'!$BH$336:$BH$435=BJ32)*('C19RM 2021-Lab &amp; Other HPS'!$BS$336:$BS$435)*(('C19RM 2021-Lab &amp; Other HPS'!$AU$336:$AU$435)))),IF((INDEX(SETUP!$G$19:$G$503,(MATCH(1,(SETUP!$B$19:$B$503=B32)*(SETUP!$D$19:$D$503=D32),0))))=2,(SUMPRODUCT(('C19RM 2021-Lab &amp; Other HPS'!$A$336:$D$435=E32)*('C19RM 2021-Lab &amp; Other HPS'!$BH$336:$BH$435=BJ32)*('C19RM 2021-Lab &amp; Other HPS'!$BS$336:$BS$435)*(('C19RM 2021-Lab &amp; Other HPS'!$AV$336:$AV$435)))),IF((INDEX(SETUP!$G$19:$G$503,(MATCH(1,(SETUP!$B$19:$B$503=B32)*(SETUP!$D$19:$D$503=D32),0))))=1,(0),0)))),0)))</f>
        <v>0</v>
      </c>
      <c r="AN32" s="945" cm="1">
        <f t="array" ref="AN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HPS'!$AU$336:$AU$435)))),IF((INDEX(SETUP!$G$19:$G$503,(MATCH(1,(SETUP!$B$19:$B$503=B32)*(SETUP!$D$19:$D$503=D32),0))))=3,(SUMPRODUCT(('C19RM 2021-Lab &amp; Other HPS'!$A$336:$D$435=E32)*('C19RM 2021-Lab &amp; Other HPS'!$BH$336:$BH$435=BJ32)*('C19RM 2021-Lab &amp; Other HPS'!$BS$336:$BS$435)*(('C19RM 2021-Lab &amp; Other HPS'!$AV$336:$AV$435)))),IF((INDEX(SETUP!$G$19:$G$503,(MATCH(1,(SETUP!$B$19:$B$503=B32)*(SETUP!$D$19:$D$503=D32),0))))=2,(0),IF((INDEX(SETUP!$G$19:$G$503,(MATCH(1,(SETUP!$B$19:$B$503=B32)*(SETUP!$D$19:$D$503=D32),0))))=1,(0),0)))),0)))</f>
        <v>0</v>
      </c>
      <c r="AO32" s="359" cm="1">
        <f t="array" ref="AO32">IF((INDEX(SETUP!$F$19:$F$503,(MATCH(1,(SETUP!$B$19:$B$503=B32)*(SETUP!$D$19:$D$503=D32),0))))="Upfront",0,(IF((INDEX(SETUP!$F$19:$F$503,(MATCH(1,(SETUP!$B$19:$B$503=B32)*(SETUP!$D$19:$D$503=D32),0))))="At delivery",IF((INDEX(SETUP!$G$19:$G$503,(MATCH(1,(SETUP!$B$19:$B$503=B32)*(SETUP!$D$19:$D$503=D32),0))))=4,(SUMPRODUCT(('C19RM 2021-Lab &amp; Other HPS'!$A$336:$D$435=E32)*('C19RM 2021-Lab &amp; Other HPS'!$BH$336:$BH$435=BJ32)*('C19RM 2021-Lab &amp; Other HPS'!$BS$336:$BS$435)*(('C19RM 2021-Lab &amp; Other HPS'!$AV$336:$AV$435)))),IF((INDEX(SETUP!$G$19:$G$503,(MATCH(1,(SETUP!$B$19:$B$503=B32)*(SETUP!$D$19:$D$503=D32),0))))=3,(0),IF((INDEX(SETUP!$G$19:$G$503,(MATCH(1,(SETUP!$B$19:$B$503=B32)*(SETUP!$D$19:$D$503=D32),0))))=2,(0),IF((INDEX(SETUP!$G$19:$G$503,(MATCH(1,(SETUP!$B$19:$B$503=B32)*(SETUP!$D$19:$D$503=D32),0))))=1,(0),0)))),0)))</f>
        <v>0</v>
      </c>
      <c r="AP32" s="359"/>
      <c r="AQ32" s="359"/>
      <c r="AR32" s="359"/>
      <c r="AS32" s="359"/>
      <c r="AT32" s="359" cm="1">
        <f t="array" ref="AT32">IF(BG32&gt;=1,0,IFERROR(SUMPRODUCT(($R$2:$AO$2=$AT$4)*($E$5:$E$100=E32)*($BC$5:$BC$100=BC32)*($R$5:$AO$100)),0))</f>
        <v>0</v>
      </c>
      <c r="AU32" s="359" cm="1">
        <f t="array" ref="AU32">IF(BG32&gt;=1,0,IFERROR(SUMPRODUCT(($R$2:$AO$2=$AU$4)*($E$5:$E$100=E32)*($BC$5:$BC$100=BC32)*($R$5:$AO$100)),0))</f>
        <v>0</v>
      </c>
      <c r="AV32" s="359" cm="1">
        <f t="array" ref="AV32">IF(BG32&gt;=1,0,IFERROR(SUMPRODUCT(($R$2:$AO$2=$AV$4)*($E$5:$E$100=E32)*($BC$5:$BC$100=BC32)*($R$5:$AO$100)),0))</f>
        <v>0</v>
      </c>
      <c r="AW32" s="359" cm="1">
        <f t="array" ref="AW32">IF(BG32&gt;=1,0,IFERROR(SUMPRODUCT(($R$2:$AO$2=$AW$4)*($E$5:$E$100=E32)*($BC$5:$BC$100=BC32)*($R$5:$AO$100)),0))</f>
        <v>0</v>
      </c>
      <c r="AX32" s="359" cm="1">
        <f t="array" ref="AX32">IF(BG32&gt;=1,0,IFERROR(SUMPRODUCT(($R$2:$AO$2=$AX$4)*($E$5:$E$100=E32)*($BC$5:$BC$100=BC32)*($R$5:$AO$100)),0))</f>
        <v>0</v>
      </c>
      <c r="AY32" s="945">
        <f t="shared" si="5"/>
        <v>0</v>
      </c>
      <c r="AZ32" s="945"/>
      <c r="BA32" s="946">
        <f t="shared" si="6"/>
        <v>0</v>
      </c>
      <c r="BB32" s="944" t="s">
        <v>83</v>
      </c>
      <c r="BC32" s="9" t="s">
        <v>183</v>
      </c>
      <c r="BD32" s="9" cm="1">
        <f t="array" ref="BD32">(SUMPRODUCT(('C19RM 2021-Lab &amp; Other HPS'!$A$14:$D$650=E32)*('C19RM 2021-Lab &amp; Other HPS'!$BU$14:$BU$650)))</f>
        <v>0</v>
      </c>
      <c r="BE32" s="9" cm="1">
        <f t="array" ref="BE32">(SUMPRODUCT((SETUP!$D$20:$D$67=D32)*(SETUP!$R$20:$R$67)))</f>
        <v>0</v>
      </c>
      <c r="BF32" s="9" cm="1">
        <f t="array" ref="BF32">(SUMPRODUCT(('C19RM 2021-Lab &amp; Other HPS'!$A$14:$D$650=E32)*('C19RM 2021-Lab &amp; Other HPS'!$BV$14:$BV$650)))</f>
        <v>0</v>
      </c>
      <c r="BG32" s="9">
        <f t="shared" si="26"/>
        <v>0</v>
      </c>
      <c r="BJ32" s="943">
        <v>6.6</v>
      </c>
    </row>
    <row r="33" spans="1:62" x14ac:dyDescent="0.35">
      <c r="A33" s="235">
        <v>5</v>
      </c>
      <c r="B33" s="220" t="s">
        <v>2750</v>
      </c>
      <c r="C33" s="235" t="s">
        <v>3035</v>
      </c>
      <c r="D33" s="947" t="s">
        <v>28</v>
      </c>
      <c r="E33" s="235" t="s">
        <v>28</v>
      </c>
      <c r="F33" s="220">
        <f>SETUP!$E$3</f>
        <v>0</v>
      </c>
      <c r="G33" s="220" t="str">
        <f ca="1">SETUP!$J$5</f>
        <v>NA</v>
      </c>
      <c r="H33" s="220" t="str">
        <f>SETUP!$E$9</f>
        <v>C19RM</v>
      </c>
      <c r="I33" s="232">
        <f t="shared" si="22"/>
        <v>44197</v>
      </c>
      <c r="J33" s="232">
        <f>SETUP!$L$14</f>
        <v>46022</v>
      </c>
      <c r="K33" s="220">
        <f>IFERROR(VLOOKUP(E33,'Master Data-C19RM'!$A$5:$B$35,2,0),0)</f>
        <v>0</v>
      </c>
      <c r="L33">
        <f t="shared" si="23"/>
        <v>0</v>
      </c>
      <c r="M33">
        <f>SETUP!$E$7</f>
        <v>0</v>
      </c>
      <c r="N33">
        <f>SETUP!$F$76</f>
        <v>6.1</v>
      </c>
      <c r="O33" t="str" cm="1">
        <f t="array" ref="O33">INDEX(SETUP!$E$19:$E$503,(MATCH(1,(SETUP!$B$19:$B$503=B33)*(SETUP!$D$19:$D$503=D33),0)))</f>
        <v>PR/SR</v>
      </c>
      <c r="P33" t="str" cm="1">
        <f t="array" ref="P33">INDEX(SETUP!$F$19:$F$503,(MATCH(1,(SETUP!$B$19:$B$503=B33)*(SETUP!$D$19:$D$503=D33),0)))</f>
        <v>At delivery</v>
      </c>
      <c r="Q33" cm="1">
        <f t="array" ref="Q33">INDEX(SETUP!$G$19:$G$503,(MATCH(1,(SETUP!$B$19:$B$503=B33)*(SETUP!$D$19:$D$503=D33),0)))</f>
        <v>1</v>
      </c>
      <c r="R33" s="359" cm="1">
        <f t="array" ref="R33">IF((INDEX(SETUP!$F$19:$F$503,(MATCH(1,(SETUP!$B$19:$B$503=B33)*(SETUP!$D$19:$D$503=D33),0))))="Upfront",(SUMPRODUCT(('C19RM 2021-Lab &amp; Other HPS'!$A$443:$D$542=E33)*('C19RM 2021-Lab &amp; Other HPS'!$BH$443:$BH$542=BJ33)*('C19RM 2021-Lab &amp; Other HPS'!$BO$443:$BO$542)*(('C19RM 2021-Lab &amp; Other HPS'!$Q$443:$Q$542)))),0)</f>
        <v>0</v>
      </c>
      <c r="S33" s="359" cm="1">
        <f t="array" ref="S33">IF((INDEX(SETUP!$F$19:$F$503,(MATCH(1,(SETUP!$B$19:$B$503=B33)*(SETUP!$D$19:$D$503=D33),0))))="Upfront",(SUMPRODUCT(('C19RM 2021-Lab &amp; Other HPS'!$A$443:$D$542=E33)*('C19RM 2021-Lab &amp; Other HPS'!$BH$443:$BH$542=BJ33)*('C19RM 2021-Lab &amp; Other HPS'!$BO$443:$BO$542)*(('C19RM 2021-Lab &amp; Other HPS'!$R$443:$R$542)))),(IF((INDEX(SETUP!$F$19:$F$503,(MATCH(1,(SETUP!$B$19:$B$503=B33)*(SETUP!$D$19:$D$503=D33),0))))="At delivery",IF((INDEX(SETUP!$G$19:$G$503,(MATCH(1,(SETUP!$B$19:$B$503=B33)*(SETUP!$D$19:$D$503=D33),0))))=1,(SUMPRODUCT(('C19RM 2021-Lab &amp; Other HPS'!$A$443:$D$542=E33)*('C19RM 2021-Lab &amp; Other HPS'!$BH$443:$BH$542=BJ33)*('C19RM 2021-Lab &amp; Other HPS'!$BO$443:$BO$542)*(('C19RM 2021-Lab &amp; Other HPS'!$Q$443:$Q$542)))),0),0)))</f>
        <v>0</v>
      </c>
      <c r="T33" s="359" cm="1">
        <f t="array" ref="T33">IF((INDEX(SETUP!$F$19:$F$503,(MATCH(1,(SETUP!$B$19:$B$503=B33)*(SETUP!$D$19:$D$503=D33),0))))="Upfront",(SUMPRODUCT(('C19RM 2021-Lab &amp; Other HPS'!$A$443:$D$542=E33)*('C19RM 2021-Lab &amp; Other HPS'!$BH$443:$BH$542=BJ33)*('C19RM 2021-Lab &amp; Other HPS'!$BO$443:$BO$542)*(('C19RM 2021-Lab &amp; Other HPS'!$S$443:$S$542)))),(IF((INDEX(SETUP!$F$19:$F$503,(MATCH(1,(SETUP!$B$19:$B$503=B33)*(SETUP!$D$19:$D$503=D33),0))))="At delivery",IF((INDEX(SETUP!$G$19:$G$503,(MATCH(1,(SETUP!$B$19:$B$503=B33)*(SETUP!$D$19:$D$503=D33),0))))=2,(SUMPRODUCT(('C19RM 2021-Lab &amp; Other HPS'!$A$443:$D$542=E33)*('C19RM 2021-Lab &amp; Other HPS'!$BH$443:$BH$542=BJ33)*('C19RM 2021-Lab &amp; Other HPS'!$BO$443:$BO$542)*(('C19RM 2021-Lab &amp; Other HPS'!$Q$443:$Q$542)))),IF((INDEX(SETUP!$G$19:$G$503,(MATCH(1,(SETUP!$B$19:$B$503=B33)*(SETUP!$D$19:$D$503=D33),0))))=1,(SUMPRODUCT(('C19RM 2021-Lab &amp; Other HPS'!$A$443:$D$542=E33)*('C19RM 2021-Lab &amp; Other HPS'!$BH$443:$BH$542=BJ33)*('C19RM 2021-Lab &amp; Other HPS'!$BO$443:$BO$542)*(('C19RM 2021-Lab &amp; Other HPS'!$R$443:$R$542)))),0)),0)))</f>
        <v>0</v>
      </c>
      <c r="U33" s="359" cm="1">
        <f t="array" ref="U33">IF((INDEX(SETUP!$F$19:$F$503,(MATCH(1,(SETUP!$B$19:$B$503=B33)*(SETUP!$D$19:$D$503=D33),0))))="Upfront",(SUMPRODUCT(('C19RM 2021-Lab &amp; Other HPS'!$A$443:$D$542=E33)*('C19RM 2021-Lab &amp; Other HPS'!$BH$443:$BH$542=BJ33)*('C19RM 2021-Lab &amp; Other HPS'!$BO$443:$BO$542)*(('C19RM 2021-Lab &amp; Other HPS'!$T$443:$T$542)))),(IF((INDEX(SETUP!$F$19:$F$503,(MATCH(1,(SETUP!$B$19:$B$503=B33)*(SETUP!$D$19:$D$503=D33),0))))="At delivery",IF((INDEX(SETUP!$G$19:$G$503,(MATCH(1,(SETUP!$B$19:$B$503=B33)*(SETUP!$D$19:$D$503=D33),0))))=3,(SUMPRODUCT(('C19RM 2021-Lab &amp; Other HPS'!$A$443:$D$542=E33)*('C19RM 2021-Lab &amp; Other HPS'!$BH$443:$BH$542=BJ33)*('C19RM 2021-Lab &amp; Other HPS'!$BO$443:$BO$542)*(('C19RM 2021-Lab &amp; Other HPS'!$Q$443:$Q$542)))),IF((INDEX(SETUP!$G$19:$G$503,(MATCH(1,(SETUP!$B$19:$B$503=B33)*(SETUP!$D$19:$D$503=D33),0))))=2,(SUMPRODUCT(('C19RM 2021-Lab &amp; Other HPS'!$A$443:$D$542=E33)*('C19RM 2021-Lab &amp; Other HPS'!$BH$443:$BH$542=BJ33)*('C19RM 2021-Lab &amp; Other HPS'!$BO$443:$BO$542)*(('C19RM 2021-Lab &amp; Other HPS'!$R$443:$R$542)))),IF((INDEX(SETUP!$G$19:$G$503,(MATCH(1,(SETUP!$B$19:$B$503=B33)*(SETUP!$D$19:$D$503=D33),0))))=1,(SUMPRODUCT(('C19RM 2021-Lab &amp; Other HPS'!$A$443:$D$542=E33)*('C19RM 2021-Lab &amp; Other HPS'!$BH$443:$BH$542=BJ33)*('C19RM 2021-Lab &amp; Other HPS'!$BO$443:$BO$542)*(('C19RM 2021-Lab &amp; Other HPS'!$S$443:$S$542)))),0))),0)))</f>
        <v>0</v>
      </c>
      <c r="V33" s="359" cm="1">
        <f t="array" ref="V33">IF((INDEX(SETUP!$F$19:$F$503,(MATCH(1,(SETUP!$B$19:$B$503=B33)*(SETUP!$D$19:$D$503=D33),0))))="Upfront",(SUMPRODUCT(('C19RM 2021-Lab &amp; Other HPS'!$A$443:$D$542=E33)*('C19RM 2021-Lab &amp; Other HPS'!$BH$443:$BH$542=BJ33)*('C19RM 2021-Lab &amp; Other HPS'!$BP$443:$BP$542)*(('C19RM 2021-Lab &amp; Other HPS'!$X$443:$X$542)))),(IF((INDEX(SETUP!$F$19:$F$503,(MATCH(1,(SETUP!$B$19:$B$503=B33)*(SETUP!$D$19:$D$503=D33),0))))="At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HPS'!$Q$443:$Q$542)))),IF((INDEX(SETUP!$G$19:$G$503,(MATCH(1,(SETUP!$B$19:$B$503=B33)*(SETUP!$D$19:$D$503=D33),0))))=3,(SUMPRODUCT(('C19RM 2021-Lab &amp; Other HPS'!$A$443:$D$542=E33)*('C19RM 2021-Lab &amp; Other HPS'!$BH$443:$BH$542=BJ33)*('C19RM 2021-Lab &amp; Other HPS'!$BO$443:$BO$542)*(('C19RM 2021-Lab &amp; Other HPS'!$R$443:$R$542)))),IF((INDEX(SETUP!$G$19:$G$503,(MATCH(1,(SETUP!$B$19:$B$503=B33)*(SETUP!$D$19:$D$503=D33),0))))=2,(SUMPRODUCT(('C19RM 2021-Lab &amp; Other HPS'!$A$443:$D$542=E33)*('C19RM 2021-Lab &amp; Other HPS'!$BH$443:$BH$542=BJ33)*('C19RM 2021-Lab &amp; Other HPS'!$BO$443:$BO$542)*(('C19RM 2021-Lab &amp; Other HPS'!$S$443:$S$542)))),IF((INDEX(SETUP!$G$19:$G$503,(MATCH(1,(SETUP!$B$19:$B$503=B33)*(SETUP!$D$19:$D$503=D33),0))))=1,(SUMPRODUCT(('C19RM 2021-Lab &amp; Other HPS'!$A$443:$D$542=E33)*('C19RM 2021-Lab &amp; Other HPS'!$BH$443:$BH$542=BJ33)*('C19RM 2021-Lab &amp; Other HPS'!$BO$443:$BO$542)*(('C19RM 2021-Lab &amp; Other HPS'!$T$443:$T$542)))),0)))),0)))</f>
        <v>0</v>
      </c>
      <c r="W33" s="359" cm="1">
        <f t="array" ref="W33">IF((INDEX(SETUP!$F$19:$F$503,(MATCH(1,(SETUP!$B$19:$B$503=B33)*(SETUP!$D$19:$D$503=D33),0))))="Upfront",(SUMPRODUCT(('C19RM 2021-Lab &amp; Other HPS'!$A$443:$D$542=E33)*('C19RM 2021-Lab &amp; Other HPS'!$BH$443:$BH$542=BJ33)*('C19RM 2021-Lab &amp; Other HPS'!$BP$443:$BP$542)*(('C19RM 2021-Lab &amp; Other HPS'!$Y$443:$Y$542)))),(IF((INDEX(SETUP!$F$19:$F$503,(MATCH(1,(SETUP!$B$19:$B$503=B33)*(SETUP!$D$19:$D$503=D33),0))))="At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HPS'!$R$443:$R$542)))),IF((INDEX(SETUP!$G$19:$G$503,(MATCH(1,(SETUP!$B$19:$B$503=B33)*(SETUP!$D$19:$D$503=D33),0))))=3,(SUMPRODUCT(('C19RM 2021-Lab &amp; Other HPS'!$A$443:$D$542=E33)*('C19RM 2021-Lab &amp; Other HPS'!$BH$443:$BH$542=BJ33)*('C19RM 2021-Lab &amp; Other HPS'!$BO$443:$BO$542)*(('C19RM 2021-Lab &amp; Other HPS'!$S$443:$S$542)))),IF((INDEX(SETUP!$G$19:$G$503,(MATCH(1,(SETUP!$B$19:$B$503=B33)*(SETUP!$D$19:$D$503=D33),0))))=2,((SUMPRODUCT(('C19RM 2021-Lab &amp; Other HPS'!$A$443:$D$542=E33)*('C19RM 2021-Lab &amp; Other HPS'!$BH$443:$BH$542=BJ33)*('C19RM 2021-Lab &amp; Other HPS'!$BO$443:$BO$542)*(('C19RM 2021-Lab &amp; Other HPS'!$T$443:$T$542))))),IF((INDEX(SETUP!$G$19:$G$503,(MATCH(1,(SETUP!$B$19:$B$503=B33)*(SETUP!$D$19:$D$503=D33),0))))=1,(SUMPRODUCT(('C19RM 2021-Lab &amp; Other HPS'!$A$443:$D$542=E33)*('C19RM 2021-Lab &amp; Other HPS'!$BH$443:$BH$542=BJ33)*('C19RM 2021-Lab &amp; Other HPS'!$BP$443:$BP$542)*(('C19RM 2021-Lab &amp; Other HPS'!$X$443:$X$542)))),0)))),0)))</f>
        <v>0</v>
      </c>
      <c r="X33" s="359" cm="1">
        <f t="array" ref="X33">IF((INDEX(SETUP!$F$19:$F$503,(MATCH(1,(SETUP!$B$19:$B$503=B33)*(SETUP!$D$19:$D$503=D33),0))))="Upfront",(SUMPRODUCT(('C19RM 2021-Lab &amp; Other HPS'!$A$443:$D$542=E33)*('C19RM 2021-Lab &amp; Other HPS'!$BH$443:$BH$542=BJ33)*('C19RM 2021-Lab &amp; Other HPS'!$BP$443:$BP$542)*(('C19RM 2021-Lab &amp; Other HPS'!$Z$443:$Z$542)))),(IF((INDEX(SETUP!$F$19:$F$503,(MATCH(1,(SETUP!$B$19:$B$503=B33)*(SETUP!$D$19:$D$503=D33),0))))="At delivery",IF((INDEX(SETUP!$G$19:$G$503,(MATCH(1,(SETUP!$B$19:$B$503=B33)*(SETUP!$D$19:$D$503=D33),0))))=4,(SUMPRODUCT(('C19RM 2021-Lab &amp; Other HPS'!$A$443:$D$542=E33)*('C19RM 2021-Lab &amp; Other HPS'!$BH$443:$BH$542=BJ33)*('C19RM 2021-Lab &amp; Other HPS'!$BO$443:$BO$542)*(('C19RM 2021-Lab &amp; Other HPS'!$S$443:$S$542)))),IF((INDEX(SETUP!$G$19:$G$503,(MATCH(1,(SETUP!$B$19:$B$503=B33)*(SETUP!$D$19:$D$503=D33),0))))=3,((SUMPRODUCT(('C19RM 2021-Lab &amp; Other HPS'!$A$443:$D$542=E33)*('C19RM 2021-Lab &amp; Other HPS'!$BH$443:$BH$542=BJ33)*('C19RM 2021-Lab &amp; Other HPS'!$BO$443:$BO$542)*(('C19RM 2021-Lab &amp; Other HPS'!$T$443:$T$542))))),IF((INDEX(SETUP!$G$19:$G$503,(MATCH(1,(SETUP!$B$19:$B$503=B33)*(SETUP!$D$19:$D$503=D33),0))))=2,(SUMPRODUCT(('C19RM 2021-Lab &amp; Other HPS'!$A$443:$D$542=E33)*('C19RM 2021-Lab &amp; Other HPS'!$BH$443:$BH$542=BJ33)*('C19RM 2021-Lab &amp; Other HPS'!$BP$443:$BP$542)*(('C19RM 2021-Lab &amp; Other HPS'!$X$443:$X$542)))),IF((INDEX(SETUP!$G$19:$G$503,(MATCH(1,(SETUP!$B$19:$B$503=B33)*(SETUP!$D$19:$D$503=D33),0))))=1,(SUMPRODUCT(('C19RM 2021-Lab &amp; Other HPS'!$A$443:$D$542=E33)*('C19RM 2021-Lab &amp; Other HPS'!$BH$443:$BH$542=BJ33)*('C19RM 2021-Lab &amp; Other HPS'!$BP$443:$BP$542)*(('C19RM 2021-Lab &amp; Other HPS'!$Y$443:$Y$542)))),0)))),0)))</f>
        <v>0</v>
      </c>
      <c r="Y33" s="359" cm="1">
        <f t="array" ref="Y33">IF((INDEX(SETUP!$F$19:$F$503,(MATCH(1,(SETUP!$B$19:$B$503=B33)*(SETUP!$D$19:$D$503=D33),0))))="Upfront",
(SUMPRODUCT(('C19RM 2021-Lab &amp; Other HPS'!$A$443:$D$542=E33)*('C19RM 2021-Lab &amp; Other HPS'!$BH$443:$BH$542=BJ33)*('C19RM 2021-Lab &amp; Other HPS'!$BP$443:$BP$542)*(('C19RM 2021-Lab &amp; Other HPS'!$AA$443:$AA$542)))),
(IF((INDEX(SETUP!$F$19:$F$503,(MATCH(1,(SETUP!$B$19:$B$503=B33)*(SETUP!$D$19:$D$503=D33),0))))="At delivery",
IF((INDEX(SETUP!$G$19:$G$503,(MATCH(1,(SETUP!$B$19:$B$503=B33)*(SETUP!$D$19:$D$503=D33),0))))=4,
((SUMPRODUCT(('C19RM 2021-Lab &amp; Other HPS'!$A$443:$D$542=E33)*('C19RM 2021-Lab &amp; Other HPS'!$BH$443:$BH$542=BJ33)*('C19RM 2021-Lab &amp; Other HPS'!$BO$443:$BO$542)*(('C19RM 2021-Lab &amp; Other HPS'!$T$443:$T$542))))),IF((INDEX(SETUP!$G$19:$G$503,(MATCH(1,(SETUP!$B$19:$B$503=B33)*(SETUP!$D$19:$D$503=D33),0))))=3,(SUMPRODUCT(('C19RM 2021-Lab &amp; Other HPS'!$A$443:$D$542=E33)*('C19RM 2021-Lab &amp; Other HPS'!$BH$443:$BH$542=BJ33)*('C19RM 2021-Lab &amp; Other HPS'!$BP$443:$BP$542)*(('C19RM 2021-Lab &amp; Other HPS'!$X$443:$X$542)))),IF((INDEX(SETUP!$G$19:$G$503,(MATCH(1,(SETUP!$B$19:$B$503=B33)*(SETUP!$D$19:$D$503=D33),0))))=2,(SUMPRODUCT(('C19RM 2021-Lab &amp; Other HPS'!$A$443:$D$542=E33)*('C19RM 2021-Lab &amp; Other HPS'!$BH$443:$BH$542=BJ33)*('C19RM 2021-Lab &amp; Other HPS'!$BP$443:$BP$542)*(('C19RM 2021-Lab &amp; Other HPS'!$Y$443:$Y$542)))),IF((INDEX(SETUP!$G$19:$G$503,(MATCH(1,(SETUP!$B$19:$B$503=B33)*(SETUP!$D$19:$D$503=D33),0))))=1,(SUMPRODUCT(('C19RM 2021-Lab &amp; Other HPS'!$A$443:$D$542=E33)*('C19RM 2021-Lab &amp; Other HPS'!$BH$443:$BH$542=BJ33)*('C19RM 2021-Lab &amp; Other HPS'!$BP$443:$BP$542)*(('C19RM 2021-Lab &amp; Other HPS'!$Z$443:$Z$542)))),0)))),0)))</f>
        <v>0</v>
      </c>
      <c r="Z33" s="359" cm="1">
        <f t="array" ref="Z33">IF((INDEX(SETUP!$F$19:$F$503,(MATCH(1,(SETUP!$B$19:$B$503=B33)*(SETUP!$D$19:$D$503=D33),0))))="Upfront",(SUMPRODUCT(('C19RM 2021-Lab &amp; Other HPS'!$A$443:$D$542=E33)*('C19RM 2021-Lab &amp; Other HPS'!$BH$443:$BH$542=BJ33)*('C19RM 2021-Lab &amp; Other HPS'!$BQ$443:$BQ$542)*(('C19RM 2021-Lab &amp; Other HPS'!$AE$443:$AE$542)))),(IF((INDEX(SETUP!$F$19:$F$503,(MATCH(1,(SETUP!$B$19:$B$503=B33)*(SETUP!$D$19:$D$503=D33),0))))="At delivery",IF((INDEX(SETUP!$G$19:$G$503,(MATCH(1,(SETUP!$B$19:$B$503=B33)*(SETUP!$D$19:$D$503=D33),0))))=4,(SUMPRODUCT(('C19RM 2021-Lab &amp; Other HPS'!$A$443:$D$542=E33)*('C19RM 2021-Lab &amp; Other HPS'!$BH$443:$BH$542=BJ33)*('C19RM 2021-Lab &amp; Other HPS'!$BP$443:$BP$542)*(('C19RM 2021-Lab &amp; Other HPS'!$X$443:$X$542)))),IF((INDEX(SETUP!$G$19:$G$503,(MATCH(1,(SETUP!$B$19:$B$503=B33)*(SETUP!$D$19:$D$503=D33),0))))=3,(SUMPRODUCT(('C19RM 2021-Lab &amp; Other HPS'!$A$443:$D$542=E33)*('C19RM 2021-Lab &amp; Other HPS'!$BH$443:$BH$542=BJ33)*('C19RM 2021-Lab &amp; Other HPS'!$BP$443:$BP$542)*(('C19RM 2021-Lab &amp; Other HPS'!$Y$443:$Y$542)))),IF((INDEX(SETUP!$G$19:$G$503,(MATCH(1,(SETUP!$B$19:$B$503=B33)*(SETUP!$D$19:$D$503=D33),0))))=2,(SUMPRODUCT(('C19RM 2021-Lab &amp; Other HPS'!$A$443:$D$542=E33)*('C19RM 2021-Lab &amp; Other HPS'!$BH$443:$BH$542=BJ33)*('C19RM 2021-Lab &amp; Other HPS'!$BP$443:$BP$542)*(('C19RM 2021-Lab &amp; Other HPS'!$Z$443:$Z$542)))),IF((INDEX(SETUP!$G$19:$G$503,(MATCH(1,(SETUP!$B$19:$B$503=B33)*(SETUP!$D$19:$D$503=D33),0))))=1,(SUMPRODUCT(('C19RM 2021-Lab &amp; Other HPS'!$A$443:$D$542=E33)*('C19RM 2021-Lab &amp; Other HPS'!$BH$443:$BH$542=BJ33)*('C19RM 2021-Lab &amp; Other HPS'!$BP$443:$BP$542)*(('C19RM 2021-Lab &amp; Other HPS'!$AA$443:$AA$542)))),0)))),0)))</f>
        <v>0</v>
      </c>
      <c r="AA33" s="359" cm="1">
        <f t="array" ref="AA33">IF((INDEX(SETUP!$F$19:$F$503,(MATCH(1,(SETUP!$B$19:$B$503=B33)*(SETUP!$D$19:$D$503=D33),0))))="Upfront",(SUMPRODUCT(('C19RM 2021-Lab &amp; Other HPS'!$A$443:$D$542=E33)*('C19RM 2021-Lab &amp; Other HPS'!$BH$443:$BH$542=BJ33)*('C19RM 2021-Lab &amp; Other HPS'!$BQ$443:$BQ$542)*(('C19RM 2021-Lab &amp; Other HPS'!$AF$443:$AF$542)))),(IF((INDEX(SETUP!$F$19:$F$503,(MATCH(1,(SETUP!$B$19:$B$503=B33)*(SETUP!$D$19:$D$503=D33),0))))="At delivery",IF((INDEX(SETUP!$G$19:$G$503,(MATCH(1,(SETUP!$B$19:$B$503=B33)*(SETUP!$D$19:$D$503=D33),0))))=4,(SUMPRODUCT(('C19RM 2021-Lab &amp; Other HPS'!$A$443:$D$542=E33)*('C19RM 2021-Lab &amp; Other HPS'!$BH$443:$BH$542=BJ33)*('C19RM 2021-Lab &amp; Other HPS'!$BP$443:$BP$542)*(('C19RM 2021-Lab &amp; Other HPS'!$Y$443:$Y$542)))),IF((INDEX(SETUP!$G$19:$G$503,(MATCH(1,(SETUP!$B$19:$B$503=B33)*(SETUP!$D$19:$D$503=D33),0))))=3,(SUMPRODUCT(('C19RM 2021-Lab &amp; Other HPS'!$A$443:$D$542=E33)*('C19RM 2021-Lab &amp; Other HPS'!$BH$443:$BH$542=BJ33)*('C19RM 2021-Lab &amp; Other HPS'!$BP$443:$BP$542)*(('C19RM 2021-Lab &amp; Other HPS'!$Z$443:$Z$542)))),IF((INDEX(SETUP!$G$19:$G$503,(MATCH(1,(SETUP!$B$19:$B$503=B33)*(SETUP!$D$19:$D$503=D33),0))))=2,((SUMPRODUCT(('C19RM 2021-Lab &amp; Other HPS'!$A$443:$D$542=E33)*('C19RM 2021-Lab &amp; Other HPS'!$BH$443:$BH$542=BJ33)*('C19RM 2021-Lab &amp; Other HPS'!$BP$443:$BP$542)*(('C19RM 2021-Lab &amp; Other HPS'!$AA$443:$AA$542))))),IF((INDEX(SETUP!$G$19:$G$503,(MATCH(1,(SETUP!$B$19:$B$503=B33)*(SETUP!$D$19:$D$503=D33),0))))=1,(SUMPRODUCT(('C19RM 2021-Lab &amp; Other HPS'!$A$443:$D$542=E33)*('C19RM 2021-Lab &amp; Other HPS'!$BH$443:$BH$542=BJ33)*('C19RM 2021-Lab &amp; Other HPS'!$BQ$443:$BQ$542)*(('C19RM 2021-Lab &amp; Other HPS'!$AE$443:$AE$542)))),0)))),0)))</f>
        <v>0</v>
      </c>
      <c r="AB33" s="359" cm="1">
        <f t="array" ref="AB33">IF((INDEX(SETUP!$F$19:$F$503,(MATCH(1,(SETUP!$B$19:$B$503=B33)*(SETUP!$D$19:$D$503=D33),0))))="Upfront",
(SUMPRODUCT(('C19RM 2021-Lab &amp; Other HPS'!$A$443:$D$542=E33)*('C19RM 2021-Lab &amp; Other HPS'!$BH$443:$BH$542=BJ33)*('C19RM 2021-Lab &amp; Other HPS'!$BQ$443:$BQ$542)*(('C19RM 2021-Lab &amp; Other HPS'!$AG$443:$AG$542)))),
(IF((INDEX(SETUP!$F$19:$F$503,(MATCH(1,(SETUP!$B$19:$B$503=B33)*(SETUP!$D$19:$D$503=D33),0))))="At delivery",
IF((INDEX(SETUP!$G$19:$G$503,(MATCH(1,(SETUP!$B$19:$B$503=B33)*(SETUP!$D$19:$D$503=D33),0))))=4,
(SUMPRODUCT(('C19RM 2021-Lab &amp; Other HPS'!$A$443:$D$542=E33)*('C19RM 2021-Lab &amp; Other HPS'!$BH$443:$BH$542=BJ33)*('C19RM 2021-Lab &amp; Other HPS'!$BP$443:$BP$542)*(('C19RM 2021-Lab &amp; Other HPS'!$Z$443:$Z$542)))),IF((INDEX(SETUP!$G$19:$G$503,(MATCH(1,(SETUP!$B$19:$B$503=B33)*(SETUP!$D$19:$D$503=D33),0))))=3,(SUMPRODUCT(('C19RM 2021-Lab &amp; Other HPS'!$A$443:$D$542=E33)*('C19RM 2021-Lab &amp; Other HPS'!$BH$443:$BH$542=BJ33)*('C19RM 2021-Lab &amp; Other HPS'!$BP$443:$BP$542)*(('C19RM 2021-Lab &amp; Other HPS'!$AA$443:$AA$542)))),IF((INDEX(SETUP!$G$19:$G$503,(MATCH(1,(SETUP!$B$19:$B$503=B33)*(SETUP!$D$19:$D$503=D33),0))))=2,(SUMPRODUCT(('C19RM 2021-Lab &amp; Other HPS'!$A$443:$D$542=E33)*('C19RM 2021-Lab &amp; Other HPS'!$BH$443:$BH$542=BJ33)*('C19RM 2021-Lab &amp; Other HPS'!$BQ$443:$BQ$542)*(('C19RM 2021-Lab &amp; Other HPS'!$AE$443:$AE$542)))),IF((INDEX(SETUP!$G$19:$G$503,(MATCH(1,(SETUP!$B$19:$B$503=B33)*(SETUP!$D$19:$D$503=D33),0))))=1,(SUMPRODUCT(('C19RM 2021-Lab &amp; Other HPS'!$A$443:$D$542=E33)*('C19RM 2021-Lab &amp; Other HPS'!$BH$443:$BH$542=BJ33)*('C19RM 2021-Lab &amp; Other HPS'!$BQ$443:$BQ$542)*(('C19RM 2021-Lab &amp; Other HPS'!$AF$443:$AF$542)))),0)))),0)))</f>
        <v>0</v>
      </c>
      <c r="AC33" s="359" cm="1">
        <f t="array" ref="AC33">IF((INDEX(SETUP!$F$19:$F$503,(MATCH(1,(SETUP!$B$19:$B$503=B33)*(SETUP!$D$19:$D$503=D33),0))))="Upfront",
(SUMPRODUCT(('C19RM 2021-Lab &amp; Other HPS'!$A$443:$D$542=E33)*('C19RM 2021-Lab &amp; Other HPS'!$BH$443:$BH$542=BJ33)*('C19RM 2021-Lab &amp; Other HPS'!$BQ$443:$BQ$542)*(('C19RM 2021-Lab &amp; Other HPS'!$AH$443:$AH$542)))),
(IF((INDEX(SETUP!$F$19:$F$503,(MATCH(1,(SETUP!$B$19:$B$503=B33)*(SETUP!$D$19:$D$503=D33),0))))="At delivery",
IF((INDEX(SETUP!$G$19:$G$503,(MATCH(1,(SETUP!$B$19:$B$503=B33)*(SETUP!$D$19:$D$503=D33),0))))=4,
(SUMPRODUCT(('C19RM 2021-Lab &amp; Other HPS'!$A$443:$D$542=E33)*('C19RM 2021-Lab &amp; Other HPS'!$BH$443:$BH$542=BJ33)*('C19RM 2021-Lab &amp; Other HPS'!$BP$443:$BP$542)*(('C19RM 2021-Lab &amp; Other HPS'!$AA$443:$AA$542)))),IF((INDEX(SETUP!$G$19:$G$503,(MATCH(1,(SETUP!$B$19:$B$503=B33)*(SETUP!$D$19:$D$503=D33),0))))=3,(SUMPRODUCT(('C19RM 2021-Lab &amp; Other HPS'!$A$443:$D$542=E33)*('C19RM 2021-Lab &amp; Other HPS'!$BH$443:$BH$542=BJ33)*('C19RM 2021-Lab &amp; Other HPS'!$BQ$443:$BQ$542)*(('C19RM 2021-Lab &amp; Other HPS'!$AE$443:$AE$542)))),IF((INDEX(SETUP!$G$19:$G$503,(MATCH(1,(SETUP!$B$19:$B$503=B33)*(SETUP!$D$19:$D$503=D33),0))))=2,(SUMPRODUCT(('C19RM 2021-Lab &amp; Other HPS'!$A$443:$D$542=E33)*('C19RM 2021-Lab &amp; Other HPS'!$BH$443:$BH$542=BJ33)*('C19RM 2021-Lab &amp; Other HPS'!$BQ$443:$BQ$542)*(('C19RM 2021-Lab &amp; Other HPS'!$AF$443:$AF$542)))),IF((INDEX(SETUP!$G$19:$G$503,(MATCH(1,(SETUP!$B$19:$B$503=B33)*(SETUP!$D$19:$D$503=D33),0))))=1,(SUMPRODUCT(('C19RM 2021-Lab &amp; Other HPS'!$A$443:$D$542=E33)*('C19RM 2021-Lab &amp; Other HPS'!$BH$443:$BH$542=BJ33)*('C19RM 2021-Lab &amp; Other HPS'!$BQ$443:$BQ$542)*(('C19RM 2021-Lab &amp; Other HPS'!$AG$443:$AG$542)))),0)))),0)))</f>
        <v>0</v>
      </c>
      <c r="AD33" s="359" cm="1">
        <f t="array" ref="AD33">IF((INDEX(SETUP!$F$19:$F$503,(MATCH(1,(SETUP!$B$19:$B$503=B33)*(SETUP!$D$19:$D$503=D33),0))))="Upfront",
(SUMPRODUCT(('C19RM 2021-Lab &amp; Other HPS'!$A$443:$D$542=E33)*('C19RM 2021-Lab &amp; Other HPS'!$BH$443:$BH$542=BJ33)*('C19RM 2021-Lab &amp; Other HPS'!$BR$443:$BR$542)*(('C19RM 2021-Lab &amp; Other HPS'!$AL$443:$AL$542)))),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HPS'!$AE$443:$AE$542)))),IF((INDEX(SETUP!$G$19:$G$503,(MATCH(1,(SETUP!$B$19:$B$503=B33)*(SETUP!$D$19:$D$503=D33),0))))=3,((SUMPRODUCT(('C19RM 2021-Lab &amp; Other HPS'!$A$443:$D$542=E33)*('C19RM 2021-Lab &amp; Other HPS'!$BH$443:$BH$542=BJ33)*('C19RM 2021-Lab &amp; Other HPS'!$BQ$443:$BQ$542)*(('C19RM 2021-Lab &amp; Other HPS'!$AF$443:$AF$542))))),IF((INDEX(SETUP!$G$19:$G$503,(MATCH(1,(SETUP!$B$19:$B$503=B33)*(SETUP!$D$19:$D$503=D33),0))))=2,(SUMPRODUCT(('C19RM 2021-Lab &amp; Other HPS'!$A$443:$D$542=E33)*('C19RM 2021-Lab &amp; Other HPS'!$BH$443:$BH$542=BJ33)*('C19RM 2021-Lab &amp; Other HPS'!$BQ$443:$BQ$542)*(('C19RM 2021-Lab &amp; Other HPS'!$AG$443:$AG$542)))),IF((INDEX(SETUP!$G$19:$G$503,(MATCH(1,(SETUP!$B$19:$B$503=B33)*(SETUP!$D$19:$D$503=D33),0))))=1,(SUMPRODUCT(('C19RM 2021-Lab &amp; Other HPS'!$A$443:$D$542=E33)*('C19RM 2021-Lab &amp; Other HPS'!$BH$443:$BH$542=BJ33)*('C19RM 2021-Lab &amp; Other HPS'!$BQ$443:$BQ$542)*(('C19RM 2021-Lab &amp; Other HPS'!$AH$443:$AH$542)))),0)))),0)))</f>
        <v>0</v>
      </c>
      <c r="AE33" s="359" cm="1">
        <f t="array" ref="AE33">IF((INDEX(SETUP!$F$19:$F$503,(MATCH(1,(SETUP!$B$19:$B$503=B33)*(SETUP!$D$19:$D$503=D33),0))))="Upfront",
(SUMPRODUCT(('C19RM 2021-Lab &amp; Other HPS'!$A$443:$D$542=E33)*('C19RM 2021-Lab &amp; Other HPS'!$BH$443:$BH$542=BJ33)*('C19RM 2021-Lab &amp; Other HPS'!$BR$443:$BR$542)*(('C19RM 2021-Lab &amp; Other HPS'!$AM$443:$AM$542)))),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HPS'!$AF$443:$AF$542)))),IF((INDEX(SETUP!$G$19:$G$503,(MATCH(1,(SETUP!$B$19:$B$503=B33)*(SETUP!$D$19:$D$503=D33),0))))=3,(SUMPRODUCT(('C19RM 2021-Lab &amp; Other HPS'!$A$443:$D$542=E33)*('C19RM 2021-Lab &amp; Other HPS'!$BH$443:$BH$542=BJ33)*('C19RM 2021-Lab &amp; Other HPS'!$BQ$443:$BQ$542)*(('C19RM 2021-Lab &amp; Other HPS'!$AG$443:$AG$542)))),IF((INDEX(SETUP!$G$19:$G$503,(MATCH(1,(SETUP!$B$19:$B$503=B33)*(SETUP!$D$19:$D$503=D33),0))))=2,(SUMPRODUCT(('C19RM 2021-Lab &amp; Other HPS'!$A$443:$D$542=E33)*('C19RM 2021-Lab &amp; Other HPS'!$BH$443:$BH$542=BJ33)*('C19RM 2021-Lab &amp; Other HPS'!$BQ$443:$BQ$542)*(('C19RM 2021-Lab &amp; Other HPS'!$AH$443:$AH$542)))),IF((INDEX(SETUP!$G$19:$G$503,(MATCH(1,(SETUP!$B$19:$B$503=B33)*(SETUP!$D$19:$D$503=D33),0))))=1,(SUMPRODUCT(('C19RM 2021-Lab &amp; Other HPS'!$A$443:$D$542=E33)*('C19RM 2021-Lab &amp; Other HPS'!$BH$443:$BH$542=BJ33)*('C19RM 2021-Lab &amp; Other HPS'!$BR$443:$BR$542)*(('C19RM 2021-Lab &amp; Other HPS'!$AL$443:$AL$542)))),0)))),0)))</f>
        <v>0</v>
      </c>
      <c r="AF33" s="359" cm="1">
        <f t="array" ref="AF33">IF((INDEX(SETUP!$F$19:$F$503,(MATCH(1,(SETUP!$B$19:$B$503=B33)*(SETUP!$D$19:$D$503=D33),0))))="Upfront",
(SUMPRODUCT(('C19RM 2021-Lab &amp; Other HPS'!$A$443:$D$542=E33)*('C19RM 2021-Lab &amp; Other HPS'!$BH$443:$BH$542=BJ33)*('C19RM 2021-Lab &amp; Other HPS'!$BR$443:$BR$542)*(('C19RM 2021-Lab &amp; Other HPS'!$AN$443:$AN$542)))),
(IF((INDEX(SETUP!$F$19:$F$503,(MATCH(1,(SETUP!$B$19:$B$503=B33)*(SETUP!$D$19:$D$503=D33),0))))="At delivery",
IF((INDEX(SETUP!$G$19:$G$503,(MATCH(1,(SETUP!$B$19:$B$503=B33)*(SETUP!$D$19:$D$503=D33),0))))=4,
(SUMPRODUCT(('C19RM 2021-Lab &amp; Other HPS'!$A$443:$D$542=E33)*('C19RM 2021-Lab &amp; Other HPS'!$BH$443:$BH$542=BJ33)*('C19RM 2021-Lab &amp; Other HPS'!$BQ$443:$BQ$542)*(('C19RM 2021-Lab &amp; Other HPS'!$AG$443:$AG$542)))),IF((INDEX(SETUP!$G$19:$G$503,(MATCH(1,(SETUP!$B$19:$B$503=B33)*(SETUP!$D$19:$D$503=D33),0))))=3,(SUMPRODUCT(('C19RM 2021-Lab &amp; Other HPS'!$A$443:$D$542=E33)*('C19RM 2021-Lab &amp; Other HPS'!$BH$443:$BH$542=BJ33)*('C19RM 2021-Lab &amp; Other HPS'!$BQ$443:$BQ$542)*(('C19RM 2021-Lab &amp; Other HPS'!$AH$443:$AH$542)))),IF((INDEX(SETUP!$G$19:$G$503,(MATCH(1,(SETUP!$B$19:$B$503=B33)*(SETUP!$D$19:$D$503=D33),0))))=2,(SUMPRODUCT(('C19RM 2021-Lab &amp; Other HPS'!$A$443:$D$542=E33)*('C19RM 2021-Lab &amp; Other HPS'!$BH$443:$BH$542=BJ33)*('C19RM 2021-Lab &amp; Other HPS'!$BR$443:$BR$542)*(('C19RM 2021-Lab &amp; Other HPS'!$AL$443:$AL$542)))),IF((INDEX(SETUP!$G$19:$G$503,(MATCH(1,(SETUP!$B$19:$B$503=B33)*(SETUP!$D$19:$D$503=D33),0))))=1,(SUMPRODUCT(('C19RM 2021-Lab &amp; Other HPS'!$A$443:$D$542=E33)*('C19RM 2021-Lab &amp; Other HPS'!$BH$443:$BH$542=BJ33)*('C19RM 2021-Lab &amp; Other HPS'!$BR$443:$BR$542)*(('C19RM 2021-Lab &amp; Other HPS'!$AM$443:$AM$542)))),0)))),0)))</f>
        <v>0</v>
      </c>
      <c r="AG33" s="359" cm="1">
        <f t="array" ref="AG33">IF((INDEX(SETUP!$F$19:$F$503,(MATCH(1,(SETUP!$B$19:$B$503=B33)*(SETUP!$D$19:$D$503=D33),0))))="Upfront",(SUMPRODUCT(('C19RM 2021-Lab &amp; Other HPS'!$A$443:$D$542=E33)*('C19RM 2021-Lab &amp; Other HPS'!$BH$443:$BH$542=BJ33)*('C19RM 2021-Lab &amp; Other HPS'!$BR$443:$BR$542)*(('C19RM 2021-Lab &amp; Other HPS'!$AO$443:$AO$542)))),(IF((INDEX(SETUP!$F$19:$F$503,(MATCH(1,(SETUP!$B$19:$B$503=B33)*(SETUP!$D$19:$D$503=D33),0))))="At delivery",IF((INDEX(SETUP!$G$19:$G$503,(MATCH(1,(SETUP!$B$19:$B$503=B33)*(SETUP!$D$19:$D$503=D33),0))))=4,(SUMPRODUCT(('C19RM 2021-Lab &amp; Other HPS'!$A$443:$D$542=E33)*('C19RM 2021-Lab &amp; Other HPS'!$BH$443:$BH$542=BJ33)*('C19RM 2021-Lab &amp; Other HPS'!$BQ$443:$BQ$542)*(('C19RM 2021-Lab &amp; Other HPS'!$AH$443:$AH$542)))),IF((INDEX(SETUP!$G$19:$G$503,(MATCH(1,(SETUP!$B$19:$B$503=B33)*(SETUP!$D$19:$D$503=D33),0))))=3,(SUMPRODUCT(('C19RM 2021-Lab &amp; Other HPS'!$A$443:$D$542=E33)*('C19RM 2021-Lab &amp; Other HPS'!$BH$443:$BH$542=BJ33)*('C19RM 2021-Lab &amp; Other HPS'!$BR$443:$BR$542)*(('C19RM 2021-Lab &amp; Other HPS'!$AL$443:$AL$542)))),IF((INDEX(SETUP!$G$19:$G$503,(MATCH(1,(SETUP!$B$19:$B$503=B33)*(SETUP!$D$19:$D$503=D33),0))))=2,(SUMPRODUCT(('C19RM 2021-Lab &amp; Other HPS'!$A$443:$D$542=E33)*('C19RM 2021-Lab &amp; Other HPS'!$BH$443:$BH$542=BJ33)*('C19RM 2021-Lab &amp; Other HPS'!$BR$443:$BR$542)*(('C19RM 2021-Lab &amp; Other HPS'!$AM$443:$AM$542)))),IF((INDEX(SETUP!$G$19:$G$503,(MATCH(1,(SETUP!$B$19:$B$503=B33)*(SETUP!$D$19:$D$503=D33),0))))=1,(SUMPRODUCT(('C19RM 2021-Lab &amp; Other HPS'!$A$443:$D$542=E33)*('C19RM 2021-Lab &amp; Other HPS'!$BH$443:$BH$542=BJ33)*('C19RM 2021-Lab &amp; Other HPS'!$BR$443:$BR$542)*(('C19RM 2021-Lab &amp; Other HPS'!$AN$443:$AN$542)))),0)))),0)))</f>
        <v>0</v>
      </c>
      <c r="AH33" s="359" cm="1">
        <f t="array" ref="AH33">IF((INDEX(SETUP!$F$19:$F$503,(MATCH(1,(SETUP!$B$19:$B$503=B33)*(SETUP!$D$19:$D$503=D33),0))))="Upfront",
(SUMPRODUCT(('C19RM 2021-Lab &amp; Other HPS'!$A$443:$D$542=E33)*('C19RM 2021-Lab &amp; Other HPS'!$BH$443:$BH$542=BJ33)*('C19RM 2021-Lab &amp; Other HPS'!$BS$443:$BS$542)*(('C19RM 2021-Lab &amp; Other HPS'!$AS$443:$AS$542)))),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HPS'!$AL$443:$AL$542)))),IF((INDEX(SETUP!$G$19:$G$503,(MATCH(1,(SETUP!$B$19:$B$503=B33)*(SETUP!$D$19:$D$503=D33),0))))=3,((SUMPRODUCT(('C19RM 2021-Lab &amp; Other HPS'!$A$443:$D$542=E33)*('C19RM 2021-Lab &amp; Other HPS'!$BH$443:$BH$542=BJ33)*('C19RM 2021-Lab &amp; Other HPS'!$BR$443:$BR$542)*(('C19RM 2021-Lab &amp; Other HPS'!$AM$443:$AM$542))))),IF((INDEX(SETUP!$G$19:$G$503,(MATCH(1,(SETUP!$B$19:$B$503=B33)*(SETUP!$D$19:$D$503=D33),0))))=2,(SUMPRODUCT(('C19RM 2021-Lab &amp; Other HPS'!$A$443:$D$542=E33)*('C19RM 2021-Lab &amp; Other HPS'!$BH$443:$BH$542=BJ33)*('C19RM 2021-Lab &amp; Other HPS'!$BR$443:$BR$542)*(('C19RM 2021-Lab &amp; Other HPS'!$AN$443:$AN$542)))),IF((INDEX(SETUP!$G$19:$G$503,(MATCH(1,(SETUP!$B$19:$B$503=B33)*(SETUP!$D$19:$D$503=D33),0))))=1,(SUMPRODUCT(('C19RM 2021-Lab &amp; Other HPS'!$A$443:$D$542=E33)*('C19RM 2021-Lab &amp; Other HPS'!$BH$443:$BH$542=BJ33)*('C19RM 2021-Lab &amp; Other HPS'!$BR$443:$BR$542)*(('C19RM 2021-Lab &amp; Other HPS'!$AO$443:$AO$542)))),0)))),0)))</f>
        <v>0</v>
      </c>
      <c r="AI33" s="359" cm="1">
        <f t="array" ref="AI33">IF((INDEX(SETUP!$F$19:$F$503,(MATCH(1,(SETUP!$B$19:$B$503=B33)*(SETUP!$D$19:$D$503=D33),0))))="Upfront",
(SUMPRODUCT(('C19RM 2021-Lab &amp; Other HPS'!$A$443:$D$542=E33)*('C19RM 2021-Lab &amp; Other HPS'!$BH$443:$BH$542=BJ33)*('C19RM 2021-Lab &amp; Other HPS'!$BS$443:$BS$542)*(('C19RM 2021-Lab &amp; Other HPS'!$AT$443:$AT$542)))),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HPS'!$AM$443:$AM$542)))),IF((INDEX(SETUP!$G$19:$G$503,(MATCH(1,(SETUP!$B$19:$B$503=B33)*(SETUP!$D$19:$D$503=D33),0))))=3,((SUMPRODUCT(('C19RM 2021-Lab &amp; Other HPS'!$A$443:$D$542=E33)*('C19RM 2021-Lab &amp; Other HPS'!$BH$443:$BH$542=BJ33)*('C19RM 2021-Lab &amp; Other HPS'!$BR$443:$BR$542)*(('C19RM 2021-Lab &amp; Other HPS'!$AN$443:$AN$542))))),IF((INDEX(SETUP!$G$19:$G$503,(MATCH(1,(SETUP!$B$19:$B$503=B33)*(SETUP!$D$19:$D$503=D33),0))))=2,(SUMPRODUCT(('C19RM 2021-Lab &amp; Other HPS'!$A$443:$D$542=E33)*('C19RM 2021-Lab &amp; Other HPS'!$BH$443:$BH$542=BJ33)*('C19RM 2021-Lab &amp; Other HPS'!$BR$443:$BR$542)*(('C19RM 2021-Lab &amp; Other HPS'!$AO$443:$AO$542)))),IF((INDEX(SETUP!$G$19:$G$503,(MATCH(1,(SETUP!$B$19:$B$503=B33)*(SETUP!$D$19:$D$503=D33),0))))=1,(SUMPRODUCT(('C19RM 2021-Lab &amp; Other HPS'!$A$443:$D$542=E33)*('C19RM 2021-Lab &amp; Other HPS'!$BH$443:$BH$542=BJ33)*('C19RM 2021-Lab &amp; Other HPS'!$BS$443:$BS$542)*(('C19RM 2021-Lab &amp; Other HPS'!$AS$443:$AS$542)))),0)))),0)))</f>
        <v>0</v>
      </c>
      <c r="AJ33" s="359" cm="1">
        <f t="array" ref="AJ33">IF((INDEX(SETUP!$F$19:$F$503,(MATCH(1,(SETUP!$B$19:$B$503=B33)*(SETUP!$D$19:$D$503=D33),0))))="Upfront",
(SUMPRODUCT(('C19RM 2021-Lab &amp; Other HPS'!$A$443:$D$542=E33)*('C19RM 2021-Lab &amp; Other HPS'!$BH$443:$BH$542=BJ33)*('C19RM 2021-Lab &amp; Other HPS'!$BS$443:$BS$542)*(('C19RM 2021-Lab &amp; Other HPS'!$AU$443:$AU$542)))),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HPS'!$AN$443:$AN$542)))),IF((INDEX(SETUP!$G$19:$G$503,(MATCH(1,(SETUP!$B$19:$B$503=B33)*(SETUP!$D$19:$D$503=D33),0))))=3,((SUMPRODUCT(('C19RM 2021-Lab &amp; Other HPS'!$A$443:$D$542=E33)*('C19RM 2021-Lab &amp; Other HPS'!$BH$443:$BH$542=BJ33)*('C19RM 2021-Lab &amp; Other HPS'!$BR$443:$BR$542)*(('C19RM 2021-Lab &amp; Other HPS'!$AO$443:$AO$542))))),IF((INDEX(SETUP!$G$19:$G$503,(MATCH(1,(SETUP!$B$19:$B$503=B33)*(SETUP!$D$19:$D$503=D33),0))))=2,(SUMPRODUCT(('C19RM 2021-Lab &amp; Other HPS'!$A$443:$D$542=E33)*('C19RM 2021-Lab &amp; Other HPS'!$BH$443:$BH$542=BJ33)*('C19RM 2021-Lab &amp; Other HPS'!$BS$443:$BS$542)*(('C19RM 2021-Lab &amp; Other HPS'!$AS$443:$AS$542)))),IF((INDEX(SETUP!$G$19:$G$503,(MATCH(1,(SETUP!$B$19:$B$503=B33)*(SETUP!$D$19:$D$503=D33),0))))=1,(SUMPRODUCT(('C19RM 2021-Lab &amp; Other HPS'!$A$443:$D$542=E33)*('C19RM 2021-Lab &amp; Other HPS'!$BH$443:$BH$542=BJ33)*('C19RM 2021-Lab &amp; Other HPS'!$BS$443:$BS$542)*(('C19RM 2021-Lab &amp; Other HPS'!$AT$443:$AT$542)))),0)))),0)))</f>
        <v>0</v>
      </c>
      <c r="AK33" s="359" cm="1">
        <f t="array" ref="AK33">IF((INDEX(SETUP!$F$19:$F$503,(MATCH(1,(SETUP!$B$19:$B$503=B33)*(SETUP!$D$19:$D$503=D33),0))))="Upfront",
(SUMPRODUCT(('C19RM 2021-Lab &amp; Other HPS'!$A$443:$D$542=E33)*('C19RM 2021-Lab &amp; Other HPS'!$BH$443:$BH$542=BJ33)*('C19RM 2021-Lab &amp; Other HPS'!$BS$443:$BS$542)*(('C19RM 2021-Lab &amp; Other HPS'!$AV$443:$AV$542)))),
(IF((INDEX(SETUP!$F$19:$F$503,(MATCH(1,(SETUP!$B$19:$B$503=B33)*(SETUP!$D$19:$D$503=D33),0))))="At delivery",
IF((INDEX(SETUP!$G$19:$G$503,(MATCH(1,(SETUP!$B$19:$B$503=B33)*(SETUP!$D$19:$D$503=D33),0))))=4,
(SUMPRODUCT(('C19RM 2021-Lab &amp; Other HPS'!$A$443:$D$542=E33)*('C19RM 2021-Lab &amp; Other HPS'!$BH$443:$BH$542=BJ33)*('C19RM 2021-Lab &amp; Other HPS'!$BR$443:$BR$542)*(('C19RM 2021-Lab &amp; Other HPS'!$AO$443:$AO$542)))),IF((INDEX(SETUP!$G$19:$G$503,(MATCH(1,(SETUP!$B$19:$B$503=B33)*(SETUP!$D$19:$D$503=D33),0))))=3,((SUMPRODUCT(('C19RM 2021-Lab &amp; Other HPS'!$A$443:$D$542=E33)*('C19RM 2021-Lab &amp; Other HPS'!$BH$443:$BH$542=BJ33)*('C19RM 2021-Lab &amp; Other HPS'!$BS$443:$BS$542)*(('C19RM 2021-Lab &amp; Other HPS'!$AS$443:$AS$542))))),IF((INDEX(SETUP!$G$19:$G$503,(MATCH(1,(SETUP!$B$19:$B$503=B33)*(SETUP!$D$19:$D$503=D33),0))))=2,(SUMPRODUCT(('C19RM 2021-Lab &amp; Other HPS'!$A$443:$D$542=E33)*('C19RM 2021-Lab &amp; Other HPS'!$BH$443:$BH$542=BJ33)*('C19RM 2021-Lab &amp; Other HPS'!$BS$443:$BS$542)*(('C19RM 2021-Lab &amp; Other HPS'!$AT$443:$AT$542)))),IF((INDEX(SETUP!$G$19:$G$503,(MATCH(1,(SETUP!$B$19:$B$503=B33)*(SETUP!$D$19:$D$503=D33),0))))=1,(SUMPRODUCT(('C19RM 2021-Lab &amp; Other HPS'!$A$443:$D$542=E33)*('C19RM 2021-Lab &amp; Other HPS'!$BH$443:$BH$542=BJ33)*('C19RM 2021-Lab &amp; Other HPS'!$BS$443:$BS$542)*(('C19RM 2021-Lab &amp; Other HPS'!$AU$443:$AU$542)))),0)))),0)))</f>
        <v>0</v>
      </c>
      <c r="AL33" s="359" cm="1">
        <f t="array" ref="AL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HPS'!$AS$443:$AS$542)))),IF((INDEX(SETUP!$G$19:$G$503,(MATCH(1,(SETUP!$B$19:$B$503=B33)*(SETUP!$D$19:$D$503=D33),0))))=3,(SUMPRODUCT(('C19RM 2021-Lab &amp; Other HPS'!$A$443:$D$542=E33)*('C19RM 2021-Lab &amp; Other HPS'!$BH$443:$BH$542=BJ33)*('C19RM 2021-Lab &amp; Other HPS'!$BS$443:$BS$542)*(('C19RM 2021-Lab &amp; Other HPS'!$AT$443:$AT$542)))),IF((INDEX(SETUP!$G$19:$G$503,(MATCH(1,(SETUP!$B$19:$B$503=B33)*(SETUP!$D$19:$D$503=D33),0))))=2,(SUMPRODUCT(('C19RM 2021-Lab &amp; Other HPS'!$A$443:$D$542=E33)*('C19RM 2021-Lab &amp; Other HPS'!$BH$443:$BH$542=BJ33)*('C19RM 2021-Lab &amp; Other HPS'!$BS$443:$BS$542)*(('C19RM 2021-Lab &amp; Other HPS'!$AU$443:$AU$542)))),
IF((INDEX(SETUP!$G$19:$G$503,(MATCH(1,(SETUP!$B$19:$B$503=B33)*(SETUP!$D$19:$D$503=D33),0))))=1,
(SUMPRODUCT(('C19RM 2021-Lab &amp; Other HPS'!$A$443:$D$542=E33)*('C19RM 2021-Lab &amp; Other HPS'!$BH$443:$BH$542=BJ33)*('C19RM 2021-Lab &amp; Other HPS'!$BS$443:$BS$542)*(('C19RM 2021-Lab &amp; Other HPS'!$AV$443:$AV$542)))),0)))),0)))</f>
        <v>0</v>
      </c>
      <c r="AM33" s="359" cm="1">
        <f t="array" ref="AM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HPS'!$AT$443:$AT$542)))),IF((INDEX(SETUP!$G$19:$G$503,(MATCH(1,(SETUP!$B$19:$B$503=B33)*(SETUP!$D$19:$D$503=D33),0))))=3,(SUMPRODUCT(('C19RM 2021-Lab &amp; Other HPS'!$A$443:$D$542=E33)*('C19RM 2021-Lab &amp; Other HPS'!$BH$443:$BH$542=BJ33)*('C19RM 2021-Lab &amp; Other HPS'!$BS$443:$BS$542)*(('C19RM 2021-Lab &amp; Other HPS'!$AU$443:$AU$542)))),IF((INDEX(SETUP!$G$19:$G$503,(MATCH(1,(SETUP!$B$19:$B$503=B33)*(SETUP!$D$19:$D$503=D33),0))))=2,(SUMPRODUCT(('C19RM 2021-Lab &amp; Other HPS'!$A$443:$D$542=E33)*('C19RM 2021-Lab &amp; Other HPS'!$BH$443:$BH$542=BJ33)*('C19RM 2021-Lab &amp; Other HPS'!$BS$443:$BS$542)*(('C19RM 2021-Lab &amp; Other HPS'!$AV$443:$AV$542)))),IF((INDEX(SETUP!$G$19:$G$503,(MATCH(1,(SETUP!$B$19:$B$503=B33)*(SETUP!$D$19:$D$503=D33),0))))=1,(0),0)))),0)))</f>
        <v>0</v>
      </c>
      <c r="AN33" s="359" cm="1">
        <f t="array" ref="AN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HPS'!$AU$443:$AU$542)))),IF((INDEX(SETUP!$G$19:$G$503,(MATCH(1,(SETUP!$B$19:$B$503=B33)*(SETUP!$D$19:$D$503=D33),0))))=3,(SUMPRODUCT(('C19RM 2021-Lab &amp; Other HPS'!$A$443:$D$542=E33)*('C19RM 2021-Lab &amp; Other HPS'!$BH$443:$BH$542=BJ33)*('C19RM 2021-Lab &amp; Other HPS'!$BS$443:$BS$542)*(('C19RM 2021-Lab &amp; Other HPS'!$AV$443:$AV$542)))),IF((INDEX(SETUP!$G$19:$G$503,(MATCH(1,(SETUP!$B$19:$B$503=B33)*(SETUP!$D$19:$D$503=D33),0))))=2,(0),IF((INDEX(SETUP!$G$19:$G$503,(MATCH(1,(SETUP!$B$19:$B$503=B33)*(SETUP!$D$19:$D$503=D33),0))))=1,(0),0)))),0)))</f>
        <v>0</v>
      </c>
      <c r="AO33" s="359" cm="1">
        <f t="array" ref="AO33">IF((INDEX(SETUP!$F$19:$F$503,(MATCH(1,(SETUP!$B$19:$B$503=B33)*(SETUP!$D$19:$D$503=D33),0))))="Upfront",0,(IF((INDEX(SETUP!$F$19:$F$503,(MATCH(1,(SETUP!$B$19:$B$503=B33)*(SETUP!$D$19:$D$503=D33),0))))="At delivery",IF((INDEX(SETUP!$G$19:$G$503,(MATCH(1,(SETUP!$B$19:$B$503=B33)*(SETUP!$D$19:$D$503=D33),0))))=4,(SUMPRODUCT(('C19RM 2021-Lab &amp; Other HPS'!$A$443:$D$542=E33)*('C19RM 2021-Lab &amp; Other HPS'!$BH$443:$BH$542=BJ33)*('C19RM 2021-Lab &amp; Other HPS'!$BS$443:$BS$542)*(('C19RM 2021-Lab &amp; Other HPS'!$AV$443:$AV$542)))),IF((INDEX(SETUP!$G$19:$G$503,(MATCH(1,(SETUP!$B$19:$B$503=B33)*(SETUP!$D$19:$D$503=D33),0))))=3,(0),IF((INDEX(SETUP!$G$19:$G$503,(MATCH(1,(SETUP!$B$19:$B$503=B33)*(SETUP!$D$19:$D$503=D33),0))))=2,(0),IF((INDEX(SETUP!$G$19:$G$503,(MATCH(1,(SETUP!$B$19:$B$503=B33)*(SETUP!$D$19:$D$503=D33),0))))=1,(0),0)))),0)))</f>
        <v>0</v>
      </c>
      <c r="AP33" s="359"/>
      <c r="AQ33" s="359"/>
      <c r="AR33" s="359"/>
      <c r="AS33" s="359"/>
      <c r="AT33" s="359" cm="1">
        <f t="array" ref="AT33">IF(BG33&gt;=1,0,IFERROR(SUMPRODUCT(($R$2:$AO$2=$AT$4)*($E$5:$E$100=E33)*($BC$5:$BC$100=BC33)*($R$5:$AO$100)),0))</f>
        <v>0</v>
      </c>
      <c r="AU33" s="359" cm="1">
        <f t="array" ref="AU33">IF(BG33&gt;=1,0,IFERROR(SUMPRODUCT(($R$2:$AO$2=$AU$4)*($E$5:$E$100=E33)*($BC$5:$BC$100=BC33)*($R$5:$AO$100)),0))</f>
        <v>0</v>
      </c>
      <c r="AV33" s="359" cm="1">
        <f t="array" ref="AV33">IF(BG33&gt;=1,0,IFERROR(SUMPRODUCT(($R$2:$AO$2=$AV$4)*($E$5:$E$100=E33)*($BC$5:$BC$100=BC33)*($R$5:$AO$100)),0))</f>
        <v>0</v>
      </c>
      <c r="AW33" s="359" cm="1">
        <f t="array" ref="AW33">IF(BG33&gt;=1,0,IFERROR(SUMPRODUCT(($R$2:$AO$2=$AW$4)*($E$5:$E$100=E33)*($BC$5:$BC$100=BC33)*($R$5:$AO$100)),0))</f>
        <v>0</v>
      </c>
      <c r="AX33" s="359" cm="1">
        <f t="array" ref="AX33">IF(BG33&gt;=1,0,IFERROR(SUMPRODUCT(($R$2:$AO$2=$AX$4)*($E$5:$E$100=E33)*($BC$5:$BC$100=BC33)*($R$5:$AO$100)),0))</f>
        <v>0</v>
      </c>
      <c r="AY33" s="359">
        <f t="shared" si="5"/>
        <v>0</v>
      </c>
      <c r="AZ33" s="359"/>
      <c r="BA33" s="233">
        <f t="shared" si="6"/>
        <v>0</v>
      </c>
      <c r="BB33" s="220" t="s">
        <v>83</v>
      </c>
      <c r="BC33" t="s">
        <v>181</v>
      </c>
      <c r="BD33" cm="1">
        <f t="array" ref="BD33">(SUMPRODUCT(('C19RM 2021-Lab &amp; Other HPS'!$A$14:$D$650=E33)*('C19RM 2021-Lab &amp; Other HPS'!$BU$14:$BU$650)))</f>
        <v>0</v>
      </c>
      <c r="BE33" cm="1">
        <f t="array" ref="BE33">(SUMPRODUCT((SETUP!$D$20:$D$67=D33)*(SETUP!$R$20:$R$67)))</f>
        <v>0</v>
      </c>
      <c r="BF33" cm="1">
        <f t="array" ref="BF33">(SUMPRODUCT(('C19RM 2021-Lab &amp; Other HPS'!$A$14:$D$650=E33)*('C19RM 2021-Lab &amp; Other HPS'!$BV$14:$BV$650)))</f>
        <v>0</v>
      </c>
      <c r="BG33">
        <f t="shared" si="26"/>
        <v>0</v>
      </c>
      <c r="BJ33" s="235">
        <v>5.8</v>
      </c>
    </row>
    <row r="34" spans="1:62" x14ac:dyDescent="0.35">
      <c r="A34" s="235">
        <v>5</v>
      </c>
      <c r="B34" s="220" t="s">
        <v>2750</v>
      </c>
      <c r="C34" s="235" t="s">
        <v>3035</v>
      </c>
      <c r="D34" s="235" t="s">
        <v>29</v>
      </c>
      <c r="E34" s="235" t="s">
        <v>29</v>
      </c>
      <c r="F34" s="220">
        <f>SETUP!$E$3</f>
        <v>0</v>
      </c>
      <c r="G34" s="220" t="str">
        <f ca="1">SETUP!$J$5</f>
        <v>NA</v>
      </c>
      <c r="H34" s="220" t="str">
        <f>SETUP!$E$9</f>
        <v>C19RM</v>
      </c>
      <c r="I34" s="232">
        <f t="shared" si="22"/>
        <v>44197</v>
      </c>
      <c r="J34" s="232">
        <f>SETUP!$L$14</f>
        <v>46022</v>
      </c>
      <c r="K34" s="220">
        <v>1</v>
      </c>
      <c r="L34">
        <f t="shared" si="23"/>
        <v>0</v>
      </c>
      <c r="M34">
        <f>SETUP!$E$7</f>
        <v>0</v>
      </c>
      <c r="N34">
        <f>SETUP!$F$76</f>
        <v>6.1</v>
      </c>
      <c r="O34" t="str" cm="1">
        <f t="array" ref="O34">INDEX(SETUP!$E$19:$E$503,(MATCH(1,(SETUP!$B$19:$B$503=B34)*(SETUP!$D$19:$D$503=D34),0)))</f>
        <v>PR/SR</v>
      </c>
      <c r="P34" t="str" cm="1">
        <f t="array" ref="P34">INDEX(SETUP!$F$19:$F$503,(MATCH(1,(SETUP!$B$19:$B$503=B34)*(SETUP!$D$19:$D$503=D34),0)))</f>
        <v>At delivery</v>
      </c>
      <c r="Q34" cm="1">
        <f t="array" ref="Q34">INDEX(SETUP!$G$19:$G$503,(MATCH(1,(SETUP!$B$19:$B$503=B34)*(SETUP!$D$19:$D$503=D34),0)))</f>
        <v>1</v>
      </c>
      <c r="R34" s="359" cm="1">
        <f t="array" ref="R34">IF((INDEX(SETUP!$F$19:$F$503,(MATCH(1,(SETUP!$B$19:$B$503=B34)*(SETUP!$D$19:$D$503=D34),0))))="Upfront",(SUMPRODUCT(('C19RM 2021-Lab &amp; Other HPS'!$A$443:$D$542=E34)*('C19RM 2021-Lab &amp; Other HPS'!$BH$443:$BH$542=BJ34)*('C19RM 2021-Lab &amp; Other HPS'!$BO$443:$BO$542)*(('C19RM 2021-Lab &amp; Other HPS'!$Q$443:$Q$542)))),0)</f>
        <v>0</v>
      </c>
      <c r="S34" s="359" cm="1">
        <f t="array" ref="S34">IF((INDEX(SETUP!$F$19:$F$503,(MATCH(1,(SETUP!$B$19:$B$503=B34)*(SETUP!$D$19:$D$503=D34),0))))="Upfront",(SUMPRODUCT(('C19RM 2021-Lab &amp; Other HPS'!$A$443:$D$542=E34)*('C19RM 2021-Lab &amp; Other HPS'!$BH$443:$BH$542=BJ34)*('C19RM 2021-Lab &amp; Other HPS'!$BO$443:$BO$542)*(('C19RM 2021-Lab &amp; Other HPS'!$R$443:$R$542)))),(IF((INDEX(SETUP!$F$19:$F$503,(MATCH(1,(SETUP!$B$19:$B$503=B34)*(SETUP!$D$19:$D$503=D34),0))))="At delivery",IF((INDEX(SETUP!$G$19:$G$503,(MATCH(1,(SETUP!$B$19:$B$503=B34)*(SETUP!$D$19:$D$503=D34),0))))=1,(SUMPRODUCT(('C19RM 2021-Lab &amp; Other HPS'!$A$443:$D$542=E34)*('C19RM 2021-Lab &amp; Other HPS'!$BH$443:$BH$542=BJ34)*('C19RM 2021-Lab &amp; Other HPS'!$BO$443:$BO$542)*(('C19RM 2021-Lab &amp; Other HPS'!$Q$443:$Q$542)))),0),0)))</f>
        <v>0</v>
      </c>
      <c r="T34" s="359" cm="1">
        <f t="array" ref="T34">IF((INDEX(SETUP!$F$19:$F$503,(MATCH(1,(SETUP!$B$19:$B$503=B34)*(SETUP!$D$19:$D$503=D34),0))))="Upfront",(SUMPRODUCT(('C19RM 2021-Lab &amp; Other HPS'!$A$443:$D$542=E34)*('C19RM 2021-Lab &amp; Other HPS'!$BH$443:$BH$542=BJ34)*('C19RM 2021-Lab &amp; Other HPS'!$BO$443:$BO$542)*(('C19RM 2021-Lab &amp; Other HPS'!$S$443:$S$542)))),(IF((INDEX(SETUP!$F$19:$F$503,(MATCH(1,(SETUP!$B$19:$B$503=B34)*(SETUP!$D$19:$D$503=D34),0))))="At delivery",IF((INDEX(SETUP!$G$19:$G$503,(MATCH(1,(SETUP!$B$19:$B$503=B34)*(SETUP!$D$19:$D$503=D34),0))))=2,(SUMPRODUCT(('C19RM 2021-Lab &amp; Other HPS'!$A$443:$D$542=E34)*('C19RM 2021-Lab &amp; Other HPS'!$BH$443:$BH$542=BJ34)*('C19RM 2021-Lab &amp; Other HPS'!$BO$443:$BO$542)*(('C19RM 2021-Lab &amp; Other HPS'!$Q$443:$Q$542)))),IF((INDEX(SETUP!$G$19:$G$503,(MATCH(1,(SETUP!$B$19:$B$503=B34)*(SETUP!$D$19:$D$503=D34),0))))=1,(SUMPRODUCT(('C19RM 2021-Lab &amp; Other HPS'!$A$443:$D$542=E34)*('C19RM 2021-Lab &amp; Other HPS'!$BH$443:$BH$542=BJ34)*('C19RM 2021-Lab &amp; Other HPS'!$BO$443:$BO$542)*(('C19RM 2021-Lab &amp; Other HPS'!$R$443:$R$542)))),0)),0)))</f>
        <v>0</v>
      </c>
      <c r="U34" s="359" cm="1">
        <f t="array" ref="U34">IF((INDEX(SETUP!$F$19:$F$503,(MATCH(1,(SETUP!$B$19:$B$503=B34)*(SETUP!$D$19:$D$503=D34),0))))="Upfront",(SUMPRODUCT(('C19RM 2021-Lab &amp; Other HPS'!$A$443:$D$542=E34)*('C19RM 2021-Lab &amp; Other HPS'!$BH$443:$BH$542=BJ34)*('C19RM 2021-Lab &amp; Other HPS'!$BO$443:$BO$542)*(('C19RM 2021-Lab &amp; Other HPS'!$T$443:$T$542)))),(IF((INDEX(SETUP!$F$19:$F$503,(MATCH(1,(SETUP!$B$19:$B$503=B34)*(SETUP!$D$19:$D$503=D34),0))))="At delivery",IF((INDEX(SETUP!$G$19:$G$503,(MATCH(1,(SETUP!$B$19:$B$503=B34)*(SETUP!$D$19:$D$503=D34),0))))=3,(SUMPRODUCT(('C19RM 2021-Lab &amp; Other HPS'!$A$443:$D$542=E34)*('C19RM 2021-Lab &amp; Other HPS'!$BH$443:$BH$542=BJ34)*('C19RM 2021-Lab &amp; Other HPS'!$BO$443:$BO$542)*(('C19RM 2021-Lab &amp; Other HPS'!$Q$443:$Q$542)))),IF((INDEX(SETUP!$G$19:$G$503,(MATCH(1,(SETUP!$B$19:$B$503=B34)*(SETUP!$D$19:$D$503=D34),0))))=2,(SUMPRODUCT(('C19RM 2021-Lab &amp; Other HPS'!$A$443:$D$542=E34)*('C19RM 2021-Lab &amp; Other HPS'!$BH$443:$BH$542=BJ34)*('C19RM 2021-Lab &amp; Other HPS'!$BO$443:$BO$542)*(('C19RM 2021-Lab &amp; Other HPS'!$R$443:$R$542)))),IF((INDEX(SETUP!$G$19:$G$503,(MATCH(1,(SETUP!$B$19:$B$503=B34)*(SETUP!$D$19:$D$503=D34),0))))=1,(SUMPRODUCT(('C19RM 2021-Lab &amp; Other HPS'!$A$443:$D$542=E34)*('C19RM 2021-Lab &amp; Other HPS'!$BH$443:$BH$542=BJ34)*('C19RM 2021-Lab &amp; Other HPS'!$BO$443:$BO$542)*(('C19RM 2021-Lab &amp; Other HPS'!$S$443:$S$542)))),0))),0)))</f>
        <v>0</v>
      </c>
      <c r="V34" s="359" cm="1">
        <f t="array" ref="V34">IF((INDEX(SETUP!$F$19:$F$503,(MATCH(1,(SETUP!$B$19:$B$503=B34)*(SETUP!$D$19:$D$503=D34),0))))="Upfront",(SUMPRODUCT(('C19RM 2021-Lab &amp; Other HPS'!$A$443:$D$542=E34)*('C19RM 2021-Lab &amp; Other HPS'!$BH$443:$BH$542=BJ34)*('C19RM 2021-Lab &amp; Other HPS'!$BP$443:$BP$542)*(('C19RM 2021-Lab &amp; Other HPS'!$X$443:$X$542)))),(IF((INDEX(SETUP!$F$19:$F$503,(MATCH(1,(SETUP!$B$19:$B$503=B34)*(SETUP!$D$19:$D$503=D34),0))))="At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HPS'!$Q$443:$Q$542)))),IF((INDEX(SETUP!$G$19:$G$503,(MATCH(1,(SETUP!$B$19:$B$503=B34)*(SETUP!$D$19:$D$503=D34),0))))=3,(SUMPRODUCT(('C19RM 2021-Lab &amp; Other HPS'!$A$443:$D$542=E34)*('C19RM 2021-Lab &amp; Other HPS'!$BH$443:$BH$542=BJ34)*('C19RM 2021-Lab &amp; Other HPS'!$BO$443:$BO$542)*(('C19RM 2021-Lab &amp; Other HPS'!$R$443:$R$542)))),IF((INDEX(SETUP!$G$19:$G$503,(MATCH(1,(SETUP!$B$19:$B$503=B34)*(SETUP!$D$19:$D$503=D34),0))))=2,(SUMPRODUCT(('C19RM 2021-Lab &amp; Other HPS'!$A$443:$D$542=E34)*('C19RM 2021-Lab &amp; Other HPS'!$BH$443:$BH$542=BJ34)*('C19RM 2021-Lab &amp; Other HPS'!$BO$443:$BO$542)*(('C19RM 2021-Lab &amp; Other HPS'!$S$443:$S$542)))),IF((INDEX(SETUP!$G$19:$G$503,(MATCH(1,(SETUP!$B$19:$B$503=B34)*(SETUP!$D$19:$D$503=D34),0))))=1,(SUMPRODUCT(('C19RM 2021-Lab &amp; Other HPS'!$A$443:$D$542=E34)*('C19RM 2021-Lab &amp; Other HPS'!$BH$443:$BH$542=BJ34)*('C19RM 2021-Lab &amp; Other HPS'!$BO$443:$BO$542)*(('C19RM 2021-Lab &amp; Other HPS'!$T$443:$T$542)))),0)))),0)))</f>
        <v>0</v>
      </c>
      <c r="W34" s="359" cm="1">
        <f t="array" ref="W34">IF((INDEX(SETUP!$F$19:$F$503,(MATCH(1,(SETUP!$B$19:$B$503=B34)*(SETUP!$D$19:$D$503=D34),0))))="Upfront",(SUMPRODUCT(('C19RM 2021-Lab &amp; Other HPS'!$A$443:$D$542=E34)*('C19RM 2021-Lab &amp; Other HPS'!$BH$443:$BH$542=BJ34)*('C19RM 2021-Lab &amp; Other HPS'!$BP$443:$BP$542)*(('C19RM 2021-Lab &amp; Other HPS'!$Y$443:$Y$542)))),(IF((INDEX(SETUP!$F$19:$F$503,(MATCH(1,(SETUP!$B$19:$B$503=B34)*(SETUP!$D$19:$D$503=D34),0))))="At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HPS'!$R$443:$R$542)))),IF((INDEX(SETUP!$G$19:$G$503,(MATCH(1,(SETUP!$B$19:$B$503=B34)*(SETUP!$D$19:$D$503=D34),0))))=3,(SUMPRODUCT(('C19RM 2021-Lab &amp; Other HPS'!$A$443:$D$542=E34)*('C19RM 2021-Lab &amp; Other HPS'!$BH$443:$BH$542=BJ34)*('C19RM 2021-Lab &amp; Other HPS'!$BO$443:$BO$542)*(('C19RM 2021-Lab &amp; Other HPS'!$S$443:$S$542)))),IF((INDEX(SETUP!$G$19:$G$503,(MATCH(1,(SETUP!$B$19:$B$503=B34)*(SETUP!$D$19:$D$503=D34),0))))=2,((SUMPRODUCT(('C19RM 2021-Lab &amp; Other HPS'!$A$443:$D$542=E34)*('C19RM 2021-Lab &amp; Other HPS'!$BH$443:$BH$542=BJ34)*('C19RM 2021-Lab &amp; Other HPS'!$BO$443:$BO$542)*(('C19RM 2021-Lab &amp; Other HPS'!$T$443:$T$542))))),IF((INDEX(SETUP!$G$19:$G$503,(MATCH(1,(SETUP!$B$19:$B$503=B34)*(SETUP!$D$19:$D$503=D34),0))))=1,(SUMPRODUCT(('C19RM 2021-Lab &amp; Other HPS'!$A$443:$D$542=E34)*('C19RM 2021-Lab &amp; Other HPS'!$BH$443:$BH$542=BJ34)*('C19RM 2021-Lab &amp; Other HPS'!$BP$443:$BP$542)*(('C19RM 2021-Lab &amp; Other HPS'!$X$443:$X$542)))),0)))),0)))</f>
        <v>0</v>
      </c>
      <c r="X34" s="359" cm="1">
        <f t="array" ref="X34">IF((INDEX(SETUP!$F$19:$F$503,(MATCH(1,(SETUP!$B$19:$B$503=B34)*(SETUP!$D$19:$D$503=D34),0))))="Upfront",(SUMPRODUCT(('C19RM 2021-Lab &amp; Other HPS'!$A$443:$D$542=E34)*('C19RM 2021-Lab &amp; Other HPS'!$BH$443:$BH$542=BJ34)*('C19RM 2021-Lab &amp; Other HPS'!$BP$443:$BP$542)*(('C19RM 2021-Lab &amp; Other HPS'!$Z$443:$Z$542)))),(IF((INDEX(SETUP!$F$19:$F$503,(MATCH(1,(SETUP!$B$19:$B$503=B34)*(SETUP!$D$19:$D$503=D34),0))))="At delivery",IF((INDEX(SETUP!$G$19:$G$503,(MATCH(1,(SETUP!$B$19:$B$503=B34)*(SETUP!$D$19:$D$503=D34),0))))=4,(SUMPRODUCT(('C19RM 2021-Lab &amp; Other HPS'!$A$443:$D$542=E34)*('C19RM 2021-Lab &amp; Other HPS'!$BH$443:$BH$542=BJ34)*('C19RM 2021-Lab &amp; Other HPS'!$BO$443:$BO$542)*(('C19RM 2021-Lab &amp; Other HPS'!$S$443:$S$542)))),IF((INDEX(SETUP!$G$19:$G$503,(MATCH(1,(SETUP!$B$19:$B$503=B34)*(SETUP!$D$19:$D$503=D34),0))))=3,((SUMPRODUCT(('C19RM 2021-Lab &amp; Other HPS'!$A$443:$D$542=E34)*('C19RM 2021-Lab &amp; Other HPS'!$BH$443:$BH$542=BJ34)*('C19RM 2021-Lab &amp; Other HPS'!$BO$443:$BO$542)*(('C19RM 2021-Lab &amp; Other HPS'!$T$443:$T$542))))),IF((INDEX(SETUP!$G$19:$G$503,(MATCH(1,(SETUP!$B$19:$B$503=B34)*(SETUP!$D$19:$D$503=D34),0))))=2,(SUMPRODUCT(('C19RM 2021-Lab &amp; Other HPS'!$A$443:$D$542=E34)*('C19RM 2021-Lab &amp; Other HPS'!$BH$443:$BH$542=BJ34)*('C19RM 2021-Lab &amp; Other HPS'!$BP$443:$BP$542)*(('C19RM 2021-Lab &amp; Other HPS'!$X$443:$X$542)))),IF((INDEX(SETUP!$G$19:$G$503,(MATCH(1,(SETUP!$B$19:$B$503=B34)*(SETUP!$D$19:$D$503=D34),0))))=1,(SUMPRODUCT(('C19RM 2021-Lab &amp; Other HPS'!$A$443:$D$542=E34)*('C19RM 2021-Lab &amp; Other HPS'!$BH$443:$BH$542=BJ34)*('C19RM 2021-Lab &amp; Other HPS'!$BP$443:$BP$542)*(('C19RM 2021-Lab &amp; Other HPS'!$Y$443:$Y$542)))),0)))),0)))</f>
        <v>0</v>
      </c>
      <c r="Y34" s="359" cm="1">
        <f t="array" ref="Y34">IF((INDEX(SETUP!$F$19:$F$503,(MATCH(1,(SETUP!$B$19:$B$503=B34)*(SETUP!$D$19:$D$503=D34),0))))="Upfront",
(SUMPRODUCT(('C19RM 2021-Lab &amp; Other HPS'!$A$443:$D$542=E34)*('C19RM 2021-Lab &amp; Other HPS'!$BH$443:$BH$542=BJ34)*('C19RM 2021-Lab &amp; Other HPS'!$BP$443:$BP$542)*(('C19RM 2021-Lab &amp; Other HPS'!$AA$443:$AA$542)))),
(IF((INDEX(SETUP!$F$19:$F$503,(MATCH(1,(SETUP!$B$19:$B$503=B34)*(SETUP!$D$19:$D$503=D34),0))))="At delivery",
IF((INDEX(SETUP!$G$19:$G$503,(MATCH(1,(SETUP!$B$19:$B$503=B34)*(SETUP!$D$19:$D$503=D34),0))))=4,
((SUMPRODUCT(('C19RM 2021-Lab &amp; Other HPS'!$A$443:$D$542=E34)*('C19RM 2021-Lab &amp; Other HPS'!$BH$443:$BH$542=BJ34)*('C19RM 2021-Lab &amp; Other HPS'!$BO$443:$BO$542)*(('C19RM 2021-Lab &amp; Other HPS'!$T$443:$T$542))))),IF((INDEX(SETUP!$G$19:$G$503,(MATCH(1,(SETUP!$B$19:$B$503=B34)*(SETUP!$D$19:$D$503=D34),0))))=3,(SUMPRODUCT(('C19RM 2021-Lab &amp; Other HPS'!$A$443:$D$542=E34)*('C19RM 2021-Lab &amp; Other HPS'!$BH$443:$BH$542=BJ34)*('C19RM 2021-Lab &amp; Other HPS'!$BP$443:$BP$542)*(('C19RM 2021-Lab &amp; Other HPS'!$X$443:$X$542)))),IF((INDEX(SETUP!$G$19:$G$503,(MATCH(1,(SETUP!$B$19:$B$503=B34)*(SETUP!$D$19:$D$503=D34),0))))=2,(SUMPRODUCT(('C19RM 2021-Lab &amp; Other HPS'!$A$443:$D$542=E34)*('C19RM 2021-Lab &amp; Other HPS'!$BH$443:$BH$542=BJ34)*('C19RM 2021-Lab &amp; Other HPS'!$BP$443:$BP$542)*(('C19RM 2021-Lab &amp; Other HPS'!$Y$443:$Y$542)))),IF((INDEX(SETUP!$G$19:$G$503,(MATCH(1,(SETUP!$B$19:$B$503=B34)*(SETUP!$D$19:$D$503=D34),0))))=1,(SUMPRODUCT(('C19RM 2021-Lab &amp; Other HPS'!$A$443:$D$542=E34)*('C19RM 2021-Lab &amp; Other HPS'!$BH$443:$BH$542=BJ34)*('C19RM 2021-Lab &amp; Other HPS'!$BP$443:$BP$542)*(('C19RM 2021-Lab &amp; Other HPS'!$Z$443:$Z$542)))),0)))),0)))</f>
        <v>0</v>
      </c>
      <c r="Z34" s="359" cm="1">
        <f t="array" ref="Z34">IF((INDEX(SETUP!$F$19:$F$503,(MATCH(1,(SETUP!$B$19:$B$503=B34)*(SETUP!$D$19:$D$503=D34),0))))="Upfront",(SUMPRODUCT(('C19RM 2021-Lab &amp; Other HPS'!$A$443:$D$542=E34)*('C19RM 2021-Lab &amp; Other HPS'!$BH$443:$BH$542=BJ34)*('C19RM 2021-Lab &amp; Other HPS'!$BQ$443:$BQ$542)*(('C19RM 2021-Lab &amp; Other HPS'!$AE$443:$AE$542)))),(IF((INDEX(SETUP!$F$19:$F$503,(MATCH(1,(SETUP!$B$19:$B$503=B34)*(SETUP!$D$19:$D$503=D34),0))))="At delivery",IF((INDEX(SETUP!$G$19:$G$503,(MATCH(1,(SETUP!$B$19:$B$503=B34)*(SETUP!$D$19:$D$503=D34),0))))=4,(SUMPRODUCT(('C19RM 2021-Lab &amp; Other HPS'!$A$443:$D$542=E34)*('C19RM 2021-Lab &amp; Other HPS'!$BH$443:$BH$542=BJ34)*('C19RM 2021-Lab &amp; Other HPS'!$BP$443:$BP$542)*(('C19RM 2021-Lab &amp; Other HPS'!$X$443:$X$542)))),IF((INDEX(SETUP!$G$19:$G$503,(MATCH(1,(SETUP!$B$19:$B$503=B34)*(SETUP!$D$19:$D$503=D34),0))))=3,(SUMPRODUCT(('C19RM 2021-Lab &amp; Other HPS'!$A$443:$D$542=E34)*('C19RM 2021-Lab &amp; Other HPS'!$BH$443:$BH$542=BJ34)*('C19RM 2021-Lab &amp; Other HPS'!$BP$443:$BP$542)*(('C19RM 2021-Lab &amp; Other HPS'!$Y$443:$Y$542)))),IF((INDEX(SETUP!$G$19:$G$503,(MATCH(1,(SETUP!$B$19:$B$503=B34)*(SETUP!$D$19:$D$503=D34),0))))=2,(SUMPRODUCT(('C19RM 2021-Lab &amp; Other HPS'!$A$443:$D$542=E34)*('C19RM 2021-Lab &amp; Other HPS'!$BH$443:$BH$542=BJ34)*('C19RM 2021-Lab &amp; Other HPS'!$BP$443:$BP$542)*(('C19RM 2021-Lab &amp; Other HPS'!$Z$443:$Z$542)))),IF((INDEX(SETUP!$G$19:$G$503,(MATCH(1,(SETUP!$B$19:$B$503=B34)*(SETUP!$D$19:$D$503=D34),0))))=1,(SUMPRODUCT(('C19RM 2021-Lab &amp; Other HPS'!$A$443:$D$542=E34)*('C19RM 2021-Lab &amp; Other HPS'!$BH$443:$BH$542=BJ34)*('C19RM 2021-Lab &amp; Other HPS'!$BP$443:$BP$542)*(('C19RM 2021-Lab &amp; Other HPS'!$AA$443:$AA$542)))),0)))),0)))</f>
        <v>0</v>
      </c>
      <c r="AA34" s="359" cm="1">
        <f t="array" ref="AA34">IF((INDEX(SETUP!$F$19:$F$503,(MATCH(1,(SETUP!$B$19:$B$503=B34)*(SETUP!$D$19:$D$503=D34),0))))="Upfront",(SUMPRODUCT(('C19RM 2021-Lab &amp; Other HPS'!$A$443:$D$542=E34)*('C19RM 2021-Lab &amp; Other HPS'!$BH$443:$BH$542=BJ34)*('C19RM 2021-Lab &amp; Other HPS'!$BQ$443:$BQ$542)*(('C19RM 2021-Lab &amp; Other HPS'!$AF$443:$AF$542)))),(IF((INDEX(SETUP!$F$19:$F$503,(MATCH(1,(SETUP!$B$19:$B$503=B34)*(SETUP!$D$19:$D$503=D34),0))))="At delivery",IF((INDEX(SETUP!$G$19:$G$503,(MATCH(1,(SETUP!$B$19:$B$503=B34)*(SETUP!$D$19:$D$503=D34),0))))=4,(SUMPRODUCT(('C19RM 2021-Lab &amp; Other HPS'!$A$443:$D$542=E34)*('C19RM 2021-Lab &amp; Other HPS'!$BH$443:$BH$542=BJ34)*('C19RM 2021-Lab &amp; Other HPS'!$BP$443:$BP$542)*(('C19RM 2021-Lab &amp; Other HPS'!$Y$443:$Y$542)))),IF((INDEX(SETUP!$G$19:$G$503,(MATCH(1,(SETUP!$B$19:$B$503=B34)*(SETUP!$D$19:$D$503=D34),0))))=3,(SUMPRODUCT(('C19RM 2021-Lab &amp; Other HPS'!$A$443:$D$542=E34)*('C19RM 2021-Lab &amp; Other HPS'!$BH$443:$BH$542=BJ34)*('C19RM 2021-Lab &amp; Other HPS'!$BP$443:$BP$542)*(('C19RM 2021-Lab &amp; Other HPS'!$Z$443:$Z$542)))),IF((INDEX(SETUP!$G$19:$G$503,(MATCH(1,(SETUP!$B$19:$B$503=B34)*(SETUP!$D$19:$D$503=D34),0))))=2,((SUMPRODUCT(('C19RM 2021-Lab &amp; Other HPS'!$A$443:$D$542=E34)*('C19RM 2021-Lab &amp; Other HPS'!$BH$443:$BH$542=BJ34)*('C19RM 2021-Lab &amp; Other HPS'!$BP$443:$BP$542)*(('C19RM 2021-Lab &amp; Other HPS'!$AA$443:$AA$542))))),IF((INDEX(SETUP!$G$19:$G$503,(MATCH(1,(SETUP!$B$19:$B$503=B34)*(SETUP!$D$19:$D$503=D34),0))))=1,(SUMPRODUCT(('C19RM 2021-Lab &amp; Other HPS'!$A$443:$D$542=E34)*('C19RM 2021-Lab &amp; Other HPS'!$BH$443:$BH$542=BJ34)*('C19RM 2021-Lab &amp; Other HPS'!$BQ$443:$BQ$542)*(('C19RM 2021-Lab &amp; Other HPS'!$AE$443:$AE$542)))),0)))),0)))</f>
        <v>0</v>
      </c>
      <c r="AB34" s="359" cm="1">
        <f t="array" ref="AB34">IF((INDEX(SETUP!$F$19:$F$503,(MATCH(1,(SETUP!$B$19:$B$503=B34)*(SETUP!$D$19:$D$503=D34),0))))="Upfront",
(SUMPRODUCT(('C19RM 2021-Lab &amp; Other HPS'!$A$443:$D$542=E34)*('C19RM 2021-Lab &amp; Other HPS'!$BH$443:$BH$542=BJ34)*('C19RM 2021-Lab &amp; Other HPS'!$BQ$443:$BQ$542)*(('C19RM 2021-Lab &amp; Other HPS'!$AG$443:$AG$542)))),
(IF((INDEX(SETUP!$F$19:$F$503,(MATCH(1,(SETUP!$B$19:$B$503=B34)*(SETUP!$D$19:$D$503=D34),0))))="At delivery",
IF((INDEX(SETUP!$G$19:$G$503,(MATCH(1,(SETUP!$B$19:$B$503=B34)*(SETUP!$D$19:$D$503=D34),0))))=4,
(SUMPRODUCT(('C19RM 2021-Lab &amp; Other HPS'!$A$443:$D$542=E34)*('C19RM 2021-Lab &amp; Other HPS'!$BH$443:$BH$542=BJ34)*('C19RM 2021-Lab &amp; Other HPS'!$BP$443:$BP$542)*(('C19RM 2021-Lab &amp; Other HPS'!$Z$443:$Z$542)))),IF((INDEX(SETUP!$G$19:$G$503,(MATCH(1,(SETUP!$B$19:$B$503=B34)*(SETUP!$D$19:$D$503=D34),0))))=3,(SUMPRODUCT(('C19RM 2021-Lab &amp; Other HPS'!$A$443:$D$542=E34)*('C19RM 2021-Lab &amp; Other HPS'!$BH$443:$BH$542=BJ34)*('C19RM 2021-Lab &amp; Other HPS'!$BP$443:$BP$542)*(('C19RM 2021-Lab &amp; Other HPS'!$AA$443:$AA$542)))),IF((INDEX(SETUP!$G$19:$G$503,(MATCH(1,(SETUP!$B$19:$B$503=B34)*(SETUP!$D$19:$D$503=D34),0))))=2,(SUMPRODUCT(('C19RM 2021-Lab &amp; Other HPS'!$A$443:$D$542=E34)*('C19RM 2021-Lab &amp; Other HPS'!$BH$443:$BH$542=BJ34)*('C19RM 2021-Lab &amp; Other HPS'!$BQ$443:$BQ$542)*(('C19RM 2021-Lab &amp; Other HPS'!$AE$443:$AE$542)))),IF((INDEX(SETUP!$G$19:$G$503,(MATCH(1,(SETUP!$B$19:$B$503=B34)*(SETUP!$D$19:$D$503=D34),0))))=1,(SUMPRODUCT(('C19RM 2021-Lab &amp; Other HPS'!$A$443:$D$542=E34)*('C19RM 2021-Lab &amp; Other HPS'!$BH$443:$BH$542=BJ34)*('C19RM 2021-Lab &amp; Other HPS'!$BQ$443:$BQ$542)*(('C19RM 2021-Lab &amp; Other HPS'!$AF$443:$AF$542)))),0)))),0)))</f>
        <v>0</v>
      </c>
      <c r="AC34" s="359" cm="1">
        <f t="array" ref="AC34">IF((INDEX(SETUP!$F$19:$F$503,(MATCH(1,(SETUP!$B$19:$B$503=B34)*(SETUP!$D$19:$D$503=D34),0))))="Upfront",
(SUMPRODUCT(('C19RM 2021-Lab &amp; Other HPS'!$A$443:$D$542=E34)*('C19RM 2021-Lab &amp; Other HPS'!$BH$443:$BH$542=BJ34)*('C19RM 2021-Lab &amp; Other HPS'!$BQ$443:$BQ$542)*(('C19RM 2021-Lab &amp; Other HPS'!$AH$443:$AH$542)))),
(IF((INDEX(SETUP!$F$19:$F$503,(MATCH(1,(SETUP!$B$19:$B$503=B34)*(SETUP!$D$19:$D$503=D34),0))))="At delivery",
IF((INDEX(SETUP!$G$19:$G$503,(MATCH(1,(SETUP!$B$19:$B$503=B34)*(SETUP!$D$19:$D$503=D34),0))))=4,
(SUMPRODUCT(('C19RM 2021-Lab &amp; Other HPS'!$A$443:$D$542=E34)*('C19RM 2021-Lab &amp; Other HPS'!$BH$443:$BH$542=BJ34)*('C19RM 2021-Lab &amp; Other HPS'!$BP$443:$BP$542)*(('C19RM 2021-Lab &amp; Other HPS'!$AA$443:$AA$542)))),IF((INDEX(SETUP!$G$19:$G$503,(MATCH(1,(SETUP!$B$19:$B$503=B34)*(SETUP!$D$19:$D$503=D34),0))))=3,(SUMPRODUCT(('C19RM 2021-Lab &amp; Other HPS'!$A$443:$D$542=E34)*('C19RM 2021-Lab &amp; Other HPS'!$BH$443:$BH$542=BJ34)*('C19RM 2021-Lab &amp; Other HPS'!$BQ$443:$BQ$542)*(('C19RM 2021-Lab &amp; Other HPS'!$AE$443:$AE$542)))),IF((INDEX(SETUP!$G$19:$G$503,(MATCH(1,(SETUP!$B$19:$B$503=B34)*(SETUP!$D$19:$D$503=D34),0))))=2,(SUMPRODUCT(('C19RM 2021-Lab &amp; Other HPS'!$A$443:$D$542=E34)*('C19RM 2021-Lab &amp; Other HPS'!$BH$443:$BH$542=BJ34)*('C19RM 2021-Lab &amp; Other HPS'!$BQ$443:$BQ$542)*(('C19RM 2021-Lab &amp; Other HPS'!$AF$443:$AF$542)))),IF((INDEX(SETUP!$G$19:$G$503,(MATCH(1,(SETUP!$B$19:$B$503=B34)*(SETUP!$D$19:$D$503=D34),0))))=1,(SUMPRODUCT(('C19RM 2021-Lab &amp; Other HPS'!$A$443:$D$542=E34)*('C19RM 2021-Lab &amp; Other HPS'!$BH$443:$BH$542=BJ34)*('C19RM 2021-Lab &amp; Other HPS'!$BQ$443:$BQ$542)*(('C19RM 2021-Lab &amp; Other HPS'!$AG$443:$AG$542)))),0)))),0)))</f>
        <v>0</v>
      </c>
      <c r="AD34" s="359" cm="1">
        <f t="array" ref="AD34">IF((INDEX(SETUP!$F$19:$F$503,(MATCH(1,(SETUP!$B$19:$B$503=B34)*(SETUP!$D$19:$D$503=D34),0))))="Upfront",
(SUMPRODUCT(('C19RM 2021-Lab &amp; Other HPS'!$A$443:$D$542=E34)*('C19RM 2021-Lab &amp; Other HPS'!$BH$443:$BH$542=BJ34)*('C19RM 2021-Lab &amp; Other HPS'!$BR$443:$BR$542)*(('C19RM 2021-Lab &amp; Other HPS'!$AL$443:$AL$542)))),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HPS'!$AE$443:$AE$542)))),IF((INDEX(SETUP!$G$19:$G$503,(MATCH(1,(SETUP!$B$19:$B$503=B34)*(SETUP!$D$19:$D$503=D34),0))))=3,((SUMPRODUCT(('C19RM 2021-Lab &amp; Other HPS'!$A$443:$D$542=E34)*('C19RM 2021-Lab &amp; Other HPS'!$BH$443:$BH$542=BJ34)*('C19RM 2021-Lab &amp; Other HPS'!$BQ$443:$BQ$542)*(('C19RM 2021-Lab &amp; Other HPS'!$AF$443:$AF$542))))),IF((INDEX(SETUP!$G$19:$G$503,(MATCH(1,(SETUP!$B$19:$B$503=B34)*(SETUP!$D$19:$D$503=D34),0))))=2,(SUMPRODUCT(('C19RM 2021-Lab &amp; Other HPS'!$A$443:$D$542=E34)*('C19RM 2021-Lab &amp; Other HPS'!$BH$443:$BH$542=BJ34)*('C19RM 2021-Lab &amp; Other HPS'!$BQ$443:$BQ$542)*(('C19RM 2021-Lab &amp; Other HPS'!$AG$443:$AG$542)))),IF((INDEX(SETUP!$G$19:$G$503,(MATCH(1,(SETUP!$B$19:$B$503=B34)*(SETUP!$D$19:$D$503=D34),0))))=1,(SUMPRODUCT(('C19RM 2021-Lab &amp; Other HPS'!$A$443:$D$542=E34)*('C19RM 2021-Lab &amp; Other HPS'!$BH$443:$BH$542=BJ34)*('C19RM 2021-Lab &amp; Other HPS'!$BQ$443:$BQ$542)*(('C19RM 2021-Lab &amp; Other HPS'!$AH$443:$AH$542)))),0)))),0)))</f>
        <v>0</v>
      </c>
      <c r="AE34" s="359" cm="1">
        <f t="array" ref="AE34">IF((INDEX(SETUP!$F$19:$F$503,(MATCH(1,(SETUP!$B$19:$B$503=B34)*(SETUP!$D$19:$D$503=D34),0))))="Upfront",
(SUMPRODUCT(('C19RM 2021-Lab &amp; Other HPS'!$A$443:$D$542=E34)*('C19RM 2021-Lab &amp; Other HPS'!$BH$443:$BH$542=BJ34)*('C19RM 2021-Lab &amp; Other HPS'!$BR$443:$BR$542)*(('C19RM 2021-Lab &amp; Other HPS'!$AM$443:$AM$542)))),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HPS'!$AF$443:$AF$542)))),IF((INDEX(SETUP!$G$19:$G$503,(MATCH(1,(SETUP!$B$19:$B$503=B34)*(SETUP!$D$19:$D$503=D34),0))))=3,(SUMPRODUCT(('C19RM 2021-Lab &amp; Other HPS'!$A$443:$D$542=E34)*('C19RM 2021-Lab &amp; Other HPS'!$BH$443:$BH$542=BJ34)*('C19RM 2021-Lab &amp; Other HPS'!$BQ$443:$BQ$542)*(('C19RM 2021-Lab &amp; Other HPS'!$AG$443:$AG$542)))),IF((INDEX(SETUP!$G$19:$G$503,(MATCH(1,(SETUP!$B$19:$B$503=B34)*(SETUP!$D$19:$D$503=D34),0))))=2,(SUMPRODUCT(('C19RM 2021-Lab &amp; Other HPS'!$A$443:$D$542=E34)*('C19RM 2021-Lab &amp; Other HPS'!$BH$443:$BH$542=BJ34)*('C19RM 2021-Lab &amp; Other HPS'!$BQ$443:$BQ$542)*(('C19RM 2021-Lab &amp; Other HPS'!$AH$443:$AH$542)))),IF((INDEX(SETUP!$G$19:$G$503,(MATCH(1,(SETUP!$B$19:$B$503=B34)*(SETUP!$D$19:$D$503=D34),0))))=1,(SUMPRODUCT(('C19RM 2021-Lab &amp; Other HPS'!$A$443:$D$542=E34)*('C19RM 2021-Lab &amp; Other HPS'!$BH$443:$BH$542=BJ34)*('C19RM 2021-Lab &amp; Other HPS'!$BR$443:$BR$542)*(('C19RM 2021-Lab &amp; Other HPS'!$AL$443:$AL$542)))),0)))),0)))</f>
        <v>0</v>
      </c>
      <c r="AF34" s="359" cm="1">
        <f t="array" ref="AF34">IF((INDEX(SETUP!$F$19:$F$503,(MATCH(1,(SETUP!$B$19:$B$503=B34)*(SETUP!$D$19:$D$503=D34),0))))="Upfront",
(SUMPRODUCT(('C19RM 2021-Lab &amp; Other HPS'!$A$443:$D$542=E34)*('C19RM 2021-Lab &amp; Other HPS'!$BH$443:$BH$542=BJ34)*('C19RM 2021-Lab &amp; Other HPS'!$BR$443:$BR$542)*(('C19RM 2021-Lab &amp; Other HPS'!$AN$443:$AN$542)))),
(IF((INDEX(SETUP!$F$19:$F$503,(MATCH(1,(SETUP!$B$19:$B$503=B34)*(SETUP!$D$19:$D$503=D34),0))))="At delivery",
IF((INDEX(SETUP!$G$19:$G$503,(MATCH(1,(SETUP!$B$19:$B$503=B34)*(SETUP!$D$19:$D$503=D34),0))))=4,
(SUMPRODUCT(('C19RM 2021-Lab &amp; Other HPS'!$A$443:$D$542=E34)*('C19RM 2021-Lab &amp; Other HPS'!$BH$443:$BH$542=BJ34)*('C19RM 2021-Lab &amp; Other HPS'!$BQ$443:$BQ$542)*(('C19RM 2021-Lab &amp; Other HPS'!$AG$443:$AG$542)))),IF((INDEX(SETUP!$G$19:$G$503,(MATCH(1,(SETUP!$B$19:$B$503=B34)*(SETUP!$D$19:$D$503=D34),0))))=3,(SUMPRODUCT(('C19RM 2021-Lab &amp; Other HPS'!$A$443:$D$542=E34)*('C19RM 2021-Lab &amp; Other HPS'!$BH$443:$BH$542=BJ34)*('C19RM 2021-Lab &amp; Other HPS'!$BQ$443:$BQ$542)*(('C19RM 2021-Lab &amp; Other HPS'!$AH$443:$AH$542)))),IF((INDEX(SETUP!$G$19:$G$503,(MATCH(1,(SETUP!$B$19:$B$503=B34)*(SETUP!$D$19:$D$503=D34),0))))=2,(SUMPRODUCT(('C19RM 2021-Lab &amp; Other HPS'!$A$443:$D$542=E34)*('C19RM 2021-Lab &amp; Other HPS'!$BH$443:$BH$542=BJ34)*('C19RM 2021-Lab &amp; Other HPS'!$BR$443:$BR$542)*(('C19RM 2021-Lab &amp; Other HPS'!$AL$443:$AL$542)))),IF((INDEX(SETUP!$G$19:$G$503,(MATCH(1,(SETUP!$B$19:$B$503=B34)*(SETUP!$D$19:$D$503=D34),0))))=1,(SUMPRODUCT(('C19RM 2021-Lab &amp; Other HPS'!$A$443:$D$542=E34)*('C19RM 2021-Lab &amp; Other HPS'!$BH$443:$BH$542=BJ34)*('C19RM 2021-Lab &amp; Other HPS'!$BR$443:$BR$542)*(('C19RM 2021-Lab &amp; Other HPS'!$AM$443:$AM$542)))),0)))),0)))</f>
        <v>0</v>
      </c>
      <c r="AG34" s="359" cm="1">
        <f t="array" ref="AG34">IF((INDEX(SETUP!$F$19:$F$503,(MATCH(1,(SETUP!$B$19:$B$503=B34)*(SETUP!$D$19:$D$503=D34),0))))="Upfront",(SUMPRODUCT(('C19RM 2021-Lab &amp; Other HPS'!$A$443:$D$542=E34)*('C19RM 2021-Lab &amp; Other HPS'!$BH$443:$BH$542=BJ34)*('C19RM 2021-Lab &amp; Other HPS'!$BR$443:$BR$542)*(('C19RM 2021-Lab &amp; Other HPS'!$AO$443:$AO$542)))),(IF((INDEX(SETUP!$F$19:$F$503,(MATCH(1,(SETUP!$B$19:$B$503=B34)*(SETUP!$D$19:$D$503=D34),0))))="At delivery",IF((INDEX(SETUP!$G$19:$G$503,(MATCH(1,(SETUP!$B$19:$B$503=B34)*(SETUP!$D$19:$D$503=D34),0))))=4,(SUMPRODUCT(('C19RM 2021-Lab &amp; Other HPS'!$A$443:$D$542=E34)*('C19RM 2021-Lab &amp; Other HPS'!$BH$443:$BH$542=BJ34)*('C19RM 2021-Lab &amp; Other HPS'!$BQ$443:$BQ$542)*(('C19RM 2021-Lab &amp; Other HPS'!$AH$443:$AH$542)))),IF((INDEX(SETUP!$G$19:$G$503,(MATCH(1,(SETUP!$B$19:$B$503=B34)*(SETUP!$D$19:$D$503=D34),0))))=3,(SUMPRODUCT(('C19RM 2021-Lab &amp; Other HPS'!$A$443:$D$542=E34)*('C19RM 2021-Lab &amp; Other HPS'!$BH$443:$BH$542=BJ34)*('C19RM 2021-Lab &amp; Other HPS'!$BR$443:$BR$542)*(('C19RM 2021-Lab &amp; Other HPS'!$AL$443:$AL$542)))),IF((INDEX(SETUP!$G$19:$G$503,(MATCH(1,(SETUP!$B$19:$B$503=B34)*(SETUP!$D$19:$D$503=D34),0))))=2,(SUMPRODUCT(('C19RM 2021-Lab &amp; Other HPS'!$A$443:$D$542=E34)*('C19RM 2021-Lab &amp; Other HPS'!$BH$443:$BH$542=BJ34)*('C19RM 2021-Lab &amp; Other HPS'!$BR$443:$BR$542)*(('C19RM 2021-Lab &amp; Other HPS'!$AM$443:$AM$542)))),IF((INDEX(SETUP!$G$19:$G$503,(MATCH(1,(SETUP!$B$19:$B$503=B34)*(SETUP!$D$19:$D$503=D34),0))))=1,(SUMPRODUCT(('C19RM 2021-Lab &amp; Other HPS'!$A$443:$D$542=E34)*('C19RM 2021-Lab &amp; Other HPS'!$BH$443:$BH$542=BJ34)*('C19RM 2021-Lab &amp; Other HPS'!$BR$443:$BR$542)*(('C19RM 2021-Lab &amp; Other HPS'!$AN$443:$AN$542)))),0)))),0)))</f>
        <v>0</v>
      </c>
      <c r="AH34" s="359" cm="1">
        <f t="array" ref="AH34">IF((INDEX(SETUP!$F$19:$F$503,(MATCH(1,(SETUP!$B$19:$B$503=B34)*(SETUP!$D$19:$D$503=D34),0))))="Upfront",
(SUMPRODUCT(('C19RM 2021-Lab &amp; Other HPS'!$A$443:$D$542=E34)*('C19RM 2021-Lab &amp; Other HPS'!$BH$443:$BH$542=BJ34)*('C19RM 2021-Lab &amp; Other HPS'!$BS$443:$BS$542)*(('C19RM 2021-Lab &amp; Other HPS'!$AS$443:$AS$542)))),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HPS'!$AL$443:$AL$542)))),IF((INDEX(SETUP!$G$19:$G$503,(MATCH(1,(SETUP!$B$19:$B$503=B34)*(SETUP!$D$19:$D$503=D34),0))))=3,((SUMPRODUCT(('C19RM 2021-Lab &amp; Other HPS'!$A$443:$D$542=E34)*('C19RM 2021-Lab &amp; Other HPS'!$BH$443:$BH$542=BJ34)*('C19RM 2021-Lab &amp; Other HPS'!$BR$443:$BR$542)*(('C19RM 2021-Lab &amp; Other HPS'!$AM$443:$AM$542))))),IF((INDEX(SETUP!$G$19:$G$503,(MATCH(1,(SETUP!$B$19:$B$503=B34)*(SETUP!$D$19:$D$503=D34),0))))=2,(SUMPRODUCT(('C19RM 2021-Lab &amp; Other HPS'!$A$443:$D$542=E34)*('C19RM 2021-Lab &amp; Other HPS'!$BH$443:$BH$542=BJ34)*('C19RM 2021-Lab &amp; Other HPS'!$BR$443:$BR$542)*(('C19RM 2021-Lab &amp; Other HPS'!$AN$443:$AN$542)))),IF((INDEX(SETUP!$G$19:$G$503,(MATCH(1,(SETUP!$B$19:$B$503=B34)*(SETUP!$D$19:$D$503=D34),0))))=1,(SUMPRODUCT(('C19RM 2021-Lab &amp; Other HPS'!$A$443:$D$542=E34)*('C19RM 2021-Lab &amp; Other HPS'!$BH$443:$BH$542=BJ34)*('C19RM 2021-Lab &amp; Other HPS'!$BR$443:$BR$542)*(('C19RM 2021-Lab &amp; Other HPS'!$AO$443:$AO$542)))),0)))),0)))</f>
        <v>0</v>
      </c>
      <c r="AI34" s="359" cm="1">
        <f t="array" ref="AI34">IF((INDEX(SETUP!$F$19:$F$503,(MATCH(1,(SETUP!$B$19:$B$503=B34)*(SETUP!$D$19:$D$503=D34),0))))="Upfront",
(SUMPRODUCT(('C19RM 2021-Lab &amp; Other HPS'!$A$443:$D$542=E34)*('C19RM 2021-Lab &amp; Other HPS'!$BH$443:$BH$542=BJ34)*('C19RM 2021-Lab &amp; Other HPS'!$BS$443:$BS$542)*(('C19RM 2021-Lab &amp; Other HPS'!$AT$443:$AT$542)))),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HPS'!$AM$443:$AM$542)))),IF((INDEX(SETUP!$G$19:$G$503,(MATCH(1,(SETUP!$B$19:$B$503=B34)*(SETUP!$D$19:$D$503=D34),0))))=3,((SUMPRODUCT(('C19RM 2021-Lab &amp; Other HPS'!$A$443:$D$542=E34)*('C19RM 2021-Lab &amp; Other HPS'!$BH$443:$BH$542=BJ34)*('C19RM 2021-Lab &amp; Other HPS'!$BR$443:$BR$542)*(('C19RM 2021-Lab &amp; Other HPS'!$AN$443:$AN$542))))),IF((INDEX(SETUP!$G$19:$G$503,(MATCH(1,(SETUP!$B$19:$B$503=B34)*(SETUP!$D$19:$D$503=D34),0))))=2,(SUMPRODUCT(('C19RM 2021-Lab &amp; Other HPS'!$A$443:$D$542=E34)*('C19RM 2021-Lab &amp; Other HPS'!$BH$443:$BH$542=BJ34)*('C19RM 2021-Lab &amp; Other HPS'!$BR$443:$BR$542)*(('C19RM 2021-Lab &amp; Other HPS'!$AO$443:$AO$542)))),IF((INDEX(SETUP!$G$19:$G$503,(MATCH(1,(SETUP!$B$19:$B$503=B34)*(SETUP!$D$19:$D$503=D34),0))))=1,(SUMPRODUCT(('C19RM 2021-Lab &amp; Other HPS'!$A$443:$D$542=E34)*('C19RM 2021-Lab &amp; Other HPS'!$BH$443:$BH$542=BJ34)*('C19RM 2021-Lab &amp; Other HPS'!$BS$443:$BS$542)*(('C19RM 2021-Lab &amp; Other HPS'!$AS$443:$AS$542)))),0)))),0)))</f>
        <v>0</v>
      </c>
      <c r="AJ34" s="359" cm="1">
        <f t="array" ref="AJ34">IF((INDEX(SETUP!$F$19:$F$503,(MATCH(1,(SETUP!$B$19:$B$503=B34)*(SETUP!$D$19:$D$503=D34),0))))="Upfront",
(SUMPRODUCT(('C19RM 2021-Lab &amp; Other HPS'!$A$443:$D$542=E34)*('C19RM 2021-Lab &amp; Other HPS'!$BH$443:$BH$542=BJ34)*('C19RM 2021-Lab &amp; Other HPS'!$BS$443:$BS$542)*(('C19RM 2021-Lab &amp; Other HPS'!$AU$443:$AU$542)))),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HPS'!$AN$443:$AN$542)))),IF((INDEX(SETUP!$G$19:$G$503,(MATCH(1,(SETUP!$B$19:$B$503=B34)*(SETUP!$D$19:$D$503=D34),0))))=3,((SUMPRODUCT(('C19RM 2021-Lab &amp; Other HPS'!$A$443:$D$542=E34)*('C19RM 2021-Lab &amp; Other HPS'!$BH$443:$BH$542=BJ34)*('C19RM 2021-Lab &amp; Other HPS'!$BR$443:$BR$542)*(('C19RM 2021-Lab &amp; Other HPS'!$AO$443:$AO$542))))),IF((INDEX(SETUP!$G$19:$G$503,(MATCH(1,(SETUP!$B$19:$B$503=B34)*(SETUP!$D$19:$D$503=D34),0))))=2,(SUMPRODUCT(('C19RM 2021-Lab &amp; Other HPS'!$A$443:$D$542=E34)*('C19RM 2021-Lab &amp; Other HPS'!$BH$443:$BH$542=BJ34)*('C19RM 2021-Lab &amp; Other HPS'!$BS$443:$BS$542)*(('C19RM 2021-Lab &amp; Other HPS'!$AS$443:$AS$542)))),IF((INDEX(SETUP!$G$19:$G$503,(MATCH(1,(SETUP!$B$19:$B$503=B34)*(SETUP!$D$19:$D$503=D34),0))))=1,(SUMPRODUCT(('C19RM 2021-Lab &amp; Other HPS'!$A$443:$D$542=E34)*('C19RM 2021-Lab &amp; Other HPS'!$BH$443:$BH$542=BJ34)*('C19RM 2021-Lab &amp; Other HPS'!$BS$443:$BS$542)*(('C19RM 2021-Lab &amp; Other HPS'!$AT$443:$AT$542)))),0)))),0)))</f>
        <v>0</v>
      </c>
      <c r="AK34" s="359" cm="1">
        <f t="array" ref="AK34">IF((INDEX(SETUP!$F$19:$F$503,(MATCH(1,(SETUP!$B$19:$B$503=B34)*(SETUP!$D$19:$D$503=D34),0))))="Upfront",
(SUMPRODUCT(('C19RM 2021-Lab &amp; Other HPS'!$A$443:$D$542=E34)*('C19RM 2021-Lab &amp; Other HPS'!$BH$443:$BH$542=BJ34)*('C19RM 2021-Lab &amp; Other HPS'!$BS$443:$BS$542)*(('C19RM 2021-Lab &amp; Other HPS'!$AV$443:$AV$542)))),
(IF((INDEX(SETUP!$F$19:$F$503,(MATCH(1,(SETUP!$B$19:$B$503=B34)*(SETUP!$D$19:$D$503=D34),0))))="At delivery",
IF((INDEX(SETUP!$G$19:$G$503,(MATCH(1,(SETUP!$B$19:$B$503=B34)*(SETUP!$D$19:$D$503=D34),0))))=4,
(SUMPRODUCT(('C19RM 2021-Lab &amp; Other HPS'!$A$443:$D$542=E34)*('C19RM 2021-Lab &amp; Other HPS'!$BH$443:$BH$542=BJ34)*('C19RM 2021-Lab &amp; Other HPS'!$BR$443:$BR$542)*(('C19RM 2021-Lab &amp; Other HPS'!$AO$443:$AO$542)))),IF((INDEX(SETUP!$G$19:$G$503,(MATCH(1,(SETUP!$B$19:$B$503=B34)*(SETUP!$D$19:$D$503=D34),0))))=3,((SUMPRODUCT(('C19RM 2021-Lab &amp; Other HPS'!$A$443:$D$542=E34)*('C19RM 2021-Lab &amp; Other HPS'!$BH$443:$BH$542=BJ34)*('C19RM 2021-Lab &amp; Other HPS'!$BS$443:$BS$542)*(('C19RM 2021-Lab &amp; Other HPS'!$AS$443:$AS$542))))),IF((INDEX(SETUP!$G$19:$G$503,(MATCH(1,(SETUP!$B$19:$B$503=B34)*(SETUP!$D$19:$D$503=D34),0))))=2,(SUMPRODUCT(('C19RM 2021-Lab &amp; Other HPS'!$A$443:$D$542=E34)*('C19RM 2021-Lab &amp; Other HPS'!$BH$443:$BH$542=BJ34)*('C19RM 2021-Lab &amp; Other HPS'!$BS$443:$BS$542)*(('C19RM 2021-Lab &amp; Other HPS'!$AT$443:$AT$542)))),IF((INDEX(SETUP!$G$19:$G$503,(MATCH(1,(SETUP!$B$19:$B$503=B34)*(SETUP!$D$19:$D$503=D34),0))))=1,(SUMPRODUCT(('C19RM 2021-Lab &amp; Other HPS'!$A$443:$D$542=E34)*('C19RM 2021-Lab &amp; Other HPS'!$BH$443:$BH$542=BJ34)*('C19RM 2021-Lab &amp; Other HPS'!$BS$443:$BS$542)*(('C19RM 2021-Lab &amp; Other HPS'!$AU$443:$AU$542)))),0)))),0)))</f>
        <v>0</v>
      </c>
      <c r="AL34" s="359" cm="1">
        <f t="array" ref="AL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HPS'!$AS$443:$AS$542)))),IF((INDEX(SETUP!$G$19:$G$503,(MATCH(1,(SETUP!$B$19:$B$503=B34)*(SETUP!$D$19:$D$503=D34),0))))=3,(SUMPRODUCT(('C19RM 2021-Lab &amp; Other HPS'!$A$443:$D$542=E34)*('C19RM 2021-Lab &amp; Other HPS'!$BH$443:$BH$542=BJ34)*('C19RM 2021-Lab &amp; Other HPS'!$BS$443:$BS$542)*(('C19RM 2021-Lab &amp; Other HPS'!$AT$443:$AT$542)))),IF((INDEX(SETUP!$G$19:$G$503,(MATCH(1,(SETUP!$B$19:$B$503=B34)*(SETUP!$D$19:$D$503=D34),0))))=2,(SUMPRODUCT(('C19RM 2021-Lab &amp; Other HPS'!$A$443:$D$542=E34)*('C19RM 2021-Lab &amp; Other HPS'!$BH$443:$BH$542=BJ34)*('C19RM 2021-Lab &amp; Other HPS'!$BS$443:$BS$542)*(('C19RM 2021-Lab &amp; Other HPS'!$AU$443:$AU$542)))),
IF((INDEX(SETUP!$G$19:$G$503,(MATCH(1,(SETUP!$B$19:$B$503=B34)*(SETUP!$D$19:$D$503=D34),0))))=1,
(SUMPRODUCT(('C19RM 2021-Lab &amp; Other HPS'!$A$443:$D$542=E34)*('C19RM 2021-Lab &amp; Other HPS'!$BH$443:$BH$542=BJ34)*('C19RM 2021-Lab &amp; Other HPS'!$BS$443:$BS$542)*(('C19RM 2021-Lab &amp; Other HPS'!$AV$443:$AV$542)))),0)))),0)))</f>
        <v>0</v>
      </c>
      <c r="AM34" s="359" cm="1">
        <f t="array" ref="AM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HPS'!$AT$443:$AT$542)))),IF((INDEX(SETUP!$G$19:$G$503,(MATCH(1,(SETUP!$B$19:$B$503=B34)*(SETUP!$D$19:$D$503=D34),0))))=3,(SUMPRODUCT(('C19RM 2021-Lab &amp; Other HPS'!$A$443:$D$542=E34)*('C19RM 2021-Lab &amp; Other HPS'!$BH$443:$BH$542=BJ34)*('C19RM 2021-Lab &amp; Other HPS'!$BS$443:$BS$542)*(('C19RM 2021-Lab &amp; Other HPS'!$AU$443:$AU$542)))),IF((INDEX(SETUP!$G$19:$G$503,(MATCH(1,(SETUP!$B$19:$B$503=B34)*(SETUP!$D$19:$D$503=D34),0))))=2,(SUMPRODUCT(('C19RM 2021-Lab &amp; Other HPS'!$A$443:$D$542=E34)*('C19RM 2021-Lab &amp; Other HPS'!$BH$443:$BH$542=BJ34)*('C19RM 2021-Lab &amp; Other HPS'!$BS$443:$BS$542)*(('C19RM 2021-Lab &amp; Other HPS'!$AV$443:$AV$542)))),IF((INDEX(SETUP!$G$19:$G$503,(MATCH(1,(SETUP!$B$19:$B$503=B34)*(SETUP!$D$19:$D$503=D34),0))))=1,(0),0)))),0)))</f>
        <v>0</v>
      </c>
      <c r="AN34" s="359" cm="1">
        <f t="array" ref="AN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HPS'!$AU$443:$AU$542)))),IF((INDEX(SETUP!$G$19:$G$503,(MATCH(1,(SETUP!$B$19:$B$503=B34)*(SETUP!$D$19:$D$503=D34),0))))=3,(SUMPRODUCT(('C19RM 2021-Lab &amp; Other HPS'!$A$443:$D$542=E34)*('C19RM 2021-Lab &amp; Other HPS'!$BH$443:$BH$542=BJ34)*('C19RM 2021-Lab &amp; Other HPS'!$BS$443:$BS$542)*(('C19RM 2021-Lab &amp; Other HPS'!$AV$443:$AV$542)))),IF((INDEX(SETUP!$G$19:$G$503,(MATCH(1,(SETUP!$B$19:$B$503=B34)*(SETUP!$D$19:$D$503=D34),0))))=2,(0),IF((INDEX(SETUP!$G$19:$G$503,(MATCH(1,(SETUP!$B$19:$B$503=B34)*(SETUP!$D$19:$D$503=D34),0))))=1,(0),0)))),0)))</f>
        <v>0</v>
      </c>
      <c r="AO34" s="359" cm="1">
        <f t="array" ref="AO34">IF((INDEX(SETUP!$F$19:$F$503,(MATCH(1,(SETUP!$B$19:$B$503=B34)*(SETUP!$D$19:$D$503=D34),0))))="Upfront",0,(IF((INDEX(SETUP!$F$19:$F$503,(MATCH(1,(SETUP!$B$19:$B$503=B34)*(SETUP!$D$19:$D$503=D34),0))))="At delivery",IF((INDEX(SETUP!$G$19:$G$503,(MATCH(1,(SETUP!$B$19:$B$503=B34)*(SETUP!$D$19:$D$503=D34),0))))=4,(SUMPRODUCT(('C19RM 2021-Lab &amp; Other HPS'!$A$443:$D$542=E34)*('C19RM 2021-Lab &amp; Other HPS'!$BH$443:$BH$542=BJ34)*('C19RM 2021-Lab &amp; Other HPS'!$BS$443:$BS$542)*(('C19RM 2021-Lab &amp; Other HPS'!$AV$443:$AV$542)))),IF((INDEX(SETUP!$G$19:$G$503,(MATCH(1,(SETUP!$B$19:$B$503=B34)*(SETUP!$D$19:$D$503=D34),0))))=3,(0),IF((INDEX(SETUP!$G$19:$G$503,(MATCH(1,(SETUP!$B$19:$B$503=B34)*(SETUP!$D$19:$D$503=D34),0))))=2,(0),IF((INDEX(SETUP!$G$19:$G$503,(MATCH(1,(SETUP!$B$19:$B$503=B34)*(SETUP!$D$19:$D$503=D34),0))))=1,(0),0)))),0)))</f>
        <v>0</v>
      </c>
      <c r="AP34" s="359"/>
      <c r="AQ34" s="359"/>
      <c r="AR34" s="359"/>
      <c r="AS34" s="359"/>
      <c r="AT34" s="359" cm="1">
        <f t="array" ref="AT34">IF(BG34&gt;=1,0,IFERROR(SUMPRODUCT(($R$2:$AO$2=$AT$4)*($E$5:$E$100=E34)*($BC$5:$BC$100=BC34)*($R$5:$AO$100)),0))</f>
        <v>0</v>
      </c>
      <c r="AU34" s="359" cm="1">
        <f t="array" ref="AU34">IF(BG34&gt;=1,0,IFERROR(SUMPRODUCT(($R$2:$AO$2=$AU$4)*($E$5:$E$100=E34)*($BC$5:$BC$100=BC34)*($R$5:$AO$100)),0))</f>
        <v>0</v>
      </c>
      <c r="AV34" s="359" cm="1">
        <f t="array" ref="AV34">IF(BG34&gt;=1,0,IFERROR(SUMPRODUCT(($R$2:$AO$2=$AV$4)*($E$5:$E$100=E34)*($BC$5:$BC$100=BC34)*($R$5:$AO$100)),0))</f>
        <v>0</v>
      </c>
      <c r="AW34" s="359" cm="1">
        <f t="array" ref="AW34">IF(BG34&gt;=1,0,IFERROR(SUMPRODUCT(($R$2:$AO$2=$AW$4)*($E$5:$E$100=E34)*($BC$5:$BC$100=BC34)*($R$5:$AO$100)),0))</f>
        <v>0</v>
      </c>
      <c r="AX34" s="359" cm="1">
        <f t="array" ref="AX34">IF(BG34&gt;=1,0,IFERROR(SUMPRODUCT(($R$2:$AO$2=$AX$4)*($E$5:$E$100=E34)*($BC$5:$BC$100=BC34)*($R$5:$AO$100)),0))</f>
        <v>0</v>
      </c>
      <c r="AY34" s="359">
        <f t="shared" si="5"/>
        <v>0</v>
      </c>
      <c r="AZ34" s="359"/>
      <c r="BA34" s="233">
        <f t="shared" si="6"/>
        <v>0</v>
      </c>
      <c r="BB34" s="220" t="s">
        <v>83</v>
      </c>
      <c r="BC34" t="s">
        <v>182</v>
      </c>
      <c r="BD34" cm="1">
        <f t="array" ref="BD34">(SUMPRODUCT(('C19RM 2021-Lab &amp; Other HPS'!$A$14:$D$650=E34)*('C19RM 2021-Lab &amp; Other HPS'!$BU$14:$BU$650)))</f>
        <v>0</v>
      </c>
      <c r="BE34" cm="1">
        <f t="array" ref="BE34">(SUMPRODUCT((SETUP!$D$20:$D$67=D34)*(SETUP!$R$20:$R$67)))</f>
        <v>0</v>
      </c>
      <c r="BF34" cm="1">
        <f t="array" ref="BF34">(SUMPRODUCT(('C19RM 2021-Lab &amp; Other HPS'!$A$14:$D$650=E34)*('C19RM 2021-Lab &amp; Other HPS'!$BV$14:$BV$650)))</f>
        <v>0</v>
      </c>
      <c r="BG34">
        <f t="shared" si="26"/>
        <v>0</v>
      </c>
      <c r="BJ34" s="235">
        <v>6.5</v>
      </c>
    </row>
    <row r="35" spans="1:62" x14ac:dyDescent="0.35">
      <c r="A35" s="235">
        <v>5</v>
      </c>
      <c r="B35" s="220" t="s">
        <v>2750</v>
      </c>
      <c r="C35" s="235" t="s">
        <v>3035</v>
      </c>
      <c r="D35" s="947" t="s">
        <v>29</v>
      </c>
      <c r="E35" s="235" t="s">
        <v>29</v>
      </c>
      <c r="F35" s="220">
        <f>SETUP!$E$3</f>
        <v>0</v>
      </c>
      <c r="G35" s="220" t="str">
        <f ca="1">SETUP!$J$5</f>
        <v>NA</v>
      </c>
      <c r="H35" s="220" t="str">
        <f>SETUP!$E$9</f>
        <v>C19RM</v>
      </c>
      <c r="I35" s="232">
        <f t="shared" si="22"/>
        <v>44197</v>
      </c>
      <c r="J35" s="232">
        <f>SETUP!$L$14</f>
        <v>46022</v>
      </c>
      <c r="K35" s="220">
        <f>IFERROR(VLOOKUP(E35,'Master Data-C19RM'!$A$5:$B$35,2,0),0)</f>
        <v>0</v>
      </c>
      <c r="L35">
        <f t="shared" si="23"/>
        <v>0</v>
      </c>
      <c r="M35">
        <f>SETUP!$E$7</f>
        <v>0</v>
      </c>
      <c r="N35">
        <f>SETUP!$F$76</f>
        <v>6.1</v>
      </c>
      <c r="O35" t="str" cm="1">
        <f t="array" ref="O35">INDEX(SETUP!$E$19:$E$503,(MATCH(1,(SETUP!$B$19:$B$503=B35)*(SETUP!$D$19:$D$503=D35),0)))</f>
        <v>PR/SR</v>
      </c>
      <c r="P35" t="str" cm="1">
        <f t="array" ref="P35">INDEX(SETUP!$F$19:$F$503,(MATCH(1,(SETUP!$B$19:$B$503=B35)*(SETUP!$D$19:$D$503=D35),0)))</f>
        <v>At delivery</v>
      </c>
      <c r="Q35" cm="1">
        <f t="array" ref="Q35">INDEX(SETUP!$G$19:$G$503,(MATCH(1,(SETUP!$B$19:$B$503=B35)*(SETUP!$D$19:$D$503=D35),0)))</f>
        <v>1</v>
      </c>
      <c r="R35" s="359" cm="1">
        <f t="array" ref="R35">IF((INDEX(SETUP!$F$19:$F$503,(MATCH(1,(SETUP!$B$19:$B$503=B35)*(SETUP!$D$19:$D$503=D35),0))))="Upfront",(SUMPRODUCT(('C19RM 2021-Lab &amp; Other HPS'!$A$443:$D$542=E35)*('C19RM 2021-Lab &amp; Other HPS'!$BH$443:$BH$542=BJ35)*('C19RM 2021-Lab &amp; Other HPS'!$BO$443:$BO$542)*(('C19RM 2021-Lab &amp; Other HPS'!$Q$443:$Q$542)))),0)</f>
        <v>0</v>
      </c>
      <c r="S35" s="359" cm="1">
        <f t="array" ref="S35">IF((INDEX(SETUP!$F$19:$F$503,(MATCH(1,(SETUP!$B$19:$B$503=B35)*(SETUP!$D$19:$D$503=D35),0))))="Upfront",(SUMPRODUCT(('C19RM 2021-Lab &amp; Other HPS'!$A$443:$D$542=E35)*('C19RM 2021-Lab &amp; Other HPS'!$BH$443:$BH$542=BJ35)*('C19RM 2021-Lab &amp; Other HPS'!$BO$443:$BO$542)*(('C19RM 2021-Lab &amp; Other HPS'!$R$443:$R$542)))),(IF((INDEX(SETUP!$F$19:$F$503,(MATCH(1,(SETUP!$B$19:$B$503=B35)*(SETUP!$D$19:$D$503=D35),0))))="At delivery",IF((INDEX(SETUP!$G$19:$G$503,(MATCH(1,(SETUP!$B$19:$B$503=B35)*(SETUP!$D$19:$D$503=D35),0))))=1,(SUMPRODUCT(('C19RM 2021-Lab &amp; Other HPS'!$A$443:$D$542=E35)*('C19RM 2021-Lab &amp; Other HPS'!$BH$443:$BH$542=BJ35)*('C19RM 2021-Lab &amp; Other HPS'!$BO$443:$BO$542)*(('C19RM 2021-Lab &amp; Other HPS'!$Q$443:$Q$542)))),0),0)))</f>
        <v>0</v>
      </c>
      <c r="T35" s="359" cm="1">
        <f t="array" ref="T35">IF((INDEX(SETUP!$F$19:$F$503,(MATCH(1,(SETUP!$B$19:$B$503=B35)*(SETUP!$D$19:$D$503=D35),0))))="Upfront",(SUMPRODUCT(('C19RM 2021-Lab &amp; Other HPS'!$A$443:$D$542=E35)*('C19RM 2021-Lab &amp; Other HPS'!$BH$443:$BH$542=BJ35)*('C19RM 2021-Lab &amp; Other HPS'!$BO$443:$BO$542)*(('C19RM 2021-Lab &amp; Other HPS'!$S$443:$S$542)))),(IF((INDEX(SETUP!$F$19:$F$503,(MATCH(1,(SETUP!$B$19:$B$503=B35)*(SETUP!$D$19:$D$503=D35),0))))="At delivery",IF((INDEX(SETUP!$G$19:$G$503,(MATCH(1,(SETUP!$B$19:$B$503=B35)*(SETUP!$D$19:$D$503=D35),0))))=2,(SUMPRODUCT(('C19RM 2021-Lab &amp; Other HPS'!$A$443:$D$542=E35)*('C19RM 2021-Lab &amp; Other HPS'!$BH$443:$BH$542=BJ35)*('C19RM 2021-Lab &amp; Other HPS'!$BO$443:$BO$542)*(('C19RM 2021-Lab &amp; Other HPS'!$Q$443:$Q$542)))),IF((INDEX(SETUP!$G$19:$G$503,(MATCH(1,(SETUP!$B$19:$B$503=B35)*(SETUP!$D$19:$D$503=D35),0))))=1,(SUMPRODUCT(('C19RM 2021-Lab &amp; Other HPS'!$A$443:$D$542=E35)*('C19RM 2021-Lab &amp; Other HPS'!$BH$443:$BH$542=BJ35)*('C19RM 2021-Lab &amp; Other HPS'!$BO$443:$BO$542)*(('C19RM 2021-Lab &amp; Other HPS'!$R$443:$R$542)))),0)),0)))</f>
        <v>0</v>
      </c>
      <c r="U35" s="359" cm="1">
        <f t="array" ref="U35">IF((INDEX(SETUP!$F$19:$F$503,(MATCH(1,(SETUP!$B$19:$B$503=B35)*(SETUP!$D$19:$D$503=D35),0))))="Upfront",(SUMPRODUCT(('C19RM 2021-Lab &amp; Other HPS'!$A$443:$D$542=E35)*('C19RM 2021-Lab &amp; Other HPS'!$BH$443:$BH$542=BJ35)*('C19RM 2021-Lab &amp; Other HPS'!$BO$443:$BO$542)*(('C19RM 2021-Lab &amp; Other HPS'!$T$443:$T$542)))),(IF((INDEX(SETUP!$F$19:$F$503,(MATCH(1,(SETUP!$B$19:$B$503=B35)*(SETUP!$D$19:$D$503=D35),0))))="At delivery",IF((INDEX(SETUP!$G$19:$G$503,(MATCH(1,(SETUP!$B$19:$B$503=B35)*(SETUP!$D$19:$D$503=D35),0))))=3,(SUMPRODUCT(('C19RM 2021-Lab &amp; Other HPS'!$A$443:$D$542=E35)*('C19RM 2021-Lab &amp; Other HPS'!$BH$443:$BH$542=BJ35)*('C19RM 2021-Lab &amp; Other HPS'!$BO$443:$BO$542)*(('C19RM 2021-Lab &amp; Other HPS'!$Q$443:$Q$542)))),IF((INDEX(SETUP!$G$19:$G$503,(MATCH(1,(SETUP!$B$19:$B$503=B35)*(SETUP!$D$19:$D$503=D35),0))))=2,(SUMPRODUCT(('C19RM 2021-Lab &amp; Other HPS'!$A$443:$D$542=E35)*('C19RM 2021-Lab &amp; Other HPS'!$BH$443:$BH$542=BJ35)*('C19RM 2021-Lab &amp; Other HPS'!$BO$443:$BO$542)*(('C19RM 2021-Lab &amp; Other HPS'!$R$443:$R$542)))),IF((INDEX(SETUP!$G$19:$G$503,(MATCH(1,(SETUP!$B$19:$B$503=B35)*(SETUP!$D$19:$D$503=D35),0))))=1,(SUMPRODUCT(('C19RM 2021-Lab &amp; Other HPS'!$A$443:$D$542=E35)*('C19RM 2021-Lab &amp; Other HPS'!$BH$443:$BH$542=BJ35)*('C19RM 2021-Lab &amp; Other HPS'!$BO$443:$BO$542)*(('C19RM 2021-Lab &amp; Other HPS'!$S$443:$S$542)))),0))),0)))</f>
        <v>0</v>
      </c>
      <c r="V35" s="359" cm="1">
        <f t="array" ref="V35">IF((INDEX(SETUP!$F$19:$F$503,(MATCH(1,(SETUP!$B$19:$B$503=B35)*(SETUP!$D$19:$D$503=D35),0))))="Upfront",(SUMPRODUCT(('C19RM 2021-Lab &amp; Other HPS'!$A$443:$D$542=E35)*('C19RM 2021-Lab &amp; Other HPS'!$BH$443:$BH$542=BJ35)*('C19RM 2021-Lab &amp; Other HPS'!$BP$443:$BP$542)*(('C19RM 2021-Lab &amp; Other HPS'!$X$443:$X$542)))),(IF((INDEX(SETUP!$F$19:$F$503,(MATCH(1,(SETUP!$B$19:$B$503=B35)*(SETUP!$D$19:$D$503=D35),0))))="At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HPS'!$Q$443:$Q$542)))),IF((INDEX(SETUP!$G$19:$G$503,(MATCH(1,(SETUP!$B$19:$B$503=B35)*(SETUP!$D$19:$D$503=D35),0))))=3,(SUMPRODUCT(('C19RM 2021-Lab &amp; Other HPS'!$A$443:$D$542=E35)*('C19RM 2021-Lab &amp; Other HPS'!$BH$443:$BH$542=BJ35)*('C19RM 2021-Lab &amp; Other HPS'!$BO$443:$BO$542)*(('C19RM 2021-Lab &amp; Other HPS'!$R$443:$R$542)))),IF((INDEX(SETUP!$G$19:$G$503,(MATCH(1,(SETUP!$B$19:$B$503=B35)*(SETUP!$D$19:$D$503=D35),0))))=2,(SUMPRODUCT(('C19RM 2021-Lab &amp; Other HPS'!$A$443:$D$542=E35)*('C19RM 2021-Lab &amp; Other HPS'!$BH$443:$BH$542=BJ35)*('C19RM 2021-Lab &amp; Other HPS'!$BO$443:$BO$542)*(('C19RM 2021-Lab &amp; Other HPS'!$S$443:$S$542)))),IF((INDEX(SETUP!$G$19:$G$503,(MATCH(1,(SETUP!$B$19:$B$503=B35)*(SETUP!$D$19:$D$503=D35),0))))=1,(SUMPRODUCT(('C19RM 2021-Lab &amp; Other HPS'!$A$443:$D$542=E35)*('C19RM 2021-Lab &amp; Other HPS'!$BH$443:$BH$542=BJ35)*('C19RM 2021-Lab &amp; Other HPS'!$BO$443:$BO$542)*(('C19RM 2021-Lab &amp; Other HPS'!$T$443:$T$542)))),0)))),0)))</f>
        <v>0</v>
      </c>
      <c r="W35" s="359" cm="1">
        <f t="array" ref="W35">IF((INDEX(SETUP!$F$19:$F$503,(MATCH(1,(SETUP!$B$19:$B$503=B35)*(SETUP!$D$19:$D$503=D35),0))))="Upfront",(SUMPRODUCT(('C19RM 2021-Lab &amp; Other HPS'!$A$443:$D$542=E35)*('C19RM 2021-Lab &amp; Other HPS'!$BH$443:$BH$542=BJ35)*('C19RM 2021-Lab &amp; Other HPS'!$BP$443:$BP$542)*(('C19RM 2021-Lab &amp; Other HPS'!$Y$443:$Y$542)))),(IF((INDEX(SETUP!$F$19:$F$503,(MATCH(1,(SETUP!$B$19:$B$503=B35)*(SETUP!$D$19:$D$503=D35),0))))="At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HPS'!$R$443:$R$542)))),IF((INDEX(SETUP!$G$19:$G$503,(MATCH(1,(SETUP!$B$19:$B$503=B35)*(SETUP!$D$19:$D$503=D35),0))))=3,(SUMPRODUCT(('C19RM 2021-Lab &amp; Other HPS'!$A$443:$D$542=E35)*('C19RM 2021-Lab &amp; Other HPS'!$BH$443:$BH$542=BJ35)*('C19RM 2021-Lab &amp; Other HPS'!$BO$443:$BO$542)*(('C19RM 2021-Lab &amp; Other HPS'!$S$443:$S$542)))),IF((INDEX(SETUP!$G$19:$G$503,(MATCH(1,(SETUP!$B$19:$B$503=B35)*(SETUP!$D$19:$D$503=D35),0))))=2,((SUMPRODUCT(('C19RM 2021-Lab &amp; Other HPS'!$A$443:$D$542=E35)*('C19RM 2021-Lab &amp; Other HPS'!$BH$443:$BH$542=BJ35)*('C19RM 2021-Lab &amp; Other HPS'!$BO$443:$BO$542)*(('C19RM 2021-Lab &amp; Other HPS'!$T$443:$T$542))))),IF((INDEX(SETUP!$G$19:$G$503,(MATCH(1,(SETUP!$B$19:$B$503=B35)*(SETUP!$D$19:$D$503=D35),0))))=1,(SUMPRODUCT(('C19RM 2021-Lab &amp; Other HPS'!$A$443:$D$542=E35)*('C19RM 2021-Lab &amp; Other HPS'!$BH$443:$BH$542=BJ35)*('C19RM 2021-Lab &amp; Other HPS'!$BP$443:$BP$542)*(('C19RM 2021-Lab &amp; Other HPS'!$X$443:$X$542)))),0)))),0)))</f>
        <v>0</v>
      </c>
      <c r="X35" s="359" cm="1">
        <f t="array" ref="X35">IF((INDEX(SETUP!$F$19:$F$503,(MATCH(1,(SETUP!$B$19:$B$503=B35)*(SETUP!$D$19:$D$503=D35),0))))="Upfront",(SUMPRODUCT(('C19RM 2021-Lab &amp; Other HPS'!$A$443:$D$542=E35)*('C19RM 2021-Lab &amp; Other HPS'!$BH$443:$BH$542=BJ35)*('C19RM 2021-Lab &amp; Other HPS'!$BP$443:$BP$542)*(('C19RM 2021-Lab &amp; Other HPS'!$Z$443:$Z$542)))),(IF((INDEX(SETUP!$F$19:$F$503,(MATCH(1,(SETUP!$B$19:$B$503=B35)*(SETUP!$D$19:$D$503=D35),0))))="At delivery",IF((INDEX(SETUP!$G$19:$G$503,(MATCH(1,(SETUP!$B$19:$B$503=B35)*(SETUP!$D$19:$D$503=D35),0))))=4,(SUMPRODUCT(('C19RM 2021-Lab &amp; Other HPS'!$A$443:$D$542=E35)*('C19RM 2021-Lab &amp; Other HPS'!$BH$443:$BH$542=BJ35)*('C19RM 2021-Lab &amp; Other HPS'!$BO$443:$BO$542)*(('C19RM 2021-Lab &amp; Other HPS'!$S$443:$S$542)))),IF((INDEX(SETUP!$G$19:$G$503,(MATCH(1,(SETUP!$B$19:$B$503=B35)*(SETUP!$D$19:$D$503=D35),0))))=3,((SUMPRODUCT(('C19RM 2021-Lab &amp; Other HPS'!$A$443:$D$542=E35)*('C19RM 2021-Lab &amp; Other HPS'!$BH$443:$BH$542=BJ35)*('C19RM 2021-Lab &amp; Other HPS'!$BO$443:$BO$542)*(('C19RM 2021-Lab &amp; Other HPS'!$T$443:$T$542))))),IF((INDEX(SETUP!$G$19:$G$503,(MATCH(1,(SETUP!$B$19:$B$503=B35)*(SETUP!$D$19:$D$503=D35),0))))=2,(SUMPRODUCT(('C19RM 2021-Lab &amp; Other HPS'!$A$443:$D$542=E35)*('C19RM 2021-Lab &amp; Other HPS'!$BH$443:$BH$542=BJ35)*('C19RM 2021-Lab &amp; Other HPS'!$BP$443:$BP$542)*(('C19RM 2021-Lab &amp; Other HPS'!$X$443:$X$542)))),IF((INDEX(SETUP!$G$19:$G$503,(MATCH(1,(SETUP!$B$19:$B$503=B35)*(SETUP!$D$19:$D$503=D35),0))))=1,(SUMPRODUCT(('C19RM 2021-Lab &amp; Other HPS'!$A$443:$D$542=E35)*('C19RM 2021-Lab &amp; Other HPS'!$BH$443:$BH$542=BJ35)*('C19RM 2021-Lab &amp; Other HPS'!$BP$443:$BP$542)*(('C19RM 2021-Lab &amp; Other HPS'!$Y$443:$Y$542)))),0)))),0)))</f>
        <v>0</v>
      </c>
      <c r="Y35" s="359" cm="1">
        <f t="array" ref="Y35">IF((INDEX(SETUP!$F$19:$F$503,(MATCH(1,(SETUP!$B$19:$B$503=B35)*(SETUP!$D$19:$D$503=D35),0))))="Upfront",
(SUMPRODUCT(('C19RM 2021-Lab &amp; Other HPS'!$A$443:$D$542=E35)*('C19RM 2021-Lab &amp; Other HPS'!$BH$443:$BH$542=BJ35)*('C19RM 2021-Lab &amp; Other HPS'!$BP$443:$BP$542)*(('C19RM 2021-Lab &amp; Other HPS'!$AA$443:$AA$542)))),
(IF((INDEX(SETUP!$F$19:$F$503,(MATCH(1,(SETUP!$B$19:$B$503=B35)*(SETUP!$D$19:$D$503=D35),0))))="At delivery",
IF((INDEX(SETUP!$G$19:$G$503,(MATCH(1,(SETUP!$B$19:$B$503=B35)*(SETUP!$D$19:$D$503=D35),0))))=4,
((SUMPRODUCT(('C19RM 2021-Lab &amp; Other HPS'!$A$443:$D$542=E35)*('C19RM 2021-Lab &amp; Other HPS'!$BH$443:$BH$542=BJ35)*('C19RM 2021-Lab &amp; Other HPS'!$BO$443:$BO$542)*(('C19RM 2021-Lab &amp; Other HPS'!$T$443:$T$542))))),IF((INDEX(SETUP!$G$19:$G$503,(MATCH(1,(SETUP!$B$19:$B$503=B35)*(SETUP!$D$19:$D$503=D35),0))))=3,(SUMPRODUCT(('C19RM 2021-Lab &amp; Other HPS'!$A$443:$D$542=E35)*('C19RM 2021-Lab &amp; Other HPS'!$BH$443:$BH$542=BJ35)*('C19RM 2021-Lab &amp; Other HPS'!$BP$443:$BP$542)*(('C19RM 2021-Lab &amp; Other HPS'!$X$443:$X$542)))),IF((INDEX(SETUP!$G$19:$G$503,(MATCH(1,(SETUP!$B$19:$B$503=B35)*(SETUP!$D$19:$D$503=D35),0))))=2,(SUMPRODUCT(('C19RM 2021-Lab &amp; Other HPS'!$A$443:$D$542=E35)*('C19RM 2021-Lab &amp; Other HPS'!$BH$443:$BH$542=BJ35)*('C19RM 2021-Lab &amp; Other HPS'!$BP$443:$BP$542)*(('C19RM 2021-Lab &amp; Other HPS'!$Y$443:$Y$542)))),IF((INDEX(SETUP!$G$19:$G$503,(MATCH(1,(SETUP!$B$19:$B$503=B35)*(SETUP!$D$19:$D$503=D35),0))))=1,(SUMPRODUCT(('C19RM 2021-Lab &amp; Other HPS'!$A$443:$D$542=E35)*('C19RM 2021-Lab &amp; Other HPS'!$BH$443:$BH$542=BJ35)*('C19RM 2021-Lab &amp; Other HPS'!$BP$443:$BP$542)*(('C19RM 2021-Lab &amp; Other HPS'!$Z$443:$Z$542)))),0)))),0)))</f>
        <v>0</v>
      </c>
      <c r="Z35" s="359" cm="1">
        <f t="array" ref="Z35">IF((INDEX(SETUP!$F$19:$F$503,(MATCH(1,(SETUP!$B$19:$B$503=B35)*(SETUP!$D$19:$D$503=D35),0))))="Upfront",(SUMPRODUCT(('C19RM 2021-Lab &amp; Other HPS'!$A$443:$D$542=E35)*('C19RM 2021-Lab &amp; Other HPS'!$BH$443:$BH$542=BJ35)*('C19RM 2021-Lab &amp; Other HPS'!$BQ$443:$BQ$542)*(('C19RM 2021-Lab &amp; Other HPS'!$AE$443:$AE$542)))),(IF((INDEX(SETUP!$F$19:$F$503,(MATCH(1,(SETUP!$B$19:$B$503=B35)*(SETUP!$D$19:$D$503=D35),0))))="At delivery",IF((INDEX(SETUP!$G$19:$G$503,(MATCH(1,(SETUP!$B$19:$B$503=B35)*(SETUP!$D$19:$D$503=D35),0))))=4,(SUMPRODUCT(('C19RM 2021-Lab &amp; Other HPS'!$A$443:$D$542=E35)*('C19RM 2021-Lab &amp; Other HPS'!$BH$443:$BH$542=BJ35)*('C19RM 2021-Lab &amp; Other HPS'!$BP$443:$BP$542)*(('C19RM 2021-Lab &amp; Other HPS'!$X$443:$X$542)))),IF((INDEX(SETUP!$G$19:$G$503,(MATCH(1,(SETUP!$B$19:$B$503=B35)*(SETUP!$D$19:$D$503=D35),0))))=3,(SUMPRODUCT(('C19RM 2021-Lab &amp; Other HPS'!$A$443:$D$542=E35)*('C19RM 2021-Lab &amp; Other HPS'!$BH$443:$BH$542=BJ35)*('C19RM 2021-Lab &amp; Other HPS'!$BP$443:$BP$542)*(('C19RM 2021-Lab &amp; Other HPS'!$Y$443:$Y$542)))),IF((INDEX(SETUP!$G$19:$G$503,(MATCH(1,(SETUP!$B$19:$B$503=B35)*(SETUP!$D$19:$D$503=D35),0))))=2,(SUMPRODUCT(('C19RM 2021-Lab &amp; Other HPS'!$A$443:$D$542=E35)*('C19RM 2021-Lab &amp; Other HPS'!$BH$443:$BH$542=BJ35)*('C19RM 2021-Lab &amp; Other HPS'!$BP$443:$BP$542)*(('C19RM 2021-Lab &amp; Other HPS'!$Z$443:$Z$542)))),IF((INDEX(SETUP!$G$19:$G$503,(MATCH(1,(SETUP!$B$19:$B$503=B35)*(SETUP!$D$19:$D$503=D35),0))))=1,(SUMPRODUCT(('C19RM 2021-Lab &amp; Other HPS'!$A$443:$D$542=E35)*('C19RM 2021-Lab &amp; Other HPS'!$BH$443:$BH$542=BJ35)*('C19RM 2021-Lab &amp; Other HPS'!$BP$443:$BP$542)*(('C19RM 2021-Lab &amp; Other HPS'!$AA$443:$AA$542)))),0)))),0)))</f>
        <v>0</v>
      </c>
      <c r="AA35" s="359" cm="1">
        <f t="array" ref="AA35">IF((INDEX(SETUP!$F$19:$F$503,(MATCH(1,(SETUP!$B$19:$B$503=B35)*(SETUP!$D$19:$D$503=D35),0))))="Upfront",(SUMPRODUCT(('C19RM 2021-Lab &amp; Other HPS'!$A$443:$D$542=E35)*('C19RM 2021-Lab &amp; Other HPS'!$BH$443:$BH$542=BJ35)*('C19RM 2021-Lab &amp; Other HPS'!$BQ$443:$BQ$542)*(('C19RM 2021-Lab &amp; Other HPS'!$AF$443:$AF$542)))),(IF((INDEX(SETUP!$F$19:$F$503,(MATCH(1,(SETUP!$B$19:$B$503=B35)*(SETUP!$D$19:$D$503=D35),0))))="At delivery",IF((INDEX(SETUP!$G$19:$G$503,(MATCH(1,(SETUP!$B$19:$B$503=B35)*(SETUP!$D$19:$D$503=D35),0))))=4,(SUMPRODUCT(('C19RM 2021-Lab &amp; Other HPS'!$A$443:$D$542=E35)*('C19RM 2021-Lab &amp; Other HPS'!$BH$443:$BH$542=BJ35)*('C19RM 2021-Lab &amp; Other HPS'!$BP$443:$BP$542)*(('C19RM 2021-Lab &amp; Other HPS'!$Y$443:$Y$542)))),IF((INDEX(SETUP!$G$19:$G$503,(MATCH(1,(SETUP!$B$19:$B$503=B35)*(SETUP!$D$19:$D$503=D35),0))))=3,(SUMPRODUCT(('C19RM 2021-Lab &amp; Other HPS'!$A$443:$D$542=E35)*('C19RM 2021-Lab &amp; Other HPS'!$BH$443:$BH$542=BJ35)*('C19RM 2021-Lab &amp; Other HPS'!$BP$443:$BP$542)*(('C19RM 2021-Lab &amp; Other HPS'!$Z$443:$Z$542)))),IF((INDEX(SETUP!$G$19:$G$503,(MATCH(1,(SETUP!$B$19:$B$503=B35)*(SETUP!$D$19:$D$503=D35),0))))=2,((SUMPRODUCT(('C19RM 2021-Lab &amp; Other HPS'!$A$443:$D$542=E35)*('C19RM 2021-Lab &amp; Other HPS'!$BH$443:$BH$542=BJ35)*('C19RM 2021-Lab &amp; Other HPS'!$BP$443:$BP$542)*(('C19RM 2021-Lab &amp; Other HPS'!$AA$443:$AA$542))))),IF((INDEX(SETUP!$G$19:$G$503,(MATCH(1,(SETUP!$B$19:$B$503=B35)*(SETUP!$D$19:$D$503=D35),0))))=1,(SUMPRODUCT(('C19RM 2021-Lab &amp; Other HPS'!$A$443:$D$542=E35)*('C19RM 2021-Lab &amp; Other HPS'!$BH$443:$BH$542=BJ35)*('C19RM 2021-Lab &amp; Other HPS'!$BQ$443:$BQ$542)*(('C19RM 2021-Lab &amp; Other HPS'!$AE$443:$AE$542)))),0)))),0)))</f>
        <v>0</v>
      </c>
      <c r="AB35" s="359" cm="1">
        <f t="array" ref="AB35">IF((INDEX(SETUP!$F$19:$F$503,(MATCH(1,(SETUP!$B$19:$B$503=B35)*(SETUP!$D$19:$D$503=D35),0))))="Upfront",
(SUMPRODUCT(('C19RM 2021-Lab &amp; Other HPS'!$A$443:$D$542=E35)*('C19RM 2021-Lab &amp; Other HPS'!$BH$443:$BH$542=BJ35)*('C19RM 2021-Lab &amp; Other HPS'!$BQ$443:$BQ$542)*(('C19RM 2021-Lab &amp; Other HPS'!$AG$443:$AG$542)))),
(IF((INDEX(SETUP!$F$19:$F$503,(MATCH(1,(SETUP!$B$19:$B$503=B35)*(SETUP!$D$19:$D$503=D35),0))))="At delivery",
IF((INDEX(SETUP!$G$19:$G$503,(MATCH(1,(SETUP!$B$19:$B$503=B35)*(SETUP!$D$19:$D$503=D35),0))))=4,
(SUMPRODUCT(('C19RM 2021-Lab &amp; Other HPS'!$A$443:$D$542=E35)*('C19RM 2021-Lab &amp; Other HPS'!$BH$443:$BH$542=BJ35)*('C19RM 2021-Lab &amp; Other HPS'!$BP$443:$BP$542)*(('C19RM 2021-Lab &amp; Other HPS'!$Z$443:$Z$542)))),IF((INDEX(SETUP!$G$19:$G$503,(MATCH(1,(SETUP!$B$19:$B$503=B35)*(SETUP!$D$19:$D$503=D35),0))))=3,(SUMPRODUCT(('C19RM 2021-Lab &amp; Other HPS'!$A$443:$D$542=E35)*('C19RM 2021-Lab &amp; Other HPS'!$BH$443:$BH$542=BJ35)*('C19RM 2021-Lab &amp; Other HPS'!$BP$443:$BP$542)*(('C19RM 2021-Lab &amp; Other HPS'!$AA$443:$AA$542)))),IF((INDEX(SETUP!$G$19:$G$503,(MATCH(1,(SETUP!$B$19:$B$503=B35)*(SETUP!$D$19:$D$503=D35),0))))=2,(SUMPRODUCT(('C19RM 2021-Lab &amp; Other HPS'!$A$443:$D$542=E35)*('C19RM 2021-Lab &amp; Other HPS'!$BH$443:$BH$542=BJ35)*('C19RM 2021-Lab &amp; Other HPS'!$BQ$443:$BQ$542)*(('C19RM 2021-Lab &amp; Other HPS'!$AE$443:$AE$542)))),IF((INDEX(SETUP!$G$19:$G$503,(MATCH(1,(SETUP!$B$19:$B$503=B35)*(SETUP!$D$19:$D$503=D35),0))))=1,(SUMPRODUCT(('C19RM 2021-Lab &amp; Other HPS'!$A$443:$D$542=E35)*('C19RM 2021-Lab &amp; Other HPS'!$BH$443:$BH$542=BJ35)*('C19RM 2021-Lab &amp; Other HPS'!$BQ$443:$BQ$542)*(('C19RM 2021-Lab &amp; Other HPS'!$AF$443:$AF$542)))),0)))),0)))</f>
        <v>0</v>
      </c>
      <c r="AC35" s="359" cm="1">
        <f t="array" ref="AC35">IF((INDEX(SETUP!$F$19:$F$503,(MATCH(1,(SETUP!$B$19:$B$503=B35)*(SETUP!$D$19:$D$503=D35),0))))="Upfront",
(SUMPRODUCT(('C19RM 2021-Lab &amp; Other HPS'!$A$443:$D$542=E35)*('C19RM 2021-Lab &amp; Other HPS'!$BH$443:$BH$542=BJ35)*('C19RM 2021-Lab &amp; Other HPS'!$BQ$443:$BQ$542)*(('C19RM 2021-Lab &amp; Other HPS'!$AH$443:$AH$542)))),
(IF((INDEX(SETUP!$F$19:$F$503,(MATCH(1,(SETUP!$B$19:$B$503=B35)*(SETUP!$D$19:$D$503=D35),0))))="At delivery",
IF((INDEX(SETUP!$G$19:$G$503,(MATCH(1,(SETUP!$B$19:$B$503=B35)*(SETUP!$D$19:$D$503=D35),0))))=4,
(SUMPRODUCT(('C19RM 2021-Lab &amp; Other HPS'!$A$443:$D$542=E35)*('C19RM 2021-Lab &amp; Other HPS'!$BH$443:$BH$542=BJ35)*('C19RM 2021-Lab &amp; Other HPS'!$BP$443:$BP$542)*(('C19RM 2021-Lab &amp; Other HPS'!$AA$443:$AA$542)))),IF((INDEX(SETUP!$G$19:$G$503,(MATCH(1,(SETUP!$B$19:$B$503=B35)*(SETUP!$D$19:$D$503=D35),0))))=3,(SUMPRODUCT(('C19RM 2021-Lab &amp; Other HPS'!$A$443:$D$542=E35)*('C19RM 2021-Lab &amp; Other HPS'!$BH$443:$BH$542=BJ35)*('C19RM 2021-Lab &amp; Other HPS'!$BQ$443:$BQ$542)*(('C19RM 2021-Lab &amp; Other HPS'!$AE$443:$AE$542)))),IF((INDEX(SETUP!$G$19:$G$503,(MATCH(1,(SETUP!$B$19:$B$503=B35)*(SETUP!$D$19:$D$503=D35),0))))=2,(SUMPRODUCT(('C19RM 2021-Lab &amp; Other HPS'!$A$443:$D$542=E35)*('C19RM 2021-Lab &amp; Other HPS'!$BH$443:$BH$542=BJ35)*('C19RM 2021-Lab &amp; Other HPS'!$BQ$443:$BQ$542)*(('C19RM 2021-Lab &amp; Other HPS'!$AF$443:$AF$542)))),IF((INDEX(SETUP!$G$19:$G$503,(MATCH(1,(SETUP!$B$19:$B$503=B35)*(SETUP!$D$19:$D$503=D35),0))))=1,(SUMPRODUCT(('C19RM 2021-Lab &amp; Other HPS'!$A$443:$D$542=E35)*('C19RM 2021-Lab &amp; Other HPS'!$BH$443:$BH$542=BJ35)*('C19RM 2021-Lab &amp; Other HPS'!$BQ$443:$BQ$542)*(('C19RM 2021-Lab &amp; Other HPS'!$AG$443:$AG$542)))),0)))),0)))</f>
        <v>0</v>
      </c>
      <c r="AD35" s="359" cm="1">
        <f t="array" ref="AD35">IF((INDEX(SETUP!$F$19:$F$503,(MATCH(1,(SETUP!$B$19:$B$503=B35)*(SETUP!$D$19:$D$503=D35),0))))="Upfront",
(SUMPRODUCT(('C19RM 2021-Lab &amp; Other HPS'!$A$443:$D$542=E35)*('C19RM 2021-Lab &amp; Other HPS'!$BH$443:$BH$542=BJ35)*('C19RM 2021-Lab &amp; Other HPS'!$BR$443:$BR$542)*(('C19RM 2021-Lab &amp; Other HPS'!$AL$443:$AL$542)))),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HPS'!$AE$443:$AE$542)))),IF((INDEX(SETUP!$G$19:$G$503,(MATCH(1,(SETUP!$B$19:$B$503=B35)*(SETUP!$D$19:$D$503=D35),0))))=3,((SUMPRODUCT(('C19RM 2021-Lab &amp; Other HPS'!$A$443:$D$542=E35)*('C19RM 2021-Lab &amp; Other HPS'!$BH$443:$BH$542=BJ35)*('C19RM 2021-Lab &amp; Other HPS'!$BQ$443:$BQ$542)*(('C19RM 2021-Lab &amp; Other HPS'!$AF$443:$AF$542))))),IF((INDEX(SETUP!$G$19:$G$503,(MATCH(1,(SETUP!$B$19:$B$503=B35)*(SETUP!$D$19:$D$503=D35),0))))=2,(SUMPRODUCT(('C19RM 2021-Lab &amp; Other HPS'!$A$443:$D$542=E35)*('C19RM 2021-Lab &amp; Other HPS'!$BH$443:$BH$542=BJ35)*('C19RM 2021-Lab &amp; Other HPS'!$BQ$443:$BQ$542)*(('C19RM 2021-Lab &amp; Other HPS'!$AG$443:$AG$542)))),IF((INDEX(SETUP!$G$19:$G$503,(MATCH(1,(SETUP!$B$19:$B$503=B35)*(SETUP!$D$19:$D$503=D35),0))))=1,(SUMPRODUCT(('C19RM 2021-Lab &amp; Other HPS'!$A$443:$D$542=E35)*('C19RM 2021-Lab &amp; Other HPS'!$BH$443:$BH$542=BJ35)*('C19RM 2021-Lab &amp; Other HPS'!$BQ$443:$BQ$542)*(('C19RM 2021-Lab &amp; Other HPS'!$AH$443:$AH$542)))),0)))),0)))</f>
        <v>0</v>
      </c>
      <c r="AE35" s="359" cm="1">
        <f t="array" ref="AE35">IF((INDEX(SETUP!$F$19:$F$503,(MATCH(1,(SETUP!$B$19:$B$503=B35)*(SETUP!$D$19:$D$503=D35),0))))="Upfront",
(SUMPRODUCT(('C19RM 2021-Lab &amp; Other HPS'!$A$443:$D$542=E35)*('C19RM 2021-Lab &amp; Other HPS'!$BH$443:$BH$542=BJ35)*('C19RM 2021-Lab &amp; Other HPS'!$BR$443:$BR$542)*(('C19RM 2021-Lab &amp; Other HPS'!$AM$443:$AM$542)))),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HPS'!$AF$443:$AF$542)))),IF((INDEX(SETUP!$G$19:$G$503,(MATCH(1,(SETUP!$B$19:$B$503=B35)*(SETUP!$D$19:$D$503=D35),0))))=3,(SUMPRODUCT(('C19RM 2021-Lab &amp; Other HPS'!$A$443:$D$542=E35)*('C19RM 2021-Lab &amp; Other HPS'!$BH$443:$BH$542=BJ35)*('C19RM 2021-Lab &amp; Other HPS'!$BQ$443:$BQ$542)*(('C19RM 2021-Lab &amp; Other HPS'!$AG$443:$AG$542)))),IF((INDEX(SETUP!$G$19:$G$503,(MATCH(1,(SETUP!$B$19:$B$503=B35)*(SETUP!$D$19:$D$503=D35),0))))=2,(SUMPRODUCT(('C19RM 2021-Lab &amp; Other HPS'!$A$443:$D$542=E35)*('C19RM 2021-Lab &amp; Other HPS'!$BH$443:$BH$542=BJ35)*('C19RM 2021-Lab &amp; Other HPS'!$BQ$443:$BQ$542)*(('C19RM 2021-Lab &amp; Other HPS'!$AH$443:$AH$542)))),IF((INDEX(SETUP!$G$19:$G$503,(MATCH(1,(SETUP!$B$19:$B$503=B35)*(SETUP!$D$19:$D$503=D35),0))))=1,(SUMPRODUCT(('C19RM 2021-Lab &amp; Other HPS'!$A$443:$D$542=E35)*('C19RM 2021-Lab &amp; Other HPS'!$BH$443:$BH$542=BJ35)*('C19RM 2021-Lab &amp; Other HPS'!$BR$443:$BR$542)*(('C19RM 2021-Lab &amp; Other HPS'!$AL$443:$AL$542)))),0)))),0)))</f>
        <v>0</v>
      </c>
      <c r="AF35" s="359" cm="1">
        <f t="array" ref="AF35">IF((INDEX(SETUP!$F$19:$F$503,(MATCH(1,(SETUP!$B$19:$B$503=B35)*(SETUP!$D$19:$D$503=D35),0))))="Upfront",
(SUMPRODUCT(('C19RM 2021-Lab &amp; Other HPS'!$A$443:$D$542=E35)*('C19RM 2021-Lab &amp; Other HPS'!$BH$443:$BH$542=BJ35)*('C19RM 2021-Lab &amp; Other HPS'!$BR$443:$BR$542)*(('C19RM 2021-Lab &amp; Other HPS'!$AN$443:$AN$542)))),
(IF((INDEX(SETUP!$F$19:$F$503,(MATCH(1,(SETUP!$B$19:$B$503=B35)*(SETUP!$D$19:$D$503=D35),0))))="At delivery",
IF((INDEX(SETUP!$G$19:$G$503,(MATCH(1,(SETUP!$B$19:$B$503=B35)*(SETUP!$D$19:$D$503=D35),0))))=4,
(SUMPRODUCT(('C19RM 2021-Lab &amp; Other HPS'!$A$443:$D$542=E35)*('C19RM 2021-Lab &amp; Other HPS'!$BH$443:$BH$542=BJ35)*('C19RM 2021-Lab &amp; Other HPS'!$BQ$443:$BQ$542)*(('C19RM 2021-Lab &amp; Other HPS'!$AG$443:$AG$542)))),IF((INDEX(SETUP!$G$19:$G$503,(MATCH(1,(SETUP!$B$19:$B$503=B35)*(SETUP!$D$19:$D$503=D35),0))))=3,(SUMPRODUCT(('C19RM 2021-Lab &amp; Other HPS'!$A$443:$D$542=E35)*('C19RM 2021-Lab &amp; Other HPS'!$BH$443:$BH$542=BJ35)*('C19RM 2021-Lab &amp; Other HPS'!$BQ$443:$BQ$542)*(('C19RM 2021-Lab &amp; Other HPS'!$AH$443:$AH$542)))),IF((INDEX(SETUP!$G$19:$G$503,(MATCH(1,(SETUP!$B$19:$B$503=B35)*(SETUP!$D$19:$D$503=D35),0))))=2,(SUMPRODUCT(('C19RM 2021-Lab &amp; Other HPS'!$A$443:$D$542=E35)*('C19RM 2021-Lab &amp; Other HPS'!$BH$443:$BH$542=BJ35)*('C19RM 2021-Lab &amp; Other HPS'!$BR$443:$BR$542)*(('C19RM 2021-Lab &amp; Other HPS'!$AL$443:$AL$542)))),IF((INDEX(SETUP!$G$19:$G$503,(MATCH(1,(SETUP!$B$19:$B$503=B35)*(SETUP!$D$19:$D$503=D35),0))))=1,(SUMPRODUCT(('C19RM 2021-Lab &amp; Other HPS'!$A$443:$D$542=E35)*('C19RM 2021-Lab &amp; Other HPS'!$BH$443:$BH$542=BJ35)*('C19RM 2021-Lab &amp; Other HPS'!$BR$443:$BR$542)*(('C19RM 2021-Lab &amp; Other HPS'!$AM$443:$AM$542)))),0)))),0)))</f>
        <v>0</v>
      </c>
      <c r="AG35" s="359" cm="1">
        <f t="array" ref="AG35">IF((INDEX(SETUP!$F$19:$F$503,(MATCH(1,(SETUP!$B$19:$B$503=B35)*(SETUP!$D$19:$D$503=D35),0))))="Upfront",(SUMPRODUCT(('C19RM 2021-Lab &amp; Other HPS'!$A$443:$D$542=E35)*('C19RM 2021-Lab &amp; Other HPS'!$BH$443:$BH$542=BJ35)*('C19RM 2021-Lab &amp; Other HPS'!$BR$443:$BR$542)*(('C19RM 2021-Lab &amp; Other HPS'!$AO$443:$AO$542)))),(IF((INDEX(SETUP!$F$19:$F$503,(MATCH(1,(SETUP!$B$19:$B$503=B35)*(SETUP!$D$19:$D$503=D35),0))))="At delivery",IF((INDEX(SETUP!$G$19:$G$503,(MATCH(1,(SETUP!$B$19:$B$503=B35)*(SETUP!$D$19:$D$503=D35),0))))=4,(SUMPRODUCT(('C19RM 2021-Lab &amp; Other HPS'!$A$443:$D$542=E35)*('C19RM 2021-Lab &amp; Other HPS'!$BH$443:$BH$542=BJ35)*('C19RM 2021-Lab &amp; Other HPS'!$BQ$443:$BQ$542)*(('C19RM 2021-Lab &amp; Other HPS'!$AH$443:$AH$542)))),IF((INDEX(SETUP!$G$19:$G$503,(MATCH(1,(SETUP!$B$19:$B$503=B35)*(SETUP!$D$19:$D$503=D35),0))))=3,(SUMPRODUCT(('C19RM 2021-Lab &amp; Other HPS'!$A$443:$D$542=E35)*('C19RM 2021-Lab &amp; Other HPS'!$BH$443:$BH$542=BJ35)*('C19RM 2021-Lab &amp; Other HPS'!$BR$443:$BR$542)*(('C19RM 2021-Lab &amp; Other HPS'!$AL$443:$AL$542)))),IF((INDEX(SETUP!$G$19:$G$503,(MATCH(1,(SETUP!$B$19:$B$503=B35)*(SETUP!$D$19:$D$503=D35),0))))=2,(SUMPRODUCT(('C19RM 2021-Lab &amp; Other HPS'!$A$443:$D$542=E35)*('C19RM 2021-Lab &amp; Other HPS'!$BH$443:$BH$542=BJ35)*('C19RM 2021-Lab &amp; Other HPS'!$BR$443:$BR$542)*(('C19RM 2021-Lab &amp; Other HPS'!$AM$443:$AM$542)))),IF((INDEX(SETUP!$G$19:$G$503,(MATCH(1,(SETUP!$B$19:$B$503=B35)*(SETUP!$D$19:$D$503=D35),0))))=1,(SUMPRODUCT(('C19RM 2021-Lab &amp; Other HPS'!$A$443:$D$542=E35)*('C19RM 2021-Lab &amp; Other HPS'!$BH$443:$BH$542=BJ35)*('C19RM 2021-Lab &amp; Other HPS'!$BR$443:$BR$542)*(('C19RM 2021-Lab &amp; Other HPS'!$AN$443:$AN$542)))),0)))),0)))</f>
        <v>0</v>
      </c>
      <c r="AH35" s="359" cm="1">
        <f t="array" ref="AH35">IF((INDEX(SETUP!$F$19:$F$503,(MATCH(1,(SETUP!$B$19:$B$503=B35)*(SETUP!$D$19:$D$503=D35),0))))="Upfront",
(SUMPRODUCT(('C19RM 2021-Lab &amp; Other HPS'!$A$443:$D$542=E35)*('C19RM 2021-Lab &amp; Other HPS'!$BH$443:$BH$542=BJ35)*('C19RM 2021-Lab &amp; Other HPS'!$BS$443:$BS$542)*(('C19RM 2021-Lab &amp; Other HPS'!$AS$443:$AS$542)))),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HPS'!$AL$443:$AL$542)))),IF((INDEX(SETUP!$G$19:$G$503,(MATCH(1,(SETUP!$B$19:$B$503=B35)*(SETUP!$D$19:$D$503=D35),0))))=3,((SUMPRODUCT(('C19RM 2021-Lab &amp; Other HPS'!$A$443:$D$542=E35)*('C19RM 2021-Lab &amp; Other HPS'!$BH$443:$BH$542=BJ35)*('C19RM 2021-Lab &amp; Other HPS'!$BR$443:$BR$542)*(('C19RM 2021-Lab &amp; Other HPS'!$AM$443:$AM$542))))),IF((INDEX(SETUP!$G$19:$G$503,(MATCH(1,(SETUP!$B$19:$B$503=B35)*(SETUP!$D$19:$D$503=D35),0))))=2,(SUMPRODUCT(('C19RM 2021-Lab &amp; Other HPS'!$A$443:$D$542=E35)*('C19RM 2021-Lab &amp; Other HPS'!$BH$443:$BH$542=BJ35)*('C19RM 2021-Lab &amp; Other HPS'!$BR$443:$BR$542)*(('C19RM 2021-Lab &amp; Other HPS'!$AN$443:$AN$542)))),IF((INDEX(SETUP!$G$19:$G$503,(MATCH(1,(SETUP!$B$19:$B$503=B35)*(SETUP!$D$19:$D$503=D35),0))))=1,(SUMPRODUCT(('C19RM 2021-Lab &amp; Other HPS'!$A$443:$D$542=E35)*('C19RM 2021-Lab &amp; Other HPS'!$BH$443:$BH$542=BJ35)*('C19RM 2021-Lab &amp; Other HPS'!$BR$443:$BR$542)*(('C19RM 2021-Lab &amp; Other HPS'!$AO$443:$AO$542)))),0)))),0)))</f>
        <v>0</v>
      </c>
      <c r="AI35" s="359" cm="1">
        <f t="array" ref="AI35">IF((INDEX(SETUP!$F$19:$F$503,(MATCH(1,(SETUP!$B$19:$B$503=B35)*(SETUP!$D$19:$D$503=D35),0))))="Upfront",
(SUMPRODUCT(('C19RM 2021-Lab &amp; Other HPS'!$A$443:$D$542=E35)*('C19RM 2021-Lab &amp; Other HPS'!$BH$443:$BH$542=BJ35)*('C19RM 2021-Lab &amp; Other HPS'!$BS$443:$BS$542)*(('C19RM 2021-Lab &amp; Other HPS'!$AT$443:$AT$542)))),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HPS'!$AM$443:$AM$542)))),IF((INDEX(SETUP!$G$19:$G$503,(MATCH(1,(SETUP!$B$19:$B$503=B35)*(SETUP!$D$19:$D$503=D35),0))))=3,((SUMPRODUCT(('C19RM 2021-Lab &amp; Other HPS'!$A$443:$D$542=E35)*('C19RM 2021-Lab &amp; Other HPS'!$BH$443:$BH$542=BJ35)*('C19RM 2021-Lab &amp; Other HPS'!$BR$443:$BR$542)*(('C19RM 2021-Lab &amp; Other HPS'!$AN$443:$AN$542))))),IF((INDEX(SETUP!$G$19:$G$503,(MATCH(1,(SETUP!$B$19:$B$503=B35)*(SETUP!$D$19:$D$503=D35),0))))=2,(SUMPRODUCT(('C19RM 2021-Lab &amp; Other HPS'!$A$443:$D$542=E35)*('C19RM 2021-Lab &amp; Other HPS'!$BH$443:$BH$542=BJ35)*('C19RM 2021-Lab &amp; Other HPS'!$BR$443:$BR$542)*(('C19RM 2021-Lab &amp; Other HPS'!$AO$443:$AO$542)))),IF((INDEX(SETUP!$G$19:$G$503,(MATCH(1,(SETUP!$B$19:$B$503=B35)*(SETUP!$D$19:$D$503=D35),0))))=1,(SUMPRODUCT(('C19RM 2021-Lab &amp; Other HPS'!$A$443:$D$542=E35)*('C19RM 2021-Lab &amp; Other HPS'!$BH$443:$BH$542=BJ35)*('C19RM 2021-Lab &amp; Other HPS'!$BS$443:$BS$542)*(('C19RM 2021-Lab &amp; Other HPS'!$AS$443:$AS$542)))),0)))),0)))</f>
        <v>0</v>
      </c>
      <c r="AJ35" s="359" cm="1">
        <f t="array" ref="AJ35">IF((INDEX(SETUP!$F$19:$F$503,(MATCH(1,(SETUP!$B$19:$B$503=B35)*(SETUP!$D$19:$D$503=D35),0))))="Upfront",
(SUMPRODUCT(('C19RM 2021-Lab &amp; Other HPS'!$A$443:$D$542=E35)*('C19RM 2021-Lab &amp; Other HPS'!$BH$443:$BH$542=BJ35)*('C19RM 2021-Lab &amp; Other HPS'!$BS$443:$BS$542)*(('C19RM 2021-Lab &amp; Other HPS'!$AU$443:$AU$542)))),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HPS'!$AN$443:$AN$542)))),IF((INDEX(SETUP!$G$19:$G$503,(MATCH(1,(SETUP!$B$19:$B$503=B35)*(SETUP!$D$19:$D$503=D35),0))))=3,((SUMPRODUCT(('C19RM 2021-Lab &amp; Other HPS'!$A$443:$D$542=E35)*('C19RM 2021-Lab &amp; Other HPS'!$BH$443:$BH$542=BJ35)*('C19RM 2021-Lab &amp; Other HPS'!$BR$443:$BR$542)*(('C19RM 2021-Lab &amp; Other HPS'!$AO$443:$AO$542))))),IF((INDEX(SETUP!$G$19:$G$503,(MATCH(1,(SETUP!$B$19:$B$503=B35)*(SETUP!$D$19:$D$503=D35),0))))=2,(SUMPRODUCT(('C19RM 2021-Lab &amp; Other HPS'!$A$443:$D$542=E35)*('C19RM 2021-Lab &amp; Other HPS'!$BH$443:$BH$542=BJ35)*('C19RM 2021-Lab &amp; Other HPS'!$BS$443:$BS$542)*(('C19RM 2021-Lab &amp; Other HPS'!$AS$443:$AS$542)))),IF((INDEX(SETUP!$G$19:$G$503,(MATCH(1,(SETUP!$B$19:$B$503=B35)*(SETUP!$D$19:$D$503=D35),0))))=1,(SUMPRODUCT(('C19RM 2021-Lab &amp; Other HPS'!$A$443:$D$542=E35)*('C19RM 2021-Lab &amp; Other HPS'!$BH$443:$BH$542=BJ35)*('C19RM 2021-Lab &amp; Other HPS'!$BS$443:$BS$542)*(('C19RM 2021-Lab &amp; Other HPS'!$AT$443:$AT$542)))),0)))),0)))</f>
        <v>0</v>
      </c>
      <c r="AK35" s="359" cm="1">
        <f t="array" ref="AK35">IF((INDEX(SETUP!$F$19:$F$503,(MATCH(1,(SETUP!$B$19:$B$503=B35)*(SETUP!$D$19:$D$503=D35),0))))="Upfront",
(SUMPRODUCT(('C19RM 2021-Lab &amp; Other HPS'!$A$443:$D$542=E35)*('C19RM 2021-Lab &amp; Other HPS'!$BH$443:$BH$542=BJ35)*('C19RM 2021-Lab &amp; Other HPS'!$BS$443:$BS$542)*(('C19RM 2021-Lab &amp; Other HPS'!$AV$443:$AV$542)))),
(IF((INDEX(SETUP!$F$19:$F$503,(MATCH(1,(SETUP!$B$19:$B$503=B35)*(SETUP!$D$19:$D$503=D35),0))))="At delivery",
IF((INDEX(SETUP!$G$19:$G$503,(MATCH(1,(SETUP!$B$19:$B$503=B35)*(SETUP!$D$19:$D$503=D35),0))))=4,
(SUMPRODUCT(('C19RM 2021-Lab &amp; Other HPS'!$A$443:$D$542=E35)*('C19RM 2021-Lab &amp; Other HPS'!$BH$443:$BH$542=BJ35)*('C19RM 2021-Lab &amp; Other HPS'!$BR$443:$BR$542)*(('C19RM 2021-Lab &amp; Other HPS'!$AO$443:$AO$542)))),IF((INDEX(SETUP!$G$19:$G$503,(MATCH(1,(SETUP!$B$19:$B$503=B35)*(SETUP!$D$19:$D$503=D35),0))))=3,((SUMPRODUCT(('C19RM 2021-Lab &amp; Other HPS'!$A$443:$D$542=E35)*('C19RM 2021-Lab &amp; Other HPS'!$BH$443:$BH$542=BJ35)*('C19RM 2021-Lab &amp; Other HPS'!$BS$443:$BS$542)*(('C19RM 2021-Lab &amp; Other HPS'!$AS$443:$AS$542))))),IF((INDEX(SETUP!$G$19:$G$503,(MATCH(1,(SETUP!$B$19:$B$503=B35)*(SETUP!$D$19:$D$503=D35),0))))=2,(SUMPRODUCT(('C19RM 2021-Lab &amp; Other HPS'!$A$443:$D$542=E35)*('C19RM 2021-Lab &amp; Other HPS'!$BH$443:$BH$542=BJ35)*('C19RM 2021-Lab &amp; Other HPS'!$BS$443:$BS$542)*(('C19RM 2021-Lab &amp; Other HPS'!$AT$443:$AT$542)))),IF((INDEX(SETUP!$G$19:$G$503,(MATCH(1,(SETUP!$B$19:$B$503=B35)*(SETUP!$D$19:$D$503=D35),0))))=1,(SUMPRODUCT(('C19RM 2021-Lab &amp; Other HPS'!$A$443:$D$542=E35)*('C19RM 2021-Lab &amp; Other HPS'!$BH$443:$BH$542=BJ35)*('C19RM 2021-Lab &amp; Other HPS'!$BS$443:$BS$542)*(('C19RM 2021-Lab &amp; Other HPS'!$AU$443:$AU$542)))),0)))),0)))</f>
        <v>0</v>
      </c>
      <c r="AL35" s="359" cm="1">
        <f t="array" ref="AL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HPS'!$AS$443:$AS$542)))),IF((INDEX(SETUP!$G$19:$G$503,(MATCH(1,(SETUP!$B$19:$B$503=B35)*(SETUP!$D$19:$D$503=D35),0))))=3,(SUMPRODUCT(('C19RM 2021-Lab &amp; Other HPS'!$A$443:$D$542=E35)*('C19RM 2021-Lab &amp; Other HPS'!$BH$443:$BH$542=BJ35)*('C19RM 2021-Lab &amp; Other HPS'!$BS$443:$BS$542)*(('C19RM 2021-Lab &amp; Other HPS'!$AT$443:$AT$542)))),IF((INDEX(SETUP!$G$19:$G$503,(MATCH(1,(SETUP!$B$19:$B$503=B35)*(SETUP!$D$19:$D$503=D35),0))))=2,(SUMPRODUCT(('C19RM 2021-Lab &amp; Other HPS'!$A$443:$D$542=E35)*('C19RM 2021-Lab &amp; Other HPS'!$BH$443:$BH$542=BJ35)*('C19RM 2021-Lab &amp; Other HPS'!$BS$443:$BS$542)*(('C19RM 2021-Lab &amp; Other HPS'!$AU$443:$AU$542)))),
IF((INDEX(SETUP!$G$19:$G$503,(MATCH(1,(SETUP!$B$19:$B$503=B35)*(SETUP!$D$19:$D$503=D35),0))))=1,
(SUMPRODUCT(('C19RM 2021-Lab &amp; Other HPS'!$A$443:$D$542=E35)*('C19RM 2021-Lab &amp; Other HPS'!$BH$443:$BH$542=BJ35)*('C19RM 2021-Lab &amp; Other HPS'!$BS$443:$BS$542)*(('C19RM 2021-Lab &amp; Other HPS'!$AV$443:$AV$542)))),0)))),0)))</f>
        <v>0</v>
      </c>
      <c r="AM35" s="359" cm="1">
        <f t="array" ref="AM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HPS'!$AT$443:$AT$542)))),IF((INDEX(SETUP!$G$19:$G$503,(MATCH(1,(SETUP!$B$19:$B$503=B35)*(SETUP!$D$19:$D$503=D35),0))))=3,(SUMPRODUCT(('C19RM 2021-Lab &amp; Other HPS'!$A$443:$D$542=E35)*('C19RM 2021-Lab &amp; Other HPS'!$BH$443:$BH$542=BJ35)*('C19RM 2021-Lab &amp; Other HPS'!$BS$443:$BS$542)*(('C19RM 2021-Lab &amp; Other HPS'!$AU$443:$AU$542)))),IF((INDEX(SETUP!$G$19:$G$503,(MATCH(1,(SETUP!$B$19:$B$503=B35)*(SETUP!$D$19:$D$503=D35),0))))=2,(SUMPRODUCT(('C19RM 2021-Lab &amp; Other HPS'!$A$443:$D$542=E35)*('C19RM 2021-Lab &amp; Other HPS'!$BH$443:$BH$542=BJ35)*('C19RM 2021-Lab &amp; Other HPS'!$BS$443:$BS$542)*(('C19RM 2021-Lab &amp; Other HPS'!$AV$443:$AV$542)))),IF((INDEX(SETUP!$G$19:$G$503,(MATCH(1,(SETUP!$B$19:$B$503=B35)*(SETUP!$D$19:$D$503=D35),0))))=1,(0),0)))),0)))</f>
        <v>0</v>
      </c>
      <c r="AN35" s="359" cm="1">
        <f t="array" ref="AN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HPS'!$AU$443:$AU$542)))),IF((INDEX(SETUP!$G$19:$G$503,(MATCH(1,(SETUP!$B$19:$B$503=B35)*(SETUP!$D$19:$D$503=D35),0))))=3,(SUMPRODUCT(('C19RM 2021-Lab &amp; Other HPS'!$A$443:$D$542=E35)*('C19RM 2021-Lab &amp; Other HPS'!$BH$443:$BH$542=BJ35)*('C19RM 2021-Lab &amp; Other HPS'!$BS$443:$BS$542)*(('C19RM 2021-Lab &amp; Other HPS'!$AV$443:$AV$542)))),IF((INDEX(SETUP!$G$19:$G$503,(MATCH(1,(SETUP!$B$19:$B$503=B35)*(SETUP!$D$19:$D$503=D35),0))))=2,(0),IF((INDEX(SETUP!$G$19:$G$503,(MATCH(1,(SETUP!$B$19:$B$503=B35)*(SETUP!$D$19:$D$503=D35),0))))=1,(0),0)))),0)))</f>
        <v>0</v>
      </c>
      <c r="AO35" s="359" cm="1">
        <f t="array" ref="AO35">IF((INDEX(SETUP!$F$19:$F$503,(MATCH(1,(SETUP!$B$19:$B$503=B35)*(SETUP!$D$19:$D$503=D35),0))))="Upfront",0,(IF((INDEX(SETUP!$F$19:$F$503,(MATCH(1,(SETUP!$B$19:$B$503=B35)*(SETUP!$D$19:$D$503=D35),0))))="At delivery",IF((INDEX(SETUP!$G$19:$G$503,(MATCH(1,(SETUP!$B$19:$B$503=B35)*(SETUP!$D$19:$D$503=D35),0))))=4,(SUMPRODUCT(('C19RM 2021-Lab &amp; Other HPS'!$A$443:$D$542=E35)*('C19RM 2021-Lab &amp; Other HPS'!$BH$443:$BH$542=BJ35)*('C19RM 2021-Lab &amp; Other HPS'!$BS$443:$BS$542)*(('C19RM 2021-Lab &amp; Other HPS'!$AV$443:$AV$542)))),IF((INDEX(SETUP!$G$19:$G$503,(MATCH(1,(SETUP!$B$19:$B$503=B35)*(SETUP!$D$19:$D$503=D35),0))))=3,(0),IF((INDEX(SETUP!$G$19:$G$503,(MATCH(1,(SETUP!$B$19:$B$503=B35)*(SETUP!$D$19:$D$503=D35),0))))=2,(0),IF((INDEX(SETUP!$G$19:$G$503,(MATCH(1,(SETUP!$B$19:$B$503=B35)*(SETUP!$D$19:$D$503=D35),0))))=1,(0),0)))),0)))</f>
        <v>0</v>
      </c>
      <c r="AP35" s="359"/>
      <c r="AQ35" s="359"/>
      <c r="AR35" s="359"/>
      <c r="AS35" s="359"/>
      <c r="AT35" s="359" cm="1">
        <f t="array" ref="AT35">IF(BG35&gt;=1,0,IFERROR(SUMPRODUCT(($R$2:$AO$2=$AT$4)*($E$5:$E$100=E35)*($BC$5:$BC$100=BC35)*($R$5:$AO$100)),0))</f>
        <v>0</v>
      </c>
      <c r="AU35" s="359" cm="1">
        <f t="array" ref="AU35">IF(BG35&gt;=1,0,IFERROR(SUMPRODUCT(($R$2:$AO$2=$AU$4)*($E$5:$E$100=E35)*($BC$5:$BC$100=BC35)*($R$5:$AO$100)),0))</f>
        <v>0</v>
      </c>
      <c r="AV35" s="359" cm="1">
        <f t="array" ref="AV35">IF(BG35&gt;=1,0,IFERROR(SUMPRODUCT(($R$2:$AO$2=$AV$4)*($E$5:$E$100=E35)*($BC$5:$BC$100=BC35)*($R$5:$AO$100)),0))</f>
        <v>0</v>
      </c>
      <c r="AW35" s="359" cm="1">
        <f t="array" ref="AW35">IF(BG35&gt;=1,0,IFERROR(SUMPRODUCT(($R$2:$AO$2=$AW$4)*($E$5:$E$100=E35)*($BC$5:$BC$100=BC35)*($R$5:$AO$100)),0))</f>
        <v>0</v>
      </c>
      <c r="AX35" s="359" cm="1">
        <f t="array" ref="AX35">IF(BG35&gt;=1,0,IFERROR(SUMPRODUCT(($R$2:$AO$2=$AX$4)*($E$5:$E$100=E35)*($BC$5:$BC$100=BC35)*($R$5:$AO$100)),0))</f>
        <v>0</v>
      </c>
      <c r="AY35" s="359">
        <f t="shared" si="5"/>
        <v>0</v>
      </c>
      <c r="AZ35" s="359"/>
      <c r="BA35" s="233">
        <f t="shared" si="6"/>
        <v>0</v>
      </c>
      <c r="BB35" s="220" t="s">
        <v>83</v>
      </c>
      <c r="BC35" t="s">
        <v>183</v>
      </c>
      <c r="BD35" cm="1">
        <f t="array" ref="BD35">(SUMPRODUCT(('C19RM 2021-Lab &amp; Other HPS'!$A$14:$D$650=E35)*('C19RM 2021-Lab &amp; Other HPS'!$BU$14:$BU$650)))</f>
        <v>0</v>
      </c>
      <c r="BE35" cm="1">
        <f t="array" ref="BE35">(SUMPRODUCT((SETUP!$D$20:$D$67=D35)*(SETUP!$R$20:$R$67)))</f>
        <v>0</v>
      </c>
      <c r="BF35" cm="1">
        <f t="array" ref="BF35">(SUMPRODUCT(('C19RM 2021-Lab &amp; Other HPS'!$A$14:$D$650=E35)*('C19RM 2021-Lab &amp; Other HPS'!$BV$14:$BV$650)))</f>
        <v>0</v>
      </c>
      <c r="BG35">
        <f t="shared" si="26"/>
        <v>0</v>
      </c>
      <c r="BJ35" s="235">
        <v>6.6</v>
      </c>
    </row>
    <row r="36" spans="1:62" x14ac:dyDescent="0.35">
      <c r="A36" s="235">
        <v>5</v>
      </c>
      <c r="B36" s="220" t="s">
        <v>2750</v>
      </c>
      <c r="C36" s="235" t="s">
        <v>3035</v>
      </c>
      <c r="D36" s="235" t="s">
        <v>30</v>
      </c>
      <c r="E36" s="235" t="s">
        <v>2764</v>
      </c>
      <c r="F36" s="220">
        <f>SETUP!$E$3</f>
        <v>0</v>
      </c>
      <c r="G36" s="220" t="str">
        <f ca="1">SETUP!$J$5</f>
        <v>NA</v>
      </c>
      <c r="H36" s="220" t="str">
        <f>SETUP!$E$9</f>
        <v>C19RM</v>
      </c>
      <c r="I36" s="232">
        <f t="shared" si="22"/>
        <v>44197</v>
      </c>
      <c r="J36" s="232">
        <f>SETUP!$L$14</f>
        <v>46022</v>
      </c>
      <c r="K36" s="220">
        <f>IFERROR(VLOOKUP(E36,'Master Data-C19RM'!$A$5:$B$35,2,0),0)</f>
        <v>0</v>
      </c>
      <c r="L36">
        <f t="shared" si="23"/>
        <v>0</v>
      </c>
      <c r="M36">
        <f>SETUP!$E$7</f>
        <v>0</v>
      </c>
      <c r="N36">
        <f>SETUP!$F$76</f>
        <v>6.1</v>
      </c>
      <c r="O36" t="str" cm="1">
        <f t="array" ref="O36">INDEX(SETUP!$E$19:$E$503,(MATCH(1,(SETUP!$B$19:$B$503=B36)*(SETUP!$D$19:$D$503=D36),0)))</f>
        <v>PR/SR</v>
      </c>
      <c r="P36" t="str" cm="1">
        <f t="array" ref="P36">INDEX(SETUP!$F$19:$F$503,(MATCH(1,(SETUP!$B$19:$B$503=B36)*(SETUP!$D$19:$D$503=D36),0)))</f>
        <v>At delivery</v>
      </c>
      <c r="Q36" cm="1">
        <f t="array" ref="Q36">INDEX(SETUP!$G$19:$G$503,(MATCH(1,(SETUP!$B$19:$B$503=B36)*(SETUP!$D$19:$D$503=D36),0)))</f>
        <v>1</v>
      </c>
      <c r="R36" s="359" cm="1">
        <f t="array" ref="R36">IF((INDEX(SETUP!$F$19:$F$503,(MATCH(1,(SETUP!$B$19:$B$503=B36)*(SETUP!$D$19:$D$503=D36),0))))="Upfront",(SUMPRODUCT(('C19RM 2021-Lab &amp; Other HPS'!$A$443:$D$542=E36)*('C19RM 2021-Lab &amp; Other HPS'!$BH$443:$BH$542=BJ36)*('C19RM 2021-Lab &amp; Other HPS'!$BO$443:$BO$542)*(('C19RM 2021-Lab &amp; Other HPS'!$Q$443:$Q$542)))),0)</f>
        <v>0</v>
      </c>
      <c r="S36" s="359" cm="1">
        <f t="array" ref="S36">IF((INDEX(SETUP!$F$19:$F$503,(MATCH(1,(SETUP!$B$19:$B$503=B36)*(SETUP!$D$19:$D$503=D36),0))))="Upfront",(SUMPRODUCT(('C19RM 2021-Lab &amp; Other HPS'!$A$443:$D$542=E36)*('C19RM 2021-Lab &amp; Other HPS'!$BH$443:$BH$542=BJ36)*('C19RM 2021-Lab &amp; Other HPS'!$BO$443:$BO$542)*(('C19RM 2021-Lab &amp; Other HPS'!$R$443:$R$542)))),(IF((INDEX(SETUP!$F$19:$F$503,(MATCH(1,(SETUP!$B$19:$B$503=B36)*(SETUP!$D$19:$D$503=D36),0))))="At delivery",IF((INDEX(SETUP!$G$19:$G$503,(MATCH(1,(SETUP!$B$19:$B$503=B36)*(SETUP!$D$19:$D$503=D36),0))))=1,(SUMPRODUCT(('C19RM 2021-Lab &amp; Other HPS'!$A$443:$D$542=E36)*('C19RM 2021-Lab &amp; Other HPS'!$BH$443:$BH$542=BJ36)*('C19RM 2021-Lab &amp; Other HPS'!$BO$443:$BO$542)*(('C19RM 2021-Lab &amp; Other HPS'!$Q$443:$Q$542)))),0),0)))</f>
        <v>0</v>
      </c>
      <c r="T36" s="359" cm="1">
        <f t="array" ref="T36">IF((INDEX(SETUP!$F$19:$F$503,(MATCH(1,(SETUP!$B$19:$B$503=B36)*(SETUP!$D$19:$D$503=D36),0))))="Upfront",(SUMPRODUCT(('C19RM 2021-Lab &amp; Other HPS'!$A$443:$D$542=E36)*('C19RM 2021-Lab &amp; Other HPS'!$BH$443:$BH$542=BJ36)*('C19RM 2021-Lab &amp; Other HPS'!$BO$443:$BO$542)*(('C19RM 2021-Lab &amp; Other HPS'!$S$443:$S$542)))),(IF((INDEX(SETUP!$F$19:$F$503,(MATCH(1,(SETUP!$B$19:$B$503=B36)*(SETUP!$D$19:$D$503=D36),0))))="At delivery",IF((INDEX(SETUP!$G$19:$G$503,(MATCH(1,(SETUP!$B$19:$B$503=B36)*(SETUP!$D$19:$D$503=D36),0))))=2,(SUMPRODUCT(('C19RM 2021-Lab &amp; Other HPS'!$A$443:$D$542=E36)*('C19RM 2021-Lab &amp; Other HPS'!$BH$443:$BH$542=BJ36)*('C19RM 2021-Lab &amp; Other HPS'!$BO$443:$BO$542)*(('C19RM 2021-Lab &amp; Other HPS'!$Q$443:$Q$542)))),IF((INDEX(SETUP!$G$19:$G$503,(MATCH(1,(SETUP!$B$19:$B$503=B36)*(SETUP!$D$19:$D$503=D36),0))))=1,(SUMPRODUCT(('C19RM 2021-Lab &amp; Other HPS'!$A$443:$D$542=E36)*('C19RM 2021-Lab &amp; Other HPS'!$BH$443:$BH$542=BJ36)*('C19RM 2021-Lab &amp; Other HPS'!$BO$443:$BO$542)*(('C19RM 2021-Lab &amp; Other HPS'!$R$443:$R$542)))),0)),0)))</f>
        <v>0</v>
      </c>
      <c r="U36" s="359" cm="1">
        <f t="array" ref="U36">IF((INDEX(SETUP!$F$19:$F$503,(MATCH(1,(SETUP!$B$19:$B$503=B36)*(SETUP!$D$19:$D$503=D36),0))))="Upfront",(SUMPRODUCT(('C19RM 2021-Lab &amp; Other HPS'!$A$443:$D$542=E36)*('C19RM 2021-Lab &amp; Other HPS'!$BH$443:$BH$542=BJ36)*('C19RM 2021-Lab &amp; Other HPS'!$BO$443:$BO$542)*(('C19RM 2021-Lab &amp; Other HPS'!$T$443:$T$542)))),(IF((INDEX(SETUP!$F$19:$F$503,(MATCH(1,(SETUP!$B$19:$B$503=B36)*(SETUP!$D$19:$D$503=D36),0))))="At delivery",IF((INDEX(SETUP!$G$19:$G$503,(MATCH(1,(SETUP!$B$19:$B$503=B36)*(SETUP!$D$19:$D$503=D36),0))))=3,(SUMPRODUCT(('C19RM 2021-Lab &amp; Other HPS'!$A$443:$D$542=E36)*('C19RM 2021-Lab &amp; Other HPS'!$BH$443:$BH$542=BJ36)*('C19RM 2021-Lab &amp; Other HPS'!$BO$443:$BO$542)*(('C19RM 2021-Lab &amp; Other HPS'!$Q$443:$Q$542)))),IF((INDEX(SETUP!$G$19:$G$503,(MATCH(1,(SETUP!$B$19:$B$503=B36)*(SETUP!$D$19:$D$503=D36),0))))=2,(SUMPRODUCT(('C19RM 2021-Lab &amp; Other HPS'!$A$443:$D$542=E36)*('C19RM 2021-Lab &amp; Other HPS'!$BH$443:$BH$542=BJ36)*('C19RM 2021-Lab &amp; Other HPS'!$BO$443:$BO$542)*(('C19RM 2021-Lab &amp; Other HPS'!$R$443:$R$542)))),IF((INDEX(SETUP!$G$19:$G$503,(MATCH(1,(SETUP!$B$19:$B$503=B36)*(SETUP!$D$19:$D$503=D36),0))))=1,(SUMPRODUCT(('C19RM 2021-Lab &amp; Other HPS'!$A$443:$D$542=E36)*('C19RM 2021-Lab &amp; Other HPS'!$BH$443:$BH$542=BJ36)*('C19RM 2021-Lab &amp; Other HPS'!$BO$443:$BO$542)*(('C19RM 2021-Lab &amp; Other HPS'!$S$443:$S$542)))),0))),0)))</f>
        <v>0</v>
      </c>
      <c r="V36" s="359" cm="1">
        <f t="array" ref="V36">IF((INDEX(SETUP!$F$19:$F$503,(MATCH(1,(SETUP!$B$19:$B$503=B36)*(SETUP!$D$19:$D$503=D36),0))))="Upfront",(SUMPRODUCT(('C19RM 2021-Lab &amp; Other HPS'!$A$443:$D$542=E36)*('C19RM 2021-Lab &amp; Other HPS'!$BH$443:$BH$542=BJ36)*('C19RM 2021-Lab &amp; Other HPS'!$BP$443:$BP$542)*(('C19RM 2021-Lab &amp; Other HPS'!$X$443:$X$542)))),(IF((INDEX(SETUP!$F$19:$F$503,(MATCH(1,(SETUP!$B$19:$B$503=B36)*(SETUP!$D$19:$D$503=D36),0))))="At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HPS'!$Q$443:$Q$542)))),IF((INDEX(SETUP!$G$19:$G$503,(MATCH(1,(SETUP!$B$19:$B$503=B36)*(SETUP!$D$19:$D$503=D36),0))))=3,(SUMPRODUCT(('C19RM 2021-Lab &amp; Other HPS'!$A$443:$D$542=E36)*('C19RM 2021-Lab &amp; Other HPS'!$BH$443:$BH$542=BJ36)*('C19RM 2021-Lab &amp; Other HPS'!$BO$443:$BO$542)*(('C19RM 2021-Lab &amp; Other HPS'!$R$443:$R$542)))),IF((INDEX(SETUP!$G$19:$G$503,(MATCH(1,(SETUP!$B$19:$B$503=B36)*(SETUP!$D$19:$D$503=D36),0))))=2,(SUMPRODUCT(('C19RM 2021-Lab &amp; Other HPS'!$A$443:$D$542=E36)*('C19RM 2021-Lab &amp; Other HPS'!$BH$443:$BH$542=BJ36)*('C19RM 2021-Lab &amp; Other HPS'!$BO$443:$BO$542)*(('C19RM 2021-Lab &amp; Other HPS'!$S$443:$S$542)))),IF((INDEX(SETUP!$G$19:$G$503,(MATCH(1,(SETUP!$B$19:$B$503=B36)*(SETUP!$D$19:$D$503=D36),0))))=1,(SUMPRODUCT(('C19RM 2021-Lab &amp; Other HPS'!$A$443:$D$542=E36)*('C19RM 2021-Lab &amp; Other HPS'!$BH$443:$BH$542=BJ36)*('C19RM 2021-Lab &amp; Other HPS'!$BO$443:$BO$542)*(('C19RM 2021-Lab &amp; Other HPS'!$T$443:$T$542)))),0)))),0)))</f>
        <v>0</v>
      </c>
      <c r="W36" s="359" cm="1">
        <f t="array" ref="W36">IF((INDEX(SETUP!$F$19:$F$503,(MATCH(1,(SETUP!$B$19:$B$503=B36)*(SETUP!$D$19:$D$503=D36),0))))="Upfront",(SUMPRODUCT(('C19RM 2021-Lab &amp; Other HPS'!$A$443:$D$542=E36)*('C19RM 2021-Lab &amp; Other HPS'!$BH$443:$BH$542=BJ36)*('C19RM 2021-Lab &amp; Other HPS'!$BP$443:$BP$542)*(('C19RM 2021-Lab &amp; Other HPS'!$Y$443:$Y$542)))),(IF((INDEX(SETUP!$F$19:$F$503,(MATCH(1,(SETUP!$B$19:$B$503=B36)*(SETUP!$D$19:$D$503=D36),0))))="At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HPS'!$R$443:$R$542)))),IF((INDEX(SETUP!$G$19:$G$503,(MATCH(1,(SETUP!$B$19:$B$503=B36)*(SETUP!$D$19:$D$503=D36),0))))=3,(SUMPRODUCT(('C19RM 2021-Lab &amp; Other HPS'!$A$443:$D$542=E36)*('C19RM 2021-Lab &amp; Other HPS'!$BH$443:$BH$542=BJ36)*('C19RM 2021-Lab &amp; Other HPS'!$BO$443:$BO$542)*(('C19RM 2021-Lab &amp; Other HPS'!$S$443:$S$542)))),IF((INDEX(SETUP!$G$19:$G$503,(MATCH(1,(SETUP!$B$19:$B$503=B36)*(SETUP!$D$19:$D$503=D36),0))))=2,((SUMPRODUCT(('C19RM 2021-Lab &amp; Other HPS'!$A$443:$D$542=E36)*('C19RM 2021-Lab &amp; Other HPS'!$BH$443:$BH$542=BJ36)*('C19RM 2021-Lab &amp; Other HPS'!$BO$443:$BO$542)*(('C19RM 2021-Lab &amp; Other HPS'!$T$443:$T$542))))),IF((INDEX(SETUP!$G$19:$G$503,(MATCH(1,(SETUP!$B$19:$B$503=B36)*(SETUP!$D$19:$D$503=D36),0))))=1,(SUMPRODUCT(('C19RM 2021-Lab &amp; Other HPS'!$A$443:$D$542=E36)*('C19RM 2021-Lab &amp; Other HPS'!$BH$443:$BH$542=BJ36)*('C19RM 2021-Lab &amp; Other HPS'!$BP$443:$BP$542)*(('C19RM 2021-Lab &amp; Other HPS'!$X$443:$X$542)))),0)))),0)))</f>
        <v>0</v>
      </c>
      <c r="X36" s="359" cm="1">
        <f t="array" ref="X36">IF((INDEX(SETUP!$F$19:$F$503,(MATCH(1,(SETUP!$B$19:$B$503=B36)*(SETUP!$D$19:$D$503=D36),0))))="Upfront",(SUMPRODUCT(('C19RM 2021-Lab &amp; Other HPS'!$A$443:$D$542=E36)*('C19RM 2021-Lab &amp; Other HPS'!$BH$443:$BH$542=BJ36)*('C19RM 2021-Lab &amp; Other HPS'!$BP$443:$BP$542)*(('C19RM 2021-Lab &amp; Other HPS'!$Z$443:$Z$542)))),(IF((INDEX(SETUP!$F$19:$F$503,(MATCH(1,(SETUP!$B$19:$B$503=B36)*(SETUP!$D$19:$D$503=D36),0))))="At delivery",IF((INDEX(SETUP!$G$19:$G$503,(MATCH(1,(SETUP!$B$19:$B$503=B36)*(SETUP!$D$19:$D$503=D36),0))))=4,(SUMPRODUCT(('C19RM 2021-Lab &amp; Other HPS'!$A$443:$D$542=E36)*('C19RM 2021-Lab &amp; Other HPS'!$BH$443:$BH$542=BJ36)*('C19RM 2021-Lab &amp; Other HPS'!$BO$443:$BO$542)*(('C19RM 2021-Lab &amp; Other HPS'!$S$443:$S$542)))),IF((INDEX(SETUP!$G$19:$G$503,(MATCH(1,(SETUP!$B$19:$B$503=B36)*(SETUP!$D$19:$D$503=D36),0))))=3,((SUMPRODUCT(('C19RM 2021-Lab &amp; Other HPS'!$A$443:$D$542=E36)*('C19RM 2021-Lab &amp; Other HPS'!$BH$443:$BH$542=BJ36)*('C19RM 2021-Lab &amp; Other HPS'!$BO$443:$BO$542)*(('C19RM 2021-Lab &amp; Other HPS'!$T$443:$T$542))))),IF((INDEX(SETUP!$G$19:$G$503,(MATCH(1,(SETUP!$B$19:$B$503=B36)*(SETUP!$D$19:$D$503=D36),0))))=2,(SUMPRODUCT(('C19RM 2021-Lab &amp; Other HPS'!$A$443:$D$542=E36)*('C19RM 2021-Lab &amp; Other HPS'!$BH$443:$BH$542=BJ36)*('C19RM 2021-Lab &amp; Other HPS'!$BP$443:$BP$542)*(('C19RM 2021-Lab &amp; Other HPS'!$X$443:$X$542)))),IF((INDEX(SETUP!$G$19:$G$503,(MATCH(1,(SETUP!$B$19:$B$503=B36)*(SETUP!$D$19:$D$503=D36),0))))=1,(SUMPRODUCT(('C19RM 2021-Lab &amp; Other HPS'!$A$443:$D$542=E36)*('C19RM 2021-Lab &amp; Other HPS'!$BH$443:$BH$542=BJ36)*('C19RM 2021-Lab &amp; Other HPS'!$BP$443:$BP$542)*(('C19RM 2021-Lab &amp; Other HPS'!$Y$443:$Y$542)))),0)))),0)))</f>
        <v>0</v>
      </c>
      <c r="Y36" s="359" cm="1">
        <f t="array" ref="Y36">IF((INDEX(SETUP!$F$19:$F$503,(MATCH(1,(SETUP!$B$19:$B$503=B36)*(SETUP!$D$19:$D$503=D36),0))))="Upfront",
(SUMPRODUCT(('C19RM 2021-Lab &amp; Other HPS'!$A$443:$D$542=E36)*('C19RM 2021-Lab &amp; Other HPS'!$BH$443:$BH$542=BJ36)*('C19RM 2021-Lab &amp; Other HPS'!$BP$443:$BP$542)*(('C19RM 2021-Lab &amp; Other HPS'!$AA$443:$AA$542)))),
(IF((INDEX(SETUP!$F$19:$F$503,(MATCH(1,(SETUP!$B$19:$B$503=B36)*(SETUP!$D$19:$D$503=D36),0))))="At delivery",
IF((INDEX(SETUP!$G$19:$G$503,(MATCH(1,(SETUP!$B$19:$B$503=B36)*(SETUP!$D$19:$D$503=D36),0))))=4,
((SUMPRODUCT(('C19RM 2021-Lab &amp; Other HPS'!$A$443:$D$542=E36)*('C19RM 2021-Lab &amp; Other HPS'!$BH$443:$BH$542=BJ36)*('C19RM 2021-Lab &amp; Other HPS'!$BO$443:$BO$542)*(('C19RM 2021-Lab &amp; Other HPS'!$T$443:$T$542))))),IF((INDEX(SETUP!$G$19:$G$503,(MATCH(1,(SETUP!$B$19:$B$503=B36)*(SETUP!$D$19:$D$503=D36),0))))=3,(SUMPRODUCT(('C19RM 2021-Lab &amp; Other HPS'!$A$443:$D$542=E36)*('C19RM 2021-Lab &amp; Other HPS'!$BH$443:$BH$542=BJ36)*('C19RM 2021-Lab &amp; Other HPS'!$BP$443:$BP$542)*(('C19RM 2021-Lab &amp; Other HPS'!$X$443:$X$542)))),IF((INDEX(SETUP!$G$19:$G$503,(MATCH(1,(SETUP!$B$19:$B$503=B36)*(SETUP!$D$19:$D$503=D36),0))))=2,(SUMPRODUCT(('C19RM 2021-Lab &amp; Other HPS'!$A$443:$D$542=E36)*('C19RM 2021-Lab &amp; Other HPS'!$BH$443:$BH$542=BJ36)*('C19RM 2021-Lab &amp; Other HPS'!$BP$443:$BP$542)*(('C19RM 2021-Lab &amp; Other HPS'!$Y$443:$Y$542)))),IF((INDEX(SETUP!$G$19:$G$503,(MATCH(1,(SETUP!$B$19:$B$503=B36)*(SETUP!$D$19:$D$503=D36),0))))=1,(SUMPRODUCT(('C19RM 2021-Lab &amp; Other HPS'!$A$443:$D$542=E36)*('C19RM 2021-Lab &amp; Other HPS'!$BH$443:$BH$542=BJ36)*('C19RM 2021-Lab &amp; Other HPS'!$BP$443:$BP$542)*(('C19RM 2021-Lab &amp; Other HPS'!$Z$443:$Z$542)))),0)))),0)))</f>
        <v>0</v>
      </c>
      <c r="Z36" s="359" cm="1">
        <f t="array" ref="Z36">IF((INDEX(SETUP!$F$19:$F$503,(MATCH(1,(SETUP!$B$19:$B$503=B36)*(SETUP!$D$19:$D$503=D36),0))))="Upfront",(SUMPRODUCT(('C19RM 2021-Lab &amp; Other HPS'!$A$443:$D$542=E36)*('C19RM 2021-Lab &amp; Other HPS'!$BH$443:$BH$542=BJ36)*('C19RM 2021-Lab &amp; Other HPS'!$BQ$443:$BQ$542)*(('C19RM 2021-Lab &amp; Other HPS'!$AE$443:$AE$542)))),(IF((INDEX(SETUP!$F$19:$F$503,(MATCH(1,(SETUP!$B$19:$B$503=B36)*(SETUP!$D$19:$D$503=D36),0))))="At delivery",IF((INDEX(SETUP!$G$19:$G$503,(MATCH(1,(SETUP!$B$19:$B$503=B36)*(SETUP!$D$19:$D$503=D36),0))))=4,(SUMPRODUCT(('C19RM 2021-Lab &amp; Other HPS'!$A$443:$D$542=E36)*('C19RM 2021-Lab &amp; Other HPS'!$BH$443:$BH$542=BJ36)*('C19RM 2021-Lab &amp; Other HPS'!$BP$443:$BP$542)*(('C19RM 2021-Lab &amp; Other HPS'!$X$443:$X$542)))),IF((INDEX(SETUP!$G$19:$G$503,(MATCH(1,(SETUP!$B$19:$B$503=B36)*(SETUP!$D$19:$D$503=D36),0))))=3,(SUMPRODUCT(('C19RM 2021-Lab &amp; Other HPS'!$A$443:$D$542=E36)*('C19RM 2021-Lab &amp; Other HPS'!$BH$443:$BH$542=BJ36)*('C19RM 2021-Lab &amp; Other HPS'!$BP$443:$BP$542)*(('C19RM 2021-Lab &amp; Other HPS'!$Y$443:$Y$542)))),IF((INDEX(SETUP!$G$19:$G$503,(MATCH(1,(SETUP!$B$19:$B$503=B36)*(SETUP!$D$19:$D$503=D36),0))))=2,(SUMPRODUCT(('C19RM 2021-Lab &amp; Other HPS'!$A$443:$D$542=E36)*('C19RM 2021-Lab &amp; Other HPS'!$BH$443:$BH$542=BJ36)*('C19RM 2021-Lab &amp; Other HPS'!$BP$443:$BP$542)*(('C19RM 2021-Lab &amp; Other HPS'!$Z$443:$Z$542)))),IF((INDEX(SETUP!$G$19:$G$503,(MATCH(1,(SETUP!$B$19:$B$503=B36)*(SETUP!$D$19:$D$503=D36),0))))=1,(SUMPRODUCT(('C19RM 2021-Lab &amp; Other HPS'!$A$443:$D$542=E36)*('C19RM 2021-Lab &amp; Other HPS'!$BH$443:$BH$542=BJ36)*('C19RM 2021-Lab &amp; Other HPS'!$BP$443:$BP$542)*(('C19RM 2021-Lab &amp; Other HPS'!$AA$443:$AA$542)))),0)))),0)))</f>
        <v>0</v>
      </c>
      <c r="AA36" s="359" cm="1">
        <f t="array" ref="AA36">IF((INDEX(SETUP!$F$19:$F$503,(MATCH(1,(SETUP!$B$19:$B$503=B36)*(SETUP!$D$19:$D$503=D36),0))))="Upfront",(SUMPRODUCT(('C19RM 2021-Lab &amp; Other HPS'!$A$443:$D$542=E36)*('C19RM 2021-Lab &amp; Other HPS'!$BH$443:$BH$542=BJ36)*('C19RM 2021-Lab &amp; Other HPS'!$BQ$443:$BQ$542)*(('C19RM 2021-Lab &amp; Other HPS'!$AF$443:$AF$542)))),(IF((INDEX(SETUP!$F$19:$F$503,(MATCH(1,(SETUP!$B$19:$B$503=B36)*(SETUP!$D$19:$D$503=D36),0))))="At delivery",IF((INDEX(SETUP!$G$19:$G$503,(MATCH(1,(SETUP!$B$19:$B$503=B36)*(SETUP!$D$19:$D$503=D36),0))))=4,(SUMPRODUCT(('C19RM 2021-Lab &amp; Other HPS'!$A$443:$D$542=E36)*('C19RM 2021-Lab &amp; Other HPS'!$BH$443:$BH$542=BJ36)*('C19RM 2021-Lab &amp; Other HPS'!$BP$443:$BP$542)*(('C19RM 2021-Lab &amp; Other HPS'!$Y$443:$Y$542)))),IF((INDEX(SETUP!$G$19:$G$503,(MATCH(1,(SETUP!$B$19:$B$503=B36)*(SETUP!$D$19:$D$503=D36),0))))=3,(SUMPRODUCT(('C19RM 2021-Lab &amp; Other HPS'!$A$443:$D$542=E36)*('C19RM 2021-Lab &amp; Other HPS'!$BH$443:$BH$542=BJ36)*('C19RM 2021-Lab &amp; Other HPS'!$BP$443:$BP$542)*(('C19RM 2021-Lab &amp; Other HPS'!$Z$443:$Z$542)))),IF((INDEX(SETUP!$G$19:$G$503,(MATCH(1,(SETUP!$B$19:$B$503=B36)*(SETUP!$D$19:$D$503=D36),0))))=2,((SUMPRODUCT(('C19RM 2021-Lab &amp; Other HPS'!$A$443:$D$542=E36)*('C19RM 2021-Lab &amp; Other HPS'!$BH$443:$BH$542=BJ36)*('C19RM 2021-Lab &amp; Other HPS'!$BP$443:$BP$542)*(('C19RM 2021-Lab &amp; Other HPS'!$AA$443:$AA$542))))),IF((INDEX(SETUP!$G$19:$G$503,(MATCH(1,(SETUP!$B$19:$B$503=B36)*(SETUP!$D$19:$D$503=D36),0))))=1,(SUMPRODUCT(('C19RM 2021-Lab &amp; Other HPS'!$A$443:$D$542=E36)*('C19RM 2021-Lab &amp; Other HPS'!$BH$443:$BH$542=BJ36)*('C19RM 2021-Lab &amp; Other HPS'!$BQ$443:$BQ$542)*(('C19RM 2021-Lab &amp; Other HPS'!$AE$443:$AE$542)))),0)))),0)))</f>
        <v>0</v>
      </c>
      <c r="AB36" s="359" cm="1">
        <f t="array" ref="AB36">IF((INDEX(SETUP!$F$19:$F$503,(MATCH(1,(SETUP!$B$19:$B$503=B36)*(SETUP!$D$19:$D$503=D36),0))))="Upfront",
(SUMPRODUCT(('C19RM 2021-Lab &amp; Other HPS'!$A$443:$D$542=E36)*('C19RM 2021-Lab &amp; Other HPS'!$BH$443:$BH$542=BJ36)*('C19RM 2021-Lab &amp; Other HPS'!$BQ$443:$BQ$542)*(('C19RM 2021-Lab &amp; Other HPS'!$AG$443:$AG$542)))),
(IF((INDEX(SETUP!$F$19:$F$503,(MATCH(1,(SETUP!$B$19:$B$503=B36)*(SETUP!$D$19:$D$503=D36),0))))="At delivery",
IF((INDEX(SETUP!$G$19:$G$503,(MATCH(1,(SETUP!$B$19:$B$503=B36)*(SETUP!$D$19:$D$503=D36),0))))=4,
(SUMPRODUCT(('C19RM 2021-Lab &amp; Other HPS'!$A$443:$D$542=E36)*('C19RM 2021-Lab &amp; Other HPS'!$BH$443:$BH$542=BJ36)*('C19RM 2021-Lab &amp; Other HPS'!$BP$443:$BP$542)*(('C19RM 2021-Lab &amp; Other HPS'!$Z$443:$Z$542)))),IF((INDEX(SETUP!$G$19:$G$503,(MATCH(1,(SETUP!$B$19:$B$503=B36)*(SETUP!$D$19:$D$503=D36),0))))=3,(SUMPRODUCT(('C19RM 2021-Lab &amp; Other HPS'!$A$443:$D$542=E36)*('C19RM 2021-Lab &amp; Other HPS'!$BH$443:$BH$542=BJ36)*('C19RM 2021-Lab &amp; Other HPS'!$BP$443:$BP$542)*(('C19RM 2021-Lab &amp; Other HPS'!$AA$443:$AA$542)))),IF((INDEX(SETUP!$G$19:$G$503,(MATCH(1,(SETUP!$B$19:$B$503=B36)*(SETUP!$D$19:$D$503=D36),0))))=2,(SUMPRODUCT(('C19RM 2021-Lab &amp; Other HPS'!$A$443:$D$542=E36)*('C19RM 2021-Lab &amp; Other HPS'!$BH$443:$BH$542=BJ36)*('C19RM 2021-Lab &amp; Other HPS'!$BQ$443:$BQ$542)*(('C19RM 2021-Lab &amp; Other HPS'!$AE$443:$AE$542)))),IF((INDEX(SETUP!$G$19:$G$503,(MATCH(1,(SETUP!$B$19:$B$503=B36)*(SETUP!$D$19:$D$503=D36),0))))=1,(SUMPRODUCT(('C19RM 2021-Lab &amp; Other HPS'!$A$443:$D$542=E36)*('C19RM 2021-Lab &amp; Other HPS'!$BH$443:$BH$542=BJ36)*('C19RM 2021-Lab &amp; Other HPS'!$BQ$443:$BQ$542)*(('C19RM 2021-Lab &amp; Other HPS'!$AF$443:$AF$542)))),0)))),0)))</f>
        <v>0</v>
      </c>
      <c r="AC36" s="359" cm="1">
        <f t="array" ref="AC36">IF((INDEX(SETUP!$F$19:$F$503,(MATCH(1,(SETUP!$B$19:$B$503=B36)*(SETUP!$D$19:$D$503=D36),0))))="Upfront",
(SUMPRODUCT(('C19RM 2021-Lab &amp; Other HPS'!$A$443:$D$542=E36)*('C19RM 2021-Lab &amp; Other HPS'!$BH$443:$BH$542=BJ36)*('C19RM 2021-Lab &amp; Other HPS'!$BQ$443:$BQ$542)*(('C19RM 2021-Lab &amp; Other HPS'!$AH$443:$AH$542)))),
(IF((INDEX(SETUP!$F$19:$F$503,(MATCH(1,(SETUP!$B$19:$B$503=B36)*(SETUP!$D$19:$D$503=D36),0))))="At delivery",
IF((INDEX(SETUP!$G$19:$G$503,(MATCH(1,(SETUP!$B$19:$B$503=B36)*(SETUP!$D$19:$D$503=D36),0))))=4,
(SUMPRODUCT(('C19RM 2021-Lab &amp; Other HPS'!$A$443:$D$542=E36)*('C19RM 2021-Lab &amp; Other HPS'!$BH$443:$BH$542=BJ36)*('C19RM 2021-Lab &amp; Other HPS'!$BP$443:$BP$542)*(('C19RM 2021-Lab &amp; Other HPS'!$AA$443:$AA$542)))),IF((INDEX(SETUP!$G$19:$G$503,(MATCH(1,(SETUP!$B$19:$B$503=B36)*(SETUP!$D$19:$D$503=D36),0))))=3,(SUMPRODUCT(('C19RM 2021-Lab &amp; Other HPS'!$A$443:$D$542=E36)*('C19RM 2021-Lab &amp; Other HPS'!$BH$443:$BH$542=BJ36)*('C19RM 2021-Lab &amp; Other HPS'!$BQ$443:$BQ$542)*(('C19RM 2021-Lab &amp; Other HPS'!$AE$443:$AE$542)))),IF((INDEX(SETUP!$G$19:$G$503,(MATCH(1,(SETUP!$B$19:$B$503=B36)*(SETUP!$D$19:$D$503=D36),0))))=2,(SUMPRODUCT(('C19RM 2021-Lab &amp; Other HPS'!$A$443:$D$542=E36)*('C19RM 2021-Lab &amp; Other HPS'!$BH$443:$BH$542=BJ36)*('C19RM 2021-Lab &amp; Other HPS'!$BQ$443:$BQ$542)*(('C19RM 2021-Lab &amp; Other HPS'!$AF$443:$AF$542)))),IF((INDEX(SETUP!$G$19:$G$503,(MATCH(1,(SETUP!$B$19:$B$503=B36)*(SETUP!$D$19:$D$503=D36),0))))=1,(SUMPRODUCT(('C19RM 2021-Lab &amp; Other HPS'!$A$443:$D$542=E36)*('C19RM 2021-Lab &amp; Other HPS'!$BH$443:$BH$542=BJ36)*('C19RM 2021-Lab &amp; Other HPS'!$BQ$443:$BQ$542)*(('C19RM 2021-Lab &amp; Other HPS'!$AG$443:$AG$542)))),0)))),0)))</f>
        <v>0</v>
      </c>
      <c r="AD36" s="359" cm="1">
        <f t="array" ref="AD36">IF((INDEX(SETUP!$F$19:$F$503,(MATCH(1,(SETUP!$B$19:$B$503=B36)*(SETUP!$D$19:$D$503=D36),0))))="Upfront",
(SUMPRODUCT(('C19RM 2021-Lab &amp; Other HPS'!$A$443:$D$542=E36)*('C19RM 2021-Lab &amp; Other HPS'!$BH$443:$BH$542=BJ36)*('C19RM 2021-Lab &amp; Other HPS'!$BR$443:$BR$542)*(('C19RM 2021-Lab &amp; Other HPS'!$AL$443:$AL$542)))),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HPS'!$AE$443:$AE$542)))),IF((INDEX(SETUP!$G$19:$G$503,(MATCH(1,(SETUP!$B$19:$B$503=B36)*(SETUP!$D$19:$D$503=D36),0))))=3,((SUMPRODUCT(('C19RM 2021-Lab &amp; Other HPS'!$A$443:$D$542=E36)*('C19RM 2021-Lab &amp; Other HPS'!$BH$443:$BH$542=BJ36)*('C19RM 2021-Lab &amp; Other HPS'!$BQ$443:$BQ$542)*(('C19RM 2021-Lab &amp; Other HPS'!$AF$443:$AF$542))))),IF((INDEX(SETUP!$G$19:$G$503,(MATCH(1,(SETUP!$B$19:$B$503=B36)*(SETUP!$D$19:$D$503=D36),0))))=2,(SUMPRODUCT(('C19RM 2021-Lab &amp; Other HPS'!$A$443:$D$542=E36)*('C19RM 2021-Lab &amp; Other HPS'!$BH$443:$BH$542=BJ36)*('C19RM 2021-Lab &amp; Other HPS'!$BQ$443:$BQ$542)*(('C19RM 2021-Lab &amp; Other HPS'!$AG$443:$AG$542)))),IF((INDEX(SETUP!$G$19:$G$503,(MATCH(1,(SETUP!$B$19:$B$503=B36)*(SETUP!$D$19:$D$503=D36),0))))=1,(SUMPRODUCT(('C19RM 2021-Lab &amp; Other HPS'!$A$443:$D$542=E36)*('C19RM 2021-Lab &amp; Other HPS'!$BH$443:$BH$542=BJ36)*('C19RM 2021-Lab &amp; Other HPS'!$BQ$443:$BQ$542)*(('C19RM 2021-Lab &amp; Other HPS'!$AH$443:$AH$542)))),0)))),0)))</f>
        <v>0</v>
      </c>
      <c r="AE36" s="359" cm="1">
        <f t="array" ref="AE36">IF((INDEX(SETUP!$F$19:$F$503,(MATCH(1,(SETUP!$B$19:$B$503=B36)*(SETUP!$D$19:$D$503=D36),0))))="Upfront",
(SUMPRODUCT(('C19RM 2021-Lab &amp; Other HPS'!$A$443:$D$542=E36)*('C19RM 2021-Lab &amp; Other HPS'!$BH$443:$BH$542=BJ36)*('C19RM 2021-Lab &amp; Other HPS'!$BR$443:$BR$542)*(('C19RM 2021-Lab &amp; Other HPS'!$AM$443:$AM$542)))),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HPS'!$AF$443:$AF$542)))),IF((INDEX(SETUP!$G$19:$G$503,(MATCH(1,(SETUP!$B$19:$B$503=B36)*(SETUP!$D$19:$D$503=D36),0))))=3,(SUMPRODUCT(('C19RM 2021-Lab &amp; Other HPS'!$A$443:$D$542=E36)*('C19RM 2021-Lab &amp; Other HPS'!$BH$443:$BH$542=BJ36)*('C19RM 2021-Lab &amp; Other HPS'!$BQ$443:$BQ$542)*(('C19RM 2021-Lab &amp; Other HPS'!$AG$443:$AG$542)))),IF((INDEX(SETUP!$G$19:$G$503,(MATCH(1,(SETUP!$B$19:$B$503=B36)*(SETUP!$D$19:$D$503=D36),0))))=2,(SUMPRODUCT(('C19RM 2021-Lab &amp; Other HPS'!$A$443:$D$542=E36)*('C19RM 2021-Lab &amp; Other HPS'!$BH$443:$BH$542=BJ36)*('C19RM 2021-Lab &amp; Other HPS'!$BQ$443:$BQ$542)*(('C19RM 2021-Lab &amp; Other HPS'!$AH$443:$AH$542)))),IF((INDEX(SETUP!$G$19:$G$503,(MATCH(1,(SETUP!$B$19:$B$503=B36)*(SETUP!$D$19:$D$503=D36),0))))=1,(SUMPRODUCT(('C19RM 2021-Lab &amp; Other HPS'!$A$443:$D$542=E36)*('C19RM 2021-Lab &amp; Other HPS'!$BH$443:$BH$542=BJ36)*('C19RM 2021-Lab &amp; Other HPS'!$BR$443:$BR$542)*(('C19RM 2021-Lab &amp; Other HPS'!$AL$443:$AL$542)))),0)))),0)))</f>
        <v>0</v>
      </c>
      <c r="AF36" s="359" cm="1">
        <f t="array" ref="AF36">IF((INDEX(SETUP!$F$19:$F$503,(MATCH(1,(SETUP!$B$19:$B$503=B36)*(SETUP!$D$19:$D$503=D36),0))))="Upfront",
(SUMPRODUCT(('C19RM 2021-Lab &amp; Other HPS'!$A$443:$D$542=E36)*('C19RM 2021-Lab &amp; Other HPS'!$BH$443:$BH$542=BJ36)*('C19RM 2021-Lab &amp; Other HPS'!$BR$443:$BR$542)*(('C19RM 2021-Lab &amp; Other HPS'!$AN$443:$AN$542)))),
(IF((INDEX(SETUP!$F$19:$F$503,(MATCH(1,(SETUP!$B$19:$B$503=B36)*(SETUP!$D$19:$D$503=D36),0))))="At delivery",
IF((INDEX(SETUP!$G$19:$G$503,(MATCH(1,(SETUP!$B$19:$B$503=B36)*(SETUP!$D$19:$D$503=D36),0))))=4,
(SUMPRODUCT(('C19RM 2021-Lab &amp; Other HPS'!$A$443:$D$542=E36)*('C19RM 2021-Lab &amp; Other HPS'!$BH$443:$BH$542=BJ36)*('C19RM 2021-Lab &amp; Other HPS'!$BQ$443:$BQ$542)*(('C19RM 2021-Lab &amp; Other HPS'!$AG$443:$AG$542)))),IF((INDEX(SETUP!$G$19:$G$503,(MATCH(1,(SETUP!$B$19:$B$503=B36)*(SETUP!$D$19:$D$503=D36),0))))=3,(SUMPRODUCT(('C19RM 2021-Lab &amp; Other HPS'!$A$443:$D$542=E36)*('C19RM 2021-Lab &amp; Other HPS'!$BH$443:$BH$542=BJ36)*('C19RM 2021-Lab &amp; Other HPS'!$BQ$443:$BQ$542)*(('C19RM 2021-Lab &amp; Other HPS'!$AH$443:$AH$542)))),IF((INDEX(SETUP!$G$19:$G$503,(MATCH(1,(SETUP!$B$19:$B$503=B36)*(SETUP!$D$19:$D$503=D36),0))))=2,(SUMPRODUCT(('C19RM 2021-Lab &amp; Other HPS'!$A$443:$D$542=E36)*('C19RM 2021-Lab &amp; Other HPS'!$BH$443:$BH$542=BJ36)*('C19RM 2021-Lab &amp; Other HPS'!$BR$443:$BR$542)*(('C19RM 2021-Lab &amp; Other HPS'!$AL$443:$AL$542)))),IF((INDEX(SETUP!$G$19:$G$503,(MATCH(1,(SETUP!$B$19:$B$503=B36)*(SETUP!$D$19:$D$503=D36),0))))=1,(SUMPRODUCT(('C19RM 2021-Lab &amp; Other HPS'!$A$443:$D$542=E36)*('C19RM 2021-Lab &amp; Other HPS'!$BH$443:$BH$542=BJ36)*('C19RM 2021-Lab &amp; Other HPS'!$BR$443:$BR$542)*(('C19RM 2021-Lab &amp; Other HPS'!$AM$443:$AM$542)))),0)))),0)))</f>
        <v>0</v>
      </c>
      <c r="AG36" s="359" cm="1">
        <f t="array" ref="AG36">IF((INDEX(SETUP!$F$19:$F$503,(MATCH(1,(SETUP!$B$19:$B$503=B36)*(SETUP!$D$19:$D$503=D36),0))))="Upfront",(SUMPRODUCT(('C19RM 2021-Lab &amp; Other HPS'!$A$443:$D$542=E36)*('C19RM 2021-Lab &amp; Other HPS'!$BH$443:$BH$542=BJ36)*('C19RM 2021-Lab &amp; Other HPS'!$BR$443:$BR$542)*(('C19RM 2021-Lab &amp; Other HPS'!$AO$443:$AO$542)))),(IF((INDEX(SETUP!$F$19:$F$503,(MATCH(1,(SETUP!$B$19:$B$503=B36)*(SETUP!$D$19:$D$503=D36),0))))="At delivery",IF((INDEX(SETUP!$G$19:$G$503,(MATCH(1,(SETUP!$B$19:$B$503=B36)*(SETUP!$D$19:$D$503=D36),0))))=4,(SUMPRODUCT(('C19RM 2021-Lab &amp; Other HPS'!$A$443:$D$542=E36)*('C19RM 2021-Lab &amp; Other HPS'!$BH$443:$BH$542=BJ36)*('C19RM 2021-Lab &amp; Other HPS'!$BQ$443:$BQ$542)*(('C19RM 2021-Lab &amp; Other HPS'!$AH$443:$AH$542)))),IF((INDEX(SETUP!$G$19:$G$503,(MATCH(1,(SETUP!$B$19:$B$503=B36)*(SETUP!$D$19:$D$503=D36),0))))=3,(SUMPRODUCT(('C19RM 2021-Lab &amp; Other HPS'!$A$443:$D$542=E36)*('C19RM 2021-Lab &amp; Other HPS'!$BH$443:$BH$542=BJ36)*('C19RM 2021-Lab &amp; Other HPS'!$BR$443:$BR$542)*(('C19RM 2021-Lab &amp; Other HPS'!$AL$443:$AL$542)))),IF((INDEX(SETUP!$G$19:$G$503,(MATCH(1,(SETUP!$B$19:$B$503=B36)*(SETUP!$D$19:$D$503=D36),0))))=2,(SUMPRODUCT(('C19RM 2021-Lab &amp; Other HPS'!$A$443:$D$542=E36)*('C19RM 2021-Lab &amp; Other HPS'!$BH$443:$BH$542=BJ36)*('C19RM 2021-Lab &amp; Other HPS'!$BR$443:$BR$542)*(('C19RM 2021-Lab &amp; Other HPS'!$AM$443:$AM$542)))),IF((INDEX(SETUP!$G$19:$G$503,(MATCH(1,(SETUP!$B$19:$B$503=B36)*(SETUP!$D$19:$D$503=D36),0))))=1,(SUMPRODUCT(('C19RM 2021-Lab &amp; Other HPS'!$A$443:$D$542=E36)*('C19RM 2021-Lab &amp; Other HPS'!$BH$443:$BH$542=BJ36)*('C19RM 2021-Lab &amp; Other HPS'!$BR$443:$BR$542)*(('C19RM 2021-Lab &amp; Other HPS'!$AN$443:$AN$542)))),0)))),0)))</f>
        <v>0</v>
      </c>
      <c r="AH36" s="359" cm="1">
        <f t="array" ref="AH36">IF((INDEX(SETUP!$F$19:$F$503,(MATCH(1,(SETUP!$B$19:$B$503=B36)*(SETUP!$D$19:$D$503=D36),0))))="Upfront",
(SUMPRODUCT(('C19RM 2021-Lab &amp; Other HPS'!$A$443:$D$542=E36)*('C19RM 2021-Lab &amp; Other HPS'!$BH$443:$BH$542=BJ36)*('C19RM 2021-Lab &amp; Other HPS'!$BS$443:$BS$542)*(('C19RM 2021-Lab &amp; Other HPS'!$AS$443:$AS$542)))),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HPS'!$AL$443:$AL$542)))),IF((INDEX(SETUP!$G$19:$G$503,(MATCH(1,(SETUP!$B$19:$B$503=B36)*(SETUP!$D$19:$D$503=D36),0))))=3,((SUMPRODUCT(('C19RM 2021-Lab &amp; Other HPS'!$A$443:$D$542=E36)*('C19RM 2021-Lab &amp; Other HPS'!$BH$443:$BH$542=BJ36)*('C19RM 2021-Lab &amp; Other HPS'!$BR$443:$BR$542)*(('C19RM 2021-Lab &amp; Other HPS'!$AM$443:$AM$542))))),IF((INDEX(SETUP!$G$19:$G$503,(MATCH(1,(SETUP!$B$19:$B$503=B36)*(SETUP!$D$19:$D$503=D36),0))))=2,(SUMPRODUCT(('C19RM 2021-Lab &amp; Other HPS'!$A$443:$D$542=E36)*('C19RM 2021-Lab &amp; Other HPS'!$BH$443:$BH$542=BJ36)*('C19RM 2021-Lab &amp; Other HPS'!$BR$443:$BR$542)*(('C19RM 2021-Lab &amp; Other HPS'!$AN$443:$AN$542)))),IF((INDEX(SETUP!$G$19:$G$503,(MATCH(1,(SETUP!$B$19:$B$503=B36)*(SETUP!$D$19:$D$503=D36),0))))=1,(SUMPRODUCT(('C19RM 2021-Lab &amp; Other HPS'!$A$443:$D$542=E36)*('C19RM 2021-Lab &amp; Other HPS'!$BH$443:$BH$542=BJ36)*('C19RM 2021-Lab &amp; Other HPS'!$BR$443:$BR$542)*(('C19RM 2021-Lab &amp; Other HPS'!$AO$443:$AO$542)))),0)))),0)))</f>
        <v>0</v>
      </c>
      <c r="AI36" s="359" cm="1">
        <f t="array" ref="AI36">IF((INDEX(SETUP!$F$19:$F$503,(MATCH(1,(SETUP!$B$19:$B$503=B36)*(SETUP!$D$19:$D$503=D36),0))))="Upfront",
(SUMPRODUCT(('C19RM 2021-Lab &amp; Other HPS'!$A$443:$D$542=E36)*('C19RM 2021-Lab &amp; Other HPS'!$BH$443:$BH$542=BJ36)*('C19RM 2021-Lab &amp; Other HPS'!$BS$443:$BS$542)*(('C19RM 2021-Lab &amp; Other HPS'!$AT$443:$AT$542)))),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HPS'!$AM$443:$AM$542)))),IF((INDEX(SETUP!$G$19:$G$503,(MATCH(1,(SETUP!$B$19:$B$503=B36)*(SETUP!$D$19:$D$503=D36),0))))=3,((SUMPRODUCT(('C19RM 2021-Lab &amp; Other HPS'!$A$443:$D$542=E36)*('C19RM 2021-Lab &amp; Other HPS'!$BH$443:$BH$542=BJ36)*('C19RM 2021-Lab &amp; Other HPS'!$BR$443:$BR$542)*(('C19RM 2021-Lab &amp; Other HPS'!$AN$443:$AN$542))))),IF((INDEX(SETUP!$G$19:$G$503,(MATCH(1,(SETUP!$B$19:$B$503=B36)*(SETUP!$D$19:$D$503=D36),0))))=2,(SUMPRODUCT(('C19RM 2021-Lab &amp; Other HPS'!$A$443:$D$542=E36)*('C19RM 2021-Lab &amp; Other HPS'!$BH$443:$BH$542=BJ36)*('C19RM 2021-Lab &amp; Other HPS'!$BR$443:$BR$542)*(('C19RM 2021-Lab &amp; Other HPS'!$AO$443:$AO$542)))),IF((INDEX(SETUP!$G$19:$G$503,(MATCH(1,(SETUP!$B$19:$B$503=B36)*(SETUP!$D$19:$D$503=D36),0))))=1,(SUMPRODUCT(('C19RM 2021-Lab &amp; Other HPS'!$A$443:$D$542=E36)*('C19RM 2021-Lab &amp; Other HPS'!$BH$443:$BH$542=BJ36)*('C19RM 2021-Lab &amp; Other HPS'!$BS$443:$BS$542)*(('C19RM 2021-Lab &amp; Other HPS'!$AS$443:$AS$542)))),0)))),0)))</f>
        <v>0</v>
      </c>
      <c r="AJ36" s="359" cm="1">
        <f t="array" ref="AJ36">IF((INDEX(SETUP!$F$19:$F$503,(MATCH(1,(SETUP!$B$19:$B$503=B36)*(SETUP!$D$19:$D$503=D36),0))))="Upfront",
(SUMPRODUCT(('C19RM 2021-Lab &amp; Other HPS'!$A$443:$D$542=E36)*('C19RM 2021-Lab &amp; Other HPS'!$BH$443:$BH$542=BJ36)*('C19RM 2021-Lab &amp; Other HPS'!$BS$443:$BS$542)*(('C19RM 2021-Lab &amp; Other HPS'!$AU$443:$AU$542)))),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HPS'!$AN$443:$AN$542)))),IF((INDEX(SETUP!$G$19:$G$503,(MATCH(1,(SETUP!$B$19:$B$503=B36)*(SETUP!$D$19:$D$503=D36),0))))=3,((SUMPRODUCT(('C19RM 2021-Lab &amp; Other HPS'!$A$443:$D$542=E36)*('C19RM 2021-Lab &amp; Other HPS'!$BH$443:$BH$542=BJ36)*('C19RM 2021-Lab &amp; Other HPS'!$BR$443:$BR$542)*(('C19RM 2021-Lab &amp; Other HPS'!$AO$443:$AO$542))))),IF((INDEX(SETUP!$G$19:$G$503,(MATCH(1,(SETUP!$B$19:$B$503=B36)*(SETUP!$D$19:$D$503=D36),0))))=2,(SUMPRODUCT(('C19RM 2021-Lab &amp; Other HPS'!$A$443:$D$542=E36)*('C19RM 2021-Lab &amp; Other HPS'!$BH$443:$BH$542=BJ36)*('C19RM 2021-Lab &amp; Other HPS'!$BS$443:$BS$542)*(('C19RM 2021-Lab &amp; Other HPS'!$AS$443:$AS$542)))),IF((INDEX(SETUP!$G$19:$G$503,(MATCH(1,(SETUP!$B$19:$B$503=B36)*(SETUP!$D$19:$D$503=D36),0))))=1,(SUMPRODUCT(('C19RM 2021-Lab &amp; Other HPS'!$A$443:$D$542=E36)*('C19RM 2021-Lab &amp; Other HPS'!$BH$443:$BH$542=BJ36)*('C19RM 2021-Lab &amp; Other HPS'!$BS$443:$BS$542)*(('C19RM 2021-Lab &amp; Other HPS'!$AT$443:$AT$542)))),0)))),0)))</f>
        <v>0</v>
      </c>
      <c r="AK36" s="359" cm="1">
        <f t="array" ref="AK36">IF((INDEX(SETUP!$F$19:$F$503,(MATCH(1,(SETUP!$B$19:$B$503=B36)*(SETUP!$D$19:$D$503=D36),0))))="Upfront",
(SUMPRODUCT(('C19RM 2021-Lab &amp; Other HPS'!$A$443:$D$542=E36)*('C19RM 2021-Lab &amp; Other HPS'!$BH$443:$BH$542=BJ36)*('C19RM 2021-Lab &amp; Other HPS'!$BS$443:$BS$542)*(('C19RM 2021-Lab &amp; Other HPS'!$AV$443:$AV$542)))),
(IF((INDEX(SETUP!$F$19:$F$503,(MATCH(1,(SETUP!$B$19:$B$503=B36)*(SETUP!$D$19:$D$503=D36),0))))="At delivery",
IF((INDEX(SETUP!$G$19:$G$503,(MATCH(1,(SETUP!$B$19:$B$503=B36)*(SETUP!$D$19:$D$503=D36),0))))=4,
(SUMPRODUCT(('C19RM 2021-Lab &amp; Other HPS'!$A$443:$D$542=E36)*('C19RM 2021-Lab &amp; Other HPS'!$BH$443:$BH$542=BJ36)*('C19RM 2021-Lab &amp; Other HPS'!$BR$443:$BR$542)*(('C19RM 2021-Lab &amp; Other HPS'!$AO$443:$AO$542)))),IF((INDEX(SETUP!$G$19:$G$503,(MATCH(1,(SETUP!$B$19:$B$503=B36)*(SETUP!$D$19:$D$503=D36),0))))=3,((SUMPRODUCT(('C19RM 2021-Lab &amp; Other HPS'!$A$443:$D$542=E36)*('C19RM 2021-Lab &amp; Other HPS'!$BH$443:$BH$542=BJ36)*('C19RM 2021-Lab &amp; Other HPS'!$BS$443:$BS$542)*(('C19RM 2021-Lab &amp; Other HPS'!$AS$443:$AS$542))))),IF((INDEX(SETUP!$G$19:$G$503,(MATCH(1,(SETUP!$B$19:$B$503=B36)*(SETUP!$D$19:$D$503=D36),0))))=2,(SUMPRODUCT(('C19RM 2021-Lab &amp; Other HPS'!$A$443:$D$542=E36)*('C19RM 2021-Lab &amp; Other HPS'!$BH$443:$BH$542=BJ36)*('C19RM 2021-Lab &amp; Other HPS'!$BS$443:$BS$542)*(('C19RM 2021-Lab &amp; Other HPS'!$AT$443:$AT$542)))),IF((INDEX(SETUP!$G$19:$G$503,(MATCH(1,(SETUP!$B$19:$B$503=B36)*(SETUP!$D$19:$D$503=D36),0))))=1,(SUMPRODUCT(('C19RM 2021-Lab &amp; Other HPS'!$A$443:$D$542=E36)*('C19RM 2021-Lab &amp; Other HPS'!$BH$443:$BH$542=BJ36)*('C19RM 2021-Lab &amp; Other HPS'!$BS$443:$BS$542)*(('C19RM 2021-Lab &amp; Other HPS'!$AU$443:$AU$542)))),0)))),0)))</f>
        <v>0</v>
      </c>
      <c r="AL36" s="359" cm="1">
        <f t="array" ref="AL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HPS'!$AS$443:$AS$542)))),IF((INDEX(SETUP!$G$19:$G$503,(MATCH(1,(SETUP!$B$19:$B$503=B36)*(SETUP!$D$19:$D$503=D36),0))))=3,(SUMPRODUCT(('C19RM 2021-Lab &amp; Other HPS'!$A$443:$D$542=E36)*('C19RM 2021-Lab &amp; Other HPS'!$BH$443:$BH$542=BJ36)*('C19RM 2021-Lab &amp; Other HPS'!$BS$443:$BS$542)*(('C19RM 2021-Lab &amp; Other HPS'!$AT$443:$AT$542)))),IF((INDEX(SETUP!$G$19:$G$503,(MATCH(1,(SETUP!$B$19:$B$503=B36)*(SETUP!$D$19:$D$503=D36),0))))=2,(SUMPRODUCT(('C19RM 2021-Lab &amp; Other HPS'!$A$443:$D$542=E36)*('C19RM 2021-Lab &amp; Other HPS'!$BH$443:$BH$542=BJ36)*('C19RM 2021-Lab &amp; Other HPS'!$BS$443:$BS$542)*(('C19RM 2021-Lab &amp; Other HPS'!$AU$443:$AU$542)))),
IF((INDEX(SETUP!$G$19:$G$503,(MATCH(1,(SETUP!$B$19:$B$503=B36)*(SETUP!$D$19:$D$503=D36),0))))=1,
(SUMPRODUCT(('C19RM 2021-Lab &amp; Other HPS'!$A$443:$D$542=E36)*('C19RM 2021-Lab &amp; Other HPS'!$BH$443:$BH$542=BJ36)*('C19RM 2021-Lab &amp; Other HPS'!$BS$443:$BS$542)*(('C19RM 2021-Lab &amp; Other HPS'!$AV$443:$AV$542)))),0)))),0)))</f>
        <v>0</v>
      </c>
      <c r="AM36" s="359" cm="1">
        <f t="array" ref="AM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HPS'!$AT$443:$AT$542)))),IF((INDEX(SETUP!$G$19:$G$503,(MATCH(1,(SETUP!$B$19:$B$503=B36)*(SETUP!$D$19:$D$503=D36),0))))=3,(SUMPRODUCT(('C19RM 2021-Lab &amp; Other HPS'!$A$443:$D$542=E36)*('C19RM 2021-Lab &amp; Other HPS'!$BH$443:$BH$542=BJ36)*('C19RM 2021-Lab &amp; Other HPS'!$BS$443:$BS$542)*(('C19RM 2021-Lab &amp; Other HPS'!$AU$443:$AU$542)))),IF((INDEX(SETUP!$G$19:$G$503,(MATCH(1,(SETUP!$B$19:$B$503=B36)*(SETUP!$D$19:$D$503=D36),0))))=2,(SUMPRODUCT(('C19RM 2021-Lab &amp; Other HPS'!$A$443:$D$542=E36)*('C19RM 2021-Lab &amp; Other HPS'!$BH$443:$BH$542=BJ36)*('C19RM 2021-Lab &amp; Other HPS'!$BS$443:$BS$542)*(('C19RM 2021-Lab &amp; Other HPS'!$AV$443:$AV$542)))),IF((INDEX(SETUP!$G$19:$G$503,(MATCH(1,(SETUP!$B$19:$B$503=B36)*(SETUP!$D$19:$D$503=D36),0))))=1,(0),0)))),0)))</f>
        <v>0</v>
      </c>
      <c r="AN36" s="359" cm="1">
        <f t="array" ref="AN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HPS'!$AU$443:$AU$542)))),IF((INDEX(SETUP!$G$19:$G$503,(MATCH(1,(SETUP!$B$19:$B$503=B36)*(SETUP!$D$19:$D$503=D36),0))))=3,(SUMPRODUCT(('C19RM 2021-Lab &amp; Other HPS'!$A$443:$D$542=E36)*('C19RM 2021-Lab &amp; Other HPS'!$BH$443:$BH$542=BJ36)*('C19RM 2021-Lab &amp; Other HPS'!$BS$443:$BS$542)*(('C19RM 2021-Lab &amp; Other HPS'!$AV$443:$AV$542)))),IF((INDEX(SETUP!$G$19:$G$503,(MATCH(1,(SETUP!$B$19:$B$503=B36)*(SETUP!$D$19:$D$503=D36),0))))=2,(0),IF((INDEX(SETUP!$G$19:$G$503,(MATCH(1,(SETUP!$B$19:$B$503=B36)*(SETUP!$D$19:$D$503=D36),0))))=1,(0),0)))),0)))</f>
        <v>0</v>
      </c>
      <c r="AO36" s="359" cm="1">
        <f t="array" ref="AO36">IF((INDEX(SETUP!$F$19:$F$503,(MATCH(1,(SETUP!$B$19:$B$503=B36)*(SETUP!$D$19:$D$503=D36),0))))="Upfront",0,(IF((INDEX(SETUP!$F$19:$F$503,(MATCH(1,(SETUP!$B$19:$B$503=B36)*(SETUP!$D$19:$D$503=D36),0))))="At delivery",IF((INDEX(SETUP!$G$19:$G$503,(MATCH(1,(SETUP!$B$19:$B$503=B36)*(SETUP!$D$19:$D$503=D36),0))))=4,(SUMPRODUCT(('C19RM 2021-Lab &amp; Other HPS'!$A$443:$D$542=E36)*('C19RM 2021-Lab &amp; Other HPS'!$BH$443:$BH$542=BJ36)*('C19RM 2021-Lab &amp; Other HPS'!$BS$443:$BS$542)*(('C19RM 2021-Lab &amp; Other HPS'!$AV$443:$AV$542)))),IF((INDEX(SETUP!$G$19:$G$503,(MATCH(1,(SETUP!$B$19:$B$503=B36)*(SETUP!$D$19:$D$503=D36),0))))=3,(0),IF((INDEX(SETUP!$G$19:$G$503,(MATCH(1,(SETUP!$B$19:$B$503=B36)*(SETUP!$D$19:$D$503=D36),0))))=2,(0),IF((INDEX(SETUP!$G$19:$G$503,(MATCH(1,(SETUP!$B$19:$B$503=B36)*(SETUP!$D$19:$D$503=D36),0))))=1,(0),0)))),0)))</f>
        <v>0</v>
      </c>
      <c r="AP36" s="359"/>
      <c r="AQ36" s="359"/>
      <c r="AR36" s="359"/>
      <c r="AS36" s="359"/>
      <c r="AT36" s="359" cm="1">
        <f t="array" ref="AT36">IF(BG36&gt;=1,0,IFERROR(SUMPRODUCT(($R$2:$AO$2=$AT$4)*($E$5:$E$100=E36)*($BC$5:$BC$100=BC36)*($R$5:$AO$100)),0))</f>
        <v>0</v>
      </c>
      <c r="AU36" s="359" cm="1">
        <f t="array" ref="AU36">IF(BG36&gt;=1,0,IFERROR(SUMPRODUCT(($R$2:$AO$2=$AU$4)*($E$5:$E$100=E36)*($BC$5:$BC$100=BC36)*($R$5:$AO$100)),0))</f>
        <v>0</v>
      </c>
      <c r="AV36" s="359" cm="1">
        <f t="array" ref="AV36">IF(BG36&gt;=1,0,IFERROR(SUMPRODUCT(($R$2:$AO$2=$AV$4)*($E$5:$E$100=E36)*($BC$5:$BC$100=BC36)*($R$5:$AO$100)),0))</f>
        <v>0</v>
      </c>
      <c r="AW36" s="359" cm="1">
        <f t="array" ref="AW36">IF(BG36&gt;=1,0,IFERROR(SUMPRODUCT(($R$2:$AO$2=$AW$4)*($E$5:$E$100=E36)*($BC$5:$BC$100=BC36)*($R$5:$AO$100)),0))</f>
        <v>0</v>
      </c>
      <c r="AX36" s="359" cm="1">
        <f t="array" ref="AX36">IF(BG36&gt;=1,0,IFERROR(SUMPRODUCT(($R$2:$AO$2=$AX$4)*($E$5:$E$100=E36)*($BC$5:$BC$100=BC36)*($R$5:$AO$100)),0))</f>
        <v>0</v>
      </c>
      <c r="AY36" s="359">
        <f t="shared" si="5"/>
        <v>0</v>
      </c>
      <c r="AZ36" s="359"/>
      <c r="BA36" s="233">
        <f t="shared" si="6"/>
        <v>0</v>
      </c>
      <c r="BB36" s="220" t="s">
        <v>83</v>
      </c>
      <c r="BC36" t="s">
        <v>180</v>
      </c>
      <c r="BD36" cm="1">
        <f t="array" ref="BD36">(SUMPRODUCT(('C19RM 2021-Lab &amp; Other HPS'!$A$14:$D$650=E36)*('C19RM 2021-Lab &amp; Other HPS'!$BU$14:$BU$650)))</f>
        <v>0</v>
      </c>
      <c r="BE36" cm="1">
        <f t="array" ref="BE36">(SUMPRODUCT((SETUP!$D$20:$D$67=D36)*(SETUP!$R$20:$R$67)))</f>
        <v>0</v>
      </c>
      <c r="BF36" cm="1">
        <f t="array" ref="BF36">(SUMPRODUCT(('C19RM 2021-Lab &amp; Other HPS'!$A$14:$D$650=E36)*('C19RM 2021-Lab &amp; Other HPS'!$BV$14:$BV$650)))</f>
        <v>0</v>
      </c>
      <c r="BG36">
        <f t="shared" si="26"/>
        <v>0</v>
      </c>
      <c r="BJ36" s="235">
        <v>5.6</v>
      </c>
    </row>
    <row r="37" spans="1:62" x14ac:dyDescent="0.35">
      <c r="A37" s="235">
        <v>5</v>
      </c>
      <c r="B37" s="220" t="s">
        <v>2750</v>
      </c>
      <c r="C37" s="235" t="s">
        <v>3035</v>
      </c>
      <c r="D37" s="235" t="s">
        <v>30</v>
      </c>
      <c r="E37" s="235" t="s">
        <v>2764</v>
      </c>
      <c r="F37" s="220">
        <f>SETUP!$E$3</f>
        <v>0</v>
      </c>
      <c r="G37" s="220" t="str">
        <f ca="1">SETUP!$J$5</f>
        <v>NA</v>
      </c>
      <c r="H37" s="220" t="str">
        <f>SETUP!$E$9</f>
        <v>C19RM</v>
      </c>
      <c r="I37" s="232">
        <f t="shared" si="22"/>
        <v>44197</v>
      </c>
      <c r="J37" s="232">
        <f>SETUP!$L$14</f>
        <v>46022</v>
      </c>
      <c r="K37" s="220">
        <f>IFERROR(VLOOKUP(E37,'Master Data-C19RM'!$A$5:$B$35,2,0),0)</f>
        <v>0</v>
      </c>
      <c r="L37">
        <f t="shared" si="23"/>
        <v>0</v>
      </c>
      <c r="M37">
        <f>SETUP!$E$7</f>
        <v>0</v>
      </c>
      <c r="N37">
        <f>SETUP!$F$76</f>
        <v>6.1</v>
      </c>
      <c r="O37" t="str" cm="1">
        <f t="array" ref="O37">INDEX(SETUP!$E$19:$E$503,(MATCH(1,(SETUP!$B$19:$B$503=B37)*(SETUP!$D$19:$D$503=D37),0)))</f>
        <v>PR/SR</v>
      </c>
      <c r="P37" t="str" cm="1">
        <f t="array" ref="P37">INDEX(SETUP!$F$19:$F$503,(MATCH(1,(SETUP!$B$19:$B$503=B37)*(SETUP!$D$19:$D$503=D37),0)))</f>
        <v>At delivery</v>
      </c>
      <c r="Q37" cm="1">
        <f t="array" ref="Q37">INDEX(SETUP!$G$19:$G$503,(MATCH(1,(SETUP!$B$19:$B$503=B37)*(SETUP!$D$19:$D$503=D37),0)))</f>
        <v>1</v>
      </c>
      <c r="R37" s="359" cm="1">
        <f t="array" ref="R37">IF((INDEX(SETUP!$F$19:$F$503,(MATCH(1,(SETUP!$B$19:$B$503=B37)*(SETUP!$D$19:$D$503=D37),0))))="Upfront",(SUMPRODUCT(('C19RM 2021-Lab &amp; Other HPS'!$A$443:$D$542=E37)*('C19RM 2021-Lab &amp; Other HPS'!$BH$443:$BH$542=BJ37)*('C19RM 2021-Lab &amp; Other HPS'!$BO$443:$BO$542)*(('C19RM 2021-Lab &amp; Other HPS'!$Q$443:$Q$542)))),0)</f>
        <v>0</v>
      </c>
      <c r="S37" s="359" cm="1">
        <f t="array" ref="S37">IF((INDEX(SETUP!$F$19:$F$503,(MATCH(1,(SETUP!$B$19:$B$503=B37)*(SETUP!$D$19:$D$503=D37),0))))="Upfront",(SUMPRODUCT(('C19RM 2021-Lab &amp; Other HPS'!$A$443:$D$542=E37)*('C19RM 2021-Lab &amp; Other HPS'!$BH$443:$BH$542=BJ37)*('C19RM 2021-Lab &amp; Other HPS'!$BO$443:$BO$542)*(('C19RM 2021-Lab &amp; Other HPS'!$R$443:$R$542)))),(IF((INDEX(SETUP!$F$19:$F$503,(MATCH(1,(SETUP!$B$19:$B$503=B37)*(SETUP!$D$19:$D$503=D37),0))))="At delivery",IF((INDEX(SETUP!$G$19:$G$503,(MATCH(1,(SETUP!$B$19:$B$503=B37)*(SETUP!$D$19:$D$503=D37),0))))=1,(SUMPRODUCT(('C19RM 2021-Lab &amp; Other HPS'!$A$443:$D$542=E37)*('C19RM 2021-Lab &amp; Other HPS'!$BH$443:$BH$542=BJ37)*('C19RM 2021-Lab &amp; Other HPS'!$BO$443:$BO$542)*(('C19RM 2021-Lab &amp; Other HPS'!$Q$443:$Q$542)))),0),0)))</f>
        <v>0</v>
      </c>
      <c r="T37" s="359" cm="1">
        <f t="array" ref="T37">IF((INDEX(SETUP!$F$19:$F$503,(MATCH(1,(SETUP!$B$19:$B$503=B37)*(SETUP!$D$19:$D$503=D37),0))))="Upfront",(SUMPRODUCT(('C19RM 2021-Lab &amp; Other HPS'!$A$443:$D$542=E37)*('C19RM 2021-Lab &amp; Other HPS'!$BH$443:$BH$542=BJ37)*('C19RM 2021-Lab &amp; Other HPS'!$BO$443:$BO$542)*(('C19RM 2021-Lab &amp; Other HPS'!$S$443:$S$542)))),(IF((INDEX(SETUP!$F$19:$F$503,(MATCH(1,(SETUP!$B$19:$B$503=B37)*(SETUP!$D$19:$D$503=D37),0))))="At delivery",IF((INDEX(SETUP!$G$19:$G$503,(MATCH(1,(SETUP!$B$19:$B$503=B37)*(SETUP!$D$19:$D$503=D37),0))))=2,(SUMPRODUCT(('C19RM 2021-Lab &amp; Other HPS'!$A$443:$D$542=E37)*('C19RM 2021-Lab &amp; Other HPS'!$BH$443:$BH$542=BJ37)*('C19RM 2021-Lab &amp; Other HPS'!$BO$443:$BO$542)*(('C19RM 2021-Lab &amp; Other HPS'!$Q$443:$Q$542)))),IF((INDEX(SETUP!$G$19:$G$503,(MATCH(1,(SETUP!$B$19:$B$503=B37)*(SETUP!$D$19:$D$503=D37),0))))=1,(SUMPRODUCT(('C19RM 2021-Lab &amp; Other HPS'!$A$443:$D$542=E37)*('C19RM 2021-Lab &amp; Other HPS'!$BH$443:$BH$542=BJ37)*('C19RM 2021-Lab &amp; Other HPS'!$BO$443:$BO$542)*(('C19RM 2021-Lab &amp; Other HPS'!$R$443:$R$542)))),0)),0)))</f>
        <v>0</v>
      </c>
      <c r="U37" s="359" cm="1">
        <f t="array" ref="U37">IF((INDEX(SETUP!$F$19:$F$503,(MATCH(1,(SETUP!$B$19:$B$503=B37)*(SETUP!$D$19:$D$503=D37),0))))="Upfront",(SUMPRODUCT(('C19RM 2021-Lab &amp; Other HPS'!$A$443:$D$542=E37)*('C19RM 2021-Lab &amp; Other HPS'!$BH$443:$BH$542=BJ37)*('C19RM 2021-Lab &amp; Other HPS'!$BO$443:$BO$542)*(('C19RM 2021-Lab &amp; Other HPS'!$T$443:$T$542)))),(IF((INDEX(SETUP!$F$19:$F$503,(MATCH(1,(SETUP!$B$19:$B$503=B37)*(SETUP!$D$19:$D$503=D37),0))))="At delivery",IF((INDEX(SETUP!$G$19:$G$503,(MATCH(1,(SETUP!$B$19:$B$503=B37)*(SETUP!$D$19:$D$503=D37),0))))=3,(SUMPRODUCT(('C19RM 2021-Lab &amp; Other HPS'!$A$443:$D$542=E37)*('C19RM 2021-Lab &amp; Other HPS'!$BH$443:$BH$542=BJ37)*('C19RM 2021-Lab &amp; Other HPS'!$BO$443:$BO$542)*(('C19RM 2021-Lab &amp; Other HPS'!$Q$443:$Q$542)))),IF((INDEX(SETUP!$G$19:$G$503,(MATCH(1,(SETUP!$B$19:$B$503=B37)*(SETUP!$D$19:$D$503=D37),0))))=2,(SUMPRODUCT(('C19RM 2021-Lab &amp; Other HPS'!$A$443:$D$542=E37)*('C19RM 2021-Lab &amp; Other HPS'!$BH$443:$BH$542=BJ37)*('C19RM 2021-Lab &amp; Other HPS'!$BO$443:$BO$542)*(('C19RM 2021-Lab &amp; Other HPS'!$R$443:$R$542)))),IF((INDEX(SETUP!$G$19:$G$503,(MATCH(1,(SETUP!$B$19:$B$503=B37)*(SETUP!$D$19:$D$503=D37),0))))=1,(SUMPRODUCT(('C19RM 2021-Lab &amp; Other HPS'!$A$443:$D$542=E37)*('C19RM 2021-Lab &amp; Other HPS'!$BH$443:$BH$542=BJ37)*('C19RM 2021-Lab &amp; Other HPS'!$BO$443:$BO$542)*(('C19RM 2021-Lab &amp; Other HPS'!$S$443:$S$542)))),0))),0)))</f>
        <v>0</v>
      </c>
      <c r="V37" s="359" cm="1">
        <f t="array" ref="V37">IF((INDEX(SETUP!$F$19:$F$503,(MATCH(1,(SETUP!$B$19:$B$503=B37)*(SETUP!$D$19:$D$503=D37),0))))="Upfront",(SUMPRODUCT(('C19RM 2021-Lab &amp; Other HPS'!$A$443:$D$542=E37)*('C19RM 2021-Lab &amp; Other HPS'!$BH$443:$BH$542=BJ37)*('C19RM 2021-Lab &amp; Other HPS'!$BP$443:$BP$542)*(('C19RM 2021-Lab &amp; Other HPS'!$X$443:$X$542)))),(IF((INDEX(SETUP!$F$19:$F$503,(MATCH(1,(SETUP!$B$19:$B$503=B37)*(SETUP!$D$19:$D$503=D37),0))))="At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HPS'!$Q$443:$Q$542)))),IF((INDEX(SETUP!$G$19:$G$503,(MATCH(1,(SETUP!$B$19:$B$503=B37)*(SETUP!$D$19:$D$503=D37),0))))=3,(SUMPRODUCT(('C19RM 2021-Lab &amp; Other HPS'!$A$443:$D$542=E37)*('C19RM 2021-Lab &amp; Other HPS'!$BH$443:$BH$542=BJ37)*('C19RM 2021-Lab &amp; Other HPS'!$BO$443:$BO$542)*(('C19RM 2021-Lab &amp; Other HPS'!$R$443:$R$542)))),IF((INDEX(SETUP!$G$19:$G$503,(MATCH(1,(SETUP!$B$19:$B$503=B37)*(SETUP!$D$19:$D$503=D37),0))))=2,(SUMPRODUCT(('C19RM 2021-Lab &amp; Other HPS'!$A$443:$D$542=E37)*('C19RM 2021-Lab &amp; Other HPS'!$BH$443:$BH$542=BJ37)*('C19RM 2021-Lab &amp; Other HPS'!$BO$443:$BO$542)*(('C19RM 2021-Lab &amp; Other HPS'!$S$443:$S$542)))),IF((INDEX(SETUP!$G$19:$G$503,(MATCH(1,(SETUP!$B$19:$B$503=B37)*(SETUP!$D$19:$D$503=D37),0))))=1,(SUMPRODUCT(('C19RM 2021-Lab &amp; Other HPS'!$A$443:$D$542=E37)*('C19RM 2021-Lab &amp; Other HPS'!$BH$443:$BH$542=BJ37)*('C19RM 2021-Lab &amp; Other HPS'!$BO$443:$BO$542)*(('C19RM 2021-Lab &amp; Other HPS'!$T$443:$T$542)))),0)))),0)))</f>
        <v>0</v>
      </c>
      <c r="W37" s="359" cm="1">
        <f t="array" ref="W37">IF((INDEX(SETUP!$F$19:$F$503,(MATCH(1,(SETUP!$B$19:$B$503=B37)*(SETUP!$D$19:$D$503=D37),0))))="Upfront",(SUMPRODUCT(('C19RM 2021-Lab &amp; Other HPS'!$A$443:$D$542=E37)*('C19RM 2021-Lab &amp; Other HPS'!$BH$443:$BH$542=BJ37)*('C19RM 2021-Lab &amp; Other HPS'!$BP$443:$BP$542)*(('C19RM 2021-Lab &amp; Other HPS'!$Y$443:$Y$542)))),(IF((INDEX(SETUP!$F$19:$F$503,(MATCH(1,(SETUP!$B$19:$B$503=B37)*(SETUP!$D$19:$D$503=D37),0))))="At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HPS'!$R$443:$R$542)))),IF((INDEX(SETUP!$G$19:$G$503,(MATCH(1,(SETUP!$B$19:$B$503=B37)*(SETUP!$D$19:$D$503=D37),0))))=3,(SUMPRODUCT(('C19RM 2021-Lab &amp; Other HPS'!$A$443:$D$542=E37)*('C19RM 2021-Lab &amp; Other HPS'!$BH$443:$BH$542=BJ37)*('C19RM 2021-Lab &amp; Other HPS'!$BO$443:$BO$542)*(('C19RM 2021-Lab &amp; Other HPS'!$S$443:$S$542)))),IF((INDEX(SETUP!$G$19:$G$503,(MATCH(1,(SETUP!$B$19:$B$503=B37)*(SETUP!$D$19:$D$503=D37),0))))=2,((SUMPRODUCT(('C19RM 2021-Lab &amp; Other HPS'!$A$443:$D$542=E37)*('C19RM 2021-Lab &amp; Other HPS'!$BH$443:$BH$542=BJ37)*('C19RM 2021-Lab &amp; Other HPS'!$BO$443:$BO$542)*(('C19RM 2021-Lab &amp; Other HPS'!$T$443:$T$542))))),IF((INDEX(SETUP!$G$19:$G$503,(MATCH(1,(SETUP!$B$19:$B$503=B37)*(SETUP!$D$19:$D$503=D37),0))))=1,(SUMPRODUCT(('C19RM 2021-Lab &amp; Other HPS'!$A$443:$D$542=E37)*('C19RM 2021-Lab &amp; Other HPS'!$BH$443:$BH$542=BJ37)*('C19RM 2021-Lab &amp; Other HPS'!$BP$443:$BP$542)*(('C19RM 2021-Lab &amp; Other HPS'!$X$443:$X$542)))),0)))),0)))</f>
        <v>0</v>
      </c>
      <c r="X37" s="359" cm="1">
        <f t="array" ref="X37">IF((INDEX(SETUP!$F$19:$F$503,(MATCH(1,(SETUP!$B$19:$B$503=B37)*(SETUP!$D$19:$D$503=D37),0))))="Upfront",(SUMPRODUCT(('C19RM 2021-Lab &amp; Other HPS'!$A$443:$D$542=E37)*('C19RM 2021-Lab &amp; Other HPS'!$BH$443:$BH$542=BJ37)*('C19RM 2021-Lab &amp; Other HPS'!$BP$443:$BP$542)*(('C19RM 2021-Lab &amp; Other HPS'!$Z$443:$Z$542)))),(IF((INDEX(SETUP!$F$19:$F$503,(MATCH(1,(SETUP!$B$19:$B$503=B37)*(SETUP!$D$19:$D$503=D37),0))))="At delivery",IF((INDEX(SETUP!$G$19:$G$503,(MATCH(1,(SETUP!$B$19:$B$503=B37)*(SETUP!$D$19:$D$503=D37),0))))=4,(SUMPRODUCT(('C19RM 2021-Lab &amp; Other HPS'!$A$443:$D$542=E37)*('C19RM 2021-Lab &amp; Other HPS'!$BH$443:$BH$542=BJ37)*('C19RM 2021-Lab &amp; Other HPS'!$BO$443:$BO$542)*(('C19RM 2021-Lab &amp; Other HPS'!$S$443:$S$542)))),IF((INDEX(SETUP!$G$19:$G$503,(MATCH(1,(SETUP!$B$19:$B$503=B37)*(SETUP!$D$19:$D$503=D37),0))))=3,((SUMPRODUCT(('C19RM 2021-Lab &amp; Other HPS'!$A$443:$D$542=E37)*('C19RM 2021-Lab &amp; Other HPS'!$BH$443:$BH$542=BJ37)*('C19RM 2021-Lab &amp; Other HPS'!$BO$443:$BO$542)*(('C19RM 2021-Lab &amp; Other HPS'!$T$443:$T$542))))),IF((INDEX(SETUP!$G$19:$G$503,(MATCH(1,(SETUP!$B$19:$B$503=B37)*(SETUP!$D$19:$D$503=D37),0))))=2,(SUMPRODUCT(('C19RM 2021-Lab &amp; Other HPS'!$A$443:$D$542=E37)*('C19RM 2021-Lab &amp; Other HPS'!$BH$443:$BH$542=BJ37)*('C19RM 2021-Lab &amp; Other HPS'!$BP$443:$BP$542)*(('C19RM 2021-Lab &amp; Other HPS'!$X$443:$X$542)))),IF((INDEX(SETUP!$G$19:$G$503,(MATCH(1,(SETUP!$B$19:$B$503=B37)*(SETUP!$D$19:$D$503=D37),0))))=1,(SUMPRODUCT(('C19RM 2021-Lab &amp; Other HPS'!$A$443:$D$542=E37)*('C19RM 2021-Lab &amp; Other HPS'!$BH$443:$BH$542=BJ37)*('C19RM 2021-Lab &amp; Other HPS'!$BP$443:$BP$542)*(('C19RM 2021-Lab &amp; Other HPS'!$Y$443:$Y$542)))),0)))),0)))</f>
        <v>0</v>
      </c>
      <c r="Y37" s="359" cm="1">
        <f t="array" ref="Y37">IF((INDEX(SETUP!$F$19:$F$503,(MATCH(1,(SETUP!$B$19:$B$503=B37)*(SETUP!$D$19:$D$503=D37),0))))="Upfront",
(SUMPRODUCT(('C19RM 2021-Lab &amp; Other HPS'!$A$443:$D$542=E37)*('C19RM 2021-Lab &amp; Other HPS'!$BH$443:$BH$542=BJ37)*('C19RM 2021-Lab &amp; Other HPS'!$BP$443:$BP$542)*(('C19RM 2021-Lab &amp; Other HPS'!$AA$443:$AA$542)))),
(IF((INDEX(SETUP!$F$19:$F$503,(MATCH(1,(SETUP!$B$19:$B$503=B37)*(SETUP!$D$19:$D$503=D37),0))))="At delivery",
IF((INDEX(SETUP!$G$19:$G$503,(MATCH(1,(SETUP!$B$19:$B$503=B37)*(SETUP!$D$19:$D$503=D37),0))))=4,
((SUMPRODUCT(('C19RM 2021-Lab &amp; Other HPS'!$A$443:$D$542=E37)*('C19RM 2021-Lab &amp; Other HPS'!$BH$443:$BH$542=BJ37)*('C19RM 2021-Lab &amp; Other HPS'!$BO$443:$BO$542)*(('C19RM 2021-Lab &amp; Other HPS'!$T$443:$T$542))))),IF((INDEX(SETUP!$G$19:$G$503,(MATCH(1,(SETUP!$B$19:$B$503=B37)*(SETUP!$D$19:$D$503=D37),0))))=3,(SUMPRODUCT(('C19RM 2021-Lab &amp; Other HPS'!$A$443:$D$542=E37)*('C19RM 2021-Lab &amp; Other HPS'!$BH$443:$BH$542=BJ37)*('C19RM 2021-Lab &amp; Other HPS'!$BP$443:$BP$542)*(('C19RM 2021-Lab &amp; Other HPS'!$X$443:$X$542)))),IF((INDEX(SETUP!$G$19:$G$503,(MATCH(1,(SETUP!$B$19:$B$503=B37)*(SETUP!$D$19:$D$503=D37),0))))=2,(SUMPRODUCT(('C19RM 2021-Lab &amp; Other HPS'!$A$443:$D$542=E37)*('C19RM 2021-Lab &amp; Other HPS'!$BH$443:$BH$542=BJ37)*('C19RM 2021-Lab &amp; Other HPS'!$BP$443:$BP$542)*(('C19RM 2021-Lab &amp; Other HPS'!$Y$443:$Y$542)))),IF((INDEX(SETUP!$G$19:$G$503,(MATCH(1,(SETUP!$B$19:$B$503=B37)*(SETUP!$D$19:$D$503=D37),0))))=1,(SUMPRODUCT(('C19RM 2021-Lab &amp; Other HPS'!$A$443:$D$542=E37)*('C19RM 2021-Lab &amp; Other HPS'!$BH$443:$BH$542=BJ37)*('C19RM 2021-Lab &amp; Other HPS'!$BP$443:$BP$542)*(('C19RM 2021-Lab &amp; Other HPS'!$Z$443:$Z$542)))),0)))),0)))</f>
        <v>0</v>
      </c>
      <c r="Z37" s="359" cm="1">
        <f t="array" ref="Z37">IF((INDEX(SETUP!$F$19:$F$503,(MATCH(1,(SETUP!$B$19:$B$503=B37)*(SETUP!$D$19:$D$503=D37),0))))="Upfront",(SUMPRODUCT(('C19RM 2021-Lab &amp; Other HPS'!$A$443:$D$542=E37)*('C19RM 2021-Lab &amp; Other HPS'!$BH$443:$BH$542=BJ37)*('C19RM 2021-Lab &amp; Other HPS'!$BQ$443:$BQ$542)*(('C19RM 2021-Lab &amp; Other HPS'!$AE$443:$AE$542)))),(IF((INDEX(SETUP!$F$19:$F$503,(MATCH(1,(SETUP!$B$19:$B$503=B37)*(SETUP!$D$19:$D$503=D37),0))))="At delivery",IF((INDEX(SETUP!$G$19:$G$503,(MATCH(1,(SETUP!$B$19:$B$503=B37)*(SETUP!$D$19:$D$503=D37),0))))=4,(SUMPRODUCT(('C19RM 2021-Lab &amp; Other HPS'!$A$443:$D$542=E37)*('C19RM 2021-Lab &amp; Other HPS'!$BH$443:$BH$542=BJ37)*('C19RM 2021-Lab &amp; Other HPS'!$BP$443:$BP$542)*(('C19RM 2021-Lab &amp; Other HPS'!$X$443:$X$542)))),IF((INDEX(SETUP!$G$19:$G$503,(MATCH(1,(SETUP!$B$19:$B$503=B37)*(SETUP!$D$19:$D$503=D37),0))))=3,(SUMPRODUCT(('C19RM 2021-Lab &amp; Other HPS'!$A$443:$D$542=E37)*('C19RM 2021-Lab &amp; Other HPS'!$BH$443:$BH$542=BJ37)*('C19RM 2021-Lab &amp; Other HPS'!$BP$443:$BP$542)*(('C19RM 2021-Lab &amp; Other HPS'!$Y$443:$Y$542)))),IF((INDEX(SETUP!$G$19:$G$503,(MATCH(1,(SETUP!$B$19:$B$503=B37)*(SETUP!$D$19:$D$503=D37),0))))=2,(SUMPRODUCT(('C19RM 2021-Lab &amp; Other HPS'!$A$443:$D$542=E37)*('C19RM 2021-Lab &amp; Other HPS'!$BH$443:$BH$542=BJ37)*('C19RM 2021-Lab &amp; Other HPS'!$BP$443:$BP$542)*(('C19RM 2021-Lab &amp; Other HPS'!$Z$443:$Z$542)))),IF((INDEX(SETUP!$G$19:$G$503,(MATCH(1,(SETUP!$B$19:$B$503=B37)*(SETUP!$D$19:$D$503=D37),0))))=1,(SUMPRODUCT(('C19RM 2021-Lab &amp; Other HPS'!$A$443:$D$542=E37)*('C19RM 2021-Lab &amp; Other HPS'!$BH$443:$BH$542=BJ37)*('C19RM 2021-Lab &amp; Other HPS'!$BP$443:$BP$542)*(('C19RM 2021-Lab &amp; Other HPS'!$AA$443:$AA$542)))),0)))),0)))</f>
        <v>0</v>
      </c>
      <c r="AA37" s="359" cm="1">
        <f t="array" ref="AA37">IF((INDEX(SETUP!$F$19:$F$503,(MATCH(1,(SETUP!$B$19:$B$503=B37)*(SETUP!$D$19:$D$503=D37),0))))="Upfront",(SUMPRODUCT(('C19RM 2021-Lab &amp; Other HPS'!$A$443:$D$542=E37)*('C19RM 2021-Lab &amp; Other HPS'!$BH$443:$BH$542=BJ37)*('C19RM 2021-Lab &amp; Other HPS'!$BQ$443:$BQ$542)*(('C19RM 2021-Lab &amp; Other HPS'!$AF$443:$AF$542)))),(IF((INDEX(SETUP!$F$19:$F$503,(MATCH(1,(SETUP!$B$19:$B$503=B37)*(SETUP!$D$19:$D$503=D37),0))))="At delivery",IF((INDEX(SETUP!$G$19:$G$503,(MATCH(1,(SETUP!$B$19:$B$503=B37)*(SETUP!$D$19:$D$503=D37),0))))=4,(SUMPRODUCT(('C19RM 2021-Lab &amp; Other HPS'!$A$443:$D$542=E37)*('C19RM 2021-Lab &amp; Other HPS'!$BH$443:$BH$542=BJ37)*('C19RM 2021-Lab &amp; Other HPS'!$BP$443:$BP$542)*(('C19RM 2021-Lab &amp; Other HPS'!$Y$443:$Y$542)))),IF((INDEX(SETUP!$G$19:$G$503,(MATCH(1,(SETUP!$B$19:$B$503=B37)*(SETUP!$D$19:$D$503=D37),0))))=3,(SUMPRODUCT(('C19RM 2021-Lab &amp; Other HPS'!$A$443:$D$542=E37)*('C19RM 2021-Lab &amp; Other HPS'!$BH$443:$BH$542=BJ37)*('C19RM 2021-Lab &amp; Other HPS'!$BP$443:$BP$542)*(('C19RM 2021-Lab &amp; Other HPS'!$Z$443:$Z$542)))),IF((INDEX(SETUP!$G$19:$G$503,(MATCH(1,(SETUP!$B$19:$B$503=B37)*(SETUP!$D$19:$D$503=D37),0))))=2,((SUMPRODUCT(('C19RM 2021-Lab &amp; Other HPS'!$A$443:$D$542=E37)*('C19RM 2021-Lab &amp; Other HPS'!$BH$443:$BH$542=BJ37)*('C19RM 2021-Lab &amp; Other HPS'!$BP$443:$BP$542)*(('C19RM 2021-Lab &amp; Other HPS'!$AA$443:$AA$542))))),IF((INDEX(SETUP!$G$19:$G$503,(MATCH(1,(SETUP!$B$19:$B$503=B37)*(SETUP!$D$19:$D$503=D37),0))))=1,(SUMPRODUCT(('C19RM 2021-Lab &amp; Other HPS'!$A$443:$D$542=E37)*('C19RM 2021-Lab &amp; Other HPS'!$BH$443:$BH$542=BJ37)*('C19RM 2021-Lab &amp; Other HPS'!$BQ$443:$BQ$542)*(('C19RM 2021-Lab &amp; Other HPS'!$AE$443:$AE$542)))),0)))),0)))</f>
        <v>0</v>
      </c>
      <c r="AB37" s="359" cm="1">
        <f t="array" ref="AB37">IF((INDEX(SETUP!$F$19:$F$503,(MATCH(1,(SETUP!$B$19:$B$503=B37)*(SETUP!$D$19:$D$503=D37),0))))="Upfront",
(SUMPRODUCT(('C19RM 2021-Lab &amp; Other HPS'!$A$443:$D$542=E37)*('C19RM 2021-Lab &amp; Other HPS'!$BH$443:$BH$542=BJ37)*('C19RM 2021-Lab &amp; Other HPS'!$BQ$443:$BQ$542)*(('C19RM 2021-Lab &amp; Other HPS'!$AG$443:$AG$542)))),
(IF((INDEX(SETUP!$F$19:$F$503,(MATCH(1,(SETUP!$B$19:$B$503=B37)*(SETUP!$D$19:$D$503=D37),0))))="At delivery",
IF((INDEX(SETUP!$G$19:$G$503,(MATCH(1,(SETUP!$B$19:$B$503=B37)*(SETUP!$D$19:$D$503=D37),0))))=4,
(SUMPRODUCT(('C19RM 2021-Lab &amp; Other HPS'!$A$443:$D$542=E37)*('C19RM 2021-Lab &amp; Other HPS'!$BH$443:$BH$542=BJ37)*('C19RM 2021-Lab &amp; Other HPS'!$BP$443:$BP$542)*(('C19RM 2021-Lab &amp; Other HPS'!$Z$443:$Z$542)))),IF((INDEX(SETUP!$G$19:$G$503,(MATCH(1,(SETUP!$B$19:$B$503=B37)*(SETUP!$D$19:$D$503=D37),0))))=3,(SUMPRODUCT(('C19RM 2021-Lab &amp; Other HPS'!$A$443:$D$542=E37)*('C19RM 2021-Lab &amp; Other HPS'!$BH$443:$BH$542=BJ37)*('C19RM 2021-Lab &amp; Other HPS'!$BP$443:$BP$542)*(('C19RM 2021-Lab &amp; Other HPS'!$AA$443:$AA$542)))),IF((INDEX(SETUP!$G$19:$G$503,(MATCH(1,(SETUP!$B$19:$B$503=B37)*(SETUP!$D$19:$D$503=D37),0))))=2,(SUMPRODUCT(('C19RM 2021-Lab &amp; Other HPS'!$A$443:$D$542=E37)*('C19RM 2021-Lab &amp; Other HPS'!$BH$443:$BH$542=BJ37)*('C19RM 2021-Lab &amp; Other HPS'!$BQ$443:$BQ$542)*(('C19RM 2021-Lab &amp; Other HPS'!$AE$443:$AE$542)))),IF((INDEX(SETUP!$G$19:$G$503,(MATCH(1,(SETUP!$B$19:$B$503=B37)*(SETUP!$D$19:$D$503=D37),0))))=1,(SUMPRODUCT(('C19RM 2021-Lab &amp; Other HPS'!$A$443:$D$542=E37)*('C19RM 2021-Lab &amp; Other HPS'!$BH$443:$BH$542=BJ37)*('C19RM 2021-Lab &amp; Other HPS'!$BQ$443:$BQ$542)*(('C19RM 2021-Lab &amp; Other HPS'!$AF$443:$AF$542)))),0)))),0)))</f>
        <v>0</v>
      </c>
      <c r="AC37" s="359" cm="1">
        <f t="array" ref="AC37">IF((INDEX(SETUP!$F$19:$F$503,(MATCH(1,(SETUP!$B$19:$B$503=B37)*(SETUP!$D$19:$D$503=D37),0))))="Upfront",
(SUMPRODUCT(('C19RM 2021-Lab &amp; Other HPS'!$A$443:$D$542=E37)*('C19RM 2021-Lab &amp; Other HPS'!$BH$443:$BH$542=BJ37)*('C19RM 2021-Lab &amp; Other HPS'!$BQ$443:$BQ$542)*(('C19RM 2021-Lab &amp; Other HPS'!$AH$443:$AH$542)))),
(IF((INDEX(SETUP!$F$19:$F$503,(MATCH(1,(SETUP!$B$19:$B$503=B37)*(SETUP!$D$19:$D$503=D37),0))))="At delivery",
IF((INDEX(SETUP!$G$19:$G$503,(MATCH(1,(SETUP!$B$19:$B$503=B37)*(SETUP!$D$19:$D$503=D37),0))))=4,
(SUMPRODUCT(('C19RM 2021-Lab &amp; Other HPS'!$A$443:$D$542=E37)*('C19RM 2021-Lab &amp; Other HPS'!$BH$443:$BH$542=BJ37)*('C19RM 2021-Lab &amp; Other HPS'!$BP$443:$BP$542)*(('C19RM 2021-Lab &amp; Other HPS'!$AA$443:$AA$542)))),IF((INDEX(SETUP!$G$19:$G$503,(MATCH(1,(SETUP!$B$19:$B$503=B37)*(SETUP!$D$19:$D$503=D37),0))))=3,(SUMPRODUCT(('C19RM 2021-Lab &amp; Other HPS'!$A$443:$D$542=E37)*('C19RM 2021-Lab &amp; Other HPS'!$BH$443:$BH$542=BJ37)*('C19RM 2021-Lab &amp; Other HPS'!$BQ$443:$BQ$542)*(('C19RM 2021-Lab &amp; Other HPS'!$AE$443:$AE$542)))),IF((INDEX(SETUP!$G$19:$G$503,(MATCH(1,(SETUP!$B$19:$B$503=B37)*(SETUP!$D$19:$D$503=D37),0))))=2,(SUMPRODUCT(('C19RM 2021-Lab &amp; Other HPS'!$A$443:$D$542=E37)*('C19RM 2021-Lab &amp; Other HPS'!$BH$443:$BH$542=BJ37)*('C19RM 2021-Lab &amp; Other HPS'!$BQ$443:$BQ$542)*(('C19RM 2021-Lab &amp; Other HPS'!$AF$443:$AF$542)))),IF((INDEX(SETUP!$G$19:$G$503,(MATCH(1,(SETUP!$B$19:$B$503=B37)*(SETUP!$D$19:$D$503=D37),0))))=1,(SUMPRODUCT(('C19RM 2021-Lab &amp; Other HPS'!$A$443:$D$542=E37)*('C19RM 2021-Lab &amp; Other HPS'!$BH$443:$BH$542=BJ37)*('C19RM 2021-Lab &amp; Other HPS'!$BQ$443:$BQ$542)*(('C19RM 2021-Lab &amp; Other HPS'!$AG$443:$AG$542)))),0)))),0)))</f>
        <v>0</v>
      </c>
      <c r="AD37" s="359" cm="1">
        <f t="array" ref="AD37">IF((INDEX(SETUP!$F$19:$F$503,(MATCH(1,(SETUP!$B$19:$B$503=B37)*(SETUP!$D$19:$D$503=D37),0))))="Upfront",
(SUMPRODUCT(('C19RM 2021-Lab &amp; Other HPS'!$A$443:$D$542=E37)*('C19RM 2021-Lab &amp; Other HPS'!$BH$443:$BH$542=BJ37)*('C19RM 2021-Lab &amp; Other HPS'!$BR$443:$BR$542)*(('C19RM 2021-Lab &amp; Other HPS'!$AL$443:$AL$542)))),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HPS'!$AE$443:$AE$542)))),IF((INDEX(SETUP!$G$19:$G$503,(MATCH(1,(SETUP!$B$19:$B$503=B37)*(SETUP!$D$19:$D$503=D37),0))))=3,((SUMPRODUCT(('C19RM 2021-Lab &amp; Other HPS'!$A$443:$D$542=E37)*('C19RM 2021-Lab &amp; Other HPS'!$BH$443:$BH$542=BJ37)*('C19RM 2021-Lab &amp; Other HPS'!$BQ$443:$BQ$542)*(('C19RM 2021-Lab &amp; Other HPS'!$AF$443:$AF$542))))),IF((INDEX(SETUP!$G$19:$G$503,(MATCH(1,(SETUP!$B$19:$B$503=B37)*(SETUP!$D$19:$D$503=D37),0))))=2,(SUMPRODUCT(('C19RM 2021-Lab &amp; Other HPS'!$A$443:$D$542=E37)*('C19RM 2021-Lab &amp; Other HPS'!$BH$443:$BH$542=BJ37)*('C19RM 2021-Lab &amp; Other HPS'!$BQ$443:$BQ$542)*(('C19RM 2021-Lab &amp; Other HPS'!$AG$443:$AG$542)))),IF((INDEX(SETUP!$G$19:$G$503,(MATCH(1,(SETUP!$B$19:$B$503=B37)*(SETUP!$D$19:$D$503=D37),0))))=1,(SUMPRODUCT(('C19RM 2021-Lab &amp; Other HPS'!$A$443:$D$542=E37)*('C19RM 2021-Lab &amp; Other HPS'!$BH$443:$BH$542=BJ37)*('C19RM 2021-Lab &amp; Other HPS'!$BQ$443:$BQ$542)*(('C19RM 2021-Lab &amp; Other HPS'!$AH$443:$AH$542)))),0)))),0)))</f>
        <v>0</v>
      </c>
      <c r="AE37" s="359" cm="1">
        <f t="array" ref="AE37">IF((INDEX(SETUP!$F$19:$F$503,(MATCH(1,(SETUP!$B$19:$B$503=B37)*(SETUP!$D$19:$D$503=D37),0))))="Upfront",
(SUMPRODUCT(('C19RM 2021-Lab &amp; Other HPS'!$A$443:$D$542=E37)*('C19RM 2021-Lab &amp; Other HPS'!$BH$443:$BH$542=BJ37)*('C19RM 2021-Lab &amp; Other HPS'!$BR$443:$BR$542)*(('C19RM 2021-Lab &amp; Other HPS'!$AM$443:$AM$542)))),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HPS'!$AF$443:$AF$542)))),IF((INDEX(SETUP!$G$19:$G$503,(MATCH(1,(SETUP!$B$19:$B$503=B37)*(SETUP!$D$19:$D$503=D37),0))))=3,(SUMPRODUCT(('C19RM 2021-Lab &amp; Other HPS'!$A$443:$D$542=E37)*('C19RM 2021-Lab &amp; Other HPS'!$BH$443:$BH$542=BJ37)*('C19RM 2021-Lab &amp; Other HPS'!$BQ$443:$BQ$542)*(('C19RM 2021-Lab &amp; Other HPS'!$AG$443:$AG$542)))),IF((INDEX(SETUP!$G$19:$G$503,(MATCH(1,(SETUP!$B$19:$B$503=B37)*(SETUP!$D$19:$D$503=D37),0))))=2,(SUMPRODUCT(('C19RM 2021-Lab &amp; Other HPS'!$A$443:$D$542=E37)*('C19RM 2021-Lab &amp; Other HPS'!$BH$443:$BH$542=BJ37)*('C19RM 2021-Lab &amp; Other HPS'!$BQ$443:$BQ$542)*(('C19RM 2021-Lab &amp; Other HPS'!$AH$443:$AH$542)))),IF((INDEX(SETUP!$G$19:$G$503,(MATCH(1,(SETUP!$B$19:$B$503=B37)*(SETUP!$D$19:$D$503=D37),0))))=1,(SUMPRODUCT(('C19RM 2021-Lab &amp; Other HPS'!$A$443:$D$542=E37)*('C19RM 2021-Lab &amp; Other HPS'!$BH$443:$BH$542=BJ37)*('C19RM 2021-Lab &amp; Other HPS'!$BR$443:$BR$542)*(('C19RM 2021-Lab &amp; Other HPS'!$AL$443:$AL$542)))),0)))),0)))</f>
        <v>0</v>
      </c>
      <c r="AF37" s="359" cm="1">
        <f t="array" ref="AF37">IF((INDEX(SETUP!$F$19:$F$503,(MATCH(1,(SETUP!$B$19:$B$503=B37)*(SETUP!$D$19:$D$503=D37),0))))="Upfront",
(SUMPRODUCT(('C19RM 2021-Lab &amp; Other HPS'!$A$443:$D$542=E37)*('C19RM 2021-Lab &amp; Other HPS'!$BH$443:$BH$542=BJ37)*('C19RM 2021-Lab &amp; Other HPS'!$BR$443:$BR$542)*(('C19RM 2021-Lab &amp; Other HPS'!$AN$443:$AN$542)))),
(IF((INDEX(SETUP!$F$19:$F$503,(MATCH(1,(SETUP!$B$19:$B$503=B37)*(SETUP!$D$19:$D$503=D37),0))))="At delivery",
IF((INDEX(SETUP!$G$19:$G$503,(MATCH(1,(SETUP!$B$19:$B$503=B37)*(SETUP!$D$19:$D$503=D37),0))))=4,
(SUMPRODUCT(('C19RM 2021-Lab &amp; Other HPS'!$A$443:$D$542=E37)*('C19RM 2021-Lab &amp; Other HPS'!$BH$443:$BH$542=BJ37)*('C19RM 2021-Lab &amp; Other HPS'!$BQ$443:$BQ$542)*(('C19RM 2021-Lab &amp; Other HPS'!$AG$443:$AG$542)))),IF((INDEX(SETUP!$G$19:$G$503,(MATCH(1,(SETUP!$B$19:$B$503=B37)*(SETUP!$D$19:$D$503=D37),0))))=3,(SUMPRODUCT(('C19RM 2021-Lab &amp; Other HPS'!$A$443:$D$542=E37)*('C19RM 2021-Lab &amp; Other HPS'!$BH$443:$BH$542=BJ37)*('C19RM 2021-Lab &amp; Other HPS'!$BQ$443:$BQ$542)*(('C19RM 2021-Lab &amp; Other HPS'!$AH$443:$AH$542)))),IF((INDEX(SETUP!$G$19:$G$503,(MATCH(1,(SETUP!$B$19:$B$503=B37)*(SETUP!$D$19:$D$503=D37),0))))=2,(SUMPRODUCT(('C19RM 2021-Lab &amp; Other HPS'!$A$443:$D$542=E37)*('C19RM 2021-Lab &amp; Other HPS'!$BH$443:$BH$542=BJ37)*('C19RM 2021-Lab &amp; Other HPS'!$BR$443:$BR$542)*(('C19RM 2021-Lab &amp; Other HPS'!$AL$443:$AL$542)))),IF((INDEX(SETUP!$G$19:$G$503,(MATCH(1,(SETUP!$B$19:$B$503=B37)*(SETUP!$D$19:$D$503=D37),0))))=1,(SUMPRODUCT(('C19RM 2021-Lab &amp; Other HPS'!$A$443:$D$542=E37)*('C19RM 2021-Lab &amp; Other HPS'!$BH$443:$BH$542=BJ37)*('C19RM 2021-Lab &amp; Other HPS'!$BR$443:$BR$542)*(('C19RM 2021-Lab &amp; Other HPS'!$AM$443:$AM$542)))),0)))),0)))</f>
        <v>0</v>
      </c>
      <c r="AG37" s="359" cm="1">
        <f t="array" ref="AG37">IF((INDEX(SETUP!$F$19:$F$503,(MATCH(1,(SETUP!$B$19:$B$503=B37)*(SETUP!$D$19:$D$503=D37),0))))="Upfront",(SUMPRODUCT(('C19RM 2021-Lab &amp; Other HPS'!$A$443:$D$542=E37)*('C19RM 2021-Lab &amp; Other HPS'!$BH$443:$BH$542=BJ37)*('C19RM 2021-Lab &amp; Other HPS'!$BR$443:$BR$542)*(('C19RM 2021-Lab &amp; Other HPS'!$AO$443:$AO$542)))),(IF((INDEX(SETUP!$F$19:$F$503,(MATCH(1,(SETUP!$B$19:$B$503=B37)*(SETUP!$D$19:$D$503=D37),0))))="At delivery",IF((INDEX(SETUP!$G$19:$G$503,(MATCH(1,(SETUP!$B$19:$B$503=B37)*(SETUP!$D$19:$D$503=D37),0))))=4,(SUMPRODUCT(('C19RM 2021-Lab &amp; Other HPS'!$A$443:$D$542=E37)*('C19RM 2021-Lab &amp; Other HPS'!$BH$443:$BH$542=BJ37)*('C19RM 2021-Lab &amp; Other HPS'!$BQ$443:$BQ$542)*(('C19RM 2021-Lab &amp; Other HPS'!$AH$443:$AH$542)))),IF((INDEX(SETUP!$G$19:$G$503,(MATCH(1,(SETUP!$B$19:$B$503=B37)*(SETUP!$D$19:$D$503=D37),0))))=3,(SUMPRODUCT(('C19RM 2021-Lab &amp; Other HPS'!$A$443:$D$542=E37)*('C19RM 2021-Lab &amp; Other HPS'!$BH$443:$BH$542=BJ37)*('C19RM 2021-Lab &amp; Other HPS'!$BR$443:$BR$542)*(('C19RM 2021-Lab &amp; Other HPS'!$AL$443:$AL$542)))),IF((INDEX(SETUP!$G$19:$G$503,(MATCH(1,(SETUP!$B$19:$B$503=B37)*(SETUP!$D$19:$D$503=D37),0))))=2,(SUMPRODUCT(('C19RM 2021-Lab &amp; Other HPS'!$A$443:$D$542=E37)*('C19RM 2021-Lab &amp; Other HPS'!$BH$443:$BH$542=BJ37)*('C19RM 2021-Lab &amp; Other HPS'!$BR$443:$BR$542)*(('C19RM 2021-Lab &amp; Other HPS'!$AM$443:$AM$542)))),IF((INDEX(SETUP!$G$19:$G$503,(MATCH(1,(SETUP!$B$19:$B$503=B37)*(SETUP!$D$19:$D$503=D37),0))))=1,(SUMPRODUCT(('C19RM 2021-Lab &amp; Other HPS'!$A$443:$D$542=E37)*('C19RM 2021-Lab &amp; Other HPS'!$BH$443:$BH$542=BJ37)*('C19RM 2021-Lab &amp; Other HPS'!$BR$443:$BR$542)*(('C19RM 2021-Lab &amp; Other HPS'!$AN$443:$AN$542)))),0)))),0)))</f>
        <v>0</v>
      </c>
      <c r="AH37" s="359" cm="1">
        <f t="array" ref="AH37">IF((INDEX(SETUP!$F$19:$F$503,(MATCH(1,(SETUP!$B$19:$B$503=B37)*(SETUP!$D$19:$D$503=D37),0))))="Upfront",
(SUMPRODUCT(('C19RM 2021-Lab &amp; Other HPS'!$A$443:$D$542=E37)*('C19RM 2021-Lab &amp; Other HPS'!$BH$443:$BH$542=BJ37)*('C19RM 2021-Lab &amp; Other HPS'!$BS$443:$BS$542)*(('C19RM 2021-Lab &amp; Other HPS'!$AS$443:$AS$542)))),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HPS'!$AL$443:$AL$542)))),IF((INDEX(SETUP!$G$19:$G$503,(MATCH(1,(SETUP!$B$19:$B$503=B37)*(SETUP!$D$19:$D$503=D37),0))))=3,((SUMPRODUCT(('C19RM 2021-Lab &amp; Other HPS'!$A$443:$D$542=E37)*('C19RM 2021-Lab &amp; Other HPS'!$BH$443:$BH$542=BJ37)*('C19RM 2021-Lab &amp; Other HPS'!$BR$443:$BR$542)*(('C19RM 2021-Lab &amp; Other HPS'!$AM$443:$AM$542))))),IF((INDEX(SETUP!$G$19:$G$503,(MATCH(1,(SETUP!$B$19:$B$503=B37)*(SETUP!$D$19:$D$503=D37),0))))=2,(SUMPRODUCT(('C19RM 2021-Lab &amp; Other HPS'!$A$443:$D$542=E37)*('C19RM 2021-Lab &amp; Other HPS'!$BH$443:$BH$542=BJ37)*('C19RM 2021-Lab &amp; Other HPS'!$BR$443:$BR$542)*(('C19RM 2021-Lab &amp; Other HPS'!$AN$443:$AN$542)))),IF((INDEX(SETUP!$G$19:$G$503,(MATCH(1,(SETUP!$B$19:$B$503=B37)*(SETUP!$D$19:$D$503=D37),0))))=1,(SUMPRODUCT(('C19RM 2021-Lab &amp; Other HPS'!$A$443:$D$542=E37)*('C19RM 2021-Lab &amp; Other HPS'!$BH$443:$BH$542=BJ37)*('C19RM 2021-Lab &amp; Other HPS'!$BR$443:$BR$542)*(('C19RM 2021-Lab &amp; Other HPS'!$AO$443:$AO$542)))),0)))),0)))</f>
        <v>0</v>
      </c>
      <c r="AI37" s="359" cm="1">
        <f t="array" ref="AI37">IF((INDEX(SETUP!$F$19:$F$503,(MATCH(1,(SETUP!$B$19:$B$503=B37)*(SETUP!$D$19:$D$503=D37),0))))="Upfront",
(SUMPRODUCT(('C19RM 2021-Lab &amp; Other HPS'!$A$443:$D$542=E37)*('C19RM 2021-Lab &amp; Other HPS'!$BH$443:$BH$542=BJ37)*('C19RM 2021-Lab &amp; Other HPS'!$BS$443:$BS$542)*(('C19RM 2021-Lab &amp; Other HPS'!$AT$443:$AT$542)))),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HPS'!$AM$443:$AM$542)))),IF((INDEX(SETUP!$G$19:$G$503,(MATCH(1,(SETUP!$B$19:$B$503=B37)*(SETUP!$D$19:$D$503=D37),0))))=3,((SUMPRODUCT(('C19RM 2021-Lab &amp; Other HPS'!$A$443:$D$542=E37)*('C19RM 2021-Lab &amp; Other HPS'!$BH$443:$BH$542=BJ37)*('C19RM 2021-Lab &amp; Other HPS'!$BR$443:$BR$542)*(('C19RM 2021-Lab &amp; Other HPS'!$AN$443:$AN$542))))),IF((INDEX(SETUP!$G$19:$G$503,(MATCH(1,(SETUP!$B$19:$B$503=B37)*(SETUP!$D$19:$D$503=D37),0))))=2,(SUMPRODUCT(('C19RM 2021-Lab &amp; Other HPS'!$A$443:$D$542=E37)*('C19RM 2021-Lab &amp; Other HPS'!$BH$443:$BH$542=BJ37)*('C19RM 2021-Lab &amp; Other HPS'!$BR$443:$BR$542)*(('C19RM 2021-Lab &amp; Other HPS'!$AO$443:$AO$542)))),IF((INDEX(SETUP!$G$19:$G$503,(MATCH(1,(SETUP!$B$19:$B$503=B37)*(SETUP!$D$19:$D$503=D37),0))))=1,(SUMPRODUCT(('C19RM 2021-Lab &amp; Other HPS'!$A$443:$D$542=E37)*('C19RM 2021-Lab &amp; Other HPS'!$BH$443:$BH$542=BJ37)*('C19RM 2021-Lab &amp; Other HPS'!$BS$443:$BS$542)*(('C19RM 2021-Lab &amp; Other HPS'!$AS$443:$AS$542)))),0)))),0)))</f>
        <v>0</v>
      </c>
      <c r="AJ37" s="359" cm="1">
        <f t="array" ref="AJ37">IF((INDEX(SETUP!$F$19:$F$503,(MATCH(1,(SETUP!$B$19:$B$503=B37)*(SETUP!$D$19:$D$503=D37),0))))="Upfront",
(SUMPRODUCT(('C19RM 2021-Lab &amp; Other HPS'!$A$443:$D$542=E37)*('C19RM 2021-Lab &amp; Other HPS'!$BH$443:$BH$542=BJ37)*('C19RM 2021-Lab &amp; Other HPS'!$BS$443:$BS$542)*(('C19RM 2021-Lab &amp; Other HPS'!$AU$443:$AU$542)))),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HPS'!$AN$443:$AN$542)))),IF((INDEX(SETUP!$G$19:$G$503,(MATCH(1,(SETUP!$B$19:$B$503=B37)*(SETUP!$D$19:$D$503=D37),0))))=3,((SUMPRODUCT(('C19RM 2021-Lab &amp; Other HPS'!$A$443:$D$542=E37)*('C19RM 2021-Lab &amp; Other HPS'!$BH$443:$BH$542=BJ37)*('C19RM 2021-Lab &amp; Other HPS'!$BR$443:$BR$542)*(('C19RM 2021-Lab &amp; Other HPS'!$AO$443:$AO$542))))),IF((INDEX(SETUP!$G$19:$G$503,(MATCH(1,(SETUP!$B$19:$B$503=B37)*(SETUP!$D$19:$D$503=D37),0))))=2,(SUMPRODUCT(('C19RM 2021-Lab &amp; Other HPS'!$A$443:$D$542=E37)*('C19RM 2021-Lab &amp; Other HPS'!$BH$443:$BH$542=BJ37)*('C19RM 2021-Lab &amp; Other HPS'!$BS$443:$BS$542)*(('C19RM 2021-Lab &amp; Other HPS'!$AS$443:$AS$542)))),IF((INDEX(SETUP!$G$19:$G$503,(MATCH(1,(SETUP!$B$19:$B$503=B37)*(SETUP!$D$19:$D$503=D37),0))))=1,(SUMPRODUCT(('C19RM 2021-Lab &amp; Other HPS'!$A$443:$D$542=E37)*('C19RM 2021-Lab &amp; Other HPS'!$BH$443:$BH$542=BJ37)*('C19RM 2021-Lab &amp; Other HPS'!$BS$443:$BS$542)*(('C19RM 2021-Lab &amp; Other HPS'!$AT$443:$AT$542)))),0)))),0)))</f>
        <v>0</v>
      </c>
      <c r="AK37" s="359" cm="1">
        <f t="array" ref="AK37">IF((INDEX(SETUP!$F$19:$F$503,(MATCH(1,(SETUP!$B$19:$B$503=B37)*(SETUP!$D$19:$D$503=D37),0))))="Upfront",
(SUMPRODUCT(('C19RM 2021-Lab &amp; Other HPS'!$A$443:$D$542=E37)*('C19RM 2021-Lab &amp; Other HPS'!$BH$443:$BH$542=BJ37)*('C19RM 2021-Lab &amp; Other HPS'!$BS$443:$BS$542)*(('C19RM 2021-Lab &amp; Other HPS'!$AV$443:$AV$542)))),
(IF((INDEX(SETUP!$F$19:$F$503,(MATCH(1,(SETUP!$B$19:$B$503=B37)*(SETUP!$D$19:$D$503=D37),0))))="At delivery",
IF((INDEX(SETUP!$G$19:$G$503,(MATCH(1,(SETUP!$B$19:$B$503=B37)*(SETUP!$D$19:$D$503=D37),0))))=4,
(SUMPRODUCT(('C19RM 2021-Lab &amp; Other HPS'!$A$443:$D$542=E37)*('C19RM 2021-Lab &amp; Other HPS'!$BH$443:$BH$542=BJ37)*('C19RM 2021-Lab &amp; Other HPS'!$BR$443:$BR$542)*(('C19RM 2021-Lab &amp; Other HPS'!$AO$443:$AO$542)))),IF((INDEX(SETUP!$G$19:$G$503,(MATCH(1,(SETUP!$B$19:$B$503=B37)*(SETUP!$D$19:$D$503=D37),0))))=3,((SUMPRODUCT(('C19RM 2021-Lab &amp; Other HPS'!$A$443:$D$542=E37)*('C19RM 2021-Lab &amp; Other HPS'!$BH$443:$BH$542=BJ37)*('C19RM 2021-Lab &amp; Other HPS'!$BS$443:$BS$542)*(('C19RM 2021-Lab &amp; Other HPS'!$AS$443:$AS$542))))),IF((INDEX(SETUP!$G$19:$G$503,(MATCH(1,(SETUP!$B$19:$B$503=B37)*(SETUP!$D$19:$D$503=D37),0))))=2,(SUMPRODUCT(('C19RM 2021-Lab &amp; Other HPS'!$A$443:$D$542=E37)*('C19RM 2021-Lab &amp; Other HPS'!$BH$443:$BH$542=BJ37)*('C19RM 2021-Lab &amp; Other HPS'!$BS$443:$BS$542)*(('C19RM 2021-Lab &amp; Other HPS'!$AT$443:$AT$542)))),IF((INDEX(SETUP!$G$19:$G$503,(MATCH(1,(SETUP!$B$19:$B$503=B37)*(SETUP!$D$19:$D$503=D37),0))))=1,(SUMPRODUCT(('C19RM 2021-Lab &amp; Other HPS'!$A$443:$D$542=E37)*('C19RM 2021-Lab &amp; Other HPS'!$BH$443:$BH$542=BJ37)*('C19RM 2021-Lab &amp; Other HPS'!$BS$443:$BS$542)*(('C19RM 2021-Lab &amp; Other HPS'!$AU$443:$AU$542)))),0)))),0)))</f>
        <v>0</v>
      </c>
      <c r="AL37" s="359" cm="1">
        <f t="array" ref="AL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HPS'!$AS$443:$AS$542)))),IF((INDEX(SETUP!$G$19:$G$503,(MATCH(1,(SETUP!$B$19:$B$503=B37)*(SETUP!$D$19:$D$503=D37),0))))=3,(SUMPRODUCT(('C19RM 2021-Lab &amp; Other HPS'!$A$443:$D$542=E37)*('C19RM 2021-Lab &amp; Other HPS'!$BH$443:$BH$542=BJ37)*('C19RM 2021-Lab &amp; Other HPS'!$BS$443:$BS$542)*(('C19RM 2021-Lab &amp; Other HPS'!$AT$443:$AT$542)))),IF((INDEX(SETUP!$G$19:$G$503,(MATCH(1,(SETUP!$B$19:$B$503=B37)*(SETUP!$D$19:$D$503=D37),0))))=2,(SUMPRODUCT(('C19RM 2021-Lab &amp; Other HPS'!$A$443:$D$542=E37)*('C19RM 2021-Lab &amp; Other HPS'!$BH$443:$BH$542=BJ37)*('C19RM 2021-Lab &amp; Other HPS'!$BS$443:$BS$542)*(('C19RM 2021-Lab &amp; Other HPS'!$AU$443:$AU$542)))),
IF((INDEX(SETUP!$G$19:$G$503,(MATCH(1,(SETUP!$B$19:$B$503=B37)*(SETUP!$D$19:$D$503=D37),0))))=1,
(SUMPRODUCT(('C19RM 2021-Lab &amp; Other HPS'!$A$443:$D$542=E37)*('C19RM 2021-Lab &amp; Other HPS'!$BH$443:$BH$542=BJ37)*('C19RM 2021-Lab &amp; Other HPS'!$BS$443:$BS$542)*(('C19RM 2021-Lab &amp; Other HPS'!$AV$443:$AV$542)))),0)))),0)))</f>
        <v>0</v>
      </c>
      <c r="AM37" s="359" cm="1">
        <f t="array" ref="AM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HPS'!$AT$443:$AT$542)))),IF((INDEX(SETUP!$G$19:$G$503,(MATCH(1,(SETUP!$B$19:$B$503=B37)*(SETUP!$D$19:$D$503=D37),0))))=3,(SUMPRODUCT(('C19RM 2021-Lab &amp; Other HPS'!$A$443:$D$542=E37)*('C19RM 2021-Lab &amp; Other HPS'!$BH$443:$BH$542=BJ37)*('C19RM 2021-Lab &amp; Other HPS'!$BS$443:$BS$542)*(('C19RM 2021-Lab &amp; Other HPS'!$AU$443:$AU$542)))),IF((INDEX(SETUP!$G$19:$G$503,(MATCH(1,(SETUP!$B$19:$B$503=B37)*(SETUP!$D$19:$D$503=D37),0))))=2,(SUMPRODUCT(('C19RM 2021-Lab &amp; Other HPS'!$A$443:$D$542=E37)*('C19RM 2021-Lab &amp; Other HPS'!$BH$443:$BH$542=BJ37)*('C19RM 2021-Lab &amp; Other HPS'!$BS$443:$BS$542)*(('C19RM 2021-Lab &amp; Other HPS'!$AV$443:$AV$542)))),IF((INDEX(SETUP!$G$19:$G$503,(MATCH(1,(SETUP!$B$19:$B$503=B37)*(SETUP!$D$19:$D$503=D37),0))))=1,(0),0)))),0)))</f>
        <v>0</v>
      </c>
      <c r="AN37" s="359" cm="1">
        <f t="array" ref="AN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HPS'!$AU$443:$AU$542)))),IF((INDEX(SETUP!$G$19:$G$503,(MATCH(1,(SETUP!$B$19:$B$503=B37)*(SETUP!$D$19:$D$503=D37),0))))=3,(SUMPRODUCT(('C19RM 2021-Lab &amp; Other HPS'!$A$443:$D$542=E37)*('C19RM 2021-Lab &amp; Other HPS'!$BH$443:$BH$542=BJ37)*('C19RM 2021-Lab &amp; Other HPS'!$BS$443:$BS$542)*(('C19RM 2021-Lab &amp; Other HPS'!$AV$443:$AV$542)))),IF((INDEX(SETUP!$G$19:$G$503,(MATCH(1,(SETUP!$B$19:$B$503=B37)*(SETUP!$D$19:$D$503=D37),0))))=2,(0),IF((INDEX(SETUP!$G$19:$G$503,(MATCH(1,(SETUP!$B$19:$B$503=B37)*(SETUP!$D$19:$D$503=D37),0))))=1,(0),0)))),0)))</f>
        <v>0</v>
      </c>
      <c r="AO37" s="359" cm="1">
        <f t="array" ref="AO37">IF((INDEX(SETUP!$F$19:$F$503,(MATCH(1,(SETUP!$B$19:$B$503=B37)*(SETUP!$D$19:$D$503=D37),0))))="Upfront",0,(IF((INDEX(SETUP!$F$19:$F$503,(MATCH(1,(SETUP!$B$19:$B$503=B37)*(SETUP!$D$19:$D$503=D37),0))))="At delivery",IF((INDEX(SETUP!$G$19:$G$503,(MATCH(1,(SETUP!$B$19:$B$503=B37)*(SETUP!$D$19:$D$503=D37),0))))=4,(SUMPRODUCT(('C19RM 2021-Lab &amp; Other HPS'!$A$443:$D$542=E37)*('C19RM 2021-Lab &amp; Other HPS'!$BH$443:$BH$542=BJ37)*('C19RM 2021-Lab &amp; Other HPS'!$BS$443:$BS$542)*(('C19RM 2021-Lab &amp; Other HPS'!$AV$443:$AV$542)))),IF((INDEX(SETUP!$G$19:$G$503,(MATCH(1,(SETUP!$B$19:$B$503=B37)*(SETUP!$D$19:$D$503=D37),0))))=3,(0),IF((INDEX(SETUP!$G$19:$G$503,(MATCH(1,(SETUP!$B$19:$B$503=B37)*(SETUP!$D$19:$D$503=D37),0))))=2,(0),IF((INDEX(SETUP!$G$19:$G$503,(MATCH(1,(SETUP!$B$19:$B$503=B37)*(SETUP!$D$19:$D$503=D37),0))))=1,(0),0)))),0)))</f>
        <v>0</v>
      </c>
      <c r="AP37" s="359"/>
      <c r="AQ37" s="359"/>
      <c r="AR37" s="359"/>
      <c r="AS37" s="359"/>
      <c r="AT37" s="359" cm="1">
        <f t="array" ref="AT37">IF(BG37&gt;=1,0,IFERROR(SUMPRODUCT(($R$2:$AO$2=$AT$4)*($E$5:$E$100=E37)*($BC$5:$BC$100=BC37)*($R$5:$AO$100)),0))</f>
        <v>0</v>
      </c>
      <c r="AU37" s="359" cm="1">
        <f t="array" ref="AU37">IF(BG37&gt;=1,0,IFERROR(SUMPRODUCT(($R$2:$AO$2=$AU$4)*($E$5:$E$100=E37)*($BC$5:$BC$100=BC37)*($R$5:$AO$100)),0))</f>
        <v>0</v>
      </c>
      <c r="AV37" s="359" cm="1">
        <f t="array" ref="AV37">IF(BG37&gt;=1,0,IFERROR(SUMPRODUCT(($R$2:$AO$2=$AV$4)*($E$5:$E$100=E37)*($BC$5:$BC$100=BC37)*($R$5:$AO$100)),0))</f>
        <v>0</v>
      </c>
      <c r="AW37" s="359" cm="1">
        <f t="array" ref="AW37">IF(BG37&gt;=1,0,IFERROR(SUMPRODUCT(($R$2:$AO$2=$AW$4)*($E$5:$E$100=E37)*($BC$5:$BC$100=BC37)*($R$5:$AO$100)),0))</f>
        <v>0</v>
      </c>
      <c r="AX37" s="359" cm="1">
        <f t="array" ref="AX37">IF(BG37&gt;=1,0,IFERROR(SUMPRODUCT(($R$2:$AO$2=$AX$4)*($E$5:$E$100=E37)*($BC$5:$BC$100=BC37)*($R$5:$AO$100)),0))</f>
        <v>0</v>
      </c>
      <c r="AY37" s="359">
        <f t="shared" si="5"/>
        <v>0</v>
      </c>
      <c r="AZ37" s="359"/>
      <c r="BA37" s="233">
        <f t="shared" si="6"/>
        <v>0</v>
      </c>
      <c r="BB37" s="220" t="s">
        <v>83</v>
      </c>
      <c r="BC37" t="s">
        <v>181</v>
      </c>
      <c r="BD37" cm="1">
        <f t="array" ref="BD37">(SUMPRODUCT(('C19RM 2021-Lab &amp; Other HPS'!$A$14:$D$650=E37)*('C19RM 2021-Lab &amp; Other HPS'!$BU$14:$BU$650)))</f>
        <v>0</v>
      </c>
      <c r="BE37" cm="1">
        <f t="array" ref="BE37">(SUMPRODUCT((SETUP!$D$20:$D$67=D37)*(SETUP!$R$20:$R$67)))</f>
        <v>0</v>
      </c>
      <c r="BF37" cm="1">
        <f t="array" ref="BF37">(SUMPRODUCT(('C19RM 2021-Lab &amp; Other HPS'!$A$14:$D$650=E37)*('C19RM 2021-Lab &amp; Other HPS'!$BV$14:$BV$650)))</f>
        <v>0</v>
      </c>
      <c r="BG37">
        <f t="shared" si="26"/>
        <v>0</v>
      </c>
      <c r="BJ37" s="235">
        <v>5.8</v>
      </c>
    </row>
    <row r="38" spans="1:62" x14ac:dyDescent="0.35">
      <c r="A38" s="235">
        <v>5</v>
      </c>
      <c r="B38" s="220" t="s">
        <v>2750</v>
      </c>
      <c r="C38" s="235" t="s">
        <v>3035</v>
      </c>
      <c r="D38" s="235" t="s">
        <v>30</v>
      </c>
      <c r="E38" s="235" t="s">
        <v>2764</v>
      </c>
      <c r="F38" s="220">
        <f>SETUP!$E$3</f>
        <v>0</v>
      </c>
      <c r="G38" s="220" t="str">
        <f ca="1">SETUP!$J$5</f>
        <v>NA</v>
      </c>
      <c r="H38" s="220" t="str">
        <f>SETUP!$E$9</f>
        <v>C19RM</v>
      </c>
      <c r="I38" s="232">
        <f t="shared" si="22"/>
        <v>44197</v>
      </c>
      <c r="J38" s="232">
        <f>SETUP!$L$14</f>
        <v>46022</v>
      </c>
      <c r="K38" s="220">
        <v>1</v>
      </c>
      <c r="L38">
        <f t="shared" si="23"/>
        <v>0</v>
      </c>
      <c r="M38">
        <f>SETUP!$E$7</f>
        <v>0</v>
      </c>
      <c r="N38">
        <f>SETUP!$F$76</f>
        <v>6.1</v>
      </c>
      <c r="O38" t="str" cm="1">
        <f t="array" ref="O38">INDEX(SETUP!$E$19:$E$503,(MATCH(1,(SETUP!$B$19:$B$503=B38)*(SETUP!$D$19:$D$503=D38),0)))</f>
        <v>PR/SR</v>
      </c>
      <c r="P38" t="str" cm="1">
        <f t="array" ref="P38">INDEX(SETUP!$F$19:$F$503,(MATCH(1,(SETUP!$B$19:$B$503=B38)*(SETUP!$D$19:$D$503=D38),0)))</f>
        <v>At delivery</v>
      </c>
      <c r="Q38" cm="1">
        <f t="array" ref="Q38">INDEX(SETUP!$G$19:$G$503,(MATCH(1,(SETUP!$B$19:$B$503=B38)*(SETUP!$D$19:$D$503=D38),0)))</f>
        <v>1</v>
      </c>
      <c r="R38" s="359" cm="1">
        <f t="array" ref="R38">IF((INDEX(SETUP!$F$19:$F$503,(MATCH(1,(SETUP!$B$19:$B$503=B38)*(SETUP!$D$19:$D$503=D38),0))))="Upfront",(SUMPRODUCT(('C19RM 2021-Lab &amp; Other HPS'!$A$443:$D$542=E38)*('C19RM 2021-Lab &amp; Other HPS'!$BH$443:$BH$542=BJ38)*('C19RM 2021-Lab &amp; Other HPS'!$BO$443:$BO$542)*(('C19RM 2021-Lab &amp; Other HPS'!$Q$443:$Q$542)))),0)</f>
        <v>0</v>
      </c>
      <c r="S38" s="359" cm="1">
        <f t="array" ref="S38">IF((INDEX(SETUP!$F$19:$F$503,(MATCH(1,(SETUP!$B$19:$B$503=B38)*(SETUP!$D$19:$D$503=D38),0))))="Upfront",(SUMPRODUCT(('C19RM 2021-Lab &amp; Other HPS'!$A$443:$D$542=E38)*('C19RM 2021-Lab &amp; Other HPS'!$BH$443:$BH$542=BJ38)*('C19RM 2021-Lab &amp; Other HPS'!$BO$443:$BO$542)*(('C19RM 2021-Lab &amp; Other HPS'!$R$443:$R$542)))),(IF((INDEX(SETUP!$F$19:$F$503,(MATCH(1,(SETUP!$B$19:$B$503=B38)*(SETUP!$D$19:$D$503=D38),0))))="At delivery",IF((INDEX(SETUP!$G$19:$G$503,(MATCH(1,(SETUP!$B$19:$B$503=B38)*(SETUP!$D$19:$D$503=D38),0))))=1,(SUMPRODUCT(('C19RM 2021-Lab &amp; Other HPS'!$A$443:$D$542=E38)*('C19RM 2021-Lab &amp; Other HPS'!$BH$443:$BH$542=BJ38)*('C19RM 2021-Lab &amp; Other HPS'!$BO$443:$BO$542)*(('C19RM 2021-Lab &amp; Other HPS'!$Q$443:$Q$542)))),0),0)))</f>
        <v>0</v>
      </c>
      <c r="T38" s="359" cm="1">
        <f t="array" ref="T38">IF((INDEX(SETUP!$F$19:$F$503,(MATCH(1,(SETUP!$B$19:$B$503=B38)*(SETUP!$D$19:$D$503=D38),0))))="Upfront",(SUMPRODUCT(('C19RM 2021-Lab &amp; Other HPS'!$A$443:$D$542=E38)*('C19RM 2021-Lab &amp; Other HPS'!$BH$443:$BH$542=BJ38)*('C19RM 2021-Lab &amp; Other HPS'!$BO$443:$BO$542)*(('C19RM 2021-Lab &amp; Other HPS'!$S$443:$S$542)))),(IF((INDEX(SETUP!$F$19:$F$503,(MATCH(1,(SETUP!$B$19:$B$503=B38)*(SETUP!$D$19:$D$503=D38),0))))="At delivery",IF((INDEX(SETUP!$G$19:$G$503,(MATCH(1,(SETUP!$B$19:$B$503=B38)*(SETUP!$D$19:$D$503=D38),0))))=2,(SUMPRODUCT(('C19RM 2021-Lab &amp; Other HPS'!$A$443:$D$542=E38)*('C19RM 2021-Lab &amp; Other HPS'!$BH$443:$BH$542=BJ38)*('C19RM 2021-Lab &amp; Other HPS'!$BO$443:$BO$542)*(('C19RM 2021-Lab &amp; Other HPS'!$Q$443:$Q$542)))),IF((INDEX(SETUP!$G$19:$G$503,(MATCH(1,(SETUP!$B$19:$B$503=B38)*(SETUP!$D$19:$D$503=D38),0))))=1,(SUMPRODUCT(('C19RM 2021-Lab &amp; Other HPS'!$A$443:$D$542=E38)*('C19RM 2021-Lab &amp; Other HPS'!$BH$443:$BH$542=BJ38)*('C19RM 2021-Lab &amp; Other HPS'!$BO$443:$BO$542)*(('C19RM 2021-Lab &amp; Other HPS'!$R$443:$R$542)))),0)),0)))</f>
        <v>0</v>
      </c>
      <c r="U38" s="359" cm="1">
        <f t="array" ref="U38">IF((INDEX(SETUP!$F$19:$F$503,(MATCH(1,(SETUP!$B$19:$B$503=B38)*(SETUP!$D$19:$D$503=D38),0))))="Upfront",(SUMPRODUCT(('C19RM 2021-Lab &amp; Other HPS'!$A$443:$D$542=E38)*('C19RM 2021-Lab &amp; Other HPS'!$BH$443:$BH$542=BJ38)*('C19RM 2021-Lab &amp; Other HPS'!$BO$443:$BO$542)*(('C19RM 2021-Lab &amp; Other HPS'!$T$443:$T$542)))),(IF((INDEX(SETUP!$F$19:$F$503,(MATCH(1,(SETUP!$B$19:$B$503=B38)*(SETUP!$D$19:$D$503=D38),0))))="At delivery",IF((INDEX(SETUP!$G$19:$G$503,(MATCH(1,(SETUP!$B$19:$B$503=B38)*(SETUP!$D$19:$D$503=D38),0))))=3,(SUMPRODUCT(('C19RM 2021-Lab &amp; Other HPS'!$A$443:$D$542=E38)*('C19RM 2021-Lab &amp; Other HPS'!$BH$443:$BH$542=BJ38)*('C19RM 2021-Lab &amp; Other HPS'!$BO$443:$BO$542)*(('C19RM 2021-Lab &amp; Other HPS'!$Q$443:$Q$542)))),IF((INDEX(SETUP!$G$19:$G$503,(MATCH(1,(SETUP!$B$19:$B$503=B38)*(SETUP!$D$19:$D$503=D38),0))))=2,(SUMPRODUCT(('C19RM 2021-Lab &amp; Other HPS'!$A$443:$D$542=E38)*('C19RM 2021-Lab &amp; Other HPS'!$BH$443:$BH$542=BJ38)*('C19RM 2021-Lab &amp; Other HPS'!$BO$443:$BO$542)*(('C19RM 2021-Lab &amp; Other HPS'!$R$443:$R$542)))),IF((INDEX(SETUP!$G$19:$G$503,(MATCH(1,(SETUP!$B$19:$B$503=B38)*(SETUP!$D$19:$D$503=D38),0))))=1,(SUMPRODUCT(('C19RM 2021-Lab &amp; Other HPS'!$A$443:$D$542=E38)*('C19RM 2021-Lab &amp; Other HPS'!$BH$443:$BH$542=BJ38)*('C19RM 2021-Lab &amp; Other HPS'!$BO$443:$BO$542)*(('C19RM 2021-Lab &amp; Other HPS'!$S$443:$S$542)))),0))),0)))</f>
        <v>0</v>
      </c>
      <c r="V38" s="359" cm="1">
        <f t="array" ref="V38">IF((INDEX(SETUP!$F$19:$F$503,(MATCH(1,(SETUP!$B$19:$B$503=B38)*(SETUP!$D$19:$D$503=D38),0))))="Upfront",(SUMPRODUCT(('C19RM 2021-Lab &amp; Other HPS'!$A$443:$D$542=E38)*('C19RM 2021-Lab &amp; Other HPS'!$BH$443:$BH$542=BJ38)*('C19RM 2021-Lab &amp; Other HPS'!$BP$443:$BP$542)*(('C19RM 2021-Lab &amp; Other HPS'!$X$443:$X$542)))),(IF((INDEX(SETUP!$F$19:$F$503,(MATCH(1,(SETUP!$B$19:$B$503=B38)*(SETUP!$D$19:$D$503=D38),0))))="At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HPS'!$Q$443:$Q$542)))),IF((INDEX(SETUP!$G$19:$G$503,(MATCH(1,(SETUP!$B$19:$B$503=B38)*(SETUP!$D$19:$D$503=D38),0))))=3,(SUMPRODUCT(('C19RM 2021-Lab &amp; Other HPS'!$A$443:$D$542=E38)*('C19RM 2021-Lab &amp; Other HPS'!$BH$443:$BH$542=BJ38)*('C19RM 2021-Lab &amp; Other HPS'!$BO$443:$BO$542)*(('C19RM 2021-Lab &amp; Other HPS'!$R$443:$R$542)))),IF((INDEX(SETUP!$G$19:$G$503,(MATCH(1,(SETUP!$B$19:$B$503=B38)*(SETUP!$D$19:$D$503=D38),0))))=2,(SUMPRODUCT(('C19RM 2021-Lab &amp; Other HPS'!$A$443:$D$542=E38)*('C19RM 2021-Lab &amp; Other HPS'!$BH$443:$BH$542=BJ38)*('C19RM 2021-Lab &amp; Other HPS'!$BO$443:$BO$542)*(('C19RM 2021-Lab &amp; Other HPS'!$S$443:$S$542)))),IF((INDEX(SETUP!$G$19:$G$503,(MATCH(1,(SETUP!$B$19:$B$503=B38)*(SETUP!$D$19:$D$503=D38),0))))=1,(SUMPRODUCT(('C19RM 2021-Lab &amp; Other HPS'!$A$443:$D$542=E38)*('C19RM 2021-Lab &amp; Other HPS'!$BH$443:$BH$542=BJ38)*('C19RM 2021-Lab &amp; Other HPS'!$BO$443:$BO$542)*(('C19RM 2021-Lab &amp; Other HPS'!$T$443:$T$542)))),0)))),0)))</f>
        <v>0</v>
      </c>
      <c r="W38" s="359" cm="1">
        <f t="array" ref="W38">IF((INDEX(SETUP!$F$19:$F$503,(MATCH(1,(SETUP!$B$19:$B$503=B38)*(SETUP!$D$19:$D$503=D38),0))))="Upfront",(SUMPRODUCT(('C19RM 2021-Lab &amp; Other HPS'!$A$443:$D$542=E38)*('C19RM 2021-Lab &amp; Other HPS'!$BH$443:$BH$542=BJ38)*('C19RM 2021-Lab &amp; Other HPS'!$BP$443:$BP$542)*(('C19RM 2021-Lab &amp; Other HPS'!$Y$443:$Y$542)))),(IF((INDEX(SETUP!$F$19:$F$503,(MATCH(1,(SETUP!$B$19:$B$503=B38)*(SETUP!$D$19:$D$503=D38),0))))="At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HPS'!$R$443:$R$542)))),IF((INDEX(SETUP!$G$19:$G$503,(MATCH(1,(SETUP!$B$19:$B$503=B38)*(SETUP!$D$19:$D$503=D38),0))))=3,(SUMPRODUCT(('C19RM 2021-Lab &amp; Other HPS'!$A$443:$D$542=E38)*('C19RM 2021-Lab &amp; Other HPS'!$BH$443:$BH$542=BJ38)*('C19RM 2021-Lab &amp; Other HPS'!$BO$443:$BO$542)*(('C19RM 2021-Lab &amp; Other HPS'!$S$443:$S$542)))),IF((INDEX(SETUP!$G$19:$G$503,(MATCH(1,(SETUP!$B$19:$B$503=B38)*(SETUP!$D$19:$D$503=D38),0))))=2,((SUMPRODUCT(('C19RM 2021-Lab &amp; Other HPS'!$A$443:$D$542=E38)*('C19RM 2021-Lab &amp; Other HPS'!$BH$443:$BH$542=BJ38)*('C19RM 2021-Lab &amp; Other HPS'!$BO$443:$BO$542)*(('C19RM 2021-Lab &amp; Other HPS'!$T$443:$T$542))))),IF((INDEX(SETUP!$G$19:$G$503,(MATCH(1,(SETUP!$B$19:$B$503=B38)*(SETUP!$D$19:$D$503=D38),0))))=1,(SUMPRODUCT(('C19RM 2021-Lab &amp; Other HPS'!$A$443:$D$542=E38)*('C19RM 2021-Lab &amp; Other HPS'!$BH$443:$BH$542=BJ38)*('C19RM 2021-Lab &amp; Other HPS'!$BP$443:$BP$542)*(('C19RM 2021-Lab &amp; Other HPS'!$X$443:$X$542)))),0)))),0)))</f>
        <v>0</v>
      </c>
      <c r="X38" s="359" cm="1">
        <f t="array" ref="X38">IF((INDEX(SETUP!$F$19:$F$503,(MATCH(1,(SETUP!$B$19:$B$503=B38)*(SETUP!$D$19:$D$503=D38),0))))="Upfront",(SUMPRODUCT(('C19RM 2021-Lab &amp; Other HPS'!$A$443:$D$542=E38)*('C19RM 2021-Lab &amp; Other HPS'!$BH$443:$BH$542=BJ38)*('C19RM 2021-Lab &amp; Other HPS'!$BP$443:$BP$542)*(('C19RM 2021-Lab &amp; Other HPS'!$Z$443:$Z$542)))),(IF((INDEX(SETUP!$F$19:$F$503,(MATCH(1,(SETUP!$B$19:$B$503=B38)*(SETUP!$D$19:$D$503=D38),0))))="At delivery",IF((INDEX(SETUP!$G$19:$G$503,(MATCH(1,(SETUP!$B$19:$B$503=B38)*(SETUP!$D$19:$D$503=D38),0))))=4,(SUMPRODUCT(('C19RM 2021-Lab &amp; Other HPS'!$A$443:$D$542=E38)*('C19RM 2021-Lab &amp; Other HPS'!$BH$443:$BH$542=BJ38)*('C19RM 2021-Lab &amp; Other HPS'!$BO$443:$BO$542)*(('C19RM 2021-Lab &amp; Other HPS'!$S$443:$S$542)))),IF((INDEX(SETUP!$G$19:$G$503,(MATCH(1,(SETUP!$B$19:$B$503=B38)*(SETUP!$D$19:$D$503=D38),0))))=3,((SUMPRODUCT(('C19RM 2021-Lab &amp; Other HPS'!$A$443:$D$542=E38)*('C19RM 2021-Lab &amp; Other HPS'!$BH$443:$BH$542=BJ38)*('C19RM 2021-Lab &amp; Other HPS'!$BO$443:$BO$542)*(('C19RM 2021-Lab &amp; Other HPS'!$T$443:$T$542))))),IF((INDEX(SETUP!$G$19:$G$503,(MATCH(1,(SETUP!$B$19:$B$503=B38)*(SETUP!$D$19:$D$503=D38),0))))=2,(SUMPRODUCT(('C19RM 2021-Lab &amp; Other HPS'!$A$443:$D$542=E38)*('C19RM 2021-Lab &amp; Other HPS'!$BH$443:$BH$542=BJ38)*('C19RM 2021-Lab &amp; Other HPS'!$BP$443:$BP$542)*(('C19RM 2021-Lab &amp; Other HPS'!$X$443:$X$542)))),IF((INDEX(SETUP!$G$19:$G$503,(MATCH(1,(SETUP!$B$19:$B$503=B38)*(SETUP!$D$19:$D$503=D38),0))))=1,(SUMPRODUCT(('C19RM 2021-Lab &amp; Other HPS'!$A$443:$D$542=E38)*('C19RM 2021-Lab &amp; Other HPS'!$BH$443:$BH$542=BJ38)*('C19RM 2021-Lab &amp; Other HPS'!$BP$443:$BP$542)*(('C19RM 2021-Lab &amp; Other HPS'!$Y$443:$Y$542)))),0)))),0)))</f>
        <v>0</v>
      </c>
      <c r="Y38" s="359" cm="1">
        <f t="array" ref="Y38">IF((INDEX(SETUP!$F$19:$F$503,(MATCH(1,(SETUP!$B$19:$B$503=B38)*(SETUP!$D$19:$D$503=D38),0))))="Upfront",
(SUMPRODUCT(('C19RM 2021-Lab &amp; Other HPS'!$A$443:$D$542=E38)*('C19RM 2021-Lab &amp; Other HPS'!$BH$443:$BH$542=BJ38)*('C19RM 2021-Lab &amp; Other HPS'!$BP$443:$BP$542)*(('C19RM 2021-Lab &amp; Other HPS'!$AA$443:$AA$542)))),
(IF((INDEX(SETUP!$F$19:$F$503,(MATCH(1,(SETUP!$B$19:$B$503=B38)*(SETUP!$D$19:$D$503=D38),0))))="At delivery",
IF((INDEX(SETUP!$G$19:$G$503,(MATCH(1,(SETUP!$B$19:$B$503=B38)*(SETUP!$D$19:$D$503=D38),0))))=4,
((SUMPRODUCT(('C19RM 2021-Lab &amp; Other HPS'!$A$443:$D$542=E38)*('C19RM 2021-Lab &amp; Other HPS'!$BH$443:$BH$542=BJ38)*('C19RM 2021-Lab &amp; Other HPS'!$BO$443:$BO$542)*(('C19RM 2021-Lab &amp; Other HPS'!$T$443:$T$542))))),IF((INDEX(SETUP!$G$19:$G$503,(MATCH(1,(SETUP!$B$19:$B$503=B38)*(SETUP!$D$19:$D$503=D38),0))))=3,(SUMPRODUCT(('C19RM 2021-Lab &amp; Other HPS'!$A$443:$D$542=E38)*('C19RM 2021-Lab &amp; Other HPS'!$BH$443:$BH$542=BJ38)*('C19RM 2021-Lab &amp; Other HPS'!$BP$443:$BP$542)*(('C19RM 2021-Lab &amp; Other HPS'!$X$443:$X$542)))),IF((INDEX(SETUP!$G$19:$G$503,(MATCH(1,(SETUP!$B$19:$B$503=B38)*(SETUP!$D$19:$D$503=D38),0))))=2,(SUMPRODUCT(('C19RM 2021-Lab &amp; Other HPS'!$A$443:$D$542=E38)*('C19RM 2021-Lab &amp; Other HPS'!$BH$443:$BH$542=BJ38)*('C19RM 2021-Lab &amp; Other HPS'!$BP$443:$BP$542)*(('C19RM 2021-Lab &amp; Other HPS'!$Y$443:$Y$542)))),IF((INDEX(SETUP!$G$19:$G$503,(MATCH(1,(SETUP!$B$19:$B$503=B38)*(SETUP!$D$19:$D$503=D38),0))))=1,(SUMPRODUCT(('C19RM 2021-Lab &amp; Other HPS'!$A$443:$D$542=E38)*('C19RM 2021-Lab &amp; Other HPS'!$BH$443:$BH$542=BJ38)*('C19RM 2021-Lab &amp; Other HPS'!$BP$443:$BP$542)*(('C19RM 2021-Lab &amp; Other HPS'!$Z$443:$Z$542)))),0)))),0)))</f>
        <v>0</v>
      </c>
      <c r="Z38" s="359" cm="1">
        <f t="array" ref="Z38">IF((INDEX(SETUP!$F$19:$F$503,(MATCH(1,(SETUP!$B$19:$B$503=B38)*(SETUP!$D$19:$D$503=D38),0))))="Upfront",(SUMPRODUCT(('C19RM 2021-Lab &amp; Other HPS'!$A$443:$D$542=E38)*('C19RM 2021-Lab &amp; Other HPS'!$BH$443:$BH$542=BJ38)*('C19RM 2021-Lab &amp; Other HPS'!$BQ$443:$BQ$542)*(('C19RM 2021-Lab &amp; Other HPS'!$AE$443:$AE$542)))),(IF((INDEX(SETUP!$F$19:$F$503,(MATCH(1,(SETUP!$B$19:$B$503=B38)*(SETUP!$D$19:$D$503=D38),0))))="At delivery",IF((INDEX(SETUP!$G$19:$G$503,(MATCH(1,(SETUP!$B$19:$B$503=B38)*(SETUP!$D$19:$D$503=D38),0))))=4,(SUMPRODUCT(('C19RM 2021-Lab &amp; Other HPS'!$A$443:$D$542=E38)*('C19RM 2021-Lab &amp; Other HPS'!$BH$443:$BH$542=BJ38)*('C19RM 2021-Lab &amp; Other HPS'!$BP$443:$BP$542)*(('C19RM 2021-Lab &amp; Other HPS'!$X$443:$X$542)))),IF((INDEX(SETUP!$G$19:$G$503,(MATCH(1,(SETUP!$B$19:$B$503=B38)*(SETUP!$D$19:$D$503=D38),0))))=3,(SUMPRODUCT(('C19RM 2021-Lab &amp; Other HPS'!$A$443:$D$542=E38)*('C19RM 2021-Lab &amp; Other HPS'!$BH$443:$BH$542=BJ38)*('C19RM 2021-Lab &amp; Other HPS'!$BP$443:$BP$542)*(('C19RM 2021-Lab &amp; Other HPS'!$Y$443:$Y$542)))),IF((INDEX(SETUP!$G$19:$G$503,(MATCH(1,(SETUP!$B$19:$B$503=B38)*(SETUP!$D$19:$D$503=D38),0))))=2,(SUMPRODUCT(('C19RM 2021-Lab &amp; Other HPS'!$A$443:$D$542=E38)*('C19RM 2021-Lab &amp; Other HPS'!$BH$443:$BH$542=BJ38)*('C19RM 2021-Lab &amp; Other HPS'!$BP$443:$BP$542)*(('C19RM 2021-Lab &amp; Other HPS'!$Z$443:$Z$542)))),IF((INDEX(SETUP!$G$19:$G$503,(MATCH(1,(SETUP!$B$19:$B$503=B38)*(SETUP!$D$19:$D$503=D38),0))))=1,(SUMPRODUCT(('C19RM 2021-Lab &amp; Other HPS'!$A$443:$D$542=E38)*('C19RM 2021-Lab &amp; Other HPS'!$BH$443:$BH$542=BJ38)*('C19RM 2021-Lab &amp; Other HPS'!$BP$443:$BP$542)*(('C19RM 2021-Lab &amp; Other HPS'!$AA$443:$AA$542)))),0)))),0)))</f>
        <v>0</v>
      </c>
      <c r="AA38" s="359" cm="1">
        <f t="array" ref="AA38">IF((INDEX(SETUP!$F$19:$F$503,(MATCH(1,(SETUP!$B$19:$B$503=B38)*(SETUP!$D$19:$D$503=D38),0))))="Upfront",(SUMPRODUCT(('C19RM 2021-Lab &amp; Other HPS'!$A$443:$D$542=E38)*('C19RM 2021-Lab &amp; Other HPS'!$BH$443:$BH$542=BJ38)*('C19RM 2021-Lab &amp; Other HPS'!$BQ$443:$BQ$542)*(('C19RM 2021-Lab &amp; Other HPS'!$AF$443:$AF$542)))),(IF((INDEX(SETUP!$F$19:$F$503,(MATCH(1,(SETUP!$B$19:$B$503=B38)*(SETUP!$D$19:$D$503=D38),0))))="At delivery",IF((INDEX(SETUP!$G$19:$G$503,(MATCH(1,(SETUP!$B$19:$B$503=B38)*(SETUP!$D$19:$D$503=D38),0))))=4,(SUMPRODUCT(('C19RM 2021-Lab &amp; Other HPS'!$A$443:$D$542=E38)*('C19RM 2021-Lab &amp; Other HPS'!$BH$443:$BH$542=BJ38)*('C19RM 2021-Lab &amp; Other HPS'!$BP$443:$BP$542)*(('C19RM 2021-Lab &amp; Other HPS'!$Y$443:$Y$542)))),IF((INDEX(SETUP!$G$19:$G$503,(MATCH(1,(SETUP!$B$19:$B$503=B38)*(SETUP!$D$19:$D$503=D38),0))))=3,(SUMPRODUCT(('C19RM 2021-Lab &amp; Other HPS'!$A$443:$D$542=E38)*('C19RM 2021-Lab &amp; Other HPS'!$BH$443:$BH$542=BJ38)*('C19RM 2021-Lab &amp; Other HPS'!$BP$443:$BP$542)*(('C19RM 2021-Lab &amp; Other HPS'!$Z$443:$Z$542)))),IF((INDEX(SETUP!$G$19:$G$503,(MATCH(1,(SETUP!$B$19:$B$503=B38)*(SETUP!$D$19:$D$503=D38),0))))=2,((SUMPRODUCT(('C19RM 2021-Lab &amp; Other HPS'!$A$443:$D$542=E38)*('C19RM 2021-Lab &amp; Other HPS'!$BH$443:$BH$542=BJ38)*('C19RM 2021-Lab &amp; Other HPS'!$BP$443:$BP$542)*(('C19RM 2021-Lab &amp; Other HPS'!$AA$443:$AA$542))))),IF((INDEX(SETUP!$G$19:$G$503,(MATCH(1,(SETUP!$B$19:$B$503=B38)*(SETUP!$D$19:$D$503=D38),0))))=1,(SUMPRODUCT(('C19RM 2021-Lab &amp; Other HPS'!$A$443:$D$542=E38)*('C19RM 2021-Lab &amp; Other HPS'!$BH$443:$BH$542=BJ38)*('C19RM 2021-Lab &amp; Other HPS'!$BQ$443:$BQ$542)*(('C19RM 2021-Lab &amp; Other HPS'!$AE$443:$AE$542)))),0)))),0)))</f>
        <v>0</v>
      </c>
      <c r="AB38" s="359" cm="1">
        <f t="array" ref="AB38">IF((INDEX(SETUP!$F$19:$F$503,(MATCH(1,(SETUP!$B$19:$B$503=B38)*(SETUP!$D$19:$D$503=D38),0))))="Upfront",
(SUMPRODUCT(('C19RM 2021-Lab &amp; Other HPS'!$A$443:$D$542=E38)*('C19RM 2021-Lab &amp; Other HPS'!$BH$443:$BH$542=BJ38)*('C19RM 2021-Lab &amp; Other HPS'!$BQ$443:$BQ$542)*(('C19RM 2021-Lab &amp; Other HPS'!$AG$443:$AG$542)))),
(IF((INDEX(SETUP!$F$19:$F$503,(MATCH(1,(SETUP!$B$19:$B$503=B38)*(SETUP!$D$19:$D$503=D38),0))))="At delivery",
IF((INDEX(SETUP!$G$19:$G$503,(MATCH(1,(SETUP!$B$19:$B$503=B38)*(SETUP!$D$19:$D$503=D38),0))))=4,
(SUMPRODUCT(('C19RM 2021-Lab &amp; Other HPS'!$A$443:$D$542=E38)*('C19RM 2021-Lab &amp; Other HPS'!$BH$443:$BH$542=BJ38)*('C19RM 2021-Lab &amp; Other HPS'!$BP$443:$BP$542)*(('C19RM 2021-Lab &amp; Other HPS'!$Z$443:$Z$542)))),IF((INDEX(SETUP!$G$19:$G$503,(MATCH(1,(SETUP!$B$19:$B$503=B38)*(SETUP!$D$19:$D$503=D38),0))))=3,(SUMPRODUCT(('C19RM 2021-Lab &amp; Other HPS'!$A$443:$D$542=E38)*('C19RM 2021-Lab &amp; Other HPS'!$BH$443:$BH$542=BJ38)*('C19RM 2021-Lab &amp; Other HPS'!$BP$443:$BP$542)*(('C19RM 2021-Lab &amp; Other HPS'!$AA$443:$AA$542)))),IF((INDEX(SETUP!$G$19:$G$503,(MATCH(1,(SETUP!$B$19:$B$503=B38)*(SETUP!$D$19:$D$503=D38),0))))=2,(SUMPRODUCT(('C19RM 2021-Lab &amp; Other HPS'!$A$443:$D$542=E38)*('C19RM 2021-Lab &amp; Other HPS'!$BH$443:$BH$542=BJ38)*('C19RM 2021-Lab &amp; Other HPS'!$BQ$443:$BQ$542)*(('C19RM 2021-Lab &amp; Other HPS'!$AE$443:$AE$542)))),IF((INDEX(SETUP!$G$19:$G$503,(MATCH(1,(SETUP!$B$19:$B$503=B38)*(SETUP!$D$19:$D$503=D38),0))))=1,(SUMPRODUCT(('C19RM 2021-Lab &amp; Other HPS'!$A$443:$D$542=E38)*('C19RM 2021-Lab &amp; Other HPS'!$BH$443:$BH$542=BJ38)*('C19RM 2021-Lab &amp; Other HPS'!$BQ$443:$BQ$542)*(('C19RM 2021-Lab &amp; Other HPS'!$AF$443:$AF$542)))),0)))),0)))</f>
        <v>0</v>
      </c>
      <c r="AC38" s="359" cm="1">
        <f t="array" ref="AC38">IF((INDEX(SETUP!$F$19:$F$503,(MATCH(1,(SETUP!$B$19:$B$503=B38)*(SETUP!$D$19:$D$503=D38),0))))="Upfront",
(SUMPRODUCT(('C19RM 2021-Lab &amp; Other HPS'!$A$443:$D$542=E38)*('C19RM 2021-Lab &amp; Other HPS'!$BH$443:$BH$542=BJ38)*('C19RM 2021-Lab &amp; Other HPS'!$BQ$443:$BQ$542)*(('C19RM 2021-Lab &amp; Other HPS'!$AH$443:$AH$542)))),
(IF((INDEX(SETUP!$F$19:$F$503,(MATCH(1,(SETUP!$B$19:$B$503=B38)*(SETUP!$D$19:$D$503=D38),0))))="At delivery",
IF((INDEX(SETUP!$G$19:$G$503,(MATCH(1,(SETUP!$B$19:$B$503=B38)*(SETUP!$D$19:$D$503=D38),0))))=4,
(SUMPRODUCT(('C19RM 2021-Lab &amp; Other HPS'!$A$443:$D$542=E38)*('C19RM 2021-Lab &amp; Other HPS'!$BH$443:$BH$542=BJ38)*('C19RM 2021-Lab &amp; Other HPS'!$BP$443:$BP$542)*(('C19RM 2021-Lab &amp; Other HPS'!$AA$443:$AA$542)))),IF((INDEX(SETUP!$G$19:$G$503,(MATCH(1,(SETUP!$B$19:$B$503=B38)*(SETUP!$D$19:$D$503=D38),0))))=3,(SUMPRODUCT(('C19RM 2021-Lab &amp; Other HPS'!$A$443:$D$542=E38)*('C19RM 2021-Lab &amp; Other HPS'!$BH$443:$BH$542=BJ38)*('C19RM 2021-Lab &amp; Other HPS'!$BQ$443:$BQ$542)*(('C19RM 2021-Lab &amp; Other HPS'!$AE$443:$AE$542)))),IF((INDEX(SETUP!$G$19:$G$503,(MATCH(1,(SETUP!$B$19:$B$503=B38)*(SETUP!$D$19:$D$503=D38),0))))=2,(SUMPRODUCT(('C19RM 2021-Lab &amp; Other HPS'!$A$443:$D$542=E38)*('C19RM 2021-Lab &amp; Other HPS'!$BH$443:$BH$542=BJ38)*('C19RM 2021-Lab &amp; Other HPS'!$BQ$443:$BQ$542)*(('C19RM 2021-Lab &amp; Other HPS'!$AF$443:$AF$542)))),IF((INDEX(SETUP!$G$19:$G$503,(MATCH(1,(SETUP!$B$19:$B$503=B38)*(SETUP!$D$19:$D$503=D38),0))))=1,(SUMPRODUCT(('C19RM 2021-Lab &amp; Other HPS'!$A$443:$D$542=E38)*('C19RM 2021-Lab &amp; Other HPS'!$BH$443:$BH$542=BJ38)*('C19RM 2021-Lab &amp; Other HPS'!$BQ$443:$BQ$542)*(('C19RM 2021-Lab &amp; Other HPS'!$AG$443:$AG$542)))),0)))),0)))</f>
        <v>0</v>
      </c>
      <c r="AD38" s="359" cm="1">
        <f t="array" ref="AD38">IF((INDEX(SETUP!$F$19:$F$503,(MATCH(1,(SETUP!$B$19:$B$503=B38)*(SETUP!$D$19:$D$503=D38),0))))="Upfront",
(SUMPRODUCT(('C19RM 2021-Lab &amp; Other HPS'!$A$443:$D$542=E38)*('C19RM 2021-Lab &amp; Other HPS'!$BH$443:$BH$542=BJ38)*('C19RM 2021-Lab &amp; Other HPS'!$BR$443:$BR$542)*(('C19RM 2021-Lab &amp; Other HPS'!$AL$443:$AL$542)))),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HPS'!$AE$443:$AE$542)))),IF((INDEX(SETUP!$G$19:$G$503,(MATCH(1,(SETUP!$B$19:$B$503=B38)*(SETUP!$D$19:$D$503=D38),0))))=3,((SUMPRODUCT(('C19RM 2021-Lab &amp; Other HPS'!$A$443:$D$542=E38)*('C19RM 2021-Lab &amp; Other HPS'!$BH$443:$BH$542=BJ38)*('C19RM 2021-Lab &amp; Other HPS'!$BQ$443:$BQ$542)*(('C19RM 2021-Lab &amp; Other HPS'!$AF$443:$AF$542))))),IF((INDEX(SETUP!$G$19:$G$503,(MATCH(1,(SETUP!$B$19:$B$503=B38)*(SETUP!$D$19:$D$503=D38),0))))=2,(SUMPRODUCT(('C19RM 2021-Lab &amp; Other HPS'!$A$443:$D$542=E38)*('C19RM 2021-Lab &amp; Other HPS'!$BH$443:$BH$542=BJ38)*('C19RM 2021-Lab &amp; Other HPS'!$BQ$443:$BQ$542)*(('C19RM 2021-Lab &amp; Other HPS'!$AG$443:$AG$542)))),IF((INDEX(SETUP!$G$19:$G$503,(MATCH(1,(SETUP!$B$19:$B$503=B38)*(SETUP!$D$19:$D$503=D38),0))))=1,(SUMPRODUCT(('C19RM 2021-Lab &amp; Other HPS'!$A$443:$D$542=E38)*('C19RM 2021-Lab &amp; Other HPS'!$BH$443:$BH$542=BJ38)*('C19RM 2021-Lab &amp; Other HPS'!$BQ$443:$BQ$542)*(('C19RM 2021-Lab &amp; Other HPS'!$AH$443:$AH$542)))),0)))),0)))</f>
        <v>0</v>
      </c>
      <c r="AE38" s="359" cm="1">
        <f t="array" ref="AE38">IF((INDEX(SETUP!$F$19:$F$503,(MATCH(1,(SETUP!$B$19:$B$503=B38)*(SETUP!$D$19:$D$503=D38),0))))="Upfront",
(SUMPRODUCT(('C19RM 2021-Lab &amp; Other HPS'!$A$443:$D$542=E38)*('C19RM 2021-Lab &amp; Other HPS'!$BH$443:$BH$542=BJ38)*('C19RM 2021-Lab &amp; Other HPS'!$BR$443:$BR$542)*(('C19RM 2021-Lab &amp; Other HPS'!$AM$443:$AM$542)))),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HPS'!$AF$443:$AF$542)))),IF((INDEX(SETUP!$G$19:$G$503,(MATCH(1,(SETUP!$B$19:$B$503=B38)*(SETUP!$D$19:$D$503=D38),0))))=3,(SUMPRODUCT(('C19RM 2021-Lab &amp; Other HPS'!$A$443:$D$542=E38)*('C19RM 2021-Lab &amp; Other HPS'!$BH$443:$BH$542=BJ38)*('C19RM 2021-Lab &amp; Other HPS'!$BQ$443:$BQ$542)*(('C19RM 2021-Lab &amp; Other HPS'!$AG$443:$AG$542)))),IF((INDEX(SETUP!$G$19:$G$503,(MATCH(1,(SETUP!$B$19:$B$503=B38)*(SETUP!$D$19:$D$503=D38),0))))=2,(SUMPRODUCT(('C19RM 2021-Lab &amp; Other HPS'!$A$443:$D$542=E38)*('C19RM 2021-Lab &amp; Other HPS'!$BH$443:$BH$542=BJ38)*('C19RM 2021-Lab &amp; Other HPS'!$BQ$443:$BQ$542)*(('C19RM 2021-Lab &amp; Other HPS'!$AH$443:$AH$542)))),IF((INDEX(SETUP!$G$19:$G$503,(MATCH(1,(SETUP!$B$19:$B$503=B38)*(SETUP!$D$19:$D$503=D38),0))))=1,(SUMPRODUCT(('C19RM 2021-Lab &amp; Other HPS'!$A$443:$D$542=E38)*('C19RM 2021-Lab &amp; Other HPS'!$BH$443:$BH$542=BJ38)*('C19RM 2021-Lab &amp; Other HPS'!$BR$443:$BR$542)*(('C19RM 2021-Lab &amp; Other HPS'!$AL$443:$AL$542)))),0)))),0)))</f>
        <v>0</v>
      </c>
      <c r="AF38" s="359" cm="1">
        <f t="array" ref="AF38">IF((INDEX(SETUP!$F$19:$F$503,(MATCH(1,(SETUP!$B$19:$B$503=B38)*(SETUP!$D$19:$D$503=D38),0))))="Upfront",
(SUMPRODUCT(('C19RM 2021-Lab &amp; Other HPS'!$A$443:$D$542=E38)*('C19RM 2021-Lab &amp; Other HPS'!$BH$443:$BH$542=BJ38)*('C19RM 2021-Lab &amp; Other HPS'!$BR$443:$BR$542)*(('C19RM 2021-Lab &amp; Other HPS'!$AN$443:$AN$542)))),
(IF((INDEX(SETUP!$F$19:$F$503,(MATCH(1,(SETUP!$B$19:$B$503=B38)*(SETUP!$D$19:$D$503=D38),0))))="At delivery",
IF((INDEX(SETUP!$G$19:$G$503,(MATCH(1,(SETUP!$B$19:$B$503=B38)*(SETUP!$D$19:$D$503=D38),0))))=4,
(SUMPRODUCT(('C19RM 2021-Lab &amp; Other HPS'!$A$443:$D$542=E38)*('C19RM 2021-Lab &amp; Other HPS'!$BH$443:$BH$542=BJ38)*('C19RM 2021-Lab &amp; Other HPS'!$BQ$443:$BQ$542)*(('C19RM 2021-Lab &amp; Other HPS'!$AG$443:$AG$542)))),IF((INDEX(SETUP!$G$19:$G$503,(MATCH(1,(SETUP!$B$19:$B$503=B38)*(SETUP!$D$19:$D$503=D38),0))))=3,(SUMPRODUCT(('C19RM 2021-Lab &amp; Other HPS'!$A$443:$D$542=E38)*('C19RM 2021-Lab &amp; Other HPS'!$BH$443:$BH$542=BJ38)*('C19RM 2021-Lab &amp; Other HPS'!$BQ$443:$BQ$542)*(('C19RM 2021-Lab &amp; Other HPS'!$AH$443:$AH$542)))),IF((INDEX(SETUP!$G$19:$G$503,(MATCH(1,(SETUP!$B$19:$B$503=B38)*(SETUP!$D$19:$D$503=D38),0))))=2,(SUMPRODUCT(('C19RM 2021-Lab &amp; Other HPS'!$A$443:$D$542=E38)*('C19RM 2021-Lab &amp; Other HPS'!$BH$443:$BH$542=BJ38)*('C19RM 2021-Lab &amp; Other HPS'!$BR$443:$BR$542)*(('C19RM 2021-Lab &amp; Other HPS'!$AL$443:$AL$542)))),IF((INDEX(SETUP!$G$19:$G$503,(MATCH(1,(SETUP!$B$19:$B$503=B38)*(SETUP!$D$19:$D$503=D38),0))))=1,(SUMPRODUCT(('C19RM 2021-Lab &amp; Other HPS'!$A$443:$D$542=E38)*('C19RM 2021-Lab &amp; Other HPS'!$BH$443:$BH$542=BJ38)*('C19RM 2021-Lab &amp; Other HPS'!$BR$443:$BR$542)*(('C19RM 2021-Lab &amp; Other HPS'!$AM$443:$AM$542)))),0)))),0)))</f>
        <v>0</v>
      </c>
      <c r="AG38" s="359" cm="1">
        <f t="array" ref="AG38">IF((INDEX(SETUP!$F$19:$F$503,(MATCH(1,(SETUP!$B$19:$B$503=B38)*(SETUP!$D$19:$D$503=D38),0))))="Upfront",(SUMPRODUCT(('C19RM 2021-Lab &amp; Other HPS'!$A$443:$D$542=E38)*('C19RM 2021-Lab &amp; Other HPS'!$BH$443:$BH$542=BJ38)*('C19RM 2021-Lab &amp; Other HPS'!$BR$443:$BR$542)*(('C19RM 2021-Lab &amp; Other HPS'!$AO$443:$AO$542)))),(IF((INDEX(SETUP!$F$19:$F$503,(MATCH(1,(SETUP!$B$19:$B$503=B38)*(SETUP!$D$19:$D$503=D38),0))))="At delivery",IF((INDEX(SETUP!$G$19:$G$503,(MATCH(1,(SETUP!$B$19:$B$503=B38)*(SETUP!$D$19:$D$503=D38),0))))=4,(SUMPRODUCT(('C19RM 2021-Lab &amp; Other HPS'!$A$443:$D$542=E38)*('C19RM 2021-Lab &amp; Other HPS'!$BH$443:$BH$542=BJ38)*('C19RM 2021-Lab &amp; Other HPS'!$BQ$443:$BQ$542)*(('C19RM 2021-Lab &amp; Other HPS'!$AH$443:$AH$542)))),IF((INDEX(SETUP!$G$19:$G$503,(MATCH(1,(SETUP!$B$19:$B$503=B38)*(SETUP!$D$19:$D$503=D38),0))))=3,(SUMPRODUCT(('C19RM 2021-Lab &amp; Other HPS'!$A$443:$D$542=E38)*('C19RM 2021-Lab &amp; Other HPS'!$BH$443:$BH$542=BJ38)*('C19RM 2021-Lab &amp; Other HPS'!$BR$443:$BR$542)*(('C19RM 2021-Lab &amp; Other HPS'!$AL$443:$AL$542)))),IF((INDEX(SETUP!$G$19:$G$503,(MATCH(1,(SETUP!$B$19:$B$503=B38)*(SETUP!$D$19:$D$503=D38),0))))=2,(SUMPRODUCT(('C19RM 2021-Lab &amp; Other HPS'!$A$443:$D$542=E38)*('C19RM 2021-Lab &amp; Other HPS'!$BH$443:$BH$542=BJ38)*('C19RM 2021-Lab &amp; Other HPS'!$BR$443:$BR$542)*(('C19RM 2021-Lab &amp; Other HPS'!$AM$443:$AM$542)))),IF((INDEX(SETUP!$G$19:$G$503,(MATCH(1,(SETUP!$B$19:$B$503=B38)*(SETUP!$D$19:$D$503=D38),0))))=1,(SUMPRODUCT(('C19RM 2021-Lab &amp; Other HPS'!$A$443:$D$542=E38)*('C19RM 2021-Lab &amp; Other HPS'!$BH$443:$BH$542=BJ38)*('C19RM 2021-Lab &amp; Other HPS'!$BR$443:$BR$542)*(('C19RM 2021-Lab &amp; Other HPS'!$AN$443:$AN$542)))),0)))),0)))</f>
        <v>0</v>
      </c>
      <c r="AH38" s="359" cm="1">
        <f t="array" ref="AH38">IF((INDEX(SETUP!$F$19:$F$503,(MATCH(1,(SETUP!$B$19:$B$503=B38)*(SETUP!$D$19:$D$503=D38),0))))="Upfront",
(SUMPRODUCT(('C19RM 2021-Lab &amp; Other HPS'!$A$443:$D$542=E38)*('C19RM 2021-Lab &amp; Other HPS'!$BH$443:$BH$542=BJ38)*('C19RM 2021-Lab &amp; Other HPS'!$BS$443:$BS$542)*(('C19RM 2021-Lab &amp; Other HPS'!$AS$443:$AS$542)))),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HPS'!$AL$443:$AL$542)))),IF((INDEX(SETUP!$G$19:$G$503,(MATCH(1,(SETUP!$B$19:$B$503=B38)*(SETUP!$D$19:$D$503=D38),0))))=3,((SUMPRODUCT(('C19RM 2021-Lab &amp; Other HPS'!$A$443:$D$542=E38)*('C19RM 2021-Lab &amp; Other HPS'!$BH$443:$BH$542=BJ38)*('C19RM 2021-Lab &amp; Other HPS'!$BR$443:$BR$542)*(('C19RM 2021-Lab &amp; Other HPS'!$AM$443:$AM$542))))),IF((INDEX(SETUP!$G$19:$G$503,(MATCH(1,(SETUP!$B$19:$B$503=B38)*(SETUP!$D$19:$D$503=D38),0))))=2,(SUMPRODUCT(('C19RM 2021-Lab &amp; Other HPS'!$A$443:$D$542=E38)*('C19RM 2021-Lab &amp; Other HPS'!$BH$443:$BH$542=BJ38)*('C19RM 2021-Lab &amp; Other HPS'!$BR$443:$BR$542)*(('C19RM 2021-Lab &amp; Other HPS'!$AN$443:$AN$542)))),IF((INDEX(SETUP!$G$19:$G$503,(MATCH(1,(SETUP!$B$19:$B$503=B38)*(SETUP!$D$19:$D$503=D38),0))))=1,(SUMPRODUCT(('C19RM 2021-Lab &amp; Other HPS'!$A$443:$D$542=E38)*('C19RM 2021-Lab &amp; Other HPS'!$BH$443:$BH$542=BJ38)*('C19RM 2021-Lab &amp; Other HPS'!$BR$443:$BR$542)*(('C19RM 2021-Lab &amp; Other HPS'!$AO$443:$AO$542)))),0)))),0)))</f>
        <v>0</v>
      </c>
      <c r="AI38" s="359" cm="1">
        <f t="array" ref="AI38">IF((INDEX(SETUP!$F$19:$F$503,(MATCH(1,(SETUP!$B$19:$B$503=B38)*(SETUP!$D$19:$D$503=D38),0))))="Upfront",
(SUMPRODUCT(('C19RM 2021-Lab &amp; Other HPS'!$A$443:$D$542=E38)*('C19RM 2021-Lab &amp; Other HPS'!$BH$443:$BH$542=BJ38)*('C19RM 2021-Lab &amp; Other HPS'!$BS$443:$BS$542)*(('C19RM 2021-Lab &amp; Other HPS'!$AT$443:$AT$542)))),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HPS'!$AM$443:$AM$542)))),IF((INDEX(SETUP!$G$19:$G$503,(MATCH(1,(SETUP!$B$19:$B$503=B38)*(SETUP!$D$19:$D$503=D38),0))))=3,((SUMPRODUCT(('C19RM 2021-Lab &amp; Other HPS'!$A$443:$D$542=E38)*('C19RM 2021-Lab &amp; Other HPS'!$BH$443:$BH$542=BJ38)*('C19RM 2021-Lab &amp; Other HPS'!$BR$443:$BR$542)*(('C19RM 2021-Lab &amp; Other HPS'!$AN$443:$AN$542))))),IF((INDEX(SETUP!$G$19:$G$503,(MATCH(1,(SETUP!$B$19:$B$503=B38)*(SETUP!$D$19:$D$503=D38),0))))=2,(SUMPRODUCT(('C19RM 2021-Lab &amp; Other HPS'!$A$443:$D$542=E38)*('C19RM 2021-Lab &amp; Other HPS'!$BH$443:$BH$542=BJ38)*('C19RM 2021-Lab &amp; Other HPS'!$BR$443:$BR$542)*(('C19RM 2021-Lab &amp; Other HPS'!$AO$443:$AO$542)))),IF((INDEX(SETUP!$G$19:$G$503,(MATCH(1,(SETUP!$B$19:$B$503=B38)*(SETUP!$D$19:$D$503=D38),0))))=1,(SUMPRODUCT(('C19RM 2021-Lab &amp; Other HPS'!$A$443:$D$542=E38)*('C19RM 2021-Lab &amp; Other HPS'!$BH$443:$BH$542=BJ38)*('C19RM 2021-Lab &amp; Other HPS'!$BS$443:$BS$542)*(('C19RM 2021-Lab &amp; Other HPS'!$AS$443:$AS$542)))),0)))),0)))</f>
        <v>0</v>
      </c>
      <c r="AJ38" s="359" cm="1">
        <f t="array" ref="AJ38">IF((INDEX(SETUP!$F$19:$F$503,(MATCH(1,(SETUP!$B$19:$B$503=B38)*(SETUP!$D$19:$D$503=D38),0))))="Upfront",
(SUMPRODUCT(('C19RM 2021-Lab &amp; Other HPS'!$A$443:$D$542=E38)*('C19RM 2021-Lab &amp; Other HPS'!$BH$443:$BH$542=BJ38)*('C19RM 2021-Lab &amp; Other HPS'!$BS$443:$BS$542)*(('C19RM 2021-Lab &amp; Other HPS'!$AU$443:$AU$542)))),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HPS'!$AN$443:$AN$542)))),IF((INDEX(SETUP!$G$19:$G$503,(MATCH(1,(SETUP!$B$19:$B$503=B38)*(SETUP!$D$19:$D$503=D38),0))))=3,((SUMPRODUCT(('C19RM 2021-Lab &amp; Other HPS'!$A$443:$D$542=E38)*('C19RM 2021-Lab &amp; Other HPS'!$BH$443:$BH$542=BJ38)*('C19RM 2021-Lab &amp; Other HPS'!$BR$443:$BR$542)*(('C19RM 2021-Lab &amp; Other HPS'!$AO$443:$AO$542))))),IF((INDEX(SETUP!$G$19:$G$503,(MATCH(1,(SETUP!$B$19:$B$503=B38)*(SETUP!$D$19:$D$503=D38),0))))=2,(SUMPRODUCT(('C19RM 2021-Lab &amp; Other HPS'!$A$443:$D$542=E38)*('C19RM 2021-Lab &amp; Other HPS'!$BH$443:$BH$542=BJ38)*('C19RM 2021-Lab &amp; Other HPS'!$BS$443:$BS$542)*(('C19RM 2021-Lab &amp; Other HPS'!$AS$443:$AS$542)))),IF((INDEX(SETUP!$G$19:$G$503,(MATCH(1,(SETUP!$B$19:$B$503=B38)*(SETUP!$D$19:$D$503=D38),0))))=1,(SUMPRODUCT(('C19RM 2021-Lab &amp; Other HPS'!$A$443:$D$542=E38)*('C19RM 2021-Lab &amp; Other HPS'!$BH$443:$BH$542=BJ38)*('C19RM 2021-Lab &amp; Other HPS'!$BS$443:$BS$542)*(('C19RM 2021-Lab &amp; Other HPS'!$AT$443:$AT$542)))),0)))),0)))</f>
        <v>0</v>
      </c>
      <c r="AK38" s="359" cm="1">
        <f t="array" ref="AK38">IF((INDEX(SETUP!$F$19:$F$503,(MATCH(1,(SETUP!$B$19:$B$503=B38)*(SETUP!$D$19:$D$503=D38),0))))="Upfront",
(SUMPRODUCT(('C19RM 2021-Lab &amp; Other HPS'!$A$443:$D$542=E38)*('C19RM 2021-Lab &amp; Other HPS'!$BH$443:$BH$542=BJ38)*('C19RM 2021-Lab &amp; Other HPS'!$BS$443:$BS$542)*(('C19RM 2021-Lab &amp; Other HPS'!$AV$443:$AV$542)))),
(IF((INDEX(SETUP!$F$19:$F$503,(MATCH(1,(SETUP!$B$19:$B$503=B38)*(SETUP!$D$19:$D$503=D38),0))))="At delivery",
IF((INDEX(SETUP!$G$19:$G$503,(MATCH(1,(SETUP!$B$19:$B$503=B38)*(SETUP!$D$19:$D$503=D38),0))))=4,
(SUMPRODUCT(('C19RM 2021-Lab &amp; Other HPS'!$A$443:$D$542=E38)*('C19RM 2021-Lab &amp; Other HPS'!$BH$443:$BH$542=BJ38)*('C19RM 2021-Lab &amp; Other HPS'!$BR$443:$BR$542)*(('C19RM 2021-Lab &amp; Other HPS'!$AO$443:$AO$542)))),IF((INDEX(SETUP!$G$19:$G$503,(MATCH(1,(SETUP!$B$19:$B$503=B38)*(SETUP!$D$19:$D$503=D38),0))))=3,((SUMPRODUCT(('C19RM 2021-Lab &amp; Other HPS'!$A$443:$D$542=E38)*('C19RM 2021-Lab &amp; Other HPS'!$BH$443:$BH$542=BJ38)*('C19RM 2021-Lab &amp; Other HPS'!$BS$443:$BS$542)*(('C19RM 2021-Lab &amp; Other HPS'!$AS$443:$AS$542))))),IF((INDEX(SETUP!$G$19:$G$503,(MATCH(1,(SETUP!$B$19:$B$503=B38)*(SETUP!$D$19:$D$503=D38),0))))=2,(SUMPRODUCT(('C19RM 2021-Lab &amp; Other HPS'!$A$443:$D$542=E38)*('C19RM 2021-Lab &amp; Other HPS'!$BH$443:$BH$542=BJ38)*('C19RM 2021-Lab &amp; Other HPS'!$BS$443:$BS$542)*(('C19RM 2021-Lab &amp; Other HPS'!$AT$443:$AT$542)))),IF((INDEX(SETUP!$G$19:$G$503,(MATCH(1,(SETUP!$B$19:$B$503=B38)*(SETUP!$D$19:$D$503=D38),0))))=1,(SUMPRODUCT(('C19RM 2021-Lab &amp; Other HPS'!$A$443:$D$542=E38)*('C19RM 2021-Lab &amp; Other HPS'!$BH$443:$BH$542=BJ38)*('C19RM 2021-Lab &amp; Other HPS'!$BS$443:$BS$542)*(('C19RM 2021-Lab &amp; Other HPS'!$AU$443:$AU$542)))),0)))),0)))</f>
        <v>0</v>
      </c>
      <c r="AL38" s="359" cm="1">
        <f t="array" ref="AL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HPS'!$AS$443:$AS$542)))),IF((INDEX(SETUP!$G$19:$G$503,(MATCH(1,(SETUP!$B$19:$B$503=B38)*(SETUP!$D$19:$D$503=D38),0))))=3,(SUMPRODUCT(('C19RM 2021-Lab &amp; Other HPS'!$A$443:$D$542=E38)*('C19RM 2021-Lab &amp; Other HPS'!$BH$443:$BH$542=BJ38)*('C19RM 2021-Lab &amp; Other HPS'!$BS$443:$BS$542)*(('C19RM 2021-Lab &amp; Other HPS'!$AT$443:$AT$542)))),IF((INDEX(SETUP!$G$19:$G$503,(MATCH(1,(SETUP!$B$19:$B$503=B38)*(SETUP!$D$19:$D$503=D38),0))))=2,(SUMPRODUCT(('C19RM 2021-Lab &amp; Other HPS'!$A$443:$D$542=E38)*('C19RM 2021-Lab &amp; Other HPS'!$BH$443:$BH$542=BJ38)*('C19RM 2021-Lab &amp; Other HPS'!$BS$443:$BS$542)*(('C19RM 2021-Lab &amp; Other HPS'!$AU$443:$AU$542)))),
IF((INDEX(SETUP!$G$19:$G$503,(MATCH(1,(SETUP!$B$19:$B$503=B38)*(SETUP!$D$19:$D$503=D38),0))))=1,
(SUMPRODUCT(('C19RM 2021-Lab &amp; Other HPS'!$A$443:$D$542=E38)*('C19RM 2021-Lab &amp; Other HPS'!$BH$443:$BH$542=BJ38)*('C19RM 2021-Lab &amp; Other HPS'!$BS$443:$BS$542)*(('C19RM 2021-Lab &amp; Other HPS'!$AV$443:$AV$542)))),0)))),0)))</f>
        <v>0</v>
      </c>
      <c r="AM38" s="359" cm="1">
        <f t="array" ref="AM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HPS'!$AT$443:$AT$542)))),IF((INDEX(SETUP!$G$19:$G$503,(MATCH(1,(SETUP!$B$19:$B$503=B38)*(SETUP!$D$19:$D$503=D38),0))))=3,(SUMPRODUCT(('C19RM 2021-Lab &amp; Other HPS'!$A$443:$D$542=E38)*('C19RM 2021-Lab &amp; Other HPS'!$BH$443:$BH$542=BJ38)*('C19RM 2021-Lab &amp; Other HPS'!$BS$443:$BS$542)*(('C19RM 2021-Lab &amp; Other HPS'!$AU$443:$AU$542)))),IF((INDEX(SETUP!$G$19:$G$503,(MATCH(1,(SETUP!$B$19:$B$503=B38)*(SETUP!$D$19:$D$503=D38),0))))=2,(SUMPRODUCT(('C19RM 2021-Lab &amp; Other HPS'!$A$443:$D$542=E38)*('C19RM 2021-Lab &amp; Other HPS'!$BH$443:$BH$542=BJ38)*('C19RM 2021-Lab &amp; Other HPS'!$BS$443:$BS$542)*(('C19RM 2021-Lab &amp; Other HPS'!$AV$443:$AV$542)))),IF((INDEX(SETUP!$G$19:$G$503,(MATCH(1,(SETUP!$B$19:$B$503=B38)*(SETUP!$D$19:$D$503=D38),0))))=1,(0),0)))),0)))</f>
        <v>0</v>
      </c>
      <c r="AN38" s="359" cm="1">
        <f t="array" ref="AN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HPS'!$AU$443:$AU$542)))),IF((INDEX(SETUP!$G$19:$G$503,(MATCH(1,(SETUP!$B$19:$B$503=B38)*(SETUP!$D$19:$D$503=D38),0))))=3,(SUMPRODUCT(('C19RM 2021-Lab &amp; Other HPS'!$A$443:$D$542=E38)*('C19RM 2021-Lab &amp; Other HPS'!$BH$443:$BH$542=BJ38)*('C19RM 2021-Lab &amp; Other HPS'!$BS$443:$BS$542)*(('C19RM 2021-Lab &amp; Other HPS'!$AV$443:$AV$542)))),IF((INDEX(SETUP!$G$19:$G$503,(MATCH(1,(SETUP!$B$19:$B$503=B38)*(SETUP!$D$19:$D$503=D38),0))))=2,(0),IF((INDEX(SETUP!$G$19:$G$503,(MATCH(1,(SETUP!$B$19:$B$503=B38)*(SETUP!$D$19:$D$503=D38),0))))=1,(0),0)))),0)))</f>
        <v>0</v>
      </c>
      <c r="AO38" s="359" cm="1">
        <f t="array" ref="AO38">IF((INDEX(SETUP!$F$19:$F$503,(MATCH(1,(SETUP!$B$19:$B$503=B38)*(SETUP!$D$19:$D$503=D38),0))))="Upfront",0,(IF((INDEX(SETUP!$F$19:$F$503,(MATCH(1,(SETUP!$B$19:$B$503=B38)*(SETUP!$D$19:$D$503=D38),0))))="At delivery",IF((INDEX(SETUP!$G$19:$G$503,(MATCH(1,(SETUP!$B$19:$B$503=B38)*(SETUP!$D$19:$D$503=D38),0))))=4,(SUMPRODUCT(('C19RM 2021-Lab &amp; Other HPS'!$A$443:$D$542=E38)*('C19RM 2021-Lab &amp; Other HPS'!$BH$443:$BH$542=BJ38)*('C19RM 2021-Lab &amp; Other HPS'!$BS$443:$BS$542)*(('C19RM 2021-Lab &amp; Other HPS'!$AV$443:$AV$542)))),IF((INDEX(SETUP!$G$19:$G$503,(MATCH(1,(SETUP!$B$19:$B$503=B38)*(SETUP!$D$19:$D$503=D38),0))))=3,(0),IF((INDEX(SETUP!$G$19:$G$503,(MATCH(1,(SETUP!$B$19:$B$503=B38)*(SETUP!$D$19:$D$503=D38),0))))=2,(0),IF((INDEX(SETUP!$G$19:$G$503,(MATCH(1,(SETUP!$B$19:$B$503=B38)*(SETUP!$D$19:$D$503=D38),0))))=1,(0),0)))),0)))</f>
        <v>0</v>
      </c>
      <c r="AP38" s="359"/>
      <c r="AQ38" s="359"/>
      <c r="AR38" s="359"/>
      <c r="AS38" s="359"/>
      <c r="AT38" s="359" cm="1">
        <f t="array" ref="AT38">IF(BG38&gt;=1,0,IFERROR(SUMPRODUCT(($R$2:$AO$2=$AT$4)*($E$5:$E$100=E38)*($BC$5:$BC$100=BC38)*($R$5:$AO$100)),0))</f>
        <v>0</v>
      </c>
      <c r="AU38" s="359" cm="1">
        <f t="array" ref="AU38">IF(BG38&gt;=1,0,IFERROR(SUMPRODUCT(($R$2:$AO$2=$AU$4)*($E$5:$E$100=E38)*($BC$5:$BC$100=BC38)*($R$5:$AO$100)),0))</f>
        <v>0</v>
      </c>
      <c r="AV38" s="359" cm="1">
        <f t="array" ref="AV38">IF(BG38&gt;=1,0,IFERROR(SUMPRODUCT(($R$2:$AO$2=$AV$4)*($E$5:$E$100=E38)*($BC$5:$BC$100=BC38)*($R$5:$AO$100)),0))</f>
        <v>0</v>
      </c>
      <c r="AW38" s="359" cm="1">
        <f t="array" ref="AW38">IF(BG38&gt;=1,0,IFERROR(SUMPRODUCT(($R$2:$AO$2=$AW$4)*($E$5:$E$100=E38)*($BC$5:$BC$100=BC38)*($R$5:$AO$100)),0))</f>
        <v>0</v>
      </c>
      <c r="AX38" s="359" cm="1">
        <f t="array" ref="AX38">IF(BG38&gt;=1,0,IFERROR(SUMPRODUCT(($R$2:$AO$2=$AX$4)*($E$5:$E$100=E38)*($BC$5:$BC$100=BC38)*($R$5:$AO$100)),0))</f>
        <v>0</v>
      </c>
      <c r="AY38" s="359">
        <f t="shared" si="5"/>
        <v>0</v>
      </c>
      <c r="AZ38" s="359"/>
      <c r="BA38" s="233">
        <f t="shared" si="6"/>
        <v>0</v>
      </c>
      <c r="BB38" s="220" t="s">
        <v>83</v>
      </c>
      <c r="BC38" t="s">
        <v>182</v>
      </c>
      <c r="BD38" cm="1">
        <f t="array" ref="BD38">(SUMPRODUCT(('C19RM 2021-Lab &amp; Other HPS'!$A$14:$D$650=E38)*('C19RM 2021-Lab &amp; Other HPS'!$BU$14:$BU$650)))</f>
        <v>0</v>
      </c>
      <c r="BE38" cm="1">
        <f t="array" ref="BE38">(SUMPRODUCT((SETUP!$D$20:$D$67=D38)*(SETUP!$R$20:$R$67)))</f>
        <v>0</v>
      </c>
      <c r="BF38" cm="1">
        <f t="array" ref="BF38">(SUMPRODUCT(('C19RM 2021-Lab &amp; Other HPS'!$A$14:$D$650=E38)*('C19RM 2021-Lab &amp; Other HPS'!$BV$14:$BV$650)))</f>
        <v>0</v>
      </c>
      <c r="BG38">
        <f t="shared" si="26"/>
        <v>0</v>
      </c>
      <c r="BJ38" s="235">
        <v>6.5</v>
      </c>
    </row>
    <row r="39" spans="1:62" x14ac:dyDescent="0.35">
      <c r="A39" s="235">
        <v>5</v>
      </c>
      <c r="B39" s="220" t="s">
        <v>2750</v>
      </c>
      <c r="C39" s="235" t="s">
        <v>3035</v>
      </c>
      <c r="D39" s="235" t="s">
        <v>30</v>
      </c>
      <c r="E39" s="235" t="s">
        <v>2764</v>
      </c>
      <c r="F39" s="220">
        <f>SETUP!$E$3</f>
        <v>0</v>
      </c>
      <c r="G39" s="220" t="str">
        <f ca="1">SETUP!$J$5</f>
        <v>NA</v>
      </c>
      <c r="H39" s="220" t="str">
        <f>SETUP!$E$9</f>
        <v>C19RM</v>
      </c>
      <c r="I39" s="232">
        <f t="shared" si="22"/>
        <v>44197</v>
      </c>
      <c r="J39" s="232">
        <f>SETUP!$L$14</f>
        <v>46022</v>
      </c>
      <c r="K39" s="220">
        <f>IFERROR(VLOOKUP(E39,'Master Data-C19RM'!$A$5:$B$35,2,0),0)</f>
        <v>0</v>
      </c>
      <c r="L39">
        <f t="shared" si="23"/>
        <v>0</v>
      </c>
      <c r="M39">
        <f>SETUP!$E$7</f>
        <v>0</v>
      </c>
      <c r="N39">
        <f>SETUP!$F$76</f>
        <v>6.1</v>
      </c>
      <c r="O39" t="str" cm="1">
        <f t="array" ref="O39">INDEX(SETUP!$E$19:$E$503,(MATCH(1,(SETUP!$B$19:$B$503=B39)*(SETUP!$D$19:$D$503=D39),0)))</f>
        <v>PR/SR</v>
      </c>
      <c r="P39" t="str" cm="1">
        <f t="array" ref="P39">INDEX(SETUP!$F$19:$F$503,(MATCH(1,(SETUP!$B$19:$B$503=B39)*(SETUP!$D$19:$D$503=D39),0)))</f>
        <v>At delivery</v>
      </c>
      <c r="Q39" cm="1">
        <f t="array" ref="Q39">INDEX(SETUP!$G$19:$G$503,(MATCH(1,(SETUP!$B$19:$B$503=B39)*(SETUP!$D$19:$D$503=D39),0)))</f>
        <v>1</v>
      </c>
      <c r="R39" s="359" cm="1">
        <f t="array" ref="R39">IF((INDEX(SETUP!$F$19:$F$503,(MATCH(1,(SETUP!$B$19:$B$503=B39)*(SETUP!$D$19:$D$503=D39),0))))="Upfront",(SUMPRODUCT(('C19RM 2021-Lab &amp; Other HPS'!$A$443:$D$542=E39)*('C19RM 2021-Lab &amp; Other HPS'!$BH$443:$BH$542=BJ39)*('C19RM 2021-Lab &amp; Other HPS'!$BO$443:$BO$542)*(('C19RM 2021-Lab &amp; Other HPS'!$Q$443:$Q$542)))),0)</f>
        <v>0</v>
      </c>
      <c r="S39" s="359" cm="1">
        <f t="array" ref="S39">IF((INDEX(SETUP!$F$19:$F$503,(MATCH(1,(SETUP!$B$19:$B$503=B39)*(SETUP!$D$19:$D$503=D39),0))))="Upfront",(SUMPRODUCT(('C19RM 2021-Lab &amp; Other HPS'!$A$443:$D$542=E39)*('C19RM 2021-Lab &amp; Other HPS'!$BH$443:$BH$542=BJ39)*('C19RM 2021-Lab &amp; Other HPS'!$BO$443:$BO$542)*(('C19RM 2021-Lab &amp; Other HPS'!$R$443:$R$542)))),(IF((INDEX(SETUP!$F$19:$F$503,(MATCH(1,(SETUP!$B$19:$B$503=B39)*(SETUP!$D$19:$D$503=D39),0))))="At delivery",IF((INDEX(SETUP!$G$19:$G$503,(MATCH(1,(SETUP!$B$19:$B$503=B39)*(SETUP!$D$19:$D$503=D39),0))))=1,(SUMPRODUCT(('C19RM 2021-Lab &amp; Other HPS'!$A$443:$D$542=E39)*('C19RM 2021-Lab &amp; Other HPS'!$BH$443:$BH$542=BJ39)*('C19RM 2021-Lab &amp; Other HPS'!$BO$443:$BO$542)*(('C19RM 2021-Lab &amp; Other HPS'!$Q$443:$Q$542)))),0),0)))</f>
        <v>0</v>
      </c>
      <c r="T39" s="359" cm="1">
        <f t="array" ref="T39">IF((INDEX(SETUP!$F$19:$F$503,(MATCH(1,(SETUP!$B$19:$B$503=B39)*(SETUP!$D$19:$D$503=D39),0))))="Upfront",(SUMPRODUCT(('C19RM 2021-Lab &amp; Other HPS'!$A$443:$D$542=E39)*('C19RM 2021-Lab &amp; Other HPS'!$BH$443:$BH$542=BJ39)*('C19RM 2021-Lab &amp; Other HPS'!$BO$443:$BO$542)*(('C19RM 2021-Lab &amp; Other HPS'!$S$443:$S$542)))),(IF((INDEX(SETUP!$F$19:$F$503,(MATCH(1,(SETUP!$B$19:$B$503=B39)*(SETUP!$D$19:$D$503=D39),0))))="At delivery",IF((INDEX(SETUP!$G$19:$G$503,(MATCH(1,(SETUP!$B$19:$B$503=B39)*(SETUP!$D$19:$D$503=D39),0))))=2,(SUMPRODUCT(('C19RM 2021-Lab &amp; Other HPS'!$A$443:$D$542=E39)*('C19RM 2021-Lab &amp; Other HPS'!$BH$443:$BH$542=BJ39)*('C19RM 2021-Lab &amp; Other HPS'!$BO$443:$BO$542)*(('C19RM 2021-Lab &amp; Other HPS'!$Q$443:$Q$542)))),IF((INDEX(SETUP!$G$19:$G$503,(MATCH(1,(SETUP!$B$19:$B$503=B39)*(SETUP!$D$19:$D$503=D39),0))))=1,(SUMPRODUCT(('C19RM 2021-Lab &amp; Other HPS'!$A$443:$D$542=E39)*('C19RM 2021-Lab &amp; Other HPS'!$BH$443:$BH$542=BJ39)*('C19RM 2021-Lab &amp; Other HPS'!$BO$443:$BO$542)*(('C19RM 2021-Lab &amp; Other HPS'!$R$443:$R$542)))),0)),0)))</f>
        <v>0</v>
      </c>
      <c r="U39" s="359" cm="1">
        <f t="array" ref="U39">IF((INDEX(SETUP!$F$19:$F$503,(MATCH(1,(SETUP!$B$19:$B$503=B39)*(SETUP!$D$19:$D$503=D39),0))))="Upfront",(SUMPRODUCT(('C19RM 2021-Lab &amp; Other HPS'!$A$443:$D$542=E39)*('C19RM 2021-Lab &amp; Other HPS'!$BH$443:$BH$542=BJ39)*('C19RM 2021-Lab &amp; Other HPS'!$BO$443:$BO$542)*(('C19RM 2021-Lab &amp; Other HPS'!$T$443:$T$542)))),(IF((INDEX(SETUP!$F$19:$F$503,(MATCH(1,(SETUP!$B$19:$B$503=B39)*(SETUP!$D$19:$D$503=D39),0))))="At delivery",IF((INDEX(SETUP!$G$19:$G$503,(MATCH(1,(SETUP!$B$19:$B$503=B39)*(SETUP!$D$19:$D$503=D39),0))))=3,(SUMPRODUCT(('C19RM 2021-Lab &amp; Other HPS'!$A$443:$D$542=E39)*('C19RM 2021-Lab &amp; Other HPS'!$BH$443:$BH$542=BJ39)*('C19RM 2021-Lab &amp; Other HPS'!$BO$443:$BO$542)*(('C19RM 2021-Lab &amp; Other HPS'!$Q$443:$Q$542)))),IF((INDEX(SETUP!$G$19:$G$503,(MATCH(1,(SETUP!$B$19:$B$503=B39)*(SETUP!$D$19:$D$503=D39),0))))=2,(SUMPRODUCT(('C19RM 2021-Lab &amp; Other HPS'!$A$443:$D$542=E39)*('C19RM 2021-Lab &amp; Other HPS'!$BH$443:$BH$542=BJ39)*('C19RM 2021-Lab &amp; Other HPS'!$BO$443:$BO$542)*(('C19RM 2021-Lab &amp; Other HPS'!$R$443:$R$542)))),IF((INDEX(SETUP!$G$19:$G$503,(MATCH(1,(SETUP!$B$19:$B$503=B39)*(SETUP!$D$19:$D$503=D39),0))))=1,(SUMPRODUCT(('C19RM 2021-Lab &amp; Other HPS'!$A$443:$D$542=E39)*('C19RM 2021-Lab &amp; Other HPS'!$BH$443:$BH$542=BJ39)*('C19RM 2021-Lab &amp; Other HPS'!$BO$443:$BO$542)*(('C19RM 2021-Lab &amp; Other HPS'!$S$443:$S$542)))),0))),0)))</f>
        <v>0</v>
      </c>
      <c r="V39" s="359" cm="1">
        <f t="array" ref="V39">IF((INDEX(SETUP!$F$19:$F$503,(MATCH(1,(SETUP!$B$19:$B$503=B39)*(SETUP!$D$19:$D$503=D39),0))))="Upfront",(SUMPRODUCT(('C19RM 2021-Lab &amp; Other HPS'!$A$443:$D$542=E39)*('C19RM 2021-Lab &amp; Other HPS'!$BH$443:$BH$542=BJ39)*('C19RM 2021-Lab &amp; Other HPS'!$BP$443:$BP$542)*(('C19RM 2021-Lab &amp; Other HPS'!$X$443:$X$542)))),(IF((INDEX(SETUP!$F$19:$F$503,(MATCH(1,(SETUP!$B$19:$B$503=B39)*(SETUP!$D$19:$D$503=D39),0))))="At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HPS'!$Q$443:$Q$542)))),IF((INDEX(SETUP!$G$19:$G$503,(MATCH(1,(SETUP!$B$19:$B$503=B39)*(SETUP!$D$19:$D$503=D39),0))))=3,(SUMPRODUCT(('C19RM 2021-Lab &amp; Other HPS'!$A$443:$D$542=E39)*('C19RM 2021-Lab &amp; Other HPS'!$BH$443:$BH$542=BJ39)*('C19RM 2021-Lab &amp; Other HPS'!$BO$443:$BO$542)*(('C19RM 2021-Lab &amp; Other HPS'!$R$443:$R$542)))),IF((INDEX(SETUP!$G$19:$G$503,(MATCH(1,(SETUP!$B$19:$B$503=B39)*(SETUP!$D$19:$D$503=D39),0))))=2,(SUMPRODUCT(('C19RM 2021-Lab &amp; Other HPS'!$A$443:$D$542=E39)*('C19RM 2021-Lab &amp; Other HPS'!$BH$443:$BH$542=BJ39)*('C19RM 2021-Lab &amp; Other HPS'!$BO$443:$BO$542)*(('C19RM 2021-Lab &amp; Other HPS'!$S$443:$S$542)))),IF((INDEX(SETUP!$G$19:$G$503,(MATCH(1,(SETUP!$B$19:$B$503=B39)*(SETUP!$D$19:$D$503=D39),0))))=1,(SUMPRODUCT(('C19RM 2021-Lab &amp; Other HPS'!$A$443:$D$542=E39)*('C19RM 2021-Lab &amp; Other HPS'!$BH$443:$BH$542=BJ39)*('C19RM 2021-Lab &amp; Other HPS'!$BO$443:$BO$542)*(('C19RM 2021-Lab &amp; Other HPS'!$T$443:$T$542)))),0)))),0)))</f>
        <v>0</v>
      </c>
      <c r="W39" s="359" cm="1">
        <f t="array" ref="W39">IF((INDEX(SETUP!$F$19:$F$503,(MATCH(1,(SETUP!$B$19:$B$503=B39)*(SETUP!$D$19:$D$503=D39),0))))="Upfront",(SUMPRODUCT(('C19RM 2021-Lab &amp; Other HPS'!$A$443:$D$542=E39)*('C19RM 2021-Lab &amp; Other HPS'!$BH$443:$BH$542=BJ39)*('C19RM 2021-Lab &amp; Other HPS'!$BP$443:$BP$542)*(('C19RM 2021-Lab &amp; Other HPS'!$Y$443:$Y$542)))),(IF((INDEX(SETUP!$F$19:$F$503,(MATCH(1,(SETUP!$B$19:$B$503=B39)*(SETUP!$D$19:$D$503=D39),0))))="At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HPS'!$R$443:$R$542)))),IF((INDEX(SETUP!$G$19:$G$503,(MATCH(1,(SETUP!$B$19:$B$503=B39)*(SETUP!$D$19:$D$503=D39),0))))=3,(SUMPRODUCT(('C19RM 2021-Lab &amp; Other HPS'!$A$443:$D$542=E39)*('C19RM 2021-Lab &amp; Other HPS'!$BH$443:$BH$542=BJ39)*('C19RM 2021-Lab &amp; Other HPS'!$BO$443:$BO$542)*(('C19RM 2021-Lab &amp; Other HPS'!$S$443:$S$542)))),IF((INDEX(SETUP!$G$19:$G$503,(MATCH(1,(SETUP!$B$19:$B$503=B39)*(SETUP!$D$19:$D$503=D39),0))))=2,((SUMPRODUCT(('C19RM 2021-Lab &amp; Other HPS'!$A$443:$D$542=E39)*('C19RM 2021-Lab &amp; Other HPS'!$BH$443:$BH$542=BJ39)*('C19RM 2021-Lab &amp; Other HPS'!$BO$443:$BO$542)*(('C19RM 2021-Lab &amp; Other HPS'!$T$443:$T$542))))),IF((INDEX(SETUP!$G$19:$G$503,(MATCH(1,(SETUP!$B$19:$B$503=B39)*(SETUP!$D$19:$D$503=D39),0))))=1,(SUMPRODUCT(('C19RM 2021-Lab &amp; Other HPS'!$A$443:$D$542=E39)*('C19RM 2021-Lab &amp; Other HPS'!$BH$443:$BH$542=BJ39)*('C19RM 2021-Lab &amp; Other HPS'!$BP$443:$BP$542)*(('C19RM 2021-Lab &amp; Other HPS'!$X$443:$X$542)))),0)))),0)))</f>
        <v>0</v>
      </c>
      <c r="X39" s="359" cm="1">
        <f t="array" ref="X39">IF((INDEX(SETUP!$F$19:$F$503,(MATCH(1,(SETUP!$B$19:$B$503=B39)*(SETUP!$D$19:$D$503=D39),0))))="Upfront",(SUMPRODUCT(('C19RM 2021-Lab &amp; Other HPS'!$A$443:$D$542=E39)*('C19RM 2021-Lab &amp; Other HPS'!$BH$443:$BH$542=BJ39)*('C19RM 2021-Lab &amp; Other HPS'!$BP$443:$BP$542)*(('C19RM 2021-Lab &amp; Other HPS'!$Z$443:$Z$542)))),(IF((INDEX(SETUP!$F$19:$F$503,(MATCH(1,(SETUP!$B$19:$B$503=B39)*(SETUP!$D$19:$D$503=D39),0))))="At delivery",IF((INDEX(SETUP!$G$19:$G$503,(MATCH(1,(SETUP!$B$19:$B$503=B39)*(SETUP!$D$19:$D$503=D39),0))))=4,(SUMPRODUCT(('C19RM 2021-Lab &amp; Other HPS'!$A$443:$D$542=E39)*('C19RM 2021-Lab &amp; Other HPS'!$BH$443:$BH$542=BJ39)*('C19RM 2021-Lab &amp; Other HPS'!$BO$443:$BO$542)*(('C19RM 2021-Lab &amp; Other HPS'!$S$443:$S$542)))),IF((INDEX(SETUP!$G$19:$G$503,(MATCH(1,(SETUP!$B$19:$B$503=B39)*(SETUP!$D$19:$D$503=D39),0))))=3,((SUMPRODUCT(('C19RM 2021-Lab &amp; Other HPS'!$A$443:$D$542=E39)*('C19RM 2021-Lab &amp; Other HPS'!$BH$443:$BH$542=BJ39)*('C19RM 2021-Lab &amp; Other HPS'!$BO$443:$BO$542)*(('C19RM 2021-Lab &amp; Other HPS'!$T$443:$T$542))))),IF((INDEX(SETUP!$G$19:$G$503,(MATCH(1,(SETUP!$B$19:$B$503=B39)*(SETUP!$D$19:$D$503=D39),0))))=2,(SUMPRODUCT(('C19RM 2021-Lab &amp; Other HPS'!$A$443:$D$542=E39)*('C19RM 2021-Lab &amp; Other HPS'!$BH$443:$BH$542=BJ39)*('C19RM 2021-Lab &amp; Other HPS'!$BP$443:$BP$542)*(('C19RM 2021-Lab &amp; Other HPS'!$X$443:$X$542)))),IF((INDEX(SETUP!$G$19:$G$503,(MATCH(1,(SETUP!$B$19:$B$503=B39)*(SETUP!$D$19:$D$503=D39),0))))=1,(SUMPRODUCT(('C19RM 2021-Lab &amp; Other HPS'!$A$443:$D$542=E39)*('C19RM 2021-Lab &amp; Other HPS'!$BH$443:$BH$542=BJ39)*('C19RM 2021-Lab &amp; Other HPS'!$BP$443:$BP$542)*(('C19RM 2021-Lab &amp; Other HPS'!$Y$443:$Y$542)))),0)))),0)))</f>
        <v>0</v>
      </c>
      <c r="Y39" s="359" cm="1">
        <f t="array" ref="Y39">IF((INDEX(SETUP!$F$19:$F$503,(MATCH(1,(SETUP!$B$19:$B$503=B39)*(SETUP!$D$19:$D$503=D39),0))))="Upfront",
(SUMPRODUCT(('C19RM 2021-Lab &amp; Other HPS'!$A$443:$D$542=E39)*('C19RM 2021-Lab &amp; Other HPS'!$BH$443:$BH$542=BJ39)*('C19RM 2021-Lab &amp; Other HPS'!$BP$443:$BP$542)*(('C19RM 2021-Lab &amp; Other HPS'!$AA$443:$AA$542)))),
(IF((INDEX(SETUP!$F$19:$F$503,(MATCH(1,(SETUP!$B$19:$B$503=B39)*(SETUP!$D$19:$D$503=D39),0))))="At delivery",
IF((INDEX(SETUP!$G$19:$G$503,(MATCH(1,(SETUP!$B$19:$B$503=B39)*(SETUP!$D$19:$D$503=D39),0))))=4,
((SUMPRODUCT(('C19RM 2021-Lab &amp; Other HPS'!$A$443:$D$542=E39)*('C19RM 2021-Lab &amp; Other HPS'!$BH$443:$BH$542=BJ39)*('C19RM 2021-Lab &amp; Other HPS'!$BO$443:$BO$542)*(('C19RM 2021-Lab &amp; Other HPS'!$T$443:$T$542))))),IF((INDEX(SETUP!$G$19:$G$503,(MATCH(1,(SETUP!$B$19:$B$503=B39)*(SETUP!$D$19:$D$503=D39),0))))=3,(SUMPRODUCT(('C19RM 2021-Lab &amp; Other HPS'!$A$443:$D$542=E39)*('C19RM 2021-Lab &amp; Other HPS'!$BH$443:$BH$542=BJ39)*('C19RM 2021-Lab &amp; Other HPS'!$BP$443:$BP$542)*(('C19RM 2021-Lab &amp; Other HPS'!$X$443:$X$542)))),IF((INDEX(SETUP!$G$19:$G$503,(MATCH(1,(SETUP!$B$19:$B$503=B39)*(SETUP!$D$19:$D$503=D39),0))))=2,(SUMPRODUCT(('C19RM 2021-Lab &amp; Other HPS'!$A$443:$D$542=E39)*('C19RM 2021-Lab &amp; Other HPS'!$BH$443:$BH$542=BJ39)*('C19RM 2021-Lab &amp; Other HPS'!$BP$443:$BP$542)*(('C19RM 2021-Lab &amp; Other HPS'!$Y$443:$Y$542)))),IF((INDEX(SETUP!$G$19:$G$503,(MATCH(1,(SETUP!$B$19:$B$503=B39)*(SETUP!$D$19:$D$503=D39),0))))=1,(SUMPRODUCT(('C19RM 2021-Lab &amp; Other HPS'!$A$443:$D$542=E39)*('C19RM 2021-Lab &amp; Other HPS'!$BH$443:$BH$542=BJ39)*('C19RM 2021-Lab &amp; Other HPS'!$BP$443:$BP$542)*(('C19RM 2021-Lab &amp; Other HPS'!$Z$443:$Z$542)))),0)))),0)))</f>
        <v>0</v>
      </c>
      <c r="Z39" s="359" cm="1">
        <f t="array" ref="Z39">IF((INDEX(SETUP!$F$19:$F$503,(MATCH(1,(SETUP!$B$19:$B$503=B39)*(SETUP!$D$19:$D$503=D39),0))))="Upfront",(SUMPRODUCT(('C19RM 2021-Lab &amp; Other HPS'!$A$443:$D$542=E39)*('C19RM 2021-Lab &amp; Other HPS'!$BH$443:$BH$542=BJ39)*('C19RM 2021-Lab &amp; Other HPS'!$BQ$443:$BQ$542)*(('C19RM 2021-Lab &amp; Other HPS'!$AE$443:$AE$542)))),(IF((INDEX(SETUP!$F$19:$F$503,(MATCH(1,(SETUP!$B$19:$B$503=B39)*(SETUP!$D$19:$D$503=D39),0))))="At delivery",IF((INDEX(SETUP!$G$19:$G$503,(MATCH(1,(SETUP!$B$19:$B$503=B39)*(SETUP!$D$19:$D$503=D39),0))))=4,(SUMPRODUCT(('C19RM 2021-Lab &amp; Other HPS'!$A$443:$D$542=E39)*('C19RM 2021-Lab &amp; Other HPS'!$BH$443:$BH$542=BJ39)*('C19RM 2021-Lab &amp; Other HPS'!$BP$443:$BP$542)*(('C19RM 2021-Lab &amp; Other HPS'!$X$443:$X$542)))),IF((INDEX(SETUP!$G$19:$G$503,(MATCH(1,(SETUP!$B$19:$B$503=B39)*(SETUP!$D$19:$D$503=D39),0))))=3,(SUMPRODUCT(('C19RM 2021-Lab &amp; Other HPS'!$A$443:$D$542=E39)*('C19RM 2021-Lab &amp; Other HPS'!$BH$443:$BH$542=BJ39)*('C19RM 2021-Lab &amp; Other HPS'!$BP$443:$BP$542)*(('C19RM 2021-Lab &amp; Other HPS'!$Y$443:$Y$542)))),IF((INDEX(SETUP!$G$19:$G$503,(MATCH(1,(SETUP!$B$19:$B$503=B39)*(SETUP!$D$19:$D$503=D39),0))))=2,(SUMPRODUCT(('C19RM 2021-Lab &amp; Other HPS'!$A$443:$D$542=E39)*('C19RM 2021-Lab &amp; Other HPS'!$BH$443:$BH$542=BJ39)*('C19RM 2021-Lab &amp; Other HPS'!$BP$443:$BP$542)*(('C19RM 2021-Lab &amp; Other HPS'!$Z$443:$Z$542)))),IF((INDEX(SETUP!$G$19:$G$503,(MATCH(1,(SETUP!$B$19:$B$503=B39)*(SETUP!$D$19:$D$503=D39),0))))=1,(SUMPRODUCT(('C19RM 2021-Lab &amp; Other HPS'!$A$443:$D$542=E39)*('C19RM 2021-Lab &amp; Other HPS'!$BH$443:$BH$542=BJ39)*('C19RM 2021-Lab &amp; Other HPS'!$BP$443:$BP$542)*(('C19RM 2021-Lab &amp; Other HPS'!$AA$443:$AA$542)))),0)))),0)))</f>
        <v>0</v>
      </c>
      <c r="AA39" s="359" cm="1">
        <f t="array" ref="AA39">IF((INDEX(SETUP!$F$19:$F$503,(MATCH(1,(SETUP!$B$19:$B$503=B39)*(SETUP!$D$19:$D$503=D39),0))))="Upfront",(SUMPRODUCT(('C19RM 2021-Lab &amp; Other HPS'!$A$443:$D$542=E39)*('C19RM 2021-Lab &amp; Other HPS'!$BH$443:$BH$542=BJ39)*('C19RM 2021-Lab &amp; Other HPS'!$BQ$443:$BQ$542)*(('C19RM 2021-Lab &amp; Other HPS'!$AF$443:$AF$542)))),(IF((INDEX(SETUP!$F$19:$F$503,(MATCH(1,(SETUP!$B$19:$B$503=B39)*(SETUP!$D$19:$D$503=D39),0))))="At delivery",IF((INDEX(SETUP!$G$19:$G$503,(MATCH(1,(SETUP!$B$19:$B$503=B39)*(SETUP!$D$19:$D$503=D39),0))))=4,(SUMPRODUCT(('C19RM 2021-Lab &amp; Other HPS'!$A$443:$D$542=E39)*('C19RM 2021-Lab &amp; Other HPS'!$BH$443:$BH$542=BJ39)*('C19RM 2021-Lab &amp; Other HPS'!$BP$443:$BP$542)*(('C19RM 2021-Lab &amp; Other HPS'!$Y$443:$Y$542)))),IF((INDEX(SETUP!$G$19:$G$503,(MATCH(1,(SETUP!$B$19:$B$503=B39)*(SETUP!$D$19:$D$503=D39),0))))=3,(SUMPRODUCT(('C19RM 2021-Lab &amp; Other HPS'!$A$443:$D$542=E39)*('C19RM 2021-Lab &amp; Other HPS'!$BH$443:$BH$542=BJ39)*('C19RM 2021-Lab &amp; Other HPS'!$BP$443:$BP$542)*(('C19RM 2021-Lab &amp; Other HPS'!$Z$443:$Z$542)))),IF((INDEX(SETUP!$G$19:$G$503,(MATCH(1,(SETUP!$B$19:$B$503=B39)*(SETUP!$D$19:$D$503=D39),0))))=2,((SUMPRODUCT(('C19RM 2021-Lab &amp; Other HPS'!$A$443:$D$542=E39)*('C19RM 2021-Lab &amp; Other HPS'!$BH$443:$BH$542=BJ39)*('C19RM 2021-Lab &amp; Other HPS'!$BP$443:$BP$542)*(('C19RM 2021-Lab &amp; Other HPS'!$AA$443:$AA$542))))),IF((INDEX(SETUP!$G$19:$G$503,(MATCH(1,(SETUP!$B$19:$B$503=B39)*(SETUP!$D$19:$D$503=D39),0))))=1,(SUMPRODUCT(('C19RM 2021-Lab &amp; Other HPS'!$A$443:$D$542=E39)*('C19RM 2021-Lab &amp; Other HPS'!$BH$443:$BH$542=BJ39)*('C19RM 2021-Lab &amp; Other HPS'!$BQ$443:$BQ$542)*(('C19RM 2021-Lab &amp; Other HPS'!$AE$443:$AE$542)))),0)))),0)))</f>
        <v>0</v>
      </c>
      <c r="AB39" s="359" cm="1">
        <f t="array" ref="AB39">IF((INDEX(SETUP!$F$19:$F$503,(MATCH(1,(SETUP!$B$19:$B$503=B39)*(SETUP!$D$19:$D$503=D39),0))))="Upfront",
(SUMPRODUCT(('C19RM 2021-Lab &amp; Other HPS'!$A$443:$D$542=E39)*('C19RM 2021-Lab &amp; Other HPS'!$BH$443:$BH$542=BJ39)*('C19RM 2021-Lab &amp; Other HPS'!$BQ$443:$BQ$542)*(('C19RM 2021-Lab &amp; Other HPS'!$AG$443:$AG$542)))),
(IF((INDEX(SETUP!$F$19:$F$503,(MATCH(1,(SETUP!$B$19:$B$503=B39)*(SETUP!$D$19:$D$503=D39),0))))="At delivery",
IF((INDEX(SETUP!$G$19:$G$503,(MATCH(1,(SETUP!$B$19:$B$503=B39)*(SETUP!$D$19:$D$503=D39),0))))=4,
(SUMPRODUCT(('C19RM 2021-Lab &amp; Other HPS'!$A$443:$D$542=E39)*('C19RM 2021-Lab &amp; Other HPS'!$BH$443:$BH$542=BJ39)*('C19RM 2021-Lab &amp; Other HPS'!$BP$443:$BP$542)*(('C19RM 2021-Lab &amp; Other HPS'!$Z$443:$Z$542)))),IF((INDEX(SETUP!$G$19:$G$503,(MATCH(1,(SETUP!$B$19:$B$503=B39)*(SETUP!$D$19:$D$503=D39),0))))=3,(SUMPRODUCT(('C19RM 2021-Lab &amp; Other HPS'!$A$443:$D$542=E39)*('C19RM 2021-Lab &amp; Other HPS'!$BH$443:$BH$542=BJ39)*('C19RM 2021-Lab &amp; Other HPS'!$BP$443:$BP$542)*(('C19RM 2021-Lab &amp; Other HPS'!$AA$443:$AA$542)))),IF((INDEX(SETUP!$G$19:$G$503,(MATCH(1,(SETUP!$B$19:$B$503=B39)*(SETUP!$D$19:$D$503=D39),0))))=2,(SUMPRODUCT(('C19RM 2021-Lab &amp; Other HPS'!$A$443:$D$542=E39)*('C19RM 2021-Lab &amp; Other HPS'!$BH$443:$BH$542=BJ39)*('C19RM 2021-Lab &amp; Other HPS'!$BQ$443:$BQ$542)*(('C19RM 2021-Lab &amp; Other HPS'!$AE$443:$AE$542)))),IF((INDEX(SETUP!$G$19:$G$503,(MATCH(1,(SETUP!$B$19:$B$503=B39)*(SETUP!$D$19:$D$503=D39),0))))=1,(SUMPRODUCT(('C19RM 2021-Lab &amp; Other HPS'!$A$443:$D$542=E39)*('C19RM 2021-Lab &amp; Other HPS'!$BH$443:$BH$542=BJ39)*('C19RM 2021-Lab &amp; Other HPS'!$BQ$443:$BQ$542)*(('C19RM 2021-Lab &amp; Other HPS'!$AF$443:$AF$542)))),0)))),0)))</f>
        <v>0</v>
      </c>
      <c r="AC39" s="359" cm="1">
        <f t="array" ref="AC39">IF((INDEX(SETUP!$F$19:$F$503,(MATCH(1,(SETUP!$B$19:$B$503=B39)*(SETUP!$D$19:$D$503=D39),0))))="Upfront",
(SUMPRODUCT(('C19RM 2021-Lab &amp; Other HPS'!$A$443:$D$542=E39)*('C19RM 2021-Lab &amp; Other HPS'!$BH$443:$BH$542=BJ39)*('C19RM 2021-Lab &amp; Other HPS'!$BQ$443:$BQ$542)*(('C19RM 2021-Lab &amp; Other HPS'!$AH$443:$AH$542)))),
(IF((INDEX(SETUP!$F$19:$F$503,(MATCH(1,(SETUP!$B$19:$B$503=B39)*(SETUP!$D$19:$D$503=D39),0))))="At delivery",
IF((INDEX(SETUP!$G$19:$G$503,(MATCH(1,(SETUP!$B$19:$B$503=B39)*(SETUP!$D$19:$D$503=D39),0))))=4,
(SUMPRODUCT(('C19RM 2021-Lab &amp; Other HPS'!$A$443:$D$542=E39)*('C19RM 2021-Lab &amp; Other HPS'!$BH$443:$BH$542=BJ39)*('C19RM 2021-Lab &amp; Other HPS'!$BP$443:$BP$542)*(('C19RM 2021-Lab &amp; Other HPS'!$AA$443:$AA$542)))),IF((INDEX(SETUP!$G$19:$G$503,(MATCH(1,(SETUP!$B$19:$B$503=B39)*(SETUP!$D$19:$D$503=D39),0))))=3,(SUMPRODUCT(('C19RM 2021-Lab &amp; Other HPS'!$A$443:$D$542=E39)*('C19RM 2021-Lab &amp; Other HPS'!$BH$443:$BH$542=BJ39)*('C19RM 2021-Lab &amp; Other HPS'!$BQ$443:$BQ$542)*(('C19RM 2021-Lab &amp; Other HPS'!$AE$443:$AE$542)))),IF((INDEX(SETUP!$G$19:$G$503,(MATCH(1,(SETUP!$B$19:$B$503=B39)*(SETUP!$D$19:$D$503=D39),0))))=2,(SUMPRODUCT(('C19RM 2021-Lab &amp; Other HPS'!$A$443:$D$542=E39)*('C19RM 2021-Lab &amp; Other HPS'!$BH$443:$BH$542=BJ39)*('C19RM 2021-Lab &amp; Other HPS'!$BQ$443:$BQ$542)*(('C19RM 2021-Lab &amp; Other HPS'!$AF$443:$AF$542)))),IF((INDEX(SETUP!$G$19:$G$503,(MATCH(1,(SETUP!$B$19:$B$503=B39)*(SETUP!$D$19:$D$503=D39),0))))=1,(SUMPRODUCT(('C19RM 2021-Lab &amp; Other HPS'!$A$443:$D$542=E39)*('C19RM 2021-Lab &amp; Other HPS'!$BH$443:$BH$542=BJ39)*('C19RM 2021-Lab &amp; Other HPS'!$BQ$443:$BQ$542)*(('C19RM 2021-Lab &amp; Other HPS'!$AG$443:$AG$542)))),0)))),0)))</f>
        <v>0</v>
      </c>
      <c r="AD39" s="359" cm="1">
        <f t="array" ref="AD39">IF((INDEX(SETUP!$F$19:$F$503,(MATCH(1,(SETUP!$B$19:$B$503=B39)*(SETUP!$D$19:$D$503=D39),0))))="Upfront",
(SUMPRODUCT(('C19RM 2021-Lab &amp; Other HPS'!$A$443:$D$542=E39)*('C19RM 2021-Lab &amp; Other HPS'!$BH$443:$BH$542=BJ39)*('C19RM 2021-Lab &amp; Other HPS'!$BR$443:$BR$542)*(('C19RM 2021-Lab &amp; Other HPS'!$AL$443:$AL$542)))),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HPS'!$AE$443:$AE$542)))),IF((INDEX(SETUP!$G$19:$G$503,(MATCH(1,(SETUP!$B$19:$B$503=B39)*(SETUP!$D$19:$D$503=D39),0))))=3,((SUMPRODUCT(('C19RM 2021-Lab &amp; Other HPS'!$A$443:$D$542=E39)*('C19RM 2021-Lab &amp; Other HPS'!$BH$443:$BH$542=BJ39)*('C19RM 2021-Lab &amp; Other HPS'!$BQ$443:$BQ$542)*(('C19RM 2021-Lab &amp; Other HPS'!$AF$443:$AF$542))))),IF((INDEX(SETUP!$G$19:$G$503,(MATCH(1,(SETUP!$B$19:$B$503=B39)*(SETUP!$D$19:$D$503=D39),0))))=2,(SUMPRODUCT(('C19RM 2021-Lab &amp; Other HPS'!$A$443:$D$542=E39)*('C19RM 2021-Lab &amp; Other HPS'!$BH$443:$BH$542=BJ39)*('C19RM 2021-Lab &amp; Other HPS'!$BQ$443:$BQ$542)*(('C19RM 2021-Lab &amp; Other HPS'!$AG$443:$AG$542)))),IF((INDEX(SETUP!$G$19:$G$503,(MATCH(1,(SETUP!$B$19:$B$503=B39)*(SETUP!$D$19:$D$503=D39),0))))=1,(SUMPRODUCT(('C19RM 2021-Lab &amp; Other HPS'!$A$443:$D$542=E39)*('C19RM 2021-Lab &amp; Other HPS'!$BH$443:$BH$542=BJ39)*('C19RM 2021-Lab &amp; Other HPS'!$BQ$443:$BQ$542)*(('C19RM 2021-Lab &amp; Other HPS'!$AH$443:$AH$542)))),0)))),0)))</f>
        <v>0</v>
      </c>
      <c r="AE39" s="359" cm="1">
        <f t="array" ref="AE39">IF((INDEX(SETUP!$F$19:$F$503,(MATCH(1,(SETUP!$B$19:$B$503=B39)*(SETUP!$D$19:$D$503=D39),0))))="Upfront",
(SUMPRODUCT(('C19RM 2021-Lab &amp; Other HPS'!$A$443:$D$542=E39)*('C19RM 2021-Lab &amp; Other HPS'!$BH$443:$BH$542=BJ39)*('C19RM 2021-Lab &amp; Other HPS'!$BR$443:$BR$542)*(('C19RM 2021-Lab &amp; Other HPS'!$AM$443:$AM$542)))),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HPS'!$AF$443:$AF$542)))),IF((INDEX(SETUP!$G$19:$G$503,(MATCH(1,(SETUP!$B$19:$B$503=B39)*(SETUP!$D$19:$D$503=D39),0))))=3,(SUMPRODUCT(('C19RM 2021-Lab &amp; Other HPS'!$A$443:$D$542=E39)*('C19RM 2021-Lab &amp; Other HPS'!$BH$443:$BH$542=BJ39)*('C19RM 2021-Lab &amp; Other HPS'!$BQ$443:$BQ$542)*(('C19RM 2021-Lab &amp; Other HPS'!$AG$443:$AG$542)))),IF((INDEX(SETUP!$G$19:$G$503,(MATCH(1,(SETUP!$B$19:$B$503=B39)*(SETUP!$D$19:$D$503=D39),0))))=2,(SUMPRODUCT(('C19RM 2021-Lab &amp; Other HPS'!$A$443:$D$542=E39)*('C19RM 2021-Lab &amp; Other HPS'!$BH$443:$BH$542=BJ39)*('C19RM 2021-Lab &amp; Other HPS'!$BQ$443:$BQ$542)*(('C19RM 2021-Lab &amp; Other HPS'!$AH$443:$AH$542)))),IF((INDEX(SETUP!$G$19:$G$503,(MATCH(1,(SETUP!$B$19:$B$503=B39)*(SETUP!$D$19:$D$503=D39),0))))=1,(SUMPRODUCT(('C19RM 2021-Lab &amp; Other HPS'!$A$443:$D$542=E39)*('C19RM 2021-Lab &amp; Other HPS'!$BH$443:$BH$542=BJ39)*('C19RM 2021-Lab &amp; Other HPS'!$BR$443:$BR$542)*(('C19RM 2021-Lab &amp; Other HPS'!$AL$443:$AL$542)))),0)))),0)))</f>
        <v>0</v>
      </c>
      <c r="AF39" s="359" cm="1">
        <f t="array" ref="AF39">IF((INDEX(SETUP!$F$19:$F$503,(MATCH(1,(SETUP!$B$19:$B$503=B39)*(SETUP!$D$19:$D$503=D39),0))))="Upfront",
(SUMPRODUCT(('C19RM 2021-Lab &amp; Other HPS'!$A$443:$D$542=E39)*('C19RM 2021-Lab &amp; Other HPS'!$BH$443:$BH$542=BJ39)*('C19RM 2021-Lab &amp; Other HPS'!$BR$443:$BR$542)*(('C19RM 2021-Lab &amp; Other HPS'!$AN$443:$AN$542)))),
(IF((INDEX(SETUP!$F$19:$F$503,(MATCH(1,(SETUP!$B$19:$B$503=B39)*(SETUP!$D$19:$D$503=D39),0))))="At delivery",
IF((INDEX(SETUP!$G$19:$G$503,(MATCH(1,(SETUP!$B$19:$B$503=B39)*(SETUP!$D$19:$D$503=D39),0))))=4,
(SUMPRODUCT(('C19RM 2021-Lab &amp; Other HPS'!$A$443:$D$542=E39)*('C19RM 2021-Lab &amp; Other HPS'!$BH$443:$BH$542=BJ39)*('C19RM 2021-Lab &amp; Other HPS'!$BQ$443:$BQ$542)*(('C19RM 2021-Lab &amp; Other HPS'!$AG$443:$AG$542)))),IF((INDEX(SETUP!$G$19:$G$503,(MATCH(1,(SETUP!$B$19:$B$503=B39)*(SETUP!$D$19:$D$503=D39),0))))=3,(SUMPRODUCT(('C19RM 2021-Lab &amp; Other HPS'!$A$443:$D$542=E39)*('C19RM 2021-Lab &amp; Other HPS'!$BH$443:$BH$542=BJ39)*('C19RM 2021-Lab &amp; Other HPS'!$BQ$443:$BQ$542)*(('C19RM 2021-Lab &amp; Other HPS'!$AH$443:$AH$542)))),IF((INDEX(SETUP!$G$19:$G$503,(MATCH(1,(SETUP!$B$19:$B$503=B39)*(SETUP!$D$19:$D$503=D39),0))))=2,(SUMPRODUCT(('C19RM 2021-Lab &amp; Other HPS'!$A$443:$D$542=E39)*('C19RM 2021-Lab &amp; Other HPS'!$BH$443:$BH$542=BJ39)*('C19RM 2021-Lab &amp; Other HPS'!$BR$443:$BR$542)*(('C19RM 2021-Lab &amp; Other HPS'!$AL$443:$AL$542)))),IF((INDEX(SETUP!$G$19:$G$503,(MATCH(1,(SETUP!$B$19:$B$503=B39)*(SETUP!$D$19:$D$503=D39),0))))=1,(SUMPRODUCT(('C19RM 2021-Lab &amp; Other HPS'!$A$443:$D$542=E39)*('C19RM 2021-Lab &amp; Other HPS'!$BH$443:$BH$542=BJ39)*('C19RM 2021-Lab &amp; Other HPS'!$BR$443:$BR$542)*(('C19RM 2021-Lab &amp; Other HPS'!$AM$443:$AM$542)))),0)))),0)))</f>
        <v>0</v>
      </c>
      <c r="AG39" s="359" cm="1">
        <f t="array" ref="AG39">IF((INDEX(SETUP!$F$19:$F$503,(MATCH(1,(SETUP!$B$19:$B$503=B39)*(SETUP!$D$19:$D$503=D39),0))))="Upfront",(SUMPRODUCT(('C19RM 2021-Lab &amp; Other HPS'!$A$443:$D$542=E39)*('C19RM 2021-Lab &amp; Other HPS'!$BH$443:$BH$542=BJ39)*('C19RM 2021-Lab &amp; Other HPS'!$BR$443:$BR$542)*(('C19RM 2021-Lab &amp; Other HPS'!$AO$443:$AO$542)))),(IF((INDEX(SETUP!$F$19:$F$503,(MATCH(1,(SETUP!$B$19:$B$503=B39)*(SETUP!$D$19:$D$503=D39),0))))="At delivery",IF((INDEX(SETUP!$G$19:$G$503,(MATCH(1,(SETUP!$B$19:$B$503=B39)*(SETUP!$D$19:$D$503=D39),0))))=4,(SUMPRODUCT(('C19RM 2021-Lab &amp; Other HPS'!$A$443:$D$542=E39)*('C19RM 2021-Lab &amp; Other HPS'!$BH$443:$BH$542=BJ39)*('C19RM 2021-Lab &amp; Other HPS'!$BQ$443:$BQ$542)*(('C19RM 2021-Lab &amp; Other HPS'!$AH$443:$AH$542)))),IF((INDEX(SETUP!$G$19:$G$503,(MATCH(1,(SETUP!$B$19:$B$503=B39)*(SETUP!$D$19:$D$503=D39),0))))=3,(SUMPRODUCT(('C19RM 2021-Lab &amp; Other HPS'!$A$443:$D$542=E39)*('C19RM 2021-Lab &amp; Other HPS'!$BH$443:$BH$542=BJ39)*('C19RM 2021-Lab &amp; Other HPS'!$BR$443:$BR$542)*(('C19RM 2021-Lab &amp; Other HPS'!$AL$443:$AL$542)))),IF((INDEX(SETUP!$G$19:$G$503,(MATCH(1,(SETUP!$B$19:$B$503=B39)*(SETUP!$D$19:$D$503=D39),0))))=2,(SUMPRODUCT(('C19RM 2021-Lab &amp; Other HPS'!$A$443:$D$542=E39)*('C19RM 2021-Lab &amp; Other HPS'!$BH$443:$BH$542=BJ39)*('C19RM 2021-Lab &amp; Other HPS'!$BR$443:$BR$542)*(('C19RM 2021-Lab &amp; Other HPS'!$AM$443:$AM$542)))),IF((INDEX(SETUP!$G$19:$G$503,(MATCH(1,(SETUP!$B$19:$B$503=B39)*(SETUP!$D$19:$D$503=D39),0))))=1,(SUMPRODUCT(('C19RM 2021-Lab &amp; Other HPS'!$A$443:$D$542=E39)*('C19RM 2021-Lab &amp; Other HPS'!$BH$443:$BH$542=BJ39)*('C19RM 2021-Lab &amp; Other HPS'!$BR$443:$BR$542)*(('C19RM 2021-Lab &amp; Other HPS'!$AN$443:$AN$542)))),0)))),0)))</f>
        <v>0</v>
      </c>
      <c r="AH39" s="359" cm="1">
        <f t="array" ref="AH39">IF((INDEX(SETUP!$F$19:$F$503,(MATCH(1,(SETUP!$B$19:$B$503=B39)*(SETUP!$D$19:$D$503=D39),0))))="Upfront",
(SUMPRODUCT(('C19RM 2021-Lab &amp; Other HPS'!$A$443:$D$542=E39)*('C19RM 2021-Lab &amp; Other HPS'!$BH$443:$BH$542=BJ39)*('C19RM 2021-Lab &amp; Other HPS'!$BS$443:$BS$542)*(('C19RM 2021-Lab &amp; Other HPS'!$AS$443:$AS$542)))),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HPS'!$AL$443:$AL$542)))),IF((INDEX(SETUP!$G$19:$G$503,(MATCH(1,(SETUP!$B$19:$B$503=B39)*(SETUP!$D$19:$D$503=D39),0))))=3,((SUMPRODUCT(('C19RM 2021-Lab &amp; Other HPS'!$A$443:$D$542=E39)*('C19RM 2021-Lab &amp; Other HPS'!$BH$443:$BH$542=BJ39)*('C19RM 2021-Lab &amp; Other HPS'!$BR$443:$BR$542)*(('C19RM 2021-Lab &amp; Other HPS'!$AM$443:$AM$542))))),IF((INDEX(SETUP!$G$19:$G$503,(MATCH(1,(SETUP!$B$19:$B$503=B39)*(SETUP!$D$19:$D$503=D39),0))))=2,(SUMPRODUCT(('C19RM 2021-Lab &amp; Other HPS'!$A$443:$D$542=E39)*('C19RM 2021-Lab &amp; Other HPS'!$BH$443:$BH$542=BJ39)*('C19RM 2021-Lab &amp; Other HPS'!$BR$443:$BR$542)*(('C19RM 2021-Lab &amp; Other HPS'!$AN$443:$AN$542)))),IF((INDEX(SETUP!$G$19:$G$503,(MATCH(1,(SETUP!$B$19:$B$503=B39)*(SETUP!$D$19:$D$503=D39),0))))=1,(SUMPRODUCT(('C19RM 2021-Lab &amp; Other HPS'!$A$443:$D$542=E39)*('C19RM 2021-Lab &amp; Other HPS'!$BH$443:$BH$542=BJ39)*('C19RM 2021-Lab &amp; Other HPS'!$BR$443:$BR$542)*(('C19RM 2021-Lab &amp; Other HPS'!$AO$443:$AO$542)))),0)))),0)))</f>
        <v>0</v>
      </c>
      <c r="AI39" s="359" cm="1">
        <f t="array" ref="AI39">IF((INDEX(SETUP!$F$19:$F$503,(MATCH(1,(SETUP!$B$19:$B$503=B39)*(SETUP!$D$19:$D$503=D39),0))))="Upfront",
(SUMPRODUCT(('C19RM 2021-Lab &amp; Other HPS'!$A$443:$D$542=E39)*('C19RM 2021-Lab &amp; Other HPS'!$BH$443:$BH$542=BJ39)*('C19RM 2021-Lab &amp; Other HPS'!$BS$443:$BS$542)*(('C19RM 2021-Lab &amp; Other HPS'!$AT$443:$AT$542)))),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HPS'!$AM$443:$AM$542)))),IF((INDEX(SETUP!$G$19:$G$503,(MATCH(1,(SETUP!$B$19:$B$503=B39)*(SETUP!$D$19:$D$503=D39),0))))=3,((SUMPRODUCT(('C19RM 2021-Lab &amp; Other HPS'!$A$443:$D$542=E39)*('C19RM 2021-Lab &amp; Other HPS'!$BH$443:$BH$542=BJ39)*('C19RM 2021-Lab &amp; Other HPS'!$BR$443:$BR$542)*(('C19RM 2021-Lab &amp; Other HPS'!$AN$443:$AN$542))))),IF((INDEX(SETUP!$G$19:$G$503,(MATCH(1,(SETUP!$B$19:$B$503=B39)*(SETUP!$D$19:$D$503=D39),0))))=2,(SUMPRODUCT(('C19RM 2021-Lab &amp; Other HPS'!$A$443:$D$542=E39)*('C19RM 2021-Lab &amp; Other HPS'!$BH$443:$BH$542=BJ39)*('C19RM 2021-Lab &amp; Other HPS'!$BR$443:$BR$542)*(('C19RM 2021-Lab &amp; Other HPS'!$AO$443:$AO$542)))),IF((INDEX(SETUP!$G$19:$G$503,(MATCH(1,(SETUP!$B$19:$B$503=B39)*(SETUP!$D$19:$D$503=D39),0))))=1,(SUMPRODUCT(('C19RM 2021-Lab &amp; Other HPS'!$A$443:$D$542=E39)*('C19RM 2021-Lab &amp; Other HPS'!$BH$443:$BH$542=BJ39)*('C19RM 2021-Lab &amp; Other HPS'!$BS$443:$BS$542)*(('C19RM 2021-Lab &amp; Other HPS'!$AS$443:$AS$542)))),0)))),0)))</f>
        <v>0</v>
      </c>
      <c r="AJ39" s="359" cm="1">
        <f t="array" ref="AJ39">IF((INDEX(SETUP!$F$19:$F$503,(MATCH(1,(SETUP!$B$19:$B$503=B39)*(SETUP!$D$19:$D$503=D39),0))))="Upfront",
(SUMPRODUCT(('C19RM 2021-Lab &amp; Other HPS'!$A$443:$D$542=E39)*('C19RM 2021-Lab &amp; Other HPS'!$BH$443:$BH$542=BJ39)*('C19RM 2021-Lab &amp; Other HPS'!$BS$443:$BS$542)*(('C19RM 2021-Lab &amp; Other HPS'!$AU$443:$AU$542)))),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HPS'!$AN$443:$AN$542)))),IF((INDEX(SETUP!$G$19:$G$503,(MATCH(1,(SETUP!$B$19:$B$503=B39)*(SETUP!$D$19:$D$503=D39),0))))=3,((SUMPRODUCT(('C19RM 2021-Lab &amp; Other HPS'!$A$443:$D$542=E39)*('C19RM 2021-Lab &amp; Other HPS'!$BH$443:$BH$542=BJ39)*('C19RM 2021-Lab &amp; Other HPS'!$BR$443:$BR$542)*(('C19RM 2021-Lab &amp; Other HPS'!$AO$443:$AO$542))))),IF((INDEX(SETUP!$G$19:$G$503,(MATCH(1,(SETUP!$B$19:$B$503=B39)*(SETUP!$D$19:$D$503=D39),0))))=2,(SUMPRODUCT(('C19RM 2021-Lab &amp; Other HPS'!$A$443:$D$542=E39)*('C19RM 2021-Lab &amp; Other HPS'!$BH$443:$BH$542=BJ39)*('C19RM 2021-Lab &amp; Other HPS'!$BS$443:$BS$542)*(('C19RM 2021-Lab &amp; Other HPS'!$AS$443:$AS$542)))),IF((INDEX(SETUP!$G$19:$G$503,(MATCH(1,(SETUP!$B$19:$B$503=B39)*(SETUP!$D$19:$D$503=D39),0))))=1,(SUMPRODUCT(('C19RM 2021-Lab &amp; Other HPS'!$A$443:$D$542=E39)*('C19RM 2021-Lab &amp; Other HPS'!$BH$443:$BH$542=BJ39)*('C19RM 2021-Lab &amp; Other HPS'!$BS$443:$BS$542)*(('C19RM 2021-Lab &amp; Other HPS'!$AT$443:$AT$542)))),0)))),0)))</f>
        <v>0</v>
      </c>
      <c r="AK39" s="359" cm="1">
        <f t="array" ref="AK39">IF((INDEX(SETUP!$F$19:$F$503,(MATCH(1,(SETUP!$B$19:$B$503=B39)*(SETUP!$D$19:$D$503=D39),0))))="Upfront",
(SUMPRODUCT(('C19RM 2021-Lab &amp; Other HPS'!$A$443:$D$542=E39)*('C19RM 2021-Lab &amp; Other HPS'!$BH$443:$BH$542=BJ39)*('C19RM 2021-Lab &amp; Other HPS'!$BS$443:$BS$542)*(('C19RM 2021-Lab &amp; Other HPS'!$AV$443:$AV$542)))),
(IF((INDEX(SETUP!$F$19:$F$503,(MATCH(1,(SETUP!$B$19:$B$503=B39)*(SETUP!$D$19:$D$503=D39),0))))="At delivery",
IF((INDEX(SETUP!$G$19:$G$503,(MATCH(1,(SETUP!$B$19:$B$503=B39)*(SETUP!$D$19:$D$503=D39),0))))=4,
(SUMPRODUCT(('C19RM 2021-Lab &amp; Other HPS'!$A$443:$D$542=E39)*('C19RM 2021-Lab &amp; Other HPS'!$BH$443:$BH$542=BJ39)*('C19RM 2021-Lab &amp; Other HPS'!$BR$443:$BR$542)*(('C19RM 2021-Lab &amp; Other HPS'!$AO$443:$AO$542)))),IF((INDEX(SETUP!$G$19:$G$503,(MATCH(1,(SETUP!$B$19:$B$503=B39)*(SETUP!$D$19:$D$503=D39),0))))=3,((SUMPRODUCT(('C19RM 2021-Lab &amp; Other HPS'!$A$443:$D$542=E39)*('C19RM 2021-Lab &amp; Other HPS'!$BH$443:$BH$542=BJ39)*('C19RM 2021-Lab &amp; Other HPS'!$BS$443:$BS$542)*(('C19RM 2021-Lab &amp; Other HPS'!$AS$443:$AS$542))))),IF((INDEX(SETUP!$G$19:$G$503,(MATCH(1,(SETUP!$B$19:$B$503=B39)*(SETUP!$D$19:$D$503=D39),0))))=2,(SUMPRODUCT(('C19RM 2021-Lab &amp; Other HPS'!$A$443:$D$542=E39)*('C19RM 2021-Lab &amp; Other HPS'!$BH$443:$BH$542=BJ39)*('C19RM 2021-Lab &amp; Other HPS'!$BS$443:$BS$542)*(('C19RM 2021-Lab &amp; Other HPS'!$AT$443:$AT$542)))),IF((INDEX(SETUP!$G$19:$G$503,(MATCH(1,(SETUP!$B$19:$B$503=B39)*(SETUP!$D$19:$D$503=D39),0))))=1,(SUMPRODUCT(('C19RM 2021-Lab &amp; Other HPS'!$A$443:$D$542=E39)*('C19RM 2021-Lab &amp; Other HPS'!$BH$443:$BH$542=BJ39)*('C19RM 2021-Lab &amp; Other HPS'!$BS$443:$BS$542)*(('C19RM 2021-Lab &amp; Other HPS'!$AU$443:$AU$542)))),0)))),0)))</f>
        <v>0</v>
      </c>
      <c r="AL39" s="359" cm="1">
        <f t="array" ref="AL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HPS'!$AS$443:$AS$542)))),IF((INDEX(SETUP!$G$19:$G$503,(MATCH(1,(SETUP!$B$19:$B$503=B39)*(SETUP!$D$19:$D$503=D39),0))))=3,(SUMPRODUCT(('C19RM 2021-Lab &amp; Other HPS'!$A$443:$D$542=E39)*('C19RM 2021-Lab &amp; Other HPS'!$BH$443:$BH$542=BJ39)*('C19RM 2021-Lab &amp; Other HPS'!$BS$443:$BS$542)*(('C19RM 2021-Lab &amp; Other HPS'!$AT$443:$AT$542)))),IF((INDEX(SETUP!$G$19:$G$503,(MATCH(1,(SETUP!$B$19:$B$503=B39)*(SETUP!$D$19:$D$503=D39),0))))=2,(SUMPRODUCT(('C19RM 2021-Lab &amp; Other HPS'!$A$443:$D$542=E39)*('C19RM 2021-Lab &amp; Other HPS'!$BH$443:$BH$542=BJ39)*('C19RM 2021-Lab &amp; Other HPS'!$BS$443:$BS$542)*(('C19RM 2021-Lab &amp; Other HPS'!$AU$443:$AU$542)))),
IF((INDEX(SETUP!$G$19:$G$503,(MATCH(1,(SETUP!$B$19:$B$503=B39)*(SETUP!$D$19:$D$503=D39),0))))=1,
(SUMPRODUCT(('C19RM 2021-Lab &amp; Other HPS'!$A$443:$D$542=E39)*('C19RM 2021-Lab &amp; Other HPS'!$BH$443:$BH$542=BJ39)*('C19RM 2021-Lab &amp; Other HPS'!$BS$443:$BS$542)*(('C19RM 2021-Lab &amp; Other HPS'!$AV$443:$AV$542)))),0)))),0)))</f>
        <v>0</v>
      </c>
      <c r="AM39" s="359" cm="1">
        <f t="array" ref="AM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HPS'!$AT$443:$AT$542)))),IF((INDEX(SETUP!$G$19:$G$503,(MATCH(1,(SETUP!$B$19:$B$503=B39)*(SETUP!$D$19:$D$503=D39),0))))=3,(SUMPRODUCT(('C19RM 2021-Lab &amp; Other HPS'!$A$443:$D$542=E39)*('C19RM 2021-Lab &amp; Other HPS'!$BH$443:$BH$542=BJ39)*('C19RM 2021-Lab &amp; Other HPS'!$BS$443:$BS$542)*(('C19RM 2021-Lab &amp; Other HPS'!$AU$443:$AU$542)))),IF((INDEX(SETUP!$G$19:$G$503,(MATCH(1,(SETUP!$B$19:$B$503=B39)*(SETUP!$D$19:$D$503=D39),0))))=2,(SUMPRODUCT(('C19RM 2021-Lab &amp; Other HPS'!$A$443:$D$542=E39)*('C19RM 2021-Lab &amp; Other HPS'!$BH$443:$BH$542=BJ39)*('C19RM 2021-Lab &amp; Other HPS'!$BS$443:$BS$542)*(('C19RM 2021-Lab &amp; Other HPS'!$AV$443:$AV$542)))),IF((INDEX(SETUP!$G$19:$G$503,(MATCH(1,(SETUP!$B$19:$B$503=B39)*(SETUP!$D$19:$D$503=D39),0))))=1,(0),0)))),0)))</f>
        <v>0</v>
      </c>
      <c r="AN39" s="359" cm="1">
        <f t="array" ref="AN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HPS'!$AU$443:$AU$542)))),IF((INDEX(SETUP!$G$19:$G$503,(MATCH(1,(SETUP!$B$19:$B$503=B39)*(SETUP!$D$19:$D$503=D39),0))))=3,(SUMPRODUCT(('C19RM 2021-Lab &amp; Other HPS'!$A$443:$D$542=E39)*('C19RM 2021-Lab &amp; Other HPS'!$BH$443:$BH$542=BJ39)*('C19RM 2021-Lab &amp; Other HPS'!$BS$443:$BS$542)*(('C19RM 2021-Lab &amp; Other HPS'!$AV$443:$AV$542)))),IF((INDEX(SETUP!$G$19:$G$503,(MATCH(1,(SETUP!$B$19:$B$503=B39)*(SETUP!$D$19:$D$503=D39),0))))=2,(0),IF((INDEX(SETUP!$G$19:$G$503,(MATCH(1,(SETUP!$B$19:$B$503=B39)*(SETUP!$D$19:$D$503=D39),0))))=1,(0),0)))),0)))</f>
        <v>0</v>
      </c>
      <c r="AO39" s="359" cm="1">
        <f t="array" ref="AO39">IF((INDEX(SETUP!$F$19:$F$503,(MATCH(1,(SETUP!$B$19:$B$503=B39)*(SETUP!$D$19:$D$503=D39),0))))="Upfront",0,(IF((INDEX(SETUP!$F$19:$F$503,(MATCH(1,(SETUP!$B$19:$B$503=B39)*(SETUP!$D$19:$D$503=D39),0))))="At delivery",IF((INDEX(SETUP!$G$19:$G$503,(MATCH(1,(SETUP!$B$19:$B$503=B39)*(SETUP!$D$19:$D$503=D39),0))))=4,(SUMPRODUCT(('C19RM 2021-Lab &amp; Other HPS'!$A$443:$D$542=E39)*('C19RM 2021-Lab &amp; Other HPS'!$BH$443:$BH$542=BJ39)*('C19RM 2021-Lab &amp; Other HPS'!$BS$443:$BS$542)*(('C19RM 2021-Lab &amp; Other HPS'!$AV$443:$AV$542)))),IF((INDEX(SETUP!$G$19:$G$503,(MATCH(1,(SETUP!$B$19:$B$503=B39)*(SETUP!$D$19:$D$503=D39),0))))=3,(0),IF((INDEX(SETUP!$G$19:$G$503,(MATCH(1,(SETUP!$B$19:$B$503=B39)*(SETUP!$D$19:$D$503=D39),0))))=2,(0),IF((INDEX(SETUP!$G$19:$G$503,(MATCH(1,(SETUP!$B$19:$B$503=B39)*(SETUP!$D$19:$D$503=D39),0))))=1,(0),0)))),0)))</f>
        <v>0</v>
      </c>
      <c r="AP39" s="359"/>
      <c r="AQ39" s="359"/>
      <c r="AR39" s="359"/>
      <c r="AS39" s="359"/>
      <c r="AT39" s="359" cm="1">
        <f t="array" ref="AT39">IF(BG39&gt;=1,0,IFERROR(SUMPRODUCT(($R$2:$AO$2=$AT$4)*($E$5:$E$100=E39)*($BC$5:$BC$100=BC39)*($R$5:$AO$100)),0))</f>
        <v>0</v>
      </c>
      <c r="AU39" s="359" cm="1">
        <f t="array" ref="AU39">IF(BG39&gt;=1,0,IFERROR(SUMPRODUCT(($R$2:$AO$2=$AU$4)*($E$5:$E$100=E39)*($BC$5:$BC$100=BC39)*($R$5:$AO$100)),0))</f>
        <v>0</v>
      </c>
      <c r="AV39" s="359" cm="1">
        <f t="array" ref="AV39">IF(BG39&gt;=1,0,IFERROR(SUMPRODUCT(($R$2:$AO$2=$AV$4)*($E$5:$E$100=E39)*($BC$5:$BC$100=BC39)*($R$5:$AO$100)),0))</f>
        <v>0</v>
      </c>
      <c r="AW39" s="359" cm="1">
        <f t="array" ref="AW39">IF(BG39&gt;=1,0,IFERROR(SUMPRODUCT(($R$2:$AO$2=$AW$4)*($E$5:$E$100=E39)*($BC$5:$BC$100=BC39)*($R$5:$AO$100)),0))</f>
        <v>0</v>
      </c>
      <c r="AX39" s="359" cm="1">
        <f t="array" ref="AX39">IF(BG39&gt;=1,0,IFERROR(SUMPRODUCT(($R$2:$AO$2=$AX$4)*($E$5:$E$100=E39)*($BC$5:$BC$100=BC39)*($R$5:$AO$100)),0))</f>
        <v>0</v>
      </c>
      <c r="AY39" s="359">
        <f t="shared" si="5"/>
        <v>0</v>
      </c>
      <c r="AZ39" s="359"/>
      <c r="BA39" s="233">
        <f t="shared" si="6"/>
        <v>0</v>
      </c>
      <c r="BB39" s="220" t="s">
        <v>83</v>
      </c>
      <c r="BC39" t="s">
        <v>183</v>
      </c>
      <c r="BD39" cm="1">
        <f t="array" ref="BD39">(SUMPRODUCT(('C19RM 2021-Lab &amp; Other HPS'!$A$14:$D$650=E39)*('C19RM 2021-Lab &amp; Other HPS'!$BU$14:$BU$650)))</f>
        <v>0</v>
      </c>
      <c r="BE39" cm="1">
        <f t="array" ref="BE39">(SUMPRODUCT((SETUP!$D$20:$D$67=D39)*(SETUP!$R$20:$R$67)))</f>
        <v>0</v>
      </c>
      <c r="BF39" cm="1">
        <f t="array" ref="BF39">(SUMPRODUCT(('C19RM 2021-Lab &amp; Other HPS'!$A$14:$D$650=E39)*('C19RM 2021-Lab &amp; Other HPS'!$BV$14:$BV$650)))</f>
        <v>0</v>
      </c>
      <c r="BG39">
        <f t="shared" si="26"/>
        <v>0</v>
      </c>
      <c r="BJ39" s="235">
        <v>6.6</v>
      </c>
    </row>
    <row r="40" spans="1:62" x14ac:dyDescent="0.35">
      <c r="A40">
        <v>6</v>
      </c>
      <c r="B40" s="220" t="s">
        <v>2750</v>
      </c>
      <c r="C40" s="235" t="s">
        <v>3196</v>
      </c>
      <c r="D40" s="235" t="s">
        <v>31</v>
      </c>
      <c r="E40" s="220" t="s">
        <v>2765</v>
      </c>
      <c r="F40" s="220">
        <f>SETUP!$E$3</f>
        <v>0</v>
      </c>
      <c r="G40" s="220" t="str">
        <f ca="1">SETUP!$J$5</f>
        <v>NA</v>
      </c>
      <c r="H40" s="220" t="str">
        <f>SETUP!$E$9</f>
        <v>C19RM</v>
      </c>
      <c r="I40" s="232">
        <f t="shared" si="22"/>
        <v>44197</v>
      </c>
      <c r="J40" s="232">
        <f>SETUP!$L$14</f>
        <v>46022</v>
      </c>
      <c r="K40" s="220">
        <f>IFERROR(VLOOKUP(E40,'Master Data-C19RM'!$A$5:$B$35,2,0),0)</f>
        <v>0</v>
      </c>
      <c r="L40">
        <f t="shared" si="23"/>
        <v>0</v>
      </c>
      <c r="M40">
        <f>SETUP!$E$7</f>
        <v>0</v>
      </c>
      <c r="N40">
        <f>SETUP!$F$76</f>
        <v>6.1</v>
      </c>
      <c r="O40" t="str" cm="1">
        <f t="array" ref="O40">INDEX(SETUP!$E$19:$E$503,(MATCH(1,(SETUP!$B$19:$B$503=B40)*(SETUP!$D$19:$D$503=D40),0)))</f>
        <v>PR/SR</v>
      </c>
      <c r="P40" t="str" cm="1">
        <f t="array" ref="P40">INDEX(SETUP!$F$19:$F$503,(MATCH(1,(SETUP!$B$19:$B$503=B40)*(SETUP!$D$19:$D$503=D40),0)))</f>
        <v>At delivery</v>
      </c>
      <c r="Q40" cm="1">
        <f t="array" ref="Q40">INDEX(SETUP!$G$19:$G$503,(MATCH(1,(SETUP!$B$19:$B$503=B40)*(SETUP!$D$19:$D$503=D40),0)))</f>
        <v>1</v>
      </c>
      <c r="R40" s="359" cm="1">
        <f t="array" ref="R40">IF((INDEX(SETUP!$F$19:$F$503,(MATCH(1,(SETUP!$B$19:$B$503=B40)*(SETUP!$D$19:$D$503=D40),0))))="Upfront",(SUMPRODUCT(('C19RM 2021-Lab &amp; Other HPS'!$A$550:$D$649=E40)*('C19RM 2021-Lab &amp; Other HPS'!$BH$550:$BH$649=BJ40)*('C19RM 2021-Lab &amp; Other HPS'!$BO$550:$BO$649)*(('C19RM 2021-Lab &amp; Other HPS'!$Q$550:$Q$649)))),0)</f>
        <v>0</v>
      </c>
      <c r="S40" s="359" cm="1">
        <f t="array" ref="S40">IF((INDEX(SETUP!$F$19:$F$503,(MATCH(1,(SETUP!$B$19:$B$503=B40)*(SETUP!$D$19:$D$503=D40),0))))="Upfront",(SUMPRODUCT(('C19RM 2021-Lab &amp; Other HPS'!$A$550:$D$649=E40)*('C19RM 2021-Lab &amp; Other HPS'!$BH$550:$BH$649=BJ40)*('C19RM 2021-Lab &amp; Other HPS'!$BO$550:$BO$649)*(('C19RM 2021-Lab &amp; Other HPS'!$R$550:$R$649)))),(IF((INDEX(SETUP!$F$19:$F$503,(MATCH(1,(SETUP!$B$19:$B$503=B40)*(SETUP!$D$19:$D$503=D40),0))))="At delivery",IF((INDEX(SETUP!$G$19:$G$503,(MATCH(1,(SETUP!$B$19:$B$503=B40)*(SETUP!$D$19:$D$503=D40),0))))=1,(SUMPRODUCT(('C19RM 2021-Lab &amp; Other HPS'!$A$550:$D$649=E40)*('C19RM 2021-Lab &amp; Other HPS'!$BH$550:$BH$649=BJ40)*('C19RM 2021-Lab &amp; Other HPS'!$BO$550:$BO$649)*(('C19RM 2021-Lab &amp; Other HPS'!$Q$550:$Q$649)))),0),0)))</f>
        <v>0</v>
      </c>
      <c r="T40" s="359" cm="1">
        <f t="array" ref="T40">IF((INDEX(SETUP!$F$19:$F$503,(MATCH(1,(SETUP!$B$19:$B$503=B40)*(SETUP!$D$19:$D$503=D40),0))))="Upfront",(SUMPRODUCT(('C19RM 2021-Lab &amp; Other HPS'!$A$550:$D$649=E40)*('C19RM 2021-Lab &amp; Other HPS'!$BH$550:$BH$649=BJ40)*('C19RM 2021-Lab &amp; Other HPS'!$BO$550:$BO$649)*(('C19RM 2021-Lab &amp; Other HPS'!$S$550:$S$649)))),(IF((INDEX(SETUP!$F$19:$F$503,(MATCH(1,(SETUP!$B$19:$B$503=B40)*(SETUP!$D$19:$D$503=D40),0))))="At delivery",IF((INDEX(SETUP!$G$19:$G$503,(MATCH(1,(SETUP!$B$19:$B$503=B40)*(SETUP!$D$19:$D$503=D40),0))))=2,(SUMPRODUCT(('C19RM 2021-Lab &amp; Other HPS'!$A$550:$D$649=E40)*('C19RM 2021-Lab &amp; Other HPS'!$BH$550:$BH$649=BJ40)*('C19RM 2021-Lab &amp; Other HPS'!$BO$550:$BO$649)*(('C19RM 2021-Lab &amp; Other HPS'!$Q$550:$Q$649)))),IF((INDEX(SETUP!$G$19:$G$503,(MATCH(1,(SETUP!$B$19:$B$503=B40)*(SETUP!$D$19:$D$503=D40),0))))=1,(SUMPRODUCT(('C19RM 2021-Lab &amp; Other HPS'!$A$550:$D$649=E40)*('C19RM 2021-Lab &amp; Other HPS'!$BH$550:$BH$649=BJ40)*('C19RM 2021-Lab &amp; Other HPS'!$BO$550:$BO$649)*(('C19RM 2021-Lab &amp; Other HPS'!$R$550:$R$649)))),0)),0)))</f>
        <v>0</v>
      </c>
      <c r="U40" s="359" cm="1">
        <f t="array" ref="U40">IF((INDEX(SETUP!$F$19:$F$503,(MATCH(1,(SETUP!$B$19:$B$503=B40)*(SETUP!$D$19:$D$503=D40),0))))="Upfront",(SUMPRODUCT(('C19RM 2021-Lab &amp; Other HPS'!$A$550:$D$649=E40)*('C19RM 2021-Lab &amp; Other HPS'!$BH$550:$BH$649=BJ40)*('C19RM 2021-Lab &amp; Other HPS'!$BO$550:$BO$649)*(('C19RM 2021-Lab &amp; Other HPS'!$T$550:$T$649)))),(IF((INDEX(SETUP!$F$19:$F$503,(MATCH(1,(SETUP!$B$19:$B$503=B40)*(SETUP!$D$19:$D$503=D40),0))))="At delivery",IF((INDEX(SETUP!$G$19:$G$503,(MATCH(1,(SETUP!$B$19:$B$503=B40)*(SETUP!$D$19:$D$503=D40),0))))=3,(SUMPRODUCT(('C19RM 2021-Lab &amp; Other HPS'!$A$550:$D$649=E40)*('C19RM 2021-Lab &amp; Other HPS'!$BH$550:$BH$649=BJ40)*('C19RM 2021-Lab &amp; Other HPS'!$BO$550:$BO$649)*(('C19RM 2021-Lab &amp; Other HPS'!$Q$550:$Q$649)))),IF((INDEX(SETUP!$G$19:$G$503,(MATCH(1,(SETUP!$B$19:$B$503=B40)*(SETUP!$D$19:$D$503=D40),0))))=2,(SUMPRODUCT(('C19RM 2021-Lab &amp; Other HPS'!$A$550:$D$649=E40)*('C19RM 2021-Lab &amp; Other HPS'!$BH$550:$BH$649=BJ40)*('C19RM 2021-Lab &amp; Other HPS'!$BO$550:$BO$649)*(('C19RM 2021-Lab &amp; Other HPS'!$R$550:$R$649)))),IF((INDEX(SETUP!$G$19:$G$503,(MATCH(1,(SETUP!$B$19:$B$503=B40)*(SETUP!$D$19:$D$503=D40),0))))=1,(SUMPRODUCT(('C19RM 2021-Lab &amp; Other HPS'!$A$550:$D$649=E40)*('C19RM 2021-Lab &amp; Other HPS'!$BH$550:$BH$649=BJ40)*('C19RM 2021-Lab &amp; Other HPS'!$BO$550:$BO$649)*(('C19RM 2021-Lab &amp; Other HPS'!$S$550:$S$649)))),0))),0)))</f>
        <v>0</v>
      </c>
      <c r="V40" s="359" cm="1">
        <f t="array" ref="V40">IF((INDEX(SETUP!$F$19:$F$503,(MATCH(1,(SETUP!$B$19:$B$503=B40)*(SETUP!$D$19:$D$503=D40),0))))="Upfront",(SUMPRODUCT(('C19RM 2021-Lab &amp; Other HPS'!$A$550:$D$649=E40)*('C19RM 2021-Lab &amp; Other HPS'!$BH$550:$BH$649=BJ40)*('C19RM 2021-Lab &amp; Other HPS'!$BP$550:$BP$649)*(('C19RM 2021-Lab &amp; Other HPS'!$X$550:$X$649)))),(IF((INDEX(SETUP!$F$19:$F$503,(MATCH(1,(SETUP!$B$19:$B$503=B40)*(SETUP!$D$19:$D$503=D40),0))))="At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HPS'!$Q$550:$Q$649)))),IF((INDEX(SETUP!$G$19:$G$503,(MATCH(1,(SETUP!$B$19:$B$503=B40)*(SETUP!$D$19:$D$503=D40),0))))=3,(SUMPRODUCT(('C19RM 2021-Lab &amp; Other HPS'!$A$550:$D$649=E40)*('C19RM 2021-Lab &amp; Other HPS'!$BH$550:$BH$649=BJ40)*('C19RM 2021-Lab &amp; Other HPS'!$BO$550:$BO$649)*(('C19RM 2021-Lab &amp; Other HPS'!$R$550:$R$649)))),IF((INDEX(SETUP!$G$19:$G$503,(MATCH(1,(SETUP!$B$19:$B$503=B40)*(SETUP!$D$19:$D$503=D40),0))))=2,(SUMPRODUCT(('C19RM 2021-Lab &amp; Other HPS'!$A$550:$D$649=E40)*('C19RM 2021-Lab &amp; Other HPS'!$BH$550:$BH$649=BJ40)*('C19RM 2021-Lab &amp; Other HPS'!$BO$550:$BO$649)*(('C19RM 2021-Lab &amp; Other HPS'!$S$550:$S$649)))),IF((INDEX(SETUP!$G$19:$G$503,(MATCH(1,(SETUP!$B$19:$B$503=B40)*(SETUP!$D$19:$D$503=D40),0))))=1,(SUMPRODUCT(('C19RM 2021-Lab &amp; Other HPS'!$A$550:$D$649=E40)*('C19RM 2021-Lab &amp; Other HPS'!$BH$550:$BH$649=BJ40)*('C19RM 2021-Lab &amp; Other HPS'!$BO$550:$BO$649)*(('C19RM 2021-Lab &amp; Other HPS'!$T$550:$T$649)))),0)))),0)))</f>
        <v>0</v>
      </c>
      <c r="W40" s="359" cm="1">
        <f t="array" ref="W40">IF((INDEX(SETUP!$F$19:$F$503,(MATCH(1,(SETUP!$B$19:$B$503=B40)*(SETUP!$D$19:$D$503=D40),0))))="Upfront",(SUMPRODUCT(('C19RM 2021-Lab &amp; Other HPS'!$A$550:$D$649=E40)*('C19RM 2021-Lab &amp; Other HPS'!$BH$550:$BH$649=BJ40)*('C19RM 2021-Lab &amp; Other HPS'!$BP$550:$BP$649)*(('C19RM 2021-Lab &amp; Other HPS'!$Y$550:$Y$649)))),(IF((INDEX(SETUP!$F$19:$F$503,(MATCH(1,(SETUP!$B$19:$B$503=B40)*(SETUP!$D$19:$D$503=D40),0))))="At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HPS'!$R$550:$R$649)))),IF((INDEX(SETUP!$G$19:$G$503,(MATCH(1,(SETUP!$B$19:$B$503=B40)*(SETUP!$D$19:$D$503=D40),0))))=3,(SUMPRODUCT(('C19RM 2021-Lab &amp; Other HPS'!$A$550:$D$649=E40)*('C19RM 2021-Lab &amp; Other HPS'!$BH$550:$BH$649=BJ40)*('C19RM 2021-Lab &amp; Other HPS'!$BO$550:$BO$649)*(('C19RM 2021-Lab &amp; Other HPS'!$S$550:$S$649)))),IF((INDEX(SETUP!$G$19:$G$503,(MATCH(1,(SETUP!$B$19:$B$503=B40)*(SETUP!$D$19:$D$503=D40),0))))=2,((SUMPRODUCT(('C19RM 2021-Lab &amp; Other HPS'!$A$550:$D$649=E40)*('C19RM 2021-Lab &amp; Other HPS'!$BH$550:$BH$649=BJ40)*('C19RM 2021-Lab &amp; Other HPS'!$BO$550:$BO$649)*(('C19RM 2021-Lab &amp; Other HPS'!$T$550:$T$649))))),IF((INDEX(SETUP!$G$19:$G$503,(MATCH(1,(SETUP!$B$19:$B$503=B40)*(SETUP!$D$19:$D$503=D40),0))))=1,(SUMPRODUCT(('C19RM 2021-Lab &amp; Other HPS'!$A$550:$D$649=E40)*('C19RM 2021-Lab &amp; Other HPS'!$BH$550:$BH$649=BJ40)*('C19RM 2021-Lab &amp; Other HPS'!$BP$550:$BP$649)*(('C19RM 2021-Lab &amp; Other HPS'!$X$550:$X$649)))),0)))),0)))</f>
        <v>0</v>
      </c>
      <c r="X40" s="359" cm="1">
        <f t="array" ref="X40">IF((INDEX(SETUP!$F$19:$F$503,(MATCH(1,(SETUP!$B$19:$B$503=B40)*(SETUP!$D$19:$D$503=D40),0))))="Upfront",(SUMPRODUCT(('C19RM 2021-Lab &amp; Other HPS'!$A$550:$D$649=E40)*('C19RM 2021-Lab &amp; Other HPS'!$BH$550:$BH$649=BJ40)*('C19RM 2021-Lab &amp; Other HPS'!$BP$550:$BP$649)*(('C19RM 2021-Lab &amp; Other HPS'!$Z$550:$Z$649)))),(IF((INDEX(SETUP!$F$19:$F$503,(MATCH(1,(SETUP!$B$19:$B$503=B40)*(SETUP!$D$19:$D$503=D40),0))))="At delivery",IF((INDEX(SETUP!$G$19:$G$503,(MATCH(1,(SETUP!$B$19:$B$503=B40)*(SETUP!$D$19:$D$503=D40),0))))=4,(SUMPRODUCT(('C19RM 2021-Lab &amp; Other HPS'!$A$550:$D$649=E40)*('C19RM 2021-Lab &amp; Other HPS'!$BH$550:$BH$649=BJ40)*('C19RM 2021-Lab &amp; Other HPS'!$BO$550:$BO$649)*(('C19RM 2021-Lab &amp; Other HPS'!$S$550:$S$649)))),IF((INDEX(SETUP!$G$19:$G$503,(MATCH(1,(SETUP!$B$19:$B$503=B40)*(SETUP!$D$19:$D$503=D40),0))))=3,((SUMPRODUCT(('C19RM 2021-Lab &amp; Other HPS'!$A$550:$D$649=E40)*('C19RM 2021-Lab &amp; Other HPS'!$BH$550:$BH$649=BJ40)*('C19RM 2021-Lab &amp; Other HPS'!$BO$550:$BO$649)*(('C19RM 2021-Lab &amp; Other HPS'!$T$550:$T$649))))),IF((INDEX(SETUP!$G$19:$G$503,(MATCH(1,(SETUP!$B$19:$B$503=B40)*(SETUP!$D$19:$D$503=D40),0))))=2,(SUMPRODUCT(('C19RM 2021-Lab &amp; Other HPS'!$A$550:$D$649=E40)*('C19RM 2021-Lab &amp; Other HPS'!$BH$550:$BH$649=BJ40)*('C19RM 2021-Lab &amp; Other HPS'!$BP$550:$BP$649)*(('C19RM 2021-Lab &amp; Other HPS'!$X$550:$X$649)))),IF((INDEX(SETUP!$G$19:$G$503,(MATCH(1,(SETUP!$B$19:$B$503=B40)*(SETUP!$D$19:$D$503=D40),0))))=1,(SUMPRODUCT(('C19RM 2021-Lab &amp; Other HPS'!$A$550:$D$649=E40)*('C19RM 2021-Lab &amp; Other HPS'!$BH$550:$BH$649=BJ40)*('C19RM 2021-Lab &amp; Other HPS'!$BP$550:$BP$649)*(('C19RM 2021-Lab &amp; Other HPS'!$Y$550:$Y$649)))),0)))),0)))</f>
        <v>0</v>
      </c>
      <c r="Y40" s="359" cm="1">
        <f t="array" ref="Y40">IF((INDEX(SETUP!$F$19:$F$503,(MATCH(1,(SETUP!$B$19:$B$503=B40)*(SETUP!$D$19:$D$503=D40),0))))="Upfront",
(SUMPRODUCT(('C19RM 2021-Lab &amp; Other HPS'!$A$550:$D$649=E40)*('C19RM 2021-Lab &amp; Other HPS'!$BH$550:$BH$649=BJ40)*('C19RM 2021-Lab &amp; Other HPS'!$BP$550:$BP$649)*(('C19RM 2021-Lab &amp; Other HPS'!$AA$550:$AA$649)))),
(IF((INDEX(SETUP!$F$19:$F$503,(MATCH(1,(SETUP!$B$19:$B$503=B40)*(SETUP!$D$19:$D$503=D40),0))))="At delivery",
IF((INDEX(SETUP!$G$19:$G$503,(MATCH(1,(SETUP!$B$19:$B$503=B40)*(SETUP!$D$19:$D$503=D40),0))))=4,
((SUMPRODUCT(('C19RM 2021-Lab &amp; Other HPS'!$A$550:$D$649=E40)*('C19RM 2021-Lab &amp; Other HPS'!$BH$550:$BH$649=BJ40)*('C19RM 2021-Lab &amp; Other HPS'!$BO$550:$BO$649)*(('C19RM 2021-Lab &amp; Other HPS'!$T$550:$T$649))))),IF((INDEX(SETUP!$G$19:$G$503,(MATCH(1,(SETUP!$B$19:$B$503=B40)*(SETUP!$D$19:$D$503=D40),0))))=3,(SUMPRODUCT(('C19RM 2021-Lab &amp; Other HPS'!$A$550:$D$649=E40)*('C19RM 2021-Lab &amp; Other HPS'!$BH$550:$BH$649=BJ40)*('C19RM 2021-Lab &amp; Other HPS'!$BP$550:$BP$649)*(('C19RM 2021-Lab &amp; Other HPS'!$X$550:$X$649)))),IF((INDEX(SETUP!$G$19:$G$503,(MATCH(1,(SETUP!$B$19:$B$503=B40)*(SETUP!$D$19:$D$503=D40),0))))=2,(SUMPRODUCT(('C19RM 2021-Lab &amp; Other HPS'!$A$550:$D$649=E40)*('C19RM 2021-Lab &amp; Other HPS'!$BH$550:$BH$649=BJ40)*('C19RM 2021-Lab &amp; Other HPS'!$BP$550:$BP$649)*(('C19RM 2021-Lab &amp; Other HPS'!$Y$550:$Y$649)))),IF((INDEX(SETUP!$G$19:$G$503,(MATCH(1,(SETUP!$B$19:$B$503=B40)*(SETUP!$D$19:$D$503=D40),0))))=1,(SUMPRODUCT(('C19RM 2021-Lab &amp; Other HPS'!$A$550:$D$649=E40)*('C19RM 2021-Lab &amp; Other HPS'!$BH$550:$BH$649=BJ40)*('C19RM 2021-Lab &amp; Other HPS'!$BP$550:$BP$649)*(('C19RM 2021-Lab &amp; Other HPS'!$Z$550:$Z$649)))),0)))),0)))</f>
        <v>0</v>
      </c>
      <c r="Z40" s="359" cm="1">
        <f t="array" ref="Z40">IF((INDEX(SETUP!$F$19:$F$503,(MATCH(1,(SETUP!$B$19:$B$503=B40)*(SETUP!$D$19:$D$503=D40),0))))="Upfront",(SUMPRODUCT(('C19RM 2021-Lab &amp; Other HPS'!$A$550:$D$649=E40)*('C19RM 2021-Lab &amp; Other HPS'!$BH$550:$BH$649=BJ40)*('C19RM 2021-Lab &amp; Other HPS'!$BQ$550:$BQ$649)*(('C19RM 2021-Lab &amp; Other HPS'!$AE$550:$AE$649)))),(IF((INDEX(SETUP!$F$19:$F$503,(MATCH(1,(SETUP!$B$19:$B$503=B40)*(SETUP!$D$19:$D$503=D40),0))))="At delivery",IF((INDEX(SETUP!$G$19:$G$503,(MATCH(1,(SETUP!$B$19:$B$503=B40)*(SETUP!$D$19:$D$503=D40),0))))=4,(SUMPRODUCT(('C19RM 2021-Lab &amp; Other HPS'!$A$550:$D$649=E40)*('C19RM 2021-Lab &amp; Other HPS'!$BH$550:$BH$649=BJ40)*('C19RM 2021-Lab &amp; Other HPS'!$BP$550:$BP$649)*(('C19RM 2021-Lab &amp; Other HPS'!$X$550:$X$649)))),IF((INDEX(SETUP!$G$19:$G$503,(MATCH(1,(SETUP!$B$19:$B$503=B40)*(SETUP!$D$19:$D$503=D40),0))))=3,(SUMPRODUCT(('C19RM 2021-Lab &amp; Other HPS'!$A$550:$D$649=E40)*('C19RM 2021-Lab &amp; Other HPS'!$BH$550:$BH$649=BJ40)*('C19RM 2021-Lab &amp; Other HPS'!$BP$550:$BP$649)*(('C19RM 2021-Lab &amp; Other HPS'!$Y$550:$Y$649)))),IF((INDEX(SETUP!$G$19:$G$503,(MATCH(1,(SETUP!$B$19:$B$503=B40)*(SETUP!$D$19:$D$503=D40),0))))=2,(SUMPRODUCT(('C19RM 2021-Lab &amp; Other HPS'!$A$550:$D$649=E40)*('C19RM 2021-Lab &amp; Other HPS'!$BH$550:$BH$649=BJ40)*('C19RM 2021-Lab &amp; Other HPS'!$BP$550:$BP$649)*(('C19RM 2021-Lab &amp; Other HPS'!$Z$550:$Z$649)))),IF((INDEX(SETUP!$G$19:$G$503,(MATCH(1,(SETUP!$B$19:$B$503=B40)*(SETUP!$D$19:$D$503=D40),0))))=1,(SUMPRODUCT(('C19RM 2021-Lab &amp; Other HPS'!$A$550:$D$649=E40)*('C19RM 2021-Lab &amp; Other HPS'!$BH$550:$BH$649=BJ40)*('C19RM 2021-Lab &amp; Other HPS'!$BP$550:$BP$649)*(('C19RM 2021-Lab &amp; Other HPS'!$AA$550:$AA$649)))),0)))),0)))</f>
        <v>0</v>
      </c>
      <c r="AA40" s="359" cm="1">
        <f t="array" ref="AA40">IF((INDEX(SETUP!$F$19:$F$503,(MATCH(1,(SETUP!$B$19:$B$503=B40)*(SETUP!$D$19:$D$503=D40),0))))="Upfront",(SUMPRODUCT(('C19RM 2021-Lab &amp; Other HPS'!$A$550:$D$649=E40)*('C19RM 2021-Lab &amp; Other HPS'!$BH$550:$BH$649=BJ40)*('C19RM 2021-Lab &amp; Other HPS'!$BQ$550:$BQ$649)*(('C19RM 2021-Lab &amp; Other HPS'!$AF$550:$AF$649)))),(IF((INDEX(SETUP!$F$19:$F$503,(MATCH(1,(SETUP!$B$19:$B$503=B40)*(SETUP!$D$19:$D$503=D40),0))))="At delivery",IF((INDEX(SETUP!$G$19:$G$503,(MATCH(1,(SETUP!$B$19:$B$503=B40)*(SETUP!$D$19:$D$503=D40),0))))=4,(SUMPRODUCT(('C19RM 2021-Lab &amp; Other HPS'!$A$550:$D$649=E40)*('C19RM 2021-Lab &amp; Other HPS'!$BH$550:$BH$649=BJ40)*('C19RM 2021-Lab &amp; Other HPS'!$BP$550:$BP$649)*(('C19RM 2021-Lab &amp; Other HPS'!$Y$550:$Y$649)))),IF((INDEX(SETUP!$G$19:$G$503,(MATCH(1,(SETUP!$B$19:$B$503=B40)*(SETUP!$D$19:$D$503=D40),0))))=3,(SUMPRODUCT(('C19RM 2021-Lab &amp; Other HPS'!$A$550:$D$649=E40)*('C19RM 2021-Lab &amp; Other HPS'!$BH$550:$BH$649=BJ40)*('C19RM 2021-Lab &amp; Other HPS'!$BP$550:$BP$649)*(('C19RM 2021-Lab &amp; Other HPS'!$Z$550:$Z$649)))),IF((INDEX(SETUP!$G$19:$G$503,(MATCH(1,(SETUP!$B$19:$B$503=B40)*(SETUP!$D$19:$D$503=D40),0))))=2,((SUMPRODUCT(('C19RM 2021-Lab &amp; Other HPS'!$A$550:$D$649=E40)*('C19RM 2021-Lab &amp; Other HPS'!$BH$550:$BH$649=BJ40)*('C19RM 2021-Lab &amp; Other HPS'!$BP$550:$BP$649)*(('C19RM 2021-Lab &amp; Other HPS'!$AA$550:$AA$649))))),IF((INDEX(SETUP!$G$19:$G$503,(MATCH(1,(SETUP!$B$19:$B$503=B40)*(SETUP!$D$19:$D$503=D40),0))))=1,(SUMPRODUCT(('C19RM 2021-Lab &amp; Other HPS'!$A$550:$D$649=E40)*('C19RM 2021-Lab &amp; Other HPS'!$BH$550:$BH$649=BJ40)*('C19RM 2021-Lab &amp; Other HPS'!$BQ$550:$BQ$649)*(('C19RM 2021-Lab &amp; Other HPS'!$AE$550:$AE$649)))),0)))),0)))</f>
        <v>0</v>
      </c>
      <c r="AB40" s="359" cm="1">
        <f t="array" ref="AB40">IF((INDEX(SETUP!$F$19:$F$503,(MATCH(1,(SETUP!$B$19:$B$503=B40)*(SETUP!$D$19:$D$503=D40),0))))="Upfront",
(SUMPRODUCT(('C19RM 2021-Lab &amp; Other HPS'!$A$550:$D$649=E40)*('C19RM 2021-Lab &amp; Other HPS'!$BH$550:$BH$649=BJ40)*('C19RM 2021-Lab &amp; Other HPS'!$BQ$550:$BQ$649)*(('C19RM 2021-Lab &amp; Other HPS'!$AG$550:$AG$649)))),
(IF((INDEX(SETUP!$F$19:$F$503,(MATCH(1,(SETUP!$B$19:$B$503=B40)*(SETUP!$D$19:$D$503=D40),0))))="At delivery",
IF((INDEX(SETUP!$G$19:$G$503,(MATCH(1,(SETUP!$B$19:$B$503=B40)*(SETUP!$D$19:$D$503=D40),0))))=4,
(SUMPRODUCT(('C19RM 2021-Lab &amp; Other HPS'!$A$550:$D$649=E40)*('C19RM 2021-Lab &amp; Other HPS'!$BH$550:$BH$649=BJ40)*('C19RM 2021-Lab &amp; Other HPS'!$BP$550:$BP$649)*(('C19RM 2021-Lab &amp; Other HPS'!$Z$550:$Z$649)))),IF((INDEX(SETUP!$G$19:$G$503,(MATCH(1,(SETUP!$B$19:$B$503=B40)*(SETUP!$D$19:$D$503=D40),0))))=3,(SUMPRODUCT(('C19RM 2021-Lab &amp; Other HPS'!$A$550:$D$649=E40)*('C19RM 2021-Lab &amp; Other HPS'!$BH$550:$BH$649=BJ40)*('C19RM 2021-Lab &amp; Other HPS'!$BP$550:$BP$649)*(('C19RM 2021-Lab &amp; Other HPS'!$AA$550:$AA$649)))),IF((INDEX(SETUP!$G$19:$G$503,(MATCH(1,(SETUP!$B$19:$B$503=B40)*(SETUP!$D$19:$D$503=D40),0))))=2,(SUMPRODUCT(('C19RM 2021-Lab &amp; Other HPS'!$A$550:$D$649=E40)*('C19RM 2021-Lab &amp; Other HPS'!$BH$550:$BH$649=BJ40)*('C19RM 2021-Lab &amp; Other HPS'!$BQ$550:$BQ$649)*(('C19RM 2021-Lab &amp; Other HPS'!$AE$550:$AE$649)))),IF((INDEX(SETUP!$G$19:$G$503,(MATCH(1,(SETUP!$B$19:$B$503=B40)*(SETUP!$D$19:$D$503=D40),0))))=1,(SUMPRODUCT(('C19RM 2021-Lab &amp; Other HPS'!$A$550:$D$649=E40)*('C19RM 2021-Lab &amp; Other HPS'!$BH$550:$BH$649=BJ40)*('C19RM 2021-Lab &amp; Other HPS'!$BQ$550:$BQ$649)*(('C19RM 2021-Lab &amp; Other HPS'!$AF$550:$AF$649)))),0)))),0)))</f>
        <v>0</v>
      </c>
      <c r="AC40" s="359" cm="1">
        <f t="array" ref="AC40">IF((INDEX(SETUP!$F$19:$F$503,(MATCH(1,(SETUP!$B$19:$B$503=B40)*(SETUP!$D$19:$D$503=D40),0))))="Upfront",
(SUMPRODUCT(('C19RM 2021-Lab &amp; Other HPS'!$A$550:$D$649=E40)*('C19RM 2021-Lab &amp; Other HPS'!$BH$550:$BH$649=BJ40)*('C19RM 2021-Lab &amp; Other HPS'!$BQ$550:$BQ$649)*(('C19RM 2021-Lab &amp; Other HPS'!$AH$550:$AH$649)))),
(IF((INDEX(SETUP!$F$19:$F$503,(MATCH(1,(SETUP!$B$19:$B$503=B40)*(SETUP!$D$19:$D$503=D40),0))))="At delivery",
IF((INDEX(SETUP!$G$19:$G$503,(MATCH(1,(SETUP!$B$19:$B$503=B40)*(SETUP!$D$19:$D$503=D40),0))))=4,
(SUMPRODUCT(('C19RM 2021-Lab &amp; Other HPS'!$A$550:$D$649=E40)*('C19RM 2021-Lab &amp; Other HPS'!$BH$550:$BH$649=BJ40)*('C19RM 2021-Lab &amp; Other HPS'!$BP$550:$BP$649)*(('C19RM 2021-Lab &amp; Other HPS'!$AA$550:$AA$649)))),IF((INDEX(SETUP!$G$19:$G$503,(MATCH(1,(SETUP!$B$19:$B$503=B40)*(SETUP!$D$19:$D$503=D40),0))))=3,(SUMPRODUCT(('C19RM 2021-Lab &amp; Other HPS'!$A$550:$D$649=E40)*('C19RM 2021-Lab &amp; Other HPS'!$BH$550:$BH$649=BJ40)*('C19RM 2021-Lab &amp; Other HPS'!$BQ$550:$BQ$649)*(('C19RM 2021-Lab &amp; Other HPS'!$AE$550:$AE$649)))),IF((INDEX(SETUP!$G$19:$G$503,(MATCH(1,(SETUP!$B$19:$B$503=B40)*(SETUP!$D$19:$D$503=D40),0))))=2,(SUMPRODUCT(('C19RM 2021-Lab &amp; Other HPS'!$A$550:$D$649=E40)*('C19RM 2021-Lab &amp; Other HPS'!$BH$550:$BH$649=BJ40)*('C19RM 2021-Lab &amp; Other HPS'!$BQ$550:$BQ$649)*(('C19RM 2021-Lab &amp; Other HPS'!$AF$550:$AF$649)))),IF((INDEX(SETUP!$G$19:$G$503,(MATCH(1,(SETUP!$B$19:$B$503=B40)*(SETUP!$D$19:$D$503=D40),0))))=1,(SUMPRODUCT(('C19RM 2021-Lab &amp; Other HPS'!$A$550:$D$649=E40)*('C19RM 2021-Lab &amp; Other HPS'!$BH$550:$BH$649=BJ40)*('C19RM 2021-Lab &amp; Other HPS'!$BQ$550:$BQ$649)*(('C19RM 2021-Lab &amp; Other HPS'!$AG$550:$AG$649)))),0)))),0)))</f>
        <v>0</v>
      </c>
      <c r="AD40" s="359" cm="1">
        <f t="array" ref="AD40">IF((INDEX(SETUP!$F$19:$F$503,(MATCH(1,(SETUP!$B$19:$B$503=B40)*(SETUP!$D$19:$D$503=D40),0))))="Upfront",
(SUMPRODUCT(('C19RM 2021-Lab &amp; Other HPS'!$A$550:$D$649=E40)*('C19RM 2021-Lab &amp; Other HPS'!$BH$550:$BH$649=BJ40)*('C19RM 2021-Lab &amp; Other HPS'!$BR$550:$BR$649)*(('C19RM 2021-Lab &amp; Other HPS'!$AL$550:$AL$649)))),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HPS'!$AE$550:$AE$649)))),IF((INDEX(SETUP!$G$19:$G$503,(MATCH(1,(SETUP!$B$19:$B$503=B40)*(SETUP!$D$19:$D$503=D40),0))))=3,((SUMPRODUCT(('C19RM 2021-Lab &amp; Other HPS'!$A$550:$D$649=E40)*('C19RM 2021-Lab &amp; Other HPS'!$BH$550:$BH$649=BJ40)*('C19RM 2021-Lab &amp; Other HPS'!$BQ$550:$BQ$649)*(('C19RM 2021-Lab &amp; Other HPS'!$AF$550:$AF$649))))),IF((INDEX(SETUP!$G$19:$G$503,(MATCH(1,(SETUP!$B$19:$B$503=B40)*(SETUP!$D$19:$D$503=D40),0))))=2,(SUMPRODUCT(('C19RM 2021-Lab &amp; Other HPS'!$A$550:$D$649=E40)*('C19RM 2021-Lab &amp; Other HPS'!$BH$550:$BH$649=BJ40)*('C19RM 2021-Lab &amp; Other HPS'!$BQ$550:$BQ$649)*(('C19RM 2021-Lab &amp; Other HPS'!$AG$550:$AG$649)))),IF((INDEX(SETUP!$G$19:$G$503,(MATCH(1,(SETUP!$B$19:$B$503=B40)*(SETUP!$D$19:$D$503=D40),0))))=1,(SUMPRODUCT(('C19RM 2021-Lab &amp; Other HPS'!$A$550:$D$649=E40)*('C19RM 2021-Lab &amp; Other HPS'!$BH$550:$BH$649=BJ40)*('C19RM 2021-Lab &amp; Other HPS'!$BQ$550:$BQ$649)*(('C19RM 2021-Lab &amp; Other HPS'!$AH$550:$AH$649)))),0)))),0)))</f>
        <v>0</v>
      </c>
      <c r="AE40" s="359" cm="1">
        <f t="array" ref="AE40">IF((INDEX(SETUP!$F$19:$F$503,(MATCH(1,(SETUP!$B$19:$B$503=B40)*(SETUP!$D$19:$D$503=D40),0))))="Upfront",
(SUMPRODUCT(('C19RM 2021-Lab &amp; Other HPS'!$A$550:$D$649=E40)*('C19RM 2021-Lab &amp; Other HPS'!$BH$550:$BH$649=BJ40)*('C19RM 2021-Lab &amp; Other HPS'!$BR$550:$BR$649)*(('C19RM 2021-Lab &amp; Other HPS'!$AM$550:$AM$649)))),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HPS'!$AF$550:$AF$649)))),IF((INDEX(SETUP!$G$19:$G$503,(MATCH(1,(SETUP!$B$19:$B$503=B40)*(SETUP!$D$19:$D$503=D40),0))))=3,(SUMPRODUCT(('C19RM 2021-Lab &amp; Other HPS'!$A$550:$D$649=E40)*('C19RM 2021-Lab &amp; Other HPS'!$BH$550:$BH$649=BJ40)*('C19RM 2021-Lab &amp; Other HPS'!$BQ$550:$BQ$649)*(('C19RM 2021-Lab &amp; Other HPS'!$AG$550:$AG$649)))),IF((INDEX(SETUP!$G$19:$G$503,(MATCH(1,(SETUP!$B$19:$B$503=B40)*(SETUP!$D$19:$D$503=D40),0))))=2,(SUMPRODUCT(('C19RM 2021-Lab &amp; Other HPS'!$A$550:$D$649=E40)*('C19RM 2021-Lab &amp; Other HPS'!$BH$550:$BH$649=BJ40)*('C19RM 2021-Lab &amp; Other HPS'!$BQ$550:$BQ$649)*(('C19RM 2021-Lab &amp; Other HPS'!$AH$550:$AH$649)))),IF((INDEX(SETUP!$G$19:$G$503,(MATCH(1,(SETUP!$B$19:$B$503=B40)*(SETUP!$D$19:$D$503=D40),0))))=1,(SUMPRODUCT(('C19RM 2021-Lab &amp; Other HPS'!$A$550:$D$649=E40)*('C19RM 2021-Lab &amp; Other HPS'!$BH$550:$BH$649=BJ40)*('C19RM 2021-Lab &amp; Other HPS'!$BR$550:$BR$649)*(('C19RM 2021-Lab &amp; Other HPS'!$AL$550:$AL$649)))),0)))),0)))</f>
        <v>0</v>
      </c>
      <c r="AF40" s="359" cm="1">
        <f t="array" ref="AF40">IF((INDEX(SETUP!$F$19:$F$503,(MATCH(1,(SETUP!$B$19:$B$503=B40)*(SETUP!$D$19:$D$503=D40),0))))="Upfront",
(SUMPRODUCT(('C19RM 2021-Lab &amp; Other HPS'!$A$550:$D$649=E40)*('C19RM 2021-Lab &amp; Other HPS'!$BH$550:$BH$649=BJ40)*('C19RM 2021-Lab &amp; Other HPS'!$BR$550:$BR$649)*(('C19RM 2021-Lab &amp; Other HPS'!$AN$550:$AN$649)))),
(IF((INDEX(SETUP!$F$19:$F$503,(MATCH(1,(SETUP!$B$19:$B$503=B40)*(SETUP!$D$19:$D$503=D40),0))))="At delivery",
IF((INDEX(SETUP!$G$19:$G$503,(MATCH(1,(SETUP!$B$19:$B$503=B40)*(SETUP!$D$19:$D$503=D40),0))))=4,
(SUMPRODUCT(('C19RM 2021-Lab &amp; Other HPS'!$A$550:$D$649=E40)*('C19RM 2021-Lab &amp; Other HPS'!$BH$550:$BH$649=BJ40)*('C19RM 2021-Lab &amp; Other HPS'!$BQ$550:$BQ$649)*(('C19RM 2021-Lab &amp; Other HPS'!$AG$550:$AG$649)))),IF((INDEX(SETUP!$G$19:$G$503,(MATCH(1,(SETUP!$B$19:$B$503=B40)*(SETUP!$D$19:$D$503=D40),0))))=3,(SUMPRODUCT(('C19RM 2021-Lab &amp; Other HPS'!$A$550:$D$649=E40)*('C19RM 2021-Lab &amp; Other HPS'!$BH$550:$BH$649=BJ40)*('C19RM 2021-Lab &amp; Other HPS'!$BQ$550:$BQ$649)*(('C19RM 2021-Lab &amp; Other HPS'!$AH$550:$AH$649)))),IF((INDEX(SETUP!$G$19:$G$503,(MATCH(1,(SETUP!$B$19:$B$503=B40)*(SETUP!$D$19:$D$503=D40),0))))=2,(SUMPRODUCT(('C19RM 2021-Lab &amp; Other HPS'!$A$550:$D$649=E40)*('C19RM 2021-Lab &amp; Other HPS'!$BH$550:$BH$649=BJ40)*('C19RM 2021-Lab &amp; Other HPS'!$BR$550:$BR$649)*(('C19RM 2021-Lab &amp; Other HPS'!$AL$550:$AL$649)))),IF((INDEX(SETUP!$G$19:$G$503,(MATCH(1,(SETUP!$B$19:$B$503=B40)*(SETUP!$D$19:$D$503=D40),0))))=1,(SUMPRODUCT(('C19RM 2021-Lab &amp; Other HPS'!$A$550:$D$649=E40)*('C19RM 2021-Lab &amp; Other HPS'!$BH$550:$BH$649=BJ40)*('C19RM 2021-Lab &amp; Other HPS'!$BR$550:$BR$649)*(('C19RM 2021-Lab &amp; Other HPS'!$AM$550:$AM$649)))),0)))),0)))</f>
        <v>0</v>
      </c>
      <c r="AG40" s="359" cm="1">
        <f t="array" ref="AG40">IF((INDEX(SETUP!$F$19:$F$503,(MATCH(1,(SETUP!$B$19:$B$503=B40)*(SETUP!$D$19:$D$503=D40),0))))="Upfront",(SUMPRODUCT(('C19RM 2021-Lab &amp; Other HPS'!$A$550:$D$649=E40)*('C19RM 2021-Lab &amp; Other HPS'!$BH$550:$BH$649=BJ40)*('C19RM 2021-Lab &amp; Other HPS'!$BR$550:$BR$649)*(('C19RM 2021-Lab &amp; Other HPS'!$AO$550:$AO$649)))),(IF((INDEX(SETUP!$F$19:$F$503,(MATCH(1,(SETUP!$B$19:$B$503=B40)*(SETUP!$D$19:$D$503=D40),0))))="At delivery",IF((INDEX(SETUP!$G$19:$G$503,(MATCH(1,(SETUP!$B$19:$B$503=B40)*(SETUP!$D$19:$D$503=D40),0))))=4,(SUMPRODUCT(('C19RM 2021-Lab &amp; Other HPS'!$A$550:$D$649=E40)*('C19RM 2021-Lab &amp; Other HPS'!$BH$550:$BH$649=BJ40)*('C19RM 2021-Lab &amp; Other HPS'!$BQ$550:$BQ$649)*(('C19RM 2021-Lab &amp; Other HPS'!$AH$550:$AH$649)))),IF((INDEX(SETUP!$G$19:$G$503,(MATCH(1,(SETUP!$B$19:$B$503=B40)*(SETUP!$D$19:$D$503=D40),0))))=3,(SUMPRODUCT(('C19RM 2021-Lab &amp; Other HPS'!$A$550:$D$649=E40)*('C19RM 2021-Lab &amp; Other HPS'!$BH$550:$BH$649=BJ40)*('C19RM 2021-Lab &amp; Other HPS'!$BR$550:$BR$649)*(('C19RM 2021-Lab &amp; Other HPS'!$AL$550:$AL$649)))),IF((INDEX(SETUP!$G$19:$G$503,(MATCH(1,(SETUP!$B$19:$B$503=B40)*(SETUP!$D$19:$D$503=D40),0))))=2,(SUMPRODUCT(('C19RM 2021-Lab &amp; Other HPS'!$A$550:$D$649=E40)*('C19RM 2021-Lab &amp; Other HPS'!$BH$550:$BH$649=BJ40)*('C19RM 2021-Lab &amp; Other HPS'!$BR$550:$BR$649)*(('C19RM 2021-Lab &amp; Other HPS'!$AM$550:$AM$649)))),IF((INDEX(SETUP!$G$19:$G$503,(MATCH(1,(SETUP!$B$19:$B$503=B40)*(SETUP!$D$19:$D$503=D40),0))))=1,(SUMPRODUCT(('C19RM 2021-Lab &amp; Other HPS'!$A$550:$D$649=E40)*('C19RM 2021-Lab &amp; Other HPS'!$BH$550:$BH$649=BJ40)*('C19RM 2021-Lab &amp; Other HPS'!$BR$550:$BR$649)*(('C19RM 2021-Lab &amp; Other HPS'!$AN$550:$AN$649)))),0)))),0)))</f>
        <v>0</v>
      </c>
      <c r="AH40" s="359" cm="1">
        <f t="array" ref="AH40">IF((INDEX(SETUP!$F$19:$F$503,(MATCH(1,(SETUP!$B$19:$B$503=B40)*(SETUP!$D$19:$D$503=D40),0))))="Upfront",
(SUMPRODUCT(('C19RM 2021-Lab &amp; Other HPS'!$A$550:$D$649=E40)*('C19RM 2021-Lab &amp; Other HPS'!$BH$550:$BH$649=BJ40)*('C19RM 2021-Lab &amp; Other HPS'!$BS$550:$BS$649)*(('C19RM 2021-Lab &amp; Other HPS'!$AS$550:$AS$649)))),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HPS'!$AL$550:$AL$649)))),IF((INDEX(SETUP!$G$19:$G$503,(MATCH(1,(SETUP!$B$19:$B$503=B40)*(SETUP!$D$19:$D$503=D40),0))))=3,((SUMPRODUCT(('C19RM 2021-Lab &amp; Other HPS'!$A$550:$D$649=E40)*('C19RM 2021-Lab &amp; Other HPS'!$BH$550:$BH$649=BJ40)*('C19RM 2021-Lab &amp; Other HPS'!$BR$550:$BR$649)*(('C19RM 2021-Lab &amp; Other HPS'!$AM$550:$AM$649))))),IF((INDEX(SETUP!$G$19:$G$503,(MATCH(1,(SETUP!$B$19:$B$503=B40)*(SETUP!$D$19:$D$503=D40),0))))=2,(SUMPRODUCT(('C19RM 2021-Lab &amp; Other HPS'!$A$550:$D$649=E40)*('C19RM 2021-Lab &amp; Other HPS'!$BH$550:$BH$649=BJ40)*('C19RM 2021-Lab &amp; Other HPS'!$BR$550:$BR$649)*(('C19RM 2021-Lab &amp; Other HPS'!$AN$550:$AN$649)))),IF((INDEX(SETUP!$G$19:$G$503,(MATCH(1,(SETUP!$B$19:$B$503=B40)*(SETUP!$D$19:$D$503=D40),0))))=1,(SUMPRODUCT(('C19RM 2021-Lab &amp; Other HPS'!$A$550:$D$649=E40)*('C19RM 2021-Lab &amp; Other HPS'!$BH$550:$BH$649=BJ40)*('C19RM 2021-Lab &amp; Other HPS'!$BR$550:$BR$649)*(('C19RM 2021-Lab &amp; Other HPS'!$AO$550:$AO$649)))),0)))),0)))</f>
        <v>0</v>
      </c>
      <c r="AI40" s="359" cm="1">
        <f t="array" ref="AI40">IF((INDEX(SETUP!$F$19:$F$503,(MATCH(1,(SETUP!$B$19:$B$503=B40)*(SETUP!$D$19:$D$503=D40),0))))="Upfront",
(SUMPRODUCT(('C19RM 2021-Lab &amp; Other HPS'!$A$550:$D$649=E40)*('C19RM 2021-Lab &amp; Other HPS'!$BH$550:$BH$649=BJ40)*('C19RM 2021-Lab &amp; Other HPS'!$BS$550:$BS$649)*(('C19RM 2021-Lab &amp; Other HPS'!$AT$550:$AT$649)))),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HPS'!$AM$550:$AM$649)))),IF((INDEX(SETUP!$G$19:$G$503,(MATCH(1,(SETUP!$B$19:$B$503=B40)*(SETUP!$D$19:$D$503=D40),0))))=3,((SUMPRODUCT(('C19RM 2021-Lab &amp; Other HPS'!$A$550:$D$649=E40)*('C19RM 2021-Lab &amp; Other HPS'!$BH$550:$BH$649=BJ40)*('C19RM 2021-Lab &amp; Other HPS'!$BR$550:$BR$649)*(('C19RM 2021-Lab &amp; Other HPS'!$AN$550:$AN$649))))),IF((INDEX(SETUP!$G$19:$G$503,(MATCH(1,(SETUP!$B$19:$B$503=B40)*(SETUP!$D$19:$D$503=D40),0))))=2,(SUMPRODUCT(('C19RM 2021-Lab &amp; Other HPS'!$A$550:$D$649=E40)*('C19RM 2021-Lab &amp; Other HPS'!$BH$550:$BH$649=BJ40)*('C19RM 2021-Lab &amp; Other HPS'!$BR$550:$BR$649)*(('C19RM 2021-Lab &amp; Other HPS'!$AO$550:$AO$649)))),IF((INDEX(SETUP!$G$19:$G$503,(MATCH(1,(SETUP!$B$19:$B$503=B40)*(SETUP!$D$19:$D$503=D40),0))))=1,(SUMPRODUCT(('C19RM 2021-Lab &amp; Other HPS'!$A$550:$D$649=E40)*('C19RM 2021-Lab &amp; Other HPS'!$BH$550:$BH$649=BJ40)*('C19RM 2021-Lab &amp; Other HPS'!$BS$550:$BS$649)*(('C19RM 2021-Lab &amp; Other HPS'!$AS$550:$AS$649)))),0)))),0)))</f>
        <v>0</v>
      </c>
      <c r="AJ40" s="359" cm="1">
        <f t="array" ref="AJ40">IF((INDEX(SETUP!$F$19:$F$503,(MATCH(1,(SETUP!$B$19:$B$503=B40)*(SETUP!$D$19:$D$503=D40),0))))="Upfront",
(SUMPRODUCT(('C19RM 2021-Lab &amp; Other HPS'!$A$550:$D$649=E40)*('C19RM 2021-Lab &amp; Other HPS'!$BH$550:$BH$649=BJ40)*('C19RM 2021-Lab &amp; Other HPS'!$BS$550:$BS$649)*(('C19RM 2021-Lab &amp; Other HPS'!$AU$550:$AU$649)))),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HPS'!$AN$550:$AN$649)))),IF((INDEX(SETUP!$G$19:$G$503,(MATCH(1,(SETUP!$B$19:$B$503=B40)*(SETUP!$D$19:$D$503=D40),0))))=3,((SUMPRODUCT(('C19RM 2021-Lab &amp; Other HPS'!$A$550:$D$649=E40)*('C19RM 2021-Lab &amp; Other HPS'!$BH$550:$BH$649=BJ40)*('C19RM 2021-Lab &amp; Other HPS'!$BR$550:$BR$649)*(('C19RM 2021-Lab &amp; Other HPS'!$AO$550:$AO$649))))),IF((INDEX(SETUP!$G$19:$G$503,(MATCH(1,(SETUP!$B$19:$B$503=B40)*(SETUP!$D$19:$D$503=D40),0))))=2,(SUMPRODUCT(('C19RM 2021-Lab &amp; Other HPS'!$A$550:$D$649=E40)*('C19RM 2021-Lab &amp; Other HPS'!$BH$550:$BH$649=BJ40)*('C19RM 2021-Lab &amp; Other HPS'!$BS$550:$BS$649)*(('C19RM 2021-Lab &amp; Other HPS'!$AS$550:$AS$649)))),IF((INDEX(SETUP!$G$19:$G$503,(MATCH(1,(SETUP!$B$19:$B$503=B40)*(SETUP!$D$19:$D$503=D40),0))))=1,(SUMPRODUCT(('C19RM 2021-Lab &amp; Other HPS'!$A$550:$D$649=E40)*('C19RM 2021-Lab &amp; Other HPS'!$BH$550:$BH$649=BJ40)*('C19RM 2021-Lab &amp; Other HPS'!$BS$550:$BS$649)*(('C19RM 2021-Lab &amp; Other HPS'!$AT$550:$AT$649)))),0)))),0)))</f>
        <v>0</v>
      </c>
      <c r="AK40" s="359" cm="1">
        <f t="array" ref="AK40">IF((INDEX(SETUP!$F$19:$F$503,(MATCH(1,(SETUP!$B$19:$B$503=B40)*(SETUP!$D$19:$D$503=D40),0))))="Upfront",
(SUMPRODUCT(('C19RM 2021-Lab &amp; Other HPS'!$A$550:$D$649=E40)*('C19RM 2021-Lab &amp; Other HPS'!$BH$550:$BH$649=BJ40)*('C19RM 2021-Lab &amp; Other HPS'!$BS$550:$BS$649)*(('C19RM 2021-Lab &amp; Other HPS'!$AV$550:$AV$649)))),
(IF((INDEX(SETUP!$F$19:$F$503,(MATCH(1,(SETUP!$B$19:$B$503=B40)*(SETUP!$D$19:$D$503=D40),0))))="At delivery",
IF((INDEX(SETUP!$G$19:$G$503,(MATCH(1,(SETUP!$B$19:$B$503=B40)*(SETUP!$D$19:$D$503=D40),0))))=4,
(SUMPRODUCT(('C19RM 2021-Lab &amp; Other HPS'!$A$550:$D$649=E40)*('C19RM 2021-Lab &amp; Other HPS'!$BH$550:$BH$649=BJ40)*('C19RM 2021-Lab &amp; Other HPS'!$BR$550:$BR$649)*(('C19RM 2021-Lab &amp; Other HPS'!$AO$550:$AO$649)))),IF((INDEX(SETUP!$G$19:$G$503,(MATCH(1,(SETUP!$B$19:$B$503=B40)*(SETUP!$D$19:$D$503=D40),0))))=3,((SUMPRODUCT(('C19RM 2021-Lab &amp; Other HPS'!$A$550:$D$649=E40)*('C19RM 2021-Lab &amp; Other HPS'!$BH$550:$BH$649=BJ40)*('C19RM 2021-Lab &amp; Other HPS'!$BS$550:$BS$649)*(('C19RM 2021-Lab &amp; Other HPS'!$AS$550:$AS$649))))),IF((INDEX(SETUP!$G$19:$G$503,(MATCH(1,(SETUP!$B$19:$B$503=B40)*(SETUP!$D$19:$D$503=D40),0))))=2,(SUMPRODUCT(('C19RM 2021-Lab &amp; Other HPS'!$A$550:$D$649=E40)*('C19RM 2021-Lab &amp; Other HPS'!$BH$550:$BH$649=BJ40)*('C19RM 2021-Lab &amp; Other HPS'!$BS$550:$BS$649)*(('C19RM 2021-Lab &amp; Other HPS'!$AT$550:$AT$649)))),IF((INDEX(SETUP!$G$19:$G$503,(MATCH(1,(SETUP!$B$19:$B$503=B40)*(SETUP!$D$19:$D$503=D40),0))))=1,(SUMPRODUCT(('C19RM 2021-Lab &amp; Other HPS'!$A$550:$D$649=E40)*('C19RM 2021-Lab &amp; Other HPS'!$BH$550:$BH$649=BJ40)*('C19RM 2021-Lab &amp; Other HPS'!$BS$550:$BS$649)*(('C19RM 2021-Lab &amp; Other HPS'!$AU$550:$AU$649)))),0)))),0)))</f>
        <v>0</v>
      </c>
      <c r="AL40" s="359" cm="1">
        <f t="array" ref="AL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HPS'!$AS$550:$AS$649)))),IF((INDEX(SETUP!$G$19:$G$503,(MATCH(1,(SETUP!$B$19:$B$503=B40)*(SETUP!$D$19:$D$503=D40),0))))=3,(SUMPRODUCT(('C19RM 2021-Lab &amp; Other HPS'!$A$550:$D$649=E40)*('C19RM 2021-Lab &amp; Other HPS'!$BH$550:$BH$649=BJ40)*('C19RM 2021-Lab &amp; Other HPS'!$BS$550:$BS$649)*(('C19RM 2021-Lab &amp; Other HPS'!$AT$550:$AT$649)))),IF((INDEX(SETUP!$G$19:$G$503,(MATCH(1,(SETUP!$B$19:$B$503=B40)*(SETUP!$D$19:$D$503=D40),0))))=2,(SUMPRODUCT(('C19RM 2021-Lab &amp; Other HPS'!$A$550:$D$649=E40)*('C19RM 2021-Lab &amp; Other HPS'!$BH$550:$BH$649=BJ40)*('C19RM 2021-Lab &amp; Other HPS'!$BS$550:$BS$649)*(('C19RM 2021-Lab &amp; Other HPS'!$AU$550:$AU$649)))),
IF((INDEX(SETUP!$G$19:$G$503,(MATCH(1,(SETUP!$B$19:$B$503=B40)*(SETUP!$D$19:$D$503=D40),0))))=1,
(SUMPRODUCT(('C19RM 2021-Lab &amp; Other HPS'!$A$550:$D$649=E40)*('C19RM 2021-Lab &amp; Other HPS'!$BH$550:$BH$649=BJ40)*('C19RM 2021-Lab &amp; Other HPS'!$BS$550:$BS$649)*(('C19RM 2021-Lab &amp; Other HPS'!$AV$550:$AV$649)))),0)))),0)))</f>
        <v>0</v>
      </c>
      <c r="AM40" s="359" cm="1">
        <f t="array" ref="AM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HPS'!$AT$550:$AT$649)))),IF((INDEX(SETUP!$G$19:$G$503,(MATCH(1,(SETUP!$B$19:$B$503=B40)*(SETUP!$D$19:$D$503=D40),0))))=3,(SUMPRODUCT(('C19RM 2021-Lab &amp; Other HPS'!$A$550:$D$649=E40)*('C19RM 2021-Lab &amp; Other HPS'!$BH$550:$BH$649=BJ40)*('C19RM 2021-Lab &amp; Other HPS'!$BS$550:$BS$649)*(('C19RM 2021-Lab &amp; Other HPS'!$AU$550:$AU$649)))),IF((INDEX(SETUP!$G$19:$G$503,(MATCH(1,(SETUP!$B$19:$B$503=B40)*(SETUP!$D$19:$D$503=D40),0))))=2,(SUMPRODUCT(('C19RM 2021-Lab &amp; Other HPS'!$A$550:$D$649=E40)*('C19RM 2021-Lab &amp; Other HPS'!$BH$550:$BH$649=BJ40)*('C19RM 2021-Lab &amp; Other HPS'!$BS$550:$BS$649)*(('C19RM 2021-Lab &amp; Other HPS'!$AV$550:$AV$649)))),IF((INDEX(SETUP!$G$19:$G$503,(MATCH(1,(SETUP!$B$19:$B$503=B40)*(SETUP!$D$19:$D$503=D40),0))))=1,(0),0)))),0)))</f>
        <v>0</v>
      </c>
      <c r="AN40" s="359" cm="1">
        <f t="array" ref="AN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HPS'!$AU$550:$AU$649)))),IF((INDEX(SETUP!$G$19:$G$503,(MATCH(1,(SETUP!$B$19:$B$503=B40)*(SETUP!$D$19:$D$503=D40),0))))=3,(SUMPRODUCT(('C19RM 2021-Lab &amp; Other HPS'!$A$550:$D$649=E40)*('C19RM 2021-Lab &amp; Other HPS'!$BH$550:$BH$649=BJ40)*('C19RM 2021-Lab &amp; Other HPS'!$BS$550:$BS$649)*(('C19RM 2021-Lab &amp; Other HPS'!$AV$550:$AV$649)))),IF((INDEX(SETUP!$G$19:$G$503,(MATCH(1,(SETUP!$B$19:$B$503=B40)*(SETUP!$D$19:$D$503=D40),0))))=2,(0),IF((INDEX(SETUP!$G$19:$G$503,(MATCH(1,(SETUP!$B$19:$B$503=B40)*(SETUP!$D$19:$D$503=D40),0))))=1,(0),0)))),0)))</f>
        <v>0</v>
      </c>
      <c r="AO40" s="359" cm="1">
        <f t="array" ref="AO40">IF((INDEX(SETUP!$F$19:$F$503,(MATCH(1,(SETUP!$B$19:$B$503=B40)*(SETUP!$D$19:$D$503=D40),0))))="Upfront",0,(IF((INDEX(SETUP!$F$19:$F$503,(MATCH(1,(SETUP!$B$19:$B$503=B40)*(SETUP!$D$19:$D$503=D40),0))))="At delivery",IF((INDEX(SETUP!$G$19:$G$503,(MATCH(1,(SETUP!$B$19:$B$503=B40)*(SETUP!$D$19:$D$503=D40),0))))=4,(SUMPRODUCT(('C19RM 2021-Lab &amp; Other HPS'!$A$550:$D$649=E40)*('C19RM 2021-Lab &amp; Other HPS'!$BH$550:$BH$649=BJ40)*('C19RM 2021-Lab &amp; Other HPS'!$BS$550:$BS$649)*(('C19RM 2021-Lab &amp; Other HPS'!$AV$550:$AV$649)))),IF((INDEX(SETUP!$G$19:$G$503,(MATCH(1,(SETUP!$B$19:$B$503=B40)*(SETUP!$D$19:$D$503=D40),0))))=3,(0),IF((INDEX(SETUP!$G$19:$G$503,(MATCH(1,(SETUP!$B$19:$B$503=B40)*(SETUP!$D$19:$D$503=D40),0))))=2,(0),IF((INDEX(SETUP!$G$19:$G$503,(MATCH(1,(SETUP!$B$19:$B$503=B40)*(SETUP!$D$19:$D$503=D40),0))))=1,(0),0)))),0)))</f>
        <v>0</v>
      </c>
      <c r="AP40" s="359"/>
      <c r="AQ40" s="359"/>
      <c r="AR40" s="359"/>
      <c r="AS40" s="359"/>
      <c r="AT40" s="359" cm="1">
        <f t="array" ref="AT40">IF(BG40&gt;=1,0,IFERROR(SUMPRODUCT(($R$2:$AO$2=$AT$4)*($E$5:$E$100=E40)*($BC$5:$BC$100=BC40)*($R$5:$AO$100)),0))</f>
        <v>0</v>
      </c>
      <c r="AU40" s="359" cm="1">
        <f t="array" ref="AU40">IF(BG40&gt;=1,0,IFERROR(SUMPRODUCT(($R$2:$AO$2=$AU$4)*($E$5:$E$100=E40)*($BC$5:$BC$100=BC40)*($R$5:$AO$100)),0))</f>
        <v>0</v>
      </c>
      <c r="AV40" s="359" cm="1">
        <f t="array" ref="AV40">IF(BG40&gt;=1,0,IFERROR(SUMPRODUCT(($R$2:$AO$2=$AV$4)*($E$5:$E$100=E40)*($BC$5:$BC$100=BC40)*($R$5:$AO$100)),0))</f>
        <v>0</v>
      </c>
      <c r="AW40" s="359" cm="1">
        <f t="array" ref="AW40">IF(BG40&gt;=1,0,IFERROR(SUMPRODUCT(($R$2:$AO$2=$AW$4)*($E$5:$E$100=E40)*($BC$5:$BC$100=BC40)*($R$5:$AO$100)),0))</f>
        <v>0</v>
      </c>
      <c r="AX40" s="359" cm="1">
        <f t="array" ref="AX40">IF(BG40&gt;=1,0,IFERROR(SUMPRODUCT(($R$2:$AO$2=$AX$4)*($E$5:$E$100=E40)*($BC$5:$BC$100=BC40)*($R$5:$AO$100)),0))</f>
        <v>0</v>
      </c>
      <c r="AY40" s="359">
        <f t="shared" si="5"/>
        <v>0</v>
      </c>
      <c r="BA40" s="233">
        <f t="shared" ref="BA40:BA44" si="27">SUM(AT40:AY40)</f>
        <v>0</v>
      </c>
      <c r="BB40" s="220" t="s">
        <v>83</v>
      </c>
      <c r="BC40" t="s">
        <v>179</v>
      </c>
      <c r="BD40" cm="1">
        <f t="array" ref="BD40">(SUMPRODUCT(('C19RM 2021-Lab &amp; Other HPS'!$A$14:$D$650=E40)*('C19RM 2021-Lab &amp; Other HPS'!$BU$14:$BU$650)))</f>
        <v>0</v>
      </c>
      <c r="BE40" cm="1">
        <f t="array" ref="BE40">(SUMPRODUCT((SETUP!$D$20:$D$67=D40)*(SETUP!$R$20:$R$67)))</f>
        <v>0</v>
      </c>
      <c r="BF40" cm="1">
        <f t="array" ref="BF40">(SUMPRODUCT(('C19RM 2021-Lab &amp; Other HPS'!$A$14:$D$650=E40)*('C19RM 2021-Lab &amp; Other HPS'!$BV$14:$BV$650)))</f>
        <v>0</v>
      </c>
      <c r="BG40">
        <f t="shared" si="26"/>
        <v>0</v>
      </c>
      <c r="BJ40">
        <v>5.4</v>
      </c>
    </row>
    <row r="41" spans="1:62" x14ac:dyDescent="0.35">
      <c r="A41">
        <v>6</v>
      </c>
      <c r="B41" s="220" t="s">
        <v>2750</v>
      </c>
      <c r="C41" s="235" t="s">
        <v>3196</v>
      </c>
      <c r="D41" s="235" t="s">
        <v>31</v>
      </c>
      <c r="E41" s="220" t="s">
        <v>2766</v>
      </c>
      <c r="F41" s="220">
        <f>SETUP!$E$3</f>
        <v>0</v>
      </c>
      <c r="G41" s="220" t="str">
        <f ca="1">SETUP!$J$5</f>
        <v>NA</v>
      </c>
      <c r="H41" s="220" t="str">
        <f>SETUP!$E$9</f>
        <v>C19RM</v>
      </c>
      <c r="I41" s="232">
        <f t="shared" si="22"/>
        <v>44197</v>
      </c>
      <c r="J41" s="232">
        <f>SETUP!$L$14</f>
        <v>46022</v>
      </c>
      <c r="K41" s="220">
        <f>IFERROR(VLOOKUP(E41,'Master Data-C19RM'!$A$5:$B$35,2,0),0)</f>
        <v>0</v>
      </c>
      <c r="L41">
        <f t="shared" si="23"/>
        <v>0</v>
      </c>
      <c r="M41">
        <f>SETUP!$E$7</f>
        <v>0</v>
      </c>
      <c r="N41">
        <f>SETUP!$F$76</f>
        <v>6.1</v>
      </c>
      <c r="O41" t="str" cm="1">
        <f t="array" ref="O41">INDEX(SETUP!$E$19:$E$503,(MATCH(1,(SETUP!$B$19:$B$503=B41)*(SETUP!$D$19:$D$503=D41),0)))</f>
        <v>PR/SR</v>
      </c>
      <c r="P41" t="str" cm="1">
        <f t="array" ref="P41">INDEX(SETUP!$F$19:$F$503,(MATCH(1,(SETUP!$B$19:$B$503=B41)*(SETUP!$D$19:$D$503=D41),0)))</f>
        <v>At delivery</v>
      </c>
      <c r="Q41" cm="1">
        <f t="array" ref="Q41">INDEX(SETUP!$G$19:$G$503,(MATCH(1,(SETUP!$B$19:$B$503=B41)*(SETUP!$D$19:$D$503=D41),0)))</f>
        <v>1</v>
      </c>
      <c r="R41" s="359" cm="1">
        <f t="array" ref="R41">IF((INDEX(SETUP!$F$19:$F$503,(MATCH(1,(SETUP!$B$19:$B$503=B41)*(SETUP!$D$19:$D$503=D41),0))))="Upfront",(SUMPRODUCT(('C19RM 2021-Lab &amp; Other HPS'!$A$550:$D$649=E41)*('C19RM 2021-Lab &amp; Other HPS'!$BH$550:$BH$649=BJ41)*('C19RM 2021-Lab &amp; Other HPS'!$BO$550:$BO$649)*(('C19RM 2021-Lab &amp; Other HPS'!$Q$550:$Q$649)))),0)</f>
        <v>0</v>
      </c>
      <c r="S41" s="359" cm="1">
        <f t="array" ref="S41">IF((INDEX(SETUP!$F$19:$F$503,(MATCH(1,(SETUP!$B$19:$B$503=B41)*(SETUP!$D$19:$D$503=D41),0))))="Upfront",(SUMPRODUCT(('C19RM 2021-Lab &amp; Other HPS'!$A$550:$D$649=E41)*('C19RM 2021-Lab &amp; Other HPS'!$BH$550:$BH$649=BJ41)*('C19RM 2021-Lab &amp; Other HPS'!$BO$550:$BO$649)*(('C19RM 2021-Lab &amp; Other HPS'!$R$550:$R$649)))),(IF((INDEX(SETUP!$F$19:$F$503,(MATCH(1,(SETUP!$B$19:$B$503=B41)*(SETUP!$D$19:$D$503=D41),0))))="At delivery",IF((INDEX(SETUP!$G$19:$G$503,(MATCH(1,(SETUP!$B$19:$B$503=B41)*(SETUP!$D$19:$D$503=D41),0))))=1,(SUMPRODUCT(('C19RM 2021-Lab &amp; Other HPS'!$A$550:$D$649=E41)*('C19RM 2021-Lab &amp; Other HPS'!$BH$550:$BH$649=BJ41)*('C19RM 2021-Lab &amp; Other HPS'!$BO$550:$BO$649)*(('C19RM 2021-Lab &amp; Other HPS'!$Q$550:$Q$649)))),0),0)))</f>
        <v>0</v>
      </c>
      <c r="T41" s="359" cm="1">
        <f t="array" ref="T41">IF((INDEX(SETUP!$F$19:$F$503,(MATCH(1,(SETUP!$B$19:$B$503=B41)*(SETUP!$D$19:$D$503=D41),0))))="Upfront",(SUMPRODUCT(('C19RM 2021-Lab &amp; Other HPS'!$A$550:$D$649=E41)*('C19RM 2021-Lab &amp; Other HPS'!$BH$550:$BH$649=BJ41)*('C19RM 2021-Lab &amp; Other HPS'!$BO$550:$BO$649)*(('C19RM 2021-Lab &amp; Other HPS'!$S$550:$S$649)))),(IF((INDEX(SETUP!$F$19:$F$503,(MATCH(1,(SETUP!$B$19:$B$503=B41)*(SETUP!$D$19:$D$503=D41),0))))="At delivery",IF((INDEX(SETUP!$G$19:$G$503,(MATCH(1,(SETUP!$B$19:$B$503=B41)*(SETUP!$D$19:$D$503=D41),0))))=2,(SUMPRODUCT(('C19RM 2021-Lab &amp; Other HPS'!$A$550:$D$649=E41)*('C19RM 2021-Lab &amp; Other HPS'!$BH$550:$BH$649=BJ41)*('C19RM 2021-Lab &amp; Other HPS'!$BO$550:$BO$649)*(('C19RM 2021-Lab &amp; Other HPS'!$Q$550:$Q$649)))),IF((INDEX(SETUP!$G$19:$G$503,(MATCH(1,(SETUP!$B$19:$B$503=B41)*(SETUP!$D$19:$D$503=D41),0))))=1,(SUMPRODUCT(('C19RM 2021-Lab &amp; Other HPS'!$A$550:$D$649=E41)*('C19RM 2021-Lab &amp; Other HPS'!$BH$550:$BH$649=BJ41)*('C19RM 2021-Lab &amp; Other HPS'!$BO$550:$BO$649)*(('C19RM 2021-Lab &amp; Other HPS'!$R$550:$R$649)))),0)),0)))</f>
        <v>0</v>
      </c>
      <c r="U41" s="359" cm="1">
        <f t="array" ref="U41">IF((INDEX(SETUP!$F$19:$F$503,(MATCH(1,(SETUP!$B$19:$B$503=B41)*(SETUP!$D$19:$D$503=D41),0))))="Upfront",(SUMPRODUCT(('C19RM 2021-Lab &amp; Other HPS'!$A$550:$D$649=E41)*('C19RM 2021-Lab &amp; Other HPS'!$BH$550:$BH$649=BJ41)*('C19RM 2021-Lab &amp; Other HPS'!$BO$550:$BO$649)*(('C19RM 2021-Lab &amp; Other HPS'!$T$550:$T$649)))),(IF((INDEX(SETUP!$F$19:$F$503,(MATCH(1,(SETUP!$B$19:$B$503=B41)*(SETUP!$D$19:$D$503=D41),0))))="At delivery",IF((INDEX(SETUP!$G$19:$G$503,(MATCH(1,(SETUP!$B$19:$B$503=B41)*(SETUP!$D$19:$D$503=D41),0))))=3,(SUMPRODUCT(('C19RM 2021-Lab &amp; Other HPS'!$A$550:$D$649=E41)*('C19RM 2021-Lab &amp; Other HPS'!$BH$550:$BH$649=BJ41)*('C19RM 2021-Lab &amp; Other HPS'!$BO$550:$BO$649)*(('C19RM 2021-Lab &amp; Other HPS'!$Q$550:$Q$649)))),IF((INDEX(SETUP!$G$19:$G$503,(MATCH(1,(SETUP!$B$19:$B$503=B41)*(SETUP!$D$19:$D$503=D41),0))))=2,(SUMPRODUCT(('C19RM 2021-Lab &amp; Other HPS'!$A$550:$D$649=E41)*('C19RM 2021-Lab &amp; Other HPS'!$BH$550:$BH$649=BJ41)*('C19RM 2021-Lab &amp; Other HPS'!$BO$550:$BO$649)*(('C19RM 2021-Lab &amp; Other HPS'!$R$550:$R$649)))),IF((INDEX(SETUP!$G$19:$G$503,(MATCH(1,(SETUP!$B$19:$B$503=B41)*(SETUP!$D$19:$D$503=D41),0))))=1,(SUMPRODUCT(('C19RM 2021-Lab &amp; Other HPS'!$A$550:$D$649=E41)*('C19RM 2021-Lab &amp; Other HPS'!$BH$550:$BH$649=BJ41)*('C19RM 2021-Lab &amp; Other HPS'!$BO$550:$BO$649)*(('C19RM 2021-Lab &amp; Other HPS'!$S$550:$S$649)))),0))),0)))</f>
        <v>0</v>
      </c>
      <c r="V41" s="359" cm="1">
        <f t="array" ref="V41">IF((INDEX(SETUP!$F$19:$F$503,(MATCH(1,(SETUP!$B$19:$B$503=B41)*(SETUP!$D$19:$D$503=D41),0))))="Upfront",(SUMPRODUCT(('C19RM 2021-Lab &amp; Other HPS'!$A$550:$D$649=E41)*('C19RM 2021-Lab &amp; Other HPS'!$BH$550:$BH$649=BJ41)*('C19RM 2021-Lab &amp; Other HPS'!$BP$550:$BP$649)*(('C19RM 2021-Lab &amp; Other HPS'!$X$550:$X$649)))),(IF((INDEX(SETUP!$F$19:$F$503,(MATCH(1,(SETUP!$B$19:$B$503=B41)*(SETUP!$D$19:$D$503=D41),0))))="At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HPS'!$Q$550:$Q$649)))),IF((INDEX(SETUP!$G$19:$G$503,(MATCH(1,(SETUP!$B$19:$B$503=B41)*(SETUP!$D$19:$D$503=D41),0))))=3,(SUMPRODUCT(('C19RM 2021-Lab &amp; Other HPS'!$A$550:$D$649=E41)*('C19RM 2021-Lab &amp; Other HPS'!$BH$550:$BH$649=BJ41)*('C19RM 2021-Lab &amp; Other HPS'!$BO$550:$BO$649)*(('C19RM 2021-Lab &amp; Other HPS'!$R$550:$R$649)))),IF((INDEX(SETUP!$G$19:$G$503,(MATCH(1,(SETUP!$B$19:$B$503=B41)*(SETUP!$D$19:$D$503=D41),0))))=2,(SUMPRODUCT(('C19RM 2021-Lab &amp; Other HPS'!$A$550:$D$649=E41)*('C19RM 2021-Lab &amp; Other HPS'!$BH$550:$BH$649=BJ41)*('C19RM 2021-Lab &amp; Other HPS'!$BO$550:$BO$649)*(('C19RM 2021-Lab &amp; Other HPS'!$S$550:$S$649)))),IF((INDEX(SETUP!$G$19:$G$503,(MATCH(1,(SETUP!$B$19:$B$503=B41)*(SETUP!$D$19:$D$503=D41),0))))=1,(SUMPRODUCT(('C19RM 2021-Lab &amp; Other HPS'!$A$550:$D$649=E41)*('C19RM 2021-Lab &amp; Other HPS'!$BH$550:$BH$649=BJ41)*('C19RM 2021-Lab &amp; Other HPS'!$BO$550:$BO$649)*(('C19RM 2021-Lab &amp; Other HPS'!$T$550:$T$649)))),0)))),0)))</f>
        <v>0</v>
      </c>
      <c r="W41" s="359" cm="1">
        <f t="array" ref="W41">IF((INDEX(SETUP!$F$19:$F$503,(MATCH(1,(SETUP!$B$19:$B$503=B41)*(SETUP!$D$19:$D$503=D41),0))))="Upfront",(SUMPRODUCT(('C19RM 2021-Lab &amp; Other HPS'!$A$550:$D$649=E41)*('C19RM 2021-Lab &amp; Other HPS'!$BH$550:$BH$649=BJ41)*('C19RM 2021-Lab &amp; Other HPS'!$BP$550:$BP$649)*(('C19RM 2021-Lab &amp; Other HPS'!$Y$550:$Y$649)))),(IF((INDEX(SETUP!$F$19:$F$503,(MATCH(1,(SETUP!$B$19:$B$503=B41)*(SETUP!$D$19:$D$503=D41),0))))="At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HPS'!$R$550:$R$649)))),IF((INDEX(SETUP!$G$19:$G$503,(MATCH(1,(SETUP!$B$19:$B$503=B41)*(SETUP!$D$19:$D$503=D41),0))))=3,(SUMPRODUCT(('C19RM 2021-Lab &amp; Other HPS'!$A$550:$D$649=E41)*('C19RM 2021-Lab &amp; Other HPS'!$BH$550:$BH$649=BJ41)*('C19RM 2021-Lab &amp; Other HPS'!$BO$550:$BO$649)*(('C19RM 2021-Lab &amp; Other HPS'!$S$550:$S$649)))),IF((INDEX(SETUP!$G$19:$G$503,(MATCH(1,(SETUP!$B$19:$B$503=B41)*(SETUP!$D$19:$D$503=D41),0))))=2,((SUMPRODUCT(('C19RM 2021-Lab &amp; Other HPS'!$A$550:$D$649=E41)*('C19RM 2021-Lab &amp; Other HPS'!$BH$550:$BH$649=BJ41)*('C19RM 2021-Lab &amp; Other HPS'!$BO$550:$BO$649)*(('C19RM 2021-Lab &amp; Other HPS'!$T$550:$T$649))))),IF((INDEX(SETUP!$G$19:$G$503,(MATCH(1,(SETUP!$B$19:$B$503=B41)*(SETUP!$D$19:$D$503=D41),0))))=1,(SUMPRODUCT(('C19RM 2021-Lab &amp; Other HPS'!$A$550:$D$649=E41)*('C19RM 2021-Lab &amp; Other HPS'!$BH$550:$BH$649=BJ41)*('C19RM 2021-Lab &amp; Other HPS'!$BP$550:$BP$649)*(('C19RM 2021-Lab &amp; Other HPS'!$X$550:$X$649)))),0)))),0)))</f>
        <v>0</v>
      </c>
      <c r="X41" s="359" cm="1">
        <f t="array" ref="X41">IF((INDEX(SETUP!$F$19:$F$503,(MATCH(1,(SETUP!$B$19:$B$503=B41)*(SETUP!$D$19:$D$503=D41),0))))="Upfront",(SUMPRODUCT(('C19RM 2021-Lab &amp; Other HPS'!$A$550:$D$649=E41)*('C19RM 2021-Lab &amp; Other HPS'!$BH$550:$BH$649=BJ41)*('C19RM 2021-Lab &amp; Other HPS'!$BP$550:$BP$649)*(('C19RM 2021-Lab &amp; Other HPS'!$Z$550:$Z$649)))),(IF((INDEX(SETUP!$F$19:$F$503,(MATCH(1,(SETUP!$B$19:$B$503=B41)*(SETUP!$D$19:$D$503=D41),0))))="At delivery",IF((INDEX(SETUP!$G$19:$G$503,(MATCH(1,(SETUP!$B$19:$B$503=B41)*(SETUP!$D$19:$D$503=D41),0))))=4,(SUMPRODUCT(('C19RM 2021-Lab &amp; Other HPS'!$A$550:$D$649=E41)*('C19RM 2021-Lab &amp; Other HPS'!$BH$550:$BH$649=BJ41)*('C19RM 2021-Lab &amp; Other HPS'!$BO$550:$BO$649)*(('C19RM 2021-Lab &amp; Other HPS'!$S$550:$S$649)))),IF((INDEX(SETUP!$G$19:$G$503,(MATCH(1,(SETUP!$B$19:$B$503=B41)*(SETUP!$D$19:$D$503=D41),0))))=3,((SUMPRODUCT(('C19RM 2021-Lab &amp; Other HPS'!$A$550:$D$649=E41)*('C19RM 2021-Lab &amp; Other HPS'!$BH$550:$BH$649=BJ41)*('C19RM 2021-Lab &amp; Other HPS'!$BO$550:$BO$649)*(('C19RM 2021-Lab &amp; Other HPS'!$T$550:$T$649))))),IF((INDEX(SETUP!$G$19:$G$503,(MATCH(1,(SETUP!$B$19:$B$503=B41)*(SETUP!$D$19:$D$503=D41),0))))=2,(SUMPRODUCT(('C19RM 2021-Lab &amp; Other HPS'!$A$550:$D$649=E41)*('C19RM 2021-Lab &amp; Other HPS'!$BH$550:$BH$649=BJ41)*('C19RM 2021-Lab &amp; Other HPS'!$BP$550:$BP$649)*(('C19RM 2021-Lab &amp; Other HPS'!$X$550:$X$649)))),IF((INDEX(SETUP!$G$19:$G$503,(MATCH(1,(SETUP!$B$19:$B$503=B41)*(SETUP!$D$19:$D$503=D41),0))))=1,(SUMPRODUCT(('C19RM 2021-Lab &amp; Other HPS'!$A$550:$D$649=E41)*('C19RM 2021-Lab &amp; Other HPS'!$BH$550:$BH$649=BJ41)*('C19RM 2021-Lab &amp; Other HPS'!$BP$550:$BP$649)*(('C19RM 2021-Lab &amp; Other HPS'!$Y$550:$Y$649)))),0)))),0)))</f>
        <v>0</v>
      </c>
      <c r="Y41" s="359" cm="1">
        <f t="array" ref="Y41">IF((INDEX(SETUP!$F$19:$F$503,(MATCH(1,(SETUP!$B$19:$B$503=B41)*(SETUP!$D$19:$D$503=D41),0))))="Upfront",
(SUMPRODUCT(('C19RM 2021-Lab &amp; Other HPS'!$A$550:$D$649=E41)*('C19RM 2021-Lab &amp; Other HPS'!$BH$550:$BH$649=BJ41)*('C19RM 2021-Lab &amp; Other HPS'!$BP$550:$BP$649)*(('C19RM 2021-Lab &amp; Other HPS'!$AA$550:$AA$649)))),
(IF((INDEX(SETUP!$F$19:$F$503,(MATCH(1,(SETUP!$B$19:$B$503=B41)*(SETUP!$D$19:$D$503=D41),0))))="At delivery",
IF((INDEX(SETUP!$G$19:$G$503,(MATCH(1,(SETUP!$B$19:$B$503=B41)*(SETUP!$D$19:$D$503=D41),0))))=4,
((SUMPRODUCT(('C19RM 2021-Lab &amp; Other HPS'!$A$550:$D$649=E41)*('C19RM 2021-Lab &amp; Other HPS'!$BH$550:$BH$649=BJ41)*('C19RM 2021-Lab &amp; Other HPS'!$BO$550:$BO$649)*(('C19RM 2021-Lab &amp; Other HPS'!$T$550:$T$649))))),IF((INDEX(SETUP!$G$19:$G$503,(MATCH(1,(SETUP!$B$19:$B$503=B41)*(SETUP!$D$19:$D$503=D41),0))))=3,(SUMPRODUCT(('C19RM 2021-Lab &amp; Other HPS'!$A$550:$D$649=E41)*('C19RM 2021-Lab &amp; Other HPS'!$BH$550:$BH$649=BJ41)*('C19RM 2021-Lab &amp; Other HPS'!$BP$550:$BP$649)*(('C19RM 2021-Lab &amp; Other HPS'!$X$550:$X$649)))),IF((INDEX(SETUP!$G$19:$G$503,(MATCH(1,(SETUP!$B$19:$B$503=B41)*(SETUP!$D$19:$D$503=D41),0))))=2,(SUMPRODUCT(('C19RM 2021-Lab &amp; Other HPS'!$A$550:$D$649=E41)*('C19RM 2021-Lab &amp; Other HPS'!$BH$550:$BH$649=BJ41)*('C19RM 2021-Lab &amp; Other HPS'!$BP$550:$BP$649)*(('C19RM 2021-Lab &amp; Other HPS'!$Y$550:$Y$649)))),IF((INDEX(SETUP!$G$19:$G$503,(MATCH(1,(SETUP!$B$19:$B$503=B41)*(SETUP!$D$19:$D$503=D41),0))))=1,(SUMPRODUCT(('C19RM 2021-Lab &amp; Other HPS'!$A$550:$D$649=E41)*('C19RM 2021-Lab &amp; Other HPS'!$BH$550:$BH$649=BJ41)*('C19RM 2021-Lab &amp; Other HPS'!$BP$550:$BP$649)*(('C19RM 2021-Lab &amp; Other HPS'!$Z$550:$Z$649)))),0)))),0)))</f>
        <v>0</v>
      </c>
      <c r="Z41" s="359" cm="1">
        <f t="array" ref="Z41">IF((INDEX(SETUP!$F$19:$F$503,(MATCH(1,(SETUP!$B$19:$B$503=B41)*(SETUP!$D$19:$D$503=D41),0))))="Upfront",(SUMPRODUCT(('C19RM 2021-Lab &amp; Other HPS'!$A$550:$D$649=E41)*('C19RM 2021-Lab &amp; Other HPS'!$BH$550:$BH$649=BJ41)*('C19RM 2021-Lab &amp; Other HPS'!$BQ$550:$BQ$649)*(('C19RM 2021-Lab &amp; Other HPS'!$AE$550:$AE$649)))),(IF((INDEX(SETUP!$F$19:$F$503,(MATCH(1,(SETUP!$B$19:$B$503=B41)*(SETUP!$D$19:$D$503=D41),0))))="At delivery",IF((INDEX(SETUP!$G$19:$G$503,(MATCH(1,(SETUP!$B$19:$B$503=B41)*(SETUP!$D$19:$D$503=D41),0))))=4,(SUMPRODUCT(('C19RM 2021-Lab &amp; Other HPS'!$A$550:$D$649=E41)*('C19RM 2021-Lab &amp; Other HPS'!$BH$550:$BH$649=BJ41)*('C19RM 2021-Lab &amp; Other HPS'!$BP$550:$BP$649)*(('C19RM 2021-Lab &amp; Other HPS'!$X$550:$X$649)))),IF((INDEX(SETUP!$G$19:$G$503,(MATCH(1,(SETUP!$B$19:$B$503=B41)*(SETUP!$D$19:$D$503=D41),0))))=3,(SUMPRODUCT(('C19RM 2021-Lab &amp; Other HPS'!$A$550:$D$649=E41)*('C19RM 2021-Lab &amp; Other HPS'!$BH$550:$BH$649=BJ41)*('C19RM 2021-Lab &amp; Other HPS'!$BP$550:$BP$649)*(('C19RM 2021-Lab &amp; Other HPS'!$Y$550:$Y$649)))),IF((INDEX(SETUP!$G$19:$G$503,(MATCH(1,(SETUP!$B$19:$B$503=B41)*(SETUP!$D$19:$D$503=D41),0))))=2,(SUMPRODUCT(('C19RM 2021-Lab &amp; Other HPS'!$A$550:$D$649=E41)*('C19RM 2021-Lab &amp; Other HPS'!$BH$550:$BH$649=BJ41)*('C19RM 2021-Lab &amp; Other HPS'!$BP$550:$BP$649)*(('C19RM 2021-Lab &amp; Other HPS'!$Z$550:$Z$649)))),IF((INDEX(SETUP!$G$19:$G$503,(MATCH(1,(SETUP!$B$19:$B$503=B41)*(SETUP!$D$19:$D$503=D41),0))))=1,(SUMPRODUCT(('C19RM 2021-Lab &amp; Other HPS'!$A$550:$D$649=E41)*('C19RM 2021-Lab &amp; Other HPS'!$BH$550:$BH$649=BJ41)*('C19RM 2021-Lab &amp; Other HPS'!$BP$550:$BP$649)*(('C19RM 2021-Lab &amp; Other HPS'!$AA$550:$AA$649)))),0)))),0)))</f>
        <v>0</v>
      </c>
      <c r="AA41" s="359" cm="1">
        <f t="array" ref="AA41">IF((INDEX(SETUP!$F$19:$F$503,(MATCH(1,(SETUP!$B$19:$B$503=B41)*(SETUP!$D$19:$D$503=D41),0))))="Upfront",(SUMPRODUCT(('C19RM 2021-Lab &amp; Other HPS'!$A$550:$D$649=E41)*('C19RM 2021-Lab &amp; Other HPS'!$BH$550:$BH$649=BJ41)*('C19RM 2021-Lab &amp; Other HPS'!$BQ$550:$BQ$649)*(('C19RM 2021-Lab &amp; Other HPS'!$AF$550:$AF$649)))),(IF((INDEX(SETUP!$F$19:$F$503,(MATCH(1,(SETUP!$B$19:$B$503=B41)*(SETUP!$D$19:$D$503=D41),0))))="At delivery",IF((INDEX(SETUP!$G$19:$G$503,(MATCH(1,(SETUP!$B$19:$B$503=B41)*(SETUP!$D$19:$D$503=D41),0))))=4,(SUMPRODUCT(('C19RM 2021-Lab &amp; Other HPS'!$A$550:$D$649=E41)*('C19RM 2021-Lab &amp; Other HPS'!$BH$550:$BH$649=BJ41)*('C19RM 2021-Lab &amp; Other HPS'!$BP$550:$BP$649)*(('C19RM 2021-Lab &amp; Other HPS'!$Y$550:$Y$649)))),IF((INDEX(SETUP!$G$19:$G$503,(MATCH(1,(SETUP!$B$19:$B$503=B41)*(SETUP!$D$19:$D$503=D41),0))))=3,(SUMPRODUCT(('C19RM 2021-Lab &amp; Other HPS'!$A$550:$D$649=E41)*('C19RM 2021-Lab &amp; Other HPS'!$BH$550:$BH$649=BJ41)*('C19RM 2021-Lab &amp; Other HPS'!$BP$550:$BP$649)*(('C19RM 2021-Lab &amp; Other HPS'!$Z$550:$Z$649)))),IF((INDEX(SETUP!$G$19:$G$503,(MATCH(1,(SETUP!$B$19:$B$503=B41)*(SETUP!$D$19:$D$503=D41),0))))=2,((SUMPRODUCT(('C19RM 2021-Lab &amp; Other HPS'!$A$550:$D$649=E41)*('C19RM 2021-Lab &amp; Other HPS'!$BH$550:$BH$649=BJ41)*('C19RM 2021-Lab &amp; Other HPS'!$BP$550:$BP$649)*(('C19RM 2021-Lab &amp; Other HPS'!$AA$550:$AA$649))))),IF((INDEX(SETUP!$G$19:$G$503,(MATCH(1,(SETUP!$B$19:$B$503=B41)*(SETUP!$D$19:$D$503=D41),0))))=1,(SUMPRODUCT(('C19RM 2021-Lab &amp; Other HPS'!$A$550:$D$649=E41)*('C19RM 2021-Lab &amp; Other HPS'!$BH$550:$BH$649=BJ41)*('C19RM 2021-Lab &amp; Other HPS'!$BQ$550:$BQ$649)*(('C19RM 2021-Lab &amp; Other HPS'!$AE$550:$AE$649)))),0)))),0)))</f>
        <v>0</v>
      </c>
      <c r="AB41" s="359" cm="1">
        <f t="array" ref="AB41">IF((INDEX(SETUP!$F$19:$F$503,(MATCH(1,(SETUP!$B$19:$B$503=B41)*(SETUP!$D$19:$D$503=D41),0))))="Upfront",
(SUMPRODUCT(('C19RM 2021-Lab &amp; Other HPS'!$A$550:$D$649=E41)*('C19RM 2021-Lab &amp; Other HPS'!$BH$550:$BH$649=BJ41)*('C19RM 2021-Lab &amp; Other HPS'!$BQ$550:$BQ$649)*(('C19RM 2021-Lab &amp; Other HPS'!$AG$550:$AG$649)))),
(IF((INDEX(SETUP!$F$19:$F$503,(MATCH(1,(SETUP!$B$19:$B$503=B41)*(SETUP!$D$19:$D$503=D41),0))))="At delivery",
IF((INDEX(SETUP!$G$19:$G$503,(MATCH(1,(SETUP!$B$19:$B$503=B41)*(SETUP!$D$19:$D$503=D41),0))))=4,
(SUMPRODUCT(('C19RM 2021-Lab &amp; Other HPS'!$A$550:$D$649=E41)*('C19RM 2021-Lab &amp; Other HPS'!$BH$550:$BH$649=BJ41)*('C19RM 2021-Lab &amp; Other HPS'!$BP$550:$BP$649)*(('C19RM 2021-Lab &amp; Other HPS'!$Z$550:$Z$649)))),IF((INDEX(SETUP!$G$19:$G$503,(MATCH(1,(SETUP!$B$19:$B$503=B41)*(SETUP!$D$19:$D$503=D41),0))))=3,(SUMPRODUCT(('C19RM 2021-Lab &amp; Other HPS'!$A$550:$D$649=E41)*('C19RM 2021-Lab &amp; Other HPS'!$BH$550:$BH$649=BJ41)*('C19RM 2021-Lab &amp; Other HPS'!$BP$550:$BP$649)*(('C19RM 2021-Lab &amp; Other HPS'!$AA$550:$AA$649)))),IF((INDEX(SETUP!$G$19:$G$503,(MATCH(1,(SETUP!$B$19:$B$503=B41)*(SETUP!$D$19:$D$503=D41),0))))=2,(SUMPRODUCT(('C19RM 2021-Lab &amp; Other HPS'!$A$550:$D$649=E41)*('C19RM 2021-Lab &amp; Other HPS'!$BH$550:$BH$649=BJ41)*('C19RM 2021-Lab &amp; Other HPS'!$BQ$550:$BQ$649)*(('C19RM 2021-Lab &amp; Other HPS'!$AE$550:$AE$649)))),IF((INDEX(SETUP!$G$19:$G$503,(MATCH(1,(SETUP!$B$19:$B$503=B41)*(SETUP!$D$19:$D$503=D41),0))))=1,(SUMPRODUCT(('C19RM 2021-Lab &amp; Other HPS'!$A$550:$D$649=E41)*('C19RM 2021-Lab &amp; Other HPS'!$BH$550:$BH$649=BJ41)*('C19RM 2021-Lab &amp; Other HPS'!$BQ$550:$BQ$649)*(('C19RM 2021-Lab &amp; Other HPS'!$AF$550:$AF$649)))),0)))),0)))</f>
        <v>0</v>
      </c>
      <c r="AC41" s="359" cm="1">
        <f t="array" ref="AC41">IF((INDEX(SETUP!$F$19:$F$503,(MATCH(1,(SETUP!$B$19:$B$503=B41)*(SETUP!$D$19:$D$503=D41),0))))="Upfront",
(SUMPRODUCT(('C19RM 2021-Lab &amp; Other HPS'!$A$550:$D$649=E41)*('C19RM 2021-Lab &amp; Other HPS'!$BH$550:$BH$649=BJ41)*('C19RM 2021-Lab &amp; Other HPS'!$BQ$550:$BQ$649)*(('C19RM 2021-Lab &amp; Other HPS'!$AH$550:$AH$649)))),
(IF((INDEX(SETUP!$F$19:$F$503,(MATCH(1,(SETUP!$B$19:$B$503=B41)*(SETUP!$D$19:$D$503=D41),0))))="At delivery",
IF((INDEX(SETUP!$G$19:$G$503,(MATCH(1,(SETUP!$B$19:$B$503=B41)*(SETUP!$D$19:$D$503=D41),0))))=4,
(SUMPRODUCT(('C19RM 2021-Lab &amp; Other HPS'!$A$550:$D$649=E41)*('C19RM 2021-Lab &amp; Other HPS'!$BH$550:$BH$649=BJ41)*('C19RM 2021-Lab &amp; Other HPS'!$BP$550:$BP$649)*(('C19RM 2021-Lab &amp; Other HPS'!$AA$550:$AA$649)))),IF((INDEX(SETUP!$G$19:$G$503,(MATCH(1,(SETUP!$B$19:$B$503=B41)*(SETUP!$D$19:$D$503=D41),0))))=3,(SUMPRODUCT(('C19RM 2021-Lab &amp; Other HPS'!$A$550:$D$649=E41)*('C19RM 2021-Lab &amp; Other HPS'!$BH$550:$BH$649=BJ41)*('C19RM 2021-Lab &amp; Other HPS'!$BQ$550:$BQ$649)*(('C19RM 2021-Lab &amp; Other HPS'!$AE$550:$AE$649)))),IF((INDEX(SETUP!$G$19:$G$503,(MATCH(1,(SETUP!$B$19:$B$503=B41)*(SETUP!$D$19:$D$503=D41),0))))=2,(SUMPRODUCT(('C19RM 2021-Lab &amp; Other HPS'!$A$550:$D$649=E41)*('C19RM 2021-Lab &amp; Other HPS'!$BH$550:$BH$649=BJ41)*('C19RM 2021-Lab &amp; Other HPS'!$BQ$550:$BQ$649)*(('C19RM 2021-Lab &amp; Other HPS'!$AF$550:$AF$649)))),IF((INDEX(SETUP!$G$19:$G$503,(MATCH(1,(SETUP!$B$19:$B$503=B41)*(SETUP!$D$19:$D$503=D41),0))))=1,(SUMPRODUCT(('C19RM 2021-Lab &amp; Other HPS'!$A$550:$D$649=E41)*('C19RM 2021-Lab &amp; Other HPS'!$BH$550:$BH$649=BJ41)*('C19RM 2021-Lab &amp; Other HPS'!$BQ$550:$BQ$649)*(('C19RM 2021-Lab &amp; Other HPS'!$AG$550:$AG$649)))),0)))),0)))</f>
        <v>0</v>
      </c>
      <c r="AD41" s="359" cm="1">
        <f t="array" ref="AD41">IF((INDEX(SETUP!$F$19:$F$503,(MATCH(1,(SETUP!$B$19:$B$503=B41)*(SETUP!$D$19:$D$503=D41),0))))="Upfront",
(SUMPRODUCT(('C19RM 2021-Lab &amp; Other HPS'!$A$550:$D$649=E41)*('C19RM 2021-Lab &amp; Other HPS'!$BH$550:$BH$649=BJ41)*('C19RM 2021-Lab &amp; Other HPS'!$BR$550:$BR$649)*(('C19RM 2021-Lab &amp; Other HPS'!$AL$550:$AL$649)))),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HPS'!$AE$550:$AE$649)))),IF((INDEX(SETUP!$G$19:$G$503,(MATCH(1,(SETUP!$B$19:$B$503=B41)*(SETUP!$D$19:$D$503=D41),0))))=3,((SUMPRODUCT(('C19RM 2021-Lab &amp; Other HPS'!$A$550:$D$649=E41)*('C19RM 2021-Lab &amp; Other HPS'!$BH$550:$BH$649=BJ41)*('C19RM 2021-Lab &amp; Other HPS'!$BQ$550:$BQ$649)*(('C19RM 2021-Lab &amp; Other HPS'!$AF$550:$AF$649))))),IF((INDEX(SETUP!$G$19:$G$503,(MATCH(1,(SETUP!$B$19:$B$503=B41)*(SETUP!$D$19:$D$503=D41),0))))=2,(SUMPRODUCT(('C19RM 2021-Lab &amp; Other HPS'!$A$550:$D$649=E41)*('C19RM 2021-Lab &amp; Other HPS'!$BH$550:$BH$649=BJ41)*('C19RM 2021-Lab &amp; Other HPS'!$BQ$550:$BQ$649)*(('C19RM 2021-Lab &amp; Other HPS'!$AG$550:$AG$649)))),IF((INDEX(SETUP!$G$19:$G$503,(MATCH(1,(SETUP!$B$19:$B$503=B41)*(SETUP!$D$19:$D$503=D41),0))))=1,(SUMPRODUCT(('C19RM 2021-Lab &amp; Other HPS'!$A$550:$D$649=E41)*('C19RM 2021-Lab &amp; Other HPS'!$BH$550:$BH$649=BJ41)*('C19RM 2021-Lab &amp; Other HPS'!$BQ$550:$BQ$649)*(('C19RM 2021-Lab &amp; Other HPS'!$AH$550:$AH$649)))),0)))),0)))</f>
        <v>0</v>
      </c>
      <c r="AE41" s="359" cm="1">
        <f t="array" ref="AE41">IF((INDEX(SETUP!$F$19:$F$503,(MATCH(1,(SETUP!$B$19:$B$503=B41)*(SETUP!$D$19:$D$503=D41),0))))="Upfront",
(SUMPRODUCT(('C19RM 2021-Lab &amp; Other HPS'!$A$550:$D$649=E41)*('C19RM 2021-Lab &amp; Other HPS'!$BH$550:$BH$649=BJ41)*('C19RM 2021-Lab &amp; Other HPS'!$BR$550:$BR$649)*(('C19RM 2021-Lab &amp; Other HPS'!$AM$550:$AM$649)))),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HPS'!$AF$550:$AF$649)))),IF((INDEX(SETUP!$G$19:$G$503,(MATCH(1,(SETUP!$B$19:$B$503=B41)*(SETUP!$D$19:$D$503=D41),0))))=3,(SUMPRODUCT(('C19RM 2021-Lab &amp; Other HPS'!$A$550:$D$649=E41)*('C19RM 2021-Lab &amp; Other HPS'!$BH$550:$BH$649=BJ41)*('C19RM 2021-Lab &amp; Other HPS'!$BQ$550:$BQ$649)*(('C19RM 2021-Lab &amp; Other HPS'!$AG$550:$AG$649)))),IF((INDEX(SETUP!$G$19:$G$503,(MATCH(1,(SETUP!$B$19:$B$503=B41)*(SETUP!$D$19:$D$503=D41),0))))=2,(SUMPRODUCT(('C19RM 2021-Lab &amp; Other HPS'!$A$550:$D$649=E41)*('C19RM 2021-Lab &amp; Other HPS'!$BH$550:$BH$649=BJ41)*('C19RM 2021-Lab &amp; Other HPS'!$BQ$550:$BQ$649)*(('C19RM 2021-Lab &amp; Other HPS'!$AH$550:$AH$649)))),IF((INDEX(SETUP!$G$19:$G$503,(MATCH(1,(SETUP!$B$19:$B$503=B41)*(SETUP!$D$19:$D$503=D41),0))))=1,(SUMPRODUCT(('C19RM 2021-Lab &amp; Other HPS'!$A$550:$D$649=E41)*('C19RM 2021-Lab &amp; Other HPS'!$BH$550:$BH$649=BJ41)*('C19RM 2021-Lab &amp; Other HPS'!$BR$550:$BR$649)*(('C19RM 2021-Lab &amp; Other HPS'!$AL$550:$AL$649)))),0)))),0)))</f>
        <v>0</v>
      </c>
      <c r="AF41" s="359" cm="1">
        <f t="array" ref="AF41">IF((INDEX(SETUP!$F$19:$F$503,(MATCH(1,(SETUP!$B$19:$B$503=B41)*(SETUP!$D$19:$D$503=D41),0))))="Upfront",
(SUMPRODUCT(('C19RM 2021-Lab &amp; Other HPS'!$A$550:$D$649=E41)*('C19RM 2021-Lab &amp; Other HPS'!$BH$550:$BH$649=BJ41)*('C19RM 2021-Lab &amp; Other HPS'!$BR$550:$BR$649)*(('C19RM 2021-Lab &amp; Other HPS'!$AN$550:$AN$649)))),
(IF((INDEX(SETUP!$F$19:$F$503,(MATCH(1,(SETUP!$B$19:$B$503=B41)*(SETUP!$D$19:$D$503=D41),0))))="At delivery",
IF((INDEX(SETUP!$G$19:$G$503,(MATCH(1,(SETUP!$B$19:$B$503=B41)*(SETUP!$D$19:$D$503=D41),0))))=4,
(SUMPRODUCT(('C19RM 2021-Lab &amp; Other HPS'!$A$550:$D$649=E41)*('C19RM 2021-Lab &amp; Other HPS'!$BH$550:$BH$649=BJ41)*('C19RM 2021-Lab &amp; Other HPS'!$BQ$550:$BQ$649)*(('C19RM 2021-Lab &amp; Other HPS'!$AG$550:$AG$649)))),IF((INDEX(SETUP!$G$19:$G$503,(MATCH(1,(SETUP!$B$19:$B$503=B41)*(SETUP!$D$19:$D$503=D41),0))))=3,(SUMPRODUCT(('C19RM 2021-Lab &amp; Other HPS'!$A$550:$D$649=E41)*('C19RM 2021-Lab &amp; Other HPS'!$BH$550:$BH$649=BJ41)*('C19RM 2021-Lab &amp; Other HPS'!$BQ$550:$BQ$649)*(('C19RM 2021-Lab &amp; Other HPS'!$AH$550:$AH$649)))),IF((INDEX(SETUP!$G$19:$G$503,(MATCH(1,(SETUP!$B$19:$B$503=B41)*(SETUP!$D$19:$D$503=D41),0))))=2,(SUMPRODUCT(('C19RM 2021-Lab &amp; Other HPS'!$A$550:$D$649=E41)*('C19RM 2021-Lab &amp; Other HPS'!$BH$550:$BH$649=BJ41)*('C19RM 2021-Lab &amp; Other HPS'!$BR$550:$BR$649)*(('C19RM 2021-Lab &amp; Other HPS'!$AL$550:$AL$649)))),IF((INDEX(SETUP!$G$19:$G$503,(MATCH(1,(SETUP!$B$19:$B$503=B41)*(SETUP!$D$19:$D$503=D41),0))))=1,(SUMPRODUCT(('C19RM 2021-Lab &amp; Other HPS'!$A$550:$D$649=E41)*('C19RM 2021-Lab &amp; Other HPS'!$BH$550:$BH$649=BJ41)*('C19RM 2021-Lab &amp; Other HPS'!$BR$550:$BR$649)*(('C19RM 2021-Lab &amp; Other HPS'!$AM$550:$AM$649)))),0)))),0)))</f>
        <v>0</v>
      </c>
      <c r="AG41" s="359" cm="1">
        <f t="array" ref="AG41">IF((INDEX(SETUP!$F$19:$F$503,(MATCH(1,(SETUP!$B$19:$B$503=B41)*(SETUP!$D$19:$D$503=D41),0))))="Upfront",(SUMPRODUCT(('C19RM 2021-Lab &amp; Other HPS'!$A$550:$D$649=E41)*('C19RM 2021-Lab &amp; Other HPS'!$BH$550:$BH$649=BJ41)*('C19RM 2021-Lab &amp; Other HPS'!$BR$550:$BR$649)*(('C19RM 2021-Lab &amp; Other HPS'!$AO$550:$AO$649)))),(IF((INDEX(SETUP!$F$19:$F$503,(MATCH(1,(SETUP!$B$19:$B$503=B41)*(SETUP!$D$19:$D$503=D41),0))))="At delivery",IF((INDEX(SETUP!$G$19:$G$503,(MATCH(1,(SETUP!$B$19:$B$503=B41)*(SETUP!$D$19:$D$503=D41),0))))=4,(SUMPRODUCT(('C19RM 2021-Lab &amp; Other HPS'!$A$550:$D$649=E41)*('C19RM 2021-Lab &amp; Other HPS'!$BH$550:$BH$649=BJ41)*('C19RM 2021-Lab &amp; Other HPS'!$BQ$550:$BQ$649)*(('C19RM 2021-Lab &amp; Other HPS'!$AH$550:$AH$649)))),IF((INDEX(SETUP!$G$19:$G$503,(MATCH(1,(SETUP!$B$19:$B$503=B41)*(SETUP!$D$19:$D$503=D41),0))))=3,(SUMPRODUCT(('C19RM 2021-Lab &amp; Other HPS'!$A$550:$D$649=E41)*('C19RM 2021-Lab &amp; Other HPS'!$BH$550:$BH$649=BJ41)*('C19RM 2021-Lab &amp; Other HPS'!$BR$550:$BR$649)*(('C19RM 2021-Lab &amp; Other HPS'!$AL$550:$AL$649)))),IF((INDEX(SETUP!$G$19:$G$503,(MATCH(1,(SETUP!$B$19:$B$503=B41)*(SETUP!$D$19:$D$503=D41),0))))=2,(SUMPRODUCT(('C19RM 2021-Lab &amp; Other HPS'!$A$550:$D$649=E41)*('C19RM 2021-Lab &amp; Other HPS'!$BH$550:$BH$649=BJ41)*('C19RM 2021-Lab &amp; Other HPS'!$BR$550:$BR$649)*(('C19RM 2021-Lab &amp; Other HPS'!$AM$550:$AM$649)))),IF((INDEX(SETUP!$G$19:$G$503,(MATCH(1,(SETUP!$B$19:$B$503=B41)*(SETUP!$D$19:$D$503=D41),0))))=1,(SUMPRODUCT(('C19RM 2021-Lab &amp; Other HPS'!$A$550:$D$649=E41)*('C19RM 2021-Lab &amp; Other HPS'!$BH$550:$BH$649=BJ41)*('C19RM 2021-Lab &amp; Other HPS'!$BR$550:$BR$649)*(('C19RM 2021-Lab &amp; Other HPS'!$AN$550:$AN$649)))),0)))),0)))</f>
        <v>0</v>
      </c>
      <c r="AH41" s="359" cm="1">
        <f t="array" ref="AH41">IF((INDEX(SETUP!$F$19:$F$503,(MATCH(1,(SETUP!$B$19:$B$503=B41)*(SETUP!$D$19:$D$503=D41),0))))="Upfront",
(SUMPRODUCT(('C19RM 2021-Lab &amp; Other HPS'!$A$550:$D$649=E41)*('C19RM 2021-Lab &amp; Other HPS'!$BH$550:$BH$649=BJ41)*('C19RM 2021-Lab &amp; Other HPS'!$BS$550:$BS$649)*(('C19RM 2021-Lab &amp; Other HPS'!$AS$550:$AS$649)))),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HPS'!$AL$550:$AL$649)))),IF((INDEX(SETUP!$G$19:$G$503,(MATCH(1,(SETUP!$B$19:$B$503=B41)*(SETUP!$D$19:$D$503=D41),0))))=3,((SUMPRODUCT(('C19RM 2021-Lab &amp; Other HPS'!$A$550:$D$649=E41)*('C19RM 2021-Lab &amp; Other HPS'!$BH$550:$BH$649=BJ41)*('C19RM 2021-Lab &amp; Other HPS'!$BR$550:$BR$649)*(('C19RM 2021-Lab &amp; Other HPS'!$AM$550:$AM$649))))),IF((INDEX(SETUP!$G$19:$G$503,(MATCH(1,(SETUP!$B$19:$B$503=B41)*(SETUP!$D$19:$D$503=D41),0))))=2,(SUMPRODUCT(('C19RM 2021-Lab &amp; Other HPS'!$A$550:$D$649=E41)*('C19RM 2021-Lab &amp; Other HPS'!$BH$550:$BH$649=BJ41)*('C19RM 2021-Lab &amp; Other HPS'!$BR$550:$BR$649)*(('C19RM 2021-Lab &amp; Other HPS'!$AN$550:$AN$649)))),IF((INDEX(SETUP!$G$19:$G$503,(MATCH(1,(SETUP!$B$19:$B$503=B41)*(SETUP!$D$19:$D$503=D41),0))))=1,(SUMPRODUCT(('C19RM 2021-Lab &amp; Other HPS'!$A$550:$D$649=E41)*('C19RM 2021-Lab &amp; Other HPS'!$BH$550:$BH$649=BJ41)*('C19RM 2021-Lab &amp; Other HPS'!$BR$550:$BR$649)*(('C19RM 2021-Lab &amp; Other HPS'!$AO$550:$AO$649)))),0)))),0)))</f>
        <v>0</v>
      </c>
      <c r="AI41" s="359" cm="1">
        <f t="array" ref="AI41">IF((INDEX(SETUP!$F$19:$F$503,(MATCH(1,(SETUP!$B$19:$B$503=B41)*(SETUP!$D$19:$D$503=D41),0))))="Upfront",
(SUMPRODUCT(('C19RM 2021-Lab &amp; Other HPS'!$A$550:$D$649=E41)*('C19RM 2021-Lab &amp; Other HPS'!$BH$550:$BH$649=BJ41)*('C19RM 2021-Lab &amp; Other HPS'!$BS$550:$BS$649)*(('C19RM 2021-Lab &amp; Other HPS'!$AT$550:$AT$649)))),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HPS'!$AM$550:$AM$649)))),IF((INDEX(SETUP!$G$19:$G$503,(MATCH(1,(SETUP!$B$19:$B$503=B41)*(SETUP!$D$19:$D$503=D41),0))))=3,((SUMPRODUCT(('C19RM 2021-Lab &amp; Other HPS'!$A$550:$D$649=E41)*('C19RM 2021-Lab &amp; Other HPS'!$BH$550:$BH$649=BJ41)*('C19RM 2021-Lab &amp; Other HPS'!$BR$550:$BR$649)*(('C19RM 2021-Lab &amp; Other HPS'!$AN$550:$AN$649))))),IF((INDEX(SETUP!$G$19:$G$503,(MATCH(1,(SETUP!$B$19:$B$503=B41)*(SETUP!$D$19:$D$503=D41),0))))=2,(SUMPRODUCT(('C19RM 2021-Lab &amp; Other HPS'!$A$550:$D$649=E41)*('C19RM 2021-Lab &amp; Other HPS'!$BH$550:$BH$649=BJ41)*('C19RM 2021-Lab &amp; Other HPS'!$BR$550:$BR$649)*(('C19RM 2021-Lab &amp; Other HPS'!$AO$550:$AO$649)))),IF((INDEX(SETUP!$G$19:$G$503,(MATCH(1,(SETUP!$B$19:$B$503=B41)*(SETUP!$D$19:$D$503=D41),0))))=1,(SUMPRODUCT(('C19RM 2021-Lab &amp; Other HPS'!$A$550:$D$649=E41)*('C19RM 2021-Lab &amp; Other HPS'!$BH$550:$BH$649=BJ41)*('C19RM 2021-Lab &amp; Other HPS'!$BS$550:$BS$649)*(('C19RM 2021-Lab &amp; Other HPS'!$AS$550:$AS$649)))),0)))),0)))</f>
        <v>0</v>
      </c>
      <c r="AJ41" s="359" cm="1">
        <f t="array" ref="AJ41">IF((INDEX(SETUP!$F$19:$F$503,(MATCH(1,(SETUP!$B$19:$B$503=B41)*(SETUP!$D$19:$D$503=D41),0))))="Upfront",
(SUMPRODUCT(('C19RM 2021-Lab &amp; Other HPS'!$A$550:$D$649=E41)*('C19RM 2021-Lab &amp; Other HPS'!$BH$550:$BH$649=BJ41)*('C19RM 2021-Lab &amp; Other HPS'!$BS$550:$BS$649)*(('C19RM 2021-Lab &amp; Other HPS'!$AU$550:$AU$649)))),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HPS'!$AN$550:$AN$649)))),IF((INDEX(SETUP!$G$19:$G$503,(MATCH(1,(SETUP!$B$19:$B$503=B41)*(SETUP!$D$19:$D$503=D41),0))))=3,((SUMPRODUCT(('C19RM 2021-Lab &amp; Other HPS'!$A$550:$D$649=E41)*('C19RM 2021-Lab &amp; Other HPS'!$BH$550:$BH$649=BJ41)*('C19RM 2021-Lab &amp; Other HPS'!$BR$550:$BR$649)*(('C19RM 2021-Lab &amp; Other HPS'!$AO$550:$AO$649))))),IF((INDEX(SETUP!$G$19:$G$503,(MATCH(1,(SETUP!$B$19:$B$503=B41)*(SETUP!$D$19:$D$503=D41),0))))=2,(SUMPRODUCT(('C19RM 2021-Lab &amp; Other HPS'!$A$550:$D$649=E41)*('C19RM 2021-Lab &amp; Other HPS'!$BH$550:$BH$649=BJ41)*('C19RM 2021-Lab &amp; Other HPS'!$BS$550:$BS$649)*(('C19RM 2021-Lab &amp; Other HPS'!$AS$550:$AS$649)))),IF((INDEX(SETUP!$G$19:$G$503,(MATCH(1,(SETUP!$B$19:$B$503=B41)*(SETUP!$D$19:$D$503=D41),0))))=1,(SUMPRODUCT(('C19RM 2021-Lab &amp; Other HPS'!$A$550:$D$649=E41)*('C19RM 2021-Lab &amp; Other HPS'!$BH$550:$BH$649=BJ41)*('C19RM 2021-Lab &amp; Other HPS'!$BS$550:$BS$649)*(('C19RM 2021-Lab &amp; Other HPS'!$AT$550:$AT$649)))),0)))),0)))</f>
        <v>0</v>
      </c>
      <c r="AK41" s="359" cm="1">
        <f t="array" ref="AK41">IF((INDEX(SETUP!$F$19:$F$503,(MATCH(1,(SETUP!$B$19:$B$503=B41)*(SETUP!$D$19:$D$503=D41),0))))="Upfront",
(SUMPRODUCT(('C19RM 2021-Lab &amp; Other HPS'!$A$550:$D$649=E41)*('C19RM 2021-Lab &amp; Other HPS'!$BH$550:$BH$649=BJ41)*('C19RM 2021-Lab &amp; Other HPS'!$BS$550:$BS$649)*(('C19RM 2021-Lab &amp; Other HPS'!$AV$550:$AV$649)))),
(IF((INDEX(SETUP!$F$19:$F$503,(MATCH(1,(SETUP!$B$19:$B$503=B41)*(SETUP!$D$19:$D$503=D41),0))))="At delivery",
IF((INDEX(SETUP!$G$19:$G$503,(MATCH(1,(SETUP!$B$19:$B$503=B41)*(SETUP!$D$19:$D$503=D41),0))))=4,
(SUMPRODUCT(('C19RM 2021-Lab &amp; Other HPS'!$A$550:$D$649=E41)*('C19RM 2021-Lab &amp; Other HPS'!$BH$550:$BH$649=BJ41)*('C19RM 2021-Lab &amp; Other HPS'!$BR$550:$BR$649)*(('C19RM 2021-Lab &amp; Other HPS'!$AO$550:$AO$649)))),IF((INDEX(SETUP!$G$19:$G$503,(MATCH(1,(SETUP!$B$19:$B$503=B41)*(SETUP!$D$19:$D$503=D41),0))))=3,((SUMPRODUCT(('C19RM 2021-Lab &amp; Other HPS'!$A$550:$D$649=E41)*('C19RM 2021-Lab &amp; Other HPS'!$BH$550:$BH$649=BJ41)*('C19RM 2021-Lab &amp; Other HPS'!$BS$550:$BS$649)*(('C19RM 2021-Lab &amp; Other HPS'!$AS$550:$AS$649))))),IF((INDEX(SETUP!$G$19:$G$503,(MATCH(1,(SETUP!$B$19:$B$503=B41)*(SETUP!$D$19:$D$503=D41),0))))=2,(SUMPRODUCT(('C19RM 2021-Lab &amp; Other HPS'!$A$550:$D$649=E41)*('C19RM 2021-Lab &amp; Other HPS'!$BH$550:$BH$649=BJ41)*('C19RM 2021-Lab &amp; Other HPS'!$BS$550:$BS$649)*(('C19RM 2021-Lab &amp; Other HPS'!$AT$550:$AT$649)))),IF((INDEX(SETUP!$G$19:$G$503,(MATCH(1,(SETUP!$B$19:$B$503=B41)*(SETUP!$D$19:$D$503=D41),0))))=1,(SUMPRODUCT(('C19RM 2021-Lab &amp; Other HPS'!$A$550:$D$649=E41)*('C19RM 2021-Lab &amp; Other HPS'!$BH$550:$BH$649=BJ41)*('C19RM 2021-Lab &amp; Other HPS'!$BS$550:$BS$649)*(('C19RM 2021-Lab &amp; Other HPS'!$AU$550:$AU$649)))),0)))),0)))</f>
        <v>0</v>
      </c>
      <c r="AL41" s="359" cm="1">
        <f t="array" ref="AL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HPS'!$AS$550:$AS$649)))),IF((INDEX(SETUP!$G$19:$G$503,(MATCH(1,(SETUP!$B$19:$B$503=B41)*(SETUP!$D$19:$D$503=D41),0))))=3,(SUMPRODUCT(('C19RM 2021-Lab &amp; Other HPS'!$A$550:$D$649=E41)*('C19RM 2021-Lab &amp; Other HPS'!$BH$550:$BH$649=BJ41)*('C19RM 2021-Lab &amp; Other HPS'!$BS$550:$BS$649)*(('C19RM 2021-Lab &amp; Other HPS'!$AT$550:$AT$649)))),IF((INDEX(SETUP!$G$19:$G$503,(MATCH(1,(SETUP!$B$19:$B$503=B41)*(SETUP!$D$19:$D$503=D41),0))))=2,(SUMPRODUCT(('C19RM 2021-Lab &amp; Other HPS'!$A$550:$D$649=E41)*('C19RM 2021-Lab &amp; Other HPS'!$BH$550:$BH$649=BJ41)*('C19RM 2021-Lab &amp; Other HPS'!$BS$550:$BS$649)*(('C19RM 2021-Lab &amp; Other HPS'!$AU$550:$AU$649)))),
IF((INDEX(SETUP!$G$19:$G$503,(MATCH(1,(SETUP!$B$19:$B$503=B41)*(SETUP!$D$19:$D$503=D41),0))))=1,
(SUMPRODUCT(('C19RM 2021-Lab &amp; Other HPS'!$A$550:$D$649=E41)*('C19RM 2021-Lab &amp; Other HPS'!$BH$550:$BH$649=BJ41)*('C19RM 2021-Lab &amp; Other HPS'!$BS$550:$BS$649)*(('C19RM 2021-Lab &amp; Other HPS'!$AV$550:$AV$649)))),0)))),0)))</f>
        <v>0</v>
      </c>
      <c r="AM41" s="359" cm="1">
        <f t="array" ref="AM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HPS'!$AT$550:$AT$649)))),IF((INDEX(SETUP!$G$19:$G$503,(MATCH(1,(SETUP!$B$19:$B$503=B41)*(SETUP!$D$19:$D$503=D41),0))))=3,(SUMPRODUCT(('C19RM 2021-Lab &amp; Other HPS'!$A$550:$D$649=E41)*('C19RM 2021-Lab &amp; Other HPS'!$BH$550:$BH$649=BJ41)*('C19RM 2021-Lab &amp; Other HPS'!$BS$550:$BS$649)*(('C19RM 2021-Lab &amp; Other HPS'!$AU$550:$AU$649)))),IF((INDEX(SETUP!$G$19:$G$503,(MATCH(1,(SETUP!$B$19:$B$503=B41)*(SETUP!$D$19:$D$503=D41),0))))=2,(SUMPRODUCT(('C19RM 2021-Lab &amp; Other HPS'!$A$550:$D$649=E41)*('C19RM 2021-Lab &amp; Other HPS'!$BH$550:$BH$649=BJ41)*('C19RM 2021-Lab &amp; Other HPS'!$BS$550:$BS$649)*(('C19RM 2021-Lab &amp; Other HPS'!$AV$550:$AV$649)))),IF((INDEX(SETUP!$G$19:$G$503,(MATCH(1,(SETUP!$B$19:$B$503=B41)*(SETUP!$D$19:$D$503=D41),0))))=1,(0),0)))),0)))</f>
        <v>0</v>
      </c>
      <c r="AN41" s="359" cm="1">
        <f t="array" ref="AN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HPS'!$AU$550:$AU$649)))),IF((INDEX(SETUP!$G$19:$G$503,(MATCH(1,(SETUP!$B$19:$B$503=B41)*(SETUP!$D$19:$D$503=D41),0))))=3,(SUMPRODUCT(('C19RM 2021-Lab &amp; Other HPS'!$A$550:$D$649=E41)*('C19RM 2021-Lab &amp; Other HPS'!$BH$550:$BH$649=BJ41)*('C19RM 2021-Lab &amp; Other HPS'!$BS$550:$BS$649)*(('C19RM 2021-Lab &amp; Other HPS'!$AV$550:$AV$649)))),IF((INDEX(SETUP!$G$19:$G$503,(MATCH(1,(SETUP!$B$19:$B$503=B41)*(SETUP!$D$19:$D$503=D41),0))))=2,(0),IF((INDEX(SETUP!$G$19:$G$503,(MATCH(1,(SETUP!$B$19:$B$503=B41)*(SETUP!$D$19:$D$503=D41),0))))=1,(0),0)))),0)))</f>
        <v>0</v>
      </c>
      <c r="AO41" s="359" cm="1">
        <f t="array" ref="AO41">IF((INDEX(SETUP!$F$19:$F$503,(MATCH(1,(SETUP!$B$19:$B$503=B41)*(SETUP!$D$19:$D$503=D41),0))))="Upfront",0,(IF((INDEX(SETUP!$F$19:$F$503,(MATCH(1,(SETUP!$B$19:$B$503=B41)*(SETUP!$D$19:$D$503=D41),0))))="At delivery",IF((INDEX(SETUP!$G$19:$G$503,(MATCH(1,(SETUP!$B$19:$B$503=B41)*(SETUP!$D$19:$D$503=D41),0))))=4,(SUMPRODUCT(('C19RM 2021-Lab &amp; Other HPS'!$A$550:$D$649=E41)*('C19RM 2021-Lab &amp; Other HPS'!$BH$550:$BH$649=BJ41)*('C19RM 2021-Lab &amp; Other HPS'!$BS$550:$BS$649)*(('C19RM 2021-Lab &amp; Other HPS'!$AV$550:$AV$649)))),IF((INDEX(SETUP!$G$19:$G$503,(MATCH(1,(SETUP!$B$19:$B$503=B41)*(SETUP!$D$19:$D$503=D41),0))))=3,(0),IF((INDEX(SETUP!$G$19:$G$503,(MATCH(1,(SETUP!$B$19:$B$503=B41)*(SETUP!$D$19:$D$503=D41),0))))=2,(0),IF((INDEX(SETUP!$G$19:$G$503,(MATCH(1,(SETUP!$B$19:$B$503=B41)*(SETUP!$D$19:$D$503=D41),0))))=1,(0),0)))),0)))</f>
        <v>0</v>
      </c>
      <c r="AP41" s="359"/>
      <c r="AQ41" s="359"/>
      <c r="AR41" s="359"/>
      <c r="AS41" s="359"/>
      <c r="AT41" s="359" cm="1">
        <f t="array" ref="AT41">IF(BG41&gt;=1,0,IFERROR(SUMPRODUCT(($R$2:$AO$2=$AT$4)*($E$5:$E$100=E41)*($BC$5:$BC$100=BC41)*($R$5:$AO$100)),0))</f>
        <v>0</v>
      </c>
      <c r="AU41" s="359" cm="1">
        <f t="array" ref="AU41">IF(BG41&gt;=1,0,IFERROR(SUMPRODUCT(($R$2:$AO$2=$AU$4)*($E$5:$E$100=E41)*($BC$5:$BC$100=BC41)*($R$5:$AO$100)),0))</f>
        <v>0</v>
      </c>
      <c r="AV41" s="359" cm="1">
        <f t="array" ref="AV41">IF(BG41&gt;=1,0,IFERROR(SUMPRODUCT(($R$2:$AO$2=$AV$4)*($E$5:$E$100=E41)*($BC$5:$BC$100=BC41)*($R$5:$AO$100)),0))</f>
        <v>0</v>
      </c>
      <c r="AW41" s="359" cm="1">
        <f t="array" ref="AW41">IF(BG41&gt;=1,0,IFERROR(SUMPRODUCT(($R$2:$AO$2=$AW$4)*($E$5:$E$100=E41)*($BC$5:$BC$100=BC41)*($R$5:$AO$100)),0))</f>
        <v>0</v>
      </c>
      <c r="AX41" s="359" cm="1">
        <f t="array" ref="AX41">IF(BG41&gt;=1,0,IFERROR(SUMPRODUCT(($R$2:$AO$2=$AX$4)*($E$5:$E$100=E41)*($BC$5:$BC$100=BC41)*($R$5:$AO$100)),0))</f>
        <v>0</v>
      </c>
      <c r="AY41" s="359">
        <f t="shared" si="5"/>
        <v>0</v>
      </c>
      <c r="BA41" s="233">
        <f t="shared" si="27"/>
        <v>0</v>
      </c>
      <c r="BB41" s="220" t="s">
        <v>83</v>
      </c>
      <c r="BC41" t="s">
        <v>180</v>
      </c>
      <c r="BD41" cm="1">
        <f t="array" ref="BD41">(SUMPRODUCT(('C19RM 2021-Lab &amp; Other HPS'!$A$14:$D$650=E41)*('C19RM 2021-Lab &amp; Other HPS'!$BU$14:$BU$650)))</f>
        <v>0</v>
      </c>
      <c r="BE41" cm="1">
        <f t="array" ref="BE41">(SUMPRODUCT((SETUP!$D$20:$D$67=D41)*(SETUP!$R$20:$R$67)))</f>
        <v>0</v>
      </c>
      <c r="BF41" cm="1">
        <f t="array" ref="BF41">(SUMPRODUCT(('C19RM 2021-Lab &amp; Other HPS'!$A$14:$D$650=E41)*('C19RM 2021-Lab &amp; Other HPS'!$BV$14:$BV$650)))</f>
        <v>0</v>
      </c>
      <c r="BG41">
        <f t="shared" ref="BG41:BG44" si="28">SUM(BD41:BE41)</f>
        <v>0</v>
      </c>
      <c r="BJ41">
        <v>5.6</v>
      </c>
    </row>
    <row r="42" spans="1:62" x14ac:dyDescent="0.35">
      <c r="A42">
        <v>6</v>
      </c>
      <c r="B42" s="220" t="s">
        <v>2750</v>
      </c>
      <c r="C42" s="235" t="s">
        <v>3196</v>
      </c>
      <c r="D42" s="235" t="s">
        <v>31</v>
      </c>
      <c r="E42" s="220" t="s">
        <v>2766</v>
      </c>
      <c r="F42" s="220">
        <f>SETUP!$E$3</f>
        <v>0</v>
      </c>
      <c r="G42" s="220" t="str">
        <f ca="1">SETUP!$J$5</f>
        <v>NA</v>
      </c>
      <c r="H42" s="220" t="str">
        <f>SETUP!$E$9</f>
        <v>C19RM</v>
      </c>
      <c r="I42" s="232">
        <f t="shared" si="22"/>
        <v>44197</v>
      </c>
      <c r="J42" s="232">
        <f>SETUP!$L$14</f>
        <v>46022</v>
      </c>
      <c r="K42" s="220">
        <f>IFERROR(VLOOKUP(E42,'Master Data-C19RM'!$A$5:$B$35,2,0),0)</f>
        <v>0</v>
      </c>
      <c r="L42">
        <f t="shared" si="23"/>
        <v>0</v>
      </c>
      <c r="M42">
        <f>SETUP!$E$7</f>
        <v>0</v>
      </c>
      <c r="N42">
        <f>SETUP!$F$76</f>
        <v>6.1</v>
      </c>
      <c r="O42" t="str" cm="1">
        <f t="array" ref="O42">INDEX(SETUP!$E$19:$E$503,(MATCH(1,(SETUP!$B$19:$B$503=B42)*(SETUP!$D$19:$D$503=D42),0)))</f>
        <v>PR/SR</v>
      </c>
      <c r="P42" t="str" cm="1">
        <f t="array" ref="P42">INDEX(SETUP!$F$19:$F$503,(MATCH(1,(SETUP!$B$19:$B$503=B42)*(SETUP!$D$19:$D$503=D42),0)))</f>
        <v>At delivery</v>
      </c>
      <c r="Q42" cm="1">
        <f t="array" ref="Q42">INDEX(SETUP!$G$19:$G$503,(MATCH(1,(SETUP!$B$19:$B$503=B42)*(SETUP!$D$19:$D$503=D42),0)))</f>
        <v>1</v>
      </c>
      <c r="R42" s="359" cm="1">
        <f t="array" ref="R42">IF((INDEX(SETUP!$F$19:$F$503,(MATCH(1,(SETUP!$B$19:$B$503=B42)*(SETUP!$D$19:$D$503=D42),0))))="Upfront",(SUMPRODUCT(('C19RM 2021-Lab &amp; Other HPS'!$A$550:$D$649=E42)*('C19RM 2021-Lab &amp; Other HPS'!$BH$550:$BH$649=BJ42)*('C19RM 2021-Lab &amp; Other HPS'!$BO$550:$BO$649)*(('C19RM 2021-Lab &amp; Other HPS'!$Q$550:$Q$649)))),0)</f>
        <v>0</v>
      </c>
      <c r="S42" s="359" cm="1">
        <f t="array" ref="S42">IF((INDEX(SETUP!$F$19:$F$503,(MATCH(1,(SETUP!$B$19:$B$503=B42)*(SETUP!$D$19:$D$503=D42),0))))="Upfront",(SUMPRODUCT(('C19RM 2021-Lab &amp; Other HPS'!$A$550:$D$649=E42)*('C19RM 2021-Lab &amp; Other HPS'!$BH$550:$BH$649=BJ42)*('C19RM 2021-Lab &amp; Other HPS'!$BO$550:$BO$649)*(('C19RM 2021-Lab &amp; Other HPS'!$R$550:$R$649)))),(IF((INDEX(SETUP!$F$19:$F$503,(MATCH(1,(SETUP!$B$19:$B$503=B42)*(SETUP!$D$19:$D$503=D42),0))))="At delivery",IF((INDEX(SETUP!$G$19:$G$503,(MATCH(1,(SETUP!$B$19:$B$503=B42)*(SETUP!$D$19:$D$503=D42),0))))=1,(SUMPRODUCT(('C19RM 2021-Lab &amp; Other HPS'!$A$550:$D$649=E42)*('C19RM 2021-Lab &amp; Other HPS'!$BH$550:$BH$649=BJ42)*('C19RM 2021-Lab &amp; Other HPS'!$BO$550:$BO$649)*(('C19RM 2021-Lab &amp; Other HPS'!$Q$550:$Q$649)))),0),0)))</f>
        <v>0</v>
      </c>
      <c r="T42" s="359" cm="1">
        <f t="array" ref="T42">IF((INDEX(SETUP!$F$19:$F$503,(MATCH(1,(SETUP!$B$19:$B$503=B42)*(SETUP!$D$19:$D$503=D42),0))))="Upfront",(SUMPRODUCT(('C19RM 2021-Lab &amp; Other HPS'!$A$550:$D$649=E42)*('C19RM 2021-Lab &amp; Other HPS'!$BH$550:$BH$649=BJ42)*('C19RM 2021-Lab &amp; Other HPS'!$BO$550:$BO$649)*(('C19RM 2021-Lab &amp; Other HPS'!$S$550:$S$649)))),(IF((INDEX(SETUP!$F$19:$F$503,(MATCH(1,(SETUP!$B$19:$B$503=B42)*(SETUP!$D$19:$D$503=D42),0))))="At delivery",IF((INDEX(SETUP!$G$19:$G$503,(MATCH(1,(SETUP!$B$19:$B$503=B42)*(SETUP!$D$19:$D$503=D42),0))))=2,(SUMPRODUCT(('C19RM 2021-Lab &amp; Other HPS'!$A$550:$D$649=E42)*('C19RM 2021-Lab &amp; Other HPS'!$BH$550:$BH$649=BJ42)*('C19RM 2021-Lab &amp; Other HPS'!$BO$550:$BO$649)*(('C19RM 2021-Lab &amp; Other HPS'!$Q$550:$Q$649)))),IF((INDEX(SETUP!$G$19:$G$503,(MATCH(1,(SETUP!$B$19:$B$503=B42)*(SETUP!$D$19:$D$503=D42),0))))=1,(SUMPRODUCT(('C19RM 2021-Lab &amp; Other HPS'!$A$550:$D$649=E42)*('C19RM 2021-Lab &amp; Other HPS'!$BH$550:$BH$649=BJ42)*('C19RM 2021-Lab &amp; Other HPS'!$BO$550:$BO$649)*(('C19RM 2021-Lab &amp; Other HPS'!$R$550:$R$649)))),0)),0)))</f>
        <v>0</v>
      </c>
      <c r="U42" s="359" cm="1">
        <f t="array" ref="U42">IF((INDEX(SETUP!$F$19:$F$503,(MATCH(1,(SETUP!$B$19:$B$503=B42)*(SETUP!$D$19:$D$503=D42),0))))="Upfront",(SUMPRODUCT(('C19RM 2021-Lab &amp; Other HPS'!$A$550:$D$649=E42)*('C19RM 2021-Lab &amp; Other HPS'!$BH$550:$BH$649=BJ42)*('C19RM 2021-Lab &amp; Other HPS'!$BO$550:$BO$649)*(('C19RM 2021-Lab &amp; Other HPS'!$T$550:$T$649)))),(IF((INDEX(SETUP!$F$19:$F$503,(MATCH(1,(SETUP!$B$19:$B$503=B42)*(SETUP!$D$19:$D$503=D42),0))))="At delivery",IF((INDEX(SETUP!$G$19:$G$503,(MATCH(1,(SETUP!$B$19:$B$503=B42)*(SETUP!$D$19:$D$503=D42),0))))=3,(SUMPRODUCT(('C19RM 2021-Lab &amp; Other HPS'!$A$550:$D$649=E42)*('C19RM 2021-Lab &amp; Other HPS'!$BH$550:$BH$649=BJ42)*('C19RM 2021-Lab &amp; Other HPS'!$BO$550:$BO$649)*(('C19RM 2021-Lab &amp; Other HPS'!$Q$550:$Q$649)))),IF((INDEX(SETUP!$G$19:$G$503,(MATCH(1,(SETUP!$B$19:$B$503=B42)*(SETUP!$D$19:$D$503=D42),0))))=2,(SUMPRODUCT(('C19RM 2021-Lab &amp; Other HPS'!$A$550:$D$649=E42)*('C19RM 2021-Lab &amp; Other HPS'!$BH$550:$BH$649=BJ42)*('C19RM 2021-Lab &amp; Other HPS'!$BO$550:$BO$649)*(('C19RM 2021-Lab &amp; Other HPS'!$R$550:$R$649)))),IF((INDEX(SETUP!$G$19:$G$503,(MATCH(1,(SETUP!$B$19:$B$503=B42)*(SETUP!$D$19:$D$503=D42),0))))=1,(SUMPRODUCT(('C19RM 2021-Lab &amp; Other HPS'!$A$550:$D$649=E42)*('C19RM 2021-Lab &amp; Other HPS'!$BH$550:$BH$649=BJ42)*('C19RM 2021-Lab &amp; Other HPS'!$BO$550:$BO$649)*(('C19RM 2021-Lab &amp; Other HPS'!$S$550:$S$649)))),0))),0)))</f>
        <v>0</v>
      </c>
      <c r="V42" s="359" cm="1">
        <f t="array" ref="V42">IF((INDEX(SETUP!$F$19:$F$503,(MATCH(1,(SETUP!$B$19:$B$503=B42)*(SETUP!$D$19:$D$503=D42),0))))="Upfront",(SUMPRODUCT(('C19RM 2021-Lab &amp; Other HPS'!$A$550:$D$649=E42)*('C19RM 2021-Lab &amp; Other HPS'!$BH$550:$BH$649=BJ42)*('C19RM 2021-Lab &amp; Other HPS'!$BP$550:$BP$649)*(('C19RM 2021-Lab &amp; Other HPS'!$X$550:$X$649)))),(IF((INDEX(SETUP!$F$19:$F$503,(MATCH(1,(SETUP!$B$19:$B$503=B42)*(SETUP!$D$19:$D$503=D42),0))))="At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HPS'!$Q$550:$Q$649)))),IF((INDEX(SETUP!$G$19:$G$503,(MATCH(1,(SETUP!$B$19:$B$503=B42)*(SETUP!$D$19:$D$503=D42),0))))=3,(SUMPRODUCT(('C19RM 2021-Lab &amp; Other HPS'!$A$550:$D$649=E42)*('C19RM 2021-Lab &amp; Other HPS'!$BH$550:$BH$649=BJ42)*('C19RM 2021-Lab &amp; Other HPS'!$BO$550:$BO$649)*(('C19RM 2021-Lab &amp; Other HPS'!$R$550:$R$649)))),IF((INDEX(SETUP!$G$19:$G$503,(MATCH(1,(SETUP!$B$19:$B$503=B42)*(SETUP!$D$19:$D$503=D42),0))))=2,(SUMPRODUCT(('C19RM 2021-Lab &amp; Other HPS'!$A$550:$D$649=E42)*('C19RM 2021-Lab &amp; Other HPS'!$BH$550:$BH$649=BJ42)*('C19RM 2021-Lab &amp; Other HPS'!$BO$550:$BO$649)*(('C19RM 2021-Lab &amp; Other HPS'!$S$550:$S$649)))),IF((INDEX(SETUP!$G$19:$G$503,(MATCH(1,(SETUP!$B$19:$B$503=B42)*(SETUP!$D$19:$D$503=D42),0))))=1,(SUMPRODUCT(('C19RM 2021-Lab &amp; Other HPS'!$A$550:$D$649=E42)*('C19RM 2021-Lab &amp; Other HPS'!$BH$550:$BH$649=BJ42)*('C19RM 2021-Lab &amp; Other HPS'!$BO$550:$BO$649)*(('C19RM 2021-Lab &amp; Other HPS'!$T$550:$T$649)))),0)))),0)))</f>
        <v>0</v>
      </c>
      <c r="W42" s="359" cm="1">
        <f t="array" ref="W42">IF((INDEX(SETUP!$F$19:$F$503,(MATCH(1,(SETUP!$B$19:$B$503=B42)*(SETUP!$D$19:$D$503=D42),0))))="Upfront",(SUMPRODUCT(('C19RM 2021-Lab &amp; Other HPS'!$A$550:$D$649=E42)*('C19RM 2021-Lab &amp; Other HPS'!$BH$550:$BH$649=BJ42)*('C19RM 2021-Lab &amp; Other HPS'!$BP$550:$BP$649)*(('C19RM 2021-Lab &amp; Other HPS'!$Y$550:$Y$649)))),(IF((INDEX(SETUP!$F$19:$F$503,(MATCH(1,(SETUP!$B$19:$B$503=B42)*(SETUP!$D$19:$D$503=D42),0))))="At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HPS'!$R$550:$R$649)))),IF((INDEX(SETUP!$G$19:$G$503,(MATCH(1,(SETUP!$B$19:$B$503=B42)*(SETUP!$D$19:$D$503=D42),0))))=3,(SUMPRODUCT(('C19RM 2021-Lab &amp; Other HPS'!$A$550:$D$649=E42)*('C19RM 2021-Lab &amp; Other HPS'!$BH$550:$BH$649=BJ42)*('C19RM 2021-Lab &amp; Other HPS'!$BO$550:$BO$649)*(('C19RM 2021-Lab &amp; Other HPS'!$S$550:$S$649)))),IF((INDEX(SETUP!$G$19:$G$503,(MATCH(1,(SETUP!$B$19:$B$503=B42)*(SETUP!$D$19:$D$503=D42),0))))=2,((SUMPRODUCT(('C19RM 2021-Lab &amp; Other HPS'!$A$550:$D$649=E42)*('C19RM 2021-Lab &amp; Other HPS'!$BH$550:$BH$649=BJ42)*('C19RM 2021-Lab &amp; Other HPS'!$BO$550:$BO$649)*(('C19RM 2021-Lab &amp; Other HPS'!$T$550:$T$649))))),IF((INDEX(SETUP!$G$19:$G$503,(MATCH(1,(SETUP!$B$19:$B$503=B42)*(SETUP!$D$19:$D$503=D42),0))))=1,(SUMPRODUCT(('C19RM 2021-Lab &amp; Other HPS'!$A$550:$D$649=E42)*('C19RM 2021-Lab &amp; Other HPS'!$BH$550:$BH$649=BJ42)*('C19RM 2021-Lab &amp; Other HPS'!$BP$550:$BP$649)*(('C19RM 2021-Lab &amp; Other HPS'!$X$550:$X$649)))),0)))),0)))</f>
        <v>0</v>
      </c>
      <c r="X42" s="359" cm="1">
        <f t="array" ref="X42">IF((INDEX(SETUP!$F$19:$F$503,(MATCH(1,(SETUP!$B$19:$B$503=B42)*(SETUP!$D$19:$D$503=D42),0))))="Upfront",(SUMPRODUCT(('C19RM 2021-Lab &amp; Other HPS'!$A$550:$D$649=E42)*('C19RM 2021-Lab &amp; Other HPS'!$BH$550:$BH$649=BJ42)*('C19RM 2021-Lab &amp; Other HPS'!$BP$550:$BP$649)*(('C19RM 2021-Lab &amp; Other HPS'!$Z$550:$Z$649)))),(IF((INDEX(SETUP!$F$19:$F$503,(MATCH(1,(SETUP!$B$19:$B$503=B42)*(SETUP!$D$19:$D$503=D42),0))))="At delivery",IF((INDEX(SETUP!$G$19:$G$503,(MATCH(1,(SETUP!$B$19:$B$503=B42)*(SETUP!$D$19:$D$503=D42),0))))=4,(SUMPRODUCT(('C19RM 2021-Lab &amp; Other HPS'!$A$550:$D$649=E42)*('C19RM 2021-Lab &amp; Other HPS'!$BH$550:$BH$649=BJ42)*('C19RM 2021-Lab &amp; Other HPS'!$BO$550:$BO$649)*(('C19RM 2021-Lab &amp; Other HPS'!$S$550:$S$649)))),IF((INDEX(SETUP!$G$19:$G$503,(MATCH(1,(SETUP!$B$19:$B$503=B42)*(SETUP!$D$19:$D$503=D42),0))))=3,((SUMPRODUCT(('C19RM 2021-Lab &amp; Other HPS'!$A$550:$D$649=E42)*('C19RM 2021-Lab &amp; Other HPS'!$BH$550:$BH$649=BJ42)*('C19RM 2021-Lab &amp; Other HPS'!$BO$550:$BO$649)*(('C19RM 2021-Lab &amp; Other HPS'!$T$550:$T$649))))),IF((INDEX(SETUP!$G$19:$G$503,(MATCH(1,(SETUP!$B$19:$B$503=B42)*(SETUP!$D$19:$D$503=D42),0))))=2,(SUMPRODUCT(('C19RM 2021-Lab &amp; Other HPS'!$A$550:$D$649=E42)*('C19RM 2021-Lab &amp; Other HPS'!$BH$550:$BH$649=BJ42)*('C19RM 2021-Lab &amp; Other HPS'!$BP$550:$BP$649)*(('C19RM 2021-Lab &amp; Other HPS'!$X$550:$X$649)))),IF((INDEX(SETUP!$G$19:$G$503,(MATCH(1,(SETUP!$B$19:$B$503=B42)*(SETUP!$D$19:$D$503=D42),0))))=1,(SUMPRODUCT(('C19RM 2021-Lab &amp; Other HPS'!$A$550:$D$649=E42)*('C19RM 2021-Lab &amp; Other HPS'!$BH$550:$BH$649=BJ42)*('C19RM 2021-Lab &amp; Other HPS'!$BP$550:$BP$649)*(('C19RM 2021-Lab &amp; Other HPS'!$Y$550:$Y$649)))),0)))),0)))</f>
        <v>0</v>
      </c>
      <c r="Y42" s="359" cm="1">
        <f t="array" ref="Y42">IF((INDEX(SETUP!$F$19:$F$503,(MATCH(1,(SETUP!$B$19:$B$503=B42)*(SETUP!$D$19:$D$503=D42),0))))="Upfront",
(SUMPRODUCT(('C19RM 2021-Lab &amp; Other HPS'!$A$550:$D$649=E42)*('C19RM 2021-Lab &amp; Other HPS'!$BH$550:$BH$649=BJ42)*('C19RM 2021-Lab &amp; Other HPS'!$BP$550:$BP$649)*(('C19RM 2021-Lab &amp; Other HPS'!$AA$550:$AA$649)))),
(IF((INDEX(SETUP!$F$19:$F$503,(MATCH(1,(SETUP!$B$19:$B$503=B42)*(SETUP!$D$19:$D$503=D42),0))))="At delivery",
IF((INDEX(SETUP!$G$19:$G$503,(MATCH(1,(SETUP!$B$19:$B$503=B42)*(SETUP!$D$19:$D$503=D42),0))))=4,
((SUMPRODUCT(('C19RM 2021-Lab &amp; Other HPS'!$A$550:$D$649=E42)*('C19RM 2021-Lab &amp; Other HPS'!$BH$550:$BH$649=BJ42)*('C19RM 2021-Lab &amp; Other HPS'!$BO$550:$BO$649)*(('C19RM 2021-Lab &amp; Other HPS'!$T$550:$T$649))))),IF((INDEX(SETUP!$G$19:$G$503,(MATCH(1,(SETUP!$B$19:$B$503=B42)*(SETUP!$D$19:$D$503=D42),0))))=3,(SUMPRODUCT(('C19RM 2021-Lab &amp; Other HPS'!$A$550:$D$649=E42)*('C19RM 2021-Lab &amp; Other HPS'!$BH$550:$BH$649=BJ42)*('C19RM 2021-Lab &amp; Other HPS'!$BP$550:$BP$649)*(('C19RM 2021-Lab &amp; Other HPS'!$X$550:$X$649)))),IF((INDEX(SETUP!$G$19:$G$503,(MATCH(1,(SETUP!$B$19:$B$503=B42)*(SETUP!$D$19:$D$503=D42),0))))=2,(SUMPRODUCT(('C19RM 2021-Lab &amp; Other HPS'!$A$550:$D$649=E42)*('C19RM 2021-Lab &amp; Other HPS'!$BH$550:$BH$649=BJ42)*('C19RM 2021-Lab &amp; Other HPS'!$BP$550:$BP$649)*(('C19RM 2021-Lab &amp; Other HPS'!$Y$550:$Y$649)))),IF((INDEX(SETUP!$G$19:$G$503,(MATCH(1,(SETUP!$B$19:$B$503=B42)*(SETUP!$D$19:$D$503=D42),0))))=1,(SUMPRODUCT(('C19RM 2021-Lab &amp; Other HPS'!$A$550:$D$649=E42)*('C19RM 2021-Lab &amp; Other HPS'!$BH$550:$BH$649=BJ42)*('C19RM 2021-Lab &amp; Other HPS'!$BP$550:$BP$649)*(('C19RM 2021-Lab &amp; Other HPS'!$Z$550:$Z$649)))),0)))),0)))</f>
        <v>0</v>
      </c>
      <c r="Z42" s="359" cm="1">
        <f t="array" ref="Z42">IF((INDEX(SETUP!$F$19:$F$503,(MATCH(1,(SETUP!$B$19:$B$503=B42)*(SETUP!$D$19:$D$503=D42),0))))="Upfront",(SUMPRODUCT(('C19RM 2021-Lab &amp; Other HPS'!$A$550:$D$649=E42)*('C19RM 2021-Lab &amp; Other HPS'!$BH$550:$BH$649=BJ42)*('C19RM 2021-Lab &amp; Other HPS'!$BQ$550:$BQ$649)*(('C19RM 2021-Lab &amp; Other HPS'!$AE$550:$AE$649)))),(IF((INDEX(SETUP!$F$19:$F$503,(MATCH(1,(SETUP!$B$19:$B$503=B42)*(SETUP!$D$19:$D$503=D42),0))))="At delivery",IF((INDEX(SETUP!$G$19:$G$503,(MATCH(1,(SETUP!$B$19:$B$503=B42)*(SETUP!$D$19:$D$503=D42),0))))=4,(SUMPRODUCT(('C19RM 2021-Lab &amp; Other HPS'!$A$550:$D$649=E42)*('C19RM 2021-Lab &amp; Other HPS'!$BH$550:$BH$649=BJ42)*('C19RM 2021-Lab &amp; Other HPS'!$BP$550:$BP$649)*(('C19RM 2021-Lab &amp; Other HPS'!$X$550:$X$649)))),IF((INDEX(SETUP!$G$19:$G$503,(MATCH(1,(SETUP!$B$19:$B$503=B42)*(SETUP!$D$19:$D$503=D42),0))))=3,(SUMPRODUCT(('C19RM 2021-Lab &amp; Other HPS'!$A$550:$D$649=E42)*('C19RM 2021-Lab &amp; Other HPS'!$BH$550:$BH$649=BJ42)*('C19RM 2021-Lab &amp; Other HPS'!$BP$550:$BP$649)*(('C19RM 2021-Lab &amp; Other HPS'!$Y$550:$Y$649)))),IF((INDEX(SETUP!$G$19:$G$503,(MATCH(1,(SETUP!$B$19:$B$503=B42)*(SETUP!$D$19:$D$503=D42),0))))=2,(SUMPRODUCT(('C19RM 2021-Lab &amp; Other HPS'!$A$550:$D$649=E42)*('C19RM 2021-Lab &amp; Other HPS'!$BH$550:$BH$649=BJ42)*('C19RM 2021-Lab &amp; Other HPS'!$BP$550:$BP$649)*(('C19RM 2021-Lab &amp; Other HPS'!$Z$550:$Z$649)))),IF((INDEX(SETUP!$G$19:$G$503,(MATCH(1,(SETUP!$B$19:$B$503=B42)*(SETUP!$D$19:$D$503=D42),0))))=1,(SUMPRODUCT(('C19RM 2021-Lab &amp; Other HPS'!$A$550:$D$649=E42)*('C19RM 2021-Lab &amp; Other HPS'!$BH$550:$BH$649=BJ42)*('C19RM 2021-Lab &amp; Other HPS'!$BP$550:$BP$649)*(('C19RM 2021-Lab &amp; Other HPS'!$AA$550:$AA$649)))),0)))),0)))</f>
        <v>0</v>
      </c>
      <c r="AA42" s="359" cm="1">
        <f t="array" ref="AA42">IF((INDEX(SETUP!$F$19:$F$503,(MATCH(1,(SETUP!$B$19:$B$503=B42)*(SETUP!$D$19:$D$503=D42),0))))="Upfront",(SUMPRODUCT(('C19RM 2021-Lab &amp; Other HPS'!$A$550:$D$649=E42)*('C19RM 2021-Lab &amp; Other HPS'!$BH$550:$BH$649=BJ42)*('C19RM 2021-Lab &amp; Other HPS'!$BQ$550:$BQ$649)*(('C19RM 2021-Lab &amp; Other HPS'!$AF$550:$AF$649)))),(IF((INDEX(SETUP!$F$19:$F$503,(MATCH(1,(SETUP!$B$19:$B$503=B42)*(SETUP!$D$19:$D$503=D42),0))))="At delivery",IF((INDEX(SETUP!$G$19:$G$503,(MATCH(1,(SETUP!$B$19:$B$503=B42)*(SETUP!$D$19:$D$503=D42),0))))=4,(SUMPRODUCT(('C19RM 2021-Lab &amp; Other HPS'!$A$550:$D$649=E42)*('C19RM 2021-Lab &amp; Other HPS'!$BH$550:$BH$649=BJ42)*('C19RM 2021-Lab &amp; Other HPS'!$BP$550:$BP$649)*(('C19RM 2021-Lab &amp; Other HPS'!$Y$550:$Y$649)))),IF((INDEX(SETUP!$G$19:$G$503,(MATCH(1,(SETUP!$B$19:$B$503=B42)*(SETUP!$D$19:$D$503=D42),0))))=3,(SUMPRODUCT(('C19RM 2021-Lab &amp; Other HPS'!$A$550:$D$649=E42)*('C19RM 2021-Lab &amp; Other HPS'!$BH$550:$BH$649=BJ42)*('C19RM 2021-Lab &amp; Other HPS'!$BP$550:$BP$649)*(('C19RM 2021-Lab &amp; Other HPS'!$Z$550:$Z$649)))),IF((INDEX(SETUP!$G$19:$G$503,(MATCH(1,(SETUP!$B$19:$B$503=B42)*(SETUP!$D$19:$D$503=D42),0))))=2,((SUMPRODUCT(('C19RM 2021-Lab &amp; Other HPS'!$A$550:$D$649=E42)*('C19RM 2021-Lab &amp; Other HPS'!$BH$550:$BH$649=BJ42)*('C19RM 2021-Lab &amp; Other HPS'!$BP$550:$BP$649)*(('C19RM 2021-Lab &amp; Other HPS'!$AA$550:$AA$649))))),IF((INDEX(SETUP!$G$19:$G$503,(MATCH(1,(SETUP!$B$19:$B$503=B42)*(SETUP!$D$19:$D$503=D42),0))))=1,(SUMPRODUCT(('C19RM 2021-Lab &amp; Other HPS'!$A$550:$D$649=E42)*('C19RM 2021-Lab &amp; Other HPS'!$BH$550:$BH$649=BJ42)*('C19RM 2021-Lab &amp; Other HPS'!$BQ$550:$BQ$649)*(('C19RM 2021-Lab &amp; Other HPS'!$AE$550:$AE$649)))),0)))),0)))</f>
        <v>0</v>
      </c>
      <c r="AB42" s="359" cm="1">
        <f t="array" ref="AB42">IF((INDEX(SETUP!$F$19:$F$503,(MATCH(1,(SETUP!$B$19:$B$503=B42)*(SETUP!$D$19:$D$503=D42),0))))="Upfront",
(SUMPRODUCT(('C19RM 2021-Lab &amp; Other HPS'!$A$550:$D$649=E42)*('C19RM 2021-Lab &amp; Other HPS'!$BH$550:$BH$649=BJ42)*('C19RM 2021-Lab &amp; Other HPS'!$BQ$550:$BQ$649)*(('C19RM 2021-Lab &amp; Other HPS'!$AG$550:$AG$649)))),
(IF((INDEX(SETUP!$F$19:$F$503,(MATCH(1,(SETUP!$B$19:$B$503=B42)*(SETUP!$D$19:$D$503=D42),0))))="At delivery",
IF((INDEX(SETUP!$G$19:$G$503,(MATCH(1,(SETUP!$B$19:$B$503=B42)*(SETUP!$D$19:$D$503=D42),0))))=4,
(SUMPRODUCT(('C19RM 2021-Lab &amp; Other HPS'!$A$550:$D$649=E42)*('C19RM 2021-Lab &amp; Other HPS'!$BH$550:$BH$649=BJ42)*('C19RM 2021-Lab &amp; Other HPS'!$BP$550:$BP$649)*(('C19RM 2021-Lab &amp; Other HPS'!$Z$550:$Z$649)))),IF((INDEX(SETUP!$G$19:$G$503,(MATCH(1,(SETUP!$B$19:$B$503=B42)*(SETUP!$D$19:$D$503=D42),0))))=3,(SUMPRODUCT(('C19RM 2021-Lab &amp; Other HPS'!$A$550:$D$649=E42)*('C19RM 2021-Lab &amp; Other HPS'!$BH$550:$BH$649=BJ42)*('C19RM 2021-Lab &amp; Other HPS'!$BP$550:$BP$649)*(('C19RM 2021-Lab &amp; Other HPS'!$AA$550:$AA$649)))),IF((INDEX(SETUP!$G$19:$G$503,(MATCH(1,(SETUP!$B$19:$B$503=B42)*(SETUP!$D$19:$D$503=D42),0))))=2,(SUMPRODUCT(('C19RM 2021-Lab &amp; Other HPS'!$A$550:$D$649=E42)*('C19RM 2021-Lab &amp; Other HPS'!$BH$550:$BH$649=BJ42)*('C19RM 2021-Lab &amp; Other HPS'!$BQ$550:$BQ$649)*(('C19RM 2021-Lab &amp; Other HPS'!$AE$550:$AE$649)))),IF((INDEX(SETUP!$G$19:$G$503,(MATCH(1,(SETUP!$B$19:$B$503=B42)*(SETUP!$D$19:$D$503=D42),0))))=1,(SUMPRODUCT(('C19RM 2021-Lab &amp; Other HPS'!$A$550:$D$649=E42)*('C19RM 2021-Lab &amp; Other HPS'!$BH$550:$BH$649=BJ42)*('C19RM 2021-Lab &amp; Other HPS'!$BQ$550:$BQ$649)*(('C19RM 2021-Lab &amp; Other HPS'!$AF$550:$AF$649)))),0)))),0)))</f>
        <v>0</v>
      </c>
      <c r="AC42" s="359" cm="1">
        <f t="array" ref="AC42">IF((INDEX(SETUP!$F$19:$F$503,(MATCH(1,(SETUP!$B$19:$B$503=B42)*(SETUP!$D$19:$D$503=D42),0))))="Upfront",
(SUMPRODUCT(('C19RM 2021-Lab &amp; Other HPS'!$A$550:$D$649=E42)*('C19RM 2021-Lab &amp; Other HPS'!$BH$550:$BH$649=BJ42)*('C19RM 2021-Lab &amp; Other HPS'!$BQ$550:$BQ$649)*(('C19RM 2021-Lab &amp; Other HPS'!$AH$550:$AH$649)))),
(IF((INDEX(SETUP!$F$19:$F$503,(MATCH(1,(SETUP!$B$19:$B$503=B42)*(SETUP!$D$19:$D$503=D42),0))))="At delivery",
IF((INDEX(SETUP!$G$19:$G$503,(MATCH(1,(SETUP!$B$19:$B$503=B42)*(SETUP!$D$19:$D$503=D42),0))))=4,
(SUMPRODUCT(('C19RM 2021-Lab &amp; Other HPS'!$A$550:$D$649=E42)*('C19RM 2021-Lab &amp; Other HPS'!$BH$550:$BH$649=BJ42)*('C19RM 2021-Lab &amp; Other HPS'!$BP$550:$BP$649)*(('C19RM 2021-Lab &amp; Other HPS'!$AA$550:$AA$649)))),IF((INDEX(SETUP!$G$19:$G$503,(MATCH(1,(SETUP!$B$19:$B$503=B42)*(SETUP!$D$19:$D$503=D42),0))))=3,(SUMPRODUCT(('C19RM 2021-Lab &amp; Other HPS'!$A$550:$D$649=E42)*('C19RM 2021-Lab &amp; Other HPS'!$BH$550:$BH$649=BJ42)*('C19RM 2021-Lab &amp; Other HPS'!$BQ$550:$BQ$649)*(('C19RM 2021-Lab &amp; Other HPS'!$AE$550:$AE$649)))),IF((INDEX(SETUP!$G$19:$G$503,(MATCH(1,(SETUP!$B$19:$B$503=B42)*(SETUP!$D$19:$D$503=D42),0))))=2,(SUMPRODUCT(('C19RM 2021-Lab &amp; Other HPS'!$A$550:$D$649=E42)*('C19RM 2021-Lab &amp; Other HPS'!$BH$550:$BH$649=BJ42)*('C19RM 2021-Lab &amp; Other HPS'!$BQ$550:$BQ$649)*(('C19RM 2021-Lab &amp; Other HPS'!$AF$550:$AF$649)))),IF((INDEX(SETUP!$G$19:$G$503,(MATCH(1,(SETUP!$B$19:$B$503=B42)*(SETUP!$D$19:$D$503=D42),0))))=1,(SUMPRODUCT(('C19RM 2021-Lab &amp; Other HPS'!$A$550:$D$649=E42)*('C19RM 2021-Lab &amp; Other HPS'!$BH$550:$BH$649=BJ42)*('C19RM 2021-Lab &amp; Other HPS'!$BQ$550:$BQ$649)*(('C19RM 2021-Lab &amp; Other HPS'!$AG$550:$AG$649)))),0)))),0)))</f>
        <v>0</v>
      </c>
      <c r="AD42" s="359" cm="1">
        <f t="array" ref="AD42">IF((INDEX(SETUP!$F$19:$F$503,(MATCH(1,(SETUP!$B$19:$B$503=B42)*(SETUP!$D$19:$D$503=D42),0))))="Upfront",
(SUMPRODUCT(('C19RM 2021-Lab &amp; Other HPS'!$A$550:$D$649=E42)*('C19RM 2021-Lab &amp; Other HPS'!$BH$550:$BH$649=BJ42)*('C19RM 2021-Lab &amp; Other HPS'!$BR$550:$BR$649)*(('C19RM 2021-Lab &amp; Other HPS'!$AL$550:$AL$649)))),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HPS'!$AE$550:$AE$649)))),IF((INDEX(SETUP!$G$19:$G$503,(MATCH(1,(SETUP!$B$19:$B$503=B42)*(SETUP!$D$19:$D$503=D42),0))))=3,((SUMPRODUCT(('C19RM 2021-Lab &amp; Other HPS'!$A$550:$D$649=E42)*('C19RM 2021-Lab &amp; Other HPS'!$BH$550:$BH$649=BJ42)*('C19RM 2021-Lab &amp; Other HPS'!$BQ$550:$BQ$649)*(('C19RM 2021-Lab &amp; Other HPS'!$AF$550:$AF$649))))),IF((INDEX(SETUP!$G$19:$G$503,(MATCH(1,(SETUP!$B$19:$B$503=B42)*(SETUP!$D$19:$D$503=D42),0))))=2,(SUMPRODUCT(('C19RM 2021-Lab &amp; Other HPS'!$A$550:$D$649=E42)*('C19RM 2021-Lab &amp; Other HPS'!$BH$550:$BH$649=BJ42)*('C19RM 2021-Lab &amp; Other HPS'!$BQ$550:$BQ$649)*(('C19RM 2021-Lab &amp; Other HPS'!$AG$550:$AG$649)))),IF((INDEX(SETUP!$G$19:$G$503,(MATCH(1,(SETUP!$B$19:$B$503=B42)*(SETUP!$D$19:$D$503=D42),0))))=1,(SUMPRODUCT(('C19RM 2021-Lab &amp; Other HPS'!$A$550:$D$649=E42)*('C19RM 2021-Lab &amp; Other HPS'!$BH$550:$BH$649=BJ42)*('C19RM 2021-Lab &amp; Other HPS'!$BQ$550:$BQ$649)*(('C19RM 2021-Lab &amp; Other HPS'!$AH$550:$AH$649)))),0)))),0)))</f>
        <v>0</v>
      </c>
      <c r="AE42" s="359" cm="1">
        <f t="array" ref="AE42">IF((INDEX(SETUP!$F$19:$F$503,(MATCH(1,(SETUP!$B$19:$B$503=B42)*(SETUP!$D$19:$D$503=D42),0))))="Upfront",
(SUMPRODUCT(('C19RM 2021-Lab &amp; Other HPS'!$A$550:$D$649=E42)*('C19RM 2021-Lab &amp; Other HPS'!$BH$550:$BH$649=BJ42)*('C19RM 2021-Lab &amp; Other HPS'!$BR$550:$BR$649)*(('C19RM 2021-Lab &amp; Other HPS'!$AM$550:$AM$649)))),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HPS'!$AF$550:$AF$649)))),IF((INDEX(SETUP!$G$19:$G$503,(MATCH(1,(SETUP!$B$19:$B$503=B42)*(SETUP!$D$19:$D$503=D42),0))))=3,(SUMPRODUCT(('C19RM 2021-Lab &amp; Other HPS'!$A$550:$D$649=E42)*('C19RM 2021-Lab &amp; Other HPS'!$BH$550:$BH$649=BJ42)*('C19RM 2021-Lab &amp; Other HPS'!$BQ$550:$BQ$649)*(('C19RM 2021-Lab &amp; Other HPS'!$AG$550:$AG$649)))),IF((INDEX(SETUP!$G$19:$G$503,(MATCH(1,(SETUP!$B$19:$B$503=B42)*(SETUP!$D$19:$D$503=D42),0))))=2,(SUMPRODUCT(('C19RM 2021-Lab &amp; Other HPS'!$A$550:$D$649=E42)*('C19RM 2021-Lab &amp; Other HPS'!$BH$550:$BH$649=BJ42)*('C19RM 2021-Lab &amp; Other HPS'!$BQ$550:$BQ$649)*(('C19RM 2021-Lab &amp; Other HPS'!$AH$550:$AH$649)))),IF((INDEX(SETUP!$G$19:$G$503,(MATCH(1,(SETUP!$B$19:$B$503=B42)*(SETUP!$D$19:$D$503=D42),0))))=1,(SUMPRODUCT(('C19RM 2021-Lab &amp; Other HPS'!$A$550:$D$649=E42)*('C19RM 2021-Lab &amp; Other HPS'!$BH$550:$BH$649=BJ42)*('C19RM 2021-Lab &amp; Other HPS'!$BR$550:$BR$649)*(('C19RM 2021-Lab &amp; Other HPS'!$AL$550:$AL$649)))),0)))),0)))</f>
        <v>0</v>
      </c>
      <c r="AF42" s="359" cm="1">
        <f t="array" ref="AF42">IF((INDEX(SETUP!$F$19:$F$503,(MATCH(1,(SETUP!$B$19:$B$503=B42)*(SETUP!$D$19:$D$503=D42),0))))="Upfront",
(SUMPRODUCT(('C19RM 2021-Lab &amp; Other HPS'!$A$550:$D$649=E42)*('C19RM 2021-Lab &amp; Other HPS'!$BH$550:$BH$649=BJ42)*('C19RM 2021-Lab &amp; Other HPS'!$BR$550:$BR$649)*(('C19RM 2021-Lab &amp; Other HPS'!$AN$550:$AN$649)))),
(IF((INDEX(SETUP!$F$19:$F$503,(MATCH(1,(SETUP!$B$19:$B$503=B42)*(SETUP!$D$19:$D$503=D42),0))))="At delivery",
IF((INDEX(SETUP!$G$19:$G$503,(MATCH(1,(SETUP!$B$19:$B$503=B42)*(SETUP!$D$19:$D$503=D42),0))))=4,
(SUMPRODUCT(('C19RM 2021-Lab &amp; Other HPS'!$A$550:$D$649=E42)*('C19RM 2021-Lab &amp; Other HPS'!$BH$550:$BH$649=BJ42)*('C19RM 2021-Lab &amp; Other HPS'!$BQ$550:$BQ$649)*(('C19RM 2021-Lab &amp; Other HPS'!$AG$550:$AG$649)))),IF((INDEX(SETUP!$G$19:$G$503,(MATCH(1,(SETUP!$B$19:$B$503=B42)*(SETUP!$D$19:$D$503=D42),0))))=3,(SUMPRODUCT(('C19RM 2021-Lab &amp; Other HPS'!$A$550:$D$649=E42)*('C19RM 2021-Lab &amp; Other HPS'!$BH$550:$BH$649=BJ42)*('C19RM 2021-Lab &amp; Other HPS'!$BQ$550:$BQ$649)*(('C19RM 2021-Lab &amp; Other HPS'!$AH$550:$AH$649)))),IF((INDEX(SETUP!$G$19:$G$503,(MATCH(1,(SETUP!$B$19:$B$503=B42)*(SETUP!$D$19:$D$503=D42),0))))=2,(SUMPRODUCT(('C19RM 2021-Lab &amp; Other HPS'!$A$550:$D$649=E42)*('C19RM 2021-Lab &amp; Other HPS'!$BH$550:$BH$649=BJ42)*('C19RM 2021-Lab &amp; Other HPS'!$BR$550:$BR$649)*(('C19RM 2021-Lab &amp; Other HPS'!$AL$550:$AL$649)))),IF((INDEX(SETUP!$G$19:$G$503,(MATCH(1,(SETUP!$B$19:$B$503=B42)*(SETUP!$D$19:$D$503=D42),0))))=1,(SUMPRODUCT(('C19RM 2021-Lab &amp; Other HPS'!$A$550:$D$649=E42)*('C19RM 2021-Lab &amp; Other HPS'!$BH$550:$BH$649=BJ42)*('C19RM 2021-Lab &amp; Other HPS'!$BR$550:$BR$649)*(('C19RM 2021-Lab &amp; Other HPS'!$AM$550:$AM$649)))),0)))),0)))</f>
        <v>0</v>
      </c>
      <c r="AG42" s="359" cm="1">
        <f t="array" ref="AG42">IF((INDEX(SETUP!$F$19:$F$503,(MATCH(1,(SETUP!$B$19:$B$503=B42)*(SETUP!$D$19:$D$503=D42),0))))="Upfront",(SUMPRODUCT(('C19RM 2021-Lab &amp; Other HPS'!$A$550:$D$649=E42)*('C19RM 2021-Lab &amp; Other HPS'!$BH$550:$BH$649=BJ42)*('C19RM 2021-Lab &amp; Other HPS'!$BR$550:$BR$649)*(('C19RM 2021-Lab &amp; Other HPS'!$AO$550:$AO$649)))),(IF((INDEX(SETUP!$F$19:$F$503,(MATCH(1,(SETUP!$B$19:$B$503=B42)*(SETUP!$D$19:$D$503=D42),0))))="At delivery",IF((INDEX(SETUP!$G$19:$G$503,(MATCH(1,(SETUP!$B$19:$B$503=B42)*(SETUP!$D$19:$D$503=D42),0))))=4,(SUMPRODUCT(('C19RM 2021-Lab &amp; Other HPS'!$A$550:$D$649=E42)*('C19RM 2021-Lab &amp; Other HPS'!$BH$550:$BH$649=BJ42)*('C19RM 2021-Lab &amp; Other HPS'!$BQ$550:$BQ$649)*(('C19RM 2021-Lab &amp; Other HPS'!$AH$550:$AH$649)))),IF((INDEX(SETUP!$G$19:$G$503,(MATCH(1,(SETUP!$B$19:$B$503=B42)*(SETUP!$D$19:$D$503=D42),0))))=3,(SUMPRODUCT(('C19RM 2021-Lab &amp; Other HPS'!$A$550:$D$649=E42)*('C19RM 2021-Lab &amp; Other HPS'!$BH$550:$BH$649=BJ42)*('C19RM 2021-Lab &amp; Other HPS'!$BR$550:$BR$649)*(('C19RM 2021-Lab &amp; Other HPS'!$AL$550:$AL$649)))),IF((INDEX(SETUP!$G$19:$G$503,(MATCH(1,(SETUP!$B$19:$B$503=B42)*(SETUP!$D$19:$D$503=D42),0))))=2,(SUMPRODUCT(('C19RM 2021-Lab &amp; Other HPS'!$A$550:$D$649=E42)*('C19RM 2021-Lab &amp; Other HPS'!$BH$550:$BH$649=BJ42)*('C19RM 2021-Lab &amp; Other HPS'!$BR$550:$BR$649)*(('C19RM 2021-Lab &amp; Other HPS'!$AM$550:$AM$649)))),IF((INDEX(SETUP!$G$19:$G$503,(MATCH(1,(SETUP!$B$19:$B$503=B42)*(SETUP!$D$19:$D$503=D42),0))))=1,(SUMPRODUCT(('C19RM 2021-Lab &amp; Other HPS'!$A$550:$D$649=E42)*('C19RM 2021-Lab &amp; Other HPS'!$BH$550:$BH$649=BJ42)*('C19RM 2021-Lab &amp; Other HPS'!$BR$550:$BR$649)*(('C19RM 2021-Lab &amp; Other HPS'!$AN$550:$AN$649)))),0)))),0)))</f>
        <v>0</v>
      </c>
      <c r="AH42" s="359" cm="1">
        <f t="array" ref="AH42">IF((INDEX(SETUP!$F$19:$F$503,(MATCH(1,(SETUP!$B$19:$B$503=B42)*(SETUP!$D$19:$D$503=D42),0))))="Upfront",
(SUMPRODUCT(('C19RM 2021-Lab &amp; Other HPS'!$A$550:$D$649=E42)*('C19RM 2021-Lab &amp; Other HPS'!$BH$550:$BH$649=BJ42)*('C19RM 2021-Lab &amp; Other HPS'!$BS$550:$BS$649)*(('C19RM 2021-Lab &amp; Other HPS'!$AS$550:$AS$649)))),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HPS'!$AL$550:$AL$649)))),IF((INDEX(SETUP!$G$19:$G$503,(MATCH(1,(SETUP!$B$19:$B$503=B42)*(SETUP!$D$19:$D$503=D42),0))))=3,((SUMPRODUCT(('C19RM 2021-Lab &amp; Other HPS'!$A$550:$D$649=E42)*('C19RM 2021-Lab &amp; Other HPS'!$BH$550:$BH$649=BJ42)*('C19RM 2021-Lab &amp; Other HPS'!$BR$550:$BR$649)*(('C19RM 2021-Lab &amp; Other HPS'!$AM$550:$AM$649))))),IF((INDEX(SETUP!$G$19:$G$503,(MATCH(1,(SETUP!$B$19:$B$503=B42)*(SETUP!$D$19:$D$503=D42),0))))=2,(SUMPRODUCT(('C19RM 2021-Lab &amp; Other HPS'!$A$550:$D$649=E42)*('C19RM 2021-Lab &amp; Other HPS'!$BH$550:$BH$649=BJ42)*('C19RM 2021-Lab &amp; Other HPS'!$BR$550:$BR$649)*(('C19RM 2021-Lab &amp; Other HPS'!$AN$550:$AN$649)))),IF((INDEX(SETUP!$G$19:$G$503,(MATCH(1,(SETUP!$B$19:$B$503=B42)*(SETUP!$D$19:$D$503=D42),0))))=1,(SUMPRODUCT(('C19RM 2021-Lab &amp; Other HPS'!$A$550:$D$649=E42)*('C19RM 2021-Lab &amp; Other HPS'!$BH$550:$BH$649=BJ42)*('C19RM 2021-Lab &amp; Other HPS'!$BR$550:$BR$649)*(('C19RM 2021-Lab &amp; Other HPS'!$AO$550:$AO$649)))),0)))),0)))</f>
        <v>0</v>
      </c>
      <c r="AI42" s="359" cm="1">
        <f t="array" ref="AI42">IF((INDEX(SETUP!$F$19:$F$503,(MATCH(1,(SETUP!$B$19:$B$503=B42)*(SETUP!$D$19:$D$503=D42),0))))="Upfront",
(SUMPRODUCT(('C19RM 2021-Lab &amp; Other HPS'!$A$550:$D$649=E42)*('C19RM 2021-Lab &amp; Other HPS'!$BH$550:$BH$649=BJ42)*('C19RM 2021-Lab &amp; Other HPS'!$BS$550:$BS$649)*(('C19RM 2021-Lab &amp; Other HPS'!$AT$550:$AT$649)))),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HPS'!$AM$550:$AM$649)))),IF((INDEX(SETUP!$G$19:$G$503,(MATCH(1,(SETUP!$B$19:$B$503=B42)*(SETUP!$D$19:$D$503=D42),0))))=3,((SUMPRODUCT(('C19RM 2021-Lab &amp; Other HPS'!$A$550:$D$649=E42)*('C19RM 2021-Lab &amp; Other HPS'!$BH$550:$BH$649=BJ42)*('C19RM 2021-Lab &amp; Other HPS'!$BR$550:$BR$649)*(('C19RM 2021-Lab &amp; Other HPS'!$AN$550:$AN$649))))),IF((INDEX(SETUP!$G$19:$G$503,(MATCH(1,(SETUP!$B$19:$B$503=B42)*(SETUP!$D$19:$D$503=D42),0))))=2,(SUMPRODUCT(('C19RM 2021-Lab &amp; Other HPS'!$A$550:$D$649=E42)*('C19RM 2021-Lab &amp; Other HPS'!$BH$550:$BH$649=BJ42)*('C19RM 2021-Lab &amp; Other HPS'!$BR$550:$BR$649)*(('C19RM 2021-Lab &amp; Other HPS'!$AO$550:$AO$649)))),IF((INDEX(SETUP!$G$19:$G$503,(MATCH(1,(SETUP!$B$19:$B$503=B42)*(SETUP!$D$19:$D$503=D42),0))))=1,(SUMPRODUCT(('C19RM 2021-Lab &amp; Other HPS'!$A$550:$D$649=E42)*('C19RM 2021-Lab &amp; Other HPS'!$BH$550:$BH$649=BJ42)*('C19RM 2021-Lab &amp; Other HPS'!$BS$550:$BS$649)*(('C19RM 2021-Lab &amp; Other HPS'!$AS$550:$AS$649)))),0)))),0)))</f>
        <v>0</v>
      </c>
      <c r="AJ42" s="359" cm="1">
        <f t="array" ref="AJ42">IF((INDEX(SETUP!$F$19:$F$503,(MATCH(1,(SETUP!$B$19:$B$503=B42)*(SETUP!$D$19:$D$503=D42),0))))="Upfront",
(SUMPRODUCT(('C19RM 2021-Lab &amp; Other HPS'!$A$550:$D$649=E42)*('C19RM 2021-Lab &amp; Other HPS'!$BH$550:$BH$649=BJ42)*('C19RM 2021-Lab &amp; Other HPS'!$BS$550:$BS$649)*(('C19RM 2021-Lab &amp; Other HPS'!$AU$550:$AU$649)))),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HPS'!$AN$550:$AN$649)))),IF((INDEX(SETUP!$G$19:$G$503,(MATCH(1,(SETUP!$B$19:$B$503=B42)*(SETUP!$D$19:$D$503=D42),0))))=3,((SUMPRODUCT(('C19RM 2021-Lab &amp; Other HPS'!$A$550:$D$649=E42)*('C19RM 2021-Lab &amp; Other HPS'!$BH$550:$BH$649=BJ42)*('C19RM 2021-Lab &amp; Other HPS'!$BR$550:$BR$649)*(('C19RM 2021-Lab &amp; Other HPS'!$AO$550:$AO$649))))),IF((INDEX(SETUP!$G$19:$G$503,(MATCH(1,(SETUP!$B$19:$B$503=B42)*(SETUP!$D$19:$D$503=D42),0))))=2,(SUMPRODUCT(('C19RM 2021-Lab &amp; Other HPS'!$A$550:$D$649=E42)*('C19RM 2021-Lab &amp; Other HPS'!$BH$550:$BH$649=BJ42)*('C19RM 2021-Lab &amp; Other HPS'!$BS$550:$BS$649)*(('C19RM 2021-Lab &amp; Other HPS'!$AS$550:$AS$649)))),IF((INDEX(SETUP!$G$19:$G$503,(MATCH(1,(SETUP!$B$19:$B$503=B42)*(SETUP!$D$19:$D$503=D42),0))))=1,(SUMPRODUCT(('C19RM 2021-Lab &amp; Other HPS'!$A$550:$D$649=E42)*('C19RM 2021-Lab &amp; Other HPS'!$BH$550:$BH$649=BJ42)*('C19RM 2021-Lab &amp; Other HPS'!$BS$550:$BS$649)*(('C19RM 2021-Lab &amp; Other HPS'!$AT$550:$AT$649)))),0)))),0)))</f>
        <v>0</v>
      </c>
      <c r="AK42" s="359" cm="1">
        <f t="array" ref="AK42">IF((INDEX(SETUP!$F$19:$F$503,(MATCH(1,(SETUP!$B$19:$B$503=B42)*(SETUP!$D$19:$D$503=D42),0))))="Upfront",
(SUMPRODUCT(('C19RM 2021-Lab &amp; Other HPS'!$A$550:$D$649=E42)*('C19RM 2021-Lab &amp; Other HPS'!$BH$550:$BH$649=BJ42)*('C19RM 2021-Lab &amp; Other HPS'!$BS$550:$BS$649)*(('C19RM 2021-Lab &amp; Other HPS'!$AV$550:$AV$649)))),
(IF((INDEX(SETUP!$F$19:$F$503,(MATCH(1,(SETUP!$B$19:$B$503=B42)*(SETUP!$D$19:$D$503=D42),0))))="At delivery",
IF((INDEX(SETUP!$G$19:$G$503,(MATCH(1,(SETUP!$B$19:$B$503=B42)*(SETUP!$D$19:$D$503=D42),0))))=4,
(SUMPRODUCT(('C19RM 2021-Lab &amp; Other HPS'!$A$550:$D$649=E42)*('C19RM 2021-Lab &amp; Other HPS'!$BH$550:$BH$649=BJ42)*('C19RM 2021-Lab &amp; Other HPS'!$BR$550:$BR$649)*(('C19RM 2021-Lab &amp; Other HPS'!$AO$550:$AO$649)))),IF((INDEX(SETUP!$G$19:$G$503,(MATCH(1,(SETUP!$B$19:$B$503=B42)*(SETUP!$D$19:$D$503=D42),0))))=3,((SUMPRODUCT(('C19RM 2021-Lab &amp; Other HPS'!$A$550:$D$649=E42)*('C19RM 2021-Lab &amp; Other HPS'!$BH$550:$BH$649=BJ42)*('C19RM 2021-Lab &amp; Other HPS'!$BS$550:$BS$649)*(('C19RM 2021-Lab &amp; Other HPS'!$AS$550:$AS$649))))),IF((INDEX(SETUP!$G$19:$G$503,(MATCH(1,(SETUP!$B$19:$B$503=B42)*(SETUP!$D$19:$D$503=D42),0))))=2,(SUMPRODUCT(('C19RM 2021-Lab &amp; Other HPS'!$A$550:$D$649=E42)*('C19RM 2021-Lab &amp; Other HPS'!$BH$550:$BH$649=BJ42)*('C19RM 2021-Lab &amp; Other HPS'!$BS$550:$BS$649)*(('C19RM 2021-Lab &amp; Other HPS'!$AT$550:$AT$649)))),IF((INDEX(SETUP!$G$19:$G$503,(MATCH(1,(SETUP!$B$19:$B$503=B42)*(SETUP!$D$19:$D$503=D42),0))))=1,(SUMPRODUCT(('C19RM 2021-Lab &amp; Other HPS'!$A$550:$D$649=E42)*('C19RM 2021-Lab &amp; Other HPS'!$BH$550:$BH$649=BJ42)*('C19RM 2021-Lab &amp; Other HPS'!$BS$550:$BS$649)*(('C19RM 2021-Lab &amp; Other HPS'!$AU$550:$AU$649)))),0)))),0)))</f>
        <v>0</v>
      </c>
      <c r="AL42" s="359" cm="1">
        <f t="array" ref="AL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HPS'!$AS$550:$AS$649)))),IF((INDEX(SETUP!$G$19:$G$503,(MATCH(1,(SETUP!$B$19:$B$503=B42)*(SETUP!$D$19:$D$503=D42),0))))=3,(SUMPRODUCT(('C19RM 2021-Lab &amp; Other HPS'!$A$550:$D$649=E42)*('C19RM 2021-Lab &amp; Other HPS'!$BH$550:$BH$649=BJ42)*('C19RM 2021-Lab &amp; Other HPS'!$BS$550:$BS$649)*(('C19RM 2021-Lab &amp; Other HPS'!$AT$550:$AT$649)))),IF((INDEX(SETUP!$G$19:$G$503,(MATCH(1,(SETUP!$B$19:$B$503=B42)*(SETUP!$D$19:$D$503=D42),0))))=2,(SUMPRODUCT(('C19RM 2021-Lab &amp; Other HPS'!$A$550:$D$649=E42)*('C19RM 2021-Lab &amp; Other HPS'!$BH$550:$BH$649=BJ42)*('C19RM 2021-Lab &amp; Other HPS'!$BS$550:$BS$649)*(('C19RM 2021-Lab &amp; Other HPS'!$AU$550:$AU$649)))),
IF((INDEX(SETUP!$G$19:$G$503,(MATCH(1,(SETUP!$B$19:$B$503=B42)*(SETUP!$D$19:$D$503=D42),0))))=1,
(SUMPRODUCT(('C19RM 2021-Lab &amp; Other HPS'!$A$550:$D$649=E42)*('C19RM 2021-Lab &amp; Other HPS'!$BH$550:$BH$649=BJ42)*('C19RM 2021-Lab &amp; Other HPS'!$BS$550:$BS$649)*(('C19RM 2021-Lab &amp; Other HPS'!$AV$550:$AV$649)))),0)))),0)))</f>
        <v>0</v>
      </c>
      <c r="AM42" s="359" cm="1">
        <f t="array" ref="AM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HPS'!$AT$550:$AT$649)))),IF((INDEX(SETUP!$G$19:$G$503,(MATCH(1,(SETUP!$B$19:$B$503=B42)*(SETUP!$D$19:$D$503=D42),0))))=3,(SUMPRODUCT(('C19RM 2021-Lab &amp; Other HPS'!$A$550:$D$649=E42)*('C19RM 2021-Lab &amp; Other HPS'!$BH$550:$BH$649=BJ42)*('C19RM 2021-Lab &amp; Other HPS'!$BS$550:$BS$649)*(('C19RM 2021-Lab &amp; Other HPS'!$AU$550:$AU$649)))),IF((INDEX(SETUP!$G$19:$G$503,(MATCH(1,(SETUP!$B$19:$B$503=B42)*(SETUP!$D$19:$D$503=D42),0))))=2,(SUMPRODUCT(('C19RM 2021-Lab &amp; Other HPS'!$A$550:$D$649=E42)*('C19RM 2021-Lab &amp; Other HPS'!$BH$550:$BH$649=BJ42)*('C19RM 2021-Lab &amp; Other HPS'!$BS$550:$BS$649)*(('C19RM 2021-Lab &amp; Other HPS'!$AV$550:$AV$649)))),IF((INDEX(SETUP!$G$19:$G$503,(MATCH(1,(SETUP!$B$19:$B$503=B42)*(SETUP!$D$19:$D$503=D42),0))))=1,(0),0)))),0)))</f>
        <v>0</v>
      </c>
      <c r="AN42" s="359" cm="1">
        <f t="array" ref="AN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HPS'!$AU$550:$AU$649)))),IF((INDEX(SETUP!$G$19:$G$503,(MATCH(1,(SETUP!$B$19:$B$503=B42)*(SETUP!$D$19:$D$503=D42),0))))=3,(SUMPRODUCT(('C19RM 2021-Lab &amp; Other HPS'!$A$550:$D$649=E42)*('C19RM 2021-Lab &amp; Other HPS'!$BH$550:$BH$649=BJ42)*('C19RM 2021-Lab &amp; Other HPS'!$BS$550:$BS$649)*(('C19RM 2021-Lab &amp; Other HPS'!$AV$550:$AV$649)))),IF((INDEX(SETUP!$G$19:$G$503,(MATCH(1,(SETUP!$B$19:$B$503=B42)*(SETUP!$D$19:$D$503=D42),0))))=2,(0),IF((INDEX(SETUP!$G$19:$G$503,(MATCH(1,(SETUP!$B$19:$B$503=B42)*(SETUP!$D$19:$D$503=D42),0))))=1,(0),0)))),0)))</f>
        <v>0</v>
      </c>
      <c r="AO42" s="359" cm="1">
        <f t="array" ref="AO42">IF((INDEX(SETUP!$F$19:$F$503,(MATCH(1,(SETUP!$B$19:$B$503=B42)*(SETUP!$D$19:$D$503=D42),0))))="Upfront",0,(IF((INDEX(SETUP!$F$19:$F$503,(MATCH(1,(SETUP!$B$19:$B$503=B42)*(SETUP!$D$19:$D$503=D42),0))))="At delivery",IF((INDEX(SETUP!$G$19:$G$503,(MATCH(1,(SETUP!$B$19:$B$503=B42)*(SETUP!$D$19:$D$503=D42),0))))=4,(SUMPRODUCT(('C19RM 2021-Lab &amp; Other HPS'!$A$550:$D$649=E42)*('C19RM 2021-Lab &amp; Other HPS'!$BH$550:$BH$649=BJ42)*('C19RM 2021-Lab &amp; Other HPS'!$BS$550:$BS$649)*(('C19RM 2021-Lab &amp; Other HPS'!$AV$550:$AV$649)))),IF((INDEX(SETUP!$G$19:$G$503,(MATCH(1,(SETUP!$B$19:$B$503=B42)*(SETUP!$D$19:$D$503=D42),0))))=3,(0),IF((INDEX(SETUP!$G$19:$G$503,(MATCH(1,(SETUP!$B$19:$B$503=B42)*(SETUP!$D$19:$D$503=D42),0))))=2,(0),IF((INDEX(SETUP!$G$19:$G$503,(MATCH(1,(SETUP!$B$19:$B$503=B42)*(SETUP!$D$19:$D$503=D42),0))))=1,(0),0)))),0)))</f>
        <v>0</v>
      </c>
      <c r="AP42" s="359"/>
      <c r="AQ42" s="359"/>
      <c r="AR42" s="359"/>
      <c r="AS42" s="359"/>
      <c r="AT42" s="359" cm="1">
        <f t="array" ref="AT42">IF(BG42&gt;=1,0,IFERROR(SUMPRODUCT(($R$2:$AO$2=$AT$4)*($E$5:$E$100=E42)*($BC$5:$BC$100=BC42)*($R$5:$AO$100)),0))</f>
        <v>0</v>
      </c>
      <c r="AU42" s="359" cm="1">
        <f t="array" ref="AU42">IF(BG42&gt;=1,0,IFERROR(SUMPRODUCT(($R$2:$AO$2=$AU$4)*($E$5:$E$100=E42)*($BC$5:$BC$100=BC42)*($R$5:$AO$100)),0))</f>
        <v>0</v>
      </c>
      <c r="AV42" s="359" cm="1">
        <f t="array" ref="AV42">IF(BG42&gt;=1,0,IFERROR(SUMPRODUCT(($R$2:$AO$2=$AV$4)*($E$5:$E$100=E42)*($BC$5:$BC$100=BC42)*($R$5:$AO$100)),0))</f>
        <v>0</v>
      </c>
      <c r="AW42" s="359" cm="1">
        <f t="array" ref="AW42">IF(BG42&gt;=1,0,IFERROR(SUMPRODUCT(($R$2:$AO$2=$AW$4)*($E$5:$E$100=E42)*($BC$5:$BC$100=BC42)*($R$5:$AO$100)),0))</f>
        <v>0</v>
      </c>
      <c r="AX42" s="359" cm="1">
        <f t="array" ref="AX42">IF(BG42&gt;=1,0,IFERROR(SUMPRODUCT(($R$2:$AO$2=$AX$4)*($E$5:$E$100=E42)*($BC$5:$BC$100=BC42)*($R$5:$AO$100)),0))</f>
        <v>0</v>
      </c>
      <c r="AY42" s="359">
        <f t="shared" si="5"/>
        <v>0</v>
      </c>
      <c r="BA42" s="233">
        <f t="shared" si="27"/>
        <v>0</v>
      </c>
      <c r="BB42" s="220" t="s">
        <v>83</v>
      </c>
      <c r="BC42" t="s">
        <v>181</v>
      </c>
      <c r="BD42" cm="1">
        <f t="array" ref="BD42">(SUMPRODUCT(('C19RM 2021-Lab &amp; Other HPS'!$A$14:$D$650=E42)*('C19RM 2021-Lab &amp; Other HPS'!$BU$14:$BU$650)))</f>
        <v>0</v>
      </c>
      <c r="BE42" cm="1">
        <f t="array" ref="BE42">(SUMPRODUCT((SETUP!$D$20:$D$67=D42)*(SETUP!$R$20:$R$67)))</f>
        <v>0</v>
      </c>
      <c r="BF42" cm="1">
        <f t="array" ref="BF42">(SUMPRODUCT(('C19RM 2021-Lab &amp; Other HPS'!$A$14:$D$650=E42)*('C19RM 2021-Lab &amp; Other HPS'!$BV$14:$BV$650)))</f>
        <v>0</v>
      </c>
      <c r="BG42">
        <f t="shared" si="28"/>
        <v>0</v>
      </c>
      <c r="BJ42">
        <v>5.8</v>
      </c>
    </row>
    <row r="43" spans="1:62" x14ac:dyDescent="0.35">
      <c r="A43">
        <v>6</v>
      </c>
      <c r="B43" s="220" t="s">
        <v>2750</v>
      </c>
      <c r="C43" s="235" t="s">
        <v>3196</v>
      </c>
      <c r="D43" s="235" t="s">
        <v>31</v>
      </c>
      <c r="E43" s="220" t="s">
        <v>2766</v>
      </c>
      <c r="F43" s="220">
        <f>SETUP!$E$3</f>
        <v>0</v>
      </c>
      <c r="G43" s="220" t="str">
        <f ca="1">SETUP!$J$5</f>
        <v>NA</v>
      </c>
      <c r="H43" s="220" t="str">
        <f>SETUP!$E$9</f>
        <v>C19RM</v>
      </c>
      <c r="I43" s="232">
        <f t="shared" si="22"/>
        <v>44197</v>
      </c>
      <c r="J43" s="232">
        <f>SETUP!$L$14</f>
        <v>46022</v>
      </c>
      <c r="K43" s="220">
        <v>1</v>
      </c>
      <c r="L43">
        <f t="shared" si="23"/>
        <v>0</v>
      </c>
      <c r="M43">
        <f>SETUP!$E$7</f>
        <v>0</v>
      </c>
      <c r="N43">
        <f>SETUP!$F$76</f>
        <v>6.1</v>
      </c>
      <c r="O43" t="str" cm="1">
        <f t="array" ref="O43">INDEX(SETUP!$E$19:$E$503,(MATCH(1,(SETUP!$B$19:$B$503=B43)*(SETUP!$D$19:$D$503=D43),0)))</f>
        <v>PR/SR</v>
      </c>
      <c r="P43" t="str" cm="1">
        <f t="array" ref="P43">INDEX(SETUP!$F$19:$F$503,(MATCH(1,(SETUP!$B$19:$B$503=B43)*(SETUP!$D$19:$D$503=D43),0)))</f>
        <v>At delivery</v>
      </c>
      <c r="Q43" cm="1">
        <f t="array" ref="Q43">INDEX(SETUP!$G$19:$G$503,(MATCH(1,(SETUP!$B$19:$B$503=B43)*(SETUP!$D$19:$D$503=D43),0)))</f>
        <v>1</v>
      </c>
      <c r="R43" s="359" cm="1">
        <f t="array" ref="R43">IF((INDEX(SETUP!$F$19:$F$503,(MATCH(1,(SETUP!$B$19:$B$503=B43)*(SETUP!$D$19:$D$503=D43),0))))="Upfront",(SUMPRODUCT(('C19RM 2021-Lab &amp; Other HPS'!$A$550:$D$649=E43)*('C19RM 2021-Lab &amp; Other HPS'!$BH$550:$BH$649=BJ43)*('C19RM 2021-Lab &amp; Other HPS'!$BO$550:$BO$649)*(('C19RM 2021-Lab &amp; Other HPS'!$Q$550:$Q$649)))),0)</f>
        <v>0</v>
      </c>
      <c r="S43" s="359" cm="1">
        <f t="array" ref="S43">IF((INDEX(SETUP!$F$19:$F$503,(MATCH(1,(SETUP!$B$19:$B$503=B43)*(SETUP!$D$19:$D$503=D43),0))))="Upfront",(SUMPRODUCT(('C19RM 2021-Lab &amp; Other HPS'!$A$550:$D$649=E43)*('C19RM 2021-Lab &amp; Other HPS'!$BH$550:$BH$649=BJ43)*('C19RM 2021-Lab &amp; Other HPS'!$BO$550:$BO$649)*(('C19RM 2021-Lab &amp; Other HPS'!$R$550:$R$649)))),(IF((INDEX(SETUP!$F$19:$F$503,(MATCH(1,(SETUP!$B$19:$B$503=B43)*(SETUP!$D$19:$D$503=D43),0))))="At delivery",IF((INDEX(SETUP!$G$19:$G$503,(MATCH(1,(SETUP!$B$19:$B$503=B43)*(SETUP!$D$19:$D$503=D43),0))))=1,(SUMPRODUCT(('C19RM 2021-Lab &amp; Other HPS'!$A$550:$D$649=E43)*('C19RM 2021-Lab &amp; Other HPS'!$BH$550:$BH$649=BJ43)*('C19RM 2021-Lab &amp; Other HPS'!$BO$550:$BO$649)*(('C19RM 2021-Lab &amp; Other HPS'!$Q$550:$Q$649)))),0),0)))</f>
        <v>0</v>
      </c>
      <c r="T43" s="359" cm="1">
        <f t="array" ref="T43">IF((INDEX(SETUP!$F$19:$F$503,(MATCH(1,(SETUP!$B$19:$B$503=B43)*(SETUP!$D$19:$D$503=D43),0))))="Upfront",(SUMPRODUCT(('C19RM 2021-Lab &amp; Other HPS'!$A$550:$D$649=E43)*('C19RM 2021-Lab &amp; Other HPS'!$BH$550:$BH$649=BJ43)*('C19RM 2021-Lab &amp; Other HPS'!$BO$550:$BO$649)*(('C19RM 2021-Lab &amp; Other HPS'!$S$550:$S$649)))),(IF((INDEX(SETUP!$F$19:$F$503,(MATCH(1,(SETUP!$B$19:$B$503=B43)*(SETUP!$D$19:$D$503=D43),0))))="At delivery",IF((INDEX(SETUP!$G$19:$G$503,(MATCH(1,(SETUP!$B$19:$B$503=B43)*(SETUP!$D$19:$D$503=D43),0))))=2,(SUMPRODUCT(('C19RM 2021-Lab &amp; Other HPS'!$A$550:$D$649=E43)*('C19RM 2021-Lab &amp; Other HPS'!$BH$550:$BH$649=BJ43)*('C19RM 2021-Lab &amp; Other HPS'!$BO$550:$BO$649)*(('C19RM 2021-Lab &amp; Other HPS'!$Q$550:$Q$649)))),IF((INDEX(SETUP!$G$19:$G$503,(MATCH(1,(SETUP!$B$19:$B$503=B43)*(SETUP!$D$19:$D$503=D43),0))))=1,(SUMPRODUCT(('C19RM 2021-Lab &amp; Other HPS'!$A$550:$D$649=E43)*('C19RM 2021-Lab &amp; Other HPS'!$BH$550:$BH$649=BJ43)*('C19RM 2021-Lab &amp; Other HPS'!$BO$550:$BO$649)*(('C19RM 2021-Lab &amp; Other HPS'!$R$550:$R$649)))),0)),0)))</f>
        <v>0</v>
      </c>
      <c r="U43" s="359" cm="1">
        <f t="array" ref="U43">IF((INDEX(SETUP!$F$19:$F$503,(MATCH(1,(SETUP!$B$19:$B$503=B43)*(SETUP!$D$19:$D$503=D43),0))))="Upfront",(SUMPRODUCT(('C19RM 2021-Lab &amp; Other HPS'!$A$550:$D$649=E43)*('C19RM 2021-Lab &amp; Other HPS'!$BH$550:$BH$649=BJ43)*('C19RM 2021-Lab &amp; Other HPS'!$BO$550:$BO$649)*(('C19RM 2021-Lab &amp; Other HPS'!$T$550:$T$649)))),(IF((INDEX(SETUP!$F$19:$F$503,(MATCH(1,(SETUP!$B$19:$B$503=B43)*(SETUP!$D$19:$D$503=D43),0))))="At delivery",IF((INDEX(SETUP!$G$19:$G$503,(MATCH(1,(SETUP!$B$19:$B$503=B43)*(SETUP!$D$19:$D$503=D43),0))))=3,(SUMPRODUCT(('C19RM 2021-Lab &amp; Other HPS'!$A$550:$D$649=E43)*('C19RM 2021-Lab &amp; Other HPS'!$BH$550:$BH$649=BJ43)*('C19RM 2021-Lab &amp; Other HPS'!$BO$550:$BO$649)*(('C19RM 2021-Lab &amp; Other HPS'!$Q$550:$Q$649)))),IF((INDEX(SETUP!$G$19:$G$503,(MATCH(1,(SETUP!$B$19:$B$503=B43)*(SETUP!$D$19:$D$503=D43),0))))=2,(SUMPRODUCT(('C19RM 2021-Lab &amp; Other HPS'!$A$550:$D$649=E43)*('C19RM 2021-Lab &amp; Other HPS'!$BH$550:$BH$649=BJ43)*('C19RM 2021-Lab &amp; Other HPS'!$BO$550:$BO$649)*(('C19RM 2021-Lab &amp; Other HPS'!$R$550:$R$649)))),IF((INDEX(SETUP!$G$19:$G$503,(MATCH(1,(SETUP!$B$19:$B$503=B43)*(SETUP!$D$19:$D$503=D43),0))))=1,(SUMPRODUCT(('C19RM 2021-Lab &amp; Other HPS'!$A$550:$D$649=E43)*('C19RM 2021-Lab &amp; Other HPS'!$BH$550:$BH$649=BJ43)*('C19RM 2021-Lab &amp; Other HPS'!$BO$550:$BO$649)*(('C19RM 2021-Lab &amp; Other HPS'!$S$550:$S$649)))),0))),0)))</f>
        <v>0</v>
      </c>
      <c r="V43" s="359" cm="1">
        <f t="array" ref="V43">IF((INDEX(SETUP!$F$19:$F$503,(MATCH(1,(SETUP!$B$19:$B$503=B43)*(SETUP!$D$19:$D$503=D43),0))))="Upfront",(SUMPRODUCT(('C19RM 2021-Lab &amp; Other HPS'!$A$550:$D$649=E43)*('C19RM 2021-Lab &amp; Other HPS'!$BH$550:$BH$649=BJ43)*('C19RM 2021-Lab &amp; Other HPS'!$BP$550:$BP$649)*(('C19RM 2021-Lab &amp; Other HPS'!$X$550:$X$649)))),(IF((INDEX(SETUP!$F$19:$F$503,(MATCH(1,(SETUP!$B$19:$B$503=B43)*(SETUP!$D$19:$D$503=D43),0))))="At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HPS'!$Q$550:$Q$649)))),IF((INDEX(SETUP!$G$19:$G$503,(MATCH(1,(SETUP!$B$19:$B$503=B43)*(SETUP!$D$19:$D$503=D43),0))))=3,(SUMPRODUCT(('C19RM 2021-Lab &amp; Other HPS'!$A$550:$D$649=E43)*('C19RM 2021-Lab &amp; Other HPS'!$BH$550:$BH$649=BJ43)*('C19RM 2021-Lab &amp; Other HPS'!$BO$550:$BO$649)*(('C19RM 2021-Lab &amp; Other HPS'!$R$550:$R$649)))),IF((INDEX(SETUP!$G$19:$G$503,(MATCH(1,(SETUP!$B$19:$B$503=B43)*(SETUP!$D$19:$D$503=D43),0))))=2,(SUMPRODUCT(('C19RM 2021-Lab &amp; Other HPS'!$A$550:$D$649=E43)*('C19RM 2021-Lab &amp; Other HPS'!$BH$550:$BH$649=BJ43)*('C19RM 2021-Lab &amp; Other HPS'!$BO$550:$BO$649)*(('C19RM 2021-Lab &amp; Other HPS'!$S$550:$S$649)))),IF((INDEX(SETUP!$G$19:$G$503,(MATCH(1,(SETUP!$B$19:$B$503=B43)*(SETUP!$D$19:$D$503=D43),0))))=1,(SUMPRODUCT(('C19RM 2021-Lab &amp; Other HPS'!$A$550:$D$649=E43)*('C19RM 2021-Lab &amp; Other HPS'!$BH$550:$BH$649=BJ43)*('C19RM 2021-Lab &amp; Other HPS'!$BO$550:$BO$649)*(('C19RM 2021-Lab &amp; Other HPS'!$T$550:$T$649)))),0)))),0)))</f>
        <v>0</v>
      </c>
      <c r="W43" s="359" cm="1">
        <f t="array" ref="W43">IF((INDEX(SETUP!$F$19:$F$503,(MATCH(1,(SETUP!$B$19:$B$503=B43)*(SETUP!$D$19:$D$503=D43),0))))="Upfront",(SUMPRODUCT(('C19RM 2021-Lab &amp; Other HPS'!$A$550:$D$649=E43)*('C19RM 2021-Lab &amp; Other HPS'!$BH$550:$BH$649=BJ43)*('C19RM 2021-Lab &amp; Other HPS'!$BP$550:$BP$649)*(('C19RM 2021-Lab &amp; Other HPS'!$Y$550:$Y$649)))),(IF((INDEX(SETUP!$F$19:$F$503,(MATCH(1,(SETUP!$B$19:$B$503=B43)*(SETUP!$D$19:$D$503=D43),0))))="At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HPS'!$R$550:$R$649)))),IF((INDEX(SETUP!$G$19:$G$503,(MATCH(1,(SETUP!$B$19:$B$503=B43)*(SETUP!$D$19:$D$503=D43),0))))=3,(SUMPRODUCT(('C19RM 2021-Lab &amp; Other HPS'!$A$550:$D$649=E43)*('C19RM 2021-Lab &amp; Other HPS'!$BH$550:$BH$649=BJ43)*('C19RM 2021-Lab &amp; Other HPS'!$BO$550:$BO$649)*(('C19RM 2021-Lab &amp; Other HPS'!$S$550:$S$649)))),IF((INDEX(SETUP!$G$19:$G$503,(MATCH(1,(SETUP!$B$19:$B$503=B43)*(SETUP!$D$19:$D$503=D43),0))))=2,((SUMPRODUCT(('C19RM 2021-Lab &amp; Other HPS'!$A$550:$D$649=E43)*('C19RM 2021-Lab &amp; Other HPS'!$BH$550:$BH$649=BJ43)*('C19RM 2021-Lab &amp; Other HPS'!$BO$550:$BO$649)*(('C19RM 2021-Lab &amp; Other HPS'!$T$550:$T$649))))),IF((INDEX(SETUP!$G$19:$G$503,(MATCH(1,(SETUP!$B$19:$B$503=B43)*(SETUP!$D$19:$D$503=D43),0))))=1,(SUMPRODUCT(('C19RM 2021-Lab &amp; Other HPS'!$A$550:$D$649=E43)*('C19RM 2021-Lab &amp; Other HPS'!$BH$550:$BH$649=BJ43)*('C19RM 2021-Lab &amp; Other HPS'!$BP$550:$BP$649)*(('C19RM 2021-Lab &amp; Other HPS'!$X$550:$X$649)))),0)))),0)))</f>
        <v>0</v>
      </c>
      <c r="X43" s="359" cm="1">
        <f t="array" ref="X43">IF((INDEX(SETUP!$F$19:$F$503,(MATCH(1,(SETUP!$B$19:$B$503=B43)*(SETUP!$D$19:$D$503=D43),0))))="Upfront",(SUMPRODUCT(('C19RM 2021-Lab &amp; Other HPS'!$A$550:$D$649=E43)*('C19RM 2021-Lab &amp; Other HPS'!$BH$550:$BH$649=BJ43)*('C19RM 2021-Lab &amp; Other HPS'!$BP$550:$BP$649)*(('C19RM 2021-Lab &amp; Other HPS'!$Z$550:$Z$649)))),(IF((INDEX(SETUP!$F$19:$F$503,(MATCH(1,(SETUP!$B$19:$B$503=B43)*(SETUP!$D$19:$D$503=D43),0))))="At delivery",IF((INDEX(SETUP!$G$19:$G$503,(MATCH(1,(SETUP!$B$19:$B$503=B43)*(SETUP!$D$19:$D$503=D43),0))))=4,(SUMPRODUCT(('C19RM 2021-Lab &amp; Other HPS'!$A$550:$D$649=E43)*('C19RM 2021-Lab &amp; Other HPS'!$BH$550:$BH$649=BJ43)*('C19RM 2021-Lab &amp; Other HPS'!$BO$550:$BO$649)*(('C19RM 2021-Lab &amp; Other HPS'!$S$550:$S$649)))),IF((INDEX(SETUP!$G$19:$G$503,(MATCH(1,(SETUP!$B$19:$B$503=B43)*(SETUP!$D$19:$D$503=D43),0))))=3,((SUMPRODUCT(('C19RM 2021-Lab &amp; Other HPS'!$A$550:$D$649=E43)*('C19RM 2021-Lab &amp; Other HPS'!$BH$550:$BH$649=BJ43)*('C19RM 2021-Lab &amp; Other HPS'!$BO$550:$BO$649)*(('C19RM 2021-Lab &amp; Other HPS'!$T$550:$T$649))))),IF((INDEX(SETUP!$G$19:$G$503,(MATCH(1,(SETUP!$B$19:$B$503=B43)*(SETUP!$D$19:$D$503=D43),0))))=2,(SUMPRODUCT(('C19RM 2021-Lab &amp; Other HPS'!$A$550:$D$649=E43)*('C19RM 2021-Lab &amp; Other HPS'!$BH$550:$BH$649=BJ43)*('C19RM 2021-Lab &amp; Other HPS'!$BP$550:$BP$649)*(('C19RM 2021-Lab &amp; Other HPS'!$X$550:$X$649)))),IF((INDEX(SETUP!$G$19:$G$503,(MATCH(1,(SETUP!$B$19:$B$503=B43)*(SETUP!$D$19:$D$503=D43),0))))=1,(SUMPRODUCT(('C19RM 2021-Lab &amp; Other HPS'!$A$550:$D$649=E43)*('C19RM 2021-Lab &amp; Other HPS'!$BH$550:$BH$649=BJ43)*('C19RM 2021-Lab &amp; Other HPS'!$BP$550:$BP$649)*(('C19RM 2021-Lab &amp; Other HPS'!$Y$550:$Y$649)))),0)))),0)))</f>
        <v>0</v>
      </c>
      <c r="Y43" s="359" cm="1">
        <f t="array" ref="Y43">IF((INDEX(SETUP!$F$19:$F$503,(MATCH(1,(SETUP!$B$19:$B$503=B43)*(SETUP!$D$19:$D$503=D43),0))))="Upfront",
(SUMPRODUCT(('C19RM 2021-Lab &amp; Other HPS'!$A$550:$D$649=E43)*('C19RM 2021-Lab &amp; Other HPS'!$BH$550:$BH$649=BJ43)*('C19RM 2021-Lab &amp; Other HPS'!$BP$550:$BP$649)*(('C19RM 2021-Lab &amp; Other HPS'!$AA$550:$AA$649)))),
(IF((INDEX(SETUP!$F$19:$F$503,(MATCH(1,(SETUP!$B$19:$B$503=B43)*(SETUP!$D$19:$D$503=D43),0))))="At delivery",
IF((INDEX(SETUP!$G$19:$G$503,(MATCH(1,(SETUP!$B$19:$B$503=B43)*(SETUP!$D$19:$D$503=D43),0))))=4,
((SUMPRODUCT(('C19RM 2021-Lab &amp; Other HPS'!$A$550:$D$649=E43)*('C19RM 2021-Lab &amp; Other HPS'!$BH$550:$BH$649=BJ43)*('C19RM 2021-Lab &amp; Other HPS'!$BO$550:$BO$649)*(('C19RM 2021-Lab &amp; Other HPS'!$T$550:$T$649))))),IF((INDEX(SETUP!$G$19:$G$503,(MATCH(1,(SETUP!$B$19:$B$503=B43)*(SETUP!$D$19:$D$503=D43),0))))=3,(SUMPRODUCT(('C19RM 2021-Lab &amp; Other HPS'!$A$550:$D$649=E43)*('C19RM 2021-Lab &amp; Other HPS'!$BH$550:$BH$649=BJ43)*('C19RM 2021-Lab &amp; Other HPS'!$BP$550:$BP$649)*(('C19RM 2021-Lab &amp; Other HPS'!$X$550:$X$649)))),IF((INDEX(SETUP!$G$19:$G$503,(MATCH(1,(SETUP!$B$19:$B$503=B43)*(SETUP!$D$19:$D$503=D43),0))))=2,(SUMPRODUCT(('C19RM 2021-Lab &amp; Other HPS'!$A$550:$D$649=E43)*('C19RM 2021-Lab &amp; Other HPS'!$BH$550:$BH$649=BJ43)*('C19RM 2021-Lab &amp; Other HPS'!$BP$550:$BP$649)*(('C19RM 2021-Lab &amp; Other HPS'!$Y$550:$Y$649)))),IF((INDEX(SETUP!$G$19:$G$503,(MATCH(1,(SETUP!$B$19:$B$503=B43)*(SETUP!$D$19:$D$503=D43),0))))=1,(SUMPRODUCT(('C19RM 2021-Lab &amp; Other HPS'!$A$550:$D$649=E43)*('C19RM 2021-Lab &amp; Other HPS'!$BH$550:$BH$649=BJ43)*('C19RM 2021-Lab &amp; Other HPS'!$BP$550:$BP$649)*(('C19RM 2021-Lab &amp; Other HPS'!$Z$550:$Z$649)))),0)))),0)))</f>
        <v>0</v>
      </c>
      <c r="Z43" s="359" cm="1">
        <f t="array" ref="Z43">IF((INDEX(SETUP!$F$19:$F$503,(MATCH(1,(SETUP!$B$19:$B$503=B43)*(SETUP!$D$19:$D$503=D43),0))))="Upfront",(SUMPRODUCT(('C19RM 2021-Lab &amp; Other HPS'!$A$550:$D$649=E43)*('C19RM 2021-Lab &amp; Other HPS'!$BH$550:$BH$649=BJ43)*('C19RM 2021-Lab &amp; Other HPS'!$BQ$550:$BQ$649)*(('C19RM 2021-Lab &amp; Other HPS'!$AE$550:$AE$649)))),(IF((INDEX(SETUP!$F$19:$F$503,(MATCH(1,(SETUP!$B$19:$B$503=B43)*(SETUP!$D$19:$D$503=D43),0))))="At delivery",IF((INDEX(SETUP!$G$19:$G$503,(MATCH(1,(SETUP!$B$19:$B$503=B43)*(SETUP!$D$19:$D$503=D43),0))))=4,(SUMPRODUCT(('C19RM 2021-Lab &amp; Other HPS'!$A$550:$D$649=E43)*('C19RM 2021-Lab &amp; Other HPS'!$BH$550:$BH$649=BJ43)*('C19RM 2021-Lab &amp; Other HPS'!$BP$550:$BP$649)*(('C19RM 2021-Lab &amp; Other HPS'!$X$550:$X$649)))),IF((INDEX(SETUP!$G$19:$G$503,(MATCH(1,(SETUP!$B$19:$B$503=B43)*(SETUP!$D$19:$D$503=D43),0))))=3,(SUMPRODUCT(('C19RM 2021-Lab &amp; Other HPS'!$A$550:$D$649=E43)*('C19RM 2021-Lab &amp; Other HPS'!$BH$550:$BH$649=BJ43)*('C19RM 2021-Lab &amp; Other HPS'!$BP$550:$BP$649)*(('C19RM 2021-Lab &amp; Other HPS'!$Y$550:$Y$649)))),IF((INDEX(SETUP!$G$19:$G$503,(MATCH(1,(SETUP!$B$19:$B$503=B43)*(SETUP!$D$19:$D$503=D43),0))))=2,(SUMPRODUCT(('C19RM 2021-Lab &amp; Other HPS'!$A$550:$D$649=E43)*('C19RM 2021-Lab &amp; Other HPS'!$BH$550:$BH$649=BJ43)*('C19RM 2021-Lab &amp; Other HPS'!$BP$550:$BP$649)*(('C19RM 2021-Lab &amp; Other HPS'!$Z$550:$Z$649)))),IF((INDEX(SETUP!$G$19:$G$503,(MATCH(1,(SETUP!$B$19:$B$503=B43)*(SETUP!$D$19:$D$503=D43),0))))=1,(SUMPRODUCT(('C19RM 2021-Lab &amp; Other HPS'!$A$550:$D$649=E43)*('C19RM 2021-Lab &amp; Other HPS'!$BH$550:$BH$649=BJ43)*('C19RM 2021-Lab &amp; Other HPS'!$BP$550:$BP$649)*(('C19RM 2021-Lab &amp; Other HPS'!$AA$550:$AA$649)))),0)))),0)))</f>
        <v>0</v>
      </c>
      <c r="AA43" s="359" cm="1">
        <f t="array" ref="AA43">IF((INDEX(SETUP!$F$19:$F$503,(MATCH(1,(SETUP!$B$19:$B$503=B43)*(SETUP!$D$19:$D$503=D43),0))))="Upfront",(SUMPRODUCT(('C19RM 2021-Lab &amp; Other HPS'!$A$550:$D$649=E43)*('C19RM 2021-Lab &amp; Other HPS'!$BH$550:$BH$649=BJ43)*('C19RM 2021-Lab &amp; Other HPS'!$BQ$550:$BQ$649)*(('C19RM 2021-Lab &amp; Other HPS'!$AF$550:$AF$649)))),(IF((INDEX(SETUP!$F$19:$F$503,(MATCH(1,(SETUP!$B$19:$B$503=B43)*(SETUP!$D$19:$D$503=D43),0))))="At delivery",IF((INDEX(SETUP!$G$19:$G$503,(MATCH(1,(SETUP!$B$19:$B$503=B43)*(SETUP!$D$19:$D$503=D43),0))))=4,(SUMPRODUCT(('C19RM 2021-Lab &amp; Other HPS'!$A$550:$D$649=E43)*('C19RM 2021-Lab &amp; Other HPS'!$BH$550:$BH$649=BJ43)*('C19RM 2021-Lab &amp; Other HPS'!$BP$550:$BP$649)*(('C19RM 2021-Lab &amp; Other HPS'!$Y$550:$Y$649)))),IF((INDEX(SETUP!$G$19:$G$503,(MATCH(1,(SETUP!$B$19:$B$503=B43)*(SETUP!$D$19:$D$503=D43),0))))=3,(SUMPRODUCT(('C19RM 2021-Lab &amp; Other HPS'!$A$550:$D$649=E43)*('C19RM 2021-Lab &amp; Other HPS'!$BH$550:$BH$649=BJ43)*('C19RM 2021-Lab &amp; Other HPS'!$BP$550:$BP$649)*(('C19RM 2021-Lab &amp; Other HPS'!$Z$550:$Z$649)))),IF((INDEX(SETUP!$G$19:$G$503,(MATCH(1,(SETUP!$B$19:$B$503=B43)*(SETUP!$D$19:$D$503=D43),0))))=2,((SUMPRODUCT(('C19RM 2021-Lab &amp; Other HPS'!$A$550:$D$649=E43)*('C19RM 2021-Lab &amp; Other HPS'!$BH$550:$BH$649=BJ43)*('C19RM 2021-Lab &amp; Other HPS'!$BP$550:$BP$649)*(('C19RM 2021-Lab &amp; Other HPS'!$AA$550:$AA$649))))),IF((INDEX(SETUP!$G$19:$G$503,(MATCH(1,(SETUP!$B$19:$B$503=B43)*(SETUP!$D$19:$D$503=D43),0))))=1,(SUMPRODUCT(('C19RM 2021-Lab &amp; Other HPS'!$A$550:$D$649=E43)*('C19RM 2021-Lab &amp; Other HPS'!$BH$550:$BH$649=BJ43)*('C19RM 2021-Lab &amp; Other HPS'!$BQ$550:$BQ$649)*(('C19RM 2021-Lab &amp; Other HPS'!$AE$550:$AE$649)))),0)))),0)))</f>
        <v>0</v>
      </c>
      <c r="AB43" s="359" cm="1">
        <f t="array" ref="AB43">IF((INDEX(SETUP!$F$19:$F$503,(MATCH(1,(SETUP!$B$19:$B$503=B43)*(SETUP!$D$19:$D$503=D43),0))))="Upfront",
(SUMPRODUCT(('C19RM 2021-Lab &amp; Other HPS'!$A$550:$D$649=E43)*('C19RM 2021-Lab &amp; Other HPS'!$BH$550:$BH$649=BJ43)*('C19RM 2021-Lab &amp; Other HPS'!$BQ$550:$BQ$649)*(('C19RM 2021-Lab &amp; Other HPS'!$AG$550:$AG$649)))),
(IF((INDEX(SETUP!$F$19:$F$503,(MATCH(1,(SETUP!$B$19:$B$503=B43)*(SETUP!$D$19:$D$503=D43),0))))="At delivery",
IF((INDEX(SETUP!$G$19:$G$503,(MATCH(1,(SETUP!$B$19:$B$503=B43)*(SETUP!$D$19:$D$503=D43),0))))=4,
(SUMPRODUCT(('C19RM 2021-Lab &amp; Other HPS'!$A$550:$D$649=E43)*('C19RM 2021-Lab &amp; Other HPS'!$BH$550:$BH$649=BJ43)*('C19RM 2021-Lab &amp; Other HPS'!$BP$550:$BP$649)*(('C19RM 2021-Lab &amp; Other HPS'!$Z$550:$Z$649)))),IF((INDEX(SETUP!$G$19:$G$503,(MATCH(1,(SETUP!$B$19:$B$503=B43)*(SETUP!$D$19:$D$503=D43),0))))=3,(SUMPRODUCT(('C19RM 2021-Lab &amp; Other HPS'!$A$550:$D$649=E43)*('C19RM 2021-Lab &amp; Other HPS'!$BH$550:$BH$649=BJ43)*('C19RM 2021-Lab &amp; Other HPS'!$BP$550:$BP$649)*(('C19RM 2021-Lab &amp; Other HPS'!$AA$550:$AA$649)))),IF((INDEX(SETUP!$G$19:$G$503,(MATCH(1,(SETUP!$B$19:$B$503=B43)*(SETUP!$D$19:$D$503=D43),0))))=2,(SUMPRODUCT(('C19RM 2021-Lab &amp; Other HPS'!$A$550:$D$649=E43)*('C19RM 2021-Lab &amp; Other HPS'!$BH$550:$BH$649=BJ43)*('C19RM 2021-Lab &amp; Other HPS'!$BQ$550:$BQ$649)*(('C19RM 2021-Lab &amp; Other HPS'!$AE$550:$AE$649)))),IF((INDEX(SETUP!$G$19:$G$503,(MATCH(1,(SETUP!$B$19:$B$503=B43)*(SETUP!$D$19:$D$503=D43),0))))=1,(SUMPRODUCT(('C19RM 2021-Lab &amp; Other HPS'!$A$550:$D$649=E43)*('C19RM 2021-Lab &amp; Other HPS'!$BH$550:$BH$649=BJ43)*('C19RM 2021-Lab &amp; Other HPS'!$BQ$550:$BQ$649)*(('C19RM 2021-Lab &amp; Other HPS'!$AF$550:$AF$649)))),0)))),0)))</f>
        <v>0</v>
      </c>
      <c r="AC43" s="359" cm="1">
        <f t="array" ref="AC43">IF((INDEX(SETUP!$F$19:$F$503,(MATCH(1,(SETUP!$B$19:$B$503=B43)*(SETUP!$D$19:$D$503=D43),0))))="Upfront",
(SUMPRODUCT(('C19RM 2021-Lab &amp; Other HPS'!$A$550:$D$649=E43)*('C19RM 2021-Lab &amp; Other HPS'!$BH$550:$BH$649=BJ43)*('C19RM 2021-Lab &amp; Other HPS'!$BQ$550:$BQ$649)*(('C19RM 2021-Lab &amp; Other HPS'!$AH$550:$AH$649)))),
(IF((INDEX(SETUP!$F$19:$F$503,(MATCH(1,(SETUP!$B$19:$B$503=B43)*(SETUP!$D$19:$D$503=D43),0))))="At delivery",
IF((INDEX(SETUP!$G$19:$G$503,(MATCH(1,(SETUP!$B$19:$B$503=B43)*(SETUP!$D$19:$D$503=D43),0))))=4,
(SUMPRODUCT(('C19RM 2021-Lab &amp; Other HPS'!$A$550:$D$649=E43)*('C19RM 2021-Lab &amp; Other HPS'!$BH$550:$BH$649=BJ43)*('C19RM 2021-Lab &amp; Other HPS'!$BP$550:$BP$649)*(('C19RM 2021-Lab &amp; Other HPS'!$AA$550:$AA$649)))),IF((INDEX(SETUP!$G$19:$G$503,(MATCH(1,(SETUP!$B$19:$B$503=B43)*(SETUP!$D$19:$D$503=D43),0))))=3,(SUMPRODUCT(('C19RM 2021-Lab &amp; Other HPS'!$A$550:$D$649=E43)*('C19RM 2021-Lab &amp; Other HPS'!$BH$550:$BH$649=BJ43)*('C19RM 2021-Lab &amp; Other HPS'!$BQ$550:$BQ$649)*(('C19RM 2021-Lab &amp; Other HPS'!$AE$550:$AE$649)))),IF((INDEX(SETUP!$G$19:$G$503,(MATCH(1,(SETUP!$B$19:$B$503=B43)*(SETUP!$D$19:$D$503=D43),0))))=2,(SUMPRODUCT(('C19RM 2021-Lab &amp; Other HPS'!$A$550:$D$649=E43)*('C19RM 2021-Lab &amp; Other HPS'!$BH$550:$BH$649=BJ43)*('C19RM 2021-Lab &amp; Other HPS'!$BQ$550:$BQ$649)*(('C19RM 2021-Lab &amp; Other HPS'!$AF$550:$AF$649)))),IF((INDEX(SETUP!$G$19:$G$503,(MATCH(1,(SETUP!$B$19:$B$503=B43)*(SETUP!$D$19:$D$503=D43),0))))=1,(SUMPRODUCT(('C19RM 2021-Lab &amp; Other HPS'!$A$550:$D$649=E43)*('C19RM 2021-Lab &amp; Other HPS'!$BH$550:$BH$649=BJ43)*('C19RM 2021-Lab &amp; Other HPS'!$BQ$550:$BQ$649)*(('C19RM 2021-Lab &amp; Other HPS'!$AG$550:$AG$649)))),0)))),0)))</f>
        <v>0</v>
      </c>
      <c r="AD43" s="359" cm="1">
        <f t="array" ref="AD43">IF((INDEX(SETUP!$F$19:$F$503,(MATCH(1,(SETUP!$B$19:$B$503=B43)*(SETUP!$D$19:$D$503=D43),0))))="Upfront",
(SUMPRODUCT(('C19RM 2021-Lab &amp; Other HPS'!$A$550:$D$649=E43)*('C19RM 2021-Lab &amp; Other HPS'!$BH$550:$BH$649=BJ43)*('C19RM 2021-Lab &amp; Other HPS'!$BR$550:$BR$649)*(('C19RM 2021-Lab &amp; Other HPS'!$AL$550:$AL$649)))),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HPS'!$AE$550:$AE$649)))),IF((INDEX(SETUP!$G$19:$G$503,(MATCH(1,(SETUP!$B$19:$B$503=B43)*(SETUP!$D$19:$D$503=D43),0))))=3,((SUMPRODUCT(('C19RM 2021-Lab &amp; Other HPS'!$A$550:$D$649=E43)*('C19RM 2021-Lab &amp; Other HPS'!$BH$550:$BH$649=BJ43)*('C19RM 2021-Lab &amp; Other HPS'!$BQ$550:$BQ$649)*(('C19RM 2021-Lab &amp; Other HPS'!$AF$550:$AF$649))))),IF((INDEX(SETUP!$G$19:$G$503,(MATCH(1,(SETUP!$B$19:$B$503=B43)*(SETUP!$D$19:$D$503=D43),0))))=2,(SUMPRODUCT(('C19RM 2021-Lab &amp; Other HPS'!$A$550:$D$649=E43)*('C19RM 2021-Lab &amp; Other HPS'!$BH$550:$BH$649=BJ43)*('C19RM 2021-Lab &amp; Other HPS'!$BQ$550:$BQ$649)*(('C19RM 2021-Lab &amp; Other HPS'!$AG$550:$AG$649)))),IF((INDEX(SETUP!$G$19:$G$503,(MATCH(1,(SETUP!$B$19:$B$503=B43)*(SETUP!$D$19:$D$503=D43),0))))=1,(SUMPRODUCT(('C19RM 2021-Lab &amp; Other HPS'!$A$550:$D$649=E43)*('C19RM 2021-Lab &amp; Other HPS'!$BH$550:$BH$649=BJ43)*('C19RM 2021-Lab &amp; Other HPS'!$BQ$550:$BQ$649)*(('C19RM 2021-Lab &amp; Other HPS'!$AH$550:$AH$649)))),0)))),0)))</f>
        <v>0</v>
      </c>
      <c r="AE43" s="359" cm="1">
        <f t="array" ref="AE43">IF((INDEX(SETUP!$F$19:$F$503,(MATCH(1,(SETUP!$B$19:$B$503=B43)*(SETUP!$D$19:$D$503=D43),0))))="Upfront",
(SUMPRODUCT(('C19RM 2021-Lab &amp; Other HPS'!$A$550:$D$649=E43)*('C19RM 2021-Lab &amp; Other HPS'!$BH$550:$BH$649=BJ43)*('C19RM 2021-Lab &amp; Other HPS'!$BR$550:$BR$649)*(('C19RM 2021-Lab &amp; Other HPS'!$AM$550:$AM$649)))),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HPS'!$AF$550:$AF$649)))),IF((INDEX(SETUP!$G$19:$G$503,(MATCH(1,(SETUP!$B$19:$B$503=B43)*(SETUP!$D$19:$D$503=D43),0))))=3,(SUMPRODUCT(('C19RM 2021-Lab &amp; Other HPS'!$A$550:$D$649=E43)*('C19RM 2021-Lab &amp; Other HPS'!$BH$550:$BH$649=BJ43)*('C19RM 2021-Lab &amp; Other HPS'!$BQ$550:$BQ$649)*(('C19RM 2021-Lab &amp; Other HPS'!$AG$550:$AG$649)))),IF((INDEX(SETUP!$G$19:$G$503,(MATCH(1,(SETUP!$B$19:$B$503=B43)*(SETUP!$D$19:$D$503=D43),0))))=2,(SUMPRODUCT(('C19RM 2021-Lab &amp; Other HPS'!$A$550:$D$649=E43)*('C19RM 2021-Lab &amp; Other HPS'!$BH$550:$BH$649=BJ43)*('C19RM 2021-Lab &amp; Other HPS'!$BQ$550:$BQ$649)*(('C19RM 2021-Lab &amp; Other HPS'!$AH$550:$AH$649)))),IF((INDEX(SETUP!$G$19:$G$503,(MATCH(1,(SETUP!$B$19:$B$503=B43)*(SETUP!$D$19:$D$503=D43),0))))=1,(SUMPRODUCT(('C19RM 2021-Lab &amp; Other HPS'!$A$550:$D$649=E43)*('C19RM 2021-Lab &amp; Other HPS'!$BH$550:$BH$649=BJ43)*('C19RM 2021-Lab &amp; Other HPS'!$BR$550:$BR$649)*(('C19RM 2021-Lab &amp; Other HPS'!$AL$550:$AL$649)))),0)))),0)))</f>
        <v>0</v>
      </c>
      <c r="AF43" s="359" cm="1">
        <f t="array" ref="AF43">IF((INDEX(SETUP!$F$19:$F$503,(MATCH(1,(SETUP!$B$19:$B$503=B43)*(SETUP!$D$19:$D$503=D43),0))))="Upfront",
(SUMPRODUCT(('C19RM 2021-Lab &amp; Other HPS'!$A$550:$D$649=E43)*('C19RM 2021-Lab &amp; Other HPS'!$BH$550:$BH$649=BJ43)*('C19RM 2021-Lab &amp; Other HPS'!$BR$550:$BR$649)*(('C19RM 2021-Lab &amp; Other HPS'!$AN$550:$AN$649)))),
(IF((INDEX(SETUP!$F$19:$F$503,(MATCH(1,(SETUP!$B$19:$B$503=B43)*(SETUP!$D$19:$D$503=D43),0))))="At delivery",
IF((INDEX(SETUP!$G$19:$G$503,(MATCH(1,(SETUP!$B$19:$B$503=B43)*(SETUP!$D$19:$D$503=D43),0))))=4,
(SUMPRODUCT(('C19RM 2021-Lab &amp; Other HPS'!$A$550:$D$649=E43)*('C19RM 2021-Lab &amp; Other HPS'!$BH$550:$BH$649=BJ43)*('C19RM 2021-Lab &amp; Other HPS'!$BQ$550:$BQ$649)*(('C19RM 2021-Lab &amp; Other HPS'!$AG$550:$AG$649)))),IF((INDEX(SETUP!$G$19:$G$503,(MATCH(1,(SETUP!$B$19:$B$503=B43)*(SETUP!$D$19:$D$503=D43),0))))=3,(SUMPRODUCT(('C19RM 2021-Lab &amp; Other HPS'!$A$550:$D$649=E43)*('C19RM 2021-Lab &amp; Other HPS'!$BH$550:$BH$649=BJ43)*('C19RM 2021-Lab &amp; Other HPS'!$BQ$550:$BQ$649)*(('C19RM 2021-Lab &amp; Other HPS'!$AH$550:$AH$649)))),IF((INDEX(SETUP!$G$19:$G$503,(MATCH(1,(SETUP!$B$19:$B$503=B43)*(SETUP!$D$19:$D$503=D43),0))))=2,(SUMPRODUCT(('C19RM 2021-Lab &amp; Other HPS'!$A$550:$D$649=E43)*('C19RM 2021-Lab &amp; Other HPS'!$BH$550:$BH$649=BJ43)*('C19RM 2021-Lab &amp; Other HPS'!$BR$550:$BR$649)*(('C19RM 2021-Lab &amp; Other HPS'!$AL$550:$AL$649)))),IF((INDEX(SETUP!$G$19:$G$503,(MATCH(1,(SETUP!$B$19:$B$503=B43)*(SETUP!$D$19:$D$503=D43),0))))=1,(SUMPRODUCT(('C19RM 2021-Lab &amp; Other HPS'!$A$550:$D$649=E43)*('C19RM 2021-Lab &amp; Other HPS'!$BH$550:$BH$649=BJ43)*('C19RM 2021-Lab &amp; Other HPS'!$BR$550:$BR$649)*(('C19RM 2021-Lab &amp; Other HPS'!$AM$550:$AM$649)))),0)))),0)))</f>
        <v>0</v>
      </c>
      <c r="AG43" s="359" cm="1">
        <f t="array" ref="AG43">IF((INDEX(SETUP!$F$19:$F$503,(MATCH(1,(SETUP!$B$19:$B$503=B43)*(SETUP!$D$19:$D$503=D43),0))))="Upfront",(SUMPRODUCT(('C19RM 2021-Lab &amp; Other HPS'!$A$550:$D$649=E43)*('C19RM 2021-Lab &amp; Other HPS'!$BH$550:$BH$649=BJ43)*('C19RM 2021-Lab &amp; Other HPS'!$BR$550:$BR$649)*(('C19RM 2021-Lab &amp; Other HPS'!$AO$550:$AO$649)))),(IF((INDEX(SETUP!$F$19:$F$503,(MATCH(1,(SETUP!$B$19:$B$503=B43)*(SETUP!$D$19:$D$503=D43),0))))="At delivery",IF((INDEX(SETUP!$G$19:$G$503,(MATCH(1,(SETUP!$B$19:$B$503=B43)*(SETUP!$D$19:$D$503=D43),0))))=4,(SUMPRODUCT(('C19RM 2021-Lab &amp; Other HPS'!$A$550:$D$649=E43)*('C19RM 2021-Lab &amp; Other HPS'!$BH$550:$BH$649=BJ43)*('C19RM 2021-Lab &amp; Other HPS'!$BQ$550:$BQ$649)*(('C19RM 2021-Lab &amp; Other HPS'!$AH$550:$AH$649)))),IF((INDEX(SETUP!$G$19:$G$503,(MATCH(1,(SETUP!$B$19:$B$503=B43)*(SETUP!$D$19:$D$503=D43),0))))=3,(SUMPRODUCT(('C19RM 2021-Lab &amp; Other HPS'!$A$550:$D$649=E43)*('C19RM 2021-Lab &amp; Other HPS'!$BH$550:$BH$649=BJ43)*('C19RM 2021-Lab &amp; Other HPS'!$BR$550:$BR$649)*(('C19RM 2021-Lab &amp; Other HPS'!$AL$550:$AL$649)))),IF((INDEX(SETUP!$G$19:$G$503,(MATCH(1,(SETUP!$B$19:$B$503=B43)*(SETUP!$D$19:$D$503=D43),0))))=2,(SUMPRODUCT(('C19RM 2021-Lab &amp; Other HPS'!$A$550:$D$649=E43)*('C19RM 2021-Lab &amp; Other HPS'!$BH$550:$BH$649=BJ43)*('C19RM 2021-Lab &amp; Other HPS'!$BR$550:$BR$649)*(('C19RM 2021-Lab &amp; Other HPS'!$AM$550:$AM$649)))),IF((INDEX(SETUP!$G$19:$G$503,(MATCH(1,(SETUP!$B$19:$B$503=B43)*(SETUP!$D$19:$D$503=D43),0))))=1,(SUMPRODUCT(('C19RM 2021-Lab &amp; Other HPS'!$A$550:$D$649=E43)*('C19RM 2021-Lab &amp; Other HPS'!$BH$550:$BH$649=BJ43)*('C19RM 2021-Lab &amp; Other HPS'!$BR$550:$BR$649)*(('C19RM 2021-Lab &amp; Other HPS'!$AN$550:$AN$649)))),0)))),0)))</f>
        <v>0</v>
      </c>
      <c r="AH43" s="359" cm="1">
        <f t="array" ref="AH43">IF((INDEX(SETUP!$F$19:$F$503,(MATCH(1,(SETUP!$B$19:$B$503=B43)*(SETUP!$D$19:$D$503=D43),0))))="Upfront",
(SUMPRODUCT(('C19RM 2021-Lab &amp; Other HPS'!$A$550:$D$649=E43)*('C19RM 2021-Lab &amp; Other HPS'!$BH$550:$BH$649=BJ43)*('C19RM 2021-Lab &amp; Other HPS'!$BS$550:$BS$649)*(('C19RM 2021-Lab &amp; Other HPS'!$AS$550:$AS$649)))),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HPS'!$AL$550:$AL$649)))),IF((INDEX(SETUP!$G$19:$G$503,(MATCH(1,(SETUP!$B$19:$B$503=B43)*(SETUP!$D$19:$D$503=D43),0))))=3,((SUMPRODUCT(('C19RM 2021-Lab &amp; Other HPS'!$A$550:$D$649=E43)*('C19RM 2021-Lab &amp; Other HPS'!$BH$550:$BH$649=BJ43)*('C19RM 2021-Lab &amp; Other HPS'!$BR$550:$BR$649)*(('C19RM 2021-Lab &amp; Other HPS'!$AM$550:$AM$649))))),IF((INDEX(SETUP!$G$19:$G$503,(MATCH(1,(SETUP!$B$19:$B$503=B43)*(SETUP!$D$19:$D$503=D43),0))))=2,(SUMPRODUCT(('C19RM 2021-Lab &amp; Other HPS'!$A$550:$D$649=E43)*('C19RM 2021-Lab &amp; Other HPS'!$BH$550:$BH$649=BJ43)*('C19RM 2021-Lab &amp; Other HPS'!$BR$550:$BR$649)*(('C19RM 2021-Lab &amp; Other HPS'!$AN$550:$AN$649)))),IF((INDEX(SETUP!$G$19:$G$503,(MATCH(1,(SETUP!$B$19:$B$503=B43)*(SETUP!$D$19:$D$503=D43),0))))=1,(SUMPRODUCT(('C19RM 2021-Lab &amp; Other HPS'!$A$550:$D$649=E43)*('C19RM 2021-Lab &amp; Other HPS'!$BH$550:$BH$649=BJ43)*('C19RM 2021-Lab &amp; Other HPS'!$BR$550:$BR$649)*(('C19RM 2021-Lab &amp; Other HPS'!$AO$550:$AO$649)))),0)))),0)))</f>
        <v>0</v>
      </c>
      <c r="AI43" s="359" cm="1">
        <f t="array" ref="AI43">IF((INDEX(SETUP!$F$19:$F$503,(MATCH(1,(SETUP!$B$19:$B$503=B43)*(SETUP!$D$19:$D$503=D43),0))))="Upfront",
(SUMPRODUCT(('C19RM 2021-Lab &amp; Other HPS'!$A$550:$D$649=E43)*('C19RM 2021-Lab &amp; Other HPS'!$BH$550:$BH$649=BJ43)*('C19RM 2021-Lab &amp; Other HPS'!$BS$550:$BS$649)*(('C19RM 2021-Lab &amp; Other HPS'!$AT$550:$AT$649)))),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HPS'!$AM$550:$AM$649)))),IF((INDEX(SETUP!$G$19:$G$503,(MATCH(1,(SETUP!$B$19:$B$503=B43)*(SETUP!$D$19:$D$503=D43),0))))=3,((SUMPRODUCT(('C19RM 2021-Lab &amp; Other HPS'!$A$550:$D$649=E43)*('C19RM 2021-Lab &amp; Other HPS'!$BH$550:$BH$649=BJ43)*('C19RM 2021-Lab &amp; Other HPS'!$BR$550:$BR$649)*(('C19RM 2021-Lab &amp; Other HPS'!$AN$550:$AN$649))))),IF((INDEX(SETUP!$G$19:$G$503,(MATCH(1,(SETUP!$B$19:$B$503=B43)*(SETUP!$D$19:$D$503=D43),0))))=2,(SUMPRODUCT(('C19RM 2021-Lab &amp; Other HPS'!$A$550:$D$649=E43)*('C19RM 2021-Lab &amp; Other HPS'!$BH$550:$BH$649=BJ43)*('C19RM 2021-Lab &amp; Other HPS'!$BR$550:$BR$649)*(('C19RM 2021-Lab &amp; Other HPS'!$AO$550:$AO$649)))),IF((INDEX(SETUP!$G$19:$G$503,(MATCH(1,(SETUP!$B$19:$B$503=B43)*(SETUP!$D$19:$D$503=D43),0))))=1,(SUMPRODUCT(('C19RM 2021-Lab &amp; Other HPS'!$A$550:$D$649=E43)*('C19RM 2021-Lab &amp; Other HPS'!$BH$550:$BH$649=BJ43)*('C19RM 2021-Lab &amp; Other HPS'!$BS$550:$BS$649)*(('C19RM 2021-Lab &amp; Other HPS'!$AS$550:$AS$649)))),0)))),0)))</f>
        <v>0</v>
      </c>
      <c r="AJ43" s="359" cm="1">
        <f t="array" ref="AJ43">IF((INDEX(SETUP!$F$19:$F$503,(MATCH(1,(SETUP!$B$19:$B$503=B43)*(SETUP!$D$19:$D$503=D43),0))))="Upfront",
(SUMPRODUCT(('C19RM 2021-Lab &amp; Other HPS'!$A$550:$D$649=E43)*('C19RM 2021-Lab &amp; Other HPS'!$BH$550:$BH$649=BJ43)*('C19RM 2021-Lab &amp; Other HPS'!$BS$550:$BS$649)*(('C19RM 2021-Lab &amp; Other HPS'!$AU$550:$AU$649)))),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HPS'!$AN$550:$AN$649)))),IF((INDEX(SETUP!$G$19:$G$503,(MATCH(1,(SETUP!$B$19:$B$503=B43)*(SETUP!$D$19:$D$503=D43),0))))=3,((SUMPRODUCT(('C19RM 2021-Lab &amp; Other HPS'!$A$550:$D$649=E43)*('C19RM 2021-Lab &amp; Other HPS'!$BH$550:$BH$649=BJ43)*('C19RM 2021-Lab &amp; Other HPS'!$BR$550:$BR$649)*(('C19RM 2021-Lab &amp; Other HPS'!$AO$550:$AO$649))))),IF((INDEX(SETUP!$G$19:$G$503,(MATCH(1,(SETUP!$B$19:$B$503=B43)*(SETUP!$D$19:$D$503=D43),0))))=2,(SUMPRODUCT(('C19RM 2021-Lab &amp; Other HPS'!$A$550:$D$649=E43)*('C19RM 2021-Lab &amp; Other HPS'!$BH$550:$BH$649=BJ43)*('C19RM 2021-Lab &amp; Other HPS'!$BS$550:$BS$649)*(('C19RM 2021-Lab &amp; Other HPS'!$AS$550:$AS$649)))),IF((INDEX(SETUP!$G$19:$G$503,(MATCH(1,(SETUP!$B$19:$B$503=B43)*(SETUP!$D$19:$D$503=D43),0))))=1,(SUMPRODUCT(('C19RM 2021-Lab &amp; Other HPS'!$A$550:$D$649=E43)*('C19RM 2021-Lab &amp; Other HPS'!$BH$550:$BH$649=BJ43)*('C19RM 2021-Lab &amp; Other HPS'!$BS$550:$BS$649)*(('C19RM 2021-Lab &amp; Other HPS'!$AT$550:$AT$649)))),0)))),0)))</f>
        <v>0</v>
      </c>
      <c r="AK43" s="359" cm="1">
        <f t="array" ref="AK43">IF((INDEX(SETUP!$F$19:$F$503,(MATCH(1,(SETUP!$B$19:$B$503=B43)*(SETUP!$D$19:$D$503=D43),0))))="Upfront",
(SUMPRODUCT(('C19RM 2021-Lab &amp; Other HPS'!$A$550:$D$649=E43)*('C19RM 2021-Lab &amp; Other HPS'!$BH$550:$BH$649=BJ43)*('C19RM 2021-Lab &amp; Other HPS'!$BS$550:$BS$649)*(('C19RM 2021-Lab &amp; Other HPS'!$AV$550:$AV$649)))),
(IF((INDEX(SETUP!$F$19:$F$503,(MATCH(1,(SETUP!$B$19:$B$503=B43)*(SETUP!$D$19:$D$503=D43),0))))="At delivery",
IF((INDEX(SETUP!$G$19:$G$503,(MATCH(1,(SETUP!$B$19:$B$503=B43)*(SETUP!$D$19:$D$503=D43),0))))=4,
(SUMPRODUCT(('C19RM 2021-Lab &amp; Other HPS'!$A$550:$D$649=E43)*('C19RM 2021-Lab &amp; Other HPS'!$BH$550:$BH$649=BJ43)*('C19RM 2021-Lab &amp; Other HPS'!$BR$550:$BR$649)*(('C19RM 2021-Lab &amp; Other HPS'!$AO$550:$AO$649)))),IF((INDEX(SETUP!$G$19:$G$503,(MATCH(1,(SETUP!$B$19:$B$503=B43)*(SETUP!$D$19:$D$503=D43),0))))=3,((SUMPRODUCT(('C19RM 2021-Lab &amp; Other HPS'!$A$550:$D$649=E43)*('C19RM 2021-Lab &amp; Other HPS'!$BH$550:$BH$649=BJ43)*('C19RM 2021-Lab &amp; Other HPS'!$BS$550:$BS$649)*(('C19RM 2021-Lab &amp; Other HPS'!$AS$550:$AS$649))))),IF((INDEX(SETUP!$G$19:$G$503,(MATCH(1,(SETUP!$B$19:$B$503=B43)*(SETUP!$D$19:$D$503=D43),0))))=2,(SUMPRODUCT(('C19RM 2021-Lab &amp; Other HPS'!$A$550:$D$649=E43)*('C19RM 2021-Lab &amp; Other HPS'!$BH$550:$BH$649=BJ43)*('C19RM 2021-Lab &amp; Other HPS'!$BS$550:$BS$649)*(('C19RM 2021-Lab &amp; Other HPS'!$AT$550:$AT$649)))),IF((INDEX(SETUP!$G$19:$G$503,(MATCH(1,(SETUP!$B$19:$B$503=B43)*(SETUP!$D$19:$D$503=D43),0))))=1,(SUMPRODUCT(('C19RM 2021-Lab &amp; Other HPS'!$A$550:$D$649=E43)*('C19RM 2021-Lab &amp; Other HPS'!$BH$550:$BH$649=BJ43)*('C19RM 2021-Lab &amp; Other HPS'!$BS$550:$BS$649)*(('C19RM 2021-Lab &amp; Other HPS'!$AU$550:$AU$649)))),0)))),0)))</f>
        <v>0</v>
      </c>
      <c r="AL43" s="359" cm="1">
        <f t="array" ref="AL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HPS'!$AS$550:$AS$649)))),IF((INDEX(SETUP!$G$19:$G$503,(MATCH(1,(SETUP!$B$19:$B$503=B43)*(SETUP!$D$19:$D$503=D43),0))))=3,(SUMPRODUCT(('C19RM 2021-Lab &amp; Other HPS'!$A$550:$D$649=E43)*('C19RM 2021-Lab &amp; Other HPS'!$BH$550:$BH$649=BJ43)*('C19RM 2021-Lab &amp; Other HPS'!$BS$550:$BS$649)*(('C19RM 2021-Lab &amp; Other HPS'!$AT$550:$AT$649)))),IF((INDEX(SETUP!$G$19:$G$503,(MATCH(1,(SETUP!$B$19:$B$503=B43)*(SETUP!$D$19:$D$503=D43),0))))=2,(SUMPRODUCT(('C19RM 2021-Lab &amp; Other HPS'!$A$550:$D$649=E43)*('C19RM 2021-Lab &amp; Other HPS'!$BH$550:$BH$649=BJ43)*('C19RM 2021-Lab &amp; Other HPS'!$BS$550:$BS$649)*(('C19RM 2021-Lab &amp; Other HPS'!$AU$550:$AU$649)))),
IF((INDEX(SETUP!$G$19:$G$503,(MATCH(1,(SETUP!$B$19:$B$503=B43)*(SETUP!$D$19:$D$503=D43),0))))=1,
(SUMPRODUCT(('C19RM 2021-Lab &amp; Other HPS'!$A$550:$D$649=E43)*('C19RM 2021-Lab &amp; Other HPS'!$BH$550:$BH$649=BJ43)*('C19RM 2021-Lab &amp; Other HPS'!$BS$550:$BS$649)*(('C19RM 2021-Lab &amp; Other HPS'!$AV$550:$AV$649)))),0)))),0)))</f>
        <v>0</v>
      </c>
      <c r="AM43" s="359" cm="1">
        <f t="array" ref="AM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HPS'!$AT$550:$AT$649)))),IF((INDEX(SETUP!$G$19:$G$503,(MATCH(1,(SETUP!$B$19:$B$503=B43)*(SETUP!$D$19:$D$503=D43),0))))=3,(SUMPRODUCT(('C19RM 2021-Lab &amp; Other HPS'!$A$550:$D$649=E43)*('C19RM 2021-Lab &amp; Other HPS'!$BH$550:$BH$649=BJ43)*('C19RM 2021-Lab &amp; Other HPS'!$BS$550:$BS$649)*(('C19RM 2021-Lab &amp; Other HPS'!$AU$550:$AU$649)))),IF((INDEX(SETUP!$G$19:$G$503,(MATCH(1,(SETUP!$B$19:$B$503=B43)*(SETUP!$D$19:$D$503=D43),0))))=2,(SUMPRODUCT(('C19RM 2021-Lab &amp; Other HPS'!$A$550:$D$649=E43)*('C19RM 2021-Lab &amp; Other HPS'!$BH$550:$BH$649=BJ43)*('C19RM 2021-Lab &amp; Other HPS'!$BS$550:$BS$649)*(('C19RM 2021-Lab &amp; Other HPS'!$AV$550:$AV$649)))),IF((INDEX(SETUP!$G$19:$G$503,(MATCH(1,(SETUP!$B$19:$B$503=B43)*(SETUP!$D$19:$D$503=D43),0))))=1,(0),0)))),0)))</f>
        <v>0</v>
      </c>
      <c r="AN43" s="359" cm="1">
        <f t="array" ref="AN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HPS'!$AU$550:$AU$649)))),IF((INDEX(SETUP!$G$19:$G$503,(MATCH(1,(SETUP!$B$19:$B$503=B43)*(SETUP!$D$19:$D$503=D43),0))))=3,(SUMPRODUCT(('C19RM 2021-Lab &amp; Other HPS'!$A$550:$D$649=E43)*('C19RM 2021-Lab &amp; Other HPS'!$BH$550:$BH$649=BJ43)*('C19RM 2021-Lab &amp; Other HPS'!$BS$550:$BS$649)*(('C19RM 2021-Lab &amp; Other HPS'!$AV$550:$AV$649)))),IF((INDEX(SETUP!$G$19:$G$503,(MATCH(1,(SETUP!$B$19:$B$503=B43)*(SETUP!$D$19:$D$503=D43),0))))=2,(0),IF((INDEX(SETUP!$G$19:$G$503,(MATCH(1,(SETUP!$B$19:$B$503=B43)*(SETUP!$D$19:$D$503=D43),0))))=1,(0),0)))),0)))</f>
        <v>0</v>
      </c>
      <c r="AO43" s="359" cm="1">
        <f t="array" ref="AO43">IF((INDEX(SETUP!$F$19:$F$503,(MATCH(1,(SETUP!$B$19:$B$503=B43)*(SETUP!$D$19:$D$503=D43),0))))="Upfront",0,(IF((INDEX(SETUP!$F$19:$F$503,(MATCH(1,(SETUP!$B$19:$B$503=B43)*(SETUP!$D$19:$D$503=D43),0))))="At delivery",IF((INDEX(SETUP!$G$19:$G$503,(MATCH(1,(SETUP!$B$19:$B$503=B43)*(SETUP!$D$19:$D$503=D43),0))))=4,(SUMPRODUCT(('C19RM 2021-Lab &amp; Other HPS'!$A$550:$D$649=E43)*('C19RM 2021-Lab &amp; Other HPS'!$BH$550:$BH$649=BJ43)*('C19RM 2021-Lab &amp; Other HPS'!$BS$550:$BS$649)*(('C19RM 2021-Lab &amp; Other HPS'!$AV$550:$AV$649)))),IF((INDEX(SETUP!$G$19:$G$503,(MATCH(1,(SETUP!$B$19:$B$503=B43)*(SETUP!$D$19:$D$503=D43),0))))=3,(0),IF((INDEX(SETUP!$G$19:$G$503,(MATCH(1,(SETUP!$B$19:$B$503=B43)*(SETUP!$D$19:$D$503=D43),0))))=2,(0),IF((INDEX(SETUP!$G$19:$G$503,(MATCH(1,(SETUP!$B$19:$B$503=B43)*(SETUP!$D$19:$D$503=D43),0))))=1,(0),0)))),0)))</f>
        <v>0</v>
      </c>
      <c r="AP43" s="359"/>
      <c r="AQ43" s="359"/>
      <c r="AR43" s="359"/>
      <c r="AS43" s="359"/>
      <c r="AT43" s="359" cm="1">
        <f t="array" ref="AT43">IF(BG43&gt;=1,0,IFERROR(SUMPRODUCT(($R$2:$AO$2=$AT$4)*($E$5:$E$100=E43)*($BC$5:$BC$100=BC43)*($R$5:$AO$100)),0))</f>
        <v>0</v>
      </c>
      <c r="AU43" s="359" cm="1">
        <f t="array" ref="AU43">IF(BG43&gt;=1,0,IFERROR(SUMPRODUCT(($R$2:$AO$2=$AU$4)*($E$5:$E$100=E43)*($BC$5:$BC$100=BC43)*($R$5:$AO$100)),0))</f>
        <v>0</v>
      </c>
      <c r="AV43" s="359" cm="1">
        <f t="array" ref="AV43">IF(BG43&gt;=1,0,IFERROR(SUMPRODUCT(($R$2:$AO$2=$AV$4)*($E$5:$E$100=E43)*($BC$5:$BC$100=BC43)*($R$5:$AO$100)),0))</f>
        <v>0</v>
      </c>
      <c r="AW43" s="359" cm="1">
        <f t="array" ref="AW43">IF(BG43&gt;=1,0,IFERROR(SUMPRODUCT(($R$2:$AO$2=$AW$4)*($E$5:$E$100=E43)*($BC$5:$BC$100=BC43)*($R$5:$AO$100)),0))</f>
        <v>0</v>
      </c>
      <c r="AX43" s="359" cm="1">
        <f t="array" ref="AX43">IF(BG43&gt;=1,0,IFERROR(SUMPRODUCT(($R$2:$AO$2=$AX$4)*($E$5:$E$100=E43)*($BC$5:$BC$100=BC43)*($R$5:$AO$100)),0))</f>
        <v>0</v>
      </c>
      <c r="AY43" s="359">
        <f t="shared" si="5"/>
        <v>0</v>
      </c>
      <c r="BA43" s="233">
        <f t="shared" si="27"/>
        <v>0</v>
      </c>
      <c r="BB43" s="220" t="s">
        <v>83</v>
      </c>
      <c r="BC43" t="s">
        <v>182</v>
      </c>
      <c r="BD43" cm="1">
        <f t="array" ref="BD43">(SUMPRODUCT(('C19RM 2021-Lab &amp; Other HPS'!$A$14:$D$650=E43)*('C19RM 2021-Lab &amp; Other HPS'!$BU$14:$BU$650)))</f>
        <v>0</v>
      </c>
      <c r="BE43" cm="1">
        <f t="array" ref="BE43">(SUMPRODUCT((SETUP!$D$20:$D$67=D43)*(SETUP!$R$20:$R$67)))</f>
        <v>0</v>
      </c>
      <c r="BF43" cm="1">
        <f t="array" ref="BF43">(SUMPRODUCT(('C19RM 2021-Lab &amp; Other HPS'!$A$14:$D$650=E43)*('C19RM 2021-Lab &amp; Other HPS'!$BV$14:$BV$650)))</f>
        <v>0</v>
      </c>
      <c r="BG43">
        <f t="shared" si="28"/>
        <v>0</v>
      </c>
      <c r="BJ43">
        <v>6.5</v>
      </c>
    </row>
    <row r="44" spans="1:62" x14ac:dyDescent="0.35">
      <c r="A44">
        <v>6</v>
      </c>
      <c r="B44" s="220" t="s">
        <v>2750</v>
      </c>
      <c r="C44" s="235" t="s">
        <v>3196</v>
      </c>
      <c r="D44" s="235" t="s">
        <v>31</v>
      </c>
      <c r="E44" s="220" t="s">
        <v>2766</v>
      </c>
      <c r="F44" s="220">
        <f>SETUP!$E$3</f>
        <v>0</v>
      </c>
      <c r="G44" s="220" t="str">
        <f ca="1">SETUP!$J$5</f>
        <v>NA</v>
      </c>
      <c r="H44" s="220" t="str">
        <f>SETUP!$E$9</f>
        <v>C19RM</v>
      </c>
      <c r="I44" s="232">
        <f t="shared" si="22"/>
        <v>44197</v>
      </c>
      <c r="J44" s="232">
        <f>SETUP!$L$14</f>
        <v>46022</v>
      </c>
      <c r="K44" s="220">
        <f>IFERROR(VLOOKUP(E44,'Master Data-C19RM'!$A$5:$B$35,2,0),0)</f>
        <v>0</v>
      </c>
      <c r="L44">
        <f t="shared" si="23"/>
        <v>0</v>
      </c>
      <c r="M44">
        <f>SETUP!$E$7</f>
        <v>0</v>
      </c>
      <c r="N44">
        <f>SETUP!$F$76</f>
        <v>6.1</v>
      </c>
      <c r="O44" t="str" cm="1">
        <f t="array" ref="O44">INDEX(SETUP!$E$19:$E$503,(MATCH(1,(SETUP!$B$19:$B$503=B44)*(SETUP!$D$19:$D$503=D44),0)))</f>
        <v>PR/SR</v>
      </c>
      <c r="P44" t="str" cm="1">
        <f t="array" ref="P44">INDEX(SETUP!$F$19:$F$503,(MATCH(1,(SETUP!$B$19:$B$503=B44)*(SETUP!$D$19:$D$503=D44),0)))</f>
        <v>At delivery</v>
      </c>
      <c r="Q44" cm="1">
        <f t="array" ref="Q44">INDEX(SETUP!$G$19:$G$503,(MATCH(1,(SETUP!$B$19:$B$503=B44)*(SETUP!$D$19:$D$503=D44),0)))</f>
        <v>1</v>
      </c>
      <c r="R44" s="359" cm="1">
        <f t="array" ref="R44">IF((INDEX(SETUP!$F$19:$F$503,(MATCH(1,(SETUP!$B$19:$B$503=B44)*(SETUP!$D$19:$D$503=D44),0))))="Upfront",(SUMPRODUCT(('C19RM 2021-Lab &amp; Other HPS'!$A$550:$D$649=E44)*('C19RM 2021-Lab &amp; Other HPS'!$BH$550:$BH$649=BJ44)*('C19RM 2021-Lab &amp; Other HPS'!$BO$550:$BO$649)*(('C19RM 2021-Lab &amp; Other HPS'!$Q$550:$Q$649)))),0)</f>
        <v>0</v>
      </c>
      <c r="S44" s="359" cm="1">
        <f t="array" ref="S44">IF((INDEX(SETUP!$F$19:$F$503,(MATCH(1,(SETUP!$B$19:$B$503=B44)*(SETUP!$D$19:$D$503=D44),0))))="Upfront",(SUMPRODUCT(('C19RM 2021-Lab &amp; Other HPS'!$A$550:$D$649=E44)*('C19RM 2021-Lab &amp; Other HPS'!$BH$550:$BH$649=BJ44)*('C19RM 2021-Lab &amp; Other HPS'!$BO$550:$BO$649)*(('C19RM 2021-Lab &amp; Other HPS'!$R$550:$R$649)))),(IF((INDEX(SETUP!$F$19:$F$503,(MATCH(1,(SETUP!$B$19:$B$503=B44)*(SETUP!$D$19:$D$503=D44),0))))="At delivery",IF((INDEX(SETUP!$G$19:$G$503,(MATCH(1,(SETUP!$B$19:$B$503=B44)*(SETUP!$D$19:$D$503=D44),0))))=1,(SUMPRODUCT(('C19RM 2021-Lab &amp; Other HPS'!$A$550:$D$649=E44)*('C19RM 2021-Lab &amp; Other HPS'!$BH$550:$BH$649=BJ44)*('C19RM 2021-Lab &amp; Other HPS'!$BO$550:$BO$649)*(('C19RM 2021-Lab &amp; Other HPS'!$Q$550:$Q$649)))),0),0)))</f>
        <v>0</v>
      </c>
      <c r="T44" s="359" cm="1">
        <f t="array" ref="T44">IF((INDEX(SETUP!$F$19:$F$503,(MATCH(1,(SETUP!$B$19:$B$503=B44)*(SETUP!$D$19:$D$503=D44),0))))="Upfront",(SUMPRODUCT(('C19RM 2021-Lab &amp; Other HPS'!$A$550:$D$649=E44)*('C19RM 2021-Lab &amp; Other HPS'!$BH$550:$BH$649=BJ44)*('C19RM 2021-Lab &amp; Other HPS'!$BO$550:$BO$649)*(('C19RM 2021-Lab &amp; Other HPS'!$S$550:$S$649)))),(IF((INDEX(SETUP!$F$19:$F$503,(MATCH(1,(SETUP!$B$19:$B$503=B44)*(SETUP!$D$19:$D$503=D44),0))))="At delivery",IF((INDEX(SETUP!$G$19:$G$503,(MATCH(1,(SETUP!$B$19:$B$503=B44)*(SETUP!$D$19:$D$503=D44),0))))=2,(SUMPRODUCT(('C19RM 2021-Lab &amp; Other HPS'!$A$550:$D$649=E44)*('C19RM 2021-Lab &amp; Other HPS'!$BH$550:$BH$649=BJ44)*('C19RM 2021-Lab &amp; Other HPS'!$BO$550:$BO$649)*(('C19RM 2021-Lab &amp; Other HPS'!$Q$550:$Q$649)))),IF((INDEX(SETUP!$G$19:$G$503,(MATCH(1,(SETUP!$B$19:$B$503=B44)*(SETUP!$D$19:$D$503=D44),0))))=1,(SUMPRODUCT(('C19RM 2021-Lab &amp; Other HPS'!$A$550:$D$649=E44)*('C19RM 2021-Lab &amp; Other HPS'!$BH$550:$BH$649=BJ44)*('C19RM 2021-Lab &amp; Other HPS'!$BO$550:$BO$649)*(('C19RM 2021-Lab &amp; Other HPS'!$R$550:$R$649)))),0)),0)))</f>
        <v>0</v>
      </c>
      <c r="U44" s="359" cm="1">
        <f t="array" ref="U44">IF((INDEX(SETUP!$F$19:$F$503,(MATCH(1,(SETUP!$B$19:$B$503=B44)*(SETUP!$D$19:$D$503=D44),0))))="Upfront",(SUMPRODUCT(('C19RM 2021-Lab &amp; Other HPS'!$A$550:$D$649=E44)*('C19RM 2021-Lab &amp; Other HPS'!$BH$550:$BH$649=BJ44)*('C19RM 2021-Lab &amp; Other HPS'!$BO$550:$BO$649)*(('C19RM 2021-Lab &amp; Other HPS'!$T$550:$T$649)))),(IF((INDEX(SETUP!$F$19:$F$503,(MATCH(1,(SETUP!$B$19:$B$503=B44)*(SETUP!$D$19:$D$503=D44),0))))="At delivery",IF((INDEX(SETUP!$G$19:$G$503,(MATCH(1,(SETUP!$B$19:$B$503=B44)*(SETUP!$D$19:$D$503=D44),0))))=3,(SUMPRODUCT(('C19RM 2021-Lab &amp; Other HPS'!$A$550:$D$649=E44)*('C19RM 2021-Lab &amp; Other HPS'!$BH$550:$BH$649=BJ44)*('C19RM 2021-Lab &amp; Other HPS'!$BO$550:$BO$649)*(('C19RM 2021-Lab &amp; Other HPS'!$Q$550:$Q$649)))),IF((INDEX(SETUP!$G$19:$G$503,(MATCH(1,(SETUP!$B$19:$B$503=B44)*(SETUP!$D$19:$D$503=D44),0))))=2,(SUMPRODUCT(('C19RM 2021-Lab &amp; Other HPS'!$A$550:$D$649=E44)*('C19RM 2021-Lab &amp; Other HPS'!$BH$550:$BH$649=BJ44)*('C19RM 2021-Lab &amp; Other HPS'!$BO$550:$BO$649)*(('C19RM 2021-Lab &amp; Other HPS'!$R$550:$R$649)))),IF((INDEX(SETUP!$G$19:$G$503,(MATCH(1,(SETUP!$B$19:$B$503=B44)*(SETUP!$D$19:$D$503=D44),0))))=1,(SUMPRODUCT(('C19RM 2021-Lab &amp; Other HPS'!$A$550:$D$649=E44)*('C19RM 2021-Lab &amp; Other HPS'!$BH$550:$BH$649=BJ44)*('C19RM 2021-Lab &amp; Other HPS'!$BO$550:$BO$649)*(('C19RM 2021-Lab &amp; Other HPS'!$S$550:$S$649)))),0))),0)))</f>
        <v>0</v>
      </c>
      <c r="V44" s="359" cm="1">
        <f t="array" ref="V44">IF((INDEX(SETUP!$F$19:$F$503,(MATCH(1,(SETUP!$B$19:$B$503=B44)*(SETUP!$D$19:$D$503=D44),0))))="Upfront",(SUMPRODUCT(('C19RM 2021-Lab &amp; Other HPS'!$A$550:$D$649=E44)*('C19RM 2021-Lab &amp; Other HPS'!$BH$550:$BH$649=BJ44)*('C19RM 2021-Lab &amp; Other HPS'!$BP$550:$BP$649)*(('C19RM 2021-Lab &amp; Other HPS'!$X$550:$X$649)))),(IF((INDEX(SETUP!$F$19:$F$503,(MATCH(1,(SETUP!$B$19:$B$503=B44)*(SETUP!$D$19:$D$503=D44),0))))="At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HPS'!$Q$550:$Q$649)))),IF((INDEX(SETUP!$G$19:$G$503,(MATCH(1,(SETUP!$B$19:$B$503=B44)*(SETUP!$D$19:$D$503=D44),0))))=3,(SUMPRODUCT(('C19RM 2021-Lab &amp; Other HPS'!$A$550:$D$649=E44)*('C19RM 2021-Lab &amp; Other HPS'!$BH$550:$BH$649=BJ44)*('C19RM 2021-Lab &amp; Other HPS'!$BO$550:$BO$649)*(('C19RM 2021-Lab &amp; Other HPS'!$R$550:$R$649)))),IF((INDEX(SETUP!$G$19:$G$503,(MATCH(1,(SETUP!$B$19:$B$503=B44)*(SETUP!$D$19:$D$503=D44),0))))=2,(SUMPRODUCT(('C19RM 2021-Lab &amp; Other HPS'!$A$550:$D$649=E44)*('C19RM 2021-Lab &amp; Other HPS'!$BH$550:$BH$649=BJ44)*('C19RM 2021-Lab &amp; Other HPS'!$BO$550:$BO$649)*(('C19RM 2021-Lab &amp; Other HPS'!$S$550:$S$649)))),IF((INDEX(SETUP!$G$19:$G$503,(MATCH(1,(SETUP!$B$19:$B$503=B44)*(SETUP!$D$19:$D$503=D44),0))))=1,(SUMPRODUCT(('C19RM 2021-Lab &amp; Other HPS'!$A$550:$D$649=E44)*('C19RM 2021-Lab &amp; Other HPS'!$BH$550:$BH$649=BJ44)*('C19RM 2021-Lab &amp; Other HPS'!$BO$550:$BO$649)*(('C19RM 2021-Lab &amp; Other HPS'!$T$550:$T$649)))),0)))),0)))</f>
        <v>0</v>
      </c>
      <c r="W44" s="359" cm="1">
        <f t="array" ref="W44">IF((INDEX(SETUP!$F$19:$F$503,(MATCH(1,(SETUP!$B$19:$B$503=B44)*(SETUP!$D$19:$D$503=D44),0))))="Upfront",(SUMPRODUCT(('C19RM 2021-Lab &amp; Other HPS'!$A$550:$D$649=E44)*('C19RM 2021-Lab &amp; Other HPS'!$BH$550:$BH$649=BJ44)*('C19RM 2021-Lab &amp; Other HPS'!$BP$550:$BP$649)*(('C19RM 2021-Lab &amp; Other HPS'!$Y$550:$Y$649)))),(IF((INDEX(SETUP!$F$19:$F$503,(MATCH(1,(SETUP!$B$19:$B$503=B44)*(SETUP!$D$19:$D$503=D44),0))))="At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HPS'!$R$550:$R$649)))),IF((INDEX(SETUP!$G$19:$G$503,(MATCH(1,(SETUP!$B$19:$B$503=B44)*(SETUP!$D$19:$D$503=D44),0))))=3,(SUMPRODUCT(('C19RM 2021-Lab &amp; Other HPS'!$A$550:$D$649=E44)*('C19RM 2021-Lab &amp; Other HPS'!$BH$550:$BH$649=BJ44)*('C19RM 2021-Lab &amp; Other HPS'!$BO$550:$BO$649)*(('C19RM 2021-Lab &amp; Other HPS'!$S$550:$S$649)))),IF((INDEX(SETUP!$G$19:$G$503,(MATCH(1,(SETUP!$B$19:$B$503=B44)*(SETUP!$D$19:$D$503=D44),0))))=2,((SUMPRODUCT(('C19RM 2021-Lab &amp; Other HPS'!$A$550:$D$649=E44)*('C19RM 2021-Lab &amp; Other HPS'!$BH$550:$BH$649=BJ44)*('C19RM 2021-Lab &amp; Other HPS'!$BO$550:$BO$649)*(('C19RM 2021-Lab &amp; Other HPS'!$T$550:$T$649))))),IF((INDEX(SETUP!$G$19:$G$503,(MATCH(1,(SETUP!$B$19:$B$503=B44)*(SETUP!$D$19:$D$503=D44),0))))=1,(SUMPRODUCT(('C19RM 2021-Lab &amp; Other HPS'!$A$550:$D$649=E44)*('C19RM 2021-Lab &amp; Other HPS'!$BH$550:$BH$649=BJ44)*('C19RM 2021-Lab &amp; Other HPS'!$BP$550:$BP$649)*(('C19RM 2021-Lab &amp; Other HPS'!$X$550:$X$649)))),0)))),0)))</f>
        <v>0</v>
      </c>
      <c r="X44" s="359" cm="1">
        <f t="array" ref="X44">IF((INDEX(SETUP!$F$19:$F$503,(MATCH(1,(SETUP!$B$19:$B$503=B44)*(SETUP!$D$19:$D$503=D44),0))))="Upfront",(SUMPRODUCT(('C19RM 2021-Lab &amp; Other HPS'!$A$550:$D$649=E44)*('C19RM 2021-Lab &amp; Other HPS'!$BH$550:$BH$649=BJ44)*('C19RM 2021-Lab &amp; Other HPS'!$BP$550:$BP$649)*(('C19RM 2021-Lab &amp; Other HPS'!$Z$550:$Z$649)))),(IF((INDEX(SETUP!$F$19:$F$503,(MATCH(1,(SETUP!$B$19:$B$503=B44)*(SETUP!$D$19:$D$503=D44),0))))="At delivery",IF((INDEX(SETUP!$G$19:$G$503,(MATCH(1,(SETUP!$B$19:$B$503=B44)*(SETUP!$D$19:$D$503=D44),0))))=4,(SUMPRODUCT(('C19RM 2021-Lab &amp; Other HPS'!$A$550:$D$649=E44)*('C19RM 2021-Lab &amp; Other HPS'!$BH$550:$BH$649=BJ44)*('C19RM 2021-Lab &amp; Other HPS'!$BO$550:$BO$649)*(('C19RM 2021-Lab &amp; Other HPS'!$S$550:$S$649)))),IF((INDEX(SETUP!$G$19:$G$503,(MATCH(1,(SETUP!$B$19:$B$503=B44)*(SETUP!$D$19:$D$503=D44),0))))=3,((SUMPRODUCT(('C19RM 2021-Lab &amp; Other HPS'!$A$550:$D$649=E44)*('C19RM 2021-Lab &amp; Other HPS'!$BH$550:$BH$649=BJ44)*('C19RM 2021-Lab &amp; Other HPS'!$BO$550:$BO$649)*(('C19RM 2021-Lab &amp; Other HPS'!$T$550:$T$649))))),IF((INDEX(SETUP!$G$19:$G$503,(MATCH(1,(SETUP!$B$19:$B$503=B44)*(SETUP!$D$19:$D$503=D44),0))))=2,(SUMPRODUCT(('C19RM 2021-Lab &amp; Other HPS'!$A$550:$D$649=E44)*('C19RM 2021-Lab &amp; Other HPS'!$BH$550:$BH$649=BJ44)*('C19RM 2021-Lab &amp; Other HPS'!$BP$550:$BP$649)*(('C19RM 2021-Lab &amp; Other HPS'!$X$550:$X$649)))),IF((INDEX(SETUP!$G$19:$G$503,(MATCH(1,(SETUP!$B$19:$B$503=B44)*(SETUP!$D$19:$D$503=D44),0))))=1,(SUMPRODUCT(('C19RM 2021-Lab &amp; Other HPS'!$A$550:$D$649=E44)*('C19RM 2021-Lab &amp; Other HPS'!$BH$550:$BH$649=BJ44)*('C19RM 2021-Lab &amp; Other HPS'!$BP$550:$BP$649)*(('C19RM 2021-Lab &amp; Other HPS'!$Y$550:$Y$649)))),0)))),0)))</f>
        <v>0</v>
      </c>
      <c r="Y44" s="359" cm="1">
        <f t="array" ref="Y44">IF((INDEX(SETUP!$F$19:$F$503,(MATCH(1,(SETUP!$B$19:$B$503=B44)*(SETUP!$D$19:$D$503=D44),0))))="Upfront",
(SUMPRODUCT(('C19RM 2021-Lab &amp; Other HPS'!$A$550:$D$649=E44)*('C19RM 2021-Lab &amp; Other HPS'!$BH$550:$BH$649=BJ44)*('C19RM 2021-Lab &amp; Other HPS'!$BP$550:$BP$649)*(('C19RM 2021-Lab &amp; Other HPS'!$AA$550:$AA$649)))),
(IF((INDEX(SETUP!$F$19:$F$503,(MATCH(1,(SETUP!$B$19:$B$503=B44)*(SETUP!$D$19:$D$503=D44),0))))="At delivery",
IF((INDEX(SETUP!$G$19:$G$503,(MATCH(1,(SETUP!$B$19:$B$503=B44)*(SETUP!$D$19:$D$503=D44),0))))=4,
((SUMPRODUCT(('C19RM 2021-Lab &amp; Other HPS'!$A$550:$D$649=E44)*('C19RM 2021-Lab &amp; Other HPS'!$BH$550:$BH$649=BJ44)*('C19RM 2021-Lab &amp; Other HPS'!$BO$550:$BO$649)*(('C19RM 2021-Lab &amp; Other HPS'!$T$550:$T$649))))),IF((INDEX(SETUP!$G$19:$G$503,(MATCH(1,(SETUP!$B$19:$B$503=B44)*(SETUP!$D$19:$D$503=D44),0))))=3,(SUMPRODUCT(('C19RM 2021-Lab &amp; Other HPS'!$A$550:$D$649=E44)*('C19RM 2021-Lab &amp; Other HPS'!$BH$550:$BH$649=BJ44)*('C19RM 2021-Lab &amp; Other HPS'!$BP$550:$BP$649)*(('C19RM 2021-Lab &amp; Other HPS'!$X$550:$X$649)))),IF((INDEX(SETUP!$G$19:$G$503,(MATCH(1,(SETUP!$B$19:$B$503=B44)*(SETUP!$D$19:$D$503=D44),0))))=2,(SUMPRODUCT(('C19RM 2021-Lab &amp; Other HPS'!$A$550:$D$649=E44)*('C19RM 2021-Lab &amp; Other HPS'!$BH$550:$BH$649=BJ44)*('C19RM 2021-Lab &amp; Other HPS'!$BP$550:$BP$649)*(('C19RM 2021-Lab &amp; Other HPS'!$Y$550:$Y$649)))),IF((INDEX(SETUP!$G$19:$G$503,(MATCH(1,(SETUP!$B$19:$B$503=B44)*(SETUP!$D$19:$D$503=D44),0))))=1,(SUMPRODUCT(('C19RM 2021-Lab &amp; Other HPS'!$A$550:$D$649=E44)*('C19RM 2021-Lab &amp; Other HPS'!$BH$550:$BH$649=BJ44)*('C19RM 2021-Lab &amp; Other HPS'!$BP$550:$BP$649)*(('C19RM 2021-Lab &amp; Other HPS'!$Z$550:$Z$649)))),0)))),0)))</f>
        <v>0</v>
      </c>
      <c r="Z44" s="359" cm="1">
        <f t="array" ref="Z44">IF((INDEX(SETUP!$F$19:$F$503,(MATCH(1,(SETUP!$B$19:$B$503=B44)*(SETUP!$D$19:$D$503=D44),0))))="Upfront",(SUMPRODUCT(('C19RM 2021-Lab &amp; Other HPS'!$A$550:$D$649=E44)*('C19RM 2021-Lab &amp; Other HPS'!$BH$550:$BH$649=BJ44)*('C19RM 2021-Lab &amp; Other HPS'!$BQ$550:$BQ$649)*(('C19RM 2021-Lab &amp; Other HPS'!$AE$550:$AE$649)))),(IF((INDEX(SETUP!$F$19:$F$503,(MATCH(1,(SETUP!$B$19:$B$503=B44)*(SETUP!$D$19:$D$503=D44),0))))="At delivery",IF((INDEX(SETUP!$G$19:$G$503,(MATCH(1,(SETUP!$B$19:$B$503=B44)*(SETUP!$D$19:$D$503=D44),0))))=4,(SUMPRODUCT(('C19RM 2021-Lab &amp; Other HPS'!$A$550:$D$649=E44)*('C19RM 2021-Lab &amp; Other HPS'!$BH$550:$BH$649=BJ44)*('C19RM 2021-Lab &amp; Other HPS'!$BP$550:$BP$649)*(('C19RM 2021-Lab &amp; Other HPS'!$X$550:$X$649)))),IF((INDEX(SETUP!$G$19:$G$503,(MATCH(1,(SETUP!$B$19:$B$503=B44)*(SETUP!$D$19:$D$503=D44),0))))=3,(SUMPRODUCT(('C19RM 2021-Lab &amp; Other HPS'!$A$550:$D$649=E44)*('C19RM 2021-Lab &amp; Other HPS'!$BH$550:$BH$649=BJ44)*('C19RM 2021-Lab &amp; Other HPS'!$BP$550:$BP$649)*(('C19RM 2021-Lab &amp; Other HPS'!$Y$550:$Y$649)))),IF((INDEX(SETUP!$G$19:$G$503,(MATCH(1,(SETUP!$B$19:$B$503=B44)*(SETUP!$D$19:$D$503=D44),0))))=2,(SUMPRODUCT(('C19RM 2021-Lab &amp; Other HPS'!$A$550:$D$649=E44)*('C19RM 2021-Lab &amp; Other HPS'!$BH$550:$BH$649=BJ44)*('C19RM 2021-Lab &amp; Other HPS'!$BP$550:$BP$649)*(('C19RM 2021-Lab &amp; Other HPS'!$Z$550:$Z$649)))),IF((INDEX(SETUP!$G$19:$G$503,(MATCH(1,(SETUP!$B$19:$B$503=B44)*(SETUP!$D$19:$D$503=D44),0))))=1,(SUMPRODUCT(('C19RM 2021-Lab &amp; Other HPS'!$A$550:$D$649=E44)*('C19RM 2021-Lab &amp; Other HPS'!$BH$550:$BH$649=BJ44)*('C19RM 2021-Lab &amp; Other HPS'!$BP$550:$BP$649)*(('C19RM 2021-Lab &amp; Other HPS'!$AA$550:$AA$649)))),0)))),0)))</f>
        <v>0</v>
      </c>
      <c r="AA44" s="359" cm="1">
        <f t="array" ref="AA44">IF((INDEX(SETUP!$F$19:$F$503,(MATCH(1,(SETUP!$B$19:$B$503=B44)*(SETUP!$D$19:$D$503=D44),0))))="Upfront",(SUMPRODUCT(('C19RM 2021-Lab &amp; Other HPS'!$A$550:$D$649=E44)*('C19RM 2021-Lab &amp; Other HPS'!$BH$550:$BH$649=BJ44)*('C19RM 2021-Lab &amp; Other HPS'!$BQ$550:$BQ$649)*(('C19RM 2021-Lab &amp; Other HPS'!$AF$550:$AF$649)))),(IF((INDEX(SETUP!$F$19:$F$503,(MATCH(1,(SETUP!$B$19:$B$503=B44)*(SETUP!$D$19:$D$503=D44),0))))="At delivery",IF((INDEX(SETUP!$G$19:$G$503,(MATCH(1,(SETUP!$B$19:$B$503=B44)*(SETUP!$D$19:$D$503=D44),0))))=4,(SUMPRODUCT(('C19RM 2021-Lab &amp; Other HPS'!$A$550:$D$649=E44)*('C19RM 2021-Lab &amp; Other HPS'!$BH$550:$BH$649=BJ44)*('C19RM 2021-Lab &amp; Other HPS'!$BP$550:$BP$649)*(('C19RM 2021-Lab &amp; Other HPS'!$Y$550:$Y$649)))),IF((INDEX(SETUP!$G$19:$G$503,(MATCH(1,(SETUP!$B$19:$B$503=B44)*(SETUP!$D$19:$D$503=D44),0))))=3,(SUMPRODUCT(('C19RM 2021-Lab &amp; Other HPS'!$A$550:$D$649=E44)*('C19RM 2021-Lab &amp; Other HPS'!$BH$550:$BH$649=BJ44)*('C19RM 2021-Lab &amp; Other HPS'!$BP$550:$BP$649)*(('C19RM 2021-Lab &amp; Other HPS'!$Z$550:$Z$649)))),IF((INDEX(SETUP!$G$19:$G$503,(MATCH(1,(SETUP!$B$19:$B$503=B44)*(SETUP!$D$19:$D$503=D44),0))))=2,((SUMPRODUCT(('C19RM 2021-Lab &amp; Other HPS'!$A$550:$D$649=E44)*('C19RM 2021-Lab &amp; Other HPS'!$BH$550:$BH$649=BJ44)*('C19RM 2021-Lab &amp; Other HPS'!$BP$550:$BP$649)*(('C19RM 2021-Lab &amp; Other HPS'!$AA$550:$AA$649))))),IF((INDEX(SETUP!$G$19:$G$503,(MATCH(1,(SETUP!$B$19:$B$503=B44)*(SETUP!$D$19:$D$503=D44),0))))=1,(SUMPRODUCT(('C19RM 2021-Lab &amp; Other HPS'!$A$550:$D$649=E44)*('C19RM 2021-Lab &amp; Other HPS'!$BH$550:$BH$649=BJ44)*('C19RM 2021-Lab &amp; Other HPS'!$BQ$550:$BQ$649)*(('C19RM 2021-Lab &amp; Other HPS'!$AE$550:$AE$649)))),0)))),0)))</f>
        <v>0</v>
      </c>
      <c r="AB44" s="359" cm="1">
        <f t="array" ref="AB44">IF((INDEX(SETUP!$F$19:$F$503,(MATCH(1,(SETUP!$B$19:$B$503=B44)*(SETUP!$D$19:$D$503=D44),0))))="Upfront",
(SUMPRODUCT(('C19RM 2021-Lab &amp; Other HPS'!$A$550:$D$649=E44)*('C19RM 2021-Lab &amp; Other HPS'!$BH$550:$BH$649=BJ44)*('C19RM 2021-Lab &amp; Other HPS'!$BQ$550:$BQ$649)*(('C19RM 2021-Lab &amp; Other HPS'!$AG$550:$AG$649)))),
(IF((INDEX(SETUP!$F$19:$F$503,(MATCH(1,(SETUP!$B$19:$B$503=B44)*(SETUP!$D$19:$D$503=D44),0))))="At delivery",
IF((INDEX(SETUP!$G$19:$G$503,(MATCH(1,(SETUP!$B$19:$B$503=B44)*(SETUP!$D$19:$D$503=D44),0))))=4,
(SUMPRODUCT(('C19RM 2021-Lab &amp; Other HPS'!$A$550:$D$649=E44)*('C19RM 2021-Lab &amp; Other HPS'!$BH$550:$BH$649=BJ44)*('C19RM 2021-Lab &amp; Other HPS'!$BP$550:$BP$649)*(('C19RM 2021-Lab &amp; Other HPS'!$Z$550:$Z$649)))),IF((INDEX(SETUP!$G$19:$G$503,(MATCH(1,(SETUP!$B$19:$B$503=B44)*(SETUP!$D$19:$D$503=D44),0))))=3,(SUMPRODUCT(('C19RM 2021-Lab &amp; Other HPS'!$A$550:$D$649=E44)*('C19RM 2021-Lab &amp; Other HPS'!$BH$550:$BH$649=BJ44)*('C19RM 2021-Lab &amp; Other HPS'!$BP$550:$BP$649)*(('C19RM 2021-Lab &amp; Other HPS'!$AA$550:$AA$649)))),IF((INDEX(SETUP!$G$19:$G$503,(MATCH(1,(SETUP!$B$19:$B$503=B44)*(SETUP!$D$19:$D$503=D44),0))))=2,(SUMPRODUCT(('C19RM 2021-Lab &amp; Other HPS'!$A$550:$D$649=E44)*('C19RM 2021-Lab &amp; Other HPS'!$BH$550:$BH$649=BJ44)*('C19RM 2021-Lab &amp; Other HPS'!$BQ$550:$BQ$649)*(('C19RM 2021-Lab &amp; Other HPS'!$AE$550:$AE$649)))),IF((INDEX(SETUP!$G$19:$G$503,(MATCH(1,(SETUP!$B$19:$B$503=B44)*(SETUP!$D$19:$D$503=D44),0))))=1,(SUMPRODUCT(('C19RM 2021-Lab &amp; Other HPS'!$A$550:$D$649=E44)*('C19RM 2021-Lab &amp; Other HPS'!$BH$550:$BH$649=BJ44)*('C19RM 2021-Lab &amp; Other HPS'!$BQ$550:$BQ$649)*(('C19RM 2021-Lab &amp; Other HPS'!$AF$550:$AF$649)))),0)))),0)))</f>
        <v>0</v>
      </c>
      <c r="AC44" s="359" cm="1">
        <f t="array" ref="AC44">IF((INDEX(SETUP!$F$19:$F$503,(MATCH(1,(SETUP!$B$19:$B$503=B44)*(SETUP!$D$19:$D$503=D44),0))))="Upfront",
(SUMPRODUCT(('C19RM 2021-Lab &amp; Other HPS'!$A$550:$D$649=E44)*('C19RM 2021-Lab &amp; Other HPS'!$BH$550:$BH$649=BJ44)*('C19RM 2021-Lab &amp; Other HPS'!$BQ$550:$BQ$649)*(('C19RM 2021-Lab &amp; Other HPS'!$AH$550:$AH$649)))),
(IF((INDEX(SETUP!$F$19:$F$503,(MATCH(1,(SETUP!$B$19:$B$503=B44)*(SETUP!$D$19:$D$503=D44),0))))="At delivery",
IF((INDEX(SETUP!$G$19:$G$503,(MATCH(1,(SETUP!$B$19:$B$503=B44)*(SETUP!$D$19:$D$503=D44),0))))=4,
(SUMPRODUCT(('C19RM 2021-Lab &amp; Other HPS'!$A$550:$D$649=E44)*('C19RM 2021-Lab &amp; Other HPS'!$BH$550:$BH$649=BJ44)*('C19RM 2021-Lab &amp; Other HPS'!$BP$550:$BP$649)*(('C19RM 2021-Lab &amp; Other HPS'!$AA$550:$AA$649)))),IF((INDEX(SETUP!$G$19:$G$503,(MATCH(1,(SETUP!$B$19:$B$503=B44)*(SETUP!$D$19:$D$503=D44),0))))=3,(SUMPRODUCT(('C19RM 2021-Lab &amp; Other HPS'!$A$550:$D$649=E44)*('C19RM 2021-Lab &amp; Other HPS'!$BH$550:$BH$649=BJ44)*('C19RM 2021-Lab &amp; Other HPS'!$BQ$550:$BQ$649)*(('C19RM 2021-Lab &amp; Other HPS'!$AE$550:$AE$649)))),IF((INDEX(SETUP!$G$19:$G$503,(MATCH(1,(SETUP!$B$19:$B$503=B44)*(SETUP!$D$19:$D$503=D44),0))))=2,(SUMPRODUCT(('C19RM 2021-Lab &amp; Other HPS'!$A$550:$D$649=E44)*('C19RM 2021-Lab &amp; Other HPS'!$BH$550:$BH$649=BJ44)*('C19RM 2021-Lab &amp; Other HPS'!$BQ$550:$BQ$649)*(('C19RM 2021-Lab &amp; Other HPS'!$AF$550:$AF$649)))),IF((INDEX(SETUP!$G$19:$G$503,(MATCH(1,(SETUP!$B$19:$B$503=B44)*(SETUP!$D$19:$D$503=D44),0))))=1,(SUMPRODUCT(('C19RM 2021-Lab &amp; Other HPS'!$A$550:$D$649=E44)*('C19RM 2021-Lab &amp; Other HPS'!$BH$550:$BH$649=BJ44)*('C19RM 2021-Lab &amp; Other HPS'!$BQ$550:$BQ$649)*(('C19RM 2021-Lab &amp; Other HPS'!$AG$550:$AG$649)))),0)))),0)))</f>
        <v>0</v>
      </c>
      <c r="AD44" s="359" cm="1">
        <f t="array" ref="AD44">IF((INDEX(SETUP!$F$19:$F$503,(MATCH(1,(SETUP!$B$19:$B$503=B44)*(SETUP!$D$19:$D$503=D44),0))))="Upfront",
(SUMPRODUCT(('C19RM 2021-Lab &amp; Other HPS'!$A$550:$D$649=E44)*('C19RM 2021-Lab &amp; Other HPS'!$BH$550:$BH$649=BJ44)*('C19RM 2021-Lab &amp; Other HPS'!$BR$550:$BR$649)*(('C19RM 2021-Lab &amp; Other HPS'!$AL$550:$AL$649)))),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HPS'!$AE$550:$AE$649)))),IF((INDEX(SETUP!$G$19:$G$503,(MATCH(1,(SETUP!$B$19:$B$503=B44)*(SETUP!$D$19:$D$503=D44),0))))=3,((SUMPRODUCT(('C19RM 2021-Lab &amp; Other HPS'!$A$550:$D$649=E44)*('C19RM 2021-Lab &amp; Other HPS'!$BH$550:$BH$649=BJ44)*('C19RM 2021-Lab &amp; Other HPS'!$BQ$550:$BQ$649)*(('C19RM 2021-Lab &amp; Other HPS'!$AF$550:$AF$649))))),IF((INDEX(SETUP!$G$19:$G$503,(MATCH(1,(SETUP!$B$19:$B$503=B44)*(SETUP!$D$19:$D$503=D44),0))))=2,(SUMPRODUCT(('C19RM 2021-Lab &amp; Other HPS'!$A$550:$D$649=E44)*('C19RM 2021-Lab &amp; Other HPS'!$BH$550:$BH$649=BJ44)*('C19RM 2021-Lab &amp; Other HPS'!$BQ$550:$BQ$649)*(('C19RM 2021-Lab &amp; Other HPS'!$AG$550:$AG$649)))),IF((INDEX(SETUP!$G$19:$G$503,(MATCH(1,(SETUP!$B$19:$B$503=B44)*(SETUP!$D$19:$D$503=D44),0))))=1,(SUMPRODUCT(('C19RM 2021-Lab &amp; Other HPS'!$A$550:$D$649=E44)*('C19RM 2021-Lab &amp; Other HPS'!$BH$550:$BH$649=BJ44)*('C19RM 2021-Lab &amp; Other HPS'!$BQ$550:$BQ$649)*(('C19RM 2021-Lab &amp; Other HPS'!$AH$550:$AH$649)))),0)))),0)))</f>
        <v>0</v>
      </c>
      <c r="AE44" s="359" cm="1">
        <f t="array" ref="AE44">IF((INDEX(SETUP!$F$19:$F$503,(MATCH(1,(SETUP!$B$19:$B$503=B44)*(SETUP!$D$19:$D$503=D44),0))))="Upfront",
(SUMPRODUCT(('C19RM 2021-Lab &amp; Other HPS'!$A$550:$D$649=E44)*('C19RM 2021-Lab &amp; Other HPS'!$BH$550:$BH$649=BJ44)*('C19RM 2021-Lab &amp; Other HPS'!$BR$550:$BR$649)*(('C19RM 2021-Lab &amp; Other HPS'!$AM$550:$AM$649)))),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HPS'!$AF$550:$AF$649)))),IF((INDEX(SETUP!$G$19:$G$503,(MATCH(1,(SETUP!$B$19:$B$503=B44)*(SETUP!$D$19:$D$503=D44),0))))=3,(SUMPRODUCT(('C19RM 2021-Lab &amp; Other HPS'!$A$550:$D$649=E44)*('C19RM 2021-Lab &amp; Other HPS'!$BH$550:$BH$649=BJ44)*('C19RM 2021-Lab &amp; Other HPS'!$BQ$550:$BQ$649)*(('C19RM 2021-Lab &amp; Other HPS'!$AG$550:$AG$649)))),IF((INDEX(SETUP!$G$19:$G$503,(MATCH(1,(SETUP!$B$19:$B$503=B44)*(SETUP!$D$19:$D$503=D44),0))))=2,(SUMPRODUCT(('C19RM 2021-Lab &amp; Other HPS'!$A$550:$D$649=E44)*('C19RM 2021-Lab &amp; Other HPS'!$BH$550:$BH$649=BJ44)*('C19RM 2021-Lab &amp; Other HPS'!$BQ$550:$BQ$649)*(('C19RM 2021-Lab &amp; Other HPS'!$AH$550:$AH$649)))),IF((INDEX(SETUP!$G$19:$G$503,(MATCH(1,(SETUP!$B$19:$B$503=B44)*(SETUP!$D$19:$D$503=D44),0))))=1,(SUMPRODUCT(('C19RM 2021-Lab &amp; Other HPS'!$A$550:$D$649=E44)*('C19RM 2021-Lab &amp; Other HPS'!$BH$550:$BH$649=BJ44)*('C19RM 2021-Lab &amp; Other HPS'!$BR$550:$BR$649)*(('C19RM 2021-Lab &amp; Other HPS'!$AL$550:$AL$649)))),0)))),0)))</f>
        <v>0</v>
      </c>
      <c r="AF44" s="359" cm="1">
        <f t="array" ref="AF44">IF((INDEX(SETUP!$F$19:$F$503,(MATCH(1,(SETUP!$B$19:$B$503=B44)*(SETUP!$D$19:$D$503=D44),0))))="Upfront",
(SUMPRODUCT(('C19RM 2021-Lab &amp; Other HPS'!$A$550:$D$649=E44)*('C19RM 2021-Lab &amp; Other HPS'!$BH$550:$BH$649=BJ44)*('C19RM 2021-Lab &amp; Other HPS'!$BR$550:$BR$649)*(('C19RM 2021-Lab &amp; Other HPS'!$AN$550:$AN$649)))),
(IF((INDEX(SETUP!$F$19:$F$503,(MATCH(1,(SETUP!$B$19:$B$503=B44)*(SETUP!$D$19:$D$503=D44),0))))="At delivery",
IF((INDEX(SETUP!$G$19:$G$503,(MATCH(1,(SETUP!$B$19:$B$503=B44)*(SETUP!$D$19:$D$503=D44),0))))=4,
(SUMPRODUCT(('C19RM 2021-Lab &amp; Other HPS'!$A$550:$D$649=E44)*('C19RM 2021-Lab &amp; Other HPS'!$BH$550:$BH$649=BJ44)*('C19RM 2021-Lab &amp; Other HPS'!$BQ$550:$BQ$649)*(('C19RM 2021-Lab &amp; Other HPS'!$AG$550:$AG$649)))),IF((INDEX(SETUP!$G$19:$G$503,(MATCH(1,(SETUP!$B$19:$B$503=B44)*(SETUP!$D$19:$D$503=D44),0))))=3,(SUMPRODUCT(('C19RM 2021-Lab &amp; Other HPS'!$A$550:$D$649=E44)*('C19RM 2021-Lab &amp; Other HPS'!$BH$550:$BH$649=BJ44)*('C19RM 2021-Lab &amp; Other HPS'!$BQ$550:$BQ$649)*(('C19RM 2021-Lab &amp; Other HPS'!$AH$550:$AH$649)))),IF((INDEX(SETUP!$G$19:$G$503,(MATCH(1,(SETUP!$B$19:$B$503=B44)*(SETUP!$D$19:$D$503=D44),0))))=2,(SUMPRODUCT(('C19RM 2021-Lab &amp; Other HPS'!$A$550:$D$649=E44)*('C19RM 2021-Lab &amp; Other HPS'!$BH$550:$BH$649=BJ44)*('C19RM 2021-Lab &amp; Other HPS'!$BR$550:$BR$649)*(('C19RM 2021-Lab &amp; Other HPS'!$AL$550:$AL$649)))),IF((INDEX(SETUP!$G$19:$G$503,(MATCH(1,(SETUP!$B$19:$B$503=B44)*(SETUP!$D$19:$D$503=D44),0))))=1,(SUMPRODUCT(('C19RM 2021-Lab &amp; Other HPS'!$A$550:$D$649=E44)*('C19RM 2021-Lab &amp; Other HPS'!$BH$550:$BH$649=BJ44)*('C19RM 2021-Lab &amp; Other HPS'!$BR$550:$BR$649)*(('C19RM 2021-Lab &amp; Other HPS'!$AM$550:$AM$649)))),0)))),0)))</f>
        <v>0</v>
      </c>
      <c r="AG44" s="359" cm="1">
        <f t="array" ref="AG44">IF((INDEX(SETUP!$F$19:$F$503,(MATCH(1,(SETUP!$B$19:$B$503=B44)*(SETUP!$D$19:$D$503=D44),0))))="Upfront",(SUMPRODUCT(('C19RM 2021-Lab &amp; Other HPS'!$A$550:$D$649=E44)*('C19RM 2021-Lab &amp; Other HPS'!$BH$550:$BH$649=BJ44)*('C19RM 2021-Lab &amp; Other HPS'!$BR$550:$BR$649)*(('C19RM 2021-Lab &amp; Other HPS'!$AO$550:$AO$649)))),(IF((INDEX(SETUP!$F$19:$F$503,(MATCH(1,(SETUP!$B$19:$B$503=B44)*(SETUP!$D$19:$D$503=D44),0))))="At delivery",IF((INDEX(SETUP!$G$19:$G$503,(MATCH(1,(SETUP!$B$19:$B$503=B44)*(SETUP!$D$19:$D$503=D44),0))))=4,(SUMPRODUCT(('C19RM 2021-Lab &amp; Other HPS'!$A$550:$D$649=E44)*('C19RM 2021-Lab &amp; Other HPS'!$BH$550:$BH$649=BJ44)*('C19RM 2021-Lab &amp; Other HPS'!$BQ$550:$BQ$649)*(('C19RM 2021-Lab &amp; Other HPS'!$AH$550:$AH$649)))),IF((INDEX(SETUP!$G$19:$G$503,(MATCH(1,(SETUP!$B$19:$B$503=B44)*(SETUP!$D$19:$D$503=D44),0))))=3,(SUMPRODUCT(('C19RM 2021-Lab &amp; Other HPS'!$A$550:$D$649=E44)*('C19RM 2021-Lab &amp; Other HPS'!$BH$550:$BH$649=BJ44)*('C19RM 2021-Lab &amp; Other HPS'!$BR$550:$BR$649)*(('C19RM 2021-Lab &amp; Other HPS'!$AL$550:$AL$649)))),IF((INDEX(SETUP!$G$19:$G$503,(MATCH(1,(SETUP!$B$19:$B$503=B44)*(SETUP!$D$19:$D$503=D44),0))))=2,(SUMPRODUCT(('C19RM 2021-Lab &amp; Other HPS'!$A$550:$D$649=E44)*('C19RM 2021-Lab &amp; Other HPS'!$BH$550:$BH$649=BJ44)*('C19RM 2021-Lab &amp; Other HPS'!$BR$550:$BR$649)*(('C19RM 2021-Lab &amp; Other HPS'!$AM$550:$AM$649)))),IF((INDEX(SETUP!$G$19:$G$503,(MATCH(1,(SETUP!$B$19:$B$503=B44)*(SETUP!$D$19:$D$503=D44),0))))=1,(SUMPRODUCT(('C19RM 2021-Lab &amp; Other HPS'!$A$550:$D$649=E44)*('C19RM 2021-Lab &amp; Other HPS'!$BH$550:$BH$649=BJ44)*('C19RM 2021-Lab &amp; Other HPS'!$BR$550:$BR$649)*(('C19RM 2021-Lab &amp; Other HPS'!$AN$550:$AN$649)))),0)))),0)))</f>
        <v>0</v>
      </c>
      <c r="AH44" s="359" cm="1">
        <f t="array" ref="AH44">IF((INDEX(SETUP!$F$19:$F$503,(MATCH(1,(SETUP!$B$19:$B$503=B44)*(SETUP!$D$19:$D$503=D44),0))))="Upfront",
(SUMPRODUCT(('C19RM 2021-Lab &amp; Other HPS'!$A$550:$D$649=E44)*('C19RM 2021-Lab &amp; Other HPS'!$BH$550:$BH$649=BJ44)*('C19RM 2021-Lab &amp; Other HPS'!$BS$550:$BS$649)*(('C19RM 2021-Lab &amp; Other HPS'!$AS$550:$AS$649)))),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HPS'!$AL$550:$AL$649)))),IF((INDEX(SETUP!$G$19:$G$503,(MATCH(1,(SETUP!$B$19:$B$503=B44)*(SETUP!$D$19:$D$503=D44),0))))=3,((SUMPRODUCT(('C19RM 2021-Lab &amp; Other HPS'!$A$550:$D$649=E44)*('C19RM 2021-Lab &amp; Other HPS'!$BH$550:$BH$649=BJ44)*('C19RM 2021-Lab &amp; Other HPS'!$BR$550:$BR$649)*(('C19RM 2021-Lab &amp; Other HPS'!$AM$550:$AM$649))))),IF((INDEX(SETUP!$G$19:$G$503,(MATCH(1,(SETUP!$B$19:$B$503=B44)*(SETUP!$D$19:$D$503=D44),0))))=2,(SUMPRODUCT(('C19RM 2021-Lab &amp; Other HPS'!$A$550:$D$649=E44)*('C19RM 2021-Lab &amp; Other HPS'!$BH$550:$BH$649=BJ44)*('C19RM 2021-Lab &amp; Other HPS'!$BR$550:$BR$649)*(('C19RM 2021-Lab &amp; Other HPS'!$AN$550:$AN$649)))),IF((INDEX(SETUP!$G$19:$G$503,(MATCH(1,(SETUP!$B$19:$B$503=B44)*(SETUP!$D$19:$D$503=D44),0))))=1,(SUMPRODUCT(('C19RM 2021-Lab &amp; Other HPS'!$A$550:$D$649=E44)*('C19RM 2021-Lab &amp; Other HPS'!$BH$550:$BH$649=BJ44)*('C19RM 2021-Lab &amp; Other HPS'!$BR$550:$BR$649)*(('C19RM 2021-Lab &amp; Other HPS'!$AO$550:$AO$649)))),0)))),0)))</f>
        <v>0</v>
      </c>
      <c r="AI44" s="359" cm="1">
        <f t="array" ref="AI44">IF((INDEX(SETUP!$F$19:$F$503,(MATCH(1,(SETUP!$B$19:$B$503=B44)*(SETUP!$D$19:$D$503=D44),0))))="Upfront",
(SUMPRODUCT(('C19RM 2021-Lab &amp; Other HPS'!$A$550:$D$649=E44)*('C19RM 2021-Lab &amp; Other HPS'!$BH$550:$BH$649=BJ44)*('C19RM 2021-Lab &amp; Other HPS'!$BS$550:$BS$649)*(('C19RM 2021-Lab &amp; Other HPS'!$AT$550:$AT$649)))),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HPS'!$AM$550:$AM$649)))),IF((INDEX(SETUP!$G$19:$G$503,(MATCH(1,(SETUP!$B$19:$B$503=B44)*(SETUP!$D$19:$D$503=D44),0))))=3,((SUMPRODUCT(('C19RM 2021-Lab &amp; Other HPS'!$A$550:$D$649=E44)*('C19RM 2021-Lab &amp; Other HPS'!$BH$550:$BH$649=BJ44)*('C19RM 2021-Lab &amp; Other HPS'!$BR$550:$BR$649)*(('C19RM 2021-Lab &amp; Other HPS'!$AN$550:$AN$649))))),IF((INDEX(SETUP!$G$19:$G$503,(MATCH(1,(SETUP!$B$19:$B$503=B44)*(SETUP!$D$19:$D$503=D44),0))))=2,(SUMPRODUCT(('C19RM 2021-Lab &amp; Other HPS'!$A$550:$D$649=E44)*('C19RM 2021-Lab &amp; Other HPS'!$BH$550:$BH$649=BJ44)*('C19RM 2021-Lab &amp; Other HPS'!$BR$550:$BR$649)*(('C19RM 2021-Lab &amp; Other HPS'!$AO$550:$AO$649)))),IF((INDEX(SETUP!$G$19:$G$503,(MATCH(1,(SETUP!$B$19:$B$503=B44)*(SETUP!$D$19:$D$503=D44),0))))=1,(SUMPRODUCT(('C19RM 2021-Lab &amp; Other HPS'!$A$550:$D$649=E44)*('C19RM 2021-Lab &amp; Other HPS'!$BH$550:$BH$649=BJ44)*('C19RM 2021-Lab &amp; Other HPS'!$BS$550:$BS$649)*(('C19RM 2021-Lab &amp; Other HPS'!$AS$550:$AS$649)))),0)))),0)))</f>
        <v>0</v>
      </c>
      <c r="AJ44" s="359" cm="1">
        <f t="array" ref="AJ44">IF((INDEX(SETUP!$F$19:$F$503,(MATCH(1,(SETUP!$B$19:$B$503=B44)*(SETUP!$D$19:$D$503=D44),0))))="Upfront",
(SUMPRODUCT(('C19RM 2021-Lab &amp; Other HPS'!$A$550:$D$649=E44)*('C19RM 2021-Lab &amp; Other HPS'!$BH$550:$BH$649=BJ44)*('C19RM 2021-Lab &amp; Other HPS'!$BS$550:$BS$649)*(('C19RM 2021-Lab &amp; Other HPS'!$AU$550:$AU$649)))),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HPS'!$AN$550:$AN$649)))),IF((INDEX(SETUP!$G$19:$G$503,(MATCH(1,(SETUP!$B$19:$B$503=B44)*(SETUP!$D$19:$D$503=D44),0))))=3,((SUMPRODUCT(('C19RM 2021-Lab &amp; Other HPS'!$A$550:$D$649=E44)*('C19RM 2021-Lab &amp; Other HPS'!$BH$550:$BH$649=BJ44)*('C19RM 2021-Lab &amp; Other HPS'!$BR$550:$BR$649)*(('C19RM 2021-Lab &amp; Other HPS'!$AO$550:$AO$649))))),IF((INDEX(SETUP!$G$19:$G$503,(MATCH(1,(SETUP!$B$19:$B$503=B44)*(SETUP!$D$19:$D$503=D44),0))))=2,(SUMPRODUCT(('C19RM 2021-Lab &amp; Other HPS'!$A$550:$D$649=E44)*('C19RM 2021-Lab &amp; Other HPS'!$BH$550:$BH$649=BJ44)*('C19RM 2021-Lab &amp; Other HPS'!$BS$550:$BS$649)*(('C19RM 2021-Lab &amp; Other HPS'!$AS$550:$AS$649)))),IF((INDEX(SETUP!$G$19:$G$503,(MATCH(1,(SETUP!$B$19:$B$503=B44)*(SETUP!$D$19:$D$503=D44),0))))=1,(SUMPRODUCT(('C19RM 2021-Lab &amp; Other HPS'!$A$550:$D$649=E44)*('C19RM 2021-Lab &amp; Other HPS'!$BH$550:$BH$649=BJ44)*('C19RM 2021-Lab &amp; Other HPS'!$BS$550:$BS$649)*(('C19RM 2021-Lab &amp; Other HPS'!$AT$550:$AT$649)))),0)))),0)))</f>
        <v>0</v>
      </c>
      <c r="AK44" s="359" cm="1">
        <f t="array" ref="AK44">IF((INDEX(SETUP!$F$19:$F$503,(MATCH(1,(SETUP!$B$19:$B$503=B44)*(SETUP!$D$19:$D$503=D44),0))))="Upfront",
(SUMPRODUCT(('C19RM 2021-Lab &amp; Other HPS'!$A$550:$D$649=E44)*('C19RM 2021-Lab &amp; Other HPS'!$BH$550:$BH$649=BJ44)*('C19RM 2021-Lab &amp; Other HPS'!$BS$550:$BS$649)*(('C19RM 2021-Lab &amp; Other HPS'!$AV$550:$AV$649)))),
(IF((INDEX(SETUP!$F$19:$F$503,(MATCH(1,(SETUP!$B$19:$B$503=B44)*(SETUP!$D$19:$D$503=D44),0))))="At delivery",
IF((INDEX(SETUP!$G$19:$G$503,(MATCH(1,(SETUP!$B$19:$B$503=B44)*(SETUP!$D$19:$D$503=D44),0))))=4,
(SUMPRODUCT(('C19RM 2021-Lab &amp; Other HPS'!$A$550:$D$649=E44)*('C19RM 2021-Lab &amp; Other HPS'!$BH$550:$BH$649=BJ44)*('C19RM 2021-Lab &amp; Other HPS'!$BR$550:$BR$649)*(('C19RM 2021-Lab &amp; Other HPS'!$AO$550:$AO$649)))),IF((INDEX(SETUP!$G$19:$G$503,(MATCH(1,(SETUP!$B$19:$B$503=B44)*(SETUP!$D$19:$D$503=D44),0))))=3,((SUMPRODUCT(('C19RM 2021-Lab &amp; Other HPS'!$A$550:$D$649=E44)*('C19RM 2021-Lab &amp; Other HPS'!$BH$550:$BH$649=BJ44)*('C19RM 2021-Lab &amp; Other HPS'!$BS$550:$BS$649)*(('C19RM 2021-Lab &amp; Other HPS'!$AS$550:$AS$649))))),IF((INDEX(SETUP!$G$19:$G$503,(MATCH(1,(SETUP!$B$19:$B$503=B44)*(SETUP!$D$19:$D$503=D44),0))))=2,(SUMPRODUCT(('C19RM 2021-Lab &amp; Other HPS'!$A$550:$D$649=E44)*('C19RM 2021-Lab &amp; Other HPS'!$BH$550:$BH$649=BJ44)*('C19RM 2021-Lab &amp; Other HPS'!$BS$550:$BS$649)*(('C19RM 2021-Lab &amp; Other HPS'!$AT$550:$AT$649)))),IF((INDEX(SETUP!$G$19:$G$503,(MATCH(1,(SETUP!$B$19:$B$503=B44)*(SETUP!$D$19:$D$503=D44),0))))=1,(SUMPRODUCT(('C19RM 2021-Lab &amp; Other HPS'!$A$550:$D$649=E44)*('C19RM 2021-Lab &amp; Other HPS'!$BH$550:$BH$649=BJ44)*('C19RM 2021-Lab &amp; Other HPS'!$BS$550:$BS$649)*(('C19RM 2021-Lab &amp; Other HPS'!$AU$550:$AU$649)))),0)))),0)))</f>
        <v>0</v>
      </c>
      <c r="AL44" s="359" cm="1">
        <f t="array" ref="AL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HPS'!$AS$550:$AS$649)))),IF((INDEX(SETUP!$G$19:$G$503,(MATCH(1,(SETUP!$B$19:$B$503=B44)*(SETUP!$D$19:$D$503=D44),0))))=3,(SUMPRODUCT(('C19RM 2021-Lab &amp; Other HPS'!$A$550:$D$649=E44)*('C19RM 2021-Lab &amp; Other HPS'!$BH$550:$BH$649=BJ44)*('C19RM 2021-Lab &amp; Other HPS'!$BS$550:$BS$649)*(('C19RM 2021-Lab &amp; Other HPS'!$AT$550:$AT$649)))),IF((INDEX(SETUP!$G$19:$G$503,(MATCH(1,(SETUP!$B$19:$B$503=B44)*(SETUP!$D$19:$D$503=D44),0))))=2,(SUMPRODUCT(('C19RM 2021-Lab &amp; Other HPS'!$A$550:$D$649=E44)*('C19RM 2021-Lab &amp; Other HPS'!$BH$550:$BH$649=BJ44)*('C19RM 2021-Lab &amp; Other HPS'!$BS$550:$BS$649)*(('C19RM 2021-Lab &amp; Other HPS'!$AU$550:$AU$649)))),
IF((INDEX(SETUP!$G$19:$G$503,(MATCH(1,(SETUP!$B$19:$B$503=B44)*(SETUP!$D$19:$D$503=D44),0))))=1,
(SUMPRODUCT(('C19RM 2021-Lab &amp; Other HPS'!$A$550:$D$649=E44)*('C19RM 2021-Lab &amp; Other HPS'!$BH$550:$BH$649=BJ44)*('C19RM 2021-Lab &amp; Other HPS'!$BS$550:$BS$649)*(('C19RM 2021-Lab &amp; Other HPS'!$AV$550:$AV$649)))),0)))),0)))</f>
        <v>0</v>
      </c>
      <c r="AM44" s="359" cm="1">
        <f t="array" ref="AM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HPS'!$AT$550:$AT$649)))),IF((INDEX(SETUP!$G$19:$G$503,(MATCH(1,(SETUP!$B$19:$B$503=B44)*(SETUP!$D$19:$D$503=D44),0))))=3,(SUMPRODUCT(('C19RM 2021-Lab &amp; Other HPS'!$A$550:$D$649=E44)*('C19RM 2021-Lab &amp; Other HPS'!$BH$550:$BH$649=BJ44)*('C19RM 2021-Lab &amp; Other HPS'!$BS$550:$BS$649)*(('C19RM 2021-Lab &amp; Other HPS'!$AU$550:$AU$649)))),IF((INDEX(SETUP!$G$19:$G$503,(MATCH(1,(SETUP!$B$19:$B$503=B44)*(SETUP!$D$19:$D$503=D44),0))))=2,(SUMPRODUCT(('C19RM 2021-Lab &amp; Other HPS'!$A$550:$D$649=E44)*('C19RM 2021-Lab &amp; Other HPS'!$BH$550:$BH$649=BJ44)*('C19RM 2021-Lab &amp; Other HPS'!$BS$550:$BS$649)*(('C19RM 2021-Lab &amp; Other HPS'!$AV$550:$AV$649)))),IF((INDEX(SETUP!$G$19:$G$503,(MATCH(1,(SETUP!$B$19:$B$503=B44)*(SETUP!$D$19:$D$503=D44),0))))=1,(0),0)))),0)))</f>
        <v>0</v>
      </c>
      <c r="AN44" s="359" cm="1">
        <f t="array" ref="AN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HPS'!$AU$550:$AU$649)))),IF((INDEX(SETUP!$G$19:$G$503,(MATCH(1,(SETUP!$B$19:$B$503=B44)*(SETUP!$D$19:$D$503=D44),0))))=3,(SUMPRODUCT(('C19RM 2021-Lab &amp; Other HPS'!$A$550:$D$649=E44)*('C19RM 2021-Lab &amp; Other HPS'!$BH$550:$BH$649=BJ44)*('C19RM 2021-Lab &amp; Other HPS'!$BS$550:$BS$649)*(('C19RM 2021-Lab &amp; Other HPS'!$AV$550:$AV$649)))),IF((INDEX(SETUP!$G$19:$G$503,(MATCH(1,(SETUP!$B$19:$B$503=B44)*(SETUP!$D$19:$D$503=D44),0))))=2,(0),IF((INDEX(SETUP!$G$19:$G$503,(MATCH(1,(SETUP!$B$19:$B$503=B44)*(SETUP!$D$19:$D$503=D44),0))))=1,(0),0)))),0)))</f>
        <v>0</v>
      </c>
      <c r="AO44" s="359" cm="1">
        <f t="array" ref="AO44">IF((INDEX(SETUP!$F$19:$F$503,(MATCH(1,(SETUP!$B$19:$B$503=B44)*(SETUP!$D$19:$D$503=D44),0))))="Upfront",0,(IF((INDEX(SETUP!$F$19:$F$503,(MATCH(1,(SETUP!$B$19:$B$503=B44)*(SETUP!$D$19:$D$503=D44),0))))="At delivery",IF((INDEX(SETUP!$G$19:$G$503,(MATCH(1,(SETUP!$B$19:$B$503=B44)*(SETUP!$D$19:$D$503=D44),0))))=4,(SUMPRODUCT(('C19RM 2021-Lab &amp; Other HPS'!$A$550:$D$649=E44)*('C19RM 2021-Lab &amp; Other HPS'!$BH$550:$BH$649=BJ44)*('C19RM 2021-Lab &amp; Other HPS'!$BS$550:$BS$649)*(('C19RM 2021-Lab &amp; Other HPS'!$AV$550:$AV$649)))),IF((INDEX(SETUP!$G$19:$G$503,(MATCH(1,(SETUP!$B$19:$B$503=B44)*(SETUP!$D$19:$D$503=D44),0))))=3,(0),IF((INDEX(SETUP!$G$19:$G$503,(MATCH(1,(SETUP!$B$19:$B$503=B44)*(SETUP!$D$19:$D$503=D44),0))))=2,(0),IF((INDEX(SETUP!$G$19:$G$503,(MATCH(1,(SETUP!$B$19:$B$503=B44)*(SETUP!$D$19:$D$503=D44),0))))=1,(0),0)))),0)))</f>
        <v>0</v>
      </c>
      <c r="AP44" s="359"/>
      <c r="AQ44" s="359"/>
      <c r="AR44" s="359"/>
      <c r="AS44" s="359"/>
      <c r="AT44" s="359" cm="1">
        <f t="array" ref="AT44">IF(BG44&gt;=1,0,IFERROR(SUMPRODUCT(($R$2:$AO$2=$AT$4)*($E$5:$E$100=E44)*($BC$5:$BC$100=BC44)*($R$5:$AO$100)),0))</f>
        <v>0</v>
      </c>
      <c r="AU44" s="359" cm="1">
        <f t="array" ref="AU44">IF(BG44&gt;=1,0,IFERROR(SUMPRODUCT(($R$2:$AO$2=$AU$4)*($E$5:$E$100=E44)*($BC$5:$BC$100=BC44)*($R$5:$AO$100)),0))</f>
        <v>0</v>
      </c>
      <c r="AV44" s="359" cm="1">
        <f t="array" ref="AV44">IF(BG44&gt;=1,0,IFERROR(SUMPRODUCT(($R$2:$AO$2=$AV$4)*($E$5:$E$100=E44)*($BC$5:$BC$100=BC44)*($R$5:$AO$100)),0))</f>
        <v>0</v>
      </c>
      <c r="AW44" s="359" cm="1">
        <f t="array" ref="AW44">IF(BG44&gt;=1,0,IFERROR(SUMPRODUCT(($R$2:$AO$2=$AW$4)*($E$5:$E$100=E44)*($BC$5:$BC$100=BC44)*($R$5:$AO$100)),0))</f>
        <v>0</v>
      </c>
      <c r="AX44" s="359" cm="1">
        <f t="array" ref="AX44">IF(BG44&gt;=1,0,IFERROR(SUMPRODUCT(($R$2:$AO$2=$AX$4)*($E$5:$E$100=E44)*($BC$5:$BC$100=BC44)*($R$5:$AO$100)),0))</f>
        <v>0</v>
      </c>
      <c r="AY44" s="359">
        <f t="shared" si="5"/>
        <v>0</v>
      </c>
      <c r="BA44" s="233">
        <f t="shared" si="27"/>
        <v>0</v>
      </c>
      <c r="BB44" s="220" t="s">
        <v>83</v>
      </c>
      <c r="BC44" t="s">
        <v>183</v>
      </c>
      <c r="BD44" cm="1">
        <f t="array" ref="BD44">(SUMPRODUCT(('C19RM 2021-Lab &amp; Other HPS'!$A$14:$D$650=E44)*('C19RM 2021-Lab &amp; Other HPS'!$BU$14:$BU$650)))</f>
        <v>0</v>
      </c>
      <c r="BE44" cm="1">
        <f t="array" ref="BE44">(SUMPRODUCT((SETUP!$D$20:$D$67=D44)*(SETUP!$R$20:$R$67)))</f>
        <v>0</v>
      </c>
      <c r="BF44" cm="1">
        <f t="array" ref="BF44">(SUMPRODUCT(('C19RM 2021-Lab &amp; Other HPS'!$A$14:$D$650=E44)*('C19RM 2021-Lab &amp; Other HPS'!$BV$14:$BV$650)))</f>
        <v>0</v>
      </c>
      <c r="BG44">
        <f t="shared" si="28"/>
        <v>0</v>
      </c>
      <c r="BJ44">
        <v>6.6</v>
      </c>
    </row>
  </sheetData>
  <sheetProtection algorithmName="SHA-512" hashValue="HEwYAS8seMytQCtS3jh3RGpWeQ+ncOyuQK7SqqFGF3SK6rbuMh6ie24SgqrCYHGhLQ6AfA/oHc+0OOxEhAM2YA==" saltValue="SlYKtryfvDHxIBJ3I9ETOQ==" spinCount="100000" sheet="1" objects="1" scenarios="1"/>
  <autoFilter ref="A4:BJ44" xr:uid="{E6678741-0A44-4D0A-ABA4-79A537F0C478}"/>
  <mergeCells count="9">
    <mergeCell ref="AL3:AO3"/>
    <mergeCell ref="AP3:AS3"/>
    <mergeCell ref="AT3:AZ3"/>
    <mergeCell ref="A2:E3"/>
    <mergeCell ref="R3:U3"/>
    <mergeCell ref="V3:Y3"/>
    <mergeCell ref="Z3:AC3"/>
    <mergeCell ref="AD3:AG3"/>
    <mergeCell ref="AH3:AK3"/>
  </mergeCell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9ED95-5A53-42B0-BF2A-C5D1EBAA9AB2}">
  <sheetPr>
    <tabColor rgb="FF461469"/>
  </sheetPr>
  <dimension ref="A1:XFC205"/>
  <sheetViews>
    <sheetView showGridLines="0" topLeftCell="B1" zoomScale="60" zoomScaleNormal="60" workbookViewId="0">
      <selection activeCell="L2" sqref="L2"/>
    </sheetView>
  </sheetViews>
  <sheetFormatPr defaultColWidth="0" defaultRowHeight="0" customHeight="1" zeroHeight="1" x14ac:dyDescent="0.35"/>
  <cols>
    <col min="1" max="1" width="5" hidden="1" customWidth="1"/>
    <col min="2" max="2" width="15.453125" customWidth="1"/>
    <col min="3" max="3" width="32.08984375" customWidth="1"/>
    <col min="4" max="4" width="35.81640625" customWidth="1"/>
    <col min="5" max="5" width="23.1796875" customWidth="1"/>
    <col min="6" max="6" width="21.81640625" customWidth="1"/>
    <col min="7" max="7" width="22.1796875" customWidth="1"/>
    <col min="8" max="8" width="17.81640625" customWidth="1"/>
    <col min="9" max="9" width="16.1796875" customWidth="1"/>
    <col min="10" max="29" width="15.1796875" customWidth="1"/>
    <col min="30" max="34" width="14.54296875" customWidth="1"/>
    <col min="35" max="40" width="11.453125" customWidth="1"/>
    <col min="41" max="41" width="20.1796875" customWidth="1"/>
    <col min="42" max="42" width="9" customWidth="1"/>
    <col min="43" max="16383" width="8.1796875" hidden="1"/>
    <col min="16384" max="16384" width="10.1796875" hidden="1"/>
  </cols>
  <sheetData>
    <row r="1" spans="1:50" ht="42" customHeight="1" x14ac:dyDescent="0.35">
      <c r="C1" s="1275" t="str">
        <f>VLOOKUP("Fixed Cost",Language!$D$1840:$G$1921,$O$1,FALSE)</f>
        <v>Fixed Cost</v>
      </c>
      <c r="D1" s="1275"/>
      <c r="E1" s="597"/>
      <c r="F1" s="1276" t="str">
        <f>IF(AT1&gt;0,"Error in Data input, Pls refer cell highlight in RED colour","")</f>
        <v/>
      </c>
      <c r="G1" s="1276"/>
      <c r="H1" s="1276"/>
      <c r="I1" s="1276"/>
      <c r="J1" s="1276"/>
      <c r="K1" s="833"/>
      <c r="L1" s="833"/>
      <c r="M1" s="833"/>
      <c r="N1" s="833"/>
      <c r="O1" s="64">
        <f>SETUP!$A$2</f>
        <v>2</v>
      </c>
      <c r="P1" s="64"/>
      <c r="Q1" s="64"/>
      <c r="R1" s="64"/>
      <c r="S1" s="64"/>
      <c r="AT1">
        <f>COUNTIF(AT4:AT200,"F")</f>
        <v>0</v>
      </c>
    </row>
    <row r="2" spans="1:50" ht="153" customHeight="1" thickBot="1" x14ac:dyDescent="0.4">
      <c r="B2" s="1277" t="str">
        <f>IF($O$1=2,Language!$E$1841,IF($O$1=3,Language!$F$1841,Language!$G$1841))</f>
        <v>This worksheet is intended to be used for PSM/HPM costs where a fixed-cost for services has been established, rather than a variable (percentage-based) fee. 
1. Column B: Select the Component from the drop-down menu.
2. Column C: Select the Module from the drop-down menu.
3. Column D: Select the Intervention from the drop-down menu.
4. Column E: Provide a short description of the activity.
5. Column F: Select the Cost Input from the drop-down menu. 
6. Column G-J: Once all the fields are populated (steps 1, 2, 3 and 5 above), these columns will automatically populate.
7. Column K-N, P-S, U-X, Z-AC, AE-AH: Insert the fixed value per year that must be budgeted for these costs.</v>
      </c>
      <c r="C2" s="1278"/>
      <c r="D2" s="1278"/>
      <c r="E2" s="1278"/>
      <c r="F2" s="1278"/>
      <c r="G2" s="1278"/>
      <c r="H2" s="1278"/>
      <c r="I2" s="1278"/>
      <c r="J2" s="1279"/>
      <c r="K2" s="1025" t="str">
        <f>'C19RM 2021-Pharma'!$Q$11</f>
        <v>Jan21 - Mar21</v>
      </c>
      <c r="L2" s="1025" t="str">
        <f>'C19RM 2021-Pharma'!$R$11</f>
        <v>Apr21 - Jun21</v>
      </c>
      <c r="M2" s="1025" t="str">
        <f>'C19RM 2021-Pharma'!$S$11</f>
        <v>Jul21 - Sep21</v>
      </c>
      <c r="N2" s="1025" t="str">
        <f>'C19RM 2021-Pharma'!$T$11</f>
        <v>Oct21 - Dec21</v>
      </c>
      <c r="O2" s="1025"/>
      <c r="P2" s="1025" t="str">
        <f>'C19RM 2021-Pharma'!$X$11</f>
        <v>Jan22 - Mar22</v>
      </c>
      <c r="Q2" s="1025" t="str">
        <f>'C19RM 2021-Pharma'!$Y$11</f>
        <v>Apr22 - Jun22</v>
      </c>
      <c r="R2" s="1025" t="str">
        <f>'C19RM 2021-Pharma'!$Z$11</f>
        <v>Jul22 - Sep22</v>
      </c>
      <c r="S2" s="1025" t="str">
        <f>'C19RM 2021-Pharma'!$AA$11</f>
        <v>Oct22 - Dec22</v>
      </c>
      <c r="T2" s="1025"/>
      <c r="U2" s="1025" t="str">
        <f>'C19RM 2021-Pharma'!$AE$11</f>
        <v>Jan23 - Mar23</v>
      </c>
      <c r="V2" s="1025" t="str">
        <f>'C19RM 2021-Pharma'!$AF$11</f>
        <v>Apr23 - Jun23</v>
      </c>
      <c r="W2" s="1025" t="str">
        <f>'C19RM 2021-Pharma'!$AG$11</f>
        <v>Jul23 - Sep23</v>
      </c>
      <c r="X2" s="1025" t="str">
        <f>'C19RM 2021-Pharma'!$AH$11</f>
        <v>Oct23 - Dec23</v>
      </c>
      <c r="Y2" s="1025"/>
      <c r="Z2" s="1025" t="str">
        <f>'C19RM 2021-Pharma'!$AL$11</f>
        <v>Jan24 - Mar24</v>
      </c>
      <c r="AA2" s="1025" t="str">
        <f>'C19RM 2021-Pharma'!$AM$11</f>
        <v>Apr24 - Jun24</v>
      </c>
      <c r="AB2" s="1025" t="str">
        <f>'C19RM 2021-Pharma'!$AN$11</f>
        <v>Jul24 - Sep24</v>
      </c>
      <c r="AC2" s="1025" t="str">
        <f>'C19RM 2021-Pharma'!$AO$11</f>
        <v>Oct24 - Dec24</v>
      </c>
      <c r="AD2" s="1025"/>
      <c r="AE2" s="1025" t="str">
        <f>'C19RM 2021-Pharma'!$AS$11</f>
        <v>Jan25 - Mar25</v>
      </c>
      <c r="AF2" s="1025" t="str">
        <f>'C19RM 2021-Pharma'!$AT$11</f>
        <v>Apr25 - Jun25</v>
      </c>
      <c r="AG2" s="1025" t="str">
        <f>'C19RM 2021-Pharma'!$AU$11</f>
        <v>Jul25 - Sep25</v>
      </c>
      <c r="AH2" s="1025" t="str">
        <f>'C19RM 2021-Pharma'!$AV$11</f>
        <v>Oct25 - Dec25</v>
      </c>
      <c r="AI2" s="841"/>
      <c r="AJ2" s="841"/>
    </row>
    <row r="3" spans="1:50" ht="14.5" customHeight="1" thickBot="1" x14ac:dyDescent="0.4">
      <c r="A3" s="258" t="str">
        <f>IF(COUNTBLANK(B3:D3)+COUNTBLANK(F3:F3)=0,IF(F3="","",B3&amp;C3&amp;D3&amp;F3),"")</f>
        <v/>
      </c>
      <c r="K3" s="1272" t="str">
        <f>'C19RM 2021-Pharma'!$P$12</f>
        <v>2021</v>
      </c>
      <c r="L3" s="1273"/>
      <c r="M3" s="1273"/>
      <c r="N3" s="1273"/>
      <c r="O3" s="1274"/>
      <c r="P3" s="1272" t="str">
        <f>'C19RM 2021-Pharma'!$W$12</f>
        <v>2022</v>
      </c>
      <c r="Q3" s="1273"/>
      <c r="R3" s="1273"/>
      <c r="S3" s="1273"/>
      <c r="T3" s="1274"/>
      <c r="U3" s="1272" t="str">
        <f>'C19RM 2021-Pharma'!$AD$12</f>
        <v>2023</v>
      </c>
      <c r="V3" s="1273"/>
      <c r="W3" s="1273"/>
      <c r="X3" s="1273"/>
      <c r="Y3" s="1274"/>
      <c r="Z3" s="1272" t="str">
        <f>'C19RM 2021-Pharma'!$AK$12</f>
        <v>2024</v>
      </c>
      <c r="AA3" s="1273"/>
      <c r="AB3" s="1273"/>
      <c r="AC3" s="1273"/>
      <c r="AD3" s="1274"/>
      <c r="AE3" s="1272" t="str">
        <f>'C19RM 2021-Pharma'!$AR$12</f>
        <v>2025</v>
      </c>
      <c r="AF3" s="1273"/>
      <c r="AG3" s="1273"/>
      <c r="AH3" s="1273"/>
      <c r="AI3" s="1274"/>
      <c r="AJ3" s="1272" t="str">
        <f>'C19RM 2021-Pharma'!$AY$12</f>
        <v/>
      </c>
      <c r="AK3" s="1273"/>
      <c r="AL3" s="1273"/>
      <c r="AM3" s="1273"/>
      <c r="AN3" s="1274"/>
    </row>
    <row r="4" spans="1:50" ht="45" customHeight="1" thickBot="1" x14ac:dyDescent="0.4">
      <c r="A4" s="258"/>
      <c r="B4" s="598" t="str">
        <f>VLOOKUP("Component",Language!$D$1840:$G$1921,$O$1,FALSE)</f>
        <v>Component</v>
      </c>
      <c r="C4" s="599" t="str">
        <f>VLOOKUP("Module",Language!$D$1840:$G$1921,$O$1,FALSE)</f>
        <v>Module</v>
      </c>
      <c r="D4" s="599" t="str">
        <f>VLOOKUP("Intervention",Language!$D$1840:$G$1921,$O$1,FALSE)</f>
        <v>Intervention</v>
      </c>
      <c r="E4" s="599" t="str">
        <f>VLOOKUP("Description of Activities",Language!$D$1840:$G$1921,$O$1,FALSE)</f>
        <v>Description of Activities</v>
      </c>
      <c r="F4" s="599" t="str">
        <f>VLOOKUP("Cost Input",Language!$D$1840:$G$1921,$O$1,FALSE)</f>
        <v>Cost Input</v>
      </c>
      <c r="G4" s="606" t="str">
        <f>VLOOKUP("Implementer",Language!$D$1840:$G$1921,$O$1,FALSE)</f>
        <v>Implementer</v>
      </c>
      <c r="H4" s="606" t="str">
        <f>VLOOKUP("Geography",Language!$D$1840:$G$1921,$O$1,FALSE)</f>
        <v>Geography</v>
      </c>
      <c r="I4" s="599" t="str">
        <f>VLOOKUP("Source of Funds",Language!$D$1840:$G$1921,$O$1,FALSE)</f>
        <v>Source of Funds</v>
      </c>
      <c r="J4" s="599" t="str">
        <f>VLOOKUP("Payment Currency",Language!$D$1840:$G$1921,$O$1,FALSE)</f>
        <v>Payment Currency</v>
      </c>
      <c r="K4" s="599" t="str">
        <f>VLOOKUP("Q1 Cost",Language!$D$1840:$G$1921,$O$1,FALSE)</f>
        <v>Q1 Cost</v>
      </c>
      <c r="L4" s="599" t="str">
        <f>VLOOKUP("Q2 Cost",Language!$D$1840:$G$1921,$O$1,FALSE)</f>
        <v>Q2 Cost</v>
      </c>
      <c r="M4" s="599" t="str">
        <f>VLOOKUP("Q3 Cost",Language!$D$1840:$G$1921,$O$1,FALSE)</f>
        <v>Q3 Cost</v>
      </c>
      <c r="N4" s="599" t="str">
        <f>VLOOKUP("Q4 Cost",Language!$D$1840:$G$1921,$O$1,FALSE)</f>
        <v>Q4 Cost</v>
      </c>
      <c r="O4" s="599" t="str">
        <f>VLOOKUP("Y1 Cost",Language!$D$1840:$G$1921,$O$1,FALSE)</f>
        <v>Y1 Cost</v>
      </c>
      <c r="P4" s="599" t="str">
        <f>VLOOKUP("Q5 Cost",Language!$D$1840:$G$1921,$O$1,FALSE)</f>
        <v>Q5 Cost</v>
      </c>
      <c r="Q4" s="599" t="str">
        <f>VLOOKUP("Q6 Cost",Language!$D$1840:$G$1921,$O$1,FALSE)</f>
        <v>Q6 Cost</v>
      </c>
      <c r="R4" s="599" t="str">
        <f>VLOOKUP("Q7 Cost",Language!$D$1840:$G$1921,$O$1,FALSE)</f>
        <v>Q7 Cost</v>
      </c>
      <c r="S4" s="599" t="str">
        <f>VLOOKUP("Q8 Cost",Language!$D$1840:$G$1921,$O$1,FALSE)</f>
        <v>Q8 Cost</v>
      </c>
      <c r="T4" s="599" t="str">
        <f>VLOOKUP("Y2 Cost",Language!$D$1840:$G$1921,$O$1,FALSE)</f>
        <v>Y2 Cost</v>
      </c>
      <c r="U4" s="599" t="str">
        <f>VLOOKUP("Q9 Cost",Language!$D$1840:$G$1921,$O$1,FALSE)</f>
        <v>Q9 Cost</v>
      </c>
      <c r="V4" s="599" t="str">
        <f>VLOOKUP("Q10 Cost",Language!$D$1840:$G$1921,$O$1,FALSE)</f>
        <v>Q10 Cost</v>
      </c>
      <c r="W4" s="599" t="str">
        <f>VLOOKUP("Q11 Cost",Language!$D$1840:$G$1921,$O$1,FALSE)</f>
        <v>Q11 Cost</v>
      </c>
      <c r="X4" s="599" t="str">
        <f>VLOOKUP("Q12 Cost",Language!$D$1840:$G$1921,$O$1,FALSE)</f>
        <v>Q12 Cost</v>
      </c>
      <c r="Y4" s="599" t="str">
        <f>VLOOKUP("Y3 Cost",Language!$D$1840:$G$1921,$O$1,FALSE)</f>
        <v>Y3 Cost</v>
      </c>
      <c r="Z4" s="599" t="str">
        <f>VLOOKUP("Q13 Cost",Language!$D$1840:$G$1921,$O$1,FALSE)</f>
        <v>Q13 Cost</v>
      </c>
      <c r="AA4" s="599" t="str">
        <f>VLOOKUP("Q14 Cost",Language!$D$1840:$G$1921,$O$1,FALSE)</f>
        <v>Q14 Cost</v>
      </c>
      <c r="AB4" s="599" t="str">
        <f>VLOOKUP("Q15 Cost",Language!$D$1840:$G$1921,$O$1,FALSE)</f>
        <v>Q15 Cost</v>
      </c>
      <c r="AC4" s="599" t="str">
        <f>VLOOKUP("Q16 Cost",Language!$D$1840:$G$1921,$O$1,FALSE)</f>
        <v>Q16 Cost</v>
      </c>
      <c r="AD4" s="599" t="str">
        <f>VLOOKUP("Y4 Cost",Language!$D$1840:$G$1921,$O$1,FALSE)</f>
        <v>Y4 Cost</v>
      </c>
      <c r="AE4" s="599" t="str">
        <f>VLOOKUP("Q17 Cost",Language!$D$1840:$G$1921,$O$1,FALSE)</f>
        <v>Q17 Cost</v>
      </c>
      <c r="AF4" s="599" t="str">
        <f>VLOOKUP("Q18 Cost",Language!$D$1840:$G$1921,$O$1,FALSE)</f>
        <v>Q18 Cost</v>
      </c>
      <c r="AG4" s="599" t="str">
        <f>VLOOKUP("Q19 Cost",Language!$D$1840:$G$1921,$O$1,FALSE)</f>
        <v>Q19 Cost</v>
      </c>
      <c r="AH4" s="599" t="str">
        <f>VLOOKUP("Q20 Cost",Language!$D$1840:$G$1921,$O$1,FALSE)</f>
        <v>Q20 Cost</v>
      </c>
      <c r="AI4" s="599" t="str">
        <f>VLOOKUP("Y5 Cost",Language!$D$1840:$G$1921,$O$1,FALSE)</f>
        <v>Y5 Cost</v>
      </c>
      <c r="AJ4" s="599" t="str">
        <f>VLOOKUP("Q21 Cost",Language!$D$1840:$G$1921,$O$1,FALSE)</f>
        <v>Q21 Cost</v>
      </c>
      <c r="AK4" s="599" t="str">
        <f>VLOOKUP("Q22 Cost",Language!$D$1840:$G$1921,$O$1,FALSE)</f>
        <v>Q22 Cost</v>
      </c>
      <c r="AL4" s="599" t="str">
        <f>VLOOKUP("Q23 Cost",Language!$D$1840:$G$1921,$O$1,FALSE)</f>
        <v>Q23 Cost</v>
      </c>
      <c r="AM4" s="599" t="str">
        <f>VLOOKUP("Q24 Cost",Language!$D$1840:$G$1921,$O$1,FALSE)</f>
        <v>Q24 Cost</v>
      </c>
      <c r="AN4" s="599" t="str">
        <f>VLOOKUP("Y6 Cost",Language!$D$1840:$G$1921,$O$1,FALSE)</f>
        <v>Y6 Cost</v>
      </c>
      <c r="AO4" s="600" t="str">
        <f>VLOOKUP("Total cost (In Grant Currency -",Language!$D$1840:$G$1921,$O$1,FALSE)&amp;SETUP!$E$7&amp;")"</f>
        <v>Total cost (In Grant Currency -)</v>
      </c>
      <c r="AS4" s="251" t="s">
        <v>173</v>
      </c>
    </row>
    <row r="5" spans="1:50" ht="16" customHeight="1" x14ac:dyDescent="0.35">
      <c r="A5" s="258" t="str">
        <f>IF(COUNTBLANK(B5:D5)+COUNTBLANK(F5:F5)=0,IF(F5="","",B5&amp;C5&amp;D5&amp;F5),"")</f>
        <v/>
      </c>
      <c r="B5" s="914"/>
      <c r="C5" s="604"/>
      <c r="D5" s="604"/>
      <c r="E5" s="610"/>
      <c r="F5" s="909"/>
      <c r="G5" s="613" t="str">
        <f>IF(F5="","",SETUP!$T$2)</f>
        <v/>
      </c>
      <c r="H5" s="613" t="str">
        <f>IF(F5="","","National/Country Level")</f>
        <v/>
      </c>
      <c r="I5" s="613" t="str">
        <f t="shared" ref="I5:I68" si="0">IF(F5="","","Approved funding")</f>
        <v/>
      </c>
      <c r="J5" s="613" t="str">
        <f>IF(F5="","",SETUP!$E$7)</f>
        <v/>
      </c>
      <c r="K5" s="910"/>
      <c r="L5" s="910"/>
      <c r="M5" s="910"/>
      <c r="N5" s="911"/>
      <c r="O5" s="903">
        <f>SUM(K5:N5)</f>
        <v>0</v>
      </c>
      <c r="P5" s="605"/>
      <c r="Q5" s="605"/>
      <c r="R5" s="605"/>
      <c r="S5" s="605"/>
      <c r="T5" s="903">
        <f>SUM(P5:S5)</f>
        <v>0</v>
      </c>
      <c r="U5" s="605"/>
      <c r="V5" s="605"/>
      <c r="W5" s="605"/>
      <c r="X5" s="605"/>
      <c r="Y5" s="903">
        <f>SUM(U5:X5)</f>
        <v>0</v>
      </c>
      <c r="Z5" s="605"/>
      <c r="AA5" s="605"/>
      <c r="AB5" s="605"/>
      <c r="AC5" s="605"/>
      <c r="AD5" s="903">
        <f>SUM(Z5:AC5)</f>
        <v>0</v>
      </c>
      <c r="AE5" s="901"/>
      <c r="AF5" s="901"/>
      <c r="AG5" s="901"/>
      <c r="AH5" s="902"/>
      <c r="AI5" s="906">
        <f>SUM(AE5:AH5)</f>
        <v>0</v>
      </c>
      <c r="AJ5" s="920"/>
      <c r="AK5" s="920"/>
      <c r="AL5" s="920"/>
      <c r="AM5" s="920"/>
      <c r="AN5" s="920"/>
      <c r="AO5" s="616">
        <f>IF(AS5="",0,SUM(O5,T5,Y5,AD5,AI5))</f>
        <v>0</v>
      </c>
      <c r="AR5" t="str">
        <f>IF(AW5&lt;=3,"T","F")</f>
        <v>F</v>
      </c>
      <c r="AS5" t="str" cm="1">
        <f t="array" ref="AS5">IFERROR(INDEX(Table611[],MATCH($B5&amp;$C5&amp;$D5&amp;$F5,Table611[Component]&amp;Table611[Module]&amp;Table611[Intervention]&amp;Table611[Cost Input],0),5),"")</f>
        <v/>
      </c>
      <c r="AT5" t="str">
        <f t="shared" ref="AT5:AT36" si="1">IF(A5="","",IF(OR(AW5&gt;1,AS5=""),"F","T"))</f>
        <v/>
      </c>
      <c r="AW5">
        <f t="shared" ref="AW5:AW36" si="2">COUNTBLANK(B5:J5)+COUNTBLANK(AO5:AO5)</f>
        <v>9</v>
      </c>
      <c r="AX5">
        <f>IF(AO5=0,1,0)</f>
        <v>1</v>
      </c>
    </row>
    <row r="6" spans="1:50" ht="14.5" x14ac:dyDescent="0.35">
      <c r="A6" s="258" t="str">
        <f t="shared" ref="A6:A69" si="3">IF(COUNTBLANK(B6:D6)+COUNTBLANK(F6:F6)=0,IF(F6="","",B6&amp;C6&amp;D6&amp;F6),"")</f>
        <v/>
      </c>
      <c r="B6" s="914"/>
      <c r="C6" s="602"/>
      <c r="D6" s="602"/>
      <c r="E6" s="601"/>
      <c r="F6" s="602"/>
      <c r="G6" s="614" t="str">
        <f>IF(F6="","",SETUP!$T$2)</f>
        <v/>
      </c>
      <c r="H6" s="614" t="str">
        <f t="shared" ref="H6:H69" si="4">IF(F6="","","National/Country Level")</f>
        <v/>
      </c>
      <c r="I6" s="614" t="str">
        <f t="shared" si="0"/>
        <v/>
      </c>
      <c r="J6" s="614" t="str">
        <f>IF(F6="","",SETUP!$E$7)</f>
        <v/>
      </c>
      <c r="K6" s="912"/>
      <c r="L6" s="912"/>
      <c r="M6" s="912"/>
      <c r="N6" s="912"/>
      <c r="O6" s="904">
        <f t="shared" ref="O6:O69" si="5">SUM(K6:N6)</f>
        <v>0</v>
      </c>
      <c r="P6" s="603"/>
      <c r="Q6" s="603"/>
      <c r="R6" s="603"/>
      <c r="S6" s="603"/>
      <c r="T6" s="904">
        <f t="shared" ref="T6:T69" si="6">SUM(P6:S6)</f>
        <v>0</v>
      </c>
      <c r="U6" s="603"/>
      <c r="V6" s="603"/>
      <c r="W6" s="603"/>
      <c r="X6" s="603"/>
      <c r="Y6" s="904">
        <f t="shared" ref="Y6:Y69" si="7">SUM(U6:X6)</f>
        <v>0</v>
      </c>
      <c r="Z6" s="603"/>
      <c r="AA6" s="603"/>
      <c r="AB6" s="603"/>
      <c r="AC6" s="603"/>
      <c r="AD6" s="904">
        <f t="shared" ref="AD6:AD69" si="8">SUM(Z6:AC6)</f>
        <v>0</v>
      </c>
      <c r="AE6" s="900"/>
      <c r="AF6" s="900"/>
      <c r="AG6" s="900"/>
      <c r="AH6" s="900"/>
      <c r="AI6" s="907">
        <f t="shared" ref="AI6:AI69" si="9">SUM(AE6:AH6)</f>
        <v>0</v>
      </c>
      <c r="AJ6" s="921"/>
      <c r="AK6" s="921"/>
      <c r="AL6" s="921"/>
      <c r="AM6" s="921"/>
      <c r="AN6" s="921"/>
      <c r="AO6" s="617">
        <f t="shared" ref="AO6:AO69" si="10">IF(AS6="",0,SUM(O6,T6,Y6,AD6,AI6))</f>
        <v>0</v>
      </c>
      <c r="AR6" t="str">
        <f t="shared" ref="AR6:AR69" si="11">IF(AW6&lt;=3,"T","F")</f>
        <v>F</v>
      </c>
      <c r="AS6" t="str" cm="1">
        <f t="array" ref="AS6">IFERROR(INDEX(Table611[],MATCH($B6&amp;$C6&amp;$D6&amp;$F6,Table611[Component]&amp;Table611[Module]&amp;Table611[Intervention]&amp;Table611[Cost Input],0),5),"")</f>
        <v/>
      </c>
      <c r="AT6" t="str">
        <f t="shared" si="1"/>
        <v/>
      </c>
      <c r="AW6">
        <f t="shared" si="2"/>
        <v>9</v>
      </c>
    </row>
    <row r="7" spans="1:50" ht="14.5" x14ac:dyDescent="0.35">
      <c r="A7" s="258" t="str">
        <f t="shared" si="3"/>
        <v/>
      </c>
      <c r="B7" s="914"/>
      <c r="C7" s="602"/>
      <c r="D7" s="602"/>
      <c r="E7" s="601"/>
      <c r="F7" s="602"/>
      <c r="G7" s="614" t="str">
        <f>IF(F7="","",SETUP!$T$2)</f>
        <v/>
      </c>
      <c r="H7" s="614" t="str">
        <f t="shared" si="4"/>
        <v/>
      </c>
      <c r="I7" s="614" t="str">
        <f t="shared" si="0"/>
        <v/>
      </c>
      <c r="J7" s="614" t="str">
        <f>IF(F7="","",SETUP!$E$7)</f>
        <v/>
      </c>
      <c r="K7" s="912"/>
      <c r="L7" s="912"/>
      <c r="M7" s="912"/>
      <c r="N7" s="912"/>
      <c r="O7" s="904">
        <f t="shared" si="5"/>
        <v>0</v>
      </c>
      <c r="P7" s="603"/>
      <c r="Q7" s="603"/>
      <c r="R7" s="603"/>
      <c r="S7" s="603"/>
      <c r="T7" s="904">
        <f t="shared" si="6"/>
        <v>0</v>
      </c>
      <c r="U7" s="603"/>
      <c r="V7" s="603"/>
      <c r="W7" s="603"/>
      <c r="X7" s="603"/>
      <c r="Y7" s="904">
        <f t="shared" si="7"/>
        <v>0</v>
      </c>
      <c r="Z7" s="603"/>
      <c r="AA7" s="603"/>
      <c r="AB7" s="603"/>
      <c r="AC7" s="603"/>
      <c r="AD7" s="904">
        <f t="shared" si="8"/>
        <v>0</v>
      </c>
      <c r="AE7" s="603"/>
      <c r="AF7" s="603"/>
      <c r="AG7" s="603"/>
      <c r="AH7" s="603"/>
      <c r="AI7" s="907">
        <f t="shared" si="9"/>
        <v>0</v>
      </c>
      <c r="AJ7" s="921"/>
      <c r="AK7" s="921"/>
      <c r="AL7" s="921"/>
      <c r="AM7" s="921"/>
      <c r="AN7" s="921"/>
      <c r="AO7" s="617">
        <f t="shared" si="10"/>
        <v>0</v>
      </c>
      <c r="AR7" t="str">
        <f t="shared" si="11"/>
        <v>F</v>
      </c>
      <c r="AS7" t="str" cm="1">
        <f t="array" ref="AS7">IFERROR(INDEX(Table611[],MATCH($B7&amp;$C7&amp;$D7&amp;$F7,Table611[Component]&amp;Table611[Module]&amp;Table611[Intervention]&amp;Table611[Cost Input],0),5),"")</f>
        <v/>
      </c>
      <c r="AT7" t="str">
        <f t="shared" si="1"/>
        <v/>
      </c>
      <c r="AW7">
        <f t="shared" si="2"/>
        <v>9</v>
      </c>
    </row>
    <row r="8" spans="1:50" ht="14.5" x14ac:dyDescent="0.35">
      <c r="A8" s="258" t="str">
        <f t="shared" si="3"/>
        <v/>
      </c>
      <c r="B8" s="914"/>
      <c r="C8" s="602"/>
      <c r="D8" s="602"/>
      <c r="E8" s="601"/>
      <c r="F8" s="602"/>
      <c r="G8" s="614" t="str">
        <f>IF(F8="","",SETUP!$T$2)</f>
        <v/>
      </c>
      <c r="H8" s="614" t="str">
        <f t="shared" si="4"/>
        <v/>
      </c>
      <c r="I8" s="614" t="str">
        <f t="shared" si="0"/>
        <v/>
      </c>
      <c r="J8" s="614" t="str">
        <f>IF(F8="","",SETUP!$E$7)</f>
        <v/>
      </c>
      <c r="K8" s="912"/>
      <c r="L8" s="912"/>
      <c r="M8" s="912"/>
      <c r="N8" s="912"/>
      <c r="O8" s="904">
        <f t="shared" si="5"/>
        <v>0</v>
      </c>
      <c r="P8" s="603"/>
      <c r="Q8" s="603"/>
      <c r="R8" s="603"/>
      <c r="S8" s="603"/>
      <c r="T8" s="904">
        <f t="shared" si="6"/>
        <v>0</v>
      </c>
      <c r="U8" s="603"/>
      <c r="V8" s="603"/>
      <c r="W8" s="603"/>
      <c r="X8" s="603"/>
      <c r="Y8" s="904">
        <f t="shared" si="7"/>
        <v>0</v>
      </c>
      <c r="Z8" s="603"/>
      <c r="AA8" s="603"/>
      <c r="AB8" s="603"/>
      <c r="AC8" s="603"/>
      <c r="AD8" s="904">
        <f t="shared" si="8"/>
        <v>0</v>
      </c>
      <c r="AE8" s="603"/>
      <c r="AF8" s="603"/>
      <c r="AG8" s="603"/>
      <c r="AH8" s="603"/>
      <c r="AI8" s="907">
        <f t="shared" si="9"/>
        <v>0</v>
      </c>
      <c r="AJ8" s="921"/>
      <c r="AK8" s="921"/>
      <c r="AL8" s="921"/>
      <c r="AM8" s="921"/>
      <c r="AN8" s="921"/>
      <c r="AO8" s="617">
        <f t="shared" si="10"/>
        <v>0</v>
      </c>
      <c r="AR8" t="str">
        <f t="shared" si="11"/>
        <v>F</v>
      </c>
      <c r="AS8" t="str" cm="1">
        <f t="array" ref="AS8">IFERROR(INDEX(Table611[],MATCH($B8&amp;$C8&amp;$D8&amp;$F8,Table611[Component]&amp;Table611[Module]&amp;Table611[Intervention]&amp;Table611[Cost Input],0),5),"")</f>
        <v/>
      </c>
      <c r="AT8" t="str">
        <f t="shared" si="1"/>
        <v/>
      </c>
      <c r="AW8">
        <f t="shared" si="2"/>
        <v>9</v>
      </c>
    </row>
    <row r="9" spans="1:50" ht="14.5" x14ac:dyDescent="0.35">
      <c r="A9" s="258" t="str">
        <f t="shared" si="3"/>
        <v/>
      </c>
      <c r="B9" s="914"/>
      <c r="C9" s="602"/>
      <c r="D9" s="602"/>
      <c r="E9" s="601"/>
      <c r="F9" s="602"/>
      <c r="G9" s="614" t="str">
        <f>IF(F9="","",SETUP!$T$2)</f>
        <v/>
      </c>
      <c r="H9" s="614" t="str">
        <f t="shared" si="4"/>
        <v/>
      </c>
      <c r="I9" s="614" t="str">
        <f t="shared" si="0"/>
        <v/>
      </c>
      <c r="J9" s="614" t="str">
        <f>IF(F9="","",SETUP!$E$7)</f>
        <v/>
      </c>
      <c r="K9" s="912"/>
      <c r="L9" s="912"/>
      <c r="M9" s="912"/>
      <c r="N9" s="912"/>
      <c r="O9" s="904">
        <f t="shared" si="5"/>
        <v>0</v>
      </c>
      <c r="P9" s="603"/>
      <c r="Q9" s="603"/>
      <c r="R9" s="603"/>
      <c r="S9" s="603"/>
      <c r="T9" s="904">
        <f t="shared" si="6"/>
        <v>0</v>
      </c>
      <c r="U9" s="603"/>
      <c r="V9" s="603"/>
      <c r="W9" s="603"/>
      <c r="X9" s="603"/>
      <c r="Y9" s="904">
        <f t="shared" si="7"/>
        <v>0</v>
      </c>
      <c r="Z9" s="603"/>
      <c r="AA9" s="603"/>
      <c r="AB9" s="603"/>
      <c r="AC9" s="603"/>
      <c r="AD9" s="904">
        <f t="shared" si="8"/>
        <v>0</v>
      </c>
      <c r="AE9" s="603"/>
      <c r="AF9" s="603"/>
      <c r="AG9" s="603"/>
      <c r="AH9" s="603"/>
      <c r="AI9" s="907">
        <f t="shared" si="9"/>
        <v>0</v>
      </c>
      <c r="AJ9" s="921"/>
      <c r="AK9" s="921"/>
      <c r="AL9" s="921"/>
      <c r="AM9" s="921"/>
      <c r="AN9" s="921"/>
      <c r="AO9" s="617">
        <f t="shared" si="10"/>
        <v>0</v>
      </c>
      <c r="AR9" t="str">
        <f t="shared" si="11"/>
        <v>F</v>
      </c>
      <c r="AS9" t="str" cm="1">
        <f t="array" ref="AS9">IFERROR(INDEX(Table611[],MATCH($B9&amp;$C9&amp;$D9&amp;$F9,Table611[Component]&amp;Table611[Module]&amp;Table611[Intervention]&amp;Table611[Cost Input],0),5),"")</f>
        <v/>
      </c>
      <c r="AT9" t="str">
        <f t="shared" si="1"/>
        <v/>
      </c>
      <c r="AW9">
        <f t="shared" si="2"/>
        <v>9</v>
      </c>
    </row>
    <row r="10" spans="1:50" ht="14.5" x14ac:dyDescent="0.35">
      <c r="A10" s="258" t="str">
        <f t="shared" si="3"/>
        <v/>
      </c>
      <c r="B10" s="914"/>
      <c r="C10" s="602"/>
      <c r="D10" s="602"/>
      <c r="E10" s="601"/>
      <c r="F10" s="602"/>
      <c r="G10" s="614" t="str">
        <f>IF(F10="","",SETUP!$T$2)</f>
        <v/>
      </c>
      <c r="H10" s="614" t="str">
        <f t="shared" si="4"/>
        <v/>
      </c>
      <c r="I10" s="614" t="str">
        <f t="shared" si="0"/>
        <v/>
      </c>
      <c r="J10" s="614" t="str">
        <f>IF(F10="","",SETUP!$E$7)</f>
        <v/>
      </c>
      <c r="K10" s="912"/>
      <c r="L10" s="912"/>
      <c r="M10" s="912"/>
      <c r="N10" s="912"/>
      <c r="O10" s="904">
        <f t="shared" si="5"/>
        <v>0</v>
      </c>
      <c r="P10" s="603"/>
      <c r="Q10" s="603"/>
      <c r="R10" s="603"/>
      <c r="S10" s="603"/>
      <c r="T10" s="904">
        <f t="shared" si="6"/>
        <v>0</v>
      </c>
      <c r="U10" s="603"/>
      <c r="V10" s="603"/>
      <c r="W10" s="603"/>
      <c r="X10" s="603"/>
      <c r="Y10" s="904">
        <f t="shared" si="7"/>
        <v>0</v>
      </c>
      <c r="Z10" s="603"/>
      <c r="AA10" s="603"/>
      <c r="AB10" s="603"/>
      <c r="AC10" s="603"/>
      <c r="AD10" s="904">
        <f t="shared" si="8"/>
        <v>0</v>
      </c>
      <c r="AE10" s="603"/>
      <c r="AF10" s="603"/>
      <c r="AG10" s="603"/>
      <c r="AH10" s="603"/>
      <c r="AI10" s="907">
        <f t="shared" si="9"/>
        <v>0</v>
      </c>
      <c r="AJ10" s="921"/>
      <c r="AK10" s="921"/>
      <c r="AL10" s="921"/>
      <c r="AM10" s="921"/>
      <c r="AN10" s="921"/>
      <c r="AO10" s="617">
        <f t="shared" si="10"/>
        <v>0</v>
      </c>
      <c r="AR10" t="str">
        <f t="shared" si="11"/>
        <v>F</v>
      </c>
      <c r="AS10" t="str" cm="1">
        <f t="array" ref="AS10">IFERROR(INDEX(Table611[],MATCH($B10&amp;$C10&amp;$D10&amp;$F10,Table611[Component]&amp;Table611[Module]&amp;Table611[Intervention]&amp;Table611[Cost Input],0),5),"")</f>
        <v/>
      </c>
      <c r="AT10" t="str">
        <f t="shared" si="1"/>
        <v/>
      </c>
      <c r="AW10">
        <f t="shared" si="2"/>
        <v>9</v>
      </c>
    </row>
    <row r="11" spans="1:50" ht="14.5" x14ac:dyDescent="0.35">
      <c r="A11" s="258" t="str">
        <f t="shared" si="3"/>
        <v/>
      </c>
      <c r="B11" s="914"/>
      <c r="C11" s="602"/>
      <c r="D11" s="602"/>
      <c r="E11" s="601"/>
      <c r="F11" s="602"/>
      <c r="G11" s="614" t="str">
        <f>IF(F11="","",SETUP!$T$2)</f>
        <v/>
      </c>
      <c r="H11" s="614" t="str">
        <f t="shared" si="4"/>
        <v/>
      </c>
      <c r="I11" s="614" t="str">
        <f t="shared" si="0"/>
        <v/>
      </c>
      <c r="J11" s="614" t="str">
        <f>IF(F11="","",SETUP!$E$7)</f>
        <v/>
      </c>
      <c r="K11" s="912"/>
      <c r="L11" s="912"/>
      <c r="M11" s="912"/>
      <c r="N11" s="912"/>
      <c r="O11" s="904">
        <f t="shared" si="5"/>
        <v>0</v>
      </c>
      <c r="P11" s="603"/>
      <c r="Q11" s="603"/>
      <c r="R11" s="603"/>
      <c r="S11" s="603"/>
      <c r="T11" s="904">
        <f t="shared" si="6"/>
        <v>0</v>
      </c>
      <c r="U11" s="603"/>
      <c r="V11" s="603"/>
      <c r="W11" s="603"/>
      <c r="X11" s="603"/>
      <c r="Y11" s="904">
        <f t="shared" si="7"/>
        <v>0</v>
      </c>
      <c r="Z11" s="603"/>
      <c r="AA11" s="603"/>
      <c r="AB11" s="603"/>
      <c r="AC11" s="603"/>
      <c r="AD11" s="904">
        <f t="shared" si="8"/>
        <v>0</v>
      </c>
      <c r="AE11" s="603"/>
      <c r="AF11" s="603"/>
      <c r="AG11" s="603"/>
      <c r="AH11" s="603"/>
      <c r="AI11" s="907">
        <f t="shared" si="9"/>
        <v>0</v>
      </c>
      <c r="AJ11" s="921"/>
      <c r="AK11" s="921"/>
      <c r="AL11" s="921"/>
      <c r="AM11" s="921"/>
      <c r="AN11" s="921"/>
      <c r="AO11" s="617">
        <f t="shared" si="10"/>
        <v>0</v>
      </c>
      <c r="AR11" t="str">
        <f t="shared" si="11"/>
        <v>F</v>
      </c>
      <c r="AS11" t="str" cm="1">
        <f t="array" ref="AS11">IFERROR(INDEX(Table611[],MATCH($B11&amp;$C11&amp;$D11&amp;$F11,Table611[Component]&amp;Table611[Module]&amp;Table611[Intervention]&amp;Table611[Cost Input],0),5),"")</f>
        <v/>
      </c>
      <c r="AT11" t="str">
        <f t="shared" si="1"/>
        <v/>
      </c>
      <c r="AW11">
        <f t="shared" si="2"/>
        <v>9</v>
      </c>
    </row>
    <row r="12" spans="1:50" ht="14.5" x14ac:dyDescent="0.35">
      <c r="A12" s="258" t="str">
        <f t="shared" si="3"/>
        <v/>
      </c>
      <c r="B12" s="914"/>
      <c r="C12" s="602"/>
      <c r="D12" s="602"/>
      <c r="E12" s="601"/>
      <c r="F12" s="602"/>
      <c r="G12" s="614" t="str">
        <f>IF(F12="","",SETUP!$T$2)</f>
        <v/>
      </c>
      <c r="H12" s="614" t="str">
        <f t="shared" si="4"/>
        <v/>
      </c>
      <c r="I12" s="614" t="str">
        <f t="shared" si="0"/>
        <v/>
      </c>
      <c r="J12" s="614" t="str">
        <f>IF(F12="","",SETUP!$E$7)</f>
        <v/>
      </c>
      <c r="K12" s="912"/>
      <c r="L12" s="912"/>
      <c r="M12" s="912"/>
      <c r="N12" s="912"/>
      <c r="O12" s="904">
        <f t="shared" si="5"/>
        <v>0</v>
      </c>
      <c r="P12" s="603"/>
      <c r="Q12" s="603"/>
      <c r="R12" s="603"/>
      <c r="S12" s="603"/>
      <c r="T12" s="904">
        <f t="shared" si="6"/>
        <v>0</v>
      </c>
      <c r="U12" s="603"/>
      <c r="V12" s="603"/>
      <c r="W12" s="603"/>
      <c r="X12" s="603"/>
      <c r="Y12" s="904">
        <f t="shared" si="7"/>
        <v>0</v>
      </c>
      <c r="Z12" s="603"/>
      <c r="AA12" s="603"/>
      <c r="AB12" s="603"/>
      <c r="AC12" s="603"/>
      <c r="AD12" s="904">
        <f t="shared" si="8"/>
        <v>0</v>
      </c>
      <c r="AE12" s="603"/>
      <c r="AF12" s="603"/>
      <c r="AG12" s="603"/>
      <c r="AH12" s="603"/>
      <c r="AI12" s="907">
        <f t="shared" si="9"/>
        <v>0</v>
      </c>
      <c r="AJ12" s="921"/>
      <c r="AK12" s="921"/>
      <c r="AL12" s="921"/>
      <c r="AM12" s="921"/>
      <c r="AN12" s="921"/>
      <c r="AO12" s="617">
        <f t="shared" si="10"/>
        <v>0</v>
      </c>
      <c r="AR12" t="str">
        <f t="shared" si="11"/>
        <v>F</v>
      </c>
      <c r="AS12" t="str" cm="1">
        <f t="array" ref="AS12">IFERROR(INDEX(Table611[],MATCH($B12&amp;$C12&amp;$D12&amp;$F12,Table611[Component]&amp;Table611[Module]&amp;Table611[Intervention]&amp;Table611[Cost Input],0),5),"")</f>
        <v/>
      </c>
      <c r="AT12" t="str">
        <f t="shared" si="1"/>
        <v/>
      </c>
      <c r="AW12">
        <f t="shared" si="2"/>
        <v>9</v>
      </c>
    </row>
    <row r="13" spans="1:50" ht="14.5" x14ac:dyDescent="0.35">
      <c r="A13" s="258" t="str">
        <f t="shared" si="3"/>
        <v/>
      </c>
      <c r="B13" s="914"/>
      <c r="C13" s="602"/>
      <c r="D13" s="602"/>
      <c r="E13" s="601"/>
      <c r="F13" s="602"/>
      <c r="G13" s="614" t="str">
        <f>IF(F13="","",SETUP!$T$2)</f>
        <v/>
      </c>
      <c r="H13" s="614" t="str">
        <f t="shared" si="4"/>
        <v/>
      </c>
      <c r="I13" s="614" t="str">
        <f t="shared" si="0"/>
        <v/>
      </c>
      <c r="J13" s="614" t="str">
        <f>IF(F13="","",SETUP!$E$7)</f>
        <v/>
      </c>
      <c r="K13" s="912"/>
      <c r="L13" s="912"/>
      <c r="M13" s="912"/>
      <c r="N13" s="912"/>
      <c r="O13" s="904">
        <f t="shared" si="5"/>
        <v>0</v>
      </c>
      <c r="P13" s="603"/>
      <c r="Q13" s="603"/>
      <c r="R13" s="603"/>
      <c r="S13" s="603"/>
      <c r="T13" s="904">
        <f t="shared" si="6"/>
        <v>0</v>
      </c>
      <c r="U13" s="603"/>
      <c r="V13" s="603"/>
      <c r="W13" s="603"/>
      <c r="X13" s="603"/>
      <c r="Y13" s="904">
        <f t="shared" si="7"/>
        <v>0</v>
      </c>
      <c r="Z13" s="603"/>
      <c r="AA13" s="603"/>
      <c r="AB13" s="603"/>
      <c r="AC13" s="603"/>
      <c r="AD13" s="904">
        <f t="shared" si="8"/>
        <v>0</v>
      </c>
      <c r="AE13" s="603"/>
      <c r="AF13" s="603"/>
      <c r="AG13" s="603"/>
      <c r="AH13" s="603"/>
      <c r="AI13" s="907">
        <f t="shared" si="9"/>
        <v>0</v>
      </c>
      <c r="AJ13" s="921"/>
      <c r="AK13" s="921"/>
      <c r="AL13" s="921"/>
      <c r="AM13" s="921"/>
      <c r="AN13" s="921"/>
      <c r="AO13" s="617">
        <f t="shared" si="10"/>
        <v>0</v>
      </c>
      <c r="AR13" t="str">
        <f t="shared" si="11"/>
        <v>F</v>
      </c>
      <c r="AS13" t="str" cm="1">
        <f t="array" ref="AS13">IFERROR(INDEX(Table611[],MATCH($B13&amp;$C13&amp;$D13&amp;$F13,Table611[Component]&amp;Table611[Module]&amp;Table611[Intervention]&amp;Table611[Cost Input],0),5),"")</f>
        <v/>
      </c>
      <c r="AT13" t="str">
        <f t="shared" si="1"/>
        <v/>
      </c>
      <c r="AW13">
        <f t="shared" si="2"/>
        <v>9</v>
      </c>
    </row>
    <row r="14" spans="1:50" ht="14.5" x14ac:dyDescent="0.35">
      <c r="A14" s="258" t="str">
        <f t="shared" si="3"/>
        <v/>
      </c>
      <c r="B14" s="914"/>
      <c r="C14" s="602"/>
      <c r="D14" s="602"/>
      <c r="E14" s="601"/>
      <c r="F14" s="602"/>
      <c r="G14" s="614" t="str">
        <f>IF(F14="","",SETUP!$T$2)</f>
        <v/>
      </c>
      <c r="H14" s="614" t="str">
        <f t="shared" si="4"/>
        <v/>
      </c>
      <c r="I14" s="614" t="str">
        <f t="shared" si="0"/>
        <v/>
      </c>
      <c r="J14" s="614" t="str">
        <f>IF(F14="","",SETUP!$E$7)</f>
        <v/>
      </c>
      <c r="K14" s="912"/>
      <c r="L14" s="912"/>
      <c r="M14" s="912"/>
      <c r="N14" s="912"/>
      <c r="O14" s="904">
        <f t="shared" si="5"/>
        <v>0</v>
      </c>
      <c r="P14" s="603"/>
      <c r="Q14" s="603"/>
      <c r="R14" s="603"/>
      <c r="S14" s="603"/>
      <c r="T14" s="904">
        <f t="shared" si="6"/>
        <v>0</v>
      </c>
      <c r="U14" s="603"/>
      <c r="V14" s="603"/>
      <c r="W14" s="603"/>
      <c r="X14" s="603"/>
      <c r="Y14" s="904">
        <f t="shared" si="7"/>
        <v>0</v>
      </c>
      <c r="Z14" s="603"/>
      <c r="AA14" s="603"/>
      <c r="AB14" s="603"/>
      <c r="AC14" s="603"/>
      <c r="AD14" s="904">
        <f t="shared" si="8"/>
        <v>0</v>
      </c>
      <c r="AE14" s="603"/>
      <c r="AF14" s="603"/>
      <c r="AG14" s="603"/>
      <c r="AH14" s="603"/>
      <c r="AI14" s="907">
        <f t="shared" si="9"/>
        <v>0</v>
      </c>
      <c r="AJ14" s="921"/>
      <c r="AK14" s="921"/>
      <c r="AL14" s="921"/>
      <c r="AM14" s="921"/>
      <c r="AN14" s="921"/>
      <c r="AO14" s="617">
        <f t="shared" si="10"/>
        <v>0</v>
      </c>
      <c r="AR14" t="str">
        <f t="shared" si="11"/>
        <v>F</v>
      </c>
      <c r="AS14" t="str" cm="1">
        <f t="array" ref="AS14">IFERROR(INDEX(Table611[],MATCH($B14&amp;$C14&amp;$D14&amp;$F14,Table611[Component]&amp;Table611[Module]&amp;Table611[Intervention]&amp;Table611[Cost Input],0),5),"")</f>
        <v/>
      </c>
      <c r="AT14" t="str">
        <f t="shared" si="1"/>
        <v/>
      </c>
      <c r="AW14">
        <f t="shared" si="2"/>
        <v>9</v>
      </c>
    </row>
    <row r="15" spans="1:50" ht="14.5" x14ac:dyDescent="0.35">
      <c r="A15" s="258" t="str">
        <f t="shared" si="3"/>
        <v/>
      </c>
      <c r="B15" s="914"/>
      <c r="C15" s="602"/>
      <c r="D15" s="602"/>
      <c r="E15" s="601"/>
      <c r="F15" s="602"/>
      <c r="G15" s="614" t="str">
        <f>IF(F15="","",SETUP!$T$2)</f>
        <v/>
      </c>
      <c r="H15" s="614" t="str">
        <f t="shared" si="4"/>
        <v/>
      </c>
      <c r="I15" s="614" t="str">
        <f t="shared" si="0"/>
        <v/>
      </c>
      <c r="J15" s="614" t="str">
        <f>IF(F15="","",SETUP!$E$7)</f>
        <v/>
      </c>
      <c r="K15" s="912"/>
      <c r="L15" s="912"/>
      <c r="M15" s="912"/>
      <c r="N15" s="912"/>
      <c r="O15" s="904">
        <f t="shared" si="5"/>
        <v>0</v>
      </c>
      <c r="P15" s="603"/>
      <c r="Q15" s="603"/>
      <c r="R15" s="603"/>
      <c r="S15" s="603"/>
      <c r="T15" s="904">
        <f t="shared" si="6"/>
        <v>0</v>
      </c>
      <c r="U15" s="603"/>
      <c r="V15" s="603"/>
      <c r="W15" s="603"/>
      <c r="X15" s="603"/>
      <c r="Y15" s="904">
        <f t="shared" si="7"/>
        <v>0</v>
      </c>
      <c r="Z15" s="603"/>
      <c r="AA15" s="603"/>
      <c r="AB15" s="603"/>
      <c r="AC15" s="603"/>
      <c r="AD15" s="904">
        <f t="shared" si="8"/>
        <v>0</v>
      </c>
      <c r="AE15" s="603"/>
      <c r="AF15" s="603"/>
      <c r="AG15" s="603"/>
      <c r="AH15" s="603"/>
      <c r="AI15" s="907">
        <f t="shared" si="9"/>
        <v>0</v>
      </c>
      <c r="AJ15" s="921"/>
      <c r="AK15" s="921"/>
      <c r="AL15" s="921"/>
      <c r="AM15" s="921"/>
      <c r="AN15" s="921"/>
      <c r="AO15" s="617">
        <f t="shared" si="10"/>
        <v>0</v>
      </c>
      <c r="AR15" t="str">
        <f t="shared" si="11"/>
        <v>F</v>
      </c>
      <c r="AS15" t="str" cm="1">
        <f t="array" ref="AS15">IFERROR(INDEX(Table611[],MATCH($B15&amp;$C15&amp;$D15&amp;$F15,Table611[Component]&amp;Table611[Module]&amp;Table611[Intervention]&amp;Table611[Cost Input],0),5),"")</f>
        <v/>
      </c>
      <c r="AT15" t="str">
        <f t="shared" si="1"/>
        <v/>
      </c>
      <c r="AW15">
        <f t="shared" si="2"/>
        <v>9</v>
      </c>
    </row>
    <row r="16" spans="1:50" ht="14.5" x14ac:dyDescent="0.35">
      <c r="A16" s="258" t="str">
        <f t="shared" si="3"/>
        <v/>
      </c>
      <c r="B16" s="914"/>
      <c r="C16" s="602"/>
      <c r="D16" s="602"/>
      <c r="E16" s="601"/>
      <c r="F16" s="602"/>
      <c r="G16" s="614" t="str">
        <f>IF(F16="","",SETUP!$T$2)</f>
        <v/>
      </c>
      <c r="H16" s="614" t="str">
        <f t="shared" si="4"/>
        <v/>
      </c>
      <c r="I16" s="614" t="str">
        <f t="shared" si="0"/>
        <v/>
      </c>
      <c r="J16" s="614" t="str">
        <f>IF(F16="","",SETUP!$E$7)</f>
        <v/>
      </c>
      <c r="K16" s="912"/>
      <c r="L16" s="912"/>
      <c r="M16" s="912"/>
      <c r="N16" s="912"/>
      <c r="O16" s="904">
        <f t="shared" si="5"/>
        <v>0</v>
      </c>
      <c r="P16" s="603"/>
      <c r="Q16" s="603"/>
      <c r="R16" s="603"/>
      <c r="S16" s="603"/>
      <c r="T16" s="904">
        <f t="shared" si="6"/>
        <v>0</v>
      </c>
      <c r="U16" s="603"/>
      <c r="V16" s="603"/>
      <c r="W16" s="603"/>
      <c r="X16" s="603"/>
      <c r="Y16" s="904">
        <f t="shared" si="7"/>
        <v>0</v>
      </c>
      <c r="Z16" s="603"/>
      <c r="AA16" s="603"/>
      <c r="AB16" s="603"/>
      <c r="AC16" s="603"/>
      <c r="AD16" s="904">
        <f t="shared" si="8"/>
        <v>0</v>
      </c>
      <c r="AE16" s="603"/>
      <c r="AF16" s="603"/>
      <c r="AG16" s="603"/>
      <c r="AH16" s="603"/>
      <c r="AI16" s="907">
        <f t="shared" si="9"/>
        <v>0</v>
      </c>
      <c r="AJ16" s="921"/>
      <c r="AK16" s="921"/>
      <c r="AL16" s="921"/>
      <c r="AM16" s="921"/>
      <c r="AN16" s="921"/>
      <c r="AO16" s="617">
        <f t="shared" si="10"/>
        <v>0</v>
      </c>
      <c r="AR16" t="str">
        <f t="shared" si="11"/>
        <v>F</v>
      </c>
      <c r="AS16" t="str" cm="1">
        <f t="array" ref="AS16">IFERROR(INDEX(Table611[],MATCH($B16&amp;$C16&amp;$D16&amp;$F16,Table611[Component]&amp;Table611[Module]&amp;Table611[Intervention]&amp;Table611[Cost Input],0),5),"")</f>
        <v/>
      </c>
      <c r="AT16" t="str">
        <f t="shared" si="1"/>
        <v/>
      </c>
      <c r="AW16">
        <f t="shared" si="2"/>
        <v>9</v>
      </c>
    </row>
    <row r="17" spans="1:49" ht="14.5" x14ac:dyDescent="0.35">
      <c r="A17" s="258" t="str">
        <f t="shared" si="3"/>
        <v/>
      </c>
      <c r="B17" s="914"/>
      <c r="C17" s="602"/>
      <c r="D17" s="602"/>
      <c r="E17" s="601"/>
      <c r="F17" s="602"/>
      <c r="G17" s="614" t="str">
        <f>IF(F17="","",SETUP!$T$2)</f>
        <v/>
      </c>
      <c r="H17" s="614" t="str">
        <f t="shared" si="4"/>
        <v/>
      </c>
      <c r="I17" s="614" t="str">
        <f t="shared" si="0"/>
        <v/>
      </c>
      <c r="J17" s="614" t="str">
        <f>IF(F17="","",SETUP!$E$7)</f>
        <v/>
      </c>
      <c r="K17" s="912"/>
      <c r="L17" s="912"/>
      <c r="M17" s="912"/>
      <c r="N17" s="912"/>
      <c r="O17" s="904">
        <f t="shared" si="5"/>
        <v>0</v>
      </c>
      <c r="P17" s="603"/>
      <c r="Q17" s="603"/>
      <c r="R17" s="603"/>
      <c r="S17" s="603"/>
      <c r="T17" s="904">
        <f t="shared" si="6"/>
        <v>0</v>
      </c>
      <c r="U17" s="603"/>
      <c r="V17" s="603"/>
      <c r="W17" s="603"/>
      <c r="X17" s="603"/>
      <c r="Y17" s="904">
        <f t="shared" si="7"/>
        <v>0</v>
      </c>
      <c r="Z17" s="603"/>
      <c r="AA17" s="603"/>
      <c r="AB17" s="603"/>
      <c r="AC17" s="603"/>
      <c r="AD17" s="904">
        <f t="shared" si="8"/>
        <v>0</v>
      </c>
      <c r="AE17" s="603"/>
      <c r="AF17" s="603"/>
      <c r="AG17" s="603"/>
      <c r="AH17" s="603"/>
      <c r="AI17" s="907">
        <f t="shared" si="9"/>
        <v>0</v>
      </c>
      <c r="AJ17" s="921"/>
      <c r="AK17" s="921"/>
      <c r="AL17" s="921"/>
      <c r="AM17" s="921"/>
      <c r="AN17" s="921"/>
      <c r="AO17" s="617">
        <f t="shared" si="10"/>
        <v>0</v>
      </c>
      <c r="AR17" t="str">
        <f t="shared" si="11"/>
        <v>F</v>
      </c>
      <c r="AS17" t="str" cm="1">
        <f t="array" ref="AS17">IFERROR(INDEX(Table611[],MATCH($B17&amp;$C17&amp;$D17&amp;$F17,Table611[Component]&amp;Table611[Module]&amp;Table611[Intervention]&amp;Table611[Cost Input],0),5),"")</f>
        <v/>
      </c>
      <c r="AT17" t="str">
        <f t="shared" si="1"/>
        <v/>
      </c>
      <c r="AW17">
        <f t="shared" si="2"/>
        <v>9</v>
      </c>
    </row>
    <row r="18" spans="1:49" ht="14.5" x14ac:dyDescent="0.35">
      <c r="A18" s="258" t="str">
        <f t="shared" si="3"/>
        <v/>
      </c>
      <c r="B18" s="914"/>
      <c r="C18" s="602"/>
      <c r="D18" s="602"/>
      <c r="E18" s="601"/>
      <c r="F18" s="602"/>
      <c r="G18" s="614" t="str">
        <f>IF(F18="","",SETUP!$T$2)</f>
        <v/>
      </c>
      <c r="H18" s="614" t="str">
        <f t="shared" si="4"/>
        <v/>
      </c>
      <c r="I18" s="614" t="str">
        <f t="shared" si="0"/>
        <v/>
      </c>
      <c r="J18" s="614" t="str">
        <f>IF(F18="","",SETUP!$E$7)</f>
        <v/>
      </c>
      <c r="K18" s="912"/>
      <c r="L18" s="912"/>
      <c r="M18" s="912"/>
      <c r="N18" s="912"/>
      <c r="O18" s="904">
        <f t="shared" si="5"/>
        <v>0</v>
      </c>
      <c r="P18" s="603"/>
      <c r="Q18" s="603"/>
      <c r="R18" s="603"/>
      <c r="S18" s="603"/>
      <c r="T18" s="904">
        <f t="shared" si="6"/>
        <v>0</v>
      </c>
      <c r="U18" s="603"/>
      <c r="V18" s="603"/>
      <c r="W18" s="603"/>
      <c r="X18" s="603"/>
      <c r="Y18" s="904">
        <f t="shared" si="7"/>
        <v>0</v>
      </c>
      <c r="Z18" s="603"/>
      <c r="AA18" s="603"/>
      <c r="AB18" s="603"/>
      <c r="AC18" s="603"/>
      <c r="AD18" s="904">
        <f t="shared" si="8"/>
        <v>0</v>
      </c>
      <c r="AE18" s="603"/>
      <c r="AF18" s="603"/>
      <c r="AG18" s="603"/>
      <c r="AH18" s="603"/>
      <c r="AI18" s="907">
        <f t="shared" si="9"/>
        <v>0</v>
      </c>
      <c r="AJ18" s="921"/>
      <c r="AK18" s="921"/>
      <c r="AL18" s="921"/>
      <c r="AM18" s="921"/>
      <c r="AN18" s="921"/>
      <c r="AO18" s="617">
        <f t="shared" si="10"/>
        <v>0</v>
      </c>
      <c r="AR18" t="str">
        <f t="shared" si="11"/>
        <v>F</v>
      </c>
      <c r="AS18" t="str" cm="1">
        <f t="array" ref="AS18">IFERROR(INDEX(Table611[],MATCH($B18&amp;$C18&amp;$D18&amp;$F18,Table611[Component]&amp;Table611[Module]&amp;Table611[Intervention]&amp;Table611[Cost Input],0),5),"")</f>
        <v/>
      </c>
      <c r="AT18" t="str">
        <f t="shared" si="1"/>
        <v/>
      </c>
      <c r="AW18">
        <f t="shared" si="2"/>
        <v>9</v>
      </c>
    </row>
    <row r="19" spans="1:49" ht="14.5" x14ac:dyDescent="0.35">
      <c r="A19" s="258" t="str">
        <f t="shared" si="3"/>
        <v/>
      </c>
      <c r="B19" s="914"/>
      <c r="C19" s="602"/>
      <c r="D19" s="602"/>
      <c r="E19" s="601"/>
      <c r="F19" s="602"/>
      <c r="G19" s="614" t="str">
        <f>IF(F19="","",SETUP!$T$2)</f>
        <v/>
      </c>
      <c r="H19" s="614" t="str">
        <f t="shared" si="4"/>
        <v/>
      </c>
      <c r="I19" s="614" t="str">
        <f t="shared" si="0"/>
        <v/>
      </c>
      <c r="J19" s="614" t="str">
        <f>IF(F19="","",SETUP!$E$7)</f>
        <v/>
      </c>
      <c r="K19" s="912"/>
      <c r="L19" s="912"/>
      <c r="M19" s="912"/>
      <c r="N19" s="912"/>
      <c r="O19" s="904">
        <f t="shared" si="5"/>
        <v>0</v>
      </c>
      <c r="P19" s="603"/>
      <c r="Q19" s="603"/>
      <c r="R19" s="603"/>
      <c r="S19" s="603"/>
      <c r="T19" s="904">
        <f t="shared" si="6"/>
        <v>0</v>
      </c>
      <c r="U19" s="603"/>
      <c r="V19" s="603"/>
      <c r="W19" s="603"/>
      <c r="X19" s="603"/>
      <c r="Y19" s="904">
        <f t="shared" si="7"/>
        <v>0</v>
      </c>
      <c r="Z19" s="603"/>
      <c r="AA19" s="603"/>
      <c r="AB19" s="603"/>
      <c r="AC19" s="603"/>
      <c r="AD19" s="904">
        <f t="shared" si="8"/>
        <v>0</v>
      </c>
      <c r="AE19" s="603"/>
      <c r="AF19" s="603"/>
      <c r="AG19" s="603"/>
      <c r="AH19" s="603"/>
      <c r="AI19" s="907">
        <f t="shared" si="9"/>
        <v>0</v>
      </c>
      <c r="AJ19" s="921"/>
      <c r="AK19" s="921"/>
      <c r="AL19" s="921"/>
      <c r="AM19" s="921"/>
      <c r="AN19" s="921"/>
      <c r="AO19" s="617">
        <f t="shared" si="10"/>
        <v>0</v>
      </c>
      <c r="AR19" t="str">
        <f t="shared" si="11"/>
        <v>F</v>
      </c>
      <c r="AS19" t="str" cm="1">
        <f t="array" ref="AS19">IFERROR(INDEX(Table611[],MATCH($B19&amp;$C19&amp;$D19&amp;$F19,Table611[Component]&amp;Table611[Module]&amp;Table611[Intervention]&amp;Table611[Cost Input],0),5),"")</f>
        <v/>
      </c>
      <c r="AT19" t="str">
        <f t="shared" si="1"/>
        <v/>
      </c>
      <c r="AW19">
        <f t="shared" si="2"/>
        <v>9</v>
      </c>
    </row>
    <row r="20" spans="1:49" ht="14.5" x14ac:dyDescent="0.35">
      <c r="A20" s="258" t="str">
        <f t="shared" si="3"/>
        <v/>
      </c>
      <c r="B20" s="914"/>
      <c r="C20" s="602"/>
      <c r="D20" s="602"/>
      <c r="E20" s="601"/>
      <c r="F20" s="602"/>
      <c r="G20" s="614" t="str">
        <f>IF(F20="","",SETUP!$T$2)</f>
        <v/>
      </c>
      <c r="H20" s="614" t="str">
        <f t="shared" si="4"/>
        <v/>
      </c>
      <c r="I20" s="614" t="str">
        <f t="shared" si="0"/>
        <v/>
      </c>
      <c r="J20" s="614" t="str">
        <f>IF(F20="","",SETUP!$E$7)</f>
        <v/>
      </c>
      <c r="K20" s="912"/>
      <c r="L20" s="912"/>
      <c r="M20" s="912"/>
      <c r="N20" s="912"/>
      <c r="O20" s="904">
        <f t="shared" si="5"/>
        <v>0</v>
      </c>
      <c r="P20" s="603"/>
      <c r="Q20" s="603"/>
      <c r="R20" s="603"/>
      <c r="S20" s="603"/>
      <c r="T20" s="904">
        <f t="shared" si="6"/>
        <v>0</v>
      </c>
      <c r="U20" s="603"/>
      <c r="V20" s="603"/>
      <c r="W20" s="603"/>
      <c r="X20" s="603"/>
      <c r="Y20" s="904">
        <f t="shared" si="7"/>
        <v>0</v>
      </c>
      <c r="Z20" s="603"/>
      <c r="AA20" s="603"/>
      <c r="AB20" s="603"/>
      <c r="AC20" s="603"/>
      <c r="AD20" s="904">
        <f t="shared" si="8"/>
        <v>0</v>
      </c>
      <c r="AE20" s="603"/>
      <c r="AF20" s="603"/>
      <c r="AG20" s="603"/>
      <c r="AH20" s="603"/>
      <c r="AI20" s="907">
        <f t="shared" si="9"/>
        <v>0</v>
      </c>
      <c r="AJ20" s="921"/>
      <c r="AK20" s="921"/>
      <c r="AL20" s="921"/>
      <c r="AM20" s="921"/>
      <c r="AN20" s="921"/>
      <c r="AO20" s="617">
        <f t="shared" si="10"/>
        <v>0</v>
      </c>
      <c r="AR20" t="str">
        <f t="shared" si="11"/>
        <v>F</v>
      </c>
      <c r="AS20" t="str" cm="1">
        <f t="array" ref="AS20">IFERROR(INDEX(Table611[],MATCH($B20&amp;$C20&amp;$D20&amp;$F20,Table611[Component]&amp;Table611[Module]&amp;Table611[Intervention]&amp;Table611[Cost Input],0),5),"")</f>
        <v/>
      </c>
      <c r="AT20" t="str">
        <f t="shared" si="1"/>
        <v/>
      </c>
      <c r="AW20">
        <f t="shared" si="2"/>
        <v>9</v>
      </c>
    </row>
    <row r="21" spans="1:49" ht="14.5" x14ac:dyDescent="0.35">
      <c r="A21" s="258" t="str">
        <f t="shared" si="3"/>
        <v/>
      </c>
      <c r="B21" s="914"/>
      <c r="C21" s="602"/>
      <c r="D21" s="602"/>
      <c r="E21" s="601"/>
      <c r="F21" s="602"/>
      <c r="G21" s="614" t="str">
        <f>IF(F21="","",SETUP!$T$2)</f>
        <v/>
      </c>
      <c r="H21" s="614" t="str">
        <f t="shared" si="4"/>
        <v/>
      </c>
      <c r="I21" s="614" t="str">
        <f t="shared" si="0"/>
        <v/>
      </c>
      <c r="J21" s="614" t="str">
        <f>IF(F21="","",SETUP!$E$7)</f>
        <v/>
      </c>
      <c r="K21" s="912"/>
      <c r="L21" s="912"/>
      <c r="M21" s="912"/>
      <c r="N21" s="912"/>
      <c r="O21" s="904">
        <f t="shared" si="5"/>
        <v>0</v>
      </c>
      <c r="P21" s="603"/>
      <c r="Q21" s="603"/>
      <c r="R21" s="603"/>
      <c r="S21" s="603"/>
      <c r="T21" s="904">
        <f t="shared" si="6"/>
        <v>0</v>
      </c>
      <c r="U21" s="603"/>
      <c r="V21" s="603"/>
      <c r="W21" s="603"/>
      <c r="X21" s="603"/>
      <c r="Y21" s="904">
        <f t="shared" si="7"/>
        <v>0</v>
      </c>
      <c r="Z21" s="603"/>
      <c r="AA21" s="603"/>
      <c r="AB21" s="603"/>
      <c r="AC21" s="603"/>
      <c r="AD21" s="904">
        <f t="shared" si="8"/>
        <v>0</v>
      </c>
      <c r="AE21" s="603"/>
      <c r="AF21" s="603"/>
      <c r="AG21" s="603"/>
      <c r="AH21" s="603"/>
      <c r="AI21" s="907">
        <f t="shared" si="9"/>
        <v>0</v>
      </c>
      <c r="AJ21" s="921"/>
      <c r="AK21" s="921"/>
      <c r="AL21" s="921"/>
      <c r="AM21" s="921"/>
      <c r="AN21" s="921"/>
      <c r="AO21" s="617">
        <f t="shared" si="10"/>
        <v>0</v>
      </c>
      <c r="AR21" t="str">
        <f t="shared" si="11"/>
        <v>F</v>
      </c>
      <c r="AS21" t="str" cm="1">
        <f t="array" ref="AS21">IFERROR(INDEX(Table611[],MATCH($B21&amp;$C21&amp;$D21&amp;$F21,Table611[Component]&amp;Table611[Module]&amp;Table611[Intervention]&amp;Table611[Cost Input],0),5),"")</f>
        <v/>
      </c>
      <c r="AT21" t="str">
        <f t="shared" si="1"/>
        <v/>
      </c>
      <c r="AW21">
        <f t="shared" si="2"/>
        <v>9</v>
      </c>
    </row>
    <row r="22" spans="1:49" ht="14.5" x14ac:dyDescent="0.35">
      <c r="A22" s="258" t="str">
        <f t="shared" si="3"/>
        <v/>
      </c>
      <c r="B22" s="914"/>
      <c r="C22" s="602"/>
      <c r="D22" s="602"/>
      <c r="E22" s="601"/>
      <c r="F22" s="602"/>
      <c r="G22" s="614" t="str">
        <f>IF(F22="","",SETUP!$T$2)</f>
        <v/>
      </c>
      <c r="H22" s="614" t="str">
        <f t="shared" si="4"/>
        <v/>
      </c>
      <c r="I22" s="614" t="str">
        <f t="shared" si="0"/>
        <v/>
      </c>
      <c r="J22" s="614" t="str">
        <f>IF(F22="","",SETUP!$E$7)</f>
        <v/>
      </c>
      <c r="K22" s="912"/>
      <c r="L22" s="912"/>
      <c r="M22" s="912"/>
      <c r="N22" s="912"/>
      <c r="O22" s="904">
        <f t="shared" si="5"/>
        <v>0</v>
      </c>
      <c r="P22" s="603"/>
      <c r="Q22" s="603"/>
      <c r="R22" s="603"/>
      <c r="S22" s="603"/>
      <c r="T22" s="904">
        <f t="shared" si="6"/>
        <v>0</v>
      </c>
      <c r="U22" s="603"/>
      <c r="V22" s="603"/>
      <c r="W22" s="603"/>
      <c r="X22" s="603"/>
      <c r="Y22" s="904">
        <f t="shared" si="7"/>
        <v>0</v>
      </c>
      <c r="Z22" s="603"/>
      <c r="AA22" s="603"/>
      <c r="AB22" s="603"/>
      <c r="AC22" s="603"/>
      <c r="AD22" s="904">
        <f t="shared" si="8"/>
        <v>0</v>
      </c>
      <c r="AE22" s="603"/>
      <c r="AF22" s="603"/>
      <c r="AG22" s="603"/>
      <c r="AH22" s="603"/>
      <c r="AI22" s="907">
        <f t="shared" si="9"/>
        <v>0</v>
      </c>
      <c r="AJ22" s="921"/>
      <c r="AK22" s="921"/>
      <c r="AL22" s="921"/>
      <c r="AM22" s="921"/>
      <c r="AN22" s="921"/>
      <c r="AO22" s="617">
        <f t="shared" si="10"/>
        <v>0</v>
      </c>
      <c r="AR22" t="str">
        <f t="shared" si="11"/>
        <v>F</v>
      </c>
      <c r="AS22" t="str" cm="1">
        <f t="array" ref="AS22">IFERROR(INDEX(Table611[],MATCH($B22&amp;$C22&amp;$D22&amp;$F22,Table611[Component]&amp;Table611[Module]&amp;Table611[Intervention]&amp;Table611[Cost Input],0),5),"")</f>
        <v/>
      </c>
      <c r="AT22" t="str">
        <f t="shared" si="1"/>
        <v/>
      </c>
      <c r="AW22">
        <f t="shared" si="2"/>
        <v>9</v>
      </c>
    </row>
    <row r="23" spans="1:49" ht="14.5" x14ac:dyDescent="0.35">
      <c r="A23" s="258" t="str">
        <f t="shared" si="3"/>
        <v/>
      </c>
      <c r="B23" s="914"/>
      <c r="C23" s="602"/>
      <c r="D23" s="602"/>
      <c r="E23" s="601"/>
      <c r="F23" s="602"/>
      <c r="G23" s="614" t="str">
        <f>IF(F23="","",SETUP!$T$2)</f>
        <v/>
      </c>
      <c r="H23" s="614" t="str">
        <f t="shared" si="4"/>
        <v/>
      </c>
      <c r="I23" s="614" t="str">
        <f t="shared" si="0"/>
        <v/>
      </c>
      <c r="J23" s="614" t="str">
        <f>IF(F23="","",SETUP!$E$7)</f>
        <v/>
      </c>
      <c r="K23" s="912"/>
      <c r="L23" s="912"/>
      <c r="M23" s="912"/>
      <c r="N23" s="912"/>
      <c r="O23" s="904">
        <f t="shared" si="5"/>
        <v>0</v>
      </c>
      <c r="P23" s="603"/>
      <c r="Q23" s="603"/>
      <c r="R23" s="603"/>
      <c r="S23" s="603"/>
      <c r="T23" s="904">
        <f t="shared" si="6"/>
        <v>0</v>
      </c>
      <c r="U23" s="603"/>
      <c r="V23" s="603"/>
      <c r="W23" s="603"/>
      <c r="X23" s="603"/>
      <c r="Y23" s="904">
        <f t="shared" si="7"/>
        <v>0</v>
      </c>
      <c r="Z23" s="603"/>
      <c r="AA23" s="603"/>
      <c r="AB23" s="603"/>
      <c r="AC23" s="603"/>
      <c r="AD23" s="904">
        <f t="shared" si="8"/>
        <v>0</v>
      </c>
      <c r="AE23" s="603"/>
      <c r="AF23" s="603"/>
      <c r="AG23" s="603"/>
      <c r="AH23" s="603"/>
      <c r="AI23" s="907">
        <f t="shared" si="9"/>
        <v>0</v>
      </c>
      <c r="AJ23" s="921"/>
      <c r="AK23" s="921"/>
      <c r="AL23" s="921"/>
      <c r="AM23" s="921"/>
      <c r="AN23" s="921"/>
      <c r="AO23" s="617">
        <f t="shared" si="10"/>
        <v>0</v>
      </c>
      <c r="AR23" t="str">
        <f t="shared" si="11"/>
        <v>F</v>
      </c>
      <c r="AS23" t="str" cm="1">
        <f t="array" ref="AS23">IFERROR(INDEX(Table611[],MATCH($B23&amp;$C23&amp;$D23&amp;$F23,Table611[Component]&amp;Table611[Module]&amp;Table611[Intervention]&amp;Table611[Cost Input],0),5),"")</f>
        <v/>
      </c>
      <c r="AT23" t="str">
        <f t="shared" si="1"/>
        <v/>
      </c>
      <c r="AW23">
        <f t="shared" si="2"/>
        <v>9</v>
      </c>
    </row>
    <row r="24" spans="1:49" ht="14.5" x14ac:dyDescent="0.35">
      <c r="A24" s="258" t="str">
        <f t="shared" si="3"/>
        <v/>
      </c>
      <c r="B24" s="914"/>
      <c r="C24" s="602"/>
      <c r="D24" s="602"/>
      <c r="E24" s="601"/>
      <c r="F24" s="602"/>
      <c r="G24" s="614" t="str">
        <f>IF(F24="","",SETUP!$T$2)</f>
        <v/>
      </c>
      <c r="H24" s="614" t="str">
        <f t="shared" si="4"/>
        <v/>
      </c>
      <c r="I24" s="614" t="str">
        <f t="shared" si="0"/>
        <v/>
      </c>
      <c r="J24" s="614" t="str">
        <f>IF(F24="","",SETUP!$E$7)</f>
        <v/>
      </c>
      <c r="K24" s="912"/>
      <c r="L24" s="912"/>
      <c r="M24" s="912"/>
      <c r="N24" s="912"/>
      <c r="O24" s="904">
        <f t="shared" si="5"/>
        <v>0</v>
      </c>
      <c r="P24" s="603"/>
      <c r="Q24" s="603"/>
      <c r="R24" s="603"/>
      <c r="S24" s="603"/>
      <c r="T24" s="904">
        <f t="shared" si="6"/>
        <v>0</v>
      </c>
      <c r="U24" s="603"/>
      <c r="V24" s="603"/>
      <c r="W24" s="603"/>
      <c r="X24" s="603"/>
      <c r="Y24" s="904">
        <f t="shared" si="7"/>
        <v>0</v>
      </c>
      <c r="Z24" s="603"/>
      <c r="AA24" s="603"/>
      <c r="AB24" s="603"/>
      <c r="AC24" s="603"/>
      <c r="AD24" s="904">
        <f t="shared" si="8"/>
        <v>0</v>
      </c>
      <c r="AE24" s="603"/>
      <c r="AF24" s="603"/>
      <c r="AG24" s="603"/>
      <c r="AH24" s="603"/>
      <c r="AI24" s="907">
        <f t="shared" si="9"/>
        <v>0</v>
      </c>
      <c r="AJ24" s="921"/>
      <c r="AK24" s="921"/>
      <c r="AL24" s="921"/>
      <c r="AM24" s="921"/>
      <c r="AN24" s="921"/>
      <c r="AO24" s="617">
        <f t="shared" si="10"/>
        <v>0</v>
      </c>
      <c r="AR24" t="str">
        <f t="shared" si="11"/>
        <v>F</v>
      </c>
      <c r="AS24" t="str" cm="1">
        <f t="array" ref="AS24">IFERROR(INDEX(Table611[],MATCH($B24&amp;$C24&amp;$D24&amp;$F24,Table611[Component]&amp;Table611[Module]&amp;Table611[Intervention]&amp;Table611[Cost Input],0),5),"")</f>
        <v/>
      </c>
      <c r="AT24" t="str">
        <f t="shared" si="1"/>
        <v/>
      </c>
      <c r="AW24">
        <f t="shared" si="2"/>
        <v>9</v>
      </c>
    </row>
    <row r="25" spans="1:49" ht="14.5" x14ac:dyDescent="0.35">
      <c r="A25" s="258" t="str">
        <f t="shared" si="3"/>
        <v/>
      </c>
      <c r="B25" s="914"/>
      <c r="C25" s="602"/>
      <c r="D25" s="602"/>
      <c r="E25" s="601"/>
      <c r="F25" s="602"/>
      <c r="G25" s="614" t="str">
        <f>IF(F25="","",SETUP!$T$2)</f>
        <v/>
      </c>
      <c r="H25" s="614" t="str">
        <f t="shared" si="4"/>
        <v/>
      </c>
      <c r="I25" s="614" t="str">
        <f t="shared" si="0"/>
        <v/>
      </c>
      <c r="J25" s="614" t="str">
        <f>IF(F25="","",SETUP!$E$7)</f>
        <v/>
      </c>
      <c r="K25" s="912"/>
      <c r="L25" s="912"/>
      <c r="M25" s="912"/>
      <c r="N25" s="912"/>
      <c r="O25" s="904">
        <f t="shared" si="5"/>
        <v>0</v>
      </c>
      <c r="P25" s="603"/>
      <c r="Q25" s="603"/>
      <c r="R25" s="603"/>
      <c r="S25" s="603"/>
      <c r="T25" s="904">
        <f t="shared" si="6"/>
        <v>0</v>
      </c>
      <c r="U25" s="603"/>
      <c r="V25" s="603"/>
      <c r="W25" s="603"/>
      <c r="X25" s="603"/>
      <c r="Y25" s="904">
        <f t="shared" si="7"/>
        <v>0</v>
      </c>
      <c r="Z25" s="603"/>
      <c r="AA25" s="603"/>
      <c r="AB25" s="603"/>
      <c r="AC25" s="603"/>
      <c r="AD25" s="904">
        <f t="shared" si="8"/>
        <v>0</v>
      </c>
      <c r="AE25" s="603"/>
      <c r="AF25" s="603"/>
      <c r="AG25" s="603"/>
      <c r="AH25" s="603"/>
      <c r="AI25" s="907">
        <f t="shared" si="9"/>
        <v>0</v>
      </c>
      <c r="AJ25" s="921"/>
      <c r="AK25" s="921"/>
      <c r="AL25" s="921"/>
      <c r="AM25" s="921"/>
      <c r="AN25" s="921"/>
      <c r="AO25" s="617">
        <f t="shared" si="10"/>
        <v>0</v>
      </c>
      <c r="AR25" t="str">
        <f t="shared" si="11"/>
        <v>F</v>
      </c>
      <c r="AS25" t="str" cm="1">
        <f t="array" ref="AS25">IFERROR(INDEX(Table611[],MATCH($B25&amp;$C25&amp;$D25&amp;$F25,Table611[Component]&amp;Table611[Module]&amp;Table611[Intervention]&amp;Table611[Cost Input],0),5),"")</f>
        <v/>
      </c>
      <c r="AT25" t="str">
        <f t="shared" si="1"/>
        <v/>
      </c>
      <c r="AW25">
        <f t="shared" si="2"/>
        <v>9</v>
      </c>
    </row>
    <row r="26" spans="1:49" ht="14.5" x14ac:dyDescent="0.35">
      <c r="A26" s="258" t="str">
        <f t="shared" si="3"/>
        <v/>
      </c>
      <c r="B26" s="914"/>
      <c r="C26" s="602"/>
      <c r="D26" s="602"/>
      <c r="E26" s="601"/>
      <c r="F26" s="602"/>
      <c r="G26" s="614" t="str">
        <f>IF(F26="","",SETUP!$T$2)</f>
        <v/>
      </c>
      <c r="H26" s="614" t="str">
        <f t="shared" si="4"/>
        <v/>
      </c>
      <c r="I26" s="614" t="str">
        <f t="shared" si="0"/>
        <v/>
      </c>
      <c r="J26" s="614" t="str">
        <f>IF(F26="","",SETUP!$E$7)</f>
        <v/>
      </c>
      <c r="K26" s="912"/>
      <c r="L26" s="912"/>
      <c r="M26" s="912"/>
      <c r="N26" s="912"/>
      <c r="O26" s="904">
        <f t="shared" si="5"/>
        <v>0</v>
      </c>
      <c r="P26" s="603"/>
      <c r="Q26" s="603"/>
      <c r="R26" s="603"/>
      <c r="S26" s="603"/>
      <c r="T26" s="904">
        <f t="shared" si="6"/>
        <v>0</v>
      </c>
      <c r="U26" s="603"/>
      <c r="V26" s="603"/>
      <c r="W26" s="603"/>
      <c r="X26" s="603"/>
      <c r="Y26" s="904">
        <f t="shared" si="7"/>
        <v>0</v>
      </c>
      <c r="Z26" s="603"/>
      <c r="AA26" s="603"/>
      <c r="AB26" s="603"/>
      <c r="AC26" s="603"/>
      <c r="AD26" s="904">
        <f t="shared" si="8"/>
        <v>0</v>
      </c>
      <c r="AE26" s="603"/>
      <c r="AF26" s="603"/>
      <c r="AG26" s="603"/>
      <c r="AH26" s="603"/>
      <c r="AI26" s="907">
        <f t="shared" si="9"/>
        <v>0</v>
      </c>
      <c r="AJ26" s="921"/>
      <c r="AK26" s="921"/>
      <c r="AL26" s="921"/>
      <c r="AM26" s="921"/>
      <c r="AN26" s="921"/>
      <c r="AO26" s="617">
        <f t="shared" si="10"/>
        <v>0</v>
      </c>
      <c r="AR26" t="str">
        <f t="shared" si="11"/>
        <v>F</v>
      </c>
      <c r="AS26" t="str" cm="1">
        <f t="array" ref="AS26">IFERROR(INDEX(Table611[],MATCH($B26&amp;$C26&amp;$D26&amp;$F26,Table611[Component]&amp;Table611[Module]&amp;Table611[Intervention]&amp;Table611[Cost Input],0),5),"")</f>
        <v/>
      </c>
      <c r="AT26" t="str">
        <f t="shared" si="1"/>
        <v/>
      </c>
      <c r="AW26">
        <f t="shared" si="2"/>
        <v>9</v>
      </c>
    </row>
    <row r="27" spans="1:49" ht="14.5" x14ac:dyDescent="0.35">
      <c r="A27" s="258" t="str">
        <f t="shared" si="3"/>
        <v/>
      </c>
      <c r="B27" s="914"/>
      <c r="C27" s="602"/>
      <c r="D27" s="602"/>
      <c r="E27" s="601"/>
      <c r="F27" s="602"/>
      <c r="G27" s="614" t="str">
        <f>IF(F27="","",SETUP!$T$2)</f>
        <v/>
      </c>
      <c r="H27" s="614" t="str">
        <f t="shared" si="4"/>
        <v/>
      </c>
      <c r="I27" s="614" t="str">
        <f t="shared" si="0"/>
        <v/>
      </c>
      <c r="J27" s="614" t="str">
        <f>IF(F27="","",SETUP!$E$7)</f>
        <v/>
      </c>
      <c r="K27" s="912"/>
      <c r="L27" s="912"/>
      <c r="M27" s="912"/>
      <c r="N27" s="912"/>
      <c r="O27" s="904">
        <f t="shared" si="5"/>
        <v>0</v>
      </c>
      <c r="P27" s="603"/>
      <c r="Q27" s="603"/>
      <c r="R27" s="603"/>
      <c r="S27" s="603"/>
      <c r="T27" s="904">
        <f t="shared" si="6"/>
        <v>0</v>
      </c>
      <c r="U27" s="603"/>
      <c r="V27" s="603"/>
      <c r="W27" s="603"/>
      <c r="X27" s="603"/>
      <c r="Y27" s="904">
        <f t="shared" si="7"/>
        <v>0</v>
      </c>
      <c r="Z27" s="603"/>
      <c r="AA27" s="603"/>
      <c r="AB27" s="603"/>
      <c r="AC27" s="603"/>
      <c r="AD27" s="904">
        <f t="shared" si="8"/>
        <v>0</v>
      </c>
      <c r="AE27" s="603"/>
      <c r="AF27" s="603"/>
      <c r="AG27" s="603"/>
      <c r="AH27" s="603"/>
      <c r="AI27" s="907">
        <f t="shared" si="9"/>
        <v>0</v>
      </c>
      <c r="AJ27" s="921"/>
      <c r="AK27" s="921"/>
      <c r="AL27" s="921"/>
      <c r="AM27" s="921"/>
      <c r="AN27" s="921"/>
      <c r="AO27" s="617">
        <f t="shared" si="10"/>
        <v>0</v>
      </c>
      <c r="AR27" t="str">
        <f t="shared" si="11"/>
        <v>F</v>
      </c>
      <c r="AS27" t="str" cm="1">
        <f t="array" ref="AS27">IFERROR(INDEX(Table611[],MATCH($B27&amp;$C27&amp;$D27&amp;$F27,Table611[Component]&amp;Table611[Module]&amp;Table611[Intervention]&amp;Table611[Cost Input],0),5),"")</f>
        <v/>
      </c>
      <c r="AT27" t="str">
        <f t="shared" si="1"/>
        <v/>
      </c>
      <c r="AW27">
        <f t="shared" si="2"/>
        <v>9</v>
      </c>
    </row>
    <row r="28" spans="1:49" ht="14.5" x14ac:dyDescent="0.35">
      <c r="A28" s="258" t="str">
        <f t="shared" si="3"/>
        <v/>
      </c>
      <c r="B28" s="914"/>
      <c r="C28" s="602"/>
      <c r="D28" s="602"/>
      <c r="E28" s="601"/>
      <c r="F28" s="602"/>
      <c r="G28" s="614" t="str">
        <f>IF(F28="","",SETUP!$T$2)</f>
        <v/>
      </c>
      <c r="H28" s="614" t="str">
        <f t="shared" si="4"/>
        <v/>
      </c>
      <c r="I28" s="614" t="str">
        <f t="shared" si="0"/>
        <v/>
      </c>
      <c r="J28" s="614" t="str">
        <f>IF(F28="","",SETUP!$E$7)</f>
        <v/>
      </c>
      <c r="K28" s="912"/>
      <c r="L28" s="912"/>
      <c r="M28" s="912"/>
      <c r="N28" s="912"/>
      <c r="O28" s="904">
        <f t="shared" si="5"/>
        <v>0</v>
      </c>
      <c r="P28" s="603"/>
      <c r="Q28" s="603"/>
      <c r="R28" s="603"/>
      <c r="S28" s="603"/>
      <c r="T28" s="904">
        <f t="shared" si="6"/>
        <v>0</v>
      </c>
      <c r="U28" s="603"/>
      <c r="V28" s="603"/>
      <c r="W28" s="603"/>
      <c r="X28" s="603"/>
      <c r="Y28" s="904">
        <f t="shared" si="7"/>
        <v>0</v>
      </c>
      <c r="Z28" s="603"/>
      <c r="AA28" s="603"/>
      <c r="AB28" s="603"/>
      <c r="AC28" s="603"/>
      <c r="AD28" s="904">
        <f t="shared" si="8"/>
        <v>0</v>
      </c>
      <c r="AE28" s="603"/>
      <c r="AF28" s="603"/>
      <c r="AG28" s="603"/>
      <c r="AH28" s="603"/>
      <c r="AI28" s="907">
        <f t="shared" si="9"/>
        <v>0</v>
      </c>
      <c r="AJ28" s="921"/>
      <c r="AK28" s="921"/>
      <c r="AL28" s="921"/>
      <c r="AM28" s="921"/>
      <c r="AN28" s="921"/>
      <c r="AO28" s="617">
        <f t="shared" si="10"/>
        <v>0</v>
      </c>
      <c r="AR28" t="str">
        <f t="shared" si="11"/>
        <v>F</v>
      </c>
      <c r="AS28" t="str" cm="1">
        <f t="array" ref="AS28">IFERROR(INDEX(Table611[],MATCH($B28&amp;$C28&amp;$D28&amp;$F28,Table611[Component]&amp;Table611[Module]&amp;Table611[Intervention]&amp;Table611[Cost Input],0),5),"")</f>
        <v/>
      </c>
      <c r="AT28" t="str">
        <f t="shared" si="1"/>
        <v/>
      </c>
      <c r="AW28">
        <f t="shared" si="2"/>
        <v>9</v>
      </c>
    </row>
    <row r="29" spans="1:49" ht="14.5" x14ac:dyDescent="0.35">
      <c r="A29" s="258" t="str">
        <f t="shared" si="3"/>
        <v/>
      </c>
      <c r="B29" s="914"/>
      <c r="C29" s="602"/>
      <c r="D29" s="602"/>
      <c r="E29" s="601"/>
      <c r="F29" s="602"/>
      <c r="G29" s="614" t="str">
        <f>IF(F29="","",SETUP!$T$2)</f>
        <v/>
      </c>
      <c r="H29" s="614" t="str">
        <f t="shared" si="4"/>
        <v/>
      </c>
      <c r="I29" s="614" t="str">
        <f t="shared" si="0"/>
        <v/>
      </c>
      <c r="J29" s="614" t="str">
        <f>IF(F29="","",SETUP!$E$7)</f>
        <v/>
      </c>
      <c r="K29" s="912"/>
      <c r="L29" s="912"/>
      <c r="M29" s="912"/>
      <c r="N29" s="912"/>
      <c r="O29" s="904">
        <f t="shared" si="5"/>
        <v>0</v>
      </c>
      <c r="P29" s="603"/>
      <c r="Q29" s="603"/>
      <c r="R29" s="603"/>
      <c r="S29" s="603"/>
      <c r="T29" s="904">
        <f t="shared" si="6"/>
        <v>0</v>
      </c>
      <c r="U29" s="603"/>
      <c r="V29" s="603"/>
      <c r="W29" s="603"/>
      <c r="X29" s="603"/>
      <c r="Y29" s="904">
        <f t="shared" si="7"/>
        <v>0</v>
      </c>
      <c r="Z29" s="603"/>
      <c r="AA29" s="603"/>
      <c r="AB29" s="603"/>
      <c r="AC29" s="603"/>
      <c r="AD29" s="904">
        <f t="shared" si="8"/>
        <v>0</v>
      </c>
      <c r="AE29" s="603"/>
      <c r="AF29" s="603"/>
      <c r="AG29" s="603"/>
      <c r="AH29" s="603"/>
      <c r="AI29" s="907">
        <f t="shared" si="9"/>
        <v>0</v>
      </c>
      <c r="AJ29" s="921"/>
      <c r="AK29" s="921"/>
      <c r="AL29" s="921"/>
      <c r="AM29" s="921"/>
      <c r="AN29" s="921"/>
      <c r="AO29" s="617">
        <f t="shared" si="10"/>
        <v>0</v>
      </c>
      <c r="AR29" t="str">
        <f t="shared" si="11"/>
        <v>F</v>
      </c>
      <c r="AS29" t="str" cm="1">
        <f t="array" ref="AS29">IFERROR(INDEX(Table611[],MATCH($B29&amp;$C29&amp;$D29&amp;$F29,Table611[Component]&amp;Table611[Module]&amp;Table611[Intervention]&amp;Table611[Cost Input],0),5),"")</f>
        <v/>
      </c>
      <c r="AT29" t="str">
        <f t="shared" si="1"/>
        <v/>
      </c>
      <c r="AW29">
        <f t="shared" si="2"/>
        <v>9</v>
      </c>
    </row>
    <row r="30" spans="1:49" ht="14.5" x14ac:dyDescent="0.35">
      <c r="A30" s="258" t="str">
        <f t="shared" si="3"/>
        <v/>
      </c>
      <c r="B30" s="914"/>
      <c r="C30" s="602"/>
      <c r="D30" s="602"/>
      <c r="E30" s="601"/>
      <c r="F30" s="602"/>
      <c r="G30" s="614" t="str">
        <f>IF(F30="","",SETUP!$T$2)</f>
        <v/>
      </c>
      <c r="H30" s="614" t="str">
        <f t="shared" si="4"/>
        <v/>
      </c>
      <c r="I30" s="614" t="str">
        <f t="shared" si="0"/>
        <v/>
      </c>
      <c r="J30" s="614" t="str">
        <f>IF(F30="","",SETUP!$E$7)</f>
        <v/>
      </c>
      <c r="K30" s="912"/>
      <c r="L30" s="912"/>
      <c r="M30" s="912"/>
      <c r="N30" s="912"/>
      <c r="O30" s="904">
        <f t="shared" si="5"/>
        <v>0</v>
      </c>
      <c r="P30" s="603"/>
      <c r="Q30" s="603"/>
      <c r="R30" s="603"/>
      <c r="S30" s="603"/>
      <c r="T30" s="904">
        <f t="shared" si="6"/>
        <v>0</v>
      </c>
      <c r="U30" s="603"/>
      <c r="V30" s="603"/>
      <c r="W30" s="603"/>
      <c r="X30" s="603"/>
      <c r="Y30" s="904">
        <f t="shared" si="7"/>
        <v>0</v>
      </c>
      <c r="Z30" s="603"/>
      <c r="AA30" s="603"/>
      <c r="AB30" s="603"/>
      <c r="AC30" s="603"/>
      <c r="AD30" s="904">
        <f t="shared" si="8"/>
        <v>0</v>
      </c>
      <c r="AE30" s="603"/>
      <c r="AF30" s="603"/>
      <c r="AG30" s="603"/>
      <c r="AH30" s="603"/>
      <c r="AI30" s="907">
        <f t="shared" si="9"/>
        <v>0</v>
      </c>
      <c r="AJ30" s="921"/>
      <c r="AK30" s="921"/>
      <c r="AL30" s="921"/>
      <c r="AM30" s="921"/>
      <c r="AN30" s="921"/>
      <c r="AO30" s="617">
        <f t="shared" si="10"/>
        <v>0</v>
      </c>
      <c r="AR30" t="str">
        <f t="shared" si="11"/>
        <v>F</v>
      </c>
      <c r="AS30" t="str" cm="1">
        <f t="array" ref="AS30">IFERROR(INDEX(Table611[],MATCH($B30&amp;$C30&amp;$D30&amp;$F30,Table611[Component]&amp;Table611[Module]&amp;Table611[Intervention]&amp;Table611[Cost Input],0),5),"")</f>
        <v/>
      </c>
      <c r="AT30" t="str">
        <f t="shared" si="1"/>
        <v/>
      </c>
      <c r="AW30">
        <f t="shared" si="2"/>
        <v>9</v>
      </c>
    </row>
    <row r="31" spans="1:49" ht="14.5" x14ac:dyDescent="0.35">
      <c r="A31" s="258" t="str">
        <f>IF(COUNTBLANK(B31:D31)+COUNTBLANK(F31:F31)=0,IF(F31="","",#REF!&amp;B31&amp;D31&amp;F31),"")</f>
        <v/>
      </c>
      <c r="B31" s="602"/>
      <c r="D31" s="602"/>
      <c r="E31" s="601"/>
      <c r="F31" s="602"/>
      <c r="G31" s="614" t="str">
        <f>IF(F31="","",SETUP!$T$2)</f>
        <v/>
      </c>
      <c r="H31" s="614" t="str">
        <f t="shared" si="4"/>
        <v/>
      </c>
      <c r="I31" s="614" t="str">
        <f t="shared" si="0"/>
        <v/>
      </c>
      <c r="J31" s="614" t="str">
        <f>IF(F31="","",SETUP!$E$7)</f>
        <v/>
      </c>
      <c r="K31" s="912"/>
      <c r="L31" s="912"/>
      <c r="M31" s="912"/>
      <c r="N31" s="912"/>
      <c r="O31" s="904">
        <f t="shared" si="5"/>
        <v>0</v>
      </c>
      <c r="P31" s="603"/>
      <c r="Q31" s="603"/>
      <c r="R31" s="603"/>
      <c r="S31" s="603"/>
      <c r="T31" s="904">
        <f t="shared" si="6"/>
        <v>0</v>
      </c>
      <c r="U31" s="603"/>
      <c r="V31" s="603"/>
      <c r="W31" s="603"/>
      <c r="X31" s="603"/>
      <c r="Y31" s="904">
        <f t="shared" si="7"/>
        <v>0</v>
      </c>
      <c r="Z31" s="603"/>
      <c r="AA31" s="603"/>
      <c r="AB31" s="603"/>
      <c r="AC31" s="603"/>
      <c r="AD31" s="904">
        <f t="shared" si="8"/>
        <v>0</v>
      </c>
      <c r="AE31" s="603"/>
      <c r="AF31" s="603"/>
      <c r="AG31" s="603"/>
      <c r="AH31" s="603"/>
      <c r="AI31" s="907">
        <f t="shared" si="9"/>
        <v>0</v>
      </c>
      <c r="AJ31" s="921"/>
      <c r="AK31" s="921"/>
      <c r="AL31" s="921"/>
      <c r="AM31" s="921"/>
      <c r="AN31" s="921"/>
      <c r="AO31" s="617">
        <f t="shared" si="10"/>
        <v>0</v>
      </c>
      <c r="AR31" t="str">
        <f t="shared" si="11"/>
        <v>F</v>
      </c>
      <c r="AS31" t="str" cm="1">
        <f t="array" ref="AS31">IFERROR(INDEX(Table611[],MATCH(#REF!&amp;$B31&amp;$D31&amp;$F31,Table611[Component]&amp;Table611[Module]&amp;Table611[Intervention]&amp;Table611[Cost Input],0),5),"")</f>
        <v/>
      </c>
      <c r="AT31" t="str">
        <f t="shared" si="1"/>
        <v/>
      </c>
      <c r="AW31">
        <f>COUNTBLANK(B31:J31)+COUNTBLANK(AO31:AO31)</f>
        <v>9</v>
      </c>
    </row>
    <row r="32" spans="1:49" ht="14.5" x14ac:dyDescent="0.35">
      <c r="A32" s="258" t="str">
        <f t="shared" si="3"/>
        <v/>
      </c>
      <c r="B32" s="914"/>
      <c r="C32" s="602"/>
      <c r="D32" s="602"/>
      <c r="E32" s="601"/>
      <c r="F32" s="602"/>
      <c r="G32" s="614" t="str">
        <f>IF(F32="","",SETUP!$T$2)</f>
        <v/>
      </c>
      <c r="H32" s="614" t="str">
        <f t="shared" si="4"/>
        <v/>
      </c>
      <c r="I32" s="614" t="str">
        <f t="shared" si="0"/>
        <v/>
      </c>
      <c r="J32" s="614" t="str">
        <f>IF(F32="","",SETUP!$E$7)</f>
        <v/>
      </c>
      <c r="K32" s="912"/>
      <c r="L32" s="912"/>
      <c r="M32" s="912"/>
      <c r="N32" s="912"/>
      <c r="O32" s="904">
        <f t="shared" si="5"/>
        <v>0</v>
      </c>
      <c r="P32" s="603"/>
      <c r="Q32" s="603"/>
      <c r="R32" s="603"/>
      <c r="S32" s="603"/>
      <c r="T32" s="904">
        <f t="shared" si="6"/>
        <v>0</v>
      </c>
      <c r="U32" s="603"/>
      <c r="V32" s="603"/>
      <c r="W32" s="603"/>
      <c r="X32" s="603"/>
      <c r="Y32" s="904">
        <f t="shared" si="7"/>
        <v>0</v>
      </c>
      <c r="Z32" s="603"/>
      <c r="AA32" s="603"/>
      <c r="AB32" s="603"/>
      <c r="AC32" s="603"/>
      <c r="AD32" s="904">
        <f t="shared" si="8"/>
        <v>0</v>
      </c>
      <c r="AE32" s="603"/>
      <c r="AF32" s="603"/>
      <c r="AG32" s="603"/>
      <c r="AH32" s="603"/>
      <c r="AI32" s="907">
        <f t="shared" si="9"/>
        <v>0</v>
      </c>
      <c r="AJ32" s="921"/>
      <c r="AK32" s="921"/>
      <c r="AL32" s="921"/>
      <c r="AM32" s="921"/>
      <c r="AN32" s="921"/>
      <c r="AO32" s="617">
        <f t="shared" si="10"/>
        <v>0</v>
      </c>
      <c r="AR32" t="str">
        <f t="shared" si="11"/>
        <v>F</v>
      </c>
      <c r="AS32" t="str" cm="1">
        <f t="array" ref="AS32">IFERROR(INDEX(Table611[],MATCH($B32&amp;$C32&amp;$D32&amp;$F32,Table611[Component]&amp;Table611[Module]&amp;Table611[Intervention]&amp;Table611[Cost Input],0),5),"")</f>
        <v/>
      </c>
      <c r="AT32" t="str">
        <f t="shared" si="1"/>
        <v/>
      </c>
      <c r="AW32">
        <f t="shared" si="2"/>
        <v>9</v>
      </c>
    </row>
    <row r="33" spans="1:49" ht="14.5" x14ac:dyDescent="0.35">
      <c r="A33" s="258" t="str">
        <f t="shared" si="3"/>
        <v/>
      </c>
      <c r="B33" s="914"/>
      <c r="C33" s="602"/>
      <c r="D33" s="602"/>
      <c r="E33" s="601"/>
      <c r="F33" s="602"/>
      <c r="G33" s="614" t="str">
        <f>IF(F33="","",SETUP!$T$2)</f>
        <v/>
      </c>
      <c r="H33" s="614" t="str">
        <f t="shared" si="4"/>
        <v/>
      </c>
      <c r="I33" s="614" t="str">
        <f t="shared" si="0"/>
        <v/>
      </c>
      <c r="J33" s="614" t="str">
        <f>IF(F33="","",SETUP!$E$7)</f>
        <v/>
      </c>
      <c r="K33" s="912"/>
      <c r="L33" s="912"/>
      <c r="M33" s="912"/>
      <c r="N33" s="912"/>
      <c r="O33" s="904">
        <f t="shared" si="5"/>
        <v>0</v>
      </c>
      <c r="P33" s="603"/>
      <c r="Q33" s="603"/>
      <c r="R33" s="603"/>
      <c r="S33" s="603"/>
      <c r="T33" s="904">
        <f t="shared" si="6"/>
        <v>0</v>
      </c>
      <c r="U33" s="603"/>
      <c r="V33" s="603"/>
      <c r="W33" s="603"/>
      <c r="X33" s="603"/>
      <c r="Y33" s="904">
        <f t="shared" si="7"/>
        <v>0</v>
      </c>
      <c r="Z33" s="603"/>
      <c r="AA33" s="603"/>
      <c r="AB33" s="603"/>
      <c r="AC33" s="603"/>
      <c r="AD33" s="904">
        <f t="shared" si="8"/>
        <v>0</v>
      </c>
      <c r="AE33" s="603"/>
      <c r="AF33" s="603"/>
      <c r="AG33" s="603"/>
      <c r="AH33" s="603"/>
      <c r="AI33" s="907">
        <f t="shared" si="9"/>
        <v>0</v>
      </c>
      <c r="AJ33" s="921"/>
      <c r="AK33" s="921"/>
      <c r="AL33" s="921"/>
      <c r="AM33" s="921"/>
      <c r="AN33" s="921"/>
      <c r="AO33" s="617">
        <f t="shared" si="10"/>
        <v>0</v>
      </c>
      <c r="AR33" t="str">
        <f t="shared" si="11"/>
        <v>F</v>
      </c>
      <c r="AS33" t="str" cm="1">
        <f t="array" ref="AS33">IFERROR(INDEX(Table611[],MATCH($B33&amp;$C33&amp;$D33&amp;$F33,Table611[Component]&amp;Table611[Module]&amp;Table611[Intervention]&amp;Table611[Cost Input],0),5),"")</f>
        <v/>
      </c>
      <c r="AT33" t="str">
        <f t="shared" si="1"/>
        <v/>
      </c>
      <c r="AW33">
        <f t="shared" si="2"/>
        <v>9</v>
      </c>
    </row>
    <row r="34" spans="1:49" ht="14.5" x14ac:dyDescent="0.35">
      <c r="A34" s="258" t="str">
        <f t="shared" si="3"/>
        <v/>
      </c>
      <c r="B34" s="914"/>
      <c r="C34" s="602"/>
      <c r="D34" s="602"/>
      <c r="E34" s="601"/>
      <c r="F34" s="602"/>
      <c r="G34" s="614" t="str">
        <f>IF(F34="","",SETUP!$T$2)</f>
        <v/>
      </c>
      <c r="H34" s="614" t="str">
        <f t="shared" si="4"/>
        <v/>
      </c>
      <c r="I34" s="614" t="str">
        <f t="shared" si="0"/>
        <v/>
      </c>
      <c r="J34" s="614" t="str">
        <f>IF(F34="","",SETUP!$E$7)</f>
        <v/>
      </c>
      <c r="K34" s="912"/>
      <c r="L34" s="912"/>
      <c r="M34" s="912"/>
      <c r="N34" s="912"/>
      <c r="O34" s="904">
        <f t="shared" si="5"/>
        <v>0</v>
      </c>
      <c r="P34" s="603"/>
      <c r="Q34" s="603"/>
      <c r="R34" s="603"/>
      <c r="S34" s="603"/>
      <c r="T34" s="904">
        <f t="shared" si="6"/>
        <v>0</v>
      </c>
      <c r="U34" s="603"/>
      <c r="V34" s="603"/>
      <c r="W34" s="603"/>
      <c r="X34" s="603"/>
      <c r="Y34" s="904">
        <f t="shared" si="7"/>
        <v>0</v>
      </c>
      <c r="Z34" s="603"/>
      <c r="AA34" s="603"/>
      <c r="AB34" s="603"/>
      <c r="AC34" s="603"/>
      <c r="AD34" s="904">
        <f t="shared" si="8"/>
        <v>0</v>
      </c>
      <c r="AE34" s="603"/>
      <c r="AF34" s="603"/>
      <c r="AG34" s="603"/>
      <c r="AH34" s="603"/>
      <c r="AI34" s="907">
        <f t="shared" si="9"/>
        <v>0</v>
      </c>
      <c r="AJ34" s="921"/>
      <c r="AK34" s="921"/>
      <c r="AL34" s="921"/>
      <c r="AM34" s="921"/>
      <c r="AN34" s="921"/>
      <c r="AO34" s="617">
        <f t="shared" si="10"/>
        <v>0</v>
      </c>
      <c r="AR34" t="str">
        <f t="shared" si="11"/>
        <v>F</v>
      </c>
      <c r="AS34" t="str" cm="1">
        <f t="array" ref="AS34">IFERROR(INDEX(Table611[],MATCH($B34&amp;$C34&amp;$D34&amp;$F34,Table611[Component]&amp;Table611[Module]&amp;Table611[Intervention]&amp;Table611[Cost Input],0),5),"")</f>
        <v/>
      </c>
      <c r="AT34" t="str">
        <f t="shared" si="1"/>
        <v/>
      </c>
      <c r="AW34">
        <f t="shared" si="2"/>
        <v>9</v>
      </c>
    </row>
    <row r="35" spans="1:49" ht="14.5" x14ac:dyDescent="0.35">
      <c r="A35" s="258" t="str">
        <f t="shared" si="3"/>
        <v/>
      </c>
      <c r="B35" s="914"/>
      <c r="C35" s="602"/>
      <c r="D35" s="602"/>
      <c r="E35" s="601"/>
      <c r="F35" s="602"/>
      <c r="G35" s="614" t="str">
        <f>IF(F35="","",SETUP!$T$2)</f>
        <v/>
      </c>
      <c r="H35" s="614" t="str">
        <f t="shared" si="4"/>
        <v/>
      </c>
      <c r="I35" s="614" t="str">
        <f t="shared" si="0"/>
        <v/>
      </c>
      <c r="J35" s="614" t="str">
        <f>IF(F35="","",SETUP!$E$7)</f>
        <v/>
      </c>
      <c r="K35" s="912"/>
      <c r="L35" s="912"/>
      <c r="M35" s="912"/>
      <c r="N35" s="912"/>
      <c r="O35" s="904">
        <f t="shared" si="5"/>
        <v>0</v>
      </c>
      <c r="P35" s="603"/>
      <c r="Q35" s="603"/>
      <c r="R35" s="603"/>
      <c r="S35" s="603"/>
      <c r="T35" s="904">
        <f t="shared" si="6"/>
        <v>0</v>
      </c>
      <c r="U35" s="603"/>
      <c r="V35" s="603"/>
      <c r="W35" s="603"/>
      <c r="X35" s="603"/>
      <c r="Y35" s="904">
        <f t="shared" si="7"/>
        <v>0</v>
      </c>
      <c r="Z35" s="603"/>
      <c r="AA35" s="603"/>
      <c r="AB35" s="603"/>
      <c r="AC35" s="603"/>
      <c r="AD35" s="904">
        <f t="shared" si="8"/>
        <v>0</v>
      </c>
      <c r="AE35" s="603"/>
      <c r="AF35" s="603"/>
      <c r="AG35" s="603"/>
      <c r="AH35" s="603"/>
      <c r="AI35" s="907">
        <f t="shared" si="9"/>
        <v>0</v>
      </c>
      <c r="AJ35" s="921"/>
      <c r="AK35" s="921"/>
      <c r="AL35" s="921"/>
      <c r="AM35" s="921"/>
      <c r="AN35" s="921"/>
      <c r="AO35" s="617">
        <f t="shared" si="10"/>
        <v>0</v>
      </c>
      <c r="AR35" t="str">
        <f t="shared" si="11"/>
        <v>F</v>
      </c>
      <c r="AS35" t="str" cm="1">
        <f t="array" ref="AS35">IFERROR(INDEX(Table611[],MATCH($B35&amp;$C35&amp;$D35&amp;$F35,Table611[Component]&amp;Table611[Module]&amp;Table611[Intervention]&amp;Table611[Cost Input],0),5),"")</f>
        <v/>
      </c>
      <c r="AT35" t="str">
        <f t="shared" si="1"/>
        <v/>
      </c>
      <c r="AW35">
        <f t="shared" si="2"/>
        <v>9</v>
      </c>
    </row>
    <row r="36" spans="1:49" ht="14.5" x14ac:dyDescent="0.35">
      <c r="A36" s="258" t="str">
        <f t="shared" si="3"/>
        <v/>
      </c>
      <c r="B36" s="914"/>
      <c r="C36" s="602"/>
      <c r="D36" s="602"/>
      <c r="E36" s="601"/>
      <c r="F36" s="602"/>
      <c r="G36" s="614" t="str">
        <f>IF(F36="","",SETUP!$T$2)</f>
        <v/>
      </c>
      <c r="H36" s="614" t="str">
        <f t="shared" si="4"/>
        <v/>
      </c>
      <c r="I36" s="614" t="str">
        <f t="shared" si="0"/>
        <v/>
      </c>
      <c r="J36" s="614" t="str">
        <f>IF(F36="","",SETUP!$E$7)</f>
        <v/>
      </c>
      <c r="K36" s="912"/>
      <c r="L36" s="912"/>
      <c r="M36" s="912"/>
      <c r="N36" s="912"/>
      <c r="O36" s="904">
        <f t="shared" si="5"/>
        <v>0</v>
      </c>
      <c r="P36" s="603"/>
      <c r="Q36" s="603"/>
      <c r="R36" s="603"/>
      <c r="S36" s="603"/>
      <c r="T36" s="904">
        <f t="shared" si="6"/>
        <v>0</v>
      </c>
      <c r="U36" s="603"/>
      <c r="V36" s="603"/>
      <c r="W36" s="603"/>
      <c r="X36" s="603"/>
      <c r="Y36" s="904">
        <f t="shared" si="7"/>
        <v>0</v>
      </c>
      <c r="Z36" s="603"/>
      <c r="AA36" s="603"/>
      <c r="AB36" s="603"/>
      <c r="AC36" s="603"/>
      <c r="AD36" s="904">
        <f t="shared" si="8"/>
        <v>0</v>
      </c>
      <c r="AE36" s="603"/>
      <c r="AF36" s="603"/>
      <c r="AG36" s="603"/>
      <c r="AH36" s="603"/>
      <c r="AI36" s="907">
        <f t="shared" si="9"/>
        <v>0</v>
      </c>
      <c r="AJ36" s="921"/>
      <c r="AK36" s="921"/>
      <c r="AL36" s="921"/>
      <c r="AM36" s="921"/>
      <c r="AN36" s="921"/>
      <c r="AO36" s="617">
        <f t="shared" si="10"/>
        <v>0</v>
      </c>
      <c r="AR36" t="str">
        <f t="shared" si="11"/>
        <v>F</v>
      </c>
      <c r="AS36" t="str" cm="1">
        <f t="array" ref="AS36">IFERROR(INDEX(Table611[],MATCH($B36&amp;$C36&amp;$D36&amp;$F36,Table611[Component]&amp;Table611[Module]&amp;Table611[Intervention]&amp;Table611[Cost Input],0),5),"")</f>
        <v/>
      </c>
      <c r="AT36" t="str">
        <f t="shared" si="1"/>
        <v/>
      </c>
      <c r="AW36">
        <f t="shared" si="2"/>
        <v>9</v>
      </c>
    </row>
    <row r="37" spans="1:49" ht="14.5" x14ac:dyDescent="0.35">
      <c r="A37" s="258" t="str">
        <f t="shared" si="3"/>
        <v/>
      </c>
      <c r="B37" s="914"/>
      <c r="C37" s="602"/>
      <c r="D37" s="602"/>
      <c r="E37" s="601"/>
      <c r="F37" s="602"/>
      <c r="G37" s="614" t="str">
        <f>IF(F37="","",SETUP!$T$2)</f>
        <v/>
      </c>
      <c r="H37" s="614" t="str">
        <f t="shared" si="4"/>
        <v/>
      </c>
      <c r="I37" s="614" t="str">
        <f t="shared" si="0"/>
        <v/>
      </c>
      <c r="J37" s="614" t="str">
        <f>IF(F37="","",SETUP!$E$7)</f>
        <v/>
      </c>
      <c r="K37" s="912"/>
      <c r="L37" s="912"/>
      <c r="M37" s="912"/>
      <c r="N37" s="912"/>
      <c r="O37" s="904">
        <f t="shared" si="5"/>
        <v>0</v>
      </c>
      <c r="P37" s="603"/>
      <c r="Q37" s="603"/>
      <c r="R37" s="603"/>
      <c r="S37" s="603"/>
      <c r="T37" s="904">
        <f t="shared" si="6"/>
        <v>0</v>
      </c>
      <c r="U37" s="603"/>
      <c r="V37" s="603"/>
      <c r="W37" s="603"/>
      <c r="X37" s="603"/>
      <c r="Y37" s="904">
        <f t="shared" si="7"/>
        <v>0</v>
      </c>
      <c r="Z37" s="603"/>
      <c r="AA37" s="603"/>
      <c r="AB37" s="603"/>
      <c r="AC37" s="603"/>
      <c r="AD37" s="904">
        <f t="shared" si="8"/>
        <v>0</v>
      </c>
      <c r="AE37" s="603"/>
      <c r="AF37" s="603"/>
      <c r="AG37" s="603"/>
      <c r="AH37" s="603"/>
      <c r="AI37" s="907">
        <f t="shared" si="9"/>
        <v>0</v>
      </c>
      <c r="AJ37" s="921"/>
      <c r="AK37" s="921"/>
      <c r="AL37" s="921"/>
      <c r="AM37" s="921"/>
      <c r="AN37" s="921"/>
      <c r="AO37" s="617">
        <f t="shared" si="10"/>
        <v>0</v>
      </c>
      <c r="AR37" t="str">
        <f t="shared" si="11"/>
        <v>F</v>
      </c>
      <c r="AS37" t="str" cm="1">
        <f t="array" ref="AS37">IFERROR(INDEX(Table611[],MATCH($B37&amp;$C37&amp;$D37&amp;$F37,Table611[Component]&amp;Table611[Module]&amp;Table611[Intervention]&amp;Table611[Cost Input],0),5),"")</f>
        <v/>
      </c>
      <c r="AT37" t="str">
        <f t="shared" ref="AT37:AT68" si="12">IF(A37="","",IF(OR(AW37&gt;1,AS37=""),"F","T"))</f>
        <v/>
      </c>
      <c r="AW37">
        <f t="shared" ref="AW37:AW68" si="13">COUNTBLANK(B37:J37)+COUNTBLANK(AO37:AO37)</f>
        <v>9</v>
      </c>
    </row>
    <row r="38" spans="1:49" ht="14.5" x14ac:dyDescent="0.35">
      <c r="A38" s="258" t="str">
        <f t="shared" si="3"/>
        <v/>
      </c>
      <c r="B38" s="914"/>
      <c r="C38" s="602"/>
      <c r="D38" s="602"/>
      <c r="E38" s="601"/>
      <c r="F38" s="602"/>
      <c r="G38" s="614" t="str">
        <f>IF(F38="","",SETUP!$T$2)</f>
        <v/>
      </c>
      <c r="H38" s="614" t="str">
        <f t="shared" si="4"/>
        <v/>
      </c>
      <c r="I38" s="614" t="str">
        <f t="shared" si="0"/>
        <v/>
      </c>
      <c r="J38" s="614" t="str">
        <f>IF(F38="","",SETUP!$E$7)</f>
        <v/>
      </c>
      <c r="K38" s="912"/>
      <c r="L38" s="912"/>
      <c r="M38" s="912"/>
      <c r="N38" s="912"/>
      <c r="O38" s="904">
        <f t="shared" si="5"/>
        <v>0</v>
      </c>
      <c r="P38" s="603"/>
      <c r="Q38" s="603"/>
      <c r="R38" s="603"/>
      <c r="S38" s="603"/>
      <c r="T38" s="904">
        <f t="shared" si="6"/>
        <v>0</v>
      </c>
      <c r="U38" s="603"/>
      <c r="V38" s="603"/>
      <c r="W38" s="603"/>
      <c r="X38" s="603"/>
      <c r="Y38" s="904">
        <f t="shared" si="7"/>
        <v>0</v>
      </c>
      <c r="Z38" s="603"/>
      <c r="AA38" s="603"/>
      <c r="AB38" s="603"/>
      <c r="AC38" s="603"/>
      <c r="AD38" s="904">
        <f t="shared" si="8"/>
        <v>0</v>
      </c>
      <c r="AE38" s="603"/>
      <c r="AF38" s="603"/>
      <c r="AG38" s="603"/>
      <c r="AH38" s="603"/>
      <c r="AI38" s="907">
        <f t="shared" si="9"/>
        <v>0</v>
      </c>
      <c r="AJ38" s="921"/>
      <c r="AK38" s="921"/>
      <c r="AL38" s="921"/>
      <c r="AM38" s="921"/>
      <c r="AN38" s="921"/>
      <c r="AO38" s="617">
        <f t="shared" si="10"/>
        <v>0</v>
      </c>
      <c r="AR38" t="str">
        <f t="shared" si="11"/>
        <v>F</v>
      </c>
      <c r="AS38" t="str" cm="1">
        <f t="array" ref="AS38">IFERROR(INDEX(Table611[],MATCH($B38&amp;$C38&amp;$D38&amp;$F38,Table611[Component]&amp;Table611[Module]&amp;Table611[Intervention]&amp;Table611[Cost Input],0),5),"")</f>
        <v/>
      </c>
      <c r="AT38" t="str">
        <f t="shared" si="12"/>
        <v/>
      </c>
      <c r="AW38">
        <f t="shared" si="13"/>
        <v>9</v>
      </c>
    </row>
    <row r="39" spans="1:49" ht="14.5" x14ac:dyDescent="0.35">
      <c r="A39" s="258" t="str">
        <f t="shared" si="3"/>
        <v/>
      </c>
      <c r="B39" s="914"/>
      <c r="C39" s="602"/>
      <c r="D39" s="602"/>
      <c r="E39" s="601"/>
      <c r="F39" s="602"/>
      <c r="G39" s="614" t="str">
        <f>IF(F39="","",SETUP!$T$2)</f>
        <v/>
      </c>
      <c r="H39" s="614" t="str">
        <f t="shared" si="4"/>
        <v/>
      </c>
      <c r="I39" s="614" t="str">
        <f t="shared" si="0"/>
        <v/>
      </c>
      <c r="J39" s="614" t="str">
        <f>IF(F39="","",SETUP!$E$7)</f>
        <v/>
      </c>
      <c r="K39" s="912"/>
      <c r="L39" s="912"/>
      <c r="M39" s="912"/>
      <c r="N39" s="912"/>
      <c r="O39" s="904">
        <f t="shared" si="5"/>
        <v>0</v>
      </c>
      <c r="P39" s="603"/>
      <c r="Q39" s="603"/>
      <c r="R39" s="603"/>
      <c r="S39" s="603"/>
      <c r="T39" s="904">
        <f t="shared" si="6"/>
        <v>0</v>
      </c>
      <c r="U39" s="603"/>
      <c r="V39" s="603"/>
      <c r="W39" s="603"/>
      <c r="X39" s="603"/>
      <c r="Y39" s="904">
        <f t="shared" si="7"/>
        <v>0</v>
      </c>
      <c r="Z39" s="603"/>
      <c r="AA39" s="603"/>
      <c r="AB39" s="603"/>
      <c r="AC39" s="603"/>
      <c r="AD39" s="904">
        <f t="shared" si="8"/>
        <v>0</v>
      </c>
      <c r="AE39" s="603"/>
      <c r="AF39" s="603"/>
      <c r="AG39" s="603"/>
      <c r="AH39" s="603"/>
      <c r="AI39" s="907">
        <f t="shared" si="9"/>
        <v>0</v>
      </c>
      <c r="AJ39" s="921"/>
      <c r="AK39" s="921"/>
      <c r="AL39" s="921"/>
      <c r="AM39" s="921"/>
      <c r="AN39" s="921"/>
      <c r="AO39" s="617">
        <f t="shared" si="10"/>
        <v>0</v>
      </c>
      <c r="AR39" t="str">
        <f t="shared" si="11"/>
        <v>F</v>
      </c>
      <c r="AS39" t="str" cm="1">
        <f t="array" ref="AS39">IFERROR(INDEX(Table611[],MATCH($B39&amp;$C39&amp;$D39&amp;$F39,Table611[Component]&amp;Table611[Module]&amp;Table611[Intervention]&amp;Table611[Cost Input],0),5),"")</f>
        <v/>
      </c>
      <c r="AT39" t="str">
        <f t="shared" si="12"/>
        <v/>
      </c>
      <c r="AW39">
        <f t="shared" si="13"/>
        <v>9</v>
      </c>
    </row>
    <row r="40" spans="1:49" ht="14.5" x14ac:dyDescent="0.35">
      <c r="A40" s="258" t="str">
        <f t="shared" si="3"/>
        <v/>
      </c>
      <c r="B40" s="914"/>
      <c r="C40" s="602"/>
      <c r="D40" s="602"/>
      <c r="E40" s="601"/>
      <c r="F40" s="602"/>
      <c r="G40" s="614" t="str">
        <f>IF(F40="","",SETUP!$T$2)</f>
        <v/>
      </c>
      <c r="H40" s="614" t="str">
        <f t="shared" si="4"/>
        <v/>
      </c>
      <c r="I40" s="614" t="str">
        <f t="shared" si="0"/>
        <v/>
      </c>
      <c r="J40" s="614" t="str">
        <f>IF(F40="","",SETUP!$E$7)</f>
        <v/>
      </c>
      <c r="K40" s="912"/>
      <c r="L40" s="912"/>
      <c r="M40" s="912"/>
      <c r="N40" s="912"/>
      <c r="O40" s="904">
        <f t="shared" si="5"/>
        <v>0</v>
      </c>
      <c r="P40" s="603"/>
      <c r="Q40" s="603"/>
      <c r="R40" s="603"/>
      <c r="S40" s="603"/>
      <c r="T40" s="904">
        <f t="shared" si="6"/>
        <v>0</v>
      </c>
      <c r="U40" s="603"/>
      <c r="V40" s="603"/>
      <c r="W40" s="603"/>
      <c r="X40" s="603"/>
      <c r="Y40" s="904">
        <f t="shared" si="7"/>
        <v>0</v>
      </c>
      <c r="Z40" s="603"/>
      <c r="AA40" s="603"/>
      <c r="AB40" s="603"/>
      <c r="AC40" s="603"/>
      <c r="AD40" s="904">
        <f t="shared" si="8"/>
        <v>0</v>
      </c>
      <c r="AE40" s="603"/>
      <c r="AF40" s="603"/>
      <c r="AG40" s="603"/>
      <c r="AH40" s="603"/>
      <c r="AI40" s="907">
        <f t="shared" si="9"/>
        <v>0</v>
      </c>
      <c r="AJ40" s="921"/>
      <c r="AK40" s="921"/>
      <c r="AL40" s="921"/>
      <c r="AM40" s="921"/>
      <c r="AN40" s="921"/>
      <c r="AO40" s="617">
        <f t="shared" si="10"/>
        <v>0</v>
      </c>
      <c r="AR40" t="str">
        <f t="shared" si="11"/>
        <v>F</v>
      </c>
      <c r="AS40" t="str" cm="1">
        <f t="array" ref="AS40">IFERROR(INDEX(Table611[],MATCH($B40&amp;$C40&amp;$D40&amp;$F40,Table611[Component]&amp;Table611[Module]&amp;Table611[Intervention]&amp;Table611[Cost Input],0),5),"")</f>
        <v/>
      </c>
      <c r="AT40" t="str">
        <f t="shared" si="12"/>
        <v/>
      </c>
      <c r="AW40">
        <f t="shared" si="13"/>
        <v>9</v>
      </c>
    </row>
    <row r="41" spans="1:49" ht="14.5" x14ac:dyDescent="0.35">
      <c r="A41" s="258" t="str">
        <f t="shared" si="3"/>
        <v/>
      </c>
      <c r="B41" s="914"/>
      <c r="C41" s="602"/>
      <c r="D41" s="602"/>
      <c r="E41" s="601"/>
      <c r="F41" s="602"/>
      <c r="G41" s="614" t="str">
        <f>IF(F41="","",SETUP!$T$2)</f>
        <v/>
      </c>
      <c r="H41" s="614" t="str">
        <f t="shared" si="4"/>
        <v/>
      </c>
      <c r="I41" s="614" t="str">
        <f t="shared" si="0"/>
        <v/>
      </c>
      <c r="J41" s="614" t="str">
        <f>IF(F41="","",SETUP!$E$7)</f>
        <v/>
      </c>
      <c r="K41" s="912"/>
      <c r="L41" s="912"/>
      <c r="M41" s="912"/>
      <c r="N41" s="912"/>
      <c r="O41" s="904">
        <f t="shared" si="5"/>
        <v>0</v>
      </c>
      <c r="P41" s="603"/>
      <c r="Q41" s="603"/>
      <c r="R41" s="603"/>
      <c r="S41" s="603"/>
      <c r="T41" s="904">
        <f t="shared" si="6"/>
        <v>0</v>
      </c>
      <c r="U41" s="603"/>
      <c r="V41" s="603"/>
      <c r="W41" s="603"/>
      <c r="X41" s="603"/>
      <c r="Y41" s="904">
        <f t="shared" si="7"/>
        <v>0</v>
      </c>
      <c r="Z41" s="603"/>
      <c r="AA41" s="603"/>
      <c r="AB41" s="603"/>
      <c r="AC41" s="603"/>
      <c r="AD41" s="904">
        <f t="shared" si="8"/>
        <v>0</v>
      </c>
      <c r="AE41" s="603"/>
      <c r="AF41" s="603"/>
      <c r="AG41" s="603"/>
      <c r="AH41" s="603"/>
      <c r="AI41" s="907">
        <f t="shared" si="9"/>
        <v>0</v>
      </c>
      <c r="AJ41" s="921"/>
      <c r="AK41" s="921"/>
      <c r="AL41" s="921"/>
      <c r="AM41" s="921"/>
      <c r="AN41" s="921"/>
      <c r="AO41" s="617">
        <f t="shared" si="10"/>
        <v>0</v>
      </c>
      <c r="AR41" t="str">
        <f t="shared" si="11"/>
        <v>F</v>
      </c>
      <c r="AS41" t="str" cm="1">
        <f t="array" ref="AS41">IFERROR(INDEX(Table611[],MATCH($B41&amp;$C41&amp;$D41&amp;$F41,Table611[Component]&amp;Table611[Module]&amp;Table611[Intervention]&amp;Table611[Cost Input],0),5),"")</f>
        <v/>
      </c>
      <c r="AT41" t="str">
        <f t="shared" si="12"/>
        <v/>
      </c>
      <c r="AW41">
        <f t="shared" si="13"/>
        <v>9</v>
      </c>
    </row>
    <row r="42" spans="1:49" ht="14.5" x14ac:dyDescent="0.35">
      <c r="A42" s="258" t="str">
        <f t="shared" si="3"/>
        <v/>
      </c>
      <c r="B42" s="914"/>
      <c r="C42" s="602"/>
      <c r="D42" s="602"/>
      <c r="E42" s="601"/>
      <c r="F42" s="602"/>
      <c r="G42" s="614" t="str">
        <f>IF(F42="","",SETUP!$T$2)</f>
        <v/>
      </c>
      <c r="H42" s="614" t="str">
        <f t="shared" si="4"/>
        <v/>
      </c>
      <c r="I42" s="614" t="str">
        <f t="shared" si="0"/>
        <v/>
      </c>
      <c r="J42" s="614" t="str">
        <f>IF(F42="","",SETUP!$E$7)</f>
        <v/>
      </c>
      <c r="K42" s="912"/>
      <c r="L42" s="912"/>
      <c r="M42" s="912"/>
      <c r="N42" s="912"/>
      <c r="O42" s="904">
        <f t="shared" si="5"/>
        <v>0</v>
      </c>
      <c r="P42" s="603"/>
      <c r="Q42" s="603"/>
      <c r="R42" s="603"/>
      <c r="S42" s="603"/>
      <c r="T42" s="904">
        <f t="shared" si="6"/>
        <v>0</v>
      </c>
      <c r="U42" s="603"/>
      <c r="V42" s="603"/>
      <c r="W42" s="603"/>
      <c r="X42" s="603"/>
      <c r="Y42" s="904">
        <f t="shared" si="7"/>
        <v>0</v>
      </c>
      <c r="Z42" s="603"/>
      <c r="AA42" s="603"/>
      <c r="AB42" s="603"/>
      <c r="AC42" s="603"/>
      <c r="AD42" s="904">
        <f t="shared" si="8"/>
        <v>0</v>
      </c>
      <c r="AE42" s="603"/>
      <c r="AF42" s="603"/>
      <c r="AG42" s="603"/>
      <c r="AH42" s="603"/>
      <c r="AI42" s="907">
        <f t="shared" si="9"/>
        <v>0</v>
      </c>
      <c r="AJ42" s="921"/>
      <c r="AK42" s="921"/>
      <c r="AL42" s="921"/>
      <c r="AM42" s="921"/>
      <c r="AN42" s="921"/>
      <c r="AO42" s="617">
        <f t="shared" si="10"/>
        <v>0</v>
      </c>
      <c r="AR42" t="str">
        <f t="shared" si="11"/>
        <v>F</v>
      </c>
      <c r="AS42" t="str" cm="1">
        <f t="array" ref="AS42">IFERROR(INDEX(Table611[],MATCH($B42&amp;$C42&amp;$D42&amp;$F42,Table611[Component]&amp;Table611[Module]&amp;Table611[Intervention]&amp;Table611[Cost Input],0),5),"")</f>
        <v/>
      </c>
      <c r="AT42" t="str">
        <f t="shared" si="12"/>
        <v/>
      </c>
      <c r="AW42">
        <f t="shared" si="13"/>
        <v>9</v>
      </c>
    </row>
    <row r="43" spans="1:49" ht="14.5" x14ac:dyDescent="0.35">
      <c r="A43" s="258" t="str">
        <f t="shared" si="3"/>
        <v/>
      </c>
      <c r="B43" s="914"/>
      <c r="C43" s="602"/>
      <c r="D43" s="602"/>
      <c r="E43" s="601"/>
      <c r="F43" s="602"/>
      <c r="G43" s="614" t="str">
        <f>IF(F43="","",SETUP!$T$2)</f>
        <v/>
      </c>
      <c r="H43" s="614" t="str">
        <f t="shared" si="4"/>
        <v/>
      </c>
      <c r="I43" s="614" t="str">
        <f t="shared" si="0"/>
        <v/>
      </c>
      <c r="J43" s="614" t="str">
        <f>IF(F43="","",SETUP!$E$7)</f>
        <v/>
      </c>
      <c r="K43" s="912"/>
      <c r="L43" s="912"/>
      <c r="M43" s="912"/>
      <c r="N43" s="912"/>
      <c r="O43" s="904">
        <f t="shared" si="5"/>
        <v>0</v>
      </c>
      <c r="P43" s="603"/>
      <c r="Q43" s="603"/>
      <c r="R43" s="603"/>
      <c r="S43" s="603"/>
      <c r="T43" s="904">
        <f t="shared" si="6"/>
        <v>0</v>
      </c>
      <c r="U43" s="603"/>
      <c r="V43" s="603"/>
      <c r="W43" s="603"/>
      <c r="X43" s="603"/>
      <c r="Y43" s="904">
        <f t="shared" si="7"/>
        <v>0</v>
      </c>
      <c r="Z43" s="603"/>
      <c r="AA43" s="603"/>
      <c r="AB43" s="603"/>
      <c r="AC43" s="603"/>
      <c r="AD43" s="904">
        <f t="shared" si="8"/>
        <v>0</v>
      </c>
      <c r="AE43" s="603"/>
      <c r="AF43" s="603"/>
      <c r="AG43" s="603"/>
      <c r="AH43" s="603"/>
      <c r="AI43" s="907">
        <f t="shared" si="9"/>
        <v>0</v>
      </c>
      <c r="AJ43" s="921"/>
      <c r="AK43" s="921"/>
      <c r="AL43" s="921"/>
      <c r="AM43" s="921"/>
      <c r="AN43" s="921"/>
      <c r="AO43" s="617">
        <f t="shared" si="10"/>
        <v>0</v>
      </c>
      <c r="AR43" t="str">
        <f t="shared" si="11"/>
        <v>F</v>
      </c>
      <c r="AS43" t="str" cm="1">
        <f t="array" ref="AS43">IFERROR(INDEX(Table611[],MATCH($B43&amp;$C43&amp;$D43&amp;$F43,Table611[Component]&amp;Table611[Module]&amp;Table611[Intervention]&amp;Table611[Cost Input],0),5),"")</f>
        <v/>
      </c>
      <c r="AT43" t="str">
        <f t="shared" si="12"/>
        <v/>
      </c>
      <c r="AW43">
        <f t="shared" si="13"/>
        <v>9</v>
      </c>
    </row>
    <row r="44" spans="1:49" ht="14.5" x14ac:dyDescent="0.35">
      <c r="A44" s="258" t="str">
        <f t="shared" si="3"/>
        <v/>
      </c>
      <c r="B44" s="914"/>
      <c r="C44" s="602"/>
      <c r="D44" s="602"/>
      <c r="E44" s="601"/>
      <c r="F44" s="602"/>
      <c r="G44" s="614" t="str">
        <f>IF(F44="","",SETUP!$T$2)</f>
        <v/>
      </c>
      <c r="H44" s="614" t="str">
        <f t="shared" si="4"/>
        <v/>
      </c>
      <c r="I44" s="614" t="str">
        <f t="shared" si="0"/>
        <v/>
      </c>
      <c r="J44" s="614" t="str">
        <f>IF(F44="","",SETUP!$E$7)</f>
        <v/>
      </c>
      <c r="K44" s="912"/>
      <c r="L44" s="912"/>
      <c r="M44" s="912"/>
      <c r="N44" s="912"/>
      <c r="O44" s="904">
        <f t="shared" si="5"/>
        <v>0</v>
      </c>
      <c r="P44" s="603"/>
      <c r="Q44" s="603"/>
      <c r="R44" s="603"/>
      <c r="S44" s="603"/>
      <c r="T44" s="904">
        <f t="shared" si="6"/>
        <v>0</v>
      </c>
      <c r="U44" s="603"/>
      <c r="V44" s="603"/>
      <c r="W44" s="603"/>
      <c r="X44" s="603"/>
      <c r="Y44" s="904">
        <f t="shared" si="7"/>
        <v>0</v>
      </c>
      <c r="Z44" s="603"/>
      <c r="AA44" s="603"/>
      <c r="AB44" s="603"/>
      <c r="AC44" s="603"/>
      <c r="AD44" s="904">
        <f t="shared" si="8"/>
        <v>0</v>
      </c>
      <c r="AE44" s="603"/>
      <c r="AF44" s="603"/>
      <c r="AG44" s="603"/>
      <c r="AH44" s="603"/>
      <c r="AI44" s="907">
        <f t="shared" si="9"/>
        <v>0</v>
      </c>
      <c r="AJ44" s="921"/>
      <c r="AK44" s="921"/>
      <c r="AL44" s="921"/>
      <c r="AM44" s="921"/>
      <c r="AN44" s="921"/>
      <c r="AO44" s="617">
        <f t="shared" si="10"/>
        <v>0</v>
      </c>
      <c r="AR44" t="str">
        <f t="shared" si="11"/>
        <v>F</v>
      </c>
      <c r="AS44" t="str" cm="1">
        <f t="array" ref="AS44">IFERROR(INDEX(Table611[],MATCH($B44&amp;$C44&amp;$D44&amp;$F44,Table611[Component]&amp;Table611[Module]&amp;Table611[Intervention]&amp;Table611[Cost Input],0),5),"")</f>
        <v/>
      </c>
      <c r="AT44" t="str">
        <f t="shared" si="12"/>
        <v/>
      </c>
      <c r="AW44">
        <f t="shared" si="13"/>
        <v>9</v>
      </c>
    </row>
    <row r="45" spans="1:49" ht="14.5" x14ac:dyDescent="0.35">
      <c r="A45" s="258" t="str">
        <f t="shared" si="3"/>
        <v/>
      </c>
      <c r="B45" s="914"/>
      <c r="C45" s="602"/>
      <c r="D45" s="602"/>
      <c r="E45" s="601"/>
      <c r="F45" s="602"/>
      <c r="G45" s="614" t="str">
        <f>IF(F45="","",SETUP!$T$2)</f>
        <v/>
      </c>
      <c r="H45" s="614" t="str">
        <f t="shared" si="4"/>
        <v/>
      </c>
      <c r="I45" s="614" t="str">
        <f t="shared" si="0"/>
        <v/>
      </c>
      <c r="J45" s="614" t="str">
        <f>IF(F45="","",SETUP!$E$7)</f>
        <v/>
      </c>
      <c r="K45" s="912"/>
      <c r="L45" s="912"/>
      <c r="M45" s="912"/>
      <c r="N45" s="912"/>
      <c r="O45" s="904">
        <f t="shared" si="5"/>
        <v>0</v>
      </c>
      <c r="P45" s="603"/>
      <c r="Q45" s="603"/>
      <c r="R45" s="603"/>
      <c r="S45" s="603"/>
      <c r="T45" s="904">
        <f t="shared" si="6"/>
        <v>0</v>
      </c>
      <c r="U45" s="603"/>
      <c r="V45" s="603"/>
      <c r="W45" s="603"/>
      <c r="X45" s="603"/>
      <c r="Y45" s="904">
        <f t="shared" si="7"/>
        <v>0</v>
      </c>
      <c r="Z45" s="603"/>
      <c r="AA45" s="603"/>
      <c r="AB45" s="603"/>
      <c r="AC45" s="603"/>
      <c r="AD45" s="904">
        <f t="shared" si="8"/>
        <v>0</v>
      </c>
      <c r="AE45" s="603"/>
      <c r="AF45" s="603"/>
      <c r="AG45" s="603"/>
      <c r="AH45" s="603"/>
      <c r="AI45" s="907">
        <f t="shared" si="9"/>
        <v>0</v>
      </c>
      <c r="AJ45" s="921"/>
      <c r="AK45" s="921"/>
      <c r="AL45" s="921"/>
      <c r="AM45" s="921"/>
      <c r="AN45" s="921"/>
      <c r="AO45" s="617">
        <f t="shared" si="10"/>
        <v>0</v>
      </c>
      <c r="AR45" t="str">
        <f t="shared" si="11"/>
        <v>F</v>
      </c>
      <c r="AS45" t="str" cm="1">
        <f t="array" ref="AS45">IFERROR(INDEX(Table611[],MATCH($B45&amp;$C45&amp;$D45&amp;$F45,Table611[Component]&amp;Table611[Module]&amp;Table611[Intervention]&amp;Table611[Cost Input],0),5),"")</f>
        <v/>
      </c>
      <c r="AT45" t="str">
        <f t="shared" si="12"/>
        <v/>
      </c>
      <c r="AW45">
        <f t="shared" si="13"/>
        <v>9</v>
      </c>
    </row>
    <row r="46" spans="1:49" ht="14.5" x14ac:dyDescent="0.35">
      <c r="A46" s="258" t="str">
        <f t="shared" si="3"/>
        <v/>
      </c>
      <c r="B46" s="914"/>
      <c r="C46" s="602"/>
      <c r="D46" s="602"/>
      <c r="E46" s="601"/>
      <c r="F46" s="602"/>
      <c r="G46" s="614" t="str">
        <f>IF(F46="","",SETUP!$T$2)</f>
        <v/>
      </c>
      <c r="H46" s="614" t="str">
        <f t="shared" si="4"/>
        <v/>
      </c>
      <c r="I46" s="614" t="str">
        <f t="shared" si="0"/>
        <v/>
      </c>
      <c r="J46" s="614" t="str">
        <f>IF(F46="","",SETUP!$E$7)</f>
        <v/>
      </c>
      <c r="K46" s="912"/>
      <c r="L46" s="912"/>
      <c r="M46" s="912"/>
      <c r="N46" s="912"/>
      <c r="O46" s="904">
        <f t="shared" si="5"/>
        <v>0</v>
      </c>
      <c r="P46" s="603"/>
      <c r="Q46" s="603"/>
      <c r="R46" s="603"/>
      <c r="S46" s="603"/>
      <c r="T46" s="904">
        <f t="shared" si="6"/>
        <v>0</v>
      </c>
      <c r="U46" s="603"/>
      <c r="V46" s="603"/>
      <c r="W46" s="603"/>
      <c r="X46" s="603"/>
      <c r="Y46" s="904">
        <f t="shared" si="7"/>
        <v>0</v>
      </c>
      <c r="Z46" s="603"/>
      <c r="AA46" s="603"/>
      <c r="AB46" s="603"/>
      <c r="AC46" s="603"/>
      <c r="AD46" s="904">
        <f t="shared" si="8"/>
        <v>0</v>
      </c>
      <c r="AE46" s="603"/>
      <c r="AF46" s="603"/>
      <c r="AG46" s="603"/>
      <c r="AH46" s="603"/>
      <c r="AI46" s="907">
        <f t="shared" si="9"/>
        <v>0</v>
      </c>
      <c r="AJ46" s="921"/>
      <c r="AK46" s="921"/>
      <c r="AL46" s="921"/>
      <c r="AM46" s="921"/>
      <c r="AN46" s="921"/>
      <c r="AO46" s="617">
        <f t="shared" si="10"/>
        <v>0</v>
      </c>
      <c r="AR46" t="str">
        <f t="shared" si="11"/>
        <v>F</v>
      </c>
      <c r="AS46" t="str" cm="1">
        <f t="array" ref="AS46">IFERROR(INDEX(Table611[],MATCH($B46&amp;$C46&amp;$D46&amp;$F46,Table611[Component]&amp;Table611[Module]&amp;Table611[Intervention]&amp;Table611[Cost Input],0),5),"")</f>
        <v/>
      </c>
      <c r="AT46" t="str">
        <f t="shared" si="12"/>
        <v/>
      </c>
      <c r="AW46">
        <f t="shared" si="13"/>
        <v>9</v>
      </c>
    </row>
    <row r="47" spans="1:49" ht="14.5" x14ac:dyDescent="0.35">
      <c r="A47" s="258" t="str">
        <f t="shared" si="3"/>
        <v/>
      </c>
      <c r="B47" s="914"/>
      <c r="C47" s="602"/>
      <c r="D47" s="602"/>
      <c r="E47" s="601"/>
      <c r="F47" s="602"/>
      <c r="G47" s="614" t="str">
        <f>IF(F47="","",SETUP!$T$2)</f>
        <v/>
      </c>
      <c r="H47" s="614" t="str">
        <f t="shared" si="4"/>
        <v/>
      </c>
      <c r="I47" s="614" t="str">
        <f t="shared" si="0"/>
        <v/>
      </c>
      <c r="J47" s="614" t="str">
        <f>IF(F47="","",SETUP!$E$7)</f>
        <v/>
      </c>
      <c r="K47" s="912"/>
      <c r="L47" s="912"/>
      <c r="M47" s="912"/>
      <c r="N47" s="912"/>
      <c r="O47" s="904">
        <f t="shared" si="5"/>
        <v>0</v>
      </c>
      <c r="P47" s="603"/>
      <c r="Q47" s="603"/>
      <c r="R47" s="603"/>
      <c r="S47" s="603"/>
      <c r="T47" s="904">
        <f t="shared" si="6"/>
        <v>0</v>
      </c>
      <c r="U47" s="603"/>
      <c r="V47" s="603"/>
      <c r="W47" s="603"/>
      <c r="X47" s="603"/>
      <c r="Y47" s="904">
        <f t="shared" si="7"/>
        <v>0</v>
      </c>
      <c r="Z47" s="603"/>
      <c r="AA47" s="603"/>
      <c r="AB47" s="603"/>
      <c r="AC47" s="603"/>
      <c r="AD47" s="904">
        <f t="shared" si="8"/>
        <v>0</v>
      </c>
      <c r="AE47" s="603"/>
      <c r="AF47" s="603"/>
      <c r="AG47" s="603"/>
      <c r="AH47" s="603"/>
      <c r="AI47" s="907">
        <f t="shared" si="9"/>
        <v>0</v>
      </c>
      <c r="AJ47" s="921"/>
      <c r="AK47" s="921"/>
      <c r="AL47" s="921"/>
      <c r="AM47" s="921"/>
      <c r="AN47" s="921"/>
      <c r="AO47" s="617">
        <f t="shared" si="10"/>
        <v>0</v>
      </c>
      <c r="AR47" t="str">
        <f t="shared" si="11"/>
        <v>F</v>
      </c>
      <c r="AS47" t="str" cm="1">
        <f t="array" ref="AS47">IFERROR(INDEX(Table611[],MATCH($B47&amp;$C47&amp;$D47&amp;$F47,Table611[Component]&amp;Table611[Module]&amp;Table611[Intervention]&amp;Table611[Cost Input],0),5),"")</f>
        <v/>
      </c>
      <c r="AT47" t="str">
        <f t="shared" si="12"/>
        <v/>
      </c>
      <c r="AW47">
        <f t="shared" si="13"/>
        <v>9</v>
      </c>
    </row>
    <row r="48" spans="1:49" ht="14.5" x14ac:dyDescent="0.35">
      <c r="A48" s="258" t="str">
        <f t="shared" si="3"/>
        <v/>
      </c>
      <c r="B48" s="914"/>
      <c r="C48" s="602"/>
      <c r="D48" s="602"/>
      <c r="E48" s="601"/>
      <c r="F48" s="602"/>
      <c r="G48" s="614" t="str">
        <f>IF(F48="","",SETUP!$T$2)</f>
        <v/>
      </c>
      <c r="H48" s="614" t="str">
        <f t="shared" si="4"/>
        <v/>
      </c>
      <c r="I48" s="614" t="str">
        <f t="shared" si="0"/>
        <v/>
      </c>
      <c r="J48" s="614" t="str">
        <f>IF(F48="","",SETUP!$E$7)</f>
        <v/>
      </c>
      <c r="K48" s="912"/>
      <c r="L48" s="912"/>
      <c r="M48" s="912"/>
      <c r="N48" s="912"/>
      <c r="O48" s="904">
        <f t="shared" si="5"/>
        <v>0</v>
      </c>
      <c r="P48" s="603"/>
      <c r="Q48" s="603"/>
      <c r="R48" s="603"/>
      <c r="S48" s="603"/>
      <c r="T48" s="904">
        <f t="shared" si="6"/>
        <v>0</v>
      </c>
      <c r="U48" s="603"/>
      <c r="V48" s="603"/>
      <c r="W48" s="603"/>
      <c r="X48" s="603"/>
      <c r="Y48" s="904">
        <f t="shared" si="7"/>
        <v>0</v>
      </c>
      <c r="Z48" s="603"/>
      <c r="AA48" s="603"/>
      <c r="AB48" s="603"/>
      <c r="AC48" s="603"/>
      <c r="AD48" s="904">
        <f t="shared" si="8"/>
        <v>0</v>
      </c>
      <c r="AE48" s="603"/>
      <c r="AF48" s="603"/>
      <c r="AG48" s="603"/>
      <c r="AH48" s="603"/>
      <c r="AI48" s="907">
        <f t="shared" si="9"/>
        <v>0</v>
      </c>
      <c r="AJ48" s="921"/>
      <c r="AK48" s="921"/>
      <c r="AL48" s="921"/>
      <c r="AM48" s="921"/>
      <c r="AN48" s="921"/>
      <c r="AO48" s="617">
        <f t="shared" si="10"/>
        <v>0</v>
      </c>
      <c r="AR48" t="str">
        <f t="shared" si="11"/>
        <v>F</v>
      </c>
      <c r="AS48" t="str" cm="1">
        <f t="array" ref="AS48">IFERROR(INDEX(Table611[],MATCH($B48&amp;$C48&amp;$D48&amp;$F48,Table611[Component]&amp;Table611[Module]&amp;Table611[Intervention]&amp;Table611[Cost Input],0),5),"")</f>
        <v/>
      </c>
      <c r="AT48" t="str">
        <f t="shared" si="12"/>
        <v/>
      </c>
      <c r="AW48">
        <f t="shared" si="13"/>
        <v>9</v>
      </c>
    </row>
    <row r="49" spans="1:49" ht="14.5" x14ac:dyDescent="0.35">
      <c r="A49" s="258" t="str">
        <f t="shared" si="3"/>
        <v/>
      </c>
      <c r="B49" s="914"/>
      <c r="C49" s="602"/>
      <c r="D49" s="602"/>
      <c r="E49" s="601"/>
      <c r="F49" s="602"/>
      <c r="G49" s="614" t="str">
        <f>IF(F49="","",SETUP!$T$2)</f>
        <v/>
      </c>
      <c r="H49" s="614" t="str">
        <f t="shared" si="4"/>
        <v/>
      </c>
      <c r="I49" s="614" t="str">
        <f t="shared" si="0"/>
        <v/>
      </c>
      <c r="J49" s="614" t="str">
        <f>IF(F49="","",SETUP!$E$7)</f>
        <v/>
      </c>
      <c r="K49" s="912"/>
      <c r="L49" s="912"/>
      <c r="M49" s="912"/>
      <c r="N49" s="912"/>
      <c r="O49" s="904">
        <f t="shared" si="5"/>
        <v>0</v>
      </c>
      <c r="P49" s="603"/>
      <c r="Q49" s="603"/>
      <c r="R49" s="603"/>
      <c r="S49" s="603"/>
      <c r="T49" s="904">
        <f t="shared" si="6"/>
        <v>0</v>
      </c>
      <c r="U49" s="603"/>
      <c r="V49" s="603"/>
      <c r="W49" s="603"/>
      <c r="X49" s="603"/>
      <c r="Y49" s="904">
        <f t="shared" si="7"/>
        <v>0</v>
      </c>
      <c r="Z49" s="603"/>
      <c r="AA49" s="603"/>
      <c r="AB49" s="603"/>
      <c r="AC49" s="603"/>
      <c r="AD49" s="904">
        <f t="shared" si="8"/>
        <v>0</v>
      </c>
      <c r="AE49" s="603"/>
      <c r="AF49" s="603"/>
      <c r="AG49" s="603"/>
      <c r="AH49" s="603"/>
      <c r="AI49" s="907">
        <f t="shared" si="9"/>
        <v>0</v>
      </c>
      <c r="AJ49" s="921"/>
      <c r="AK49" s="921"/>
      <c r="AL49" s="921"/>
      <c r="AM49" s="921"/>
      <c r="AN49" s="921"/>
      <c r="AO49" s="617">
        <f t="shared" si="10"/>
        <v>0</v>
      </c>
      <c r="AR49" t="str">
        <f t="shared" si="11"/>
        <v>F</v>
      </c>
      <c r="AS49" t="str" cm="1">
        <f t="array" ref="AS49">IFERROR(INDEX(Table611[],MATCH($B49&amp;$C49&amp;$D49&amp;$F49,Table611[Component]&amp;Table611[Module]&amp;Table611[Intervention]&amp;Table611[Cost Input],0),5),"")</f>
        <v/>
      </c>
      <c r="AT49" t="str">
        <f t="shared" si="12"/>
        <v/>
      </c>
      <c r="AW49">
        <f t="shared" si="13"/>
        <v>9</v>
      </c>
    </row>
    <row r="50" spans="1:49" ht="14.5" x14ac:dyDescent="0.35">
      <c r="A50" s="258" t="str">
        <f t="shared" si="3"/>
        <v/>
      </c>
      <c r="B50" s="914"/>
      <c r="C50" s="602"/>
      <c r="D50" s="602"/>
      <c r="E50" s="601"/>
      <c r="F50" s="602"/>
      <c r="G50" s="614" t="str">
        <f>IF(F50="","",SETUP!$T$2)</f>
        <v/>
      </c>
      <c r="H50" s="614" t="str">
        <f t="shared" si="4"/>
        <v/>
      </c>
      <c r="I50" s="614" t="str">
        <f t="shared" si="0"/>
        <v/>
      </c>
      <c r="J50" s="614" t="str">
        <f>IF(F50="","",SETUP!$E$7)</f>
        <v/>
      </c>
      <c r="K50" s="912"/>
      <c r="L50" s="912"/>
      <c r="M50" s="912"/>
      <c r="N50" s="912"/>
      <c r="O50" s="904">
        <f t="shared" si="5"/>
        <v>0</v>
      </c>
      <c r="P50" s="603"/>
      <c r="Q50" s="603"/>
      <c r="R50" s="603"/>
      <c r="S50" s="603"/>
      <c r="T50" s="904">
        <f t="shared" si="6"/>
        <v>0</v>
      </c>
      <c r="U50" s="603"/>
      <c r="V50" s="603"/>
      <c r="W50" s="603"/>
      <c r="X50" s="603"/>
      <c r="Y50" s="904">
        <f t="shared" si="7"/>
        <v>0</v>
      </c>
      <c r="Z50" s="603"/>
      <c r="AA50" s="603"/>
      <c r="AB50" s="603"/>
      <c r="AC50" s="603"/>
      <c r="AD50" s="904">
        <f t="shared" si="8"/>
        <v>0</v>
      </c>
      <c r="AE50" s="603"/>
      <c r="AF50" s="603"/>
      <c r="AG50" s="603"/>
      <c r="AH50" s="603"/>
      <c r="AI50" s="907">
        <f t="shared" si="9"/>
        <v>0</v>
      </c>
      <c r="AJ50" s="921"/>
      <c r="AK50" s="921"/>
      <c r="AL50" s="921"/>
      <c r="AM50" s="921"/>
      <c r="AN50" s="921"/>
      <c r="AO50" s="617">
        <f t="shared" si="10"/>
        <v>0</v>
      </c>
      <c r="AR50" t="str">
        <f t="shared" si="11"/>
        <v>F</v>
      </c>
      <c r="AS50" t="str" cm="1">
        <f t="array" ref="AS50">IFERROR(INDEX(Table611[],MATCH($B50&amp;$C50&amp;$D50&amp;$F50,Table611[Component]&amp;Table611[Module]&amp;Table611[Intervention]&amp;Table611[Cost Input],0),5),"")</f>
        <v/>
      </c>
      <c r="AT50" t="str">
        <f t="shared" si="12"/>
        <v/>
      </c>
      <c r="AW50">
        <f t="shared" si="13"/>
        <v>9</v>
      </c>
    </row>
    <row r="51" spans="1:49" ht="14.5" x14ac:dyDescent="0.35">
      <c r="A51" s="258" t="str">
        <f t="shared" si="3"/>
        <v/>
      </c>
      <c r="B51" s="914"/>
      <c r="C51" s="602"/>
      <c r="D51" s="602"/>
      <c r="E51" s="601"/>
      <c r="F51" s="602"/>
      <c r="G51" s="614" t="str">
        <f>IF(F51="","",SETUP!$T$2)</f>
        <v/>
      </c>
      <c r="H51" s="614" t="str">
        <f t="shared" si="4"/>
        <v/>
      </c>
      <c r="I51" s="614" t="str">
        <f t="shared" si="0"/>
        <v/>
      </c>
      <c r="J51" s="614" t="str">
        <f>IF(F51="","",SETUP!$E$7)</f>
        <v/>
      </c>
      <c r="K51" s="912"/>
      <c r="L51" s="912"/>
      <c r="M51" s="912"/>
      <c r="N51" s="912"/>
      <c r="O51" s="904">
        <f t="shared" si="5"/>
        <v>0</v>
      </c>
      <c r="P51" s="603"/>
      <c r="Q51" s="603"/>
      <c r="R51" s="603"/>
      <c r="S51" s="603"/>
      <c r="T51" s="904">
        <f t="shared" si="6"/>
        <v>0</v>
      </c>
      <c r="U51" s="603"/>
      <c r="V51" s="603"/>
      <c r="W51" s="603"/>
      <c r="X51" s="603"/>
      <c r="Y51" s="904">
        <f t="shared" si="7"/>
        <v>0</v>
      </c>
      <c r="Z51" s="603"/>
      <c r="AA51" s="603"/>
      <c r="AB51" s="603"/>
      <c r="AC51" s="603"/>
      <c r="AD51" s="904">
        <f t="shared" si="8"/>
        <v>0</v>
      </c>
      <c r="AE51" s="603"/>
      <c r="AF51" s="603"/>
      <c r="AG51" s="603"/>
      <c r="AH51" s="603"/>
      <c r="AI51" s="907">
        <f t="shared" si="9"/>
        <v>0</v>
      </c>
      <c r="AJ51" s="921"/>
      <c r="AK51" s="921"/>
      <c r="AL51" s="921"/>
      <c r="AM51" s="921"/>
      <c r="AN51" s="921"/>
      <c r="AO51" s="617">
        <f t="shared" si="10"/>
        <v>0</v>
      </c>
      <c r="AR51" t="str">
        <f t="shared" si="11"/>
        <v>F</v>
      </c>
      <c r="AS51" t="str" cm="1">
        <f t="array" ref="AS51">IFERROR(INDEX(Table611[],MATCH($B51&amp;$C51&amp;$D51&amp;$F51,Table611[Component]&amp;Table611[Module]&amp;Table611[Intervention]&amp;Table611[Cost Input],0),5),"")</f>
        <v/>
      </c>
      <c r="AT51" t="str">
        <f t="shared" si="12"/>
        <v/>
      </c>
      <c r="AW51">
        <f t="shared" si="13"/>
        <v>9</v>
      </c>
    </row>
    <row r="52" spans="1:49" ht="14.5" x14ac:dyDescent="0.35">
      <c r="A52" s="258" t="str">
        <f t="shared" si="3"/>
        <v/>
      </c>
      <c r="B52" s="914"/>
      <c r="C52" s="602"/>
      <c r="D52" s="602"/>
      <c r="E52" s="601"/>
      <c r="F52" s="602"/>
      <c r="G52" s="614" t="str">
        <f>IF(F52="","",SETUP!$T$2)</f>
        <v/>
      </c>
      <c r="H52" s="614" t="str">
        <f t="shared" si="4"/>
        <v/>
      </c>
      <c r="I52" s="614" t="str">
        <f t="shared" si="0"/>
        <v/>
      </c>
      <c r="J52" s="614" t="str">
        <f>IF(F52="","",SETUP!$E$7)</f>
        <v/>
      </c>
      <c r="K52" s="912"/>
      <c r="L52" s="912"/>
      <c r="M52" s="912"/>
      <c r="N52" s="912"/>
      <c r="O52" s="904">
        <f t="shared" si="5"/>
        <v>0</v>
      </c>
      <c r="P52" s="603"/>
      <c r="Q52" s="603"/>
      <c r="R52" s="603"/>
      <c r="S52" s="603"/>
      <c r="T52" s="904">
        <f t="shared" si="6"/>
        <v>0</v>
      </c>
      <c r="U52" s="603"/>
      <c r="V52" s="603"/>
      <c r="W52" s="603"/>
      <c r="X52" s="603"/>
      <c r="Y52" s="904">
        <f t="shared" si="7"/>
        <v>0</v>
      </c>
      <c r="Z52" s="603"/>
      <c r="AA52" s="603"/>
      <c r="AB52" s="603"/>
      <c r="AC52" s="603"/>
      <c r="AD52" s="904">
        <f t="shared" si="8"/>
        <v>0</v>
      </c>
      <c r="AE52" s="603"/>
      <c r="AF52" s="603"/>
      <c r="AG52" s="603"/>
      <c r="AH52" s="603"/>
      <c r="AI52" s="907">
        <f t="shared" si="9"/>
        <v>0</v>
      </c>
      <c r="AJ52" s="921"/>
      <c r="AK52" s="921"/>
      <c r="AL52" s="921"/>
      <c r="AM52" s="921"/>
      <c r="AN52" s="921"/>
      <c r="AO52" s="617">
        <f t="shared" si="10"/>
        <v>0</v>
      </c>
      <c r="AR52" t="str">
        <f t="shared" si="11"/>
        <v>F</v>
      </c>
      <c r="AS52" t="str" cm="1">
        <f t="array" ref="AS52">IFERROR(INDEX(Table611[],MATCH($B52&amp;$C52&amp;$D52&amp;$F52,Table611[Component]&amp;Table611[Module]&amp;Table611[Intervention]&amp;Table611[Cost Input],0),5),"")</f>
        <v/>
      </c>
      <c r="AT52" t="str">
        <f t="shared" si="12"/>
        <v/>
      </c>
      <c r="AW52">
        <f t="shared" si="13"/>
        <v>9</v>
      </c>
    </row>
    <row r="53" spans="1:49" ht="14.5" x14ac:dyDescent="0.35">
      <c r="A53" s="258" t="str">
        <f t="shared" si="3"/>
        <v/>
      </c>
      <c r="B53" s="914"/>
      <c r="C53" s="602"/>
      <c r="D53" s="602"/>
      <c r="E53" s="601"/>
      <c r="F53" s="602"/>
      <c r="G53" s="614" t="str">
        <f>IF(F53="","",SETUP!$T$2)</f>
        <v/>
      </c>
      <c r="H53" s="614" t="str">
        <f t="shared" si="4"/>
        <v/>
      </c>
      <c r="I53" s="614" t="str">
        <f t="shared" si="0"/>
        <v/>
      </c>
      <c r="J53" s="614" t="str">
        <f>IF(F53="","",SETUP!$E$7)</f>
        <v/>
      </c>
      <c r="K53" s="912"/>
      <c r="L53" s="912"/>
      <c r="M53" s="912"/>
      <c r="N53" s="912"/>
      <c r="O53" s="904">
        <f t="shared" si="5"/>
        <v>0</v>
      </c>
      <c r="P53" s="603"/>
      <c r="Q53" s="603"/>
      <c r="R53" s="603"/>
      <c r="S53" s="603"/>
      <c r="T53" s="904">
        <f t="shared" si="6"/>
        <v>0</v>
      </c>
      <c r="U53" s="603"/>
      <c r="V53" s="603"/>
      <c r="W53" s="603"/>
      <c r="X53" s="603"/>
      <c r="Y53" s="904">
        <f t="shared" si="7"/>
        <v>0</v>
      </c>
      <c r="Z53" s="603"/>
      <c r="AA53" s="603"/>
      <c r="AB53" s="603"/>
      <c r="AC53" s="603"/>
      <c r="AD53" s="904">
        <f t="shared" si="8"/>
        <v>0</v>
      </c>
      <c r="AE53" s="603"/>
      <c r="AF53" s="603"/>
      <c r="AG53" s="603"/>
      <c r="AH53" s="603"/>
      <c r="AI53" s="907">
        <f t="shared" si="9"/>
        <v>0</v>
      </c>
      <c r="AJ53" s="921"/>
      <c r="AK53" s="921"/>
      <c r="AL53" s="921"/>
      <c r="AM53" s="921"/>
      <c r="AN53" s="921"/>
      <c r="AO53" s="617">
        <f t="shared" si="10"/>
        <v>0</v>
      </c>
      <c r="AR53" t="str">
        <f t="shared" si="11"/>
        <v>F</v>
      </c>
      <c r="AS53" t="str" cm="1">
        <f t="array" ref="AS53">IFERROR(INDEX(Table611[],MATCH($B53&amp;$C53&amp;$D53&amp;$F53,Table611[Component]&amp;Table611[Module]&amp;Table611[Intervention]&amp;Table611[Cost Input],0),5),"")</f>
        <v/>
      </c>
      <c r="AT53" t="str">
        <f t="shared" si="12"/>
        <v/>
      </c>
      <c r="AW53">
        <f t="shared" si="13"/>
        <v>9</v>
      </c>
    </row>
    <row r="54" spans="1:49" ht="14.5" x14ac:dyDescent="0.35">
      <c r="A54" s="258" t="str">
        <f t="shared" si="3"/>
        <v/>
      </c>
      <c r="B54" s="914"/>
      <c r="C54" s="602"/>
      <c r="D54" s="602"/>
      <c r="E54" s="601"/>
      <c r="F54" s="602"/>
      <c r="G54" s="614" t="str">
        <f>IF(F54="","",SETUP!$T$2)</f>
        <v/>
      </c>
      <c r="H54" s="614" t="str">
        <f t="shared" si="4"/>
        <v/>
      </c>
      <c r="I54" s="614" t="str">
        <f t="shared" si="0"/>
        <v/>
      </c>
      <c r="J54" s="614" t="str">
        <f>IF(F54="","",SETUP!$E$7)</f>
        <v/>
      </c>
      <c r="K54" s="912"/>
      <c r="L54" s="912"/>
      <c r="M54" s="912"/>
      <c r="N54" s="912"/>
      <c r="O54" s="904">
        <f t="shared" si="5"/>
        <v>0</v>
      </c>
      <c r="P54" s="603"/>
      <c r="Q54" s="603"/>
      <c r="R54" s="603"/>
      <c r="S54" s="603"/>
      <c r="T54" s="904">
        <f t="shared" si="6"/>
        <v>0</v>
      </c>
      <c r="U54" s="603"/>
      <c r="V54" s="603"/>
      <c r="W54" s="603"/>
      <c r="X54" s="603"/>
      <c r="Y54" s="904">
        <f t="shared" si="7"/>
        <v>0</v>
      </c>
      <c r="Z54" s="603"/>
      <c r="AA54" s="603"/>
      <c r="AB54" s="603"/>
      <c r="AC54" s="603"/>
      <c r="AD54" s="904">
        <f t="shared" si="8"/>
        <v>0</v>
      </c>
      <c r="AE54" s="603"/>
      <c r="AF54" s="603"/>
      <c r="AG54" s="603"/>
      <c r="AH54" s="603"/>
      <c r="AI54" s="907">
        <f t="shared" si="9"/>
        <v>0</v>
      </c>
      <c r="AJ54" s="921"/>
      <c r="AK54" s="921"/>
      <c r="AL54" s="921"/>
      <c r="AM54" s="921"/>
      <c r="AN54" s="921"/>
      <c r="AO54" s="617">
        <f t="shared" si="10"/>
        <v>0</v>
      </c>
      <c r="AR54" t="str">
        <f t="shared" si="11"/>
        <v>F</v>
      </c>
      <c r="AS54" t="str" cm="1">
        <f t="array" ref="AS54">IFERROR(INDEX(Table611[],MATCH($B54&amp;$C54&amp;$D54&amp;$F54,Table611[Component]&amp;Table611[Module]&amp;Table611[Intervention]&amp;Table611[Cost Input],0),5),"")</f>
        <v/>
      </c>
      <c r="AT54" t="str">
        <f t="shared" si="12"/>
        <v/>
      </c>
      <c r="AW54">
        <f t="shared" si="13"/>
        <v>9</v>
      </c>
    </row>
    <row r="55" spans="1:49" ht="14.5" x14ac:dyDescent="0.35">
      <c r="A55" s="258" t="str">
        <f t="shared" si="3"/>
        <v/>
      </c>
      <c r="B55" s="914"/>
      <c r="C55" s="602"/>
      <c r="D55" s="602"/>
      <c r="E55" s="601"/>
      <c r="F55" s="602"/>
      <c r="G55" s="614" t="str">
        <f>IF(F55="","",SETUP!$T$2)</f>
        <v/>
      </c>
      <c r="H55" s="614" t="str">
        <f t="shared" si="4"/>
        <v/>
      </c>
      <c r="I55" s="614" t="str">
        <f t="shared" si="0"/>
        <v/>
      </c>
      <c r="J55" s="614" t="str">
        <f>IF(F55="","",SETUP!$E$7)</f>
        <v/>
      </c>
      <c r="K55" s="912"/>
      <c r="L55" s="912"/>
      <c r="M55" s="912"/>
      <c r="N55" s="912"/>
      <c r="O55" s="904">
        <f t="shared" si="5"/>
        <v>0</v>
      </c>
      <c r="P55" s="603"/>
      <c r="Q55" s="603"/>
      <c r="R55" s="603"/>
      <c r="S55" s="603"/>
      <c r="T55" s="904">
        <f t="shared" si="6"/>
        <v>0</v>
      </c>
      <c r="U55" s="603"/>
      <c r="V55" s="603"/>
      <c r="W55" s="603"/>
      <c r="X55" s="603"/>
      <c r="Y55" s="904">
        <f t="shared" si="7"/>
        <v>0</v>
      </c>
      <c r="Z55" s="603"/>
      <c r="AA55" s="603"/>
      <c r="AB55" s="603"/>
      <c r="AC55" s="603"/>
      <c r="AD55" s="904">
        <f t="shared" si="8"/>
        <v>0</v>
      </c>
      <c r="AE55" s="603"/>
      <c r="AF55" s="603"/>
      <c r="AG55" s="603"/>
      <c r="AH55" s="603"/>
      <c r="AI55" s="907">
        <f t="shared" si="9"/>
        <v>0</v>
      </c>
      <c r="AJ55" s="921"/>
      <c r="AK55" s="921"/>
      <c r="AL55" s="921"/>
      <c r="AM55" s="921"/>
      <c r="AN55" s="921"/>
      <c r="AO55" s="617">
        <f t="shared" si="10"/>
        <v>0</v>
      </c>
      <c r="AR55" t="str">
        <f t="shared" si="11"/>
        <v>F</v>
      </c>
      <c r="AS55" t="str" cm="1">
        <f t="array" ref="AS55">IFERROR(INDEX(Table611[],MATCH($B55&amp;$C55&amp;$D55&amp;$F55,Table611[Component]&amp;Table611[Module]&amp;Table611[Intervention]&amp;Table611[Cost Input],0),5),"")</f>
        <v/>
      </c>
      <c r="AT55" t="str">
        <f t="shared" si="12"/>
        <v/>
      </c>
      <c r="AW55">
        <f t="shared" si="13"/>
        <v>9</v>
      </c>
    </row>
    <row r="56" spans="1:49" ht="14.5" x14ac:dyDescent="0.35">
      <c r="A56" s="258" t="str">
        <f t="shared" si="3"/>
        <v/>
      </c>
      <c r="B56" s="914"/>
      <c r="C56" s="602"/>
      <c r="D56" s="602"/>
      <c r="E56" s="601"/>
      <c r="F56" s="602"/>
      <c r="G56" s="614" t="str">
        <f>IF(F56="","",SETUP!$T$2)</f>
        <v/>
      </c>
      <c r="H56" s="614" t="str">
        <f t="shared" si="4"/>
        <v/>
      </c>
      <c r="I56" s="614" t="str">
        <f t="shared" si="0"/>
        <v/>
      </c>
      <c r="J56" s="614" t="str">
        <f>IF(F56="","",SETUP!$E$7)</f>
        <v/>
      </c>
      <c r="K56" s="912"/>
      <c r="L56" s="912"/>
      <c r="M56" s="912"/>
      <c r="N56" s="912"/>
      <c r="O56" s="904">
        <f t="shared" si="5"/>
        <v>0</v>
      </c>
      <c r="P56" s="603"/>
      <c r="Q56" s="603"/>
      <c r="R56" s="603"/>
      <c r="S56" s="603"/>
      <c r="T56" s="904">
        <f t="shared" si="6"/>
        <v>0</v>
      </c>
      <c r="U56" s="603"/>
      <c r="V56" s="603"/>
      <c r="W56" s="603"/>
      <c r="X56" s="603"/>
      <c r="Y56" s="904">
        <f t="shared" si="7"/>
        <v>0</v>
      </c>
      <c r="Z56" s="603"/>
      <c r="AA56" s="603"/>
      <c r="AB56" s="603"/>
      <c r="AC56" s="603"/>
      <c r="AD56" s="904">
        <f t="shared" si="8"/>
        <v>0</v>
      </c>
      <c r="AE56" s="603"/>
      <c r="AF56" s="603"/>
      <c r="AG56" s="603"/>
      <c r="AH56" s="603"/>
      <c r="AI56" s="907">
        <f t="shared" si="9"/>
        <v>0</v>
      </c>
      <c r="AJ56" s="921"/>
      <c r="AK56" s="921"/>
      <c r="AL56" s="921"/>
      <c r="AM56" s="921"/>
      <c r="AN56" s="921"/>
      <c r="AO56" s="617">
        <f t="shared" si="10"/>
        <v>0</v>
      </c>
      <c r="AR56" t="str">
        <f t="shared" si="11"/>
        <v>F</v>
      </c>
      <c r="AS56" t="str" cm="1">
        <f t="array" ref="AS56">IFERROR(INDEX(Table611[],MATCH($B56&amp;$C56&amp;$D56&amp;$F56,Table611[Component]&amp;Table611[Module]&amp;Table611[Intervention]&amp;Table611[Cost Input],0),5),"")</f>
        <v/>
      </c>
      <c r="AT56" t="str">
        <f t="shared" si="12"/>
        <v/>
      </c>
      <c r="AW56">
        <f t="shared" si="13"/>
        <v>9</v>
      </c>
    </row>
    <row r="57" spans="1:49" ht="14.5" x14ac:dyDescent="0.35">
      <c r="A57" s="258" t="str">
        <f t="shared" si="3"/>
        <v/>
      </c>
      <c r="B57" s="914"/>
      <c r="C57" s="602"/>
      <c r="D57" s="602"/>
      <c r="E57" s="601"/>
      <c r="F57" s="602"/>
      <c r="G57" s="614" t="str">
        <f>IF(F57="","",SETUP!$T$2)</f>
        <v/>
      </c>
      <c r="H57" s="614" t="str">
        <f t="shared" si="4"/>
        <v/>
      </c>
      <c r="I57" s="614" t="str">
        <f t="shared" si="0"/>
        <v/>
      </c>
      <c r="J57" s="614" t="str">
        <f>IF(F57="","",SETUP!$E$7)</f>
        <v/>
      </c>
      <c r="K57" s="912"/>
      <c r="L57" s="912"/>
      <c r="M57" s="912"/>
      <c r="N57" s="912"/>
      <c r="O57" s="904">
        <f t="shared" si="5"/>
        <v>0</v>
      </c>
      <c r="P57" s="603"/>
      <c r="Q57" s="603"/>
      <c r="R57" s="603"/>
      <c r="S57" s="603"/>
      <c r="T57" s="904">
        <f t="shared" si="6"/>
        <v>0</v>
      </c>
      <c r="U57" s="603"/>
      <c r="V57" s="603"/>
      <c r="W57" s="603"/>
      <c r="X57" s="603"/>
      <c r="Y57" s="904">
        <f t="shared" si="7"/>
        <v>0</v>
      </c>
      <c r="Z57" s="603"/>
      <c r="AA57" s="603"/>
      <c r="AB57" s="603"/>
      <c r="AC57" s="603"/>
      <c r="AD57" s="904">
        <f t="shared" si="8"/>
        <v>0</v>
      </c>
      <c r="AE57" s="603"/>
      <c r="AF57" s="603"/>
      <c r="AG57" s="603"/>
      <c r="AH57" s="603"/>
      <c r="AI57" s="907">
        <f t="shared" si="9"/>
        <v>0</v>
      </c>
      <c r="AJ57" s="921"/>
      <c r="AK57" s="921"/>
      <c r="AL57" s="921"/>
      <c r="AM57" s="921"/>
      <c r="AN57" s="921"/>
      <c r="AO57" s="617">
        <f t="shared" si="10"/>
        <v>0</v>
      </c>
      <c r="AR57" t="str">
        <f t="shared" si="11"/>
        <v>F</v>
      </c>
      <c r="AS57" t="str" cm="1">
        <f t="array" ref="AS57">IFERROR(INDEX(Table611[],MATCH($B57&amp;$C57&amp;$D57&amp;$F57,Table611[Component]&amp;Table611[Module]&amp;Table611[Intervention]&amp;Table611[Cost Input],0),5),"")</f>
        <v/>
      </c>
      <c r="AT57" t="str">
        <f t="shared" si="12"/>
        <v/>
      </c>
      <c r="AW57">
        <f t="shared" si="13"/>
        <v>9</v>
      </c>
    </row>
    <row r="58" spans="1:49" ht="14.5" x14ac:dyDescent="0.35">
      <c r="A58" s="258" t="str">
        <f t="shared" si="3"/>
        <v/>
      </c>
      <c r="B58" s="914"/>
      <c r="C58" s="602"/>
      <c r="D58" s="602"/>
      <c r="E58" s="601"/>
      <c r="F58" s="602"/>
      <c r="G58" s="614" t="str">
        <f>IF(F58="","",SETUP!$T$2)</f>
        <v/>
      </c>
      <c r="H58" s="614" t="str">
        <f t="shared" si="4"/>
        <v/>
      </c>
      <c r="I58" s="614" t="str">
        <f t="shared" si="0"/>
        <v/>
      </c>
      <c r="J58" s="614" t="str">
        <f>IF(F58="","",SETUP!$E$7)</f>
        <v/>
      </c>
      <c r="K58" s="912"/>
      <c r="L58" s="912"/>
      <c r="M58" s="912"/>
      <c r="N58" s="912"/>
      <c r="O58" s="904">
        <f t="shared" si="5"/>
        <v>0</v>
      </c>
      <c r="P58" s="603"/>
      <c r="Q58" s="603"/>
      <c r="R58" s="603"/>
      <c r="S58" s="603"/>
      <c r="T58" s="904">
        <f t="shared" si="6"/>
        <v>0</v>
      </c>
      <c r="U58" s="603"/>
      <c r="V58" s="603"/>
      <c r="W58" s="603"/>
      <c r="X58" s="603"/>
      <c r="Y58" s="904">
        <f t="shared" si="7"/>
        <v>0</v>
      </c>
      <c r="Z58" s="603"/>
      <c r="AA58" s="603"/>
      <c r="AB58" s="603"/>
      <c r="AC58" s="603"/>
      <c r="AD58" s="904">
        <f t="shared" si="8"/>
        <v>0</v>
      </c>
      <c r="AE58" s="603"/>
      <c r="AF58" s="603"/>
      <c r="AG58" s="603"/>
      <c r="AH58" s="603"/>
      <c r="AI58" s="907">
        <f t="shared" si="9"/>
        <v>0</v>
      </c>
      <c r="AJ58" s="921"/>
      <c r="AK58" s="921"/>
      <c r="AL58" s="921"/>
      <c r="AM58" s="921"/>
      <c r="AN58" s="921"/>
      <c r="AO58" s="617">
        <f t="shared" si="10"/>
        <v>0</v>
      </c>
      <c r="AR58" t="str">
        <f t="shared" si="11"/>
        <v>F</v>
      </c>
      <c r="AS58" t="str" cm="1">
        <f t="array" ref="AS58">IFERROR(INDEX(Table611[],MATCH($B58&amp;$C58&amp;$D58&amp;$F58,Table611[Component]&amp;Table611[Module]&amp;Table611[Intervention]&amp;Table611[Cost Input],0),5),"")</f>
        <v/>
      </c>
      <c r="AT58" t="str">
        <f t="shared" si="12"/>
        <v/>
      </c>
      <c r="AW58">
        <f t="shared" si="13"/>
        <v>9</v>
      </c>
    </row>
    <row r="59" spans="1:49" ht="14.5" x14ac:dyDescent="0.35">
      <c r="A59" s="258" t="str">
        <f t="shared" si="3"/>
        <v/>
      </c>
      <c r="B59" s="914"/>
      <c r="C59" s="602"/>
      <c r="D59" s="602"/>
      <c r="E59" s="601"/>
      <c r="F59" s="602"/>
      <c r="G59" s="614" t="str">
        <f>IF(F59="","",SETUP!$T$2)</f>
        <v/>
      </c>
      <c r="H59" s="614" t="str">
        <f t="shared" si="4"/>
        <v/>
      </c>
      <c r="I59" s="614" t="str">
        <f t="shared" si="0"/>
        <v/>
      </c>
      <c r="J59" s="614" t="str">
        <f>IF(F59="","",SETUP!$E$7)</f>
        <v/>
      </c>
      <c r="K59" s="912"/>
      <c r="L59" s="912"/>
      <c r="M59" s="912"/>
      <c r="N59" s="912"/>
      <c r="O59" s="904">
        <f t="shared" si="5"/>
        <v>0</v>
      </c>
      <c r="P59" s="603"/>
      <c r="Q59" s="603"/>
      <c r="R59" s="603"/>
      <c r="S59" s="603"/>
      <c r="T59" s="904">
        <f t="shared" si="6"/>
        <v>0</v>
      </c>
      <c r="U59" s="603"/>
      <c r="V59" s="603"/>
      <c r="W59" s="603"/>
      <c r="X59" s="603"/>
      <c r="Y59" s="904">
        <f t="shared" si="7"/>
        <v>0</v>
      </c>
      <c r="Z59" s="603"/>
      <c r="AA59" s="603"/>
      <c r="AB59" s="603"/>
      <c r="AC59" s="603"/>
      <c r="AD59" s="904">
        <f t="shared" si="8"/>
        <v>0</v>
      </c>
      <c r="AE59" s="603"/>
      <c r="AF59" s="603"/>
      <c r="AG59" s="603"/>
      <c r="AH59" s="603"/>
      <c r="AI59" s="907">
        <f t="shared" si="9"/>
        <v>0</v>
      </c>
      <c r="AJ59" s="921"/>
      <c r="AK59" s="921"/>
      <c r="AL59" s="921"/>
      <c r="AM59" s="921"/>
      <c r="AN59" s="921"/>
      <c r="AO59" s="617">
        <f t="shared" si="10"/>
        <v>0</v>
      </c>
      <c r="AR59" t="str">
        <f t="shared" si="11"/>
        <v>F</v>
      </c>
      <c r="AS59" t="str" cm="1">
        <f t="array" ref="AS59">IFERROR(INDEX(Table611[],MATCH($B59&amp;$C59&amp;$D59&amp;$F59,Table611[Component]&amp;Table611[Module]&amp;Table611[Intervention]&amp;Table611[Cost Input],0),5),"")</f>
        <v/>
      </c>
      <c r="AT59" t="str">
        <f t="shared" si="12"/>
        <v/>
      </c>
      <c r="AW59">
        <f t="shared" si="13"/>
        <v>9</v>
      </c>
    </row>
    <row r="60" spans="1:49" ht="14.5" x14ac:dyDescent="0.35">
      <c r="A60" s="258" t="str">
        <f t="shared" si="3"/>
        <v/>
      </c>
      <c r="B60" s="914"/>
      <c r="C60" s="602"/>
      <c r="D60" s="602"/>
      <c r="E60" s="601"/>
      <c r="F60" s="602"/>
      <c r="G60" s="614" t="str">
        <f>IF(F60="","",SETUP!$T$2)</f>
        <v/>
      </c>
      <c r="H60" s="614" t="str">
        <f t="shared" si="4"/>
        <v/>
      </c>
      <c r="I60" s="614" t="str">
        <f t="shared" si="0"/>
        <v/>
      </c>
      <c r="J60" s="614" t="str">
        <f>IF(F60="","",SETUP!$E$7)</f>
        <v/>
      </c>
      <c r="K60" s="912"/>
      <c r="L60" s="912"/>
      <c r="M60" s="912"/>
      <c r="N60" s="912"/>
      <c r="O60" s="904">
        <f t="shared" si="5"/>
        <v>0</v>
      </c>
      <c r="P60" s="603"/>
      <c r="Q60" s="603"/>
      <c r="R60" s="603"/>
      <c r="S60" s="603"/>
      <c r="T60" s="904">
        <f t="shared" si="6"/>
        <v>0</v>
      </c>
      <c r="U60" s="603"/>
      <c r="V60" s="603"/>
      <c r="W60" s="603"/>
      <c r="X60" s="603"/>
      <c r="Y60" s="904">
        <f t="shared" si="7"/>
        <v>0</v>
      </c>
      <c r="Z60" s="603"/>
      <c r="AA60" s="603"/>
      <c r="AB60" s="603"/>
      <c r="AC60" s="603"/>
      <c r="AD60" s="904">
        <f t="shared" si="8"/>
        <v>0</v>
      </c>
      <c r="AE60" s="603"/>
      <c r="AF60" s="603"/>
      <c r="AG60" s="603"/>
      <c r="AH60" s="603"/>
      <c r="AI60" s="907">
        <f t="shared" si="9"/>
        <v>0</v>
      </c>
      <c r="AJ60" s="921"/>
      <c r="AK60" s="921"/>
      <c r="AL60" s="921"/>
      <c r="AM60" s="921"/>
      <c r="AN60" s="921"/>
      <c r="AO60" s="617">
        <f t="shared" si="10"/>
        <v>0</v>
      </c>
      <c r="AR60" t="str">
        <f t="shared" si="11"/>
        <v>F</v>
      </c>
      <c r="AS60" t="str" cm="1">
        <f t="array" ref="AS60">IFERROR(INDEX(Table611[],MATCH($B60&amp;$C60&amp;$D60&amp;$F60,Table611[Component]&amp;Table611[Module]&amp;Table611[Intervention]&amp;Table611[Cost Input],0),5),"")</f>
        <v/>
      </c>
      <c r="AT60" t="str">
        <f t="shared" si="12"/>
        <v/>
      </c>
      <c r="AW60">
        <f t="shared" si="13"/>
        <v>9</v>
      </c>
    </row>
    <row r="61" spans="1:49" ht="14.5" x14ac:dyDescent="0.35">
      <c r="A61" s="258" t="str">
        <f t="shared" si="3"/>
        <v/>
      </c>
      <c r="B61" s="914"/>
      <c r="C61" s="602"/>
      <c r="D61" s="602"/>
      <c r="E61" s="601"/>
      <c r="F61" s="602"/>
      <c r="G61" s="614" t="str">
        <f>IF(F61="","",SETUP!$T$2)</f>
        <v/>
      </c>
      <c r="H61" s="614" t="str">
        <f t="shared" si="4"/>
        <v/>
      </c>
      <c r="I61" s="614" t="str">
        <f t="shared" si="0"/>
        <v/>
      </c>
      <c r="J61" s="614" t="str">
        <f>IF(F61="","",SETUP!$E$7)</f>
        <v/>
      </c>
      <c r="K61" s="912"/>
      <c r="L61" s="912"/>
      <c r="M61" s="912"/>
      <c r="N61" s="912"/>
      <c r="O61" s="904">
        <f t="shared" si="5"/>
        <v>0</v>
      </c>
      <c r="P61" s="603"/>
      <c r="Q61" s="603"/>
      <c r="R61" s="603"/>
      <c r="S61" s="603"/>
      <c r="T61" s="904">
        <f t="shared" si="6"/>
        <v>0</v>
      </c>
      <c r="U61" s="603"/>
      <c r="V61" s="603"/>
      <c r="W61" s="603"/>
      <c r="X61" s="603"/>
      <c r="Y61" s="904">
        <f t="shared" si="7"/>
        <v>0</v>
      </c>
      <c r="Z61" s="603"/>
      <c r="AA61" s="603"/>
      <c r="AB61" s="603"/>
      <c r="AC61" s="603"/>
      <c r="AD61" s="904">
        <f t="shared" si="8"/>
        <v>0</v>
      </c>
      <c r="AE61" s="603"/>
      <c r="AF61" s="603"/>
      <c r="AG61" s="603"/>
      <c r="AH61" s="603"/>
      <c r="AI61" s="907">
        <f t="shared" si="9"/>
        <v>0</v>
      </c>
      <c r="AJ61" s="921"/>
      <c r="AK61" s="921"/>
      <c r="AL61" s="921"/>
      <c r="AM61" s="921"/>
      <c r="AN61" s="921"/>
      <c r="AO61" s="617">
        <f t="shared" si="10"/>
        <v>0</v>
      </c>
      <c r="AR61" t="str">
        <f t="shared" si="11"/>
        <v>F</v>
      </c>
      <c r="AS61" t="str" cm="1">
        <f t="array" ref="AS61">IFERROR(INDEX(Table611[],MATCH($B61&amp;$C61&amp;$D61&amp;$F61,Table611[Component]&amp;Table611[Module]&amp;Table611[Intervention]&amp;Table611[Cost Input],0),5),"")</f>
        <v/>
      </c>
      <c r="AT61" t="str">
        <f t="shared" si="12"/>
        <v/>
      </c>
      <c r="AW61">
        <f t="shared" si="13"/>
        <v>9</v>
      </c>
    </row>
    <row r="62" spans="1:49" ht="14.5" x14ac:dyDescent="0.35">
      <c r="A62" s="258" t="str">
        <f t="shared" si="3"/>
        <v/>
      </c>
      <c r="B62" s="914"/>
      <c r="C62" s="602"/>
      <c r="D62" s="602"/>
      <c r="E62" s="601"/>
      <c r="F62" s="602"/>
      <c r="G62" s="614" t="str">
        <f>IF(F62="","",SETUP!$T$2)</f>
        <v/>
      </c>
      <c r="H62" s="614" t="str">
        <f t="shared" si="4"/>
        <v/>
      </c>
      <c r="I62" s="614" t="str">
        <f t="shared" si="0"/>
        <v/>
      </c>
      <c r="J62" s="614" t="str">
        <f>IF(F62="","",SETUP!$E$7)</f>
        <v/>
      </c>
      <c r="K62" s="912"/>
      <c r="L62" s="912"/>
      <c r="M62" s="912"/>
      <c r="N62" s="912"/>
      <c r="O62" s="904">
        <f t="shared" si="5"/>
        <v>0</v>
      </c>
      <c r="P62" s="603"/>
      <c r="Q62" s="603"/>
      <c r="R62" s="603"/>
      <c r="S62" s="603"/>
      <c r="T62" s="904">
        <f t="shared" si="6"/>
        <v>0</v>
      </c>
      <c r="U62" s="603"/>
      <c r="V62" s="603"/>
      <c r="W62" s="603"/>
      <c r="X62" s="603"/>
      <c r="Y62" s="904">
        <f t="shared" si="7"/>
        <v>0</v>
      </c>
      <c r="Z62" s="603"/>
      <c r="AA62" s="603"/>
      <c r="AB62" s="603"/>
      <c r="AC62" s="603"/>
      <c r="AD62" s="904">
        <f t="shared" si="8"/>
        <v>0</v>
      </c>
      <c r="AE62" s="603"/>
      <c r="AF62" s="603"/>
      <c r="AG62" s="603"/>
      <c r="AH62" s="603"/>
      <c r="AI62" s="907">
        <f t="shared" si="9"/>
        <v>0</v>
      </c>
      <c r="AJ62" s="921"/>
      <c r="AK62" s="921"/>
      <c r="AL62" s="921"/>
      <c r="AM62" s="921"/>
      <c r="AN62" s="921"/>
      <c r="AO62" s="617">
        <f t="shared" si="10"/>
        <v>0</v>
      </c>
      <c r="AR62" t="str">
        <f t="shared" si="11"/>
        <v>F</v>
      </c>
      <c r="AS62" t="str" cm="1">
        <f t="array" ref="AS62">IFERROR(INDEX(Table611[],MATCH($B62&amp;$C62&amp;$D62&amp;$F62,Table611[Component]&amp;Table611[Module]&amp;Table611[Intervention]&amp;Table611[Cost Input],0),5),"")</f>
        <v/>
      </c>
      <c r="AT62" t="str">
        <f t="shared" si="12"/>
        <v/>
      </c>
      <c r="AW62">
        <f t="shared" si="13"/>
        <v>9</v>
      </c>
    </row>
    <row r="63" spans="1:49" ht="14.5" x14ac:dyDescent="0.35">
      <c r="A63" s="258" t="str">
        <f t="shared" si="3"/>
        <v/>
      </c>
      <c r="B63" s="914"/>
      <c r="C63" s="602"/>
      <c r="D63" s="602"/>
      <c r="E63" s="601"/>
      <c r="F63" s="602"/>
      <c r="G63" s="614" t="str">
        <f>IF(F63="","",SETUP!$T$2)</f>
        <v/>
      </c>
      <c r="H63" s="614" t="str">
        <f t="shared" si="4"/>
        <v/>
      </c>
      <c r="I63" s="614" t="str">
        <f t="shared" si="0"/>
        <v/>
      </c>
      <c r="J63" s="614" t="str">
        <f>IF(F63="","",SETUP!$E$7)</f>
        <v/>
      </c>
      <c r="K63" s="912"/>
      <c r="L63" s="912"/>
      <c r="M63" s="912"/>
      <c r="N63" s="912"/>
      <c r="O63" s="904">
        <f t="shared" si="5"/>
        <v>0</v>
      </c>
      <c r="P63" s="603"/>
      <c r="Q63" s="603"/>
      <c r="R63" s="603"/>
      <c r="S63" s="603"/>
      <c r="T63" s="904">
        <f t="shared" si="6"/>
        <v>0</v>
      </c>
      <c r="U63" s="603"/>
      <c r="V63" s="603"/>
      <c r="W63" s="603"/>
      <c r="X63" s="603"/>
      <c r="Y63" s="904">
        <f t="shared" si="7"/>
        <v>0</v>
      </c>
      <c r="Z63" s="603"/>
      <c r="AA63" s="603"/>
      <c r="AB63" s="603"/>
      <c r="AC63" s="603"/>
      <c r="AD63" s="904">
        <f t="shared" si="8"/>
        <v>0</v>
      </c>
      <c r="AE63" s="603"/>
      <c r="AF63" s="603"/>
      <c r="AG63" s="603"/>
      <c r="AH63" s="603"/>
      <c r="AI63" s="907">
        <f t="shared" si="9"/>
        <v>0</v>
      </c>
      <c r="AJ63" s="921"/>
      <c r="AK63" s="921"/>
      <c r="AL63" s="921"/>
      <c r="AM63" s="921"/>
      <c r="AN63" s="921"/>
      <c r="AO63" s="617">
        <f t="shared" si="10"/>
        <v>0</v>
      </c>
      <c r="AR63" t="str">
        <f t="shared" si="11"/>
        <v>F</v>
      </c>
      <c r="AS63" t="str" cm="1">
        <f t="array" ref="AS63">IFERROR(INDEX(Table611[],MATCH($B63&amp;$C63&amp;$D63&amp;$F63,Table611[Component]&amp;Table611[Module]&amp;Table611[Intervention]&amp;Table611[Cost Input],0),5),"")</f>
        <v/>
      </c>
      <c r="AT63" t="str">
        <f t="shared" si="12"/>
        <v/>
      </c>
      <c r="AW63">
        <f t="shared" si="13"/>
        <v>9</v>
      </c>
    </row>
    <row r="64" spans="1:49" ht="14.5" x14ac:dyDescent="0.35">
      <c r="A64" s="258" t="str">
        <f t="shared" si="3"/>
        <v/>
      </c>
      <c r="B64" s="914"/>
      <c r="C64" s="602"/>
      <c r="D64" s="602"/>
      <c r="E64" s="601"/>
      <c r="F64" s="602"/>
      <c r="G64" s="614" t="str">
        <f>IF(F64="","",SETUP!$T$2)</f>
        <v/>
      </c>
      <c r="H64" s="614" t="str">
        <f t="shared" si="4"/>
        <v/>
      </c>
      <c r="I64" s="614" t="str">
        <f t="shared" si="0"/>
        <v/>
      </c>
      <c r="J64" s="614" t="str">
        <f>IF(F64="","",SETUP!$E$7)</f>
        <v/>
      </c>
      <c r="K64" s="912"/>
      <c r="L64" s="912"/>
      <c r="M64" s="912"/>
      <c r="N64" s="912"/>
      <c r="O64" s="904">
        <f t="shared" si="5"/>
        <v>0</v>
      </c>
      <c r="P64" s="603"/>
      <c r="Q64" s="603"/>
      <c r="R64" s="603"/>
      <c r="S64" s="603"/>
      <c r="T64" s="904">
        <f t="shared" si="6"/>
        <v>0</v>
      </c>
      <c r="U64" s="603"/>
      <c r="V64" s="603"/>
      <c r="W64" s="603"/>
      <c r="X64" s="603"/>
      <c r="Y64" s="904">
        <f t="shared" si="7"/>
        <v>0</v>
      </c>
      <c r="Z64" s="603"/>
      <c r="AA64" s="603"/>
      <c r="AB64" s="603"/>
      <c r="AC64" s="603"/>
      <c r="AD64" s="904">
        <f t="shared" si="8"/>
        <v>0</v>
      </c>
      <c r="AE64" s="603"/>
      <c r="AF64" s="603"/>
      <c r="AG64" s="603"/>
      <c r="AH64" s="603"/>
      <c r="AI64" s="907">
        <f t="shared" si="9"/>
        <v>0</v>
      </c>
      <c r="AJ64" s="921"/>
      <c r="AK64" s="921"/>
      <c r="AL64" s="921"/>
      <c r="AM64" s="921"/>
      <c r="AN64" s="921"/>
      <c r="AO64" s="617">
        <f t="shared" si="10"/>
        <v>0</v>
      </c>
      <c r="AR64" t="str">
        <f t="shared" si="11"/>
        <v>F</v>
      </c>
      <c r="AS64" t="str" cm="1">
        <f t="array" ref="AS64">IFERROR(INDEX(Table611[],MATCH($B64&amp;$C64&amp;$D64&amp;$F64,Table611[Component]&amp;Table611[Module]&amp;Table611[Intervention]&amp;Table611[Cost Input],0),5),"")</f>
        <v/>
      </c>
      <c r="AT64" t="str">
        <f t="shared" si="12"/>
        <v/>
      </c>
      <c r="AW64">
        <f t="shared" si="13"/>
        <v>9</v>
      </c>
    </row>
    <row r="65" spans="1:49" ht="14.5" x14ac:dyDescent="0.35">
      <c r="A65" s="258" t="str">
        <f t="shared" si="3"/>
        <v/>
      </c>
      <c r="B65" s="914"/>
      <c r="C65" s="602"/>
      <c r="D65" s="602"/>
      <c r="E65" s="601"/>
      <c r="F65" s="602"/>
      <c r="G65" s="614" t="str">
        <f>IF(F65="","",SETUP!$T$2)</f>
        <v/>
      </c>
      <c r="H65" s="614" t="str">
        <f t="shared" si="4"/>
        <v/>
      </c>
      <c r="I65" s="614" t="str">
        <f t="shared" si="0"/>
        <v/>
      </c>
      <c r="J65" s="614" t="str">
        <f>IF(F65="","",SETUP!$E$7)</f>
        <v/>
      </c>
      <c r="K65" s="912"/>
      <c r="L65" s="912"/>
      <c r="M65" s="912"/>
      <c r="N65" s="912"/>
      <c r="O65" s="904">
        <f t="shared" si="5"/>
        <v>0</v>
      </c>
      <c r="P65" s="603"/>
      <c r="Q65" s="603"/>
      <c r="R65" s="603"/>
      <c r="S65" s="603"/>
      <c r="T65" s="904">
        <f t="shared" si="6"/>
        <v>0</v>
      </c>
      <c r="U65" s="603"/>
      <c r="V65" s="603"/>
      <c r="W65" s="603"/>
      <c r="X65" s="603"/>
      <c r="Y65" s="904">
        <f t="shared" si="7"/>
        <v>0</v>
      </c>
      <c r="Z65" s="603"/>
      <c r="AA65" s="603"/>
      <c r="AB65" s="603"/>
      <c r="AC65" s="603"/>
      <c r="AD65" s="904">
        <f t="shared" si="8"/>
        <v>0</v>
      </c>
      <c r="AE65" s="603"/>
      <c r="AF65" s="603"/>
      <c r="AG65" s="603"/>
      <c r="AH65" s="603"/>
      <c r="AI65" s="907">
        <f t="shared" si="9"/>
        <v>0</v>
      </c>
      <c r="AJ65" s="921"/>
      <c r="AK65" s="921"/>
      <c r="AL65" s="921"/>
      <c r="AM65" s="921"/>
      <c r="AN65" s="921"/>
      <c r="AO65" s="617">
        <f t="shared" si="10"/>
        <v>0</v>
      </c>
      <c r="AR65" t="str">
        <f t="shared" si="11"/>
        <v>F</v>
      </c>
      <c r="AS65" t="str" cm="1">
        <f t="array" ref="AS65">IFERROR(INDEX(Table611[],MATCH($B65&amp;$C65&amp;$D65&amp;$F65,Table611[Component]&amp;Table611[Module]&amp;Table611[Intervention]&amp;Table611[Cost Input],0),5),"")</f>
        <v/>
      </c>
      <c r="AT65" t="str">
        <f t="shared" si="12"/>
        <v/>
      </c>
      <c r="AW65">
        <f t="shared" si="13"/>
        <v>9</v>
      </c>
    </row>
    <row r="66" spans="1:49" ht="14.5" x14ac:dyDescent="0.35">
      <c r="A66" s="258" t="str">
        <f t="shared" si="3"/>
        <v/>
      </c>
      <c r="B66" s="914"/>
      <c r="C66" s="602"/>
      <c r="D66" s="602"/>
      <c r="E66" s="601"/>
      <c r="F66" s="602"/>
      <c r="G66" s="614" t="str">
        <f>IF(F66="","",SETUP!$T$2)</f>
        <v/>
      </c>
      <c r="H66" s="614" t="str">
        <f t="shared" si="4"/>
        <v/>
      </c>
      <c r="I66" s="614" t="str">
        <f t="shared" si="0"/>
        <v/>
      </c>
      <c r="J66" s="614" t="str">
        <f>IF(F66="","",SETUP!$E$7)</f>
        <v/>
      </c>
      <c r="K66" s="912"/>
      <c r="L66" s="912"/>
      <c r="M66" s="912"/>
      <c r="N66" s="912"/>
      <c r="O66" s="904">
        <f t="shared" si="5"/>
        <v>0</v>
      </c>
      <c r="P66" s="603"/>
      <c r="Q66" s="603"/>
      <c r="R66" s="603"/>
      <c r="S66" s="603"/>
      <c r="T66" s="904">
        <f t="shared" si="6"/>
        <v>0</v>
      </c>
      <c r="U66" s="603"/>
      <c r="V66" s="603"/>
      <c r="W66" s="603"/>
      <c r="X66" s="603"/>
      <c r="Y66" s="904">
        <f t="shared" si="7"/>
        <v>0</v>
      </c>
      <c r="Z66" s="603"/>
      <c r="AA66" s="603"/>
      <c r="AB66" s="603"/>
      <c r="AC66" s="603"/>
      <c r="AD66" s="904">
        <f t="shared" si="8"/>
        <v>0</v>
      </c>
      <c r="AE66" s="603"/>
      <c r="AF66" s="603"/>
      <c r="AG66" s="603"/>
      <c r="AH66" s="603"/>
      <c r="AI66" s="907">
        <f t="shared" si="9"/>
        <v>0</v>
      </c>
      <c r="AJ66" s="921"/>
      <c r="AK66" s="921"/>
      <c r="AL66" s="921"/>
      <c r="AM66" s="921"/>
      <c r="AN66" s="921"/>
      <c r="AO66" s="617">
        <f t="shared" si="10"/>
        <v>0</v>
      </c>
      <c r="AR66" t="str">
        <f t="shared" si="11"/>
        <v>F</v>
      </c>
      <c r="AS66" t="str" cm="1">
        <f t="array" ref="AS66">IFERROR(INDEX(Table611[],MATCH($B66&amp;$C66&amp;$D66&amp;$F66,Table611[Component]&amp;Table611[Module]&amp;Table611[Intervention]&amp;Table611[Cost Input],0),5),"")</f>
        <v/>
      </c>
      <c r="AT66" t="str">
        <f t="shared" si="12"/>
        <v/>
      </c>
      <c r="AW66">
        <f t="shared" si="13"/>
        <v>9</v>
      </c>
    </row>
    <row r="67" spans="1:49" ht="14.5" x14ac:dyDescent="0.35">
      <c r="A67" s="258" t="str">
        <f t="shared" si="3"/>
        <v/>
      </c>
      <c r="B67" s="914"/>
      <c r="C67" s="602"/>
      <c r="D67" s="602"/>
      <c r="E67" s="601"/>
      <c r="F67" s="602"/>
      <c r="G67" s="614" t="str">
        <f>IF(F67="","",SETUP!$T$2)</f>
        <v/>
      </c>
      <c r="H67" s="614" t="str">
        <f t="shared" si="4"/>
        <v/>
      </c>
      <c r="I67" s="614" t="str">
        <f t="shared" si="0"/>
        <v/>
      </c>
      <c r="J67" s="614" t="str">
        <f>IF(F67="","",SETUP!$E$7)</f>
        <v/>
      </c>
      <c r="K67" s="912"/>
      <c r="L67" s="912"/>
      <c r="M67" s="912"/>
      <c r="N67" s="912"/>
      <c r="O67" s="904">
        <f t="shared" si="5"/>
        <v>0</v>
      </c>
      <c r="P67" s="603"/>
      <c r="Q67" s="603"/>
      <c r="R67" s="603"/>
      <c r="S67" s="603"/>
      <c r="T67" s="904">
        <f t="shared" si="6"/>
        <v>0</v>
      </c>
      <c r="U67" s="603"/>
      <c r="V67" s="603"/>
      <c r="W67" s="603"/>
      <c r="X67" s="603"/>
      <c r="Y67" s="904">
        <f t="shared" si="7"/>
        <v>0</v>
      </c>
      <c r="Z67" s="603"/>
      <c r="AA67" s="603"/>
      <c r="AB67" s="603"/>
      <c r="AC67" s="603"/>
      <c r="AD67" s="904">
        <f t="shared" si="8"/>
        <v>0</v>
      </c>
      <c r="AE67" s="603"/>
      <c r="AF67" s="603"/>
      <c r="AG67" s="603"/>
      <c r="AH67" s="603"/>
      <c r="AI67" s="907">
        <f t="shared" si="9"/>
        <v>0</v>
      </c>
      <c r="AJ67" s="921"/>
      <c r="AK67" s="921"/>
      <c r="AL67" s="921"/>
      <c r="AM67" s="921"/>
      <c r="AN67" s="921"/>
      <c r="AO67" s="617">
        <f t="shared" si="10"/>
        <v>0</v>
      </c>
      <c r="AR67" t="str">
        <f t="shared" si="11"/>
        <v>F</v>
      </c>
      <c r="AS67" t="str" cm="1">
        <f t="array" ref="AS67">IFERROR(INDEX(Table611[],MATCH($B67&amp;$C67&amp;$D67&amp;$F67,Table611[Component]&amp;Table611[Module]&amp;Table611[Intervention]&amp;Table611[Cost Input],0),5),"")</f>
        <v/>
      </c>
      <c r="AT67" t="str">
        <f t="shared" si="12"/>
        <v/>
      </c>
      <c r="AW67">
        <f t="shared" si="13"/>
        <v>9</v>
      </c>
    </row>
    <row r="68" spans="1:49" ht="14.5" x14ac:dyDescent="0.35">
      <c r="A68" s="258" t="str">
        <f t="shared" si="3"/>
        <v/>
      </c>
      <c r="B68" s="914"/>
      <c r="C68" s="602"/>
      <c r="D68" s="602"/>
      <c r="E68" s="601"/>
      <c r="F68" s="602"/>
      <c r="G68" s="614" t="str">
        <f>IF(F68="","",SETUP!$T$2)</f>
        <v/>
      </c>
      <c r="H68" s="614" t="str">
        <f t="shared" si="4"/>
        <v/>
      </c>
      <c r="I68" s="614" t="str">
        <f t="shared" si="0"/>
        <v/>
      </c>
      <c r="J68" s="614" t="str">
        <f>IF(F68="","",SETUP!$E$7)</f>
        <v/>
      </c>
      <c r="K68" s="912"/>
      <c r="L68" s="912"/>
      <c r="M68" s="912"/>
      <c r="N68" s="912"/>
      <c r="O68" s="904">
        <f t="shared" si="5"/>
        <v>0</v>
      </c>
      <c r="P68" s="603"/>
      <c r="Q68" s="603"/>
      <c r="R68" s="603"/>
      <c r="S68" s="603"/>
      <c r="T68" s="904">
        <f t="shared" si="6"/>
        <v>0</v>
      </c>
      <c r="U68" s="603"/>
      <c r="V68" s="603"/>
      <c r="W68" s="603"/>
      <c r="X68" s="603"/>
      <c r="Y68" s="904">
        <f t="shared" si="7"/>
        <v>0</v>
      </c>
      <c r="Z68" s="603"/>
      <c r="AA68" s="603"/>
      <c r="AB68" s="603"/>
      <c r="AC68" s="603"/>
      <c r="AD68" s="904">
        <f t="shared" si="8"/>
        <v>0</v>
      </c>
      <c r="AE68" s="603"/>
      <c r="AF68" s="603"/>
      <c r="AG68" s="603"/>
      <c r="AH68" s="603"/>
      <c r="AI68" s="907">
        <f t="shared" si="9"/>
        <v>0</v>
      </c>
      <c r="AJ68" s="921"/>
      <c r="AK68" s="921"/>
      <c r="AL68" s="921"/>
      <c r="AM68" s="921"/>
      <c r="AN68" s="921"/>
      <c r="AO68" s="617">
        <f t="shared" si="10"/>
        <v>0</v>
      </c>
      <c r="AR68" t="str">
        <f t="shared" si="11"/>
        <v>F</v>
      </c>
      <c r="AS68" t="str" cm="1">
        <f t="array" ref="AS68">IFERROR(INDEX(Table611[],MATCH($B68&amp;$C68&amp;$D68&amp;$F68,Table611[Component]&amp;Table611[Module]&amp;Table611[Intervention]&amp;Table611[Cost Input],0),5),"")</f>
        <v/>
      </c>
      <c r="AT68" t="str">
        <f t="shared" si="12"/>
        <v/>
      </c>
      <c r="AW68">
        <f t="shared" si="13"/>
        <v>9</v>
      </c>
    </row>
    <row r="69" spans="1:49" ht="14.5" x14ac:dyDescent="0.35">
      <c r="A69" s="258" t="str">
        <f t="shared" si="3"/>
        <v/>
      </c>
      <c r="B69" s="914"/>
      <c r="C69" s="602"/>
      <c r="D69" s="602"/>
      <c r="E69" s="601"/>
      <c r="F69" s="602"/>
      <c r="G69" s="614" t="str">
        <f>IF(F69="","",SETUP!$T$2)</f>
        <v/>
      </c>
      <c r="H69" s="614" t="str">
        <f t="shared" si="4"/>
        <v/>
      </c>
      <c r="I69" s="614" t="str">
        <f t="shared" ref="I69:I132" si="14">IF(F69="","","Approved funding")</f>
        <v/>
      </c>
      <c r="J69" s="614" t="str">
        <f>IF(F69="","",SETUP!$E$7)</f>
        <v/>
      </c>
      <c r="K69" s="912"/>
      <c r="L69" s="912"/>
      <c r="M69" s="912"/>
      <c r="N69" s="912"/>
      <c r="O69" s="904">
        <f t="shared" si="5"/>
        <v>0</v>
      </c>
      <c r="P69" s="603"/>
      <c r="Q69" s="603"/>
      <c r="R69" s="603"/>
      <c r="S69" s="603"/>
      <c r="T69" s="904">
        <f t="shared" si="6"/>
        <v>0</v>
      </c>
      <c r="U69" s="603"/>
      <c r="V69" s="603"/>
      <c r="W69" s="603"/>
      <c r="X69" s="603"/>
      <c r="Y69" s="904">
        <f t="shared" si="7"/>
        <v>0</v>
      </c>
      <c r="Z69" s="603"/>
      <c r="AA69" s="603"/>
      <c r="AB69" s="603"/>
      <c r="AC69" s="603"/>
      <c r="AD69" s="904">
        <f t="shared" si="8"/>
        <v>0</v>
      </c>
      <c r="AE69" s="603"/>
      <c r="AF69" s="603"/>
      <c r="AG69" s="603"/>
      <c r="AH69" s="603"/>
      <c r="AI69" s="907">
        <f t="shared" si="9"/>
        <v>0</v>
      </c>
      <c r="AJ69" s="921"/>
      <c r="AK69" s="921"/>
      <c r="AL69" s="921"/>
      <c r="AM69" s="921"/>
      <c r="AN69" s="921"/>
      <c r="AO69" s="617">
        <f t="shared" si="10"/>
        <v>0</v>
      </c>
      <c r="AR69" t="str">
        <f t="shared" si="11"/>
        <v>F</v>
      </c>
      <c r="AS69" t="str" cm="1">
        <f t="array" ref="AS69">IFERROR(INDEX(Table611[],MATCH($B69&amp;$C69&amp;$D69&amp;$F69,Table611[Component]&amp;Table611[Module]&amp;Table611[Intervention]&amp;Table611[Cost Input],0),5),"")</f>
        <v/>
      </c>
      <c r="AT69" t="str">
        <f t="shared" ref="AT69:AT100" si="15">IF(A69="","",IF(OR(AW69&gt;1,AS69=""),"F","T"))</f>
        <v/>
      </c>
      <c r="AW69">
        <f t="shared" ref="AW69:AW100" si="16">COUNTBLANK(B69:J69)+COUNTBLANK(AO69:AO69)</f>
        <v>9</v>
      </c>
    </row>
    <row r="70" spans="1:49" ht="14.5" x14ac:dyDescent="0.35">
      <c r="A70" s="258" t="str">
        <f t="shared" ref="A70:A133" si="17">IF(COUNTBLANK(B70:D70)+COUNTBLANK(F70:F70)=0,IF(F70="","",B70&amp;C70&amp;D70&amp;F70),"")</f>
        <v/>
      </c>
      <c r="B70" s="914"/>
      <c r="C70" s="602"/>
      <c r="D70" s="602"/>
      <c r="E70" s="601"/>
      <c r="F70" s="602"/>
      <c r="G70" s="614" t="str">
        <f>IF(F70="","",SETUP!$T$2)</f>
        <v/>
      </c>
      <c r="H70" s="614" t="str">
        <f t="shared" ref="H70:H133" si="18">IF(F70="","","National/Country Level")</f>
        <v/>
      </c>
      <c r="I70" s="614" t="str">
        <f t="shared" si="14"/>
        <v/>
      </c>
      <c r="J70" s="614" t="str">
        <f>IF(F70="","",SETUP!$E$7)</f>
        <v/>
      </c>
      <c r="K70" s="912"/>
      <c r="L70" s="912"/>
      <c r="M70" s="912"/>
      <c r="N70" s="912"/>
      <c r="O70" s="904">
        <f t="shared" ref="O70:O133" si="19">SUM(K70:N70)</f>
        <v>0</v>
      </c>
      <c r="P70" s="603"/>
      <c r="Q70" s="603"/>
      <c r="R70" s="603"/>
      <c r="S70" s="603"/>
      <c r="T70" s="904">
        <f t="shared" ref="T70:T133" si="20">SUM(P70:S70)</f>
        <v>0</v>
      </c>
      <c r="U70" s="603"/>
      <c r="V70" s="603"/>
      <c r="W70" s="603"/>
      <c r="X70" s="603"/>
      <c r="Y70" s="904">
        <f t="shared" ref="Y70:Y133" si="21">SUM(U70:X70)</f>
        <v>0</v>
      </c>
      <c r="Z70" s="603"/>
      <c r="AA70" s="603"/>
      <c r="AB70" s="603"/>
      <c r="AC70" s="603"/>
      <c r="AD70" s="904">
        <f t="shared" ref="AD70:AD133" si="22">SUM(Z70:AC70)</f>
        <v>0</v>
      </c>
      <c r="AE70" s="603"/>
      <c r="AF70" s="603"/>
      <c r="AG70" s="603"/>
      <c r="AH70" s="603"/>
      <c r="AI70" s="907">
        <f t="shared" ref="AI70:AI133" si="23">SUM(AE70:AH70)</f>
        <v>0</v>
      </c>
      <c r="AJ70" s="921"/>
      <c r="AK70" s="921"/>
      <c r="AL70" s="921"/>
      <c r="AM70" s="921"/>
      <c r="AN70" s="921"/>
      <c r="AO70" s="617">
        <f t="shared" ref="AO70:AO133" si="24">IF(AS70="",0,SUM(O70,T70,Y70,AD70,AI70))</f>
        <v>0</v>
      </c>
      <c r="AR70" t="str">
        <f t="shared" ref="AR70:AR133" si="25">IF(AW70&lt;=3,"T","F")</f>
        <v>F</v>
      </c>
      <c r="AS70" t="str" cm="1">
        <f t="array" ref="AS70">IFERROR(INDEX(Table611[],MATCH($B70&amp;$C70&amp;$D70&amp;$F70,Table611[Component]&amp;Table611[Module]&amp;Table611[Intervention]&amp;Table611[Cost Input],0),5),"")</f>
        <v/>
      </c>
      <c r="AT70" t="str">
        <f t="shared" si="15"/>
        <v/>
      </c>
      <c r="AW70">
        <f t="shared" si="16"/>
        <v>9</v>
      </c>
    </row>
    <row r="71" spans="1:49" ht="14.5" x14ac:dyDescent="0.35">
      <c r="A71" s="258" t="str">
        <f t="shared" si="17"/>
        <v/>
      </c>
      <c r="B71" s="914"/>
      <c r="C71" s="602"/>
      <c r="D71" s="602"/>
      <c r="E71" s="601"/>
      <c r="F71" s="602"/>
      <c r="G71" s="614" t="str">
        <f>IF(F71="","",SETUP!$T$2)</f>
        <v/>
      </c>
      <c r="H71" s="614" t="str">
        <f t="shared" si="18"/>
        <v/>
      </c>
      <c r="I71" s="614" t="str">
        <f t="shared" si="14"/>
        <v/>
      </c>
      <c r="J71" s="614" t="str">
        <f>IF(F71="","",SETUP!$E$7)</f>
        <v/>
      </c>
      <c r="K71" s="912"/>
      <c r="L71" s="912"/>
      <c r="M71" s="912"/>
      <c r="N71" s="912"/>
      <c r="O71" s="904">
        <f t="shared" si="19"/>
        <v>0</v>
      </c>
      <c r="P71" s="603"/>
      <c r="Q71" s="603"/>
      <c r="R71" s="603"/>
      <c r="S71" s="603"/>
      <c r="T71" s="904">
        <f t="shared" si="20"/>
        <v>0</v>
      </c>
      <c r="U71" s="603"/>
      <c r="V71" s="603"/>
      <c r="W71" s="603"/>
      <c r="X71" s="603"/>
      <c r="Y71" s="904">
        <f t="shared" si="21"/>
        <v>0</v>
      </c>
      <c r="Z71" s="603"/>
      <c r="AA71" s="603"/>
      <c r="AB71" s="603"/>
      <c r="AC71" s="603"/>
      <c r="AD71" s="904">
        <f t="shared" si="22"/>
        <v>0</v>
      </c>
      <c r="AE71" s="603"/>
      <c r="AF71" s="603"/>
      <c r="AG71" s="603"/>
      <c r="AH71" s="603"/>
      <c r="AI71" s="907">
        <f t="shared" si="23"/>
        <v>0</v>
      </c>
      <c r="AJ71" s="921"/>
      <c r="AK71" s="921"/>
      <c r="AL71" s="921"/>
      <c r="AM71" s="921"/>
      <c r="AN71" s="921"/>
      <c r="AO71" s="617">
        <f t="shared" si="24"/>
        <v>0</v>
      </c>
      <c r="AR71" t="str">
        <f t="shared" si="25"/>
        <v>F</v>
      </c>
      <c r="AS71" t="str" cm="1">
        <f t="array" ref="AS71">IFERROR(INDEX(Table611[],MATCH($B71&amp;$C71&amp;$D71&amp;$F71,Table611[Component]&amp;Table611[Module]&amp;Table611[Intervention]&amp;Table611[Cost Input],0),5),"")</f>
        <v/>
      </c>
      <c r="AT71" t="str">
        <f t="shared" si="15"/>
        <v/>
      </c>
      <c r="AW71">
        <f t="shared" si="16"/>
        <v>9</v>
      </c>
    </row>
    <row r="72" spans="1:49" ht="14.5" x14ac:dyDescent="0.35">
      <c r="A72" s="258" t="str">
        <f t="shared" si="17"/>
        <v/>
      </c>
      <c r="B72" s="914"/>
      <c r="C72" s="602"/>
      <c r="D72" s="602"/>
      <c r="E72" s="601"/>
      <c r="F72" s="602"/>
      <c r="G72" s="614" t="str">
        <f>IF(F72="","",SETUP!$T$2)</f>
        <v/>
      </c>
      <c r="H72" s="614" t="str">
        <f t="shared" si="18"/>
        <v/>
      </c>
      <c r="I72" s="614" t="str">
        <f t="shared" si="14"/>
        <v/>
      </c>
      <c r="J72" s="614" t="str">
        <f>IF(F72="","",SETUP!$E$7)</f>
        <v/>
      </c>
      <c r="K72" s="912"/>
      <c r="L72" s="912"/>
      <c r="M72" s="912"/>
      <c r="N72" s="912"/>
      <c r="O72" s="904">
        <f t="shared" si="19"/>
        <v>0</v>
      </c>
      <c r="P72" s="603"/>
      <c r="Q72" s="603"/>
      <c r="R72" s="603"/>
      <c r="S72" s="603"/>
      <c r="T72" s="904">
        <f t="shared" si="20"/>
        <v>0</v>
      </c>
      <c r="U72" s="603"/>
      <c r="V72" s="603"/>
      <c r="W72" s="603"/>
      <c r="X72" s="603"/>
      <c r="Y72" s="904">
        <f t="shared" si="21"/>
        <v>0</v>
      </c>
      <c r="Z72" s="603"/>
      <c r="AA72" s="603"/>
      <c r="AB72" s="603"/>
      <c r="AC72" s="603"/>
      <c r="AD72" s="904">
        <f t="shared" si="22"/>
        <v>0</v>
      </c>
      <c r="AE72" s="603"/>
      <c r="AF72" s="603"/>
      <c r="AG72" s="603"/>
      <c r="AH72" s="603"/>
      <c r="AI72" s="907">
        <f t="shared" si="23"/>
        <v>0</v>
      </c>
      <c r="AJ72" s="921"/>
      <c r="AK72" s="921"/>
      <c r="AL72" s="921"/>
      <c r="AM72" s="921"/>
      <c r="AN72" s="921"/>
      <c r="AO72" s="617">
        <f t="shared" si="24"/>
        <v>0</v>
      </c>
      <c r="AR72" t="str">
        <f t="shared" si="25"/>
        <v>F</v>
      </c>
      <c r="AS72" t="str" cm="1">
        <f t="array" ref="AS72">IFERROR(INDEX(Table611[],MATCH($B72&amp;$C72&amp;$D72&amp;$F72,Table611[Component]&amp;Table611[Module]&amp;Table611[Intervention]&amp;Table611[Cost Input],0),5),"")</f>
        <v/>
      </c>
      <c r="AT72" t="str">
        <f t="shared" si="15"/>
        <v/>
      </c>
      <c r="AW72">
        <f t="shared" si="16"/>
        <v>9</v>
      </c>
    </row>
    <row r="73" spans="1:49" ht="14.5" x14ac:dyDescent="0.35">
      <c r="A73" s="258" t="str">
        <f t="shared" si="17"/>
        <v/>
      </c>
      <c r="B73" s="914"/>
      <c r="C73" s="602"/>
      <c r="D73" s="602"/>
      <c r="E73" s="601"/>
      <c r="F73" s="602"/>
      <c r="G73" s="614" t="str">
        <f>IF(F73="","",SETUP!$T$2)</f>
        <v/>
      </c>
      <c r="H73" s="614" t="str">
        <f t="shared" si="18"/>
        <v/>
      </c>
      <c r="I73" s="614" t="str">
        <f t="shared" si="14"/>
        <v/>
      </c>
      <c r="J73" s="614" t="str">
        <f>IF(F73="","",SETUP!$E$7)</f>
        <v/>
      </c>
      <c r="K73" s="912"/>
      <c r="L73" s="912"/>
      <c r="M73" s="912"/>
      <c r="N73" s="912"/>
      <c r="O73" s="904">
        <f t="shared" si="19"/>
        <v>0</v>
      </c>
      <c r="P73" s="603"/>
      <c r="Q73" s="603"/>
      <c r="R73" s="603"/>
      <c r="S73" s="603"/>
      <c r="T73" s="904">
        <f t="shared" si="20"/>
        <v>0</v>
      </c>
      <c r="U73" s="603"/>
      <c r="V73" s="603"/>
      <c r="W73" s="603"/>
      <c r="X73" s="603"/>
      <c r="Y73" s="904">
        <f t="shared" si="21"/>
        <v>0</v>
      </c>
      <c r="Z73" s="603"/>
      <c r="AA73" s="603"/>
      <c r="AB73" s="603"/>
      <c r="AC73" s="603"/>
      <c r="AD73" s="904">
        <f t="shared" si="22"/>
        <v>0</v>
      </c>
      <c r="AE73" s="603"/>
      <c r="AF73" s="603"/>
      <c r="AG73" s="603"/>
      <c r="AH73" s="603"/>
      <c r="AI73" s="907">
        <f t="shared" si="23"/>
        <v>0</v>
      </c>
      <c r="AJ73" s="921"/>
      <c r="AK73" s="921"/>
      <c r="AL73" s="921"/>
      <c r="AM73" s="921"/>
      <c r="AN73" s="921"/>
      <c r="AO73" s="617">
        <f t="shared" si="24"/>
        <v>0</v>
      </c>
      <c r="AR73" t="str">
        <f t="shared" si="25"/>
        <v>F</v>
      </c>
      <c r="AS73" t="str" cm="1">
        <f t="array" ref="AS73">IFERROR(INDEX(Table611[],MATCH($B73&amp;$C73&amp;$D73&amp;$F73,Table611[Component]&amp;Table611[Module]&amp;Table611[Intervention]&amp;Table611[Cost Input],0),5),"")</f>
        <v/>
      </c>
      <c r="AT73" t="str">
        <f t="shared" si="15"/>
        <v/>
      </c>
      <c r="AW73">
        <f t="shared" si="16"/>
        <v>9</v>
      </c>
    </row>
    <row r="74" spans="1:49" ht="14.5" x14ac:dyDescent="0.35">
      <c r="A74" s="258" t="str">
        <f t="shared" si="17"/>
        <v/>
      </c>
      <c r="B74" s="914"/>
      <c r="C74" s="602"/>
      <c r="D74" s="602"/>
      <c r="E74" s="601"/>
      <c r="F74" s="602"/>
      <c r="G74" s="614" t="str">
        <f>IF(F74="","",SETUP!$T$2)</f>
        <v/>
      </c>
      <c r="H74" s="614" t="str">
        <f t="shared" si="18"/>
        <v/>
      </c>
      <c r="I74" s="614" t="str">
        <f t="shared" si="14"/>
        <v/>
      </c>
      <c r="J74" s="614" t="str">
        <f>IF(F74="","",SETUP!$E$7)</f>
        <v/>
      </c>
      <c r="K74" s="912"/>
      <c r="L74" s="912"/>
      <c r="M74" s="912"/>
      <c r="N74" s="912"/>
      <c r="O74" s="904">
        <f t="shared" si="19"/>
        <v>0</v>
      </c>
      <c r="P74" s="603"/>
      <c r="Q74" s="603"/>
      <c r="R74" s="603"/>
      <c r="S74" s="603"/>
      <c r="T74" s="904">
        <f t="shared" si="20"/>
        <v>0</v>
      </c>
      <c r="U74" s="603"/>
      <c r="V74" s="603"/>
      <c r="W74" s="603"/>
      <c r="X74" s="603"/>
      <c r="Y74" s="904">
        <f t="shared" si="21"/>
        <v>0</v>
      </c>
      <c r="Z74" s="603"/>
      <c r="AA74" s="603"/>
      <c r="AB74" s="603"/>
      <c r="AC74" s="603"/>
      <c r="AD74" s="904">
        <f t="shared" si="22"/>
        <v>0</v>
      </c>
      <c r="AE74" s="603"/>
      <c r="AF74" s="603"/>
      <c r="AG74" s="603"/>
      <c r="AH74" s="603"/>
      <c r="AI74" s="907">
        <f t="shared" si="23"/>
        <v>0</v>
      </c>
      <c r="AJ74" s="921"/>
      <c r="AK74" s="921"/>
      <c r="AL74" s="921"/>
      <c r="AM74" s="921"/>
      <c r="AN74" s="921"/>
      <c r="AO74" s="617">
        <f t="shared" si="24"/>
        <v>0</v>
      </c>
      <c r="AR74" t="str">
        <f t="shared" si="25"/>
        <v>F</v>
      </c>
      <c r="AS74" t="str" cm="1">
        <f t="array" ref="AS74">IFERROR(INDEX(Table611[],MATCH($B74&amp;$C74&amp;$D74&amp;$F74,Table611[Component]&amp;Table611[Module]&amp;Table611[Intervention]&amp;Table611[Cost Input],0),5),"")</f>
        <v/>
      </c>
      <c r="AT74" t="str">
        <f t="shared" si="15"/>
        <v/>
      </c>
      <c r="AW74">
        <f t="shared" si="16"/>
        <v>9</v>
      </c>
    </row>
    <row r="75" spans="1:49" ht="14.5" x14ac:dyDescent="0.35">
      <c r="A75" s="258" t="str">
        <f t="shared" si="17"/>
        <v/>
      </c>
      <c r="B75" s="914"/>
      <c r="C75" s="602"/>
      <c r="D75" s="602"/>
      <c r="E75" s="601"/>
      <c r="F75" s="602"/>
      <c r="G75" s="614" t="str">
        <f>IF(F75="","",SETUP!$T$2)</f>
        <v/>
      </c>
      <c r="H75" s="614" t="str">
        <f t="shared" si="18"/>
        <v/>
      </c>
      <c r="I75" s="614" t="str">
        <f t="shared" si="14"/>
        <v/>
      </c>
      <c r="J75" s="614" t="str">
        <f>IF(F75="","",SETUP!$E$7)</f>
        <v/>
      </c>
      <c r="K75" s="912"/>
      <c r="L75" s="912"/>
      <c r="M75" s="912"/>
      <c r="N75" s="912"/>
      <c r="O75" s="904">
        <f t="shared" si="19"/>
        <v>0</v>
      </c>
      <c r="P75" s="603"/>
      <c r="Q75" s="603"/>
      <c r="R75" s="603"/>
      <c r="S75" s="603"/>
      <c r="T75" s="904">
        <f t="shared" si="20"/>
        <v>0</v>
      </c>
      <c r="U75" s="603"/>
      <c r="V75" s="603"/>
      <c r="W75" s="603"/>
      <c r="X75" s="603"/>
      <c r="Y75" s="904">
        <f t="shared" si="21"/>
        <v>0</v>
      </c>
      <c r="Z75" s="603"/>
      <c r="AA75" s="603"/>
      <c r="AB75" s="603"/>
      <c r="AC75" s="603"/>
      <c r="AD75" s="904">
        <f t="shared" si="22"/>
        <v>0</v>
      </c>
      <c r="AE75" s="603"/>
      <c r="AF75" s="603"/>
      <c r="AG75" s="603"/>
      <c r="AH75" s="603"/>
      <c r="AI75" s="907">
        <f t="shared" si="23"/>
        <v>0</v>
      </c>
      <c r="AJ75" s="921"/>
      <c r="AK75" s="921"/>
      <c r="AL75" s="921"/>
      <c r="AM75" s="921"/>
      <c r="AN75" s="921"/>
      <c r="AO75" s="617">
        <f t="shared" si="24"/>
        <v>0</v>
      </c>
      <c r="AR75" t="str">
        <f t="shared" si="25"/>
        <v>F</v>
      </c>
      <c r="AS75" t="str" cm="1">
        <f t="array" ref="AS75">IFERROR(INDEX(Table611[],MATCH($B75&amp;$C75&amp;$D75&amp;$F75,Table611[Component]&amp;Table611[Module]&amp;Table611[Intervention]&amp;Table611[Cost Input],0),5),"")</f>
        <v/>
      </c>
      <c r="AT75" t="str">
        <f t="shared" si="15"/>
        <v/>
      </c>
      <c r="AW75">
        <f t="shared" si="16"/>
        <v>9</v>
      </c>
    </row>
    <row r="76" spans="1:49" ht="14.5" x14ac:dyDescent="0.35">
      <c r="A76" s="258" t="str">
        <f t="shared" si="17"/>
        <v/>
      </c>
      <c r="B76" s="914"/>
      <c r="C76" s="602"/>
      <c r="D76" s="602"/>
      <c r="E76" s="601"/>
      <c r="F76" s="602"/>
      <c r="G76" s="614" t="str">
        <f>IF(F76="","",SETUP!$T$2)</f>
        <v/>
      </c>
      <c r="H76" s="614" t="str">
        <f t="shared" si="18"/>
        <v/>
      </c>
      <c r="I76" s="614" t="str">
        <f t="shared" si="14"/>
        <v/>
      </c>
      <c r="J76" s="614" t="str">
        <f>IF(F76="","",SETUP!$E$7)</f>
        <v/>
      </c>
      <c r="K76" s="912"/>
      <c r="L76" s="912"/>
      <c r="M76" s="912"/>
      <c r="N76" s="912"/>
      <c r="O76" s="904">
        <f t="shared" si="19"/>
        <v>0</v>
      </c>
      <c r="P76" s="603"/>
      <c r="Q76" s="603"/>
      <c r="R76" s="603"/>
      <c r="S76" s="603"/>
      <c r="T76" s="904">
        <f t="shared" si="20"/>
        <v>0</v>
      </c>
      <c r="U76" s="603"/>
      <c r="V76" s="603"/>
      <c r="W76" s="603"/>
      <c r="X76" s="603"/>
      <c r="Y76" s="904">
        <f t="shared" si="21"/>
        <v>0</v>
      </c>
      <c r="Z76" s="603"/>
      <c r="AA76" s="603"/>
      <c r="AB76" s="603"/>
      <c r="AC76" s="603"/>
      <c r="AD76" s="904">
        <f t="shared" si="22"/>
        <v>0</v>
      </c>
      <c r="AE76" s="603"/>
      <c r="AF76" s="603"/>
      <c r="AG76" s="603"/>
      <c r="AH76" s="603"/>
      <c r="AI76" s="907">
        <f t="shared" si="23"/>
        <v>0</v>
      </c>
      <c r="AJ76" s="921"/>
      <c r="AK76" s="921"/>
      <c r="AL76" s="921"/>
      <c r="AM76" s="921"/>
      <c r="AN76" s="921"/>
      <c r="AO76" s="617">
        <f t="shared" si="24"/>
        <v>0</v>
      </c>
      <c r="AR76" t="str">
        <f t="shared" si="25"/>
        <v>F</v>
      </c>
      <c r="AS76" t="str" cm="1">
        <f t="array" ref="AS76">IFERROR(INDEX(Table611[],MATCH($B76&amp;$C76&amp;$D76&amp;$F76,Table611[Component]&amp;Table611[Module]&amp;Table611[Intervention]&amp;Table611[Cost Input],0),5),"")</f>
        <v/>
      </c>
      <c r="AT76" t="str">
        <f t="shared" si="15"/>
        <v/>
      </c>
      <c r="AW76">
        <f t="shared" si="16"/>
        <v>9</v>
      </c>
    </row>
    <row r="77" spans="1:49" ht="14.5" x14ac:dyDescent="0.35">
      <c r="A77" s="258" t="str">
        <f t="shared" si="17"/>
        <v/>
      </c>
      <c r="B77" s="914"/>
      <c r="C77" s="602"/>
      <c r="D77" s="602"/>
      <c r="E77" s="601"/>
      <c r="F77" s="602"/>
      <c r="G77" s="614" t="str">
        <f>IF(F77="","",SETUP!$T$2)</f>
        <v/>
      </c>
      <c r="H77" s="614" t="str">
        <f t="shared" si="18"/>
        <v/>
      </c>
      <c r="I77" s="614" t="str">
        <f t="shared" si="14"/>
        <v/>
      </c>
      <c r="J77" s="614" t="str">
        <f>IF(F77="","",SETUP!$E$7)</f>
        <v/>
      </c>
      <c r="K77" s="912"/>
      <c r="L77" s="912"/>
      <c r="M77" s="912"/>
      <c r="N77" s="912"/>
      <c r="O77" s="904">
        <f t="shared" si="19"/>
        <v>0</v>
      </c>
      <c r="P77" s="603"/>
      <c r="Q77" s="603"/>
      <c r="R77" s="603"/>
      <c r="S77" s="603"/>
      <c r="T77" s="904">
        <f t="shared" si="20"/>
        <v>0</v>
      </c>
      <c r="U77" s="603"/>
      <c r="V77" s="603"/>
      <c r="W77" s="603"/>
      <c r="X77" s="603"/>
      <c r="Y77" s="904">
        <f t="shared" si="21"/>
        <v>0</v>
      </c>
      <c r="Z77" s="603"/>
      <c r="AA77" s="603"/>
      <c r="AB77" s="603"/>
      <c r="AC77" s="603"/>
      <c r="AD77" s="904">
        <f t="shared" si="22"/>
        <v>0</v>
      </c>
      <c r="AE77" s="603"/>
      <c r="AF77" s="603"/>
      <c r="AG77" s="603"/>
      <c r="AH77" s="603"/>
      <c r="AI77" s="907">
        <f t="shared" si="23"/>
        <v>0</v>
      </c>
      <c r="AJ77" s="921"/>
      <c r="AK77" s="921"/>
      <c r="AL77" s="921"/>
      <c r="AM77" s="921"/>
      <c r="AN77" s="921"/>
      <c r="AO77" s="617">
        <f t="shared" si="24"/>
        <v>0</v>
      </c>
      <c r="AR77" t="str">
        <f t="shared" si="25"/>
        <v>F</v>
      </c>
      <c r="AS77" t="str" cm="1">
        <f t="array" ref="AS77">IFERROR(INDEX(Table611[],MATCH($B77&amp;$C77&amp;$D77&amp;$F77,Table611[Component]&amp;Table611[Module]&amp;Table611[Intervention]&amp;Table611[Cost Input],0),5),"")</f>
        <v/>
      </c>
      <c r="AT77" t="str">
        <f t="shared" si="15"/>
        <v/>
      </c>
      <c r="AW77">
        <f t="shared" si="16"/>
        <v>9</v>
      </c>
    </row>
    <row r="78" spans="1:49" ht="14.5" x14ac:dyDescent="0.35">
      <c r="A78" s="258" t="str">
        <f t="shared" si="17"/>
        <v/>
      </c>
      <c r="B78" s="914"/>
      <c r="C78" s="602"/>
      <c r="D78" s="602"/>
      <c r="E78" s="601"/>
      <c r="F78" s="602"/>
      <c r="G78" s="614" t="str">
        <f>IF(F78="","",SETUP!$T$2)</f>
        <v/>
      </c>
      <c r="H78" s="614" t="str">
        <f t="shared" si="18"/>
        <v/>
      </c>
      <c r="I78" s="614" t="str">
        <f t="shared" si="14"/>
        <v/>
      </c>
      <c r="J78" s="614" t="str">
        <f>IF(F78="","",SETUP!$E$7)</f>
        <v/>
      </c>
      <c r="K78" s="912"/>
      <c r="L78" s="912"/>
      <c r="M78" s="912"/>
      <c r="N78" s="912"/>
      <c r="O78" s="904">
        <f t="shared" si="19"/>
        <v>0</v>
      </c>
      <c r="P78" s="603"/>
      <c r="Q78" s="603"/>
      <c r="R78" s="603"/>
      <c r="S78" s="603"/>
      <c r="T78" s="904">
        <f t="shared" si="20"/>
        <v>0</v>
      </c>
      <c r="U78" s="603"/>
      <c r="V78" s="603"/>
      <c r="W78" s="603"/>
      <c r="X78" s="603"/>
      <c r="Y78" s="904">
        <f t="shared" si="21"/>
        <v>0</v>
      </c>
      <c r="Z78" s="603"/>
      <c r="AA78" s="603"/>
      <c r="AB78" s="603"/>
      <c r="AC78" s="603"/>
      <c r="AD78" s="904">
        <f t="shared" si="22"/>
        <v>0</v>
      </c>
      <c r="AE78" s="603"/>
      <c r="AF78" s="603"/>
      <c r="AG78" s="603"/>
      <c r="AH78" s="603"/>
      <c r="AI78" s="907">
        <f t="shared" si="23"/>
        <v>0</v>
      </c>
      <c r="AJ78" s="921"/>
      <c r="AK78" s="921"/>
      <c r="AL78" s="921"/>
      <c r="AM78" s="921"/>
      <c r="AN78" s="921"/>
      <c r="AO78" s="617">
        <f t="shared" si="24"/>
        <v>0</v>
      </c>
      <c r="AR78" t="str">
        <f t="shared" si="25"/>
        <v>F</v>
      </c>
      <c r="AS78" t="str" cm="1">
        <f t="array" ref="AS78">IFERROR(INDEX(Table611[],MATCH($B78&amp;$C78&amp;$D78&amp;$F78,Table611[Component]&amp;Table611[Module]&amp;Table611[Intervention]&amp;Table611[Cost Input],0),5),"")</f>
        <v/>
      </c>
      <c r="AT78" t="str">
        <f t="shared" si="15"/>
        <v/>
      </c>
      <c r="AW78">
        <f t="shared" si="16"/>
        <v>9</v>
      </c>
    </row>
    <row r="79" spans="1:49" ht="14.5" x14ac:dyDescent="0.35">
      <c r="A79" s="258" t="str">
        <f t="shared" si="17"/>
        <v/>
      </c>
      <c r="B79" s="914"/>
      <c r="C79" s="602"/>
      <c r="D79" s="602"/>
      <c r="E79" s="601"/>
      <c r="F79" s="602"/>
      <c r="G79" s="614" t="str">
        <f>IF(F79="","",SETUP!$T$2)</f>
        <v/>
      </c>
      <c r="H79" s="614" t="str">
        <f t="shared" si="18"/>
        <v/>
      </c>
      <c r="I79" s="614" t="str">
        <f t="shared" si="14"/>
        <v/>
      </c>
      <c r="J79" s="614" t="str">
        <f>IF(F79="","",SETUP!$E$7)</f>
        <v/>
      </c>
      <c r="K79" s="912"/>
      <c r="L79" s="912"/>
      <c r="M79" s="912"/>
      <c r="N79" s="912"/>
      <c r="O79" s="904">
        <f t="shared" si="19"/>
        <v>0</v>
      </c>
      <c r="P79" s="603"/>
      <c r="Q79" s="603"/>
      <c r="R79" s="603"/>
      <c r="S79" s="603"/>
      <c r="T79" s="904">
        <f t="shared" si="20"/>
        <v>0</v>
      </c>
      <c r="U79" s="603"/>
      <c r="V79" s="603"/>
      <c r="W79" s="603"/>
      <c r="X79" s="603"/>
      <c r="Y79" s="904">
        <f t="shared" si="21"/>
        <v>0</v>
      </c>
      <c r="Z79" s="603"/>
      <c r="AA79" s="603"/>
      <c r="AB79" s="603"/>
      <c r="AC79" s="603"/>
      <c r="AD79" s="904">
        <f t="shared" si="22"/>
        <v>0</v>
      </c>
      <c r="AE79" s="603"/>
      <c r="AF79" s="603"/>
      <c r="AG79" s="603"/>
      <c r="AH79" s="603"/>
      <c r="AI79" s="907">
        <f t="shared" si="23"/>
        <v>0</v>
      </c>
      <c r="AJ79" s="921"/>
      <c r="AK79" s="921"/>
      <c r="AL79" s="921"/>
      <c r="AM79" s="921"/>
      <c r="AN79" s="921"/>
      <c r="AO79" s="617">
        <f t="shared" si="24"/>
        <v>0</v>
      </c>
      <c r="AR79" t="str">
        <f t="shared" si="25"/>
        <v>F</v>
      </c>
      <c r="AS79" t="str" cm="1">
        <f t="array" ref="AS79">IFERROR(INDEX(Table611[],MATCH($B79&amp;$C79&amp;$D79&amp;$F79,Table611[Component]&amp;Table611[Module]&amp;Table611[Intervention]&amp;Table611[Cost Input],0),5),"")</f>
        <v/>
      </c>
      <c r="AT79" t="str">
        <f t="shared" si="15"/>
        <v/>
      </c>
      <c r="AW79">
        <f t="shared" si="16"/>
        <v>9</v>
      </c>
    </row>
    <row r="80" spans="1:49" ht="14.5" x14ac:dyDescent="0.35">
      <c r="A80" s="258" t="str">
        <f t="shared" si="17"/>
        <v/>
      </c>
      <c r="B80" s="914"/>
      <c r="C80" s="602"/>
      <c r="D80" s="602"/>
      <c r="E80" s="601"/>
      <c r="F80" s="602"/>
      <c r="G80" s="614" t="str">
        <f>IF(F80="","",SETUP!$T$2)</f>
        <v/>
      </c>
      <c r="H80" s="614" t="str">
        <f t="shared" si="18"/>
        <v/>
      </c>
      <c r="I80" s="614" t="str">
        <f t="shared" si="14"/>
        <v/>
      </c>
      <c r="J80" s="614" t="str">
        <f>IF(F80="","",SETUP!$E$7)</f>
        <v/>
      </c>
      <c r="K80" s="912"/>
      <c r="L80" s="912"/>
      <c r="M80" s="912"/>
      <c r="N80" s="912"/>
      <c r="O80" s="904">
        <f t="shared" si="19"/>
        <v>0</v>
      </c>
      <c r="P80" s="603"/>
      <c r="Q80" s="603"/>
      <c r="R80" s="603"/>
      <c r="S80" s="603"/>
      <c r="T80" s="904">
        <f t="shared" si="20"/>
        <v>0</v>
      </c>
      <c r="U80" s="603"/>
      <c r="V80" s="603"/>
      <c r="W80" s="603"/>
      <c r="X80" s="603"/>
      <c r="Y80" s="904">
        <f t="shared" si="21"/>
        <v>0</v>
      </c>
      <c r="Z80" s="603"/>
      <c r="AA80" s="603"/>
      <c r="AB80" s="603"/>
      <c r="AC80" s="603"/>
      <c r="AD80" s="904">
        <f t="shared" si="22"/>
        <v>0</v>
      </c>
      <c r="AE80" s="603"/>
      <c r="AF80" s="603"/>
      <c r="AG80" s="603"/>
      <c r="AH80" s="603"/>
      <c r="AI80" s="907">
        <f t="shared" si="23"/>
        <v>0</v>
      </c>
      <c r="AJ80" s="921"/>
      <c r="AK80" s="921"/>
      <c r="AL80" s="921"/>
      <c r="AM80" s="921"/>
      <c r="AN80" s="921"/>
      <c r="AO80" s="617">
        <f t="shared" si="24"/>
        <v>0</v>
      </c>
      <c r="AR80" t="str">
        <f t="shared" si="25"/>
        <v>F</v>
      </c>
      <c r="AS80" t="str" cm="1">
        <f t="array" ref="AS80">IFERROR(INDEX(Table611[],MATCH($B80&amp;$C80&amp;$D80&amp;$F80,Table611[Component]&amp;Table611[Module]&amp;Table611[Intervention]&amp;Table611[Cost Input],0),5),"")</f>
        <v/>
      </c>
      <c r="AT80" t="str">
        <f t="shared" si="15"/>
        <v/>
      </c>
      <c r="AW80">
        <f t="shared" si="16"/>
        <v>9</v>
      </c>
    </row>
    <row r="81" spans="1:49" ht="14.5" x14ac:dyDescent="0.35">
      <c r="A81" s="258" t="str">
        <f t="shared" si="17"/>
        <v/>
      </c>
      <c r="B81" s="914"/>
      <c r="C81" s="602"/>
      <c r="D81" s="602"/>
      <c r="E81" s="601"/>
      <c r="F81" s="602"/>
      <c r="G81" s="614" t="str">
        <f>IF(F81="","",SETUP!$T$2)</f>
        <v/>
      </c>
      <c r="H81" s="614" t="str">
        <f t="shared" si="18"/>
        <v/>
      </c>
      <c r="I81" s="614" t="str">
        <f t="shared" si="14"/>
        <v/>
      </c>
      <c r="J81" s="614" t="str">
        <f>IF(F81="","",SETUP!$E$7)</f>
        <v/>
      </c>
      <c r="K81" s="912"/>
      <c r="L81" s="912"/>
      <c r="M81" s="912"/>
      <c r="N81" s="912"/>
      <c r="O81" s="904">
        <f t="shared" si="19"/>
        <v>0</v>
      </c>
      <c r="P81" s="603"/>
      <c r="Q81" s="603"/>
      <c r="R81" s="603"/>
      <c r="S81" s="603"/>
      <c r="T81" s="904">
        <f t="shared" si="20"/>
        <v>0</v>
      </c>
      <c r="U81" s="603"/>
      <c r="V81" s="603"/>
      <c r="W81" s="603"/>
      <c r="X81" s="603"/>
      <c r="Y81" s="904">
        <f t="shared" si="21"/>
        <v>0</v>
      </c>
      <c r="Z81" s="603"/>
      <c r="AA81" s="603"/>
      <c r="AB81" s="603"/>
      <c r="AC81" s="603"/>
      <c r="AD81" s="904">
        <f t="shared" si="22"/>
        <v>0</v>
      </c>
      <c r="AE81" s="603"/>
      <c r="AF81" s="603"/>
      <c r="AG81" s="603"/>
      <c r="AH81" s="603"/>
      <c r="AI81" s="907">
        <f t="shared" si="23"/>
        <v>0</v>
      </c>
      <c r="AJ81" s="921"/>
      <c r="AK81" s="921"/>
      <c r="AL81" s="921"/>
      <c r="AM81" s="921"/>
      <c r="AN81" s="921"/>
      <c r="AO81" s="617">
        <f t="shared" si="24"/>
        <v>0</v>
      </c>
      <c r="AR81" t="str">
        <f t="shared" si="25"/>
        <v>F</v>
      </c>
      <c r="AS81" t="str" cm="1">
        <f t="array" ref="AS81">IFERROR(INDEX(Table611[],MATCH($B81&amp;$C81&amp;$D81&amp;$F81,Table611[Component]&amp;Table611[Module]&amp;Table611[Intervention]&amp;Table611[Cost Input],0),5),"")</f>
        <v/>
      </c>
      <c r="AT81" t="str">
        <f t="shared" si="15"/>
        <v/>
      </c>
      <c r="AW81">
        <f t="shared" si="16"/>
        <v>9</v>
      </c>
    </row>
    <row r="82" spans="1:49" ht="14.5" x14ac:dyDescent="0.35">
      <c r="A82" s="258" t="str">
        <f t="shared" si="17"/>
        <v/>
      </c>
      <c r="B82" s="914"/>
      <c r="C82" s="602"/>
      <c r="D82" s="602"/>
      <c r="E82" s="601"/>
      <c r="F82" s="602"/>
      <c r="G82" s="614" t="str">
        <f>IF(F82="","",SETUP!$T$2)</f>
        <v/>
      </c>
      <c r="H82" s="614" t="str">
        <f t="shared" si="18"/>
        <v/>
      </c>
      <c r="I82" s="614" t="str">
        <f t="shared" si="14"/>
        <v/>
      </c>
      <c r="J82" s="614" t="str">
        <f>IF(F82="","",SETUP!$E$7)</f>
        <v/>
      </c>
      <c r="K82" s="912"/>
      <c r="L82" s="912"/>
      <c r="M82" s="912"/>
      <c r="N82" s="912"/>
      <c r="O82" s="904">
        <f t="shared" si="19"/>
        <v>0</v>
      </c>
      <c r="P82" s="603"/>
      <c r="Q82" s="603"/>
      <c r="R82" s="603"/>
      <c r="S82" s="603"/>
      <c r="T82" s="904">
        <f t="shared" si="20"/>
        <v>0</v>
      </c>
      <c r="U82" s="603"/>
      <c r="V82" s="603"/>
      <c r="W82" s="603"/>
      <c r="X82" s="603"/>
      <c r="Y82" s="904">
        <f t="shared" si="21"/>
        <v>0</v>
      </c>
      <c r="Z82" s="603"/>
      <c r="AA82" s="603"/>
      <c r="AB82" s="603"/>
      <c r="AC82" s="603"/>
      <c r="AD82" s="904">
        <f t="shared" si="22"/>
        <v>0</v>
      </c>
      <c r="AE82" s="603"/>
      <c r="AF82" s="603"/>
      <c r="AG82" s="603"/>
      <c r="AH82" s="603"/>
      <c r="AI82" s="907">
        <f t="shared" si="23"/>
        <v>0</v>
      </c>
      <c r="AJ82" s="921"/>
      <c r="AK82" s="921"/>
      <c r="AL82" s="921"/>
      <c r="AM82" s="921"/>
      <c r="AN82" s="921"/>
      <c r="AO82" s="617">
        <f t="shared" si="24"/>
        <v>0</v>
      </c>
      <c r="AR82" t="str">
        <f t="shared" si="25"/>
        <v>F</v>
      </c>
      <c r="AS82" t="str" cm="1">
        <f t="array" ref="AS82">IFERROR(INDEX(Table611[],MATCH($B82&amp;$C82&amp;$D82&amp;$F82,Table611[Component]&amp;Table611[Module]&amp;Table611[Intervention]&amp;Table611[Cost Input],0),5),"")</f>
        <v/>
      </c>
      <c r="AT82" t="str">
        <f t="shared" si="15"/>
        <v/>
      </c>
      <c r="AW82">
        <f t="shared" si="16"/>
        <v>9</v>
      </c>
    </row>
    <row r="83" spans="1:49" ht="14.5" x14ac:dyDescent="0.35">
      <c r="A83" s="258" t="str">
        <f t="shared" si="17"/>
        <v/>
      </c>
      <c r="B83" s="914"/>
      <c r="C83" s="602"/>
      <c r="D83" s="602"/>
      <c r="E83" s="601"/>
      <c r="F83" s="602"/>
      <c r="G83" s="614" t="str">
        <f>IF(F83="","",SETUP!$T$2)</f>
        <v/>
      </c>
      <c r="H83" s="614" t="str">
        <f t="shared" si="18"/>
        <v/>
      </c>
      <c r="I83" s="614" t="str">
        <f t="shared" si="14"/>
        <v/>
      </c>
      <c r="J83" s="614" t="str">
        <f>IF(F83="","",SETUP!$E$7)</f>
        <v/>
      </c>
      <c r="K83" s="912"/>
      <c r="L83" s="912"/>
      <c r="M83" s="912"/>
      <c r="N83" s="912"/>
      <c r="O83" s="904">
        <f t="shared" si="19"/>
        <v>0</v>
      </c>
      <c r="P83" s="603"/>
      <c r="Q83" s="603"/>
      <c r="R83" s="603"/>
      <c r="S83" s="603"/>
      <c r="T83" s="904">
        <f t="shared" si="20"/>
        <v>0</v>
      </c>
      <c r="U83" s="603"/>
      <c r="V83" s="603"/>
      <c r="W83" s="603"/>
      <c r="X83" s="603"/>
      <c r="Y83" s="904">
        <f t="shared" si="21"/>
        <v>0</v>
      </c>
      <c r="Z83" s="603"/>
      <c r="AA83" s="603"/>
      <c r="AB83" s="603"/>
      <c r="AC83" s="603"/>
      <c r="AD83" s="904">
        <f t="shared" si="22"/>
        <v>0</v>
      </c>
      <c r="AE83" s="603"/>
      <c r="AF83" s="603"/>
      <c r="AG83" s="603"/>
      <c r="AH83" s="603"/>
      <c r="AI83" s="907">
        <f t="shared" si="23"/>
        <v>0</v>
      </c>
      <c r="AJ83" s="921"/>
      <c r="AK83" s="921"/>
      <c r="AL83" s="921"/>
      <c r="AM83" s="921"/>
      <c r="AN83" s="921"/>
      <c r="AO83" s="617">
        <f t="shared" si="24"/>
        <v>0</v>
      </c>
      <c r="AR83" t="str">
        <f t="shared" si="25"/>
        <v>F</v>
      </c>
      <c r="AS83" t="str" cm="1">
        <f t="array" ref="AS83">IFERROR(INDEX(Table611[],MATCH($B83&amp;$C83&amp;$D83&amp;$F83,Table611[Component]&amp;Table611[Module]&amp;Table611[Intervention]&amp;Table611[Cost Input],0),5),"")</f>
        <v/>
      </c>
      <c r="AT83" t="str">
        <f t="shared" si="15"/>
        <v/>
      </c>
      <c r="AW83">
        <f t="shared" si="16"/>
        <v>9</v>
      </c>
    </row>
    <row r="84" spans="1:49" ht="14.5" x14ac:dyDescent="0.35">
      <c r="A84" s="258" t="str">
        <f t="shared" si="17"/>
        <v/>
      </c>
      <c r="B84" s="914"/>
      <c r="C84" s="602"/>
      <c r="D84" s="602"/>
      <c r="E84" s="601"/>
      <c r="F84" s="602"/>
      <c r="G84" s="614" t="str">
        <f>IF(F84="","",SETUP!$T$2)</f>
        <v/>
      </c>
      <c r="H84" s="614" t="str">
        <f t="shared" si="18"/>
        <v/>
      </c>
      <c r="I84" s="614" t="str">
        <f t="shared" si="14"/>
        <v/>
      </c>
      <c r="J84" s="614" t="str">
        <f>IF(F84="","",SETUP!$E$7)</f>
        <v/>
      </c>
      <c r="K84" s="912"/>
      <c r="L84" s="912"/>
      <c r="M84" s="912"/>
      <c r="N84" s="912"/>
      <c r="O84" s="904">
        <f t="shared" si="19"/>
        <v>0</v>
      </c>
      <c r="P84" s="603"/>
      <c r="Q84" s="603"/>
      <c r="R84" s="603"/>
      <c r="S84" s="603"/>
      <c r="T84" s="904">
        <f t="shared" si="20"/>
        <v>0</v>
      </c>
      <c r="U84" s="603"/>
      <c r="V84" s="603"/>
      <c r="W84" s="603"/>
      <c r="X84" s="603"/>
      <c r="Y84" s="904">
        <f t="shared" si="21"/>
        <v>0</v>
      </c>
      <c r="Z84" s="603"/>
      <c r="AA84" s="603"/>
      <c r="AB84" s="603"/>
      <c r="AC84" s="603"/>
      <c r="AD84" s="904">
        <f t="shared" si="22"/>
        <v>0</v>
      </c>
      <c r="AE84" s="603"/>
      <c r="AF84" s="603"/>
      <c r="AG84" s="603"/>
      <c r="AH84" s="603"/>
      <c r="AI84" s="907">
        <f t="shared" si="23"/>
        <v>0</v>
      </c>
      <c r="AJ84" s="921"/>
      <c r="AK84" s="921"/>
      <c r="AL84" s="921"/>
      <c r="AM84" s="921"/>
      <c r="AN84" s="921"/>
      <c r="AO84" s="617">
        <f t="shared" si="24"/>
        <v>0</v>
      </c>
      <c r="AR84" t="str">
        <f t="shared" si="25"/>
        <v>F</v>
      </c>
      <c r="AS84" t="str" cm="1">
        <f t="array" ref="AS84">IFERROR(INDEX(Table611[],MATCH($B84&amp;$C84&amp;$D84&amp;$F84,Table611[Component]&amp;Table611[Module]&amp;Table611[Intervention]&amp;Table611[Cost Input],0),5),"")</f>
        <v/>
      </c>
      <c r="AT84" t="str">
        <f t="shared" si="15"/>
        <v/>
      </c>
      <c r="AW84">
        <f t="shared" si="16"/>
        <v>9</v>
      </c>
    </row>
    <row r="85" spans="1:49" ht="14.5" x14ac:dyDescent="0.35">
      <c r="A85" s="258" t="str">
        <f t="shared" si="17"/>
        <v/>
      </c>
      <c r="B85" s="914"/>
      <c r="C85" s="602"/>
      <c r="D85" s="602"/>
      <c r="E85" s="601"/>
      <c r="F85" s="602"/>
      <c r="G85" s="614" t="str">
        <f>IF(F85="","",SETUP!$T$2)</f>
        <v/>
      </c>
      <c r="H85" s="614" t="str">
        <f t="shared" si="18"/>
        <v/>
      </c>
      <c r="I85" s="614" t="str">
        <f t="shared" si="14"/>
        <v/>
      </c>
      <c r="J85" s="614" t="str">
        <f>IF(F85="","",SETUP!$E$7)</f>
        <v/>
      </c>
      <c r="K85" s="912"/>
      <c r="L85" s="912"/>
      <c r="M85" s="912"/>
      <c r="N85" s="912"/>
      <c r="O85" s="904">
        <f t="shared" si="19"/>
        <v>0</v>
      </c>
      <c r="P85" s="603"/>
      <c r="Q85" s="603"/>
      <c r="R85" s="603"/>
      <c r="S85" s="603"/>
      <c r="T85" s="904">
        <f t="shared" si="20"/>
        <v>0</v>
      </c>
      <c r="U85" s="603"/>
      <c r="V85" s="603"/>
      <c r="W85" s="603"/>
      <c r="X85" s="603"/>
      <c r="Y85" s="904">
        <f t="shared" si="21"/>
        <v>0</v>
      </c>
      <c r="Z85" s="603"/>
      <c r="AA85" s="603"/>
      <c r="AB85" s="603"/>
      <c r="AC85" s="603"/>
      <c r="AD85" s="904">
        <f t="shared" si="22"/>
        <v>0</v>
      </c>
      <c r="AE85" s="603"/>
      <c r="AF85" s="603"/>
      <c r="AG85" s="603"/>
      <c r="AH85" s="603"/>
      <c r="AI85" s="907">
        <f t="shared" si="23"/>
        <v>0</v>
      </c>
      <c r="AJ85" s="921"/>
      <c r="AK85" s="921"/>
      <c r="AL85" s="921"/>
      <c r="AM85" s="921"/>
      <c r="AN85" s="921"/>
      <c r="AO85" s="617">
        <f t="shared" si="24"/>
        <v>0</v>
      </c>
      <c r="AR85" t="str">
        <f t="shared" si="25"/>
        <v>F</v>
      </c>
      <c r="AS85" t="str" cm="1">
        <f t="array" ref="AS85">IFERROR(INDEX(Table611[],MATCH($B85&amp;$C85&amp;$D85&amp;$F85,Table611[Component]&amp;Table611[Module]&amp;Table611[Intervention]&amp;Table611[Cost Input],0),5),"")</f>
        <v/>
      </c>
      <c r="AT85" t="str">
        <f t="shared" si="15"/>
        <v/>
      </c>
      <c r="AW85">
        <f t="shared" si="16"/>
        <v>9</v>
      </c>
    </row>
    <row r="86" spans="1:49" ht="14.5" x14ac:dyDescent="0.35">
      <c r="A86" s="258" t="str">
        <f t="shared" si="17"/>
        <v/>
      </c>
      <c r="B86" s="914"/>
      <c r="C86" s="602"/>
      <c r="D86" s="602"/>
      <c r="E86" s="601"/>
      <c r="F86" s="602"/>
      <c r="G86" s="614" t="str">
        <f>IF(F86="","",SETUP!$T$2)</f>
        <v/>
      </c>
      <c r="H86" s="614" t="str">
        <f t="shared" si="18"/>
        <v/>
      </c>
      <c r="I86" s="614" t="str">
        <f t="shared" si="14"/>
        <v/>
      </c>
      <c r="J86" s="614" t="str">
        <f>IF(F86="","",SETUP!$E$7)</f>
        <v/>
      </c>
      <c r="K86" s="912"/>
      <c r="L86" s="912"/>
      <c r="M86" s="912"/>
      <c r="N86" s="912"/>
      <c r="O86" s="904">
        <f t="shared" si="19"/>
        <v>0</v>
      </c>
      <c r="P86" s="603"/>
      <c r="Q86" s="603"/>
      <c r="R86" s="603"/>
      <c r="S86" s="603"/>
      <c r="T86" s="904">
        <f t="shared" si="20"/>
        <v>0</v>
      </c>
      <c r="U86" s="603"/>
      <c r="V86" s="603"/>
      <c r="W86" s="603"/>
      <c r="X86" s="603"/>
      <c r="Y86" s="904">
        <f t="shared" si="21"/>
        <v>0</v>
      </c>
      <c r="Z86" s="603"/>
      <c r="AA86" s="603"/>
      <c r="AB86" s="603"/>
      <c r="AC86" s="603"/>
      <c r="AD86" s="904">
        <f t="shared" si="22"/>
        <v>0</v>
      </c>
      <c r="AE86" s="603"/>
      <c r="AF86" s="603"/>
      <c r="AG86" s="603"/>
      <c r="AH86" s="603"/>
      <c r="AI86" s="907">
        <f t="shared" si="23"/>
        <v>0</v>
      </c>
      <c r="AJ86" s="921"/>
      <c r="AK86" s="921"/>
      <c r="AL86" s="921"/>
      <c r="AM86" s="921"/>
      <c r="AN86" s="921"/>
      <c r="AO86" s="617">
        <f t="shared" si="24"/>
        <v>0</v>
      </c>
      <c r="AR86" t="str">
        <f t="shared" si="25"/>
        <v>F</v>
      </c>
      <c r="AS86" t="str" cm="1">
        <f t="array" ref="AS86">IFERROR(INDEX(Table611[],MATCH($B86&amp;$C86&amp;$D86&amp;$F86,Table611[Component]&amp;Table611[Module]&amp;Table611[Intervention]&amp;Table611[Cost Input],0),5),"")</f>
        <v/>
      </c>
      <c r="AT86" t="str">
        <f t="shared" si="15"/>
        <v/>
      </c>
      <c r="AW86">
        <f t="shared" si="16"/>
        <v>9</v>
      </c>
    </row>
    <row r="87" spans="1:49" ht="14.5" x14ac:dyDescent="0.35">
      <c r="A87" s="258" t="str">
        <f t="shared" si="17"/>
        <v/>
      </c>
      <c r="B87" s="914"/>
      <c r="C87" s="602"/>
      <c r="D87" s="602"/>
      <c r="E87" s="601"/>
      <c r="F87" s="602"/>
      <c r="G87" s="614" t="str">
        <f>IF(F87="","",SETUP!$T$2)</f>
        <v/>
      </c>
      <c r="H87" s="614" t="str">
        <f t="shared" si="18"/>
        <v/>
      </c>
      <c r="I87" s="614" t="str">
        <f t="shared" si="14"/>
        <v/>
      </c>
      <c r="J87" s="614" t="str">
        <f>IF(F87="","",SETUP!$E$7)</f>
        <v/>
      </c>
      <c r="K87" s="912"/>
      <c r="L87" s="912"/>
      <c r="M87" s="912"/>
      <c r="N87" s="912"/>
      <c r="O87" s="904">
        <f t="shared" si="19"/>
        <v>0</v>
      </c>
      <c r="P87" s="603"/>
      <c r="Q87" s="603"/>
      <c r="R87" s="603"/>
      <c r="S87" s="603"/>
      <c r="T87" s="904">
        <f t="shared" si="20"/>
        <v>0</v>
      </c>
      <c r="U87" s="603"/>
      <c r="V87" s="603"/>
      <c r="W87" s="603"/>
      <c r="X87" s="603"/>
      <c r="Y87" s="904">
        <f t="shared" si="21"/>
        <v>0</v>
      </c>
      <c r="Z87" s="603"/>
      <c r="AA87" s="603"/>
      <c r="AB87" s="603"/>
      <c r="AC87" s="603"/>
      <c r="AD87" s="904">
        <f t="shared" si="22"/>
        <v>0</v>
      </c>
      <c r="AE87" s="603"/>
      <c r="AF87" s="603"/>
      <c r="AG87" s="603"/>
      <c r="AH87" s="603"/>
      <c r="AI87" s="907">
        <f t="shared" si="23"/>
        <v>0</v>
      </c>
      <c r="AJ87" s="921"/>
      <c r="AK87" s="921"/>
      <c r="AL87" s="921"/>
      <c r="AM87" s="921"/>
      <c r="AN87" s="921"/>
      <c r="AO87" s="617">
        <f t="shared" si="24"/>
        <v>0</v>
      </c>
      <c r="AR87" t="str">
        <f t="shared" si="25"/>
        <v>F</v>
      </c>
      <c r="AS87" t="str" cm="1">
        <f t="array" ref="AS87">IFERROR(INDEX(Table611[],MATCH($B87&amp;$C87&amp;$D87&amp;$F87,Table611[Component]&amp;Table611[Module]&amp;Table611[Intervention]&amp;Table611[Cost Input],0),5),"")</f>
        <v/>
      </c>
      <c r="AT87" t="str">
        <f t="shared" si="15"/>
        <v/>
      </c>
      <c r="AW87">
        <f t="shared" si="16"/>
        <v>9</v>
      </c>
    </row>
    <row r="88" spans="1:49" ht="14.5" x14ac:dyDescent="0.35">
      <c r="A88" s="258" t="str">
        <f t="shared" si="17"/>
        <v/>
      </c>
      <c r="B88" s="914"/>
      <c r="C88" s="602"/>
      <c r="D88" s="602"/>
      <c r="E88" s="601"/>
      <c r="F88" s="602"/>
      <c r="G88" s="614" t="str">
        <f>IF(F88="","",SETUP!$T$2)</f>
        <v/>
      </c>
      <c r="H88" s="614" t="str">
        <f t="shared" si="18"/>
        <v/>
      </c>
      <c r="I88" s="614" t="str">
        <f t="shared" si="14"/>
        <v/>
      </c>
      <c r="J88" s="614" t="str">
        <f>IF(F88="","",SETUP!$E$7)</f>
        <v/>
      </c>
      <c r="K88" s="912"/>
      <c r="L88" s="912"/>
      <c r="M88" s="912"/>
      <c r="N88" s="912"/>
      <c r="O88" s="904">
        <f t="shared" si="19"/>
        <v>0</v>
      </c>
      <c r="P88" s="603"/>
      <c r="Q88" s="603"/>
      <c r="R88" s="603"/>
      <c r="S88" s="603"/>
      <c r="T88" s="904">
        <f t="shared" si="20"/>
        <v>0</v>
      </c>
      <c r="U88" s="603"/>
      <c r="V88" s="603"/>
      <c r="W88" s="603"/>
      <c r="X88" s="603"/>
      <c r="Y88" s="904">
        <f t="shared" si="21"/>
        <v>0</v>
      </c>
      <c r="Z88" s="603"/>
      <c r="AA88" s="603"/>
      <c r="AB88" s="603"/>
      <c r="AC88" s="603"/>
      <c r="AD88" s="904">
        <f t="shared" si="22"/>
        <v>0</v>
      </c>
      <c r="AE88" s="603"/>
      <c r="AF88" s="603"/>
      <c r="AG88" s="603"/>
      <c r="AH88" s="603"/>
      <c r="AI88" s="907">
        <f t="shared" si="23"/>
        <v>0</v>
      </c>
      <c r="AJ88" s="921"/>
      <c r="AK88" s="921"/>
      <c r="AL88" s="921"/>
      <c r="AM88" s="921"/>
      <c r="AN88" s="921"/>
      <c r="AO88" s="617">
        <f t="shared" si="24"/>
        <v>0</v>
      </c>
      <c r="AR88" t="str">
        <f t="shared" si="25"/>
        <v>F</v>
      </c>
      <c r="AS88" t="str" cm="1">
        <f t="array" ref="AS88">IFERROR(INDEX(Table611[],MATCH($B88&amp;$C88&amp;$D88&amp;$F88,Table611[Component]&amp;Table611[Module]&amp;Table611[Intervention]&amp;Table611[Cost Input],0),5),"")</f>
        <v/>
      </c>
      <c r="AT88" t="str">
        <f t="shared" si="15"/>
        <v/>
      </c>
      <c r="AW88">
        <f t="shared" si="16"/>
        <v>9</v>
      </c>
    </row>
    <row r="89" spans="1:49" ht="14.5" x14ac:dyDescent="0.35">
      <c r="A89" s="258" t="str">
        <f t="shared" si="17"/>
        <v/>
      </c>
      <c r="B89" s="914"/>
      <c r="C89" s="602"/>
      <c r="D89" s="602"/>
      <c r="E89" s="601"/>
      <c r="F89" s="602"/>
      <c r="G89" s="614" t="str">
        <f>IF(F89="","",SETUP!$T$2)</f>
        <v/>
      </c>
      <c r="H89" s="614" t="str">
        <f t="shared" si="18"/>
        <v/>
      </c>
      <c r="I89" s="614" t="str">
        <f t="shared" si="14"/>
        <v/>
      </c>
      <c r="J89" s="614" t="str">
        <f>IF(F89="","",SETUP!$E$7)</f>
        <v/>
      </c>
      <c r="K89" s="912"/>
      <c r="L89" s="912"/>
      <c r="M89" s="912"/>
      <c r="N89" s="912"/>
      <c r="O89" s="904">
        <f t="shared" si="19"/>
        <v>0</v>
      </c>
      <c r="P89" s="603"/>
      <c r="Q89" s="603"/>
      <c r="R89" s="603"/>
      <c r="S89" s="603"/>
      <c r="T89" s="904">
        <f t="shared" si="20"/>
        <v>0</v>
      </c>
      <c r="U89" s="603"/>
      <c r="V89" s="603"/>
      <c r="W89" s="603"/>
      <c r="X89" s="603"/>
      <c r="Y89" s="904">
        <f t="shared" si="21"/>
        <v>0</v>
      </c>
      <c r="Z89" s="603"/>
      <c r="AA89" s="603"/>
      <c r="AB89" s="603"/>
      <c r="AC89" s="603"/>
      <c r="AD89" s="904">
        <f t="shared" si="22"/>
        <v>0</v>
      </c>
      <c r="AE89" s="603"/>
      <c r="AF89" s="603"/>
      <c r="AG89" s="603"/>
      <c r="AH89" s="603"/>
      <c r="AI89" s="907">
        <f t="shared" si="23"/>
        <v>0</v>
      </c>
      <c r="AJ89" s="921"/>
      <c r="AK89" s="921"/>
      <c r="AL89" s="921"/>
      <c r="AM89" s="921"/>
      <c r="AN89" s="921"/>
      <c r="AO89" s="617">
        <f t="shared" si="24"/>
        <v>0</v>
      </c>
      <c r="AR89" t="str">
        <f t="shared" si="25"/>
        <v>F</v>
      </c>
      <c r="AS89" t="str" cm="1">
        <f t="array" ref="AS89">IFERROR(INDEX(Table611[],MATCH($B89&amp;$C89&amp;$D89&amp;$F89,Table611[Component]&amp;Table611[Module]&amp;Table611[Intervention]&amp;Table611[Cost Input],0),5),"")</f>
        <v/>
      </c>
      <c r="AT89" t="str">
        <f t="shared" si="15"/>
        <v/>
      </c>
      <c r="AW89">
        <f t="shared" si="16"/>
        <v>9</v>
      </c>
    </row>
    <row r="90" spans="1:49" ht="14.5" x14ac:dyDescent="0.35">
      <c r="A90" s="258" t="str">
        <f t="shared" si="17"/>
        <v/>
      </c>
      <c r="B90" s="914"/>
      <c r="C90" s="602"/>
      <c r="D90" s="602"/>
      <c r="E90" s="601"/>
      <c r="F90" s="602"/>
      <c r="G90" s="614" t="str">
        <f>IF(F90="","",SETUP!$T$2)</f>
        <v/>
      </c>
      <c r="H90" s="614" t="str">
        <f t="shared" si="18"/>
        <v/>
      </c>
      <c r="I90" s="614" t="str">
        <f t="shared" si="14"/>
        <v/>
      </c>
      <c r="J90" s="614" t="str">
        <f>IF(F90="","",SETUP!$E$7)</f>
        <v/>
      </c>
      <c r="K90" s="912"/>
      <c r="L90" s="912"/>
      <c r="M90" s="912"/>
      <c r="N90" s="912"/>
      <c r="O90" s="904">
        <f t="shared" si="19"/>
        <v>0</v>
      </c>
      <c r="P90" s="603"/>
      <c r="Q90" s="603"/>
      <c r="R90" s="603"/>
      <c r="S90" s="603"/>
      <c r="T90" s="904">
        <f t="shared" si="20"/>
        <v>0</v>
      </c>
      <c r="U90" s="603"/>
      <c r="V90" s="603"/>
      <c r="W90" s="603"/>
      <c r="X90" s="603"/>
      <c r="Y90" s="904">
        <f t="shared" si="21"/>
        <v>0</v>
      </c>
      <c r="Z90" s="603"/>
      <c r="AA90" s="603"/>
      <c r="AB90" s="603"/>
      <c r="AC90" s="603"/>
      <c r="AD90" s="904">
        <f t="shared" si="22"/>
        <v>0</v>
      </c>
      <c r="AE90" s="603"/>
      <c r="AF90" s="603"/>
      <c r="AG90" s="603"/>
      <c r="AH90" s="603"/>
      <c r="AI90" s="907">
        <f t="shared" si="23"/>
        <v>0</v>
      </c>
      <c r="AJ90" s="921"/>
      <c r="AK90" s="921"/>
      <c r="AL90" s="921"/>
      <c r="AM90" s="921"/>
      <c r="AN90" s="921"/>
      <c r="AO90" s="617">
        <f t="shared" si="24"/>
        <v>0</v>
      </c>
      <c r="AR90" t="str">
        <f t="shared" si="25"/>
        <v>F</v>
      </c>
      <c r="AS90" t="str" cm="1">
        <f t="array" ref="AS90">IFERROR(INDEX(Table611[],MATCH($B90&amp;$C90&amp;$D90&amp;$F90,Table611[Component]&amp;Table611[Module]&amp;Table611[Intervention]&amp;Table611[Cost Input],0),5),"")</f>
        <v/>
      </c>
      <c r="AT90" t="str">
        <f t="shared" si="15"/>
        <v/>
      </c>
      <c r="AW90">
        <f t="shared" si="16"/>
        <v>9</v>
      </c>
    </row>
    <row r="91" spans="1:49" ht="14.5" x14ac:dyDescent="0.35">
      <c r="A91" s="258" t="str">
        <f t="shared" si="17"/>
        <v/>
      </c>
      <c r="B91" s="914"/>
      <c r="C91" s="602"/>
      <c r="D91" s="602"/>
      <c r="E91" s="601"/>
      <c r="F91" s="602"/>
      <c r="G91" s="614" t="str">
        <f>IF(F91="","",SETUP!$T$2)</f>
        <v/>
      </c>
      <c r="H91" s="614" t="str">
        <f t="shared" si="18"/>
        <v/>
      </c>
      <c r="I91" s="614" t="str">
        <f t="shared" si="14"/>
        <v/>
      </c>
      <c r="J91" s="614" t="str">
        <f>IF(F91="","",SETUP!$E$7)</f>
        <v/>
      </c>
      <c r="K91" s="912"/>
      <c r="L91" s="912"/>
      <c r="M91" s="912"/>
      <c r="N91" s="912"/>
      <c r="O91" s="904">
        <f t="shared" si="19"/>
        <v>0</v>
      </c>
      <c r="P91" s="603"/>
      <c r="Q91" s="603"/>
      <c r="R91" s="603"/>
      <c r="S91" s="603"/>
      <c r="T91" s="904">
        <f t="shared" si="20"/>
        <v>0</v>
      </c>
      <c r="U91" s="603"/>
      <c r="V91" s="603"/>
      <c r="W91" s="603"/>
      <c r="X91" s="603"/>
      <c r="Y91" s="904">
        <f t="shared" si="21"/>
        <v>0</v>
      </c>
      <c r="Z91" s="603"/>
      <c r="AA91" s="603"/>
      <c r="AB91" s="603"/>
      <c r="AC91" s="603"/>
      <c r="AD91" s="904">
        <f t="shared" si="22"/>
        <v>0</v>
      </c>
      <c r="AE91" s="603"/>
      <c r="AF91" s="603"/>
      <c r="AG91" s="603"/>
      <c r="AH91" s="603"/>
      <c r="AI91" s="907">
        <f t="shared" si="23"/>
        <v>0</v>
      </c>
      <c r="AJ91" s="921"/>
      <c r="AK91" s="921"/>
      <c r="AL91" s="921"/>
      <c r="AM91" s="921"/>
      <c r="AN91" s="921"/>
      <c r="AO91" s="617">
        <f t="shared" si="24"/>
        <v>0</v>
      </c>
      <c r="AR91" t="str">
        <f t="shared" si="25"/>
        <v>F</v>
      </c>
      <c r="AS91" t="str" cm="1">
        <f t="array" ref="AS91">IFERROR(INDEX(Table611[],MATCH($B91&amp;$C91&amp;$D91&amp;$F91,Table611[Component]&amp;Table611[Module]&amp;Table611[Intervention]&amp;Table611[Cost Input],0),5),"")</f>
        <v/>
      </c>
      <c r="AT91" t="str">
        <f t="shared" si="15"/>
        <v/>
      </c>
      <c r="AW91">
        <f t="shared" si="16"/>
        <v>9</v>
      </c>
    </row>
    <row r="92" spans="1:49" ht="14.5" x14ac:dyDescent="0.35">
      <c r="A92" s="258" t="str">
        <f t="shared" si="17"/>
        <v/>
      </c>
      <c r="B92" s="914"/>
      <c r="C92" s="602"/>
      <c r="D92" s="602"/>
      <c r="E92" s="601"/>
      <c r="F92" s="602"/>
      <c r="G92" s="614" t="str">
        <f>IF(F92="","",SETUP!$T$2)</f>
        <v/>
      </c>
      <c r="H92" s="614" t="str">
        <f t="shared" si="18"/>
        <v/>
      </c>
      <c r="I92" s="614" t="str">
        <f t="shared" si="14"/>
        <v/>
      </c>
      <c r="J92" s="614" t="str">
        <f>IF(F92="","",SETUP!$E$7)</f>
        <v/>
      </c>
      <c r="K92" s="912"/>
      <c r="L92" s="912"/>
      <c r="M92" s="912"/>
      <c r="N92" s="912"/>
      <c r="O92" s="904">
        <f t="shared" si="19"/>
        <v>0</v>
      </c>
      <c r="P92" s="603"/>
      <c r="Q92" s="603"/>
      <c r="R92" s="603"/>
      <c r="S92" s="603"/>
      <c r="T92" s="904">
        <f t="shared" si="20"/>
        <v>0</v>
      </c>
      <c r="U92" s="603"/>
      <c r="V92" s="603"/>
      <c r="W92" s="603"/>
      <c r="X92" s="603"/>
      <c r="Y92" s="904">
        <f t="shared" si="21"/>
        <v>0</v>
      </c>
      <c r="Z92" s="603"/>
      <c r="AA92" s="603"/>
      <c r="AB92" s="603"/>
      <c r="AC92" s="603"/>
      <c r="AD92" s="904">
        <f t="shared" si="22"/>
        <v>0</v>
      </c>
      <c r="AE92" s="603"/>
      <c r="AF92" s="603"/>
      <c r="AG92" s="603"/>
      <c r="AH92" s="603"/>
      <c r="AI92" s="907">
        <f t="shared" si="23"/>
        <v>0</v>
      </c>
      <c r="AJ92" s="921"/>
      <c r="AK92" s="921"/>
      <c r="AL92" s="921"/>
      <c r="AM92" s="921"/>
      <c r="AN92" s="921"/>
      <c r="AO92" s="617">
        <f t="shared" si="24"/>
        <v>0</v>
      </c>
      <c r="AR92" t="str">
        <f t="shared" si="25"/>
        <v>F</v>
      </c>
      <c r="AS92" t="str" cm="1">
        <f t="array" ref="AS92">IFERROR(INDEX(Table611[],MATCH($B92&amp;$C92&amp;$D92&amp;$F92,Table611[Component]&amp;Table611[Module]&amp;Table611[Intervention]&amp;Table611[Cost Input],0),5),"")</f>
        <v/>
      </c>
      <c r="AT92" t="str">
        <f t="shared" si="15"/>
        <v/>
      </c>
      <c r="AW92">
        <f t="shared" si="16"/>
        <v>9</v>
      </c>
    </row>
    <row r="93" spans="1:49" ht="14.5" x14ac:dyDescent="0.35">
      <c r="A93" s="258" t="str">
        <f t="shared" si="17"/>
        <v/>
      </c>
      <c r="B93" s="914"/>
      <c r="C93" s="602"/>
      <c r="D93" s="602"/>
      <c r="E93" s="601"/>
      <c r="F93" s="602"/>
      <c r="G93" s="614" t="str">
        <f>IF(F93="","",SETUP!$T$2)</f>
        <v/>
      </c>
      <c r="H93" s="614" t="str">
        <f t="shared" si="18"/>
        <v/>
      </c>
      <c r="I93" s="614" t="str">
        <f t="shared" si="14"/>
        <v/>
      </c>
      <c r="J93" s="614" t="str">
        <f>IF(F93="","",SETUP!$E$7)</f>
        <v/>
      </c>
      <c r="K93" s="912"/>
      <c r="L93" s="912"/>
      <c r="M93" s="912"/>
      <c r="N93" s="912"/>
      <c r="O93" s="904">
        <f t="shared" si="19"/>
        <v>0</v>
      </c>
      <c r="P93" s="603"/>
      <c r="Q93" s="603"/>
      <c r="R93" s="603"/>
      <c r="S93" s="603"/>
      <c r="T93" s="904">
        <f t="shared" si="20"/>
        <v>0</v>
      </c>
      <c r="U93" s="603"/>
      <c r="V93" s="603"/>
      <c r="W93" s="603"/>
      <c r="X93" s="603"/>
      <c r="Y93" s="904">
        <f t="shared" si="21"/>
        <v>0</v>
      </c>
      <c r="Z93" s="603"/>
      <c r="AA93" s="603"/>
      <c r="AB93" s="603"/>
      <c r="AC93" s="603"/>
      <c r="AD93" s="904">
        <f t="shared" si="22"/>
        <v>0</v>
      </c>
      <c r="AE93" s="603"/>
      <c r="AF93" s="603"/>
      <c r="AG93" s="603"/>
      <c r="AH93" s="603"/>
      <c r="AI93" s="907">
        <f t="shared" si="23"/>
        <v>0</v>
      </c>
      <c r="AJ93" s="921"/>
      <c r="AK93" s="921"/>
      <c r="AL93" s="921"/>
      <c r="AM93" s="921"/>
      <c r="AN93" s="921"/>
      <c r="AO93" s="617">
        <f t="shared" si="24"/>
        <v>0</v>
      </c>
      <c r="AR93" t="str">
        <f t="shared" si="25"/>
        <v>F</v>
      </c>
      <c r="AS93" t="str" cm="1">
        <f t="array" ref="AS93">IFERROR(INDEX(Table611[],MATCH($B93&amp;$C93&amp;$D93&amp;$F93,Table611[Component]&amp;Table611[Module]&amp;Table611[Intervention]&amp;Table611[Cost Input],0),5),"")</f>
        <v/>
      </c>
      <c r="AT93" t="str">
        <f t="shared" si="15"/>
        <v/>
      </c>
      <c r="AW93">
        <f t="shared" si="16"/>
        <v>9</v>
      </c>
    </row>
    <row r="94" spans="1:49" ht="14.5" x14ac:dyDescent="0.35">
      <c r="A94" s="258" t="str">
        <f t="shared" si="17"/>
        <v/>
      </c>
      <c r="B94" s="914"/>
      <c r="C94" s="602"/>
      <c r="D94" s="602"/>
      <c r="E94" s="601"/>
      <c r="F94" s="602"/>
      <c r="G94" s="614" t="str">
        <f>IF(F94="","",SETUP!$T$2)</f>
        <v/>
      </c>
      <c r="H94" s="614" t="str">
        <f t="shared" si="18"/>
        <v/>
      </c>
      <c r="I94" s="614" t="str">
        <f t="shared" si="14"/>
        <v/>
      </c>
      <c r="J94" s="614" t="str">
        <f>IF(F94="","",SETUP!$E$7)</f>
        <v/>
      </c>
      <c r="K94" s="912"/>
      <c r="L94" s="912"/>
      <c r="M94" s="912"/>
      <c r="N94" s="912"/>
      <c r="O94" s="904">
        <f t="shared" si="19"/>
        <v>0</v>
      </c>
      <c r="P94" s="603"/>
      <c r="Q94" s="603"/>
      <c r="R94" s="603"/>
      <c r="S94" s="603"/>
      <c r="T94" s="904">
        <f t="shared" si="20"/>
        <v>0</v>
      </c>
      <c r="U94" s="603"/>
      <c r="V94" s="603"/>
      <c r="W94" s="603"/>
      <c r="X94" s="603"/>
      <c r="Y94" s="904">
        <f t="shared" si="21"/>
        <v>0</v>
      </c>
      <c r="Z94" s="603"/>
      <c r="AA94" s="603"/>
      <c r="AB94" s="603"/>
      <c r="AC94" s="603"/>
      <c r="AD94" s="904">
        <f t="shared" si="22"/>
        <v>0</v>
      </c>
      <c r="AE94" s="603"/>
      <c r="AF94" s="603"/>
      <c r="AG94" s="603"/>
      <c r="AH94" s="603"/>
      <c r="AI94" s="907">
        <f t="shared" si="23"/>
        <v>0</v>
      </c>
      <c r="AJ94" s="921"/>
      <c r="AK94" s="921"/>
      <c r="AL94" s="921"/>
      <c r="AM94" s="921"/>
      <c r="AN94" s="921"/>
      <c r="AO94" s="617">
        <f t="shared" si="24"/>
        <v>0</v>
      </c>
      <c r="AR94" t="str">
        <f t="shared" si="25"/>
        <v>F</v>
      </c>
      <c r="AS94" t="str" cm="1">
        <f t="array" ref="AS94">IFERROR(INDEX(Table611[],MATCH($B94&amp;$C94&amp;$D94&amp;$F94,Table611[Component]&amp;Table611[Module]&amp;Table611[Intervention]&amp;Table611[Cost Input],0),5),"")</f>
        <v/>
      </c>
      <c r="AT94" t="str">
        <f t="shared" si="15"/>
        <v/>
      </c>
      <c r="AW94">
        <f t="shared" si="16"/>
        <v>9</v>
      </c>
    </row>
    <row r="95" spans="1:49" ht="14.5" x14ac:dyDescent="0.35">
      <c r="A95" s="258" t="str">
        <f t="shared" si="17"/>
        <v/>
      </c>
      <c r="B95" s="914"/>
      <c r="C95" s="602"/>
      <c r="D95" s="602"/>
      <c r="E95" s="601"/>
      <c r="F95" s="602"/>
      <c r="G95" s="614" t="str">
        <f>IF(F95="","",SETUP!$T$2)</f>
        <v/>
      </c>
      <c r="H95" s="614" t="str">
        <f t="shared" si="18"/>
        <v/>
      </c>
      <c r="I95" s="614" t="str">
        <f t="shared" si="14"/>
        <v/>
      </c>
      <c r="J95" s="614" t="str">
        <f>IF(F95="","",SETUP!$E$7)</f>
        <v/>
      </c>
      <c r="K95" s="912"/>
      <c r="L95" s="912"/>
      <c r="M95" s="912"/>
      <c r="N95" s="912"/>
      <c r="O95" s="904">
        <f t="shared" si="19"/>
        <v>0</v>
      </c>
      <c r="P95" s="603"/>
      <c r="Q95" s="603"/>
      <c r="R95" s="603"/>
      <c r="S95" s="603"/>
      <c r="T95" s="904">
        <f t="shared" si="20"/>
        <v>0</v>
      </c>
      <c r="U95" s="603"/>
      <c r="V95" s="603"/>
      <c r="W95" s="603"/>
      <c r="X95" s="603"/>
      <c r="Y95" s="904">
        <f t="shared" si="21"/>
        <v>0</v>
      </c>
      <c r="Z95" s="603"/>
      <c r="AA95" s="603"/>
      <c r="AB95" s="603"/>
      <c r="AC95" s="603"/>
      <c r="AD95" s="904">
        <f t="shared" si="22"/>
        <v>0</v>
      </c>
      <c r="AE95" s="603"/>
      <c r="AF95" s="603"/>
      <c r="AG95" s="603"/>
      <c r="AH95" s="603"/>
      <c r="AI95" s="907">
        <f t="shared" si="23"/>
        <v>0</v>
      </c>
      <c r="AJ95" s="921"/>
      <c r="AK95" s="921"/>
      <c r="AL95" s="921"/>
      <c r="AM95" s="921"/>
      <c r="AN95" s="921"/>
      <c r="AO95" s="617">
        <f t="shared" si="24"/>
        <v>0</v>
      </c>
      <c r="AR95" t="str">
        <f t="shared" si="25"/>
        <v>F</v>
      </c>
      <c r="AS95" t="str" cm="1">
        <f t="array" ref="AS95">IFERROR(INDEX(Table611[],MATCH($B95&amp;$C95&amp;$D95&amp;$F95,Table611[Component]&amp;Table611[Module]&amp;Table611[Intervention]&amp;Table611[Cost Input],0),5),"")</f>
        <v/>
      </c>
      <c r="AT95" t="str">
        <f t="shared" si="15"/>
        <v/>
      </c>
      <c r="AW95">
        <f t="shared" si="16"/>
        <v>9</v>
      </c>
    </row>
    <row r="96" spans="1:49" ht="14.5" x14ac:dyDescent="0.35">
      <c r="A96" s="258" t="str">
        <f t="shared" si="17"/>
        <v/>
      </c>
      <c r="B96" s="914"/>
      <c r="C96" s="602"/>
      <c r="D96" s="602"/>
      <c r="E96" s="601"/>
      <c r="F96" s="602"/>
      <c r="G96" s="614" t="str">
        <f>IF(F96="","",SETUP!$T$2)</f>
        <v/>
      </c>
      <c r="H96" s="614" t="str">
        <f t="shared" si="18"/>
        <v/>
      </c>
      <c r="I96" s="614" t="str">
        <f t="shared" si="14"/>
        <v/>
      </c>
      <c r="J96" s="614" t="str">
        <f>IF(F96="","",SETUP!$E$7)</f>
        <v/>
      </c>
      <c r="K96" s="912"/>
      <c r="L96" s="912"/>
      <c r="M96" s="912"/>
      <c r="N96" s="912"/>
      <c r="O96" s="904">
        <f t="shared" si="19"/>
        <v>0</v>
      </c>
      <c r="P96" s="603"/>
      <c r="Q96" s="603"/>
      <c r="R96" s="603"/>
      <c r="S96" s="603"/>
      <c r="T96" s="904">
        <f t="shared" si="20"/>
        <v>0</v>
      </c>
      <c r="U96" s="603"/>
      <c r="V96" s="603"/>
      <c r="W96" s="603"/>
      <c r="X96" s="603"/>
      <c r="Y96" s="904">
        <f t="shared" si="21"/>
        <v>0</v>
      </c>
      <c r="Z96" s="603"/>
      <c r="AA96" s="603"/>
      <c r="AB96" s="603"/>
      <c r="AC96" s="603"/>
      <c r="AD96" s="904">
        <f t="shared" si="22"/>
        <v>0</v>
      </c>
      <c r="AE96" s="603"/>
      <c r="AF96" s="603"/>
      <c r="AG96" s="603"/>
      <c r="AH96" s="603"/>
      <c r="AI96" s="907">
        <f t="shared" si="23"/>
        <v>0</v>
      </c>
      <c r="AJ96" s="921"/>
      <c r="AK96" s="921"/>
      <c r="AL96" s="921"/>
      <c r="AM96" s="921"/>
      <c r="AN96" s="921"/>
      <c r="AO96" s="617">
        <f t="shared" si="24"/>
        <v>0</v>
      </c>
      <c r="AR96" t="str">
        <f t="shared" si="25"/>
        <v>F</v>
      </c>
      <c r="AS96" t="str" cm="1">
        <f t="array" ref="AS96">IFERROR(INDEX(Table611[],MATCH($B96&amp;$C96&amp;$D96&amp;$F96,Table611[Component]&amp;Table611[Module]&amp;Table611[Intervention]&amp;Table611[Cost Input],0),5),"")</f>
        <v/>
      </c>
      <c r="AT96" t="str">
        <f t="shared" si="15"/>
        <v/>
      </c>
      <c r="AW96">
        <f t="shared" si="16"/>
        <v>9</v>
      </c>
    </row>
    <row r="97" spans="1:49" ht="14.5" x14ac:dyDescent="0.35">
      <c r="A97" s="258" t="str">
        <f t="shared" si="17"/>
        <v/>
      </c>
      <c r="B97" s="914"/>
      <c r="C97" s="602"/>
      <c r="D97" s="602"/>
      <c r="E97" s="601"/>
      <c r="F97" s="602"/>
      <c r="G97" s="614" t="str">
        <f>IF(F97="","",SETUP!$T$2)</f>
        <v/>
      </c>
      <c r="H97" s="614" t="str">
        <f t="shared" si="18"/>
        <v/>
      </c>
      <c r="I97" s="614" t="str">
        <f t="shared" si="14"/>
        <v/>
      </c>
      <c r="J97" s="614" t="str">
        <f>IF(F97="","",SETUP!$E$7)</f>
        <v/>
      </c>
      <c r="K97" s="912"/>
      <c r="L97" s="912"/>
      <c r="M97" s="912"/>
      <c r="N97" s="912"/>
      <c r="O97" s="904">
        <f t="shared" si="19"/>
        <v>0</v>
      </c>
      <c r="P97" s="603"/>
      <c r="Q97" s="603"/>
      <c r="R97" s="603"/>
      <c r="S97" s="603"/>
      <c r="T97" s="904">
        <f t="shared" si="20"/>
        <v>0</v>
      </c>
      <c r="U97" s="603"/>
      <c r="V97" s="603"/>
      <c r="W97" s="603"/>
      <c r="X97" s="603"/>
      <c r="Y97" s="904">
        <f t="shared" si="21"/>
        <v>0</v>
      </c>
      <c r="Z97" s="603"/>
      <c r="AA97" s="603"/>
      <c r="AB97" s="603"/>
      <c r="AC97" s="603"/>
      <c r="AD97" s="904">
        <f t="shared" si="22"/>
        <v>0</v>
      </c>
      <c r="AE97" s="603"/>
      <c r="AF97" s="603"/>
      <c r="AG97" s="603"/>
      <c r="AH97" s="603"/>
      <c r="AI97" s="907">
        <f t="shared" si="23"/>
        <v>0</v>
      </c>
      <c r="AJ97" s="921"/>
      <c r="AK97" s="921"/>
      <c r="AL97" s="921"/>
      <c r="AM97" s="921"/>
      <c r="AN97" s="921"/>
      <c r="AO97" s="617">
        <f t="shared" si="24"/>
        <v>0</v>
      </c>
      <c r="AR97" t="str">
        <f t="shared" si="25"/>
        <v>F</v>
      </c>
      <c r="AS97" t="str" cm="1">
        <f t="array" ref="AS97">IFERROR(INDEX(Table611[],MATCH($B97&amp;$C97&amp;$D97&amp;$F97,Table611[Component]&amp;Table611[Module]&amp;Table611[Intervention]&amp;Table611[Cost Input],0),5),"")</f>
        <v/>
      </c>
      <c r="AT97" t="str">
        <f t="shared" si="15"/>
        <v/>
      </c>
      <c r="AW97">
        <f t="shared" si="16"/>
        <v>9</v>
      </c>
    </row>
    <row r="98" spans="1:49" ht="14.5" x14ac:dyDescent="0.35">
      <c r="A98" s="258" t="str">
        <f t="shared" si="17"/>
        <v/>
      </c>
      <c r="B98" s="914"/>
      <c r="C98" s="602"/>
      <c r="D98" s="602"/>
      <c r="E98" s="601"/>
      <c r="F98" s="602"/>
      <c r="G98" s="614" t="str">
        <f>IF(F98="","",SETUP!$T$2)</f>
        <v/>
      </c>
      <c r="H98" s="614" t="str">
        <f t="shared" si="18"/>
        <v/>
      </c>
      <c r="I98" s="614" t="str">
        <f t="shared" si="14"/>
        <v/>
      </c>
      <c r="J98" s="614" t="str">
        <f>IF(F98="","",SETUP!$E$7)</f>
        <v/>
      </c>
      <c r="K98" s="912"/>
      <c r="L98" s="912"/>
      <c r="M98" s="912"/>
      <c r="N98" s="912"/>
      <c r="O98" s="904">
        <f t="shared" si="19"/>
        <v>0</v>
      </c>
      <c r="P98" s="603"/>
      <c r="Q98" s="603"/>
      <c r="R98" s="603"/>
      <c r="S98" s="603"/>
      <c r="T98" s="904">
        <f t="shared" si="20"/>
        <v>0</v>
      </c>
      <c r="U98" s="603"/>
      <c r="V98" s="603"/>
      <c r="W98" s="603"/>
      <c r="X98" s="603"/>
      <c r="Y98" s="904">
        <f t="shared" si="21"/>
        <v>0</v>
      </c>
      <c r="Z98" s="603"/>
      <c r="AA98" s="603"/>
      <c r="AB98" s="603"/>
      <c r="AC98" s="603"/>
      <c r="AD98" s="904">
        <f t="shared" si="22"/>
        <v>0</v>
      </c>
      <c r="AE98" s="603"/>
      <c r="AF98" s="603"/>
      <c r="AG98" s="603"/>
      <c r="AH98" s="603"/>
      <c r="AI98" s="907">
        <f t="shared" si="23"/>
        <v>0</v>
      </c>
      <c r="AJ98" s="921"/>
      <c r="AK98" s="921"/>
      <c r="AL98" s="921"/>
      <c r="AM98" s="921"/>
      <c r="AN98" s="921"/>
      <c r="AO98" s="617">
        <f t="shared" si="24"/>
        <v>0</v>
      </c>
      <c r="AR98" t="str">
        <f t="shared" si="25"/>
        <v>F</v>
      </c>
      <c r="AS98" t="str" cm="1">
        <f t="array" ref="AS98">IFERROR(INDEX(Table611[],MATCH($B98&amp;$C98&amp;$D98&amp;$F98,Table611[Component]&amp;Table611[Module]&amp;Table611[Intervention]&amp;Table611[Cost Input],0),5),"")</f>
        <v/>
      </c>
      <c r="AT98" t="str">
        <f t="shared" si="15"/>
        <v/>
      </c>
      <c r="AW98">
        <f t="shared" si="16"/>
        <v>9</v>
      </c>
    </row>
    <row r="99" spans="1:49" ht="14.5" x14ac:dyDescent="0.35">
      <c r="A99" s="258" t="str">
        <f t="shared" si="17"/>
        <v/>
      </c>
      <c r="B99" s="914"/>
      <c r="C99" s="602"/>
      <c r="D99" s="602"/>
      <c r="E99" s="601"/>
      <c r="F99" s="602"/>
      <c r="G99" s="614" t="str">
        <f>IF(F99="","",SETUP!$T$2)</f>
        <v/>
      </c>
      <c r="H99" s="614" t="str">
        <f t="shared" si="18"/>
        <v/>
      </c>
      <c r="I99" s="614" t="str">
        <f t="shared" si="14"/>
        <v/>
      </c>
      <c r="J99" s="614" t="str">
        <f>IF(F99="","",SETUP!$E$7)</f>
        <v/>
      </c>
      <c r="K99" s="912"/>
      <c r="L99" s="912"/>
      <c r="M99" s="912"/>
      <c r="N99" s="912"/>
      <c r="O99" s="904">
        <f t="shared" si="19"/>
        <v>0</v>
      </c>
      <c r="P99" s="603"/>
      <c r="Q99" s="603"/>
      <c r="R99" s="603"/>
      <c r="S99" s="603"/>
      <c r="T99" s="904">
        <f t="shared" si="20"/>
        <v>0</v>
      </c>
      <c r="U99" s="603"/>
      <c r="V99" s="603"/>
      <c r="W99" s="603"/>
      <c r="X99" s="603"/>
      <c r="Y99" s="904">
        <f t="shared" si="21"/>
        <v>0</v>
      </c>
      <c r="Z99" s="603"/>
      <c r="AA99" s="603"/>
      <c r="AB99" s="603"/>
      <c r="AC99" s="603"/>
      <c r="AD99" s="904">
        <f t="shared" si="22"/>
        <v>0</v>
      </c>
      <c r="AE99" s="603"/>
      <c r="AF99" s="603"/>
      <c r="AG99" s="603"/>
      <c r="AH99" s="603"/>
      <c r="AI99" s="907">
        <f t="shared" si="23"/>
        <v>0</v>
      </c>
      <c r="AJ99" s="921"/>
      <c r="AK99" s="921"/>
      <c r="AL99" s="921"/>
      <c r="AM99" s="921"/>
      <c r="AN99" s="921"/>
      <c r="AO99" s="617">
        <f t="shared" si="24"/>
        <v>0</v>
      </c>
      <c r="AR99" t="str">
        <f t="shared" si="25"/>
        <v>F</v>
      </c>
      <c r="AS99" t="str" cm="1">
        <f t="array" ref="AS99">IFERROR(INDEX(Table611[],MATCH($B99&amp;$C99&amp;$D99&amp;$F99,Table611[Component]&amp;Table611[Module]&amp;Table611[Intervention]&amp;Table611[Cost Input],0),5),"")</f>
        <v/>
      </c>
      <c r="AT99" t="str">
        <f t="shared" si="15"/>
        <v/>
      </c>
      <c r="AW99">
        <f t="shared" si="16"/>
        <v>9</v>
      </c>
    </row>
    <row r="100" spans="1:49" ht="14.5" x14ac:dyDescent="0.35">
      <c r="A100" s="258" t="str">
        <f t="shared" si="17"/>
        <v/>
      </c>
      <c r="B100" s="914"/>
      <c r="C100" s="602"/>
      <c r="D100" s="602"/>
      <c r="E100" s="601"/>
      <c r="F100" s="602"/>
      <c r="G100" s="614" t="str">
        <f>IF(F100="","",SETUP!$T$2)</f>
        <v/>
      </c>
      <c r="H100" s="614" t="str">
        <f t="shared" si="18"/>
        <v/>
      </c>
      <c r="I100" s="614" t="str">
        <f t="shared" si="14"/>
        <v/>
      </c>
      <c r="J100" s="614" t="str">
        <f>IF(F100="","",SETUP!$E$7)</f>
        <v/>
      </c>
      <c r="K100" s="912"/>
      <c r="L100" s="912"/>
      <c r="M100" s="912"/>
      <c r="N100" s="912"/>
      <c r="O100" s="904">
        <f t="shared" si="19"/>
        <v>0</v>
      </c>
      <c r="P100" s="603"/>
      <c r="Q100" s="603"/>
      <c r="R100" s="603"/>
      <c r="S100" s="603"/>
      <c r="T100" s="904">
        <f t="shared" si="20"/>
        <v>0</v>
      </c>
      <c r="U100" s="603"/>
      <c r="V100" s="603"/>
      <c r="W100" s="603"/>
      <c r="X100" s="603"/>
      <c r="Y100" s="904">
        <f t="shared" si="21"/>
        <v>0</v>
      </c>
      <c r="Z100" s="603"/>
      <c r="AA100" s="603"/>
      <c r="AB100" s="603"/>
      <c r="AC100" s="603"/>
      <c r="AD100" s="904">
        <f t="shared" si="22"/>
        <v>0</v>
      </c>
      <c r="AE100" s="603"/>
      <c r="AF100" s="603"/>
      <c r="AG100" s="603"/>
      <c r="AH100" s="603"/>
      <c r="AI100" s="907">
        <f t="shared" si="23"/>
        <v>0</v>
      </c>
      <c r="AJ100" s="921"/>
      <c r="AK100" s="921"/>
      <c r="AL100" s="921"/>
      <c r="AM100" s="921"/>
      <c r="AN100" s="921"/>
      <c r="AO100" s="617">
        <f t="shared" si="24"/>
        <v>0</v>
      </c>
      <c r="AR100" t="str">
        <f t="shared" si="25"/>
        <v>F</v>
      </c>
      <c r="AS100" t="str" cm="1">
        <f t="array" ref="AS100">IFERROR(INDEX(Table611[],MATCH($B100&amp;$C100&amp;$D100&amp;$F100,Table611[Component]&amp;Table611[Module]&amp;Table611[Intervention]&amp;Table611[Cost Input],0),5),"")</f>
        <v/>
      </c>
      <c r="AT100" t="str">
        <f t="shared" si="15"/>
        <v/>
      </c>
      <c r="AW100">
        <f t="shared" si="16"/>
        <v>9</v>
      </c>
    </row>
    <row r="101" spans="1:49" ht="14.5" x14ac:dyDescent="0.35">
      <c r="A101" s="258" t="str">
        <f t="shared" si="17"/>
        <v/>
      </c>
      <c r="B101" s="914"/>
      <c r="C101" s="602"/>
      <c r="D101" s="602"/>
      <c r="E101" s="601"/>
      <c r="F101" s="602"/>
      <c r="G101" s="614" t="str">
        <f>IF(F101="","",SETUP!$T$2)</f>
        <v/>
      </c>
      <c r="H101" s="614" t="str">
        <f t="shared" si="18"/>
        <v/>
      </c>
      <c r="I101" s="614" t="str">
        <f t="shared" si="14"/>
        <v/>
      </c>
      <c r="J101" s="614" t="str">
        <f>IF(F101="","",SETUP!$E$7)</f>
        <v/>
      </c>
      <c r="K101" s="912"/>
      <c r="L101" s="912"/>
      <c r="M101" s="912"/>
      <c r="N101" s="912"/>
      <c r="O101" s="904">
        <f t="shared" si="19"/>
        <v>0</v>
      </c>
      <c r="P101" s="603"/>
      <c r="Q101" s="603"/>
      <c r="R101" s="603"/>
      <c r="S101" s="603"/>
      <c r="T101" s="904">
        <f t="shared" si="20"/>
        <v>0</v>
      </c>
      <c r="U101" s="603"/>
      <c r="V101" s="603"/>
      <c r="W101" s="603"/>
      <c r="X101" s="603"/>
      <c r="Y101" s="904">
        <f t="shared" si="21"/>
        <v>0</v>
      </c>
      <c r="Z101" s="603"/>
      <c r="AA101" s="603"/>
      <c r="AB101" s="603"/>
      <c r="AC101" s="603"/>
      <c r="AD101" s="904">
        <f t="shared" si="22"/>
        <v>0</v>
      </c>
      <c r="AE101" s="603"/>
      <c r="AF101" s="603"/>
      <c r="AG101" s="603"/>
      <c r="AH101" s="603"/>
      <c r="AI101" s="907">
        <f t="shared" si="23"/>
        <v>0</v>
      </c>
      <c r="AJ101" s="921"/>
      <c r="AK101" s="921"/>
      <c r="AL101" s="921"/>
      <c r="AM101" s="921"/>
      <c r="AN101" s="921"/>
      <c r="AO101" s="617">
        <f t="shared" si="24"/>
        <v>0</v>
      </c>
      <c r="AR101" t="str">
        <f t="shared" si="25"/>
        <v>F</v>
      </c>
      <c r="AS101" t="str" cm="1">
        <f t="array" ref="AS101">IFERROR(INDEX(Table611[],MATCH($B101&amp;$C101&amp;$D101&amp;$F101,Table611[Component]&amp;Table611[Module]&amp;Table611[Intervention]&amp;Table611[Cost Input],0),5),"")</f>
        <v/>
      </c>
      <c r="AT101" t="str">
        <f t="shared" ref="AT101:AT132" si="26">IF(A101="","",IF(OR(AW101&gt;1,AS101=""),"F","T"))</f>
        <v/>
      </c>
      <c r="AW101">
        <f t="shared" ref="AW101:AW132" si="27">COUNTBLANK(B101:J101)+COUNTBLANK(AO101:AO101)</f>
        <v>9</v>
      </c>
    </row>
    <row r="102" spans="1:49" ht="14.5" x14ac:dyDescent="0.35">
      <c r="A102" s="258" t="str">
        <f t="shared" si="17"/>
        <v/>
      </c>
      <c r="B102" s="914"/>
      <c r="C102" s="602"/>
      <c r="D102" s="602"/>
      <c r="E102" s="601"/>
      <c r="F102" s="602"/>
      <c r="G102" s="614" t="str">
        <f>IF(F102="","",SETUP!$T$2)</f>
        <v/>
      </c>
      <c r="H102" s="614" t="str">
        <f t="shared" si="18"/>
        <v/>
      </c>
      <c r="I102" s="614" t="str">
        <f t="shared" si="14"/>
        <v/>
      </c>
      <c r="J102" s="614" t="str">
        <f>IF(F102="","",SETUP!$E$7)</f>
        <v/>
      </c>
      <c r="K102" s="912"/>
      <c r="L102" s="912"/>
      <c r="M102" s="912"/>
      <c r="N102" s="912"/>
      <c r="O102" s="904">
        <f t="shared" si="19"/>
        <v>0</v>
      </c>
      <c r="P102" s="603"/>
      <c r="Q102" s="603"/>
      <c r="R102" s="603"/>
      <c r="S102" s="603"/>
      <c r="T102" s="904">
        <f t="shared" si="20"/>
        <v>0</v>
      </c>
      <c r="U102" s="603"/>
      <c r="V102" s="603"/>
      <c r="W102" s="603"/>
      <c r="X102" s="603"/>
      <c r="Y102" s="904">
        <f t="shared" si="21"/>
        <v>0</v>
      </c>
      <c r="Z102" s="603"/>
      <c r="AA102" s="603"/>
      <c r="AB102" s="603"/>
      <c r="AC102" s="603"/>
      <c r="AD102" s="904">
        <f t="shared" si="22"/>
        <v>0</v>
      </c>
      <c r="AE102" s="603"/>
      <c r="AF102" s="603"/>
      <c r="AG102" s="603"/>
      <c r="AH102" s="603"/>
      <c r="AI102" s="907">
        <f t="shared" si="23"/>
        <v>0</v>
      </c>
      <c r="AJ102" s="921"/>
      <c r="AK102" s="921"/>
      <c r="AL102" s="921"/>
      <c r="AM102" s="921"/>
      <c r="AN102" s="921"/>
      <c r="AO102" s="617">
        <f t="shared" si="24"/>
        <v>0</v>
      </c>
      <c r="AR102" t="str">
        <f t="shared" si="25"/>
        <v>F</v>
      </c>
      <c r="AS102" t="str" cm="1">
        <f t="array" ref="AS102">IFERROR(INDEX(Table611[],MATCH($B102&amp;$C102&amp;$D102&amp;$F102,Table611[Component]&amp;Table611[Module]&amp;Table611[Intervention]&amp;Table611[Cost Input],0),5),"")</f>
        <v/>
      </c>
      <c r="AT102" t="str">
        <f t="shared" si="26"/>
        <v/>
      </c>
      <c r="AW102">
        <f t="shared" si="27"/>
        <v>9</v>
      </c>
    </row>
    <row r="103" spans="1:49" ht="14.5" x14ac:dyDescent="0.35">
      <c r="A103" s="258" t="str">
        <f t="shared" si="17"/>
        <v/>
      </c>
      <c r="B103" s="914"/>
      <c r="C103" s="602"/>
      <c r="D103" s="602"/>
      <c r="E103" s="601"/>
      <c r="F103" s="602"/>
      <c r="G103" s="614" t="str">
        <f>IF(F103="","",SETUP!$T$2)</f>
        <v/>
      </c>
      <c r="H103" s="614" t="str">
        <f t="shared" si="18"/>
        <v/>
      </c>
      <c r="I103" s="614" t="str">
        <f t="shared" si="14"/>
        <v/>
      </c>
      <c r="J103" s="614" t="str">
        <f>IF(F103="","",SETUP!$E$7)</f>
        <v/>
      </c>
      <c r="K103" s="912"/>
      <c r="L103" s="912"/>
      <c r="M103" s="912"/>
      <c r="N103" s="912"/>
      <c r="O103" s="904">
        <f t="shared" si="19"/>
        <v>0</v>
      </c>
      <c r="P103" s="603"/>
      <c r="Q103" s="603"/>
      <c r="R103" s="603"/>
      <c r="S103" s="603"/>
      <c r="T103" s="904">
        <f t="shared" si="20"/>
        <v>0</v>
      </c>
      <c r="U103" s="603"/>
      <c r="V103" s="603"/>
      <c r="W103" s="603"/>
      <c r="X103" s="603"/>
      <c r="Y103" s="904">
        <f t="shared" si="21"/>
        <v>0</v>
      </c>
      <c r="Z103" s="603"/>
      <c r="AA103" s="603"/>
      <c r="AB103" s="603"/>
      <c r="AC103" s="603"/>
      <c r="AD103" s="904">
        <f t="shared" si="22"/>
        <v>0</v>
      </c>
      <c r="AE103" s="603"/>
      <c r="AF103" s="603"/>
      <c r="AG103" s="603"/>
      <c r="AH103" s="603"/>
      <c r="AI103" s="907">
        <f t="shared" si="23"/>
        <v>0</v>
      </c>
      <c r="AJ103" s="921"/>
      <c r="AK103" s="921"/>
      <c r="AL103" s="921"/>
      <c r="AM103" s="921"/>
      <c r="AN103" s="921"/>
      <c r="AO103" s="617">
        <f t="shared" si="24"/>
        <v>0</v>
      </c>
      <c r="AR103" t="str">
        <f t="shared" si="25"/>
        <v>F</v>
      </c>
      <c r="AS103" t="str" cm="1">
        <f t="array" ref="AS103">IFERROR(INDEX(Table611[],MATCH($B103&amp;$C103&amp;$D103&amp;$F103,Table611[Component]&amp;Table611[Module]&amp;Table611[Intervention]&amp;Table611[Cost Input],0),5),"")</f>
        <v/>
      </c>
      <c r="AT103" t="str">
        <f t="shared" si="26"/>
        <v/>
      </c>
      <c r="AW103">
        <f t="shared" si="27"/>
        <v>9</v>
      </c>
    </row>
    <row r="104" spans="1:49" ht="14.5" x14ac:dyDescent="0.35">
      <c r="A104" s="258" t="str">
        <f t="shared" si="17"/>
        <v/>
      </c>
      <c r="B104" s="914"/>
      <c r="C104" s="602"/>
      <c r="D104" s="602"/>
      <c r="E104" s="601"/>
      <c r="F104" s="602"/>
      <c r="G104" s="614" t="str">
        <f>IF(F104="","",SETUP!$T$2)</f>
        <v/>
      </c>
      <c r="H104" s="614" t="str">
        <f t="shared" si="18"/>
        <v/>
      </c>
      <c r="I104" s="614" t="str">
        <f t="shared" si="14"/>
        <v/>
      </c>
      <c r="J104" s="614" t="str">
        <f>IF(F104="","",SETUP!$E$7)</f>
        <v/>
      </c>
      <c r="K104" s="912"/>
      <c r="L104" s="912"/>
      <c r="M104" s="912"/>
      <c r="N104" s="912"/>
      <c r="O104" s="904">
        <f t="shared" si="19"/>
        <v>0</v>
      </c>
      <c r="P104" s="603"/>
      <c r="Q104" s="603"/>
      <c r="R104" s="603"/>
      <c r="S104" s="603"/>
      <c r="T104" s="904">
        <f t="shared" si="20"/>
        <v>0</v>
      </c>
      <c r="U104" s="603"/>
      <c r="V104" s="603"/>
      <c r="W104" s="603"/>
      <c r="X104" s="603"/>
      <c r="Y104" s="904">
        <f t="shared" si="21"/>
        <v>0</v>
      </c>
      <c r="Z104" s="603"/>
      <c r="AA104" s="603"/>
      <c r="AB104" s="603"/>
      <c r="AC104" s="603"/>
      <c r="AD104" s="904">
        <f t="shared" si="22"/>
        <v>0</v>
      </c>
      <c r="AE104" s="603"/>
      <c r="AF104" s="603"/>
      <c r="AG104" s="603"/>
      <c r="AH104" s="603"/>
      <c r="AI104" s="907">
        <f t="shared" si="23"/>
        <v>0</v>
      </c>
      <c r="AJ104" s="921"/>
      <c r="AK104" s="921"/>
      <c r="AL104" s="921"/>
      <c r="AM104" s="921"/>
      <c r="AN104" s="921"/>
      <c r="AO104" s="617">
        <f t="shared" si="24"/>
        <v>0</v>
      </c>
      <c r="AR104" t="str">
        <f t="shared" si="25"/>
        <v>F</v>
      </c>
      <c r="AS104" t="str" cm="1">
        <f t="array" ref="AS104">IFERROR(INDEX(Table611[],MATCH($B104&amp;$C104&amp;$D104&amp;$F104,Table611[Component]&amp;Table611[Module]&amp;Table611[Intervention]&amp;Table611[Cost Input],0),5),"")</f>
        <v/>
      </c>
      <c r="AT104" t="str">
        <f t="shared" si="26"/>
        <v/>
      </c>
      <c r="AW104">
        <f t="shared" si="27"/>
        <v>9</v>
      </c>
    </row>
    <row r="105" spans="1:49" ht="14.5" x14ac:dyDescent="0.35">
      <c r="A105" s="258" t="str">
        <f t="shared" si="17"/>
        <v/>
      </c>
      <c r="B105" s="914"/>
      <c r="C105" s="602"/>
      <c r="D105" s="602"/>
      <c r="E105" s="601"/>
      <c r="F105" s="602"/>
      <c r="G105" s="614" t="str">
        <f>IF(F105="","",SETUP!$T$2)</f>
        <v/>
      </c>
      <c r="H105" s="614" t="str">
        <f t="shared" si="18"/>
        <v/>
      </c>
      <c r="I105" s="614" t="str">
        <f t="shared" si="14"/>
        <v/>
      </c>
      <c r="J105" s="614" t="str">
        <f>IF(F105="","",SETUP!$E$7)</f>
        <v/>
      </c>
      <c r="K105" s="912"/>
      <c r="L105" s="912"/>
      <c r="M105" s="912"/>
      <c r="N105" s="912"/>
      <c r="O105" s="904">
        <f t="shared" si="19"/>
        <v>0</v>
      </c>
      <c r="P105" s="603"/>
      <c r="Q105" s="603"/>
      <c r="R105" s="603"/>
      <c r="S105" s="603"/>
      <c r="T105" s="904">
        <f t="shared" si="20"/>
        <v>0</v>
      </c>
      <c r="U105" s="603"/>
      <c r="V105" s="603"/>
      <c r="W105" s="603"/>
      <c r="X105" s="603"/>
      <c r="Y105" s="904">
        <f t="shared" si="21"/>
        <v>0</v>
      </c>
      <c r="Z105" s="603"/>
      <c r="AA105" s="603"/>
      <c r="AB105" s="603"/>
      <c r="AC105" s="603"/>
      <c r="AD105" s="904">
        <f t="shared" si="22"/>
        <v>0</v>
      </c>
      <c r="AE105" s="603"/>
      <c r="AF105" s="603"/>
      <c r="AG105" s="603"/>
      <c r="AH105" s="603"/>
      <c r="AI105" s="907">
        <f t="shared" si="23"/>
        <v>0</v>
      </c>
      <c r="AJ105" s="921"/>
      <c r="AK105" s="921"/>
      <c r="AL105" s="921"/>
      <c r="AM105" s="921"/>
      <c r="AN105" s="921"/>
      <c r="AO105" s="617">
        <f t="shared" si="24"/>
        <v>0</v>
      </c>
      <c r="AR105" t="str">
        <f t="shared" si="25"/>
        <v>F</v>
      </c>
      <c r="AS105" t="str" cm="1">
        <f t="array" ref="AS105">IFERROR(INDEX(Table611[],MATCH($B105&amp;$C105&amp;$D105&amp;$F105,Table611[Component]&amp;Table611[Module]&amp;Table611[Intervention]&amp;Table611[Cost Input],0),5),"")</f>
        <v/>
      </c>
      <c r="AT105" t="str">
        <f t="shared" si="26"/>
        <v/>
      </c>
      <c r="AW105">
        <f t="shared" si="27"/>
        <v>9</v>
      </c>
    </row>
    <row r="106" spans="1:49" ht="14.5" x14ac:dyDescent="0.35">
      <c r="A106" s="258" t="str">
        <f t="shared" si="17"/>
        <v/>
      </c>
      <c r="B106" s="914"/>
      <c r="C106" s="602"/>
      <c r="D106" s="602"/>
      <c r="E106" s="601"/>
      <c r="F106" s="602"/>
      <c r="G106" s="614" t="str">
        <f>IF(F106="","",SETUP!$T$2)</f>
        <v/>
      </c>
      <c r="H106" s="614" t="str">
        <f t="shared" si="18"/>
        <v/>
      </c>
      <c r="I106" s="614" t="str">
        <f t="shared" si="14"/>
        <v/>
      </c>
      <c r="J106" s="614" t="str">
        <f>IF(F106="","",SETUP!$E$7)</f>
        <v/>
      </c>
      <c r="K106" s="912"/>
      <c r="L106" s="912"/>
      <c r="M106" s="912"/>
      <c r="N106" s="912"/>
      <c r="O106" s="904">
        <f t="shared" si="19"/>
        <v>0</v>
      </c>
      <c r="P106" s="603"/>
      <c r="Q106" s="603"/>
      <c r="R106" s="603"/>
      <c r="S106" s="603"/>
      <c r="T106" s="904">
        <f t="shared" si="20"/>
        <v>0</v>
      </c>
      <c r="U106" s="603"/>
      <c r="V106" s="603"/>
      <c r="W106" s="603"/>
      <c r="X106" s="603"/>
      <c r="Y106" s="904">
        <f t="shared" si="21"/>
        <v>0</v>
      </c>
      <c r="Z106" s="603"/>
      <c r="AA106" s="603"/>
      <c r="AB106" s="603"/>
      <c r="AC106" s="603"/>
      <c r="AD106" s="904">
        <f t="shared" si="22"/>
        <v>0</v>
      </c>
      <c r="AE106" s="603"/>
      <c r="AF106" s="603"/>
      <c r="AG106" s="603"/>
      <c r="AH106" s="603"/>
      <c r="AI106" s="907">
        <f t="shared" si="23"/>
        <v>0</v>
      </c>
      <c r="AJ106" s="921"/>
      <c r="AK106" s="921"/>
      <c r="AL106" s="921"/>
      <c r="AM106" s="921"/>
      <c r="AN106" s="921"/>
      <c r="AO106" s="617">
        <f t="shared" si="24"/>
        <v>0</v>
      </c>
      <c r="AR106" t="str">
        <f t="shared" si="25"/>
        <v>F</v>
      </c>
      <c r="AS106" t="str" cm="1">
        <f t="array" ref="AS106">IFERROR(INDEX(Table611[],MATCH($B106&amp;$C106&amp;$D106&amp;$F106,Table611[Component]&amp;Table611[Module]&amp;Table611[Intervention]&amp;Table611[Cost Input],0),5),"")</f>
        <v/>
      </c>
      <c r="AT106" t="str">
        <f t="shared" si="26"/>
        <v/>
      </c>
      <c r="AW106">
        <f t="shared" si="27"/>
        <v>9</v>
      </c>
    </row>
    <row r="107" spans="1:49" ht="14.5" x14ac:dyDescent="0.35">
      <c r="A107" s="258" t="str">
        <f t="shared" si="17"/>
        <v/>
      </c>
      <c r="B107" s="914"/>
      <c r="C107" s="602"/>
      <c r="D107" s="602"/>
      <c r="E107" s="601"/>
      <c r="F107" s="602"/>
      <c r="G107" s="614" t="str">
        <f>IF(F107="","",SETUP!$T$2)</f>
        <v/>
      </c>
      <c r="H107" s="614" t="str">
        <f t="shared" si="18"/>
        <v/>
      </c>
      <c r="I107" s="614" t="str">
        <f t="shared" si="14"/>
        <v/>
      </c>
      <c r="J107" s="614" t="str">
        <f>IF(F107="","",SETUP!$E$7)</f>
        <v/>
      </c>
      <c r="K107" s="912"/>
      <c r="L107" s="912"/>
      <c r="M107" s="912"/>
      <c r="N107" s="912"/>
      <c r="O107" s="904">
        <f t="shared" si="19"/>
        <v>0</v>
      </c>
      <c r="P107" s="603"/>
      <c r="Q107" s="603"/>
      <c r="R107" s="603"/>
      <c r="S107" s="603"/>
      <c r="T107" s="904">
        <f t="shared" si="20"/>
        <v>0</v>
      </c>
      <c r="U107" s="603"/>
      <c r="V107" s="603"/>
      <c r="W107" s="603"/>
      <c r="X107" s="603"/>
      <c r="Y107" s="904">
        <f t="shared" si="21"/>
        <v>0</v>
      </c>
      <c r="Z107" s="603"/>
      <c r="AA107" s="603"/>
      <c r="AB107" s="603"/>
      <c r="AC107" s="603"/>
      <c r="AD107" s="904">
        <f t="shared" si="22"/>
        <v>0</v>
      </c>
      <c r="AE107" s="603"/>
      <c r="AF107" s="603"/>
      <c r="AG107" s="603"/>
      <c r="AH107" s="603"/>
      <c r="AI107" s="907">
        <f t="shared" si="23"/>
        <v>0</v>
      </c>
      <c r="AJ107" s="921"/>
      <c r="AK107" s="921"/>
      <c r="AL107" s="921"/>
      <c r="AM107" s="921"/>
      <c r="AN107" s="921"/>
      <c r="AO107" s="617">
        <f t="shared" si="24"/>
        <v>0</v>
      </c>
      <c r="AR107" t="str">
        <f t="shared" si="25"/>
        <v>F</v>
      </c>
      <c r="AS107" t="str" cm="1">
        <f t="array" ref="AS107">IFERROR(INDEX(Table611[],MATCH($B107&amp;$C107&amp;$D107&amp;$F107,Table611[Component]&amp;Table611[Module]&amp;Table611[Intervention]&amp;Table611[Cost Input],0),5),"")</f>
        <v/>
      </c>
      <c r="AT107" t="str">
        <f t="shared" si="26"/>
        <v/>
      </c>
      <c r="AW107">
        <f t="shared" si="27"/>
        <v>9</v>
      </c>
    </row>
    <row r="108" spans="1:49" ht="14.5" x14ac:dyDescent="0.35">
      <c r="A108" s="258" t="str">
        <f t="shared" si="17"/>
        <v/>
      </c>
      <c r="B108" s="914"/>
      <c r="C108" s="602"/>
      <c r="D108" s="602"/>
      <c r="E108" s="601"/>
      <c r="F108" s="602"/>
      <c r="G108" s="614" t="str">
        <f>IF(F108="","",SETUP!$T$2)</f>
        <v/>
      </c>
      <c r="H108" s="614" t="str">
        <f t="shared" si="18"/>
        <v/>
      </c>
      <c r="I108" s="614" t="str">
        <f t="shared" si="14"/>
        <v/>
      </c>
      <c r="J108" s="614" t="str">
        <f>IF(F108="","",SETUP!$E$7)</f>
        <v/>
      </c>
      <c r="K108" s="912"/>
      <c r="L108" s="912"/>
      <c r="M108" s="912"/>
      <c r="N108" s="912"/>
      <c r="O108" s="904">
        <f t="shared" si="19"/>
        <v>0</v>
      </c>
      <c r="P108" s="603"/>
      <c r="Q108" s="603"/>
      <c r="R108" s="603"/>
      <c r="S108" s="603"/>
      <c r="T108" s="904">
        <f t="shared" si="20"/>
        <v>0</v>
      </c>
      <c r="U108" s="603"/>
      <c r="V108" s="603"/>
      <c r="W108" s="603"/>
      <c r="X108" s="603"/>
      <c r="Y108" s="904">
        <f t="shared" si="21"/>
        <v>0</v>
      </c>
      <c r="Z108" s="603"/>
      <c r="AA108" s="603"/>
      <c r="AB108" s="603"/>
      <c r="AC108" s="603"/>
      <c r="AD108" s="904">
        <f t="shared" si="22"/>
        <v>0</v>
      </c>
      <c r="AE108" s="603"/>
      <c r="AF108" s="603"/>
      <c r="AG108" s="603"/>
      <c r="AH108" s="603"/>
      <c r="AI108" s="907">
        <f t="shared" si="23"/>
        <v>0</v>
      </c>
      <c r="AJ108" s="921"/>
      <c r="AK108" s="921"/>
      <c r="AL108" s="921"/>
      <c r="AM108" s="921"/>
      <c r="AN108" s="921"/>
      <c r="AO108" s="617">
        <f t="shared" si="24"/>
        <v>0</v>
      </c>
      <c r="AR108" t="str">
        <f t="shared" si="25"/>
        <v>F</v>
      </c>
      <c r="AS108" t="str" cm="1">
        <f t="array" ref="AS108">IFERROR(INDEX(Table611[],MATCH($B108&amp;$C108&amp;$D108&amp;$F108,Table611[Component]&amp;Table611[Module]&amp;Table611[Intervention]&amp;Table611[Cost Input],0),5),"")</f>
        <v/>
      </c>
      <c r="AT108" t="str">
        <f t="shared" si="26"/>
        <v/>
      </c>
      <c r="AW108">
        <f t="shared" si="27"/>
        <v>9</v>
      </c>
    </row>
    <row r="109" spans="1:49" ht="14.5" x14ac:dyDescent="0.35">
      <c r="A109" s="258" t="str">
        <f t="shared" si="17"/>
        <v/>
      </c>
      <c r="B109" s="914"/>
      <c r="C109" s="602"/>
      <c r="D109" s="602"/>
      <c r="E109" s="601"/>
      <c r="F109" s="602"/>
      <c r="G109" s="614" t="str">
        <f>IF(F109="","",SETUP!$T$2)</f>
        <v/>
      </c>
      <c r="H109" s="614" t="str">
        <f t="shared" si="18"/>
        <v/>
      </c>
      <c r="I109" s="614" t="str">
        <f t="shared" si="14"/>
        <v/>
      </c>
      <c r="J109" s="614" t="str">
        <f>IF(F109="","",SETUP!$E$7)</f>
        <v/>
      </c>
      <c r="K109" s="912"/>
      <c r="L109" s="912"/>
      <c r="M109" s="912"/>
      <c r="N109" s="912"/>
      <c r="O109" s="904">
        <f t="shared" si="19"/>
        <v>0</v>
      </c>
      <c r="P109" s="603"/>
      <c r="Q109" s="603"/>
      <c r="R109" s="603"/>
      <c r="S109" s="603"/>
      <c r="T109" s="904">
        <f t="shared" si="20"/>
        <v>0</v>
      </c>
      <c r="U109" s="603"/>
      <c r="V109" s="603"/>
      <c r="W109" s="603"/>
      <c r="X109" s="603"/>
      <c r="Y109" s="904">
        <f t="shared" si="21"/>
        <v>0</v>
      </c>
      <c r="Z109" s="603"/>
      <c r="AA109" s="603"/>
      <c r="AB109" s="603"/>
      <c r="AC109" s="603"/>
      <c r="AD109" s="904">
        <f t="shared" si="22"/>
        <v>0</v>
      </c>
      <c r="AE109" s="603"/>
      <c r="AF109" s="603"/>
      <c r="AG109" s="603"/>
      <c r="AH109" s="603"/>
      <c r="AI109" s="907">
        <f t="shared" si="23"/>
        <v>0</v>
      </c>
      <c r="AJ109" s="921"/>
      <c r="AK109" s="921"/>
      <c r="AL109" s="921"/>
      <c r="AM109" s="921"/>
      <c r="AN109" s="921"/>
      <c r="AO109" s="617">
        <f t="shared" si="24"/>
        <v>0</v>
      </c>
      <c r="AR109" t="str">
        <f t="shared" si="25"/>
        <v>F</v>
      </c>
      <c r="AS109" t="str" cm="1">
        <f t="array" ref="AS109">IFERROR(INDEX(Table611[],MATCH($B109&amp;$C109&amp;$D109&amp;$F109,Table611[Component]&amp;Table611[Module]&amp;Table611[Intervention]&amp;Table611[Cost Input],0),5),"")</f>
        <v/>
      </c>
      <c r="AT109" t="str">
        <f t="shared" si="26"/>
        <v/>
      </c>
      <c r="AW109">
        <f t="shared" si="27"/>
        <v>9</v>
      </c>
    </row>
    <row r="110" spans="1:49" ht="14.5" x14ac:dyDescent="0.35">
      <c r="A110" s="258" t="str">
        <f t="shared" si="17"/>
        <v/>
      </c>
      <c r="B110" s="914"/>
      <c r="C110" s="602"/>
      <c r="D110" s="602"/>
      <c r="E110" s="601"/>
      <c r="F110" s="602"/>
      <c r="G110" s="614" t="str">
        <f>IF(F110="","",SETUP!$T$2)</f>
        <v/>
      </c>
      <c r="H110" s="614" t="str">
        <f t="shared" si="18"/>
        <v/>
      </c>
      <c r="I110" s="614" t="str">
        <f t="shared" si="14"/>
        <v/>
      </c>
      <c r="J110" s="614" t="str">
        <f>IF(F110="","",SETUP!$E$7)</f>
        <v/>
      </c>
      <c r="K110" s="912"/>
      <c r="L110" s="912"/>
      <c r="M110" s="912"/>
      <c r="N110" s="912"/>
      <c r="O110" s="904">
        <f t="shared" si="19"/>
        <v>0</v>
      </c>
      <c r="P110" s="603"/>
      <c r="Q110" s="603"/>
      <c r="R110" s="603"/>
      <c r="S110" s="603"/>
      <c r="T110" s="904">
        <f t="shared" si="20"/>
        <v>0</v>
      </c>
      <c r="U110" s="603"/>
      <c r="V110" s="603"/>
      <c r="W110" s="603"/>
      <c r="X110" s="603"/>
      <c r="Y110" s="904">
        <f t="shared" si="21"/>
        <v>0</v>
      </c>
      <c r="Z110" s="603"/>
      <c r="AA110" s="603"/>
      <c r="AB110" s="603"/>
      <c r="AC110" s="603"/>
      <c r="AD110" s="904">
        <f t="shared" si="22"/>
        <v>0</v>
      </c>
      <c r="AE110" s="603"/>
      <c r="AF110" s="603"/>
      <c r="AG110" s="603"/>
      <c r="AH110" s="603"/>
      <c r="AI110" s="907">
        <f t="shared" si="23"/>
        <v>0</v>
      </c>
      <c r="AJ110" s="921"/>
      <c r="AK110" s="921"/>
      <c r="AL110" s="921"/>
      <c r="AM110" s="921"/>
      <c r="AN110" s="921"/>
      <c r="AO110" s="617">
        <f t="shared" si="24"/>
        <v>0</v>
      </c>
      <c r="AR110" t="str">
        <f t="shared" si="25"/>
        <v>F</v>
      </c>
      <c r="AS110" t="str" cm="1">
        <f t="array" ref="AS110">IFERROR(INDEX(Table611[],MATCH($B110&amp;$C110&amp;$D110&amp;$F110,Table611[Component]&amp;Table611[Module]&amp;Table611[Intervention]&amp;Table611[Cost Input],0),5),"")</f>
        <v/>
      </c>
      <c r="AT110" t="str">
        <f t="shared" si="26"/>
        <v/>
      </c>
      <c r="AW110">
        <f t="shared" si="27"/>
        <v>9</v>
      </c>
    </row>
    <row r="111" spans="1:49" ht="14.5" x14ac:dyDescent="0.35">
      <c r="A111" s="258" t="str">
        <f t="shared" si="17"/>
        <v/>
      </c>
      <c r="B111" s="914"/>
      <c r="C111" s="602"/>
      <c r="D111" s="602"/>
      <c r="E111" s="601"/>
      <c r="F111" s="602"/>
      <c r="G111" s="614" t="str">
        <f>IF(F111="","",SETUP!$T$2)</f>
        <v/>
      </c>
      <c r="H111" s="614" t="str">
        <f t="shared" si="18"/>
        <v/>
      </c>
      <c r="I111" s="614" t="str">
        <f t="shared" si="14"/>
        <v/>
      </c>
      <c r="J111" s="614" t="str">
        <f>IF(F111="","",SETUP!$E$7)</f>
        <v/>
      </c>
      <c r="K111" s="912"/>
      <c r="L111" s="912"/>
      <c r="M111" s="912"/>
      <c r="N111" s="912"/>
      <c r="O111" s="904">
        <f t="shared" si="19"/>
        <v>0</v>
      </c>
      <c r="P111" s="603"/>
      <c r="Q111" s="603"/>
      <c r="R111" s="603"/>
      <c r="S111" s="603"/>
      <c r="T111" s="904">
        <f t="shared" si="20"/>
        <v>0</v>
      </c>
      <c r="U111" s="603"/>
      <c r="V111" s="603"/>
      <c r="W111" s="603"/>
      <c r="X111" s="603"/>
      <c r="Y111" s="904">
        <f t="shared" si="21"/>
        <v>0</v>
      </c>
      <c r="Z111" s="603"/>
      <c r="AA111" s="603"/>
      <c r="AB111" s="603"/>
      <c r="AC111" s="603"/>
      <c r="AD111" s="904">
        <f t="shared" si="22"/>
        <v>0</v>
      </c>
      <c r="AE111" s="603"/>
      <c r="AF111" s="603"/>
      <c r="AG111" s="603"/>
      <c r="AH111" s="603"/>
      <c r="AI111" s="907">
        <f t="shared" si="23"/>
        <v>0</v>
      </c>
      <c r="AJ111" s="921"/>
      <c r="AK111" s="921"/>
      <c r="AL111" s="921"/>
      <c r="AM111" s="921"/>
      <c r="AN111" s="921"/>
      <c r="AO111" s="617">
        <f t="shared" si="24"/>
        <v>0</v>
      </c>
      <c r="AR111" t="str">
        <f t="shared" si="25"/>
        <v>F</v>
      </c>
      <c r="AS111" t="str" cm="1">
        <f t="array" ref="AS111">IFERROR(INDEX(Table611[],MATCH($B111&amp;$C111&amp;$D111&amp;$F111,Table611[Component]&amp;Table611[Module]&amp;Table611[Intervention]&amp;Table611[Cost Input],0),5),"")</f>
        <v/>
      </c>
      <c r="AT111" t="str">
        <f t="shared" si="26"/>
        <v/>
      </c>
      <c r="AW111">
        <f t="shared" si="27"/>
        <v>9</v>
      </c>
    </row>
    <row r="112" spans="1:49" ht="14.5" x14ac:dyDescent="0.35">
      <c r="A112" s="258" t="str">
        <f t="shared" si="17"/>
        <v/>
      </c>
      <c r="B112" s="914"/>
      <c r="C112" s="602"/>
      <c r="D112" s="602"/>
      <c r="E112" s="601"/>
      <c r="F112" s="602"/>
      <c r="G112" s="614" t="str">
        <f>IF(F112="","",SETUP!$T$2)</f>
        <v/>
      </c>
      <c r="H112" s="614" t="str">
        <f t="shared" si="18"/>
        <v/>
      </c>
      <c r="I112" s="614" t="str">
        <f t="shared" si="14"/>
        <v/>
      </c>
      <c r="J112" s="614" t="str">
        <f>IF(F112="","",SETUP!$E$7)</f>
        <v/>
      </c>
      <c r="K112" s="912"/>
      <c r="L112" s="912"/>
      <c r="M112" s="912"/>
      <c r="N112" s="912"/>
      <c r="O112" s="904">
        <f t="shared" si="19"/>
        <v>0</v>
      </c>
      <c r="P112" s="603"/>
      <c r="Q112" s="603"/>
      <c r="R112" s="603"/>
      <c r="S112" s="603"/>
      <c r="T112" s="904">
        <f t="shared" si="20"/>
        <v>0</v>
      </c>
      <c r="U112" s="603"/>
      <c r="V112" s="603"/>
      <c r="W112" s="603"/>
      <c r="X112" s="603"/>
      <c r="Y112" s="904">
        <f t="shared" si="21"/>
        <v>0</v>
      </c>
      <c r="Z112" s="603"/>
      <c r="AA112" s="603"/>
      <c r="AB112" s="603"/>
      <c r="AC112" s="603"/>
      <c r="AD112" s="904">
        <f t="shared" si="22"/>
        <v>0</v>
      </c>
      <c r="AE112" s="603"/>
      <c r="AF112" s="603"/>
      <c r="AG112" s="603"/>
      <c r="AH112" s="603"/>
      <c r="AI112" s="907">
        <f t="shared" si="23"/>
        <v>0</v>
      </c>
      <c r="AJ112" s="921"/>
      <c r="AK112" s="921"/>
      <c r="AL112" s="921"/>
      <c r="AM112" s="921"/>
      <c r="AN112" s="921"/>
      <c r="AO112" s="617">
        <f t="shared" si="24"/>
        <v>0</v>
      </c>
      <c r="AR112" t="str">
        <f t="shared" si="25"/>
        <v>F</v>
      </c>
      <c r="AS112" t="str" cm="1">
        <f t="array" ref="AS112">IFERROR(INDEX(Table611[],MATCH($B112&amp;$C112&amp;$D112&amp;$F112,Table611[Component]&amp;Table611[Module]&amp;Table611[Intervention]&amp;Table611[Cost Input],0),5),"")</f>
        <v/>
      </c>
      <c r="AT112" t="str">
        <f t="shared" si="26"/>
        <v/>
      </c>
      <c r="AW112">
        <f t="shared" si="27"/>
        <v>9</v>
      </c>
    </row>
    <row r="113" spans="1:49" ht="14.5" x14ac:dyDescent="0.35">
      <c r="A113" s="258" t="str">
        <f t="shared" si="17"/>
        <v/>
      </c>
      <c r="B113" s="914"/>
      <c r="C113" s="602"/>
      <c r="D113" s="602"/>
      <c r="E113" s="601"/>
      <c r="F113" s="602"/>
      <c r="G113" s="614" t="str">
        <f>IF(F113="","",SETUP!$T$2)</f>
        <v/>
      </c>
      <c r="H113" s="614" t="str">
        <f t="shared" si="18"/>
        <v/>
      </c>
      <c r="I113" s="614" t="str">
        <f t="shared" si="14"/>
        <v/>
      </c>
      <c r="J113" s="614" t="str">
        <f>IF(F113="","",SETUP!$E$7)</f>
        <v/>
      </c>
      <c r="K113" s="912"/>
      <c r="L113" s="912"/>
      <c r="M113" s="912"/>
      <c r="N113" s="912"/>
      <c r="O113" s="904">
        <f t="shared" si="19"/>
        <v>0</v>
      </c>
      <c r="P113" s="603"/>
      <c r="Q113" s="603"/>
      <c r="R113" s="603"/>
      <c r="S113" s="603"/>
      <c r="T113" s="904">
        <f t="shared" si="20"/>
        <v>0</v>
      </c>
      <c r="U113" s="603"/>
      <c r="V113" s="603"/>
      <c r="W113" s="603"/>
      <c r="X113" s="603"/>
      <c r="Y113" s="904">
        <f t="shared" si="21"/>
        <v>0</v>
      </c>
      <c r="Z113" s="603"/>
      <c r="AA113" s="603"/>
      <c r="AB113" s="603"/>
      <c r="AC113" s="603"/>
      <c r="AD113" s="904">
        <f t="shared" si="22"/>
        <v>0</v>
      </c>
      <c r="AE113" s="603"/>
      <c r="AF113" s="603"/>
      <c r="AG113" s="603"/>
      <c r="AH113" s="603"/>
      <c r="AI113" s="907">
        <f t="shared" si="23"/>
        <v>0</v>
      </c>
      <c r="AJ113" s="921"/>
      <c r="AK113" s="921"/>
      <c r="AL113" s="921"/>
      <c r="AM113" s="921"/>
      <c r="AN113" s="921"/>
      <c r="AO113" s="617">
        <f t="shared" si="24"/>
        <v>0</v>
      </c>
      <c r="AR113" t="str">
        <f t="shared" si="25"/>
        <v>F</v>
      </c>
      <c r="AS113" t="str" cm="1">
        <f t="array" ref="AS113">IFERROR(INDEX(Table611[],MATCH($B113&amp;$C113&amp;$D113&amp;$F113,Table611[Component]&amp;Table611[Module]&amp;Table611[Intervention]&amp;Table611[Cost Input],0),5),"")</f>
        <v/>
      </c>
      <c r="AT113" t="str">
        <f t="shared" si="26"/>
        <v/>
      </c>
      <c r="AW113">
        <f t="shared" si="27"/>
        <v>9</v>
      </c>
    </row>
    <row r="114" spans="1:49" ht="14.5" x14ac:dyDescent="0.35">
      <c r="A114" s="258" t="str">
        <f t="shared" si="17"/>
        <v/>
      </c>
      <c r="B114" s="914"/>
      <c r="C114" s="602"/>
      <c r="D114" s="602"/>
      <c r="E114" s="601"/>
      <c r="F114" s="602"/>
      <c r="G114" s="614" t="str">
        <f>IF(F114="","",SETUP!$T$2)</f>
        <v/>
      </c>
      <c r="H114" s="614" t="str">
        <f t="shared" si="18"/>
        <v/>
      </c>
      <c r="I114" s="614" t="str">
        <f t="shared" si="14"/>
        <v/>
      </c>
      <c r="J114" s="614" t="str">
        <f>IF(F114="","",SETUP!$E$7)</f>
        <v/>
      </c>
      <c r="K114" s="912"/>
      <c r="L114" s="912"/>
      <c r="M114" s="912"/>
      <c r="N114" s="912"/>
      <c r="O114" s="904">
        <f t="shared" si="19"/>
        <v>0</v>
      </c>
      <c r="P114" s="603"/>
      <c r="Q114" s="603"/>
      <c r="R114" s="603"/>
      <c r="S114" s="603"/>
      <c r="T114" s="904">
        <f t="shared" si="20"/>
        <v>0</v>
      </c>
      <c r="U114" s="603"/>
      <c r="V114" s="603"/>
      <c r="W114" s="603"/>
      <c r="X114" s="603"/>
      <c r="Y114" s="904">
        <f t="shared" si="21"/>
        <v>0</v>
      </c>
      <c r="Z114" s="603"/>
      <c r="AA114" s="603"/>
      <c r="AB114" s="603"/>
      <c r="AC114" s="603"/>
      <c r="AD114" s="904">
        <f t="shared" si="22"/>
        <v>0</v>
      </c>
      <c r="AE114" s="603"/>
      <c r="AF114" s="603"/>
      <c r="AG114" s="603"/>
      <c r="AH114" s="603"/>
      <c r="AI114" s="907">
        <f t="shared" si="23"/>
        <v>0</v>
      </c>
      <c r="AJ114" s="921"/>
      <c r="AK114" s="921"/>
      <c r="AL114" s="921"/>
      <c r="AM114" s="921"/>
      <c r="AN114" s="921"/>
      <c r="AO114" s="617">
        <f t="shared" si="24"/>
        <v>0</v>
      </c>
      <c r="AR114" t="str">
        <f t="shared" si="25"/>
        <v>F</v>
      </c>
      <c r="AS114" t="str" cm="1">
        <f t="array" ref="AS114">IFERROR(INDEX(Table611[],MATCH($B114&amp;$C114&amp;$D114&amp;$F114,Table611[Component]&amp;Table611[Module]&amp;Table611[Intervention]&amp;Table611[Cost Input],0),5),"")</f>
        <v/>
      </c>
      <c r="AT114" t="str">
        <f t="shared" si="26"/>
        <v/>
      </c>
      <c r="AW114">
        <f t="shared" si="27"/>
        <v>9</v>
      </c>
    </row>
    <row r="115" spans="1:49" ht="14.5" x14ac:dyDescent="0.35">
      <c r="A115" s="258" t="str">
        <f t="shared" si="17"/>
        <v/>
      </c>
      <c r="B115" s="914"/>
      <c r="C115" s="602"/>
      <c r="D115" s="602"/>
      <c r="E115" s="601"/>
      <c r="F115" s="602"/>
      <c r="G115" s="614" t="str">
        <f>IF(F115="","",SETUP!$T$2)</f>
        <v/>
      </c>
      <c r="H115" s="614" t="str">
        <f t="shared" si="18"/>
        <v/>
      </c>
      <c r="I115" s="614" t="str">
        <f t="shared" si="14"/>
        <v/>
      </c>
      <c r="J115" s="614" t="str">
        <f>IF(F115="","",SETUP!$E$7)</f>
        <v/>
      </c>
      <c r="K115" s="912"/>
      <c r="L115" s="912"/>
      <c r="M115" s="912"/>
      <c r="N115" s="912"/>
      <c r="O115" s="904">
        <f t="shared" si="19"/>
        <v>0</v>
      </c>
      <c r="P115" s="603"/>
      <c r="Q115" s="603"/>
      <c r="R115" s="603"/>
      <c r="S115" s="603"/>
      <c r="T115" s="904">
        <f t="shared" si="20"/>
        <v>0</v>
      </c>
      <c r="U115" s="603"/>
      <c r="V115" s="603"/>
      <c r="W115" s="603"/>
      <c r="X115" s="603"/>
      <c r="Y115" s="904">
        <f t="shared" si="21"/>
        <v>0</v>
      </c>
      <c r="Z115" s="603"/>
      <c r="AA115" s="603"/>
      <c r="AB115" s="603"/>
      <c r="AC115" s="603"/>
      <c r="AD115" s="904">
        <f t="shared" si="22"/>
        <v>0</v>
      </c>
      <c r="AE115" s="603"/>
      <c r="AF115" s="603"/>
      <c r="AG115" s="603"/>
      <c r="AH115" s="603"/>
      <c r="AI115" s="907">
        <f t="shared" si="23"/>
        <v>0</v>
      </c>
      <c r="AJ115" s="921"/>
      <c r="AK115" s="921"/>
      <c r="AL115" s="921"/>
      <c r="AM115" s="921"/>
      <c r="AN115" s="921"/>
      <c r="AO115" s="617">
        <f t="shared" si="24"/>
        <v>0</v>
      </c>
      <c r="AR115" t="str">
        <f t="shared" si="25"/>
        <v>F</v>
      </c>
      <c r="AS115" t="str" cm="1">
        <f t="array" ref="AS115">IFERROR(INDEX(Table611[],MATCH($B115&amp;$C115&amp;$D115&amp;$F115,Table611[Component]&amp;Table611[Module]&amp;Table611[Intervention]&amp;Table611[Cost Input],0),5),"")</f>
        <v/>
      </c>
      <c r="AT115" t="str">
        <f t="shared" si="26"/>
        <v/>
      </c>
      <c r="AW115">
        <f t="shared" si="27"/>
        <v>9</v>
      </c>
    </row>
    <row r="116" spans="1:49" ht="14.5" x14ac:dyDescent="0.35">
      <c r="A116" s="258" t="str">
        <f t="shared" si="17"/>
        <v/>
      </c>
      <c r="B116" s="914"/>
      <c r="C116" s="602"/>
      <c r="D116" s="602"/>
      <c r="E116" s="601"/>
      <c r="F116" s="602"/>
      <c r="G116" s="614" t="str">
        <f>IF(F116="","",SETUP!$T$2)</f>
        <v/>
      </c>
      <c r="H116" s="614" t="str">
        <f t="shared" si="18"/>
        <v/>
      </c>
      <c r="I116" s="614" t="str">
        <f t="shared" si="14"/>
        <v/>
      </c>
      <c r="J116" s="614" t="str">
        <f>IF(F116="","",SETUP!$E$7)</f>
        <v/>
      </c>
      <c r="K116" s="912"/>
      <c r="L116" s="912"/>
      <c r="M116" s="912"/>
      <c r="N116" s="912"/>
      <c r="O116" s="904">
        <f t="shared" si="19"/>
        <v>0</v>
      </c>
      <c r="P116" s="603"/>
      <c r="Q116" s="603"/>
      <c r="R116" s="603"/>
      <c r="S116" s="603"/>
      <c r="T116" s="904">
        <f t="shared" si="20"/>
        <v>0</v>
      </c>
      <c r="U116" s="603"/>
      <c r="V116" s="603"/>
      <c r="W116" s="603"/>
      <c r="X116" s="603"/>
      <c r="Y116" s="904">
        <f t="shared" si="21"/>
        <v>0</v>
      </c>
      <c r="Z116" s="603"/>
      <c r="AA116" s="603"/>
      <c r="AB116" s="603"/>
      <c r="AC116" s="603"/>
      <c r="AD116" s="904">
        <f t="shared" si="22"/>
        <v>0</v>
      </c>
      <c r="AE116" s="603"/>
      <c r="AF116" s="603"/>
      <c r="AG116" s="603"/>
      <c r="AH116" s="603"/>
      <c r="AI116" s="907">
        <f t="shared" si="23"/>
        <v>0</v>
      </c>
      <c r="AJ116" s="921"/>
      <c r="AK116" s="921"/>
      <c r="AL116" s="921"/>
      <c r="AM116" s="921"/>
      <c r="AN116" s="921"/>
      <c r="AO116" s="617">
        <f t="shared" si="24"/>
        <v>0</v>
      </c>
      <c r="AR116" t="str">
        <f t="shared" si="25"/>
        <v>F</v>
      </c>
      <c r="AS116" t="str" cm="1">
        <f t="array" ref="AS116">IFERROR(INDEX(Table611[],MATCH($B116&amp;$C116&amp;$D116&amp;$F116,Table611[Component]&amp;Table611[Module]&amp;Table611[Intervention]&amp;Table611[Cost Input],0),5),"")</f>
        <v/>
      </c>
      <c r="AT116" t="str">
        <f t="shared" si="26"/>
        <v/>
      </c>
      <c r="AW116">
        <f t="shared" si="27"/>
        <v>9</v>
      </c>
    </row>
    <row r="117" spans="1:49" ht="14.5" x14ac:dyDescent="0.35">
      <c r="A117" s="258" t="str">
        <f t="shared" si="17"/>
        <v/>
      </c>
      <c r="B117" s="914"/>
      <c r="C117" s="602"/>
      <c r="D117" s="602"/>
      <c r="E117" s="601"/>
      <c r="F117" s="602"/>
      <c r="G117" s="614" t="str">
        <f>IF(F117="","",SETUP!$T$2)</f>
        <v/>
      </c>
      <c r="H117" s="614" t="str">
        <f t="shared" si="18"/>
        <v/>
      </c>
      <c r="I117" s="614" t="str">
        <f t="shared" si="14"/>
        <v/>
      </c>
      <c r="J117" s="614" t="str">
        <f>IF(F117="","",SETUP!$E$7)</f>
        <v/>
      </c>
      <c r="K117" s="912"/>
      <c r="L117" s="912"/>
      <c r="M117" s="912"/>
      <c r="N117" s="912"/>
      <c r="O117" s="904">
        <f t="shared" si="19"/>
        <v>0</v>
      </c>
      <c r="P117" s="603"/>
      <c r="Q117" s="603"/>
      <c r="R117" s="603"/>
      <c r="S117" s="603"/>
      <c r="T117" s="904">
        <f t="shared" si="20"/>
        <v>0</v>
      </c>
      <c r="U117" s="603"/>
      <c r="V117" s="603"/>
      <c r="W117" s="603"/>
      <c r="X117" s="603"/>
      <c r="Y117" s="904">
        <f t="shared" si="21"/>
        <v>0</v>
      </c>
      <c r="Z117" s="603"/>
      <c r="AA117" s="603"/>
      <c r="AB117" s="603"/>
      <c r="AC117" s="603"/>
      <c r="AD117" s="904">
        <f t="shared" si="22"/>
        <v>0</v>
      </c>
      <c r="AE117" s="603"/>
      <c r="AF117" s="603"/>
      <c r="AG117" s="603"/>
      <c r="AH117" s="603"/>
      <c r="AI117" s="907">
        <f t="shared" si="23"/>
        <v>0</v>
      </c>
      <c r="AJ117" s="921"/>
      <c r="AK117" s="921"/>
      <c r="AL117" s="921"/>
      <c r="AM117" s="921"/>
      <c r="AN117" s="921"/>
      <c r="AO117" s="617">
        <f t="shared" si="24"/>
        <v>0</v>
      </c>
      <c r="AR117" t="str">
        <f t="shared" si="25"/>
        <v>F</v>
      </c>
      <c r="AS117" t="str" cm="1">
        <f t="array" ref="AS117">IFERROR(INDEX(Table611[],MATCH($B117&amp;$C117&amp;$D117&amp;$F117,Table611[Component]&amp;Table611[Module]&amp;Table611[Intervention]&amp;Table611[Cost Input],0),5),"")</f>
        <v/>
      </c>
      <c r="AT117" t="str">
        <f t="shared" si="26"/>
        <v/>
      </c>
      <c r="AW117">
        <f t="shared" si="27"/>
        <v>9</v>
      </c>
    </row>
    <row r="118" spans="1:49" ht="14.5" x14ac:dyDescent="0.35">
      <c r="A118" s="258" t="str">
        <f t="shared" si="17"/>
        <v/>
      </c>
      <c r="B118" s="914"/>
      <c r="C118" s="602"/>
      <c r="D118" s="602"/>
      <c r="E118" s="601"/>
      <c r="F118" s="602"/>
      <c r="G118" s="614" t="str">
        <f>IF(F118="","",SETUP!$T$2)</f>
        <v/>
      </c>
      <c r="H118" s="614" t="str">
        <f t="shared" si="18"/>
        <v/>
      </c>
      <c r="I118" s="614" t="str">
        <f t="shared" si="14"/>
        <v/>
      </c>
      <c r="J118" s="614" t="str">
        <f>IF(F118="","",SETUP!$E$7)</f>
        <v/>
      </c>
      <c r="K118" s="912"/>
      <c r="L118" s="912"/>
      <c r="M118" s="912"/>
      <c r="N118" s="912"/>
      <c r="O118" s="904">
        <f t="shared" si="19"/>
        <v>0</v>
      </c>
      <c r="P118" s="603"/>
      <c r="Q118" s="603"/>
      <c r="R118" s="603"/>
      <c r="S118" s="603"/>
      <c r="T118" s="904">
        <f t="shared" si="20"/>
        <v>0</v>
      </c>
      <c r="U118" s="603"/>
      <c r="V118" s="603"/>
      <c r="W118" s="603"/>
      <c r="X118" s="603"/>
      <c r="Y118" s="904">
        <f t="shared" si="21"/>
        <v>0</v>
      </c>
      <c r="Z118" s="603"/>
      <c r="AA118" s="603"/>
      <c r="AB118" s="603"/>
      <c r="AC118" s="603"/>
      <c r="AD118" s="904">
        <f t="shared" si="22"/>
        <v>0</v>
      </c>
      <c r="AE118" s="603"/>
      <c r="AF118" s="603"/>
      <c r="AG118" s="603"/>
      <c r="AH118" s="603"/>
      <c r="AI118" s="907">
        <f t="shared" si="23"/>
        <v>0</v>
      </c>
      <c r="AJ118" s="921"/>
      <c r="AK118" s="921"/>
      <c r="AL118" s="921"/>
      <c r="AM118" s="921"/>
      <c r="AN118" s="921"/>
      <c r="AO118" s="617">
        <f t="shared" si="24"/>
        <v>0</v>
      </c>
      <c r="AR118" t="str">
        <f t="shared" si="25"/>
        <v>F</v>
      </c>
      <c r="AS118" t="str" cm="1">
        <f t="array" ref="AS118">IFERROR(INDEX(Table611[],MATCH($B118&amp;$C118&amp;$D118&amp;$F118,Table611[Component]&amp;Table611[Module]&amp;Table611[Intervention]&amp;Table611[Cost Input],0),5),"")</f>
        <v/>
      </c>
      <c r="AT118" t="str">
        <f t="shared" si="26"/>
        <v/>
      </c>
      <c r="AW118">
        <f t="shared" si="27"/>
        <v>9</v>
      </c>
    </row>
    <row r="119" spans="1:49" ht="14.5" x14ac:dyDescent="0.35">
      <c r="A119" s="258" t="str">
        <f t="shared" si="17"/>
        <v/>
      </c>
      <c r="B119" s="914"/>
      <c r="C119" s="602"/>
      <c r="D119" s="602"/>
      <c r="E119" s="601"/>
      <c r="F119" s="602"/>
      <c r="G119" s="614" t="str">
        <f>IF(F119="","",SETUP!$T$2)</f>
        <v/>
      </c>
      <c r="H119" s="614" t="str">
        <f t="shared" si="18"/>
        <v/>
      </c>
      <c r="I119" s="614" t="str">
        <f t="shared" si="14"/>
        <v/>
      </c>
      <c r="J119" s="614" t="str">
        <f>IF(F119="","",SETUP!$E$7)</f>
        <v/>
      </c>
      <c r="K119" s="912"/>
      <c r="L119" s="912"/>
      <c r="M119" s="912"/>
      <c r="N119" s="912"/>
      <c r="O119" s="904">
        <f t="shared" si="19"/>
        <v>0</v>
      </c>
      <c r="P119" s="603"/>
      <c r="Q119" s="603"/>
      <c r="R119" s="603"/>
      <c r="S119" s="603"/>
      <c r="T119" s="904">
        <f t="shared" si="20"/>
        <v>0</v>
      </c>
      <c r="U119" s="603"/>
      <c r="V119" s="603"/>
      <c r="W119" s="603"/>
      <c r="X119" s="603"/>
      <c r="Y119" s="904">
        <f t="shared" si="21"/>
        <v>0</v>
      </c>
      <c r="Z119" s="603"/>
      <c r="AA119" s="603"/>
      <c r="AB119" s="603"/>
      <c r="AC119" s="603"/>
      <c r="AD119" s="904">
        <f t="shared" si="22"/>
        <v>0</v>
      </c>
      <c r="AE119" s="603"/>
      <c r="AF119" s="603"/>
      <c r="AG119" s="603"/>
      <c r="AH119" s="603"/>
      <c r="AI119" s="907">
        <f t="shared" si="23"/>
        <v>0</v>
      </c>
      <c r="AJ119" s="921"/>
      <c r="AK119" s="921"/>
      <c r="AL119" s="921"/>
      <c r="AM119" s="921"/>
      <c r="AN119" s="921"/>
      <c r="AO119" s="617">
        <f t="shared" si="24"/>
        <v>0</v>
      </c>
      <c r="AR119" t="str">
        <f t="shared" si="25"/>
        <v>F</v>
      </c>
      <c r="AS119" t="str" cm="1">
        <f t="array" ref="AS119">IFERROR(INDEX(Table611[],MATCH($B119&amp;$C119&amp;$D119&amp;$F119,Table611[Component]&amp;Table611[Module]&amp;Table611[Intervention]&amp;Table611[Cost Input],0),5),"")</f>
        <v/>
      </c>
      <c r="AT119" t="str">
        <f t="shared" si="26"/>
        <v/>
      </c>
      <c r="AW119">
        <f t="shared" si="27"/>
        <v>9</v>
      </c>
    </row>
    <row r="120" spans="1:49" ht="14.5" x14ac:dyDescent="0.35">
      <c r="A120" s="258" t="str">
        <f t="shared" si="17"/>
        <v/>
      </c>
      <c r="B120" s="914"/>
      <c r="C120" s="602"/>
      <c r="D120" s="602"/>
      <c r="E120" s="601"/>
      <c r="F120" s="602"/>
      <c r="G120" s="614" t="str">
        <f>IF(F120="","",SETUP!$T$2)</f>
        <v/>
      </c>
      <c r="H120" s="614" t="str">
        <f t="shared" si="18"/>
        <v/>
      </c>
      <c r="I120" s="614" t="str">
        <f t="shared" si="14"/>
        <v/>
      </c>
      <c r="J120" s="614" t="str">
        <f>IF(F120="","",SETUP!$E$7)</f>
        <v/>
      </c>
      <c r="K120" s="912"/>
      <c r="L120" s="912"/>
      <c r="M120" s="912"/>
      <c r="N120" s="912"/>
      <c r="O120" s="904">
        <f t="shared" si="19"/>
        <v>0</v>
      </c>
      <c r="P120" s="603"/>
      <c r="Q120" s="603"/>
      <c r="R120" s="603"/>
      <c r="S120" s="603"/>
      <c r="T120" s="904">
        <f t="shared" si="20"/>
        <v>0</v>
      </c>
      <c r="U120" s="603"/>
      <c r="V120" s="603"/>
      <c r="W120" s="603"/>
      <c r="X120" s="603"/>
      <c r="Y120" s="904">
        <f t="shared" si="21"/>
        <v>0</v>
      </c>
      <c r="Z120" s="603"/>
      <c r="AA120" s="603"/>
      <c r="AB120" s="603"/>
      <c r="AC120" s="603"/>
      <c r="AD120" s="904">
        <f t="shared" si="22"/>
        <v>0</v>
      </c>
      <c r="AE120" s="603"/>
      <c r="AF120" s="603"/>
      <c r="AG120" s="603"/>
      <c r="AH120" s="603"/>
      <c r="AI120" s="907">
        <f t="shared" si="23"/>
        <v>0</v>
      </c>
      <c r="AJ120" s="921"/>
      <c r="AK120" s="921"/>
      <c r="AL120" s="921"/>
      <c r="AM120" s="921"/>
      <c r="AN120" s="921"/>
      <c r="AO120" s="617">
        <f t="shared" si="24"/>
        <v>0</v>
      </c>
      <c r="AR120" t="str">
        <f t="shared" si="25"/>
        <v>F</v>
      </c>
      <c r="AS120" t="str" cm="1">
        <f t="array" ref="AS120">IFERROR(INDEX(Table611[],MATCH($B120&amp;$C120&amp;$D120&amp;$F120,Table611[Component]&amp;Table611[Module]&amp;Table611[Intervention]&amp;Table611[Cost Input],0),5),"")</f>
        <v/>
      </c>
      <c r="AT120" t="str">
        <f t="shared" si="26"/>
        <v/>
      </c>
      <c r="AW120">
        <f t="shared" si="27"/>
        <v>9</v>
      </c>
    </row>
    <row r="121" spans="1:49" ht="14.5" x14ac:dyDescent="0.35">
      <c r="A121" s="258" t="str">
        <f t="shared" si="17"/>
        <v/>
      </c>
      <c r="B121" s="914"/>
      <c r="C121" s="602"/>
      <c r="D121" s="602"/>
      <c r="E121" s="601"/>
      <c r="F121" s="602"/>
      <c r="G121" s="614" t="str">
        <f>IF(F121="","",SETUP!$T$2)</f>
        <v/>
      </c>
      <c r="H121" s="614" t="str">
        <f t="shared" si="18"/>
        <v/>
      </c>
      <c r="I121" s="614" t="str">
        <f t="shared" si="14"/>
        <v/>
      </c>
      <c r="J121" s="614" t="str">
        <f>IF(F121="","",SETUP!$E$7)</f>
        <v/>
      </c>
      <c r="K121" s="912"/>
      <c r="L121" s="912"/>
      <c r="M121" s="912"/>
      <c r="N121" s="912"/>
      <c r="O121" s="904">
        <f t="shared" si="19"/>
        <v>0</v>
      </c>
      <c r="P121" s="603"/>
      <c r="Q121" s="603"/>
      <c r="R121" s="603"/>
      <c r="S121" s="603"/>
      <c r="T121" s="904">
        <f t="shared" si="20"/>
        <v>0</v>
      </c>
      <c r="U121" s="603"/>
      <c r="V121" s="603"/>
      <c r="W121" s="603"/>
      <c r="X121" s="603"/>
      <c r="Y121" s="904">
        <f t="shared" si="21"/>
        <v>0</v>
      </c>
      <c r="Z121" s="603"/>
      <c r="AA121" s="603"/>
      <c r="AB121" s="603"/>
      <c r="AC121" s="603"/>
      <c r="AD121" s="904">
        <f t="shared" si="22"/>
        <v>0</v>
      </c>
      <c r="AE121" s="603"/>
      <c r="AF121" s="603"/>
      <c r="AG121" s="603"/>
      <c r="AH121" s="603"/>
      <c r="AI121" s="907">
        <f t="shared" si="23"/>
        <v>0</v>
      </c>
      <c r="AJ121" s="921"/>
      <c r="AK121" s="921"/>
      <c r="AL121" s="921"/>
      <c r="AM121" s="921"/>
      <c r="AN121" s="921"/>
      <c r="AO121" s="617">
        <f t="shared" si="24"/>
        <v>0</v>
      </c>
      <c r="AR121" t="str">
        <f t="shared" si="25"/>
        <v>F</v>
      </c>
      <c r="AS121" t="str" cm="1">
        <f t="array" ref="AS121">IFERROR(INDEX(Table611[],MATCH($B121&amp;$C121&amp;$D121&amp;$F121,Table611[Component]&amp;Table611[Module]&amp;Table611[Intervention]&amp;Table611[Cost Input],0),5),"")</f>
        <v/>
      </c>
      <c r="AT121" t="str">
        <f t="shared" si="26"/>
        <v/>
      </c>
      <c r="AW121">
        <f t="shared" si="27"/>
        <v>9</v>
      </c>
    </row>
    <row r="122" spans="1:49" ht="14.5" x14ac:dyDescent="0.35">
      <c r="A122" s="258" t="str">
        <f t="shared" si="17"/>
        <v/>
      </c>
      <c r="B122" s="914"/>
      <c r="C122" s="602"/>
      <c r="D122" s="602"/>
      <c r="E122" s="601"/>
      <c r="F122" s="602"/>
      <c r="G122" s="614" t="str">
        <f>IF(F122="","",SETUP!$T$2)</f>
        <v/>
      </c>
      <c r="H122" s="614" t="str">
        <f t="shared" si="18"/>
        <v/>
      </c>
      <c r="I122" s="614" t="str">
        <f t="shared" si="14"/>
        <v/>
      </c>
      <c r="J122" s="614" t="str">
        <f>IF(F122="","",SETUP!$E$7)</f>
        <v/>
      </c>
      <c r="K122" s="912"/>
      <c r="L122" s="912"/>
      <c r="M122" s="912"/>
      <c r="N122" s="912"/>
      <c r="O122" s="904">
        <f t="shared" si="19"/>
        <v>0</v>
      </c>
      <c r="P122" s="603"/>
      <c r="Q122" s="603"/>
      <c r="R122" s="603"/>
      <c r="S122" s="603"/>
      <c r="T122" s="904">
        <f t="shared" si="20"/>
        <v>0</v>
      </c>
      <c r="U122" s="603"/>
      <c r="V122" s="603"/>
      <c r="W122" s="603"/>
      <c r="X122" s="603"/>
      <c r="Y122" s="904">
        <f t="shared" si="21"/>
        <v>0</v>
      </c>
      <c r="Z122" s="603"/>
      <c r="AA122" s="603"/>
      <c r="AB122" s="603"/>
      <c r="AC122" s="603"/>
      <c r="AD122" s="904">
        <f t="shared" si="22"/>
        <v>0</v>
      </c>
      <c r="AE122" s="603"/>
      <c r="AF122" s="603"/>
      <c r="AG122" s="603"/>
      <c r="AH122" s="603"/>
      <c r="AI122" s="907">
        <f t="shared" si="23"/>
        <v>0</v>
      </c>
      <c r="AJ122" s="921"/>
      <c r="AK122" s="921"/>
      <c r="AL122" s="921"/>
      <c r="AM122" s="921"/>
      <c r="AN122" s="921"/>
      <c r="AO122" s="617">
        <f t="shared" si="24"/>
        <v>0</v>
      </c>
      <c r="AR122" t="str">
        <f t="shared" si="25"/>
        <v>F</v>
      </c>
      <c r="AS122" t="str" cm="1">
        <f t="array" ref="AS122">IFERROR(INDEX(Table611[],MATCH($B122&amp;$C122&amp;$D122&amp;$F122,Table611[Component]&amp;Table611[Module]&amp;Table611[Intervention]&amp;Table611[Cost Input],0),5),"")</f>
        <v/>
      </c>
      <c r="AT122" t="str">
        <f t="shared" si="26"/>
        <v/>
      </c>
      <c r="AW122">
        <f t="shared" si="27"/>
        <v>9</v>
      </c>
    </row>
    <row r="123" spans="1:49" ht="14.5" x14ac:dyDescent="0.35">
      <c r="A123" s="258" t="str">
        <f t="shared" si="17"/>
        <v/>
      </c>
      <c r="B123" s="914"/>
      <c r="C123" s="602"/>
      <c r="D123" s="602"/>
      <c r="E123" s="601"/>
      <c r="F123" s="602"/>
      <c r="G123" s="614" t="str">
        <f>IF(F123="","",SETUP!$T$2)</f>
        <v/>
      </c>
      <c r="H123" s="614" t="str">
        <f t="shared" si="18"/>
        <v/>
      </c>
      <c r="I123" s="614" t="str">
        <f t="shared" si="14"/>
        <v/>
      </c>
      <c r="J123" s="614" t="str">
        <f>IF(F123="","",SETUP!$E$7)</f>
        <v/>
      </c>
      <c r="K123" s="912"/>
      <c r="L123" s="912"/>
      <c r="M123" s="912"/>
      <c r="N123" s="912"/>
      <c r="O123" s="904">
        <f t="shared" si="19"/>
        <v>0</v>
      </c>
      <c r="P123" s="603"/>
      <c r="Q123" s="603"/>
      <c r="R123" s="603"/>
      <c r="S123" s="603"/>
      <c r="T123" s="904">
        <f t="shared" si="20"/>
        <v>0</v>
      </c>
      <c r="U123" s="603"/>
      <c r="V123" s="603"/>
      <c r="W123" s="603"/>
      <c r="X123" s="603"/>
      <c r="Y123" s="904">
        <f t="shared" si="21"/>
        <v>0</v>
      </c>
      <c r="Z123" s="603"/>
      <c r="AA123" s="603"/>
      <c r="AB123" s="603"/>
      <c r="AC123" s="603"/>
      <c r="AD123" s="904">
        <f t="shared" si="22"/>
        <v>0</v>
      </c>
      <c r="AE123" s="603"/>
      <c r="AF123" s="603"/>
      <c r="AG123" s="603"/>
      <c r="AH123" s="603"/>
      <c r="AI123" s="907">
        <f t="shared" si="23"/>
        <v>0</v>
      </c>
      <c r="AJ123" s="921"/>
      <c r="AK123" s="921"/>
      <c r="AL123" s="921"/>
      <c r="AM123" s="921"/>
      <c r="AN123" s="921"/>
      <c r="AO123" s="617">
        <f t="shared" si="24"/>
        <v>0</v>
      </c>
      <c r="AR123" t="str">
        <f t="shared" si="25"/>
        <v>F</v>
      </c>
      <c r="AS123" t="str" cm="1">
        <f t="array" ref="AS123">IFERROR(INDEX(Table611[],MATCH($B123&amp;$C123&amp;$D123&amp;$F123,Table611[Component]&amp;Table611[Module]&amp;Table611[Intervention]&amp;Table611[Cost Input],0),5),"")</f>
        <v/>
      </c>
      <c r="AT123" t="str">
        <f t="shared" si="26"/>
        <v/>
      </c>
      <c r="AW123">
        <f t="shared" si="27"/>
        <v>9</v>
      </c>
    </row>
    <row r="124" spans="1:49" ht="14.5" x14ac:dyDescent="0.35">
      <c r="A124" s="258" t="str">
        <f t="shared" si="17"/>
        <v/>
      </c>
      <c r="B124" s="914"/>
      <c r="C124" s="602"/>
      <c r="D124" s="602"/>
      <c r="E124" s="601"/>
      <c r="F124" s="602"/>
      <c r="G124" s="614" t="str">
        <f>IF(F124="","",SETUP!$T$2)</f>
        <v/>
      </c>
      <c r="H124" s="614" t="str">
        <f t="shared" si="18"/>
        <v/>
      </c>
      <c r="I124" s="614" t="str">
        <f t="shared" si="14"/>
        <v/>
      </c>
      <c r="J124" s="614" t="str">
        <f>IF(F124="","",SETUP!$E$7)</f>
        <v/>
      </c>
      <c r="K124" s="912"/>
      <c r="L124" s="912"/>
      <c r="M124" s="912"/>
      <c r="N124" s="912"/>
      <c r="O124" s="904">
        <f t="shared" si="19"/>
        <v>0</v>
      </c>
      <c r="P124" s="603"/>
      <c r="Q124" s="603"/>
      <c r="R124" s="603"/>
      <c r="S124" s="603"/>
      <c r="T124" s="904">
        <f t="shared" si="20"/>
        <v>0</v>
      </c>
      <c r="U124" s="603"/>
      <c r="V124" s="603"/>
      <c r="W124" s="603"/>
      <c r="X124" s="603"/>
      <c r="Y124" s="904">
        <f t="shared" si="21"/>
        <v>0</v>
      </c>
      <c r="Z124" s="603"/>
      <c r="AA124" s="603"/>
      <c r="AB124" s="603"/>
      <c r="AC124" s="603"/>
      <c r="AD124" s="904">
        <f t="shared" si="22"/>
        <v>0</v>
      </c>
      <c r="AE124" s="603"/>
      <c r="AF124" s="603"/>
      <c r="AG124" s="603"/>
      <c r="AH124" s="603"/>
      <c r="AI124" s="907">
        <f t="shared" si="23"/>
        <v>0</v>
      </c>
      <c r="AJ124" s="921"/>
      <c r="AK124" s="921"/>
      <c r="AL124" s="921"/>
      <c r="AM124" s="921"/>
      <c r="AN124" s="921"/>
      <c r="AO124" s="617">
        <f t="shared" si="24"/>
        <v>0</v>
      </c>
      <c r="AR124" t="str">
        <f t="shared" si="25"/>
        <v>F</v>
      </c>
      <c r="AS124" t="str" cm="1">
        <f t="array" ref="AS124">IFERROR(INDEX(Table611[],MATCH($B124&amp;$C124&amp;$D124&amp;$F124,Table611[Component]&amp;Table611[Module]&amp;Table611[Intervention]&amp;Table611[Cost Input],0),5),"")</f>
        <v/>
      </c>
      <c r="AT124" t="str">
        <f t="shared" si="26"/>
        <v/>
      </c>
      <c r="AW124">
        <f t="shared" si="27"/>
        <v>9</v>
      </c>
    </row>
    <row r="125" spans="1:49" ht="14.5" x14ac:dyDescent="0.35">
      <c r="A125" s="258" t="str">
        <f t="shared" si="17"/>
        <v/>
      </c>
      <c r="B125" s="914"/>
      <c r="C125" s="602"/>
      <c r="D125" s="602"/>
      <c r="E125" s="601"/>
      <c r="F125" s="602"/>
      <c r="G125" s="614" t="str">
        <f>IF(F125="","",SETUP!$T$2)</f>
        <v/>
      </c>
      <c r="H125" s="614" t="str">
        <f t="shared" si="18"/>
        <v/>
      </c>
      <c r="I125" s="614" t="str">
        <f t="shared" si="14"/>
        <v/>
      </c>
      <c r="J125" s="614" t="str">
        <f>IF(F125="","",SETUP!$E$7)</f>
        <v/>
      </c>
      <c r="K125" s="912"/>
      <c r="L125" s="912"/>
      <c r="M125" s="912"/>
      <c r="N125" s="912"/>
      <c r="O125" s="904">
        <f t="shared" si="19"/>
        <v>0</v>
      </c>
      <c r="P125" s="603"/>
      <c r="Q125" s="603"/>
      <c r="R125" s="603"/>
      <c r="S125" s="603"/>
      <c r="T125" s="904">
        <f t="shared" si="20"/>
        <v>0</v>
      </c>
      <c r="U125" s="603"/>
      <c r="V125" s="603"/>
      <c r="W125" s="603"/>
      <c r="X125" s="603"/>
      <c r="Y125" s="904">
        <f t="shared" si="21"/>
        <v>0</v>
      </c>
      <c r="Z125" s="603"/>
      <c r="AA125" s="603"/>
      <c r="AB125" s="603"/>
      <c r="AC125" s="603"/>
      <c r="AD125" s="904">
        <f t="shared" si="22"/>
        <v>0</v>
      </c>
      <c r="AE125" s="603"/>
      <c r="AF125" s="603"/>
      <c r="AG125" s="603"/>
      <c r="AH125" s="603"/>
      <c r="AI125" s="907">
        <f t="shared" si="23"/>
        <v>0</v>
      </c>
      <c r="AJ125" s="921"/>
      <c r="AK125" s="921"/>
      <c r="AL125" s="921"/>
      <c r="AM125" s="921"/>
      <c r="AN125" s="921"/>
      <c r="AO125" s="617">
        <f t="shared" si="24"/>
        <v>0</v>
      </c>
      <c r="AR125" t="str">
        <f t="shared" si="25"/>
        <v>F</v>
      </c>
      <c r="AS125" t="str" cm="1">
        <f t="array" ref="AS125">IFERROR(INDEX(Table611[],MATCH($B125&amp;$C125&amp;$D125&amp;$F125,Table611[Component]&amp;Table611[Module]&amp;Table611[Intervention]&amp;Table611[Cost Input],0),5),"")</f>
        <v/>
      </c>
      <c r="AT125" t="str">
        <f t="shared" si="26"/>
        <v/>
      </c>
      <c r="AW125">
        <f t="shared" si="27"/>
        <v>9</v>
      </c>
    </row>
    <row r="126" spans="1:49" ht="14.5" x14ac:dyDescent="0.35">
      <c r="A126" s="258" t="str">
        <f t="shared" si="17"/>
        <v/>
      </c>
      <c r="B126" s="914"/>
      <c r="C126" s="602"/>
      <c r="D126" s="602"/>
      <c r="E126" s="601"/>
      <c r="F126" s="602"/>
      <c r="G126" s="614" t="str">
        <f>IF(F126="","",SETUP!$T$2)</f>
        <v/>
      </c>
      <c r="H126" s="614" t="str">
        <f t="shared" si="18"/>
        <v/>
      </c>
      <c r="I126" s="614" t="str">
        <f t="shared" si="14"/>
        <v/>
      </c>
      <c r="J126" s="614" t="str">
        <f>IF(F126="","",SETUP!$E$7)</f>
        <v/>
      </c>
      <c r="K126" s="912"/>
      <c r="L126" s="912"/>
      <c r="M126" s="912"/>
      <c r="N126" s="912"/>
      <c r="O126" s="904">
        <f t="shared" si="19"/>
        <v>0</v>
      </c>
      <c r="P126" s="603"/>
      <c r="Q126" s="603"/>
      <c r="R126" s="603"/>
      <c r="S126" s="603"/>
      <c r="T126" s="904">
        <f t="shared" si="20"/>
        <v>0</v>
      </c>
      <c r="U126" s="603"/>
      <c r="V126" s="603"/>
      <c r="W126" s="603"/>
      <c r="X126" s="603"/>
      <c r="Y126" s="904">
        <f t="shared" si="21"/>
        <v>0</v>
      </c>
      <c r="Z126" s="603"/>
      <c r="AA126" s="603"/>
      <c r="AB126" s="603"/>
      <c r="AC126" s="603"/>
      <c r="AD126" s="904">
        <f t="shared" si="22"/>
        <v>0</v>
      </c>
      <c r="AE126" s="603"/>
      <c r="AF126" s="603"/>
      <c r="AG126" s="603"/>
      <c r="AH126" s="603"/>
      <c r="AI126" s="907">
        <f t="shared" si="23"/>
        <v>0</v>
      </c>
      <c r="AJ126" s="921"/>
      <c r="AK126" s="921"/>
      <c r="AL126" s="921"/>
      <c r="AM126" s="921"/>
      <c r="AN126" s="921"/>
      <c r="AO126" s="617">
        <f t="shared" si="24"/>
        <v>0</v>
      </c>
      <c r="AR126" t="str">
        <f t="shared" si="25"/>
        <v>F</v>
      </c>
      <c r="AS126" t="str" cm="1">
        <f t="array" ref="AS126">IFERROR(INDEX(Table611[],MATCH($B126&amp;$C126&amp;$D126&amp;$F126,Table611[Component]&amp;Table611[Module]&amp;Table611[Intervention]&amp;Table611[Cost Input],0),5),"")</f>
        <v/>
      </c>
      <c r="AT126" t="str">
        <f t="shared" si="26"/>
        <v/>
      </c>
      <c r="AW126">
        <f t="shared" si="27"/>
        <v>9</v>
      </c>
    </row>
    <row r="127" spans="1:49" ht="14.5" x14ac:dyDescent="0.35">
      <c r="A127" s="258" t="str">
        <f t="shared" si="17"/>
        <v/>
      </c>
      <c r="B127" s="914"/>
      <c r="C127" s="602"/>
      <c r="D127" s="602"/>
      <c r="E127" s="601"/>
      <c r="F127" s="602"/>
      <c r="G127" s="614" t="str">
        <f>IF(F127="","",SETUP!$T$2)</f>
        <v/>
      </c>
      <c r="H127" s="614" t="str">
        <f t="shared" si="18"/>
        <v/>
      </c>
      <c r="I127" s="614" t="str">
        <f t="shared" si="14"/>
        <v/>
      </c>
      <c r="J127" s="614" t="str">
        <f>IF(F127="","",SETUP!$E$7)</f>
        <v/>
      </c>
      <c r="K127" s="912"/>
      <c r="L127" s="912"/>
      <c r="M127" s="912"/>
      <c r="N127" s="912"/>
      <c r="O127" s="904">
        <f t="shared" si="19"/>
        <v>0</v>
      </c>
      <c r="P127" s="603"/>
      <c r="Q127" s="603"/>
      <c r="R127" s="603"/>
      <c r="S127" s="603"/>
      <c r="T127" s="904">
        <f t="shared" si="20"/>
        <v>0</v>
      </c>
      <c r="U127" s="603"/>
      <c r="V127" s="603"/>
      <c r="W127" s="603"/>
      <c r="X127" s="603"/>
      <c r="Y127" s="904">
        <f t="shared" si="21"/>
        <v>0</v>
      </c>
      <c r="Z127" s="603"/>
      <c r="AA127" s="603"/>
      <c r="AB127" s="603"/>
      <c r="AC127" s="603"/>
      <c r="AD127" s="904">
        <f t="shared" si="22"/>
        <v>0</v>
      </c>
      <c r="AE127" s="603"/>
      <c r="AF127" s="603"/>
      <c r="AG127" s="603"/>
      <c r="AH127" s="603"/>
      <c r="AI127" s="907">
        <f t="shared" si="23"/>
        <v>0</v>
      </c>
      <c r="AJ127" s="921"/>
      <c r="AK127" s="921"/>
      <c r="AL127" s="921"/>
      <c r="AM127" s="921"/>
      <c r="AN127" s="921"/>
      <c r="AO127" s="617">
        <f t="shared" si="24"/>
        <v>0</v>
      </c>
      <c r="AR127" t="str">
        <f t="shared" si="25"/>
        <v>F</v>
      </c>
      <c r="AS127" t="str" cm="1">
        <f t="array" ref="AS127">IFERROR(INDEX(Table611[],MATCH($B127&amp;$C127&amp;$D127&amp;$F127,Table611[Component]&amp;Table611[Module]&amp;Table611[Intervention]&amp;Table611[Cost Input],0),5),"")</f>
        <v/>
      </c>
      <c r="AT127" t="str">
        <f t="shared" si="26"/>
        <v/>
      </c>
      <c r="AW127">
        <f t="shared" si="27"/>
        <v>9</v>
      </c>
    </row>
    <row r="128" spans="1:49" ht="14.5" x14ac:dyDescent="0.35">
      <c r="A128" s="258" t="str">
        <f t="shared" si="17"/>
        <v/>
      </c>
      <c r="B128" s="914"/>
      <c r="C128" s="602"/>
      <c r="D128" s="602"/>
      <c r="E128" s="601"/>
      <c r="F128" s="602"/>
      <c r="G128" s="614" t="str">
        <f>IF(F128="","",SETUP!$T$2)</f>
        <v/>
      </c>
      <c r="H128" s="614" t="str">
        <f t="shared" si="18"/>
        <v/>
      </c>
      <c r="I128" s="614" t="str">
        <f t="shared" si="14"/>
        <v/>
      </c>
      <c r="J128" s="614" t="str">
        <f>IF(F128="","",SETUP!$E$7)</f>
        <v/>
      </c>
      <c r="K128" s="912"/>
      <c r="L128" s="912"/>
      <c r="M128" s="912"/>
      <c r="N128" s="912"/>
      <c r="O128" s="904">
        <f t="shared" si="19"/>
        <v>0</v>
      </c>
      <c r="P128" s="603"/>
      <c r="Q128" s="603"/>
      <c r="R128" s="603"/>
      <c r="S128" s="603"/>
      <c r="T128" s="904">
        <f t="shared" si="20"/>
        <v>0</v>
      </c>
      <c r="U128" s="603"/>
      <c r="V128" s="603"/>
      <c r="W128" s="603"/>
      <c r="X128" s="603"/>
      <c r="Y128" s="904">
        <f t="shared" si="21"/>
        <v>0</v>
      </c>
      <c r="Z128" s="603"/>
      <c r="AA128" s="603"/>
      <c r="AB128" s="603"/>
      <c r="AC128" s="603"/>
      <c r="AD128" s="904">
        <f t="shared" si="22"/>
        <v>0</v>
      </c>
      <c r="AE128" s="603"/>
      <c r="AF128" s="603"/>
      <c r="AG128" s="603"/>
      <c r="AH128" s="603"/>
      <c r="AI128" s="907">
        <f t="shared" si="23"/>
        <v>0</v>
      </c>
      <c r="AJ128" s="921"/>
      <c r="AK128" s="921"/>
      <c r="AL128" s="921"/>
      <c r="AM128" s="921"/>
      <c r="AN128" s="921"/>
      <c r="AO128" s="617">
        <f t="shared" si="24"/>
        <v>0</v>
      </c>
      <c r="AR128" t="str">
        <f t="shared" si="25"/>
        <v>F</v>
      </c>
      <c r="AS128" t="str" cm="1">
        <f t="array" ref="AS128">IFERROR(INDEX(Table611[],MATCH($B128&amp;$C128&amp;$D128&amp;$F128,Table611[Component]&amp;Table611[Module]&amp;Table611[Intervention]&amp;Table611[Cost Input],0),5),"")</f>
        <v/>
      </c>
      <c r="AT128" t="str">
        <f t="shared" si="26"/>
        <v/>
      </c>
      <c r="AW128">
        <f t="shared" si="27"/>
        <v>9</v>
      </c>
    </row>
    <row r="129" spans="1:49" ht="14.5" x14ac:dyDescent="0.35">
      <c r="A129" s="258" t="str">
        <f t="shared" si="17"/>
        <v/>
      </c>
      <c r="B129" s="914"/>
      <c r="C129" s="602"/>
      <c r="D129" s="602"/>
      <c r="E129" s="601"/>
      <c r="F129" s="602"/>
      <c r="G129" s="614" t="str">
        <f>IF(F129="","",SETUP!$T$2)</f>
        <v/>
      </c>
      <c r="H129" s="614" t="str">
        <f t="shared" si="18"/>
        <v/>
      </c>
      <c r="I129" s="614" t="str">
        <f t="shared" si="14"/>
        <v/>
      </c>
      <c r="J129" s="614" t="str">
        <f>IF(F129="","",SETUP!$E$7)</f>
        <v/>
      </c>
      <c r="K129" s="912"/>
      <c r="L129" s="912"/>
      <c r="M129" s="912"/>
      <c r="N129" s="912"/>
      <c r="O129" s="904">
        <f t="shared" si="19"/>
        <v>0</v>
      </c>
      <c r="P129" s="603"/>
      <c r="Q129" s="603"/>
      <c r="R129" s="603"/>
      <c r="S129" s="603"/>
      <c r="T129" s="904">
        <f t="shared" si="20"/>
        <v>0</v>
      </c>
      <c r="U129" s="603"/>
      <c r="V129" s="603"/>
      <c r="W129" s="603"/>
      <c r="X129" s="603"/>
      <c r="Y129" s="904">
        <f t="shared" si="21"/>
        <v>0</v>
      </c>
      <c r="Z129" s="603"/>
      <c r="AA129" s="603"/>
      <c r="AB129" s="603"/>
      <c r="AC129" s="603"/>
      <c r="AD129" s="904">
        <f t="shared" si="22"/>
        <v>0</v>
      </c>
      <c r="AE129" s="603"/>
      <c r="AF129" s="603"/>
      <c r="AG129" s="603"/>
      <c r="AH129" s="603"/>
      <c r="AI129" s="907">
        <f t="shared" si="23"/>
        <v>0</v>
      </c>
      <c r="AJ129" s="921"/>
      <c r="AK129" s="921"/>
      <c r="AL129" s="921"/>
      <c r="AM129" s="921"/>
      <c r="AN129" s="921"/>
      <c r="AO129" s="617">
        <f t="shared" si="24"/>
        <v>0</v>
      </c>
      <c r="AR129" t="str">
        <f t="shared" si="25"/>
        <v>F</v>
      </c>
      <c r="AS129" t="str" cm="1">
        <f t="array" ref="AS129">IFERROR(INDEX(Table611[],MATCH($B129&amp;$C129&amp;$D129&amp;$F129,Table611[Component]&amp;Table611[Module]&amp;Table611[Intervention]&amp;Table611[Cost Input],0),5),"")</f>
        <v/>
      </c>
      <c r="AT129" t="str">
        <f t="shared" si="26"/>
        <v/>
      </c>
      <c r="AW129">
        <f t="shared" si="27"/>
        <v>9</v>
      </c>
    </row>
    <row r="130" spans="1:49" ht="14.5" x14ac:dyDescent="0.35">
      <c r="A130" s="258" t="str">
        <f t="shared" si="17"/>
        <v/>
      </c>
      <c r="B130" s="914"/>
      <c r="C130" s="602"/>
      <c r="D130" s="602"/>
      <c r="E130" s="601"/>
      <c r="F130" s="602"/>
      <c r="G130" s="614" t="str">
        <f>IF(F130="","",SETUP!$T$2)</f>
        <v/>
      </c>
      <c r="H130" s="614" t="str">
        <f t="shared" si="18"/>
        <v/>
      </c>
      <c r="I130" s="614" t="str">
        <f t="shared" si="14"/>
        <v/>
      </c>
      <c r="J130" s="614" t="str">
        <f>IF(F130="","",SETUP!$E$7)</f>
        <v/>
      </c>
      <c r="K130" s="912"/>
      <c r="L130" s="912"/>
      <c r="M130" s="912"/>
      <c r="N130" s="912"/>
      <c r="O130" s="904">
        <f t="shared" si="19"/>
        <v>0</v>
      </c>
      <c r="P130" s="603"/>
      <c r="Q130" s="603"/>
      <c r="R130" s="603"/>
      <c r="S130" s="603"/>
      <c r="T130" s="904">
        <f t="shared" si="20"/>
        <v>0</v>
      </c>
      <c r="U130" s="603"/>
      <c r="V130" s="603"/>
      <c r="W130" s="603"/>
      <c r="X130" s="603"/>
      <c r="Y130" s="904">
        <f t="shared" si="21"/>
        <v>0</v>
      </c>
      <c r="Z130" s="603"/>
      <c r="AA130" s="603"/>
      <c r="AB130" s="603"/>
      <c r="AC130" s="603"/>
      <c r="AD130" s="904">
        <f t="shared" si="22"/>
        <v>0</v>
      </c>
      <c r="AE130" s="603"/>
      <c r="AF130" s="603"/>
      <c r="AG130" s="603"/>
      <c r="AH130" s="603"/>
      <c r="AI130" s="907">
        <f t="shared" si="23"/>
        <v>0</v>
      </c>
      <c r="AJ130" s="921"/>
      <c r="AK130" s="921"/>
      <c r="AL130" s="921"/>
      <c r="AM130" s="921"/>
      <c r="AN130" s="921"/>
      <c r="AO130" s="617">
        <f t="shared" si="24"/>
        <v>0</v>
      </c>
      <c r="AR130" t="str">
        <f t="shared" si="25"/>
        <v>F</v>
      </c>
      <c r="AS130" t="str" cm="1">
        <f t="array" ref="AS130">IFERROR(INDEX(Table611[],MATCH($B130&amp;$C130&amp;$D130&amp;$F130,Table611[Component]&amp;Table611[Module]&amp;Table611[Intervention]&amp;Table611[Cost Input],0),5),"")</f>
        <v/>
      </c>
      <c r="AT130" t="str">
        <f t="shared" si="26"/>
        <v/>
      </c>
      <c r="AW130">
        <f t="shared" si="27"/>
        <v>9</v>
      </c>
    </row>
    <row r="131" spans="1:49" ht="14.5" x14ac:dyDescent="0.35">
      <c r="A131" s="258" t="str">
        <f t="shared" si="17"/>
        <v/>
      </c>
      <c r="B131" s="914"/>
      <c r="C131" s="602"/>
      <c r="D131" s="602"/>
      <c r="E131" s="601"/>
      <c r="F131" s="602"/>
      <c r="G131" s="614" t="str">
        <f>IF(F131="","",SETUP!$T$2)</f>
        <v/>
      </c>
      <c r="H131" s="614" t="str">
        <f t="shared" si="18"/>
        <v/>
      </c>
      <c r="I131" s="614" t="str">
        <f t="shared" si="14"/>
        <v/>
      </c>
      <c r="J131" s="614" t="str">
        <f>IF(F131="","",SETUP!$E$7)</f>
        <v/>
      </c>
      <c r="K131" s="912"/>
      <c r="L131" s="912"/>
      <c r="M131" s="912"/>
      <c r="N131" s="912"/>
      <c r="O131" s="904">
        <f t="shared" si="19"/>
        <v>0</v>
      </c>
      <c r="P131" s="603"/>
      <c r="Q131" s="603"/>
      <c r="R131" s="603"/>
      <c r="S131" s="603"/>
      <c r="T131" s="904">
        <f t="shared" si="20"/>
        <v>0</v>
      </c>
      <c r="U131" s="603"/>
      <c r="V131" s="603"/>
      <c r="W131" s="603"/>
      <c r="X131" s="603"/>
      <c r="Y131" s="904">
        <f t="shared" si="21"/>
        <v>0</v>
      </c>
      <c r="Z131" s="603"/>
      <c r="AA131" s="603"/>
      <c r="AB131" s="603"/>
      <c r="AC131" s="603"/>
      <c r="AD131" s="904">
        <f t="shared" si="22"/>
        <v>0</v>
      </c>
      <c r="AE131" s="603"/>
      <c r="AF131" s="603"/>
      <c r="AG131" s="603"/>
      <c r="AH131" s="603"/>
      <c r="AI131" s="907">
        <f t="shared" si="23"/>
        <v>0</v>
      </c>
      <c r="AJ131" s="921"/>
      <c r="AK131" s="921"/>
      <c r="AL131" s="921"/>
      <c r="AM131" s="921"/>
      <c r="AN131" s="921"/>
      <c r="AO131" s="617">
        <f t="shared" si="24"/>
        <v>0</v>
      </c>
      <c r="AR131" t="str">
        <f t="shared" si="25"/>
        <v>F</v>
      </c>
      <c r="AS131" t="str" cm="1">
        <f t="array" ref="AS131">IFERROR(INDEX(Table611[],MATCH($B131&amp;$C131&amp;$D131&amp;$F131,Table611[Component]&amp;Table611[Module]&amp;Table611[Intervention]&amp;Table611[Cost Input],0),5),"")</f>
        <v/>
      </c>
      <c r="AT131" t="str">
        <f t="shared" si="26"/>
        <v/>
      </c>
      <c r="AW131">
        <f t="shared" si="27"/>
        <v>9</v>
      </c>
    </row>
    <row r="132" spans="1:49" ht="14.5" x14ac:dyDescent="0.35">
      <c r="A132" s="258" t="str">
        <f t="shared" si="17"/>
        <v/>
      </c>
      <c r="B132" s="914"/>
      <c r="C132" s="602"/>
      <c r="D132" s="602"/>
      <c r="E132" s="601"/>
      <c r="F132" s="602"/>
      <c r="G132" s="614" t="str">
        <f>IF(F132="","",SETUP!$T$2)</f>
        <v/>
      </c>
      <c r="H132" s="614" t="str">
        <f t="shared" si="18"/>
        <v/>
      </c>
      <c r="I132" s="614" t="str">
        <f t="shared" si="14"/>
        <v/>
      </c>
      <c r="J132" s="614" t="str">
        <f>IF(F132="","",SETUP!$E$7)</f>
        <v/>
      </c>
      <c r="K132" s="912"/>
      <c r="L132" s="912"/>
      <c r="M132" s="912"/>
      <c r="N132" s="912"/>
      <c r="O132" s="904">
        <f t="shared" si="19"/>
        <v>0</v>
      </c>
      <c r="P132" s="603"/>
      <c r="Q132" s="603"/>
      <c r="R132" s="603"/>
      <c r="S132" s="603"/>
      <c r="T132" s="904">
        <f t="shared" si="20"/>
        <v>0</v>
      </c>
      <c r="U132" s="603"/>
      <c r="V132" s="603"/>
      <c r="W132" s="603"/>
      <c r="X132" s="603"/>
      <c r="Y132" s="904">
        <f t="shared" si="21"/>
        <v>0</v>
      </c>
      <c r="Z132" s="603"/>
      <c r="AA132" s="603"/>
      <c r="AB132" s="603"/>
      <c r="AC132" s="603"/>
      <c r="AD132" s="904">
        <f t="shared" si="22"/>
        <v>0</v>
      </c>
      <c r="AE132" s="603"/>
      <c r="AF132" s="603"/>
      <c r="AG132" s="603"/>
      <c r="AH132" s="603"/>
      <c r="AI132" s="907">
        <f t="shared" si="23"/>
        <v>0</v>
      </c>
      <c r="AJ132" s="921"/>
      <c r="AK132" s="921"/>
      <c r="AL132" s="921"/>
      <c r="AM132" s="921"/>
      <c r="AN132" s="921"/>
      <c r="AO132" s="617">
        <f t="shared" si="24"/>
        <v>0</v>
      </c>
      <c r="AR132" t="str">
        <f t="shared" si="25"/>
        <v>F</v>
      </c>
      <c r="AS132" t="str" cm="1">
        <f t="array" ref="AS132">IFERROR(INDEX(Table611[],MATCH($B132&amp;$C132&amp;$D132&amp;$F132,Table611[Component]&amp;Table611[Module]&amp;Table611[Intervention]&amp;Table611[Cost Input],0),5),"")</f>
        <v/>
      </c>
      <c r="AT132" t="str">
        <f t="shared" si="26"/>
        <v/>
      </c>
      <c r="AW132">
        <f t="shared" si="27"/>
        <v>9</v>
      </c>
    </row>
    <row r="133" spans="1:49" ht="14.5" x14ac:dyDescent="0.35">
      <c r="A133" s="258" t="str">
        <f t="shared" si="17"/>
        <v/>
      </c>
      <c r="B133" s="914"/>
      <c r="C133" s="602"/>
      <c r="D133" s="602"/>
      <c r="E133" s="601"/>
      <c r="F133" s="602"/>
      <c r="G133" s="614" t="str">
        <f>IF(F133="","",SETUP!$T$2)</f>
        <v/>
      </c>
      <c r="H133" s="614" t="str">
        <f t="shared" si="18"/>
        <v/>
      </c>
      <c r="I133" s="614" t="str">
        <f t="shared" ref="I133:I196" si="28">IF(F133="","","Approved funding")</f>
        <v/>
      </c>
      <c r="J133" s="614" t="str">
        <f>IF(F133="","",SETUP!$E$7)</f>
        <v/>
      </c>
      <c r="K133" s="912"/>
      <c r="L133" s="912"/>
      <c r="M133" s="912"/>
      <c r="N133" s="912"/>
      <c r="O133" s="904">
        <f t="shared" si="19"/>
        <v>0</v>
      </c>
      <c r="P133" s="603"/>
      <c r="Q133" s="603"/>
      <c r="R133" s="603"/>
      <c r="S133" s="603"/>
      <c r="T133" s="904">
        <f t="shared" si="20"/>
        <v>0</v>
      </c>
      <c r="U133" s="603"/>
      <c r="V133" s="603"/>
      <c r="W133" s="603"/>
      <c r="X133" s="603"/>
      <c r="Y133" s="904">
        <f t="shared" si="21"/>
        <v>0</v>
      </c>
      <c r="Z133" s="603"/>
      <c r="AA133" s="603"/>
      <c r="AB133" s="603"/>
      <c r="AC133" s="603"/>
      <c r="AD133" s="904">
        <f t="shared" si="22"/>
        <v>0</v>
      </c>
      <c r="AE133" s="603"/>
      <c r="AF133" s="603"/>
      <c r="AG133" s="603"/>
      <c r="AH133" s="603"/>
      <c r="AI133" s="907">
        <f t="shared" si="23"/>
        <v>0</v>
      </c>
      <c r="AJ133" s="921"/>
      <c r="AK133" s="921"/>
      <c r="AL133" s="921"/>
      <c r="AM133" s="921"/>
      <c r="AN133" s="921"/>
      <c r="AO133" s="617">
        <f t="shared" si="24"/>
        <v>0</v>
      </c>
      <c r="AR133" t="str">
        <f t="shared" si="25"/>
        <v>F</v>
      </c>
      <c r="AS133" t="str" cm="1">
        <f t="array" ref="AS133">IFERROR(INDEX(Table611[],MATCH($B133&amp;$C133&amp;$D133&amp;$F133,Table611[Component]&amp;Table611[Module]&amp;Table611[Intervention]&amp;Table611[Cost Input],0),5),"")</f>
        <v/>
      </c>
      <c r="AT133" t="str">
        <f t="shared" ref="AT133:AT164" si="29">IF(A133="","",IF(OR(AW133&gt;1,AS133=""),"F","T"))</f>
        <v/>
      </c>
      <c r="AW133">
        <f t="shared" ref="AW133:AW164" si="30">COUNTBLANK(B133:J133)+COUNTBLANK(AO133:AO133)</f>
        <v>9</v>
      </c>
    </row>
    <row r="134" spans="1:49" ht="14.5" x14ac:dyDescent="0.35">
      <c r="A134" s="258" t="str">
        <f t="shared" ref="A134:A197" si="31">IF(COUNTBLANK(B134:D134)+COUNTBLANK(F134:F134)=0,IF(F134="","",B134&amp;C134&amp;D134&amp;F134),"")</f>
        <v/>
      </c>
      <c r="B134" s="914"/>
      <c r="C134" s="602"/>
      <c r="D134" s="602"/>
      <c r="E134" s="601"/>
      <c r="F134" s="602"/>
      <c r="G134" s="614" t="str">
        <f>IF(F134="","",SETUP!$T$2)</f>
        <v/>
      </c>
      <c r="H134" s="614" t="str">
        <f t="shared" ref="H134:H197" si="32">IF(F134="","","National/Country Level")</f>
        <v/>
      </c>
      <c r="I134" s="614" t="str">
        <f t="shared" si="28"/>
        <v/>
      </c>
      <c r="J134" s="614" t="str">
        <f>IF(F134="","",SETUP!$E$7)</f>
        <v/>
      </c>
      <c r="K134" s="912"/>
      <c r="L134" s="912"/>
      <c r="M134" s="912"/>
      <c r="N134" s="912"/>
      <c r="O134" s="904">
        <f t="shared" ref="O134:O197" si="33">SUM(K134:N134)</f>
        <v>0</v>
      </c>
      <c r="P134" s="603"/>
      <c r="Q134" s="603"/>
      <c r="R134" s="603"/>
      <c r="S134" s="603"/>
      <c r="T134" s="904">
        <f t="shared" ref="T134:T197" si="34">SUM(P134:S134)</f>
        <v>0</v>
      </c>
      <c r="U134" s="603"/>
      <c r="V134" s="603"/>
      <c r="W134" s="603"/>
      <c r="X134" s="603"/>
      <c r="Y134" s="904">
        <f t="shared" ref="Y134:Y197" si="35">SUM(U134:X134)</f>
        <v>0</v>
      </c>
      <c r="Z134" s="603"/>
      <c r="AA134" s="603"/>
      <c r="AB134" s="603"/>
      <c r="AC134" s="603"/>
      <c r="AD134" s="904">
        <f t="shared" ref="AD134:AD197" si="36">SUM(Z134:AC134)</f>
        <v>0</v>
      </c>
      <c r="AE134" s="603"/>
      <c r="AF134" s="603"/>
      <c r="AG134" s="603"/>
      <c r="AH134" s="603"/>
      <c r="AI134" s="907">
        <f t="shared" ref="AI134:AI197" si="37">SUM(AE134:AH134)</f>
        <v>0</v>
      </c>
      <c r="AJ134" s="921"/>
      <c r="AK134" s="921"/>
      <c r="AL134" s="921"/>
      <c r="AM134" s="921"/>
      <c r="AN134" s="921"/>
      <c r="AO134" s="617">
        <f t="shared" ref="AO134:AO197" si="38">IF(AS134="",0,SUM(O134,T134,Y134,AD134,AI134))</f>
        <v>0</v>
      </c>
      <c r="AR134" t="str">
        <f t="shared" ref="AR134:AR197" si="39">IF(AW134&lt;=3,"T","F")</f>
        <v>F</v>
      </c>
      <c r="AS134" t="str" cm="1">
        <f t="array" ref="AS134">IFERROR(INDEX(Table611[],MATCH($B134&amp;$C134&amp;$D134&amp;$F134,Table611[Component]&amp;Table611[Module]&amp;Table611[Intervention]&amp;Table611[Cost Input],0),5),"")</f>
        <v/>
      </c>
      <c r="AT134" t="str">
        <f t="shared" si="29"/>
        <v/>
      </c>
      <c r="AW134">
        <f t="shared" si="30"/>
        <v>9</v>
      </c>
    </row>
    <row r="135" spans="1:49" ht="14.5" x14ac:dyDescent="0.35">
      <c r="A135" s="258" t="str">
        <f t="shared" si="31"/>
        <v/>
      </c>
      <c r="B135" s="914"/>
      <c r="C135" s="602"/>
      <c r="D135" s="602"/>
      <c r="E135" s="601"/>
      <c r="F135" s="602"/>
      <c r="G135" s="614" t="str">
        <f>IF(F135="","",SETUP!$T$2)</f>
        <v/>
      </c>
      <c r="H135" s="614" t="str">
        <f t="shared" si="32"/>
        <v/>
      </c>
      <c r="I135" s="614" t="str">
        <f t="shared" si="28"/>
        <v/>
      </c>
      <c r="J135" s="614" t="str">
        <f>IF(F135="","",SETUP!$E$7)</f>
        <v/>
      </c>
      <c r="K135" s="912"/>
      <c r="L135" s="912"/>
      <c r="M135" s="912"/>
      <c r="N135" s="912"/>
      <c r="O135" s="904">
        <f t="shared" si="33"/>
        <v>0</v>
      </c>
      <c r="P135" s="603"/>
      <c r="Q135" s="603"/>
      <c r="R135" s="603"/>
      <c r="S135" s="603"/>
      <c r="T135" s="904">
        <f t="shared" si="34"/>
        <v>0</v>
      </c>
      <c r="U135" s="603"/>
      <c r="V135" s="603"/>
      <c r="W135" s="603"/>
      <c r="X135" s="603"/>
      <c r="Y135" s="904">
        <f t="shared" si="35"/>
        <v>0</v>
      </c>
      <c r="Z135" s="603"/>
      <c r="AA135" s="603"/>
      <c r="AB135" s="603"/>
      <c r="AC135" s="603"/>
      <c r="AD135" s="904">
        <f t="shared" si="36"/>
        <v>0</v>
      </c>
      <c r="AE135" s="603"/>
      <c r="AF135" s="603"/>
      <c r="AG135" s="603"/>
      <c r="AH135" s="603"/>
      <c r="AI135" s="907">
        <f t="shared" si="37"/>
        <v>0</v>
      </c>
      <c r="AJ135" s="921"/>
      <c r="AK135" s="921"/>
      <c r="AL135" s="921"/>
      <c r="AM135" s="921"/>
      <c r="AN135" s="921"/>
      <c r="AO135" s="617">
        <f t="shared" si="38"/>
        <v>0</v>
      </c>
      <c r="AR135" t="str">
        <f t="shared" si="39"/>
        <v>F</v>
      </c>
      <c r="AS135" t="str" cm="1">
        <f t="array" ref="AS135">IFERROR(INDEX(Table611[],MATCH($B135&amp;$C135&amp;$D135&amp;$F135,Table611[Component]&amp;Table611[Module]&amp;Table611[Intervention]&amp;Table611[Cost Input],0),5),"")</f>
        <v/>
      </c>
      <c r="AT135" t="str">
        <f t="shared" si="29"/>
        <v/>
      </c>
      <c r="AW135">
        <f t="shared" si="30"/>
        <v>9</v>
      </c>
    </row>
    <row r="136" spans="1:49" ht="14.5" x14ac:dyDescent="0.35">
      <c r="A136" s="258" t="str">
        <f t="shared" si="31"/>
        <v/>
      </c>
      <c r="B136" s="914"/>
      <c r="C136" s="602"/>
      <c r="D136" s="602"/>
      <c r="E136" s="601"/>
      <c r="F136" s="602"/>
      <c r="G136" s="614" t="str">
        <f>IF(F136="","",SETUP!$T$2)</f>
        <v/>
      </c>
      <c r="H136" s="614" t="str">
        <f t="shared" si="32"/>
        <v/>
      </c>
      <c r="I136" s="614" t="str">
        <f t="shared" si="28"/>
        <v/>
      </c>
      <c r="J136" s="614" t="str">
        <f>IF(F136="","",SETUP!$E$7)</f>
        <v/>
      </c>
      <c r="K136" s="912"/>
      <c r="L136" s="912"/>
      <c r="M136" s="912"/>
      <c r="N136" s="912"/>
      <c r="O136" s="904">
        <f t="shared" si="33"/>
        <v>0</v>
      </c>
      <c r="P136" s="603"/>
      <c r="Q136" s="603"/>
      <c r="R136" s="603"/>
      <c r="S136" s="603"/>
      <c r="T136" s="904">
        <f t="shared" si="34"/>
        <v>0</v>
      </c>
      <c r="U136" s="603"/>
      <c r="V136" s="603"/>
      <c r="W136" s="603"/>
      <c r="X136" s="603"/>
      <c r="Y136" s="904">
        <f t="shared" si="35"/>
        <v>0</v>
      </c>
      <c r="Z136" s="603"/>
      <c r="AA136" s="603"/>
      <c r="AB136" s="603"/>
      <c r="AC136" s="603"/>
      <c r="AD136" s="904">
        <f t="shared" si="36"/>
        <v>0</v>
      </c>
      <c r="AE136" s="603"/>
      <c r="AF136" s="603"/>
      <c r="AG136" s="603"/>
      <c r="AH136" s="603"/>
      <c r="AI136" s="907">
        <f t="shared" si="37"/>
        <v>0</v>
      </c>
      <c r="AJ136" s="921"/>
      <c r="AK136" s="921"/>
      <c r="AL136" s="921"/>
      <c r="AM136" s="921"/>
      <c r="AN136" s="921"/>
      <c r="AO136" s="617">
        <f t="shared" si="38"/>
        <v>0</v>
      </c>
      <c r="AR136" t="str">
        <f t="shared" si="39"/>
        <v>F</v>
      </c>
      <c r="AS136" t="str" cm="1">
        <f t="array" ref="AS136">IFERROR(INDEX(Table611[],MATCH($B136&amp;$C136&amp;$D136&amp;$F136,Table611[Component]&amp;Table611[Module]&amp;Table611[Intervention]&amp;Table611[Cost Input],0),5),"")</f>
        <v/>
      </c>
      <c r="AT136" t="str">
        <f t="shared" si="29"/>
        <v/>
      </c>
      <c r="AW136">
        <f t="shared" si="30"/>
        <v>9</v>
      </c>
    </row>
    <row r="137" spans="1:49" ht="14.5" x14ac:dyDescent="0.35">
      <c r="A137" s="258" t="str">
        <f t="shared" si="31"/>
        <v/>
      </c>
      <c r="B137" s="914"/>
      <c r="C137" s="602"/>
      <c r="D137" s="602"/>
      <c r="E137" s="601"/>
      <c r="F137" s="602"/>
      <c r="G137" s="614" t="str">
        <f>IF(F137="","",SETUP!$T$2)</f>
        <v/>
      </c>
      <c r="H137" s="614" t="str">
        <f t="shared" si="32"/>
        <v/>
      </c>
      <c r="I137" s="614" t="str">
        <f t="shared" si="28"/>
        <v/>
      </c>
      <c r="J137" s="614" t="str">
        <f>IF(F137="","",SETUP!$E$7)</f>
        <v/>
      </c>
      <c r="K137" s="912"/>
      <c r="L137" s="912"/>
      <c r="M137" s="912"/>
      <c r="N137" s="912"/>
      <c r="O137" s="904">
        <f t="shared" si="33"/>
        <v>0</v>
      </c>
      <c r="P137" s="603"/>
      <c r="Q137" s="603"/>
      <c r="R137" s="603"/>
      <c r="S137" s="603"/>
      <c r="T137" s="904">
        <f t="shared" si="34"/>
        <v>0</v>
      </c>
      <c r="U137" s="603"/>
      <c r="V137" s="603"/>
      <c r="W137" s="603"/>
      <c r="X137" s="603"/>
      <c r="Y137" s="904">
        <f t="shared" si="35"/>
        <v>0</v>
      </c>
      <c r="Z137" s="603"/>
      <c r="AA137" s="603"/>
      <c r="AB137" s="603"/>
      <c r="AC137" s="603"/>
      <c r="AD137" s="904">
        <f t="shared" si="36"/>
        <v>0</v>
      </c>
      <c r="AE137" s="603"/>
      <c r="AF137" s="603"/>
      <c r="AG137" s="603"/>
      <c r="AH137" s="603"/>
      <c r="AI137" s="907">
        <f t="shared" si="37"/>
        <v>0</v>
      </c>
      <c r="AJ137" s="921"/>
      <c r="AK137" s="921"/>
      <c r="AL137" s="921"/>
      <c r="AM137" s="921"/>
      <c r="AN137" s="921"/>
      <c r="AO137" s="617">
        <f t="shared" si="38"/>
        <v>0</v>
      </c>
      <c r="AR137" t="str">
        <f t="shared" si="39"/>
        <v>F</v>
      </c>
      <c r="AS137" t="str" cm="1">
        <f t="array" ref="AS137">IFERROR(INDEX(Table611[],MATCH($B137&amp;$C137&amp;$D137&amp;$F137,Table611[Component]&amp;Table611[Module]&amp;Table611[Intervention]&amp;Table611[Cost Input],0),5),"")</f>
        <v/>
      </c>
      <c r="AT137" t="str">
        <f t="shared" si="29"/>
        <v/>
      </c>
      <c r="AW137">
        <f t="shared" si="30"/>
        <v>9</v>
      </c>
    </row>
    <row r="138" spans="1:49" ht="14.5" x14ac:dyDescent="0.35">
      <c r="A138" s="258" t="str">
        <f t="shared" si="31"/>
        <v/>
      </c>
      <c r="B138" s="914"/>
      <c r="C138" s="602"/>
      <c r="D138" s="602"/>
      <c r="E138" s="601"/>
      <c r="F138" s="602"/>
      <c r="G138" s="614" t="str">
        <f>IF(F138="","",SETUP!$T$2)</f>
        <v/>
      </c>
      <c r="H138" s="614" t="str">
        <f t="shared" si="32"/>
        <v/>
      </c>
      <c r="I138" s="614" t="str">
        <f t="shared" si="28"/>
        <v/>
      </c>
      <c r="J138" s="614" t="str">
        <f>IF(F138="","",SETUP!$E$7)</f>
        <v/>
      </c>
      <c r="K138" s="912"/>
      <c r="L138" s="912"/>
      <c r="M138" s="912"/>
      <c r="N138" s="912"/>
      <c r="O138" s="904">
        <f t="shared" si="33"/>
        <v>0</v>
      </c>
      <c r="P138" s="603"/>
      <c r="Q138" s="603"/>
      <c r="R138" s="603"/>
      <c r="S138" s="603"/>
      <c r="T138" s="904">
        <f t="shared" si="34"/>
        <v>0</v>
      </c>
      <c r="U138" s="603"/>
      <c r="V138" s="603"/>
      <c r="W138" s="603"/>
      <c r="X138" s="603"/>
      <c r="Y138" s="904">
        <f t="shared" si="35"/>
        <v>0</v>
      </c>
      <c r="Z138" s="603"/>
      <c r="AA138" s="603"/>
      <c r="AB138" s="603"/>
      <c r="AC138" s="603"/>
      <c r="AD138" s="904">
        <f t="shared" si="36"/>
        <v>0</v>
      </c>
      <c r="AE138" s="603"/>
      <c r="AF138" s="603"/>
      <c r="AG138" s="603"/>
      <c r="AH138" s="603"/>
      <c r="AI138" s="907">
        <f t="shared" si="37"/>
        <v>0</v>
      </c>
      <c r="AJ138" s="921"/>
      <c r="AK138" s="921"/>
      <c r="AL138" s="921"/>
      <c r="AM138" s="921"/>
      <c r="AN138" s="921"/>
      <c r="AO138" s="617">
        <f t="shared" si="38"/>
        <v>0</v>
      </c>
      <c r="AR138" t="str">
        <f t="shared" si="39"/>
        <v>F</v>
      </c>
      <c r="AS138" t="str" cm="1">
        <f t="array" ref="AS138">IFERROR(INDEX(Table611[],MATCH($B138&amp;$C138&amp;$D138&amp;$F138,Table611[Component]&amp;Table611[Module]&amp;Table611[Intervention]&amp;Table611[Cost Input],0),5),"")</f>
        <v/>
      </c>
      <c r="AT138" t="str">
        <f t="shared" si="29"/>
        <v/>
      </c>
      <c r="AW138">
        <f t="shared" si="30"/>
        <v>9</v>
      </c>
    </row>
    <row r="139" spans="1:49" ht="14.5" x14ac:dyDescent="0.35">
      <c r="A139" s="258" t="str">
        <f t="shared" si="31"/>
        <v/>
      </c>
      <c r="B139" s="914"/>
      <c r="C139" s="602"/>
      <c r="D139" s="602"/>
      <c r="E139" s="601"/>
      <c r="F139" s="602"/>
      <c r="G139" s="614" t="str">
        <f>IF(F139="","",SETUP!$T$2)</f>
        <v/>
      </c>
      <c r="H139" s="614" t="str">
        <f t="shared" si="32"/>
        <v/>
      </c>
      <c r="I139" s="614" t="str">
        <f t="shared" si="28"/>
        <v/>
      </c>
      <c r="J139" s="614" t="str">
        <f>IF(F139="","",SETUP!$E$7)</f>
        <v/>
      </c>
      <c r="K139" s="912"/>
      <c r="L139" s="912"/>
      <c r="M139" s="912"/>
      <c r="N139" s="912"/>
      <c r="O139" s="904">
        <f t="shared" si="33"/>
        <v>0</v>
      </c>
      <c r="P139" s="603"/>
      <c r="Q139" s="603"/>
      <c r="R139" s="603"/>
      <c r="S139" s="603"/>
      <c r="T139" s="904">
        <f t="shared" si="34"/>
        <v>0</v>
      </c>
      <c r="U139" s="603"/>
      <c r="V139" s="603"/>
      <c r="W139" s="603"/>
      <c r="X139" s="603"/>
      <c r="Y139" s="904">
        <f t="shared" si="35"/>
        <v>0</v>
      </c>
      <c r="Z139" s="603"/>
      <c r="AA139" s="603"/>
      <c r="AB139" s="603"/>
      <c r="AC139" s="603"/>
      <c r="AD139" s="904">
        <f t="shared" si="36"/>
        <v>0</v>
      </c>
      <c r="AE139" s="603"/>
      <c r="AF139" s="603"/>
      <c r="AG139" s="603"/>
      <c r="AH139" s="603"/>
      <c r="AI139" s="907">
        <f t="shared" si="37"/>
        <v>0</v>
      </c>
      <c r="AJ139" s="921"/>
      <c r="AK139" s="921"/>
      <c r="AL139" s="921"/>
      <c r="AM139" s="921"/>
      <c r="AN139" s="921"/>
      <c r="AO139" s="617">
        <f t="shared" si="38"/>
        <v>0</v>
      </c>
      <c r="AR139" t="str">
        <f t="shared" si="39"/>
        <v>F</v>
      </c>
      <c r="AS139" t="str" cm="1">
        <f t="array" ref="AS139">IFERROR(INDEX(Table611[],MATCH($B139&amp;$C139&amp;$D139&amp;$F139,Table611[Component]&amp;Table611[Module]&amp;Table611[Intervention]&amp;Table611[Cost Input],0),5),"")</f>
        <v/>
      </c>
      <c r="AT139" t="str">
        <f t="shared" si="29"/>
        <v/>
      </c>
      <c r="AW139">
        <f t="shared" si="30"/>
        <v>9</v>
      </c>
    </row>
    <row r="140" spans="1:49" ht="14.5" x14ac:dyDescent="0.35">
      <c r="A140" s="258" t="str">
        <f t="shared" si="31"/>
        <v/>
      </c>
      <c r="B140" s="914"/>
      <c r="C140" s="602"/>
      <c r="D140" s="602"/>
      <c r="E140" s="601"/>
      <c r="F140" s="602"/>
      <c r="G140" s="614" t="str">
        <f>IF(F140="","",SETUP!$T$2)</f>
        <v/>
      </c>
      <c r="H140" s="614" t="str">
        <f t="shared" si="32"/>
        <v/>
      </c>
      <c r="I140" s="614" t="str">
        <f t="shared" si="28"/>
        <v/>
      </c>
      <c r="J140" s="614" t="str">
        <f>IF(F140="","",SETUP!$E$7)</f>
        <v/>
      </c>
      <c r="K140" s="912"/>
      <c r="L140" s="912"/>
      <c r="M140" s="912"/>
      <c r="N140" s="912"/>
      <c r="O140" s="904">
        <f t="shared" si="33"/>
        <v>0</v>
      </c>
      <c r="P140" s="603"/>
      <c r="Q140" s="603"/>
      <c r="R140" s="603"/>
      <c r="S140" s="603"/>
      <c r="T140" s="904">
        <f t="shared" si="34"/>
        <v>0</v>
      </c>
      <c r="U140" s="603"/>
      <c r="V140" s="603"/>
      <c r="W140" s="603"/>
      <c r="X140" s="603"/>
      <c r="Y140" s="904">
        <f t="shared" si="35"/>
        <v>0</v>
      </c>
      <c r="Z140" s="603"/>
      <c r="AA140" s="603"/>
      <c r="AB140" s="603"/>
      <c r="AC140" s="603"/>
      <c r="AD140" s="904">
        <f t="shared" si="36"/>
        <v>0</v>
      </c>
      <c r="AE140" s="603"/>
      <c r="AF140" s="603"/>
      <c r="AG140" s="603"/>
      <c r="AH140" s="603"/>
      <c r="AI140" s="907">
        <f t="shared" si="37"/>
        <v>0</v>
      </c>
      <c r="AJ140" s="921"/>
      <c r="AK140" s="921"/>
      <c r="AL140" s="921"/>
      <c r="AM140" s="921"/>
      <c r="AN140" s="921"/>
      <c r="AO140" s="617">
        <f t="shared" si="38"/>
        <v>0</v>
      </c>
      <c r="AR140" t="str">
        <f t="shared" si="39"/>
        <v>F</v>
      </c>
      <c r="AS140" t="str" cm="1">
        <f t="array" ref="AS140">IFERROR(INDEX(Table611[],MATCH($B140&amp;$C140&amp;$D140&amp;$F140,Table611[Component]&amp;Table611[Module]&amp;Table611[Intervention]&amp;Table611[Cost Input],0),5),"")</f>
        <v/>
      </c>
      <c r="AT140" t="str">
        <f t="shared" si="29"/>
        <v/>
      </c>
      <c r="AW140">
        <f t="shared" si="30"/>
        <v>9</v>
      </c>
    </row>
    <row r="141" spans="1:49" ht="14.5" x14ac:dyDescent="0.35">
      <c r="A141" s="258" t="str">
        <f t="shared" si="31"/>
        <v/>
      </c>
      <c r="B141" s="914"/>
      <c r="C141" s="602"/>
      <c r="D141" s="602"/>
      <c r="E141" s="601"/>
      <c r="F141" s="602"/>
      <c r="G141" s="614" t="str">
        <f>IF(F141="","",SETUP!$T$2)</f>
        <v/>
      </c>
      <c r="H141" s="614" t="str">
        <f t="shared" si="32"/>
        <v/>
      </c>
      <c r="I141" s="614" t="str">
        <f t="shared" si="28"/>
        <v/>
      </c>
      <c r="J141" s="614" t="str">
        <f>IF(F141="","",SETUP!$E$7)</f>
        <v/>
      </c>
      <c r="K141" s="912"/>
      <c r="L141" s="912"/>
      <c r="M141" s="912"/>
      <c r="N141" s="912"/>
      <c r="O141" s="904">
        <f t="shared" si="33"/>
        <v>0</v>
      </c>
      <c r="P141" s="603"/>
      <c r="Q141" s="603"/>
      <c r="R141" s="603"/>
      <c r="S141" s="603"/>
      <c r="T141" s="904">
        <f t="shared" si="34"/>
        <v>0</v>
      </c>
      <c r="U141" s="603"/>
      <c r="V141" s="603"/>
      <c r="W141" s="603"/>
      <c r="X141" s="603"/>
      <c r="Y141" s="904">
        <f t="shared" si="35"/>
        <v>0</v>
      </c>
      <c r="Z141" s="603"/>
      <c r="AA141" s="603"/>
      <c r="AB141" s="603"/>
      <c r="AC141" s="603"/>
      <c r="AD141" s="904">
        <f t="shared" si="36"/>
        <v>0</v>
      </c>
      <c r="AE141" s="603"/>
      <c r="AF141" s="603"/>
      <c r="AG141" s="603"/>
      <c r="AH141" s="603"/>
      <c r="AI141" s="907">
        <f t="shared" si="37"/>
        <v>0</v>
      </c>
      <c r="AJ141" s="921"/>
      <c r="AK141" s="921"/>
      <c r="AL141" s="921"/>
      <c r="AM141" s="921"/>
      <c r="AN141" s="921"/>
      <c r="AO141" s="617">
        <f t="shared" si="38"/>
        <v>0</v>
      </c>
      <c r="AR141" t="str">
        <f t="shared" si="39"/>
        <v>F</v>
      </c>
      <c r="AS141" t="str" cm="1">
        <f t="array" ref="AS141">IFERROR(INDEX(Table611[],MATCH($B141&amp;$C141&amp;$D141&amp;$F141,Table611[Component]&amp;Table611[Module]&amp;Table611[Intervention]&amp;Table611[Cost Input],0),5),"")</f>
        <v/>
      </c>
      <c r="AT141" t="str">
        <f t="shared" si="29"/>
        <v/>
      </c>
      <c r="AW141">
        <f t="shared" si="30"/>
        <v>9</v>
      </c>
    </row>
    <row r="142" spans="1:49" ht="14.5" x14ac:dyDescent="0.35">
      <c r="A142" s="258" t="str">
        <f t="shared" si="31"/>
        <v/>
      </c>
      <c r="B142" s="914"/>
      <c r="C142" s="602"/>
      <c r="D142" s="602"/>
      <c r="E142" s="601"/>
      <c r="F142" s="602"/>
      <c r="G142" s="614" t="str">
        <f>IF(F142="","",SETUP!$T$2)</f>
        <v/>
      </c>
      <c r="H142" s="614" t="str">
        <f t="shared" si="32"/>
        <v/>
      </c>
      <c r="I142" s="614" t="str">
        <f t="shared" si="28"/>
        <v/>
      </c>
      <c r="J142" s="614" t="str">
        <f>IF(F142="","",SETUP!$E$7)</f>
        <v/>
      </c>
      <c r="K142" s="912"/>
      <c r="L142" s="912"/>
      <c r="M142" s="912"/>
      <c r="N142" s="912"/>
      <c r="O142" s="904">
        <f t="shared" si="33"/>
        <v>0</v>
      </c>
      <c r="P142" s="603"/>
      <c r="Q142" s="603"/>
      <c r="R142" s="603"/>
      <c r="S142" s="603"/>
      <c r="T142" s="904">
        <f t="shared" si="34"/>
        <v>0</v>
      </c>
      <c r="U142" s="603"/>
      <c r="V142" s="603"/>
      <c r="W142" s="603"/>
      <c r="X142" s="603"/>
      <c r="Y142" s="904">
        <f t="shared" si="35"/>
        <v>0</v>
      </c>
      <c r="Z142" s="603"/>
      <c r="AA142" s="603"/>
      <c r="AB142" s="603"/>
      <c r="AC142" s="603"/>
      <c r="AD142" s="904">
        <f t="shared" si="36"/>
        <v>0</v>
      </c>
      <c r="AE142" s="603"/>
      <c r="AF142" s="603"/>
      <c r="AG142" s="603"/>
      <c r="AH142" s="603"/>
      <c r="AI142" s="907">
        <f t="shared" si="37"/>
        <v>0</v>
      </c>
      <c r="AJ142" s="921"/>
      <c r="AK142" s="921"/>
      <c r="AL142" s="921"/>
      <c r="AM142" s="921"/>
      <c r="AN142" s="921"/>
      <c r="AO142" s="617">
        <f t="shared" si="38"/>
        <v>0</v>
      </c>
      <c r="AR142" t="str">
        <f t="shared" si="39"/>
        <v>F</v>
      </c>
      <c r="AS142" t="str" cm="1">
        <f t="array" ref="AS142">IFERROR(INDEX(Table611[],MATCH($B142&amp;$C142&amp;$D142&amp;$F142,Table611[Component]&amp;Table611[Module]&amp;Table611[Intervention]&amp;Table611[Cost Input],0),5),"")</f>
        <v/>
      </c>
      <c r="AT142" t="str">
        <f t="shared" si="29"/>
        <v/>
      </c>
      <c r="AW142">
        <f t="shared" si="30"/>
        <v>9</v>
      </c>
    </row>
    <row r="143" spans="1:49" ht="14.5" x14ac:dyDescent="0.35">
      <c r="A143" s="258" t="str">
        <f t="shared" si="31"/>
        <v/>
      </c>
      <c r="B143" s="914"/>
      <c r="C143" s="602"/>
      <c r="D143" s="602"/>
      <c r="E143" s="601"/>
      <c r="F143" s="602"/>
      <c r="G143" s="614" t="str">
        <f>IF(F143="","",SETUP!$T$2)</f>
        <v/>
      </c>
      <c r="H143" s="614" t="str">
        <f t="shared" si="32"/>
        <v/>
      </c>
      <c r="I143" s="614" t="str">
        <f t="shared" si="28"/>
        <v/>
      </c>
      <c r="J143" s="614" t="str">
        <f>IF(F143="","",SETUP!$E$7)</f>
        <v/>
      </c>
      <c r="K143" s="912"/>
      <c r="L143" s="912"/>
      <c r="M143" s="912"/>
      <c r="N143" s="912"/>
      <c r="O143" s="904">
        <f t="shared" si="33"/>
        <v>0</v>
      </c>
      <c r="P143" s="603"/>
      <c r="Q143" s="603"/>
      <c r="R143" s="603"/>
      <c r="S143" s="603"/>
      <c r="T143" s="904">
        <f t="shared" si="34"/>
        <v>0</v>
      </c>
      <c r="U143" s="603"/>
      <c r="V143" s="603"/>
      <c r="W143" s="603"/>
      <c r="X143" s="603"/>
      <c r="Y143" s="904">
        <f t="shared" si="35"/>
        <v>0</v>
      </c>
      <c r="Z143" s="603"/>
      <c r="AA143" s="603"/>
      <c r="AB143" s="603"/>
      <c r="AC143" s="603"/>
      <c r="AD143" s="904">
        <f t="shared" si="36"/>
        <v>0</v>
      </c>
      <c r="AE143" s="603"/>
      <c r="AF143" s="603"/>
      <c r="AG143" s="603"/>
      <c r="AH143" s="603"/>
      <c r="AI143" s="907">
        <f t="shared" si="37"/>
        <v>0</v>
      </c>
      <c r="AJ143" s="921"/>
      <c r="AK143" s="921"/>
      <c r="AL143" s="921"/>
      <c r="AM143" s="921"/>
      <c r="AN143" s="921"/>
      <c r="AO143" s="617">
        <f t="shared" si="38"/>
        <v>0</v>
      </c>
      <c r="AR143" t="str">
        <f t="shared" si="39"/>
        <v>F</v>
      </c>
      <c r="AS143" t="str" cm="1">
        <f t="array" ref="AS143">IFERROR(INDEX(Table611[],MATCH($B143&amp;$C143&amp;$D143&amp;$F143,Table611[Component]&amp;Table611[Module]&amp;Table611[Intervention]&amp;Table611[Cost Input],0),5),"")</f>
        <v/>
      </c>
      <c r="AT143" t="str">
        <f t="shared" si="29"/>
        <v/>
      </c>
      <c r="AW143">
        <f t="shared" si="30"/>
        <v>9</v>
      </c>
    </row>
    <row r="144" spans="1:49" ht="14.5" x14ac:dyDescent="0.35">
      <c r="A144" s="258" t="str">
        <f t="shared" si="31"/>
        <v/>
      </c>
      <c r="B144" s="914"/>
      <c r="C144" s="602"/>
      <c r="D144" s="602"/>
      <c r="E144" s="601"/>
      <c r="F144" s="602"/>
      <c r="G144" s="614" t="str">
        <f>IF(F144="","",SETUP!$T$2)</f>
        <v/>
      </c>
      <c r="H144" s="614" t="str">
        <f t="shared" si="32"/>
        <v/>
      </c>
      <c r="I144" s="614" t="str">
        <f t="shared" si="28"/>
        <v/>
      </c>
      <c r="J144" s="614" t="str">
        <f>IF(F144="","",SETUP!$E$7)</f>
        <v/>
      </c>
      <c r="K144" s="912"/>
      <c r="L144" s="912"/>
      <c r="M144" s="912"/>
      <c r="N144" s="912"/>
      <c r="O144" s="904">
        <f t="shared" si="33"/>
        <v>0</v>
      </c>
      <c r="P144" s="603"/>
      <c r="Q144" s="603"/>
      <c r="R144" s="603"/>
      <c r="S144" s="603"/>
      <c r="T144" s="904">
        <f t="shared" si="34"/>
        <v>0</v>
      </c>
      <c r="U144" s="603"/>
      <c r="V144" s="603"/>
      <c r="W144" s="603"/>
      <c r="X144" s="603"/>
      <c r="Y144" s="904">
        <f t="shared" si="35"/>
        <v>0</v>
      </c>
      <c r="Z144" s="603"/>
      <c r="AA144" s="603"/>
      <c r="AB144" s="603"/>
      <c r="AC144" s="603"/>
      <c r="AD144" s="904">
        <f t="shared" si="36"/>
        <v>0</v>
      </c>
      <c r="AE144" s="603"/>
      <c r="AF144" s="603"/>
      <c r="AG144" s="603"/>
      <c r="AH144" s="603"/>
      <c r="AI144" s="907">
        <f t="shared" si="37"/>
        <v>0</v>
      </c>
      <c r="AJ144" s="921"/>
      <c r="AK144" s="921"/>
      <c r="AL144" s="921"/>
      <c r="AM144" s="921"/>
      <c r="AN144" s="921"/>
      <c r="AO144" s="617">
        <f t="shared" si="38"/>
        <v>0</v>
      </c>
      <c r="AR144" t="str">
        <f t="shared" si="39"/>
        <v>F</v>
      </c>
      <c r="AS144" t="str" cm="1">
        <f t="array" ref="AS144">IFERROR(INDEX(Table611[],MATCH($B144&amp;$C144&amp;$D144&amp;$F144,Table611[Component]&amp;Table611[Module]&amp;Table611[Intervention]&amp;Table611[Cost Input],0),5),"")</f>
        <v/>
      </c>
      <c r="AT144" t="str">
        <f t="shared" si="29"/>
        <v/>
      </c>
      <c r="AW144">
        <f t="shared" si="30"/>
        <v>9</v>
      </c>
    </row>
    <row r="145" spans="1:49" ht="14.5" x14ac:dyDescent="0.35">
      <c r="A145" s="258" t="str">
        <f t="shared" si="31"/>
        <v/>
      </c>
      <c r="B145" s="914"/>
      <c r="C145" s="602"/>
      <c r="D145" s="602"/>
      <c r="E145" s="601"/>
      <c r="F145" s="602"/>
      <c r="G145" s="614" t="str">
        <f>IF(F145="","",SETUP!$T$2)</f>
        <v/>
      </c>
      <c r="H145" s="614" t="str">
        <f t="shared" si="32"/>
        <v/>
      </c>
      <c r="I145" s="614" t="str">
        <f t="shared" si="28"/>
        <v/>
      </c>
      <c r="J145" s="614" t="str">
        <f>IF(F145="","",SETUP!$E$7)</f>
        <v/>
      </c>
      <c r="K145" s="912"/>
      <c r="L145" s="912"/>
      <c r="M145" s="912"/>
      <c r="N145" s="912"/>
      <c r="O145" s="904">
        <f t="shared" si="33"/>
        <v>0</v>
      </c>
      <c r="P145" s="603"/>
      <c r="Q145" s="603"/>
      <c r="R145" s="603"/>
      <c r="S145" s="603"/>
      <c r="T145" s="904">
        <f t="shared" si="34"/>
        <v>0</v>
      </c>
      <c r="U145" s="603"/>
      <c r="V145" s="603"/>
      <c r="W145" s="603"/>
      <c r="X145" s="603"/>
      <c r="Y145" s="904">
        <f t="shared" si="35"/>
        <v>0</v>
      </c>
      <c r="Z145" s="603"/>
      <c r="AA145" s="603"/>
      <c r="AB145" s="603"/>
      <c r="AC145" s="603"/>
      <c r="AD145" s="904">
        <f t="shared" si="36"/>
        <v>0</v>
      </c>
      <c r="AE145" s="603"/>
      <c r="AF145" s="603"/>
      <c r="AG145" s="603"/>
      <c r="AH145" s="603"/>
      <c r="AI145" s="907">
        <f t="shared" si="37"/>
        <v>0</v>
      </c>
      <c r="AJ145" s="921"/>
      <c r="AK145" s="921"/>
      <c r="AL145" s="921"/>
      <c r="AM145" s="921"/>
      <c r="AN145" s="921"/>
      <c r="AO145" s="617">
        <f t="shared" si="38"/>
        <v>0</v>
      </c>
      <c r="AR145" t="str">
        <f t="shared" si="39"/>
        <v>F</v>
      </c>
      <c r="AS145" t="str" cm="1">
        <f t="array" ref="AS145">IFERROR(INDEX(Table611[],MATCH($B145&amp;$C145&amp;$D145&amp;$F145,Table611[Component]&amp;Table611[Module]&amp;Table611[Intervention]&amp;Table611[Cost Input],0),5),"")</f>
        <v/>
      </c>
      <c r="AT145" t="str">
        <f t="shared" si="29"/>
        <v/>
      </c>
      <c r="AW145">
        <f t="shared" si="30"/>
        <v>9</v>
      </c>
    </row>
    <row r="146" spans="1:49" ht="14.5" x14ac:dyDescent="0.35">
      <c r="A146" s="258" t="str">
        <f t="shared" si="31"/>
        <v/>
      </c>
      <c r="B146" s="914"/>
      <c r="C146" s="602"/>
      <c r="D146" s="602"/>
      <c r="E146" s="601"/>
      <c r="F146" s="602"/>
      <c r="G146" s="614" t="str">
        <f>IF(F146="","",SETUP!$T$2)</f>
        <v/>
      </c>
      <c r="H146" s="614" t="str">
        <f t="shared" si="32"/>
        <v/>
      </c>
      <c r="I146" s="614" t="str">
        <f t="shared" si="28"/>
        <v/>
      </c>
      <c r="J146" s="614" t="str">
        <f>IF(F146="","",SETUP!$E$7)</f>
        <v/>
      </c>
      <c r="K146" s="912"/>
      <c r="L146" s="912"/>
      <c r="M146" s="912"/>
      <c r="N146" s="912"/>
      <c r="O146" s="904">
        <f t="shared" si="33"/>
        <v>0</v>
      </c>
      <c r="P146" s="603"/>
      <c r="Q146" s="603"/>
      <c r="R146" s="603"/>
      <c r="S146" s="603"/>
      <c r="T146" s="904">
        <f t="shared" si="34"/>
        <v>0</v>
      </c>
      <c r="U146" s="603"/>
      <c r="V146" s="603"/>
      <c r="W146" s="603"/>
      <c r="X146" s="603"/>
      <c r="Y146" s="904">
        <f t="shared" si="35"/>
        <v>0</v>
      </c>
      <c r="Z146" s="603"/>
      <c r="AA146" s="603"/>
      <c r="AB146" s="603"/>
      <c r="AC146" s="603"/>
      <c r="AD146" s="904">
        <f t="shared" si="36"/>
        <v>0</v>
      </c>
      <c r="AE146" s="603"/>
      <c r="AF146" s="603"/>
      <c r="AG146" s="603"/>
      <c r="AH146" s="603"/>
      <c r="AI146" s="907">
        <f t="shared" si="37"/>
        <v>0</v>
      </c>
      <c r="AJ146" s="921"/>
      <c r="AK146" s="921"/>
      <c r="AL146" s="921"/>
      <c r="AM146" s="921"/>
      <c r="AN146" s="921"/>
      <c r="AO146" s="617">
        <f t="shared" si="38"/>
        <v>0</v>
      </c>
      <c r="AR146" t="str">
        <f t="shared" si="39"/>
        <v>F</v>
      </c>
      <c r="AS146" t="str" cm="1">
        <f t="array" ref="AS146">IFERROR(INDEX(Table611[],MATCH($B146&amp;$C146&amp;$D146&amp;$F146,Table611[Component]&amp;Table611[Module]&amp;Table611[Intervention]&amp;Table611[Cost Input],0),5),"")</f>
        <v/>
      </c>
      <c r="AT146" t="str">
        <f t="shared" si="29"/>
        <v/>
      </c>
      <c r="AW146">
        <f t="shared" si="30"/>
        <v>9</v>
      </c>
    </row>
    <row r="147" spans="1:49" ht="14.5" x14ac:dyDescent="0.35">
      <c r="A147" s="258" t="str">
        <f t="shared" si="31"/>
        <v/>
      </c>
      <c r="B147" s="914"/>
      <c r="C147" s="602"/>
      <c r="D147" s="602"/>
      <c r="E147" s="601"/>
      <c r="F147" s="602"/>
      <c r="G147" s="614" t="str">
        <f>IF(F147="","",SETUP!$T$2)</f>
        <v/>
      </c>
      <c r="H147" s="614" t="str">
        <f t="shared" si="32"/>
        <v/>
      </c>
      <c r="I147" s="614" t="str">
        <f t="shared" si="28"/>
        <v/>
      </c>
      <c r="J147" s="614" t="str">
        <f>IF(F147="","",SETUP!$E$7)</f>
        <v/>
      </c>
      <c r="K147" s="912"/>
      <c r="L147" s="912"/>
      <c r="M147" s="912"/>
      <c r="N147" s="912"/>
      <c r="O147" s="904">
        <f t="shared" si="33"/>
        <v>0</v>
      </c>
      <c r="P147" s="603"/>
      <c r="Q147" s="603"/>
      <c r="R147" s="603"/>
      <c r="S147" s="603"/>
      <c r="T147" s="904">
        <f t="shared" si="34"/>
        <v>0</v>
      </c>
      <c r="U147" s="603"/>
      <c r="V147" s="603"/>
      <c r="W147" s="603"/>
      <c r="X147" s="603"/>
      <c r="Y147" s="904">
        <f t="shared" si="35"/>
        <v>0</v>
      </c>
      <c r="Z147" s="603"/>
      <c r="AA147" s="603"/>
      <c r="AB147" s="603"/>
      <c r="AC147" s="603"/>
      <c r="AD147" s="904">
        <f t="shared" si="36"/>
        <v>0</v>
      </c>
      <c r="AE147" s="603"/>
      <c r="AF147" s="603"/>
      <c r="AG147" s="603"/>
      <c r="AH147" s="603"/>
      <c r="AI147" s="907">
        <f t="shared" si="37"/>
        <v>0</v>
      </c>
      <c r="AJ147" s="921"/>
      <c r="AK147" s="921"/>
      <c r="AL147" s="921"/>
      <c r="AM147" s="921"/>
      <c r="AN147" s="921"/>
      <c r="AO147" s="617">
        <f t="shared" si="38"/>
        <v>0</v>
      </c>
      <c r="AR147" t="str">
        <f t="shared" si="39"/>
        <v>F</v>
      </c>
      <c r="AS147" t="str" cm="1">
        <f t="array" ref="AS147">IFERROR(INDEX(Table611[],MATCH($B147&amp;$C147&amp;$D147&amp;$F147,Table611[Component]&amp;Table611[Module]&amp;Table611[Intervention]&amp;Table611[Cost Input],0),5),"")</f>
        <v/>
      </c>
      <c r="AT147" t="str">
        <f t="shared" si="29"/>
        <v/>
      </c>
      <c r="AW147">
        <f t="shared" si="30"/>
        <v>9</v>
      </c>
    </row>
    <row r="148" spans="1:49" ht="14.5" x14ac:dyDescent="0.35">
      <c r="A148" s="258" t="str">
        <f t="shared" si="31"/>
        <v/>
      </c>
      <c r="B148" s="914"/>
      <c r="C148" s="602"/>
      <c r="D148" s="602"/>
      <c r="E148" s="601"/>
      <c r="F148" s="602"/>
      <c r="G148" s="614" t="str">
        <f>IF(F148="","",SETUP!$T$2)</f>
        <v/>
      </c>
      <c r="H148" s="614" t="str">
        <f t="shared" si="32"/>
        <v/>
      </c>
      <c r="I148" s="614" t="str">
        <f t="shared" si="28"/>
        <v/>
      </c>
      <c r="J148" s="614" t="str">
        <f>IF(F148="","",SETUP!$E$7)</f>
        <v/>
      </c>
      <c r="K148" s="912"/>
      <c r="L148" s="912"/>
      <c r="M148" s="912"/>
      <c r="N148" s="912"/>
      <c r="O148" s="904">
        <f t="shared" si="33"/>
        <v>0</v>
      </c>
      <c r="P148" s="603"/>
      <c r="Q148" s="603"/>
      <c r="R148" s="603"/>
      <c r="S148" s="603"/>
      <c r="T148" s="904">
        <f t="shared" si="34"/>
        <v>0</v>
      </c>
      <c r="U148" s="603"/>
      <c r="V148" s="603"/>
      <c r="W148" s="603"/>
      <c r="X148" s="603"/>
      <c r="Y148" s="904">
        <f t="shared" si="35"/>
        <v>0</v>
      </c>
      <c r="Z148" s="603"/>
      <c r="AA148" s="603"/>
      <c r="AB148" s="603"/>
      <c r="AC148" s="603"/>
      <c r="AD148" s="904">
        <f t="shared" si="36"/>
        <v>0</v>
      </c>
      <c r="AE148" s="603"/>
      <c r="AF148" s="603"/>
      <c r="AG148" s="603"/>
      <c r="AH148" s="603"/>
      <c r="AI148" s="907">
        <f t="shared" si="37"/>
        <v>0</v>
      </c>
      <c r="AJ148" s="921"/>
      <c r="AK148" s="921"/>
      <c r="AL148" s="921"/>
      <c r="AM148" s="921"/>
      <c r="AN148" s="921"/>
      <c r="AO148" s="617">
        <f t="shared" si="38"/>
        <v>0</v>
      </c>
      <c r="AR148" t="str">
        <f t="shared" si="39"/>
        <v>F</v>
      </c>
      <c r="AS148" t="str" cm="1">
        <f t="array" ref="AS148">IFERROR(INDEX(Table611[],MATCH($B148&amp;$C148&amp;$D148&amp;$F148,Table611[Component]&amp;Table611[Module]&amp;Table611[Intervention]&amp;Table611[Cost Input],0),5),"")</f>
        <v/>
      </c>
      <c r="AT148" t="str">
        <f t="shared" si="29"/>
        <v/>
      </c>
      <c r="AW148">
        <f t="shared" si="30"/>
        <v>9</v>
      </c>
    </row>
    <row r="149" spans="1:49" ht="14.5" x14ac:dyDescent="0.35">
      <c r="A149" s="258" t="str">
        <f t="shared" si="31"/>
        <v/>
      </c>
      <c r="B149" s="914"/>
      <c r="C149" s="602"/>
      <c r="D149" s="602"/>
      <c r="E149" s="601"/>
      <c r="F149" s="602"/>
      <c r="G149" s="614" t="str">
        <f>IF(F149="","",SETUP!$T$2)</f>
        <v/>
      </c>
      <c r="H149" s="614" t="str">
        <f t="shared" si="32"/>
        <v/>
      </c>
      <c r="I149" s="614" t="str">
        <f t="shared" si="28"/>
        <v/>
      </c>
      <c r="J149" s="614" t="str">
        <f>IF(F149="","",SETUP!$E$7)</f>
        <v/>
      </c>
      <c r="K149" s="912"/>
      <c r="L149" s="912"/>
      <c r="M149" s="912"/>
      <c r="N149" s="912"/>
      <c r="O149" s="904">
        <f t="shared" si="33"/>
        <v>0</v>
      </c>
      <c r="P149" s="603"/>
      <c r="Q149" s="603"/>
      <c r="R149" s="603"/>
      <c r="S149" s="603"/>
      <c r="T149" s="904">
        <f t="shared" si="34"/>
        <v>0</v>
      </c>
      <c r="U149" s="603"/>
      <c r="V149" s="603"/>
      <c r="W149" s="603"/>
      <c r="X149" s="603"/>
      <c r="Y149" s="904">
        <f t="shared" si="35"/>
        <v>0</v>
      </c>
      <c r="Z149" s="603"/>
      <c r="AA149" s="603"/>
      <c r="AB149" s="603"/>
      <c r="AC149" s="603"/>
      <c r="AD149" s="904">
        <f t="shared" si="36"/>
        <v>0</v>
      </c>
      <c r="AE149" s="603"/>
      <c r="AF149" s="603"/>
      <c r="AG149" s="603"/>
      <c r="AH149" s="603"/>
      <c r="AI149" s="907">
        <f t="shared" si="37"/>
        <v>0</v>
      </c>
      <c r="AJ149" s="921"/>
      <c r="AK149" s="921"/>
      <c r="AL149" s="921"/>
      <c r="AM149" s="921"/>
      <c r="AN149" s="921"/>
      <c r="AO149" s="617">
        <f t="shared" si="38"/>
        <v>0</v>
      </c>
      <c r="AR149" t="str">
        <f t="shared" si="39"/>
        <v>F</v>
      </c>
      <c r="AS149" t="str" cm="1">
        <f t="array" ref="AS149">IFERROR(INDEX(Table611[],MATCH($B149&amp;$C149&amp;$D149&amp;$F149,Table611[Component]&amp;Table611[Module]&amp;Table611[Intervention]&amp;Table611[Cost Input],0),5),"")</f>
        <v/>
      </c>
      <c r="AT149" t="str">
        <f t="shared" si="29"/>
        <v/>
      </c>
      <c r="AW149">
        <f t="shared" si="30"/>
        <v>9</v>
      </c>
    </row>
    <row r="150" spans="1:49" ht="14.5" x14ac:dyDescent="0.35">
      <c r="A150" s="258" t="str">
        <f t="shared" si="31"/>
        <v/>
      </c>
      <c r="B150" s="914"/>
      <c r="C150" s="602"/>
      <c r="D150" s="602"/>
      <c r="E150" s="601"/>
      <c r="F150" s="602"/>
      <c r="G150" s="614" t="str">
        <f>IF(F150="","",SETUP!$T$2)</f>
        <v/>
      </c>
      <c r="H150" s="614" t="str">
        <f t="shared" si="32"/>
        <v/>
      </c>
      <c r="I150" s="614" t="str">
        <f t="shared" si="28"/>
        <v/>
      </c>
      <c r="J150" s="614" t="str">
        <f>IF(F150="","",SETUP!$E$7)</f>
        <v/>
      </c>
      <c r="K150" s="912"/>
      <c r="L150" s="912"/>
      <c r="M150" s="912"/>
      <c r="N150" s="912"/>
      <c r="O150" s="904">
        <f t="shared" si="33"/>
        <v>0</v>
      </c>
      <c r="P150" s="603"/>
      <c r="Q150" s="603"/>
      <c r="R150" s="603"/>
      <c r="S150" s="603"/>
      <c r="T150" s="904">
        <f t="shared" si="34"/>
        <v>0</v>
      </c>
      <c r="U150" s="603"/>
      <c r="V150" s="603"/>
      <c r="W150" s="603"/>
      <c r="X150" s="603"/>
      <c r="Y150" s="904">
        <f t="shared" si="35"/>
        <v>0</v>
      </c>
      <c r="Z150" s="603"/>
      <c r="AA150" s="603"/>
      <c r="AB150" s="603"/>
      <c r="AC150" s="603"/>
      <c r="AD150" s="904">
        <f t="shared" si="36"/>
        <v>0</v>
      </c>
      <c r="AE150" s="603"/>
      <c r="AF150" s="603"/>
      <c r="AG150" s="603"/>
      <c r="AH150" s="603"/>
      <c r="AI150" s="907">
        <f t="shared" si="37"/>
        <v>0</v>
      </c>
      <c r="AJ150" s="921"/>
      <c r="AK150" s="921"/>
      <c r="AL150" s="921"/>
      <c r="AM150" s="921"/>
      <c r="AN150" s="921"/>
      <c r="AO150" s="617">
        <f t="shared" si="38"/>
        <v>0</v>
      </c>
      <c r="AR150" t="str">
        <f t="shared" si="39"/>
        <v>F</v>
      </c>
      <c r="AS150" t="str" cm="1">
        <f t="array" ref="AS150">IFERROR(INDEX(Table611[],MATCH($B150&amp;$C150&amp;$D150&amp;$F150,Table611[Component]&amp;Table611[Module]&amp;Table611[Intervention]&amp;Table611[Cost Input],0),5),"")</f>
        <v/>
      </c>
      <c r="AT150" t="str">
        <f t="shared" si="29"/>
        <v/>
      </c>
      <c r="AW150">
        <f t="shared" si="30"/>
        <v>9</v>
      </c>
    </row>
    <row r="151" spans="1:49" ht="14.5" x14ac:dyDescent="0.35">
      <c r="A151" s="258" t="str">
        <f t="shared" si="31"/>
        <v/>
      </c>
      <c r="B151" s="914"/>
      <c r="C151" s="602"/>
      <c r="D151" s="602"/>
      <c r="E151" s="601"/>
      <c r="F151" s="602"/>
      <c r="G151" s="614" t="str">
        <f>IF(F151="","",SETUP!$T$2)</f>
        <v/>
      </c>
      <c r="H151" s="614" t="str">
        <f t="shared" si="32"/>
        <v/>
      </c>
      <c r="I151" s="614" t="str">
        <f t="shared" si="28"/>
        <v/>
      </c>
      <c r="J151" s="614" t="str">
        <f>IF(F151="","",SETUP!$E$7)</f>
        <v/>
      </c>
      <c r="K151" s="912"/>
      <c r="L151" s="912"/>
      <c r="M151" s="912"/>
      <c r="N151" s="912"/>
      <c r="O151" s="904">
        <f t="shared" si="33"/>
        <v>0</v>
      </c>
      <c r="P151" s="603"/>
      <c r="Q151" s="603"/>
      <c r="R151" s="603"/>
      <c r="S151" s="603"/>
      <c r="T151" s="904">
        <f t="shared" si="34"/>
        <v>0</v>
      </c>
      <c r="U151" s="603"/>
      <c r="V151" s="603"/>
      <c r="W151" s="603"/>
      <c r="X151" s="603"/>
      <c r="Y151" s="904">
        <f t="shared" si="35"/>
        <v>0</v>
      </c>
      <c r="Z151" s="603"/>
      <c r="AA151" s="603"/>
      <c r="AB151" s="603"/>
      <c r="AC151" s="603"/>
      <c r="AD151" s="904">
        <f t="shared" si="36"/>
        <v>0</v>
      </c>
      <c r="AE151" s="603"/>
      <c r="AF151" s="603"/>
      <c r="AG151" s="603"/>
      <c r="AH151" s="603"/>
      <c r="AI151" s="907">
        <f t="shared" si="37"/>
        <v>0</v>
      </c>
      <c r="AJ151" s="921"/>
      <c r="AK151" s="921"/>
      <c r="AL151" s="921"/>
      <c r="AM151" s="921"/>
      <c r="AN151" s="921"/>
      <c r="AO151" s="617">
        <f t="shared" si="38"/>
        <v>0</v>
      </c>
      <c r="AR151" t="str">
        <f t="shared" si="39"/>
        <v>F</v>
      </c>
      <c r="AS151" t="str" cm="1">
        <f t="array" ref="AS151">IFERROR(INDEX(Table611[],MATCH($B151&amp;$C151&amp;$D151&amp;$F151,Table611[Component]&amp;Table611[Module]&amp;Table611[Intervention]&amp;Table611[Cost Input],0),5),"")</f>
        <v/>
      </c>
      <c r="AT151" t="str">
        <f t="shared" si="29"/>
        <v/>
      </c>
      <c r="AW151">
        <f t="shared" si="30"/>
        <v>9</v>
      </c>
    </row>
    <row r="152" spans="1:49" ht="14.5" x14ac:dyDescent="0.35">
      <c r="A152" s="258" t="str">
        <f t="shared" si="31"/>
        <v/>
      </c>
      <c r="B152" s="914"/>
      <c r="C152" s="602"/>
      <c r="D152" s="602"/>
      <c r="E152" s="601"/>
      <c r="F152" s="602"/>
      <c r="G152" s="614" t="str">
        <f>IF(F152="","",SETUP!$T$2)</f>
        <v/>
      </c>
      <c r="H152" s="614" t="str">
        <f t="shared" si="32"/>
        <v/>
      </c>
      <c r="I152" s="614" t="str">
        <f t="shared" si="28"/>
        <v/>
      </c>
      <c r="J152" s="614" t="str">
        <f>IF(F152="","",SETUP!$E$7)</f>
        <v/>
      </c>
      <c r="K152" s="912"/>
      <c r="L152" s="912"/>
      <c r="M152" s="912"/>
      <c r="N152" s="912"/>
      <c r="O152" s="904">
        <f t="shared" si="33"/>
        <v>0</v>
      </c>
      <c r="P152" s="603"/>
      <c r="Q152" s="603"/>
      <c r="R152" s="603"/>
      <c r="S152" s="603"/>
      <c r="T152" s="904">
        <f t="shared" si="34"/>
        <v>0</v>
      </c>
      <c r="U152" s="603"/>
      <c r="V152" s="603"/>
      <c r="W152" s="603"/>
      <c r="X152" s="603"/>
      <c r="Y152" s="904">
        <f t="shared" si="35"/>
        <v>0</v>
      </c>
      <c r="Z152" s="603"/>
      <c r="AA152" s="603"/>
      <c r="AB152" s="603"/>
      <c r="AC152" s="603"/>
      <c r="AD152" s="904">
        <f t="shared" si="36"/>
        <v>0</v>
      </c>
      <c r="AE152" s="603"/>
      <c r="AF152" s="603"/>
      <c r="AG152" s="603"/>
      <c r="AH152" s="603"/>
      <c r="AI152" s="907">
        <f t="shared" si="37"/>
        <v>0</v>
      </c>
      <c r="AJ152" s="921"/>
      <c r="AK152" s="921"/>
      <c r="AL152" s="921"/>
      <c r="AM152" s="921"/>
      <c r="AN152" s="921"/>
      <c r="AO152" s="617">
        <f t="shared" si="38"/>
        <v>0</v>
      </c>
      <c r="AR152" t="str">
        <f t="shared" si="39"/>
        <v>F</v>
      </c>
      <c r="AS152" t="str" cm="1">
        <f t="array" ref="AS152">IFERROR(INDEX(Table611[],MATCH($B152&amp;$C152&amp;$D152&amp;$F152,Table611[Component]&amp;Table611[Module]&amp;Table611[Intervention]&amp;Table611[Cost Input],0),5),"")</f>
        <v/>
      </c>
      <c r="AT152" t="str">
        <f t="shared" si="29"/>
        <v/>
      </c>
      <c r="AW152">
        <f t="shared" si="30"/>
        <v>9</v>
      </c>
    </row>
    <row r="153" spans="1:49" ht="14.5" x14ac:dyDescent="0.35">
      <c r="A153" s="258" t="str">
        <f t="shared" si="31"/>
        <v/>
      </c>
      <c r="B153" s="914"/>
      <c r="C153" s="602"/>
      <c r="D153" s="602"/>
      <c r="E153" s="601"/>
      <c r="F153" s="602"/>
      <c r="G153" s="614" t="str">
        <f>IF(F153="","",SETUP!$T$2)</f>
        <v/>
      </c>
      <c r="H153" s="614" t="str">
        <f t="shared" si="32"/>
        <v/>
      </c>
      <c r="I153" s="614" t="str">
        <f t="shared" si="28"/>
        <v/>
      </c>
      <c r="J153" s="614" t="str">
        <f>IF(F153="","",SETUP!$E$7)</f>
        <v/>
      </c>
      <c r="K153" s="912"/>
      <c r="L153" s="912"/>
      <c r="M153" s="912"/>
      <c r="N153" s="912"/>
      <c r="O153" s="904">
        <f t="shared" si="33"/>
        <v>0</v>
      </c>
      <c r="P153" s="603"/>
      <c r="Q153" s="603"/>
      <c r="R153" s="603"/>
      <c r="S153" s="603"/>
      <c r="T153" s="904">
        <f t="shared" si="34"/>
        <v>0</v>
      </c>
      <c r="U153" s="603"/>
      <c r="V153" s="603"/>
      <c r="W153" s="603"/>
      <c r="X153" s="603"/>
      <c r="Y153" s="904">
        <f t="shared" si="35"/>
        <v>0</v>
      </c>
      <c r="Z153" s="603"/>
      <c r="AA153" s="603"/>
      <c r="AB153" s="603"/>
      <c r="AC153" s="603"/>
      <c r="AD153" s="904">
        <f t="shared" si="36"/>
        <v>0</v>
      </c>
      <c r="AE153" s="603"/>
      <c r="AF153" s="603"/>
      <c r="AG153" s="603"/>
      <c r="AH153" s="603"/>
      <c r="AI153" s="907">
        <f t="shared" si="37"/>
        <v>0</v>
      </c>
      <c r="AJ153" s="921"/>
      <c r="AK153" s="921"/>
      <c r="AL153" s="921"/>
      <c r="AM153" s="921"/>
      <c r="AN153" s="921"/>
      <c r="AO153" s="617">
        <f t="shared" si="38"/>
        <v>0</v>
      </c>
      <c r="AR153" t="str">
        <f t="shared" si="39"/>
        <v>F</v>
      </c>
      <c r="AS153" t="str" cm="1">
        <f t="array" ref="AS153">IFERROR(INDEX(Table611[],MATCH($B153&amp;$C153&amp;$D153&amp;$F153,Table611[Component]&amp;Table611[Module]&amp;Table611[Intervention]&amp;Table611[Cost Input],0),5),"")</f>
        <v/>
      </c>
      <c r="AT153" t="str">
        <f t="shared" si="29"/>
        <v/>
      </c>
      <c r="AW153">
        <f t="shared" si="30"/>
        <v>9</v>
      </c>
    </row>
    <row r="154" spans="1:49" ht="14.5" x14ac:dyDescent="0.35">
      <c r="A154" s="258" t="str">
        <f t="shared" si="31"/>
        <v/>
      </c>
      <c r="B154" s="914"/>
      <c r="C154" s="602"/>
      <c r="D154" s="602"/>
      <c r="E154" s="601"/>
      <c r="F154" s="602"/>
      <c r="G154" s="614" t="str">
        <f>IF(F154="","",SETUP!$T$2)</f>
        <v/>
      </c>
      <c r="H154" s="614" t="str">
        <f t="shared" si="32"/>
        <v/>
      </c>
      <c r="I154" s="614" t="str">
        <f t="shared" si="28"/>
        <v/>
      </c>
      <c r="J154" s="614" t="str">
        <f>IF(F154="","",SETUP!$E$7)</f>
        <v/>
      </c>
      <c r="K154" s="912"/>
      <c r="L154" s="912"/>
      <c r="M154" s="912"/>
      <c r="N154" s="912"/>
      <c r="O154" s="904">
        <f t="shared" si="33"/>
        <v>0</v>
      </c>
      <c r="P154" s="603"/>
      <c r="Q154" s="603"/>
      <c r="R154" s="603"/>
      <c r="S154" s="603"/>
      <c r="T154" s="904">
        <f t="shared" si="34"/>
        <v>0</v>
      </c>
      <c r="U154" s="603"/>
      <c r="V154" s="603"/>
      <c r="W154" s="603"/>
      <c r="X154" s="603"/>
      <c r="Y154" s="904">
        <f t="shared" si="35"/>
        <v>0</v>
      </c>
      <c r="Z154" s="603"/>
      <c r="AA154" s="603"/>
      <c r="AB154" s="603"/>
      <c r="AC154" s="603"/>
      <c r="AD154" s="904">
        <f t="shared" si="36"/>
        <v>0</v>
      </c>
      <c r="AE154" s="603"/>
      <c r="AF154" s="603"/>
      <c r="AG154" s="603"/>
      <c r="AH154" s="603"/>
      <c r="AI154" s="907">
        <f t="shared" si="37"/>
        <v>0</v>
      </c>
      <c r="AJ154" s="921"/>
      <c r="AK154" s="921"/>
      <c r="AL154" s="921"/>
      <c r="AM154" s="921"/>
      <c r="AN154" s="921"/>
      <c r="AO154" s="617">
        <f t="shared" si="38"/>
        <v>0</v>
      </c>
      <c r="AR154" t="str">
        <f t="shared" si="39"/>
        <v>F</v>
      </c>
      <c r="AS154" t="str" cm="1">
        <f t="array" ref="AS154">IFERROR(INDEX(Table611[],MATCH($B154&amp;$C154&amp;$D154&amp;$F154,Table611[Component]&amp;Table611[Module]&amp;Table611[Intervention]&amp;Table611[Cost Input],0),5),"")</f>
        <v/>
      </c>
      <c r="AT154" t="str">
        <f t="shared" si="29"/>
        <v/>
      </c>
      <c r="AW154">
        <f t="shared" si="30"/>
        <v>9</v>
      </c>
    </row>
    <row r="155" spans="1:49" ht="14.5" x14ac:dyDescent="0.35">
      <c r="A155" s="258" t="str">
        <f t="shared" si="31"/>
        <v/>
      </c>
      <c r="B155" s="914"/>
      <c r="C155" s="602"/>
      <c r="D155" s="602"/>
      <c r="E155" s="601"/>
      <c r="F155" s="602"/>
      <c r="G155" s="614" t="str">
        <f>IF(F155="","",SETUP!$T$2)</f>
        <v/>
      </c>
      <c r="H155" s="614" t="str">
        <f t="shared" si="32"/>
        <v/>
      </c>
      <c r="I155" s="614" t="str">
        <f t="shared" si="28"/>
        <v/>
      </c>
      <c r="J155" s="614" t="str">
        <f>IF(F155="","",SETUP!$E$7)</f>
        <v/>
      </c>
      <c r="K155" s="912"/>
      <c r="L155" s="912"/>
      <c r="M155" s="912"/>
      <c r="N155" s="912"/>
      <c r="O155" s="904">
        <f t="shared" si="33"/>
        <v>0</v>
      </c>
      <c r="P155" s="603"/>
      <c r="Q155" s="603"/>
      <c r="R155" s="603"/>
      <c r="S155" s="603"/>
      <c r="T155" s="904">
        <f t="shared" si="34"/>
        <v>0</v>
      </c>
      <c r="U155" s="603"/>
      <c r="V155" s="603"/>
      <c r="W155" s="603"/>
      <c r="X155" s="603"/>
      <c r="Y155" s="904">
        <f t="shared" si="35"/>
        <v>0</v>
      </c>
      <c r="Z155" s="603"/>
      <c r="AA155" s="603"/>
      <c r="AB155" s="603"/>
      <c r="AC155" s="603"/>
      <c r="AD155" s="904">
        <f t="shared" si="36"/>
        <v>0</v>
      </c>
      <c r="AE155" s="603"/>
      <c r="AF155" s="603"/>
      <c r="AG155" s="603"/>
      <c r="AH155" s="603"/>
      <c r="AI155" s="907">
        <f t="shared" si="37"/>
        <v>0</v>
      </c>
      <c r="AJ155" s="921"/>
      <c r="AK155" s="921"/>
      <c r="AL155" s="921"/>
      <c r="AM155" s="921"/>
      <c r="AN155" s="921"/>
      <c r="AO155" s="617">
        <f t="shared" si="38"/>
        <v>0</v>
      </c>
      <c r="AR155" t="str">
        <f t="shared" si="39"/>
        <v>F</v>
      </c>
      <c r="AS155" t="str" cm="1">
        <f t="array" ref="AS155">IFERROR(INDEX(Table611[],MATCH($B155&amp;$C155&amp;$D155&amp;$F155,Table611[Component]&amp;Table611[Module]&amp;Table611[Intervention]&amp;Table611[Cost Input],0),5),"")</f>
        <v/>
      </c>
      <c r="AT155" t="str">
        <f t="shared" si="29"/>
        <v/>
      </c>
      <c r="AW155">
        <f t="shared" si="30"/>
        <v>9</v>
      </c>
    </row>
    <row r="156" spans="1:49" ht="14.5" x14ac:dyDescent="0.35">
      <c r="A156" s="258" t="str">
        <f t="shared" si="31"/>
        <v/>
      </c>
      <c r="B156" s="914"/>
      <c r="C156" s="602"/>
      <c r="D156" s="602"/>
      <c r="E156" s="601"/>
      <c r="F156" s="602"/>
      <c r="G156" s="614" t="str">
        <f>IF(F156="","",SETUP!$T$2)</f>
        <v/>
      </c>
      <c r="H156" s="614" t="str">
        <f t="shared" si="32"/>
        <v/>
      </c>
      <c r="I156" s="614" t="str">
        <f t="shared" si="28"/>
        <v/>
      </c>
      <c r="J156" s="614" t="str">
        <f>IF(F156="","",SETUP!$E$7)</f>
        <v/>
      </c>
      <c r="K156" s="912"/>
      <c r="L156" s="912"/>
      <c r="M156" s="912"/>
      <c r="N156" s="912"/>
      <c r="O156" s="904">
        <f t="shared" si="33"/>
        <v>0</v>
      </c>
      <c r="P156" s="603"/>
      <c r="Q156" s="603"/>
      <c r="R156" s="603"/>
      <c r="S156" s="603"/>
      <c r="T156" s="904">
        <f t="shared" si="34"/>
        <v>0</v>
      </c>
      <c r="U156" s="603"/>
      <c r="V156" s="603"/>
      <c r="W156" s="603"/>
      <c r="X156" s="603"/>
      <c r="Y156" s="904">
        <f t="shared" si="35"/>
        <v>0</v>
      </c>
      <c r="Z156" s="603"/>
      <c r="AA156" s="603"/>
      <c r="AB156" s="603"/>
      <c r="AC156" s="603"/>
      <c r="AD156" s="904">
        <f t="shared" si="36"/>
        <v>0</v>
      </c>
      <c r="AE156" s="603"/>
      <c r="AF156" s="603"/>
      <c r="AG156" s="603"/>
      <c r="AH156" s="603"/>
      <c r="AI156" s="907">
        <f t="shared" si="37"/>
        <v>0</v>
      </c>
      <c r="AJ156" s="921"/>
      <c r="AK156" s="921"/>
      <c r="AL156" s="921"/>
      <c r="AM156" s="921"/>
      <c r="AN156" s="921"/>
      <c r="AO156" s="617">
        <f t="shared" si="38"/>
        <v>0</v>
      </c>
      <c r="AR156" t="str">
        <f t="shared" si="39"/>
        <v>F</v>
      </c>
      <c r="AS156" t="str" cm="1">
        <f t="array" ref="AS156">IFERROR(INDEX(Table611[],MATCH($B156&amp;$C156&amp;$D156&amp;$F156,Table611[Component]&amp;Table611[Module]&amp;Table611[Intervention]&amp;Table611[Cost Input],0),5),"")</f>
        <v/>
      </c>
      <c r="AT156" t="str">
        <f t="shared" si="29"/>
        <v/>
      </c>
      <c r="AW156">
        <f t="shared" si="30"/>
        <v>9</v>
      </c>
    </row>
    <row r="157" spans="1:49" ht="14.5" x14ac:dyDescent="0.35">
      <c r="A157" s="258" t="str">
        <f t="shared" si="31"/>
        <v/>
      </c>
      <c r="B157" s="914"/>
      <c r="C157" s="602"/>
      <c r="D157" s="602"/>
      <c r="E157" s="601"/>
      <c r="F157" s="602"/>
      <c r="G157" s="614" t="str">
        <f>IF(F157="","",SETUP!$T$2)</f>
        <v/>
      </c>
      <c r="H157" s="614" t="str">
        <f t="shared" si="32"/>
        <v/>
      </c>
      <c r="I157" s="614" t="str">
        <f t="shared" si="28"/>
        <v/>
      </c>
      <c r="J157" s="614" t="str">
        <f>IF(F157="","",SETUP!$E$7)</f>
        <v/>
      </c>
      <c r="K157" s="912"/>
      <c r="L157" s="912"/>
      <c r="M157" s="912"/>
      <c r="N157" s="912"/>
      <c r="O157" s="904">
        <f t="shared" si="33"/>
        <v>0</v>
      </c>
      <c r="P157" s="603"/>
      <c r="Q157" s="603"/>
      <c r="R157" s="603"/>
      <c r="S157" s="603"/>
      <c r="T157" s="904">
        <f t="shared" si="34"/>
        <v>0</v>
      </c>
      <c r="U157" s="603"/>
      <c r="V157" s="603"/>
      <c r="W157" s="603"/>
      <c r="X157" s="603"/>
      <c r="Y157" s="904">
        <f t="shared" si="35"/>
        <v>0</v>
      </c>
      <c r="Z157" s="603"/>
      <c r="AA157" s="603"/>
      <c r="AB157" s="603"/>
      <c r="AC157" s="603"/>
      <c r="AD157" s="904">
        <f t="shared" si="36"/>
        <v>0</v>
      </c>
      <c r="AE157" s="603"/>
      <c r="AF157" s="603"/>
      <c r="AG157" s="603"/>
      <c r="AH157" s="603"/>
      <c r="AI157" s="907">
        <f t="shared" si="37"/>
        <v>0</v>
      </c>
      <c r="AJ157" s="921"/>
      <c r="AK157" s="921"/>
      <c r="AL157" s="921"/>
      <c r="AM157" s="921"/>
      <c r="AN157" s="921"/>
      <c r="AO157" s="617">
        <f t="shared" si="38"/>
        <v>0</v>
      </c>
      <c r="AR157" t="str">
        <f t="shared" si="39"/>
        <v>F</v>
      </c>
      <c r="AS157" t="str" cm="1">
        <f t="array" ref="AS157">IFERROR(INDEX(Table611[],MATCH($B157&amp;$C157&amp;$D157&amp;$F157,Table611[Component]&amp;Table611[Module]&amp;Table611[Intervention]&amp;Table611[Cost Input],0),5),"")</f>
        <v/>
      </c>
      <c r="AT157" t="str">
        <f t="shared" si="29"/>
        <v/>
      </c>
      <c r="AW157">
        <f t="shared" si="30"/>
        <v>9</v>
      </c>
    </row>
    <row r="158" spans="1:49" ht="14.5" x14ac:dyDescent="0.35">
      <c r="A158" s="258" t="str">
        <f t="shared" si="31"/>
        <v/>
      </c>
      <c r="B158" s="914"/>
      <c r="C158" s="602"/>
      <c r="D158" s="602"/>
      <c r="E158" s="601"/>
      <c r="F158" s="602"/>
      <c r="G158" s="614" t="str">
        <f>IF(F158="","",SETUP!$T$2)</f>
        <v/>
      </c>
      <c r="H158" s="614" t="str">
        <f t="shared" si="32"/>
        <v/>
      </c>
      <c r="I158" s="614" t="str">
        <f t="shared" si="28"/>
        <v/>
      </c>
      <c r="J158" s="614" t="str">
        <f>IF(F158="","",SETUP!$E$7)</f>
        <v/>
      </c>
      <c r="K158" s="912"/>
      <c r="L158" s="912"/>
      <c r="M158" s="912"/>
      <c r="N158" s="912"/>
      <c r="O158" s="904">
        <f t="shared" si="33"/>
        <v>0</v>
      </c>
      <c r="P158" s="603"/>
      <c r="Q158" s="603"/>
      <c r="R158" s="603"/>
      <c r="S158" s="603"/>
      <c r="T158" s="904">
        <f t="shared" si="34"/>
        <v>0</v>
      </c>
      <c r="U158" s="603"/>
      <c r="V158" s="603"/>
      <c r="W158" s="603"/>
      <c r="X158" s="603"/>
      <c r="Y158" s="904">
        <f t="shared" si="35"/>
        <v>0</v>
      </c>
      <c r="Z158" s="603"/>
      <c r="AA158" s="603"/>
      <c r="AB158" s="603"/>
      <c r="AC158" s="603"/>
      <c r="AD158" s="904">
        <f t="shared" si="36"/>
        <v>0</v>
      </c>
      <c r="AE158" s="603"/>
      <c r="AF158" s="603"/>
      <c r="AG158" s="603"/>
      <c r="AH158" s="603"/>
      <c r="AI158" s="907">
        <f t="shared" si="37"/>
        <v>0</v>
      </c>
      <c r="AJ158" s="921"/>
      <c r="AK158" s="921"/>
      <c r="AL158" s="921"/>
      <c r="AM158" s="921"/>
      <c r="AN158" s="921"/>
      <c r="AO158" s="617">
        <f t="shared" si="38"/>
        <v>0</v>
      </c>
      <c r="AR158" t="str">
        <f t="shared" si="39"/>
        <v>F</v>
      </c>
      <c r="AS158" t="str" cm="1">
        <f t="array" ref="AS158">IFERROR(INDEX(Table611[],MATCH($B158&amp;$C158&amp;$D158&amp;$F158,Table611[Component]&amp;Table611[Module]&amp;Table611[Intervention]&amp;Table611[Cost Input],0),5),"")</f>
        <v/>
      </c>
      <c r="AT158" t="str">
        <f t="shared" si="29"/>
        <v/>
      </c>
      <c r="AW158">
        <f t="shared" si="30"/>
        <v>9</v>
      </c>
    </row>
    <row r="159" spans="1:49" ht="14.5" x14ac:dyDescent="0.35">
      <c r="A159" s="258" t="str">
        <f t="shared" si="31"/>
        <v/>
      </c>
      <c r="B159" s="914"/>
      <c r="C159" s="602"/>
      <c r="D159" s="602"/>
      <c r="E159" s="601"/>
      <c r="F159" s="602"/>
      <c r="G159" s="614" t="str">
        <f>IF(F159="","",SETUP!$T$2)</f>
        <v/>
      </c>
      <c r="H159" s="614" t="str">
        <f t="shared" si="32"/>
        <v/>
      </c>
      <c r="I159" s="614" t="str">
        <f t="shared" si="28"/>
        <v/>
      </c>
      <c r="J159" s="614" t="str">
        <f>IF(F159="","",SETUP!$E$7)</f>
        <v/>
      </c>
      <c r="K159" s="912"/>
      <c r="L159" s="912"/>
      <c r="M159" s="912"/>
      <c r="N159" s="912"/>
      <c r="O159" s="904">
        <f t="shared" si="33"/>
        <v>0</v>
      </c>
      <c r="P159" s="603"/>
      <c r="Q159" s="603"/>
      <c r="R159" s="603"/>
      <c r="S159" s="603"/>
      <c r="T159" s="904">
        <f t="shared" si="34"/>
        <v>0</v>
      </c>
      <c r="U159" s="603"/>
      <c r="V159" s="603"/>
      <c r="W159" s="603"/>
      <c r="X159" s="603"/>
      <c r="Y159" s="904">
        <f t="shared" si="35"/>
        <v>0</v>
      </c>
      <c r="Z159" s="603"/>
      <c r="AA159" s="603"/>
      <c r="AB159" s="603"/>
      <c r="AC159" s="603"/>
      <c r="AD159" s="904">
        <f t="shared" si="36"/>
        <v>0</v>
      </c>
      <c r="AE159" s="603"/>
      <c r="AF159" s="603"/>
      <c r="AG159" s="603"/>
      <c r="AH159" s="603"/>
      <c r="AI159" s="907">
        <f t="shared" si="37"/>
        <v>0</v>
      </c>
      <c r="AJ159" s="921"/>
      <c r="AK159" s="921"/>
      <c r="AL159" s="921"/>
      <c r="AM159" s="921"/>
      <c r="AN159" s="921"/>
      <c r="AO159" s="617">
        <f t="shared" si="38"/>
        <v>0</v>
      </c>
      <c r="AR159" t="str">
        <f t="shared" si="39"/>
        <v>F</v>
      </c>
      <c r="AS159" t="str" cm="1">
        <f t="array" ref="AS159">IFERROR(INDEX(Table611[],MATCH($B159&amp;$C159&amp;$D159&amp;$F159,Table611[Component]&amp;Table611[Module]&amp;Table611[Intervention]&amp;Table611[Cost Input],0),5),"")</f>
        <v/>
      </c>
      <c r="AT159" t="str">
        <f t="shared" si="29"/>
        <v/>
      </c>
      <c r="AW159">
        <f t="shared" si="30"/>
        <v>9</v>
      </c>
    </row>
    <row r="160" spans="1:49" ht="14.5" x14ac:dyDescent="0.35">
      <c r="A160" s="258" t="str">
        <f t="shared" si="31"/>
        <v/>
      </c>
      <c r="B160" s="914"/>
      <c r="C160" s="602"/>
      <c r="D160" s="602"/>
      <c r="E160" s="601"/>
      <c r="F160" s="602"/>
      <c r="G160" s="614" t="str">
        <f>IF(F160="","",SETUP!$T$2)</f>
        <v/>
      </c>
      <c r="H160" s="614" t="str">
        <f t="shared" si="32"/>
        <v/>
      </c>
      <c r="I160" s="614" t="str">
        <f t="shared" si="28"/>
        <v/>
      </c>
      <c r="J160" s="614" t="str">
        <f>IF(F160="","",SETUP!$E$7)</f>
        <v/>
      </c>
      <c r="K160" s="912"/>
      <c r="L160" s="912"/>
      <c r="M160" s="912"/>
      <c r="N160" s="912"/>
      <c r="O160" s="904">
        <f t="shared" si="33"/>
        <v>0</v>
      </c>
      <c r="P160" s="603"/>
      <c r="Q160" s="603"/>
      <c r="R160" s="603"/>
      <c r="S160" s="603"/>
      <c r="T160" s="904">
        <f t="shared" si="34"/>
        <v>0</v>
      </c>
      <c r="U160" s="603"/>
      <c r="V160" s="603"/>
      <c r="W160" s="603"/>
      <c r="X160" s="603"/>
      <c r="Y160" s="904">
        <f t="shared" si="35"/>
        <v>0</v>
      </c>
      <c r="Z160" s="603"/>
      <c r="AA160" s="603"/>
      <c r="AB160" s="603"/>
      <c r="AC160" s="603"/>
      <c r="AD160" s="904">
        <f t="shared" si="36"/>
        <v>0</v>
      </c>
      <c r="AE160" s="603"/>
      <c r="AF160" s="603"/>
      <c r="AG160" s="603"/>
      <c r="AH160" s="603"/>
      <c r="AI160" s="907">
        <f t="shared" si="37"/>
        <v>0</v>
      </c>
      <c r="AJ160" s="921"/>
      <c r="AK160" s="921"/>
      <c r="AL160" s="921"/>
      <c r="AM160" s="921"/>
      <c r="AN160" s="921"/>
      <c r="AO160" s="617">
        <f t="shared" si="38"/>
        <v>0</v>
      </c>
      <c r="AR160" t="str">
        <f t="shared" si="39"/>
        <v>F</v>
      </c>
      <c r="AS160" t="str" cm="1">
        <f t="array" ref="AS160">IFERROR(INDEX(Table611[],MATCH($B160&amp;$C160&amp;$D160&amp;$F160,Table611[Component]&amp;Table611[Module]&amp;Table611[Intervention]&amp;Table611[Cost Input],0),5),"")</f>
        <v/>
      </c>
      <c r="AT160" t="str">
        <f t="shared" si="29"/>
        <v/>
      </c>
      <c r="AW160">
        <f t="shared" si="30"/>
        <v>9</v>
      </c>
    </row>
    <row r="161" spans="1:49" ht="14.5" x14ac:dyDescent="0.35">
      <c r="A161" s="258" t="str">
        <f t="shared" si="31"/>
        <v/>
      </c>
      <c r="B161" s="914"/>
      <c r="C161" s="602"/>
      <c r="D161" s="602"/>
      <c r="E161" s="601"/>
      <c r="F161" s="602"/>
      <c r="G161" s="614" t="str">
        <f>IF(F161="","",SETUP!$T$2)</f>
        <v/>
      </c>
      <c r="H161" s="614" t="str">
        <f t="shared" si="32"/>
        <v/>
      </c>
      <c r="I161" s="614" t="str">
        <f t="shared" si="28"/>
        <v/>
      </c>
      <c r="J161" s="614" t="str">
        <f>IF(F161="","",SETUP!$E$7)</f>
        <v/>
      </c>
      <c r="K161" s="912"/>
      <c r="L161" s="912"/>
      <c r="M161" s="912"/>
      <c r="N161" s="912"/>
      <c r="O161" s="904">
        <f t="shared" si="33"/>
        <v>0</v>
      </c>
      <c r="P161" s="603"/>
      <c r="Q161" s="603"/>
      <c r="R161" s="603"/>
      <c r="S161" s="603"/>
      <c r="T161" s="904">
        <f t="shared" si="34"/>
        <v>0</v>
      </c>
      <c r="U161" s="603"/>
      <c r="V161" s="603"/>
      <c r="W161" s="603"/>
      <c r="X161" s="603"/>
      <c r="Y161" s="904">
        <f t="shared" si="35"/>
        <v>0</v>
      </c>
      <c r="Z161" s="603"/>
      <c r="AA161" s="603"/>
      <c r="AB161" s="603"/>
      <c r="AC161" s="603"/>
      <c r="AD161" s="904">
        <f t="shared" si="36"/>
        <v>0</v>
      </c>
      <c r="AE161" s="603"/>
      <c r="AF161" s="603"/>
      <c r="AG161" s="603"/>
      <c r="AH161" s="603"/>
      <c r="AI161" s="907">
        <f t="shared" si="37"/>
        <v>0</v>
      </c>
      <c r="AJ161" s="921"/>
      <c r="AK161" s="921"/>
      <c r="AL161" s="921"/>
      <c r="AM161" s="921"/>
      <c r="AN161" s="921"/>
      <c r="AO161" s="617">
        <f t="shared" si="38"/>
        <v>0</v>
      </c>
      <c r="AR161" t="str">
        <f t="shared" si="39"/>
        <v>F</v>
      </c>
      <c r="AS161" t="str" cm="1">
        <f t="array" ref="AS161">IFERROR(INDEX(Table611[],MATCH($B161&amp;$C161&amp;$D161&amp;$F161,Table611[Component]&amp;Table611[Module]&amp;Table611[Intervention]&amp;Table611[Cost Input],0),5),"")</f>
        <v/>
      </c>
      <c r="AT161" t="str">
        <f t="shared" si="29"/>
        <v/>
      </c>
      <c r="AW161">
        <f t="shared" si="30"/>
        <v>9</v>
      </c>
    </row>
    <row r="162" spans="1:49" ht="14.5" x14ac:dyDescent="0.35">
      <c r="A162" s="258" t="str">
        <f t="shared" si="31"/>
        <v/>
      </c>
      <c r="B162" s="914"/>
      <c r="C162" s="602"/>
      <c r="D162" s="602"/>
      <c r="E162" s="601"/>
      <c r="F162" s="602"/>
      <c r="G162" s="614" t="str">
        <f>IF(F162="","",SETUP!$T$2)</f>
        <v/>
      </c>
      <c r="H162" s="614" t="str">
        <f t="shared" si="32"/>
        <v/>
      </c>
      <c r="I162" s="614" t="str">
        <f t="shared" si="28"/>
        <v/>
      </c>
      <c r="J162" s="614" t="str">
        <f>IF(F162="","",SETUP!$E$7)</f>
        <v/>
      </c>
      <c r="K162" s="912"/>
      <c r="L162" s="912"/>
      <c r="M162" s="912"/>
      <c r="N162" s="912"/>
      <c r="O162" s="904">
        <f t="shared" si="33"/>
        <v>0</v>
      </c>
      <c r="P162" s="603"/>
      <c r="Q162" s="603"/>
      <c r="R162" s="603"/>
      <c r="S162" s="603"/>
      <c r="T162" s="904">
        <f t="shared" si="34"/>
        <v>0</v>
      </c>
      <c r="U162" s="603"/>
      <c r="V162" s="603"/>
      <c r="W162" s="603"/>
      <c r="X162" s="603"/>
      <c r="Y162" s="904">
        <f t="shared" si="35"/>
        <v>0</v>
      </c>
      <c r="Z162" s="603"/>
      <c r="AA162" s="603"/>
      <c r="AB162" s="603"/>
      <c r="AC162" s="603"/>
      <c r="AD162" s="904">
        <f t="shared" si="36"/>
        <v>0</v>
      </c>
      <c r="AE162" s="603"/>
      <c r="AF162" s="603"/>
      <c r="AG162" s="603"/>
      <c r="AH162" s="603"/>
      <c r="AI162" s="907">
        <f t="shared" si="37"/>
        <v>0</v>
      </c>
      <c r="AJ162" s="921"/>
      <c r="AK162" s="921"/>
      <c r="AL162" s="921"/>
      <c r="AM162" s="921"/>
      <c r="AN162" s="921"/>
      <c r="AO162" s="617">
        <f t="shared" si="38"/>
        <v>0</v>
      </c>
      <c r="AR162" t="str">
        <f t="shared" si="39"/>
        <v>F</v>
      </c>
      <c r="AS162" t="str" cm="1">
        <f t="array" ref="AS162">IFERROR(INDEX(Table611[],MATCH($B162&amp;$C162&amp;$D162&amp;$F162,Table611[Component]&amp;Table611[Module]&amp;Table611[Intervention]&amp;Table611[Cost Input],0),5),"")</f>
        <v/>
      </c>
      <c r="AT162" t="str">
        <f t="shared" si="29"/>
        <v/>
      </c>
      <c r="AW162">
        <f t="shared" si="30"/>
        <v>9</v>
      </c>
    </row>
    <row r="163" spans="1:49" ht="14.5" x14ac:dyDescent="0.35">
      <c r="A163" s="258" t="str">
        <f t="shared" si="31"/>
        <v/>
      </c>
      <c r="B163" s="914"/>
      <c r="C163" s="602"/>
      <c r="D163" s="602"/>
      <c r="E163" s="601"/>
      <c r="F163" s="602"/>
      <c r="G163" s="614" t="str">
        <f>IF(F163="","",SETUP!$T$2)</f>
        <v/>
      </c>
      <c r="H163" s="614" t="str">
        <f t="shared" si="32"/>
        <v/>
      </c>
      <c r="I163" s="614" t="str">
        <f t="shared" si="28"/>
        <v/>
      </c>
      <c r="J163" s="614" t="str">
        <f>IF(F163="","",SETUP!$E$7)</f>
        <v/>
      </c>
      <c r="K163" s="912"/>
      <c r="L163" s="912"/>
      <c r="M163" s="912"/>
      <c r="N163" s="912"/>
      <c r="O163" s="904">
        <f t="shared" si="33"/>
        <v>0</v>
      </c>
      <c r="P163" s="603"/>
      <c r="Q163" s="603"/>
      <c r="R163" s="603"/>
      <c r="S163" s="603"/>
      <c r="T163" s="904">
        <f t="shared" si="34"/>
        <v>0</v>
      </c>
      <c r="U163" s="603"/>
      <c r="V163" s="603"/>
      <c r="W163" s="603"/>
      <c r="X163" s="603"/>
      <c r="Y163" s="904">
        <f t="shared" si="35"/>
        <v>0</v>
      </c>
      <c r="Z163" s="603"/>
      <c r="AA163" s="603"/>
      <c r="AB163" s="603"/>
      <c r="AC163" s="603"/>
      <c r="AD163" s="904">
        <f t="shared" si="36"/>
        <v>0</v>
      </c>
      <c r="AE163" s="603"/>
      <c r="AF163" s="603"/>
      <c r="AG163" s="603"/>
      <c r="AH163" s="603"/>
      <c r="AI163" s="907">
        <f t="shared" si="37"/>
        <v>0</v>
      </c>
      <c r="AJ163" s="921"/>
      <c r="AK163" s="921"/>
      <c r="AL163" s="921"/>
      <c r="AM163" s="921"/>
      <c r="AN163" s="921"/>
      <c r="AO163" s="617">
        <f t="shared" si="38"/>
        <v>0</v>
      </c>
      <c r="AR163" t="str">
        <f t="shared" si="39"/>
        <v>F</v>
      </c>
      <c r="AS163" t="str" cm="1">
        <f t="array" ref="AS163">IFERROR(INDEX(Table611[],MATCH($B163&amp;$C163&amp;$D163&amp;$F163,Table611[Component]&amp;Table611[Module]&amp;Table611[Intervention]&amp;Table611[Cost Input],0),5),"")</f>
        <v/>
      </c>
      <c r="AT163" t="str">
        <f t="shared" si="29"/>
        <v/>
      </c>
      <c r="AW163">
        <f t="shared" si="30"/>
        <v>9</v>
      </c>
    </row>
    <row r="164" spans="1:49" ht="14.5" x14ac:dyDescent="0.35">
      <c r="A164" s="258" t="str">
        <f t="shared" si="31"/>
        <v/>
      </c>
      <c r="B164" s="914"/>
      <c r="C164" s="602"/>
      <c r="D164" s="602"/>
      <c r="E164" s="601"/>
      <c r="F164" s="602"/>
      <c r="G164" s="614" t="str">
        <f>IF(F164="","",SETUP!$T$2)</f>
        <v/>
      </c>
      <c r="H164" s="614" t="str">
        <f t="shared" si="32"/>
        <v/>
      </c>
      <c r="I164" s="614" t="str">
        <f t="shared" si="28"/>
        <v/>
      </c>
      <c r="J164" s="614" t="str">
        <f>IF(F164="","",SETUP!$E$7)</f>
        <v/>
      </c>
      <c r="K164" s="912"/>
      <c r="L164" s="912"/>
      <c r="M164" s="912"/>
      <c r="N164" s="912"/>
      <c r="O164" s="904">
        <f t="shared" si="33"/>
        <v>0</v>
      </c>
      <c r="P164" s="603"/>
      <c r="Q164" s="603"/>
      <c r="R164" s="603"/>
      <c r="S164" s="603"/>
      <c r="T164" s="904">
        <f t="shared" si="34"/>
        <v>0</v>
      </c>
      <c r="U164" s="603"/>
      <c r="V164" s="603"/>
      <c r="W164" s="603"/>
      <c r="X164" s="603"/>
      <c r="Y164" s="904">
        <f t="shared" si="35"/>
        <v>0</v>
      </c>
      <c r="Z164" s="603"/>
      <c r="AA164" s="603"/>
      <c r="AB164" s="603"/>
      <c r="AC164" s="603"/>
      <c r="AD164" s="904">
        <f t="shared" si="36"/>
        <v>0</v>
      </c>
      <c r="AE164" s="603"/>
      <c r="AF164" s="603"/>
      <c r="AG164" s="603"/>
      <c r="AH164" s="603"/>
      <c r="AI164" s="907">
        <f t="shared" si="37"/>
        <v>0</v>
      </c>
      <c r="AJ164" s="921"/>
      <c r="AK164" s="921"/>
      <c r="AL164" s="921"/>
      <c r="AM164" s="921"/>
      <c r="AN164" s="921"/>
      <c r="AO164" s="617">
        <f t="shared" si="38"/>
        <v>0</v>
      </c>
      <c r="AR164" t="str">
        <f t="shared" si="39"/>
        <v>F</v>
      </c>
      <c r="AS164" t="str" cm="1">
        <f t="array" ref="AS164">IFERROR(INDEX(Table611[],MATCH($B164&amp;$C164&amp;$D164&amp;$F164,Table611[Component]&amp;Table611[Module]&amp;Table611[Intervention]&amp;Table611[Cost Input],0),5),"")</f>
        <v/>
      </c>
      <c r="AT164" t="str">
        <f t="shared" si="29"/>
        <v/>
      </c>
      <c r="AW164">
        <f t="shared" si="30"/>
        <v>9</v>
      </c>
    </row>
    <row r="165" spans="1:49" ht="14.5" x14ac:dyDescent="0.35">
      <c r="A165" s="258" t="str">
        <f t="shared" si="31"/>
        <v/>
      </c>
      <c r="B165" s="914"/>
      <c r="C165" s="602"/>
      <c r="D165" s="602"/>
      <c r="E165" s="601"/>
      <c r="F165" s="602"/>
      <c r="G165" s="614" t="str">
        <f>IF(F165="","",SETUP!$T$2)</f>
        <v/>
      </c>
      <c r="H165" s="614" t="str">
        <f t="shared" si="32"/>
        <v/>
      </c>
      <c r="I165" s="614" t="str">
        <f t="shared" si="28"/>
        <v/>
      </c>
      <c r="J165" s="614" t="str">
        <f>IF(F165="","",SETUP!$E$7)</f>
        <v/>
      </c>
      <c r="K165" s="912"/>
      <c r="L165" s="912"/>
      <c r="M165" s="912"/>
      <c r="N165" s="912"/>
      <c r="O165" s="904">
        <f t="shared" si="33"/>
        <v>0</v>
      </c>
      <c r="P165" s="603"/>
      <c r="Q165" s="603"/>
      <c r="R165" s="603"/>
      <c r="S165" s="603"/>
      <c r="T165" s="904">
        <f t="shared" si="34"/>
        <v>0</v>
      </c>
      <c r="U165" s="603"/>
      <c r="V165" s="603"/>
      <c r="W165" s="603"/>
      <c r="X165" s="603"/>
      <c r="Y165" s="904">
        <f t="shared" si="35"/>
        <v>0</v>
      </c>
      <c r="Z165" s="603"/>
      <c r="AA165" s="603"/>
      <c r="AB165" s="603"/>
      <c r="AC165" s="603"/>
      <c r="AD165" s="904">
        <f t="shared" si="36"/>
        <v>0</v>
      </c>
      <c r="AE165" s="603"/>
      <c r="AF165" s="603"/>
      <c r="AG165" s="603"/>
      <c r="AH165" s="603"/>
      <c r="AI165" s="907">
        <f t="shared" si="37"/>
        <v>0</v>
      </c>
      <c r="AJ165" s="921"/>
      <c r="AK165" s="921"/>
      <c r="AL165" s="921"/>
      <c r="AM165" s="921"/>
      <c r="AN165" s="921"/>
      <c r="AO165" s="617">
        <f t="shared" si="38"/>
        <v>0</v>
      </c>
      <c r="AR165" t="str">
        <f t="shared" si="39"/>
        <v>F</v>
      </c>
      <c r="AS165" t="str" cm="1">
        <f t="array" ref="AS165">IFERROR(INDEX(Table611[],MATCH($B165&amp;$C165&amp;$D165&amp;$F165,Table611[Component]&amp;Table611[Module]&amp;Table611[Intervention]&amp;Table611[Cost Input],0),5),"")</f>
        <v/>
      </c>
      <c r="AT165" t="str">
        <f t="shared" ref="AT165:AT196" si="40">IF(A165="","",IF(OR(AW165&gt;1,AS165=""),"F","T"))</f>
        <v/>
      </c>
      <c r="AW165">
        <f t="shared" ref="AW165:AW196" si="41">COUNTBLANK(B165:J165)+COUNTBLANK(AO165:AO165)</f>
        <v>9</v>
      </c>
    </row>
    <row r="166" spans="1:49" ht="14.5" x14ac:dyDescent="0.35">
      <c r="A166" s="258" t="str">
        <f t="shared" si="31"/>
        <v/>
      </c>
      <c r="B166" s="914"/>
      <c r="C166" s="602"/>
      <c r="D166" s="602"/>
      <c r="E166" s="601"/>
      <c r="F166" s="602"/>
      <c r="G166" s="614" t="str">
        <f>IF(F166="","",SETUP!$T$2)</f>
        <v/>
      </c>
      <c r="H166" s="614" t="str">
        <f t="shared" si="32"/>
        <v/>
      </c>
      <c r="I166" s="614" t="str">
        <f t="shared" si="28"/>
        <v/>
      </c>
      <c r="J166" s="614" t="str">
        <f>IF(F166="","",SETUP!$E$7)</f>
        <v/>
      </c>
      <c r="K166" s="912"/>
      <c r="L166" s="912"/>
      <c r="M166" s="912"/>
      <c r="N166" s="912"/>
      <c r="O166" s="904">
        <f t="shared" si="33"/>
        <v>0</v>
      </c>
      <c r="P166" s="603"/>
      <c r="Q166" s="603"/>
      <c r="R166" s="603"/>
      <c r="S166" s="603"/>
      <c r="T166" s="904">
        <f t="shared" si="34"/>
        <v>0</v>
      </c>
      <c r="U166" s="603"/>
      <c r="V166" s="603"/>
      <c r="W166" s="603"/>
      <c r="X166" s="603"/>
      <c r="Y166" s="904">
        <f t="shared" si="35"/>
        <v>0</v>
      </c>
      <c r="Z166" s="603"/>
      <c r="AA166" s="603"/>
      <c r="AB166" s="603"/>
      <c r="AC166" s="603"/>
      <c r="AD166" s="904">
        <f t="shared" si="36"/>
        <v>0</v>
      </c>
      <c r="AE166" s="603"/>
      <c r="AF166" s="603"/>
      <c r="AG166" s="603"/>
      <c r="AH166" s="603"/>
      <c r="AI166" s="907">
        <f t="shared" si="37"/>
        <v>0</v>
      </c>
      <c r="AJ166" s="921"/>
      <c r="AK166" s="921"/>
      <c r="AL166" s="921"/>
      <c r="AM166" s="921"/>
      <c r="AN166" s="921"/>
      <c r="AO166" s="617">
        <f t="shared" si="38"/>
        <v>0</v>
      </c>
      <c r="AR166" t="str">
        <f t="shared" si="39"/>
        <v>F</v>
      </c>
      <c r="AS166" t="str" cm="1">
        <f t="array" ref="AS166">IFERROR(INDEX(Table611[],MATCH($B166&amp;$C166&amp;$D166&amp;$F166,Table611[Component]&amp;Table611[Module]&amp;Table611[Intervention]&amp;Table611[Cost Input],0),5),"")</f>
        <v/>
      </c>
      <c r="AT166" t="str">
        <f t="shared" si="40"/>
        <v/>
      </c>
      <c r="AW166">
        <f t="shared" si="41"/>
        <v>9</v>
      </c>
    </row>
    <row r="167" spans="1:49" ht="14.5" x14ac:dyDescent="0.35">
      <c r="A167" s="258" t="str">
        <f t="shared" si="31"/>
        <v/>
      </c>
      <c r="B167" s="914"/>
      <c r="C167" s="602"/>
      <c r="D167" s="602"/>
      <c r="E167" s="601"/>
      <c r="F167" s="602"/>
      <c r="G167" s="614" t="str">
        <f>IF(F167="","",SETUP!$T$2)</f>
        <v/>
      </c>
      <c r="H167" s="614" t="str">
        <f t="shared" si="32"/>
        <v/>
      </c>
      <c r="I167" s="614" t="str">
        <f t="shared" si="28"/>
        <v/>
      </c>
      <c r="J167" s="614" t="str">
        <f>IF(F167="","",SETUP!$E$7)</f>
        <v/>
      </c>
      <c r="K167" s="912"/>
      <c r="L167" s="912"/>
      <c r="M167" s="912"/>
      <c r="N167" s="912"/>
      <c r="O167" s="904">
        <f t="shared" si="33"/>
        <v>0</v>
      </c>
      <c r="P167" s="603"/>
      <c r="Q167" s="603"/>
      <c r="R167" s="603"/>
      <c r="S167" s="603"/>
      <c r="T167" s="904">
        <f t="shared" si="34"/>
        <v>0</v>
      </c>
      <c r="U167" s="603"/>
      <c r="V167" s="603"/>
      <c r="W167" s="603"/>
      <c r="X167" s="603"/>
      <c r="Y167" s="904">
        <f t="shared" si="35"/>
        <v>0</v>
      </c>
      <c r="Z167" s="603"/>
      <c r="AA167" s="603"/>
      <c r="AB167" s="603"/>
      <c r="AC167" s="603"/>
      <c r="AD167" s="904">
        <f t="shared" si="36"/>
        <v>0</v>
      </c>
      <c r="AE167" s="603"/>
      <c r="AF167" s="603"/>
      <c r="AG167" s="603"/>
      <c r="AH167" s="603"/>
      <c r="AI167" s="907">
        <f t="shared" si="37"/>
        <v>0</v>
      </c>
      <c r="AJ167" s="921"/>
      <c r="AK167" s="921"/>
      <c r="AL167" s="921"/>
      <c r="AM167" s="921"/>
      <c r="AN167" s="921"/>
      <c r="AO167" s="617">
        <f t="shared" si="38"/>
        <v>0</v>
      </c>
      <c r="AR167" t="str">
        <f t="shared" si="39"/>
        <v>F</v>
      </c>
      <c r="AS167" t="str" cm="1">
        <f t="array" ref="AS167">IFERROR(INDEX(Table611[],MATCH($B167&amp;$C167&amp;$D167&amp;$F167,Table611[Component]&amp;Table611[Module]&amp;Table611[Intervention]&amp;Table611[Cost Input],0),5),"")</f>
        <v/>
      </c>
      <c r="AT167" t="str">
        <f t="shared" si="40"/>
        <v/>
      </c>
      <c r="AW167">
        <f t="shared" si="41"/>
        <v>9</v>
      </c>
    </row>
    <row r="168" spans="1:49" ht="14.5" x14ac:dyDescent="0.35">
      <c r="A168" s="258" t="str">
        <f t="shared" si="31"/>
        <v/>
      </c>
      <c r="B168" s="914"/>
      <c r="C168" s="602"/>
      <c r="D168" s="602"/>
      <c r="E168" s="601"/>
      <c r="F168" s="602"/>
      <c r="G168" s="614" t="str">
        <f>IF(F168="","",SETUP!$T$2)</f>
        <v/>
      </c>
      <c r="H168" s="614" t="str">
        <f t="shared" si="32"/>
        <v/>
      </c>
      <c r="I168" s="614" t="str">
        <f t="shared" si="28"/>
        <v/>
      </c>
      <c r="J168" s="614" t="str">
        <f>IF(F168="","",SETUP!$E$7)</f>
        <v/>
      </c>
      <c r="K168" s="912"/>
      <c r="L168" s="912"/>
      <c r="M168" s="912"/>
      <c r="N168" s="912"/>
      <c r="O168" s="904">
        <f t="shared" si="33"/>
        <v>0</v>
      </c>
      <c r="P168" s="603"/>
      <c r="Q168" s="603"/>
      <c r="R168" s="603"/>
      <c r="S168" s="603"/>
      <c r="T168" s="904">
        <f t="shared" si="34"/>
        <v>0</v>
      </c>
      <c r="U168" s="603"/>
      <c r="V168" s="603"/>
      <c r="W168" s="603"/>
      <c r="X168" s="603"/>
      <c r="Y168" s="904">
        <f t="shared" si="35"/>
        <v>0</v>
      </c>
      <c r="Z168" s="603"/>
      <c r="AA168" s="603"/>
      <c r="AB168" s="603"/>
      <c r="AC168" s="603"/>
      <c r="AD168" s="904">
        <f t="shared" si="36"/>
        <v>0</v>
      </c>
      <c r="AE168" s="603"/>
      <c r="AF168" s="603"/>
      <c r="AG168" s="603"/>
      <c r="AH168" s="603"/>
      <c r="AI168" s="907">
        <f t="shared" si="37"/>
        <v>0</v>
      </c>
      <c r="AJ168" s="921"/>
      <c r="AK168" s="921"/>
      <c r="AL168" s="921"/>
      <c r="AM168" s="921"/>
      <c r="AN168" s="921"/>
      <c r="AO168" s="617">
        <f t="shared" si="38"/>
        <v>0</v>
      </c>
      <c r="AR168" t="str">
        <f t="shared" si="39"/>
        <v>F</v>
      </c>
      <c r="AS168" t="str" cm="1">
        <f t="array" ref="AS168">IFERROR(INDEX(Table611[],MATCH($B168&amp;$C168&amp;$D168&amp;$F168,Table611[Component]&amp;Table611[Module]&amp;Table611[Intervention]&amp;Table611[Cost Input],0),5),"")</f>
        <v/>
      </c>
      <c r="AT168" t="str">
        <f t="shared" si="40"/>
        <v/>
      </c>
      <c r="AW168">
        <f t="shared" si="41"/>
        <v>9</v>
      </c>
    </row>
    <row r="169" spans="1:49" ht="14.5" x14ac:dyDescent="0.35">
      <c r="A169" s="258" t="str">
        <f t="shared" si="31"/>
        <v/>
      </c>
      <c r="B169" s="914"/>
      <c r="C169" s="602"/>
      <c r="D169" s="602"/>
      <c r="E169" s="601"/>
      <c r="F169" s="602"/>
      <c r="G169" s="614" t="str">
        <f>IF(F169="","",SETUP!$T$2)</f>
        <v/>
      </c>
      <c r="H169" s="614" t="str">
        <f t="shared" si="32"/>
        <v/>
      </c>
      <c r="I169" s="614" t="str">
        <f t="shared" si="28"/>
        <v/>
      </c>
      <c r="J169" s="614" t="str">
        <f>IF(F169="","",SETUP!$E$7)</f>
        <v/>
      </c>
      <c r="K169" s="912"/>
      <c r="L169" s="912"/>
      <c r="M169" s="912"/>
      <c r="N169" s="912"/>
      <c r="O169" s="904">
        <f t="shared" si="33"/>
        <v>0</v>
      </c>
      <c r="P169" s="603"/>
      <c r="Q169" s="603"/>
      <c r="R169" s="603"/>
      <c r="S169" s="603"/>
      <c r="T169" s="904">
        <f t="shared" si="34"/>
        <v>0</v>
      </c>
      <c r="U169" s="603"/>
      <c r="V169" s="603"/>
      <c r="W169" s="603"/>
      <c r="X169" s="603"/>
      <c r="Y169" s="904">
        <f t="shared" si="35"/>
        <v>0</v>
      </c>
      <c r="Z169" s="603"/>
      <c r="AA169" s="603"/>
      <c r="AB169" s="603"/>
      <c r="AC169" s="603"/>
      <c r="AD169" s="904">
        <f t="shared" si="36"/>
        <v>0</v>
      </c>
      <c r="AE169" s="603"/>
      <c r="AF169" s="603"/>
      <c r="AG169" s="603"/>
      <c r="AH169" s="603"/>
      <c r="AI169" s="907">
        <f t="shared" si="37"/>
        <v>0</v>
      </c>
      <c r="AJ169" s="921"/>
      <c r="AK169" s="921"/>
      <c r="AL169" s="921"/>
      <c r="AM169" s="921"/>
      <c r="AN169" s="921"/>
      <c r="AO169" s="617">
        <f t="shared" si="38"/>
        <v>0</v>
      </c>
      <c r="AR169" t="str">
        <f t="shared" si="39"/>
        <v>F</v>
      </c>
      <c r="AS169" t="str" cm="1">
        <f t="array" ref="AS169">IFERROR(INDEX(Table611[],MATCH($B169&amp;$C169&amp;$D169&amp;$F169,Table611[Component]&amp;Table611[Module]&amp;Table611[Intervention]&amp;Table611[Cost Input],0),5),"")</f>
        <v/>
      </c>
      <c r="AT169" t="str">
        <f t="shared" si="40"/>
        <v/>
      </c>
      <c r="AW169">
        <f t="shared" si="41"/>
        <v>9</v>
      </c>
    </row>
    <row r="170" spans="1:49" ht="14.5" x14ac:dyDescent="0.35">
      <c r="A170" s="258" t="str">
        <f t="shared" si="31"/>
        <v/>
      </c>
      <c r="B170" s="914"/>
      <c r="C170" s="602"/>
      <c r="D170" s="602"/>
      <c r="E170" s="601"/>
      <c r="F170" s="602"/>
      <c r="G170" s="614" t="str">
        <f>IF(F170="","",SETUP!$T$2)</f>
        <v/>
      </c>
      <c r="H170" s="614" t="str">
        <f t="shared" si="32"/>
        <v/>
      </c>
      <c r="I170" s="614" t="str">
        <f t="shared" si="28"/>
        <v/>
      </c>
      <c r="J170" s="614" t="str">
        <f>IF(F170="","",SETUP!$E$7)</f>
        <v/>
      </c>
      <c r="K170" s="912"/>
      <c r="L170" s="912"/>
      <c r="M170" s="912"/>
      <c r="N170" s="912"/>
      <c r="O170" s="904">
        <f t="shared" si="33"/>
        <v>0</v>
      </c>
      <c r="P170" s="603"/>
      <c r="Q170" s="603"/>
      <c r="R170" s="603"/>
      <c r="S170" s="603"/>
      <c r="T170" s="904">
        <f t="shared" si="34"/>
        <v>0</v>
      </c>
      <c r="U170" s="603"/>
      <c r="V170" s="603"/>
      <c r="W170" s="603"/>
      <c r="X170" s="603"/>
      <c r="Y170" s="904">
        <f t="shared" si="35"/>
        <v>0</v>
      </c>
      <c r="Z170" s="603"/>
      <c r="AA170" s="603"/>
      <c r="AB170" s="603"/>
      <c r="AC170" s="603"/>
      <c r="AD170" s="904">
        <f t="shared" si="36"/>
        <v>0</v>
      </c>
      <c r="AE170" s="603"/>
      <c r="AF170" s="603"/>
      <c r="AG170" s="603"/>
      <c r="AH170" s="603"/>
      <c r="AI170" s="907">
        <f t="shared" si="37"/>
        <v>0</v>
      </c>
      <c r="AJ170" s="921"/>
      <c r="AK170" s="921"/>
      <c r="AL170" s="921"/>
      <c r="AM170" s="921"/>
      <c r="AN170" s="921"/>
      <c r="AO170" s="617">
        <f t="shared" si="38"/>
        <v>0</v>
      </c>
      <c r="AR170" t="str">
        <f t="shared" si="39"/>
        <v>F</v>
      </c>
      <c r="AS170" t="str" cm="1">
        <f t="array" ref="AS170">IFERROR(INDEX(Table611[],MATCH($B170&amp;$C170&amp;$D170&amp;$F170,Table611[Component]&amp;Table611[Module]&amp;Table611[Intervention]&amp;Table611[Cost Input],0),5),"")</f>
        <v/>
      </c>
      <c r="AT170" t="str">
        <f t="shared" si="40"/>
        <v/>
      </c>
      <c r="AW170">
        <f t="shared" si="41"/>
        <v>9</v>
      </c>
    </row>
    <row r="171" spans="1:49" ht="14.5" x14ac:dyDescent="0.35">
      <c r="A171" s="258" t="str">
        <f t="shared" si="31"/>
        <v/>
      </c>
      <c r="B171" s="914"/>
      <c r="C171" s="602"/>
      <c r="D171" s="602"/>
      <c r="E171" s="601"/>
      <c r="F171" s="602"/>
      <c r="G171" s="614" t="str">
        <f>IF(F171="","",SETUP!$T$2)</f>
        <v/>
      </c>
      <c r="H171" s="614" t="str">
        <f t="shared" si="32"/>
        <v/>
      </c>
      <c r="I171" s="614" t="str">
        <f t="shared" si="28"/>
        <v/>
      </c>
      <c r="J171" s="614" t="str">
        <f>IF(F171="","",SETUP!$E$7)</f>
        <v/>
      </c>
      <c r="K171" s="912"/>
      <c r="L171" s="912"/>
      <c r="M171" s="912"/>
      <c r="N171" s="912"/>
      <c r="O171" s="904">
        <f t="shared" si="33"/>
        <v>0</v>
      </c>
      <c r="P171" s="603"/>
      <c r="Q171" s="603"/>
      <c r="R171" s="603"/>
      <c r="S171" s="603"/>
      <c r="T171" s="904">
        <f t="shared" si="34"/>
        <v>0</v>
      </c>
      <c r="U171" s="603"/>
      <c r="V171" s="603"/>
      <c r="W171" s="603"/>
      <c r="X171" s="603"/>
      <c r="Y171" s="904">
        <f t="shared" si="35"/>
        <v>0</v>
      </c>
      <c r="Z171" s="603"/>
      <c r="AA171" s="603"/>
      <c r="AB171" s="603"/>
      <c r="AC171" s="603"/>
      <c r="AD171" s="904">
        <f t="shared" si="36"/>
        <v>0</v>
      </c>
      <c r="AE171" s="603"/>
      <c r="AF171" s="603"/>
      <c r="AG171" s="603"/>
      <c r="AH171" s="603"/>
      <c r="AI171" s="907">
        <f t="shared" si="37"/>
        <v>0</v>
      </c>
      <c r="AJ171" s="921"/>
      <c r="AK171" s="921"/>
      <c r="AL171" s="921"/>
      <c r="AM171" s="921"/>
      <c r="AN171" s="921"/>
      <c r="AO171" s="617">
        <f t="shared" si="38"/>
        <v>0</v>
      </c>
      <c r="AR171" t="str">
        <f t="shared" si="39"/>
        <v>F</v>
      </c>
      <c r="AS171" t="str" cm="1">
        <f t="array" ref="AS171">IFERROR(INDEX(Table611[],MATCH($B171&amp;$C171&amp;$D171&amp;$F171,Table611[Component]&amp;Table611[Module]&amp;Table611[Intervention]&amp;Table611[Cost Input],0),5),"")</f>
        <v/>
      </c>
      <c r="AT171" t="str">
        <f t="shared" si="40"/>
        <v/>
      </c>
      <c r="AW171">
        <f t="shared" si="41"/>
        <v>9</v>
      </c>
    </row>
    <row r="172" spans="1:49" ht="14.5" x14ac:dyDescent="0.35">
      <c r="A172" s="258" t="str">
        <f t="shared" si="31"/>
        <v/>
      </c>
      <c r="B172" s="914"/>
      <c r="C172" s="602"/>
      <c r="D172" s="602"/>
      <c r="E172" s="601"/>
      <c r="F172" s="602"/>
      <c r="G172" s="614" t="str">
        <f>IF(F172="","",SETUP!$T$2)</f>
        <v/>
      </c>
      <c r="H172" s="614" t="str">
        <f t="shared" si="32"/>
        <v/>
      </c>
      <c r="I172" s="614" t="str">
        <f t="shared" si="28"/>
        <v/>
      </c>
      <c r="J172" s="614" t="str">
        <f>IF(F172="","",SETUP!$E$7)</f>
        <v/>
      </c>
      <c r="K172" s="912"/>
      <c r="L172" s="912"/>
      <c r="M172" s="912"/>
      <c r="N172" s="912"/>
      <c r="O172" s="904">
        <f t="shared" si="33"/>
        <v>0</v>
      </c>
      <c r="P172" s="603"/>
      <c r="Q172" s="603"/>
      <c r="R172" s="603"/>
      <c r="S172" s="603"/>
      <c r="T172" s="904">
        <f t="shared" si="34"/>
        <v>0</v>
      </c>
      <c r="U172" s="603"/>
      <c r="V172" s="603"/>
      <c r="W172" s="603"/>
      <c r="X172" s="603"/>
      <c r="Y172" s="904">
        <f t="shared" si="35"/>
        <v>0</v>
      </c>
      <c r="Z172" s="603"/>
      <c r="AA172" s="603"/>
      <c r="AB172" s="603"/>
      <c r="AC172" s="603"/>
      <c r="AD172" s="904">
        <f t="shared" si="36"/>
        <v>0</v>
      </c>
      <c r="AE172" s="603"/>
      <c r="AF172" s="603"/>
      <c r="AG172" s="603"/>
      <c r="AH172" s="603"/>
      <c r="AI172" s="907">
        <f t="shared" si="37"/>
        <v>0</v>
      </c>
      <c r="AJ172" s="921"/>
      <c r="AK172" s="921"/>
      <c r="AL172" s="921"/>
      <c r="AM172" s="921"/>
      <c r="AN172" s="921"/>
      <c r="AO172" s="617">
        <f t="shared" si="38"/>
        <v>0</v>
      </c>
      <c r="AR172" t="str">
        <f t="shared" si="39"/>
        <v>F</v>
      </c>
      <c r="AS172" t="str" cm="1">
        <f t="array" ref="AS172">IFERROR(INDEX(Table611[],MATCH($B172&amp;$C172&amp;$D172&amp;$F172,Table611[Component]&amp;Table611[Module]&amp;Table611[Intervention]&amp;Table611[Cost Input],0),5),"")</f>
        <v/>
      </c>
      <c r="AT172" t="str">
        <f t="shared" si="40"/>
        <v/>
      </c>
      <c r="AW172">
        <f t="shared" si="41"/>
        <v>9</v>
      </c>
    </row>
    <row r="173" spans="1:49" ht="14.5" x14ac:dyDescent="0.35">
      <c r="A173" s="258" t="str">
        <f t="shared" si="31"/>
        <v/>
      </c>
      <c r="B173" s="914"/>
      <c r="C173" s="602"/>
      <c r="D173" s="602"/>
      <c r="E173" s="601"/>
      <c r="F173" s="602"/>
      <c r="G173" s="614" t="str">
        <f>IF(F173="","",SETUP!$T$2)</f>
        <v/>
      </c>
      <c r="H173" s="614" t="str">
        <f t="shared" si="32"/>
        <v/>
      </c>
      <c r="I173" s="614" t="str">
        <f t="shared" si="28"/>
        <v/>
      </c>
      <c r="J173" s="614" t="str">
        <f>IF(F173="","",SETUP!$E$7)</f>
        <v/>
      </c>
      <c r="K173" s="912"/>
      <c r="L173" s="912"/>
      <c r="M173" s="912"/>
      <c r="N173" s="912"/>
      <c r="O173" s="904">
        <f t="shared" si="33"/>
        <v>0</v>
      </c>
      <c r="P173" s="603"/>
      <c r="Q173" s="603"/>
      <c r="R173" s="603"/>
      <c r="S173" s="603"/>
      <c r="T173" s="904">
        <f t="shared" si="34"/>
        <v>0</v>
      </c>
      <c r="U173" s="603"/>
      <c r="V173" s="603"/>
      <c r="W173" s="603"/>
      <c r="X173" s="603"/>
      <c r="Y173" s="904">
        <f t="shared" si="35"/>
        <v>0</v>
      </c>
      <c r="Z173" s="603"/>
      <c r="AA173" s="603"/>
      <c r="AB173" s="603"/>
      <c r="AC173" s="603"/>
      <c r="AD173" s="904">
        <f t="shared" si="36"/>
        <v>0</v>
      </c>
      <c r="AE173" s="603"/>
      <c r="AF173" s="603"/>
      <c r="AG173" s="603"/>
      <c r="AH173" s="603"/>
      <c r="AI173" s="907">
        <f t="shared" si="37"/>
        <v>0</v>
      </c>
      <c r="AJ173" s="921"/>
      <c r="AK173" s="921"/>
      <c r="AL173" s="921"/>
      <c r="AM173" s="921"/>
      <c r="AN173" s="921"/>
      <c r="AO173" s="617">
        <f t="shared" si="38"/>
        <v>0</v>
      </c>
      <c r="AR173" t="str">
        <f t="shared" si="39"/>
        <v>F</v>
      </c>
      <c r="AS173" t="str" cm="1">
        <f t="array" ref="AS173">IFERROR(INDEX(Table611[],MATCH($B173&amp;$C173&amp;$D173&amp;$F173,Table611[Component]&amp;Table611[Module]&amp;Table611[Intervention]&amp;Table611[Cost Input],0),5),"")</f>
        <v/>
      </c>
      <c r="AT173" t="str">
        <f t="shared" si="40"/>
        <v/>
      </c>
      <c r="AW173">
        <f t="shared" si="41"/>
        <v>9</v>
      </c>
    </row>
    <row r="174" spans="1:49" ht="14.5" x14ac:dyDescent="0.35">
      <c r="A174" s="258" t="str">
        <f t="shared" si="31"/>
        <v/>
      </c>
      <c r="B174" s="914"/>
      <c r="C174" s="602"/>
      <c r="D174" s="602"/>
      <c r="E174" s="601"/>
      <c r="F174" s="602"/>
      <c r="G174" s="614" t="str">
        <f>IF(F174="","",SETUP!$T$2)</f>
        <v/>
      </c>
      <c r="H174" s="614" t="str">
        <f t="shared" si="32"/>
        <v/>
      </c>
      <c r="I174" s="614" t="str">
        <f t="shared" si="28"/>
        <v/>
      </c>
      <c r="J174" s="614" t="str">
        <f>IF(F174="","",SETUP!$E$7)</f>
        <v/>
      </c>
      <c r="K174" s="912"/>
      <c r="L174" s="912"/>
      <c r="M174" s="912"/>
      <c r="N174" s="912"/>
      <c r="O174" s="904">
        <f t="shared" si="33"/>
        <v>0</v>
      </c>
      <c r="P174" s="603"/>
      <c r="Q174" s="603"/>
      <c r="R174" s="603"/>
      <c r="S174" s="603"/>
      <c r="T174" s="904">
        <f t="shared" si="34"/>
        <v>0</v>
      </c>
      <c r="U174" s="603"/>
      <c r="V174" s="603"/>
      <c r="W174" s="603"/>
      <c r="X174" s="603"/>
      <c r="Y174" s="904">
        <f t="shared" si="35"/>
        <v>0</v>
      </c>
      <c r="Z174" s="603"/>
      <c r="AA174" s="603"/>
      <c r="AB174" s="603"/>
      <c r="AC174" s="603"/>
      <c r="AD174" s="904">
        <f t="shared" si="36"/>
        <v>0</v>
      </c>
      <c r="AE174" s="603"/>
      <c r="AF174" s="603"/>
      <c r="AG174" s="603"/>
      <c r="AH174" s="603"/>
      <c r="AI174" s="907">
        <f t="shared" si="37"/>
        <v>0</v>
      </c>
      <c r="AJ174" s="921"/>
      <c r="AK174" s="921"/>
      <c r="AL174" s="921"/>
      <c r="AM174" s="921"/>
      <c r="AN174" s="921"/>
      <c r="AO174" s="617">
        <f t="shared" si="38"/>
        <v>0</v>
      </c>
      <c r="AR174" t="str">
        <f t="shared" si="39"/>
        <v>F</v>
      </c>
      <c r="AS174" t="str" cm="1">
        <f t="array" ref="AS174">IFERROR(INDEX(Table611[],MATCH($B174&amp;$C174&amp;$D174&amp;$F174,Table611[Component]&amp;Table611[Module]&amp;Table611[Intervention]&amp;Table611[Cost Input],0),5),"")</f>
        <v/>
      </c>
      <c r="AT174" t="str">
        <f t="shared" si="40"/>
        <v/>
      </c>
      <c r="AW174">
        <f t="shared" si="41"/>
        <v>9</v>
      </c>
    </row>
    <row r="175" spans="1:49" ht="14.5" x14ac:dyDescent="0.35">
      <c r="A175" s="258" t="str">
        <f t="shared" si="31"/>
        <v/>
      </c>
      <c r="B175" s="914"/>
      <c r="C175" s="602"/>
      <c r="D175" s="602"/>
      <c r="E175" s="601"/>
      <c r="F175" s="602"/>
      <c r="G175" s="614" t="str">
        <f>IF(F175="","",SETUP!$T$2)</f>
        <v/>
      </c>
      <c r="H175" s="614" t="str">
        <f t="shared" si="32"/>
        <v/>
      </c>
      <c r="I175" s="614" t="str">
        <f t="shared" si="28"/>
        <v/>
      </c>
      <c r="J175" s="614" t="str">
        <f>IF(F175="","",SETUP!$E$7)</f>
        <v/>
      </c>
      <c r="K175" s="912"/>
      <c r="L175" s="912"/>
      <c r="M175" s="912"/>
      <c r="N175" s="912"/>
      <c r="O175" s="904">
        <f t="shared" si="33"/>
        <v>0</v>
      </c>
      <c r="P175" s="603"/>
      <c r="Q175" s="603"/>
      <c r="R175" s="603"/>
      <c r="S175" s="603"/>
      <c r="T175" s="904">
        <f t="shared" si="34"/>
        <v>0</v>
      </c>
      <c r="U175" s="603"/>
      <c r="V175" s="603"/>
      <c r="W175" s="603"/>
      <c r="X175" s="603"/>
      <c r="Y175" s="904">
        <f t="shared" si="35"/>
        <v>0</v>
      </c>
      <c r="Z175" s="603"/>
      <c r="AA175" s="603"/>
      <c r="AB175" s="603"/>
      <c r="AC175" s="603"/>
      <c r="AD175" s="904">
        <f t="shared" si="36"/>
        <v>0</v>
      </c>
      <c r="AE175" s="603"/>
      <c r="AF175" s="603"/>
      <c r="AG175" s="603"/>
      <c r="AH175" s="603"/>
      <c r="AI175" s="907">
        <f t="shared" si="37"/>
        <v>0</v>
      </c>
      <c r="AJ175" s="921"/>
      <c r="AK175" s="921"/>
      <c r="AL175" s="921"/>
      <c r="AM175" s="921"/>
      <c r="AN175" s="921"/>
      <c r="AO175" s="617">
        <f t="shared" si="38"/>
        <v>0</v>
      </c>
      <c r="AR175" t="str">
        <f t="shared" si="39"/>
        <v>F</v>
      </c>
      <c r="AS175" t="str" cm="1">
        <f t="array" ref="AS175">IFERROR(INDEX(Table611[],MATCH($B175&amp;$C175&amp;$D175&amp;$F175,Table611[Component]&amp;Table611[Module]&amp;Table611[Intervention]&amp;Table611[Cost Input],0),5),"")</f>
        <v/>
      </c>
      <c r="AT175" t="str">
        <f t="shared" si="40"/>
        <v/>
      </c>
      <c r="AW175">
        <f t="shared" si="41"/>
        <v>9</v>
      </c>
    </row>
    <row r="176" spans="1:49" ht="14.5" x14ac:dyDescent="0.35">
      <c r="A176" s="258" t="str">
        <f t="shared" si="31"/>
        <v/>
      </c>
      <c r="B176" s="914"/>
      <c r="C176" s="602"/>
      <c r="D176" s="602"/>
      <c r="E176" s="601"/>
      <c r="F176" s="602"/>
      <c r="G176" s="614" t="str">
        <f>IF(F176="","",SETUP!$T$2)</f>
        <v/>
      </c>
      <c r="H176" s="614" t="str">
        <f t="shared" si="32"/>
        <v/>
      </c>
      <c r="I176" s="614" t="str">
        <f t="shared" si="28"/>
        <v/>
      </c>
      <c r="J176" s="614" t="str">
        <f>IF(F176="","",SETUP!$E$7)</f>
        <v/>
      </c>
      <c r="K176" s="912"/>
      <c r="L176" s="912"/>
      <c r="M176" s="912"/>
      <c r="N176" s="912"/>
      <c r="O176" s="904">
        <f t="shared" si="33"/>
        <v>0</v>
      </c>
      <c r="P176" s="603"/>
      <c r="Q176" s="603"/>
      <c r="R176" s="603"/>
      <c r="S176" s="603"/>
      <c r="T176" s="904">
        <f t="shared" si="34"/>
        <v>0</v>
      </c>
      <c r="U176" s="603"/>
      <c r="V176" s="603"/>
      <c r="W176" s="603"/>
      <c r="X176" s="603"/>
      <c r="Y176" s="904">
        <f t="shared" si="35"/>
        <v>0</v>
      </c>
      <c r="Z176" s="603"/>
      <c r="AA176" s="603"/>
      <c r="AB176" s="603"/>
      <c r="AC176" s="603"/>
      <c r="AD176" s="904">
        <f t="shared" si="36"/>
        <v>0</v>
      </c>
      <c r="AE176" s="603"/>
      <c r="AF176" s="603"/>
      <c r="AG176" s="603"/>
      <c r="AH176" s="603"/>
      <c r="AI176" s="907">
        <f t="shared" si="37"/>
        <v>0</v>
      </c>
      <c r="AJ176" s="921"/>
      <c r="AK176" s="921"/>
      <c r="AL176" s="921"/>
      <c r="AM176" s="921"/>
      <c r="AN176" s="921"/>
      <c r="AO176" s="617">
        <f t="shared" si="38"/>
        <v>0</v>
      </c>
      <c r="AR176" t="str">
        <f t="shared" si="39"/>
        <v>F</v>
      </c>
      <c r="AS176" t="str" cm="1">
        <f t="array" ref="AS176">IFERROR(INDEX(Table611[],MATCH($B176&amp;$C176&amp;$D176&amp;$F176,Table611[Component]&amp;Table611[Module]&amp;Table611[Intervention]&amp;Table611[Cost Input],0),5),"")</f>
        <v/>
      </c>
      <c r="AT176" t="str">
        <f t="shared" si="40"/>
        <v/>
      </c>
      <c r="AW176">
        <f t="shared" si="41"/>
        <v>9</v>
      </c>
    </row>
    <row r="177" spans="1:49" ht="14.5" x14ac:dyDescent="0.35">
      <c r="A177" s="258" t="str">
        <f t="shared" si="31"/>
        <v/>
      </c>
      <c r="B177" s="914"/>
      <c r="C177" s="602"/>
      <c r="D177" s="602"/>
      <c r="E177" s="601"/>
      <c r="F177" s="602"/>
      <c r="G177" s="614" t="str">
        <f>IF(F177="","",SETUP!$T$2)</f>
        <v/>
      </c>
      <c r="H177" s="614" t="str">
        <f t="shared" si="32"/>
        <v/>
      </c>
      <c r="I177" s="614" t="str">
        <f t="shared" si="28"/>
        <v/>
      </c>
      <c r="J177" s="614" t="str">
        <f>IF(F177="","",SETUP!$E$7)</f>
        <v/>
      </c>
      <c r="K177" s="912"/>
      <c r="L177" s="912"/>
      <c r="M177" s="912"/>
      <c r="N177" s="912"/>
      <c r="O177" s="904">
        <f t="shared" si="33"/>
        <v>0</v>
      </c>
      <c r="P177" s="603"/>
      <c r="Q177" s="603"/>
      <c r="R177" s="603"/>
      <c r="S177" s="603"/>
      <c r="T177" s="904">
        <f t="shared" si="34"/>
        <v>0</v>
      </c>
      <c r="U177" s="603"/>
      <c r="V177" s="603"/>
      <c r="W177" s="603"/>
      <c r="X177" s="603"/>
      <c r="Y177" s="904">
        <f t="shared" si="35"/>
        <v>0</v>
      </c>
      <c r="Z177" s="603"/>
      <c r="AA177" s="603"/>
      <c r="AB177" s="603"/>
      <c r="AC177" s="603"/>
      <c r="AD177" s="904">
        <f t="shared" si="36"/>
        <v>0</v>
      </c>
      <c r="AE177" s="603"/>
      <c r="AF177" s="603"/>
      <c r="AG177" s="603"/>
      <c r="AH177" s="603"/>
      <c r="AI177" s="907">
        <f t="shared" si="37"/>
        <v>0</v>
      </c>
      <c r="AJ177" s="921"/>
      <c r="AK177" s="921"/>
      <c r="AL177" s="921"/>
      <c r="AM177" s="921"/>
      <c r="AN177" s="921"/>
      <c r="AO177" s="617">
        <f t="shared" si="38"/>
        <v>0</v>
      </c>
      <c r="AR177" t="str">
        <f t="shared" si="39"/>
        <v>F</v>
      </c>
      <c r="AS177" t="str" cm="1">
        <f t="array" ref="AS177">IFERROR(INDEX(Table611[],MATCH($B177&amp;$C177&amp;$D177&amp;$F177,Table611[Component]&amp;Table611[Module]&amp;Table611[Intervention]&amp;Table611[Cost Input],0),5),"")</f>
        <v/>
      </c>
      <c r="AT177" t="str">
        <f t="shared" si="40"/>
        <v/>
      </c>
      <c r="AW177">
        <f t="shared" si="41"/>
        <v>9</v>
      </c>
    </row>
    <row r="178" spans="1:49" ht="14.5" x14ac:dyDescent="0.35">
      <c r="A178" s="258" t="str">
        <f t="shared" si="31"/>
        <v/>
      </c>
      <c r="B178" s="914"/>
      <c r="C178" s="602"/>
      <c r="D178" s="602"/>
      <c r="E178" s="601"/>
      <c r="F178" s="602"/>
      <c r="G178" s="614" t="str">
        <f>IF(F178="","",SETUP!$T$2)</f>
        <v/>
      </c>
      <c r="H178" s="614" t="str">
        <f t="shared" si="32"/>
        <v/>
      </c>
      <c r="I178" s="614" t="str">
        <f t="shared" si="28"/>
        <v/>
      </c>
      <c r="J178" s="614" t="str">
        <f>IF(F178="","",SETUP!$E$7)</f>
        <v/>
      </c>
      <c r="K178" s="912"/>
      <c r="L178" s="912"/>
      <c r="M178" s="912"/>
      <c r="N178" s="912"/>
      <c r="O178" s="904">
        <f t="shared" si="33"/>
        <v>0</v>
      </c>
      <c r="P178" s="603"/>
      <c r="Q178" s="603"/>
      <c r="R178" s="603"/>
      <c r="S178" s="603"/>
      <c r="T178" s="904">
        <f t="shared" si="34"/>
        <v>0</v>
      </c>
      <c r="U178" s="603"/>
      <c r="V178" s="603"/>
      <c r="W178" s="603"/>
      <c r="X178" s="603"/>
      <c r="Y178" s="904">
        <f t="shared" si="35"/>
        <v>0</v>
      </c>
      <c r="Z178" s="603"/>
      <c r="AA178" s="603"/>
      <c r="AB178" s="603"/>
      <c r="AC178" s="603"/>
      <c r="AD178" s="904">
        <f t="shared" si="36"/>
        <v>0</v>
      </c>
      <c r="AE178" s="603"/>
      <c r="AF178" s="603"/>
      <c r="AG178" s="603"/>
      <c r="AH178" s="603"/>
      <c r="AI178" s="907">
        <f t="shared" si="37"/>
        <v>0</v>
      </c>
      <c r="AJ178" s="921"/>
      <c r="AK178" s="921"/>
      <c r="AL178" s="921"/>
      <c r="AM178" s="921"/>
      <c r="AN178" s="921"/>
      <c r="AO178" s="617">
        <f t="shared" si="38"/>
        <v>0</v>
      </c>
      <c r="AR178" t="str">
        <f t="shared" si="39"/>
        <v>F</v>
      </c>
      <c r="AS178" t="str" cm="1">
        <f t="array" ref="AS178">IFERROR(INDEX(Table611[],MATCH($B178&amp;$C178&amp;$D178&amp;$F178,Table611[Component]&amp;Table611[Module]&amp;Table611[Intervention]&amp;Table611[Cost Input],0),5),"")</f>
        <v/>
      </c>
      <c r="AT178" t="str">
        <f t="shared" si="40"/>
        <v/>
      </c>
      <c r="AW178">
        <f t="shared" si="41"/>
        <v>9</v>
      </c>
    </row>
    <row r="179" spans="1:49" ht="14.5" x14ac:dyDescent="0.35">
      <c r="A179" s="258" t="str">
        <f t="shared" si="31"/>
        <v/>
      </c>
      <c r="B179" s="914"/>
      <c r="C179" s="602"/>
      <c r="D179" s="602"/>
      <c r="E179" s="601"/>
      <c r="F179" s="602"/>
      <c r="G179" s="614" t="str">
        <f>IF(F179="","",SETUP!$T$2)</f>
        <v/>
      </c>
      <c r="H179" s="614" t="str">
        <f t="shared" si="32"/>
        <v/>
      </c>
      <c r="I179" s="614" t="str">
        <f t="shared" si="28"/>
        <v/>
      </c>
      <c r="J179" s="614" t="str">
        <f>IF(F179="","",SETUP!$E$7)</f>
        <v/>
      </c>
      <c r="K179" s="912"/>
      <c r="L179" s="912"/>
      <c r="M179" s="912"/>
      <c r="N179" s="912"/>
      <c r="O179" s="904">
        <f t="shared" si="33"/>
        <v>0</v>
      </c>
      <c r="P179" s="603"/>
      <c r="Q179" s="603"/>
      <c r="R179" s="603"/>
      <c r="S179" s="603"/>
      <c r="T179" s="904">
        <f t="shared" si="34"/>
        <v>0</v>
      </c>
      <c r="U179" s="603"/>
      <c r="V179" s="603"/>
      <c r="W179" s="603"/>
      <c r="X179" s="603"/>
      <c r="Y179" s="904">
        <f t="shared" si="35"/>
        <v>0</v>
      </c>
      <c r="Z179" s="603"/>
      <c r="AA179" s="603"/>
      <c r="AB179" s="603"/>
      <c r="AC179" s="603"/>
      <c r="AD179" s="904">
        <f t="shared" si="36"/>
        <v>0</v>
      </c>
      <c r="AE179" s="603"/>
      <c r="AF179" s="603"/>
      <c r="AG179" s="603"/>
      <c r="AH179" s="603"/>
      <c r="AI179" s="907">
        <f t="shared" si="37"/>
        <v>0</v>
      </c>
      <c r="AJ179" s="921"/>
      <c r="AK179" s="921"/>
      <c r="AL179" s="921"/>
      <c r="AM179" s="921"/>
      <c r="AN179" s="921"/>
      <c r="AO179" s="617">
        <f t="shared" si="38"/>
        <v>0</v>
      </c>
      <c r="AR179" t="str">
        <f t="shared" si="39"/>
        <v>F</v>
      </c>
      <c r="AS179" t="str" cm="1">
        <f t="array" ref="AS179">IFERROR(INDEX(Table611[],MATCH($B179&amp;$C179&amp;$D179&amp;$F179,Table611[Component]&amp;Table611[Module]&amp;Table611[Intervention]&amp;Table611[Cost Input],0),5),"")</f>
        <v/>
      </c>
      <c r="AT179" t="str">
        <f t="shared" si="40"/>
        <v/>
      </c>
      <c r="AW179">
        <f t="shared" si="41"/>
        <v>9</v>
      </c>
    </row>
    <row r="180" spans="1:49" ht="14.5" x14ac:dyDescent="0.35">
      <c r="A180" s="258" t="str">
        <f t="shared" si="31"/>
        <v/>
      </c>
      <c r="B180" s="914"/>
      <c r="C180" s="602"/>
      <c r="D180" s="602"/>
      <c r="E180" s="601"/>
      <c r="F180" s="602"/>
      <c r="G180" s="614" t="str">
        <f>IF(F180="","",SETUP!$T$2)</f>
        <v/>
      </c>
      <c r="H180" s="614" t="str">
        <f t="shared" si="32"/>
        <v/>
      </c>
      <c r="I180" s="614" t="str">
        <f t="shared" si="28"/>
        <v/>
      </c>
      <c r="J180" s="614" t="str">
        <f>IF(F180="","",SETUP!$E$7)</f>
        <v/>
      </c>
      <c r="K180" s="912"/>
      <c r="L180" s="912"/>
      <c r="M180" s="912"/>
      <c r="N180" s="912"/>
      <c r="O180" s="904">
        <f t="shared" si="33"/>
        <v>0</v>
      </c>
      <c r="P180" s="603"/>
      <c r="Q180" s="603"/>
      <c r="R180" s="603"/>
      <c r="S180" s="603"/>
      <c r="T180" s="904">
        <f t="shared" si="34"/>
        <v>0</v>
      </c>
      <c r="U180" s="603"/>
      <c r="V180" s="603"/>
      <c r="W180" s="603"/>
      <c r="X180" s="603"/>
      <c r="Y180" s="904">
        <f t="shared" si="35"/>
        <v>0</v>
      </c>
      <c r="Z180" s="603"/>
      <c r="AA180" s="603"/>
      <c r="AB180" s="603"/>
      <c r="AC180" s="603"/>
      <c r="AD180" s="904">
        <f t="shared" si="36"/>
        <v>0</v>
      </c>
      <c r="AE180" s="603"/>
      <c r="AF180" s="603"/>
      <c r="AG180" s="603"/>
      <c r="AH180" s="603"/>
      <c r="AI180" s="907">
        <f t="shared" si="37"/>
        <v>0</v>
      </c>
      <c r="AJ180" s="921"/>
      <c r="AK180" s="921"/>
      <c r="AL180" s="921"/>
      <c r="AM180" s="921"/>
      <c r="AN180" s="921"/>
      <c r="AO180" s="617">
        <f t="shared" si="38"/>
        <v>0</v>
      </c>
      <c r="AR180" t="str">
        <f t="shared" si="39"/>
        <v>F</v>
      </c>
      <c r="AS180" t="str" cm="1">
        <f t="array" ref="AS180">IFERROR(INDEX(Table611[],MATCH($B180&amp;$C180&amp;$D180&amp;$F180,Table611[Component]&amp;Table611[Module]&amp;Table611[Intervention]&amp;Table611[Cost Input],0),5),"")</f>
        <v/>
      </c>
      <c r="AT180" t="str">
        <f t="shared" si="40"/>
        <v/>
      </c>
      <c r="AW180">
        <f t="shared" si="41"/>
        <v>9</v>
      </c>
    </row>
    <row r="181" spans="1:49" ht="14.5" x14ac:dyDescent="0.35">
      <c r="A181" s="258" t="str">
        <f t="shared" si="31"/>
        <v/>
      </c>
      <c r="B181" s="914"/>
      <c r="C181" s="602"/>
      <c r="D181" s="602"/>
      <c r="E181" s="601"/>
      <c r="F181" s="602"/>
      <c r="G181" s="614" t="str">
        <f>IF(F181="","",SETUP!$T$2)</f>
        <v/>
      </c>
      <c r="H181" s="614" t="str">
        <f t="shared" si="32"/>
        <v/>
      </c>
      <c r="I181" s="614" t="str">
        <f t="shared" si="28"/>
        <v/>
      </c>
      <c r="J181" s="614" t="str">
        <f>IF(F181="","",SETUP!$E$7)</f>
        <v/>
      </c>
      <c r="K181" s="912"/>
      <c r="L181" s="912"/>
      <c r="M181" s="912"/>
      <c r="N181" s="912"/>
      <c r="O181" s="904">
        <f t="shared" si="33"/>
        <v>0</v>
      </c>
      <c r="P181" s="603"/>
      <c r="Q181" s="603"/>
      <c r="R181" s="603"/>
      <c r="S181" s="603"/>
      <c r="T181" s="904">
        <f t="shared" si="34"/>
        <v>0</v>
      </c>
      <c r="U181" s="603"/>
      <c r="V181" s="603"/>
      <c r="W181" s="603"/>
      <c r="X181" s="603"/>
      <c r="Y181" s="904">
        <f t="shared" si="35"/>
        <v>0</v>
      </c>
      <c r="Z181" s="603"/>
      <c r="AA181" s="603"/>
      <c r="AB181" s="603"/>
      <c r="AC181" s="603"/>
      <c r="AD181" s="904">
        <f t="shared" si="36"/>
        <v>0</v>
      </c>
      <c r="AE181" s="603"/>
      <c r="AF181" s="603"/>
      <c r="AG181" s="603"/>
      <c r="AH181" s="603"/>
      <c r="AI181" s="907">
        <f t="shared" si="37"/>
        <v>0</v>
      </c>
      <c r="AJ181" s="921"/>
      <c r="AK181" s="921"/>
      <c r="AL181" s="921"/>
      <c r="AM181" s="921"/>
      <c r="AN181" s="921"/>
      <c r="AO181" s="617">
        <f t="shared" si="38"/>
        <v>0</v>
      </c>
      <c r="AR181" t="str">
        <f t="shared" si="39"/>
        <v>F</v>
      </c>
      <c r="AS181" t="str" cm="1">
        <f t="array" ref="AS181">IFERROR(INDEX(Table611[],MATCH($B181&amp;$C181&amp;$D181&amp;$F181,Table611[Component]&amp;Table611[Module]&amp;Table611[Intervention]&amp;Table611[Cost Input],0),5),"")</f>
        <v/>
      </c>
      <c r="AT181" t="str">
        <f t="shared" si="40"/>
        <v/>
      </c>
      <c r="AW181">
        <f t="shared" si="41"/>
        <v>9</v>
      </c>
    </row>
    <row r="182" spans="1:49" ht="14.5" x14ac:dyDescent="0.35">
      <c r="A182" s="258" t="str">
        <f t="shared" si="31"/>
        <v/>
      </c>
      <c r="B182" s="914"/>
      <c r="C182" s="602"/>
      <c r="D182" s="602"/>
      <c r="E182" s="601"/>
      <c r="F182" s="602"/>
      <c r="G182" s="614" t="str">
        <f>IF(F182="","",SETUP!$T$2)</f>
        <v/>
      </c>
      <c r="H182" s="614" t="str">
        <f t="shared" si="32"/>
        <v/>
      </c>
      <c r="I182" s="614" t="str">
        <f t="shared" si="28"/>
        <v/>
      </c>
      <c r="J182" s="614" t="str">
        <f>IF(F182="","",SETUP!$E$7)</f>
        <v/>
      </c>
      <c r="K182" s="912"/>
      <c r="L182" s="912"/>
      <c r="M182" s="912"/>
      <c r="N182" s="912"/>
      <c r="O182" s="904">
        <f t="shared" si="33"/>
        <v>0</v>
      </c>
      <c r="P182" s="603"/>
      <c r="Q182" s="603"/>
      <c r="R182" s="603"/>
      <c r="S182" s="603"/>
      <c r="T182" s="904">
        <f t="shared" si="34"/>
        <v>0</v>
      </c>
      <c r="U182" s="603"/>
      <c r="V182" s="603"/>
      <c r="W182" s="603"/>
      <c r="X182" s="603"/>
      <c r="Y182" s="904">
        <f t="shared" si="35"/>
        <v>0</v>
      </c>
      <c r="Z182" s="603"/>
      <c r="AA182" s="603"/>
      <c r="AB182" s="603"/>
      <c r="AC182" s="603"/>
      <c r="AD182" s="904">
        <f t="shared" si="36"/>
        <v>0</v>
      </c>
      <c r="AE182" s="603"/>
      <c r="AF182" s="603"/>
      <c r="AG182" s="603"/>
      <c r="AH182" s="603"/>
      <c r="AI182" s="907">
        <f t="shared" si="37"/>
        <v>0</v>
      </c>
      <c r="AJ182" s="921"/>
      <c r="AK182" s="921"/>
      <c r="AL182" s="921"/>
      <c r="AM182" s="921"/>
      <c r="AN182" s="921"/>
      <c r="AO182" s="617">
        <f t="shared" si="38"/>
        <v>0</v>
      </c>
      <c r="AR182" t="str">
        <f t="shared" si="39"/>
        <v>F</v>
      </c>
      <c r="AS182" t="str" cm="1">
        <f t="array" ref="AS182">IFERROR(INDEX(Table611[],MATCH($B182&amp;$C182&amp;$D182&amp;$F182,Table611[Component]&amp;Table611[Module]&amp;Table611[Intervention]&amp;Table611[Cost Input],0),5),"")</f>
        <v/>
      </c>
      <c r="AT182" t="str">
        <f t="shared" si="40"/>
        <v/>
      </c>
      <c r="AW182">
        <f t="shared" si="41"/>
        <v>9</v>
      </c>
    </row>
    <row r="183" spans="1:49" ht="14.5" x14ac:dyDescent="0.35">
      <c r="A183" s="258" t="str">
        <f t="shared" si="31"/>
        <v/>
      </c>
      <c r="B183" s="914"/>
      <c r="C183" s="602"/>
      <c r="D183" s="602"/>
      <c r="E183" s="601"/>
      <c r="F183" s="602"/>
      <c r="G183" s="614" t="str">
        <f>IF(F183="","",SETUP!$T$2)</f>
        <v/>
      </c>
      <c r="H183" s="614" t="str">
        <f t="shared" si="32"/>
        <v/>
      </c>
      <c r="I183" s="614" t="str">
        <f t="shared" si="28"/>
        <v/>
      </c>
      <c r="J183" s="614" t="str">
        <f>IF(F183="","",SETUP!$E$7)</f>
        <v/>
      </c>
      <c r="K183" s="912"/>
      <c r="L183" s="912"/>
      <c r="M183" s="912"/>
      <c r="N183" s="912"/>
      <c r="O183" s="904">
        <f t="shared" si="33"/>
        <v>0</v>
      </c>
      <c r="P183" s="603"/>
      <c r="Q183" s="603"/>
      <c r="R183" s="603"/>
      <c r="S183" s="603"/>
      <c r="T183" s="904">
        <f t="shared" si="34"/>
        <v>0</v>
      </c>
      <c r="U183" s="603"/>
      <c r="V183" s="603"/>
      <c r="W183" s="603"/>
      <c r="X183" s="603"/>
      <c r="Y183" s="904">
        <f t="shared" si="35"/>
        <v>0</v>
      </c>
      <c r="Z183" s="603"/>
      <c r="AA183" s="603"/>
      <c r="AB183" s="603"/>
      <c r="AC183" s="603"/>
      <c r="AD183" s="904">
        <f t="shared" si="36"/>
        <v>0</v>
      </c>
      <c r="AE183" s="603"/>
      <c r="AF183" s="603"/>
      <c r="AG183" s="603"/>
      <c r="AH183" s="603"/>
      <c r="AI183" s="907">
        <f t="shared" si="37"/>
        <v>0</v>
      </c>
      <c r="AJ183" s="921"/>
      <c r="AK183" s="921"/>
      <c r="AL183" s="921"/>
      <c r="AM183" s="921"/>
      <c r="AN183" s="921"/>
      <c r="AO183" s="617">
        <f t="shared" si="38"/>
        <v>0</v>
      </c>
      <c r="AR183" t="str">
        <f t="shared" si="39"/>
        <v>F</v>
      </c>
      <c r="AS183" t="str" cm="1">
        <f t="array" ref="AS183">IFERROR(INDEX(Table611[],MATCH($B183&amp;$C183&amp;$D183&amp;$F183,Table611[Component]&amp;Table611[Module]&amp;Table611[Intervention]&amp;Table611[Cost Input],0),5),"")</f>
        <v/>
      </c>
      <c r="AT183" t="str">
        <f t="shared" si="40"/>
        <v/>
      </c>
      <c r="AW183">
        <f t="shared" si="41"/>
        <v>9</v>
      </c>
    </row>
    <row r="184" spans="1:49" ht="14.5" x14ac:dyDescent="0.35">
      <c r="A184" s="258" t="str">
        <f t="shared" si="31"/>
        <v/>
      </c>
      <c r="B184" s="914"/>
      <c r="C184" s="602"/>
      <c r="D184" s="602"/>
      <c r="E184" s="601"/>
      <c r="F184" s="602"/>
      <c r="G184" s="614" t="str">
        <f>IF(F184="","",SETUP!$T$2)</f>
        <v/>
      </c>
      <c r="H184" s="614" t="str">
        <f t="shared" si="32"/>
        <v/>
      </c>
      <c r="I184" s="614" t="str">
        <f t="shared" si="28"/>
        <v/>
      </c>
      <c r="J184" s="614" t="str">
        <f>IF(F184="","",SETUP!$E$7)</f>
        <v/>
      </c>
      <c r="K184" s="912"/>
      <c r="L184" s="912"/>
      <c r="M184" s="912"/>
      <c r="N184" s="912"/>
      <c r="O184" s="904">
        <f t="shared" si="33"/>
        <v>0</v>
      </c>
      <c r="P184" s="603"/>
      <c r="Q184" s="603"/>
      <c r="R184" s="603"/>
      <c r="S184" s="603"/>
      <c r="T184" s="904">
        <f t="shared" si="34"/>
        <v>0</v>
      </c>
      <c r="U184" s="603"/>
      <c r="V184" s="603"/>
      <c r="W184" s="603"/>
      <c r="X184" s="603"/>
      <c r="Y184" s="904">
        <f t="shared" si="35"/>
        <v>0</v>
      </c>
      <c r="Z184" s="603"/>
      <c r="AA184" s="603"/>
      <c r="AB184" s="603"/>
      <c r="AC184" s="603"/>
      <c r="AD184" s="904">
        <f t="shared" si="36"/>
        <v>0</v>
      </c>
      <c r="AE184" s="603"/>
      <c r="AF184" s="603"/>
      <c r="AG184" s="603"/>
      <c r="AH184" s="603"/>
      <c r="AI184" s="907">
        <f t="shared" si="37"/>
        <v>0</v>
      </c>
      <c r="AJ184" s="921"/>
      <c r="AK184" s="921"/>
      <c r="AL184" s="921"/>
      <c r="AM184" s="921"/>
      <c r="AN184" s="921"/>
      <c r="AO184" s="617">
        <f t="shared" si="38"/>
        <v>0</v>
      </c>
      <c r="AR184" t="str">
        <f t="shared" si="39"/>
        <v>F</v>
      </c>
      <c r="AS184" t="str" cm="1">
        <f t="array" ref="AS184">IFERROR(INDEX(Table611[],MATCH($B184&amp;$C184&amp;$D184&amp;$F184,Table611[Component]&amp;Table611[Module]&amp;Table611[Intervention]&amp;Table611[Cost Input],0),5),"")</f>
        <v/>
      </c>
      <c r="AT184" t="str">
        <f t="shared" si="40"/>
        <v/>
      </c>
      <c r="AW184">
        <f t="shared" si="41"/>
        <v>9</v>
      </c>
    </row>
    <row r="185" spans="1:49" ht="14.5" x14ac:dyDescent="0.35">
      <c r="A185" s="258" t="str">
        <f t="shared" si="31"/>
        <v/>
      </c>
      <c r="B185" s="914"/>
      <c r="C185" s="602"/>
      <c r="D185" s="602"/>
      <c r="E185" s="601"/>
      <c r="F185" s="602"/>
      <c r="G185" s="614" t="str">
        <f>IF(F185="","",SETUP!$T$2)</f>
        <v/>
      </c>
      <c r="H185" s="614" t="str">
        <f t="shared" si="32"/>
        <v/>
      </c>
      <c r="I185" s="614" t="str">
        <f t="shared" si="28"/>
        <v/>
      </c>
      <c r="J185" s="614" t="str">
        <f>IF(F185="","",SETUP!$E$7)</f>
        <v/>
      </c>
      <c r="K185" s="912"/>
      <c r="L185" s="912"/>
      <c r="M185" s="912"/>
      <c r="N185" s="912"/>
      <c r="O185" s="904">
        <f t="shared" si="33"/>
        <v>0</v>
      </c>
      <c r="P185" s="603"/>
      <c r="Q185" s="603"/>
      <c r="R185" s="603"/>
      <c r="S185" s="603"/>
      <c r="T185" s="904">
        <f t="shared" si="34"/>
        <v>0</v>
      </c>
      <c r="U185" s="603"/>
      <c r="V185" s="603"/>
      <c r="W185" s="603"/>
      <c r="X185" s="603"/>
      <c r="Y185" s="904">
        <f t="shared" si="35"/>
        <v>0</v>
      </c>
      <c r="Z185" s="603"/>
      <c r="AA185" s="603"/>
      <c r="AB185" s="603"/>
      <c r="AC185" s="603"/>
      <c r="AD185" s="904">
        <f t="shared" si="36"/>
        <v>0</v>
      </c>
      <c r="AE185" s="603"/>
      <c r="AF185" s="603"/>
      <c r="AG185" s="603"/>
      <c r="AH185" s="603"/>
      <c r="AI185" s="907">
        <f t="shared" si="37"/>
        <v>0</v>
      </c>
      <c r="AJ185" s="921"/>
      <c r="AK185" s="921"/>
      <c r="AL185" s="921"/>
      <c r="AM185" s="921"/>
      <c r="AN185" s="921"/>
      <c r="AO185" s="617">
        <f t="shared" si="38"/>
        <v>0</v>
      </c>
      <c r="AR185" t="str">
        <f t="shared" si="39"/>
        <v>F</v>
      </c>
      <c r="AS185" t="str" cm="1">
        <f t="array" ref="AS185">IFERROR(INDEX(Table611[],MATCH($B185&amp;$C185&amp;$D185&amp;$F185,Table611[Component]&amp;Table611[Module]&amp;Table611[Intervention]&amp;Table611[Cost Input],0),5),"")</f>
        <v/>
      </c>
      <c r="AT185" t="str">
        <f t="shared" si="40"/>
        <v/>
      </c>
      <c r="AW185">
        <f t="shared" si="41"/>
        <v>9</v>
      </c>
    </row>
    <row r="186" spans="1:49" ht="14.5" x14ac:dyDescent="0.35">
      <c r="A186" s="258" t="str">
        <f t="shared" si="31"/>
        <v/>
      </c>
      <c r="B186" s="914"/>
      <c r="C186" s="602"/>
      <c r="D186" s="602"/>
      <c r="E186" s="601"/>
      <c r="F186" s="602"/>
      <c r="G186" s="614" t="str">
        <f>IF(F186="","",SETUP!$T$2)</f>
        <v/>
      </c>
      <c r="H186" s="614" t="str">
        <f t="shared" si="32"/>
        <v/>
      </c>
      <c r="I186" s="614" t="str">
        <f t="shared" si="28"/>
        <v/>
      </c>
      <c r="J186" s="614" t="str">
        <f>IF(F186="","",SETUP!$E$7)</f>
        <v/>
      </c>
      <c r="K186" s="912"/>
      <c r="L186" s="912"/>
      <c r="M186" s="912"/>
      <c r="N186" s="912"/>
      <c r="O186" s="904">
        <f t="shared" si="33"/>
        <v>0</v>
      </c>
      <c r="P186" s="603"/>
      <c r="Q186" s="603"/>
      <c r="R186" s="603"/>
      <c r="S186" s="603"/>
      <c r="T186" s="904">
        <f t="shared" si="34"/>
        <v>0</v>
      </c>
      <c r="U186" s="603"/>
      <c r="V186" s="603"/>
      <c r="W186" s="603"/>
      <c r="X186" s="603"/>
      <c r="Y186" s="904">
        <f t="shared" si="35"/>
        <v>0</v>
      </c>
      <c r="Z186" s="603"/>
      <c r="AA186" s="603"/>
      <c r="AB186" s="603"/>
      <c r="AC186" s="603"/>
      <c r="AD186" s="904">
        <f t="shared" si="36"/>
        <v>0</v>
      </c>
      <c r="AE186" s="603"/>
      <c r="AF186" s="603"/>
      <c r="AG186" s="603"/>
      <c r="AH186" s="603"/>
      <c r="AI186" s="907">
        <f t="shared" si="37"/>
        <v>0</v>
      </c>
      <c r="AJ186" s="921"/>
      <c r="AK186" s="921"/>
      <c r="AL186" s="921"/>
      <c r="AM186" s="921"/>
      <c r="AN186" s="921"/>
      <c r="AO186" s="617">
        <f t="shared" si="38"/>
        <v>0</v>
      </c>
      <c r="AR186" t="str">
        <f t="shared" si="39"/>
        <v>F</v>
      </c>
      <c r="AS186" t="str" cm="1">
        <f t="array" ref="AS186">IFERROR(INDEX(Table611[],MATCH($B186&amp;$C186&amp;$D186&amp;$F186,Table611[Component]&amp;Table611[Module]&amp;Table611[Intervention]&amp;Table611[Cost Input],0),5),"")</f>
        <v/>
      </c>
      <c r="AT186" t="str">
        <f t="shared" si="40"/>
        <v/>
      </c>
      <c r="AW186">
        <f t="shared" si="41"/>
        <v>9</v>
      </c>
    </row>
    <row r="187" spans="1:49" ht="14.5" x14ac:dyDescent="0.35">
      <c r="A187" s="258" t="str">
        <f t="shared" si="31"/>
        <v/>
      </c>
      <c r="B187" s="914"/>
      <c r="C187" s="602"/>
      <c r="D187" s="602"/>
      <c r="E187" s="601"/>
      <c r="F187" s="602"/>
      <c r="G187" s="614" t="str">
        <f>IF(F187="","",SETUP!$T$2)</f>
        <v/>
      </c>
      <c r="H187" s="614" t="str">
        <f t="shared" si="32"/>
        <v/>
      </c>
      <c r="I187" s="614" t="str">
        <f t="shared" si="28"/>
        <v/>
      </c>
      <c r="J187" s="614" t="str">
        <f>IF(F187="","",SETUP!$E$7)</f>
        <v/>
      </c>
      <c r="K187" s="912"/>
      <c r="L187" s="912"/>
      <c r="M187" s="912"/>
      <c r="N187" s="912"/>
      <c r="O187" s="904">
        <f t="shared" si="33"/>
        <v>0</v>
      </c>
      <c r="P187" s="603"/>
      <c r="Q187" s="603"/>
      <c r="R187" s="603"/>
      <c r="S187" s="603"/>
      <c r="T187" s="904">
        <f t="shared" si="34"/>
        <v>0</v>
      </c>
      <c r="U187" s="603"/>
      <c r="V187" s="603"/>
      <c r="W187" s="603"/>
      <c r="X187" s="603"/>
      <c r="Y187" s="904">
        <f t="shared" si="35"/>
        <v>0</v>
      </c>
      <c r="Z187" s="603"/>
      <c r="AA187" s="603"/>
      <c r="AB187" s="603"/>
      <c r="AC187" s="603"/>
      <c r="AD187" s="904">
        <f t="shared" si="36"/>
        <v>0</v>
      </c>
      <c r="AE187" s="603"/>
      <c r="AF187" s="603"/>
      <c r="AG187" s="603"/>
      <c r="AH187" s="603"/>
      <c r="AI187" s="907">
        <f t="shared" si="37"/>
        <v>0</v>
      </c>
      <c r="AJ187" s="921"/>
      <c r="AK187" s="921"/>
      <c r="AL187" s="921"/>
      <c r="AM187" s="921"/>
      <c r="AN187" s="921"/>
      <c r="AO187" s="617">
        <f t="shared" si="38"/>
        <v>0</v>
      </c>
      <c r="AR187" t="str">
        <f t="shared" si="39"/>
        <v>F</v>
      </c>
      <c r="AS187" t="str" cm="1">
        <f t="array" ref="AS187">IFERROR(INDEX(Table611[],MATCH($B187&amp;$C187&amp;$D187&amp;$F187,Table611[Component]&amp;Table611[Module]&amp;Table611[Intervention]&amp;Table611[Cost Input],0),5),"")</f>
        <v/>
      </c>
      <c r="AT187" t="str">
        <f t="shared" si="40"/>
        <v/>
      </c>
      <c r="AW187">
        <f t="shared" si="41"/>
        <v>9</v>
      </c>
    </row>
    <row r="188" spans="1:49" ht="14.5" x14ac:dyDescent="0.35">
      <c r="A188" s="258" t="str">
        <f t="shared" si="31"/>
        <v/>
      </c>
      <c r="B188" s="914"/>
      <c r="C188" s="602"/>
      <c r="D188" s="602"/>
      <c r="E188" s="601"/>
      <c r="F188" s="602"/>
      <c r="G188" s="614" t="str">
        <f>IF(F188="","",SETUP!$T$2)</f>
        <v/>
      </c>
      <c r="H188" s="614" t="str">
        <f t="shared" si="32"/>
        <v/>
      </c>
      <c r="I188" s="614" t="str">
        <f t="shared" si="28"/>
        <v/>
      </c>
      <c r="J188" s="614" t="str">
        <f>IF(F188="","",SETUP!$E$7)</f>
        <v/>
      </c>
      <c r="K188" s="912"/>
      <c r="L188" s="912"/>
      <c r="M188" s="912"/>
      <c r="N188" s="912"/>
      <c r="O188" s="904">
        <f t="shared" si="33"/>
        <v>0</v>
      </c>
      <c r="P188" s="603"/>
      <c r="Q188" s="603"/>
      <c r="R188" s="603"/>
      <c r="S188" s="603"/>
      <c r="T188" s="904">
        <f t="shared" si="34"/>
        <v>0</v>
      </c>
      <c r="U188" s="603"/>
      <c r="V188" s="603"/>
      <c r="W188" s="603"/>
      <c r="X188" s="603"/>
      <c r="Y188" s="904">
        <f t="shared" si="35"/>
        <v>0</v>
      </c>
      <c r="Z188" s="603"/>
      <c r="AA188" s="603"/>
      <c r="AB188" s="603"/>
      <c r="AC188" s="603"/>
      <c r="AD188" s="904">
        <f t="shared" si="36"/>
        <v>0</v>
      </c>
      <c r="AE188" s="603"/>
      <c r="AF188" s="603"/>
      <c r="AG188" s="603"/>
      <c r="AH188" s="603"/>
      <c r="AI188" s="907">
        <f t="shared" si="37"/>
        <v>0</v>
      </c>
      <c r="AJ188" s="921"/>
      <c r="AK188" s="921"/>
      <c r="AL188" s="921"/>
      <c r="AM188" s="921"/>
      <c r="AN188" s="921"/>
      <c r="AO188" s="617">
        <f t="shared" si="38"/>
        <v>0</v>
      </c>
      <c r="AR188" t="str">
        <f t="shared" si="39"/>
        <v>F</v>
      </c>
      <c r="AS188" t="str" cm="1">
        <f t="array" ref="AS188">IFERROR(INDEX(Table611[],MATCH($B188&amp;$C188&amp;$D188&amp;$F188,Table611[Component]&amp;Table611[Module]&amp;Table611[Intervention]&amp;Table611[Cost Input],0),5),"")</f>
        <v/>
      </c>
      <c r="AT188" t="str">
        <f t="shared" si="40"/>
        <v/>
      </c>
      <c r="AW188">
        <f t="shared" si="41"/>
        <v>9</v>
      </c>
    </row>
    <row r="189" spans="1:49" ht="14.5" x14ac:dyDescent="0.35">
      <c r="A189" s="258" t="str">
        <f t="shared" si="31"/>
        <v/>
      </c>
      <c r="B189" s="914"/>
      <c r="C189" s="602"/>
      <c r="D189" s="602"/>
      <c r="E189" s="601"/>
      <c r="F189" s="602"/>
      <c r="G189" s="614" t="str">
        <f>IF(F189="","",SETUP!$T$2)</f>
        <v/>
      </c>
      <c r="H189" s="614" t="str">
        <f t="shared" si="32"/>
        <v/>
      </c>
      <c r="I189" s="614" t="str">
        <f t="shared" si="28"/>
        <v/>
      </c>
      <c r="J189" s="614" t="str">
        <f>IF(F189="","",SETUP!$E$7)</f>
        <v/>
      </c>
      <c r="K189" s="912"/>
      <c r="L189" s="912"/>
      <c r="M189" s="912"/>
      <c r="N189" s="912"/>
      <c r="O189" s="904">
        <f t="shared" si="33"/>
        <v>0</v>
      </c>
      <c r="P189" s="603"/>
      <c r="Q189" s="603"/>
      <c r="R189" s="603"/>
      <c r="S189" s="603"/>
      <c r="T189" s="904">
        <f t="shared" si="34"/>
        <v>0</v>
      </c>
      <c r="U189" s="603"/>
      <c r="V189" s="603"/>
      <c r="W189" s="603"/>
      <c r="X189" s="603"/>
      <c r="Y189" s="904">
        <f t="shared" si="35"/>
        <v>0</v>
      </c>
      <c r="Z189" s="603"/>
      <c r="AA189" s="603"/>
      <c r="AB189" s="603"/>
      <c r="AC189" s="603"/>
      <c r="AD189" s="904">
        <f t="shared" si="36"/>
        <v>0</v>
      </c>
      <c r="AE189" s="603"/>
      <c r="AF189" s="603"/>
      <c r="AG189" s="603"/>
      <c r="AH189" s="603"/>
      <c r="AI189" s="907">
        <f t="shared" si="37"/>
        <v>0</v>
      </c>
      <c r="AJ189" s="921"/>
      <c r="AK189" s="921"/>
      <c r="AL189" s="921"/>
      <c r="AM189" s="921"/>
      <c r="AN189" s="921"/>
      <c r="AO189" s="617">
        <f t="shared" si="38"/>
        <v>0</v>
      </c>
      <c r="AR189" t="str">
        <f t="shared" si="39"/>
        <v>F</v>
      </c>
      <c r="AS189" t="str" cm="1">
        <f t="array" ref="AS189">IFERROR(INDEX(Table611[],MATCH($B189&amp;$C189&amp;$D189&amp;$F189,Table611[Component]&amp;Table611[Module]&amp;Table611[Intervention]&amp;Table611[Cost Input],0),5),"")</f>
        <v/>
      </c>
      <c r="AT189" t="str">
        <f t="shared" si="40"/>
        <v/>
      </c>
      <c r="AW189">
        <f t="shared" si="41"/>
        <v>9</v>
      </c>
    </row>
    <row r="190" spans="1:49" ht="14.5" x14ac:dyDescent="0.35">
      <c r="A190" s="258" t="str">
        <f t="shared" si="31"/>
        <v/>
      </c>
      <c r="B190" s="914"/>
      <c r="C190" s="602"/>
      <c r="D190" s="602"/>
      <c r="E190" s="601"/>
      <c r="F190" s="602"/>
      <c r="G190" s="614" t="str">
        <f>IF(F190="","",SETUP!$T$2)</f>
        <v/>
      </c>
      <c r="H190" s="614" t="str">
        <f t="shared" si="32"/>
        <v/>
      </c>
      <c r="I190" s="614" t="str">
        <f t="shared" si="28"/>
        <v/>
      </c>
      <c r="J190" s="614" t="str">
        <f>IF(F190="","",SETUP!$E$7)</f>
        <v/>
      </c>
      <c r="K190" s="912"/>
      <c r="L190" s="912"/>
      <c r="M190" s="912"/>
      <c r="N190" s="912"/>
      <c r="O190" s="904">
        <f t="shared" si="33"/>
        <v>0</v>
      </c>
      <c r="P190" s="603"/>
      <c r="Q190" s="603"/>
      <c r="R190" s="603"/>
      <c r="S190" s="603"/>
      <c r="T190" s="904">
        <f t="shared" si="34"/>
        <v>0</v>
      </c>
      <c r="U190" s="603"/>
      <c r="V190" s="603"/>
      <c r="W190" s="603"/>
      <c r="X190" s="603"/>
      <c r="Y190" s="904">
        <f t="shared" si="35"/>
        <v>0</v>
      </c>
      <c r="Z190" s="603"/>
      <c r="AA190" s="603"/>
      <c r="AB190" s="603"/>
      <c r="AC190" s="603"/>
      <c r="AD190" s="904">
        <f t="shared" si="36"/>
        <v>0</v>
      </c>
      <c r="AE190" s="603"/>
      <c r="AF190" s="603"/>
      <c r="AG190" s="603"/>
      <c r="AH190" s="603"/>
      <c r="AI190" s="907">
        <f t="shared" si="37"/>
        <v>0</v>
      </c>
      <c r="AJ190" s="921"/>
      <c r="AK190" s="921"/>
      <c r="AL190" s="921"/>
      <c r="AM190" s="921"/>
      <c r="AN190" s="921"/>
      <c r="AO190" s="617">
        <f t="shared" si="38"/>
        <v>0</v>
      </c>
      <c r="AR190" t="str">
        <f t="shared" si="39"/>
        <v>F</v>
      </c>
      <c r="AS190" t="str" cm="1">
        <f t="array" ref="AS190">IFERROR(INDEX(Table611[],MATCH($B190&amp;$C190&amp;$D190&amp;$F190,Table611[Component]&amp;Table611[Module]&amp;Table611[Intervention]&amp;Table611[Cost Input],0),5),"")</f>
        <v/>
      </c>
      <c r="AT190" t="str">
        <f t="shared" si="40"/>
        <v/>
      </c>
      <c r="AW190">
        <f t="shared" si="41"/>
        <v>9</v>
      </c>
    </row>
    <row r="191" spans="1:49" ht="14.5" x14ac:dyDescent="0.35">
      <c r="A191" s="258" t="str">
        <f t="shared" si="31"/>
        <v/>
      </c>
      <c r="B191" s="914"/>
      <c r="C191" s="602"/>
      <c r="D191" s="602"/>
      <c r="E191" s="601"/>
      <c r="F191" s="602"/>
      <c r="G191" s="614" t="str">
        <f>IF(F191="","",SETUP!$T$2)</f>
        <v/>
      </c>
      <c r="H191" s="614" t="str">
        <f t="shared" si="32"/>
        <v/>
      </c>
      <c r="I191" s="614" t="str">
        <f t="shared" si="28"/>
        <v/>
      </c>
      <c r="J191" s="614" t="str">
        <f>IF(F191="","",SETUP!$E$7)</f>
        <v/>
      </c>
      <c r="K191" s="912"/>
      <c r="L191" s="912"/>
      <c r="M191" s="912"/>
      <c r="N191" s="912"/>
      <c r="O191" s="904">
        <f t="shared" si="33"/>
        <v>0</v>
      </c>
      <c r="P191" s="603"/>
      <c r="Q191" s="603"/>
      <c r="R191" s="603"/>
      <c r="S191" s="603"/>
      <c r="T191" s="904">
        <f t="shared" si="34"/>
        <v>0</v>
      </c>
      <c r="U191" s="603"/>
      <c r="V191" s="603"/>
      <c r="W191" s="603"/>
      <c r="X191" s="603"/>
      <c r="Y191" s="904">
        <f t="shared" si="35"/>
        <v>0</v>
      </c>
      <c r="Z191" s="603"/>
      <c r="AA191" s="603"/>
      <c r="AB191" s="603"/>
      <c r="AC191" s="603"/>
      <c r="AD191" s="904">
        <f t="shared" si="36"/>
        <v>0</v>
      </c>
      <c r="AE191" s="603"/>
      <c r="AF191" s="603"/>
      <c r="AG191" s="603"/>
      <c r="AH191" s="603"/>
      <c r="AI191" s="907">
        <f t="shared" si="37"/>
        <v>0</v>
      </c>
      <c r="AJ191" s="921"/>
      <c r="AK191" s="921"/>
      <c r="AL191" s="921"/>
      <c r="AM191" s="921"/>
      <c r="AN191" s="921"/>
      <c r="AO191" s="617">
        <f t="shared" si="38"/>
        <v>0</v>
      </c>
      <c r="AR191" t="str">
        <f t="shared" si="39"/>
        <v>F</v>
      </c>
      <c r="AS191" t="str" cm="1">
        <f t="array" ref="AS191">IFERROR(INDEX(Table611[],MATCH($B191&amp;$C191&amp;$D191&amp;$F191,Table611[Component]&amp;Table611[Module]&amp;Table611[Intervention]&amp;Table611[Cost Input],0),5),"")</f>
        <v/>
      </c>
      <c r="AT191" t="str">
        <f t="shared" si="40"/>
        <v/>
      </c>
      <c r="AW191">
        <f t="shared" si="41"/>
        <v>9</v>
      </c>
    </row>
    <row r="192" spans="1:49" ht="14.5" x14ac:dyDescent="0.35">
      <c r="A192" s="258" t="str">
        <f t="shared" si="31"/>
        <v/>
      </c>
      <c r="B192" s="914"/>
      <c r="C192" s="602"/>
      <c r="D192" s="602"/>
      <c r="E192" s="601"/>
      <c r="F192" s="602"/>
      <c r="G192" s="614" t="str">
        <f>IF(F192="","",SETUP!$T$2)</f>
        <v/>
      </c>
      <c r="H192" s="614" t="str">
        <f t="shared" si="32"/>
        <v/>
      </c>
      <c r="I192" s="614" t="str">
        <f t="shared" si="28"/>
        <v/>
      </c>
      <c r="J192" s="614" t="str">
        <f>IF(F192="","",SETUP!$E$7)</f>
        <v/>
      </c>
      <c r="K192" s="912"/>
      <c r="L192" s="912"/>
      <c r="M192" s="912"/>
      <c r="N192" s="912"/>
      <c r="O192" s="904">
        <f t="shared" si="33"/>
        <v>0</v>
      </c>
      <c r="P192" s="603"/>
      <c r="Q192" s="603"/>
      <c r="R192" s="603"/>
      <c r="S192" s="603"/>
      <c r="T192" s="904">
        <f t="shared" si="34"/>
        <v>0</v>
      </c>
      <c r="U192" s="603"/>
      <c r="V192" s="603"/>
      <c r="W192" s="603"/>
      <c r="X192" s="603"/>
      <c r="Y192" s="904">
        <f t="shared" si="35"/>
        <v>0</v>
      </c>
      <c r="Z192" s="603"/>
      <c r="AA192" s="603"/>
      <c r="AB192" s="603"/>
      <c r="AC192" s="603"/>
      <c r="AD192" s="904">
        <f t="shared" si="36"/>
        <v>0</v>
      </c>
      <c r="AE192" s="603"/>
      <c r="AF192" s="603"/>
      <c r="AG192" s="603"/>
      <c r="AH192" s="603"/>
      <c r="AI192" s="907">
        <f t="shared" si="37"/>
        <v>0</v>
      </c>
      <c r="AJ192" s="921"/>
      <c r="AK192" s="921"/>
      <c r="AL192" s="921"/>
      <c r="AM192" s="921"/>
      <c r="AN192" s="921"/>
      <c r="AO192" s="617">
        <f t="shared" si="38"/>
        <v>0</v>
      </c>
      <c r="AR192" t="str">
        <f t="shared" si="39"/>
        <v>F</v>
      </c>
      <c r="AS192" t="str" cm="1">
        <f t="array" ref="AS192">IFERROR(INDEX(Table611[],MATCH($B192&amp;$C192&amp;$D192&amp;$F192,Table611[Component]&amp;Table611[Module]&amp;Table611[Intervention]&amp;Table611[Cost Input],0),5),"")</f>
        <v/>
      </c>
      <c r="AT192" t="str">
        <f t="shared" si="40"/>
        <v/>
      </c>
      <c r="AW192">
        <f t="shared" si="41"/>
        <v>9</v>
      </c>
    </row>
    <row r="193" spans="1:49" ht="14.5" x14ac:dyDescent="0.35">
      <c r="A193" s="258" t="str">
        <f t="shared" si="31"/>
        <v/>
      </c>
      <c r="B193" s="914"/>
      <c r="C193" s="602"/>
      <c r="D193" s="602"/>
      <c r="E193" s="601"/>
      <c r="F193" s="602"/>
      <c r="G193" s="614" t="str">
        <f>IF(F193="","",SETUP!$T$2)</f>
        <v/>
      </c>
      <c r="H193" s="614" t="str">
        <f t="shared" si="32"/>
        <v/>
      </c>
      <c r="I193" s="614" t="str">
        <f t="shared" si="28"/>
        <v/>
      </c>
      <c r="J193" s="614" t="str">
        <f>IF(F193="","",SETUP!$E$7)</f>
        <v/>
      </c>
      <c r="K193" s="912"/>
      <c r="L193" s="912"/>
      <c r="M193" s="912"/>
      <c r="N193" s="912"/>
      <c r="O193" s="904">
        <f t="shared" si="33"/>
        <v>0</v>
      </c>
      <c r="P193" s="603"/>
      <c r="Q193" s="603"/>
      <c r="R193" s="603"/>
      <c r="S193" s="603"/>
      <c r="T193" s="904">
        <f t="shared" si="34"/>
        <v>0</v>
      </c>
      <c r="U193" s="603"/>
      <c r="V193" s="603"/>
      <c r="W193" s="603"/>
      <c r="X193" s="603"/>
      <c r="Y193" s="904">
        <f t="shared" si="35"/>
        <v>0</v>
      </c>
      <c r="Z193" s="603"/>
      <c r="AA193" s="603"/>
      <c r="AB193" s="603"/>
      <c r="AC193" s="603"/>
      <c r="AD193" s="904">
        <f t="shared" si="36"/>
        <v>0</v>
      </c>
      <c r="AE193" s="603"/>
      <c r="AF193" s="603"/>
      <c r="AG193" s="603"/>
      <c r="AH193" s="603"/>
      <c r="AI193" s="907">
        <f t="shared" si="37"/>
        <v>0</v>
      </c>
      <c r="AJ193" s="921"/>
      <c r="AK193" s="921"/>
      <c r="AL193" s="921"/>
      <c r="AM193" s="921"/>
      <c r="AN193" s="921"/>
      <c r="AO193" s="617">
        <f t="shared" si="38"/>
        <v>0</v>
      </c>
      <c r="AR193" t="str">
        <f t="shared" si="39"/>
        <v>F</v>
      </c>
      <c r="AS193" t="str" cm="1">
        <f t="array" ref="AS193">IFERROR(INDEX(Table611[],MATCH($B193&amp;$C193&amp;$D193&amp;$F193,Table611[Component]&amp;Table611[Module]&amp;Table611[Intervention]&amp;Table611[Cost Input],0),5),"")</f>
        <v/>
      </c>
      <c r="AT193" t="str">
        <f t="shared" si="40"/>
        <v/>
      </c>
      <c r="AW193">
        <f t="shared" si="41"/>
        <v>9</v>
      </c>
    </row>
    <row r="194" spans="1:49" ht="14.5" x14ac:dyDescent="0.35">
      <c r="A194" s="258" t="str">
        <f t="shared" si="31"/>
        <v/>
      </c>
      <c r="B194" s="914"/>
      <c r="C194" s="602"/>
      <c r="D194" s="602"/>
      <c r="E194" s="601"/>
      <c r="F194" s="602"/>
      <c r="G194" s="614" t="str">
        <f>IF(F194="","",SETUP!$T$2)</f>
        <v/>
      </c>
      <c r="H194" s="614" t="str">
        <f t="shared" si="32"/>
        <v/>
      </c>
      <c r="I194" s="614" t="str">
        <f t="shared" si="28"/>
        <v/>
      </c>
      <c r="J194" s="614" t="str">
        <f>IF(F194="","",SETUP!$E$7)</f>
        <v/>
      </c>
      <c r="K194" s="912"/>
      <c r="L194" s="912"/>
      <c r="M194" s="912"/>
      <c r="N194" s="912"/>
      <c r="O194" s="904">
        <f t="shared" si="33"/>
        <v>0</v>
      </c>
      <c r="P194" s="603"/>
      <c r="Q194" s="603"/>
      <c r="R194" s="603"/>
      <c r="S194" s="603"/>
      <c r="T194" s="904">
        <f t="shared" si="34"/>
        <v>0</v>
      </c>
      <c r="U194" s="603"/>
      <c r="V194" s="603"/>
      <c r="W194" s="603"/>
      <c r="X194" s="603"/>
      <c r="Y194" s="904">
        <f t="shared" si="35"/>
        <v>0</v>
      </c>
      <c r="Z194" s="603"/>
      <c r="AA194" s="603"/>
      <c r="AB194" s="603"/>
      <c r="AC194" s="603"/>
      <c r="AD194" s="904">
        <f t="shared" si="36"/>
        <v>0</v>
      </c>
      <c r="AE194" s="603"/>
      <c r="AF194" s="603"/>
      <c r="AG194" s="603"/>
      <c r="AH194" s="603"/>
      <c r="AI194" s="907">
        <f t="shared" si="37"/>
        <v>0</v>
      </c>
      <c r="AJ194" s="921"/>
      <c r="AK194" s="921"/>
      <c r="AL194" s="921"/>
      <c r="AM194" s="921"/>
      <c r="AN194" s="921"/>
      <c r="AO194" s="617">
        <f t="shared" si="38"/>
        <v>0</v>
      </c>
      <c r="AR194" t="str">
        <f t="shared" si="39"/>
        <v>F</v>
      </c>
      <c r="AS194" t="str" cm="1">
        <f t="array" ref="AS194">IFERROR(INDEX(Table611[],MATCH($B194&amp;$C194&amp;$D194&amp;$F194,Table611[Component]&amp;Table611[Module]&amp;Table611[Intervention]&amp;Table611[Cost Input],0),5),"")</f>
        <v/>
      </c>
      <c r="AT194" t="str">
        <f t="shared" si="40"/>
        <v/>
      </c>
      <c r="AW194">
        <f t="shared" si="41"/>
        <v>9</v>
      </c>
    </row>
    <row r="195" spans="1:49" ht="14.5" x14ac:dyDescent="0.35">
      <c r="A195" s="258" t="str">
        <f t="shared" si="31"/>
        <v/>
      </c>
      <c r="B195" s="914"/>
      <c r="C195" s="602"/>
      <c r="D195" s="602"/>
      <c r="E195" s="601"/>
      <c r="F195" s="602"/>
      <c r="G195" s="614" t="str">
        <f>IF(F195="","",SETUP!$T$2)</f>
        <v/>
      </c>
      <c r="H195" s="614" t="str">
        <f t="shared" si="32"/>
        <v/>
      </c>
      <c r="I195" s="614" t="str">
        <f t="shared" si="28"/>
        <v/>
      </c>
      <c r="J195" s="614" t="str">
        <f>IF(F195="","",SETUP!$E$7)</f>
        <v/>
      </c>
      <c r="K195" s="912"/>
      <c r="L195" s="912"/>
      <c r="M195" s="912"/>
      <c r="N195" s="912"/>
      <c r="O195" s="904">
        <f t="shared" si="33"/>
        <v>0</v>
      </c>
      <c r="P195" s="603"/>
      <c r="Q195" s="603"/>
      <c r="R195" s="603"/>
      <c r="S195" s="603"/>
      <c r="T195" s="904">
        <f t="shared" si="34"/>
        <v>0</v>
      </c>
      <c r="U195" s="603"/>
      <c r="V195" s="603"/>
      <c r="W195" s="603"/>
      <c r="X195" s="603"/>
      <c r="Y195" s="904">
        <f t="shared" si="35"/>
        <v>0</v>
      </c>
      <c r="Z195" s="603"/>
      <c r="AA195" s="603"/>
      <c r="AB195" s="603"/>
      <c r="AC195" s="603"/>
      <c r="AD195" s="904">
        <f t="shared" si="36"/>
        <v>0</v>
      </c>
      <c r="AE195" s="603"/>
      <c r="AF195" s="603"/>
      <c r="AG195" s="603"/>
      <c r="AH195" s="603"/>
      <c r="AI195" s="907">
        <f t="shared" si="37"/>
        <v>0</v>
      </c>
      <c r="AJ195" s="921"/>
      <c r="AK195" s="921"/>
      <c r="AL195" s="921"/>
      <c r="AM195" s="921"/>
      <c r="AN195" s="921"/>
      <c r="AO195" s="617">
        <f t="shared" si="38"/>
        <v>0</v>
      </c>
      <c r="AR195" t="str">
        <f t="shared" si="39"/>
        <v>F</v>
      </c>
      <c r="AS195" t="str" cm="1">
        <f t="array" ref="AS195">IFERROR(INDEX(Table611[],MATCH($B195&amp;$C195&amp;$D195&amp;$F195,Table611[Component]&amp;Table611[Module]&amp;Table611[Intervention]&amp;Table611[Cost Input],0),5),"")</f>
        <v/>
      </c>
      <c r="AT195" t="str">
        <f t="shared" si="40"/>
        <v/>
      </c>
      <c r="AW195">
        <f t="shared" si="41"/>
        <v>9</v>
      </c>
    </row>
    <row r="196" spans="1:49" ht="14.5" x14ac:dyDescent="0.35">
      <c r="A196" s="258" t="str">
        <f t="shared" si="31"/>
        <v/>
      </c>
      <c r="B196" s="914"/>
      <c r="C196" s="602"/>
      <c r="D196" s="602"/>
      <c r="E196" s="601"/>
      <c r="F196" s="602"/>
      <c r="G196" s="614" t="str">
        <f>IF(F196="","",SETUP!$T$2)</f>
        <v/>
      </c>
      <c r="H196" s="614" t="str">
        <f t="shared" si="32"/>
        <v/>
      </c>
      <c r="I196" s="614" t="str">
        <f t="shared" si="28"/>
        <v/>
      </c>
      <c r="J196" s="614" t="str">
        <f>IF(F196="","",SETUP!$E$7)</f>
        <v/>
      </c>
      <c r="K196" s="912"/>
      <c r="L196" s="912"/>
      <c r="M196" s="912"/>
      <c r="N196" s="912"/>
      <c r="O196" s="904">
        <f t="shared" si="33"/>
        <v>0</v>
      </c>
      <c r="P196" s="603"/>
      <c r="Q196" s="603"/>
      <c r="R196" s="603"/>
      <c r="S196" s="603"/>
      <c r="T196" s="904">
        <f t="shared" si="34"/>
        <v>0</v>
      </c>
      <c r="U196" s="603"/>
      <c r="V196" s="603"/>
      <c r="W196" s="603"/>
      <c r="X196" s="603"/>
      <c r="Y196" s="904">
        <f t="shared" si="35"/>
        <v>0</v>
      </c>
      <c r="Z196" s="603"/>
      <c r="AA196" s="603"/>
      <c r="AB196" s="603"/>
      <c r="AC196" s="603"/>
      <c r="AD196" s="904">
        <f t="shared" si="36"/>
        <v>0</v>
      </c>
      <c r="AE196" s="603"/>
      <c r="AF196" s="603"/>
      <c r="AG196" s="603"/>
      <c r="AH196" s="603"/>
      <c r="AI196" s="907">
        <f t="shared" si="37"/>
        <v>0</v>
      </c>
      <c r="AJ196" s="921"/>
      <c r="AK196" s="921"/>
      <c r="AL196" s="921"/>
      <c r="AM196" s="921"/>
      <c r="AN196" s="921"/>
      <c r="AO196" s="617">
        <f t="shared" si="38"/>
        <v>0</v>
      </c>
      <c r="AR196" t="str">
        <f t="shared" si="39"/>
        <v>F</v>
      </c>
      <c r="AS196" t="str" cm="1">
        <f t="array" ref="AS196">IFERROR(INDEX(Table611[],MATCH($B196&amp;$C196&amp;$D196&amp;$F196,Table611[Component]&amp;Table611[Module]&amp;Table611[Intervention]&amp;Table611[Cost Input],0),5),"")</f>
        <v/>
      </c>
      <c r="AT196" t="str">
        <f t="shared" si="40"/>
        <v/>
      </c>
      <c r="AW196">
        <f t="shared" si="41"/>
        <v>9</v>
      </c>
    </row>
    <row r="197" spans="1:49" ht="14.5" x14ac:dyDescent="0.35">
      <c r="A197" s="258" t="str">
        <f t="shared" si="31"/>
        <v/>
      </c>
      <c r="B197" s="914"/>
      <c r="C197" s="602"/>
      <c r="D197" s="602"/>
      <c r="E197" s="601"/>
      <c r="F197" s="602"/>
      <c r="G197" s="614" t="str">
        <f>IF(F197="","",SETUP!$T$2)</f>
        <v/>
      </c>
      <c r="H197" s="614" t="str">
        <f t="shared" si="32"/>
        <v/>
      </c>
      <c r="I197" s="614" t="str">
        <f t="shared" ref="I197:I203" si="42">IF(F197="","","Approved funding")</f>
        <v/>
      </c>
      <c r="J197" s="614" t="str">
        <f>IF(F197="","",SETUP!$E$7)</f>
        <v/>
      </c>
      <c r="K197" s="912"/>
      <c r="L197" s="912"/>
      <c r="M197" s="912"/>
      <c r="N197" s="912"/>
      <c r="O197" s="904">
        <f t="shared" si="33"/>
        <v>0</v>
      </c>
      <c r="P197" s="603"/>
      <c r="Q197" s="603"/>
      <c r="R197" s="603"/>
      <c r="S197" s="603"/>
      <c r="T197" s="904">
        <f t="shared" si="34"/>
        <v>0</v>
      </c>
      <c r="U197" s="603"/>
      <c r="V197" s="603"/>
      <c r="W197" s="603"/>
      <c r="X197" s="603"/>
      <c r="Y197" s="904">
        <f t="shared" si="35"/>
        <v>0</v>
      </c>
      <c r="Z197" s="603"/>
      <c r="AA197" s="603"/>
      <c r="AB197" s="603"/>
      <c r="AC197" s="603"/>
      <c r="AD197" s="904">
        <f t="shared" si="36"/>
        <v>0</v>
      </c>
      <c r="AE197" s="603"/>
      <c r="AF197" s="603"/>
      <c r="AG197" s="603"/>
      <c r="AH197" s="603"/>
      <c r="AI197" s="907">
        <f t="shared" si="37"/>
        <v>0</v>
      </c>
      <c r="AJ197" s="921"/>
      <c r="AK197" s="921"/>
      <c r="AL197" s="921"/>
      <c r="AM197" s="921"/>
      <c r="AN197" s="921"/>
      <c r="AO197" s="617">
        <f t="shared" si="38"/>
        <v>0</v>
      </c>
      <c r="AR197" t="str">
        <f t="shared" si="39"/>
        <v>F</v>
      </c>
      <c r="AS197" t="str" cm="1">
        <f t="array" ref="AS197">IFERROR(INDEX(Table611[],MATCH($B197&amp;$C197&amp;$D197&amp;$F197,Table611[Component]&amp;Table611[Module]&amp;Table611[Intervention]&amp;Table611[Cost Input],0),5),"")</f>
        <v/>
      </c>
      <c r="AT197" t="str">
        <f t="shared" ref="AT197:AT202" si="43">IF(A197="","",IF(OR(AW197&gt;1,AS197=""),"F","T"))</f>
        <v/>
      </c>
      <c r="AW197">
        <f t="shared" ref="AW197:AW202" si="44">COUNTBLANK(B197:J197)+COUNTBLANK(AO197:AO197)</f>
        <v>9</v>
      </c>
    </row>
    <row r="198" spans="1:49" ht="14.5" x14ac:dyDescent="0.35">
      <c r="A198" s="258" t="str">
        <f>IF(COUNTBLANK(B198:D198)+COUNTBLANK(F198:F198)=0,IF(F198="","",B198&amp;C198&amp;D198&amp;F198),"")</f>
        <v/>
      </c>
      <c r="B198" s="914"/>
      <c r="C198" s="602"/>
      <c r="D198" s="602"/>
      <c r="E198" s="601"/>
      <c r="F198" s="602"/>
      <c r="G198" s="614" t="str">
        <f>IF(F198="","",SETUP!$T$2)</f>
        <v/>
      </c>
      <c r="H198" s="614" t="str">
        <f t="shared" ref="H198:H202" si="45">IF(F198="","","National/Country Level")</f>
        <v/>
      </c>
      <c r="I198" s="614" t="str">
        <f t="shared" si="42"/>
        <v/>
      </c>
      <c r="J198" s="614" t="str">
        <f>IF(F198="","",SETUP!$E$7)</f>
        <v/>
      </c>
      <c r="K198" s="912"/>
      <c r="L198" s="912"/>
      <c r="M198" s="912"/>
      <c r="N198" s="912"/>
      <c r="O198" s="904">
        <f t="shared" ref="O198:O202" si="46">SUM(K198:N198)</f>
        <v>0</v>
      </c>
      <c r="P198" s="603"/>
      <c r="Q198" s="603"/>
      <c r="R198" s="603"/>
      <c r="S198" s="603"/>
      <c r="T198" s="904">
        <f t="shared" ref="T198:T202" si="47">SUM(P198:S198)</f>
        <v>0</v>
      </c>
      <c r="U198" s="603"/>
      <c r="V198" s="603"/>
      <c r="W198" s="603"/>
      <c r="X198" s="603"/>
      <c r="Y198" s="904">
        <f t="shared" ref="Y198:Y202" si="48">SUM(U198:X198)</f>
        <v>0</v>
      </c>
      <c r="Z198" s="603"/>
      <c r="AA198" s="603"/>
      <c r="AB198" s="603"/>
      <c r="AC198" s="603"/>
      <c r="AD198" s="904">
        <f t="shared" ref="AD198:AD202" si="49">SUM(Z198:AC198)</f>
        <v>0</v>
      </c>
      <c r="AE198" s="603"/>
      <c r="AF198" s="603"/>
      <c r="AG198" s="603"/>
      <c r="AH198" s="603"/>
      <c r="AI198" s="907">
        <f t="shared" ref="AI198:AI202" si="50">SUM(AE198:AH198)</f>
        <v>0</v>
      </c>
      <c r="AJ198" s="921"/>
      <c r="AK198" s="921"/>
      <c r="AL198" s="921"/>
      <c r="AM198" s="921"/>
      <c r="AN198" s="921"/>
      <c r="AO198" s="617">
        <f t="shared" ref="AO198:AO202" si="51">IF(AS198="",0,SUM(O198,T198,Y198,AD198,AI198))</f>
        <v>0</v>
      </c>
      <c r="AR198" t="str">
        <f>IF(AW198&lt;=3,"T","F")</f>
        <v>F</v>
      </c>
      <c r="AS198" t="str" cm="1">
        <f t="array" ref="AS198">IFERROR(INDEX(Table611[],MATCH($B198&amp;$C198&amp;$D198&amp;$F198,Table611[Component]&amp;Table611[Module]&amp;Table611[Intervention]&amp;Table611[Cost Input],0),5),"")</f>
        <v/>
      </c>
      <c r="AT198" t="str">
        <f t="shared" si="43"/>
        <v/>
      </c>
      <c r="AW198">
        <f t="shared" si="44"/>
        <v>9</v>
      </c>
    </row>
    <row r="199" spans="1:49" ht="14.5" x14ac:dyDescent="0.35">
      <c r="A199" s="258" t="str">
        <f>IF(COUNTBLANK(B199:D199)+COUNTBLANK(F199:F199)=0,IF(F199="","",B199&amp;C199&amp;D199&amp;F199),"")</f>
        <v/>
      </c>
      <c r="B199" s="914"/>
      <c r="C199" s="602"/>
      <c r="D199" s="602"/>
      <c r="E199" s="601"/>
      <c r="F199" s="602"/>
      <c r="G199" s="614" t="str">
        <f>IF(F199="","",SETUP!$T$2)</f>
        <v/>
      </c>
      <c r="H199" s="614" t="str">
        <f t="shared" si="45"/>
        <v/>
      </c>
      <c r="I199" s="614" t="str">
        <f t="shared" si="42"/>
        <v/>
      </c>
      <c r="J199" s="614" t="str">
        <f>IF(F199="","",SETUP!$E$7)</f>
        <v/>
      </c>
      <c r="K199" s="912"/>
      <c r="L199" s="912"/>
      <c r="M199" s="912"/>
      <c r="N199" s="912"/>
      <c r="O199" s="904">
        <f t="shared" si="46"/>
        <v>0</v>
      </c>
      <c r="P199" s="603"/>
      <c r="Q199" s="603"/>
      <c r="R199" s="603"/>
      <c r="S199" s="603"/>
      <c r="T199" s="904">
        <f t="shared" si="47"/>
        <v>0</v>
      </c>
      <c r="U199" s="603"/>
      <c r="V199" s="603"/>
      <c r="W199" s="603"/>
      <c r="X199" s="603"/>
      <c r="Y199" s="904">
        <f t="shared" si="48"/>
        <v>0</v>
      </c>
      <c r="Z199" s="603"/>
      <c r="AA199" s="603"/>
      <c r="AB199" s="603"/>
      <c r="AC199" s="603"/>
      <c r="AD199" s="904">
        <f t="shared" si="49"/>
        <v>0</v>
      </c>
      <c r="AE199" s="603"/>
      <c r="AF199" s="603"/>
      <c r="AG199" s="603"/>
      <c r="AH199" s="603"/>
      <c r="AI199" s="907">
        <f t="shared" si="50"/>
        <v>0</v>
      </c>
      <c r="AJ199" s="921"/>
      <c r="AK199" s="921"/>
      <c r="AL199" s="921"/>
      <c r="AM199" s="921"/>
      <c r="AN199" s="921"/>
      <c r="AO199" s="617">
        <f t="shared" si="51"/>
        <v>0</v>
      </c>
      <c r="AR199" t="str">
        <f>IF(AW199&lt;=3,"T","F")</f>
        <v>F</v>
      </c>
      <c r="AS199" t="str" cm="1">
        <f t="array" ref="AS199">IFERROR(INDEX(Table611[],MATCH($B199&amp;$C199&amp;$D199&amp;$F199,Table611[Component]&amp;Table611[Module]&amp;Table611[Intervention]&amp;Table611[Cost Input],0),5),"")</f>
        <v/>
      </c>
      <c r="AT199" t="str">
        <f t="shared" si="43"/>
        <v/>
      </c>
      <c r="AW199">
        <f t="shared" si="44"/>
        <v>9</v>
      </c>
    </row>
    <row r="200" spans="1:49" ht="14.5" x14ac:dyDescent="0.35">
      <c r="A200" s="258" t="str">
        <f>IF(COUNTBLANK(B200:D200)+COUNTBLANK(F200:F200)=0,IF(F200="","",B200&amp;C200&amp;D200&amp;F200),"")</f>
        <v/>
      </c>
      <c r="B200" s="914"/>
      <c r="C200" s="602"/>
      <c r="D200" s="602"/>
      <c r="E200" s="601"/>
      <c r="F200" s="602"/>
      <c r="G200" s="614" t="str">
        <f>IF(F200="","",SETUP!$T$2)</f>
        <v/>
      </c>
      <c r="H200" s="614" t="str">
        <f t="shared" si="45"/>
        <v/>
      </c>
      <c r="I200" s="614" t="str">
        <f t="shared" si="42"/>
        <v/>
      </c>
      <c r="J200" s="614" t="str">
        <f>IF(F200="","",SETUP!$E$7)</f>
        <v/>
      </c>
      <c r="K200" s="912"/>
      <c r="L200" s="912"/>
      <c r="M200" s="912"/>
      <c r="N200" s="912"/>
      <c r="O200" s="904">
        <f t="shared" si="46"/>
        <v>0</v>
      </c>
      <c r="P200" s="603"/>
      <c r="Q200" s="603"/>
      <c r="R200" s="603"/>
      <c r="S200" s="603"/>
      <c r="T200" s="904">
        <f t="shared" si="47"/>
        <v>0</v>
      </c>
      <c r="U200" s="603"/>
      <c r="V200" s="603"/>
      <c r="W200" s="603"/>
      <c r="X200" s="603"/>
      <c r="Y200" s="904">
        <f t="shared" si="48"/>
        <v>0</v>
      </c>
      <c r="Z200" s="603"/>
      <c r="AA200" s="603"/>
      <c r="AB200" s="603"/>
      <c r="AC200" s="603"/>
      <c r="AD200" s="904">
        <f t="shared" si="49"/>
        <v>0</v>
      </c>
      <c r="AE200" s="603"/>
      <c r="AF200" s="603"/>
      <c r="AG200" s="603"/>
      <c r="AH200" s="603"/>
      <c r="AI200" s="907">
        <f t="shared" si="50"/>
        <v>0</v>
      </c>
      <c r="AJ200" s="921"/>
      <c r="AK200" s="921"/>
      <c r="AL200" s="921"/>
      <c r="AM200" s="921"/>
      <c r="AN200" s="921"/>
      <c r="AO200" s="617">
        <f t="shared" si="51"/>
        <v>0</v>
      </c>
      <c r="AR200" t="str">
        <f>IF(AW200&lt;=3,"T","F")</f>
        <v>F</v>
      </c>
      <c r="AS200" t="str" cm="1">
        <f t="array" ref="AS200">IFERROR(INDEX(Table611[],MATCH($B200&amp;$C200&amp;$D200&amp;$F200,Table611[Component]&amp;Table611[Module]&amp;Table611[Intervention]&amp;Table611[Cost Input],0),5),"")</f>
        <v/>
      </c>
      <c r="AT200" t="str">
        <f t="shared" si="43"/>
        <v/>
      </c>
      <c r="AW200">
        <f t="shared" si="44"/>
        <v>9</v>
      </c>
    </row>
    <row r="201" spans="1:49" ht="14.5" x14ac:dyDescent="0.35">
      <c r="A201" s="258" t="str">
        <f>IF(COUNTBLANK(B201:D201)+COUNTBLANK(F201:F201)=0,IF(F201="","",B201&amp;C201&amp;D201&amp;F201),"")</f>
        <v/>
      </c>
      <c r="B201" s="914"/>
      <c r="C201" s="602"/>
      <c r="D201" s="602"/>
      <c r="E201" s="601"/>
      <c r="F201" s="602"/>
      <c r="G201" s="614" t="str">
        <f>IF(F201="","",SETUP!$T$2)</f>
        <v/>
      </c>
      <c r="H201" s="614" t="str">
        <f t="shared" si="45"/>
        <v/>
      </c>
      <c r="I201" s="614" t="str">
        <f t="shared" si="42"/>
        <v/>
      </c>
      <c r="J201" s="614" t="str">
        <f>IF(F201="","",SETUP!$E$7)</f>
        <v/>
      </c>
      <c r="K201" s="912"/>
      <c r="L201" s="912"/>
      <c r="M201" s="912"/>
      <c r="N201" s="912"/>
      <c r="O201" s="904">
        <f t="shared" si="46"/>
        <v>0</v>
      </c>
      <c r="P201" s="603"/>
      <c r="Q201" s="603"/>
      <c r="R201" s="603"/>
      <c r="S201" s="603"/>
      <c r="T201" s="904">
        <f t="shared" si="47"/>
        <v>0</v>
      </c>
      <c r="U201" s="603"/>
      <c r="V201" s="603"/>
      <c r="W201" s="603"/>
      <c r="X201" s="603"/>
      <c r="Y201" s="904">
        <f t="shared" si="48"/>
        <v>0</v>
      </c>
      <c r="Z201" s="603"/>
      <c r="AA201" s="603"/>
      <c r="AB201" s="603"/>
      <c r="AC201" s="603"/>
      <c r="AD201" s="904">
        <f t="shared" si="49"/>
        <v>0</v>
      </c>
      <c r="AE201" s="603"/>
      <c r="AF201" s="603"/>
      <c r="AG201" s="603"/>
      <c r="AH201" s="603"/>
      <c r="AI201" s="907">
        <f t="shared" si="50"/>
        <v>0</v>
      </c>
      <c r="AJ201" s="921"/>
      <c r="AK201" s="921"/>
      <c r="AL201" s="921"/>
      <c r="AM201" s="921"/>
      <c r="AN201" s="921"/>
      <c r="AO201" s="617">
        <f t="shared" si="51"/>
        <v>0</v>
      </c>
      <c r="AR201" t="str">
        <f>IF(AW201&lt;=3,"T","F")</f>
        <v>F</v>
      </c>
      <c r="AS201" t="str" cm="1">
        <f t="array" ref="AS201">IFERROR(INDEX(Table611[],MATCH($B201&amp;$C201&amp;$D201&amp;$F201,Table611[Component]&amp;Table611[Module]&amp;Table611[Intervention]&amp;Table611[Cost Input],0),5),"")</f>
        <v/>
      </c>
      <c r="AT201" t="str">
        <f t="shared" si="43"/>
        <v/>
      </c>
      <c r="AW201">
        <f t="shared" si="44"/>
        <v>9</v>
      </c>
    </row>
    <row r="202" spans="1:49" ht="15" thickBot="1" x14ac:dyDescent="0.4">
      <c r="A202" s="258" t="str">
        <f>IF(COUNTBLANK(B202:D202)+COUNTBLANK(F202:F202)=0,IF(F202="","",B202&amp;C202&amp;D202&amp;F202),"")</f>
        <v/>
      </c>
      <c r="B202" s="915"/>
      <c r="C202" s="607"/>
      <c r="D202" s="607"/>
      <c r="E202" s="608"/>
      <c r="F202" s="607"/>
      <c r="G202" s="615" t="str">
        <f>IF(F202="","",SETUP!$T$2)</f>
        <v/>
      </c>
      <c r="H202" s="615" t="str">
        <f t="shared" si="45"/>
        <v/>
      </c>
      <c r="I202" s="615" t="str">
        <f t="shared" si="42"/>
        <v/>
      </c>
      <c r="J202" s="615" t="str">
        <f>IF(F202="","",SETUP!$E$7)</f>
        <v/>
      </c>
      <c r="K202" s="913"/>
      <c r="L202" s="913"/>
      <c r="M202" s="913"/>
      <c r="N202" s="913"/>
      <c r="O202" s="905">
        <f t="shared" si="46"/>
        <v>0</v>
      </c>
      <c r="P202" s="609"/>
      <c r="Q202" s="609"/>
      <c r="R202" s="609"/>
      <c r="S202" s="609"/>
      <c r="T202" s="905">
        <f t="shared" si="47"/>
        <v>0</v>
      </c>
      <c r="U202" s="609"/>
      <c r="V202" s="609"/>
      <c r="W202" s="609"/>
      <c r="X202" s="609"/>
      <c r="Y202" s="905">
        <f t="shared" si="48"/>
        <v>0</v>
      </c>
      <c r="Z202" s="609"/>
      <c r="AA202" s="609"/>
      <c r="AB202" s="609"/>
      <c r="AC202" s="609"/>
      <c r="AD202" s="905">
        <f t="shared" si="49"/>
        <v>0</v>
      </c>
      <c r="AE202" s="609"/>
      <c r="AF202" s="609"/>
      <c r="AG202" s="609"/>
      <c r="AH202" s="609"/>
      <c r="AI202" s="908">
        <f t="shared" si="50"/>
        <v>0</v>
      </c>
      <c r="AJ202" s="922"/>
      <c r="AK202" s="922"/>
      <c r="AL202" s="922"/>
      <c r="AM202" s="922"/>
      <c r="AN202" s="922"/>
      <c r="AO202" s="618">
        <f t="shared" si="51"/>
        <v>0</v>
      </c>
      <c r="AR202" t="str">
        <f>IF(AW202&lt;=3,"T","F")</f>
        <v>F</v>
      </c>
      <c r="AS202" t="str" cm="1">
        <f t="array" ref="AS202">IFERROR(INDEX(Table611[],MATCH($B202&amp;$C202&amp;$D202&amp;$F202,Table611[Component]&amp;Table611[Module]&amp;Table611[Intervention]&amp;Table611[Cost Input],0),5),"")</f>
        <v/>
      </c>
      <c r="AT202" t="str">
        <f t="shared" si="43"/>
        <v/>
      </c>
      <c r="AW202">
        <f t="shared" si="44"/>
        <v>9</v>
      </c>
    </row>
    <row r="203" spans="1:49" ht="14.5" x14ac:dyDescent="0.35">
      <c r="A203" s="258"/>
      <c r="H203" t="str">
        <f>IF(F203="","",SETUP!$E$3)</f>
        <v/>
      </c>
      <c r="I203" t="str">
        <f t="shared" si="42"/>
        <v/>
      </c>
      <c r="J203" t="str">
        <f>IF(F203="","",SETUP!$E$7)</f>
        <v/>
      </c>
    </row>
    <row r="204" spans="1:49" ht="14.5" x14ac:dyDescent="0.35"/>
    <row r="205" spans="1:49" ht="14.5" x14ac:dyDescent="0.35"/>
  </sheetData>
  <sheetProtection algorithmName="SHA-512" hashValue="qQ/vNED0oiGAcaGZxPsPPbrBsiojC5IYzlOnT0yENEnvHzf+9pbxhJgoJ40cAT59R9ZRmfbYxGadeNZnuAQNGA==" saltValue="iSdGB+3GXyDDd1zZl+uUHw==" spinCount="100000" sheet="1" objects="1" scenarios="1"/>
  <mergeCells count="9">
    <mergeCell ref="AJ3:AN3"/>
    <mergeCell ref="Z3:AD3"/>
    <mergeCell ref="AE3:AI3"/>
    <mergeCell ref="C1:D1"/>
    <mergeCell ref="F1:J1"/>
    <mergeCell ref="B2:J2"/>
    <mergeCell ref="K3:O3"/>
    <mergeCell ref="P3:T3"/>
    <mergeCell ref="U3:Y3"/>
  </mergeCells>
  <conditionalFormatting sqref="F1">
    <cfRule type="notContainsBlanks" dxfId="411" priority="24">
      <formula>LEN(TRIM(F1))&gt;0</formula>
    </cfRule>
  </conditionalFormatting>
  <conditionalFormatting sqref="P5:S202">
    <cfRule type="expression" dxfId="410" priority="9468">
      <formula>OR($P$3="",$P$3=FALSE)</formula>
    </cfRule>
  </conditionalFormatting>
  <conditionalFormatting sqref="F6:F202 C5:D30 C32:D202 D31 B31">
    <cfRule type="expression" dxfId="409" priority="9508">
      <formula>AND(($AS5=""),(COUNTBLANK($B5:$D5)+COUNTBLANK($F5))=0)</formula>
    </cfRule>
  </conditionalFormatting>
  <conditionalFormatting sqref="U5:X202">
    <cfRule type="expression" dxfId="408" priority="9548">
      <formula>$U$3=""</formula>
    </cfRule>
  </conditionalFormatting>
  <conditionalFormatting sqref="Z5:AC202">
    <cfRule type="expression" dxfId="407" priority="9588">
      <formula>$Z$3=""</formula>
    </cfRule>
  </conditionalFormatting>
  <conditionalFormatting sqref="AE5:AH202">
    <cfRule type="expression" dxfId="406" priority="17">
      <formula>$AE$3=""</formula>
    </cfRule>
  </conditionalFormatting>
  <conditionalFormatting sqref="K5:N202">
    <cfRule type="expression" dxfId="405" priority="23">
      <formula>OR($K$3="",$K$3=FALSE)</formula>
    </cfRule>
  </conditionalFormatting>
  <conditionalFormatting sqref="AH5:AH202">
    <cfRule type="expression" dxfId="404" priority="19">
      <formula>$AH$2="-"</formula>
    </cfRule>
  </conditionalFormatting>
  <conditionalFormatting sqref="AG5:AG202">
    <cfRule type="expression" dxfId="403" priority="18">
      <formula>$AG$2="-"</formula>
    </cfRule>
  </conditionalFormatting>
  <conditionalFormatting sqref="AF5:AF202">
    <cfRule type="expression" dxfId="402" priority="9628">
      <formula>$AF$2="-"</formula>
    </cfRule>
  </conditionalFormatting>
  <conditionalFormatting sqref="AE5:AE202">
    <cfRule type="expression" dxfId="401" priority="16">
      <formula>$AE$2="-"</formula>
    </cfRule>
  </conditionalFormatting>
  <conditionalFormatting sqref="AC5:AC202">
    <cfRule type="expression" dxfId="400" priority="15">
      <formula>$AC$2="-"</formula>
    </cfRule>
  </conditionalFormatting>
  <conditionalFormatting sqref="AB5:AB202">
    <cfRule type="expression" dxfId="399" priority="14">
      <formula>$AB$2="-"</formula>
    </cfRule>
  </conditionalFormatting>
  <conditionalFormatting sqref="AA5:AA202">
    <cfRule type="expression" dxfId="398" priority="13">
      <formula>$AA$2="-"</formula>
    </cfRule>
  </conditionalFormatting>
  <conditionalFormatting sqref="Z5:Z202">
    <cfRule type="expression" dxfId="397" priority="12">
      <formula>$Z$2="-"</formula>
    </cfRule>
  </conditionalFormatting>
  <conditionalFormatting sqref="X5:X202">
    <cfRule type="expression" dxfId="396" priority="11">
      <formula>$X$2="-"</formula>
    </cfRule>
  </conditionalFormatting>
  <conditionalFormatting sqref="W5:W202">
    <cfRule type="expression" dxfId="395" priority="10">
      <formula>$W$2="-"</formula>
    </cfRule>
  </conditionalFormatting>
  <conditionalFormatting sqref="V5:V202">
    <cfRule type="expression" dxfId="394" priority="9">
      <formula>$V$2="-"</formula>
    </cfRule>
  </conditionalFormatting>
  <conditionalFormatting sqref="U5:U202">
    <cfRule type="expression" dxfId="393" priority="8">
      <formula>$U$2="-"</formula>
    </cfRule>
  </conditionalFormatting>
  <conditionalFormatting sqref="S5:S202">
    <cfRule type="expression" dxfId="392" priority="7">
      <formula>$S$2="-"</formula>
    </cfRule>
  </conditionalFormatting>
  <conditionalFormatting sqref="R5:R202">
    <cfRule type="expression" dxfId="391" priority="6">
      <formula>$R$2="-"</formula>
    </cfRule>
  </conditionalFormatting>
  <conditionalFormatting sqref="Q5:Q202">
    <cfRule type="expression" dxfId="390" priority="5">
      <formula>$Q$2="-"</formula>
    </cfRule>
  </conditionalFormatting>
  <conditionalFormatting sqref="P5:P202">
    <cfRule type="expression" dxfId="389" priority="4">
      <formula>$P$2="-"</formula>
    </cfRule>
  </conditionalFormatting>
  <conditionalFormatting sqref="N5:N202">
    <cfRule type="expression" dxfId="388" priority="3">
      <formula>$N$2="-"</formula>
    </cfRule>
  </conditionalFormatting>
  <conditionalFormatting sqref="M5:M202">
    <cfRule type="expression" dxfId="387" priority="2">
      <formula>$M$2="-"</formula>
    </cfRule>
  </conditionalFormatting>
  <conditionalFormatting sqref="L5:L202">
    <cfRule type="expression" dxfId="386" priority="1">
      <formula>$L$2="-"</formula>
    </cfRule>
  </conditionalFormatting>
  <dataValidations count="7">
    <dataValidation type="textLength" allowBlank="1" showInputMessage="1" showErrorMessage="1" errorTitle="Max character limit - 100" error="You have exceeded the max characters limit!!!_x000a_" sqref="E5:E202" xr:uid="{6181B531-88AA-432A-84B0-41746A2BEDF8}">
      <formula1>0</formula1>
      <formula2>100</formula2>
    </dataValidation>
    <dataValidation type="custom" allowBlank="1" showInputMessage="1" showErrorMessage="1" error="Do not input value LESS THAN ZERO _x000a_OR_x000a_Not valid Grant Year" sqref="Q5:Q202" xr:uid="{60F44E4F-AFE1-4525-A6A8-ABEB817B8A36}">
      <formula1>AND((Q5&gt;0),($K$3&lt;&gt;""),(INT(Q5)=Q5))</formula1>
    </dataValidation>
    <dataValidation type="custom" allowBlank="1" showInputMessage="1" showErrorMessage="1" sqref="K5:N202" xr:uid="{60EF847B-3FCA-4174-8679-3FECCFA9465A}">
      <formula1>AND((K5&gt;0),($K$3&lt;&gt;""),(INT(K5)=K5))</formula1>
    </dataValidation>
    <dataValidation type="custom" allowBlank="1" showInputMessage="1" showErrorMessage="1" error="Do not input value LESS THAN ZERO _x000a_OR_x000a_Not valid Grant Year" sqref="P5:P202 R5:S202" xr:uid="{F82BA53C-84CC-4DD6-9D4B-97BBC137F893}">
      <formula1>AND((P5&gt;0),($P$3&lt;&gt;""),(INT(P5)=P5))</formula1>
    </dataValidation>
    <dataValidation type="custom" allowBlank="1" showInputMessage="1" showErrorMessage="1" error="Do not input value LESS THAN ZERO _x000a_OR_x000a_Not valid Grant Year" sqref="U5:X202" xr:uid="{B42437EA-4519-4612-8C04-D567134477BA}">
      <formula1>AND((U5&gt;0),($U$3&lt;&gt;""),(INT(U5)=U5))</formula1>
    </dataValidation>
    <dataValidation type="custom" allowBlank="1" showInputMessage="1" showErrorMessage="1" error="Do not input value LESS THAN ZERO _x000a_OR_x000a_Not valid Grant Year" sqref="Z5:AC202" xr:uid="{20679474-358A-42C3-B3A2-DF9DC573E931}">
      <formula1>AND((Z5&gt;0),($Z$3&lt;&gt;""),(INT(Z5)=Z5))</formula1>
    </dataValidation>
    <dataValidation type="custom" allowBlank="1" showInputMessage="1" showErrorMessage="1" error="Do not input value LESS THAN ZERO _x000a_OR_x000a_Not valid Grant Year" sqref="AE5:AH202" xr:uid="{FB60C9A4-0C1E-4121-92C9-7E7DF347CCDF}">
      <formula1>AND((AE5&gt;0),($AE$3&lt;&gt;""),(INT(AE5)=AE5))</formula1>
    </dataValidation>
  </dataValidation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expression" priority="20" id="{CC410139-5AB1-44B2-A703-DB86A50FA44D}">
            <xm:f>SETUP!$K$20='Master Data-C19RM'!$J$10</xm:f>
            <x14:dxf>
              <fill>
                <patternFill>
                  <bgColor rgb="FF2705D1"/>
                </patternFill>
              </fill>
            </x14:dxf>
          </x14:cfRule>
          <x14:cfRule type="expression" priority="21" id="{9CAB7996-4E01-4153-92A8-9A8FA1DBD25F}">
            <xm:f>SETUP!$K$20='Master Data-C19RM'!$J$9</xm:f>
            <x14:dxf>
              <fill>
                <patternFill>
                  <bgColor rgb="FFF75535"/>
                </patternFill>
              </fill>
            </x14:dxf>
          </x14:cfRule>
          <xm:sqref>C1:D1</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FBF39F98-EF87-4FA6-BC81-D30E9D893112}">
          <x14:formula1>
            <xm:f>IF(D203="","",_xlfn.ANCHORARRAY('Master Data'!#REF!))</xm:f>
          </x14:formula1>
          <xm:sqref>F203</xm:sqref>
        </x14:dataValidation>
        <x14:dataValidation type="list" allowBlank="1" showInputMessage="1" showErrorMessage="1" xr:uid="{BE1C88C8-7C8F-4958-9B1C-5AC88D072D7F}">
          <x14:formula1>
            <xm:f>IF(C203="","",_xlfn.ANCHORARRAY('Master Data'!#REF!))</xm:f>
          </x14:formula1>
          <xm:sqref>D203</xm:sqref>
        </x14:dataValidation>
        <x14:dataValidation type="list" allowBlank="1" showInputMessage="1" showErrorMessage="1" xr:uid="{7667CFD8-B5BA-459E-ADC4-32F88261847F}">
          <x14:formula1>
            <xm:f>IF(B203="","",_xlfn.ANCHORARRAY('Master Data'!#REF!))</xm:f>
          </x14:formula1>
          <xm:sqref>C203</xm:sqref>
        </x14:dataValidation>
        <x14:dataValidation type="list" allowBlank="1" showInputMessage="1" showErrorMessage="1" xr:uid="{68D29C0D-66CF-4AF6-BCAA-6D156D240E21}">
          <x14:formula1>
            <xm:f>_xlfn.ANCHORARRAY('Master Data'!#REF!)</xm:f>
          </x14:formula1>
          <xm:sqref>B203</xm:sqref>
        </x14:dataValidation>
        <x14:dataValidation type="list" allowBlank="1" showInputMessage="1" showErrorMessage="1" xr:uid="{5861A3DC-295D-40EE-9550-D4A6DD5195C5}">
          <x14:formula1>
            <xm:f>IF($D5="","",'Master Data-C19RM'!$AP$4:$AP$10)</xm:f>
          </x14:formula1>
          <xm:sqref>F5:F202</xm:sqref>
        </x14:dataValidation>
        <x14:dataValidation type="list" allowBlank="1" showInputMessage="1" showErrorMessage="1" xr:uid="{8CB46005-0B68-4419-A854-5C99B6D99A52}">
          <x14:formula1>
            <xm:f>'Master Data-C19RM'!$AM$4</xm:f>
          </x14:formula1>
          <xm:sqref>B5:B202</xm:sqref>
        </x14:dataValidation>
        <x14:dataValidation type="list" allowBlank="1" showInputMessage="1" showErrorMessage="1" xr:uid="{C40DB322-35EB-4C7A-A1E8-6A7BB610EE25}">
          <x14:formula1>
            <xm:f>IF($B5="","",'Master Data-C19RM'!$AN$4)</xm:f>
          </x14:formula1>
          <xm:sqref>C5:C30 C32:C202</xm:sqref>
        </x14:dataValidation>
        <x14:dataValidation type="list" allowBlank="1" showInputMessage="1" showErrorMessage="1" xr:uid="{7ABD12B1-3F90-4C03-A267-DC3CC27BDE15}">
          <x14:formula1>
            <xm:f>IF(#REF!="","",'Master Data-C19RM'!$AN$4)</xm:f>
          </x14:formula1>
          <xm:sqref>B31</xm:sqref>
        </x14:dataValidation>
        <x14:dataValidation type="list" allowBlank="1" showInputMessage="1" showErrorMessage="1" xr:uid="{A3101817-1770-431F-8648-9A66BDE69762}">
          <x14:formula1>
            <xm:f>IF($C5="","",'Master Data-C19RM'!$AO$4:$AO$9)</xm:f>
          </x14:formula1>
          <xm:sqref>D5:D30 D32:D202</xm:sqref>
        </x14:dataValidation>
        <x14:dataValidation type="list" allowBlank="1" showInputMessage="1" showErrorMessage="1" xr:uid="{EDF3C089-82F1-4FCE-9C62-10F84E018708}">
          <x14:formula1>
            <xm:f>IF($B31="","",'Master Data-C19RM'!$AO$4:$AO$9)</xm:f>
          </x14:formula1>
          <xm:sqref>D31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05FC-B839-4264-8B54-6641C8CEF1B5}">
  <dimension ref="A1:DD964"/>
  <sheetViews>
    <sheetView showGridLines="0" showZeros="0" zoomScale="60" zoomScaleNormal="60" workbookViewId="0">
      <pane xSplit="2" ySplit="4" topLeftCell="C5" activePane="bottomRight" state="frozen"/>
      <selection activeCell="I21" sqref="I21:K21"/>
      <selection pane="topRight" activeCell="I21" sqref="I21:K21"/>
      <selection pane="bottomLeft" activeCell="I21" sqref="I21:K21"/>
      <selection pane="bottomRight" activeCell="C3" sqref="C3"/>
    </sheetView>
  </sheetViews>
  <sheetFormatPr defaultColWidth="7" defaultRowHeight="14.5" zeroHeight="1" x14ac:dyDescent="0.35"/>
  <cols>
    <col min="1" max="1" width="5.6328125" customWidth="1"/>
    <col min="2" max="2" width="17.36328125" customWidth="1"/>
    <col min="3" max="3" width="14" customWidth="1"/>
    <col min="4" max="4" width="28.81640625" customWidth="1"/>
    <col min="5" max="5" width="27.6328125" customWidth="1"/>
    <col min="6" max="6" width="18.36328125" customWidth="1"/>
    <col min="7" max="7" width="34.1796875" customWidth="1"/>
    <col min="8" max="8" width="19.81640625" customWidth="1"/>
    <col min="9" max="9" width="16.6328125" customWidth="1"/>
    <col min="10" max="10" width="12.6328125" customWidth="1"/>
    <col min="11" max="11" width="14.36328125" customWidth="1"/>
    <col min="12" max="12" width="7.81640625" hidden="1" customWidth="1"/>
    <col min="13" max="13" width="11.1796875" customWidth="1"/>
    <col min="14" max="14" width="4.81640625" hidden="1" customWidth="1"/>
    <col min="15" max="15" width="5.6328125" hidden="1" customWidth="1"/>
    <col min="16" max="16" width="8.1796875" hidden="1" customWidth="1"/>
    <col min="17" max="17" width="10.54296875" customWidth="1"/>
    <col min="18" max="18" width="11.54296875" customWidth="1"/>
    <col min="19" max="19" width="10.36328125" customWidth="1"/>
    <col min="20" max="21" width="10.90625" customWidth="1"/>
    <col min="22" max="22" width="2.1796875" customWidth="1"/>
    <col min="23" max="23" width="12" hidden="1" customWidth="1"/>
    <col min="24" max="24" width="12.6328125" hidden="1" customWidth="1"/>
    <col min="25" max="25" width="11.81640625" customWidth="1"/>
    <col min="26" max="26" width="10.1796875" customWidth="1"/>
    <col min="27" max="27" width="10.54296875" customWidth="1"/>
    <col min="28" max="28" width="11.36328125" customWidth="1"/>
    <col min="29" max="29" width="9.1796875" customWidth="1"/>
    <col min="30" max="30" width="1.90625" customWidth="1"/>
    <col min="31" max="32" width="11.1796875" hidden="1" customWidth="1"/>
    <col min="33" max="33" width="10.81640625" customWidth="1"/>
    <col min="34" max="34" width="11.08984375" customWidth="1"/>
    <col min="35" max="35" width="10.6328125" customWidth="1"/>
    <col min="36" max="36" width="9.81640625" customWidth="1"/>
    <col min="37" max="37" width="12.81640625" customWidth="1"/>
    <col min="38" max="38" width="2" customWidth="1"/>
    <col min="39" max="39" width="12.1796875" hidden="1" customWidth="1"/>
    <col min="40" max="40" width="11.1796875" hidden="1" customWidth="1"/>
    <col min="41" max="41" width="11.1796875" customWidth="1"/>
    <col min="42" max="42" width="11.36328125" customWidth="1"/>
    <col min="43" max="43" width="11.453125" customWidth="1"/>
    <col min="44" max="45" width="12.1796875" customWidth="1"/>
    <col min="46" max="46" width="2.6328125" customWidth="1"/>
    <col min="47" max="47" width="12.54296875" hidden="1" customWidth="1"/>
    <col min="48" max="48" width="11.90625" hidden="1" customWidth="1"/>
    <col min="49" max="49" width="11.54296875" customWidth="1"/>
    <col min="50" max="50" width="11.08984375" customWidth="1"/>
    <col min="51" max="51" width="10.81640625" customWidth="1"/>
    <col min="52" max="52" width="11.1796875" customWidth="1"/>
    <col min="53" max="53" width="13.1796875" customWidth="1"/>
    <col min="54" max="54" width="2.1796875" customWidth="1"/>
    <col min="55" max="55" width="12.54296875" hidden="1" customWidth="1"/>
    <col min="56" max="56" width="10.54296875" hidden="1" customWidth="1"/>
    <col min="57" max="57" width="10" customWidth="1"/>
    <col min="58" max="58" width="10.90625" customWidth="1"/>
    <col min="59" max="59" width="11.08984375" customWidth="1"/>
    <col min="60" max="60" width="10.81640625" customWidth="1"/>
    <col min="61" max="61" width="10.453125" customWidth="1"/>
    <col min="62" max="62" width="2.1796875" customWidth="1"/>
    <col min="63" max="63" width="12.81640625" customWidth="1"/>
    <col min="64" max="64" width="2.81640625" customWidth="1"/>
    <col min="65" max="65" width="8.08984375" hidden="1" customWidth="1"/>
    <col min="66" max="66" width="12.1796875" hidden="1" customWidth="1"/>
    <col min="67" max="67" width="8" hidden="1" customWidth="1"/>
    <col min="68" max="68" width="11.1796875" customWidth="1"/>
    <col min="69" max="69" width="11.1796875" hidden="1" customWidth="1"/>
    <col min="70" max="70" width="7.1796875" hidden="1" customWidth="1"/>
    <col min="71" max="71" width="6.453125" hidden="1" customWidth="1"/>
    <col min="72" max="72" width="44.1796875" style="61" hidden="1" customWidth="1"/>
    <col min="73" max="73" width="9.90625" style="9" hidden="1" customWidth="1"/>
    <col min="74" max="74" width="3.36328125" hidden="1" customWidth="1"/>
    <col min="75" max="75" width="4.36328125" hidden="1" customWidth="1"/>
    <col min="76" max="76" width="7" hidden="1" customWidth="1"/>
    <col min="77" max="77" width="8" hidden="1" customWidth="1"/>
    <col min="78" max="78" width="7" hidden="1" customWidth="1"/>
    <col min="79" max="81" width="7" customWidth="1"/>
    <col min="82" max="94" width="7" hidden="1" customWidth="1"/>
    <col min="95" max="95" width="11.1796875" hidden="1" customWidth="1"/>
    <col min="96" max="108" width="0" hidden="1" customWidth="1"/>
  </cols>
  <sheetData>
    <row r="1" spans="1:95" ht="18.5" customHeight="1" x14ac:dyDescent="0.35">
      <c r="A1" s="1280"/>
      <c r="B1" s="259" t="s">
        <v>708</v>
      </c>
      <c r="C1" s="260"/>
      <c r="D1" s="261"/>
      <c r="E1" s="261"/>
      <c r="F1" s="262"/>
      <c r="G1" s="263"/>
      <c r="H1" s="264"/>
      <c r="I1" s="265"/>
      <c r="J1" s="265"/>
      <c r="K1" s="265"/>
      <c r="L1" s="265"/>
      <c r="M1" s="865"/>
      <c r="N1" s="865"/>
      <c r="O1" s="865"/>
      <c r="P1" s="865"/>
      <c r="Q1" s="862">
        <f>SUBTOTAL(109,Q6:Q74)</f>
        <v>0</v>
      </c>
      <c r="R1" s="862">
        <f>SUBTOTAL(109,R6:R74)</f>
        <v>0</v>
      </c>
      <c r="S1" s="862">
        <f>SUBTOTAL(109,S6:S74)</f>
        <v>0</v>
      </c>
      <c r="T1" s="862">
        <f>SUBTOTAL(109,T6:T74)</f>
        <v>0</v>
      </c>
      <c r="U1" s="867">
        <f>IF(D2="",SUBTOTAL(9,U6:U74),0)</f>
        <v>0</v>
      </c>
      <c r="V1" s="863"/>
      <c r="W1" s="863"/>
      <c r="X1" s="863"/>
      <c r="Y1" s="862">
        <f>SUBTOTAL(109,Y6:Y74)</f>
        <v>0</v>
      </c>
      <c r="Z1" s="862">
        <f>SUBTOTAL(109,Z6:Z74)</f>
        <v>0</v>
      </c>
      <c r="AA1" s="862">
        <f>SUBTOTAL(109,AA6:AA74)</f>
        <v>0</v>
      </c>
      <c r="AB1" s="862">
        <f>SUBTOTAL(109,AB6:AB74)</f>
        <v>0</v>
      </c>
      <c r="AC1" s="867">
        <f>IF(D2="",SUBTOTAL(9,AC6:AC93),0)</f>
        <v>0</v>
      </c>
      <c r="AD1" s="863"/>
      <c r="AE1" s="863"/>
      <c r="AF1" s="863"/>
      <c r="AG1" s="862">
        <f>SUBTOTAL(109,AG6:AG74)</f>
        <v>0</v>
      </c>
      <c r="AH1" s="862">
        <f>SUBTOTAL(109,AH6:AH74)</f>
        <v>0</v>
      </c>
      <c r="AI1" s="862">
        <f>SUBTOTAL(109,AI6:AI74)</f>
        <v>0</v>
      </c>
      <c r="AJ1" s="862">
        <f>SUBTOTAL(109,AJ6:AJ74)</f>
        <v>0</v>
      </c>
      <c r="AK1" s="862">
        <f>SUBTOTAL(109,AK6:AK74)</f>
        <v>0</v>
      </c>
      <c r="AL1" s="869"/>
      <c r="AM1" s="869"/>
      <c r="AN1" s="869"/>
      <c r="AO1" s="862">
        <f>SUBTOTAL(109,AO6:AO74)</f>
        <v>0</v>
      </c>
      <c r="AP1" s="862">
        <f>SUBTOTAL(109,AP6:AP74)</f>
        <v>0</v>
      </c>
      <c r="AQ1" s="862">
        <f>SUBTOTAL(109,AQ6:AQ74)</f>
        <v>0</v>
      </c>
      <c r="AR1" s="862">
        <f>SUBTOTAL(109,AR6:AR74)</f>
        <v>0</v>
      </c>
      <c r="AS1" s="867">
        <f>IF(D2="",SUBTOTAL(9,AS6:AS93),0)</f>
        <v>0</v>
      </c>
      <c r="AT1" s="863"/>
      <c r="AU1" s="863"/>
      <c r="AV1" s="863"/>
      <c r="AW1" s="862">
        <f>SUBTOTAL(109,AW6:AW74)</f>
        <v>0</v>
      </c>
      <c r="AX1" s="862">
        <f>SUBTOTAL(109,AX6:AX74)</f>
        <v>0</v>
      </c>
      <c r="AY1" s="862">
        <f>SUBTOTAL(109,AY6:AY74)</f>
        <v>0</v>
      </c>
      <c r="AZ1" s="862">
        <f>SUBTOTAL(109,AZ6:AZ74)</f>
        <v>0</v>
      </c>
      <c r="BA1" s="862">
        <f>SUBTOTAL(109,BA6:BA74)</f>
        <v>0</v>
      </c>
      <c r="BB1" s="869"/>
      <c r="BC1" s="869"/>
      <c r="BD1" s="869"/>
      <c r="BE1" s="862">
        <f>SUBTOTAL(109,BE6:BE74)</f>
        <v>0</v>
      </c>
      <c r="BF1" s="862">
        <f>SUBTOTAL(109,BF6:BF74)</f>
        <v>0</v>
      </c>
      <c r="BG1" s="862">
        <f>SUBTOTAL(109,BG6:BG74)</f>
        <v>0</v>
      </c>
      <c r="BH1" s="862">
        <f>SUBTOTAL(109,BH6:BH74)</f>
        <v>0</v>
      </c>
      <c r="BI1" s="862">
        <f>SUBTOTAL(109,BI6:BI74)</f>
        <v>0</v>
      </c>
      <c r="BJ1" s="869"/>
      <c r="BK1" s="862">
        <f>SUBTOTAL(109,BK6:BK74)</f>
        <v>0</v>
      </c>
      <c r="BL1" s="869"/>
      <c r="BM1" s="355"/>
      <c r="BN1" s="863">
        <f>IF(D2="",SUBTOTAL(9,BN6:BN93),"")</f>
        <v>0</v>
      </c>
      <c r="BO1" s="244"/>
      <c r="BP1" s="244"/>
      <c r="BQ1" s="244"/>
      <c r="BR1" s="253"/>
      <c r="BS1" s="245"/>
      <c r="BT1" s="275"/>
    </row>
    <row r="2" spans="1:95" ht="20" customHeight="1" x14ac:dyDescent="0.35">
      <c r="A2" s="1280"/>
      <c r="B2" s="259" t="s">
        <v>3183</v>
      </c>
      <c r="C2" s="266"/>
      <c r="D2" s="1281"/>
      <c r="E2" s="1281"/>
      <c r="F2" s="1281"/>
      <c r="G2" s="1281"/>
      <c r="H2" s="268"/>
      <c r="I2" s="269"/>
      <c r="J2" s="269"/>
      <c r="K2" s="269"/>
      <c r="L2" s="269"/>
      <c r="M2" s="267"/>
      <c r="N2" s="267"/>
      <c r="O2" s="267"/>
      <c r="P2" s="267"/>
      <c r="Q2" s="861">
        <f>SETUP!K17</f>
        <v>44197</v>
      </c>
      <c r="R2" s="861">
        <f>Q3+1</f>
        <v>44287</v>
      </c>
      <c r="S2" s="866">
        <f>R3+1</f>
        <v>44378</v>
      </c>
      <c r="T2" s="866">
        <f>S3+1</f>
        <v>44470</v>
      </c>
      <c r="U2" s="272"/>
      <c r="V2" s="864"/>
      <c r="W2" s="868"/>
      <c r="X2" s="868"/>
      <c r="Y2" s="866">
        <f>T3+1</f>
        <v>44562</v>
      </c>
      <c r="Z2" s="285">
        <f>Y3+1</f>
        <v>44652</v>
      </c>
      <c r="AA2" s="285">
        <f>Z3+1</f>
        <v>44743</v>
      </c>
      <c r="AB2" s="285">
        <f>AA3+1</f>
        <v>44835</v>
      </c>
      <c r="AC2" s="868"/>
      <c r="AD2" s="868"/>
      <c r="AE2" s="868"/>
      <c r="AF2" s="868"/>
      <c r="AG2" s="285">
        <f>AB3+1</f>
        <v>44927</v>
      </c>
      <c r="AH2" s="285">
        <f>AG3+1</f>
        <v>45017</v>
      </c>
      <c r="AI2" s="285">
        <f>AH3+1</f>
        <v>45108</v>
      </c>
      <c r="AJ2" s="285">
        <f>AI3+1</f>
        <v>45200</v>
      </c>
      <c r="AK2" s="868"/>
      <c r="AL2" s="868"/>
      <c r="AM2" s="868"/>
      <c r="AN2" s="868"/>
      <c r="AO2" s="285">
        <f>AJ3+1</f>
        <v>45292</v>
      </c>
      <c r="AP2" s="285">
        <f>AO3+1</f>
        <v>45383</v>
      </c>
      <c r="AQ2" s="285">
        <f>AP3+1</f>
        <v>45474</v>
      </c>
      <c r="AR2" s="285">
        <f>AQ3+1</f>
        <v>45566</v>
      </c>
      <c r="AS2" s="868"/>
      <c r="AT2" s="868"/>
      <c r="AU2" s="868"/>
      <c r="AV2" s="868"/>
      <c r="AW2" s="285">
        <f>AR3+1</f>
        <v>45658</v>
      </c>
      <c r="AX2" s="285">
        <f>AW3+1</f>
        <v>45748</v>
      </c>
      <c r="AY2" s="285">
        <f>AX3+1</f>
        <v>45839</v>
      </c>
      <c r="AZ2" s="285">
        <f>AY3+1</f>
        <v>45931</v>
      </c>
      <c r="BA2" s="868"/>
      <c r="BB2" s="868"/>
      <c r="BC2" s="868"/>
      <c r="BD2" s="868"/>
      <c r="BE2" s="285">
        <f>AZ3+1</f>
        <v>46023</v>
      </c>
      <c r="BF2" s="285">
        <f>BE3+1</f>
        <v>46113</v>
      </c>
      <c r="BG2" s="285">
        <f>BF3+1</f>
        <v>46204</v>
      </c>
      <c r="BH2" s="285">
        <f>BG3+1</f>
        <v>46296</v>
      </c>
      <c r="BI2" s="868"/>
      <c r="BJ2" s="868"/>
      <c r="BK2" s="868"/>
      <c r="BL2" s="868"/>
      <c r="BM2" s="246"/>
      <c r="BN2" s="247">
        <v>0</v>
      </c>
      <c r="BO2" s="245"/>
      <c r="BP2" s="245"/>
      <c r="BQ2" s="245"/>
      <c r="BR2" s="248"/>
      <c r="BS2" s="245"/>
      <c r="BT2" s="276"/>
    </row>
    <row r="3" spans="1:95" ht="21" customHeight="1" x14ac:dyDescent="0.35">
      <c r="A3" s="1280"/>
      <c r="B3" s="259" t="s">
        <v>3184</v>
      </c>
      <c r="C3" s="270"/>
      <c r="D3" s="270"/>
      <c r="E3" s="270"/>
      <c r="F3" s="271"/>
      <c r="G3" s="272"/>
      <c r="H3" s="272"/>
      <c r="I3" s="272"/>
      <c r="J3" s="272"/>
      <c r="K3" s="272"/>
      <c r="L3" s="272"/>
      <c r="M3" s="272"/>
      <c r="N3" s="272"/>
      <c r="O3" s="272"/>
      <c r="P3" s="272"/>
      <c r="Q3" s="861">
        <f>EOMONTH(Q2,2)</f>
        <v>44286</v>
      </c>
      <c r="R3" s="861">
        <f>EOMONTH(R2,2)</f>
        <v>44377</v>
      </c>
      <c r="S3" s="861">
        <f>EOMONTH(S2,2)</f>
        <v>44469</v>
      </c>
      <c r="T3" s="861">
        <f>EOMONTH(T2,2)</f>
        <v>44561</v>
      </c>
      <c r="U3" s="272"/>
      <c r="V3" s="864"/>
      <c r="W3" s="868"/>
      <c r="X3" s="868"/>
      <c r="Y3" s="861">
        <f>EOMONTH(Y2,2)</f>
        <v>44651</v>
      </c>
      <c r="Z3" s="861">
        <f>EOMONTH(Z2,2)</f>
        <v>44742</v>
      </c>
      <c r="AA3" s="861">
        <f>EOMONTH(AA2,2)</f>
        <v>44834</v>
      </c>
      <c r="AB3" s="861">
        <f>EOMONTH(AB2,2)</f>
        <v>44926</v>
      </c>
      <c r="AC3" s="868"/>
      <c r="AD3" s="868"/>
      <c r="AE3" s="868"/>
      <c r="AF3" s="868"/>
      <c r="AG3" s="861">
        <f>EOMONTH(AG2,2)</f>
        <v>45016</v>
      </c>
      <c r="AH3" s="861">
        <f>EOMONTH(AH2,2)</f>
        <v>45107</v>
      </c>
      <c r="AI3" s="861">
        <f>EOMONTH(AI2,2)</f>
        <v>45199</v>
      </c>
      <c r="AJ3" s="861">
        <f>EOMONTH(AJ2,2)</f>
        <v>45291</v>
      </c>
      <c r="AK3" s="868"/>
      <c r="AL3" s="868"/>
      <c r="AM3" s="868"/>
      <c r="AN3" s="868"/>
      <c r="AO3" s="861">
        <f>EOMONTH(AO2,2)</f>
        <v>45382</v>
      </c>
      <c r="AP3" s="861">
        <f>EOMONTH(AP2,2)</f>
        <v>45473</v>
      </c>
      <c r="AQ3" s="861">
        <f>EOMONTH(AQ2,2)</f>
        <v>45565</v>
      </c>
      <c r="AR3" s="861">
        <f>EOMONTH(AR2,2)</f>
        <v>45657</v>
      </c>
      <c r="AS3" s="868"/>
      <c r="AT3" s="868"/>
      <c r="AU3" s="868"/>
      <c r="AV3" s="868"/>
      <c r="AW3" s="861">
        <f>EOMONTH(AW2,2)</f>
        <v>45747</v>
      </c>
      <c r="AX3" s="861">
        <f>EOMONTH(AX2,2)</f>
        <v>45838</v>
      </c>
      <c r="AY3" s="861">
        <f>EOMONTH(AY2,2)</f>
        <v>45930</v>
      </c>
      <c r="AZ3" s="861">
        <f>EOMONTH(AZ2,2)</f>
        <v>46022</v>
      </c>
      <c r="BA3" s="868"/>
      <c r="BB3" s="868"/>
      <c r="BC3" s="868"/>
      <c r="BD3" s="868"/>
      <c r="BE3" s="861">
        <f>EOMONTH(BE2,2)</f>
        <v>46112</v>
      </c>
      <c r="BF3" s="861">
        <f>EOMONTH(BF2,2)</f>
        <v>46203</v>
      </c>
      <c r="BG3" s="861">
        <f>EOMONTH(BG2,2)</f>
        <v>46295</v>
      </c>
      <c r="BH3" s="861">
        <f>EOMONTH(BH2,2)</f>
        <v>46387</v>
      </c>
      <c r="BI3" s="868"/>
      <c r="BJ3" s="868"/>
      <c r="BK3" s="868"/>
      <c r="BL3" s="868"/>
      <c r="BM3" s="249"/>
      <c r="BN3" s="250"/>
      <c r="BO3" s="245"/>
      <c r="BP3" s="245"/>
      <c r="BQ3" s="245" t="s">
        <v>1969</v>
      </c>
      <c r="BR3" s="248"/>
      <c r="BS3" s="245"/>
      <c r="BT3" s="276"/>
    </row>
    <row r="4" spans="1:95" ht="35" customHeight="1" x14ac:dyDescent="0.35">
      <c r="A4" s="365" t="s">
        <v>709</v>
      </c>
      <c r="B4" s="273" t="s">
        <v>710</v>
      </c>
      <c r="C4" s="273" t="s">
        <v>614</v>
      </c>
      <c r="D4" s="273" t="s">
        <v>615</v>
      </c>
      <c r="E4" s="273" t="s">
        <v>3167</v>
      </c>
      <c r="F4" s="273" t="s">
        <v>616</v>
      </c>
      <c r="G4" s="273" t="s">
        <v>706</v>
      </c>
      <c r="H4" s="273" t="s">
        <v>3168</v>
      </c>
      <c r="I4" s="273" t="s">
        <v>660</v>
      </c>
      <c r="J4" s="273" t="s">
        <v>700</v>
      </c>
      <c r="K4" s="273" t="s">
        <v>3169</v>
      </c>
      <c r="L4" s="273" t="s">
        <v>3170</v>
      </c>
      <c r="M4" s="273" t="s">
        <v>64</v>
      </c>
      <c r="N4" s="273" t="s">
        <v>172</v>
      </c>
      <c r="O4" s="273" t="s">
        <v>3171</v>
      </c>
      <c r="P4" s="273" t="s">
        <v>3172</v>
      </c>
      <c r="Q4" s="273" t="s">
        <v>3087</v>
      </c>
      <c r="R4" s="273" t="s">
        <v>3088</v>
      </c>
      <c r="S4" s="273" t="s">
        <v>3089</v>
      </c>
      <c r="T4" s="273" t="s">
        <v>3090</v>
      </c>
      <c r="U4" s="273" t="s">
        <v>701</v>
      </c>
      <c r="V4" s="865"/>
      <c r="W4" s="273" t="s">
        <v>3173</v>
      </c>
      <c r="X4" s="273" t="s">
        <v>3174</v>
      </c>
      <c r="Y4" s="273" t="s">
        <v>3091</v>
      </c>
      <c r="Z4" s="273" t="s">
        <v>3092</v>
      </c>
      <c r="AA4" s="273" t="s">
        <v>3093</v>
      </c>
      <c r="AB4" s="273" t="s">
        <v>3094</v>
      </c>
      <c r="AC4" s="273" t="s">
        <v>702</v>
      </c>
      <c r="AD4" s="865"/>
      <c r="AE4" s="273" t="s">
        <v>3175</v>
      </c>
      <c r="AF4" s="273" t="s">
        <v>3176</v>
      </c>
      <c r="AG4" s="273" t="s">
        <v>3095</v>
      </c>
      <c r="AH4" s="273" t="s">
        <v>3096</v>
      </c>
      <c r="AI4" s="273" t="s">
        <v>3097</v>
      </c>
      <c r="AJ4" s="273" t="s">
        <v>3098</v>
      </c>
      <c r="AK4" s="426" t="s">
        <v>703</v>
      </c>
      <c r="AL4" s="870"/>
      <c r="AM4" s="426" t="s">
        <v>3177</v>
      </c>
      <c r="AN4" s="426" t="s">
        <v>3178</v>
      </c>
      <c r="AO4" s="273" t="s">
        <v>3099</v>
      </c>
      <c r="AP4" s="273" t="s">
        <v>3100</v>
      </c>
      <c r="AQ4" s="273" t="s">
        <v>3101</v>
      </c>
      <c r="AR4" s="273" t="s">
        <v>3102</v>
      </c>
      <c r="AS4" s="273" t="s">
        <v>704</v>
      </c>
      <c r="AT4" s="865"/>
      <c r="AU4" s="273" t="s">
        <v>3179</v>
      </c>
      <c r="AV4" s="273" t="s">
        <v>3180</v>
      </c>
      <c r="AW4" s="273" t="s">
        <v>3103</v>
      </c>
      <c r="AX4" s="273" t="s">
        <v>3104</v>
      </c>
      <c r="AY4" s="273" t="s">
        <v>3105</v>
      </c>
      <c r="AZ4" s="273" t="s">
        <v>3106</v>
      </c>
      <c r="BA4" s="273" t="s">
        <v>3048</v>
      </c>
      <c r="BB4" s="865"/>
      <c r="BC4" s="273" t="s">
        <v>3181</v>
      </c>
      <c r="BD4" s="273" t="s">
        <v>3182</v>
      </c>
      <c r="BE4" s="273" t="s">
        <v>3107</v>
      </c>
      <c r="BF4" s="273" t="s">
        <v>3108</v>
      </c>
      <c r="BG4" s="273" t="s">
        <v>3109</v>
      </c>
      <c r="BH4" s="273" t="s">
        <v>3110</v>
      </c>
      <c r="BI4" s="273" t="s">
        <v>3049</v>
      </c>
      <c r="BJ4" s="865"/>
      <c r="BK4" s="273" t="s">
        <v>3185</v>
      </c>
      <c r="BL4" s="865"/>
      <c r="BM4" s="273" t="s">
        <v>1993</v>
      </c>
      <c r="BN4" s="252" t="s">
        <v>1999</v>
      </c>
      <c r="BO4" s="273" t="s">
        <v>1994</v>
      </c>
      <c r="BP4" s="251" t="s">
        <v>711</v>
      </c>
      <c r="BQ4" s="254" t="s">
        <v>712</v>
      </c>
      <c r="BR4" s="254" t="s">
        <v>562</v>
      </c>
      <c r="BS4" s="251" t="s">
        <v>4</v>
      </c>
      <c r="BT4" s="251" t="s">
        <v>736</v>
      </c>
      <c r="BU4" s="349"/>
      <c r="CG4" s="409" t="str">
        <f ca="1">IF(CI6&lt;&gt;"",CI6,IF(CI7&lt;&gt;"",CI7,IF(CI8&lt;&gt;"",CI8,IF(CI9&lt;&gt;"",CI9,""))))</f>
        <v>Data Entry error in SETUP Sheet, Pls correct to see TOTAL GRANT VALUE</v>
      </c>
      <c r="CQ4" s="596"/>
    </row>
    <row r="5" spans="1:95" ht="0.5" customHeight="1" x14ac:dyDescent="0.35">
      <c r="A5" s="365" t="s">
        <v>709</v>
      </c>
      <c r="B5" s="365" t="s">
        <v>710</v>
      </c>
      <c r="C5" s="365" t="s">
        <v>614</v>
      </c>
      <c r="D5" s="365" t="s">
        <v>615</v>
      </c>
      <c r="E5" s="365" t="s">
        <v>3167</v>
      </c>
      <c r="F5" s="365" t="s">
        <v>616</v>
      </c>
      <c r="G5" s="365" t="s">
        <v>706</v>
      </c>
      <c r="H5" s="365" t="s">
        <v>3168</v>
      </c>
      <c r="I5" s="365" t="s">
        <v>660</v>
      </c>
      <c r="J5" s="365" t="s">
        <v>700</v>
      </c>
      <c r="K5" s="365" t="s">
        <v>3169</v>
      </c>
      <c r="L5" s="365" t="s">
        <v>3170</v>
      </c>
      <c r="M5" s="365" t="s">
        <v>64</v>
      </c>
      <c r="N5" s="365" t="s">
        <v>172</v>
      </c>
      <c r="O5" s="365" t="s">
        <v>3171</v>
      </c>
      <c r="P5" s="365" t="s">
        <v>3172</v>
      </c>
      <c r="Q5" s="365" t="s">
        <v>3087</v>
      </c>
      <c r="R5" s="365" t="s">
        <v>3088</v>
      </c>
      <c r="S5" s="365" t="s">
        <v>3089</v>
      </c>
      <c r="T5" s="365" t="s">
        <v>3090</v>
      </c>
      <c r="U5" s="365" t="s">
        <v>701</v>
      </c>
      <c r="V5" s="865" t="s">
        <v>3186</v>
      </c>
      <c r="W5" s="273" t="s">
        <v>3173</v>
      </c>
      <c r="X5" s="273" t="s">
        <v>3174</v>
      </c>
      <c r="Y5" s="273" t="s">
        <v>3091</v>
      </c>
      <c r="Z5" s="273" t="s">
        <v>3092</v>
      </c>
      <c r="AA5" s="273" t="s">
        <v>3093</v>
      </c>
      <c r="AB5" s="273" t="s">
        <v>3094</v>
      </c>
      <c r="AC5" s="273" t="s">
        <v>702</v>
      </c>
      <c r="AD5" s="865" t="s">
        <v>3187</v>
      </c>
      <c r="AE5" s="273" t="s">
        <v>3175</v>
      </c>
      <c r="AF5" s="273" t="s">
        <v>3176</v>
      </c>
      <c r="AG5" s="273" t="s">
        <v>3095</v>
      </c>
      <c r="AH5" s="273" t="s">
        <v>3096</v>
      </c>
      <c r="AI5" s="273" t="s">
        <v>3097</v>
      </c>
      <c r="AJ5" s="273" t="s">
        <v>3098</v>
      </c>
      <c r="AK5" s="273" t="s">
        <v>703</v>
      </c>
      <c r="AL5" s="870" t="s">
        <v>3188</v>
      </c>
      <c r="AM5" s="426" t="s">
        <v>3177</v>
      </c>
      <c r="AN5" s="426" t="s">
        <v>3178</v>
      </c>
      <c r="AO5" s="426" t="s">
        <v>3099</v>
      </c>
      <c r="AP5" s="426" t="s">
        <v>3100</v>
      </c>
      <c r="AQ5" s="426" t="s">
        <v>3101</v>
      </c>
      <c r="AR5" s="426" t="s">
        <v>3102</v>
      </c>
      <c r="AS5" s="426" t="s">
        <v>704</v>
      </c>
      <c r="AT5" s="865" t="s">
        <v>3189</v>
      </c>
      <c r="AU5" s="273" t="s">
        <v>3179</v>
      </c>
      <c r="AV5" s="273" t="s">
        <v>3180</v>
      </c>
      <c r="AW5" s="273" t="s">
        <v>3103</v>
      </c>
      <c r="AX5" s="273" t="s">
        <v>3104</v>
      </c>
      <c r="AY5" s="273" t="s">
        <v>3105</v>
      </c>
      <c r="AZ5" s="273" t="s">
        <v>3106</v>
      </c>
      <c r="BA5" s="273" t="s">
        <v>3048</v>
      </c>
      <c r="BB5" s="865" t="s">
        <v>3190</v>
      </c>
      <c r="BC5" s="273" t="s">
        <v>3181</v>
      </c>
      <c r="BD5" s="273" t="s">
        <v>3182</v>
      </c>
      <c r="BE5" s="273" t="s">
        <v>3107</v>
      </c>
      <c r="BF5" s="273" t="s">
        <v>3108</v>
      </c>
      <c r="BG5" s="273" t="s">
        <v>3109</v>
      </c>
      <c r="BH5" s="273" t="s">
        <v>3110</v>
      </c>
      <c r="BI5" s="273" t="s">
        <v>3049</v>
      </c>
      <c r="BJ5" s="865" t="s">
        <v>3191</v>
      </c>
      <c r="BK5" s="273" t="s">
        <v>3185</v>
      </c>
      <c r="BL5" s="865"/>
      <c r="BM5" s="273"/>
      <c r="BN5" s="252"/>
      <c r="BO5" s="273"/>
      <c r="BP5" s="251"/>
      <c r="BQ5" s="254"/>
      <c r="BR5" s="254"/>
      <c r="BS5" s="251"/>
      <c r="BT5" s="251"/>
      <c r="BU5" s="349"/>
      <c r="CG5" s="409"/>
      <c r="CI5" t="s">
        <v>3667</v>
      </c>
      <c r="CQ5" s="596"/>
    </row>
    <row r="6" spans="1:95" ht="87" x14ac:dyDescent="0.35">
      <c r="A6" s="364"/>
      <c r="B6" s="363" t="str">
        <f>PMsheet!$AH$94&amp;'Detailed BudgetC19RM'!BU6</f>
        <v>000P23HP1101</v>
      </c>
      <c r="C6" s="315" t="s">
        <v>2749</v>
      </c>
      <c r="D6" s="315" t="s">
        <v>3111</v>
      </c>
      <c r="E6" s="261" t="s">
        <v>3112</v>
      </c>
      <c r="F6" s="314" t="s">
        <v>3113</v>
      </c>
      <c r="G6" s="315">
        <f ca="1">SETUP!$T$2</f>
        <v>0</v>
      </c>
      <c r="H6" s="315" t="str">
        <f>IF(SETUP!$E$3="","","National/Country Level")</f>
        <v/>
      </c>
      <c r="I6" s="315" t="str">
        <f>IFERROR(IF(INDEX('Master Data-C19RM'!$E$8:$E$18,MATCH((INDEX(SETUP!$E$20:$E$67,MATCH('Detailed BudgetC19RM'!BQ6,SETUP!$D$20:$D$67,0))),'Master Data-C19RM'!$D$8:$D$18,0))="Implementer's name",SETUP!$J$5,INDEX('Master Data-C19RM'!$E$8:$E$18,MATCH((INDEX(SETUP!$E$20:$E$34,MATCH('Detailed BudgetC19RM'!BQ6,SETUP!$D$20:$D$34,0))),'Master Data-C19RM'!$D$8:$D$18,0))),"Pls select HPMT Category in ' BQ ' column")</f>
        <v>Not Applicable</v>
      </c>
      <c r="J6" s="315" t="s">
        <v>707</v>
      </c>
      <c r="K6" s="315">
        <f t="shared" ref="K6:K37" si="0">GRAN_NO</f>
        <v>0</v>
      </c>
      <c r="L6" s="315"/>
      <c r="M6" s="315">
        <f>SETUP!$E$7</f>
        <v>0</v>
      </c>
      <c r="N6" s="315"/>
      <c r="O6" s="315"/>
      <c r="P6" s="315"/>
      <c r="Q6" s="917" cm="1">
        <f t="array" ref="Q6">(SUMPRODUCT(('Cashflow Summary C19RM'!$B$5:$B$200="C19RM 2021-Pharma")*('Cashflow Summary C19RM'!$A$5:$A$200=1)*(('Cashflow Summary C19RM'!$E$5:$E$200="COVID Novel Medicines"))*('Cashflow Summary C19RM'!$R$5:$R$200)))</f>
        <v>0</v>
      </c>
      <c r="R6" s="917" cm="1">
        <f t="array" ref="R6">(SUMPRODUCT(('Cashflow Summary C19RM'!$B$5:$B$200="C19RM 2021-Pharma")*('Cashflow Summary C19RM'!$A$5:$A$200=1)*(('Cashflow Summary C19RM'!$E$5:$E$200="COVID Novel Medicines"))*('Cashflow Summary C19RM'!$S$5:$S$200)))</f>
        <v>0</v>
      </c>
      <c r="S6" s="917" cm="1">
        <f t="array" ref="S6">(SUMPRODUCT(('Cashflow Summary C19RM'!$B$5:$B$200="C19RM 2021-Pharma")*('Cashflow Summary C19RM'!$A$5:$A$200=1)*(('Cashflow Summary C19RM'!$E$5:$E$200="COVID Novel Medicines"))*('Cashflow Summary C19RM'!$T$5:$T$200)))</f>
        <v>0</v>
      </c>
      <c r="T6" s="917" cm="1">
        <f t="array" ref="T6">(SUMPRODUCT(('Cashflow Summary C19RM'!$B$5:$B$200="C19RM 2021-Pharma")*('Cashflow Summary C19RM'!$A$5:$A$200=1)*(('Cashflow Summary C19RM'!$E$5:$E$200="COVID Novel Medicines"))*('Cashflow Summary C19RM'!$U$5:$U$200)))</f>
        <v>0</v>
      </c>
      <c r="U6" s="948">
        <f>SUM(Q6:T6)</f>
        <v>0</v>
      </c>
      <c r="V6" s="424"/>
      <c r="W6" s="424"/>
      <c r="X6" s="424"/>
      <c r="Y6" s="424" cm="1">
        <f t="array" ref="Y6">(SUMPRODUCT(('Cashflow Summary C19RM'!$B$5:$B$200="C19RM 2021-Pharma")*('Cashflow Summary C19RM'!$A$5:$A$200=1)*(('Cashflow Summary C19RM'!$E$5:$E$200="COVID Novel Medicines"))*('Cashflow Summary C19RM'!$V$5:$V$200)))</f>
        <v>0</v>
      </c>
      <c r="Z6" s="424" cm="1">
        <f t="array" ref="Z6">(SUMPRODUCT(('Cashflow Summary C19RM'!$B$5:$B$200="C19RM 2021-Pharma")*('Cashflow Summary C19RM'!$A$5:$A$200=1)*(('Cashflow Summary C19RM'!$E$5:$E$200="COVID Novel Medicines"))*('Cashflow Summary C19RM'!$W$5:$W$200)))</f>
        <v>0</v>
      </c>
      <c r="AA6" s="424" cm="1">
        <f t="array" ref="AA6">(SUMPRODUCT(('Cashflow Summary C19RM'!$B$5:$B$200="C19RM 2021-Pharma")*('Cashflow Summary C19RM'!$A$5:$A$200=1)*(('Cashflow Summary C19RM'!$E$5:$E$200="COVID Novel Medicines"))*('Cashflow Summary C19RM'!$X$5:$X$200)))</f>
        <v>0</v>
      </c>
      <c r="AB6" s="424" cm="1">
        <f t="array" ref="AB6">(SUMPRODUCT(('Cashflow Summary C19RM'!$B$5:$B$200="C19RM 2021-Pharma")*('Cashflow Summary C19RM'!$A$5:$A$200=1)*(('Cashflow Summary C19RM'!$E$5:$E$200="COVID Novel Medicines"))*('Cashflow Summary C19RM'!$Y$5:$Y$200)))</f>
        <v>0</v>
      </c>
      <c r="AC6" s="424">
        <f>SUM(Y6:AB6)</f>
        <v>0</v>
      </c>
      <c r="AD6" s="424"/>
      <c r="AE6" s="424"/>
      <c r="AF6" s="424"/>
      <c r="AG6" s="424" cm="1">
        <f t="array" ref="AG6">(SUMPRODUCT(('Cashflow Summary C19RM'!$B$5:$B$200="C19RM 2021-Pharma")*('Cashflow Summary C19RM'!$A$5:$A$200=1)*(('Cashflow Summary C19RM'!$E$5:$E$200="COVID Novel Medicines"))*('Cashflow Summary C19RM'!$Z$5:$Z$200)))</f>
        <v>0</v>
      </c>
      <c r="AH6" s="424" cm="1">
        <f t="array" ref="AH6">(SUMPRODUCT(('Cashflow Summary C19RM'!$B$5:$B$200="C19RM 2021-Pharma")*('Cashflow Summary C19RM'!$A$5:$A$200=1)*(('Cashflow Summary C19RM'!$E$5:$E$200="COVID Novel Medicines"))*('Cashflow Summary C19RM'!$AA$5:$AA$200)))</f>
        <v>0</v>
      </c>
      <c r="AI6" s="424" cm="1">
        <f t="array" ref="AI6">(SUMPRODUCT(('Cashflow Summary C19RM'!$B$5:$B$200="C19RM 2021-Pharma")*('Cashflow Summary C19RM'!$A$5:$A$200=1)*(('Cashflow Summary C19RM'!$E$5:$E$200="COVID Novel Medicines"))*('Cashflow Summary C19RM'!$AB$5:$AB$200)))</f>
        <v>0</v>
      </c>
      <c r="AJ6" s="424" cm="1">
        <f t="array" ref="AJ6">(SUMPRODUCT(('Cashflow Summary C19RM'!$B$5:$B$200="C19RM 2021-Pharma")*('Cashflow Summary C19RM'!$A$5:$A$200=1)*(('Cashflow Summary C19RM'!$E$5:$E$200="COVID Novel Medicines"))*('Cashflow Summary C19RM'!$AC$5:$AC$200)))</f>
        <v>0</v>
      </c>
      <c r="AK6" s="424">
        <f>SUM(AG6:AJ6)</f>
        <v>0</v>
      </c>
      <c r="AL6" s="424"/>
      <c r="AM6" s="424"/>
      <c r="AN6" s="424"/>
      <c r="AO6" s="424" cm="1">
        <f t="array" ref="AO6">(SUMPRODUCT(('Cashflow Summary C19RM'!$B$5:$B$200="C19RM 2021-Pharma")*('Cashflow Summary C19RM'!$A$5:$A$200=1)*(('Cashflow Summary C19RM'!$E$5:$E$200="COVID Novel Medicines"))*('Cashflow Summary C19RM'!$AD$5:$AD$200)))</f>
        <v>0</v>
      </c>
      <c r="AP6" s="424" cm="1">
        <f t="array" ref="AP6">(SUMPRODUCT(('Cashflow Summary C19RM'!$B$5:$B$200="C19RM 2021-Pharma")*('Cashflow Summary C19RM'!$A$5:$A$200=1)*(('Cashflow Summary C19RM'!$E$5:$E$200="COVID Novel Medicines"))*('Cashflow Summary C19RM'!$AE$5:$AE$200)))</f>
        <v>0</v>
      </c>
      <c r="AQ6" s="424" cm="1">
        <f t="array" ref="AQ6">(SUMPRODUCT(('Cashflow Summary C19RM'!$B$5:$B$200="C19RM 2021-Pharma")*('Cashflow Summary C19RM'!$A$5:$A$200=1)*(('Cashflow Summary C19RM'!$E$5:$E$200="COVID Novel Medicines"))*('Cashflow Summary C19RM'!$AF$5:$AF$200)))</f>
        <v>0</v>
      </c>
      <c r="AR6" s="424" cm="1">
        <f t="array" ref="AR6">(SUMPRODUCT(('Cashflow Summary C19RM'!$B$5:$B$200="C19RM 2021-Pharma")*('Cashflow Summary C19RM'!$A$5:$A$200=1)*(('Cashflow Summary C19RM'!$E$5:$E$200="COVID Novel Medicines"))*('Cashflow Summary C19RM'!$AG$5:$AG$200)))</f>
        <v>0</v>
      </c>
      <c r="AS6" s="424">
        <f>SUM(AO6:AR6)</f>
        <v>0</v>
      </c>
      <c r="AT6" s="424"/>
      <c r="AU6" s="424"/>
      <c r="AV6" s="424"/>
      <c r="AW6" s="424" cm="1">
        <f t="array" ref="AW6">(SUMPRODUCT(('Cashflow Summary C19RM'!$B$5:$B$200="C19RM 2021-Pharma")*('Cashflow Summary C19RM'!$A$5:$A$200=1)*(('Cashflow Summary C19RM'!$E$5:$E$200="COVID Novel Medicines"))*('Cashflow Summary C19RM'!$AH$5:$AH$200)))</f>
        <v>0</v>
      </c>
      <c r="AX6" s="424" cm="1">
        <f t="array" ref="AX6">(SUMPRODUCT(('Cashflow Summary C19RM'!$B$5:$B$200="C19RM 2021-Pharma")*('Cashflow Summary C19RM'!$A$5:$A$200=1)*(('Cashflow Summary C19RM'!$E$5:$E$200="COVID Novel Medicines"))*('Cashflow Summary C19RM'!$AI$5:$AI$200)))</f>
        <v>0</v>
      </c>
      <c r="AY6" s="424" cm="1">
        <f t="array" ref="AY6">(SUMPRODUCT(('Cashflow Summary C19RM'!$B$5:$B$200="C19RM 2021-Pharma")*('Cashflow Summary C19RM'!$A$5:$A$200=1)*(('Cashflow Summary C19RM'!$E$5:$E$200="COVID Novel Medicines"))*('Cashflow Summary C19RM'!$AJ$5:$AJ$200)))</f>
        <v>0</v>
      </c>
      <c r="AZ6" s="424" cm="1">
        <f t="array" ref="AZ6">(SUMPRODUCT(('Cashflow Summary C19RM'!$B$5:$B$200="C19RM 2021-Pharma")*('Cashflow Summary C19RM'!$A$5:$A$200=1)*(('Cashflow Summary C19RM'!$E$5:$E$200="COVID Novel Medicines"))*('Cashflow Summary C19RM'!$AK$5:$AK$200)))</f>
        <v>0</v>
      </c>
      <c r="BA6" s="424">
        <f>SUM(AW6:AZ6)</f>
        <v>0</v>
      </c>
      <c r="BB6" s="424"/>
      <c r="BC6" s="424"/>
      <c r="BD6" s="424"/>
      <c r="BE6" s="424" cm="1">
        <f t="array" ref="BE6">(SUMPRODUCT(('Cashflow Summary C19RM'!$B$5:$B$200="C19RM 2021-Pharma")*('Cashflow Summary C19RM'!$A$5:$A$200=1)*(('Cashflow Summary C19RM'!$E$5:$E$200="COVID Novel Medicines"))*('Cashflow Summary C19RM'!$AL$5:$AL$200)))</f>
        <v>0</v>
      </c>
      <c r="BF6" s="424" cm="1">
        <f t="array" ref="BF6">(SUMPRODUCT(('Cashflow Summary C19RM'!$B$5:$B$200="C19RM 2021-Pharma")*('Cashflow Summary C19RM'!$A$5:$A$200=1)*(('Cashflow Summary C19RM'!$E$5:$E$200="COVID Novel Medicines"))*('Cashflow Summary C19RM'!$AM$5:$AM$200)))</f>
        <v>0</v>
      </c>
      <c r="BG6" s="424" cm="1">
        <f t="array" ref="BG6">(SUMPRODUCT(('Cashflow Summary C19RM'!$B$5:$B$200="C19RM 2021-Pharma")*('Cashflow Summary C19RM'!$A$5:$A$200=1)*(('Cashflow Summary C19RM'!$E$5:$E$200="COVID Novel Medicines"))*('Cashflow Summary C19RM'!$AN$5:$AN$200)))</f>
        <v>0</v>
      </c>
      <c r="BH6" s="424" cm="1">
        <f t="array" ref="BH6">(SUMPRODUCT(('Cashflow Summary C19RM'!$B$5:$B$200="C19RM 2021-Pharma")*('Cashflow Summary C19RM'!$A$5:$A$200=1)*(('Cashflow Summary C19RM'!$E$5:$E$200="COVID Novel Medicines"))*('Cashflow Summary C19RM'!$AO$5:$AO$200)))</f>
        <v>0</v>
      </c>
      <c r="BI6" s="424">
        <f>SUM(BE6:BH6)</f>
        <v>0</v>
      </c>
      <c r="BJ6" s="424"/>
      <c r="BK6" s="424">
        <f>SUM($U6,$AC6,$AK6,$AS6,$BA6,$BI6)</f>
        <v>0</v>
      </c>
      <c r="BL6" s="424"/>
      <c r="BM6" s="142"/>
      <c r="BN6" s="425"/>
      <c r="BP6" s="274" t="str">
        <f t="shared" ref="BP6:BP37" si="1">IF(BK6&gt;0,"Yes","No")</f>
        <v>No</v>
      </c>
      <c r="BQ6" t="s">
        <v>32</v>
      </c>
      <c r="BS6" s="286" t="s">
        <v>83</v>
      </c>
      <c r="BT6" s="419" t="s">
        <v>3313</v>
      </c>
      <c r="BU6" s="411" t="s">
        <v>3592</v>
      </c>
      <c r="CG6" t="s">
        <v>3665</v>
      </c>
      <c r="CH6" t="str">
        <f ca="1">SETUP!E2</f>
        <v>Data Missing, please refer to the cell highlighted in red color</v>
      </c>
      <c r="CI6" t="str">
        <f ca="1">IF(CH6="","","Data Entry error in "&amp;CG6&amp;" Sheet, Pls correct to see TOTAL GRANT VALUE")</f>
        <v>Data Entry error in SETUP Sheet, Pls correct to see TOTAL GRANT VALUE</v>
      </c>
    </row>
    <row r="7" spans="1:95" ht="54" customHeight="1" x14ac:dyDescent="0.35">
      <c r="A7" s="364"/>
      <c r="B7" s="363" t="str">
        <f>PMsheet!$AH$94&amp;'Detailed BudgetC19RM'!BU7</f>
        <v>000P23HP1102</v>
      </c>
      <c r="C7" s="315" t="s">
        <v>2749</v>
      </c>
      <c r="D7" s="315" t="s">
        <v>3111</v>
      </c>
      <c r="E7" s="261" t="s">
        <v>3114</v>
      </c>
      <c r="F7" s="314" t="s">
        <v>3115</v>
      </c>
      <c r="G7" s="315">
        <f ca="1">SETUP!$T$2</f>
        <v>0</v>
      </c>
      <c r="H7" s="315" t="str">
        <f>IF(SETUP!$E$3="","","National/Country Level")</f>
        <v/>
      </c>
      <c r="I7" s="315" t="str">
        <f>IFERROR(IF(INDEX('Master Data-C19RM'!$E$8:$E$18,MATCH((INDEX(SETUP!$E$20:$E$34,MATCH('Detailed BudgetC19RM'!BQ7,SETUP!$D$20:$D$34,0))),'Master Data-C19RM'!$D$8:$D$18,0))="Implementer's name",SETUP!$J$5,INDEX('Master Data-C19RM'!$E$8:$E$18,MATCH((INDEX(SETUP!$E$20:$E$34,MATCH('Detailed BudgetC19RM'!BQ7,SETUP!$D$20:$D$34,0))),'Master Data-C19RM'!$D$8:$D$18,0))),"Pls select HPMT Category in ' BQ ' column")</f>
        <v>Not Applicable</v>
      </c>
      <c r="J7" s="315" t="s">
        <v>707</v>
      </c>
      <c r="K7" s="315">
        <f t="shared" si="0"/>
        <v>0</v>
      </c>
      <c r="L7" s="315"/>
      <c r="M7" s="315">
        <f>SETUP!$E$7</f>
        <v>0</v>
      </c>
      <c r="N7" s="315"/>
      <c r="O7" s="315"/>
      <c r="P7" s="315"/>
      <c r="Q7" s="917" cm="1">
        <f t="array" ref="Q7">(SUMPRODUCT(('Cashflow Summary C19RM'!$B$5:$B$200="C19RM 2021-Pharma")*('Cashflow Summary C19RM'!$A$5:$A$200=1)*(('Cashflow Summary C19RM'!$E$5:$E$200="COVID Existing/Repurposed Medicines"))*('Cashflow Summary C19RM'!$R$5:$R$200)))</f>
        <v>0</v>
      </c>
      <c r="R7" s="917" cm="1">
        <f t="array" ref="R7">(SUMPRODUCT(('Cashflow Summary C19RM'!$B$5:$B$200="C19RM 2021-Pharma")*('Cashflow Summary C19RM'!$A$5:$A$200=1)*(('Cashflow Summary C19RM'!$E$5:$E$200="COVID Existing/Repurposed Medicines"))*('Cashflow Summary C19RM'!$S$5:$S$200)))</f>
        <v>0</v>
      </c>
      <c r="S7" s="917" cm="1">
        <f t="array" ref="S7">(SUMPRODUCT(('Cashflow Summary C19RM'!$B$5:$B$200="C19RM 2021-Pharma")*('Cashflow Summary C19RM'!$A$5:$A$200=1)*(('Cashflow Summary C19RM'!$E$5:$E$200="COVID Existing/Repurposed Medicines"))*('Cashflow Summary C19RM'!$T$5:$T$200)))</f>
        <v>0</v>
      </c>
      <c r="T7" s="917" cm="1">
        <f t="array" ref="T7">(SUMPRODUCT(('Cashflow Summary C19RM'!$B$5:$B$200="C19RM 2021-Pharma")*('Cashflow Summary C19RM'!$A$5:$A$200=1)*(('Cashflow Summary C19RM'!$E$5:$E$200="COVID Existing/Repurposed Medicines"))*('Cashflow Summary C19RM'!$U$5:$U$200)))</f>
        <v>0</v>
      </c>
      <c r="U7" s="948">
        <f t="shared" ref="U7:U70" si="2">SUM(Q7:T7)</f>
        <v>0</v>
      </c>
      <c r="V7" s="424"/>
      <c r="W7" s="424"/>
      <c r="X7" s="424"/>
      <c r="Y7" s="424" cm="1">
        <f t="array" ref="Y7">(SUMPRODUCT(('Cashflow Summary C19RM'!$B$5:$B$200="C19RM 2021-Pharma")*('Cashflow Summary C19RM'!$A$5:$A$200=1)*(('Cashflow Summary C19RM'!$E$5:$E$200="COVID Existing/Repurposed Medicines"))*('Cashflow Summary C19RM'!$V$5:$V$200)))</f>
        <v>0</v>
      </c>
      <c r="Z7" s="424" cm="1">
        <f t="array" ref="Z7">(SUMPRODUCT(('Cashflow Summary C19RM'!$B$5:$B$200="C19RM 2021-Pharma")*('Cashflow Summary C19RM'!$A$5:$A$200=1)*(('Cashflow Summary C19RM'!$E$5:$E$200="COVID Existing/Repurposed Medicines"))*('Cashflow Summary C19RM'!$W$5:$W$200)))</f>
        <v>0</v>
      </c>
      <c r="AA7" s="424" cm="1">
        <f t="array" ref="AA7">(SUMPRODUCT(('Cashflow Summary C19RM'!$B$5:$B$200="C19RM 2021-Pharma")*('Cashflow Summary C19RM'!$A$5:$A$200=1)*(('Cashflow Summary C19RM'!$E$5:$E$200="COVID Existing/Repurposed Medicines"))*('Cashflow Summary C19RM'!$X$5:$X$200)))</f>
        <v>0</v>
      </c>
      <c r="AB7" s="424" cm="1">
        <f t="array" ref="AB7">(SUMPRODUCT(('Cashflow Summary C19RM'!$B$5:$B$200="C19RM 2021-Pharma")*('Cashflow Summary C19RM'!$A$5:$A$200=1)*(('Cashflow Summary C19RM'!$E$5:$E$200="COVID Existing/Repurposed Medicines"))*('Cashflow Summary C19RM'!$Y$5:$Y$200)))</f>
        <v>0</v>
      </c>
      <c r="AC7" s="424">
        <f t="shared" ref="AC7:AC70" si="3">SUM(Y7:AB7)</f>
        <v>0</v>
      </c>
      <c r="AD7" s="424"/>
      <c r="AE7" s="424"/>
      <c r="AF7" s="424"/>
      <c r="AG7" s="424" cm="1">
        <f t="array" ref="AG7">(SUMPRODUCT(('Cashflow Summary C19RM'!$B$5:$B$200="C19RM 2021-Pharma")*('Cashflow Summary C19RM'!$A$5:$A$200=1)*(('Cashflow Summary C19RM'!$E$5:$E$200="COVID Existing/Repurposed Medicines"))*('Cashflow Summary C19RM'!$Z$5:$Z$200)))</f>
        <v>0</v>
      </c>
      <c r="AH7" s="424" cm="1">
        <f t="array" ref="AH7">(SUMPRODUCT(('Cashflow Summary C19RM'!$B$5:$B$200="C19RM 2021-Pharma")*('Cashflow Summary C19RM'!$A$5:$A$200=1)*(('Cashflow Summary C19RM'!$E$5:$E$200="COVID Existing/Repurposed Medicines"))*('Cashflow Summary C19RM'!$AA$5:$AA$200)))</f>
        <v>0</v>
      </c>
      <c r="AI7" s="424" cm="1">
        <f t="array" ref="AI7">(SUMPRODUCT(('Cashflow Summary C19RM'!$B$5:$B$200="C19RM 2021-Pharma")*('Cashflow Summary C19RM'!$A$5:$A$200=1)*(('Cashflow Summary C19RM'!$E$5:$E$200="COVID Existing/Repurposed Medicines"))*('Cashflow Summary C19RM'!$AB$5:$AB$200)))</f>
        <v>0</v>
      </c>
      <c r="AJ7" s="424" cm="1">
        <f t="array" ref="AJ7">(SUMPRODUCT(('Cashflow Summary C19RM'!$B$5:$B$200="C19RM 2021-Pharma")*('Cashflow Summary C19RM'!$A$5:$A$200=1)*(('Cashflow Summary C19RM'!$E$5:$E$200="COVID Existing/Repurposed Medicines"))*('Cashflow Summary C19RM'!$AC$5:$AC$200)))</f>
        <v>0</v>
      </c>
      <c r="AK7" s="424">
        <f t="shared" ref="AK7:AK70" si="4">SUM(AG7:AJ7)</f>
        <v>0</v>
      </c>
      <c r="AL7" s="424"/>
      <c r="AM7" s="424"/>
      <c r="AN7" s="424"/>
      <c r="AO7" s="424" cm="1">
        <f t="array" ref="AO7">(SUMPRODUCT(('Cashflow Summary C19RM'!$B$5:$B$200="C19RM 2021-Pharma")*('Cashflow Summary C19RM'!$A$5:$A$200=1)*(('Cashflow Summary C19RM'!$E$5:$E$200="COVID Existing/Repurposed Medicines"))*('Cashflow Summary C19RM'!$AD$5:$AD$200)))</f>
        <v>0</v>
      </c>
      <c r="AP7" s="424" cm="1">
        <f t="array" ref="AP7">(SUMPRODUCT(('Cashflow Summary C19RM'!$B$5:$B$200="C19RM 2021-Pharma")*('Cashflow Summary C19RM'!$A$5:$A$200=1)*(('Cashflow Summary C19RM'!$E$5:$E$200="COVID Existing/Repurposed Medicines"))*('Cashflow Summary C19RM'!$AE$5:$AE$200)))</f>
        <v>0</v>
      </c>
      <c r="AQ7" s="424" cm="1">
        <f t="array" ref="AQ7">(SUMPRODUCT(('Cashflow Summary C19RM'!$B$5:$B$200="C19RM 2021-Pharma")*('Cashflow Summary C19RM'!$A$5:$A$200=1)*(('Cashflow Summary C19RM'!$E$5:$E$200="COVID Existing/Repurposed Medicines"))*('Cashflow Summary C19RM'!$AF$5:$AF$200)))</f>
        <v>0</v>
      </c>
      <c r="AR7" s="424" cm="1">
        <f t="array" ref="AR7">(SUMPRODUCT(('Cashflow Summary C19RM'!$B$5:$B$200="C19RM 2021-Pharma")*('Cashflow Summary C19RM'!$A$5:$A$200=1)*(('Cashflow Summary C19RM'!$E$5:$E$200="COVID Existing/Repurposed Medicines"))*('Cashflow Summary C19RM'!$AG$5:$AG$200)))</f>
        <v>0</v>
      </c>
      <c r="AS7" s="424">
        <f t="shared" ref="AS7:AS70" si="5">SUM(AO7:AR7)</f>
        <v>0</v>
      </c>
      <c r="AT7" s="424"/>
      <c r="AU7" s="424"/>
      <c r="AV7" s="424"/>
      <c r="AW7" s="424" cm="1">
        <f t="array" ref="AW7">(SUMPRODUCT(('Cashflow Summary C19RM'!$B$5:$B$200="C19RM 2021-Pharma")*('Cashflow Summary C19RM'!$A$5:$A$200=1)*(('Cashflow Summary C19RM'!$E$5:$E$200="COVID Existing/Repurposed Medicines"))*('Cashflow Summary C19RM'!$AH$5:$AH$200)))</f>
        <v>0</v>
      </c>
      <c r="AX7" s="424" cm="1">
        <f t="array" ref="AX7">(SUMPRODUCT(('Cashflow Summary C19RM'!$B$5:$B$200="C19RM 2021-Pharma")*('Cashflow Summary C19RM'!$A$5:$A$200=1)*(('Cashflow Summary C19RM'!$E$5:$E$200="COVID Existing/Repurposed Medicines"))*('Cashflow Summary C19RM'!$AI$5:$AI$200)))</f>
        <v>0</v>
      </c>
      <c r="AY7" s="424" cm="1">
        <f t="array" ref="AY7">(SUMPRODUCT(('Cashflow Summary C19RM'!$B$5:$B$200="C19RM 2021-Pharma")*('Cashflow Summary C19RM'!$A$5:$A$200=1)*(('Cashflow Summary C19RM'!$E$5:$E$200="COVID Existing/Repurposed Medicines"))*('Cashflow Summary C19RM'!$AJ$5:$AJ$200)))</f>
        <v>0</v>
      </c>
      <c r="AZ7" s="424" cm="1">
        <f t="array" ref="AZ7">(SUMPRODUCT(('Cashflow Summary C19RM'!$B$5:$B$200="C19RM 2021-Pharma")*('Cashflow Summary C19RM'!$A$5:$A$200=1)*(('Cashflow Summary C19RM'!$E$5:$E$200="COVID Existing/Repurposed Medicines"))*('Cashflow Summary C19RM'!$AK$5:$AK$200)))</f>
        <v>0</v>
      </c>
      <c r="BA7" s="424">
        <f t="shared" ref="BA7:BA70" si="6">SUM(AW7:AZ7)</f>
        <v>0</v>
      </c>
      <c r="BB7" s="424"/>
      <c r="BC7" s="424"/>
      <c r="BD7" s="424"/>
      <c r="BE7" s="424" cm="1">
        <f t="array" ref="BE7">(SUMPRODUCT(('Cashflow Summary C19RM'!$B$5:$B$200="C19RM 2021-Pharma")*('Cashflow Summary C19RM'!$A$5:$A$200=1)*(('Cashflow Summary C19RM'!$E$5:$E$200="COVID Existing/Repurposed Medicines"))*('Cashflow Summary C19RM'!$AL$5:$AL$200)))</f>
        <v>0</v>
      </c>
      <c r="BF7" s="424" cm="1">
        <f t="array" ref="BF7">(SUMPRODUCT(('Cashflow Summary C19RM'!$B$5:$B$200="C19RM 2021-Pharma")*('Cashflow Summary C19RM'!$A$5:$A$200=1)*(('Cashflow Summary C19RM'!$E$5:$E$200="COVID Existing/Repurposed Medicines"))*('Cashflow Summary C19RM'!$AM$5:$AM$200)))</f>
        <v>0</v>
      </c>
      <c r="BG7" s="424" cm="1">
        <f t="array" ref="BG7">(SUMPRODUCT(('Cashflow Summary C19RM'!$B$5:$B$200="C19RM 2021-Pharma")*('Cashflow Summary C19RM'!$A$5:$A$200=1)*(('Cashflow Summary C19RM'!$E$5:$E$200="COVID Existing/Repurposed Medicines"))*('Cashflow Summary C19RM'!$AN$5:$AN$200)))</f>
        <v>0</v>
      </c>
      <c r="BH7" s="424" cm="1">
        <f t="array" ref="BH7">(SUMPRODUCT(('Cashflow Summary C19RM'!$B$5:$B$200="C19RM 2021-Pharma")*('Cashflow Summary C19RM'!$A$5:$A$200=1)*(('Cashflow Summary C19RM'!$E$5:$E$200="COVID Existing/Repurposed Medicines"))*('Cashflow Summary C19RM'!$AO$5:$AO$200)))</f>
        <v>0</v>
      </c>
      <c r="BI7" s="424">
        <f t="shared" ref="BI7:BI70" si="7">SUM(BE7:BH7)</f>
        <v>0</v>
      </c>
      <c r="BJ7" s="424"/>
      <c r="BK7" s="424">
        <f t="shared" ref="BK7:BK70" si="8">SUM($U7,$AC7,$AK7,$AS7,$BA7,$BI7)</f>
        <v>0</v>
      </c>
      <c r="BL7" s="424"/>
      <c r="BM7" s="142"/>
      <c r="BN7" s="425"/>
      <c r="BP7" s="274" t="str">
        <f t="shared" si="1"/>
        <v>No</v>
      </c>
      <c r="BQ7" t="s">
        <v>32</v>
      </c>
      <c r="BS7" s="286" t="s">
        <v>83</v>
      </c>
      <c r="BT7" s="419" t="s">
        <v>3314</v>
      </c>
      <c r="BU7" s="411" t="s">
        <v>3593</v>
      </c>
      <c r="CG7" t="s">
        <v>2751</v>
      </c>
      <c r="CH7" t="str">
        <f>'C19RM 2021-Pharma'!M1</f>
        <v/>
      </c>
      <c r="CI7" t="str">
        <f t="shared" ref="CI7:CI9" si="9">IF(CH7="","","Data Entry error in "&amp;CG7&amp;" Sheet, Pls correct to see TOTAL GRANT VALUE")</f>
        <v/>
      </c>
    </row>
    <row r="8" spans="1:95" ht="39" customHeight="1" x14ac:dyDescent="0.35">
      <c r="A8" s="364"/>
      <c r="B8" s="363" t="str">
        <f>PMsheet!$AH$94&amp;'Detailed BudgetC19RM'!BU8</f>
        <v>000P23HP1103</v>
      </c>
      <c r="C8" s="315" t="s">
        <v>2749</v>
      </c>
      <c r="D8" s="315" t="s">
        <v>3111</v>
      </c>
      <c r="E8" s="261" t="s">
        <v>3116</v>
      </c>
      <c r="F8" s="314" t="s">
        <v>2156</v>
      </c>
      <c r="G8" s="315">
        <f ca="1">SETUP!$T$2</f>
        <v>0</v>
      </c>
      <c r="H8" s="315" t="str">
        <f>IF(SETUP!$E$3="","","National/Country Level")</f>
        <v/>
      </c>
      <c r="I8" s="315" t="str">
        <f>IFERROR(IF(INDEX('Master Data-C19RM'!$E$8:$E$18,MATCH((INDEX(SETUP!$E$20:$E$34,MATCH('Detailed BudgetC19RM'!BQ8,SETUP!$D$20:$D$34,0))),'Master Data-C19RM'!$D$8:$D$18,0))="Implementer's name",SETUP!$J$5,INDEX('Master Data-C19RM'!$E$8:$E$18,MATCH((INDEX(SETUP!$E$20:$E$34,MATCH('Detailed BudgetC19RM'!BQ8,SETUP!$D$20:$D$34,0))),'Master Data-C19RM'!$D$8:$D$18,0))),"Pls select HPMT Category in ' BQ ' column")</f>
        <v>Not Applicable</v>
      </c>
      <c r="J8" s="315" t="s">
        <v>707</v>
      </c>
      <c r="K8" s="315">
        <f t="shared" si="0"/>
        <v>0</v>
      </c>
      <c r="L8" s="315"/>
      <c r="M8" s="315">
        <f>SETUP!$E$7</f>
        <v>0</v>
      </c>
      <c r="N8" s="315"/>
      <c r="O8" s="315"/>
      <c r="P8" s="315"/>
      <c r="Q8" s="917" cm="1">
        <f t="array" ref="Q8">(SUMPRODUCT(('Cashflow Summary C19RM'!$B$5:$B$200="C19RM 2021-Pharma")*('Cashflow Summary C19RM'!$A$5:$A$200=1)*(('Cashflow Summary C19RM'!$E$5:$E$200="COVID Other Medicines"))*('Cashflow Summary C19RM'!$R$5:$R$200)))</f>
        <v>0</v>
      </c>
      <c r="R8" s="917" cm="1">
        <f t="array" ref="R8">(SUMPRODUCT(('Cashflow Summary C19RM'!$B$5:$B$200="C19RM 2021-Pharma")*('Cashflow Summary C19RM'!$A$5:$A$200=1)*(('Cashflow Summary C19RM'!$E$5:$E$200="COVID Other Medicines"))*('Cashflow Summary C19RM'!$S$5:$S$200)))</f>
        <v>0</v>
      </c>
      <c r="S8" s="917" cm="1">
        <f t="array" ref="S8">(SUMPRODUCT(('Cashflow Summary C19RM'!$B$5:$B$200="C19RM 2021-Pharma")*('Cashflow Summary C19RM'!$A$5:$A$200=1)*(('Cashflow Summary C19RM'!$E$5:$E$200="COVID Other Medicines"))*('Cashflow Summary C19RM'!$T$5:$T$200)))</f>
        <v>0</v>
      </c>
      <c r="T8" s="917" cm="1">
        <f t="array" ref="T8">(SUMPRODUCT(('Cashflow Summary C19RM'!$B$5:$B$200="C19RM 2021-Pharma")*('Cashflow Summary C19RM'!$A$5:$A$200=1)*(('Cashflow Summary C19RM'!$E$5:$E$200="COVID Other Medicines"))*('Cashflow Summary C19RM'!$U$5:$U$200)))</f>
        <v>0</v>
      </c>
      <c r="U8" s="948">
        <f t="shared" si="2"/>
        <v>0</v>
      </c>
      <c r="V8" s="424"/>
      <c r="W8" s="424"/>
      <c r="X8" s="424"/>
      <c r="Y8" s="424" cm="1">
        <f t="array" ref="Y8">(SUMPRODUCT(('Cashflow Summary C19RM'!$B$5:$B$200="C19RM 2021-Pharma")*('Cashflow Summary C19RM'!$A$5:$A$200=1)*(('Cashflow Summary C19RM'!$E$5:$E$200="COVID Other Medicines"))*('Cashflow Summary C19RM'!$V$5:$V$200)))</f>
        <v>0</v>
      </c>
      <c r="Z8" s="424" cm="1">
        <f t="array" ref="Z8">(SUMPRODUCT(('Cashflow Summary C19RM'!$B$5:$B$200="C19RM 2021-Pharma")*('Cashflow Summary C19RM'!$A$5:$A$200=1)*(('Cashflow Summary C19RM'!$E$5:$E$200="COVID Other Medicines"))*('Cashflow Summary C19RM'!$W$5:$W$200)))</f>
        <v>0</v>
      </c>
      <c r="AA8" s="424" cm="1">
        <f t="array" ref="AA8">(SUMPRODUCT(('Cashflow Summary C19RM'!$B$5:$B$200="C19RM 2021-Pharma")*('Cashflow Summary C19RM'!$A$5:$A$200=1)*(('Cashflow Summary C19RM'!$E$5:$E$200="COVID Other Medicines"))*('Cashflow Summary C19RM'!$X$5:$X$200)))</f>
        <v>0</v>
      </c>
      <c r="AB8" s="424" cm="1">
        <f t="array" ref="AB8">(SUMPRODUCT(('Cashflow Summary C19RM'!$B$5:$B$200="C19RM 2021-Pharma")*('Cashflow Summary C19RM'!$A$5:$A$200=1)*(('Cashflow Summary C19RM'!$E$5:$E$200="COVID Other Medicines"))*('Cashflow Summary C19RM'!$Y$5:$Y$200)))</f>
        <v>0</v>
      </c>
      <c r="AC8" s="424">
        <f t="shared" si="3"/>
        <v>0</v>
      </c>
      <c r="AD8" s="424"/>
      <c r="AE8" s="424"/>
      <c r="AF8" s="424"/>
      <c r="AG8" s="424" cm="1">
        <f t="array" ref="AG8">(SUMPRODUCT(('Cashflow Summary C19RM'!$B$5:$B$200="C19RM 2021-Pharma")*('Cashflow Summary C19RM'!$A$5:$A$200=1)*(('Cashflow Summary C19RM'!$E$5:$E$200="COVID Other Medicines"))*('Cashflow Summary C19RM'!$Z$5:$Z$200)))</f>
        <v>0</v>
      </c>
      <c r="AH8" s="424" cm="1">
        <f t="array" ref="AH8">(SUMPRODUCT(('Cashflow Summary C19RM'!$B$5:$B$200="C19RM 2021-Pharma")*('Cashflow Summary C19RM'!$A$5:$A$200=1)*(('Cashflow Summary C19RM'!$E$5:$E$200="COVID Other Medicines"))*('Cashflow Summary C19RM'!$AA$5:$AA$200)))</f>
        <v>0</v>
      </c>
      <c r="AI8" s="424" cm="1">
        <f t="array" ref="AI8">(SUMPRODUCT(('Cashflow Summary C19RM'!$B$5:$B$200="C19RM 2021-Pharma")*('Cashflow Summary C19RM'!$A$5:$A$200=1)*(('Cashflow Summary C19RM'!$E$5:$E$200="COVID Other Medicines"))*('Cashflow Summary C19RM'!$AB$5:$AB$200)))</f>
        <v>0</v>
      </c>
      <c r="AJ8" s="424" cm="1">
        <f t="array" ref="AJ8">(SUMPRODUCT(('Cashflow Summary C19RM'!$B$5:$B$200="C19RM 2021-Pharma")*('Cashflow Summary C19RM'!$A$5:$A$200=1)*(('Cashflow Summary C19RM'!$E$5:$E$200="COVID Other Medicines"))*('Cashflow Summary C19RM'!$AC$5:$AC$200)))</f>
        <v>0</v>
      </c>
      <c r="AK8" s="424">
        <f t="shared" si="4"/>
        <v>0</v>
      </c>
      <c r="AL8" s="424"/>
      <c r="AM8" s="424"/>
      <c r="AN8" s="424"/>
      <c r="AO8" s="424" cm="1">
        <f t="array" ref="AO8">(SUMPRODUCT(('Cashflow Summary C19RM'!$B$5:$B$200="C19RM 2021-Pharma")*('Cashflow Summary C19RM'!$A$5:$A$200=1)*(('Cashflow Summary C19RM'!$E$5:$E$200="COVID Other Medicines"))*('Cashflow Summary C19RM'!$AD$5:$AD$200)))</f>
        <v>0</v>
      </c>
      <c r="AP8" s="424" cm="1">
        <f t="array" ref="AP8">(SUMPRODUCT(('Cashflow Summary C19RM'!$B$5:$B$200="C19RM 2021-Pharma")*('Cashflow Summary C19RM'!$A$5:$A$200=1)*(('Cashflow Summary C19RM'!$E$5:$E$200="COVID Other Medicines"))*('Cashflow Summary C19RM'!$AE$5:$AE$200)))</f>
        <v>0</v>
      </c>
      <c r="AQ8" s="424" cm="1">
        <f t="array" ref="AQ8">(SUMPRODUCT(('Cashflow Summary C19RM'!$B$5:$B$200="C19RM 2021-Pharma")*('Cashflow Summary C19RM'!$A$5:$A$200=1)*(('Cashflow Summary C19RM'!$E$5:$E$200="COVID Other Medicines"))*('Cashflow Summary C19RM'!$AF$5:$AF$200)))</f>
        <v>0</v>
      </c>
      <c r="AR8" s="424" cm="1">
        <f t="array" ref="AR8">(SUMPRODUCT(('Cashflow Summary C19RM'!$B$5:$B$200="C19RM 2021-Pharma")*('Cashflow Summary C19RM'!$A$5:$A$200=1)*(('Cashflow Summary C19RM'!$E$5:$E$200="COVID Other Medicines"))*('Cashflow Summary C19RM'!$AG$5:$AG$200)))</f>
        <v>0</v>
      </c>
      <c r="AS8" s="424">
        <f t="shared" si="5"/>
        <v>0</v>
      </c>
      <c r="AT8" s="424"/>
      <c r="AU8" s="424"/>
      <c r="AV8" s="424"/>
      <c r="AW8" s="424" cm="1">
        <f t="array" ref="AW8">(SUMPRODUCT(('Cashflow Summary C19RM'!$B$5:$B$200="C19RM 2021-Pharma")*('Cashflow Summary C19RM'!$A$5:$A$200=1)*(('Cashflow Summary C19RM'!$E$5:$E$200="COVID Other Medicines"))*('Cashflow Summary C19RM'!$AH$5:$AH$200)))</f>
        <v>0</v>
      </c>
      <c r="AX8" s="424" cm="1">
        <f t="array" ref="AX8">(SUMPRODUCT(('Cashflow Summary C19RM'!$B$5:$B$200="C19RM 2021-Pharma")*('Cashflow Summary C19RM'!$A$5:$A$200=1)*(('Cashflow Summary C19RM'!$E$5:$E$200="COVID Other Medicines"))*('Cashflow Summary C19RM'!$AI$5:$AI$200)))</f>
        <v>0</v>
      </c>
      <c r="AY8" s="424" cm="1">
        <f t="array" ref="AY8">(SUMPRODUCT(('Cashflow Summary C19RM'!$B$5:$B$200="C19RM 2021-Pharma")*('Cashflow Summary C19RM'!$A$5:$A$200=1)*(('Cashflow Summary C19RM'!$E$5:$E$200="COVID Other Medicines"))*('Cashflow Summary C19RM'!$AJ$5:$AJ$200)))</f>
        <v>0</v>
      </c>
      <c r="AZ8" s="424" cm="1">
        <f t="array" ref="AZ8">(SUMPRODUCT(('Cashflow Summary C19RM'!$B$5:$B$200="C19RM 2021-Pharma")*('Cashflow Summary C19RM'!$A$5:$A$200=1)*(('Cashflow Summary C19RM'!$E$5:$E$200="COVID Other Medicines"))*('Cashflow Summary C19RM'!$AK$5:$AK$200)))</f>
        <v>0</v>
      </c>
      <c r="BA8" s="424">
        <f t="shared" si="6"/>
        <v>0</v>
      </c>
      <c r="BB8" s="424"/>
      <c r="BC8" s="424"/>
      <c r="BD8" s="424"/>
      <c r="BE8" s="424" cm="1">
        <f t="array" ref="BE8">(SUMPRODUCT(('Cashflow Summary C19RM'!$B$5:$B$200="C19RM 2021-Pharma")*('Cashflow Summary C19RM'!$A$5:$A$200=1)*(('Cashflow Summary C19RM'!$E$5:$E$200="COVID Other Medicines"))*('Cashflow Summary C19RM'!$AL$5:$AL$200)))</f>
        <v>0</v>
      </c>
      <c r="BF8" s="424" cm="1">
        <f t="array" ref="BF8">(SUMPRODUCT(('Cashflow Summary C19RM'!$B$5:$B$200="C19RM 2021-Pharma")*('Cashflow Summary C19RM'!$A$5:$A$200=1)*(('Cashflow Summary C19RM'!$E$5:$E$200="COVID Other Medicines"))*('Cashflow Summary C19RM'!$AM$5:$AM$200)))</f>
        <v>0</v>
      </c>
      <c r="BG8" s="424" cm="1">
        <f t="array" ref="BG8">(SUMPRODUCT(('Cashflow Summary C19RM'!$B$5:$B$200="C19RM 2021-Pharma")*('Cashflow Summary C19RM'!$A$5:$A$200=1)*(('Cashflow Summary C19RM'!$E$5:$E$200="COVID Other Medicines"))*('Cashflow Summary C19RM'!$AN$5:$AN$200)))</f>
        <v>0</v>
      </c>
      <c r="BH8" s="424" cm="1">
        <f t="array" ref="BH8">(SUMPRODUCT(('Cashflow Summary C19RM'!$B$5:$B$200="C19RM 2021-Pharma")*('Cashflow Summary C19RM'!$A$5:$A$200=1)*(('Cashflow Summary C19RM'!$E$5:$E$200="COVID Other Medicines"))*('Cashflow Summary C19RM'!$AO$5:$AO$200)))</f>
        <v>0</v>
      </c>
      <c r="BI8" s="424">
        <f t="shared" si="7"/>
        <v>0</v>
      </c>
      <c r="BJ8" s="424"/>
      <c r="BK8" s="424">
        <f t="shared" si="8"/>
        <v>0</v>
      </c>
      <c r="BL8" s="424"/>
      <c r="BM8" s="142"/>
      <c r="BN8" s="425"/>
      <c r="BP8" s="274" t="str">
        <f t="shared" si="1"/>
        <v>No</v>
      </c>
      <c r="BQ8" t="s">
        <v>32</v>
      </c>
      <c r="BS8" s="286" t="s">
        <v>83</v>
      </c>
      <c r="BT8" s="419" t="s">
        <v>3315</v>
      </c>
      <c r="BU8" s="411" t="s">
        <v>3594</v>
      </c>
      <c r="CC8" s="220"/>
      <c r="CG8" s="220" t="s">
        <v>2750</v>
      </c>
      <c r="CH8" t="str">
        <f>'C19RM 2021-Lab &amp; Other HPS'!M1</f>
        <v/>
      </c>
      <c r="CI8" t="str">
        <f t="shared" si="9"/>
        <v/>
      </c>
    </row>
    <row r="9" spans="1:95" ht="39" customHeight="1" x14ac:dyDescent="0.35">
      <c r="A9" s="256"/>
      <c r="B9" s="363" t="str">
        <f>PMsheet!$AH$94&amp;'Detailed BudgetC19RM'!BU9</f>
        <v>000P23HP1104</v>
      </c>
      <c r="C9" s="315" t="s">
        <v>2749</v>
      </c>
      <c r="D9" s="315" t="s">
        <v>3111</v>
      </c>
      <c r="E9" s="261" t="s">
        <v>3117</v>
      </c>
      <c r="F9" s="314" t="s">
        <v>619</v>
      </c>
      <c r="G9" s="315">
        <f ca="1">SETUP!$T$2</f>
        <v>0</v>
      </c>
      <c r="H9" s="315" t="str">
        <f>IF(SETUP!$E$3="","","National/Country Level")</f>
        <v/>
      </c>
      <c r="I9" s="315" t="s">
        <v>2665</v>
      </c>
      <c r="J9" s="315" t="s">
        <v>707</v>
      </c>
      <c r="K9" s="315">
        <f t="shared" si="0"/>
        <v>0</v>
      </c>
      <c r="L9" s="315"/>
      <c r="M9" s="315">
        <f>SETUP!$E$7</f>
        <v>0</v>
      </c>
      <c r="N9" s="315"/>
      <c r="O9" s="315"/>
      <c r="P9" s="315"/>
      <c r="Q9" s="917" cm="1">
        <f t="array" ref="Q9">('HPM costs-C19RM'!G17+'HPM costs-C19RM'!G23+'HPM costs-C19RM'!G21+'HPM costs-C19RM'!G22+'HPM costs-C19RM'!G24)+(SUMPRODUCT(('Fixed Cost-C19RM'!$D$5:$D$202=$D9)*('Fixed Cost-C19RM'!$F$5:$F$202=$F9)*('Fixed Cost-C19RM'!$K$5:$K$202)))</f>
        <v>0</v>
      </c>
      <c r="R9" s="917" cm="1">
        <f t="array" ref="R9">('HPM costs-C19RM'!H17+'HPM costs-C19RM'!H23+'HPM costs-C19RM'!H21+'HPM costs-C19RM'!H22+'HPM costs-C19RM'!H24)+(SUMPRODUCT(('Fixed Cost-C19RM'!$D$5:$D$202=$D9)*('Fixed Cost-C19RM'!$F$5:$F$202=$F9)*('Fixed Cost-C19RM'!$L$5:$L$202)))</f>
        <v>0</v>
      </c>
      <c r="S9" s="917" cm="1">
        <f t="array" ref="S9">('HPM costs-C19RM'!$I$17+'HPM costs-C19RM'!$I$23+'HPM costs-C19RM'!$I$21+'HPM costs-C19RM'!$I$22+'HPM costs-C19RM'!$I$24)+(SUMPRODUCT(('Fixed Cost-C19RM'!$D$5:$D$202=$D9)*('Fixed Cost-C19RM'!$F$5:$F$202=$F9)*('Fixed Cost-C19RM'!$M$5:$M$202)))</f>
        <v>0</v>
      </c>
      <c r="T9" s="917" cm="1">
        <f t="array" ref="T9">('HPM costs-C19RM'!$J$17+'HPM costs-C19RM'!$J$23+'HPM costs-C19RM'!$J$21+'HPM costs-C19RM'!$J$22+'HPM costs-C19RM'!$J$24)+(SUMPRODUCT(('Fixed Cost-C19RM'!$D$5:$D$202=$D9)*('Fixed Cost-C19RM'!$F$5:$F$202=$F9)*('Fixed Cost-C19RM'!$N$5:$N$202)))</f>
        <v>0</v>
      </c>
      <c r="U9" s="948">
        <f t="shared" si="2"/>
        <v>0</v>
      </c>
      <c r="V9" s="424"/>
      <c r="W9" s="951"/>
      <c r="X9" s="951"/>
      <c r="Y9" s="424" cm="1">
        <f t="array" ref="Y9">('HPM costs-C19RM'!$M$17+'HPM costs-C19RM'!$M$23+'HPM costs-C19RM'!$M$21+'HPM costs-C19RM'!$M$22+'HPM costs-C19RM'!$M$24)+(SUMPRODUCT(('Fixed Cost-C19RM'!$D$5:$D$202=$D9)*('Fixed Cost-C19RM'!$F$5:$F$202=$F9)*('Fixed Cost-C19RM'!$P$5:$P$202)))</f>
        <v>0</v>
      </c>
      <c r="Z9" s="424" cm="1">
        <f t="array" ref="Z9">('HPM costs-C19RM'!$N$17+'HPM costs-C19RM'!$N$23+'HPM costs-C19RM'!$N$21+'HPM costs-C19RM'!$N$22+'HPM costs-C19RM'!$N$24)+(SUMPRODUCT(('Fixed Cost-C19RM'!$D$5:$D$202=$D9)*('Fixed Cost-C19RM'!$F$5:$F$202=$F9)*('Fixed Cost-C19RM'!$Q$5:$Q$202)))</f>
        <v>0</v>
      </c>
      <c r="AA9" s="424" cm="1">
        <f t="array" ref="AA9">('HPM costs-C19RM'!$O$17+'HPM costs-C19RM'!$O$23+'HPM costs-C19RM'!$O$21+'HPM costs-C19RM'!$O$22+'HPM costs-C19RM'!$O$24)+(SUMPRODUCT(('Fixed Cost-C19RM'!$D$5:$D$202=$D9)*('Fixed Cost-C19RM'!$F$5:$F$202=$F9)*('Fixed Cost-C19RM'!$R$5:$R$202)))</f>
        <v>0</v>
      </c>
      <c r="AB9" s="424" cm="1">
        <f t="array" ref="AB9">('HPM costs-C19RM'!$P$17+'HPM costs-C19RM'!$P$23+'HPM costs-C19RM'!$P$21+'HPM costs-C19RM'!$P$22+'HPM costs-C19RM'!$P$24)+(SUMPRODUCT(('Fixed Cost-C19RM'!$D$5:$D$202=$D9)*('Fixed Cost-C19RM'!$F$5:$F$202=$F9)*('Fixed Cost-C19RM'!$S$5:$S$202)))</f>
        <v>0</v>
      </c>
      <c r="AC9" s="424">
        <f t="shared" si="3"/>
        <v>0</v>
      </c>
      <c r="AD9" s="424"/>
      <c r="AE9" s="951"/>
      <c r="AF9" s="951"/>
      <c r="AG9" s="424" cm="1">
        <f t="array" ref="AG9">('HPM costs-C19RM'!$S$17+'HPM costs-C19RM'!$S$23+'HPM costs-C19RM'!$S$21+'HPM costs-C19RM'!$S$22+'HPM costs-C19RM'!$S$24)+(SUMPRODUCT(('Fixed Cost-C19RM'!$D$5:$D$202=$D9)*('Fixed Cost-C19RM'!$F$5:$F$202=$F9)*('Fixed Cost-C19RM'!$U$5:$U$202)))</f>
        <v>0</v>
      </c>
      <c r="AH9" s="424" cm="1">
        <f t="array" ref="AH9">('HPM costs-C19RM'!$T$17+'HPM costs-C19RM'!$T$23+'HPM costs-C19RM'!$T$21+'HPM costs-C19RM'!$T$22+'HPM costs-C19RM'!$T$24)+(SUMPRODUCT(('Fixed Cost-C19RM'!$D$5:$D$202=$D9)*('Fixed Cost-C19RM'!$F$5:$F$202=$F9)*('Fixed Cost-C19RM'!$V$5:$V$202)))</f>
        <v>0</v>
      </c>
      <c r="AI9" s="424" cm="1">
        <f t="array" ref="AI9">('HPM costs-C19RM'!$U$17+'HPM costs-C19RM'!$U$23+'HPM costs-C19RM'!$U$21+'HPM costs-C19RM'!$U$22+'HPM costs-C19RM'!$U$24)+(SUMPRODUCT(('Fixed Cost-C19RM'!$D$5:$D$202=$D9)*('Fixed Cost-C19RM'!$F$5:$F$202=$F9)*('Fixed Cost-C19RM'!$W$5:$W$202)))</f>
        <v>0</v>
      </c>
      <c r="AJ9" s="424" cm="1">
        <f t="array" ref="AJ9">('HPM costs-C19RM'!$V$17+'HPM costs-C19RM'!$V$23+'HPM costs-C19RM'!$V$21+'HPM costs-C19RM'!$V$22+'HPM costs-C19RM'!$V$24)+(SUMPRODUCT(('Fixed Cost-C19RM'!$D$5:$D$202=$D9)*('Fixed Cost-C19RM'!$F$5:$F$202=$F9)*('Fixed Cost-C19RM'!$X$5:$X$202)))</f>
        <v>0</v>
      </c>
      <c r="AK9" s="424">
        <f t="shared" si="4"/>
        <v>0</v>
      </c>
      <c r="AL9" s="424"/>
      <c r="AM9" s="951"/>
      <c r="AN9" s="951"/>
      <c r="AO9" s="424" cm="1">
        <f t="array" ref="AO9">('HPM costs-C19RM'!$Y$17+'HPM costs-C19RM'!$Y$23+'HPM costs-C19RM'!$Y$21+'HPM costs-C19RM'!$Y$22+'HPM costs-C19RM'!$Y$24)+(SUMPRODUCT(('Fixed Cost-C19RM'!$D$5:$D$202=$D9)*('Fixed Cost-C19RM'!$F$5:$F$202=$F9)*('Fixed Cost-C19RM'!$Z$5:$Z$202)))</f>
        <v>0</v>
      </c>
      <c r="AP9" s="424" cm="1">
        <f t="array" ref="AP9">('HPM costs-C19RM'!$Z$17+'HPM costs-C19RM'!$Z$23+'HPM costs-C19RM'!$Z$21+'HPM costs-C19RM'!$Z$22+'HPM costs-C19RM'!$Z$24)+(SUMPRODUCT(('Fixed Cost-C19RM'!$D$5:$D$202=$D9)*('Fixed Cost-C19RM'!$F$5:$F$202=$F9)*('Fixed Cost-C19RM'!$AA$5:$AA$202)))</f>
        <v>0</v>
      </c>
      <c r="AQ9" s="424" cm="1">
        <f t="array" ref="AQ9">('HPM costs-C19RM'!$AA$17+'HPM costs-C19RM'!$AA$23+'HPM costs-C19RM'!$AA$21+'HPM costs-C19RM'!$AA$22+'HPM costs-C19RM'!$AA$24)+(SUMPRODUCT(('Fixed Cost-C19RM'!$D$5:$D$202=$D9)*('Fixed Cost-C19RM'!$F$5:$F$202=$F9)*('Fixed Cost-C19RM'!$AB$5:$AB$202)))</f>
        <v>0</v>
      </c>
      <c r="AR9" s="424" cm="1">
        <f t="array" ref="AR9">('HPM costs-C19RM'!$AB$17+'HPM costs-C19RM'!$AB$23+'HPM costs-C19RM'!$AB$21+'HPM costs-C19RM'!$AB$22+'HPM costs-C19RM'!$AB$24)+(SUMPRODUCT(('Fixed Cost-C19RM'!$D$5:$D$202=$D9)*('Fixed Cost-C19RM'!$F$5:$F$202=$F9)*('Fixed Cost-C19RM'!$AC$5:$AC$202)))</f>
        <v>0</v>
      </c>
      <c r="AS9" s="424">
        <f t="shared" si="5"/>
        <v>0</v>
      </c>
      <c r="AT9" s="424"/>
      <c r="AU9" s="951"/>
      <c r="AV9" s="951"/>
      <c r="AW9" s="424" cm="1">
        <f t="array" ref="AW9">('HPM costs-C19RM'!$AE$17+'HPM costs-C19RM'!$AE$23+'HPM costs-C19RM'!$AE$21+'HPM costs-C19RM'!$AE$22+'HPM costs-C19RM'!$AE$24)+(SUMPRODUCT(('Fixed Cost-C19RM'!$D$5:$D$202=$D9)*('Fixed Cost-C19RM'!$F$5:$F$202=$F9)*('Fixed Cost-C19RM'!$AE$5:$AE$202)))</f>
        <v>0</v>
      </c>
      <c r="AX9" s="424" cm="1">
        <f t="array" ref="AX9">('HPM costs-C19RM'!$AF$17+'HPM costs-C19RM'!$AF$23+'HPM costs-C19RM'!$AF$21+'HPM costs-C19RM'!$AF$22+'HPM costs-C19RM'!$AF$24)+(SUMPRODUCT(('Fixed Cost-C19RM'!$D$5:$D$202=$D9)*('Fixed Cost-C19RM'!$F$5:$F$202=$F9)*('Fixed Cost-C19RM'!$AF$5:$AF$202)))</f>
        <v>0</v>
      </c>
      <c r="AY9" s="424" cm="1">
        <f t="array" ref="AY9">('HPM costs-C19RM'!$AG$17+'HPM costs-C19RM'!$AG$23+'HPM costs-C19RM'!$AG$21+'HPM costs-C19RM'!$AG$22+'HPM costs-C19RM'!$AG$24)+(SUMPRODUCT(('Fixed Cost-C19RM'!$D$5:$D$202=$D9)*('Fixed Cost-C19RM'!$F$5:$F$202=$F9)*('Fixed Cost-C19RM'!$AG$5:$AG$202)))</f>
        <v>0</v>
      </c>
      <c r="AZ9" s="424" cm="1">
        <f t="array" ref="AZ9">('HPM costs-C19RM'!$AH$17+'HPM costs-C19RM'!$AH$23+'HPM costs-C19RM'!$AH$21+'HPM costs-C19RM'!$AH$22+'HPM costs-C19RM'!$AH$24)+(SUMPRODUCT(('Fixed Cost-C19RM'!$D$5:$D$202=$D9)*('Fixed Cost-C19RM'!$F$5:$F$202=$F9)*('Fixed Cost-C19RM'!$AH$5:$AH$202)))</f>
        <v>0</v>
      </c>
      <c r="BA9" s="424">
        <f t="shared" si="6"/>
        <v>0</v>
      </c>
      <c r="BB9" s="424"/>
      <c r="BC9" s="951"/>
      <c r="BD9" s="951"/>
      <c r="BE9" s="424">
        <v>0</v>
      </c>
      <c r="BF9" s="424">
        <v>0</v>
      </c>
      <c r="BG9" s="424">
        <v>0</v>
      </c>
      <c r="BH9" s="424">
        <v>0</v>
      </c>
      <c r="BI9" s="424">
        <f t="shared" si="7"/>
        <v>0</v>
      </c>
      <c r="BJ9" s="424"/>
      <c r="BK9" s="424">
        <f t="shared" si="8"/>
        <v>0</v>
      </c>
      <c r="BL9" s="424"/>
      <c r="BM9" s="142"/>
      <c r="BN9" s="425"/>
      <c r="BP9" s="274" t="str">
        <f t="shared" si="1"/>
        <v>No</v>
      </c>
      <c r="BR9" t="str">
        <f>IF(((IFERROR(INDEX('Fixed Cost-C19RM'!$AO$5:$AO$202,MATCH(BS9&amp;C9&amp;D9&amp;F9,'Fixed Cost-C19RM'!$A$5:$A$202,0)),0)))&gt;0,"Yes","NO")</f>
        <v>NO</v>
      </c>
      <c r="BS9" s="286" t="s">
        <v>83</v>
      </c>
      <c r="BT9" s="418" t="s">
        <v>3150</v>
      </c>
      <c r="BU9" s="411" t="s">
        <v>3595</v>
      </c>
      <c r="CG9" t="s">
        <v>3666</v>
      </c>
      <c r="CH9" t="str">
        <f>'Fixed Cost-C19RM'!F1</f>
        <v/>
      </c>
      <c r="CI9" t="str">
        <f t="shared" si="9"/>
        <v/>
      </c>
    </row>
    <row r="10" spans="1:95" ht="39" customHeight="1" x14ac:dyDescent="0.35">
      <c r="A10" s="256"/>
      <c r="B10" s="363" t="str">
        <f>PMsheet!$AH$94&amp;'Detailed BudgetC19RM'!BU10</f>
        <v>000P23HP1105</v>
      </c>
      <c r="C10" s="315" t="s">
        <v>2749</v>
      </c>
      <c r="D10" s="315" t="s">
        <v>3111</v>
      </c>
      <c r="E10" s="261" t="s">
        <v>3117</v>
      </c>
      <c r="F10" s="314" t="s">
        <v>3118</v>
      </c>
      <c r="G10" s="315">
        <f ca="1">SETUP!$T$2</f>
        <v>0</v>
      </c>
      <c r="H10" s="315" t="str">
        <f>IF(SETUP!$E$3="","","National/Country Level")</f>
        <v/>
      </c>
      <c r="I10" s="315" t="s">
        <v>2665</v>
      </c>
      <c r="J10" s="315" t="s">
        <v>707</v>
      </c>
      <c r="K10" s="315">
        <f t="shared" si="0"/>
        <v>0</v>
      </c>
      <c r="L10" s="315"/>
      <c r="M10" s="315">
        <f>SETUP!$E$7</f>
        <v>0</v>
      </c>
      <c r="N10" s="315"/>
      <c r="O10" s="315"/>
      <c r="P10" s="315"/>
      <c r="Q10" s="917" cm="1">
        <f t="array" ref="Q10">('HPM costs-C19RM'!$G$37+'HPM costs-C19RM'!$G$43+'HPM costs-C19RM'!$G$41+'HPM costs-C19RM'!$G$42+'HPM costs-C19RM'!$G$44)+(SUMPRODUCT(('Fixed Cost-C19RM'!$D$5:$D$202=$D10)*('Fixed Cost-C19RM'!$F$5:$F$202=$F10)*('Fixed Cost-C19RM'!$K$5:$K$202)))</f>
        <v>0</v>
      </c>
      <c r="R10" s="917" cm="1">
        <f t="array" ref="R10">('HPM costs-C19RM'!$H$37+'HPM costs-C19RM'!$H$43+'HPM costs-C19RM'!$H$41+'HPM costs-C19RM'!$H$42+'HPM costs-C19RM'!$H$44)+(SUMPRODUCT(('Fixed Cost-C19RM'!$D$5:$D$202=$D10)*('Fixed Cost-C19RM'!$F$5:$F$202=$F10)*('Fixed Cost-C19RM'!$L$5:$L$202)))</f>
        <v>0</v>
      </c>
      <c r="S10" s="917" cm="1">
        <f t="array" ref="S10">('HPM costs-C19RM'!$I$37+'HPM costs-C19RM'!$I$43+'HPM costs-C19RM'!$I$41+'HPM costs-C19RM'!$I$42+'HPM costs-C19RM'!$I$44)+(SUMPRODUCT(('Fixed Cost-C19RM'!$D$5:$D$202=$D10)*('Fixed Cost-C19RM'!$F$5:$F$202=$F10)*('Fixed Cost-C19RM'!$M$5:$M$202)))</f>
        <v>0</v>
      </c>
      <c r="T10" s="917" cm="1">
        <f t="array" ref="T10">('HPM costs-C19RM'!$J$37+'HPM costs-C19RM'!$J$43+'HPM costs-C19RM'!$J$41+'HPM costs-C19RM'!$J$42+'HPM costs-C19RM'!$J$44)+(SUMPRODUCT(('Fixed Cost-C19RM'!$D$5:$D$202=$D10)*('Fixed Cost-C19RM'!$F$5:$F$202=$F10)*('Fixed Cost-C19RM'!$N$5:$N$202)))</f>
        <v>0</v>
      </c>
      <c r="U10" s="948">
        <f t="shared" si="2"/>
        <v>0</v>
      </c>
      <c r="V10" s="424"/>
      <c r="W10" s="951"/>
      <c r="X10" s="951"/>
      <c r="Y10" s="424" cm="1">
        <f t="array" ref="Y10">('HPM costs-C19RM'!$M$37+'HPM costs-C19RM'!$M$43+'HPM costs-C19RM'!$M$41+'HPM costs-C19RM'!$M$42+'HPM costs-C19RM'!$M$44)+(SUMPRODUCT(('Fixed Cost-C19RM'!$D$5:$D$202=$D10)*('Fixed Cost-C19RM'!$F$5:$F$202=$F10)*('Fixed Cost-C19RM'!$P$5:$P$202)))</f>
        <v>0</v>
      </c>
      <c r="Z10" s="424" cm="1">
        <f t="array" ref="Z10">('HPM costs-C19RM'!$N$37+'HPM costs-C19RM'!$N$43+'HPM costs-C19RM'!$N$41+'HPM costs-C19RM'!$N$42+'HPM costs-C19RM'!$N$44)+(SUMPRODUCT(('Fixed Cost-C19RM'!$D$5:$D$202=$D10)*('Fixed Cost-C19RM'!$F$5:$F$202=$F10)*('Fixed Cost-C19RM'!$Q$5:$Q$202)))</f>
        <v>0</v>
      </c>
      <c r="AA10" s="424" cm="1">
        <f t="array" ref="AA10">('HPM costs-C19RM'!$O$37+'HPM costs-C19RM'!$O$43+'HPM costs-C19RM'!$O$41+'HPM costs-C19RM'!$O$42+'HPM costs-C19RM'!$O$44)+(SUMPRODUCT(('Fixed Cost-C19RM'!$D$5:$D$202=$D10)*('Fixed Cost-C19RM'!$F$5:$F$202=$F10)*('Fixed Cost-C19RM'!$R$5:$R$202)))</f>
        <v>0</v>
      </c>
      <c r="AB10" s="424" cm="1">
        <f t="array" ref="AB10">('HPM costs-C19RM'!$P$37+'HPM costs-C19RM'!$P$43+'HPM costs-C19RM'!$P$41+'HPM costs-C19RM'!$P$42+'HPM costs-C19RM'!$P$44)+(SUMPRODUCT(('Fixed Cost-C19RM'!$D$5:$D$202=$D10)*('Fixed Cost-C19RM'!$F$5:$F$202=$F10)*('Fixed Cost-C19RM'!$S$5:$S$202)))</f>
        <v>0</v>
      </c>
      <c r="AC10" s="424">
        <f t="shared" si="3"/>
        <v>0</v>
      </c>
      <c r="AD10" s="424"/>
      <c r="AE10" s="951"/>
      <c r="AF10" s="951"/>
      <c r="AG10" s="424" cm="1">
        <f t="array" ref="AG10">('HPM costs-C19RM'!$S$37+'HPM costs-C19RM'!$S$43+'HPM costs-C19RM'!$S$41+'HPM costs-C19RM'!$S$42+'HPM costs-C19RM'!$S$44)+(SUMPRODUCT(('Fixed Cost-C19RM'!$D$5:$D$202=$D10)*('Fixed Cost-C19RM'!$F$5:$F$202=$F10)*('Fixed Cost-C19RM'!$U$5:$U$202)))</f>
        <v>0</v>
      </c>
      <c r="AH10" s="424" cm="1">
        <f t="array" ref="AH10">('HPM costs-C19RM'!$T$37+'HPM costs-C19RM'!$T$43+'HPM costs-C19RM'!$T$41+'HPM costs-C19RM'!$T$42+'HPM costs-C19RM'!$T$44)+(SUMPRODUCT(('Fixed Cost-C19RM'!$D$5:$D$202=$D10)*('Fixed Cost-C19RM'!$F$5:$F$202=$F10)*('Fixed Cost-C19RM'!$V$5:$V$202)))</f>
        <v>0</v>
      </c>
      <c r="AI10" s="424" cm="1">
        <f t="array" ref="AI10">('HPM costs-C19RM'!$U$37+'HPM costs-C19RM'!$U$43+'HPM costs-C19RM'!$U$41+'HPM costs-C19RM'!$U$42+'HPM costs-C19RM'!$U$44)+(SUMPRODUCT(('Fixed Cost-C19RM'!$D$5:$D$202=$D10)*('Fixed Cost-C19RM'!$F$5:$F$202=$F10)*('Fixed Cost-C19RM'!$W$5:$W$202)))</f>
        <v>0</v>
      </c>
      <c r="AJ10" s="424" cm="1">
        <f t="array" ref="AJ10">('HPM costs-C19RM'!$V$37+'HPM costs-C19RM'!$V$43+'HPM costs-C19RM'!$V$41+'HPM costs-C19RM'!$V$42+'HPM costs-C19RM'!$V$44)+(SUMPRODUCT(('Fixed Cost-C19RM'!$D$5:$D$202=$D10)*('Fixed Cost-C19RM'!$F$5:$F$202=$F10)*('Fixed Cost-C19RM'!$X$5:$X$202)))</f>
        <v>0</v>
      </c>
      <c r="AK10" s="424">
        <f t="shared" si="4"/>
        <v>0</v>
      </c>
      <c r="AL10" s="424"/>
      <c r="AM10" s="951"/>
      <c r="AN10" s="951"/>
      <c r="AO10" s="424" cm="1">
        <f t="array" ref="AO10">('HPM costs-C19RM'!$Y$37+'HPM costs-C19RM'!$Y$43+'HPM costs-C19RM'!$Y$41+'HPM costs-C19RM'!$Y$42+'HPM costs-C19RM'!$Y$44)+(SUMPRODUCT(('Fixed Cost-C19RM'!$D$5:$D$202=$D10)*('Fixed Cost-C19RM'!$F$5:$F$202=$F10)*('Fixed Cost-C19RM'!$Z$5:$Z$202)))</f>
        <v>0</v>
      </c>
      <c r="AP10" s="424" cm="1">
        <f t="array" ref="AP10">('HPM costs-C19RM'!$Z$37+'HPM costs-C19RM'!$Z$43+'HPM costs-C19RM'!$Z$41+'HPM costs-C19RM'!$Z$42+'HPM costs-C19RM'!$Z$44)+(SUMPRODUCT(('Fixed Cost-C19RM'!$D$5:$D$202=$D10)*('Fixed Cost-C19RM'!$F$5:$F$202=$F10)*('Fixed Cost-C19RM'!$AA$5:$AA$202)))</f>
        <v>0</v>
      </c>
      <c r="AQ10" s="424" cm="1">
        <f t="array" ref="AQ10">('HPM costs-C19RM'!$AA$37+'HPM costs-C19RM'!$AA$43+'HPM costs-C19RM'!$AA$41+'HPM costs-C19RM'!$AA$42+'HPM costs-C19RM'!$AA$44)+(SUMPRODUCT(('Fixed Cost-C19RM'!$D$5:$D$202=$D10)*('Fixed Cost-C19RM'!$F$5:$F$202=$F10)*('Fixed Cost-C19RM'!$AB$5:$AB$202)))</f>
        <v>0</v>
      </c>
      <c r="AR10" s="424" cm="1">
        <f t="array" ref="AR10">('HPM costs-C19RM'!$AB$37+'HPM costs-C19RM'!$AB$43+'HPM costs-C19RM'!$AB$41+'HPM costs-C19RM'!$AB$42+'HPM costs-C19RM'!$AB$44)+(SUMPRODUCT(('Fixed Cost-C19RM'!$D$5:$D$202=$D10)*('Fixed Cost-C19RM'!$F$5:$F$202=$F10)*('Fixed Cost-C19RM'!$AC$5:$AC$202)))</f>
        <v>0</v>
      </c>
      <c r="AS10" s="424">
        <f t="shared" si="5"/>
        <v>0</v>
      </c>
      <c r="AT10" s="424"/>
      <c r="AU10" s="951"/>
      <c r="AV10" s="951"/>
      <c r="AW10" s="424" cm="1">
        <f t="array" ref="AW10">('HPM costs-C19RM'!$AE$37+'HPM costs-C19RM'!$AE$43+'HPM costs-C19RM'!$AE$41+'HPM costs-C19RM'!$AE$42+'HPM costs-C19RM'!$AE$44)+(SUMPRODUCT(('Fixed Cost-C19RM'!$D$5:$D$202=$D10)*('Fixed Cost-C19RM'!$F$5:$F$202=$F10)*('Fixed Cost-C19RM'!$AE$5:$AE$202)))</f>
        <v>0</v>
      </c>
      <c r="AX10" s="424" cm="1">
        <f t="array" ref="AX10">('HPM costs-C19RM'!$AF$37+'HPM costs-C19RM'!$AF$43+'HPM costs-C19RM'!$AF$41+'HPM costs-C19RM'!$AF$42+'HPM costs-C19RM'!$AF$44)+(SUMPRODUCT(('Fixed Cost-C19RM'!$D$5:$D$202=$D10)*('Fixed Cost-C19RM'!$F$5:$F$202=$F10)*('Fixed Cost-C19RM'!$AF$5:$AF$202)))</f>
        <v>0</v>
      </c>
      <c r="AY10" s="424" cm="1">
        <f t="array" ref="AY10">('HPM costs-C19RM'!$AG$37+'HPM costs-C19RM'!$AG$43+'HPM costs-C19RM'!$AG$41+'HPM costs-C19RM'!$AG$42+'HPM costs-C19RM'!$AG$44)+(SUMPRODUCT(('Fixed Cost-C19RM'!$D$5:$D$202=$D10)*('Fixed Cost-C19RM'!$F$5:$F$202=$F10)*('Fixed Cost-C19RM'!$AG$5:$AG$202)))</f>
        <v>0</v>
      </c>
      <c r="AZ10" s="424" cm="1">
        <f t="array" ref="AZ10">('HPM costs-C19RM'!$AH$37+'HPM costs-C19RM'!$AH$43+'HPM costs-C19RM'!$AH$41+'HPM costs-C19RM'!$AH$42+'HPM costs-C19RM'!$AH$44)+(SUMPRODUCT(('Fixed Cost-C19RM'!$D$5:$D$202=$D10)*('Fixed Cost-C19RM'!$F$5:$F$202=$F10)*('Fixed Cost-C19RM'!$AH$5:$AH$202)))</f>
        <v>0</v>
      </c>
      <c r="BA10" s="424">
        <f t="shared" si="6"/>
        <v>0</v>
      </c>
      <c r="BB10" s="424"/>
      <c r="BC10" s="951"/>
      <c r="BD10" s="951"/>
      <c r="BE10" s="424">
        <v>0</v>
      </c>
      <c r="BF10" s="424">
        <v>0</v>
      </c>
      <c r="BG10" s="424">
        <v>0</v>
      </c>
      <c r="BH10" s="424">
        <v>0</v>
      </c>
      <c r="BI10" s="424">
        <f t="shared" si="7"/>
        <v>0</v>
      </c>
      <c r="BJ10" s="424"/>
      <c r="BK10" s="424">
        <f t="shared" si="8"/>
        <v>0</v>
      </c>
      <c r="BL10" s="424"/>
      <c r="BM10" s="142"/>
      <c r="BN10" s="425"/>
      <c r="BP10" s="274" t="str">
        <f t="shared" si="1"/>
        <v>No</v>
      </c>
      <c r="BR10" t="str">
        <f>IF(((IFERROR(INDEX('Fixed Cost-C19RM'!$AO$5:$AO$202,MATCH(BS10&amp;C10&amp;D10&amp;F10,'Fixed Cost-C19RM'!$A$5:$A$202,0)),0)))&gt;0,"Yes","NO")</f>
        <v>NO</v>
      </c>
      <c r="BS10" s="286" t="s">
        <v>83</v>
      </c>
      <c r="BT10" s="419" t="s">
        <v>3151</v>
      </c>
      <c r="BU10" s="411" t="s">
        <v>3596</v>
      </c>
    </row>
    <row r="11" spans="1:95" ht="39" customHeight="1" x14ac:dyDescent="0.35">
      <c r="A11" s="256"/>
      <c r="B11" s="363" t="str">
        <f>PMsheet!$AH$94&amp;'Detailed BudgetC19RM'!BU11</f>
        <v>000P23HP1106</v>
      </c>
      <c r="C11" s="315" t="s">
        <v>2749</v>
      </c>
      <c r="D11" s="315" t="s">
        <v>3111</v>
      </c>
      <c r="E11" s="261" t="s">
        <v>3117</v>
      </c>
      <c r="F11" s="314" t="s">
        <v>620</v>
      </c>
      <c r="G11" s="315">
        <f ca="1">SETUP!$T$2</f>
        <v>0</v>
      </c>
      <c r="H11" s="315" t="str">
        <f>IF(SETUP!$E$3="","","National/Country Level")</f>
        <v/>
      </c>
      <c r="I11" s="315" t="s">
        <v>2665</v>
      </c>
      <c r="J11" s="315" t="s">
        <v>707</v>
      </c>
      <c r="K11" s="315">
        <f t="shared" si="0"/>
        <v>0</v>
      </c>
      <c r="L11" s="315"/>
      <c r="M11" s="315">
        <f>SETUP!$E$7</f>
        <v>0</v>
      </c>
      <c r="N11" s="315"/>
      <c r="O11" s="315"/>
      <c r="P11" s="315"/>
      <c r="Q11" s="917" cm="1">
        <f t="array" ref="Q11">('HPM costs-C19RM'!$G$181+'HPM costs-C19RM'!$G$187+'HPM costs-C19RM'!$G$185+'HPM costs-C19RM'!$G$186+'HPM costs-C19RM'!$G$188)+(SUMPRODUCT(('Fixed Cost-C19RM'!$D$5:$D$202=$D11)*('Fixed Cost-C19RM'!$F$5:$F$202=$F11)*('Fixed Cost-C19RM'!$K$5:$K$202)))</f>
        <v>0</v>
      </c>
      <c r="R11" s="917" cm="1">
        <f t="array" ref="R11">('HPM costs-C19RM'!$H$181+'HPM costs-C19RM'!$H$187+'HPM costs-C19RM'!$H$185+'HPM costs-C19RM'!$H$186+'HPM costs-C19RM'!$H$188)+(SUMPRODUCT(('Fixed Cost-C19RM'!$D$5:$D$202=$D11)*('Fixed Cost-C19RM'!$F$5:$F$202=$F11)*('Fixed Cost-C19RM'!$L$5:$L$202)))</f>
        <v>0</v>
      </c>
      <c r="S11" s="917" cm="1">
        <f t="array" ref="S11">('HPM costs-C19RM'!$I$181+'HPM costs-C19RM'!$I$187+'HPM costs-C19RM'!$I$185+'HPM costs-C19RM'!$I$186+'HPM costs-C19RM'!$I$188)+(SUMPRODUCT(('Fixed Cost-C19RM'!$D$5:$D$202=$D11)*('Fixed Cost-C19RM'!$F$5:$F$202=$F11)*('Fixed Cost-C19RM'!$M$5:$M$202)))</f>
        <v>0</v>
      </c>
      <c r="T11" s="917" cm="1">
        <f t="array" ref="T11">('HPM costs-C19RM'!$J$181+'HPM costs-C19RM'!$J$187+'HPM costs-C19RM'!$J$185+'HPM costs-C19RM'!$J$186+'HPM costs-C19RM'!$J$188)+(SUMPRODUCT(('Fixed Cost-C19RM'!$D$5:$D$202=$D11)*('Fixed Cost-C19RM'!$F$5:$F$202=$F11)*('Fixed Cost-C19RM'!$N$5:$N$202)))</f>
        <v>0</v>
      </c>
      <c r="U11" s="948">
        <f t="shared" si="2"/>
        <v>0</v>
      </c>
      <c r="V11" s="424"/>
      <c r="W11" s="951"/>
      <c r="X11" s="951"/>
      <c r="Y11" s="424" cm="1">
        <f t="array" ref="Y11">('HPM costs-C19RM'!$M$181+'HPM costs-C19RM'!$M$187+'HPM costs-C19RM'!$M$185+'HPM costs-C19RM'!$M$186+'HPM costs-C19RM'!$M$188)+(SUMPRODUCT(('Fixed Cost-C19RM'!$D$5:$D$202=$D11)*('Fixed Cost-C19RM'!$F$5:$F$202=$F11)*('Fixed Cost-C19RM'!$P$5:$P$202)))</f>
        <v>0</v>
      </c>
      <c r="Z11" s="424" cm="1">
        <f t="array" ref="Z11">('HPM costs-C19RM'!$N$181+'HPM costs-C19RM'!$N$187+'HPM costs-C19RM'!$N$185+'HPM costs-C19RM'!$N$186+'HPM costs-C19RM'!$N$188)+(SUMPRODUCT(('Fixed Cost-C19RM'!$D$5:$D$202=$D11)*('Fixed Cost-C19RM'!$F$5:$F$202=$F11)*('Fixed Cost-C19RM'!$Q$5:$Q$202)))</f>
        <v>0</v>
      </c>
      <c r="AA11" s="424" cm="1">
        <f t="array" ref="AA11">('HPM costs-C19RM'!$O$181+'HPM costs-C19RM'!$O$187+'HPM costs-C19RM'!$O$185+'HPM costs-C19RM'!$O$186+'HPM costs-C19RM'!$O$188)+(SUMPRODUCT(('Fixed Cost-C19RM'!$D$5:$D$202=$D11)*('Fixed Cost-C19RM'!$F$5:$F$202=$F11)*('Fixed Cost-C19RM'!$R$5:$R$202)))</f>
        <v>0</v>
      </c>
      <c r="AB11" s="424" cm="1">
        <f t="array" ref="AB11">('HPM costs-C19RM'!$P$181+'HPM costs-C19RM'!$P$187+'HPM costs-C19RM'!$P$185+'HPM costs-C19RM'!$P$186+'HPM costs-C19RM'!$P$188)+(SUMPRODUCT(('Fixed Cost-C19RM'!$D$5:$D$202=$D11)*('Fixed Cost-C19RM'!$F$5:$F$202=$F11)*('Fixed Cost-C19RM'!$S$5:$S$202)))</f>
        <v>0</v>
      </c>
      <c r="AC11" s="424">
        <f t="shared" si="3"/>
        <v>0</v>
      </c>
      <c r="AD11" s="424"/>
      <c r="AE11" s="951"/>
      <c r="AF11" s="951"/>
      <c r="AG11" s="424" cm="1">
        <f t="array" ref="AG11">('HPM costs-C19RM'!$S$181+'HPM costs-C19RM'!$S$187+'HPM costs-C19RM'!$S$185+'HPM costs-C19RM'!$S$186+'HPM costs-C19RM'!$S$188)+(SUMPRODUCT(('Fixed Cost-C19RM'!$D$5:$D$202=$D11)*('Fixed Cost-C19RM'!$F$5:$F$202=$F11)*('Fixed Cost-C19RM'!$U$5:$U$202)))</f>
        <v>0</v>
      </c>
      <c r="AH11" s="424" cm="1">
        <f t="array" ref="AH11">('HPM costs-C19RM'!$T$181+'HPM costs-C19RM'!$T$187+'HPM costs-C19RM'!$T$185+'HPM costs-C19RM'!$T$186+'HPM costs-C19RM'!$T$188)+(SUMPRODUCT(('Fixed Cost-C19RM'!$D$5:$D$202=$D11)*('Fixed Cost-C19RM'!$F$5:$F$202=$F11)*('Fixed Cost-C19RM'!$V$5:$V$202)))</f>
        <v>0</v>
      </c>
      <c r="AI11" s="424" cm="1">
        <f t="array" ref="AI11">('HPM costs-C19RM'!$U$181+'HPM costs-C19RM'!$U$187+'HPM costs-C19RM'!$U$185+'HPM costs-C19RM'!$U$186+'HPM costs-C19RM'!$U$188)+(SUMPRODUCT(('Fixed Cost-C19RM'!$D$5:$D$202=$D11)*('Fixed Cost-C19RM'!$F$5:$F$202=$F11)*('Fixed Cost-C19RM'!$W$5:$W$202)))</f>
        <v>0</v>
      </c>
      <c r="AJ11" s="424" cm="1">
        <f t="array" ref="AJ11">('HPM costs-C19RM'!$V$181+'HPM costs-C19RM'!$V$187+'HPM costs-C19RM'!$V$185+'HPM costs-C19RM'!$V$186+'HPM costs-C19RM'!$V$188)+(SUMPRODUCT(('Fixed Cost-C19RM'!$D$5:$D$202=$D11)*('Fixed Cost-C19RM'!$F$5:$F$202=$F11)*('Fixed Cost-C19RM'!$X$5:$X$202)))</f>
        <v>0</v>
      </c>
      <c r="AK11" s="424">
        <f t="shared" si="4"/>
        <v>0</v>
      </c>
      <c r="AL11" s="424"/>
      <c r="AM11" s="951"/>
      <c r="AN11" s="951"/>
      <c r="AO11" s="424" cm="1">
        <f t="array" ref="AO11">('HPM costs-C19RM'!$Y$181+'HPM costs-C19RM'!$Y$187+'HPM costs-C19RM'!$Y$185+'HPM costs-C19RM'!$Y$186+'HPM costs-C19RM'!$Y$188)+(SUMPRODUCT(('Fixed Cost-C19RM'!$D$5:$D$202=$D11)*('Fixed Cost-C19RM'!$F$5:$F$202=$F11)*('Fixed Cost-C19RM'!$Z$5:$Z$202)))</f>
        <v>0</v>
      </c>
      <c r="AP11" s="424" cm="1">
        <f t="array" ref="AP11">('HPM costs-C19RM'!$Z$181+'HPM costs-C19RM'!$Z$187+'HPM costs-C19RM'!$Z$185+'HPM costs-C19RM'!$Z$186+'HPM costs-C19RM'!$Z$188)+(SUMPRODUCT(('Fixed Cost-C19RM'!$D$5:$D$202=$D11)*('Fixed Cost-C19RM'!$F$5:$F$202=$F11)*('Fixed Cost-C19RM'!$AA$5:$AA$202)))</f>
        <v>0</v>
      </c>
      <c r="AQ11" s="424" cm="1">
        <f t="array" ref="AQ11">('HPM costs-C19RM'!$AA$181+'HPM costs-C19RM'!$AA$187+'HPM costs-C19RM'!$AA$185+'HPM costs-C19RM'!$AA$186+'HPM costs-C19RM'!$AA$188)+(SUMPRODUCT(('Fixed Cost-C19RM'!$D$5:$D$202=$D11)*('Fixed Cost-C19RM'!$F$5:$F$202=$F11)*('Fixed Cost-C19RM'!$AB$5:$AB$202)))</f>
        <v>0</v>
      </c>
      <c r="AR11" s="424" cm="1">
        <f t="array" ref="AR11">('HPM costs-C19RM'!$AB$181+'HPM costs-C19RM'!$AB$187+'HPM costs-C19RM'!$AB$185+'HPM costs-C19RM'!$AB$186+'HPM costs-C19RM'!$AB$188)+(SUMPRODUCT(('Fixed Cost-C19RM'!$D$5:$D$202=$D11)*('Fixed Cost-C19RM'!$F$5:$F$202=$F11)*('Fixed Cost-C19RM'!$AC$5:$AC$202)))</f>
        <v>0</v>
      </c>
      <c r="AS11" s="424">
        <f t="shared" si="5"/>
        <v>0</v>
      </c>
      <c r="AT11" s="424"/>
      <c r="AU11" s="951"/>
      <c r="AV11" s="951"/>
      <c r="AW11" s="424" cm="1">
        <f t="array" ref="AW11">('HPM costs-C19RM'!$AE$181+'HPM costs-C19RM'!$AE$187+'HPM costs-C19RM'!$AE$185+'HPM costs-C19RM'!$AE$186+'HPM costs-C19RM'!$AE$188)+(SUMPRODUCT(('Fixed Cost-C19RM'!$D$5:$D$202=$D11)*('Fixed Cost-C19RM'!$F$5:$F$202=$F11)*('Fixed Cost-C19RM'!$AE$5:$AE$202)))</f>
        <v>0</v>
      </c>
      <c r="AX11" s="424" cm="1">
        <f t="array" ref="AX11">('HPM costs-C19RM'!$AF$181+'HPM costs-C19RM'!$AF$187+'HPM costs-C19RM'!$AF$185+'HPM costs-C19RM'!$AF$186+'HPM costs-C19RM'!$AF$188)+(SUMPRODUCT(('Fixed Cost-C19RM'!$D$5:$D$202=$D11)*('Fixed Cost-C19RM'!$F$5:$F$202=$F11)*('Fixed Cost-C19RM'!$AF$5:$AF$202)))</f>
        <v>0</v>
      </c>
      <c r="AY11" s="424" cm="1">
        <f t="array" ref="AY11">('HPM costs-C19RM'!$AG$181+'HPM costs-C19RM'!$AG$187+'HPM costs-C19RM'!$AG$185+'HPM costs-C19RM'!$AG$186+'HPM costs-C19RM'!$AG$188)+(SUMPRODUCT(('Fixed Cost-C19RM'!$D$5:$D$202=$D11)*('Fixed Cost-C19RM'!$F$5:$F$202=$F11)*('Fixed Cost-C19RM'!$AG$5:$AG$202)))</f>
        <v>0</v>
      </c>
      <c r="AZ11" s="424" cm="1">
        <f t="array" ref="AZ11">('HPM costs-C19RM'!$AH$181+'HPM costs-C19RM'!$AH$187+'HPM costs-C19RM'!$AH$185+'HPM costs-C19RM'!$AH$186+'HPM costs-C19RM'!$AH$188)+(SUMPRODUCT(('Fixed Cost-C19RM'!$D$5:$D$202=$D11)*('Fixed Cost-C19RM'!$F$5:$F$202=$F11)*('Fixed Cost-C19RM'!$AH$5:$AH$202)))</f>
        <v>0</v>
      </c>
      <c r="BA11" s="424">
        <f t="shared" si="6"/>
        <v>0</v>
      </c>
      <c r="BB11" s="424"/>
      <c r="BC11" s="951"/>
      <c r="BD11" s="951"/>
      <c r="BE11" s="424">
        <v>0</v>
      </c>
      <c r="BF11" s="424">
        <v>0</v>
      </c>
      <c r="BG11" s="424">
        <v>0</v>
      </c>
      <c r="BH11" s="424">
        <v>0</v>
      </c>
      <c r="BI11" s="424">
        <f t="shared" si="7"/>
        <v>0</v>
      </c>
      <c r="BJ11" s="424"/>
      <c r="BK11" s="424">
        <f t="shared" si="8"/>
        <v>0</v>
      </c>
      <c r="BL11" s="424"/>
      <c r="BM11" s="142"/>
      <c r="BN11" s="425"/>
      <c r="BP11" s="274" t="str">
        <f t="shared" si="1"/>
        <v>No</v>
      </c>
      <c r="BR11" t="str">
        <f>IF(((IFERROR(INDEX('Fixed Cost-C19RM'!$AO$5:$AO$202,MATCH(BS11&amp;C11&amp;D11&amp;F11,'Fixed Cost-C19RM'!$A$5:$A$202,0)),0)))&gt;0,"Yes","NO")</f>
        <v>NO</v>
      </c>
      <c r="BS11" s="286" t="s">
        <v>83</v>
      </c>
      <c r="BT11" s="61" t="s">
        <v>3152</v>
      </c>
      <c r="BU11" s="411" t="s">
        <v>3597</v>
      </c>
    </row>
    <row r="12" spans="1:95" ht="39" customHeight="1" x14ac:dyDescent="0.35">
      <c r="A12" s="256"/>
      <c r="B12" s="363" t="str">
        <f>PMsheet!$AH$94&amp;'Detailed BudgetC19RM'!BU12</f>
        <v>000P23HP1107</v>
      </c>
      <c r="C12" s="315" t="s">
        <v>2749</v>
      </c>
      <c r="D12" s="315" t="s">
        <v>3111</v>
      </c>
      <c r="E12" s="261" t="s">
        <v>3117</v>
      </c>
      <c r="F12" s="314" t="s">
        <v>1995</v>
      </c>
      <c r="G12" s="315">
        <f ca="1">SETUP!$T$2</f>
        <v>0</v>
      </c>
      <c r="H12" s="315" t="str">
        <f>IF(SETUP!$E$3="","","National/Country Level")</f>
        <v/>
      </c>
      <c r="I12" s="315" t="s">
        <v>2665</v>
      </c>
      <c r="J12" s="315" t="s">
        <v>707</v>
      </c>
      <c r="K12" s="315">
        <f t="shared" si="0"/>
        <v>0</v>
      </c>
      <c r="L12" s="315"/>
      <c r="M12" s="315">
        <f>SETUP!$E$7</f>
        <v>0</v>
      </c>
      <c r="N12" s="315"/>
      <c r="O12" s="315"/>
      <c r="P12" s="315"/>
      <c r="Q12" s="917" cm="1">
        <f t="array" ref="Q12">('HPM costs-C19RM'!$G$228+'HPM costs-C19RM'!$G$234+'HPM costs-C19RM'!$G$232+'HPM costs-C19RM'!$G$233+'HPM costs-C19RM'!$G$235)+(SUMPRODUCT(('Fixed Cost-C19RM'!$D$5:$D$202=$D12)*('Fixed Cost-C19RM'!$F$5:$F$202=$F12)*('Fixed Cost-C19RM'!$K$5:$K$202)))</f>
        <v>0</v>
      </c>
      <c r="R12" s="917" cm="1">
        <f t="array" ref="R12">('HPM costs-C19RM'!$H$228+'HPM costs-C19RM'!$H$234+'HPM costs-C19RM'!$H$232+'HPM costs-C19RM'!$H$233+'HPM costs-C19RM'!$H$235)+(SUMPRODUCT(('Fixed Cost-C19RM'!$D$5:$D$202=$D12)*('Fixed Cost-C19RM'!$F$5:$F$202=$F12)*('Fixed Cost-C19RM'!$L$5:$L$202)))</f>
        <v>0</v>
      </c>
      <c r="S12" s="917" cm="1">
        <f t="array" ref="S12">('HPM costs-C19RM'!$I$228+'HPM costs-C19RM'!$I$234+'HPM costs-C19RM'!$I$232+'HPM costs-C19RM'!$I$233+'HPM costs-C19RM'!$I$235)+(SUMPRODUCT(('Fixed Cost-C19RM'!$D$5:$D$202=$D12)*('Fixed Cost-C19RM'!$F$5:$F$202=$F12)*('Fixed Cost-C19RM'!$M$5:$M$202)))</f>
        <v>0</v>
      </c>
      <c r="T12" s="917" cm="1">
        <f t="array" ref="T12">('HPM costs-C19RM'!$J$228+'HPM costs-C19RM'!$J$234+'HPM costs-C19RM'!$J$232+'HPM costs-C19RM'!$J$233+'HPM costs-C19RM'!$J$235)+(SUMPRODUCT(('Fixed Cost-C19RM'!$D$5:$D$202=$D12)*('Fixed Cost-C19RM'!$F$5:$F$202=$F12)*('Fixed Cost-C19RM'!$N$5:$N$202)))</f>
        <v>0</v>
      </c>
      <c r="U12" s="948">
        <f t="shared" si="2"/>
        <v>0</v>
      </c>
      <c r="V12" s="424"/>
      <c r="W12" s="951"/>
      <c r="X12" s="951"/>
      <c r="Y12" s="424" cm="1">
        <f t="array" ref="Y12">('HPM costs-C19RM'!$M$228+'HPM costs-C19RM'!$M$234+'HPM costs-C19RM'!$M$232+'HPM costs-C19RM'!$M$233+'HPM costs-C19RM'!$M$235)+(SUMPRODUCT(('Fixed Cost-C19RM'!$D$5:$D$202=$D12)*('Fixed Cost-C19RM'!$F$5:$F$202=$F12)*('Fixed Cost-C19RM'!$P$5:$P$202)))</f>
        <v>0</v>
      </c>
      <c r="Z12" s="424" cm="1">
        <f t="array" ref="Z12">('HPM costs-C19RM'!$N$228+'HPM costs-C19RM'!$N$234+'HPM costs-C19RM'!$N$232+'HPM costs-C19RM'!$N$233+'HPM costs-C19RM'!$N$235)+(SUMPRODUCT(('Fixed Cost-C19RM'!$D$5:$D$202=$D12)*('Fixed Cost-C19RM'!$F$5:$F$202=$F12)*('Fixed Cost-C19RM'!$Q$5:$Q$202)))</f>
        <v>0</v>
      </c>
      <c r="AA12" s="424" cm="1">
        <f t="array" ref="AA12">('HPM costs-C19RM'!$O$228+'HPM costs-C19RM'!$O$234+'HPM costs-C19RM'!$O$232+'HPM costs-C19RM'!$O$233+'HPM costs-C19RM'!$O$235)+(SUMPRODUCT(('Fixed Cost-C19RM'!$D$5:$D$202=$D12)*('Fixed Cost-C19RM'!$F$5:$F$202=$F12)*('Fixed Cost-C19RM'!$R$5:$R$202)))</f>
        <v>0</v>
      </c>
      <c r="AB12" s="424" cm="1">
        <f t="array" ref="AB12">('HPM costs-C19RM'!$P$228+'HPM costs-C19RM'!$P$234+'HPM costs-C19RM'!$P$232+'HPM costs-C19RM'!$P$233+'HPM costs-C19RM'!$P$235)+(SUMPRODUCT(('Fixed Cost-C19RM'!$D$5:$D$202=$D12)*('Fixed Cost-C19RM'!$F$5:$F$202=$F12)*('Fixed Cost-C19RM'!$S$5:$S$202)))</f>
        <v>0</v>
      </c>
      <c r="AC12" s="424">
        <f t="shared" si="3"/>
        <v>0</v>
      </c>
      <c r="AD12" s="424"/>
      <c r="AE12" s="951"/>
      <c r="AF12" s="951"/>
      <c r="AG12" s="424" cm="1">
        <f t="array" ref="AG12">('HPM costs-C19RM'!$S$228+'HPM costs-C19RM'!$S$234+'HPM costs-C19RM'!$S$232+'HPM costs-C19RM'!$S$233+'HPM costs-C19RM'!$S$235)+(SUMPRODUCT(('Fixed Cost-C19RM'!$D$5:$D$202=$D12)*('Fixed Cost-C19RM'!$F$5:$F$202=$F12)*('Fixed Cost-C19RM'!$U$5:$U$202)))</f>
        <v>0</v>
      </c>
      <c r="AH12" s="424" cm="1">
        <f t="array" ref="AH12">('HPM costs-C19RM'!$T$228+'HPM costs-C19RM'!$T$234+'HPM costs-C19RM'!$T$232+'HPM costs-C19RM'!$T$233+'HPM costs-C19RM'!$T$235)+(SUMPRODUCT(('Fixed Cost-C19RM'!$D$5:$D$202=$D12)*('Fixed Cost-C19RM'!$F$5:$F$202=$F12)*('Fixed Cost-C19RM'!$V$5:$V$202)))</f>
        <v>0</v>
      </c>
      <c r="AI12" s="424" cm="1">
        <f t="array" ref="AI12">('HPM costs-C19RM'!$U$228+'HPM costs-C19RM'!$U$234+'HPM costs-C19RM'!$U$232+'HPM costs-C19RM'!$U$233+'HPM costs-C19RM'!$U$235)+(SUMPRODUCT(('Fixed Cost-C19RM'!$D$5:$D$202=$D12)*('Fixed Cost-C19RM'!$F$5:$F$202=$F12)*('Fixed Cost-C19RM'!$W$5:$W$202)))</f>
        <v>0</v>
      </c>
      <c r="AJ12" s="424" cm="1">
        <f t="array" ref="AJ12">('HPM costs-C19RM'!$V$228+'HPM costs-C19RM'!$V$234+'HPM costs-C19RM'!$V$232+'HPM costs-C19RM'!$V$233+'HPM costs-C19RM'!$V$235)+(SUMPRODUCT(('Fixed Cost-C19RM'!$D$5:$D$202=$D12)*('Fixed Cost-C19RM'!$F$5:$F$202=$F12)*('Fixed Cost-C19RM'!$X$5:$X$202)))</f>
        <v>0</v>
      </c>
      <c r="AK12" s="424">
        <f t="shared" si="4"/>
        <v>0</v>
      </c>
      <c r="AL12" s="424"/>
      <c r="AM12" s="951"/>
      <c r="AN12" s="951"/>
      <c r="AO12" s="424" cm="1">
        <f t="array" ref="AO12">('HPM costs-C19RM'!$Y$228+'HPM costs-C19RM'!$Y$234+'HPM costs-C19RM'!$Y$232+'HPM costs-C19RM'!$Y$233+'HPM costs-C19RM'!$Y$235)+(SUMPRODUCT(('Fixed Cost-C19RM'!$D$5:$D$202=$D12)*('Fixed Cost-C19RM'!$F$5:$F$202=$F12)*('Fixed Cost-C19RM'!$Z$5:$Z$202)))</f>
        <v>0</v>
      </c>
      <c r="AP12" s="424" cm="1">
        <f t="array" ref="AP12">('HPM costs-C19RM'!$Z$228+'HPM costs-C19RM'!$Z$234+'HPM costs-C19RM'!$Z$232+'HPM costs-C19RM'!$Z$233+'HPM costs-C19RM'!$Z$235)+(SUMPRODUCT(('Fixed Cost-C19RM'!$D$5:$D$202=$D12)*('Fixed Cost-C19RM'!$F$5:$F$202=$F12)*('Fixed Cost-C19RM'!$AA$5:$AA$202)))</f>
        <v>0</v>
      </c>
      <c r="AQ12" s="424" cm="1">
        <f t="array" ref="AQ12">('HPM costs-C19RM'!$AA$228+'HPM costs-C19RM'!$AA$234+'HPM costs-C19RM'!$AA$232+'HPM costs-C19RM'!$AA$233+'HPM costs-C19RM'!$AA$235)+(SUMPRODUCT(('Fixed Cost-C19RM'!$D$5:$D$202=$D12)*('Fixed Cost-C19RM'!$F$5:$F$202=$F12)*('Fixed Cost-C19RM'!$AB$5:$AB$202)))</f>
        <v>0</v>
      </c>
      <c r="AR12" s="424" cm="1">
        <f t="array" ref="AR12">('HPM costs-C19RM'!$AB$228+'HPM costs-C19RM'!$AB$234+'HPM costs-C19RM'!$AB$232+'HPM costs-C19RM'!$AB$233+'HPM costs-C19RM'!$AB$235)+(SUMPRODUCT(('Fixed Cost-C19RM'!$D$5:$D$202=$D12)*('Fixed Cost-C19RM'!$F$5:$F$202=$F12)*('Fixed Cost-C19RM'!$AC$5:$AC$202)))</f>
        <v>0</v>
      </c>
      <c r="AS12" s="424">
        <f t="shared" si="5"/>
        <v>0</v>
      </c>
      <c r="AT12" s="424"/>
      <c r="AU12" s="951"/>
      <c r="AV12" s="951"/>
      <c r="AW12" s="424" cm="1">
        <f t="array" ref="AW12">('HPM costs-C19RM'!$AE$228+'HPM costs-C19RM'!$AE$234+'HPM costs-C19RM'!$AE$232+'HPM costs-C19RM'!$AE$233+'HPM costs-C19RM'!$AE$235)+(SUMPRODUCT(('Fixed Cost-C19RM'!$D$5:$D$202=$D12)*('Fixed Cost-C19RM'!$F$5:$F$202=$F12)*('Fixed Cost-C19RM'!$AE$5:$AE$202)))</f>
        <v>0</v>
      </c>
      <c r="AX12" s="424" cm="1">
        <f t="array" ref="AX12">('HPM costs-C19RM'!$AF$228+'HPM costs-C19RM'!$AF$234+'HPM costs-C19RM'!$AF$232+'HPM costs-C19RM'!$AF$233+'HPM costs-C19RM'!$AF$235)+(SUMPRODUCT(('Fixed Cost-C19RM'!$D$5:$D$202=$D12)*('Fixed Cost-C19RM'!$F$5:$F$202=$F12)*('Fixed Cost-C19RM'!$AF$5:$AF$202)))</f>
        <v>0</v>
      </c>
      <c r="AY12" s="424" cm="1">
        <f t="array" ref="AY12">('HPM costs-C19RM'!$AG$228+'HPM costs-C19RM'!$AG$234+'HPM costs-C19RM'!$AG$232+'HPM costs-C19RM'!$AG$233+'HPM costs-C19RM'!$AG$235)+(SUMPRODUCT(('Fixed Cost-C19RM'!$D$5:$D$202=$D12)*('Fixed Cost-C19RM'!$F$5:$F$202=$F12)*('Fixed Cost-C19RM'!$AG$5:$AG$202)))</f>
        <v>0</v>
      </c>
      <c r="AZ12" s="424" cm="1">
        <f t="array" ref="AZ12">('HPM costs-C19RM'!$AH$228+'HPM costs-C19RM'!$AH$234+'HPM costs-C19RM'!$AH$232+'HPM costs-C19RM'!$AH$233+'HPM costs-C19RM'!$AH$235)+(SUMPRODUCT(('Fixed Cost-C19RM'!$D$5:$D$202=$D12)*('Fixed Cost-C19RM'!$F$5:$F$202=$F12)*('Fixed Cost-C19RM'!$AH$5:$AH$202)))</f>
        <v>0</v>
      </c>
      <c r="BA12" s="424">
        <f t="shared" si="6"/>
        <v>0</v>
      </c>
      <c r="BB12" s="424"/>
      <c r="BC12" s="951"/>
      <c r="BD12" s="951"/>
      <c r="BE12" s="424">
        <v>0</v>
      </c>
      <c r="BF12" s="424">
        <v>0</v>
      </c>
      <c r="BG12" s="424">
        <v>0</v>
      </c>
      <c r="BH12" s="424">
        <v>0</v>
      </c>
      <c r="BI12" s="424">
        <f t="shared" si="7"/>
        <v>0</v>
      </c>
      <c r="BJ12" s="424"/>
      <c r="BK12" s="424">
        <f t="shared" si="8"/>
        <v>0</v>
      </c>
      <c r="BL12" s="424"/>
      <c r="BM12" s="142"/>
      <c r="BN12" s="425"/>
      <c r="BP12" s="274" t="str">
        <f t="shared" si="1"/>
        <v>No</v>
      </c>
      <c r="BR12" t="str">
        <f>IF(((IFERROR(INDEX('Fixed Cost-C19RM'!$AO$5:$AO$202,MATCH(BS12&amp;C12&amp;D12&amp;F12,'Fixed Cost-C19RM'!$A$5:$A$202,0)),0)))&gt;0,"Yes","NO")</f>
        <v>NO</v>
      </c>
      <c r="BS12" s="286" t="s">
        <v>83</v>
      </c>
      <c r="BT12" t="s">
        <v>3153</v>
      </c>
      <c r="BU12" s="411" t="s">
        <v>3598</v>
      </c>
    </row>
    <row r="13" spans="1:95" ht="39" customHeight="1" x14ac:dyDescent="0.35">
      <c r="A13" s="256"/>
      <c r="B13" s="363" t="str">
        <f>PMsheet!$AH$94&amp;'Detailed BudgetC19RM'!BU13</f>
        <v>000P23HP1108</v>
      </c>
      <c r="C13" s="315" t="s">
        <v>2749</v>
      </c>
      <c r="D13" s="315" t="s">
        <v>3111</v>
      </c>
      <c r="E13" s="261" t="s">
        <v>3117</v>
      </c>
      <c r="F13" s="314" t="s">
        <v>750</v>
      </c>
      <c r="G13" s="315">
        <f ca="1">SETUP!$T$2</f>
        <v>0</v>
      </c>
      <c r="H13" s="315" t="str">
        <f>IF(SETUP!$E$3="","","National/Country Level")</f>
        <v/>
      </c>
      <c r="I13" s="315" t="s">
        <v>2665</v>
      </c>
      <c r="J13" s="315" t="s">
        <v>707</v>
      </c>
      <c r="K13" s="315">
        <f t="shared" si="0"/>
        <v>0</v>
      </c>
      <c r="L13" s="315"/>
      <c r="M13" s="315">
        <f>SETUP!$E$7</f>
        <v>0</v>
      </c>
      <c r="N13" s="315"/>
      <c r="O13" s="315"/>
      <c r="P13" s="315"/>
      <c r="Q13" s="917" cm="1">
        <f t="array" ref="Q13">(('HPM costs-C19RM'!$G$84+'HPM costs-C19RM'!$G$276)+('HPM costs-C19RM'!$G$90+'HPM costs-C19RM'!$G$88+'HPM costs-C19RM'!$G$89+'HPM costs-C19RM'!$G$91)+('HPM costs-C19RM'!$G$282+'HPM costs-C19RM'!$G$280+'HPM costs-C19RM'!$G$281+'HPM costs-C19RM'!$G$283))+(SUMPRODUCT(('Fixed Cost-C19RM'!$D$5:$D$202=$D13)*('Fixed Cost-C19RM'!$F$5:$F$202=$F13)*('Fixed Cost-C19RM'!$K$5:$K$202)))</f>
        <v>0</v>
      </c>
      <c r="R13" s="917" cm="1">
        <f t="array" ref="R13">(('HPM costs-C19RM'!$H$84+'HPM costs-C19RM'!$H$276)+('HPM costs-C19RM'!$H$90+'HPM costs-C19RM'!$H$88+'HPM costs-C19RM'!$H$89+'HPM costs-C19RM'!$H$91)+('HPM costs-C19RM'!$H$282+'HPM costs-C19RM'!$H$280+'HPM costs-C19RM'!$H$281+'HPM costs-C19RM'!$H$283))+(SUMPRODUCT(('Fixed Cost-C19RM'!$D$5:$D$202=$D13)*('Fixed Cost-C19RM'!$F$5:$F$202=$F13)*('Fixed Cost-C19RM'!$L$5:$L$202)))</f>
        <v>0</v>
      </c>
      <c r="S13" s="917" cm="1">
        <f t="array" ref="S13">(('HPM costs-C19RM'!$I$84+'HPM costs-C19RM'!$I$276)+('HPM costs-C19RM'!$I$90+'HPM costs-C19RM'!$I$88+'HPM costs-C19RM'!$I$89+'HPM costs-C19RM'!$I$91)+('HPM costs-C19RM'!$I$282+'HPM costs-C19RM'!$I$280+'HPM costs-C19RM'!$I$281+'HPM costs-C19RM'!$I$283))+(SUMPRODUCT(('Fixed Cost-C19RM'!$D$5:$D$202=$D13)*('Fixed Cost-C19RM'!$F$5:$F$202=$F13)*('Fixed Cost-C19RM'!$M$5:$M$202)))</f>
        <v>0</v>
      </c>
      <c r="T13" s="917" cm="1">
        <f t="array" ref="T13">(('HPM costs-C19RM'!$J$84+'HPM costs-C19RM'!$J$276)+('HPM costs-C19RM'!$J$90+'HPM costs-C19RM'!$J$88+'HPM costs-C19RM'!$J$89+'HPM costs-C19RM'!$J$91)+('HPM costs-C19RM'!$J$282+'HPM costs-C19RM'!$J$280+'HPM costs-C19RM'!$J$281+'HPM costs-C19RM'!$J$283))+(SUMPRODUCT(('Fixed Cost-C19RM'!$D$5:$D$202=$D13)*('Fixed Cost-C19RM'!$F$5:$F$202=$F13)*('Fixed Cost-C19RM'!$N$5:$N$202)))</f>
        <v>0</v>
      </c>
      <c r="U13" s="948">
        <f t="shared" si="2"/>
        <v>0</v>
      </c>
      <c r="V13" s="424"/>
      <c r="W13" s="951"/>
      <c r="X13" s="951"/>
      <c r="Y13" s="917" cm="1">
        <f t="array" ref="Y13">(('HPM costs-C19RM'!$M$84+'HPM costs-C19RM'!$M$276)+('HPM costs-C19RM'!$M$90+'HPM costs-C19RM'!$M$88+'HPM costs-C19RM'!$M$89+'HPM costs-C19RM'!$M$91)+('HPM costs-C19RM'!$M$282+'HPM costs-C19RM'!$M$280+'HPM costs-C19RM'!$M$281+'HPM costs-C19RM'!$M$283))+(SUMPRODUCT(('Fixed Cost-C19RM'!$D$5:$D$202=$D13)*('Fixed Cost-C19RM'!$F$5:$F$202=$F13)*('Fixed Cost-C19RM'!$P$5:$P$202)))</f>
        <v>0</v>
      </c>
      <c r="Z13" s="917" cm="1">
        <f t="array" ref="Z13">(('HPM costs-C19RM'!$N$84+'HPM costs-C19RM'!$N$276)+('HPM costs-C19RM'!$N$90+'HPM costs-C19RM'!$N$88+'HPM costs-C19RM'!$N$89+'HPM costs-C19RM'!$N$91)+('HPM costs-C19RM'!$N$282+'HPM costs-C19RM'!$N$280+'HPM costs-C19RM'!$N$281+'HPM costs-C19RM'!$N$283))+(SUMPRODUCT(('Fixed Cost-C19RM'!$D$5:$D$202=$D13)*('Fixed Cost-C19RM'!$F$5:$F$202=$F13)*('Fixed Cost-C19RM'!$Q$5:$Q$202)))</f>
        <v>0</v>
      </c>
      <c r="AA13" s="917" cm="1">
        <f t="array" ref="AA13">(('HPM costs-C19RM'!$O$84+'HPM costs-C19RM'!$O$276)+('HPM costs-C19RM'!$O$90+'HPM costs-C19RM'!$O$88+'HPM costs-C19RM'!$O$89+'HPM costs-C19RM'!$O$91)+('HPM costs-C19RM'!$O$282+'HPM costs-C19RM'!$O$280+'HPM costs-C19RM'!$O$281+'HPM costs-C19RM'!$O$283))+(SUMPRODUCT(('Fixed Cost-C19RM'!$D$5:$D$202=$D13)*('Fixed Cost-C19RM'!$F$5:$F$202=$F13)*('Fixed Cost-C19RM'!$R$5:$R$202)))</f>
        <v>0</v>
      </c>
      <c r="AB13" s="917" cm="1">
        <f t="array" ref="AB13">(('HPM costs-C19RM'!$P$84+'HPM costs-C19RM'!$P$276)+('HPM costs-C19RM'!$P$90+'HPM costs-C19RM'!$P$88+'HPM costs-C19RM'!$P$89+'HPM costs-C19RM'!$P$91)+('HPM costs-C19RM'!$P$282+'HPM costs-C19RM'!$P$280+'HPM costs-C19RM'!$P$281+'HPM costs-C19RM'!$P$283))+(SUMPRODUCT(('Fixed Cost-C19RM'!$D$5:$D$202=$D13)*('Fixed Cost-C19RM'!$F$5:$F$202=$F13)*('Fixed Cost-C19RM'!$S$5:$S$202)))</f>
        <v>0</v>
      </c>
      <c r="AC13" s="424">
        <f t="shared" si="3"/>
        <v>0</v>
      </c>
      <c r="AD13" s="424"/>
      <c r="AE13" s="951"/>
      <c r="AF13" s="951"/>
      <c r="AG13" s="917" cm="1">
        <f t="array" ref="AG13">(('HPM costs-C19RM'!$S$84+'HPM costs-C19RM'!$S$276)+('HPM costs-C19RM'!$S$90+'HPM costs-C19RM'!$S$88+'HPM costs-C19RM'!$S$89+'HPM costs-C19RM'!$S$91)+('HPM costs-C19RM'!$S$282+'HPM costs-C19RM'!$S$280+'HPM costs-C19RM'!$S$281+'HPM costs-C19RM'!$S$283))+(SUMPRODUCT(('Fixed Cost-C19RM'!$D$5:$D$202=$D13)*('Fixed Cost-C19RM'!$F$5:$F$202=$F13)*('Fixed Cost-C19RM'!$U$5:$U$202)))</f>
        <v>0</v>
      </c>
      <c r="AH13" s="917" cm="1">
        <f t="array" ref="AH13">(('HPM costs-C19RM'!$T$84+'HPM costs-C19RM'!$T$276)+('HPM costs-C19RM'!$T$90+'HPM costs-C19RM'!$T$88+'HPM costs-C19RM'!$T$89+'HPM costs-C19RM'!$T$91)+('HPM costs-C19RM'!$T$282+'HPM costs-C19RM'!$T$280+'HPM costs-C19RM'!$T$281+'HPM costs-C19RM'!$T$283))+(SUMPRODUCT(('Fixed Cost-C19RM'!$D$5:$D$202=$D13)*('Fixed Cost-C19RM'!$F$5:$F$202=$F13)*('Fixed Cost-C19RM'!$V$5:$V$202)))</f>
        <v>0</v>
      </c>
      <c r="AI13" s="917" cm="1">
        <f t="array" ref="AI13">(('HPM costs-C19RM'!$U$84+'HPM costs-C19RM'!$U$276)+('HPM costs-C19RM'!$U$90+'HPM costs-C19RM'!$U$88+'HPM costs-C19RM'!$U$89+'HPM costs-C19RM'!$U$91)+('HPM costs-C19RM'!$U$282+'HPM costs-C19RM'!$U$280+'HPM costs-C19RM'!$U$281+'HPM costs-C19RM'!$U$283))+(SUMPRODUCT(('Fixed Cost-C19RM'!$D$5:$D$202=$D13)*('Fixed Cost-C19RM'!$F$5:$F$202=$F13)*('Fixed Cost-C19RM'!$W$5:$W$202)))</f>
        <v>0</v>
      </c>
      <c r="AJ13" s="917" cm="1">
        <f t="array" ref="AJ13">(('HPM costs-C19RM'!$V$84+'HPM costs-C19RM'!$V$276)+('HPM costs-C19RM'!$V$90+'HPM costs-C19RM'!$V$88+'HPM costs-C19RM'!$V$89+'HPM costs-C19RM'!$V$91)+('HPM costs-C19RM'!V282+'HPM costs-C19RM'!V280+'HPM costs-C19RM'!$V$281+'HPM costs-C19RM'!$V$283))+(SUMPRODUCT(('Fixed Cost-C19RM'!$D$5:$D$202=$D13)*('Fixed Cost-C19RM'!$F$5:$F$202=$F13)*('Fixed Cost-C19RM'!$X$5:$X$202)))</f>
        <v>0</v>
      </c>
      <c r="AK13" s="424">
        <f t="shared" si="4"/>
        <v>0</v>
      </c>
      <c r="AL13" s="424"/>
      <c r="AM13" s="951"/>
      <c r="AN13" s="951"/>
      <c r="AO13" s="917" cm="1">
        <f t="array" ref="AO13">(('HPM costs-C19RM'!$Y$84+'HPM costs-C19RM'!$Y$276)+('HPM costs-C19RM'!$Y$90+'HPM costs-C19RM'!$Y$88+'HPM costs-C19RM'!$Y$89+'HPM costs-C19RM'!$Y$91)+('HPM costs-C19RM'!$Y$282+'HPM costs-C19RM'!$Y$280+'HPM costs-C19RM'!$Y$281+'HPM costs-C19RM'!$Y$283))+(SUMPRODUCT(('Fixed Cost-C19RM'!$D$5:$D$202=$D13)*('Fixed Cost-C19RM'!$F$5:$F$202=$F13)*('Fixed Cost-C19RM'!$Z$5:$Z$202)))</f>
        <v>0</v>
      </c>
      <c r="AP13" s="917" cm="1">
        <f t="array" ref="AP13">(('HPM costs-C19RM'!$Z$84+'HPM costs-C19RM'!$Z$276)+('HPM costs-C19RM'!$Z$90+'HPM costs-C19RM'!$Z$88+'HPM costs-C19RM'!$Z$89+'HPM costs-C19RM'!$Z$91)+('HPM costs-C19RM'!$Z$282+'HPM costs-C19RM'!$Z$280+'HPM costs-C19RM'!$Z$281+'HPM costs-C19RM'!$Z$283))+(SUMPRODUCT(('Fixed Cost-C19RM'!$D$5:$D$202=$D13)*('Fixed Cost-C19RM'!$F$5:$F$202=$F13)*('Fixed Cost-C19RM'!$AA$5:$AA$202)))</f>
        <v>0</v>
      </c>
      <c r="AQ13" s="917" cm="1">
        <f t="array" ref="AQ13">(('HPM costs-C19RM'!$AA$84+'HPM costs-C19RM'!$AA$276)+('HPM costs-C19RM'!$AA$90+'HPM costs-C19RM'!$AA$88+'HPM costs-C19RM'!$AA$89+'HPM costs-C19RM'!$AA$91)+('HPM costs-C19RM'!$AA$282+'HPM costs-C19RM'!$AA$280+'HPM costs-C19RM'!$AA$281+'HPM costs-C19RM'!$AA$283))+(SUMPRODUCT(('Fixed Cost-C19RM'!$D$5:$D$202=$D13)*('Fixed Cost-C19RM'!$F$5:$F$202=$F13)*('Fixed Cost-C19RM'!$AB$5:$AB$202)))</f>
        <v>0</v>
      </c>
      <c r="AR13" s="917" cm="1">
        <f t="array" ref="AR13">(('HPM costs-C19RM'!$AB$84+'HPM costs-C19RM'!$AB$276)+('HPM costs-C19RM'!$AB$90+'HPM costs-C19RM'!$AB$88+'HPM costs-C19RM'!$AB$89+'HPM costs-C19RM'!$AB$91)+('HPM costs-C19RM'!$AB$282+'HPM costs-C19RM'!$AB$280+'HPM costs-C19RM'!$AB$281+'HPM costs-C19RM'!$AB$283))+(SUMPRODUCT(('Fixed Cost-C19RM'!$D$5:$D$202=$D13)*('Fixed Cost-C19RM'!$F$5:$F$202=$F13)*('Fixed Cost-C19RM'!$AC$5:$AC$202)))</f>
        <v>0</v>
      </c>
      <c r="AS13" s="424">
        <f t="shared" si="5"/>
        <v>0</v>
      </c>
      <c r="AT13" s="424"/>
      <c r="AU13" s="951"/>
      <c r="AV13" s="951"/>
      <c r="AW13" s="956" cm="1">
        <f t="array" ref="AW13">(('HPM costs-C19RM'!$AE$84+'HPM costs-C19RM'!$AE$276)+('HPM costs-C19RM'!$AE$90+'HPM costs-C19RM'!$AE$88+'HPM costs-C19RM'!$AE$89+'HPM costs-C19RM'!$AE$91)+('HPM costs-C19RM'!$AE$282+'HPM costs-C19RM'!$AE$280+'HPM costs-C19RM'!$AE$281+'HPM costs-C19RM'!$AE$283))+(SUMPRODUCT(('Fixed Cost-C19RM'!$D$5:$D$202=$D13)*('Fixed Cost-C19RM'!$F$5:$F$202=$F13)*('Fixed Cost-C19RM'!$AE$5:$AE$202)))</f>
        <v>0</v>
      </c>
      <c r="AX13" s="956" cm="1">
        <f t="array" ref="AX13">(('HPM costs-C19RM'!$AF$84+'HPM costs-C19RM'!$AF$276)+('HPM costs-C19RM'!$AF$90+'HPM costs-C19RM'!$AF$88+'HPM costs-C19RM'!$AF$89+'HPM costs-C19RM'!$AF$91)+('HPM costs-C19RM'!AF282+'HPM costs-C19RM'!$AF$280+'HPM costs-C19RM'!$AF$281+'HPM costs-C19RM'!$AF$283))+(SUMPRODUCT(('Fixed Cost-C19RM'!$D$5:$D$202=$D13)*('Fixed Cost-C19RM'!$F$5:$F$202=$F13)*('Fixed Cost-C19RM'!$AF$5:$AF$202)))</f>
        <v>0</v>
      </c>
      <c r="AY13" s="956" cm="1">
        <f t="array" ref="AY13">(('HPM costs-C19RM'!$AG$84+'HPM costs-C19RM'!$AG$276)+('HPM costs-C19RM'!$AG$90+'HPM costs-C19RM'!$AG$88+'HPM costs-C19RM'!$AG$89+'HPM costs-C19RM'!$AG$91)+('HPM costs-C19RM'!$AG$282+'HPM costs-C19RM'!$AG$280+'HPM costs-C19RM'!$AG$281+'HPM costs-C19RM'!$AG$283))+(SUMPRODUCT(('Fixed Cost-C19RM'!$D$5:$D$202=$D13)*('Fixed Cost-C19RM'!$F$5:$F$202=$F13)*('Fixed Cost-C19RM'!$AG$5:$AG$202)))</f>
        <v>0</v>
      </c>
      <c r="AZ13" s="956" cm="1">
        <f t="array" ref="AZ13">(('HPM costs-C19RM'!$AH$84+'HPM costs-C19RM'!$AH$276)+('HPM costs-C19RM'!$AH$90+'HPM costs-C19RM'!$AH$88+'HPM costs-C19RM'!$AH$89+'HPM costs-C19RM'!$AH$91)+('HPM costs-C19RM'!$AH$282+'HPM costs-C19RM'!$AH$280+'HPM costs-C19RM'!$AH$281+'HPM costs-C19RM'!$AH$283))+(SUMPRODUCT(('Fixed Cost-C19RM'!$D$5:$D$202=$D13)*('Fixed Cost-C19RM'!$F$5:$F$202=$F13)*('Fixed Cost-C19RM'!$AH$5:$AH$202)))</f>
        <v>0</v>
      </c>
      <c r="BA13" s="424">
        <f t="shared" si="6"/>
        <v>0</v>
      </c>
      <c r="BB13" s="424"/>
      <c r="BC13" s="951"/>
      <c r="BD13" s="951"/>
      <c r="BE13" s="424">
        <v>0</v>
      </c>
      <c r="BF13" s="424">
        <v>0</v>
      </c>
      <c r="BG13" s="424">
        <v>0</v>
      </c>
      <c r="BH13" s="424">
        <v>0</v>
      </c>
      <c r="BI13" s="424">
        <f t="shared" si="7"/>
        <v>0</v>
      </c>
      <c r="BJ13" s="424"/>
      <c r="BK13" s="424">
        <f t="shared" si="8"/>
        <v>0</v>
      </c>
      <c r="BL13" s="424"/>
      <c r="BM13" s="142"/>
      <c r="BN13" s="425"/>
      <c r="BP13" s="274" t="str">
        <f t="shared" si="1"/>
        <v>No</v>
      </c>
      <c r="BR13" t="str">
        <f>IF(((IFERROR(INDEX('Fixed Cost-C19RM'!$AO$5:$AO$202,MATCH(BS13&amp;C13&amp;D13&amp;F13,'Fixed Cost-C19RM'!$A$5:$A$202,0)),0)))&gt;0,"Yes","NO")</f>
        <v>NO</v>
      </c>
      <c r="BS13" s="286" t="s">
        <v>83</v>
      </c>
      <c r="BT13" t="s">
        <v>3154</v>
      </c>
      <c r="BU13" s="411" t="s">
        <v>3599</v>
      </c>
    </row>
    <row r="14" spans="1:95" ht="39.5" customHeight="1" x14ac:dyDescent="0.35">
      <c r="A14" s="256"/>
      <c r="B14" s="363" t="str">
        <f>PMsheet!$AH$94&amp;'Detailed BudgetC19RM'!BU14</f>
        <v>000P23HP1109</v>
      </c>
      <c r="C14" s="315" t="s">
        <v>2749</v>
      </c>
      <c r="D14" s="315" t="s">
        <v>3111</v>
      </c>
      <c r="E14" s="261" t="s">
        <v>3117</v>
      </c>
      <c r="F14" s="314" t="s">
        <v>622</v>
      </c>
      <c r="G14" s="315">
        <f ca="1">SETUP!$T$2</f>
        <v>0</v>
      </c>
      <c r="H14" s="315" t="str">
        <f>IF(SETUP!$E$3="","","National/Country Level")</f>
        <v/>
      </c>
      <c r="I14" s="315" t="s">
        <v>2665</v>
      </c>
      <c r="J14" s="315" t="s">
        <v>707</v>
      </c>
      <c r="K14" s="315">
        <f t="shared" si="0"/>
        <v>0</v>
      </c>
      <c r="L14" s="315"/>
      <c r="M14" s="315">
        <f>SETUP!$E$7</f>
        <v>0</v>
      </c>
      <c r="N14" s="315"/>
      <c r="O14" s="315"/>
      <c r="P14" s="315"/>
      <c r="Q14" s="917" cm="1">
        <f t="array" ref="Q14">('HPM costs-C19RM'!$G$132+'HPM costs-C19RM'!$G$138+'HPM costs-C19RM'!$G$136+'HPM costs-C19RM'!$G$137+'HPM costs-C19RM'!$G$139)+(SUMPRODUCT(('Fixed Cost-C19RM'!$D$5:$D$202=$D14)*('Fixed Cost-C19RM'!$F$5:$F$202=$F14)*('Fixed Cost-C19RM'!$K$5:$K$202)))</f>
        <v>0</v>
      </c>
      <c r="R14" s="917" cm="1">
        <f t="array" ref="R14">('HPM costs-C19RM'!$H$132+'HPM costs-C19RM'!$H$138+'HPM costs-C19RM'!$H$136+'HPM costs-C19RM'!$H$137+'HPM costs-C19RM'!$H$139)+(SUMPRODUCT(('Fixed Cost-C19RM'!$D$5:$D$202=$D14)*('Fixed Cost-C19RM'!$F$5:$F$202=$F14)*('Fixed Cost-C19RM'!$L$5:$L$202)))</f>
        <v>0</v>
      </c>
      <c r="S14" s="917" cm="1">
        <f t="array" ref="S14">('HPM costs-C19RM'!$I$132+'HPM costs-C19RM'!$I$138+'HPM costs-C19RM'!$I$136+'HPM costs-C19RM'!$I$137+'HPM costs-C19RM'!$I$139)+(SUMPRODUCT(('Fixed Cost-C19RM'!$D$5:$D$202=$D14)*('Fixed Cost-C19RM'!$F$5:$F$202=$F14)*('Fixed Cost-C19RM'!$M$5:$M$202)))</f>
        <v>0</v>
      </c>
      <c r="T14" s="917" cm="1">
        <f t="array" ref="T14">('HPM costs-C19RM'!$J$132+'HPM costs-C19RM'!$J$138+'HPM costs-C19RM'!$J$136+'HPM costs-C19RM'!$J$137+'HPM costs-C19RM'!$J$139)+(SUMPRODUCT(('Fixed Cost-C19RM'!$D$5:$D$202=$D14)*('Fixed Cost-C19RM'!$F$5:$F$202=$F14)*('Fixed Cost-C19RM'!$N$5:$N$202)))</f>
        <v>0</v>
      </c>
      <c r="U14" s="948">
        <f t="shared" si="2"/>
        <v>0</v>
      </c>
      <c r="V14" s="424"/>
      <c r="W14" s="951"/>
      <c r="X14" s="951"/>
      <c r="Y14" s="424" cm="1">
        <f t="array" ref="Y14">('HPM costs-C19RM'!$M$132+'HPM costs-C19RM'!$M$138+'HPM costs-C19RM'!$M$136+'HPM costs-C19RM'!$M$137+'HPM costs-C19RM'!$M$139)+(SUMPRODUCT(('Fixed Cost-C19RM'!$D$5:$D$202=$D14)*('Fixed Cost-C19RM'!$F$5:$F$202=$F14)*('Fixed Cost-C19RM'!$P$5:$P$202)))</f>
        <v>0</v>
      </c>
      <c r="Z14" s="424" cm="1">
        <f t="array" ref="Z14">('HPM costs-C19RM'!$N$132+'HPM costs-C19RM'!$N$138+'HPM costs-C19RM'!$N$136+'HPM costs-C19RM'!$N$137+'HPM costs-C19RM'!$N$139)+(SUMPRODUCT(('Fixed Cost-C19RM'!$D$5:$D$202=$D14)*('Fixed Cost-C19RM'!$F$5:$F$202=$F14)*('Fixed Cost-C19RM'!$Q$5:$Q$202)))</f>
        <v>0</v>
      </c>
      <c r="AA14" s="424" cm="1">
        <f t="array" ref="AA14">('HPM costs-C19RM'!$O$132+'HPM costs-C19RM'!$O$138+'HPM costs-C19RM'!$O$136+'HPM costs-C19RM'!$O$137+'HPM costs-C19RM'!$O$139)+(SUMPRODUCT(('Fixed Cost-C19RM'!$D$5:$D$202=$D14)*('Fixed Cost-C19RM'!$F$5:$F$202=$F14)*('Fixed Cost-C19RM'!$R$5:$R$202)))</f>
        <v>0</v>
      </c>
      <c r="AB14" s="424" cm="1">
        <f t="array" ref="AB14">('HPM costs-C19RM'!$P$132+'HPM costs-C19RM'!$P$138+'HPM costs-C19RM'!$P$136+'HPM costs-C19RM'!$P$137+'HPM costs-C19RM'!$P$139)+(SUMPRODUCT(('Fixed Cost-C19RM'!$D$5:$D$202=$D14)*('Fixed Cost-C19RM'!$F$5:$F$202=$F14)*('Fixed Cost-C19RM'!$S$5:$S$202)))</f>
        <v>0</v>
      </c>
      <c r="AC14" s="424">
        <f t="shared" si="3"/>
        <v>0</v>
      </c>
      <c r="AD14" s="424"/>
      <c r="AE14" s="951"/>
      <c r="AF14" s="951"/>
      <c r="AG14" s="424" cm="1">
        <f t="array" ref="AG14">('HPM costs-C19RM'!$S$132+'HPM costs-C19RM'!$S$138+'HPM costs-C19RM'!$S$136+'HPM costs-C19RM'!$S$137+'HPM costs-C19RM'!$S$139)+(SUMPRODUCT(('Fixed Cost-C19RM'!$D$5:$D$202=$D14)*('Fixed Cost-C19RM'!$F$5:$F$202=$F14)*('Fixed Cost-C19RM'!$U$5:$U$202)))</f>
        <v>0</v>
      </c>
      <c r="AH14" s="424" cm="1">
        <f t="array" ref="AH14">('HPM costs-C19RM'!$T$132+'HPM costs-C19RM'!$T$138+'HPM costs-C19RM'!$T$136+'HPM costs-C19RM'!$T$137+'HPM costs-C19RM'!$T$139)+(SUMPRODUCT(('Fixed Cost-C19RM'!$D$5:$D$202=$D14)*('Fixed Cost-C19RM'!$F$5:$F$202=$F14)*('Fixed Cost-C19RM'!$V$5:$V$202)))</f>
        <v>0</v>
      </c>
      <c r="AI14" s="424" cm="1">
        <f t="array" ref="AI14">('HPM costs-C19RM'!$U$132+'HPM costs-C19RM'!$U$138+'HPM costs-C19RM'!$U$136+'HPM costs-C19RM'!$U$137+'HPM costs-C19RM'!$U$139)+(SUMPRODUCT(('Fixed Cost-C19RM'!$D$5:$D$202=$D14)*('Fixed Cost-C19RM'!$F$5:$F$202=$F14)*('Fixed Cost-C19RM'!$W$5:$W$202)))</f>
        <v>0</v>
      </c>
      <c r="AJ14" s="424" cm="1">
        <f t="array" ref="AJ14">('HPM costs-C19RM'!$V$132+'HPM costs-C19RM'!$V$138+'HPM costs-C19RM'!$V$136+'HPM costs-C19RM'!$V$137+'HPM costs-C19RM'!$V$139)+(SUMPRODUCT(('Fixed Cost-C19RM'!$D$5:$D$202=$D14)*('Fixed Cost-C19RM'!$F$5:$F$202=$F14)*('Fixed Cost-C19RM'!$X$5:$X$202)))</f>
        <v>0</v>
      </c>
      <c r="AK14" s="424">
        <f t="shared" si="4"/>
        <v>0</v>
      </c>
      <c r="AL14" s="424"/>
      <c r="AM14" s="951"/>
      <c r="AN14" s="951"/>
      <c r="AO14" s="424" cm="1">
        <f t="array" ref="AO14">('HPM costs-C19RM'!$Y$132+'HPM costs-C19RM'!$Y$138+'HPM costs-C19RM'!$Y$136+'HPM costs-C19RM'!$Y$137+'HPM costs-C19RM'!$Y$139)+(SUMPRODUCT(('Fixed Cost-C19RM'!$D$5:$D$202=$D14)*('Fixed Cost-C19RM'!$F$5:$F$202=$F14)*('Fixed Cost-C19RM'!$Z$5:$Z$202)))</f>
        <v>0</v>
      </c>
      <c r="AP14" s="424" cm="1">
        <f t="array" ref="AP14">('HPM costs-C19RM'!$Z$132+'HPM costs-C19RM'!$Z$138+'HPM costs-C19RM'!$Z$136+'HPM costs-C19RM'!$Z$137+'HPM costs-C19RM'!$Z$139)+(SUMPRODUCT(('Fixed Cost-C19RM'!$D$5:$D$202=$D14)*('Fixed Cost-C19RM'!$F$5:$F$202=$F14)*('Fixed Cost-C19RM'!$AA$5:$AA$202)))</f>
        <v>0</v>
      </c>
      <c r="AQ14" s="424" cm="1">
        <f t="array" ref="AQ14">('HPM costs-C19RM'!$AA$132+'HPM costs-C19RM'!$AA$138+'HPM costs-C19RM'!$AA$136+'HPM costs-C19RM'!$AA$137+'HPM costs-C19RM'!$AA$139)+(SUMPRODUCT(('Fixed Cost-C19RM'!$D$5:$D$202=$D14)*('Fixed Cost-C19RM'!$F$5:$F$202=$F14)*('Fixed Cost-C19RM'!$AB$5:$AB$202)))</f>
        <v>0</v>
      </c>
      <c r="AR14" s="424" cm="1">
        <f t="array" ref="AR14">('HPM costs-C19RM'!$AB$132+'HPM costs-C19RM'!$AB$138+'HPM costs-C19RM'!$AB$136+'HPM costs-C19RM'!$AB$137+'HPM costs-C19RM'!$AB$139)+(SUMPRODUCT(('Fixed Cost-C19RM'!$D$5:$D$202=$D14)*('Fixed Cost-C19RM'!$F$5:$F$202=$F14)*('Fixed Cost-C19RM'!$AC$5:$AC$202)))</f>
        <v>0</v>
      </c>
      <c r="AS14" s="424">
        <f t="shared" si="5"/>
        <v>0</v>
      </c>
      <c r="AT14" s="424"/>
      <c r="AU14" s="951"/>
      <c r="AV14" s="951"/>
      <c r="AW14" s="424" cm="1">
        <f t="array" ref="AW14">('HPM costs-C19RM'!$AE$132+'HPM costs-C19RM'!$AE$138+'HPM costs-C19RM'!$AE$136+'HPM costs-C19RM'!$AE$137+'HPM costs-C19RM'!$AE$139)+(SUMPRODUCT(('Fixed Cost-C19RM'!$D$5:$D$202=$D14)*('Fixed Cost-C19RM'!$F$5:$F$202=$F14)*('Fixed Cost-C19RM'!$AE$5:$AE$202)))</f>
        <v>0</v>
      </c>
      <c r="AX14" s="424" cm="1">
        <f t="array" ref="AX14">('HPM costs-C19RM'!$AF$132+'HPM costs-C19RM'!$AF$138+'HPM costs-C19RM'!$AF$136+'HPM costs-C19RM'!$AF$137+'HPM costs-C19RM'!$AF$139)+(SUMPRODUCT(('Fixed Cost-C19RM'!$D$5:$D$202=$D14)*('Fixed Cost-C19RM'!$F$5:$F$202=$F14)*('Fixed Cost-C19RM'!$AF$5:$AF$202)))</f>
        <v>0</v>
      </c>
      <c r="AY14" s="424" cm="1">
        <f t="array" ref="AY14">('HPM costs-C19RM'!$AG$132+'HPM costs-C19RM'!$AG$138+'HPM costs-C19RM'!$AG$136+'HPM costs-C19RM'!$AG$137+'HPM costs-C19RM'!$AG$139)+(SUMPRODUCT(('Fixed Cost-C19RM'!$D$5:$D$202=$D14)*('Fixed Cost-C19RM'!$F$5:$F$202=$F14)*('Fixed Cost-C19RM'!$AG$5:$AG$202)))</f>
        <v>0</v>
      </c>
      <c r="AZ14" s="424" cm="1">
        <f t="array" ref="AZ14">('HPM costs-C19RM'!$AH$132+'HPM costs-C19RM'!$AH$138+'HPM costs-C19RM'!$AH$136+'HPM costs-C19RM'!$AH$137+'HPM costs-C19RM'!$AH$139)+(SUMPRODUCT(('Fixed Cost-C19RM'!$D$5:$D$202=$D14)*('Fixed Cost-C19RM'!$F$5:$F$202=$F14)*('Fixed Cost-C19RM'!$AH$5:$AH$202)))</f>
        <v>0</v>
      </c>
      <c r="BA14" s="424">
        <f t="shared" si="6"/>
        <v>0</v>
      </c>
      <c r="BB14" s="424"/>
      <c r="BC14" s="951"/>
      <c r="BD14" s="951"/>
      <c r="BE14" s="424">
        <v>0</v>
      </c>
      <c r="BF14" s="424">
        <v>0</v>
      </c>
      <c r="BG14" s="424">
        <v>0</v>
      </c>
      <c r="BH14" s="424">
        <v>0</v>
      </c>
      <c r="BI14" s="424">
        <f t="shared" si="7"/>
        <v>0</v>
      </c>
      <c r="BJ14" s="424"/>
      <c r="BK14" s="424">
        <f t="shared" si="8"/>
        <v>0</v>
      </c>
      <c r="BL14" s="424"/>
      <c r="BM14" s="142"/>
      <c r="BN14" s="425"/>
      <c r="BP14" s="274" t="str">
        <f t="shared" si="1"/>
        <v>No</v>
      </c>
      <c r="BR14" t="str">
        <f>IF(((IFERROR(INDEX('Fixed Cost-C19RM'!$AO$5:$AO$202,MATCH(BS14&amp;C14&amp;D14&amp;F14,'Fixed Cost-C19RM'!$A$5:$A$202,0)),0)))&gt;0,"Yes","NO")</f>
        <v>NO</v>
      </c>
      <c r="BS14" s="286" t="s">
        <v>83</v>
      </c>
      <c r="BT14" t="s">
        <v>3155</v>
      </c>
      <c r="BU14" s="411" t="s">
        <v>3600</v>
      </c>
    </row>
    <row r="15" spans="1:95" ht="38" customHeight="1" x14ac:dyDescent="0.35">
      <c r="A15" s="256"/>
      <c r="B15" s="363" t="str">
        <f>PMsheet!$AH$94&amp;'Detailed BudgetC19RM'!BU15</f>
        <v>000P23HP1110</v>
      </c>
      <c r="C15" s="315" t="s">
        <v>2749</v>
      </c>
      <c r="D15" s="315" t="s">
        <v>3111</v>
      </c>
      <c r="E15" s="261" t="s">
        <v>3117</v>
      </c>
      <c r="F15" s="314" t="s">
        <v>751</v>
      </c>
      <c r="G15" s="315">
        <f ca="1">SETUP!$T$2</f>
        <v>0</v>
      </c>
      <c r="H15" s="315" t="str">
        <f>IF(SETUP!$E$3="","","National/Country Level")</f>
        <v/>
      </c>
      <c r="I15" s="315" t="s">
        <v>2665</v>
      </c>
      <c r="J15" s="315" t="s">
        <v>707</v>
      </c>
      <c r="K15" s="315">
        <f t="shared" si="0"/>
        <v>0</v>
      </c>
      <c r="L15" s="315"/>
      <c r="M15" s="315">
        <f>SETUP!$E$7</f>
        <v>0</v>
      </c>
      <c r="N15" s="315"/>
      <c r="O15" s="315"/>
      <c r="P15" s="315"/>
      <c r="Q15" s="917" cm="1">
        <f t="array" ref="Q15">('HPM costs-C19RM'!$G$323+'HPM costs-C19RM'!$G$329+'HPM costs-C19RM'!$G$327+'HPM costs-C19RM'!$G$328+'HPM costs-C19RM'!$G$330)+(SUMPRODUCT(('Fixed Cost-C19RM'!$D$5:$D$202=$D15)*('Fixed Cost-C19RM'!$F$5:$F$202=$F15)*('Fixed Cost-C19RM'!$K$5:$K$202)))</f>
        <v>0</v>
      </c>
      <c r="R15" s="917" cm="1">
        <f t="array" ref="R15">('HPM costs-C19RM'!$H$323+'HPM costs-C19RM'!$H$329+'HPM costs-C19RM'!$H$327+'HPM costs-C19RM'!$H$328+'HPM costs-C19RM'!$H$330)+(SUMPRODUCT(('Fixed Cost-C19RM'!$D$5:$D$202=$D15)*('Fixed Cost-C19RM'!$F$5:$F$202=$F15)*('Fixed Cost-C19RM'!$L$5:$L$202)))</f>
        <v>0</v>
      </c>
      <c r="S15" s="917" cm="1">
        <f t="array" ref="S15">('HPM costs-C19RM'!$I$323+'HPM costs-C19RM'!$I$329+'HPM costs-C19RM'!$I$327+'HPM costs-C19RM'!$I$328+'HPM costs-C19RM'!$I$330)+(SUMPRODUCT(('Fixed Cost-C19RM'!$D$5:$D$202=$D15)*('Fixed Cost-C19RM'!$F$5:$F$202=$F15)*('Fixed Cost-C19RM'!$M$5:$M$202)))</f>
        <v>0</v>
      </c>
      <c r="T15" s="917" cm="1">
        <f t="array" ref="T15">('HPM costs-C19RM'!$J$323+'HPM costs-C19RM'!$J$329+'HPM costs-C19RM'!$J$327+'HPM costs-C19RM'!$J$328+'HPM costs-C19RM'!$J$330)+(SUMPRODUCT(('Fixed Cost-C19RM'!$D$5:$D$202=$D15)*('Fixed Cost-C19RM'!$F$5:$F$202=$F15)*('Fixed Cost-C19RM'!$N$5:$N$202)))</f>
        <v>0</v>
      </c>
      <c r="U15" s="948">
        <f t="shared" si="2"/>
        <v>0</v>
      </c>
      <c r="V15" s="424"/>
      <c r="W15" s="951"/>
      <c r="X15" s="951"/>
      <c r="Y15" s="424" cm="1">
        <f t="array" ref="Y15">('HPM costs-C19RM'!$M$323+'HPM costs-C19RM'!$M$329+'HPM costs-C19RM'!$M$327+'HPM costs-C19RM'!$M$328+'HPM costs-C19RM'!$M$330)+(SUMPRODUCT(('Fixed Cost-C19RM'!$D$5:$D$202=$D15)*('Fixed Cost-C19RM'!$F$5:$F$202=$F15)*('Fixed Cost-C19RM'!$P$5:$P$202)))</f>
        <v>0</v>
      </c>
      <c r="Z15" s="424" cm="1">
        <f t="array" ref="Z15">('HPM costs-C19RM'!$N$323+'HPM costs-C19RM'!$N$329+'HPM costs-C19RM'!$N$327+'HPM costs-C19RM'!$N$328+'HPM costs-C19RM'!$N$330)+(SUMPRODUCT(('Fixed Cost-C19RM'!$D$5:$D$202=$D15)*('Fixed Cost-C19RM'!$F$5:$F$202=$F15)*('Fixed Cost-C19RM'!$Q$5:$Q$202)))</f>
        <v>0</v>
      </c>
      <c r="AA15" s="424" cm="1">
        <f t="array" ref="AA15">('HPM costs-C19RM'!$O$323+'HPM costs-C19RM'!$O$329+'HPM costs-C19RM'!$O$327+'HPM costs-C19RM'!$O$328+'HPM costs-C19RM'!$O$330)+(SUMPRODUCT(('Fixed Cost-C19RM'!$D$5:$D$202=$D15)*('Fixed Cost-C19RM'!$F$5:$F$202=$F15)*('Fixed Cost-C19RM'!$R$5:$R$202)))</f>
        <v>0</v>
      </c>
      <c r="AB15" s="424" cm="1">
        <f t="array" ref="AB15">('HPM costs-C19RM'!$P$323+'HPM costs-C19RM'!$P$329+'HPM costs-C19RM'!$P$327+'HPM costs-C19RM'!$P$328+'HPM costs-C19RM'!$P$330)+(SUMPRODUCT(('Fixed Cost-C19RM'!$D$5:$D$202=$D15)*('Fixed Cost-C19RM'!$F$5:$F$202=$F15)*('Fixed Cost-C19RM'!$S$5:$S$202)))</f>
        <v>0</v>
      </c>
      <c r="AC15" s="424">
        <f t="shared" si="3"/>
        <v>0</v>
      </c>
      <c r="AD15" s="424"/>
      <c r="AE15" s="951"/>
      <c r="AF15" s="951"/>
      <c r="AG15" s="424" cm="1">
        <f t="array" ref="AG15">('HPM costs-C19RM'!$S$323+'HPM costs-C19RM'!$S$329+'HPM costs-C19RM'!$S$327+'HPM costs-C19RM'!$S$328+'HPM costs-C19RM'!$S$330)+(SUMPRODUCT(('Fixed Cost-C19RM'!$D$5:$D$202=$D15)*('Fixed Cost-C19RM'!$F$5:$F$202=$F15)*('Fixed Cost-C19RM'!$U$5:$U$202)))</f>
        <v>0</v>
      </c>
      <c r="AH15" s="424" cm="1">
        <f t="array" ref="AH15">('HPM costs-C19RM'!$T$323+'HPM costs-C19RM'!$T$329+'HPM costs-C19RM'!$T$327+'HPM costs-C19RM'!$T$328+'HPM costs-C19RM'!$T$330)+(SUMPRODUCT(('Fixed Cost-C19RM'!$D$5:$D$202=$D15)*('Fixed Cost-C19RM'!$F$5:$F$202=$F15)*('Fixed Cost-C19RM'!$V$5:$V$202)))</f>
        <v>0</v>
      </c>
      <c r="AI15" s="424" cm="1">
        <f t="array" ref="AI15">('HPM costs-C19RM'!$U$323+'HPM costs-C19RM'!$U$329+'HPM costs-C19RM'!$U$327+'HPM costs-C19RM'!$U$328+'HPM costs-C19RM'!$U$330)+(SUMPRODUCT(('Fixed Cost-C19RM'!$D$5:$D$202=$D15)*('Fixed Cost-C19RM'!$F$5:$F$202=$F15)*('Fixed Cost-C19RM'!$W$5:$W$202)))</f>
        <v>0</v>
      </c>
      <c r="AJ15" s="424" cm="1">
        <f t="array" ref="AJ15">('HPM costs-C19RM'!$V$323+'HPM costs-C19RM'!$V$329+'HPM costs-C19RM'!$V$327+'HPM costs-C19RM'!$V$328+'HPM costs-C19RM'!$V$330)+(SUMPRODUCT(('Fixed Cost-C19RM'!$D$5:$D$202=$D15)*('Fixed Cost-C19RM'!$F$5:$F$202=$F15)*('Fixed Cost-C19RM'!$X$5:$X$202)))</f>
        <v>0</v>
      </c>
      <c r="AK15" s="424">
        <f t="shared" si="4"/>
        <v>0</v>
      </c>
      <c r="AL15" s="424"/>
      <c r="AM15" s="951"/>
      <c r="AN15" s="951"/>
      <c r="AO15" s="424" cm="1">
        <f t="array" ref="AO15">('HPM costs-C19RM'!$Y$323+'HPM costs-C19RM'!$Y$329+'HPM costs-C19RM'!$Y$327+'HPM costs-C19RM'!$Y$328+'HPM costs-C19RM'!$Y$330)+(SUMPRODUCT(('Fixed Cost-C19RM'!$D$5:$D$202=$D15)*('Fixed Cost-C19RM'!$F$5:$F$202=$F15)*('Fixed Cost-C19RM'!$Z$5:$Z$202)))</f>
        <v>0</v>
      </c>
      <c r="AP15" s="424" cm="1">
        <f t="array" ref="AP15">('HPM costs-C19RM'!$Z$323+'HPM costs-C19RM'!$Z$329+'HPM costs-C19RM'!$Z$327+'HPM costs-C19RM'!$Z$328+'HPM costs-C19RM'!$Z$330)+(SUMPRODUCT(('Fixed Cost-C19RM'!$D$5:$D$202=$D15)*('Fixed Cost-C19RM'!$F$5:$F$202=$F15)*('Fixed Cost-C19RM'!$AA$5:$AA$202)))</f>
        <v>0</v>
      </c>
      <c r="AQ15" s="424" cm="1">
        <f t="array" ref="AQ15">('HPM costs-C19RM'!$AA$323+'HPM costs-C19RM'!$AA$329+'HPM costs-C19RM'!$AA$327+'HPM costs-C19RM'!$AA$328+'HPM costs-C19RM'!$AA$330)+(SUMPRODUCT(('Fixed Cost-C19RM'!$D$5:$D$202=$D15)*('Fixed Cost-C19RM'!$F$5:$F$202=$F15)*('Fixed Cost-C19RM'!$AB$5:$AB$202)))</f>
        <v>0</v>
      </c>
      <c r="AR15" s="424" cm="1">
        <f t="array" ref="AR15">('HPM costs-C19RM'!$AB$323+'HPM costs-C19RM'!$AB$329+'HPM costs-C19RM'!$AB$327+'HPM costs-C19RM'!$AB$328+'HPM costs-C19RM'!$AB$330)+(SUMPRODUCT(('Fixed Cost-C19RM'!$D$5:$D$202=$D15)*('Fixed Cost-C19RM'!$F$5:$F$202=$F15)*('Fixed Cost-C19RM'!$AC$5:$AC$202)))</f>
        <v>0</v>
      </c>
      <c r="AS15" s="424">
        <f t="shared" si="5"/>
        <v>0</v>
      </c>
      <c r="AT15" s="424"/>
      <c r="AU15" s="951"/>
      <c r="AV15" s="951"/>
      <c r="AW15" s="424" cm="1">
        <f t="array" ref="AW15">('HPM costs-C19RM'!$AE$323+'HPM costs-C19RM'!$AE$329+'HPM costs-C19RM'!$AE$327+'HPM costs-C19RM'!$AE$328+'HPM costs-C19RM'!$AE$330)+(SUMPRODUCT(('Fixed Cost-C19RM'!$D$5:$D$202=$D15)*('Fixed Cost-C19RM'!$F$5:$F$202=$F15)*('Fixed Cost-C19RM'!$AE$5:$AE$202)))</f>
        <v>0</v>
      </c>
      <c r="AX15" s="424" cm="1">
        <f t="array" ref="AX15">('HPM costs-C19RM'!$AF$323+'HPM costs-C19RM'!$AF$329+'HPM costs-C19RM'!$AF$327+'HPM costs-C19RM'!$AF$328+'HPM costs-C19RM'!$AF$330)+(SUMPRODUCT(('Fixed Cost-C19RM'!$D$5:$D$202=$D15)*('Fixed Cost-C19RM'!$F$5:$F$202=$F15)*('Fixed Cost-C19RM'!$AF$5:$AF$202)))</f>
        <v>0</v>
      </c>
      <c r="AY15" s="424" cm="1">
        <f t="array" ref="AY15">('HPM costs-C19RM'!$AG$323+'HPM costs-C19RM'!$AG$329+'HPM costs-C19RM'!$AG$327+'HPM costs-C19RM'!$AG$328+'HPM costs-C19RM'!$AG$330)+(SUMPRODUCT(('Fixed Cost-C19RM'!$D$5:$D$202=$D15)*('Fixed Cost-C19RM'!$F$5:$F$202=$F15)*('Fixed Cost-C19RM'!$AG$5:$AG$202)))</f>
        <v>0</v>
      </c>
      <c r="AZ15" s="424" cm="1">
        <f t="array" ref="AZ15">('HPM costs-C19RM'!$AH$323+'HPM costs-C19RM'!$AH$329+'HPM costs-C19RM'!$AH$327+'HPM costs-C19RM'!$AH$328+'HPM costs-C19RM'!$AH$330)+(SUMPRODUCT(('Fixed Cost-C19RM'!$D$5:$D$202=$D15)*('Fixed Cost-C19RM'!$F$5:$F$202=$F15)*('Fixed Cost-C19RM'!$AH$5:$AH$202)))</f>
        <v>0</v>
      </c>
      <c r="BA15" s="424">
        <f t="shared" si="6"/>
        <v>0</v>
      </c>
      <c r="BB15" s="424"/>
      <c r="BC15" s="951"/>
      <c r="BD15" s="951"/>
      <c r="BE15" s="424">
        <v>0</v>
      </c>
      <c r="BF15" s="424">
        <v>0</v>
      </c>
      <c r="BG15" s="424">
        <v>0</v>
      </c>
      <c r="BH15" s="424">
        <v>0</v>
      </c>
      <c r="BI15" s="424">
        <f t="shared" si="7"/>
        <v>0</v>
      </c>
      <c r="BJ15" s="424"/>
      <c r="BK15" s="424">
        <f t="shared" si="8"/>
        <v>0</v>
      </c>
      <c r="BL15" s="424"/>
      <c r="BM15" s="142"/>
      <c r="BN15" s="425"/>
      <c r="BP15" s="274" t="str">
        <f t="shared" si="1"/>
        <v>No</v>
      </c>
      <c r="BR15" t="str">
        <f>IF(((IFERROR(INDEX('Fixed Cost-C19RM'!$AO$5:$AO$202,MATCH(BS15&amp;C15&amp;D15&amp;F15,'Fixed Cost-C19RM'!$A$5:$A$202,0)),0)))&gt;0,"Yes","NO")</f>
        <v>NO</v>
      </c>
      <c r="BS15" s="286" t="s">
        <v>83</v>
      </c>
      <c r="BT15" t="s">
        <v>3156</v>
      </c>
      <c r="BU15" s="411" t="s">
        <v>3601</v>
      </c>
    </row>
    <row r="16" spans="1:95" ht="39" customHeight="1" x14ac:dyDescent="0.35">
      <c r="A16" s="364"/>
      <c r="B16" s="363" t="str">
        <f>PMsheet!$AH$94&amp;'Detailed BudgetC19RM'!BU16</f>
        <v>000P23HP1111</v>
      </c>
      <c r="C16" s="315" t="s">
        <v>2749</v>
      </c>
      <c r="D16" s="315" t="s">
        <v>3119</v>
      </c>
      <c r="E16" s="261" t="s">
        <v>3120</v>
      </c>
      <c r="F16" s="314" t="s">
        <v>3121</v>
      </c>
      <c r="G16" s="315">
        <f ca="1">SETUP!$T$2</f>
        <v>0</v>
      </c>
      <c r="H16" s="315" t="str">
        <f>IF(SETUP!$E$3="","","National/Country Level")</f>
        <v/>
      </c>
      <c r="I16" s="315" t="str">
        <f>IFERROR(IF(INDEX('Master Data-C19RM'!$E$8:$E$18,MATCH((INDEX(SETUP!$E$20:$E$34,MATCH('Detailed BudgetC19RM'!BQ16,SETUP!$D$20:$D$34,0))),'Master Data-C19RM'!$D$8:$D$18,0))="Implementer's name",SETUP!$J$5,INDEX('Master Data-C19RM'!$E$8:$E$18,MATCH((INDEX(SETUP!$E$20:$E$34,MATCH('Detailed BudgetC19RM'!BQ16,SETUP!$D$20:$D$34,0))),'Master Data-C19RM'!$D$8:$D$18,0))),"Pls select HPMT Category in ' BQ ' column")</f>
        <v>Not Applicable</v>
      </c>
      <c r="J16" s="315" t="s">
        <v>707</v>
      </c>
      <c r="K16" s="315">
        <f t="shared" si="0"/>
        <v>0</v>
      </c>
      <c r="L16" s="315"/>
      <c r="M16" s="315">
        <f>SETUP!$E$7</f>
        <v>0</v>
      </c>
      <c r="N16" s="315"/>
      <c r="O16" s="315"/>
      <c r="P16" s="315"/>
      <c r="Q16" s="917" cm="1">
        <f t="array" ref="Q16">(SUMPRODUCT(('Cashflow Summary C19RM'!$B$5:$B$100="C19RM 2021-Lab &amp; Other HPS")*('Cashflow Summary C19RM'!$A$5:$A$100=1)*(1*('Cashflow Summary C19RM'!$BC$5:$BC$100="5.4 Rapid Diagnostic Tests"))*('Cashflow Summary C19RM'!$R$5:$R$100)))</f>
        <v>0</v>
      </c>
      <c r="R16" s="917" cm="1">
        <f t="array" ref="R16">(SUMPRODUCT(('Cashflow Summary C19RM'!$B$5:$B$100="C19RM 2021-Lab &amp; Other HPS")*('Cashflow Summary C19RM'!$A$5:$A$100=1)*(1*('Cashflow Summary C19RM'!$BC$5:$BC$100="5.4 Rapid Diagnostic Tests"))*('Cashflow Summary C19RM'!$S$5:$S$100)))</f>
        <v>0</v>
      </c>
      <c r="S16" s="917" cm="1">
        <f t="array" ref="S16">(SUMPRODUCT(('Cashflow Summary C19RM'!$B$5:$B$100="C19RM 2021-Lab &amp; Other HPS")*('Cashflow Summary C19RM'!$A$5:$A$100=1)*(1*('Cashflow Summary C19RM'!$BC$5:$BC$100="5.4 Rapid Diagnostic Tests"))*('Cashflow Summary C19RM'!$T$5:$T$100)))</f>
        <v>0</v>
      </c>
      <c r="T16" s="917" cm="1">
        <f t="array" ref="T16">(SUMPRODUCT(('Cashflow Summary C19RM'!$B$5:$B$100="C19RM 2021-Lab &amp; Other HPS")*('Cashflow Summary C19RM'!$A$5:$A$100=1)*(1*('Cashflow Summary C19RM'!$BC$5:$BC$100="5.4 Rapid Diagnostic Tests"))*('Cashflow Summary C19RM'!$U$5:$U$100)))</f>
        <v>0</v>
      </c>
      <c r="U16" s="948">
        <f t="shared" si="2"/>
        <v>0</v>
      </c>
      <c r="V16" s="424"/>
      <c r="W16" s="424"/>
      <c r="X16" s="424"/>
      <c r="Y16" s="424" cm="1">
        <f t="array" ref="Y16">(SUMPRODUCT(('Cashflow Summary C19RM'!$B$5:$B$100="C19RM 2021-Lab &amp; Other HPS")*('Cashflow Summary C19RM'!$A$5:$A$100=1)*(1*('Cashflow Summary C19RM'!$BC$5:$BC$100="5.4 Rapid Diagnostic Tests"))*('Cashflow Summary C19RM'!$V$5:$V$100)))</f>
        <v>0</v>
      </c>
      <c r="Z16" s="424" cm="1">
        <f t="array" ref="Z16">(SUMPRODUCT(('Cashflow Summary C19RM'!$B$5:$B$100="C19RM 2021-Lab &amp; Other HPS")*('Cashflow Summary C19RM'!$A$5:$A$100=1)*(1*('Cashflow Summary C19RM'!$BC$5:$BC$100="5.4 Rapid Diagnostic Tests"))*('Cashflow Summary C19RM'!$W$5:$W$100)))</f>
        <v>0</v>
      </c>
      <c r="AA16" s="424" cm="1">
        <f t="array" ref="AA16">(SUMPRODUCT(('Cashflow Summary C19RM'!$B$5:$B$100="C19RM 2021-Lab &amp; Other HPS")*('Cashflow Summary C19RM'!$A$5:$A$100=1)*(1*('Cashflow Summary C19RM'!$BC$5:$BC$100="5.4 Rapid Diagnostic Tests"))*('Cashflow Summary C19RM'!$X$5:$X$100)))</f>
        <v>0</v>
      </c>
      <c r="AB16" s="424" cm="1">
        <f t="array" ref="AB16">(SUMPRODUCT(('Cashflow Summary C19RM'!$B$5:$B$100="C19RM 2021-Lab &amp; Other HPS")*('Cashflow Summary C19RM'!$A$5:$A$100=1)*(1*('Cashflow Summary C19RM'!$BC$5:$BC$100="5.4 Rapid Diagnostic Tests"))*('Cashflow Summary C19RM'!$Y$5:$Y$100)))</f>
        <v>0</v>
      </c>
      <c r="AC16" s="424">
        <f t="shared" si="3"/>
        <v>0</v>
      </c>
      <c r="AD16" s="424"/>
      <c r="AE16" s="424"/>
      <c r="AF16" s="424"/>
      <c r="AG16" s="424" cm="1">
        <f t="array" ref="AG16">(SUMPRODUCT(('Cashflow Summary C19RM'!$B$5:$B$100="C19RM 2021-Lab &amp; Other HPS")*('Cashflow Summary C19RM'!$A$5:$A$100=1)*(1*('Cashflow Summary C19RM'!$BC$5:$BC$100="5.4 Rapid Diagnostic Tests"))*('Cashflow Summary C19RM'!$Z$5:$Z$100)))</f>
        <v>0</v>
      </c>
      <c r="AH16" s="424" cm="1">
        <f t="array" ref="AH16">(SUMPRODUCT(('Cashflow Summary C19RM'!$B$5:$B$100="C19RM 2021-Lab &amp; Other HPS")*('Cashflow Summary C19RM'!$A$5:$A$100=1)*(1*('Cashflow Summary C19RM'!$BC$5:$BC$100="5.4 Rapid Diagnostic Tests"))*('Cashflow Summary C19RM'!$AA$5:$AA$100)))</f>
        <v>0</v>
      </c>
      <c r="AI16" s="424" cm="1">
        <f t="array" ref="AI16">(SUMPRODUCT(('Cashflow Summary C19RM'!$B$5:$B$100="C19RM 2021-Lab &amp; Other HPS")*('Cashflow Summary C19RM'!$A$5:$A$100=1)*(1*('Cashflow Summary C19RM'!$BC$5:$BC$100="5.4 Rapid Diagnostic Tests"))*('Cashflow Summary C19RM'!$AB$5:$AB$100)))</f>
        <v>0</v>
      </c>
      <c r="AJ16" s="424" cm="1">
        <f t="array" ref="AJ16">(SUMPRODUCT(('Cashflow Summary C19RM'!$B$5:$B$100="C19RM 2021-Lab &amp; Other HPS")*('Cashflow Summary C19RM'!$A$5:$A$100=1)*(1*('Cashflow Summary C19RM'!$BC$5:$BC$100="5.4 Rapid Diagnostic Tests"))*('Cashflow Summary C19RM'!$AC$5:$AC$100)))</f>
        <v>0</v>
      </c>
      <c r="AK16" s="424">
        <f t="shared" si="4"/>
        <v>0</v>
      </c>
      <c r="AL16" s="424"/>
      <c r="AM16" s="424"/>
      <c r="AN16" s="424"/>
      <c r="AO16" s="424" cm="1">
        <f t="array" ref="AO16">(SUMPRODUCT(('Cashflow Summary C19RM'!$B$5:$B$100="C19RM 2021-Lab &amp; Other HPS")*('Cashflow Summary C19RM'!$A$5:$A$100=1)*(1*('Cashflow Summary C19RM'!$BC$5:$BC$100="5.4 Rapid Diagnostic Tests"))*('Cashflow Summary C19RM'!$AD$5:$AD$100)))</f>
        <v>0</v>
      </c>
      <c r="AP16" s="424" cm="1">
        <f t="array" ref="AP16">(SUMPRODUCT(('Cashflow Summary C19RM'!$B$5:$B$100="C19RM 2021-Lab &amp; Other HPS")*('Cashflow Summary C19RM'!$A$5:$A$100=1)*(1*('Cashflow Summary C19RM'!$BC$5:$BC$100="5.4 Rapid Diagnostic Tests"))*('Cashflow Summary C19RM'!$AE$5:$AE$100)))</f>
        <v>0</v>
      </c>
      <c r="AQ16" s="424" cm="1">
        <f t="array" ref="AQ16">(SUMPRODUCT(('Cashflow Summary C19RM'!$B$5:$B$100="C19RM 2021-Lab &amp; Other HPS")*('Cashflow Summary C19RM'!$A$5:$A$100=1)*(1*('Cashflow Summary C19RM'!$BC$5:$BC$100="5.4 Rapid Diagnostic Tests"))*('Cashflow Summary C19RM'!$AF$5:$AF$100)))</f>
        <v>0</v>
      </c>
      <c r="AR16" s="424" cm="1">
        <f t="array" ref="AR16">(SUMPRODUCT(('Cashflow Summary C19RM'!$B$5:$B$100="C19RM 2021-Lab &amp; Other HPS")*('Cashflow Summary C19RM'!$A$5:$A$100=1)*(1*('Cashflow Summary C19RM'!$BC$5:$BC$100="5.4 Rapid Diagnostic Tests"))*('Cashflow Summary C19RM'!$AG$5:$AG$100)))</f>
        <v>0</v>
      </c>
      <c r="AS16" s="424">
        <f t="shared" si="5"/>
        <v>0</v>
      </c>
      <c r="AT16" s="424"/>
      <c r="AU16" s="424"/>
      <c r="AV16" s="424"/>
      <c r="AW16" s="424" cm="1">
        <f t="array" ref="AW16">(SUMPRODUCT(('Cashflow Summary C19RM'!$B$5:$B$100="C19RM 2021-Lab &amp; Other HPS")*('Cashflow Summary C19RM'!$A$5:$A$100=1)*(1*('Cashflow Summary C19RM'!$BC$5:$BC$100="5.4 Rapid Diagnostic Tests"))*('Cashflow Summary C19RM'!$AH$5:$AH$100)))</f>
        <v>0</v>
      </c>
      <c r="AX16" s="424" cm="1">
        <f t="array" ref="AX16">(SUMPRODUCT(('Cashflow Summary C19RM'!$B$5:$B$100="C19RM 2021-Lab &amp; Other HPS")*('Cashflow Summary C19RM'!$A$5:$A$100=1)*(1*('Cashflow Summary C19RM'!$BC$5:$BC$100="5.4 Rapid Diagnostic Tests"))*('Cashflow Summary C19RM'!$AI$5:$AI$100)))</f>
        <v>0</v>
      </c>
      <c r="AY16" s="424" cm="1">
        <f t="array" ref="AY16">(SUMPRODUCT(('Cashflow Summary C19RM'!$B$5:$B$100="C19RM 2021-Lab &amp; Other HPS")*('Cashflow Summary C19RM'!$A$5:$A$100=1)*(1*('Cashflow Summary C19RM'!$BC$5:$BC$100="5.4 Rapid Diagnostic Tests"))*('Cashflow Summary C19RM'!$AJ$5:$AJ$100)))</f>
        <v>0</v>
      </c>
      <c r="AZ16" s="424" cm="1">
        <f t="array" ref="AZ16">(SUMPRODUCT(('Cashflow Summary C19RM'!$B$5:$B$100="C19RM 2021-Lab &amp; Other HPS")*('Cashflow Summary C19RM'!$A$5:$A$100=1)*(1*('Cashflow Summary C19RM'!$BC$5:$BC$100="5.4 Rapid Diagnostic Tests"))*('Cashflow Summary C19RM'!$AK$5:$AK$100)))</f>
        <v>0</v>
      </c>
      <c r="BA16" s="424">
        <f t="shared" si="6"/>
        <v>0</v>
      </c>
      <c r="BB16" s="424"/>
      <c r="BC16" s="424"/>
      <c r="BD16" s="424"/>
      <c r="BE16" s="424" cm="1">
        <f t="array" ref="BE16">(SUMPRODUCT(('Cashflow Summary C19RM'!$B$5:$B$100="C19RM 2021-Lab &amp; Other HPS")*('Cashflow Summary C19RM'!$A$5:$A$100=1)*(1*('Cashflow Summary C19RM'!$BC$5:$BC$100="5.4 Rapid Diagnostic Tests"))*('Cashflow Summary C19RM'!$AL$5:$AL$100)))</f>
        <v>0</v>
      </c>
      <c r="BF16" s="424" cm="1">
        <f t="array" ref="BF16">(SUMPRODUCT(('Cashflow Summary C19RM'!$B$5:$B$100="C19RM 2021-Lab &amp; Other HPS")*('Cashflow Summary C19RM'!$A$5:$A$100=1)*(1*('Cashflow Summary C19RM'!$BC$5:$BC$100="5.4 Rapid Diagnostic Tests"))*('Cashflow Summary C19RM'!$AM$5:$AM$100)))</f>
        <v>0</v>
      </c>
      <c r="BG16" s="424" cm="1">
        <f t="array" ref="BG16">(SUMPRODUCT(('Cashflow Summary C19RM'!$B$5:$B$100="C19RM 2021-Lab &amp; Other HPS")*('Cashflow Summary C19RM'!$A$5:$A$100=1)*(1*('Cashflow Summary C19RM'!$BC$5:$BC$100="5.4 Rapid Diagnostic Tests"))*('Cashflow Summary C19RM'!$AN$5:$AN$100)))</f>
        <v>0</v>
      </c>
      <c r="BH16" s="424" cm="1">
        <f t="array" ref="BH16">(SUMPRODUCT(('Cashflow Summary C19RM'!$B$5:$B$100="C19RM 2021-Lab &amp; Other HPS")*('Cashflow Summary C19RM'!$A$5:$A$100=1)*(1*('Cashflow Summary C19RM'!$BC$5:$BC$100="5.4 Rapid Diagnostic Tests"))*('Cashflow Summary C19RM'!$AO$5:$AO$100)))</f>
        <v>0</v>
      </c>
      <c r="BI16" s="424">
        <f t="shared" si="7"/>
        <v>0</v>
      </c>
      <c r="BJ16" s="424"/>
      <c r="BK16" s="424">
        <f t="shared" si="8"/>
        <v>0</v>
      </c>
      <c r="BL16" s="424"/>
      <c r="BM16" s="142"/>
      <c r="BN16" s="425"/>
      <c r="BP16" s="274" t="str">
        <f t="shared" si="1"/>
        <v>No</v>
      </c>
      <c r="BQ16" t="s">
        <v>11</v>
      </c>
      <c r="BS16" s="286" t="s">
        <v>83</v>
      </c>
      <c r="BT16" t="s">
        <v>3318</v>
      </c>
      <c r="BU16" s="411" t="s">
        <v>3602</v>
      </c>
    </row>
    <row r="17" spans="1:108" ht="39" customHeight="1" x14ac:dyDescent="0.35">
      <c r="A17" s="364"/>
      <c r="B17" s="363" t="str">
        <f>PMsheet!$AH$94&amp;'Detailed BudgetC19RM'!BU17</f>
        <v>000P23HP1112</v>
      </c>
      <c r="C17" s="315" t="s">
        <v>2749</v>
      </c>
      <c r="D17" s="315" t="s">
        <v>3119</v>
      </c>
      <c r="E17" s="261" t="s">
        <v>3122</v>
      </c>
      <c r="F17" s="314" t="s">
        <v>3123</v>
      </c>
      <c r="G17" s="315">
        <f ca="1">SETUP!$T$2</f>
        <v>0</v>
      </c>
      <c r="H17" s="315" t="str">
        <f>IF(SETUP!$E$3="","","National/Country Level")</f>
        <v/>
      </c>
      <c r="I17" s="315" t="str">
        <f>IFERROR(IF(INDEX('Master Data-C19RM'!$E$8:$E$18,MATCH((INDEX(SETUP!$E$20:$E$34,MATCH('Detailed BudgetC19RM'!BQ17,SETUP!$D$20:$D$34,0))),'Master Data-C19RM'!$D$8:$D$18,0))="Implementer's name",SETUP!$J$5,INDEX('Master Data-C19RM'!$E$8:$E$18,MATCH((INDEX(SETUP!$E$20:$E$34,MATCH('Detailed BudgetC19RM'!BQ17,SETUP!$D$20:$D$34,0))),'Master Data-C19RM'!$D$8:$D$18,0))),"Pls select HPMT Category in ' BQ ' column")</f>
        <v>Not Applicable</v>
      </c>
      <c r="J17" s="315" t="s">
        <v>707</v>
      </c>
      <c r="K17" s="315">
        <f t="shared" si="0"/>
        <v>0</v>
      </c>
      <c r="L17" s="315"/>
      <c r="M17" s="315">
        <f>SETUP!$E$7</f>
        <v>0</v>
      </c>
      <c r="N17" s="315"/>
      <c r="O17" s="315"/>
      <c r="P17" s="315"/>
      <c r="Q17" s="917" cm="1">
        <f t="array" ref="Q17">(SUMPRODUCT(('Cashflow Summary C19RM'!$B$5:$B$100="C19RM 2021-Lab &amp; Other HPS")*('Cashflow Summary C19RM'!$A$5:$A$100=1)*1*('Cashflow Summary C19RM'!$BC$5:$BC$100="5.6 Other laboratory reagents, test kits and consumables")*('Cashflow Summary C19RM'!$R$5:$R$100)))</f>
        <v>0</v>
      </c>
      <c r="R17" s="917" cm="1">
        <f t="array" ref="R17">(SUMPRODUCT(('Cashflow Summary C19RM'!$B$5:$B$100="C19RM 2021-Lab &amp; Other HPS")*('Cashflow Summary C19RM'!$A$5:$A$100=1)*1*('Cashflow Summary C19RM'!$BC$5:$BC$100="5.6 Other laboratory reagents, test kits and consumables")*('Cashflow Summary C19RM'!$S$5:$S$100)))</f>
        <v>0</v>
      </c>
      <c r="S17" s="917" cm="1">
        <f t="array" ref="S17">(SUMPRODUCT(('Cashflow Summary C19RM'!$B$5:$B$100="C19RM 2021-Lab &amp; Other HPS")*('Cashflow Summary C19RM'!$A$5:$A$100=1)*1*('Cashflow Summary C19RM'!$BC$5:$BC$100="5.6 Other laboratory reagents, test kits and consumables")*('Cashflow Summary C19RM'!$T$5:$T$100)))</f>
        <v>0</v>
      </c>
      <c r="T17" s="917" cm="1">
        <f t="array" ref="T17">(SUMPRODUCT(('Cashflow Summary C19RM'!$B$5:$B$100="C19RM 2021-Lab &amp; Other HPS")*('Cashflow Summary C19RM'!$A$5:$A$100=1)*1*('Cashflow Summary C19RM'!$BC$5:$BC$100="5.6 Other laboratory reagents, test kits and consumables")*('Cashflow Summary C19RM'!$U$5:$U$100)))</f>
        <v>0</v>
      </c>
      <c r="U17" s="948">
        <f t="shared" si="2"/>
        <v>0</v>
      </c>
      <c r="V17" s="424"/>
      <c r="W17" s="424"/>
      <c r="X17" s="424"/>
      <c r="Y17" s="424" cm="1">
        <f t="array" ref="Y17">(SUMPRODUCT(('Cashflow Summary C19RM'!$B$5:$B$100="C19RM 2021-Lab &amp; Other HPS")*('Cashflow Summary C19RM'!$A$5:$A$100=1)*1*('Cashflow Summary C19RM'!$BC$5:$BC$100="5.6 Other laboratory reagents, test kits and consumables")*('Cashflow Summary C19RM'!$V$5:$V$100)))</f>
        <v>0</v>
      </c>
      <c r="Z17" s="424" cm="1">
        <f t="array" ref="Z17">(SUMPRODUCT(('Cashflow Summary C19RM'!$B$5:$B$100="C19RM 2021-Lab &amp; Other HPS")*('Cashflow Summary C19RM'!$A$5:$A$100=1)*1*('Cashflow Summary C19RM'!$BC$5:$BC$100="5.6 Other laboratory reagents, test kits and consumables")*('Cashflow Summary C19RM'!$W$5:$W$100)))</f>
        <v>0</v>
      </c>
      <c r="AA17" s="424" cm="1">
        <f t="array" ref="AA17">(SUMPRODUCT(('Cashflow Summary C19RM'!$B$5:$B$100="C19RM 2021-Lab &amp; Other HPS")*('Cashflow Summary C19RM'!$A$5:$A$100=1)*1*('Cashflow Summary C19RM'!$BC$5:$BC$100="5.6 Other laboratory reagents, test kits and consumables")*('Cashflow Summary C19RM'!$X$5:$X$100)))</f>
        <v>0</v>
      </c>
      <c r="AB17" s="424" cm="1">
        <f t="array" ref="AB17">(SUMPRODUCT(('Cashflow Summary C19RM'!$B$5:$B$100="C19RM 2021-Lab &amp; Other HPS")*('Cashflow Summary C19RM'!$A$5:$A$100=1)*1*('Cashflow Summary C19RM'!$BC$5:$BC$100="5.6 Other laboratory reagents, test kits and consumables")*('Cashflow Summary C19RM'!$Y$5:$Y$100)))</f>
        <v>0</v>
      </c>
      <c r="AC17" s="424">
        <f t="shared" si="3"/>
        <v>0</v>
      </c>
      <c r="AD17" s="424"/>
      <c r="AE17" s="424"/>
      <c r="AF17" s="424"/>
      <c r="AG17" s="424" cm="1">
        <f t="array" ref="AG17">(SUMPRODUCT(('Cashflow Summary C19RM'!$B$5:$B$100="C19RM 2021-Lab &amp; Other HPS")*('Cashflow Summary C19RM'!$A$5:$A$100=1)*1*('Cashflow Summary C19RM'!$BC$5:$BC$100="5.6 Other laboratory reagents, test kits and consumables")*('Cashflow Summary C19RM'!$Z$5:$Z$100)))</f>
        <v>0</v>
      </c>
      <c r="AH17" s="424" cm="1">
        <f t="array" ref="AH17">(SUMPRODUCT(('Cashflow Summary C19RM'!$B$5:$B$100="C19RM 2021-Lab &amp; Other HPS")*('Cashflow Summary C19RM'!$A$5:$A$100=1)*1*('Cashflow Summary C19RM'!$BC$5:$BC$100="5.6 Other laboratory reagents, test kits and consumables")*('Cashflow Summary C19RM'!$AA$5:$AA$100)))</f>
        <v>0</v>
      </c>
      <c r="AI17" s="424" cm="1">
        <f t="array" ref="AI17">(SUMPRODUCT(('Cashflow Summary C19RM'!$B$5:$B$100="C19RM 2021-Lab &amp; Other HPS")*('Cashflow Summary C19RM'!$A$5:$A$100=1)*1*('Cashflow Summary C19RM'!$BC$5:$BC$100="5.6 Other laboratory reagents, test kits and consumables")*('Cashflow Summary C19RM'!$AB$5:$AB$100)))</f>
        <v>0</v>
      </c>
      <c r="AJ17" s="424" cm="1">
        <f t="array" ref="AJ17">(SUMPRODUCT(('Cashflow Summary C19RM'!$B$5:$B$100="C19RM 2021-Lab &amp; Other HPS")*('Cashflow Summary C19RM'!$A$5:$A$100=1)*1*('Cashflow Summary C19RM'!$BC$5:$BC$100="5.6 Other laboratory reagents, test kits and consumables")*('Cashflow Summary C19RM'!$AC$5:$AC$100)))</f>
        <v>0</v>
      </c>
      <c r="AK17" s="424">
        <f t="shared" si="4"/>
        <v>0</v>
      </c>
      <c r="AL17" s="424"/>
      <c r="AM17" s="424"/>
      <c r="AN17" s="424"/>
      <c r="AO17" s="424" cm="1">
        <f t="array" ref="AO17">(SUMPRODUCT(('Cashflow Summary C19RM'!$B$5:$B$100="C19RM 2021-Lab &amp; Other HPS")*('Cashflow Summary C19RM'!$A$5:$A$100=1)*1*('Cashflow Summary C19RM'!$BC$5:$BC$100="5.6 Other laboratory reagents, test kits and consumables")*('Cashflow Summary C19RM'!$AD$5:$AD$100)))</f>
        <v>0</v>
      </c>
      <c r="AP17" s="424" cm="1">
        <f t="array" ref="AP17">(SUMPRODUCT(('Cashflow Summary C19RM'!$B$5:$B$100="C19RM 2021-Lab &amp; Other HPS")*('Cashflow Summary C19RM'!$A$5:$A$100=1)*1*('Cashflow Summary C19RM'!$BC$5:$BC$100="5.6 Other laboratory reagents, test kits and consumables")*('Cashflow Summary C19RM'!$AE$5:$AE$100)))</f>
        <v>0</v>
      </c>
      <c r="AQ17" s="424" cm="1">
        <f t="array" ref="AQ17">(SUMPRODUCT(('Cashflow Summary C19RM'!$B$5:$B$100="C19RM 2021-Lab &amp; Other HPS")*('Cashflow Summary C19RM'!$A$5:$A$100=1)*1*('Cashflow Summary C19RM'!$BC$5:$BC$100="5.6 Other laboratory reagents, test kits and consumables")*('Cashflow Summary C19RM'!$AF$5:$AF$100)))</f>
        <v>0</v>
      </c>
      <c r="AR17" s="424" cm="1">
        <f t="array" ref="AR17">(SUMPRODUCT(('Cashflow Summary C19RM'!$B$5:$B$100="C19RM 2021-Lab &amp; Other HPS")*('Cashflow Summary C19RM'!$A$5:$A$100=1)*1*('Cashflow Summary C19RM'!$BC$5:$BC$100="5.6 Other laboratory reagents, test kits and consumables")*('Cashflow Summary C19RM'!$AG$5:$AG$100)))</f>
        <v>0</v>
      </c>
      <c r="AS17" s="424">
        <f t="shared" si="5"/>
        <v>0</v>
      </c>
      <c r="AT17" s="424"/>
      <c r="AU17" s="424"/>
      <c r="AV17" s="424"/>
      <c r="AW17" s="424" cm="1">
        <f t="array" ref="AW17">(SUMPRODUCT(('Cashflow Summary C19RM'!$B$5:$B$100="C19RM 2021-Lab &amp; Other HPS")*('Cashflow Summary C19RM'!$A$5:$A$100=1)*1*('Cashflow Summary C19RM'!$BC$5:$BC$100="5.6 Other laboratory reagents, test kits and consumables")*('Cashflow Summary C19RM'!$AH$5:$AH$100)))</f>
        <v>0</v>
      </c>
      <c r="AX17" s="424" cm="1">
        <f t="array" ref="AX17">(SUMPRODUCT(('Cashflow Summary C19RM'!$B$5:$B$100="C19RM 2021-Lab &amp; Other HPS")*('Cashflow Summary C19RM'!$A$5:$A$100=1)*1*('Cashflow Summary C19RM'!$BC$5:$BC$100="5.6 Other laboratory reagents, test kits and consumables")*('Cashflow Summary C19RM'!$AI$5:$AI$100)))</f>
        <v>0</v>
      </c>
      <c r="AY17" s="424" cm="1">
        <f t="array" ref="AY17">(SUMPRODUCT(('Cashflow Summary C19RM'!$B$5:$B$100="C19RM 2021-Lab &amp; Other HPS")*('Cashflow Summary C19RM'!$A$5:$A$100=1)*1*('Cashflow Summary C19RM'!$BC$5:$BC$100="5.6 Other laboratory reagents, test kits and consumables")*('Cashflow Summary C19RM'!$AJ$5:$AJ$100)))</f>
        <v>0</v>
      </c>
      <c r="AZ17" s="424" cm="1">
        <f t="array" ref="AZ17">(SUMPRODUCT(('Cashflow Summary C19RM'!$B$5:$B$100="C19RM 2021-Lab &amp; Other HPS")*('Cashflow Summary C19RM'!$A$5:$A$100=1)*1*('Cashflow Summary C19RM'!$BC$5:$BC$100="5.6 Other laboratory reagents, test kits and consumables")*('Cashflow Summary C19RM'!$AK$5:$AK$100)))</f>
        <v>0</v>
      </c>
      <c r="BA17" s="424">
        <f t="shared" si="6"/>
        <v>0</v>
      </c>
      <c r="BB17" s="424"/>
      <c r="BC17" s="424"/>
      <c r="BD17" s="424"/>
      <c r="BE17" s="424" cm="1">
        <f t="array" ref="BE17">(SUMPRODUCT(('Cashflow Summary C19RM'!$B$5:$B$100="C19RM 2021-Lab &amp; Other HPS")*('Cashflow Summary C19RM'!$A$5:$A$100=1)*1*('Cashflow Summary C19RM'!$BC$5:$BC$100="5.6 Other laboratory reagents, test kits and consumables")*('Cashflow Summary C19RM'!$AL$5:$AL$100)))</f>
        <v>0</v>
      </c>
      <c r="BF17" s="424" cm="1">
        <f t="array" ref="BF17">(SUMPRODUCT(('Cashflow Summary C19RM'!$B$5:$B$100="C19RM 2021-Lab &amp; Other HPS")*('Cashflow Summary C19RM'!$A$5:$A$100=1)*1*('Cashflow Summary C19RM'!$BC$5:$BC$100="5.6 Other laboratory reagents, test kits and consumables")*('Cashflow Summary C19RM'!$AM$5:$AM$100)))</f>
        <v>0</v>
      </c>
      <c r="BG17" s="424" cm="1">
        <f t="array" ref="BG17">(SUMPRODUCT(('Cashflow Summary C19RM'!$B$5:$B$100="C19RM 2021-Lab &amp; Other HPS")*('Cashflow Summary C19RM'!$A$5:$A$100=1)*1*('Cashflow Summary C19RM'!$BC$5:$BC$100="5.6 Other laboratory reagents, test kits and consumables")*('Cashflow Summary C19RM'!$AN$5:$AN$100)))</f>
        <v>0</v>
      </c>
      <c r="BH17" s="424" cm="1">
        <f t="array" ref="BH17">(SUMPRODUCT(('Cashflow Summary C19RM'!$B$5:$B$100="C19RM 2021-Lab &amp; Other HPS")*('Cashflow Summary C19RM'!$A$5:$A$100=1)*1*('Cashflow Summary C19RM'!$BC$5:$BC$100="5.6 Other laboratory reagents, test kits and consumables")*('Cashflow Summary C19RM'!$AO$5:$AO$100)))</f>
        <v>0</v>
      </c>
      <c r="BI17" s="424">
        <f t="shared" si="7"/>
        <v>0</v>
      </c>
      <c r="BJ17" s="424"/>
      <c r="BK17" s="424">
        <f t="shared" si="8"/>
        <v>0</v>
      </c>
      <c r="BL17" s="424"/>
      <c r="BM17" s="142"/>
      <c r="BN17" s="425"/>
      <c r="BP17" s="274" t="str">
        <f t="shared" si="1"/>
        <v>No</v>
      </c>
      <c r="BQ17" t="s">
        <v>15</v>
      </c>
      <c r="BS17" s="286" t="s">
        <v>83</v>
      </c>
      <c r="BT17" t="s">
        <v>3316</v>
      </c>
      <c r="BU17" s="411" t="s">
        <v>3603</v>
      </c>
    </row>
    <row r="18" spans="1:108" ht="39" customHeight="1" x14ac:dyDescent="0.35">
      <c r="A18" s="256"/>
      <c r="B18" s="363" t="str">
        <f>PMsheet!$AH$94&amp;'Detailed BudgetC19RM'!BU18</f>
        <v>000P23HP1113</v>
      </c>
      <c r="C18" s="315" t="s">
        <v>2749</v>
      </c>
      <c r="D18" s="315" t="s">
        <v>3119</v>
      </c>
      <c r="E18" s="261" t="s">
        <v>3124</v>
      </c>
      <c r="F18" s="314" t="s">
        <v>181</v>
      </c>
      <c r="G18" s="315">
        <f ca="1">SETUP!$T$2</f>
        <v>0</v>
      </c>
      <c r="H18" s="315" t="str">
        <f>IF(SETUP!$E$3="","","National/Country Level")</f>
        <v/>
      </c>
      <c r="I18" s="315" t="str">
        <f>IFERROR(IF(INDEX('Master Data-C19RM'!$E$8:$E$18,MATCH((INDEX(SETUP!$E$20:$E$34,MATCH('Detailed BudgetC19RM'!BQ18,SETUP!$D$20:$D$34,0))),'Master Data-C19RM'!$D$8:$D$18,0))="Implementer's name",SETUP!$J$5,INDEX('Master Data-C19RM'!$E$8:$E$18,MATCH((INDEX(SETUP!$E$20:$E$34,MATCH('Detailed BudgetC19RM'!BQ18,SETUP!$D$20:$D$34,0))),'Master Data-C19RM'!$D$8:$D$18,0))),"Pls select HPMT Category in ' BQ ' column")</f>
        <v>Not Applicable</v>
      </c>
      <c r="J18" s="315" t="s">
        <v>707</v>
      </c>
      <c r="K18" s="315">
        <f t="shared" si="0"/>
        <v>0</v>
      </c>
      <c r="L18" s="950"/>
      <c r="M18" s="315">
        <f>SETUP!$E$7</f>
        <v>0</v>
      </c>
      <c r="N18" s="950"/>
      <c r="O18" s="950"/>
      <c r="P18" s="950"/>
      <c r="Q18" s="917" cm="1">
        <f t="array" ref="Q18">(SUMPRODUCT(('Cashflow Summary C19RM'!$B$5:$B$100="C19RM 2021-Lab &amp; Other HPS")*('Cashflow Summary C19RM'!$A$5:$A$100=1)*1*('Cashflow Summary C19RM'!$BC$5:$BC$100="5.8 Other consumables")*('Cashflow Summary C19RM'!$R$5:$R$100)))</f>
        <v>0</v>
      </c>
      <c r="R18" s="917" cm="1">
        <f t="array" ref="R18">(SUMPRODUCT(('Cashflow Summary C19RM'!$B$5:$B$100="C19RM 2021-Lab &amp; Other HPS")*('Cashflow Summary C19RM'!$A$5:$A$100=1)*1*('Cashflow Summary C19RM'!$BC$5:$BC$100="5.8 Other consumables")*('Cashflow Summary C19RM'!$S$5:$S$100)))</f>
        <v>0</v>
      </c>
      <c r="S18" s="917" cm="1">
        <f t="array" ref="S18">(SUMPRODUCT(('Cashflow Summary C19RM'!$B$5:$B$100="C19RM 2021-Lab &amp; Other HPS")*('Cashflow Summary C19RM'!$A$5:$A$100=1)*1*('Cashflow Summary C19RM'!$BC$5:$BC$100="5.8 Other consumables")*('Cashflow Summary C19RM'!$T$5:$T$100)))</f>
        <v>0</v>
      </c>
      <c r="T18" s="917" cm="1">
        <f t="array" ref="T18">(SUMPRODUCT(('Cashflow Summary C19RM'!$B$5:$B$100="C19RM 2021-Lab &amp; Other HPS")*('Cashflow Summary C19RM'!$A$5:$A$100=1)*1*('Cashflow Summary C19RM'!$BC$5:$BC$100="5.8 Other consumables")*('Cashflow Summary C19RM'!$U$5:$U$100)))</f>
        <v>0</v>
      </c>
      <c r="U18" s="948">
        <f t="shared" si="2"/>
        <v>0</v>
      </c>
      <c r="V18" s="424"/>
      <c r="W18" s="951"/>
      <c r="X18" s="951"/>
      <c r="Y18" s="424" cm="1">
        <f t="array" ref="Y18">(SUMPRODUCT(('Cashflow Summary C19RM'!$B$5:$B$100="C19RM 2021-Lab &amp; Other HPS")*('Cashflow Summary C19RM'!$A$5:$A$100=1)*1*('Cashflow Summary C19RM'!$BC$5:$BC$100="5.8 Other consumables")*('Cashflow Summary C19RM'!$V$5:$V$100)))</f>
        <v>0</v>
      </c>
      <c r="Z18" s="424" cm="1">
        <f t="array" ref="Z18">(SUMPRODUCT(('Cashflow Summary C19RM'!$B$5:$B$100="C19RM 2021-Lab &amp; Other HPS")*('Cashflow Summary C19RM'!$A$5:$A$100=1)*1*('Cashflow Summary C19RM'!$BC$5:$BC$100="5.8 Other consumables")*('Cashflow Summary C19RM'!$W$5:$W$100)))</f>
        <v>0</v>
      </c>
      <c r="AA18" s="424" cm="1">
        <f t="array" ref="AA18">(SUMPRODUCT(('Cashflow Summary C19RM'!$B$5:$B$100="C19RM 2021-Lab &amp; Other HPS")*('Cashflow Summary C19RM'!$A$5:$A$100=1)*1*('Cashflow Summary C19RM'!$BC$5:$BC$100="5.8 Other consumables")*('Cashflow Summary C19RM'!$X$5:$X$100)))</f>
        <v>0</v>
      </c>
      <c r="AB18" s="424" cm="1">
        <f t="array" ref="AB18">(SUMPRODUCT(('Cashflow Summary C19RM'!$B$5:$B$100="C19RM 2021-Lab &amp; Other HPS")*('Cashflow Summary C19RM'!$A$5:$A$100=1)*1*('Cashflow Summary C19RM'!$BC$5:$BC$100="5.8 Other consumables")*('Cashflow Summary C19RM'!$Y$5:$Y$100)))</f>
        <v>0</v>
      </c>
      <c r="AC18" s="424">
        <f t="shared" si="3"/>
        <v>0</v>
      </c>
      <c r="AD18" s="424"/>
      <c r="AE18" s="951"/>
      <c r="AF18" s="951"/>
      <c r="AG18" s="424" cm="1">
        <f t="array" ref="AG18">(SUMPRODUCT(('Cashflow Summary C19RM'!$B$5:$B$100="C19RM 2021-Lab &amp; Other HPS")*('Cashflow Summary C19RM'!$A$5:$A$100=1)*1*('Cashflow Summary C19RM'!$BC$5:$BC$100="5.8 Other consumables")*('Cashflow Summary C19RM'!$Z$5:$Z$100)))</f>
        <v>0</v>
      </c>
      <c r="AH18" s="424" cm="1">
        <f t="array" ref="AH18">(SUMPRODUCT(('Cashflow Summary C19RM'!$B$5:$B$100="C19RM 2021-Lab &amp; Other HPS")*('Cashflow Summary C19RM'!$A$5:$A$100=1)*1*('Cashflow Summary C19RM'!$BC$5:$BC$100="5.8 Other consumables")*('Cashflow Summary C19RM'!$AA$5:$AA$100)))</f>
        <v>0</v>
      </c>
      <c r="AI18" s="424" cm="1">
        <f t="array" ref="AI18">(SUMPRODUCT(('Cashflow Summary C19RM'!$B$5:$B$100="C19RM 2021-Lab &amp; Other HPS")*('Cashflow Summary C19RM'!$A$5:$A$100=1)*1*('Cashflow Summary C19RM'!$BC$5:$BC$100="5.8 Other consumables")*('Cashflow Summary C19RM'!$AB$5:$AB$100)))</f>
        <v>0</v>
      </c>
      <c r="AJ18" s="424" cm="1">
        <f t="array" ref="AJ18">(SUMPRODUCT(('Cashflow Summary C19RM'!$B$5:$B$100="C19RM 2021-Lab &amp; Other HPS")*('Cashflow Summary C19RM'!$A$5:$A$100=1)*1*('Cashflow Summary C19RM'!$BC$5:$BC$100="5.8 Other consumables")*('Cashflow Summary C19RM'!$AC$5:$AC$100)))</f>
        <v>0</v>
      </c>
      <c r="AK18" s="424">
        <f t="shared" si="4"/>
        <v>0</v>
      </c>
      <c r="AL18" s="424"/>
      <c r="AM18" s="951"/>
      <c r="AN18" s="951"/>
      <c r="AO18" s="424" cm="1">
        <f t="array" ref="AO18">(SUMPRODUCT(('Cashflow Summary C19RM'!$B$5:$B$100="C19RM 2021-Lab &amp; Other HPS")*('Cashflow Summary C19RM'!$A$5:$A$100=1)*1*('Cashflow Summary C19RM'!$BC$5:$BC$100="5.8 Other consumables")*('Cashflow Summary C19RM'!$AD$5:$AD$100)))</f>
        <v>0</v>
      </c>
      <c r="AP18" s="424" cm="1">
        <f t="array" ref="AP18">(SUMPRODUCT(('Cashflow Summary C19RM'!$B$5:$B$100="C19RM 2021-Lab &amp; Other HPS")*('Cashflow Summary C19RM'!$A$5:$A$100=1)*1*('Cashflow Summary C19RM'!$BC$5:$BC$100="5.8 Other consumables")*('Cashflow Summary C19RM'!$AE$5:$AE$100)))</f>
        <v>0</v>
      </c>
      <c r="AQ18" s="424" cm="1">
        <f t="array" ref="AQ18">(SUMPRODUCT(('Cashflow Summary C19RM'!$B$5:$B$100="C19RM 2021-Lab &amp; Other HPS")*('Cashflow Summary C19RM'!$A$5:$A$100=1)*1*('Cashflow Summary C19RM'!$BC$5:$BC$100="5.8 Other consumables")*('Cashflow Summary C19RM'!$AF$5:$AF$100)))</f>
        <v>0</v>
      </c>
      <c r="AR18" s="424" cm="1">
        <f t="array" ref="AR18">(SUMPRODUCT(('Cashflow Summary C19RM'!$B$5:$B$100="C19RM 2021-Lab &amp; Other HPS")*('Cashflow Summary C19RM'!$A$5:$A$100=1)*1*('Cashflow Summary C19RM'!$BC$5:$BC$100="5.8 Other consumables")*('Cashflow Summary C19RM'!$AG$5:$AG$100)))</f>
        <v>0</v>
      </c>
      <c r="AS18" s="424">
        <f t="shared" si="5"/>
        <v>0</v>
      </c>
      <c r="AT18" s="424"/>
      <c r="AU18" s="951"/>
      <c r="AV18" s="951"/>
      <c r="AW18" s="424" cm="1">
        <f t="array" ref="AW18">(SUMPRODUCT(('Cashflow Summary C19RM'!$B$5:$B$100="C19RM 2021-Lab &amp; Other HPS")*('Cashflow Summary C19RM'!$A$5:$A$100=1)*1*('Cashflow Summary C19RM'!$BC$5:$BC$100="5.8 Other consumables")*('Cashflow Summary C19RM'!$AH$5:$AH$100)))</f>
        <v>0</v>
      </c>
      <c r="AX18" s="424" cm="1">
        <f t="array" ref="AX18">(SUMPRODUCT(('Cashflow Summary C19RM'!$B$5:$B$100="C19RM 2021-Lab &amp; Other HPS")*('Cashflow Summary C19RM'!$A$5:$A$100=1)*1*('Cashflow Summary C19RM'!$BC$5:$BC$100="5.8 Other consumables")*('Cashflow Summary C19RM'!$AI$5:$AI$100)))</f>
        <v>0</v>
      </c>
      <c r="AY18" s="424" cm="1">
        <f t="array" ref="AY18">(SUMPRODUCT(('Cashflow Summary C19RM'!$B$5:$B$100="C19RM 2021-Lab &amp; Other HPS")*('Cashflow Summary C19RM'!$A$5:$A$100=1)*1*('Cashflow Summary C19RM'!$BC$5:$BC$100="5.8 Other consumables")*('Cashflow Summary C19RM'!$AJ$5:$AJ$100)))</f>
        <v>0</v>
      </c>
      <c r="AZ18" s="424" cm="1">
        <f t="array" ref="AZ18">(SUMPRODUCT(('Cashflow Summary C19RM'!$B$5:$B$100="C19RM 2021-Lab &amp; Other HPS")*('Cashflow Summary C19RM'!$A$5:$A$100=1)*1*('Cashflow Summary C19RM'!$BC$5:$BC$100="5.8 Other consumables")*('Cashflow Summary C19RM'!$AK$5:$AK$100)))</f>
        <v>0</v>
      </c>
      <c r="BA18" s="424">
        <f t="shared" si="6"/>
        <v>0</v>
      </c>
      <c r="BB18" s="424"/>
      <c r="BC18" s="951"/>
      <c r="BD18" s="951"/>
      <c r="BE18" s="424" cm="1">
        <f t="array" ref="BE18">(SUMPRODUCT(('Cashflow Summary C19RM'!$B$5:$B$100="C19RM 2021-Lab &amp; Other HPS")*('Cashflow Summary C19RM'!$A$5:$A$100=1)*1*('Cashflow Summary C19RM'!$BC$5:$BC$100="5.8 Other consumables")*('Cashflow Summary C19RM'!$AL$5:$AL$100)))</f>
        <v>0</v>
      </c>
      <c r="BF18" s="424" cm="1">
        <f t="array" ref="BF18">(SUMPRODUCT(('Cashflow Summary C19RM'!$B$5:$B$100="C19RM 2021-Lab &amp; Other HPS")*('Cashflow Summary C19RM'!$A$5:$A$100=1)*1*('Cashflow Summary C19RM'!$BC$5:$BC$100="5.8 Other consumables")*('Cashflow Summary C19RM'!$AM$5:$AM$100)))</f>
        <v>0</v>
      </c>
      <c r="BG18" s="424" cm="1">
        <f t="array" ref="BG18">(SUMPRODUCT(('Cashflow Summary C19RM'!$B$5:$B$100="C19RM 2021-Lab &amp; Other HPS")*('Cashflow Summary C19RM'!$A$5:$A$100=1)*1*('Cashflow Summary C19RM'!$BC$5:$BC$100="5.8 Other consumables")*('Cashflow Summary C19RM'!$AN$5:$AN$100)))</f>
        <v>0</v>
      </c>
      <c r="BH18" s="424" cm="1">
        <f t="array" ref="BH18">(SUMPRODUCT(('Cashflow Summary C19RM'!$B$5:$B$100="C19RM 2021-Lab &amp; Other HPS")*('Cashflow Summary C19RM'!$A$5:$A$100=1)*1*('Cashflow Summary C19RM'!$BC$5:$BC$100="5.8 Other consumables")*('Cashflow Summary C19RM'!$AO$5:$AO$100)))</f>
        <v>0</v>
      </c>
      <c r="BI18" s="424">
        <f t="shared" si="7"/>
        <v>0</v>
      </c>
      <c r="BJ18" s="424"/>
      <c r="BK18" s="424">
        <f t="shared" si="8"/>
        <v>0</v>
      </c>
      <c r="BL18" s="424"/>
      <c r="BM18" s="142"/>
      <c r="BN18" s="425"/>
      <c r="BP18" s="274" t="str">
        <f t="shared" si="1"/>
        <v>No</v>
      </c>
      <c r="BQ18" t="s">
        <v>15</v>
      </c>
      <c r="BS18" s="953" t="s">
        <v>83</v>
      </c>
      <c r="BT18" t="s">
        <v>3317</v>
      </c>
      <c r="BU18" s="411" t="s">
        <v>3604</v>
      </c>
      <c r="CD18" s="952"/>
      <c r="CE18" s="952"/>
      <c r="CF18" s="952"/>
      <c r="CG18" s="952"/>
      <c r="CH18" s="952"/>
      <c r="CI18" s="952"/>
      <c r="CJ18" s="952"/>
      <c r="CK18" s="952"/>
      <c r="CL18" s="952"/>
      <c r="CM18" s="952"/>
      <c r="CN18" s="952"/>
      <c r="CO18" s="952"/>
      <c r="CP18" s="952"/>
      <c r="CQ18" s="952"/>
      <c r="CR18" s="952"/>
      <c r="CS18" s="952"/>
      <c r="CT18" s="952"/>
      <c r="CU18" s="952"/>
      <c r="CV18" s="952"/>
      <c r="CW18" s="952"/>
      <c r="CX18" s="952"/>
      <c r="CY18" s="952"/>
      <c r="CZ18" s="952"/>
      <c r="DA18" s="952"/>
      <c r="DB18" s="952"/>
      <c r="DC18" s="952"/>
      <c r="DD18" s="952"/>
    </row>
    <row r="19" spans="1:108" ht="39" customHeight="1" x14ac:dyDescent="0.35">
      <c r="A19" s="364"/>
      <c r="B19" s="363" t="str">
        <f>PMsheet!$AH$94&amp;'Detailed BudgetC19RM'!BU19</f>
        <v>000P23HP1114</v>
      </c>
      <c r="C19" s="315" t="s">
        <v>2749</v>
      </c>
      <c r="D19" s="315" t="s">
        <v>3119</v>
      </c>
      <c r="E19" s="261" t="s">
        <v>3125</v>
      </c>
      <c r="F19" s="314" t="s">
        <v>183</v>
      </c>
      <c r="G19" s="315">
        <f ca="1">SETUP!$T$2</f>
        <v>0</v>
      </c>
      <c r="H19" s="315" t="str">
        <f>IF(SETUP!$E$3="","","National/Country Level")</f>
        <v/>
      </c>
      <c r="I19" s="315" t="str">
        <f>IFERROR(IF(INDEX('Master Data-C19RM'!$E$8:$E$18,MATCH((INDEX(SETUP!$E$20:$E$34,MATCH('Detailed BudgetC19RM'!BQ19,SETUP!$D$20:$D$34,0))),'Master Data-C19RM'!$D$8:$D$18,0))="Implementer's name",SETUP!$J$5,INDEX('Master Data-C19RM'!$E$8:$E$18,MATCH((INDEX(SETUP!$E$20:$E$34,MATCH('Detailed BudgetC19RM'!BQ19,SETUP!$D$20:$D$34,0))),'Master Data-C19RM'!$D$8:$D$18,0))),"Pls select HPMT Category in ' BQ ' column")</f>
        <v>Not Applicable</v>
      </c>
      <c r="J19" s="315" t="s">
        <v>707</v>
      </c>
      <c r="K19" s="315">
        <f t="shared" si="0"/>
        <v>0</v>
      </c>
      <c r="L19" s="315"/>
      <c r="M19" s="315">
        <f>SETUP!$E$7</f>
        <v>0</v>
      </c>
      <c r="N19" s="315"/>
      <c r="O19" s="315"/>
      <c r="P19" s="315"/>
      <c r="Q19" s="917" cm="1">
        <f t="array" ref="Q19">(SUMPRODUCT(('Cashflow Summary C19RM'!$B$5:$B$100="C19RM 2021-Lab &amp; Other HPS")*('Cashflow Summary C19RM'!$A$5:$A$100=1)*1*('Cashflow Summary C19RM'!$BC$5:$BC$100="6.6 Other health equipment")*('Cashflow Summary C19RM'!$R$5:$R$100)))</f>
        <v>0</v>
      </c>
      <c r="R19" s="917" cm="1">
        <f t="array" ref="R19">(SUMPRODUCT(('Cashflow Summary C19RM'!$B$5:$B$100="C19RM 2021-Lab &amp; Other HPS")*('Cashflow Summary C19RM'!$A$5:$A$100=1)*1*('Cashflow Summary C19RM'!$BC$5:$BC$100="6.6 Other health equipment")*('Cashflow Summary C19RM'!$S$5:$S$100)))</f>
        <v>0</v>
      </c>
      <c r="S19" s="917" cm="1">
        <f t="array" ref="S19">(SUMPRODUCT(('Cashflow Summary C19RM'!$B$5:$B$100="C19RM 2021-Lab &amp; Other HPS")*('Cashflow Summary C19RM'!$A$5:$A$100=1)*1*('Cashflow Summary C19RM'!$BC$5:$BC$100="6.6 Other health equipment")*('Cashflow Summary C19RM'!$T$5:$T$100)))</f>
        <v>0</v>
      </c>
      <c r="T19" s="917" cm="1">
        <f t="array" ref="T19">(SUMPRODUCT(('Cashflow Summary C19RM'!$B$5:$B$100="C19RM 2021-Lab &amp; Other HPS")*('Cashflow Summary C19RM'!$A$5:$A$100=1)*1*('Cashflow Summary C19RM'!$BC$5:$BC$100="6.6 Other health equipment")*('Cashflow Summary C19RM'!$U$5:$U$100)))</f>
        <v>0</v>
      </c>
      <c r="U19" s="948">
        <f t="shared" si="2"/>
        <v>0</v>
      </c>
      <c r="V19" s="424"/>
      <c r="W19" s="424"/>
      <c r="X19" s="424"/>
      <c r="Y19" s="424" cm="1">
        <f t="array" ref="Y19">(SUMPRODUCT(('Cashflow Summary C19RM'!$B$5:$B$100="C19RM 2021-Lab &amp; Other HPS")*('Cashflow Summary C19RM'!$A$5:$A$100=1)*1*('Cashflow Summary C19RM'!$BC$5:$BC$100="6.6 Other health equipment")*('Cashflow Summary C19RM'!$V$5:$V$100)))</f>
        <v>0</v>
      </c>
      <c r="Z19" s="424" cm="1">
        <f t="array" ref="Z19">(SUMPRODUCT(('Cashflow Summary C19RM'!$B$5:$B$100="C19RM 2021-Lab &amp; Other HPS")*('Cashflow Summary C19RM'!$A$5:$A$100=1)*1*('Cashflow Summary C19RM'!$BC$5:$BC$100="6.6 Other health equipment")*('Cashflow Summary C19RM'!$W$5:$W$100)))</f>
        <v>0</v>
      </c>
      <c r="AA19" s="424" cm="1">
        <f t="array" ref="AA19">(SUMPRODUCT(('Cashflow Summary C19RM'!$B$5:$B$100="C19RM 2021-Lab &amp; Other HPS")*('Cashflow Summary C19RM'!$A$5:$A$100=1)*1*('Cashflow Summary C19RM'!$BC$5:$BC$100="6.6 Other health equipment")*('Cashflow Summary C19RM'!$X$5:$X$100)))</f>
        <v>0</v>
      </c>
      <c r="AB19" s="424" cm="1">
        <f t="array" ref="AB19">(SUMPRODUCT(('Cashflow Summary C19RM'!$B$5:$B$100="C19RM 2021-Lab &amp; Other HPS")*('Cashflow Summary C19RM'!$A$5:$A$100=1)*1*('Cashflow Summary C19RM'!$BC$5:$BC$100="6.6 Other health equipment")*('Cashflow Summary C19RM'!$Y$5:$Y$100)))</f>
        <v>0</v>
      </c>
      <c r="AC19" s="424">
        <f t="shared" si="3"/>
        <v>0</v>
      </c>
      <c r="AD19" s="424"/>
      <c r="AE19" s="424"/>
      <c r="AF19" s="424"/>
      <c r="AG19" s="424" cm="1">
        <f t="array" ref="AG19">(SUMPRODUCT(('Cashflow Summary C19RM'!$B$5:$B$100="C19RM 2021-Lab &amp; Other HPS")*('Cashflow Summary C19RM'!$A$5:$A$100=1)*1*('Cashflow Summary C19RM'!$BC$5:$BC$100="6.6 Other health equipment")*('Cashflow Summary C19RM'!$Z$5:$Z$100)))</f>
        <v>0</v>
      </c>
      <c r="AH19" s="424" cm="1">
        <f t="array" ref="AH19">(SUMPRODUCT(('Cashflow Summary C19RM'!$B$5:$B$100="C19RM 2021-Lab &amp; Other HPS")*('Cashflow Summary C19RM'!$A$5:$A$100=1)*1*('Cashflow Summary C19RM'!$BC$5:$BC$100="6.6 Other health equipment")*('Cashflow Summary C19RM'!$AA$5:$AA$100)))</f>
        <v>0</v>
      </c>
      <c r="AI19" s="424" cm="1">
        <f t="array" ref="AI19">(SUMPRODUCT(('Cashflow Summary C19RM'!$B$5:$B$100="C19RM 2021-Lab &amp; Other HPS")*('Cashflow Summary C19RM'!$A$5:$A$100=1)*1*('Cashflow Summary C19RM'!$BC$5:$BC$100="6.6 Other health equipment")*('Cashflow Summary C19RM'!$AB$5:$AB$100)))</f>
        <v>0</v>
      </c>
      <c r="AJ19" s="424" cm="1">
        <f t="array" ref="AJ19">(SUMPRODUCT(('Cashflow Summary C19RM'!$B$5:$B$100="C19RM 2021-Lab &amp; Other HPS")*('Cashflow Summary C19RM'!$A$5:$A$100=1)*1*('Cashflow Summary C19RM'!$BC$5:$BC$100="6.6 Other health equipment")*('Cashflow Summary C19RM'!$AC$5:$AC$100)))</f>
        <v>0</v>
      </c>
      <c r="AK19" s="424">
        <f t="shared" si="4"/>
        <v>0</v>
      </c>
      <c r="AL19" s="424"/>
      <c r="AM19" s="424"/>
      <c r="AN19" s="424"/>
      <c r="AO19" s="424" cm="1">
        <f t="array" ref="AO19">(SUMPRODUCT(('Cashflow Summary C19RM'!$B$5:$B$100="C19RM 2021-Lab &amp; Other HPS")*('Cashflow Summary C19RM'!$A$5:$A$100=1)*1*('Cashflow Summary C19RM'!$BC$5:$BC$100="6.6 Other health equipment")*('Cashflow Summary C19RM'!$AD$5:$AD$100)))</f>
        <v>0</v>
      </c>
      <c r="AP19" s="424" cm="1">
        <f t="array" ref="AP19">(SUMPRODUCT(('Cashflow Summary C19RM'!$B$5:$B$100="C19RM 2021-Lab &amp; Other HPS")*('Cashflow Summary C19RM'!$A$5:$A$100=1)*1*('Cashflow Summary C19RM'!$BC$5:$BC$100="6.6 Other health equipment")*('Cashflow Summary C19RM'!$AE$5:$AE$100)))</f>
        <v>0</v>
      </c>
      <c r="AQ19" s="424" cm="1">
        <f t="array" ref="AQ19">(SUMPRODUCT(('Cashflow Summary C19RM'!$B$5:$B$100="C19RM 2021-Lab &amp; Other HPS")*('Cashflow Summary C19RM'!$A$5:$A$100=1)*1*('Cashflow Summary C19RM'!$BC$5:$BC$100="6.6 Other health equipment")*('Cashflow Summary C19RM'!$AF$5:$AF$100)))</f>
        <v>0</v>
      </c>
      <c r="AR19" s="424" cm="1">
        <f t="array" ref="AR19">(SUMPRODUCT(('Cashflow Summary C19RM'!$B$5:$B$100="C19RM 2021-Lab &amp; Other HPS")*('Cashflow Summary C19RM'!$A$5:$A$100=1)*1*('Cashflow Summary C19RM'!$BC$5:$BC$100="6.6 Other health equipment")*('Cashflow Summary C19RM'!$AG$5:$AG$100)))</f>
        <v>0</v>
      </c>
      <c r="AS19" s="424">
        <f t="shared" si="5"/>
        <v>0</v>
      </c>
      <c r="AT19" s="424"/>
      <c r="AU19" s="424"/>
      <c r="AV19" s="424"/>
      <c r="AW19" s="424" cm="1">
        <f t="array" ref="AW19">(SUMPRODUCT(('Cashflow Summary C19RM'!$B$5:$B$100="C19RM 2021-Lab &amp; Other HPS")*('Cashflow Summary C19RM'!$A$5:$A$100=1)*1*('Cashflow Summary C19RM'!$BC$5:$BC$100="6.6 Other health equipment")*('Cashflow Summary C19RM'!$AH$5:$AH$100)))</f>
        <v>0</v>
      </c>
      <c r="AX19" s="424" cm="1">
        <f t="array" ref="AX19">(SUMPRODUCT(('Cashflow Summary C19RM'!$B$5:$B$100="C19RM 2021-Lab &amp; Other HPS")*('Cashflow Summary C19RM'!$A$5:$A$100=1)*1*('Cashflow Summary C19RM'!$BC$5:$BC$100="6.6 Other health equipment")*('Cashflow Summary C19RM'!$AI$5:$AI$100)))</f>
        <v>0</v>
      </c>
      <c r="AY19" s="424" cm="1">
        <f t="array" ref="AY19">(SUMPRODUCT(('Cashflow Summary C19RM'!$B$5:$B$100="C19RM 2021-Lab &amp; Other HPS")*('Cashflow Summary C19RM'!$A$5:$A$100=1)*1*('Cashflow Summary C19RM'!$BC$5:$BC$100="6.6 Other health equipment")*('Cashflow Summary C19RM'!$AJ$5:$AJ$100)))</f>
        <v>0</v>
      </c>
      <c r="AZ19" s="424" cm="1">
        <f t="array" ref="AZ19">(SUMPRODUCT(('Cashflow Summary C19RM'!$B$5:$B$100="C19RM 2021-Lab &amp; Other HPS")*('Cashflow Summary C19RM'!$A$5:$A$100=1)*1*('Cashflow Summary C19RM'!$BC$5:$BC$100="6.6 Other health equipment")*('Cashflow Summary C19RM'!$AK$5:$AK$100)))</f>
        <v>0</v>
      </c>
      <c r="BA19" s="424">
        <f t="shared" si="6"/>
        <v>0</v>
      </c>
      <c r="BB19" s="424"/>
      <c r="BC19" s="424"/>
      <c r="BD19" s="424"/>
      <c r="BE19" s="424" cm="1">
        <f t="array" ref="BE19">(SUMPRODUCT(('Cashflow Summary C19RM'!$B$5:$B$100="C19RM 2021-Lab &amp; Other HPS")*('Cashflow Summary C19RM'!$A$5:$A$100=1)*1*('Cashflow Summary C19RM'!$BC$5:$BC$100="6.6 Other health equipment")*('Cashflow Summary C19RM'!$AL$5:$AL$100)))</f>
        <v>0</v>
      </c>
      <c r="BF19" s="424" cm="1">
        <f t="array" ref="BF19">(SUMPRODUCT(('Cashflow Summary C19RM'!$B$5:$B$100="C19RM 2021-Lab &amp; Other HPS")*('Cashflow Summary C19RM'!$A$5:$A$100=1)*1*('Cashflow Summary C19RM'!$BC$5:$BC$100="6.6 Other health equipment")*('Cashflow Summary C19RM'!$AM$5:$AM$100)))</f>
        <v>0</v>
      </c>
      <c r="BG19" s="424" cm="1">
        <f t="array" ref="BG19">(SUMPRODUCT(('Cashflow Summary C19RM'!$B$5:$B$100="C19RM 2021-Lab &amp; Other HPS")*('Cashflow Summary C19RM'!$A$5:$A$100=1)*1*('Cashflow Summary C19RM'!$BC$5:$BC$100="6.6 Other health equipment")*('Cashflow Summary C19RM'!$AN$5:$AN$100)))</f>
        <v>0</v>
      </c>
      <c r="BH19" s="424" cm="1">
        <f t="array" ref="BH19">(SUMPRODUCT(('Cashflow Summary C19RM'!$B$5:$B$100="C19RM 2021-Lab &amp; Other HPS")*('Cashflow Summary C19RM'!$A$5:$A$100=1)*1*('Cashflow Summary C19RM'!$BC$5:$BC$100="6.6 Other health equipment")*('Cashflow Summary C19RM'!$AO$5:$AO$100)))</f>
        <v>0</v>
      </c>
      <c r="BI19" s="424">
        <f t="shared" si="7"/>
        <v>0</v>
      </c>
      <c r="BJ19" s="424"/>
      <c r="BK19" s="424">
        <f t="shared" si="8"/>
        <v>0</v>
      </c>
      <c r="BL19" s="424"/>
      <c r="BM19" s="142"/>
      <c r="BN19" s="425"/>
      <c r="BP19" s="274" t="str">
        <f t="shared" si="1"/>
        <v>No</v>
      </c>
      <c r="BQ19" t="s">
        <v>13</v>
      </c>
      <c r="BS19" s="286" t="s">
        <v>83</v>
      </c>
      <c r="BT19" t="s">
        <v>3319</v>
      </c>
      <c r="BU19" s="411" t="s">
        <v>3605</v>
      </c>
    </row>
    <row r="20" spans="1:108" ht="39" customHeight="1" x14ac:dyDescent="0.35">
      <c r="A20" s="364"/>
      <c r="B20" s="363" t="str">
        <f>PMsheet!$AH$94&amp;'Detailed BudgetC19RM'!BU20</f>
        <v>000P23HP1115</v>
      </c>
      <c r="C20" s="315" t="s">
        <v>2749</v>
      </c>
      <c r="D20" s="315" t="s">
        <v>3119</v>
      </c>
      <c r="E20" s="261" t="s">
        <v>3126</v>
      </c>
      <c r="F20" s="314" t="s">
        <v>730</v>
      </c>
      <c r="G20" s="315">
        <f ca="1">SETUP!$T$2</f>
        <v>0</v>
      </c>
      <c r="H20" s="315" t="str">
        <f>IF(SETUP!$E$3="","","National/Country Level")</f>
        <v/>
      </c>
      <c r="I20" s="315" t="s">
        <v>2665</v>
      </c>
      <c r="J20" s="315" t="s">
        <v>707</v>
      </c>
      <c r="K20" s="315">
        <f t="shared" si="0"/>
        <v>0</v>
      </c>
      <c r="L20" s="315"/>
      <c r="M20" s="315">
        <f>SETUP!$E$7</f>
        <v>0</v>
      </c>
      <c r="N20" s="315"/>
      <c r="O20" s="315"/>
      <c r="P20" s="315"/>
      <c r="Q20" s="917" cm="1">
        <f t="array" ref="Q20">(SUMPRODUCT(('Cashflow Summary C19RM'!$B$5:$B$100="C19RM 2021-Lab &amp; Other HPS")*('Cashflow Summary C19RM'!$A$5:$A$100=1)*1*('Cashflow Summary C19RM'!$BC$5:$BC$100="6.5 Maintenance and service costs")*('Cashflow Summary C19RM'!$R$5:$R$100)))</f>
        <v>0</v>
      </c>
      <c r="R20" s="917" cm="1">
        <f t="array" ref="R20">(SUMPRODUCT(('Cashflow Summary C19RM'!$B$5:$B$100="C19RM 2021-Lab &amp; Other HPS")*('Cashflow Summary C19RM'!$A$5:$A$100=1)*1*('Cashflow Summary C19RM'!$BC$5:$BC$100="6.5 Maintenance and service costs")*('Cashflow Summary C19RM'!$S$5:$S$100)))</f>
        <v>0</v>
      </c>
      <c r="S20" s="917" cm="1">
        <f t="array" ref="S20">(SUMPRODUCT(('Cashflow Summary C19RM'!$B$5:$B$100="C19RM 2021-Lab &amp; Other HPS")*('Cashflow Summary C19RM'!$A$5:$A$100=1)*1*('Cashflow Summary C19RM'!$BC$5:$BC$100="6.5 Maintenance and service costs")*('Cashflow Summary C19RM'!$T$5:$T$100)))</f>
        <v>0</v>
      </c>
      <c r="T20" s="917" cm="1">
        <f t="array" ref="T20">(SUMPRODUCT(('Cashflow Summary C19RM'!$B$5:$B$100="C19RM 2021-Lab &amp; Other HPS")*('Cashflow Summary C19RM'!$A$5:$A$100=1)*1*('Cashflow Summary C19RM'!$BC$5:$BC$100="6.5 Maintenance and service costs")*('Cashflow Summary C19RM'!$U$5:$U$100)))</f>
        <v>0</v>
      </c>
      <c r="U20" s="948">
        <f t="shared" si="2"/>
        <v>0</v>
      </c>
      <c r="V20" s="424"/>
      <c r="W20" s="424"/>
      <c r="X20" s="424"/>
      <c r="Y20" s="424" cm="1">
        <f t="array" ref="Y20">(SUMPRODUCT(('Cashflow Summary C19RM'!$B$5:$B$100="C19RM 2021-Lab &amp; Other HPS")*('Cashflow Summary C19RM'!$A$5:$A$100=1)*1*('Cashflow Summary C19RM'!$BC$5:$BC$100="6.5 Maintenance and service costs")*('Cashflow Summary C19RM'!$V$5:$V$100)))</f>
        <v>0</v>
      </c>
      <c r="Z20" s="424" cm="1">
        <f t="array" ref="Z20">(SUMPRODUCT(('Cashflow Summary C19RM'!$B$5:$B$100="C19RM 2021-Lab &amp; Other HPS")*('Cashflow Summary C19RM'!$A$5:$A$100=1)*1*('Cashflow Summary C19RM'!$BC$5:$BC$100="6.5 Maintenance and service costs")*('Cashflow Summary C19RM'!$W$5:$W$100)))</f>
        <v>0</v>
      </c>
      <c r="AA20" s="424" cm="1">
        <f t="array" ref="AA20">(SUMPRODUCT(('Cashflow Summary C19RM'!$B$5:$B$100="C19RM 2021-Lab &amp; Other HPS")*('Cashflow Summary C19RM'!$A$5:$A$100=1)*1*('Cashflow Summary C19RM'!$BC$5:$BC$100="6.5 Maintenance and service costs")*('Cashflow Summary C19RM'!$X$5:$X$100)))</f>
        <v>0</v>
      </c>
      <c r="AB20" s="424" cm="1">
        <f t="array" ref="AB20">(SUMPRODUCT(('Cashflow Summary C19RM'!$B$5:$B$100="C19RM 2021-Lab &amp; Other HPS")*('Cashflow Summary C19RM'!$A$5:$A$100=1)*1*('Cashflow Summary C19RM'!$BC$5:$BC$100="6.5 Maintenance and service costs")*('Cashflow Summary C19RM'!$Y$5:$Y$100)))</f>
        <v>0</v>
      </c>
      <c r="AC20" s="424">
        <f t="shared" si="3"/>
        <v>0</v>
      </c>
      <c r="AD20" s="424"/>
      <c r="AE20" s="424"/>
      <c r="AF20" s="424"/>
      <c r="AG20" s="424" cm="1">
        <f t="array" ref="AG20">(SUMPRODUCT(('Cashflow Summary C19RM'!$B$5:$B$100="C19RM 2021-Lab &amp; Other HPS")*('Cashflow Summary C19RM'!$A$5:$A$100=1)*1*('Cashflow Summary C19RM'!$BC$5:$BC$100="6.5 Maintenance and service costs")*('Cashflow Summary C19RM'!$Z$5:$Z$100)))</f>
        <v>0</v>
      </c>
      <c r="AH20" s="424" cm="1">
        <f t="array" ref="AH20">(SUMPRODUCT(('Cashflow Summary C19RM'!$B$5:$B$100="C19RM 2021-Lab &amp; Other HPS")*('Cashflow Summary C19RM'!$A$5:$A$100=1)*1*('Cashflow Summary C19RM'!$BC$5:$BC$100="6.5 Maintenance and service costs")*('Cashflow Summary C19RM'!$AA$5:$AA$100)))</f>
        <v>0</v>
      </c>
      <c r="AI20" s="424" cm="1">
        <f t="array" ref="AI20">(SUMPRODUCT(('Cashflow Summary C19RM'!$B$5:$B$100="C19RM 2021-Lab &amp; Other HPS")*('Cashflow Summary C19RM'!$A$5:$A$100=1)*1*('Cashflow Summary C19RM'!$BC$5:$BC$100="6.5 Maintenance and service costs")*('Cashflow Summary C19RM'!$AB$5:$AB$100)))</f>
        <v>0</v>
      </c>
      <c r="AJ20" s="424" cm="1">
        <f t="array" ref="AJ20">(SUMPRODUCT(('Cashflow Summary C19RM'!$B$5:$B$100="C19RM 2021-Lab &amp; Other HPS")*('Cashflow Summary C19RM'!$A$5:$A$100=1)*1*('Cashflow Summary C19RM'!$BC$5:$BC$100="6.5 Maintenance and service costs")*('Cashflow Summary C19RM'!$AC$5:$AC$100)))</f>
        <v>0</v>
      </c>
      <c r="AK20" s="424">
        <f t="shared" si="4"/>
        <v>0</v>
      </c>
      <c r="AL20" s="424"/>
      <c r="AM20" s="424"/>
      <c r="AN20" s="424"/>
      <c r="AO20" s="424" cm="1">
        <f t="array" ref="AO20">(SUMPRODUCT(('Cashflow Summary C19RM'!$B$5:$B$100="C19RM 2021-Lab &amp; Other HPS")*('Cashflow Summary C19RM'!$A$5:$A$100=1)*1*('Cashflow Summary C19RM'!$BC$5:$BC$100="6.5 Maintenance and service costs")*('Cashflow Summary C19RM'!$AD$5:$AD$100)))</f>
        <v>0</v>
      </c>
      <c r="AP20" s="424" cm="1">
        <f t="array" ref="AP20">(SUMPRODUCT(('Cashflow Summary C19RM'!$B$5:$B$100="C19RM 2021-Lab &amp; Other HPS")*('Cashflow Summary C19RM'!$A$5:$A$100=1)*1*('Cashflow Summary C19RM'!$BC$5:$BC$100="6.5 Maintenance and service costs")*('Cashflow Summary C19RM'!$AE$5:$AE$100)))</f>
        <v>0</v>
      </c>
      <c r="AQ20" s="424" cm="1">
        <f t="array" ref="AQ20">(SUMPRODUCT(('Cashflow Summary C19RM'!$B$5:$B$100="C19RM 2021-Lab &amp; Other HPS")*('Cashflow Summary C19RM'!$A$5:$A$100=1)*1*('Cashflow Summary C19RM'!$BC$5:$BC$100="6.5 Maintenance and service costs")*('Cashflow Summary C19RM'!$AF$5:$AF$100)))</f>
        <v>0</v>
      </c>
      <c r="AR20" s="424" cm="1">
        <f t="array" ref="AR20">(SUMPRODUCT(('Cashflow Summary C19RM'!$B$5:$B$100="C19RM 2021-Lab &amp; Other HPS")*('Cashflow Summary C19RM'!$A$5:$A$100=1)*1*('Cashflow Summary C19RM'!$BC$5:$BC$100="6.5 Maintenance and service costs")*('Cashflow Summary C19RM'!$AG$5:$AG$100)))</f>
        <v>0</v>
      </c>
      <c r="AS20" s="424">
        <f t="shared" si="5"/>
        <v>0</v>
      </c>
      <c r="AT20" s="424"/>
      <c r="AU20" s="424"/>
      <c r="AV20" s="424"/>
      <c r="AW20" s="424" cm="1">
        <f t="array" ref="AW20">(SUMPRODUCT(('Cashflow Summary C19RM'!$B$5:$B$100="C19RM 2021-Lab &amp; Other HPS")*('Cashflow Summary C19RM'!$A$5:$A$100=1)*1*('Cashflow Summary C19RM'!$BC$5:$BC$100="6.5 Maintenance and service costs")*('Cashflow Summary C19RM'!$AH$5:$AH$100)))</f>
        <v>0</v>
      </c>
      <c r="AX20" s="424" cm="1">
        <f t="array" ref="AX20">(SUMPRODUCT(('Cashflow Summary C19RM'!$B$5:$B$100="C19RM 2021-Lab &amp; Other HPS")*('Cashflow Summary C19RM'!$A$5:$A$100=1)*1*('Cashflow Summary C19RM'!$BC$5:$BC$100="6.5 Maintenance and service costs")*('Cashflow Summary C19RM'!$AI$5:$AI$100)))</f>
        <v>0</v>
      </c>
      <c r="AY20" s="424" cm="1">
        <f t="array" ref="AY20">(SUMPRODUCT(('Cashflow Summary C19RM'!$B$5:$B$100="C19RM 2021-Lab &amp; Other HPS")*('Cashflow Summary C19RM'!$A$5:$A$100=1)*1*('Cashflow Summary C19RM'!$BC$5:$BC$100="6.5 Maintenance and service costs")*('Cashflow Summary C19RM'!$AJ$5:$AJ$100)))</f>
        <v>0</v>
      </c>
      <c r="AZ20" s="424" cm="1">
        <f t="array" ref="AZ20">(SUMPRODUCT(('Cashflow Summary C19RM'!$B$5:$B$100="C19RM 2021-Lab &amp; Other HPS")*('Cashflow Summary C19RM'!$A$5:$A$100=1)*1*('Cashflow Summary C19RM'!$BC$5:$BC$100="6.5 Maintenance and service costs")*('Cashflow Summary C19RM'!$AK$5:$AK$100)))</f>
        <v>0</v>
      </c>
      <c r="BA20" s="424">
        <f t="shared" si="6"/>
        <v>0</v>
      </c>
      <c r="BB20" s="424"/>
      <c r="BC20" s="424"/>
      <c r="BD20" s="424"/>
      <c r="BE20" s="424" cm="1">
        <f t="array" ref="BE20">(SUMPRODUCT(('Cashflow Summary C19RM'!$B$5:$B$100="C19RM 2021-Lab &amp; Other HPS")*('Cashflow Summary C19RM'!$A$5:$A$100=1)*1*('Cashflow Summary C19RM'!$BC$5:$BC$100="6.5 Maintenance and service costs")*('Cashflow Summary C19RM'!$AL$5:$AL$100)))</f>
        <v>0</v>
      </c>
      <c r="BF20" s="424" cm="1">
        <f t="array" ref="BF20">(SUMPRODUCT(('Cashflow Summary C19RM'!$B$5:$B$100="C19RM 2021-Lab &amp; Other HPS")*('Cashflow Summary C19RM'!$A$5:$A$100=1)*1*('Cashflow Summary C19RM'!$BC$5:$BC$100="6.5 Maintenance and service costs")*('Cashflow Summary C19RM'!$AM$5:$AM$100)))</f>
        <v>0</v>
      </c>
      <c r="BG20" s="424" cm="1">
        <f t="array" ref="BG20">(SUMPRODUCT(('Cashflow Summary C19RM'!$B$5:$B$100="C19RM 2021-Lab &amp; Other HPS")*('Cashflow Summary C19RM'!$A$5:$A$100=1)*1*('Cashflow Summary C19RM'!$BC$5:$BC$100="6.5 Maintenance and service costs")*('Cashflow Summary C19RM'!$AN$5:$AN$100)))</f>
        <v>0</v>
      </c>
      <c r="BH20" s="424" cm="1">
        <f t="array" ref="BH20">(SUMPRODUCT(('Cashflow Summary C19RM'!$B$5:$B$100="C19RM 2021-Lab &amp; Other HPS")*('Cashflow Summary C19RM'!$A$5:$A$100=1)*1*('Cashflow Summary C19RM'!$BC$5:$BC$100="6.5 Maintenance and service costs")*('Cashflow Summary C19RM'!$AO$5:$AO$100)))</f>
        <v>0</v>
      </c>
      <c r="BI20" s="424">
        <f t="shared" si="7"/>
        <v>0</v>
      </c>
      <c r="BJ20" s="424"/>
      <c r="BK20" s="424">
        <f t="shared" si="8"/>
        <v>0</v>
      </c>
      <c r="BL20" s="424"/>
      <c r="BM20" s="142"/>
      <c r="BN20" s="425"/>
      <c r="BP20" s="274" t="str">
        <f t="shared" si="1"/>
        <v>No</v>
      </c>
      <c r="BQ20" t="s">
        <v>13</v>
      </c>
      <c r="BS20" s="286" t="s">
        <v>83</v>
      </c>
      <c r="BT20" t="s">
        <v>3320</v>
      </c>
      <c r="BU20" s="411" t="s">
        <v>3606</v>
      </c>
    </row>
    <row r="21" spans="1:108" ht="39" customHeight="1" x14ac:dyDescent="0.35">
      <c r="A21" s="256"/>
      <c r="B21" s="363" t="str">
        <f>PMsheet!$AH$94&amp;'Detailed BudgetC19RM'!BU21</f>
        <v>000P23HP1116</v>
      </c>
      <c r="C21" s="315" t="s">
        <v>2749</v>
      </c>
      <c r="D21" s="315" t="s">
        <v>3119</v>
      </c>
      <c r="E21" s="261" t="s">
        <v>3127</v>
      </c>
      <c r="F21" s="314" t="s">
        <v>3128</v>
      </c>
      <c r="G21" s="315">
        <f ca="1">SETUP!$T$2</f>
        <v>0</v>
      </c>
      <c r="H21" s="315" t="str">
        <f>IF(SETUP!$E$3="","","National/Country Level")</f>
        <v/>
      </c>
      <c r="I21" s="315" t="str">
        <f>IFERROR(IF(INDEX('Master Data-C19RM'!$E$8:$E$18,MATCH((INDEX(SETUP!$E$20:$E$34,MATCH('Detailed BudgetC19RM'!BQ21,SETUP!$D$20:$D$34,0))),'Master Data-C19RM'!$D$8:$D$18,0))="Implementer's name",SETUP!$J$5,INDEX('Master Data-C19RM'!$E$8:$E$18,MATCH((INDEX(SETUP!$E$20:$E$34,MATCH('Detailed BudgetC19RM'!BQ21,SETUP!$D$20:$D$34,0))),'Master Data-C19RM'!$D$8:$D$18,0))),"Pls select HPMT Category in ' BQ ' column")</f>
        <v>Not Applicable</v>
      </c>
      <c r="J21" s="315" t="s">
        <v>707</v>
      </c>
      <c r="K21" s="315">
        <f t="shared" si="0"/>
        <v>0</v>
      </c>
      <c r="L21" s="315"/>
      <c r="M21" s="315">
        <f>SETUP!$E$7</f>
        <v>0</v>
      </c>
      <c r="N21" s="315"/>
      <c r="O21" s="315"/>
      <c r="P21" s="315"/>
      <c r="Q21" s="917" cm="1">
        <f t="array" ref="Q21">(SUMPRODUCT(('Cashflow Summary C19RM'!$B$5:$B$100="C19RM 2021-Lab &amp; Other HPS")*('Cashflow Summary C19RM'!$A$5:$A$100=1)*1*('Cashflow Summary C19RM'!$BC$5:$BC$100="6.4 Dummy")*('Cashflow Summary C19RM'!$R$5:$R$100)))</f>
        <v>0</v>
      </c>
      <c r="R21" s="917" cm="1">
        <f t="array" ref="R21">(SUMPRODUCT(('Cashflow Summary C19RM'!$B$5:$B$100="C19RM 2021-Lab &amp; Other HPS")*('Cashflow Summary C19RM'!$A$5:$A$100=1)*1*('Cashflow Summary C19RM'!$BC$5:$BC$100="6.4 Dummy")*('Cashflow Summary C19RM'!$S$5:$S$100)))</f>
        <v>0</v>
      </c>
      <c r="S21" s="917" cm="1">
        <f t="array" ref="S21">(SUMPRODUCT(('Cashflow Summary C19RM'!$B$5:$B$100="C19RM 2021-Lab &amp; Other HPS")*('Cashflow Summary C19RM'!$A$5:$A$100=1)*1*('Cashflow Summary C19RM'!$BC$5:$BC$100="6.4 Dummy")*('Cashflow Summary C19RM'!$T$5:$T$100)))</f>
        <v>0</v>
      </c>
      <c r="T21" s="917" cm="1">
        <f t="array" ref="T21">(SUMPRODUCT(('Cashflow Summary C19RM'!$B$5:$B$100="C19RM 2021-Lab &amp; Other HPS")*('Cashflow Summary C19RM'!$A$5:$A$100=1)*1*('Cashflow Summary C19RM'!$BC$5:$BC$100="6.4 Dummy")*('Cashflow Summary C19RM'!$U$5:$U$100)))</f>
        <v>0</v>
      </c>
      <c r="U21" s="948">
        <f t="shared" si="2"/>
        <v>0</v>
      </c>
      <c r="V21" s="424"/>
      <c r="W21" s="424"/>
      <c r="X21" s="424"/>
      <c r="Y21" s="424" cm="1">
        <f t="array" ref="Y21">(SUMPRODUCT(('Cashflow Summary C19RM'!$B$5:$B$100="C19RM 2021-Lab &amp; Other HPS")*('Cashflow Summary C19RM'!$A$5:$A$100=1)*1*('Cashflow Summary C19RM'!$BC$5:$BC$100="6.4 Dummy")*('Cashflow Summary C19RM'!$V$5:$V$100)))</f>
        <v>0</v>
      </c>
      <c r="Z21" s="424" cm="1">
        <f t="array" ref="Z21">(SUMPRODUCT(('Cashflow Summary C19RM'!$B$5:$B$100="C19RM 2021-Lab &amp; Other HPS")*('Cashflow Summary C19RM'!$A$5:$A$100=1)*1*('Cashflow Summary C19RM'!$BC$5:$BC$100="6.4 Dummy")*('Cashflow Summary C19RM'!$W$5:$W$100)))</f>
        <v>0</v>
      </c>
      <c r="AA21" s="424" cm="1">
        <f t="array" ref="AA21">(SUMPRODUCT(('Cashflow Summary C19RM'!$B$5:$B$100="C19RM 2021-Lab &amp; Other HPS")*('Cashflow Summary C19RM'!$A$5:$A$100=1)*1*('Cashflow Summary C19RM'!$BC$5:$BC$100="6.4 Dummy")*('Cashflow Summary C19RM'!$X$5:$X$100)))</f>
        <v>0</v>
      </c>
      <c r="AB21" s="424" cm="1">
        <f t="array" ref="AB21">(SUMPRODUCT(('Cashflow Summary C19RM'!$B$5:$B$100="C19RM 2021-Lab &amp; Other HPS")*('Cashflow Summary C19RM'!$A$5:$A$100=1)*1*('Cashflow Summary C19RM'!$BC$5:$BC$100="6.4 Dummy")*('Cashflow Summary C19RM'!$Y$5:$Y$100)))</f>
        <v>0</v>
      </c>
      <c r="AC21" s="424">
        <f t="shared" si="3"/>
        <v>0</v>
      </c>
      <c r="AD21" s="424"/>
      <c r="AE21" s="424"/>
      <c r="AF21" s="424"/>
      <c r="AG21" s="424" cm="1">
        <f t="array" ref="AG21">(SUMPRODUCT(('Cashflow Summary C19RM'!$B$5:$B$100="C19RM 2021-Lab &amp; Other HPS")*('Cashflow Summary C19RM'!$A$5:$A$100=1)*1*('Cashflow Summary C19RM'!$BC$5:$BC$100="6.4 Dummy")*('Cashflow Summary C19RM'!$Z$5:$Z$100)))</f>
        <v>0</v>
      </c>
      <c r="AH21" s="424" cm="1">
        <f t="array" ref="AH21">(SUMPRODUCT(('Cashflow Summary C19RM'!$B$5:$B$100="C19RM 2021-Lab &amp; Other HPS")*('Cashflow Summary C19RM'!$A$5:$A$100=1)*1*('Cashflow Summary C19RM'!$BC$5:$BC$100="6.4 Dummy")*('Cashflow Summary C19RM'!$AA$5:$AA$100)))</f>
        <v>0</v>
      </c>
      <c r="AI21" s="424" cm="1">
        <f t="array" ref="AI21">(SUMPRODUCT(('Cashflow Summary C19RM'!$B$5:$B$100="C19RM 2021-Lab &amp; Other HPS")*('Cashflow Summary C19RM'!$A$5:$A$100=1)*1*('Cashflow Summary C19RM'!$BC$5:$BC$100="6.4 Dummy")*('Cashflow Summary C19RM'!$AB$5:$AB$100)))</f>
        <v>0</v>
      </c>
      <c r="AJ21" s="424" cm="1">
        <f t="array" ref="AJ21">(SUMPRODUCT(('Cashflow Summary C19RM'!$B$5:$B$100="C19RM 2021-Lab &amp; Other HPS")*('Cashflow Summary C19RM'!$A$5:$A$100=1)*1*('Cashflow Summary C19RM'!$BC$5:$BC$100="6.4 Dummy")*('Cashflow Summary C19RM'!$AC$5:$AC$100)))</f>
        <v>0</v>
      </c>
      <c r="AK21" s="424">
        <f t="shared" si="4"/>
        <v>0</v>
      </c>
      <c r="AL21" s="424"/>
      <c r="AM21" s="424"/>
      <c r="AN21" s="424"/>
      <c r="AO21" s="424" cm="1">
        <f t="array" ref="AO21">(SUMPRODUCT(('Cashflow Summary C19RM'!$B$5:$B$100="C19RM 2021-Lab &amp; Other HPS")*('Cashflow Summary C19RM'!$A$5:$A$100=1)*1*('Cashflow Summary C19RM'!$BC$5:$BC$100="6.4 Dummy")*('Cashflow Summary C19RM'!$AD$5:$AD$100)))</f>
        <v>0</v>
      </c>
      <c r="AP21" s="424" cm="1">
        <f t="array" ref="AP21">(SUMPRODUCT(('Cashflow Summary C19RM'!$B$5:$B$100="C19RM 2021-Lab &amp; Other HPS")*('Cashflow Summary C19RM'!$A$5:$A$100=1)*1*('Cashflow Summary C19RM'!$BC$5:$BC$100="6.4 Dummy")*('Cashflow Summary C19RM'!$AE$5:$AE$100)))</f>
        <v>0</v>
      </c>
      <c r="AQ21" s="424" cm="1">
        <f t="array" ref="AQ21">(SUMPRODUCT(('Cashflow Summary C19RM'!$B$5:$B$100="C19RM 2021-Lab &amp; Other HPS")*('Cashflow Summary C19RM'!$A$5:$A$100=1)*1*('Cashflow Summary C19RM'!$BC$5:$BC$100="6.4 Dummy")*('Cashflow Summary C19RM'!$AF$5:$AF$100)))</f>
        <v>0</v>
      </c>
      <c r="AR21" s="424" cm="1">
        <f t="array" ref="AR21">(SUMPRODUCT(('Cashflow Summary C19RM'!$B$5:$B$100="C19RM 2021-Lab &amp; Other HPS")*('Cashflow Summary C19RM'!$A$5:$A$100=1)*1*('Cashflow Summary C19RM'!$BC$5:$BC$100="6.4 Dummy")*('Cashflow Summary C19RM'!$AG$5:$AG$100)))</f>
        <v>0</v>
      </c>
      <c r="AS21" s="424">
        <f t="shared" si="5"/>
        <v>0</v>
      </c>
      <c r="AT21" s="424"/>
      <c r="AU21" s="424"/>
      <c r="AV21" s="424"/>
      <c r="AW21" s="424" cm="1">
        <f t="array" ref="AW21">(SUMPRODUCT(('Cashflow Summary C19RM'!$B$5:$B$100="C19RM 2021-Lab &amp; Other HPS")*('Cashflow Summary C19RM'!$A$5:$A$100=1)*1*('Cashflow Summary C19RM'!$BC$5:$BC$100="6.4 Dummy")*('Cashflow Summary C19RM'!$AH$5:$AH$100)))</f>
        <v>0</v>
      </c>
      <c r="AX21" s="424" cm="1">
        <f t="array" ref="AX21">(SUMPRODUCT(('Cashflow Summary C19RM'!$B$5:$B$100="C19RM 2021-Lab &amp; Other HPS")*('Cashflow Summary C19RM'!$A$5:$A$100=1)*1*('Cashflow Summary C19RM'!$BC$5:$BC$100="6.4 Dummy")*('Cashflow Summary C19RM'!$AI$5:$AI$100)))</f>
        <v>0</v>
      </c>
      <c r="AY21" s="424" cm="1">
        <f t="array" ref="AY21">(SUMPRODUCT(('Cashflow Summary C19RM'!$B$5:$B$100="C19RM 2021-Lab &amp; Other HPS")*('Cashflow Summary C19RM'!$A$5:$A$100=1)*1*('Cashflow Summary C19RM'!$BC$5:$BC$100="6.4 Dummy")*('Cashflow Summary C19RM'!$AJ$5:$AJ$100)))</f>
        <v>0</v>
      </c>
      <c r="AZ21" s="424" cm="1">
        <f t="array" ref="AZ21">(SUMPRODUCT(('Cashflow Summary C19RM'!$B$5:$B$100="C19RM 2021-Lab &amp; Other HPS")*('Cashflow Summary C19RM'!$A$5:$A$100=1)*1*('Cashflow Summary C19RM'!$BC$5:$BC$100="6.4 Dummy")*('Cashflow Summary C19RM'!$AK$5:$AK$100)))</f>
        <v>0</v>
      </c>
      <c r="BA21" s="424">
        <f t="shared" si="6"/>
        <v>0</v>
      </c>
      <c r="BB21" s="424"/>
      <c r="BC21" s="424"/>
      <c r="BD21" s="424"/>
      <c r="BE21" s="424" cm="1">
        <f t="array" ref="BE21">(SUMPRODUCT(('Cashflow Summary C19RM'!$B$5:$B$100="C19RM 2021-Lab &amp; Other HPS")*('Cashflow Summary C19RM'!$A$5:$A$100=1)*1*('Cashflow Summary C19RM'!$BC$5:$BC$100="6.4 Dummy")*('Cashflow Summary C19RM'!$AL$5:$AL$100)))</f>
        <v>0</v>
      </c>
      <c r="BF21" s="424" cm="1">
        <f t="array" ref="BF21">(SUMPRODUCT(('Cashflow Summary C19RM'!$B$5:$B$100="C19RM 2021-Lab &amp; Other HPS")*('Cashflow Summary C19RM'!$A$5:$A$100=1)*1*('Cashflow Summary C19RM'!$BC$5:$BC$100="6.4 Dummy")*('Cashflow Summary C19RM'!$AM$5:$AM$100)))</f>
        <v>0</v>
      </c>
      <c r="BG21" s="424" cm="1">
        <f t="array" ref="BG21">(SUMPRODUCT(('Cashflow Summary C19RM'!$B$5:$B$100="C19RM 2021-Lab &amp; Other HPS")*('Cashflow Summary C19RM'!$A$5:$A$100=1)*1*('Cashflow Summary C19RM'!$BC$5:$BC$100="6.4 Dummy")*('Cashflow Summary C19RM'!$AN$5:$AN$100)))</f>
        <v>0</v>
      </c>
      <c r="BH21" s="424" cm="1">
        <f t="array" ref="BH21">(SUMPRODUCT(('Cashflow Summary C19RM'!$B$5:$B$100="C19RM 2021-Lab &amp; Other HPS")*('Cashflow Summary C19RM'!$A$5:$A$100=1)*1*('Cashflow Summary C19RM'!$BC$5:$BC$100="6.4 Dummy")*('Cashflow Summary C19RM'!$AO$5:$AO$100)))</f>
        <v>0</v>
      </c>
      <c r="BI21" s="424">
        <f t="shared" si="7"/>
        <v>0</v>
      </c>
      <c r="BJ21" s="424"/>
      <c r="BK21" s="424">
        <f t="shared" si="8"/>
        <v>0</v>
      </c>
      <c r="BL21" s="424"/>
      <c r="BM21" s="142"/>
      <c r="BN21" s="425"/>
      <c r="BP21" s="274" t="str">
        <f t="shared" si="1"/>
        <v>No</v>
      </c>
      <c r="BQ21" t="s">
        <v>13</v>
      </c>
      <c r="BS21" s="286" t="s">
        <v>83</v>
      </c>
      <c r="BT21" t="s">
        <v>3321</v>
      </c>
      <c r="BU21" s="411" t="s">
        <v>3607</v>
      </c>
    </row>
    <row r="22" spans="1:108" ht="39" customHeight="1" x14ac:dyDescent="0.35">
      <c r="A22" s="256"/>
      <c r="B22" s="363" t="str">
        <f>PMsheet!$AH$94&amp;'Detailed BudgetC19RM'!BU22</f>
        <v>000P23HP1117</v>
      </c>
      <c r="C22" s="315" t="s">
        <v>2749</v>
      </c>
      <c r="D22" s="315" t="s">
        <v>3119</v>
      </c>
      <c r="E22" s="261" t="s">
        <v>3117</v>
      </c>
      <c r="F22" s="314" t="s">
        <v>619</v>
      </c>
      <c r="G22" s="315">
        <f ca="1">SETUP!$T$2</f>
        <v>0</v>
      </c>
      <c r="H22" s="315" t="str">
        <f>IF(SETUP!$E$3="","","National/Country Level")</f>
        <v/>
      </c>
      <c r="I22" s="315" t="s">
        <v>2665</v>
      </c>
      <c r="J22" s="315" t="s">
        <v>707</v>
      </c>
      <c r="K22" s="315">
        <f t="shared" si="0"/>
        <v>0</v>
      </c>
      <c r="L22" s="315"/>
      <c r="M22" s="315">
        <f>SETUP!$E$7</f>
        <v>0</v>
      </c>
      <c r="N22" s="315"/>
      <c r="O22" s="315"/>
      <c r="P22" s="315"/>
      <c r="Q22" s="917" cm="1">
        <f t="array" ref="Q22">('HPM costs-C19RM'!$G$19+'HPM costs-C19RM'!$G$20+'HPM costs-C19RM'!$G$18)+(SUMPRODUCT(('Fixed Cost-C19RM'!$D$5:$D$202=$D22)*('Fixed Cost-C19RM'!$F$5:$F$202=$F22)*('Fixed Cost-C19RM'!$K$5:$K$202)))</f>
        <v>0</v>
      </c>
      <c r="R22" s="917" cm="1">
        <f t="array" ref="R22">('HPM costs-C19RM'!$H$19+'HPM costs-C19RM'!$H$20+'HPM costs-C19RM'!$H$18)+(SUMPRODUCT(('Fixed Cost-C19RM'!$D$5:$D$202=$D22)*('Fixed Cost-C19RM'!$F$5:$F$202=$F22)*('Fixed Cost-C19RM'!$L$5:$L$202)))</f>
        <v>0</v>
      </c>
      <c r="S22" s="917" cm="1">
        <f t="array" ref="S22">('HPM costs-C19RM'!$I$19+'HPM costs-C19RM'!$I$20+'HPM costs-C19RM'!$I$18)+(SUMPRODUCT(('Fixed Cost-C19RM'!$D$5:$D$202=$D22)*('Fixed Cost-C19RM'!$F$5:$F$202=$F22)*('Fixed Cost-C19RM'!$M$5:$M$202)))</f>
        <v>0</v>
      </c>
      <c r="T22" s="917" cm="1">
        <f t="array" ref="T22">('HPM costs-C19RM'!$J$19+'HPM costs-C19RM'!$J$20+'HPM costs-C19RM'!$J$18)+(SUMPRODUCT(('Fixed Cost-C19RM'!$D$5:$D$202=$D22)*('Fixed Cost-C19RM'!$F$5:$F$202=$F22)*('Fixed Cost-C19RM'!$N$5:$N$202)))</f>
        <v>0</v>
      </c>
      <c r="U22" s="948">
        <f t="shared" si="2"/>
        <v>0</v>
      </c>
      <c r="V22" s="957"/>
      <c r="W22" s="951"/>
      <c r="X22" s="951"/>
      <c r="Y22" s="424" cm="1">
        <f t="array" ref="Y22">('HPM costs-C19RM'!$M$19+'HPM costs-C19RM'!$M$20+'HPM costs-C19RM'!$M$18)+(SUMPRODUCT(('Fixed Cost-C19RM'!$D$5:$D$202=$D22)*('Fixed Cost-C19RM'!$F$5:$F$202=$F22)*('Fixed Cost-C19RM'!$P$5:$P$202)))</f>
        <v>0</v>
      </c>
      <c r="Z22" s="424" cm="1">
        <f t="array" ref="Z22">('HPM costs-C19RM'!$N$19+'HPM costs-C19RM'!$N$20+'HPM costs-C19RM'!$N$18)+(SUMPRODUCT(('Fixed Cost-C19RM'!$D$5:$D$202=$D22)*('Fixed Cost-C19RM'!$F$5:$F$202=$F22)*('Fixed Cost-C19RM'!$Q$5:$Q$202)))</f>
        <v>0</v>
      </c>
      <c r="AA22" s="424" cm="1">
        <f t="array" ref="AA22">('HPM costs-C19RM'!O$19+'HPM costs-C19RM'!O$20+'HPM costs-C19RM'!O$18)+(SUMPRODUCT(('Fixed Cost-C19RM'!$D$5:$D$202=$D22)*('Fixed Cost-C19RM'!$F$5:$F$202=$F22)*('Fixed Cost-C19RM'!$R$5:$R$202)))</f>
        <v>0</v>
      </c>
      <c r="AB22" s="424" cm="1">
        <f t="array" ref="AB22">('HPM costs-C19RM'!$P$19+'HPM costs-C19RM'!$P$20+'HPM costs-C19RM'!$P$18)+(SUMPRODUCT(('Fixed Cost-C19RM'!$D$5:$D$202=$D22)*('Fixed Cost-C19RM'!$F$5:$F$202=$F22)*('Fixed Cost-C19RM'!$S$5:$S$202)))</f>
        <v>0</v>
      </c>
      <c r="AC22" s="424">
        <f t="shared" si="3"/>
        <v>0</v>
      </c>
      <c r="AD22" s="424"/>
      <c r="AE22" s="951"/>
      <c r="AF22" s="951"/>
      <c r="AG22" s="424" cm="1">
        <f t="array" ref="AG22">('HPM costs-C19RM'!$S$19+'HPM costs-C19RM'!$S$20+'HPM costs-C19RM'!$S$18)+(SUMPRODUCT(('Fixed Cost-C19RM'!$D$5:$D$202=$D22)*('Fixed Cost-C19RM'!$F$5:$F$202=$F22)*('Fixed Cost-C19RM'!$U$5:$U$202)))</f>
        <v>0</v>
      </c>
      <c r="AH22" s="424" cm="1">
        <f t="array" ref="AH22">('HPM costs-C19RM'!$T$19+'HPM costs-C19RM'!$T$20+'HPM costs-C19RM'!$T$18)+(SUMPRODUCT(('Fixed Cost-C19RM'!$D$5:$D$202=$D22)*('Fixed Cost-C19RM'!$F$5:$F$202=$F22)*('Fixed Cost-C19RM'!$V$5:$V$202)))</f>
        <v>0</v>
      </c>
      <c r="AI22" s="424" cm="1">
        <f t="array" ref="AI22">('HPM costs-C19RM'!$U$19+'HPM costs-C19RM'!$U$20+'HPM costs-C19RM'!$U$18)+(SUMPRODUCT(('Fixed Cost-C19RM'!$D$5:$D$202=$D22)*('Fixed Cost-C19RM'!$F$5:$F$202=$F22)*('Fixed Cost-C19RM'!$W$5:$W$202)))</f>
        <v>0</v>
      </c>
      <c r="AJ22" s="424" cm="1">
        <f t="array" ref="AJ22">('HPM costs-C19RM'!$V$19+'HPM costs-C19RM'!$V$20+'HPM costs-C19RM'!$V$18)+(SUMPRODUCT(('Fixed Cost-C19RM'!$D$5:$D$202=$D22)*('Fixed Cost-C19RM'!$F$5:$F$202=$F22)*('Fixed Cost-C19RM'!$X$5:$X$202)))</f>
        <v>0</v>
      </c>
      <c r="AK22" s="424">
        <f t="shared" si="4"/>
        <v>0</v>
      </c>
      <c r="AL22" s="424"/>
      <c r="AM22" s="951"/>
      <c r="AN22" s="951"/>
      <c r="AO22" s="424" cm="1">
        <f t="array" ref="AO22">('HPM costs-C19RM'!$Y$19+'HPM costs-C19RM'!$Y$20+'HPM costs-C19RM'!$Y$18)+(SUMPRODUCT(('Fixed Cost-C19RM'!$D$5:$D$202=$D22)*('Fixed Cost-C19RM'!$F$5:$F$202=$F22)*('Fixed Cost-C19RM'!$Z$5:$Z$202)))</f>
        <v>0</v>
      </c>
      <c r="AP22" s="424" cm="1">
        <f t="array" ref="AP22">('HPM costs-C19RM'!$Z$19+'HPM costs-C19RM'!$Z$20+'HPM costs-C19RM'!$Z$18)+(SUMPRODUCT(('Fixed Cost-C19RM'!$D$5:$D$202=$D22)*('Fixed Cost-C19RM'!$F$5:$F$202=$F22)*('Fixed Cost-C19RM'!$AA$5:$AA$202)))</f>
        <v>0</v>
      </c>
      <c r="AQ22" s="424" cm="1">
        <f t="array" ref="AQ22">('HPM costs-C19RM'!$AA$19+'HPM costs-C19RM'!$AA$20+'HPM costs-C19RM'!$AA$18)+(SUMPRODUCT(('Fixed Cost-C19RM'!$D$5:$D$202=$D22)*('Fixed Cost-C19RM'!$F$5:$F$202=$F22)*('Fixed Cost-C19RM'!$AB$5:$AB$202)))</f>
        <v>0</v>
      </c>
      <c r="AR22" s="424" cm="1">
        <f t="array" ref="AR22">('HPM costs-C19RM'!$AB$19+'HPM costs-C19RM'!$AB$20+'HPM costs-C19RM'!$AB$18)+(SUMPRODUCT(('Fixed Cost-C19RM'!$D$5:$D$202=$D22)*('Fixed Cost-C19RM'!$F$5:$F$202=$F22)*('Fixed Cost-C19RM'!$AC$5:$AC$202)))</f>
        <v>0</v>
      </c>
      <c r="AS22" s="424">
        <f t="shared" si="5"/>
        <v>0</v>
      </c>
      <c r="AT22" s="424"/>
      <c r="AU22" s="951"/>
      <c r="AV22" s="951"/>
      <c r="AW22" s="424" cm="1">
        <f t="array" ref="AW22">('HPM costs-C19RM'!$AE$19+'HPM costs-C19RM'!$AE$20+'HPM costs-C19RM'!$AE$18)+(SUMPRODUCT(('Fixed Cost-C19RM'!$D$5:$D$202=$D22)*('Fixed Cost-C19RM'!$F$5:$F$202=$F22)*('Fixed Cost-C19RM'!$AE$5:$AE$202)))</f>
        <v>0</v>
      </c>
      <c r="AX22" s="424" cm="1">
        <f t="array" ref="AX22">('HPM costs-C19RM'!$AF$19+'HPM costs-C19RM'!$AF$20+'HPM costs-C19RM'!$AF$18)+(SUMPRODUCT(('Fixed Cost-C19RM'!$D$5:$D$202=$D22)*('Fixed Cost-C19RM'!$F$5:$F$202=$F22)*('Fixed Cost-C19RM'!$AF$5:$AF$202)))</f>
        <v>0</v>
      </c>
      <c r="AY22" s="424" cm="1">
        <f t="array" ref="AY22">('HPM costs-C19RM'!$AG$19+'HPM costs-C19RM'!$AG$20+'HPM costs-C19RM'!$AG$18)+(SUMPRODUCT(('Fixed Cost-C19RM'!$D$5:$D$202=$D22)*('Fixed Cost-C19RM'!$F$5:$F$202=$F22)*('Fixed Cost-C19RM'!$AG$5:$AG$202)))</f>
        <v>0</v>
      </c>
      <c r="AZ22" s="424" cm="1">
        <f t="array" ref="AZ22">('HPM costs-C19RM'!$AH$19+'HPM costs-C19RM'!$AH$20+'HPM costs-C19RM'!$AH$18)+(SUMPRODUCT(('Fixed Cost-C19RM'!$D$5:$D$202=$D22)*('Fixed Cost-C19RM'!$F$5:$F$202=$F22)*('Fixed Cost-C19RM'!$AH$5:$AH$202)))</f>
        <v>0</v>
      </c>
      <c r="BA22" s="424">
        <f t="shared" si="6"/>
        <v>0</v>
      </c>
      <c r="BB22" s="424"/>
      <c r="BC22" s="951"/>
      <c r="BD22" s="951"/>
      <c r="BE22" s="424">
        <v>0</v>
      </c>
      <c r="BF22" s="424">
        <v>0</v>
      </c>
      <c r="BG22" s="424">
        <v>0</v>
      </c>
      <c r="BH22" s="424">
        <v>0</v>
      </c>
      <c r="BI22" s="424">
        <f t="shared" si="7"/>
        <v>0</v>
      </c>
      <c r="BJ22" s="424"/>
      <c r="BK22" s="424">
        <f t="shared" si="8"/>
        <v>0</v>
      </c>
      <c r="BL22" s="424"/>
      <c r="BM22" s="142"/>
      <c r="BN22" s="425"/>
      <c r="BP22" s="274" t="str">
        <f t="shared" si="1"/>
        <v>No</v>
      </c>
      <c r="BR22" t="str">
        <f>IF(((IFERROR(INDEX('Fixed Cost-C19RM'!$AO$5:$AO$202,MATCH(BS22&amp;C22&amp;D22&amp;F22,'Fixed Cost-C19RM'!$A$5:$A$202,0)),0)))&gt;0,"Yes","NO")</f>
        <v>NO</v>
      </c>
      <c r="BS22" s="286" t="s">
        <v>83</v>
      </c>
      <c r="BT22" t="s">
        <v>3271</v>
      </c>
      <c r="BU22" s="411" t="s">
        <v>3608</v>
      </c>
    </row>
    <row r="23" spans="1:108" ht="39" customHeight="1" x14ac:dyDescent="0.35">
      <c r="A23" s="256"/>
      <c r="B23" s="363" t="str">
        <f>PMsheet!$AH$94&amp;'Detailed BudgetC19RM'!BU23</f>
        <v>000P23HP1118</v>
      </c>
      <c r="C23" s="315" t="s">
        <v>2749</v>
      </c>
      <c r="D23" s="315" t="s">
        <v>3119</v>
      </c>
      <c r="E23" s="261" t="s">
        <v>3117</v>
      </c>
      <c r="F23" s="314" t="s">
        <v>3118</v>
      </c>
      <c r="G23" s="315">
        <f ca="1">SETUP!$T$2</f>
        <v>0</v>
      </c>
      <c r="H23" s="315" t="str">
        <f>IF(SETUP!$E$3="","","National/Country Level")</f>
        <v/>
      </c>
      <c r="I23" s="315" t="s">
        <v>2665</v>
      </c>
      <c r="J23" s="315" t="s">
        <v>707</v>
      </c>
      <c r="K23" s="315">
        <f t="shared" si="0"/>
        <v>0</v>
      </c>
      <c r="L23" s="315"/>
      <c r="M23" s="315">
        <f>SETUP!$E$7</f>
        <v>0</v>
      </c>
      <c r="N23" s="315"/>
      <c r="O23" s="315"/>
      <c r="P23" s="315"/>
      <c r="Q23" s="917" cm="1">
        <f t="array" ref="Q23">('HPM costs-C19RM'!$G$39+'HPM costs-C19RM'!$G$40+'HPM costs-C19RM'!$G$38)+(SUMPRODUCT(('Fixed Cost-C19RM'!$D$5:$D$202=$D23)*('Fixed Cost-C19RM'!$F$5:$F$202=$F23)*('Fixed Cost-C19RM'!$K$5:$K$202)))</f>
        <v>0</v>
      </c>
      <c r="R23" s="917" cm="1">
        <f t="array" ref="R23">('HPM costs-C19RM'!$H$39+'HPM costs-C19RM'!$H$40+'HPM costs-C19RM'!$H$38)+(SUMPRODUCT(('Fixed Cost-C19RM'!$D$5:$D$202=$D23)*('Fixed Cost-C19RM'!$F$5:$F$202=$F23)*('Fixed Cost-C19RM'!$L$5:$L$202)))</f>
        <v>0</v>
      </c>
      <c r="S23" s="917" cm="1">
        <f t="array" ref="S23">('HPM costs-C19RM'!$I$39+'HPM costs-C19RM'!$I$40+'HPM costs-C19RM'!$I$38)+(SUMPRODUCT(('Fixed Cost-C19RM'!$D$5:$D$202=$D23)*('Fixed Cost-C19RM'!$F$5:$F$202=$F23)*('Fixed Cost-C19RM'!$M$5:$M$202)))</f>
        <v>0</v>
      </c>
      <c r="T23" s="917" cm="1">
        <f t="array" ref="T23">('HPM costs-C19RM'!$J$39+'HPM costs-C19RM'!$J$40+'HPM costs-C19RM'!$J$38)+(SUMPRODUCT(('Fixed Cost-C19RM'!$D$5:$D$202=$D23)*('Fixed Cost-C19RM'!$F$5:$F$202=$F23)*('Fixed Cost-C19RM'!$N$5:$N$202)))</f>
        <v>0</v>
      </c>
      <c r="U23" s="948">
        <f t="shared" si="2"/>
        <v>0</v>
      </c>
      <c r="V23" s="957"/>
      <c r="W23" s="951"/>
      <c r="X23" s="951"/>
      <c r="Y23" s="424" cm="1">
        <f t="array" ref="Y23">('HPM costs-C19RM'!$M$39+'HPM costs-C19RM'!$M$40+'HPM costs-C19RM'!$M$38)+(SUMPRODUCT(('Fixed Cost-C19RM'!$D$5:$D$202=$D23)*('Fixed Cost-C19RM'!$F$5:$F$202=$F23)*('Fixed Cost-C19RM'!$P$5:$P$202)))</f>
        <v>0</v>
      </c>
      <c r="Z23" s="424" cm="1">
        <f t="array" ref="Z23">('HPM costs-C19RM'!$N$39+'HPM costs-C19RM'!$N$40+'HPM costs-C19RM'!$N$38)+(SUMPRODUCT(('Fixed Cost-C19RM'!$D$5:$D$202=$D23)*('Fixed Cost-C19RM'!$F$5:$F$202=$F23)*('Fixed Cost-C19RM'!$Q$5:$Q$202)))</f>
        <v>0</v>
      </c>
      <c r="AA23" s="424" cm="1">
        <f t="array" ref="AA23">('HPM costs-C19RM'!$O$39+'HPM costs-C19RM'!$O$40+'HPM costs-C19RM'!$O$38)+(SUMPRODUCT(('Fixed Cost-C19RM'!$D$5:$D$202=$D23)*('Fixed Cost-C19RM'!$F$5:$F$202=$F23)*('Fixed Cost-C19RM'!$R$5:$R$202)))</f>
        <v>0</v>
      </c>
      <c r="AB23" s="424" cm="1">
        <f t="array" ref="AB23">('HPM costs-C19RM'!$P$39+'HPM costs-C19RM'!$P$40+'HPM costs-C19RM'!$P$38)+(SUMPRODUCT(('Fixed Cost-C19RM'!$D$5:$D$202=$D23)*('Fixed Cost-C19RM'!$F$5:$F$202=$F23)*('Fixed Cost-C19RM'!$S$5:$S$202)))</f>
        <v>0</v>
      </c>
      <c r="AC23" s="424">
        <f t="shared" si="3"/>
        <v>0</v>
      </c>
      <c r="AD23" s="424"/>
      <c r="AE23" s="951"/>
      <c r="AF23" s="951"/>
      <c r="AG23" s="424" cm="1">
        <f t="array" ref="AG23">('HPM costs-C19RM'!$S$39+'HPM costs-C19RM'!$S$40+'HPM costs-C19RM'!$S$38)+(SUMPRODUCT(('Fixed Cost-C19RM'!$D$5:$D$202=$D23)*('Fixed Cost-C19RM'!$F$5:$F$202=$F23)*('Fixed Cost-C19RM'!$U$5:$U$202)))</f>
        <v>0</v>
      </c>
      <c r="AH23" s="424" cm="1">
        <f t="array" ref="AH23">('HPM costs-C19RM'!$T$39+'HPM costs-C19RM'!$T$40+'HPM costs-C19RM'!$T$38)+(SUMPRODUCT(('Fixed Cost-C19RM'!$D$5:$D$202=$D23)*('Fixed Cost-C19RM'!$F$5:$F$202=$F23)*('Fixed Cost-C19RM'!$V$5:$V$202)))</f>
        <v>0</v>
      </c>
      <c r="AI23" s="424" cm="1">
        <f t="array" ref="AI23">('HPM costs-C19RM'!$U$39+'HPM costs-C19RM'!$U$40+'HPM costs-C19RM'!$U$38)+(SUMPRODUCT(('Fixed Cost-C19RM'!$D$5:$D$202=$D23)*('Fixed Cost-C19RM'!$F$5:$F$202=$F23)*('Fixed Cost-C19RM'!$W$5:$W$202)))</f>
        <v>0</v>
      </c>
      <c r="AJ23" s="424" cm="1">
        <f t="array" ref="AJ23">('HPM costs-C19RM'!$V$39+'HPM costs-C19RM'!$V$40+'HPM costs-C19RM'!$V$38)+(SUMPRODUCT(('Fixed Cost-C19RM'!$D$5:$D$202=$D23)*('Fixed Cost-C19RM'!$F$5:$F$202=$F23)*('Fixed Cost-C19RM'!$X$5:$X$202)))</f>
        <v>0</v>
      </c>
      <c r="AK23" s="424">
        <f t="shared" si="4"/>
        <v>0</v>
      </c>
      <c r="AL23" s="424"/>
      <c r="AM23" s="951"/>
      <c r="AN23" s="951"/>
      <c r="AO23" s="424" cm="1">
        <f t="array" ref="AO23">('HPM costs-C19RM'!$Y$39+'HPM costs-C19RM'!$Y$40+'HPM costs-C19RM'!$Y$38)+(SUMPRODUCT(('Fixed Cost-C19RM'!$D$5:$D$202=$D23)*('Fixed Cost-C19RM'!$F$5:$F$202=$F23)*('Fixed Cost-C19RM'!$Z$5:$Z$202)))</f>
        <v>0</v>
      </c>
      <c r="AP23" s="424" cm="1">
        <f t="array" ref="AP23">('HPM costs-C19RM'!$Z$39+'HPM costs-C19RM'!$Z$40+'HPM costs-C19RM'!$Z$38)+(SUMPRODUCT(('Fixed Cost-C19RM'!$D$5:$D$202=$D23)*('Fixed Cost-C19RM'!$F$5:$F$202=$F23)*('Fixed Cost-C19RM'!$AA$5:$AA$202)))</f>
        <v>0</v>
      </c>
      <c r="AQ23" s="424" cm="1">
        <f t="array" ref="AQ23">('HPM costs-C19RM'!$AA$39+'HPM costs-C19RM'!$AA$40+'HPM costs-C19RM'!$AA$38)+(SUMPRODUCT(('Fixed Cost-C19RM'!$D$5:$D$202=$D23)*('Fixed Cost-C19RM'!$F$5:$F$202=$F23)*('Fixed Cost-C19RM'!$AB$5:$AB$202)))</f>
        <v>0</v>
      </c>
      <c r="AR23" s="424" cm="1">
        <f t="array" ref="AR23">('HPM costs-C19RM'!$AB$39+'HPM costs-C19RM'!$AB$40+'HPM costs-C19RM'!$AB$38)+(SUMPRODUCT(('Fixed Cost-C19RM'!$D$5:$D$202=$D23)*('Fixed Cost-C19RM'!$F$5:$F$202=$F23)*('Fixed Cost-C19RM'!$AC$5:$AC$202)))</f>
        <v>0</v>
      </c>
      <c r="AS23" s="424">
        <f t="shared" si="5"/>
        <v>0</v>
      </c>
      <c r="AT23" s="424"/>
      <c r="AU23" s="951"/>
      <c r="AV23" s="951"/>
      <c r="AW23" s="424" cm="1">
        <f t="array" ref="AW23">('HPM costs-C19RM'!$AE$39+'HPM costs-C19RM'!$AE$40+'HPM costs-C19RM'!$AE$38)+(SUMPRODUCT(('Fixed Cost-C19RM'!$D$5:$D$202=$D23)*('Fixed Cost-C19RM'!$F$5:$F$202=$F23)*('Fixed Cost-C19RM'!$AE$5:$AE$202)))</f>
        <v>0</v>
      </c>
      <c r="AX23" s="424" cm="1">
        <f t="array" ref="AX23">('HPM costs-C19RM'!$AF$39+'HPM costs-C19RM'!$AF$40+'HPM costs-C19RM'!$AF$38)+(SUMPRODUCT(('Fixed Cost-C19RM'!$D$5:$D$202=$D23)*('Fixed Cost-C19RM'!$F$5:$F$202=$F23)*('Fixed Cost-C19RM'!$AF$5:$AF$202)))</f>
        <v>0</v>
      </c>
      <c r="AY23" s="424" cm="1">
        <f t="array" ref="AY23">('HPM costs-C19RM'!$AG$39+'HPM costs-C19RM'!$AG$40+'HPM costs-C19RM'!$AG$38)+(SUMPRODUCT(('Fixed Cost-C19RM'!$D$5:$D$202=$D23)*('Fixed Cost-C19RM'!$F$5:$F$202=$F23)*('Fixed Cost-C19RM'!$AG$5:$AG$202)))</f>
        <v>0</v>
      </c>
      <c r="AZ23" s="424" cm="1">
        <f t="array" ref="AZ23">('HPM costs-C19RM'!$AH$39+'HPM costs-C19RM'!$AH$40+'HPM costs-C19RM'!$AH$38)+(SUMPRODUCT(('Fixed Cost-C19RM'!$D$5:$D$202=$D23)*('Fixed Cost-C19RM'!$F$5:$F$202=$F23)*('Fixed Cost-C19RM'!$AH$5:$AH$202)))</f>
        <v>0</v>
      </c>
      <c r="BA23" s="424">
        <f t="shared" si="6"/>
        <v>0</v>
      </c>
      <c r="BB23" s="424"/>
      <c r="BC23" s="951"/>
      <c r="BD23" s="951"/>
      <c r="BE23" s="424">
        <v>0</v>
      </c>
      <c r="BF23" s="424">
        <v>0</v>
      </c>
      <c r="BG23" s="424">
        <v>0</v>
      </c>
      <c r="BH23" s="424">
        <v>0</v>
      </c>
      <c r="BI23" s="424">
        <f t="shared" si="7"/>
        <v>0</v>
      </c>
      <c r="BJ23" s="424"/>
      <c r="BK23" s="424">
        <f t="shared" si="8"/>
        <v>0</v>
      </c>
      <c r="BL23" s="424"/>
      <c r="BM23" s="142"/>
      <c r="BN23" s="425"/>
      <c r="BP23" s="274" t="str">
        <f t="shared" si="1"/>
        <v>No</v>
      </c>
      <c r="BR23" t="str">
        <f>IF(((IFERROR(INDEX('Fixed Cost-C19RM'!$AO$5:$AO$202,MATCH(BS23&amp;C23&amp;D23&amp;F23,'Fixed Cost-C19RM'!$A$5:$A$202,0)),0)))&gt;0,"Yes","NO")</f>
        <v>NO</v>
      </c>
      <c r="BS23" s="286" t="s">
        <v>83</v>
      </c>
      <c r="BT23" s="61" t="s">
        <v>3272</v>
      </c>
      <c r="BU23" s="411" t="s">
        <v>3609</v>
      </c>
    </row>
    <row r="24" spans="1:108" ht="39" customHeight="1" x14ac:dyDescent="0.35">
      <c r="A24" s="256"/>
      <c r="B24" s="363" t="str">
        <f>PMsheet!$AH$94&amp;'Detailed BudgetC19RM'!BU24</f>
        <v>000P23HP1119</v>
      </c>
      <c r="C24" s="315" t="s">
        <v>2749</v>
      </c>
      <c r="D24" s="315" t="s">
        <v>3119</v>
      </c>
      <c r="E24" s="261" t="s">
        <v>3117</v>
      </c>
      <c r="F24" s="314" t="s">
        <v>620</v>
      </c>
      <c r="G24" s="315">
        <f ca="1">SETUP!$T$2</f>
        <v>0</v>
      </c>
      <c r="H24" s="315" t="str">
        <f>IF(SETUP!$E$3="","","National/Country Level")</f>
        <v/>
      </c>
      <c r="I24" s="315" t="s">
        <v>2665</v>
      </c>
      <c r="J24" s="315" t="s">
        <v>707</v>
      </c>
      <c r="K24" s="315">
        <f t="shared" si="0"/>
        <v>0</v>
      </c>
      <c r="L24" s="315"/>
      <c r="M24" s="315">
        <f>SETUP!$E$7</f>
        <v>0</v>
      </c>
      <c r="N24" s="315"/>
      <c r="O24" s="315"/>
      <c r="P24" s="315"/>
      <c r="Q24" s="917" cm="1">
        <f t="array" ref="Q24">('HPM costs-C19RM'!$G$183+'HPM costs-C19RM'!$G$184+'HPM costs-C19RM'!$G$182)+(SUMPRODUCT(('Fixed Cost-C19RM'!$D$5:$D$202=$D24)*('Fixed Cost-C19RM'!$F$5:$F$202=$F24)*('Fixed Cost-C19RM'!$K$5:$K$202)))</f>
        <v>0</v>
      </c>
      <c r="R24" s="917" cm="1">
        <f t="array" ref="R24">('HPM costs-C19RM'!$H$183+'HPM costs-C19RM'!$H$184+'HPM costs-C19RM'!$H$182)+(SUMPRODUCT(('Fixed Cost-C19RM'!$D$5:$D$202=$D24)*('Fixed Cost-C19RM'!$F$5:$F$202=$F24)*('Fixed Cost-C19RM'!$L$5:$L$202)))</f>
        <v>0</v>
      </c>
      <c r="S24" s="917" cm="1">
        <f t="array" ref="S24">('HPM costs-C19RM'!$I$183+'HPM costs-C19RM'!$I$184+'HPM costs-C19RM'!$I$182)+(SUMPRODUCT(('Fixed Cost-C19RM'!$D$5:$D$202=$D24)*('Fixed Cost-C19RM'!$F$5:$F$202=$F24)*('Fixed Cost-C19RM'!$M$5:$M$202)))</f>
        <v>0</v>
      </c>
      <c r="T24" s="917" cm="1">
        <f t="array" ref="T24">('HPM costs-C19RM'!$J$183+'HPM costs-C19RM'!$J$184+'HPM costs-C19RM'!$J$182)+(SUMPRODUCT(('Fixed Cost-C19RM'!$D$5:$D$202=$D24)*('Fixed Cost-C19RM'!$F$5:$F$202=$F24)*('Fixed Cost-C19RM'!$N$5:$N$202)))</f>
        <v>0</v>
      </c>
      <c r="U24" s="948">
        <f t="shared" si="2"/>
        <v>0</v>
      </c>
      <c r="V24" s="424"/>
      <c r="W24" s="951"/>
      <c r="X24" s="951"/>
      <c r="Y24" s="424" cm="1">
        <f t="array" ref="Y24">('HPM costs-C19RM'!$M$183+'HPM costs-C19RM'!$M$184+'HPM costs-C19RM'!$M$182)+(SUMPRODUCT(('Fixed Cost-C19RM'!$D$5:$D$202=$D24)*('Fixed Cost-C19RM'!$F$5:$F$202=$F24)*('Fixed Cost-C19RM'!$P$5:$P$202)))</f>
        <v>0</v>
      </c>
      <c r="Z24" s="424" cm="1">
        <f t="array" ref="Z24">('HPM costs-C19RM'!$N$183+'HPM costs-C19RM'!$N$184+'HPM costs-C19RM'!$N$182)+(SUMPRODUCT(('Fixed Cost-C19RM'!$D$5:$D$202=$D24)*('Fixed Cost-C19RM'!$F$5:$F$202=$F24)*('Fixed Cost-C19RM'!$Q$5:$Q$202)))</f>
        <v>0</v>
      </c>
      <c r="AA24" s="424" cm="1">
        <f t="array" ref="AA24">('HPM costs-C19RM'!$O$183+'HPM costs-C19RM'!$O$184+'HPM costs-C19RM'!$O$182)+(SUMPRODUCT(('Fixed Cost-C19RM'!$D$5:$D$202=$D24)*('Fixed Cost-C19RM'!$F$5:$F$202=$F24)*('Fixed Cost-C19RM'!$R$5:$R$202)))</f>
        <v>0</v>
      </c>
      <c r="AB24" s="424" cm="1">
        <f t="array" ref="AB24">('HPM costs-C19RM'!$P$183+'HPM costs-C19RM'!$P$184+'HPM costs-C19RM'!$P$182)+(SUMPRODUCT(('Fixed Cost-C19RM'!$D$5:$D$202=$D24)*('Fixed Cost-C19RM'!$F$5:$F$202=$F24)*('Fixed Cost-C19RM'!$S$5:$S$202)))</f>
        <v>0</v>
      </c>
      <c r="AC24" s="424">
        <f t="shared" si="3"/>
        <v>0</v>
      </c>
      <c r="AD24" s="424"/>
      <c r="AE24" s="951"/>
      <c r="AF24" s="951"/>
      <c r="AG24" s="424" cm="1">
        <f t="array" ref="AG24">('HPM costs-C19RM'!$S$183+'HPM costs-C19RM'!$S$184+'HPM costs-C19RM'!$S$182)+(SUMPRODUCT(('Fixed Cost-C19RM'!$D$5:$D$202=$D24)*('Fixed Cost-C19RM'!$F$5:$F$202=$F24)*('Fixed Cost-C19RM'!$U$5:$U$202)))</f>
        <v>0</v>
      </c>
      <c r="AH24" s="424" cm="1">
        <f t="array" ref="AH24">('HPM costs-C19RM'!$T$183+'HPM costs-C19RM'!$T$184+'HPM costs-C19RM'!$T$182)+(SUMPRODUCT(('Fixed Cost-C19RM'!$D$5:$D$202=$D24)*('Fixed Cost-C19RM'!$F$5:$F$202=$F24)*('Fixed Cost-C19RM'!$V$5:$V$202)))</f>
        <v>0</v>
      </c>
      <c r="AI24" s="424" cm="1">
        <f t="array" ref="AI24">('HPM costs-C19RM'!$U$183+'HPM costs-C19RM'!$U$184+'HPM costs-C19RM'!$U$182)+(SUMPRODUCT(('Fixed Cost-C19RM'!$D$5:$D$202=$D24)*('Fixed Cost-C19RM'!$F$5:$F$202=$F24)*('Fixed Cost-C19RM'!$W$5:$W$202)))</f>
        <v>0</v>
      </c>
      <c r="AJ24" s="424" cm="1">
        <f t="array" ref="AJ24">('HPM costs-C19RM'!$V$183+'HPM costs-C19RM'!$V$184+'HPM costs-C19RM'!$V$182)+(SUMPRODUCT(('Fixed Cost-C19RM'!$D$5:$D$202=$D24)*('Fixed Cost-C19RM'!$F$5:$F$202=$F24)*('Fixed Cost-C19RM'!$X$5:$X$202)))</f>
        <v>0</v>
      </c>
      <c r="AK24" s="424">
        <f t="shared" si="4"/>
        <v>0</v>
      </c>
      <c r="AL24" s="424"/>
      <c r="AM24" s="951"/>
      <c r="AN24" s="951"/>
      <c r="AO24" s="424" cm="1">
        <f t="array" ref="AO24">('HPM costs-C19RM'!$Y$183+'HPM costs-C19RM'!$Y$184+'HPM costs-C19RM'!$Y$182)+(SUMPRODUCT(('Fixed Cost-C19RM'!$D$5:$D$202=$D24)*('Fixed Cost-C19RM'!$F$5:$F$202=$F24)*('Fixed Cost-C19RM'!$Z$5:$Z$202)))</f>
        <v>0</v>
      </c>
      <c r="AP24" s="424" cm="1">
        <f t="array" ref="AP24">('HPM costs-C19RM'!$Z$183+'HPM costs-C19RM'!$Z$184+'HPM costs-C19RM'!$Z$182)+(SUMPRODUCT(('Fixed Cost-C19RM'!$D$5:$D$202=$D24)*('Fixed Cost-C19RM'!$F$5:$F$202=$F24)*('Fixed Cost-C19RM'!$AA$5:$AA$202)))</f>
        <v>0</v>
      </c>
      <c r="AQ24" s="424" cm="1">
        <f t="array" ref="AQ24">('HPM costs-C19RM'!$AA$183+'HPM costs-C19RM'!$AA$184+'HPM costs-C19RM'!$AA$182)+(SUMPRODUCT(('Fixed Cost-C19RM'!$D$5:$D$202=$D24)*('Fixed Cost-C19RM'!$F$5:$F$202=$F24)*('Fixed Cost-C19RM'!$AB$5:$AB$202)))</f>
        <v>0</v>
      </c>
      <c r="AR24" s="424" cm="1">
        <f t="array" ref="AR24">('HPM costs-C19RM'!$AB$183+'HPM costs-C19RM'!$AB$184+'HPM costs-C19RM'!$AB$182)+(SUMPRODUCT(('Fixed Cost-C19RM'!$D$5:$D$202=$D24)*('Fixed Cost-C19RM'!$F$5:$F$202=$F24)*('Fixed Cost-C19RM'!$AC$5:$AC$202)))</f>
        <v>0</v>
      </c>
      <c r="AS24" s="424">
        <f t="shared" si="5"/>
        <v>0</v>
      </c>
      <c r="AT24" s="424"/>
      <c r="AU24" s="951"/>
      <c r="AV24" s="951"/>
      <c r="AW24" s="424" cm="1">
        <f t="array" ref="AW24">('HPM costs-C19RM'!$AE$183+'HPM costs-C19RM'!$AE$184+'HPM costs-C19RM'!$AE$182)+(SUMPRODUCT(('Fixed Cost-C19RM'!$D$5:$D$202=$D24)*('Fixed Cost-C19RM'!$F$5:$F$202=$F24)*('Fixed Cost-C19RM'!$AE$5:$AE$202)))</f>
        <v>0</v>
      </c>
      <c r="AX24" s="424" cm="1">
        <f t="array" ref="AX24">('HPM costs-C19RM'!$AF$183+'HPM costs-C19RM'!$AF$184+'HPM costs-C19RM'!$AF$182)+(SUMPRODUCT(('Fixed Cost-C19RM'!$D$5:$D$202=$D24)*('Fixed Cost-C19RM'!$F$5:$F$202=$F24)*('Fixed Cost-C19RM'!$AF$5:$AF$202)))</f>
        <v>0</v>
      </c>
      <c r="AY24" s="424" cm="1">
        <f t="array" ref="AY24">('HPM costs-C19RM'!$AG$183+'HPM costs-C19RM'!$AG$184+'HPM costs-C19RM'!$AG$182)+(SUMPRODUCT(('Fixed Cost-C19RM'!$D$5:$D$202=$D24)*('Fixed Cost-C19RM'!$F$5:$F$202=$F24)*('Fixed Cost-C19RM'!$AG$5:$AG$202)))</f>
        <v>0</v>
      </c>
      <c r="AZ24" s="424" cm="1">
        <f t="array" ref="AZ24">('HPM costs-C19RM'!$AH$183+'HPM costs-C19RM'!$AH$184+'HPM costs-C19RM'!$AH$182)+(SUMPRODUCT(('Fixed Cost-C19RM'!$D$5:$D$202=$D24)*('Fixed Cost-C19RM'!$F$5:$F$202=$F24)*('Fixed Cost-C19RM'!$AH$5:$AH$202)))</f>
        <v>0</v>
      </c>
      <c r="BA24" s="424">
        <f t="shared" si="6"/>
        <v>0</v>
      </c>
      <c r="BB24" s="424"/>
      <c r="BC24" s="951"/>
      <c r="BD24" s="951"/>
      <c r="BE24" s="424">
        <v>0</v>
      </c>
      <c r="BF24" s="424">
        <v>0</v>
      </c>
      <c r="BG24" s="424">
        <v>0</v>
      </c>
      <c r="BH24" s="424">
        <v>0</v>
      </c>
      <c r="BI24" s="424">
        <f t="shared" si="7"/>
        <v>0</v>
      </c>
      <c r="BJ24" s="424"/>
      <c r="BK24" s="424">
        <f t="shared" si="8"/>
        <v>0</v>
      </c>
      <c r="BL24" s="424"/>
      <c r="BM24" s="142"/>
      <c r="BN24" s="425"/>
      <c r="BP24" s="274" t="str">
        <f t="shared" si="1"/>
        <v>No</v>
      </c>
      <c r="BR24" t="str">
        <f>IF(((IFERROR(INDEX('Fixed Cost-C19RM'!$AO$5:$AO$202,MATCH(BS24&amp;C24&amp;D24&amp;F24,'Fixed Cost-C19RM'!$A$5:$A$202,0)),0)))&gt;0,"Yes","NO")</f>
        <v>NO</v>
      </c>
      <c r="BS24" s="286" t="s">
        <v>83</v>
      </c>
      <c r="BT24" s="61" t="s">
        <v>3273</v>
      </c>
      <c r="BU24" s="411" t="s">
        <v>3610</v>
      </c>
    </row>
    <row r="25" spans="1:108" ht="39" customHeight="1" x14ac:dyDescent="0.35">
      <c r="A25" s="256"/>
      <c r="B25" s="363" t="str">
        <f>PMsheet!$AH$94&amp;'Detailed BudgetC19RM'!BU25</f>
        <v>000P23HP1120</v>
      </c>
      <c r="C25" s="315" t="s">
        <v>2749</v>
      </c>
      <c r="D25" s="315" t="s">
        <v>3119</v>
      </c>
      <c r="E25" s="261" t="s">
        <v>3117</v>
      </c>
      <c r="F25" s="314" t="s">
        <v>621</v>
      </c>
      <c r="G25" s="315">
        <f ca="1">SETUP!$T$2</f>
        <v>0</v>
      </c>
      <c r="H25" s="315" t="str">
        <f>IF(SETUP!$E$3="","","National/Country Level")</f>
        <v/>
      </c>
      <c r="I25" s="315" t="s">
        <v>2665</v>
      </c>
      <c r="J25" s="315" t="s">
        <v>707</v>
      </c>
      <c r="K25" s="315">
        <f t="shared" si="0"/>
        <v>0</v>
      </c>
      <c r="L25" s="315"/>
      <c r="M25" s="315">
        <f>SETUP!$E$7</f>
        <v>0</v>
      </c>
      <c r="N25" s="315"/>
      <c r="O25" s="315"/>
      <c r="P25" s="315"/>
      <c r="Q25" s="917" cm="1">
        <f t="array" ref="Q25">('HPM costs-C19RM'!$G$230+'HPM costs-C19RM'!$G$231+'HPM costs-C19RM'!$G$229)+(SUMPRODUCT(('Fixed Cost-C19RM'!$D$5:$D$202=$D25)*('Fixed Cost-C19RM'!$F$5:$F$202=$F25)*('Fixed Cost-C19RM'!$K$5:$K$202)))</f>
        <v>0</v>
      </c>
      <c r="R25" s="917" cm="1">
        <f t="array" ref="R25">('HPM costs-C19RM'!$H$230+'HPM costs-C19RM'!$H$231+'HPM costs-C19RM'!$H$229)+(SUMPRODUCT(('Fixed Cost-C19RM'!$D$5:$D$202=$D25)*('Fixed Cost-C19RM'!$F$5:$F$202=$F25)*('Fixed Cost-C19RM'!$L$5:$L$202)))</f>
        <v>0</v>
      </c>
      <c r="S25" s="917" cm="1">
        <f t="array" ref="S25">('HPM costs-C19RM'!$I$230+'HPM costs-C19RM'!$I$231+'HPM costs-C19RM'!$I$229)+(SUMPRODUCT(('Fixed Cost-C19RM'!$D$5:$D$202=$D25)*('Fixed Cost-C19RM'!$F$5:$F$202=$F25)*('Fixed Cost-C19RM'!$M$5:$M$202)))</f>
        <v>0</v>
      </c>
      <c r="T25" s="917" cm="1">
        <f t="array" ref="T25">('HPM costs-C19RM'!$J$230+'HPM costs-C19RM'!$J$231+'HPM costs-C19RM'!$J$229)+(SUMPRODUCT(('Fixed Cost-C19RM'!$D$5:$D$202=$D25)*('Fixed Cost-C19RM'!$F$5:$F$202=$F25)*('Fixed Cost-C19RM'!$N$5:$N$202)))</f>
        <v>0</v>
      </c>
      <c r="U25" s="948">
        <f t="shared" si="2"/>
        <v>0</v>
      </c>
      <c r="V25" s="424"/>
      <c r="W25" s="951"/>
      <c r="X25" s="951"/>
      <c r="Y25" s="424" cm="1">
        <f t="array" ref="Y25">('HPM costs-C19RM'!$M$230+'HPM costs-C19RM'!$M$231+'HPM costs-C19RM'!$M$229)+(SUMPRODUCT(('Fixed Cost-C19RM'!$D$5:$D$202=$D25)*('Fixed Cost-C19RM'!$F$5:$F$202=$F25)*('Fixed Cost-C19RM'!$P$5:$P$202)))</f>
        <v>0</v>
      </c>
      <c r="Z25" s="424" cm="1">
        <f t="array" ref="Z25">('HPM costs-C19RM'!$N$230+'HPM costs-C19RM'!$N$231+'HPM costs-C19RM'!$N$229)+(SUMPRODUCT(('Fixed Cost-C19RM'!$D$5:$D$202=$D25)*('Fixed Cost-C19RM'!$F$5:$F$202=$F25)*('Fixed Cost-C19RM'!$Q$5:$Q$202)))</f>
        <v>0</v>
      </c>
      <c r="AA25" s="424" cm="1">
        <f t="array" ref="AA25">('HPM costs-C19RM'!$O$230+'HPM costs-C19RM'!$O$231+'HPM costs-C19RM'!$O$229)+(SUMPRODUCT(('Fixed Cost-C19RM'!$D$5:$D$202=$D25)*('Fixed Cost-C19RM'!$F$5:$F$202=$F25)*('Fixed Cost-C19RM'!$R$5:$R$202)))</f>
        <v>0</v>
      </c>
      <c r="AB25" s="424" cm="1">
        <f t="array" ref="AB25">('HPM costs-C19RM'!$P$230+'HPM costs-C19RM'!$P$231+'HPM costs-C19RM'!$P$229)+(SUMPRODUCT(('Fixed Cost-C19RM'!$D$5:$D$202=$D25)*('Fixed Cost-C19RM'!$F$5:$F$202=$F25)*('Fixed Cost-C19RM'!$S$5:$S$202)))</f>
        <v>0</v>
      </c>
      <c r="AC25" s="424">
        <f t="shared" si="3"/>
        <v>0</v>
      </c>
      <c r="AD25" s="424"/>
      <c r="AE25" s="951"/>
      <c r="AF25" s="951"/>
      <c r="AG25" s="424" cm="1">
        <f t="array" ref="AG25">('HPM costs-C19RM'!$S$230+'HPM costs-C19RM'!$S$231+'HPM costs-C19RM'!$S$229)+(SUMPRODUCT(('Fixed Cost-C19RM'!$D$5:$D$202=$D25)*('Fixed Cost-C19RM'!$F$5:$F$202=$F25)*('Fixed Cost-C19RM'!$U$5:$U$202)))</f>
        <v>0</v>
      </c>
      <c r="AH25" s="424" cm="1">
        <f t="array" ref="AH25">('HPM costs-C19RM'!$T$230+'HPM costs-C19RM'!$T$231+'HPM costs-C19RM'!$T$229)+(SUMPRODUCT(('Fixed Cost-C19RM'!$D$5:$D$202=$D25)*('Fixed Cost-C19RM'!$F$5:$F$202=$F25)*('Fixed Cost-C19RM'!$V$5:$V$202)))</f>
        <v>0</v>
      </c>
      <c r="AI25" s="424" cm="1">
        <f t="array" ref="AI25">('HPM costs-C19RM'!$U$230+'HPM costs-C19RM'!$U$231+'HPM costs-C19RM'!$U$229)+(SUMPRODUCT(('Fixed Cost-C19RM'!$D$5:$D$202=$D25)*('Fixed Cost-C19RM'!$F$5:$F$202=$F25)*('Fixed Cost-C19RM'!$W$5:$W$202)))</f>
        <v>0</v>
      </c>
      <c r="AJ25" s="424" cm="1">
        <f t="array" ref="AJ25">('HPM costs-C19RM'!$V$230+'HPM costs-C19RM'!$V$231+'HPM costs-C19RM'!$V$229)+(SUMPRODUCT(('Fixed Cost-C19RM'!$D$5:$D$202=$D25)*('Fixed Cost-C19RM'!$F$5:$F$202=$F25)*('Fixed Cost-C19RM'!$X$5:$X$202)))</f>
        <v>0</v>
      </c>
      <c r="AK25" s="424">
        <f t="shared" si="4"/>
        <v>0</v>
      </c>
      <c r="AL25" s="424"/>
      <c r="AM25" s="951"/>
      <c r="AN25" s="951"/>
      <c r="AO25" s="424" cm="1">
        <f t="array" ref="AO25">('HPM costs-C19RM'!$Y$230+'HPM costs-C19RM'!$Y$231+'HPM costs-C19RM'!$Y$229)+(SUMPRODUCT(('Fixed Cost-C19RM'!$D$5:$D$202=$D25)*('Fixed Cost-C19RM'!$F$5:$F$202=$F25)*('Fixed Cost-C19RM'!$Z$5:$Z$202)))</f>
        <v>0</v>
      </c>
      <c r="AP25" s="424" cm="1">
        <f t="array" ref="AP25">('HPM costs-C19RM'!$Z$230+'HPM costs-C19RM'!$Z$231+'HPM costs-C19RM'!$Z$229)+(SUMPRODUCT(('Fixed Cost-C19RM'!$D$5:$D$202=$D25)*('Fixed Cost-C19RM'!$F$5:$F$202=$F25)*('Fixed Cost-C19RM'!$AA$5:$AA$202)))</f>
        <v>0</v>
      </c>
      <c r="AQ25" s="424" cm="1">
        <f t="array" ref="AQ25">('HPM costs-C19RM'!$AA$230+'HPM costs-C19RM'!$AA$231+'HPM costs-C19RM'!$AA$229)+(SUMPRODUCT(('Fixed Cost-C19RM'!$D$5:$D$202=$D25)*('Fixed Cost-C19RM'!$F$5:$F$202=$F25)*('Fixed Cost-C19RM'!$AB$5:$AB$202)))</f>
        <v>0</v>
      </c>
      <c r="AR25" s="424" cm="1">
        <f t="array" ref="AR25">('HPM costs-C19RM'!$AB$230+'HPM costs-C19RM'!$AB$231+'HPM costs-C19RM'!$AB$229)+(SUMPRODUCT(('Fixed Cost-C19RM'!$D$5:$D$202=$D25)*('Fixed Cost-C19RM'!$F$5:$F$202=$F25)*('Fixed Cost-C19RM'!$AC$5:$AC$202)))</f>
        <v>0</v>
      </c>
      <c r="AS25" s="424">
        <f t="shared" si="5"/>
        <v>0</v>
      </c>
      <c r="AT25" s="424"/>
      <c r="AU25" s="951"/>
      <c r="AV25" s="951"/>
      <c r="AW25" s="424" cm="1">
        <f t="array" ref="AW25">('HPM costs-C19RM'!$AE$230+'HPM costs-C19RM'!$AE$231+'HPM costs-C19RM'!$AE$229)+(SUMPRODUCT(('Fixed Cost-C19RM'!$D$5:$D$202=$D25)*('Fixed Cost-C19RM'!$F$5:$F$202=$F25)*('Fixed Cost-C19RM'!$AE$5:$AE$202)))</f>
        <v>0</v>
      </c>
      <c r="AX25" s="424" cm="1">
        <f t="array" ref="AX25">('HPM costs-C19RM'!$AF$230+'HPM costs-C19RM'!$AF$231+'HPM costs-C19RM'!$AF$229)+(SUMPRODUCT(('Fixed Cost-C19RM'!$D$5:$D$202=$D25)*('Fixed Cost-C19RM'!$F$5:$F$202=$F25)*('Fixed Cost-C19RM'!$AF$5:$AF$202)))</f>
        <v>0</v>
      </c>
      <c r="AY25" s="424" cm="1">
        <f t="array" ref="AY25">('HPM costs-C19RM'!$AG$230+'HPM costs-C19RM'!$AG$231+'HPM costs-C19RM'!$AG$229)+(SUMPRODUCT(('Fixed Cost-C19RM'!$D$5:$D$202=$D25)*('Fixed Cost-C19RM'!$F$5:$F$202=$F25)*('Fixed Cost-C19RM'!$AG$5:$AG$202)))</f>
        <v>0</v>
      </c>
      <c r="AZ25" s="424" cm="1">
        <f t="array" ref="AZ25">('HPM costs-C19RM'!$AH$230+'HPM costs-C19RM'!$AH$231+'HPM costs-C19RM'!$AH$229)+(SUMPRODUCT(('Fixed Cost-C19RM'!$D$5:$D$202=$D25)*('Fixed Cost-C19RM'!$F$5:$F$202=$F25)*('Fixed Cost-C19RM'!$AH$5:$AH$202)))</f>
        <v>0</v>
      </c>
      <c r="BA25" s="424">
        <f t="shared" si="6"/>
        <v>0</v>
      </c>
      <c r="BB25" s="424"/>
      <c r="BC25" s="951"/>
      <c r="BD25" s="951"/>
      <c r="BE25" s="424">
        <v>0</v>
      </c>
      <c r="BF25" s="424">
        <v>0</v>
      </c>
      <c r="BG25" s="424">
        <v>0</v>
      </c>
      <c r="BH25" s="424">
        <v>0</v>
      </c>
      <c r="BI25" s="424">
        <f t="shared" si="7"/>
        <v>0</v>
      </c>
      <c r="BJ25" s="424"/>
      <c r="BK25" s="424">
        <f t="shared" si="8"/>
        <v>0</v>
      </c>
      <c r="BL25" s="424"/>
      <c r="BM25" s="142"/>
      <c r="BN25" s="425"/>
      <c r="BP25" s="274" t="str">
        <f t="shared" si="1"/>
        <v>No</v>
      </c>
      <c r="BR25" t="str">
        <f>IF(((IFERROR(INDEX('Fixed Cost-C19RM'!$AO$5:$AO$202,MATCH(BS25&amp;C25&amp;D25&amp;F25,'Fixed Cost-C19RM'!$A$5:$A$202,0)),0)))&gt;0,"Yes","NO")</f>
        <v>NO</v>
      </c>
      <c r="BS25" s="286" t="s">
        <v>83</v>
      </c>
      <c r="BT25" t="s">
        <v>3274</v>
      </c>
      <c r="BU25" s="411" t="s">
        <v>3611</v>
      </c>
    </row>
    <row r="26" spans="1:108" ht="39" customHeight="1" x14ac:dyDescent="0.35">
      <c r="A26" s="256"/>
      <c r="B26" s="363" t="str">
        <f>PMsheet!$AH$94&amp;'Detailed BudgetC19RM'!BU26</f>
        <v>000P23HP1121</v>
      </c>
      <c r="C26" s="315" t="s">
        <v>2749</v>
      </c>
      <c r="D26" s="315" t="s">
        <v>3119</v>
      </c>
      <c r="E26" s="261" t="s">
        <v>3117</v>
      </c>
      <c r="F26" s="314" t="s">
        <v>750</v>
      </c>
      <c r="G26" s="315">
        <f ca="1">SETUP!$T$2</f>
        <v>0</v>
      </c>
      <c r="H26" s="315" t="str">
        <f>IF(SETUP!$E$3="","","National/Country Level")</f>
        <v/>
      </c>
      <c r="I26" s="315" t="s">
        <v>2665</v>
      </c>
      <c r="J26" s="315" t="s">
        <v>707</v>
      </c>
      <c r="K26" s="315">
        <f t="shared" si="0"/>
        <v>0</v>
      </c>
      <c r="L26" s="315"/>
      <c r="M26" s="315">
        <f>SETUP!$E$7</f>
        <v>0</v>
      </c>
      <c r="N26" s="315"/>
      <c r="O26" s="315"/>
      <c r="P26" s="315"/>
      <c r="Q26" s="917" cm="1">
        <f t="array" ref="Q26">('HPM costs-C19RM'!$G$86+'HPM costs-C19RM'!$G$87+'HPM costs-C19RM'!$G$85)+('HPM costs-C19RM'!$G$278+'HPM costs-C19RM'!$G$279+'HPM costs-C19RM'!$G$277)+(SUMPRODUCT(('Fixed Cost-C19RM'!$D$5:$D$202=$D26)*('Fixed Cost-C19RM'!$F$5:$F$202=$F26)*('Fixed Cost-C19RM'!$K$5:$K$202)))</f>
        <v>0</v>
      </c>
      <c r="R26" s="917" cm="1">
        <f t="array" ref="R26">('HPM costs-C19RM'!$H$86+'HPM costs-C19RM'!$H$87+'HPM costs-C19RM'!$H$85)+('HPM costs-C19RM'!$H$278+'HPM costs-C19RM'!$H$279+'HPM costs-C19RM'!$H$277)+(SUMPRODUCT(('Fixed Cost-C19RM'!$D$5:$D$202=$D26)*('Fixed Cost-C19RM'!$F$5:$F$202=$F26)*('Fixed Cost-C19RM'!$L$5:$L$202)))</f>
        <v>0</v>
      </c>
      <c r="S26" s="917" cm="1">
        <f t="array" ref="S26">('HPM costs-C19RM'!$I$86+'HPM costs-C19RM'!$I$87+'HPM costs-C19RM'!$I$85)+('HPM costs-C19RM'!$I$278+'HPM costs-C19RM'!$I$279+'HPM costs-C19RM'!$I$277)+(SUMPRODUCT(('Fixed Cost-C19RM'!$D$5:$D$202=$D26)*('Fixed Cost-C19RM'!$F$5:$F$202=$F26)*('Fixed Cost-C19RM'!$M$5:$M$202)))</f>
        <v>0</v>
      </c>
      <c r="T26" s="917" cm="1">
        <f t="array" ref="T26">('HPM costs-C19RM'!$J$86+'HPM costs-C19RM'!$J$87+'HPM costs-C19RM'!$J$85)+('HPM costs-C19RM'!$J$278+'HPM costs-C19RM'!$J$279+'HPM costs-C19RM'!$J$277)+(SUMPRODUCT(('Fixed Cost-C19RM'!$D$5:$D$202=$D26)*('Fixed Cost-C19RM'!$F$5:$F$202=$F26)*('Fixed Cost-C19RM'!$N$5:$N$202)))</f>
        <v>0</v>
      </c>
      <c r="U26" s="948">
        <f t="shared" si="2"/>
        <v>0</v>
      </c>
      <c r="V26" s="424"/>
      <c r="W26" s="951"/>
      <c r="X26" s="951"/>
      <c r="Y26" s="424" cm="1">
        <f t="array" ref="Y26">('HPM costs-C19RM'!$M$86+'HPM costs-C19RM'!$M$87+'HPM costs-C19RM'!$M$85)+('HPM costs-C19RM'!$M$278+'HPM costs-C19RM'!$M$279+'HPM costs-C19RM'!$M$277)+(SUMPRODUCT(('Fixed Cost-C19RM'!$D$5:$D$202=$D26)*('Fixed Cost-C19RM'!$F$5:$F$202=$F26)*('Fixed Cost-C19RM'!$P$5:$P$202)))</f>
        <v>0</v>
      </c>
      <c r="Z26" s="424" cm="1">
        <f t="array" ref="Z26">('HPM costs-C19RM'!$N$86+'HPM costs-C19RM'!$N$87+'HPM costs-C19RM'!$N$85)+('HPM costs-C19RM'!$N$278+'HPM costs-C19RM'!$N$279+'HPM costs-C19RM'!$N$277)+(SUMPRODUCT(('Fixed Cost-C19RM'!$D$5:$D$202=$D26)*('Fixed Cost-C19RM'!$F$5:$F$202=$F26)*('Fixed Cost-C19RM'!$Q$5:$Q$202)))</f>
        <v>0</v>
      </c>
      <c r="AA26" s="424" cm="1">
        <f t="array" ref="AA26">('HPM costs-C19RM'!$O$86+'HPM costs-C19RM'!$O$87+'HPM costs-C19RM'!$O$85)+('HPM costs-C19RM'!$O$278+'HPM costs-C19RM'!$O$279+'HPM costs-C19RM'!$O$277)+(SUMPRODUCT(('Fixed Cost-C19RM'!$D$5:$D$202=$D26)*('Fixed Cost-C19RM'!$F$5:$F$202=$F26)*('Fixed Cost-C19RM'!$R$5:$R$202)))</f>
        <v>0</v>
      </c>
      <c r="AB26" s="424" cm="1">
        <f t="array" ref="AB26">('HPM costs-C19RM'!$P$86+'HPM costs-C19RM'!$P$87+'HPM costs-C19RM'!$P$85)+('HPM costs-C19RM'!$P$278+'HPM costs-C19RM'!$P$279+'HPM costs-C19RM'!$P$277)+(SUMPRODUCT(('Fixed Cost-C19RM'!$D$5:$D$202=$D26)*('Fixed Cost-C19RM'!$F$5:$F$202=$F26)*('Fixed Cost-C19RM'!$S$5:$S$202)))</f>
        <v>0</v>
      </c>
      <c r="AC26" s="424">
        <f t="shared" si="3"/>
        <v>0</v>
      </c>
      <c r="AD26" s="424"/>
      <c r="AE26" s="951"/>
      <c r="AF26" s="951"/>
      <c r="AG26" s="424" cm="1">
        <f t="array" ref="AG26">('HPM costs-C19RM'!$S$86+'HPM costs-C19RM'!$S$87+'HPM costs-C19RM'!$S$85)+('HPM costs-C19RM'!$S$278+'HPM costs-C19RM'!$S$279+'HPM costs-C19RM'!$S$277)+(SUMPRODUCT(('Fixed Cost-C19RM'!$D$5:$D$202=$D26)*('Fixed Cost-C19RM'!$F$5:$F$202=$F26)*('Fixed Cost-C19RM'!$U$5:$U$202)))</f>
        <v>0</v>
      </c>
      <c r="AH26" s="424" cm="1">
        <f t="array" ref="AH26">('HPM costs-C19RM'!$T$86+'HPM costs-C19RM'!$T$87+'HPM costs-C19RM'!$T$85)+('HPM costs-C19RM'!$T$278+'HPM costs-C19RM'!$T$279+'HPM costs-C19RM'!$T$277)+(SUMPRODUCT(('Fixed Cost-C19RM'!$D$5:$D$202=$D26)*('Fixed Cost-C19RM'!$F$5:$F$202=$F26)*('Fixed Cost-C19RM'!$V$5:$V$202)))</f>
        <v>0</v>
      </c>
      <c r="AI26" s="424" cm="1">
        <f t="array" ref="AI26">('HPM costs-C19RM'!$U$86+'HPM costs-C19RM'!$U$87+'HPM costs-C19RM'!$U$85)+('HPM costs-C19RM'!$U$278+'HPM costs-C19RM'!$U$279+'HPM costs-C19RM'!$U$277)+(SUMPRODUCT(('Fixed Cost-C19RM'!$D$5:$D$202=$D26)*('Fixed Cost-C19RM'!$F$5:$F$202=$F26)*('Fixed Cost-C19RM'!$W$5:$W$202)))</f>
        <v>0</v>
      </c>
      <c r="AJ26" s="424" cm="1">
        <f t="array" ref="AJ26">('HPM costs-C19RM'!$V$86+'HPM costs-C19RM'!$V$87+'HPM costs-C19RM'!$V$85)+('HPM costs-C19RM'!$V$278+'HPM costs-C19RM'!$V$279+'HPM costs-C19RM'!$V$277)+(SUMPRODUCT(('Fixed Cost-C19RM'!$D$5:$D$202=$D26)*('Fixed Cost-C19RM'!$F$5:$F$202=$F26)*('Fixed Cost-C19RM'!$X$5:$X$202)))</f>
        <v>0</v>
      </c>
      <c r="AK26" s="424">
        <f t="shared" si="4"/>
        <v>0</v>
      </c>
      <c r="AL26" s="424"/>
      <c r="AM26" s="951"/>
      <c r="AN26" s="951"/>
      <c r="AO26" s="424" cm="1">
        <f t="array" ref="AO26">('HPM costs-C19RM'!$Y$86+'HPM costs-C19RM'!$Y$87+'HPM costs-C19RM'!$Y$85)+('HPM costs-C19RM'!$Y$278+'HPM costs-C19RM'!$Y$279+'HPM costs-C19RM'!$Y$277)+(SUMPRODUCT(('Fixed Cost-C19RM'!$D$5:$D$202=$D26)*('Fixed Cost-C19RM'!$F$5:$F$202=$F26)*('Fixed Cost-C19RM'!$Z$5:$Z$202)))</f>
        <v>0</v>
      </c>
      <c r="AP26" s="424" cm="1">
        <f t="array" ref="AP26">('HPM costs-C19RM'!$Z$86+'HPM costs-C19RM'!$Z$87+'HPM costs-C19RM'!$Z$85)+('HPM costs-C19RM'!$Z$278+'HPM costs-C19RM'!$Z$279+'HPM costs-C19RM'!$Z$277)+(SUMPRODUCT(('Fixed Cost-C19RM'!$D$5:$D$202=$D26)*('Fixed Cost-C19RM'!$F$5:$F$202=$F26)*('Fixed Cost-C19RM'!$AA$5:$AA$202)))</f>
        <v>0</v>
      </c>
      <c r="AQ26" s="424" cm="1">
        <f t="array" ref="AQ26">('HPM costs-C19RM'!$AA$86+'HPM costs-C19RM'!$AA$87+'HPM costs-C19RM'!$AA$85)+('HPM costs-C19RM'!$AA$278+'HPM costs-C19RM'!$AA$279+'HPM costs-C19RM'!$AA$277)+(SUMPRODUCT(('Fixed Cost-C19RM'!$D$5:$D$202=$D26)*('Fixed Cost-C19RM'!$F$5:$F$202=$F26)*('Fixed Cost-C19RM'!$AB$5:$AB$202)))</f>
        <v>0</v>
      </c>
      <c r="AR26" s="424" cm="1">
        <f t="array" ref="AR26">('HPM costs-C19RM'!$AB$86+'HPM costs-C19RM'!$AB$87+'HPM costs-C19RM'!$AB$85)+('HPM costs-C19RM'!$AB$278+'HPM costs-C19RM'!$AB$279+'HPM costs-C19RM'!$AB$277)+(SUMPRODUCT(('Fixed Cost-C19RM'!$D$5:$D$202=$D26)*('Fixed Cost-C19RM'!$F$5:$F$202=$F26)*('Fixed Cost-C19RM'!$AC$5:$AC$202)))</f>
        <v>0</v>
      </c>
      <c r="AS26" s="424">
        <f t="shared" si="5"/>
        <v>0</v>
      </c>
      <c r="AT26" s="424"/>
      <c r="AU26" s="951"/>
      <c r="AV26" s="951"/>
      <c r="AW26" s="424" cm="1">
        <f t="array" ref="AW26">('HPM costs-C19RM'!$AE$86+'HPM costs-C19RM'!$AE$87+'HPM costs-C19RM'!$AE$85)+('HPM costs-C19RM'!$AE$278+'HPM costs-C19RM'!$AE$279+'HPM costs-C19RM'!$AE$277)+(SUMPRODUCT(('Fixed Cost-C19RM'!$D$5:$D$202=$D26)*('Fixed Cost-C19RM'!$F$5:$F$202=$F26)*('Fixed Cost-C19RM'!$AE$5:$AE$202)))</f>
        <v>0</v>
      </c>
      <c r="AX26" s="424" cm="1">
        <f t="array" ref="AX26">('HPM costs-C19RM'!$AF$86+'HPM costs-C19RM'!$AF$87+'HPM costs-C19RM'!$AF$85)+('HPM costs-C19RM'!$AF$278+'HPM costs-C19RM'!$AF$279+'HPM costs-C19RM'!$AF$277)+(SUMPRODUCT(('Fixed Cost-C19RM'!$D$5:$D$202=$D26)*('Fixed Cost-C19RM'!$F$5:$F$202=$F26)*('Fixed Cost-C19RM'!$AF$5:$AF$202)))</f>
        <v>0</v>
      </c>
      <c r="AY26" s="424" cm="1">
        <f t="array" ref="AY26">('HPM costs-C19RM'!$AG$86+'HPM costs-C19RM'!$AG$87+'HPM costs-C19RM'!$AG$85)+('HPM costs-C19RM'!$AG$278+'HPM costs-C19RM'!$AG$279+'HPM costs-C19RM'!$AG$277)+(SUMPRODUCT(('Fixed Cost-C19RM'!$D$5:$D$202=$D26)*('Fixed Cost-C19RM'!$F$5:$F$202=$F26)*('Fixed Cost-C19RM'!$AG$5:$AG$202)))</f>
        <v>0</v>
      </c>
      <c r="AZ26" s="424" cm="1">
        <f t="array" ref="AZ26">('HPM costs-C19RM'!$AH$86+'HPM costs-C19RM'!$AH$87+'HPM costs-C19RM'!$AH$85)+('HPM costs-C19RM'!$AH$278+'HPM costs-C19RM'!$AH$279+'HPM costs-C19RM'!$AH$277)+(SUMPRODUCT(('Fixed Cost-C19RM'!$D$5:$D$202=$D26)*('Fixed Cost-C19RM'!$F$5:$F$202=$F26)*('Fixed Cost-C19RM'!$AH$5:$AH$202)))</f>
        <v>0</v>
      </c>
      <c r="BA26" s="424">
        <f t="shared" si="6"/>
        <v>0</v>
      </c>
      <c r="BB26" s="424"/>
      <c r="BC26" s="951"/>
      <c r="BD26" s="951"/>
      <c r="BE26" s="424">
        <v>0</v>
      </c>
      <c r="BF26" s="424">
        <v>0</v>
      </c>
      <c r="BG26" s="424">
        <v>0</v>
      </c>
      <c r="BH26" s="424">
        <v>0</v>
      </c>
      <c r="BI26" s="424">
        <f t="shared" si="7"/>
        <v>0</v>
      </c>
      <c r="BJ26" s="424"/>
      <c r="BK26" s="424">
        <f t="shared" si="8"/>
        <v>0</v>
      </c>
      <c r="BL26" s="424"/>
      <c r="BM26" s="142"/>
      <c r="BN26" s="425"/>
      <c r="BP26" s="274" t="str">
        <f t="shared" si="1"/>
        <v>No</v>
      </c>
      <c r="BR26" t="str">
        <f>IF(((IFERROR(INDEX('Fixed Cost-C19RM'!$AO$5:$AO$202,MATCH(BS26&amp;C26&amp;D26&amp;F26,'Fixed Cost-C19RM'!$A$5:$A$202,0)),0)))&gt;0,"Yes","NO")</f>
        <v>NO</v>
      </c>
      <c r="BS26" s="286" t="s">
        <v>83</v>
      </c>
      <c r="BT26" t="s">
        <v>3275</v>
      </c>
      <c r="BU26" s="411" t="s">
        <v>3612</v>
      </c>
    </row>
    <row r="27" spans="1:108" ht="39" customHeight="1" x14ac:dyDescent="0.35">
      <c r="A27" s="256"/>
      <c r="B27" s="363" t="str">
        <f>PMsheet!$AH$94&amp;'Detailed BudgetC19RM'!BU27</f>
        <v>000P23HP1122</v>
      </c>
      <c r="C27" s="315" t="s">
        <v>2749</v>
      </c>
      <c r="D27" s="315" t="s">
        <v>3119</v>
      </c>
      <c r="E27" s="261" t="s">
        <v>3117</v>
      </c>
      <c r="F27" s="314" t="s">
        <v>622</v>
      </c>
      <c r="G27" s="315">
        <f ca="1">SETUP!$T$2</f>
        <v>0</v>
      </c>
      <c r="H27" s="315" t="str">
        <f>IF(SETUP!$E$3="","","National/Country Level")</f>
        <v/>
      </c>
      <c r="I27" s="315" t="s">
        <v>2665</v>
      </c>
      <c r="J27" s="315" t="s">
        <v>707</v>
      </c>
      <c r="K27" s="315">
        <f t="shared" si="0"/>
        <v>0</v>
      </c>
      <c r="L27" s="315"/>
      <c r="M27" s="315">
        <f>SETUP!$E$7</f>
        <v>0</v>
      </c>
      <c r="N27" s="315"/>
      <c r="O27" s="315"/>
      <c r="P27" s="315"/>
      <c r="Q27" s="917" cm="1">
        <f t="array" ref="Q27">('HPM costs-C19RM'!$G$134+'HPM costs-C19RM'!$G$135+'HPM costs-C19RM'!$G$133)+(SUMPRODUCT(('Fixed Cost-C19RM'!$D$5:$D$202=$D27)*('Fixed Cost-C19RM'!$F$5:$F$202=$F27)*('Fixed Cost-C19RM'!$K$5:$K$202)))</f>
        <v>0</v>
      </c>
      <c r="R27" s="917" cm="1">
        <f t="array" ref="R27">('HPM costs-C19RM'!$H$134+'HPM costs-C19RM'!$H$135+'HPM costs-C19RM'!$H$133)+(SUMPRODUCT(('Fixed Cost-C19RM'!$D$5:$D$202=$D27)*('Fixed Cost-C19RM'!$F$5:$F$202=$F27)*('Fixed Cost-C19RM'!$L$5:$L$202)))</f>
        <v>0</v>
      </c>
      <c r="S27" s="917" cm="1">
        <f t="array" ref="S27">('HPM costs-C19RM'!$I$134+'HPM costs-C19RM'!$I$135+'HPM costs-C19RM'!$I$133)+(SUMPRODUCT(('Fixed Cost-C19RM'!$D$5:$D$202=$D27)*('Fixed Cost-C19RM'!$F$5:$F$202=$F27)*('Fixed Cost-C19RM'!$M$5:$M$202)))</f>
        <v>0</v>
      </c>
      <c r="T27" s="917" cm="1">
        <f t="array" ref="T27">('HPM costs-C19RM'!$J$134+'HPM costs-C19RM'!$J$135+'HPM costs-C19RM'!$J$133)+(SUMPRODUCT(('Fixed Cost-C19RM'!$D$5:$D$202=$D27)*('Fixed Cost-C19RM'!$F$5:$F$202=$F27)*('Fixed Cost-C19RM'!$N$5:$N$202)))</f>
        <v>0</v>
      </c>
      <c r="U27" s="948">
        <f t="shared" si="2"/>
        <v>0</v>
      </c>
      <c r="V27" s="424"/>
      <c r="W27" s="951"/>
      <c r="X27" s="951"/>
      <c r="Y27" s="424" cm="1">
        <f t="array" ref="Y27">('HPM costs-C19RM'!$M$134+'HPM costs-C19RM'!$M$135+'HPM costs-C19RM'!$M$133)+(SUMPRODUCT(('Fixed Cost-C19RM'!$D$5:$D$202=$D27)*('Fixed Cost-C19RM'!$F$5:$F$202=$F27)*('Fixed Cost-C19RM'!$P$5:$P$202)))</f>
        <v>0</v>
      </c>
      <c r="Z27" s="424" cm="1">
        <f t="array" ref="Z27">('HPM costs-C19RM'!$N$134+'HPM costs-C19RM'!$N$135+'HPM costs-C19RM'!$N$133)+(SUMPRODUCT(('Fixed Cost-C19RM'!$D$5:$D$202=$D27)*('Fixed Cost-C19RM'!$F$5:$F$202=$F27)*('Fixed Cost-C19RM'!$Q$5:$Q$202)))</f>
        <v>0</v>
      </c>
      <c r="AA27" s="424" cm="1">
        <f t="array" ref="AA27">('HPM costs-C19RM'!$O$134+'HPM costs-C19RM'!$O$135+'HPM costs-C19RM'!$O$133)+(SUMPRODUCT(('Fixed Cost-C19RM'!$D$5:$D$202=$D27)*('Fixed Cost-C19RM'!$F$5:$F$202=$F27)*('Fixed Cost-C19RM'!$R$5:$R$202)))</f>
        <v>0</v>
      </c>
      <c r="AB27" s="424" cm="1">
        <f t="array" ref="AB27">('HPM costs-C19RM'!$P$134+'HPM costs-C19RM'!$P$135+'HPM costs-C19RM'!$P$133)+(SUMPRODUCT(('Fixed Cost-C19RM'!$D$5:$D$202=$D27)*('Fixed Cost-C19RM'!$F$5:$F$202=$F27)*('Fixed Cost-C19RM'!$S$5:$S$202)))</f>
        <v>0</v>
      </c>
      <c r="AC27" s="424">
        <f t="shared" si="3"/>
        <v>0</v>
      </c>
      <c r="AD27" s="424"/>
      <c r="AE27" s="951"/>
      <c r="AF27" s="951"/>
      <c r="AG27" s="424" cm="1">
        <f t="array" ref="AG27">('HPM costs-C19RM'!$S$134+'HPM costs-C19RM'!$S$135+'HPM costs-C19RM'!$S$133)+(SUMPRODUCT(('Fixed Cost-C19RM'!$D$5:$D$202=$D27)*('Fixed Cost-C19RM'!$F$5:$F$202=$F27)*('Fixed Cost-C19RM'!$U$5:$U$202)))</f>
        <v>0</v>
      </c>
      <c r="AH27" s="424" cm="1">
        <f t="array" ref="AH27">('HPM costs-C19RM'!$T$134+'HPM costs-C19RM'!$T$135+'HPM costs-C19RM'!$T$133)+(SUMPRODUCT(('Fixed Cost-C19RM'!$D$5:$D$202=$D27)*('Fixed Cost-C19RM'!$F$5:$F$202=$F27)*('Fixed Cost-C19RM'!$V$5:$V$202)))</f>
        <v>0</v>
      </c>
      <c r="AI27" s="424" cm="1">
        <f t="array" ref="AI27">('HPM costs-C19RM'!$U$134+'HPM costs-C19RM'!$U$135+'HPM costs-C19RM'!$U$133)+(SUMPRODUCT(('Fixed Cost-C19RM'!$D$5:$D$202=$D27)*('Fixed Cost-C19RM'!$F$5:$F$202=$F27)*('Fixed Cost-C19RM'!$W$5:$W$202)))</f>
        <v>0</v>
      </c>
      <c r="AJ27" s="424" cm="1">
        <f t="array" ref="AJ27">('HPM costs-C19RM'!$V$134+'HPM costs-C19RM'!$V$135+'HPM costs-C19RM'!$V$133)+(SUMPRODUCT(('Fixed Cost-C19RM'!$D$5:$D$202=$D27)*('Fixed Cost-C19RM'!$F$5:$F$202=$F27)*('Fixed Cost-C19RM'!$X$5:$X$202)))</f>
        <v>0</v>
      </c>
      <c r="AK27" s="424">
        <f t="shared" si="4"/>
        <v>0</v>
      </c>
      <c r="AL27" s="424"/>
      <c r="AM27" s="951"/>
      <c r="AN27" s="951"/>
      <c r="AO27" s="424" cm="1">
        <f t="array" ref="AO27">('HPM costs-C19RM'!$Y$134+'HPM costs-C19RM'!$Y$135+'HPM costs-C19RM'!$Y$133)+(SUMPRODUCT(('Fixed Cost-C19RM'!$D$5:$D$202=$D27)*('Fixed Cost-C19RM'!$F$5:$F$202=$F27)*('Fixed Cost-C19RM'!$Z$5:$Z$202)))</f>
        <v>0</v>
      </c>
      <c r="AP27" s="424" cm="1">
        <f t="array" ref="AP27">('HPM costs-C19RM'!$Z$134+'HPM costs-C19RM'!$Z$135+'HPM costs-C19RM'!$Z$133)+(SUMPRODUCT(('Fixed Cost-C19RM'!$D$5:$D$202=$D27)*('Fixed Cost-C19RM'!$F$5:$F$202=$F27)*('Fixed Cost-C19RM'!$AA$5:$AA$202)))</f>
        <v>0</v>
      </c>
      <c r="AQ27" s="424" cm="1">
        <f t="array" ref="AQ27">('HPM costs-C19RM'!$AA$134+'HPM costs-C19RM'!$AA$135+'HPM costs-C19RM'!$AA$133)+(SUMPRODUCT(('Fixed Cost-C19RM'!$D$5:$D$202=$D27)*('Fixed Cost-C19RM'!$F$5:$F$202=$F27)*('Fixed Cost-C19RM'!$AB$5:$AB$202)))</f>
        <v>0</v>
      </c>
      <c r="AR27" s="424" cm="1">
        <f t="array" ref="AR27">('HPM costs-C19RM'!$AB$134+'HPM costs-C19RM'!$AB$135+'HPM costs-C19RM'!$AB$133)+(SUMPRODUCT(('Fixed Cost-C19RM'!$D$5:$D$202=$D27)*('Fixed Cost-C19RM'!$F$5:$F$202=$F27)*('Fixed Cost-C19RM'!$AC$5:$AC$202)))</f>
        <v>0</v>
      </c>
      <c r="AS27" s="424">
        <f t="shared" si="5"/>
        <v>0</v>
      </c>
      <c r="AT27" s="424"/>
      <c r="AU27" s="951"/>
      <c r="AV27" s="951"/>
      <c r="AW27" s="424" cm="1">
        <f t="array" ref="AW27">('HPM costs-C19RM'!AE134+'HPM costs-C19RM'!AE135+'HPM costs-C19RM'!AE133)+(SUMPRODUCT(('Fixed Cost-C19RM'!$D$5:$D$202=$D27)*('Fixed Cost-C19RM'!$F$5:$F$202=$F27)*('Fixed Cost-C19RM'!AE5:AE202)))</f>
        <v>0</v>
      </c>
      <c r="AX27" s="424" cm="1">
        <f t="array" ref="AX27">('HPM costs-C19RM'!$AF$134+'HPM costs-C19RM'!$AF$135+'HPM costs-C19RM'!$AF$133)+(SUMPRODUCT(('Fixed Cost-C19RM'!$D$5:$D$202=$D27)*('Fixed Cost-C19RM'!$F$5:$F$202=$F27)*('Fixed Cost-C19RM'!$AF$5:$AF$202)))</f>
        <v>0</v>
      </c>
      <c r="AY27" s="424" cm="1">
        <f t="array" ref="AY27">('HPM costs-C19RM'!$AG$134+'HPM costs-C19RM'!$AG$135+'HPM costs-C19RM'!$AG$133)+(SUMPRODUCT(('Fixed Cost-C19RM'!$D$5:$D$202=$D27)*('Fixed Cost-C19RM'!$F$5:$F$202=$F27)*('Fixed Cost-C19RM'!$AG$5:$AG$202)))</f>
        <v>0</v>
      </c>
      <c r="AZ27" s="424" cm="1">
        <f t="array" ref="AZ27">('HPM costs-C19RM'!$AH$134+'HPM costs-C19RM'!$AH$135+'HPM costs-C19RM'!$AH$133)+(SUMPRODUCT(('Fixed Cost-C19RM'!$D$5:$D$202=$D27)*('Fixed Cost-C19RM'!$F$5:$F$202=$F27)*('Fixed Cost-C19RM'!$AH$5:$AH$202)))</f>
        <v>0</v>
      </c>
      <c r="BA27" s="424">
        <f t="shared" si="6"/>
        <v>0</v>
      </c>
      <c r="BB27" s="424"/>
      <c r="BC27" s="951"/>
      <c r="BD27" s="951"/>
      <c r="BE27" s="424">
        <v>0</v>
      </c>
      <c r="BF27" s="424">
        <v>0</v>
      </c>
      <c r="BG27" s="424">
        <v>0</v>
      </c>
      <c r="BH27" s="424">
        <v>0</v>
      </c>
      <c r="BI27" s="424">
        <f t="shared" si="7"/>
        <v>0</v>
      </c>
      <c r="BJ27" s="424"/>
      <c r="BK27" s="424">
        <f t="shared" si="8"/>
        <v>0</v>
      </c>
      <c r="BL27" s="424"/>
      <c r="BM27" s="142"/>
      <c r="BN27" s="425"/>
      <c r="BP27" s="274" t="str">
        <f t="shared" si="1"/>
        <v>No</v>
      </c>
      <c r="BR27" t="str">
        <f>IF(((IFERROR(INDEX('Fixed Cost-C19RM'!$AO$5:$AO$202,MATCH(BS27&amp;C27&amp;D27&amp;F27,'Fixed Cost-C19RM'!$A$5:$A$202,0)),0)))&gt;0,"Yes","NO")</f>
        <v>NO</v>
      </c>
      <c r="BS27" s="286" t="s">
        <v>83</v>
      </c>
      <c r="BT27" t="s">
        <v>3276</v>
      </c>
      <c r="BU27" s="411" t="s">
        <v>3613</v>
      </c>
    </row>
    <row r="28" spans="1:108" ht="39" customHeight="1" x14ac:dyDescent="0.35">
      <c r="A28" s="256"/>
      <c r="B28" s="363" t="str">
        <f>PMsheet!$AH$94&amp;'Detailed BudgetC19RM'!BU28</f>
        <v>000P23HP1123</v>
      </c>
      <c r="C28" s="315" t="s">
        <v>2749</v>
      </c>
      <c r="D28" s="315" t="s">
        <v>3119</v>
      </c>
      <c r="E28" s="261" t="s">
        <v>3117</v>
      </c>
      <c r="F28" s="314" t="s">
        <v>751</v>
      </c>
      <c r="G28" s="315">
        <f ca="1">SETUP!$T$2</f>
        <v>0</v>
      </c>
      <c r="H28" s="315" t="str">
        <f>IF(SETUP!$E$3="","","National/Country Level")</f>
        <v/>
      </c>
      <c r="I28" s="315" t="s">
        <v>2665</v>
      </c>
      <c r="J28" s="315" t="s">
        <v>707</v>
      </c>
      <c r="K28" s="315">
        <f t="shared" si="0"/>
        <v>0</v>
      </c>
      <c r="L28" s="315"/>
      <c r="M28" s="315">
        <f>SETUP!$E$7</f>
        <v>0</v>
      </c>
      <c r="N28" s="315"/>
      <c r="O28" s="315"/>
      <c r="P28" s="315"/>
      <c r="Q28" s="917" cm="1">
        <f t="array" ref="Q28">('HPM costs-C19RM'!$G$325+'HPM costs-C19RM'!$G$326+'HPM costs-C19RM'!$G$324)+(SUMPRODUCT(('Fixed Cost-C19RM'!$D$5:$D$202=$D28)*('Fixed Cost-C19RM'!$F$5:$F$202=$F28)*('Fixed Cost-C19RM'!$K$5:$K$202)))</f>
        <v>0</v>
      </c>
      <c r="R28" s="917" cm="1">
        <f t="array" ref="R28">('HPM costs-C19RM'!$H$325+'HPM costs-C19RM'!$H$326+'HPM costs-C19RM'!$H$324)+(SUMPRODUCT(('Fixed Cost-C19RM'!$D$5:$D$202=$D28)*('Fixed Cost-C19RM'!$F$5:$F$202=$F28)*('Fixed Cost-C19RM'!$L$5:$L$202)))</f>
        <v>0</v>
      </c>
      <c r="S28" s="917" cm="1">
        <f t="array" ref="S28">('HPM costs-C19RM'!$I$325+'HPM costs-C19RM'!$I$326+'HPM costs-C19RM'!$I$324)+(SUMPRODUCT(('Fixed Cost-C19RM'!$D$5:$D$202=$D28)*('Fixed Cost-C19RM'!$F$5:$F$202=$F28)*('Fixed Cost-C19RM'!$M$5:$M$202)))</f>
        <v>0</v>
      </c>
      <c r="T28" s="917" cm="1">
        <f t="array" ref="T28">('HPM costs-C19RM'!$J$325+'HPM costs-C19RM'!$J$326+'HPM costs-C19RM'!$J$324)+(SUMPRODUCT(('Fixed Cost-C19RM'!$D$5:$D$202=$D28)*('Fixed Cost-C19RM'!$F$5:$F$202=$F28)*('Fixed Cost-C19RM'!$N$5:$N$202)))</f>
        <v>0</v>
      </c>
      <c r="U28" s="948">
        <f t="shared" si="2"/>
        <v>0</v>
      </c>
      <c r="V28" s="424"/>
      <c r="W28" s="951"/>
      <c r="X28" s="951"/>
      <c r="Y28" s="424" cm="1">
        <f t="array" ref="Y28">('HPM costs-C19RM'!$M$325+'HPM costs-C19RM'!$M$326+'HPM costs-C19RM'!$M$324)+(SUMPRODUCT(('Fixed Cost-C19RM'!$D$5:$D$202=$D28)*('Fixed Cost-C19RM'!$F$5:$F$202=$F28)*('Fixed Cost-C19RM'!$P$5:$P$202)))</f>
        <v>0</v>
      </c>
      <c r="Z28" s="424" cm="1">
        <f t="array" ref="Z28">('HPM costs-C19RM'!$N$325+'HPM costs-C19RM'!$N$326+'HPM costs-C19RM'!$N$324)+(SUMPRODUCT(('Fixed Cost-C19RM'!$D$5:$D$202=$D28)*('Fixed Cost-C19RM'!$F$5:$F$202=$F28)*('Fixed Cost-C19RM'!$Q$5:$Q$202)))</f>
        <v>0</v>
      </c>
      <c r="AA28" s="424" cm="1">
        <f t="array" ref="AA28">('HPM costs-C19RM'!$O$325+'HPM costs-C19RM'!$O$326+'HPM costs-C19RM'!$O$324)+(SUMPRODUCT(('Fixed Cost-C19RM'!$D$5:$D$202=$D28)*('Fixed Cost-C19RM'!$F$5:$F$202=$F28)*('Fixed Cost-C19RM'!$R$5:$R$202)))</f>
        <v>0</v>
      </c>
      <c r="AB28" s="424" cm="1">
        <f t="array" ref="AB28">('HPM costs-C19RM'!$P$325+'HPM costs-C19RM'!$P$326+'HPM costs-C19RM'!$P$324)+(SUMPRODUCT(('Fixed Cost-C19RM'!$D$5:$D$202=$D28)*('Fixed Cost-C19RM'!$F$5:$F$202=$F28)*('Fixed Cost-C19RM'!$S$5:$S$202)))</f>
        <v>0</v>
      </c>
      <c r="AC28" s="424">
        <f t="shared" si="3"/>
        <v>0</v>
      </c>
      <c r="AD28" s="424"/>
      <c r="AE28" s="951"/>
      <c r="AF28" s="951"/>
      <c r="AG28" s="424" cm="1">
        <f t="array" ref="AG28">('HPM costs-C19RM'!$S$325+'HPM costs-C19RM'!$S$326+'HPM costs-C19RM'!$S$324)+(SUMPRODUCT(('Fixed Cost-C19RM'!$D$5:$D$202=$D28)*('Fixed Cost-C19RM'!$F$5:$F$202=$F28)*('Fixed Cost-C19RM'!$U$5:$U$202)))</f>
        <v>0</v>
      </c>
      <c r="AH28" s="424" cm="1">
        <f t="array" ref="AH28">('HPM costs-C19RM'!$T$325+'HPM costs-C19RM'!$T$326+'HPM costs-C19RM'!$T$324)+(SUMPRODUCT(('Fixed Cost-C19RM'!$D$5:$D$202=$D28)*('Fixed Cost-C19RM'!$F$5:$F$202=$F28)*('Fixed Cost-C19RM'!$V$5:$V$202)))</f>
        <v>0</v>
      </c>
      <c r="AI28" s="424" cm="1">
        <f t="array" ref="AI28">('HPM costs-C19RM'!$U$325+'HPM costs-C19RM'!$U$326+'HPM costs-C19RM'!$U$324)+(SUMPRODUCT(('Fixed Cost-C19RM'!$D$5:$D$202=$D28)*('Fixed Cost-C19RM'!$F$5:$F$202=$F28)*('Fixed Cost-C19RM'!$W$5:$W$202)))</f>
        <v>0</v>
      </c>
      <c r="AJ28" s="424" cm="1">
        <f t="array" ref="AJ28">('HPM costs-C19RM'!$V$325+'HPM costs-C19RM'!$V$326+'HPM costs-C19RM'!$V$324)+(SUMPRODUCT(('Fixed Cost-C19RM'!$D$5:$D$202=$D28)*('Fixed Cost-C19RM'!$F$5:$F$202=$F28)*('Fixed Cost-C19RM'!$X$5:$X$202)))</f>
        <v>0</v>
      </c>
      <c r="AK28" s="424">
        <f t="shared" si="4"/>
        <v>0</v>
      </c>
      <c r="AL28" s="424"/>
      <c r="AM28" s="951"/>
      <c r="AN28" s="951"/>
      <c r="AO28" s="424" cm="1">
        <f t="array" ref="AO28">('HPM costs-C19RM'!$Y$325+'HPM costs-C19RM'!$Y$326+'HPM costs-C19RM'!$Y$324)+(SUMPRODUCT(('Fixed Cost-C19RM'!$D$5:$D$202=$D28)*('Fixed Cost-C19RM'!$F$5:$F$202=$F28)*('Fixed Cost-C19RM'!$Z$5:$Z$202)))</f>
        <v>0</v>
      </c>
      <c r="AP28" s="424" cm="1">
        <f t="array" ref="AP28">('HPM costs-C19RM'!$Z$325+'HPM costs-C19RM'!$Z$326+'HPM costs-C19RM'!$Z$324)+(SUMPRODUCT(('Fixed Cost-C19RM'!$D$5:$D$202=$D28)*('Fixed Cost-C19RM'!$F$5:$F$202=$F28)*('Fixed Cost-C19RM'!$AA$5:$AA$202)))</f>
        <v>0</v>
      </c>
      <c r="AQ28" s="424" cm="1">
        <f t="array" ref="AQ28">('HPM costs-C19RM'!$AA$325+'HPM costs-C19RM'!$AA$326+'HPM costs-C19RM'!$AA$324)+(SUMPRODUCT(('Fixed Cost-C19RM'!$D$5:$D$202=$D28)*('Fixed Cost-C19RM'!$F$5:$F$202=$F28)*('Fixed Cost-C19RM'!$AB$5:$AB$202)))</f>
        <v>0</v>
      </c>
      <c r="AR28" s="424" cm="1">
        <f t="array" ref="AR28">('HPM costs-C19RM'!$AB$325+'HPM costs-C19RM'!$AB$326+'HPM costs-C19RM'!$AB$324)+(SUMPRODUCT(('Fixed Cost-C19RM'!$D$5:$D$202=$D28)*('Fixed Cost-C19RM'!$F$5:$F$202=$F28)*('Fixed Cost-C19RM'!$AC$5:$AC$202)))</f>
        <v>0</v>
      </c>
      <c r="AS28" s="424">
        <f t="shared" si="5"/>
        <v>0</v>
      </c>
      <c r="AT28" s="424"/>
      <c r="AU28" s="951"/>
      <c r="AV28" s="951"/>
      <c r="AW28" s="424" cm="1">
        <f t="array" ref="AW28">('HPM costs-C19RM'!$AE$325+'HPM costs-C19RM'!$AE$326+'HPM costs-C19RM'!$AE$324)+(SUMPRODUCT(('Fixed Cost-C19RM'!$D$5:$D$202=$D28)*('Fixed Cost-C19RM'!$F$5:$F$202=$F28)*('Fixed Cost-C19RM'!$AE$5:$AE$202)))</f>
        <v>0</v>
      </c>
      <c r="AX28" s="424" cm="1">
        <f t="array" ref="AX28">('HPM costs-C19RM'!$AF$325+'HPM costs-C19RM'!$AF$326+'HPM costs-C19RM'!$AF$324)+(SUMPRODUCT(('Fixed Cost-C19RM'!$D$5:$D$202=$D28)*('Fixed Cost-C19RM'!$F$5:$F$202=$F28)*('Fixed Cost-C19RM'!$AF$5:$AF$202)))</f>
        <v>0</v>
      </c>
      <c r="AY28" s="424" cm="1">
        <f t="array" ref="AY28">('HPM costs-C19RM'!$AG$325+'HPM costs-C19RM'!$AG$326+'HPM costs-C19RM'!$AG$324)+(SUMPRODUCT(('Fixed Cost-C19RM'!$D$5:$D$202=$D28)*('Fixed Cost-C19RM'!$F$5:$F$202=$F28)*('Fixed Cost-C19RM'!$AG$5:$AG$202)))</f>
        <v>0</v>
      </c>
      <c r="AZ28" s="424" cm="1">
        <f t="array" ref="AZ28">('HPM costs-C19RM'!$AH$325+'HPM costs-C19RM'!$AH$326+'HPM costs-C19RM'!$AH$324)+(SUMPRODUCT(('Fixed Cost-C19RM'!$D$5:$D$202=$D28)*('Fixed Cost-C19RM'!$F$5:$F$202=$F28)*('Fixed Cost-C19RM'!$AH$5:$AH$202)))</f>
        <v>0</v>
      </c>
      <c r="BA28" s="424">
        <f t="shared" si="6"/>
        <v>0</v>
      </c>
      <c r="BB28" s="424"/>
      <c r="BC28" s="951"/>
      <c r="BD28" s="951"/>
      <c r="BE28" s="424">
        <v>0</v>
      </c>
      <c r="BF28" s="424">
        <v>0</v>
      </c>
      <c r="BG28" s="424">
        <v>0</v>
      </c>
      <c r="BH28" s="424">
        <v>0</v>
      </c>
      <c r="BI28" s="424">
        <f t="shared" si="7"/>
        <v>0</v>
      </c>
      <c r="BJ28" s="424"/>
      <c r="BK28" s="424">
        <f t="shared" si="8"/>
        <v>0</v>
      </c>
      <c r="BL28" s="424"/>
      <c r="BM28" s="142"/>
      <c r="BN28" s="425"/>
      <c r="BP28" s="274" t="str">
        <f t="shared" si="1"/>
        <v>No</v>
      </c>
      <c r="BR28" t="str">
        <f>IF(((IFERROR(INDEX('Fixed Cost-C19RM'!$AO$5:$AO$202,MATCH(BS28&amp;C28&amp;D28&amp;F28,'Fixed Cost-C19RM'!$A$5:$A$202,0)),0)))&gt;0,"Yes","NO")</f>
        <v>NO</v>
      </c>
      <c r="BS28" s="286" t="s">
        <v>83</v>
      </c>
      <c r="BT28" t="s">
        <v>3277</v>
      </c>
      <c r="BU28" s="411" t="s">
        <v>3614</v>
      </c>
    </row>
    <row r="29" spans="1:108" ht="39" customHeight="1" x14ac:dyDescent="0.35">
      <c r="A29" s="256"/>
      <c r="B29" s="363" t="str">
        <f>PMsheet!$AH$94&amp;'Detailed BudgetC19RM'!BU29</f>
        <v>000P23HP1124</v>
      </c>
      <c r="C29" s="315" t="s">
        <v>2749</v>
      </c>
      <c r="D29" s="315" t="s">
        <v>3111</v>
      </c>
      <c r="E29" s="261" t="s">
        <v>3129</v>
      </c>
      <c r="F29" s="314" t="s">
        <v>3130</v>
      </c>
      <c r="G29" s="315">
        <f ca="1">SETUP!$T$2</f>
        <v>0</v>
      </c>
      <c r="H29" s="315" t="str">
        <f>IF(SETUP!$E$3="","","National/Country Level")</f>
        <v/>
      </c>
      <c r="I29" s="315" t="str">
        <f>IFERROR(IF(INDEX('Master Data-C19RM'!$E$8:$E$18,MATCH((INDEX(SETUP!$E$20:$E$34,MATCH('Detailed BudgetC19RM'!BQ29,SETUP!$D$20:$D$34,0))),'Master Data-C19RM'!$D$8:$D$18,0))="Implementer's name",SETUP!$J$5,INDEX('Master Data-C19RM'!$E$8:$E$18,MATCH((INDEX(SETUP!$E$20:$E$34,MATCH('Detailed BudgetC19RM'!BQ29,SETUP!$D$20:$D$34,0))),'Master Data-C19RM'!$D$8:$D$18,0))),"Pls select HPMT Category in ' BQ ' column")</f>
        <v>Not Applicable</v>
      </c>
      <c r="J29" s="315" t="s">
        <v>707</v>
      </c>
      <c r="K29" s="315">
        <f t="shared" si="0"/>
        <v>0</v>
      </c>
      <c r="L29" s="315"/>
      <c r="M29" s="315">
        <f>SETUP!$E$7</f>
        <v>0</v>
      </c>
      <c r="N29" s="315"/>
      <c r="O29" s="315"/>
      <c r="P29" s="315"/>
      <c r="Q29" s="917" cm="1">
        <f t="array" ref="Q29">(SUMPRODUCT(('Cashflow Summary C19RM'!$B$5:$B$100="C19RM 2021-Lab &amp; Other HPS")*('Cashflow Summary C19RM'!$A$5:$A$100=2)*('Cashflow Summary C19RM'!$BC$5:$BC$100="5.12 Medical Oxygen")*('Cashflow Summary C19RM'!$R$5:$R$100)))</f>
        <v>0</v>
      </c>
      <c r="R29" s="917" cm="1">
        <f t="array" ref="R29">(SUMPRODUCT(('Cashflow Summary C19RM'!$B$5:$B$100="C19RM 2021-Lab &amp; Other HPS")*('Cashflow Summary C19RM'!$A$5:$A$100=2)*1*('Cashflow Summary C19RM'!$BC$5:$BC$100="5.12 Medical Oxygen")*('Cashflow Summary C19RM'!$S$5:$S$100)))</f>
        <v>0</v>
      </c>
      <c r="S29" s="917" cm="1">
        <f t="array" ref="S29">(SUMPRODUCT(('Cashflow Summary C19RM'!$B$5:$B$100="C19RM 2021-Lab &amp; Other HPS")*('Cashflow Summary C19RM'!$A$5:$A$100=2)*1*('Cashflow Summary C19RM'!$BC$5:$BC$100="5.12 Medical Oxygen")*('Cashflow Summary C19RM'!$T$5:$T$100)))</f>
        <v>0</v>
      </c>
      <c r="T29" s="917" cm="1">
        <f t="array" ref="T29">(SUMPRODUCT(('Cashflow Summary C19RM'!$B$5:$B$100="C19RM 2021-Lab &amp; Other HPS")*('Cashflow Summary C19RM'!$A$5:$A$100=2)*1*('Cashflow Summary C19RM'!$BC$5:$BC$100="5.12 Medical Oxygen")*('Cashflow Summary C19RM'!$U$5:$U$100)))</f>
        <v>0</v>
      </c>
      <c r="U29" s="948">
        <f t="shared" si="2"/>
        <v>0</v>
      </c>
      <c r="V29" s="424"/>
      <c r="W29" s="424"/>
      <c r="X29" s="424"/>
      <c r="Y29" s="424" cm="1">
        <f t="array" ref="Y29">(SUMPRODUCT(('Cashflow Summary C19RM'!$B$5:$B$100="C19RM 2021-Lab &amp; Other HPS")*('Cashflow Summary C19RM'!$A$5:$A$100=2)*1*('Cashflow Summary C19RM'!$BC$5:$BC$100="5.12 Medical Oxygen")*('Cashflow Summary C19RM'!$V$5:$V$100)))</f>
        <v>0</v>
      </c>
      <c r="Z29" s="424" cm="1">
        <f t="array" ref="Z29">(SUMPRODUCT(('Cashflow Summary C19RM'!$B$5:$B$100="C19RM 2021-Lab &amp; Other HPS")*('Cashflow Summary C19RM'!$A$5:$A$100=2)*1*('Cashflow Summary C19RM'!$BC$5:$BC$100="5.12 Medical Oxygen")*('Cashflow Summary C19RM'!$W$5:$W$100)))</f>
        <v>0</v>
      </c>
      <c r="AA29" s="424" cm="1">
        <f t="array" ref="AA29">(SUMPRODUCT(('Cashflow Summary C19RM'!$B$5:$B$100="C19RM 2021-Lab &amp; Other HPS")*('Cashflow Summary C19RM'!$A$5:$A$100=2)*1*('Cashflow Summary C19RM'!$BC$5:$BC$100="5.12 Medical Oxygen")*('Cashflow Summary C19RM'!$X$5:$X$100)))</f>
        <v>0</v>
      </c>
      <c r="AB29" s="424" cm="1">
        <f t="array" ref="AB29">(SUMPRODUCT(('Cashflow Summary C19RM'!$B$5:$B$100="C19RM 2021-Lab &amp; Other HPS")*('Cashflow Summary C19RM'!$A$5:$A$100=2)*1*('Cashflow Summary C19RM'!$BC$5:$BC$100="5.12 Medical Oxygen")*('Cashflow Summary C19RM'!$Y$5:$Y$100)))</f>
        <v>0</v>
      </c>
      <c r="AC29" s="424">
        <f t="shared" si="3"/>
        <v>0</v>
      </c>
      <c r="AD29" s="424"/>
      <c r="AE29" s="424"/>
      <c r="AF29" s="424"/>
      <c r="AG29" s="424" cm="1">
        <f t="array" ref="AG29">(SUMPRODUCT(('Cashflow Summary C19RM'!$B$5:$B$100="C19RM 2021-Lab &amp; Other HPS")*('Cashflow Summary C19RM'!$A$5:$A$100=2)*1*('Cashflow Summary C19RM'!$BC$5:$BC$100="5.12 Medical Oxygen")*('Cashflow Summary C19RM'!$Z$5:$Z$100)))</f>
        <v>0</v>
      </c>
      <c r="AH29" s="424" cm="1">
        <f t="array" ref="AH29">(SUMPRODUCT(('Cashflow Summary C19RM'!$B$5:$B$100="C19RM 2021-Lab &amp; Other HPS")*('Cashflow Summary C19RM'!$A$5:$A$100=2)*1*('Cashflow Summary C19RM'!$BC$5:$BC$100="5.12 Medical Oxygen")*('Cashflow Summary C19RM'!$AA$5:$AA$100)))</f>
        <v>0</v>
      </c>
      <c r="AI29" s="424" cm="1">
        <f t="array" ref="AI29">(SUMPRODUCT(('Cashflow Summary C19RM'!$B$5:$B$100="C19RM 2021-Lab &amp; Other HPS")*('Cashflow Summary C19RM'!$A$5:$A$100=2)*1*('Cashflow Summary C19RM'!$BC$5:$BC$100="5.12 Medical Oxygen")*('Cashflow Summary C19RM'!$AB$5:$AB$100)))</f>
        <v>0</v>
      </c>
      <c r="AJ29" s="424" cm="1">
        <f t="array" ref="AJ29">(SUMPRODUCT(('Cashflow Summary C19RM'!$B$5:$B$100="C19RM 2021-Lab &amp; Other HPS")*('Cashflow Summary C19RM'!$A$5:$A$100=2)*1*('Cashflow Summary C19RM'!$BC$5:$BC$100="5.12 Medical Oxygen")*('Cashflow Summary C19RM'!$AC$5:$AC$100)))</f>
        <v>0</v>
      </c>
      <c r="AK29" s="424">
        <f t="shared" si="4"/>
        <v>0</v>
      </c>
      <c r="AL29" s="424"/>
      <c r="AM29" s="424"/>
      <c r="AN29" s="424"/>
      <c r="AO29" s="424" cm="1">
        <f t="array" ref="AO29">(SUMPRODUCT(('Cashflow Summary C19RM'!$B$5:$B$100="C19RM 2021-Lab &amp; Other HPS")*('Cashflow Summary C19RM'!$A$5:$A$100=2)*1*('Cashflow Summary C19RM'!$BC$5:$BC$100="5.12 Medical Oxygen")*('Cashflow Summary C19RM'!$AD$5:$AD$100)))</f>
        <v>0</v>
      </c>
      <c r="AP29" s="424" cm="1">
        <f t="array" ref="AP29">(SUMPRODUCT(('Cashflow Summary C19RM'!$B$5:$B$100="C19RM 2021-Lab &amp; Other HPS")*('Cashflow Summary C19RM'!$A$5:$A$100=2)*1*('Cashflow Summary C19RM'!$BC$5:$BC$100="5.12 Medical Oxygen")*('Cashflow Summary C19RM'!$AE$5:$AE$100)))</f>
        <v>0</v>
      </c>
      <c r="AQ29" s="424" cm="1">
        <f t="array" ref="AQ29">(SUMPRODUCT(('Cashflow Summary C19RM'!$B$5:$B$100="C19RM 2021-Lab &amp; Other HPS")*('Cashflow Summary C19RM'!$A$5:$A$100=2)*1*('Cashflow Summary C19RM'!$BC$5:$BC$100="5.12 Medical Oxygen")*('Cashflow Summary C19RM'!$AF$5:$AF$100)))</f>
        <v>0</v>
      </c>
      <c r="AR29" s="424" cm="1">
        <f t="array" ref="AR29">(SUMPRODUCT(('Cashflow Summary C19RM'!$B$5:$B$100="C19RM 2021-Lab &amp; Other HPS")*('Cashflow Summary C19RM'!$A$5:$A$100=2)*1*('Cashflow Summary C19RM'!$BC$5:$BC$100="5.12 Medical Oxygen")*('Cashflow Summary C19RM'!$AG$5:$AG$100)))</f>
        <v>0</v>
      </c>
      <c r="AS29" s="424">
        <f t="shared" si="5"/>
        <v>0</v>
      </c>
      <c r="AT29" s="424"/>
      <c r="AU29" s="424"/>
      <c r="AV29" s="424"/>
      <c r="AW29" s="424" cm="1">
        <f t="array" ref="AW29">(SUMPRODUCT(('Cashflow Summary C19RM'!$B$5:$B$100="C19RM 2021-Lab &amp; Other HPS")*('Cashflow Summary C19RM'!$A$5:$A$100=2)*1*('Cashflow Summary C19RM'!$BC$5:$BC$100="5.12 Medical Oxygen")*('Cashflow Summary C19RM'!$AH$5:$AH$100)))</f>
        <v>0</v>
      </c>
      <c r="AX29" s="424" cm="1">
        <f t="array" ref="AX29">(SUMPRODUCT(('Cashflow Summary C19RM'!$B$5:$B$100="C19RM 2021-Lab &amp; Other HPS")*('Cashflow Summary C19RM'!$A$5:$A$100=2)*1*('Cashflow Summary C19RM'!$BC$5:$BC$100="5.12 Medical Oxygen")*('Cashflow Summary C19RM'!$AI$5:$AI$100)))</f>
        <v>0</v>
      </c>
      <c r="AY29" s="424" cm="1">
        <f t="array" ref="AY29">(SUMPRODUCT(('Cashflow Summary C19RM'!$B$5:$B$100="C19RM 2021-Lab &amp; Other HPS")*('Cashflow Summary C19RM'!$A$5:$A$100=2)*1*('Cashflow Summary C19RM'!$BC$5:$BC$100="5.12 Medical Oxygen")*('Cashflow Summary C19RM'!$AJ$5:$AJ$100)))</f>
        <v>0</v>
      </c>
      <c r="AZ29" s="424" cm="1">
        <f t="array" ref="AZ29">(SUMPRODUCT(('Cashflow Summary C19RM'!$B$5:$B$100="C19RM 2021-Lab &amp; Other HPS")*('Cashflow Summary C19RM'!$A$5:$A$100=2)*1*('Cashflow Summary C19RM'!$BC$5:$BC$100="5.12 Medical Oxygen")*('Cashflow Summary C19RM'!$AK$5:$AK$100)))</f>
        <v>0</v>
      </c>
      <c r="BA29" s="424">
        <f t="shared" si="6"/>
        <v>0</v>
      </c>
      <c r="BB29" s="424"/>
      <c r="BC29" s="424"/>
      <c r="BD29" s="424"/>
      <c r="BE29" s="424" cm="1">
        <f t="array" ref="BE29">(SUMPRODUCT(('Cashflow Summary C19RM'!$B$5:$B$100="C19RM 2021-Lab &amp; Other HPS")*('Cashflow Summary C19RM'!$A$5:$A$100=2)*1*('Cashflow Summary C19RM'!$BC$5:$BC$100="5.12 Medical Oxygen")*('Cashflow Summary C19RM'!$AL$5:$AL$100)))</f>
        <v>0</v>
      </c>
      <c r="BF29" s="424" cm="1">
        <f t="array" ref="BF29">(SUMPRODUCT(('Cashflow Summary C19RM'!$B$5:$B$100="C19RM 2021-Lab &amp; Other HPS")*('Cashflow Summary C19RM'!$A$5:$A$100=2)*1*('Cashflow Summary C19RM'!$BC$5:$BC$100="5.12 Medical Oxygen")*('Cashflow Summary C19RM'!$AM$5:$AM$100)))</f>
        <v>0</v>
      </c>
      <c r="BG29" s="424" cm="1">
        <f t="array" ref="BG29">(SUMPRODUCT(('Cashflow Summary C19RM'!$B$5:$B$100="C19RM 2021-Lab &amp; Other HPS")*('Cashflow Summary C19RM'!$A$5:$A$100=2)*1*('Cashflow Summary C19RM'!$BC$5:$BC$100="5.12 Medical Oxygen")*('Cashflow Summary C19RM'!$AN$5:$AN$100)))</f>
        <v>0</v>
      </c>
      <c r="BH29" s="424" cm="1">
        <f t="array" ref="BH29">(SUMPRODUCT(('Cashflow Summary C19RM'!$B$5:$B$100="C19RM 2021-Lab &amp; Other HPS")*('Cashflow Summary C19RM'!$A$5:$A$100=2)*1*('Cashflow Summary C19RM'!$BC$5:$BC$100="5.12 Medical Oxygen")*('Cashflow Summary C19RM'!$AO$5:$AO$100)))</f>
        <v>0</v>
      </c>
      <c r="BI29" s="424">
        <f t="shared" si="7"/>
        <v>0</v>
      </c>
      <c r="BJ29" s="424"/>
      <c r="BK29" s="424">
        <f t="shared" si="8"/>
        <v>0</v>
      </c>
      <c r="BL29" s="424"/>
      <c r="BM29" s="142"/>
      <c r="BN29" s="425"/>
      <c r="BP29" s="274" t="str">
        <f t="shared" si="1"/>
        <v>No</v>
      </c>
      <c r="BQ29" t="s">
        <v>122</v>
      </c>
      <c r="BS29" s="286" t="s">
        <v>83</v>
      </c>
      <c r="BT29" t="s">
        <v>3322</v>
      </c>
      <c r="BU29" s="411" t="s">
        <v>3615</v>
      </c>
      <c r="CD29" s="952"/>
      <c r="CE29" s="952"/>
      <c r="CF29" s="952"/>
      <c r="CG29" s="952"/>
      <c r="CH29" s="952"/>
      <c r="CI29" s="952"/>
      <c r="CJ29" s="952"/>
      <c r="CK29" s="952"/>
      <c r="CL29" s="952"/>
      <c r="CM29" s="952"/>
      <c r="CN29" s="952"/>
      <c r="CO29" s="952"/>
      <c r="CP29" s="952"/>
      <c r="CQ29" s="952"/>
      <c r="CR29" s="952"/>
      <c r="CS29" s="952"/>
      <c r="CT29" s="952"/>
      <c r="CU29" s="952"/>
      <c r="CV29" s="952"/>
      <c r="CW29" s="952"/>
      <c r="CX29" s="952"/>
      <c r="CY29" s="952"/>
      <c r="CZ29" s="952"/>
      <c r="DA29" s="952"/>
      <c r="DB29" s="952"/>
      <c r="DC29" s="952"/>
      <c r="DD29" s="952"/>
    </row>
    <row r="30" spans="1:108" ht="39" customHeight="1" x14ac:dyDescent="0.35">
      <c r="A30" s="364"/>
      <c r="B30" s="363" t="str">
        <f>PMsheet!$AH$94&amp;'Detailed BudgetC19RM'!BU30</f>
        <v>000P23HP1125</v>
      </c>
      <c r="C30" s="315" t="s">
        <v>2749</v>
      </c>
      <c r="D30" s="315" t="s">
        <v>3111</v>
      </c>
      <c r="E30" s="261" t="s">
        <v>3131</v>
      </c>
      <c r="F30" s="314" t="s">
        <v>3132</v>
      </c>
      <c r="G30" s="315">
        <f ca="1">SETUP!$T$2</f>
        <v>0</v>
      </c>
      <c r="H30" s="315" t="str">
        <f>IF(SETUP!$E$3="","","National/Country Level")</f>
        <v/>
      </c>
      <c r="I30" s="315" t="s">
        <v>2665</v>
      </c>
      <c r="J30" s="315" t="s">
        <v>707</v>
      </c>
      <c r="K30" s="315">
        <f t="shared" si="0"/>
        <v>0</v>
      </c>
      <c r="L30" s="315"/>
      <c r="M30" s="315">
        <f>SETUP!$E$7</f>
        <v>0</v>
      </c>
      <c r="N30" s="315"/>
      <c r="O30" s="315"/>
      <c r="P30" s="315"/>
      <c r="Q30" s="917" cm="1">
        <f t="array" ref="Q30">(SUMPRODUCT(('Cashflow Summary C19RM'!$B$5:$B$100="C19RM 2021-Lab &amp; Other HPS")*('Cashflow Summary C19RM'!$A$5:$A$100=2)*1*('Cashflow Summary C19RM'!$BC$5:$BC$100="6.7 Medical Oxygen - Equipment")*('Cashflow Summary C19RM'!$R$5:$R$100)))</f>
        <v>0</v>
      </c>
      <c r="R30" s="917" cm="1">
        <f t="array" ref="R30">(SUMPRODUCT(('Cashflow Summary C19RM'!$B$5:$B$100="C19RM 2021-Lab &amp; Other HPS")*('Cashflow Summary C19RM'!$A$5:$A$100=2)*1*('Cashflow Summary C19RM'!$BC$5:$BC$100="6.7 Medical Oxygen - Equipment")*('Cashflow Summary C19RM'!$S$5:$S$100)))</f>
        <v>0</v>
      </c>
      <c r="S30" s="917" cm="1">
        <f t="array" ref="S30">(SUMPRODUCT(('Cashflow Summary C19RM'!$B$5:$B$100="C19RM 2021-Lab &amp; Other HPS")*('Cashflow Summary C19RM'!$A$5:$A$100=2)*1*('Cashflow Summary C19RM'!$BC$5:$BC$100="6.7 Medical Oxygen - Equipment")*('Cashflow Summary C19RM'!$T$5:$T$100)))</f>
        <v>0</v>
      </c>
      <c r="T30" s="917" cm="1">
        <f t="array" ref="T30">(SUMPRODUCT(('Cashflow Summary C19RM'!$B$5:$B$100="C19RM 2021-Lab &amp; Other HPS")*('Cashflow Summary C19RM'!$A$5:$A$100=2)*1*('Cashflow Summary C19RM'!$BC$5:$BC$100="6.7 Medical Oxygen - Equipment")*('Cashflow Summary C19RM'!$U$5:$U$100)))</f>
        <v>0</v>
      </c>
      <c r="U30" s="948">
        <f t="shared" si="2"/>
        <v>0</v>
      </c>
      <c r="V30" s="424"/>
      <c r="W30" s="424"/>
      <c r="X30" s="424"/>
      <c r="Y30" s="424" cm="1">
        <f t="array" ref="Y30">(SUMPRODUCT(('Cashflow Summary C19RM'!$B$5:$B$100="C19RM 2021-Lab &amp; Other HPS")*('Cashflow Summary C19RM'!$A$5:$A$100=2)*1*('Cashflow Summary C19RM'!$BC$5:$BC$100="6.7 Medical Oxygen - Equipment")*('Cashflow Summary C19RM'!$V$5:$V$100)))</f>
        <v>0</v>
      </c>
      <c r="Z30" s="424" cm="1">
        <f t="array" ref="Z30">(SUMPRODUCT(('Cashflow Summary C19RM'!$B$5:$B$100="C19RM 2021-Lab &amp; Other HPS")*('Cashflow Summary C19RM'!$A$5:$A$100=2)*1*('Cashflow Summary C19RM'!$BC$5:$BC$100="6.7 Medical Oxygen - Equipment")*('Cashflow Summary C19RM'!$W$5:$W$100)))</f>
        <v>0</v>
      </c>
      <c r="AA30" s="424" cm="1">
        <f t="array" ref="AA30">(SUMPRODUCT(('Cashflow Summary C19RM'!$B$5:$B$100="C19RM 2021-Lab &amp; Other HPS")*('Cashflow Summary C19RM'!$A$5:$A$100=2)*1*('Cashflow Summary C19RM'!$BC$5:$BC$100="6.7 Medical Oxygen - Equipment")*('Cashflow Summary C19RM'!$X$5:$X$100)))</f>
        <v>0</v>
      </c>
      <c r="AB30" s="424" cm="1">
        <f t="array" ref="AB30">(SUMPRODUCT(('Cashflow Summary C19RM'!$B$5:$B$100="C19RM 2021-Lab &amp; Other HPS")*('Cashflow Summary C19RM'!$A$5:$A$100=2)*1*('Cashflow Summary C19RM'!$BC$5:$BC$100="6.7 Medical Oxygen - Equipment")*('Cashflow Summary C19RM'!$Y$5:$Y$100)))</f>
        <v>0</v>
      </c>
      <c r="AC30" s="424">
        <f t="shared" si="3"/>
        <v>0</v>
      </c>
      <c r="AD30" s="424"/>
      <c r="AE30" s="424"/>
      <c r="AF30" s="424"/>
      <c r="AG30" s="424" cm="1">
        <f t="array" ref="AG30">(SUMPRODUCT(('Cashflow Summary C19RM'!$B$5:$B$100="C19RM 2021-Lab &amp; Other HPS")*('Cashflow Summary C19RM'!$A$5:$A$100=2)*1*('Cashflow Summary C19RM'!$BC$5:$BC$100="6.7 Medical Oxygen - Equipment")*('Cashflow Summary C19RM'!$Z$5:$Z$100)))</f>
        <v>0</v>
      </c>
      <c r="AH30" s="424" cm="1">
        <f t="array" ref="AH30">(SUMPRODUCT(('Cashflow Summary C19RM'!$B$5:$B$100="C19RM 2021-Lab &amp; Other HPS")*('Cashflow Summary C19RM'!$A$5:$A$100=2)*1*('Cashflow Summary C19RM'!$BC$5:$BC$100="6.7 Medical Oxygen - Equipment")*('Cashflow Summary C19RM'!$AA$5:$AA$100)))</f>
        <v>0</v>
      </c>
      <c r="AI30" s="424" cm="1">
        <f t="array" ref="AI30">(SUMPRODUCT(('Cashflow Summary C19RM'!$B$5:$B$100="C19RM 2021-Lab &amp; Other HPS")*('Cashflow Summary C19RM'!$A$5:$A$100=2)*1*('Cashflow Summary C19RM'!$BC$5:$BC$100="6.7 Medical Oxygen - Equipment")*('Cashflow Summary C19RM'!$AB$5:$AB$100)))</f>
        <v>0</v>
      </c>
      <c r="AJ30" s="424" cm="1">
        <f t="array" ref="AJ30">(SUMPRODUCT(('Cashflow Summary C19RM'!$B$5:$B$100="C19RM 2021-Lab &amp; Other HPS")*('Cashflow Summary C19RM'!$A$5:$A$100=2)*1*('Cashflow Summary C19RM'!$BC$5:$BC$100="6.7 Medical Oxygen - Equipment")*('Cashflow Summary C19RM'!$AC$5:$AC$100)))</f>
        <v>0</v>
      </c>
      <c r="AK30" s="424">
        <f t="shared" si="4"/>
        <v>0</v>
      </c>
      <c r="AL30" s="424"/>
      <c r="AM30" s="424"/>
      <c r="AN30" s="424"/>
      <c r="AO30" s="424" cm="1">
        <f t="array" ref="AO30">(SUMPRODUCT(('Cashflow Summary C19RM'!$B$5:$B$100="C19RM 2021-Lab &amp; Other HPS")*('Cashflow Summary C19RM'!$A$5:$A$100=2)*1*('Cashflow Summary C19RM'!$BC$5:$BC$100="6.7 Medical Oxygen - Equipment")*('Cashflow Summary C19RM'!$AD$5:$AD$100)))</f>
        <v>0</v>
      </c>
      <c r="AP30" s="424" cm="1">
        <f t="array" ref="AP30">(SUMPRODUCT(('Cashflow Summary C19RM'!$B$5:$B$100="C19RM 2021-Lab &amp; Other HPS")*('Cashflow Summary C19RM'!$A$5:$A$100=2)*1*('Cashflow Summary C19RM'!$BC$5:$BC$100="6.7 Medical Oxygen - Equipment")*('Cashflow Summary C19RM'!$AE$5:$AE$100)))</f>
        <v>0</v>
      </c>
      <c r="AQ30" s="424" cm="1">
        <f t="array" ref="AQ30">(SUMPRODUCT(('Cashflow Summary C19RM'!$B$5:$B$100="C19RM 2021-Lab &amp; Other HPS")*('Cashflow Summary C19RM'!$A$5:$A$100=2)*1*('Cashflow Summary C19RM'!$BC$5:$BC$100="6.7 Medical Oxygen - Equipment")*('Cashflow Summary C19RM'!$AF$5:$AF$100)))</f>
        <v>0</v>
      </c>
      <c r="AR30" s="424" cm="1">
        <f t="array" ref="AR30">(SUMPRODUCT(('Cashflow Summary C19RM'!$B$5:$B$100="C19RM 2021-Lab &amp; Other HPS")*('Cashflow Summary C19RM'!$A$5:$A$100=2)*1*('Cashflow Summary C19RM'!$BC$5:$BC$100="6.7 Medical Oxygen - Equipment")*('Cashflow Summary C19RM'!$AG$5:$AG$100)))</f>
        <v>0</v>
      </c>
      <c r="AS30" s="424">
        <f t="shared" si="5"/>
        <v>0</v>
      </c>
      <c r="AT30" s="424"/>
      <c r="AU30" s="424"/>
      <c r="AV30" s="424"/>
      <c r="AW30" s="424" cm="1">
        <f t="array" ref="AW30">(SUMPRODUCT(('Cashflow Summary C19RM'!$B$5:$B$100="C19RM 2021-Lab &amp; Other HPS")*('Cashflow Summary C19RM'!$A$5:$A$100=2)*1*('Cashflow Summary C19RM'!$BC$5:$BC$100="6.7 Medical Oxygen - Equipment")*('Cashflow Summary C19RM'!$AH$5:$AH$100)))</f>
        <v>0</v>
      </c>
      <c r="AX30" s="424" cm="1">
        <f t="array" ref="AX30">(SUMPRODUCT(('Cashflow Summary C19RM'!$B$5:$B$100="C19RM 2021-Lab &amp; Other HPS")*('Cashflow Summary C19RM'!$A$5:$A$100=2)*1*('Cashflow Summary C19RM'!$BC$5:$BC$100="6.7 Medical Oxygen - Equipment")*('Cashflow Summary C19RM'!$AI$5:$AI$100)))</f>
        <v>0</v>
      </c>
      <c r="AY30" s="424" cm="1">
        <f t="array" ref="AY30">(SUMPRODUCT(('Cashflow Summary C19RM'!$B$5:$B$100="C19RM 2021-Lab &amp; Other HPS")*('Cashflow Summary C19RM'!$A$5:$A$100=2)*1*('Cashflow Summary C19RM'!$BC$5:$BC$100="6.7 Medical Oxygen - Equipment")*('Cashflow Summary C19RM'!$AJ$5:$AJ$100)))</f>
        <v>0</v>
      </c>
      <c r="AZ30" s="424" cm="1">
        <f t="array" ref="AZ30">(SUMPRODUCT(('Cashflow Summary C19RM'!$B$5:$B$100="C19RM 2021-Lab &amp; Other HPS")*('Cashflow Summary C19RM'!$A$5:$A$100=2)*1*('Cashflow Summary C19RM'!$BC$5:$BC$100="6.7 Medical Oxygen - Equipment")*('Cashflow Summary C19RM'!$AK$5:$AK$100)))</f>
        <v>0</v>
      </c>
      <c r="BA30" s="424">
        <f t="shared" si="6"/>
        <v>0</v>
      </c>
      <c r="BB30" s="424"/>
      <c r="BC30" s="424"/>
      <c r="BD30" s="424"/>
      <c r="BE30" s="424" cm="1">
        <f t="array" ref="BE30">(SUMPRODUCT(('Cashflow Summary C19RM'!$B$5:$B$100="C19RM 2021-Lab &amp; Other HPS")*('Cashflow Summary C19RM'!$A$5:$A$100=2)*1*('Cashflow Summary C19RM'!$BC$5:$BC$100="6.7 Medical Oxygen - Equipment")*('Cashflow Summary C19RM'!$AL$5:$AL$100)))</f>
        <v>0</v>
      </c>
      <c r="BF30" s="424" cm="1">
        <f t="array" ref="BF30">(SUMPRODUCT(('Cashflow Summary C19RM'!$B$5:$B$100="C19RM 2021-Lab &amp; Other HPS")*('Cashflow Summary C19RM'!$A$5:$A$100=2)*1*('Cashflow Summary C19RM'!$BC$5:$BC$100="6.7 Medical Oxygen - Equipment")*('Cashflow Summary C19RM'!$AM$5:$AM$100)))</f>
        <v>0</v>
      </c>
      <c r="BG30" s="424" cm="1">
        <f t="array" ref="BG30">(SUMPRODUCT(('Cashflow Summary C19RM'!$B$5:$B$100="C19RM 2021-Lab &amp; Other HPS")*('Cashflow Summary C19RM'!$A$5:$A$100=2)*1*('Cashflow Summary C19RM'!$BC$5:$BC$100="6.7 Medical Oxygen - Equipment")*('Cashflow Summary C19RM'!$AN$5:$AN$100)))</f>
        <v>0</v>
      </c>
      <c r="BH30" s="424" cm="1">
        <f t="array" ref="BH30">(SUMPRODUCT(('Cashflow Summary C19RM'!$B$5:$B$100="C19RM 2021-Lab &amp; Other HPS")*('Cashflow Summary C19RM'!$A$5:$A$100=2)*1*('Cashflow Summary C19RM'!$BC$5:$BC$100="6.7 Medical Oxygen - Equipment")*('Cashflow Summary C19RM'!$AO$5:$AO$100)))</f>
        <v>0</v>
      </c>
      <c r="BI30" s="424">
        <f t="shared" si="7"/>
        <v>0</v>
      </c>
      <c r="BJ30" s="424"/>
      <c r="BK30" s="424">
        <f t="shared" si="8"/>
        <v>0</v>
      </c>
      <c r="BL30" s="424"/>
      <c r="BM30" s="142"/>
      <c r="BN30" s="425"/>
      <c r="BP30" s="274" t="str">
        <f t="shared" si="1"/>
        <v>No</v>
      </c>
      <c r="BQ30" t="s">
        <v>19</v>
      </c>
      <c r="BS30" s="286" t="s">
        <v>83</v>
      </c>
      <c r="BT30" t="s">
        <v>3323</v>
      </c>
      <c r="BU30" s="411" t="s">
        <v>3616</v>
      </c>
    </row>
    <row r="31" spans="1:108" ht="39" customHeight="1" x14ac:dyDescent="0.35">
      <c r="A31" s="256"/>
      <c r="B31" s="363" t="str">
        <f>PMsheet!$AH$94&amp;'Detailed BudgetC19RM'!BU31</f>
        <v>000P23HP1126</v>
      </c>
      <c r="C31" s="315" t="s">
        <v>2749</v>
      </c>
      <c r="D31" s="315" t="s">
        <v>3111</v>
      </c>
      <c r="E31" s="261" t="s">
        <v>1986</v>
      </c>
      <c r="F31" s="314" t="s">
        <v>730</v>
      </c>
      <c r="G31" s="315">
        <f ca="1">SETUP!$T$2</f>
        <v>0</v>
      </c>
      <c r="H31" s="315" t="str">
        <f>IF(SETUP!$E$3="","","National/Country Level")</f>
        <v/>
      </c>
      <c r="I31" s="315" t="str">
        <f>IFERROR(IF(INDEX('Master Data-C19RM'!$E$8:$E$18,MATCH((INDEX(SETUP!$E$20:$E$34,MATCH('Detailed BudgetC19RM'!BQ31,SETUP!$D$20:$D$34,0))),'Master Data-C19RM'!$D$8:$D$18,0))="Implementer's name",SETUP!$J$5,INDEX('Master Data-C19RM'!$E$8:$E$18,MATCH((INDEX(SETUP!$E$20:$E$34,MATCH('Detailed BudgetC19RM'!BQ31,SETUP!$D$20:$D$34,0))),'Master Data-C19RM'!$D$8:$D$18,0))),"Pls select HPMT Category in ' BQ ' column")</f>
        <v>Not Applicable</v>
      </c>
      <c r="J31" s="315" t="s">
        <v>707</v>
      </c>
      <c r="K31" s="315">
        <f t="shared" si="0"/>
        <v>0</v>
      </c>
      <c r="L31" s="950"/>
      <c r="M31" s="315">
        <f>SETUP!$E$7</f>
        <v>0</v>
      </c>
      <c r="N31" s="950"/>
      <c r="O31" s="950"/>
      <c r="P31" s="950"/>
      <c r="Q31" s="917" cm="1">
        <f t="array" ref="Q31">(SUMPRODUCT(('Cashflow Summary C19RM'!$B$5:$B$100="C19RM 2021-Lab &amp; Other HPS")*('Cashflow Summary C19RM'!$A$5:$A$100=2)*1*('Cashflow Summary C19RM'!$BC$5:$BC$100="6.5 Maintenance and service costs")*('Cashflow Summary C19RM'!$R$5:$R$100)))</f>
        <v>0</v>
      </c>
      <c r="R31" s="917" cm="1">
        <f t="array" ref="R31">(SUMPRODUCT(('Cashflow Summary C19RM'!$B$5:$B$100="C19RM 2021-Lab &amp; Other HPS")*('Cashflow Summary C19RM'!$A$5:$A$100=2)*1*('Cashflow Summary C19RM'!$BC$5:$BC$100="6.5 Maintenance and service costs")*('Cashflow Summary C19RM'!$S$5:$S$100)))</f>
        <v>0</v>
      </c>
      <c r="S31" s="917" cm="1">
        <f t="array" ref="S31">(SUMPRODUCT(('Cashflow Summary C19RM'!$B$5:$B$100="C19RM 2021-Lab &amp; Other HPS")*('Cashflow Summary C19RM'!$A$5:$A$100=2)*1*('Cashflow Summary C19RM'!$BC$5:$BC$100="6.5 Maintenance and service costs")*('Cashflow Summary C19RM'!$T$5:$T$100)))</f>
        <v>0</v>
      </c>
      <c r="T31" s="917" cm="1">
        <f t="array" ref="T31">(SUMPRODUCT(('Cashflow Summary C19RM'!$B$5:$B$100="C19RM 2021-Lab &amp; Other HPS")*('Cashflow Summary C19RM'!$A$5:$A$100=2)*1*('Cashflow Summary C19RM'!$BC$5:$BC$100="6.5 Maintenance and service costs")*('Cashflow Summary C19RM'!$U$5:$U$100)))</f>
        <v>0</v>
      </c>
      <c r="U31" s="948">
        <f t="shared" si="2"/>
        <v>0</v>
      </c>
      <c r="V31" s="424"/>
      <c r="W31" s="951"/>
      <c r="X31" s="951"/>
      <c r="Y31" s="424" cm="1">
        <f t="array" ref="Y31">(SUMPRODUCT(('Cashflow Summary C19RM'!$B$5:$B$100="C19RM 2021-Lab &amp; Other HPS")*('Cashflow Summary C19RM'!$A$5:$A$100=2)*1*('Cashflow Summary C19RM'!$BC$5:$BC$100="6.5 Maintenance and service costs")*('Cashflow Summary C19RM'!$V$5:$V$100)))</f>
        <v>0</v>
      </c>
      <c r="Z31" s="424" cm="1">
        <f t="array" ref="Z31">(SUMPRODUCT(('Cashflow Summary C19RM'!$B$5:$B$100="C19RM 2021-Lab &amp; Other HPS")*('Cashflow Summary C19RM'!$A$5:$A$100=2)*1*('Cashflow Summary C19RM'!$BC$5:$BC$100="6.5 Maintenance and service costs")*('Cashflow Summary C19RM'!$W$5:$W$100)))</f>
        <v>0</v>
      </c>
      <c r="AA31" s="424" cm="1">
        <f t="array" ref="AA31">(SUMPRODUCT(('Cashflow Summary C19RM'!$B$5:$B$100="C19RM 2021-Lab &amp; Other HPS")*('Cashflow Summary C19RM'!$A$5:$A$100=2)*1*('Cashflow Summary C19RM'!$BC$5:$BC$100="6.5 Maintenance and service costs")*('Cashflow Summary C19RM'!$X$5:$X$100)))</f>
        <v>0</v>
      </c>
      <c r="AB31" s="424" cm="1">
        <f t="array" ref="AB31">(SUMPRODUCT(('Cashflow Summary C19RM'!$B$5:$B$100="C19RM 2021-Lab &amp; Other HPS")*('Cashflow Summary C19RM'!$A$5:$A$100=2)*1*('Cashflow Summary C19RM'!$BC$5:$BC$100="6.5 Maintenance and service costs")*('Cashflow Summary C19RM'!$Y$5:$Y$100)))</f>
        <v>0</v>
      </c>
      <c r="AC31" s="424">
        <f t="shared" si="3"/>
        <v>0</v>
      </c>
      <c r="AD31" s="424"/>
      <c r="AE31" s="951"/>
      <c r="AF31" s="951"/>
      <c r="AG31" s="424" cm="1">
        <f t="array" ref="AG31">(SUMPRODUCT(('Cashflow Summary C19RM'!$B$5:$B$100="C19RM 2021-Lab &amp; Other HPS")*('Cashflow Summary C19RM'!$A$5:$A$100=2)*1*('Cashflow Summary C19RM'!$BC$5:$BC$100="6.5 Maintenance and service costs")*('Cashflow Summary C19RM'!$Z$5:$Z$100)))</f>
        <v>0</v>
      </c>
      <c r="AH31" s="424" cm="1">
        <f t="array" ref="AH31">(SUMPRODUCT(('Cashflow Summary C19RM'!$B$5:$B$100="C19RM 2021-Lab &amp; Other HPS")*('Cashflow Summary C19RM'!$A$5:$A$100=2)*1*('Cashflow Summary C19RM'!$BC$5:$BC$100="6.5 Maintenance and service costs")*('Cashflow Summary C19RM'!$AA$5:$AA$100)))</f>
        <v>0</v>
      </c>
      <c r="AI31" s="424" cm="1">
        <f t="array" ref="AI31">(SUMPRODUCT(('Cashflow Summary C19RM'!$B$5:$B$100="C19RM 2021-Lab &amp; Other HPS")*('Cashflow Summary C19RM'!$A$5:$A$100=2)*1*('Cashflow Summary C19RM'!$BC$5:$BC$100="6.5 Maintenance and service costs")*('Cashflow Summary C19RM'!$AB$5:$AB$100)))</f>
        <v>0</v>
      </c>
      <c r="AJ31" s="424" cm="1">
        <f t="array" ref="AJ31">(SUMPRODUCT(('Cashflow Summary C19RM'!$B$5:$B$100="C19RM 2021-Lab &amp; Other HPS")*('Cashflow Summary C19RM'!$A$5:$A$100=2)*1*('Cashflow Summary C19RM'!$BC$5:$BC$100="6.5 Maintenance and service costs")*('Cashflow Summary C19RM'!$AC$5:$AC$100)))</f>
        <v>0</v>
      </c>
      <c r="AK31" s="424">
        <f t="shared" si="4"/>
        <v>0</v>
      </c>
      <c r="AL31" s="424"/>
      <c r="AM31" s="951"/>
      <c r="AN31" s="951"/>
      <c r="AO31" s="424" cm="1">
        <f t="array" ref="AO31">(SUMPRODUCT(('Cashflow Summary C19RM'!$B$5:$B$100="C19RM 2021-Lab &amp; Other HPS")*('Cashflow Summary C19RM'!$A$5:$A$100=2)*1*('Cashflow Summary C19RM'!$BC$5:$BC$100="6.5 Maintenance and service costs")*('Cashflow Summary C19RM'!$AD$5:$AD$100)))</f>
        <v>0</v>
      </c>
      <c r="AP31" s="424" cm="1">
        <f t="array" ref="AP31">(SUMPRODUCT(('Cashflow Summary C19RM'!$B$5:$B$100="C19RM 2021-Lab &amp; Other HPS")*('Cashflow Summary C19RM'!$A$5:$A$100=2)*1*('Cashflow Summary C19RM'!$BC$5:$BC$100="6.5 Maintenance and service costs")*('Cashflow Summary C19RM'!$AE$5:$AE$100)))</f>
        <v>0</v>
      </c>
      <c r="AQ31" s="424" cm="1">
        <f t="array" ref="AQ31">(SUMPRODUCT(('Cashflow Summary C19RM'!$B$5:$B$100="C19RM 2021-Lab &amp; Other HPS")*('Cashflow Summary C19RM'!$A$5:$A$100=2)*1*('Cashflow Summary C19RM'!$BC$5:$BC$100="6.5 Maintenance and service costs")*('Cashflow Summary C19RM'!$AF$5:$AF$100)))</f>
        <v>0</v>
      </c>
      <c r="AR31" s="424" cm="1">
        <f t="array" ref="AR31">(SUMPRODUCT(('Cashflow Summary C19RM'!$B$5:$B$100="C19RM 2021-Lab &amp; Other HPS")*('Cashflow Summary C19RM'!$A$5:$A$100=2)*1*('Cashflow Summary C19RM'!$BC$5:$BC$100="6.5 Maintenance and service costs")*('Cashflow Summary C19RM'!$AG$5:$AG$100)))</f>
        <v>0</v>
      </c>
      <c r="AS31" s="424">
        <f t="shared" si="5"/>
        <v>0</v>
      </c>
      <c r="AT31" s="424"/>
      <c r="AU31" s="951"/>
      <c r="AV31" s="951"/>
      <c r="AW31" s="424" cm="1">
        <f t="array" ref="AW31">(SUMPRODUCT(('Cashflow Summary C19RM'!$B$5:$B$100="C19RM 2021-Lab &amp; Other HPS")*('Cashflow Summary C19RM'!$A$5:$A$100=2)*1*('Cashflow Summary C19RM'!$BC$5:$BC$100="6.5 Maintenance and service costs")*('Cashflow Summary C19RM'!$AH$5:$AH$100)))</f>
        <v>0</v>
      </c>
      <c r="AX31" s="424" cm="1">
        <f t="array" ref="AX31">(SUMPRODUCT(('Cashflow Summary C19RM'!$B$5:$B$100="C19RM 2021-Lab &amp; Other HPS")*('Cashflow Summary C19RM'!$A$5:$A$100=2)*1*('Cashflow Summary C19RM'!$BC$5:$BC$100="6.5 Maintenance and service costs")*('Cashflow Summary C19RM'!$AI$5:$AI$100)))</f>
        <v>0</v>
      </c>
      <c r="AY31" s="424" cm="1">
        <f t="array" ref="AY31">(SUMPRODUCT(('Cashflow Summary C19RM'!$B$5:$B$100="C19RM 2021-Lab &amp; Other HPS")*('Cashflow Summary C19RM'!$A$5:$A$100=2)*1*('Cashflow Summary C19RM'!$BC$5:$BC$100="6.5 Maintenance and service costs")*('Cashflow Summary C19RM'!$AJ$5:$AJ$100)))</f>
        <v>0</v>
      </c>
      <c r="AZ31" s="424" cm="1">
        <f t="array" ref="AZ31">(SUMPRODUCT(('Cashflow Summary C19RM'!$B$5:$B$100="C19RM 2021-Lab &amp; Other HPS")*('Cashflow Summary C19RM'!$A$5:$A$100=2)*1*('Cashflow Summary C19RM'!$BC$5:$BC$100="6.5 Maintenance and service costs")*('Cashflow Summary C19RM'!$AK$5:$AK$100)))</f>
        <v>0</v>
      </c>
      <c r="BA31" s="424">
        <f t="shared" si="6"/>
        <v>0</v>
      </c>
      <c r="BB31" s="424"/>
      <c r="BC31" s="951"/>
      <c r="BD31" s="951"/>
      <c r="BE31" s="424" cm="1">
        <f t="array" ref="BE31">(SUMPRODUCT(('Cashflow Summary C19RM'!$B$5:$B$100="C19RM 2021-Lab &amp; Other HPS")*('Cashflow Summary C19RM'!$A$5:$A$100=2)*1*('Cashflow Summary C19RM'!$BC$5:$BC$100="6.5 Maintenance and service costs")*('Cashflow Summary C19RM'!$AL$5:$AL$100)))</f>
        <v>0</v>
      </c>
      <c r="BF31" s="424" cm="1">
        <f t="array" ref="BF31">(SUMPRODUCT(('Cashflow Summary C19RM'!$B$5:$B$100="C19RM 2021-Lab &amp; Other HPS")*('Cashflow Summary C19RM'!$A$5:$A$100=2)*1*('Cashflow Summary C19RM'!$BC$5:$BC$100="6.5 Maintenance and service costs")*('Cashflow Summary C19RM'!$AM$5:$AM$100)))</f>
        <v>0</v>
      </c>
      <c r="BG31" s="424" cm="1">
        <f t="array" ref="BG31">(SUMPRODUCT(('Cashflow Summary C19RM'!$B$5:$B$100="C19RM 2021-Lab &amp; Other HPS")*('Cashflow Summary C19RM'!$A$5:$A$100=2)*1*('Cashflow Summary C19RM'!$BC$5:$BC$100="6.5 Maintenance and service costs")*('Cashflow Summary C19RM'!$AN$5:$AN$100)))</f>
        <v>0</v>
      </c>
      <c r="BH31" s="424" cm="1">
        <f t="array" ref="BH31">(SUMPRODUCT(('Cashflow Summary C19RM'!$B$5:$B$100="C19RM 2021-Lab &amp; Other HPS")*('Cashflow Summary C19RM'!$A$5:$A$100=2)*1*('Cashflow Summary C19RM'!$BC$5:$BC$100="6.5 Maintenance and service costs")*('Cashflow Summary C19RM'!$AO$5:$AO$100)))</f>
        <v>0</v>
      </c>
      <c r="BI31" s="424">
        <f t="shared" si="7"/>
        <v>0</v>
      </c>
      <c r="BJ31" s="424"/>
      <c r="BK31" s="424">
        <f t="shared" si="8"/>
        <v>0</v>
      </c>
      <c r="BL31" s="424"/>
      <c r="BM31" s="142"/>
      <c r="BN31" s="425"/>
      <c r="BP31" s="274" t="str">
        <f t="shared" si="1"/>
        <v>No</v>
      </c>
      <c r="BQ31" t="s">
        <v>122</v>
      </c>
      <c r="BS31" s="953" t="s">
        <v>83</v>
      </c>
      <c r="BT31" t="s">
        <v>3302</v>
      </c>
      <c r="BU31" s="411" t="s">
        <v>3617</v>
      </c>
      <c r="CD31" s="952"/>
      <c r="CE31" s="952"/>
      <c r="CF31" s="952"/>
      <c r="CG31" s="952"/>
      <c r="CH31" s="952"/>
      <c r="CI31" s="952"/>
      <c r="CJ31" s="952"/>
      <c r="CK31" s="952"/>
      <c r="CL31" s="952"/>
      <c r="CM31" s="952"/>
      <c r="CN31" s="952"/>
      <c r="CO31" s="952"/>
      <c r="CP31" s="952"/>
      <c r="CQ31" s="952"/>
      <c r="CR31" s="952"/>
      <c r="CS31" s="952"/>
      <c r="CT31" s="952"/>
      <c r="CU31" s="952"/>
      <c r="CV31" s="952"/>
      <c r="CW31" s="952"/>
      <c r="CX31" s="952"/>
      <c r="CY31" s="952"/>
      <c r="CZ31" s="952"/>
      <c r="DA31" s="952"/>
      <c r="DB31" s="952"/>
      <c r="DC31" s="952"/>
      <c r="DD31" s="952"/>
    </row>
    <row r="32" spans="1:108" ht="39" customHeight="1" x14ac:dyDescent="0.35">
      <c r="A32" s="364"/>
      <c r="B32" s="363" t="str">
        <f>PMsheet!$AH$94&amp;'Detailed BudgetC19RM'!BU32</f>
        <v>000P23HP1127</v>
      </c>
      <c r="C32" s="315" t="s">
        <v>2749</v>
      </c>
      <c r="D32" s="315" t="s">
        <v>3111</v>
      </c>
      <c r="E32" s="261" t="s">
        <v>3133</v>
      </c>
      <c r="F32" s="314" t="s">
        <v>183</v>
      </c>
      <c r="G32" s="315">
        <f ca="1">SETUP!$T$2</f>
        <v>0</v>
      </c>
      <c r="H32" s="315" t="str">
        <f>IF(SETUP!$E$3="","","National/Country Level")</f>
        <v/>
      </c>
      <c r="I32" s="315" t="str">
        <f>IFERROR(IF(INDEX('Master Data-C19RM'!$E$8:$E$18,MATCH((INDEX(SETUP!$E$20:$E$34,MATCH('Detailed BudgetC19RM'!BQ32,SETUP!$D$20:$D$34,0))),'Master Data-C19RM'!$D$8:$D$18,0))="Implementer's name",SETUP!$J$5,INDEX('Master Data-C19RM'!$E$8:$E$18,MATCH((INDEX(SETUP!$E$20:$E$34,MATCH('Detailed BudgetC19RM'!BQ32,SETUP!$D$20:$D$34,0))),'Master Data-C19RM'!$D$8:$D$18,0))),"Pls select HPMT Category in ' BQ ' column")</f>
        <v>Not Applicable</v>
      </c>
      <c r="J32" s="315" t="s">
        <v>707</v>
      </c>
      <c r="K32" s="315">
        <f t="shared" si="0"/>
        <v>0</v>
      </c>
      <c r="L32" s="315"/>
      <c r="M32" s="315">
        <f>SETUP!$E$7</f>
        <v>0</v>
      </c>
      <c r="N32" s="315"/>
      <c r="O32" s="315"/>
      <c r="P32" s="315"/>
      <c r="Q32" s="917" cm="1">
        <f t="array" ref="Q32">(SUMPRODUCT(('Cashflow Summary C19RM'!$B$5:$B$100="C19RM 2021-Lab &amp; Other HPS")*('Cashflow Summary C19RM'!$A$5:$A$100=2)*1*('Cashflow Summary C19RM'!$BC$5:$BC$100="6.6 Other health equipment")*('Cashflow Summary C19RM'!$R$5:$R$100)))</f>
        <v>0</v>
      </c>
      <c r="R32" s="917" cm="1">
        <f t="array" ref="R32">(SUMPRODUCT(('Cashflow Summary C19RM'!$B$5:$B$100="C19RM 2021-Lab &amp; Other HPS")*('Cashflow Summary C19RM'!$A$5:$A$100=2)*1*('Cashflow Summary C19RM'!$BC$5:$BC$100="6.6 Other health equipment")*('Cashflow Summary C19RM'!$S$5:$S$100)))</f>
        <v>0</v>
      </c>
      <c r="S32" s="917" cm="1">
        <f t="array" ref="S32">(SUMPRODUCT(('Cashflow Summary C19RM'!$B$5:$B$100="C19RM 2021-Lab &amp; Other HPS")*('Cashflow Summary C19RM'!$A$5:$A$100=2)*1*('Cashflow Summary C19RM'!$BC$5:$BC$100="6.6 Other health equipment")*('Cashflow Summary C19RM'!$T$5:$T$100)))</f>
        <v>0</v>
      </c>
      <c r="T32" s="917" cm="1">
        <f t="array" ref="T32">(SUMPRODUCT(('Cashflow Summary C19RM'!$B$5:$B$100="C19RM 2021-Lab &amp; Other HPS")*('Cashflow Summary C19RM'!$A$5:$A$100=2)*1*('Cashflow Summary C19RM'!$BC$5:$BC$100="6.6 Other health equipment")*('Cashflow Summary C19RM'!$U$5:$U$100)))</f>
        <v>0</v>
      </c>
      <c r="U32" s="948">
        <f t="shared" si="2"/>
        <v>0</v>
      </c>
      <c r="V32" s="424"/>
      <c r="W32" s="424"/>
      <c r="X32" s="424"/>
      <c r="Y32" s="424" cm="1">
        <f t="array" ref="Y32">(SUMPRODUCT(('Cashflow Summary C19RM'!$B$5:$B$100="C19RM 2021-Lab &amp; Other HPS")*('Cashflow Summary C19RM'!$A$5:$A$100=2)*1*('Cashflow Summary C19RM'!$BC$5:$BC$100="6.6 Other health equipment")*('Cashflow Summary C19RM'!$V$5:$V$100)))</f>
        <v>0</v>
      </c>
      <c r="Z32" s="424" cm="1">
        <f t="array" ref="Z32">(SUMPRODUCT(('Cashflow Summary C19RM'!$B$5:$B$100="C19RM 2021-Lab &amp; Other HPS")*('Cashflow Summary C19RM'!$A$5:$A$100=2)*1*('Cashflow Summary C19RM'!$BC$5:$BC$100="6.6 Other health equipment")*('Cashflow Summary C19RM'!$W$5:$W$100)))</f>
        <v>0</v>
      </c>
      <c r="AA32" s="424" cm="1">
        <f t="array" ref="AA32">(SUMPRODUCT(('Cashflow Summary C19RM'!$B$5:$B$100="C19RM 2021-Lab &amp; Other HPS")*('Cashflow Summary C19RM'!$A$5:$A$100=2)*1*('Cashflow Summary C19RM'!$BC$5:$BC$100="6.6 Other health equipment")*('Cashflow Summary C19RM'!$X$5:$X$100)))</f>
        <v>0</v>
      </c>
      <c r="AB32" s="424" cm="1">
        <f t="array" ref="AB32">(SUMPRODUCT(('Cashflow Summary C19RM'!$B$5:$B$100="C19RM 2021-Lab &amp; Other HPS")*('Cashflow Summary C19RM'!$A$5:$A$100=2)*1*('Cashflow Summary C19RM'!$BC$5:$BC$100="6.6 Other health equipment")*('Cashflow Summary C19RM'!$Y$5:$Y$100)))</f>
        <v>0</v>
      </c>
      <c r="AC32" s="424">
        <f t="shared" si="3"/>
        <v>0</v>
      </c>
      <c r="AD32" s="424"/>
      <c r="AE32" s="424"/>
      <c r="AF32" s="424"/>
      <c r="AG32" s="424" cm="1">
        <f t="array" ref="AG32">(SUMPRODUCT(('Cashflow Summary C19RM'!$B$5:$B$100="C19RM 2021-Lab &amp; Other HPS")*('Cashflow Summary C19RM'!$A$5:$A$100=2)*1*('Cashflow Summary C19RM'!$BC$5:$BC$100="6.6 Other health equipment")*('Cashflow Summary C19RM'!$Z$5:$Z$100)))</f>
        <v>0</v>
      </c>
      <c r="AH32" s="424" cm="1">
        <f t="array" ref="AH32">(SUMPRODUCT(('Cashflow Summary C19RM'!$B$5:$B$100="C19RM 2021-Lab &amp; Other HPS")*('Cashflow Summary C19RM'!$A$5:$A$100=2)*1*('Cashflow Summary C19RM'!$BC$5:$BC$100="6.6 Other health equipment")*('Cashflow Summary C19RM'!$AA$5:$AA$100)))</f>
        <v>0</v>
      </c>
      <c r="AI32" s="424" cm="1">
        <f t="array" ref="AI32">(SUMPRODUCT(('Cashflow Summary C19RM'!$B$5:$B$100="C19RM 2021-Lab &amp; Other HPS")*('Cashflow Summary C19RM'!$A$5:$A$100=2)*1*('Cashflow Summary C19RM'!$BC$5:$BC$100="6.6 Other health equipment")*('Cashflow Summary C19RM'!$AB$5:$AB$100)))</f>
        <v>0</v>
      </c>
      <c r="AJ32" s="424" cm="1">
        <f t="array" ref="AJ32">(SUMPRODUCT(('Cashflow Summary C19RM'!$B$5:$B$100="C19RM 2021-Lab &amp; Other HPS")*('Cashflow Summary C19RM'!$A$5:$A$100=2)*1*('Cashflow Summary C19RM'!$BC$5:$BC$100="6.6 Other health equipment")*('Cashflow Summary C19RM'!$AC$5:$AC$100)))</f>
        <v>0</v>
      </c>
      <c r="AK32" s="424">
        <f t="shared" si="4"/>
        <v>0</v>
      </c>
      <c r="AL32" s="424"/>
      <c r="AM32" s="424"/>
      <c r="AN32" s="424"/>
      <c r="AO32" s="424" cm="1">
        <f t="array" ref="AO32">(SUMPRODUCT(('Cashflow Summary C19RM'!$B$5:$B$100="C19RM 2021-Lab &amp; Other HPS")*('Cashflow Summary C19RM'!$A$5:$A$100=2)*1*('Cashflow Summary C19RM'!$BC$5:$BC$100="6.6 Other health equipment")*('Cashflow Summary C19RM'!$AD$5:$AD$100)))</f>
        <v>0</v>
      </c>
      <c r="AP32" s="424" cm="1">
        <f t="array" ref="AP32">(SUMPRODUCT(('Cashflow Summary C19RM'!$B$5:$B$100="C19RM 2021-Lab &amp; Other HPS")*('Cashflow Summary C19RM'!$A$5:$A$100=2)*1*('Cashflow Summary C19RM'!$BC$5:$BC$100="6.6 Other health equipment")*('Cashflow Summary C19RM'!$AE$5:$AE$100)))</f>
        <v>0</v>
      </c>
      <c r="AQ32" s="424" cm="1">
        <f t="array" ref="AQ32">(SUMPRODUCT(('Cashflow Summary C19RM'!$B$5:$B$100="C19RM 2021-Lab &amp; Other HPS")*('Cashflow Summary C19RM'!$A$5:$A$100=2)*1*('Cashflow Summary C19RM'!$BC$5:$BC$100="6.6 Other health equipment")*('Cashflow Summary C19RM'!$AF$5:$AF$100)))</f>
        <v>0</v>
      </c>
      <c r="AR32" s="424" cm="1">
        <f t="array" ref="AR32">(SUMPRODUCT(('Cashflow Summary C19RM'!$B$5:$B$100="C19RM 2021-Lab &amp; Other HPS")*('Cashflow Summary C19RM'!$A$5:$A$100=2)*1*('Cashflow Summary C19RM'!$BC$5:$BC$100="6.6 Other health equipment")*('Cashflow Summary C19RM'!$AG$5:$AG$100)))</f>
        <v>0</v>
      </c>
      <c r="AS32" s="424">
        <f t="shared" si="5"/>
        <v>0</v>
      </c>
      <c r="AT32" s="424"/>
      <c r="AU32" s="424"/>
      <c r="AV32" s="424"/>
      <c r="AW32" s="424" cm="1">
        <f t="array" ref="AW32">(SUMPRODUCT(('Cashflow Summary C19RM'!$B$5:$B$100="C19RM 2021-Lab &amp; Other HPS")*('Cashflow Summary C19RM'!$A$5:$A$100=2)*1*('Cashflow Summary C19RM'!$BC$5:$BC$100="6.6 Other health equipment")*('Cashflow Summary C19RM'!$AH$5:$AH$100)))</f>
        <v>0</v>
      </c>
      <c r="AX32" s="424" cm="1">
        <f t="array" ref="AX32">(SUMPRODUCT(('Cashflow Summary C19RM'!$B$5:$B$100="C19RM 2021-Lab &amp; Other HPS")*('Cashflow Summary C19RM'!$A$5:$A$100=2)*1*('Cashflow Summary C19RM'!$BC$5:$BC$100="6.6 Other health equipment")*('Cashflow Summary C19RM'!$AI$5:$AI$100)))</f>
        <v>0</v>
      </c>
      <c r="AY32" s="424" cm="1">
        <f t="array" ref="AY32">(SUMPRODUCT(('Cashflow Summary C19RM'!$B$5:$B$100="C19RM 2021-Lab &amp; Other HPS")*('Cashflow Summary C19RM'!$A$5:$A$100=2)*1*('Cashflow Summary C19RM'!$BC$5:$BC$100="6.6 Other health equipment")*('Cashflow Summary C19RM'!$AJ$5:$AJ$100)))</f>
        <v>0</v>
      </c>
      <c r="AZ32" s="424" cm="1">
        <f t="array" ref="AZ32">(SUMPRODUCT(('Cashflow Summary C19RM'!$B$5:$B$100="C19RM 2021-Lab &amp; Other HPS")*('Cashflow Summary C19RM'!$A$5:$A$100=2)*1*('Cashflow Summary C19RM'!$BC$5:$BC$100="6.6 Other health equipment")*('Cashflow Summary C19RM'!$AK$5:$AK$100)))</f>
        <v>0</v>
      </c>
      <c r="BA32" s="424">
        <f t="shared" si="6"/>
        <v>0</v>
      </c>
      <c r="BB32" s="424"/>
      <c r="BC32" s="424"/>
      <c r="BD32" s="424"/>
      <c r="BE32" s="424" cm="1">
        <f t="array" ref="BE32">(SUMPRODUCT(('Cashflow Summary C19RM'!$B$5:$B$100="C19RM 2021-Lab &amp; Other HPS")*('Cashflow Summary C19RM'!$A$5:$A$100=2)*1*('Cashflow Summary C19RM'!$BC$5:$BC$100="6.6 Other health equipment")*('Cashflow Summary C19RM'!$AL$5:$AL$100)))</f>
        <v>0</v>
      </c>
      <c r="BF32" s="424" cm="1">
        <f t="array" ref="BF32">(SUMPRODUCT(('Cashflow Summary C19RM'!$B$5:$B$100="C19RM 2021-Lab &amp; Other HPS")*('Cashflow Summary C19RM'!$A$5:$A$100=2)*1*('Cashflow Summary C19RM'!$BC$5:$BC$100="6.6 Other health equipment")*('Cashflow Summary C19RM'!$AM$5:$AM$100)))</f>
        <v>0</v>
      </c>
      <c r="BG32" s="424" cm="1">
        <f t="array" ref="BG32">(SUMPRODUCT(('Cashflow Summary C19RM'!$B$5:$B$100="C19RM 2021-Lab &amp; Other HPS")*('Cashflow Summary C19RM'!$A$5:$A$100=2)*1*('Cashflow Summary C19RM'!$BC$5:$BC$100="6.6 Other health equipment")*('Cashflow Summary C19RM'!$AN$5:$AN$100)))</f>
        <v>0</v>
      </c>
      <c r="BH32" s="424" cm="1">
        <f t="array" ref="BH32">(SUMPRODUCT(('Cashflow Summary C19RM'!$B$5:$B$100="C19RM 2021-Lab &amp; Other HPS")*('Cashflow Summary C19RM'!$A$5:$A$100=2)*1*('Cashflow Summary C19RM'!$BC$5:$BC$100="6.6 Other health equipment")*('Cashflow Summary C19RM'!$AO$5:$AO$100)))</f>
        <v>0</v>
      </c>
      <c r="BI32" s="424">
        <f t="shared" si="7"/>
        <v>0</v>
      </c>
      <c r="BJ32" s="424"/>
      <c r="BK32" s="424">
        <f t="shared" si="8"/>
        <v>0</v>
      </c>
      <c r="BL32" s="424"/>
      <c r="BM32" s="142"/>
      <c r="BN32" s="425"/>
      <c r="BP32" s="274" t="str">
        <f t="shared" si="1"/>
        <v>No</v>
      </c>
      <c r="BQ32" t="s">
        <v>21</v>
      </c>
      <c r="BS32" s="286" t="s">
        <v>83</v>
      </c>
      <c r="BT32" t="s">
        <v>3303</v>
      </c>
      <c r="BU32" s="411" t="s">
        <v>3618</v>
      </c>
    </row>
    <row r="33" spans="1:73" ht="39" customHeight="1" x14ac:dyDescent="0.35">
      <c r="A33" s="364"/>
      <c r="B33" s="363" t="str">
        <f>PMsheet!$AH$94&amp;'Detailed BudgetC19RM'!BU33</f>
        <v>000P23HP1128</v>
      </c>
      <c r="C33" s="315" t="s">
        <v>2749</v>
      </c>
      <c r="D33" s="315" t="s">
        <v>3134</v>
      </c>
      <c r="E33" s="261" t="s">
        <v>3135</v>
      </c>
      <c r="F33" s="314" t="s">
        <v>184</v>
      </c>
      <c r="G33" s="315">
        <f ca="1">SETUP!$T$2</f>
        <v>0</v>
      </c>
      <c r="H33" s="315" t="str">
        <f>IF(SETUP!$E$3="","","National/Country Level")</f>
        <v/>
      </c>
      <c r="I33" s="315" t="str">
        <f>IFERROR(IF(INDEX('Master Data-C19RM'!$E$8:$E$18,MATCH((INDEX(SETUP!$E$20:$E$34,MATCH('Detailed BudgetC19RM'!BQ33,SETUP!$D$20:$D$34,0))),'Master Data-C19RM'!$D$8:$D$18,0))="Implementer's name",SETUP!$J$5,INDEX('Master Data-C19RM'!$E$8:$E$18,MATCH((INDEX(SETUP!$E$20:$E$34,MATCH('Detailed BudgetC19RM'!BQ33,SETUP!$D$20:$D$34,0))),'Master Data-C19RM'!$D$8:$D$18,0))),"Pls select HPMT Category in ' BQ ' column")</f>
        <v>Not Applicable</v>
      </c>
      <c r="J33" s="315" t="s">
        <v>707</v>
      </c>
      <c r="K33" s="315">
        <f t="shared" si="0"/>
        <v>0</v>
      </c>
      <c r="L33" s="315"/>
      <c r="M33" s="315">
        <f>SETUP!$E$7</f>
        <v>0</v>
      </c>
      <c r="N33" s="315"/>
      <c r="O33" s="315"/>
      <c r="P33" s="315"/>
      <c r="Q33" s="917" cm="1">
        <f t="array" ref="Q33">(SUMPRODUCT(('Cashflow Summary C19RM'!$B$5:$B$100="C19RM 2021-Lab &amp; Other HPS")*('Cashflow Summary C19RM'!$A$5:$A$100=3)*1*('Cashflow Summary C19RM'!$BC$5:$BC$100="5.11 PPE")*('Cashflow Summary C19RM'!$R$5:$R$100)))</f>
        <v>0</v>
      </c>
      <c r="R33" s="917" cm="1">
        <f t="array" ref="R33">(SUMPRODUCT(('Cashflow Summary C19RM'!$B$5:$B$100="C19RM 2021-Lab &amp; Other HPS")*('Cashflow Summary C19RM'!$A$5:$A$100=3)*1*('Cashflow Summary C19RM'!$BC$5:$BC$100="5.11 PPE")*('Cashflow Summary C19RM'!$S$5:$S$100)))</f>
        <v>0</v>
      </c>
      <c r="S33" s="917" cm="1">
        <f t="array" ref="S33">(SUMPRODUCT(('Cashflow Summary C19RM'!$B$5:$B$100="C19RM 2021-Lab &amp; Other HPS")*('Cashflow Summary C19RM'!$A$5:$A$100=3)*1*('Cashflow Summary C19RM'!$BC$5:$BC$100="5.11 PPE")*('Cashflow Summary C19RM'!$T$5:$T$100)))</f>
        <v>0</v>
      </c>
      <c r="T33" s="917" cm="1">
        <f t="array" ref="T33">(SUMPRODUCT(('Cashflow Summary C19RM'!$B$5:$B$100="C19RM 2021-Lab &amp; Other HPS")*('Cashflow Summary C19RM'!$A$5:$A$100=3)*1*('Cashflow Summary C19RM'!$BC$5:$BC$100="5.11 PPE")*('Cashflow Summary C19RM'!$U$5:$U$100)))</f>
        <v>0</v>
      </c>
      <c r="U33" s="948">
        <f t="shared" si="2"/>
        <v>0</v>
      </c>
      <c r="V33" s="424"/>
      <c r="W33" s="424"/>
      <c r="X33" s="424"/>
      <c r="Y33" s="424" cm="1">
        <f t="array" ref="Y33">(SUMPRODUCT(('Cashflow Summary C19RM'!$B$5:$B$100="C19RM 2021-Lab &amp; Other HPS")*('Cashflow Summary C19RM'!$A$5:$A$100=3)*1*('Cashflow Summary C19RM'!$BC$5:$BC$100="5.11 PPE")*('Cashflow Summary C19RM'!$V$5:$V$100)))</f>
        <v>0</v>
      </c>
      <c r="Z33" s="424" cm="1">
        <f t="array" ref="Z33">(SUMPRODUCT(('Cashflow Summary C19RM'!$B$5:$B$100="C19RM 2021-Lab &amp; Other HPS")*('Cashflow Summary C19RM'!$A$5:$A$100=3)*1*('Cashflow Summary C19RM'!$BC$5:$BC$100="5.11 PPE")*('Cashflow Summary C19RM'!$W$5:$W$100)))</f>
        <v>0</v>
      </c>
      <c r="AA33" s="424" cm="1">
        <f t="array" ref="AA33">(SUMPRODUCT(('Cashflow Summary C19RM'!$B$5:$B$100="C19RM 2021-Lab &amp; Other HPS")*('Cashflow Summary C19RM'!$A$5:$A$100=3)*1*('Cashflow Summary C19RM'!$BC$5:$BC$100="5.11 PPE")*('Cashflow Summary C19RM'!$X$5:$X$100)))</f>
        <v>0</v>
      </c>
      <c r="AB33" s="424" cm="1">
        <f t="array" ref="AB33">(SUMPRODUCT(('Cashflow Summary C19RM'!$B$5:$B$100="C19RM 2021-Lab &amp; Other HPS")*('Cashflow Summary C19RM'!$A$5:$A$100=3)*1*('Cashflow Summary C19RM'!$BC$5:$BC$100="5.11 PPE")*('Cashflow Summary C19RM'!$Y$5:$Y$100)))</f>
        <v>0</v>
      </c>
      <c r="AC33" s="424">
        <f t="shared" si="3"/>
        <v>0</v>
      </c>
      <c r="AD33" s="424"/>
      <c r="AE33" s="424"/>
      <c r="AF33" s="424"/>
      <c r="AG33" s="424" cm="1">
        <f t="array" ref="AG33">(SUMPRODUCT(('Cashflow Summary C19RM'!$B$5:$B$100="C19RM 2021-Lab &amp; Other HPS")*('Cashflow Summary C19RM'!$A$5:$A$100=3)*1*('Cashflow Summary C19RM'!$BC$5:$BC$100="5.11 PPE")*('Cashflow Summary C19RM'!$Z$5:$Z$100)))</f>
        <v>0</v>
      </c>
      <c r="AH33" s="424" cm="1">
        <f t="array" ref="AH33">(SUMPRODUCT(('Cashflow Summary C19RM'!$B$5:$B$100="C19RM 2021-Lab &amp; Other HPS")*('Cashflow Summary C19RM'!$A$5:$A$100=3)*1*('Cashflow Summary C19RM'!$BC$5:$BC$100="5.11 PPE")*('Cashflow Summary C19RM'!$AA$5:$AA$100)))</f>
        <v>0</v>
      </c>
      <c r="AI33" s="424" cm="1">
        <f t="array" ref="AI33">(SUMPRODUCT(('Cashflow Summary C19RM'!$B$5:$B$100="C19RM 2021-Lab &amp; Other HPS")*('Cashflow Summary C19RM'!$A$5:$A$100=3)*1*('Cashflow Summary C19RM'!$BC$5:$BC$100="5.11 PPE")*('Cashflow Summary C19RM'!$AB$5:$AB$100)))</f>
        <v>0</v>
      </c>
      <c r="AJ33" s="424" cm="1">
        <f t="array" ref="AJ33">(SUMPRODUCT(('Cashflow Summary C19RM'!$B$5:$B$100="C19RM 2021-Lab &amp; Other HPS")*('Cashflow Summary C19RM'!$A$5:$A$100=3)*1*('Cashflow Summary C19RM'!$BC$5:$BC$100="5.11 PPE")*('Cashflow Summary C19RM'!$AC$5:$AC$100)))</f>
        <v>0</v>
      </c>
      <c r="AK33" s="424">
        <f t="shared" si="4"/>
        <v>0</v>
      </c>
      <c r="AL33" s="424"/>
      <c r="AM33" s="424"/>
      <c r="AN33" s="424"/>
      <c r="AO33" s="424" cm="1">
        <f t="array" ref="AO33">(SUMPRODUCT(('Cashflow Summary C19RM'!$B$5:$B$100="C19RM 2021-Lab &amp; Other HPS")*('Cashflow Summary C19RM'!$A$5:$A$100=3)*1*('Cashflow Summary C19RM'!$BC$5:$BC$100="5.11 PPE")*('Cashflow Summary C19RM'!$AD$5:$AD$100)))</f>
        <v>0</v>
      </c>
      <c r="AP33" s="424" cm="1">
        <f t="array" ref="AP33">(SUMPRODUCT(('Cashflow Summary C19RM'!$B$5:$B$100="C19RM 2021-Lab &amp; Other HPS")*('Cashflow Summary C19RM'!$A$5:$A$100=3)*1*('Cashflow Summary C19RM'!$BC$5:$BC$100="5.11 PPE")*('Cashflow Summary C19RM'!$AE$5:$AE$100)))</f>
        <v>0</v>
      </c>
      <c r="AQ33" s="424" cm="1">
        <f t="array" ref="AQ33">(SUMPRODUCT(('Cashflow Summary C19RM'!$B$5:$B$100="C19RM 2021-Lab &amp; Other HPS")*('Cashflow Summary C19RM'!$A$5:$A$100=3)*1*('Cashflow Summary C19RM'!$BC$5:$BC$100="5.11 PPE")*('Cashflow Summary C19RM'!$AF$5:$AF$100)))</f>
        <v>0</v>
      </c>
      <c r="AR33" s="424" cm="1">
        <f t="array" ref="AR33">(SUMPRODUCT(('Cashflow Summary C19RM'!$B$5:$B$100="C19RM 2021-Lab &amp; Other HPS")*('Cashflow Summary C19RM'!$A$5:$A$100=3)*1*('Cashflow Summary C19RM'!$BC$5:$BC$100="5.11 PPE")*('Cashflow Summary C19RM'!$AG$5:$AG$100)))</f>
        <v>0</v>
      </c>
      <c r="AS33" s="424">
        <f t="shared" si="5"/>
        <v>0</v>
      </c>
      <c r="AT33" s="424"/>
      <c r="AU33" s="424"/>
      <c r="AV33" s="424"/>
      <c r="AW33" s="424" cm="1">
        <f t="array" ref="AW33">(SUMPRODUCT(('Cashflow Summary C19RM'!$B$5:$B$100="C19RM 2021-Lab &amp; Other HPS")*('Cashflow Summary C19RM'!$A$5:$A$100=3)*1*('Cashflow Summary C19RM'!$BC$5:$BC$100="5.11 PPE")*('Cashflow Summary C19RM'!$AH$5:$AH$100)))</f>
        <v>0</v>
      </c>
      <c r="AX33" s="424" cm="1">
        <f t="array" ref="AX33">(SUMPRODUCT(('Cashflow Summary C19RM'!$B$5:$B$100="C19RM 2021-Lab &amp; Other HPS")*('Cashflow Summary C19RM'!$A$5:$A$100=3)*1*('Cashflow Summary C19RM'!$BC$5:$BC$100="5.11 PPE")*('Cashflow Summary C19RM'!$AI$5:$AI$100)))</f>
        <v>0</v>
      </c>
      <c r="AY33" s="424" cm="1">
        <f t="array" ref="AY33">(SUMPRODUCT(('Cashflow Summary C19RM'!$B$5:$B$100="C19RM 2021-Lab &amp; Other HPS")*('Cashflow Summary C19RM'!$A$5:$A$100=3)*1*('Cashflow Summary C19RM'!$BC$5:$BC$100="5.11 PPE")*('Cashflow Summary C19RM'!$AJ$5:$AJ$100)))</f>
        <v>0</v>
      </c>
      <c r="AZ33" s="424" cm="1">
        <f t="array" ref="AZ33">(SUMPRODUCT(('Cashflow Summary C19RM'!$B$5:$B$100="C19RM 2021-Lab &amp; Other HPS")*('Cashflow Summary C19RM'!$A$5:$A$100=3)*1*('Cashflow Summary C19RM'!$BC$5:$BC$100="5.11 PPE")*('Cashflow Summary C19RM'!$AK$5:$AK$100)))</f>
        <v>0</v>
      </c>
      <c r="BA33" s="424">
        <f t="shared" si="6"/>
        <v>0</v>
      </c>
      <c r="BB33" s="424"/>
      <c r="BC33" s="424"/>
      <c r="BD33" s="424"/>
      <c r="BE33" s="424" cm="1">
        <f t="array" ref="BE33">(SUMPRODUCT(('Cashflow Summary C19RM'!$B$5:$B$100="C19RM 2021-Lab &amp; Other HPS")*('Cashflow Summary C19RM'!$A$5:$A$100=3)*1*('Cashflow Summary C19RM'!$BC$5:$BC$100="5.11 PPE")*('Cashflow Summary C19RM'!$AL$5:$AL$100)))</f>
        <v>0</v>
      </c>
      <c r="BF33" s="424" cm="1">
        <f t="array" ref="BF33">(SUMPRODUCT(('Cashflow Summary C19RM'!$B$5:$B$100="C19RM 2021-Lab &amp; Other HPS")*('Cashflow Summary C19RM'!$A$5:$A$100=3)*1*('Cashflow Summary C19RM'!$BC$5:$BC$100="5.11 PPE")*('Cashflow Summary C19RM'!$AM$5:$AM$100)))</f>
        <v>0</v>
      </c>
      <c r="BG33" s="424" cm="1">
        <f t="array" ref="BG33">(SUMPRODUCT(('Cashflow Summary C19RM'!$B$5:$B$100="C19RM 2021-Lab &amp; Other HPS")*('Cashflow Summary C19RM'!$A$5:$A$100=3)*1*('Cashflow Summary C19RM'!$BC$5:$BC$100="5.11 PPE")*('Cashflow Summary C19RM'!$AN$5:$AN$100)))</f>
        <v>0</v>
      </c>
      <c r="BH33" s="424" cm="1">
        <f t="array" ref="BH33">(SUMPRODUCT(('Cashflow Summary C19RM'!$B$5:$B$100="C19RM 2021-Lab &amp; Other HPS")*('Cashflow Summary C19RM'!$A$5:$A$100=3)*1*('Cashflow Summary C19RM'!$BC$5:$BC$100="5.11 PPE")*('Cashflow Summary C19RM'!$AO$5:$AO$100)))</f>
        <v>0</v>
      </c>
      <c r="BI33" s="424">
        <f t="shared" si="7"/>
        <v>0</v>
      </c>
      <c r="BJ33" s="424"/>
      <c r="BK33" s="424">
        <f t="shared" si="8"/>
        <v>0</v>
      </c>
      <c r="BL33" s="424"/>
      <c r="BM33" s="142"/>
      <c r="BN33" s="425"/>
      <c r="BP33" s="274" t="str">
        <f t="shared" si="1"/>
        <v>No</v>
      </c>
      <c r="BQ33" t="s">
        <v>23</v>
      </c>
      <c r="BS33" s="286" t="s">
        <v>83</v>
      </c>
      <c r="BT33" t="s">
        <v>3339</v>
      </c>
      <c r="BU33" s="411" t="s">
        <v>3619</v>
      </c>
    </row>
    <row r="34" spans="1:73" ht="39" customHeight="1" x14ac:dyDescent="0.35">
      <c r="A34" s="364"/>
      <c r="B34" s="363" t="str">
        <f>PMsheet!$AH$94&amp;'Detailed BudgetC19RM'!BU34</f>
        <v>000P23HP1129</v>
      </c>
      <c r="C34" s="315" t="s">
        <v>2749</v>
      </c>
      <c r="D34" s="315" t="s">
        <v>3134</v>
      </c>
      <c r="E34" s="261" t="s">
        <v>3136</v>
      </c>
      <c r="F34" s="314" t="s">
        <v>181</v>
      </c>
      <c r="G34" s="315">
        <f ca="1">SETUP!$T$2</f>
        <v>0</v>
      </c>
      <c r="H34" s="315" t="str">
        <f>IF(SETUP!$E$3="","","National/Country Level")</f>
        <v/>
      </c>
      <c r="I34" s="315" t="str">
        <f>IFERROR(IF(INDEX('Master Data-C19RM'!$E$8:$E$18,MATCH((INDEX(SETUP!$E$20:$E$34,MATCH('Detailed BudgetC19RM'!BQ34,SETUP!$D$20:$D$34,0))),'Master Data-C19RM'!$D$8:$D$18,0))="Implementer's name",SETUP!$J$5,INDEX('Master Data-C19RM'!$E$8:$E$18,MATCH((INDEX(SETUP!$E$20:$E$34,MATCH('Detailed BudgetC19RM'!BQ34,SETUP!$D$20:$D$34,0))),'Master Data-C19RM'!$D$8:$D$18,0))),"Pls select HPMT Category in ' BQ ' column")</f>
        <v>Not Applicable</v>
      </c>
      <c r="J34" s="315" t="s">
        <v>707</v>
      </c>
      <c r="K34" s="315">
        <f t="shared" si="0"/>
        <v>0</v>
      </c>
      <c r="L34" s="315"/>
      <c r="M34" s="315">
        <f>SETUP!$E$7</f>
        <v>0</v>
      </c>
      <c r="N34" s="315"/>
      <c r="O34" s="315"/>
      <c r="P34" s="315"/>
      <c r="Q34" s="917" cm="1">
        <f t="array" ref="Q34">(SUMPRODUCT(('Cashflow Summary C19RM'!$B$5:$B$100="C19RM 2021-Lab &amp; Other HPS")*('Cashflow Summary C19RM'!$A$5:$A$100=3)*1*('Cashflow Summary C19RM'!$BC$5:$BC$100="5.8 Other consumables")*('Cashflow Summary C19RM'!$R$5:$R$100)))</f>
        <v>0</v>
      </c>
      <c r="R34" s="917" cm="1">
        <f t="array" ref="R34">(SUMPRODUCT(('Cashflow Summary C19RM'!$B$5:$B$100="C19RM 2021-Lab &amp; Other HPS")*('Cashflow Summary C19RM'!$A$5:$A$100=3)*1*('Cashflow Summary C19RM'!$BC$5:$BC$100="5.8 Other consumables")*('Cashflow Summary C19RM'!$S$5:$S$100)))</f>
        <v>0</v>
      </c>
      <c r="S34" s="917" cm="1">
        <f t="array" ref="S34">(SUMPRODUCT(('Cashflow Summary C19RM'!$B$5:$B$100="C19RM 2021-Lab &amp; Other HPS")*('Cashflow Summary C19RM'!$A$5:$A$100=3)*1*('Cashflow Summary C19RM'!$BC$5:$BC$100="5.8 Other consumables")*('Cashflow Summary C19RM'!$T$5:$T$100)))</f>
        <v>0</v>
      </c>
      <c r="T34" s="917" cm="1">
        <f t="array" ref="T34">(SUMPRODUCT(('Cashflow Summary C19RM'!$B$5:$B$100="C19RM 2021-Lab &amp; Other HPS")*('Cashflow Summary C19RM'!$A$5:$A$100=3)*1*('Cashflow Summary C19RM'!$BC$5:$BC$100="5.8 Other consumables")*('Cashflow Summary C19RM'!$U$5:$U$100)))</f>
        <v>0</v>
      </c>
      <c r="U34" s="948">
        <f t="shared" si="2"/>
        <v>0</v>
      </c>
      <c r="V34" s="424"/>
      <c r="W34" s="424"/>
      <c r="X34" s="424"/>
      <c r="Y34" s="424" cm="1">
        <f t="array" ref="Y34">(SUMPRODUCT(('Cashflow Summary C19RM'!$B$5:$B$100="C19RM 2021-Lab &amp; Other HPS")*('Cashflow Summary C19RM'!$A$5:$A$100=3)*1*('Cashflow Summary C19RM'!$BC$5:$BC$100="5.8 Other consumables")*('Cashflow Summary C19RM'!$V$5:$V$100)))</f>
        <v>0</v>
      </c>
      <c r="Z34" s="424" cm="1">
        <f t="array" ref="Z34">(SUMPRODUCT(('Cashflow Summary C19RM'!$B$5:$B$100="C19RM 2021-Lab &amp; Other HPS")*('Cashflow Summary C19RM'!$A$5:$A$100=3)*1*('Cashflow Summary C19RM'!$BC$5:$BC$100="5.8 Other consumables")*('Cashflow Summary C19RM'!$W$5:$W$100)))</f>
        <v>0</v>
      </c>
      <c r="AA34" s="424" cm="1">
        <f t="array" ref="AA34">(SUMPRODUCT(('Cashflow Summary C19RM'!$B$5:$B$100="C19RM 2021-Lab &amp; Other HPS")*('Cashflow Summary C19RM'!$A$5:$A$100=3)*1*('Cashflow Summary C19RM'!$BC$5:$BC$100="5.8 Other consumables")*('Cashflow Summary C19RM'!$X$5:$X$100)))</f>
        <v>0</v>
      </c>
      <c r="AB34" s="424" cm="1">
        <f t="array" ref="AB34">(SUMPRODUCT(('Cashflow Summary C19RM'!$B$5:$B$100="C19RM 2021-Lab &amp; Other HPS")*('Cashflow Summary C19RM'!$A$5:$A$100=3)*1*('Cashflow Summary C19RM'!$BC$5:$BC$100="5.8 Other consumables")*('Cashflow Summary C19RM'!$Y$5:$Y$100)))</f>
        <v>0</v>
      </c>
      <c r="AC34" s="424">
        <f t="shared" si="3"/>
        <v>0</v>
      </c>
      <c r="AD34" s="424"/>
      <c r="AE34" s="424"/>
      <c r="AF34" s="424"/>
      <c r="AG34" s="424" cm="1">
        <f t="array" ref="AG34">(SUMPRODUCT(('Cashflow Summary C19RM'!$B$5:$B$100="C19RM 2021-Lab &amp; Other HPS")*('Cashflow Summary C19RM'!$A$5:$A$100=3)*1*('Cashflow Summary C19RM'!$BC$5:$BC$100="5.8 Other consumables")*('Cashflow Summary C19RM'!$Z$5:$Z$100)))</f>
        <v>0</v>
      </c>
      <c r="AH34" s="424" cm="1">
        <f t="array" ref="AH34">(SUMPRODUCT(('Cashflow Summary C19RM'!$B$5:$B$100="C19RM 2021-Lab &amp; Other HPS")*('Cashflow Summary C19RM'!$A$5:$A$100=3)*1*('Cashflow Summary C19RM'!$BC$5:$BC$100="5.8 Other consumables")*('Cashflow Summary C19RM'!$AA$5:$AA$100)))</f>
        <v>0</v>
      </c>
      <c r="AI34" s="424" cm="1">
        <f t="array" ref="AI34">(SUMPRODUCT(('Cashflow Summary C19RM'!$B$5:$B$100="C19RM 2021-Lab &amp; Other HPS")*('Cashflow Summary C19RM'!$A$5:$A$100=3)*1*('Cashflow Summary C19RM'!$BC$5:$BC$100="5.8 Other consumables")*('Cashflow Summary C19RM'!$AB$5:$AB$100)))</f>
        <v>0</v>
      </c>
      <c r="AJ34" s="424" cm="1">
        <f t="array" ref="AJ34">(SUMPRODUCT(('Cashflow Summary C19RM'!$B$5:$B$100="C19RM 2021-Lab &amp; Other HPS")*('Cashflow Summary C19RM'!$A$5:$A$100=3)*1*('Cashflow Summary C19RM'!$BC$5:$BC$100="5.8 Other consumables")*('Cashflow Summary C19RM'!$AC$5:$AC$100)))</f>
        <v>0</v>
      </c>
      <c r="AK34" s="424">
        <f t="shared" si="4"/>
        <v>0</v>
      </c>
      <c r="AL34" s="424"/>
      <c r="AM34" s="424"/>
      <c r="AN34" s="424"/>
      <c r="AO34" s="424" cm="1">
        <f t="array" ref="AO34">(SUMPRODUCT(('Cashflow Summary C19RM'!$B$5:$B$100="C19RM 2021-Lab &amp; Other HPS")*('Cashflow Summary C19RM'!$A$5:$A$100=3)*1*('Cashflow Summary C19RM'!$BC$5:$BC$100="5.8 Other consumables")*('Cashflow Summary C19RM'!$AD$5:$AD$100)))</f>
        <v>0</v>
      </c>
      <c r="AP34" s="424" cm="1">
        <f t="array" ref="AP34">(SUMPRODUCT(('Cashflow Summary C19RM'!$B$5:$B$100="C19RM 2021-Lab &amp; Other HPS")*('Cashflow Summary C19RM'!$A$5:$A$100=3)*1*('Cashflow Summary C19RM'!$BC$5:$BC$100="5.8 Other consumables")*('Cashflow Summary C19RM'!$AE$5:$AE$100)))</f>
        <v>0</v>
      </c>
      <c r="AQ34" s="424" cm="1">
        <f t="array" ref="AQ34">(SUMPRODUCT(('Cashflow Summary C19RM'!$B$5:$B$100="C19RM 2021-Lab &amp; Other HPS")*('Cashflow Summary C19RM'!$A$5:$A$100=3)*1*('Cashflow Summary C19RM'!$BC$5:$BC$100="5.8 Other consumables")*('Cashflow Summary C19RM'!$AF$5:$AF$100)))</f>
        <v>0</v>
      </c>
      <c r="AR34" s="424" cm="1">
        <f t="array" ref="AR34">(SUMPRODUCT(('Cashflow Summary C19RM'!$B$5:$B$100="C19RM 2021-Lab &amp; Other HPS")*('Cashflow Summary C19RM'!$A$5:$A$100=3)*1*('Cashflow Summary C19RM'!$BC$5:$BC$100="5.8 Other consumables")*('Cashflow Summary C19RM'!$AG$5:$AG$100)))</f>
        <v>0</v>
      </c>
      <c r="AS34" s="424">
        <f t="shared" si="5"/>
        <v>0</v>
      </c>
      <c r="AT34" s="424"/>
      <c r="AU34" s="424"/>
      <c r="AV34" s="424"/>
      <c r="AW34" s="424" cm="1">
        <f t="array" ref="AW34">(SUMPRODUCT(('Cashflow Summary C19RM'!$B$5:$B$100="C19RM 2021-Lab &amp; Other HPS")*('Cashflow Summary C19RM'!$A$5:$A$100=3)*1*('Cashflow Summary C19RM'!$BC$5:$BC$100="5.8 Other consumables")*('Cashflow Summary C19RM'!$AH$5:$AH$100)))</f>
        <v>0</v>
      </c>
      <c r="AX34" s="424" cm="1">
        <f t="array" ref="AX34">(SUMPRODUCT(('Cashflow Summary C19RM'!$B$5:$B$100="C19RM 2021-Lab &amp; Other HPS")*('Cashflow Summary C19RM'!$A$5:$A$100=3)*1*('Cashflow Summary C19RM'!$BC$5:$BC$100="5.8 Other consumables")*('Cashflow Summary C19RM'!$AI$5:$AI$100)))</f>
        <v>0</v>
      </c>
      <c r="AY34" s="424" cm="1">
        <f t="array" ref="AY34">(SUMPRODUCT(('Cashflow Summary C19RM'!$B$5:$B$100="C19RM 2021-Lab &amp; Other HPS")*('Cashflow Summary C19RM'!$A$5:$A$100=3)*1*('Cashflow Summary C19RM'!$BC$5:$BC$100="5.8 Other consumables")*('Cashflow Summary C19RM'!$AJ$5:$AJ$100)))</f>
        <v>0</v>
      </c>
      <c r="AZ34" s="424" cm="1">
        <f t="array" ref="AZ34">(SUMPRODUCT(('Cashflow Summary C19RM'!$B$5:$B$100="C19RM 2021-Lab &amp; Other HPS")*('Cashflow Summary C19RM'!$A$5:$A$100=3)*1*('Cashflow Summary C19RM'!$BC$5:$BC$100="5.8 Other consumables")*('Cashflow Summary C19RM'!$AK$5:$AK$100)))</f>
        <v>0</v>
      </c>
      <c r="BA34" s="424">
        <f t="shared" si="6"/>
        <v>0</v>
      </c>
      <c r="BB34" s="424"/>
      <c r="BC34" s="424"/>
      <c r="BD34" s="424"/>
      <c r="BE34" s="424" cm="1">
        <f t="array" ref="BE34">(SUMPRODUCT(('Cashflow Summary C19RM'!$B$5:$B$100="C19RM 2021-Lab &amp; Other HPS")*('Cashflow Summary C19RM'!$A$5:$A$100=3)*1*('Cashflow Summary C19RM'!$BC$5:$BC$100="5.8 Other consumables")*('Cashflow Summary C19RM'!$AL$5:$AL$100)))</f>
        <v>0</v>
      </c>
      <c r="BF34" s="424" cm="1">
        <f t="array" ref="BF34">(SUMPRODUCT(('Cashflow Summary C19RM'!$B$5:$B$100="C19RM 2021-Lab &amp; Other HPS")*('Cashflow Summary C19RM'!$A$5:$A$100=3)*1*('Cashflow Summary C19RM'!$BC$5:$BC$100="5.8 Other consumables")*('Cashflow Summary C19RM'!$AM$5:$AM$100)))</f>
        <v>0</v>
      </c>
      <c r="BG34" s="424" cm="1">
        <f t="array" ref="BG34">(SUMPRODUCT(('Cashflow Summary C19RM'!$B$5:$B$100="C19RM 2021-Lab &amp; Other HPS")*('Cashflow Summary C19RM'!$A$5:$A$100=3)*1*('Cashflow Summary C19RM'!$BC$5:$BC$100="5.8 Other consumables")*('Cashflow Summary C19RM'!$AN$5:$AN$100)))</f>
        <v>0</v>
      </c>
      <c r="BH34" s="424" cm="1">
        <f t="array" ref="BH34">(SUMPRODUCT(('Cashflow Summary C19RM'!$B$5:$B$100="C19RM 2021-Lab &amp; Other HPS")*('Cashflow Summary C19RM'!$A$5:$A$100=3)*1*('Cashflow Summary C19RM'!$BC$5:$BC$100="5.8 Other consumables")*('Cashflow Summary C19RM'!$AO$5:$AO$100)))</f>
        <v>0</v>
      </c>
      <c r="BI34" s="424">
        <f t="shared" si="7"/>
        <v>0</v>
      </c>
      <c r="BJ34" s="424"/>
      <c r="BK34" s="424">
        <f t="shared" si="8"/>
        <v>0</v>
      </c>
      <c r="BL34" s="424"/>
      <c r="BM34" s="142"/>
      <c r="BN34" s="425"/>
      <c r="BP34" s="274" t="str">
        <f t="shared" si="1"/>
        <v>No</v>
      </c>
      <c r="BQ34" t="s">
        <v>22</v>
      </c>
      <c r="BS34" s="286" t="s">
        <v>83</v>
      </c>
      <c r="BT34" t="s">
        <v>3340</v>
      </c>
      <c r="BU34" s="411" t="s">
        <v>3620</v>
      </c>
    </row>
    <row r="35" spans="1:73" ht="39" customHeight="1" x14ac:dyDescent="0.35">
      <c r="A35" s="256"/>
      <c r="B35" s="363" t="str">
        <f>PMsheet!$AH$94&amp;'Detailed BudgetC19RM'!BU35</f>
        <v>000P23HP1130</v>
      </c>
      <c r="C35" s="315" t="s">
        <v>2749</v>
      </c>
      <c r="D35" s="315" t="s">
        <v>3134</v>
      </c>
      <c r="E35" s="261" t="s">
        <v>3117</v>
      </c>
      <c r="F35" s="314" t="s">
        <v>619</v>
      </c>
      <c r="G35" s="315">
        <f ca="1">SETUP!$T$2</f>
        <v>0</v>
      </c>
      <c r="H35" s="315" t="str">
        <f>IF(SETUP!$E$3="","","National/Country Level")</f>
        <v/>
      </c>
      <c r="I35" s="315" t="s">
        <v>2665</v>
      </c>
      <c r="J35" s="315" t="s">
        <v>707</v>
      </c>
      <c r="K35" s="315">
        <f t="shared" si="0"/>
        <v>0</v>
      </c>
      <c r="L35" s="315"/>
      <c r="M35" s="315">
        <f>SETUP!$E$7</f>
        <v>0</v>
      </c>
      <c r="N35" s="315"/>
      <c r="O35" s="315"/>
      <c r="P35" s="315"/>
      <c r="Q35" s="917" cm="1">
        <f t="array" ref="Q35">('HPM costs-C19RM'!$G$25+'HPM costs-C19RM'!$G$26)+(SUMPRODUCT(('Fixed Cost-C19RM'!$D$5:$D$202=$D35)*('Fixed Cost-C19RM'!$F$5:$F$202=$F35)*('Fixed Cost-C19RM'!$K$5:$K$202)))</f>
        <v>0</v>
      </c>
      <c r="R35" s="917" cm="1">
        <f t="array" ref="R35">('HPM costs-C19RM'!$H$25+'HPM costs-C19RM'!$H$26)+(SUMPRODUCT(('Fixed Cost-C19RM'!$D$5:$D$202=$D35)*('Fixed Cost-C19RM'!$F$5:$F$202=$F35)*('Fixed Cost-C19RM'!$L$5:$L$202)))</f>
        <v>0</v>
      </c>
      <c r="S35" s="917" cm="1">
        <f t="array" ref="S35">('HPM costs-C19RM'!$I$25+'HPM costs-C19RM'!$I$26)+(SUMPRODUCT(('Fixed Cost-C19RM'!$D$5:$D$202=$D35)*('Fixed Cost-C19RM'!$F$5:$F$202=$F35)*('Fixed Cost-C19RM'!$M$5:$M$202)))</f>
        <v>0</v>
      </c>
      <c r="T35" s="917" cm="1">
        <f t="array" ref="T35">('HPM costs-C19RM'!$J$25+'HPM costs-C19RM'!$J$26)+(SUMPRODUCT(('Fixed Cost-C19RM'!$D$5:$D$202=$D35)*('Fixed Cost-C19RM'!$F$5:$F$202=$F35)*('Fixed Cost-C19RM'!$N$5:$N$202)))</f>
        <v>0</v>
      </c>
      <c r="U35" s="948">
        <f t="shared" si="2"/>
        <v>0</v>
      </c>
      <c r="V35" s="957"/>
      <c r="W35" s="951"/>
      <c r="X35" s="951"/>
      <c r="Y35" s="424" cm="1">
        <f t="array" ref="Y35">('HPM costs-C19RM'!$M$25+'HPM costs-C19RM'!$M$26)+(SUMPRODUCT(('Fixed Cost-C19RM'!$D$5:$D$202=$D35)*('Fixed Cost-C19RM'!$F$5:$F$202=$F35)*('Fixed Cost-C19RM'!$P$5:$P$202)))</f>
        <v>0</v>
      </c>
      <c r="Z35" s="424" cm="1">
        <f t="array" ref="Z35">('HPM costs-C19RM'!$N$25+'HPM costs-C19RM'!$N$26)+(SUMPRODUCT(('Fixed Cost-C19RM'!$D$5:$D$202=$D35)*('Fixed Cost-C19RM'!$F$5:$F$202=$F35)*('Fixed Cost-C19RM'!$Q$5:$Q$202)))</f>
        <v>0</v>
      </c>
      <c r="AA35" s="424" cm="1">
        <f t="array" ref="AA35">('HPM costs-C19RM'!$O$25+'HPM costs-C19RM'!$O$26)+(SUMPRODUCT(('Fixed Cost-C19RM'!$D$5:$D$202=$D35)*('Fixed Cost-C19RM'!$F$5:$F$202=$F35)*('Fixed Cost-C19RM'!$R$5:$R$202)))</f>
        <v>0</v>
      </c>
      <c r="AB35" s="424" cm="1">
        <f t="array" ref="AB35">('HPM costs-C19RM'!$P$25+'HPM costs-C19RM'!$P$26)+(SUMPRODUCT(('Fixed Cost-C19RM'!$D$5:$D$202=$D35)*('Fixed Cost-C19RM'!$F$5:$F$202=$F35)*('Fixed Cost-C19RM'!$S$5:$S$202)))</f>
        <v>0</v>
      </c>
      <c r="AC35" s="424">
        <f t="shared" si="3"/>
        <v>0</v>
      </c>
      <c r="AD35" s="424"/>
      <c r="AE35" s="951"/>
      <c r="AF35" s="951"/>
      <c r="AG35" s="424" cm="1">
        <f t="array" ref="AG35">('HPM costs-C19RM'!$S$25+'HPM costs-C19RM'!$S$26)+(SUMPRODUCT(('Fixed Cost-C19RM'!$D$5:$D$202=$D35)*('Fixed Cost-C19RM'!$F$5:$F$202=$F35)*('Fixed Cost-C19RM'!$U$5:$U$202)))</f>
        <v>0</v>
      </c>
      <c r="AH35" s="424" cm="1">
        <f t="array" ref="AH35">('HPM costs-C19RM'!$T$25+'HPM costs-C19RM'!$T$26)+(SUMPRODUCT(('Fixed Cost-C19RM'!$D$5:$D$202=$D35)*('Fixed Cost-C19RM'!$F$5:$F$202=$F35)*('Fixed Cost-C19RM'!$V$5:$V$202)))</f>
        <v>0</v>
      </c>
      <c r="AI35" s="424" cm="1">
        <f t="array" ref="AI35">('HPM costs-C19RM'!$U$25+'HPM costs-C19RM'!$U$26)+(SUMPRODUCT(('Fixed Cost-C19RM'!$D$5:$D$202=$D35)*('Fixed Cost-C19RM'!$F$5:$F$202=$F35)*('Fixed Cost-C19RM'!$W$5:$W$202)))</f>
        <v>0</v>
      </c>
      <c r="AJ35" s="424" cm="1">
        <f t="array" ref="AJ35">('HPM costs-C19RM'!$V$25+'HPM costs-C19RM'!$V$26)+(SUMPRODUCT(('Fixed Cost-C19RM'!$D$5:$D$202=$D35)*('Fixed Cost-C19RM'!$F$5:$F$202=$F35)*('Fixed Cost-C19RM'!$X$5:$X$202)))</f>
        <v>0</v>
      </c>
      <c r="AK35" s="424">
        <f t="shared" si="4"/>
        <v>0</v>
      </c>
      <c r="AL35" s="424"/>
      <c r="AM35" s="951"/>
      <c r="AN35" s="951"/>
      <c r="AO35" s="424" cm="1">
        <f t="array" ref="AO35">('HPM costs-C19RM'!$Y$25+'HPM costs-C19RM'!$Y$26)+(SUMPRODUCT(('Fixed Cost-C19RM'!$D$5:$D$202=$D35)*('Fixed Cost-C19RM'!$F$5:$F$202=$F35)*('Fixed Cost-C19RM'!$Z$5:$Z$202)))</f>
        <v>0</v>
      </c>
      <c r="AP35" s="424" cm="1">
        <f t="array" ref="AP35">('HPM costs-C19RM'!$Z$25+'HPM costs-C19RM'!$Z$26)+(SUMPRODUCT(('Fixed Cost-C19RM'!$D$5:$D$202=$D35)*('Fixed Cost-C19RM'!$F$5:$F$202=$F35)*('Fixed Cost-C19RM'!$AA$5:$AA$202)))</f>
        <v>0</v>
      </c>
      <c r="AQ35" s="424" cm="1">
        <f t="array" ref="AQ35">('HPM costs-C19RM'!$AA$25+'HPM costs-C19RM'!$AA$26)+(SUMPRODUCT(('Fixed Cost-C19RM'!$D$5:$D$202=$D35)*('Fixed Cost-C19RM'!$F$5:$F$202=$F35)*('Fixed Cost-C19RM'!$AB$5:$AB$202)))</f>
        <v>0</v>
      </c>
      <c r="AR35" s="424" cm="1">
        <f t="array" ref="AR35">('HPM costs-C19RM'!$AB$25+'HPM costs-C19RM'!$AB$26)+(SUMPRODUCT(('Fixed Cost-C19RM'!$D$5:$D$202=$D35)*('Fixed Cost-C19RM'!$F$5:$F$202=$F35)*('Fixed Cost-C19RM'!$AC$5:$AC$202)))</f>
        <v>0</v>
      </c>
      <c r="AS35" s="424">
        <f t="shared" si="5"/>
        <v>0</v>
      </c>
      <c r="AT35" s="424"/>
      <c r="AU35" s="951"/>
      <c r="AV35" s="951"/>
      <c r="AW35" s="424" cm="1">
        <f t="array" ref="AW35">('HPM costs-C19RM'!$AE$25+'HPM costs-C19RM'!$AE$26)+(SUMPRODUCT(('Fixed Cost-C19RM'!$D$5:$D$202=$D35)*('Fixed Cost-C19RM'!$F$5:$F$202=$F35)*('Fixed Cost-C19RM'!$AE$5:$AE$202)))</f>
        <v>0</v>
      </c>
      <c r="AX35" s="424" cm="1">
        <f t="array" ref="AX35">('HPM costs-C19RM'!$AF$25+'HPM costs-C19RM'!$AF$26)+(SUMPRODUCT(('Fixed Cost-C19RM'!$D$5:$D$202=$D35)*('Fixed Cost-C19RM'!$F$5:$F$202=$F35)*('Fixed Cost-C19RM'!$AF$5:$AF$202)))</f>
        <v>0</v>
      </c>
      <c r="AY35" s="424" cm="1">
        <f t="array" ref="AY35">('HPM costs-C19RM'!$AG$25+'HPM costs-C19RM'!$AG$26)+(SUMPRODUCT(('Fixed Cost-C19RM'!$D$5:$D$202=$D35)*('Fixed Cost-C19RM'!$F$5:$F$202=$F35)*('Fixed Cost-C19RM'!$AG$5:$AG$202)))</f>
        <v>0</v>
      </c>
      <c r="AZ35" s="424" cm="1">
        <f t="array" ref="AZ35">('HPM costs-C19RM'!$AH$25+'HPM costs-C19RM'!$AH$26)+(SUMPRODUCT(('Fixed Cost-C19RM'!$D$5:$D$202=$D35)*('Fixed Cost-C19RM'!$F$5:$F$202=$F35)*('Fixed Cost-C19RM'!$AH$5:$AH$202)))</f>
        <v>0</v>
      </c>
      <c r="BA35" s="424">
        <f t="shared" si="6"/>
        <v>0</v>
      </c>
      <c r="BB35" s="424">
        <f>'HPM costs-C19RM'!AJ25+'HPM costs-C19RM'!AJ26</f>
        <v>0</v>
      </c>
      <c r="BC35" s="951"/>
      <c r="BD35" s="951"/>
      <c r="BE35" s="424">
        <v>0</v>
      </c>
      <c r="BF35" s="424">
        <v>0</v>
      </c>
      <c r="BG35" s="424">
        <v>0</v>
      </c>
      <c r="BH35" s="424">
        <v>0</v>
      </c>
      <c r="BI35" s="424">
        <f t="shared" si="7"/>
        <v>0</v>
      </c>
      <c r="BJ35" s="424"/>
      <c r="BK35" s="424">
        <f t="shared" si="8"/>
        <v>0</v>
      </c>
      <c r="BL35" s="424"/>
      <c r="BM35" s="142"/>
      <c r="BN35" s="425"/>
      <c r="BP35" s="274" t="str">
        <f t="shared" si="1"/>
        <v>No</v>
      </c>
      <c r="BR35" t="str">
        <f>IF(((IFERROR(INDEX('Fixed Cost-C19RM'!$AO$5:$AO$202,MATCH(BS35&amp;C35&amp;D35&amp;F35,'Fixed Cost-C19RM'!$A$5:$A$202,0)),0)))&gt;0,"Yes","NO")</f>
        <v>NO</v>
      </c>
      <c r="BS35" s="286" t="s">
        <v>83</v>
      </c>
      <c r="BT35" t="s">
        <v>3278</v>
      </c>
      <c r="BU35" s="411" t="s">
        <v>3621</v>
      </c>
    </row>
    <row r="36" spans="1:73" ht="39" customHeight="1" x14ac:dyDescent="0.35">
      <c r="A36" s="256"/>
      <c r="B36" s="363" t="str">
        <f>PMsheet!$AH$94&amp;'Detailed BudgetC19RM'!BU36</f>
        <v>000P23HP1131</v>
      </c>
      <c r="C36" s="315" t="s">
        <v>2749</v>
      </c>
      <c r="D36" s="315" t="s">
        <v>3134</v>
      </c>
      <c r="E36" s="261" t="s">
        <v>3117</v>
      </c>
      <c r="F36" s="314" t="s">
        <v>3118</v>
      </c>
      <c r="G36" s="315">
        <f ca="1">SETUP!$T$2</f>
        <v>0</v>
      </c>
      <c r="H36" s="315" t="str">
        <f>IF(SETUP!$E$3="","","National/Country Level")</f>
        <v/>
      </c>
      <c r="I36" s="315" t="s">
        <v>2665</v>
      </c>
      <c r="J36" s="315" t="s">
        <v>707</v>
      </c>
      <c r="K36" s="315">
        <f t="shared" si="0"/>
        <v>0</v>
      </c>
      <c r="L36" s="315"/>
      <c r="M36" s="315">
        <f>SETUP!$E$7</f>
        <v>0</v>
      </c>
      <c r="N36" s="315"/>
      <c r="O36" s="315"/>
      <c r="P36" s="315"/>
      <c r="Q36" s="917" cm="1">
        <f t="array" ref="Q36">('HPM costs-C19RM'!$G$45+'HPM costs-C19RM'!$G$46)+(SUMPRODUCT(('Fixed Cost-C19RM'!$D$5:$D$202=$D36)*('Fixed Cost-C19RM'!$F$5:$F$202=$F36)*('Fixed Cost-C19RM'!$K$5:$K$202)))</f>
        <v>0</v>
      </c>
      <c r="R36" s="917" cm="1">
        <f t="array" ref="R36">('HPM costs-C19RM'!$H$45+'HPM costs-C19RM'!$H$46)+(SUMPRODUCT(('Fixed Cost-C19RM'!$D$5:$D$202=$D36)*('Fixed Cost-C19RM'!$F$5:$F$202=$F36)*('Fixed Cost-C19RM'!$L$5:$L$202)))</f>
        <v>0</v>
      </c>
      <c r="S36" s="917" cm="1">
        <f t="array" ref="S36">('HPM costs-C19RM'!$I$45+'HPM costs-C19RM'!$I$46)+(SUMPRODUCT(('Fixed Cost-C19RM'!$D$5:$D$202=$D36)*('Fixed Cost-C19RM'!$F$5:$F$202=$F36)*('Fixed Cost-C19RM'!$M$5:$M$202)))</f>
        <v>0</v>
      </c>
      <c r="T36" s="917" cm="1">
        <f t="array" ref="T36">('HPM costs-C19RM'!$J$45+'HPM costs-C19RM'!$J$46)+(SUMPRODUCT(('Fixed Cost-C19RM'!$D$5:$D$202=$D36)*('Fixed Cost-C19RM'!$F$5:$F$202=$F36)*('Fixed Cost-C19RM'!$N$5:$N$202)))</f>
        <v>0</v>
      </c>
      <c r="U36" s="948">
        <f t="shared" si="2"/>
        <v>0</v>
      </c>
      <c r="V36" s="424"/>
      <c r="W36" s="951"/>
      <c r="X36" s="951"/>
      <c r="Y36" s="424" cm="1">
        <f t="array" ref="Y36">('HPM costs-C19RM'!$M$45+'HPM costs-C19RM'!$M$46)+(SUMPRODUCT(('Fixed Cost-C19RM'!$D$5:$D$202=$D36)*('Fixed Cost-C19RM'!$F$5:$F$202=$F36)*('Fixed Cost-C19RM'!$P$5:$P$202)))</f>
        <v>0</v>
      </c>
      <c r="Z36" s="424" cm="1">
        <f t="array" ref="Z36">('HPM costs-C19RM'!$N$45+'HPM costs-C19RM'!$N$46)+(SUMPRODUCT(('Fixed Cost-C19RM'!$D$5:$D$202=$D36)*('Fixed Cost-C19RM'!$F$5:$F$202=$F36)*('Fixed Cost-C19RM'!$Q$5:$Q$202)))</f>
        <v>0</v>
      </c>
      <c r="AA36" s="424" cm="1">
        <f t="array" ref="AA36">('HPM costs-C19RM'!$O$45+'HPM costs-C19RM'!$O$46)+(SUMPRODUCT(('Fixed Cost-C19RM'!$D$5:$D$202=$D36)*('Fixed Cost-C19RM'!$F$5:$F$202=$F36)*('Fixed Cost-C19RM'!$R$5:$R$202)))</f>
        <v>0</v>
      </c>
      <c r="AB36" s="424" cm="1">
        <f t="array" ref="AB36">('HPM costs-C19RM'!$P$45+'HPM costs-C19RM'!$P$46)+(SUMPRODUCT(('Fixed Cost-C19RM'!$D$5:$D$202=$D36)*('Fixed Cost-C19RM'!$F$5:$F$202=$F36)*('Fixed Cost-C19RM'!$S$5:$S$202)))</f>
        <v>0</v>
      </c>
      <c r="AC36" s="424">
        <f t="shared" si="3"/>
        <v>0</v>
      </c>
      <c r="AD36" s="424"/>
      <c r="AE36" s="951"/>
      <c r="AF36" s="951"/>
      <c r="AG36" s="424" cm="1">
        <f t="array" ref="AG36">('HPM costs-C19RM'!$S$45+'HPM costs-C19RM'!$S$46)+(SUMPRODUCT(('Fixed Cost-C19RM'!$D$5:$D$202=$D36)*('Fixed Cost-C19RM'!$F$5:$F$202=$F36)*('Fixed Cost-C19RM'!$U$5:$U$202)))</f>
        <v>0</v>
      </c>
      <c r="AH36" s="424" cm="1">
        <f t="array" ref="AH36">('HPM costs-C19RM'!$T$45+'HPM costs-C19RM'!$T$46)+(SUMPRODUCT(('Fixed Cost-C19RM'!$D$5:$D$202=$D36)*('Fixed Cost-C19RM'!$F$5:$F$202=$F36)*('Fixed Cost-C19RM'!$V$5:$V$202)))</f>
        <v>0</v>
      </c>
      <c r="AI36" s="424" cm="1">
        <f t="array" ref="AI36">('HPM costs-C19RM'!$U$45+'HPM costs-C19RM'!$U$46)+(SUMPRODUCT(('Fixed Cost-C19RM'!$D$5:$D$202=$D36)*('Fixed Cost-C19RM'!$F$5:$F$202=$F36)*('Fixed Cost-C19RM'!$W$5:$W$202)))</f>
        <v>0</v>
      </c>
      <c r="AJ36" s="424" cm="1">
        <f t="array" ref="AJ36">('HPM costs-C19RM'!$V$45+'HPM costs-C19RM'!$V$46)+(SUMPRODUCT(('Fixed Cost-C19RM'!$D$5:$D$202=$D36)*('Fixed Cost-C19RM'!$F$5:$F$202=$F36)*('Fixed Cost-C19RM'!$X$5:$X$202)))</f>
        <v>0</v>
      </c>
      <c r="AK36" s="424">
        <f t="shared" si="4"/>
        <v>0</v>
      </c>
      <c r="AL36" s="424"/>
      <c r="AM36" s="951"/>
      <c r="AN36" s="951"/>
      <c r="AO36" s="424" cm="1">
        <f t="array" ref="AO36">('HPM costs-C19RM'!$Y$45+'HPM costs-C19RM'!$Y$46)+(SUMPRODUCT(('Fixed Cost-C19RM'!$D$5:$D$202=$D36)*('Fixed Cost-C19RM'!$F$5:$F$202=$F36)*('Fixed Cost-C19RM'!$Z$5:$Z$202)))</f>
        <v>0</v>
      </c>
      <c r="AP36" s="424" cm="1">
        <f t="array" ref="AP36">('HPM costs-C19RM'!$Z$45+'HPM costs-C19RM'!$Z$46)+(SUMPRODUCT(('Fixed Cost-C19RM'!$D$5:$D$202=$D36)*('Fixed Cost-C19RM'!$F$5:$F$202=$F36)*('Fixed Cost-C19RM'!$AA$5:$AA$202)))</f>
        <v>0</v>
      </c>
      <c r="AQ36" s="424" cm="1">
        <f t="array" ref="AQ36">('HPM costs-C19RM'!$AA$45+'HPM costs-C19RM'!$AA$46)+(SUMPRODUCT(('Fixed Cost-C19RM'!$D$5:$D$202=$D36)*('Fixed Cost-C19RM'!$F$5:$F$202=$F36)*('Fixed Cost-C19RM'!$AB$5:$AB$202)))</f>
        <v>0</v>
      </c>
      <c r="AR36" s="424" cm="1">
        <f t="array" ref="AR36">('HPM costs-C19RM'!$AB$45+'HPM costs-C19RM'!$AB$46)+(SUMPRODUCT(('Fixed Cost-C19RM'!$D$5:$D$202=$D36)*('Fixed Cost-C19RM'!$F$5:$F$202=$F36)*('Fixed Cost-C19RM'!$AC$5:$AC$202)))</f>
        <v>0</v>
      </c>
      <c r="AS36" s="424">
        <f t="shared" si="5"/>
        <v>0</v>
      </c>
      <c r="AT36" s="424"/>
      <c r="AU36" s="951"/>
      <c r="AV36" s="951"/>
      <c r="AW36" s="424" cm="1">
        <f t="array" ref="AW36">('HPM costs-C19RM'!$AE$45+'HPM costs-C19RM'!$AE$46)+(SUMPRODUCT(('Fixed Cost-C19RM'!$D$5:$D$202=$D36)*('Fixed Cost-C19RM'!$F$5:$F$202=$F36)*('Fixed Cost-C19RM'!$AE$5:$AE$202)))</f>
        <v>0</v>
      </c>
      <c r="AX36" s="424" cm="1">
        <f t="array" ref="AX36">('HPM costs-C19RM'!$AF$45+'HPM costs-C19RM'!$AF$46)+(SUMPRODUCT(('Fixed Cost-C19RM'!$D$5:$D$202=$D36)*('Fixed Cost-C19RM'!$F$5:$F$202=$F36)*('Fixed Cost-C19RM'!$AF$5:$AF$202)))</f>
        <v>0</v>
      </c>
      <c r="AY36" s="424" cm="1">
        <f t="array" ref="AY36">('HPM costs-C19RM'!$AG$45+'HPM costs-C19RM'!$AG$46)+(SUMPRODUCT(('Fixed Cost-C19RM'!$D$5:$D$202=$D36)*('Fixed Cost-C19RM'!$F$5:$F$202=$F36)*('Fixed Cost-C19RM'!$AG$5:$AG$202)))</f>
        <v>0</v>
      </c>
      <c r="AZ36" s="424" cm="1">
        <f t="array" ref="AZ36">('HPM costs-C19RM'!$AH$45+'HPM costs-C19RM'!$AH$46)+(SUMPRODUCT(('Fixed Cost-C19RM'!$D$5:$D$202=$D36)*('Fixed Cost-C19RM'!$F$5:$F$202=$F36)*('Fixed Cost-C19RM'!$AH$5:$AH$202)))</f>
        <v>0</v>
      </c>
      <c r="BA36" s="424">
        <f t="shared" si="6"/>
        <v>0</v>
      </c>
      <c r="BB36" s="424"/>
      <c r="BC36" s="951"/>
      <c r="BD36" s="951"/>
      <c r="BE36" s="424">
        <v>0</v>
      </c>
      <c r="BF36" s="424">
        <v>0</v>
      </c>
      <c r="BG36" s="424">
        <v>0</v>
      </c>
      <c r="BH36" s="424">
        <v>0</v>
      </c>
      <c r="BI36" s="424">
        <f t="shared" si="7"/>
        <v>0</v>
      </c>
      <c r="BJ36" s="424"/>
      <c r="BK36" s="424">
        <f t="shared" si="8"/>
        <v>0</v>
      </c>
      <c r="BL36" s="424"/>
      <c r="BM36" s="142"/>
      <c r="BN36" s="425"/>
      <c r="BP36" s="274" t="str">
        <f t="shared" si="1"/>
        <v>No</v>
      </c>
      <c r="BR36" t="str">
        <f>IF(((IFERROR(INDEX('Fixed Cost-C19RM'!$AO$5:$AO$202,MATCH(BS36&amp;C36&amp;D36&amp;F36,'Fixed Cost-C19RM'!$A$5:$A$202,0)),0)))&gt;0,"Yes","NO")</f>
        <v>NO</v>
      </c>
      <c r="BS36" s="286" t="s">
        <v>83</v>
      </c>
      <c r="BT36" t="s">
        <v>3279</v>
      </c>
      <c r="BU36" s="411" t="s">
        <v>3622</v>
      </c>
    </row>
    <row r="37" spans="1:73" ht="39" customHeight="1" x14ac:dyDescent="0.35">
      <c r="A37" s="256"/>
      <c r="B37" s="363" t="str">
        <f>PMsheet!$AH$94&amp;'Detailed BudgetC19RM'!BU37</f>
        <v>000P23HP1132</v>
      </c>
      <c r="C37" s="315" t="s">
        <v>2749</v>
      </c>
      <c r="D37" s="315" t="s">
        <v>3134</v>
      </c>
      <c r="E37" s="261" t="s">
        <v>3117</v>
      </c>
      <c r="F37" s="314" t="s">
        <v>620</v>
      </c>
      <c r="G37" s="315">
        <f ca="1">SETUP!$T$2</f>
        <v>0</v>
      </c>
      <c r="H37" s="315" t="str">
        <f>IF(SETUP!$E$3="","","National/Country Level")</f>
        <v/>
      </c>
      <c r="I37" s="315" t="s">
        <v>2665</v>
      </c>
      <c r="J37" s="315" t="s">
        <v>707</v>
      </c>
      <c r="K37" s="315">
        <f t="shared" si="0"/>
        <v>0</v>
      </c>
      <c r="L37" s="315"/>
      <c r="M37" s="315">
        <f>SETUP!$E$7</f>
        <v>0</v>
      </c>
      <c r="N37" s="315"/>
      <c r="O37" s="315"/>
      <c r="P37" s="315"/>
      <c r="Q37" s="917" cm="1">
        <f t="array" ref="Q37">('HPM costs-C19RM'!$G$189+'HPM costs-C19RM'!$G$190)+(SUMPRODUCT(('Fixed Cost-C19RM'!$D$5:$D$202=$D37)*('Fixed Cost-C19RM'!$F$5:$F$202=$F37)*('Fixed Cost-C19RM'!$K$5:$K$202)))</f>
        <v>0</v>
      </c>
      <c r="R37" s="917" cm="1">
        <f t="array" ref="R37">('HPM costs-C19RM'!$H$189+'HPM costs-C19RM'!$H$190)+(SUMPRODUCT(('Fixed Cost-C19RM'!$D$5:$D$202=$D37)*('Fixed Cost-C19RM'!$F$5:$F$202=$F37)*('Fixed Cost-C19RM'!$L$5:$L$202)))</f>
        <v>0</v>
      </c>
      <c r="S37" s="917" cm="1">
        <f t="array" ref="S37">('HPM costs-C19RM'!$I$189+'HPM costs-C19RM'!$I$190)+(SUMPRODUCT(('Fixed Cost-C19RM'!$D$5:$D$202=$D37)*('Fixed Cost-C19RM'!$F$5:$F$202=$F37)*('Fixed Cost-C19RM'!$M$5:$M$202)))</f>
        <v>0</v>
      </c>
      <c r="T37" s="917" cm="1">
        <f t="array" ref="T37">('HPM costs-C19RM'!$J$189+'HPM costs-C19RM'!$J$190)+(SUMPRODUCT(('Fixed Cost-C19RM'!$D$5:$D$202=$D37)*('Fixed Cost-C19RM'!$F$5:$F$202=$F37)*('Fixed Cost-C19RM'!$N$5:$N$202)))</f>
        <v>0</v>
      </c>
      <c r="U37" s="948">
        <f t="shared" si="2"/>
        <v>0</v>
      </c>
      <c r="V37" s="424"/>
      <c r="W37" s="951"/>
      <c r="X37" s="951"/>
      <c r="Y37" s="424" cm="1">
        <f t="array" ref="Y37">('HPM costs-C19RM'!$M$189+'HPM costs-C19RM'!$M$190)+(SUMPRODUCT(('Fixed Cost-C19RM'!$D$5:$D$202=$D37)*('Fixed Cost-C19RM'!$F$5:$F$202=$F37)*('Fixed Cost-C19RM'!$P$5:$P$202)))</f>
        <v>0</v>
      </c>
      <c r="Z37" s="424" cm="1">
        <f t="array" ref="Z37">('HPM costs-C19RM'!$N$189+'HPM costs-C19RM'!$N$190)+(SUMPRODUCT(('Fixed Cost-C19RM'!$D$5:$D$202=$D37)*('Fixed Cost-C19RM'!$F$5:$F$202=$F37)*('Fixed Cost-C19RM'!$Q$5:$Q$202)))</f>
        <v>0</v>
      </c>
      <c r="AA37" s="424" cm="1">
        <f t="array" ref="AA37">('HPM costs-C19RM'!$O$189+'HPM costs-C19RM'!$O$190)+(SUMPRODUCT(('Fixed Cost-C19RM'!$D$5:$D$202=$D37)*('Fixed Cost-C19RM'!$F$5:$F$202=$F37)*('Fixed Cost-C19RM'!$R$5:$R$202)))</f>
        <v>0</v>
      </c>
      <c r="AB37" s="424" cm="1">
        <f t="array" ref="AB37">('HPM costs-C19RM'!$P$189+'HPM costs-C19RM'!$P$190)+(SUMPRODUCT(('Fixed Cost-C19RM'!$D$5:$D$202=$D37)*('Fixed Cost-C19RM'!$F$5:$F$202=$F37)*('Fixed Cost-C19RM'!$S$5:$S$202)))</f>
        <v>0</v>
      </c>
      <c r="AC37" s="424">
        <f t="shared" si="3"/>
        <v>0</v>
      </c>
      <c r="AD37" s="424"/>
      <c r="AE37" s="951"/>
      <c r="AF37" s="951"/>
      <c r="AG37" s="424" cm="1">
        <f t="array" ref="AG37">('HPM costs-C19RM'!$S$189+'HPM costs-C19RM'!$S$190)+(SUMPRODUCT(('Fixed Cost-C19RM'!$D$5:$D$202=$D37)*('Fixed Cost-C19RM'!$F$5:$F$202=$F37)*('Fixed Cost-C19RM'!$U$5:$U$202)))</f>
        <v>0</v>
      </c>
      <c r="AH37" s="424" cm="1">
        <f t="array" ref="AH37">('HPM costs-C19RM'!$T$189+'HPM costs-C19RM'!$T$190)+(SUMPRODUCT(('Fixed Cost-C19RM'!$D$5:$D$202=$D37)*('Fixed Cost-C19RM'!$F$5:$F$202=$F37)*('Fixed Cost-C19RM'!$V$5:$V$202)))</f>
        <v>0</v>
      </c>
      <c r="AI37" s="424" cm="1">
        <f t="array" ref="AI37">('HPM costs-C19RM'!$U$189+'HPM costs-C19RM'!$U$190)+(SUMPRODUCT(('Fixed Cost-C19RM'!$D$5:$D$202=$D37)*('Fixed Cost-C19RM'!$F$5:$F$202=$F37)*('Fixed Cost-C19RM'!$W$5:$W$202)))</f>
        <v>0</v>
      </c>
      <c r="AJ37" s="424" cm="1">
        <f t="array" ref="AJ37">('HPM costs-C19RM'!$V$189+'HPM costs-C19RM'!$V$190)+(SUMPRODUCT(('Fixed Cost-C19RM'!$D$5:$D$202=$D37)*('Fixed Cost-C19RM'!$F$5:$F$202=$F37)*('Fixed Cost-C19RM'!$X$5:$X$202)))</f>
        <v>0</v>
      </c>
      <c r="AK37" s="424">
        <f t="shared" si="4"/>
        <v>0</v>
      </c>
      <c r="AL37" s="424"/>
      <c r="AM37" s="951"/>
      <c r="AN37" s="951"/>
      <c r="AO37" s="424" cm="1">
        <f t="array" ref="AO37">('HPM costs-C19RM'!$Y$189+'HPM costs-C19RM'!$Y$190)+(SUMPRODUCT(('Fixed Cost-C19RM'!$D$5:$D$202=$D37)*('Fixed Cost-C19RM'!$F$5:$F$202=$F37)*('Fixed Cost-C19RM'!$Z$5:$Z$202)))</f>
        <v>0</v>
      </c>
      <c r="AP37" s="424" cm="1">
        <f t="array" ref="AP37">('HPM costs-C19RM'!$Z$189+'HPM costs-C19RM'!$Z$190)+(SUMPRODUCT(('Fixed Cost-C19RM'!$D$5:$D$202=$D37)*('Fixed Cost-C19RM'!$F$5:$F$202=$F37)*('Fixed Cost-C19RM'!$AA$5:$AA$202)))</f>
        <v>0</v>
      </c>
      <c r="AQ37" s="424" cm="1">
        <f t="array" ref="AQ37">('HPM costs-C19RM'!$AA$189+'HPM costs-C19RM'!$AA$190)+(SUMPRODUCT(('Fixed Cost-C19RM'!$D$5:$D$202=$D37)*('Fixed Cost-C19RM'!$F$5:$F$202=$F37)*('Fixed Cost-C19RM'!$AB$5:$AB$202)))</f>
        <v>0</v>
      </c>
      <c r="AR37" s="424" cm="1">
        <f t="array" ref="AR37">('HPM costs-C19RM'!$AB$189+'HPM costs-C19RM'!$AB$190)+(SUMPRODUCT(('Fixed Cost-C19RM'!$D$5:$D$202=$D37)*('Fixed Cost-C19RM'!$F$5:$F$202=$F37)*('Fixed Cost-C19RM'!$AC$5:$AC$202)))</f>
        <v>0</v>
      </c>
      <c r="AS37" s="424">
        <f t="shared" si="5"/>
        <v>0</v>
      </c>
      <c r="AT37" s="424"/>
      <c r="AU37" s="951"/>
      <c r="AV37" s="951"/>
      <c r="AW37" s="424" cm="1">
        <f t="array" ref="AW37">('HPM costs-C19RM'!$AE$189+'HPM costs-C19RM'!$AE$190)+(SUMPRODUCT(('Fixed Cost-C19RM'!$D$5:$D$202=$D37)*('Fixed Cost-C19RM'!$F$5:$F$202=$F37)*('Fixed Cost-C19RM'!$AE$5:$AE$202)))</f>
        <v>0</v>
      </c>
      <c r="AX37" s="424" cm="1">
        <f t="array" ref="AX37">('HPM costs-C19RM'!$AF$189+'HPM costs-C19RM'!$AF$190)+(SUMPRODUCT(('Fixed Cost-C19RM'!$D$5:$D$202=$D37)*('Fixed Cost-C19RM'!$F$5:$F$202=$F37)*('Fixed Cost-C19RM'!$AF$5:$AF$202)))</f>
        <v>0</v>
      </c>
      <c r="AY37" s="424" cm="1">
        <f t="array" ref="AY37">('HPM costs-C19RM'!$AG$189+'HPM costs-C19RM'!$AG$190)+(SUMPRODUCT(('Fixed Cost-C19RM'!$D$5:$D$202=$D37)*('Fixed Cost-C19RM'!$F$5:$F$202=$F37)*('Fixed Cost-C19RM'!$AG$5:$AG$202)))</f>
        <v>0</v>
      </c>
      <c r="AZ37" s="424" cm="1">
        <f t="array" ref="AZ37">('HPM costs-C19RM'!$AH$189+'HPM costs-C19RM'!$AH$190)+(SUMPRODUCT(('Fixed Cost-C19RM'!$D$5:$D$202=$D37)*('Fixed Cost-C19RM'!$F$5:$F$202=$F37)*('Fixed Cost-C19RM'!$AH$5:$AH$202)))</f>
        <v>0</v>
      </c>
      <c r="BA37" s="424">
        <f t="shared" si="6"/>
        <v>0</v>
      </c>
      <c r="BB37" s="424"/>
      <c r="BC37" s="951"/>
      <c r="BD37" s="951"/>
      <c r="BE37" s="424">
        <v>0</v>
      </c>
      <c r="BF37" s="424">
        <v>0</v>
      </c>
      <c r="BG37" s="424">
        <v>0</v>
      </c>
      <c r="BH37" s="424">
        <v>0</v>
      </c>
      <c r="BI37" s="424">
        <f t="shared" si="7"/>
        <v>0</v>
      </c>
      <c r="BJ37" s="424"/>
      <c r="BK37" s="424">
        <f t="shared" si="8"/>
        <v>0</v>
      </c>
      <c r="BL37" s="424"/>
      <c r="BM37" s="142"/>
      <c r="BN37" s="425"/>
      <c r="BP37" s="274" t="str">
        <f t="shared" si="1"/>
        <v>No</v>
      </c>
      <c r="BR37" t="str">
        <f>IF(((IFERROR(INDEX('Fixed Cost-C19RM'!$AO$5:$AO$202,MATCH(BS37&amp;C37&amp;D37&amp;F37,'Fixed Cost-C19RM'!$A$5:$A$202,0)),0)))&gt;0,"Yes","NO")</f>
        <v>NO</v>
      </c>
      <c r="BS37" s="286" t="s">
        <v>83</v>
      </c>
      <c r="BT37" t="s">
        <v>3280</v>
      </c>
      <c r="BU37" s="411" t="s">
        <v>3623</v>
      </c>
    </row>
    <row r="38" spans="1:73" ht="39" customHeight="1" x14ac:dyDescent="0.35">
      <c r="A38" s="256"/>
      <c r="B38" s="363" t="str">
        <f>PMsheet!$AH$94&amp;'Detailed BudgetC19RM'!BU38</f>
        <v>000P23HP1133</v>
      </c>
      <c r="C38" s="315" t="s">
        <v>2749</v>
      </c>
      <c r="D38" s="315" t="s">
        <v>3134</v>
      </c>
      <c r="E38" s="261" t="s">
        <v>3117</v>
      </c>
      <c r="F38" s="314" t="s">
        <v>621</v>
      </c>
      <c r="G38" s="315">
        <f ca="1">SETUP!$T$2</f>
        <v>0</v>
      </c>
      <c r="H38" s="315" t="str">
        <f>IF(SETUP!$E$3="","","National/Country Level")</f>
        <v/>
      </c>
      <c r="I38" s="315" t="s">
        <v>2665</v>
      </c>
      <c r="J38" s="315" t="s">
        <v>707</v>
      </c>
      <c r="K38" s="315">
        <f t="shared" ref="K38:K74" si="10">GRAN_NO</f>
        <v>0</v>
      </c>
      <c r="L38" s="315"/>
      <c r="M38" s="315">
        <f>SETUP!$E$7</f>
        <v>0</v>
      </c>
      <c r="N38" s="315"/>
      <c r="O38" s="315"/>
      <c r="P38" s="315"/>
      <c r="Q38" s="917" cm="1">
        <f t="array" ref="Q38">('HPM costs-C19RM'!$G$236+'HPM costs-C19RM'!$G$237)+(SUMPRODUCT(('Fixed Cost-C19RM'!$D$5:$D$202=$D38)*('Fixed Cost-C19RM'!$F$5:$F$202=$F38)*('Fixed Cost-C19RM'!$K$5:$K$202)))</f>
        <v>0</v>
      </c>
      <c r="R38" s="917" cm="1">
        <f t="array" ref="R38">('HPM costs-C19RM'!$H$236+'HPM costs-C19RM'!$H$237)+(SUMPRODUCT(('Fixed Cost-C19RM'!$D$5:$D$202=$D38)*('Fixed Cost-C19RM'!$F$5:$F$202=$F38)*('Fixed Cost-C19RM'!$L$5:$L$202)))</f>
        <v>0</v>
      </c>
      <c r="S38" s="917" cm="1">
        <f t="array" ref="S38">('HPM costs-C19RM'!$I$236+'HPM costs-C19RM'!$I$237)+(SUMPRODUCT(('Fixed Cost-C19RM'!$D$5:$D$202=$D38)*('Fixed Cost-C19RM'!$F$5:$F$202=$F38)*('Fixed Cost-C19RM'!$M$5:$M$202)))</f>
        <v>0</v>
      </c>
      <c r="T38" s="917" cm="1">
        <f t="array" ref="T38">('HPM costs-C19RM'!$J$236+'HPM costs-C19RM'!$J$237)+(SUMPRODUCT(('Fixed Cost-C19RM'!$D$5:$D$202=$D38)*('Fixed Cost-C19RM'!$F$5:$F$202=$F38)*('Fixed Cost-C19RM'!$N$5:$N$202)))</f>
        <v>0</v>
      </c>
      <c r="U38" s="948">
        <f t="shared" si="2"/>
        <v>0</v>
      </c>
      <c r="V38" s="424"/>
      <c r="W38" s="951"/>
      <c r="X38" s="951"/>
      <c r="Y38" s="424" cm="1">
        <f t="array" ref="Y38">('HPM costs-C19RM'!$M$236+'HPM costs-C19RM'!$M$237)+(SUMPRODUCT(('Fixed Cost-C19RM'!$D$5:$D$202=$D38)*('Fixed Cost-C19RM'!$F$5:$F$202=$F38)*('Fixed Cost-C19RM'!$P$5:$P$202)))</f>
        <v>0</v>
      </c>
      <c r="Z38" s="424" cm="1">
        <f t="array" ref="Z38">('HPM costs-C19RM'!$N$236+'HPM costs-C19RM'!$N$237)+(SUMPRODUCT(('Fixed Cost-C19RM'!$D$5:$D$202=$D38)*('Fixed Cost-C19RM'!$F$5:$F$202=$F38)*('Fixed Cost-C19RM'!$Q$5:$Q$202)))</f>
        <v>0</v>
      </c>
      <c r="AA38" s="424" cm="1">
        <f t="array" ref="AA38">('HPM costs-C19RM'!$O$236+'HPM costs-C19RM'!$O$237)+(SUMPRODUCT(('Fixed Cost-C19RM'!$D$5:$D$202=$D38)*('Fixed Cost-C19RM'!$F$5:$F$202=$F38)*('Fixed Cost-C19RM'!$R$5:$R$202)))</f>
        <v>0</v>
      </c>
      <c r="AB38" s="424" cm="1">
        <f t="array" ref="AB38">('HPM costs-C19RM'!$P$236+'HPM costs-C19RM'!$P$237)+(SUMPRODUCT(('Fixed Cost-C19RM'!$D$5:$D$202=$D38)*('Fixed Cost-C19RM'!$F$5:$F$202=$F38)*('Fixed Cost-C19RM'!$S$5:$S$202)))</f>
        <v>0</v>
      </c>
      <c r="AC38" s="424">
        <f t="shared" si="3"/>
        <v>0</v>
      </c>
      <c r="AD38" s="424"/>
      <c r="AE38" s="951"/>
      <c r="AF38" s="951"/>
      <c r="AG38" s="424" cm="1">
        <f t="array" ref="AG38">('HPM costs-C19RM'!$S$236+'HPM costs-C19RM'!$S$237)+(SUMPRODUCT(('Fixed Cost-C19RM'!$D$5:$D$202=$D38)*('Fixed Cost-C19RM'!$F$5:$F$202=$F38)*('Fixed Cost-C19RM'!$U$5:$U$202)))</f>
        <v>0</v>
      </c>
      <c r="AH38" s="424" cm="1">
        <f t="array" ref="AH38">('HPM costs-C19RM'!$T$236+'HPM costs-C19RM'!$T$237)+(SUMPRODUCT(('Fixed Cost-C19RM'!$D$5:$D$202=$D38)*('Fixed Cost-C19RM'!$F$5:$F$202=$F38)*('Fixed Cost-C19RM'!$V$5:$V$202)))</f>
        <v>0</v>
      </c>
      <c r="AI38" s="424" cm="1">
        <f t="array" ref="AI38">('HPM costs-C19RM'!$U$236+'HPM costs-C19RM'!$U$237)+(SUMPRODUCT(('Fixed Cost-C19RM'!$D$5:$D$202=$D38)*('Fixed Cost-C19RM'!$F$5:$F$202=$F38)*('Fixed Cost-C19RM'!$W$5:$W$202)))</f>
        <v>0</v>
      </c>
      <c r="AJ38" s="424" cm="1">
        <f t="array" ref="AJ38">('HPM costs-C19RM'!$V$236+'HPM costs-C19RM'!$V$237)+(SUMPRODUCT(('Fixed Cost-C19RM'!$D$5:$D$202=$D38)*('Fixed Cost-C19RM'!$F$5:$F$202=$F38)*('Fixed Cost-C19RM'!$X$5:$X$202)))</f>
        <v>0</v>
      </c>
      <c r="AK38" s="424">
        <f t="shared" si="4"/>
        <v>0</v>
      </c>
      <c r="AL38" s="424"/>
      <c r="AM38" s="951"/>
      <c r="AN38" s="951"/>
      <c r="AO38" s="424" cm="1">
        <f t="array" ref="AO38">('HPM costs-C19RM'!$Y$236+'HPM costs-C19RM'!$Y$237)+(SUMPRODUCT(('Fixed Cost-C19RM'!$D$5:$D$202=$D38)*('Fixed Cost-C19RM'!$F$5:$F$202=$F38)*('Fixed Cost-C19RM'!$Z$5:$Z$202)))</f>
        <v>0</v>
      </c>
      <c r="AP38" s="424" cm="1">
        <f t="array" ref="AP38">('HPM costs-C19RM'!$Z$236+'HPM costs-C19RM'!$Z$237)+(SUMPRODUCT(('Fixed Cost-C19RM'!$D$5:$D$202=$D38)*('Fixed Cost-C19RM'!$F$5:$F$202=$F38)*('Fixed Cost-C19RM'!$AA$5:$AA$202)))</f>
        <v>0</v>
      </c>
      <c r="AQ38" s="424" cm="1">
        <f t="array" ref="AQ38">('HPM costs-C19RM'!$AA$236+'HPM costs-C19RM'!$AA$237)+(SUMPRODUCT(('Fixed Cost-C19RM'!$D$5:$D$202=$D38)*('Fixed Cost-C19RM'!$F$5:$F$202=$F38)*('Fixed Cost-C19RM'!$AB$5:$AB$202)))</f>
        <v>0</v>
      </c>
      <c r="AR38" s="424" cm="1">
        <f t="array" ref="AR38">('HPM costs-C19RM'!$AB$236+'HPM costs-C19RM'!$AB$237)+(SUMPRODUCT(('Fixed Cost-C19RM'!$D$5:$D$202=$D38)*('Fixed Cost-C19RM'!$F$5:$F$202=$F38)*('Fixed Cost-C19RM'!$AC$5:$AC$202)))</f>
        <v>0</v>
      </c>
      <c r="AS38" s="424">
        <f t="shared" si="5"/>
        <v>0</v>
      </c>
      <c r="AT38" s="424"/>
      <c r="AU38" s="951"/>
      <c r="AV38" s="951"/>
      <c r="AW38" s="424" cm="1">
        <f t="array" ref="AW38">('HPM costs-C19RM'!$AE$236+'HPM costs-C19RM'!$AE$237)+(SUMPRODUCT(('Fixed Cost-C19RM'!$D$5:$D$202=$D38)*('Fixed Cost-C19RM'!$F$5:$F$202=$F38)*('Fixed Cost-C19RM'!$AE$5:$AE$202)))</f>
        <v>0</v>
      </c>
      <c r="AX38" s="424" cm="1">
        <f t="array" ref="AX38">('HPM costs-C19RM'!$AF$236+'HPM costs-C19RM'!$AF$237)+(SUMPRODUCT(('Fixed Cost-C19RM'!$D$5:$D$202=$D38)*('Fixed Cost-C19RM'!$F$5:$F$202=$F38)*('Fixed Cost-C19RM'!$AF$5:$AF$202)))</f>
        <v>0</v>
      </c>
      <c r="AY38" s="424" cm="1">
        <f t="array" ref="AY38">('HPM costs-C19RM'!$AG$236+'HPM costs-C19RM'!$AG$237)+(SUMPRODUCT(('Fixed Cost-C19RM'!$D$5:$D$202=$D38)*('Fixed Cost-C19RM'!$F$5:$F$202=$F38)*('Fixed Cost-C19RM'!$AG$5:$AG$202)))</f>
        <v>0</v>
      </c>
      <c r="AZ38" s="424" cm="1">
        <f t="array" ref="AZ38">('HPM costs-C19RM'!$AH$236+'HPM costs-C19RM'!$AH$237)+(SUMPRODUCT(('Fixed Cost-C19RM'!$D$5:$D$202=$D38)*('Fixed Cost-C19RM'!$F$5:$F$202=$F38)*('Fixed Cost-C19RM'!$AH$5:$AH$202)))</f>
        <v>0</v>
      </c>
      <c r="BA38" s="424">
        <f t="shared" si="6"/>
        <v>0</v>
      </c>
      <c r="BB38" s="424"/>
      <c r="BC38" s="951"/>
      <c r="BD38" s="951"/>
      <c r="BE38" s="424">
        <v>0</v>
      </c>
      <c r="BF38" s="424">
        <v>0</v>
      </c>
      <c r="BG38" s="424">
        <v>0</v>
      </c>
      <c r="BH38" s="424">
        <v>0</v>
      </c>
      <c r="BI38" s="424">
        <f t="shared" si="7"/>
        <v>0</v>
      </c>
      <c r="BJ38" s="424"/>
      <c r="BK38" s="424">
        <f t="shared" si="8"/>
        <v>0</v>
      </c>
      <c r="BL38" s="424"/>
      <c r="BM38" s="142"/>
      <c r="BN38" s="425"/>
      <c r="BP38" s="274" t="str">
        <f t="shared" ref="BP38:BP74" si="11">IF(BK38&gt;0,"Yes","No")</f>
        <v>No</v>
      </c>
      <c r="BR38" t="str">
        <f>IF(((IFERROR(INDEX('Fixed Cost-C19RM'!$AO$5:$AO$202,MATCH(BS38&amp;C38&amp;D38&amp;F38,'Fixed Cost-C19RM'!$A$5:$A$202,0)),0)))&gt;0,"Yes","NO")</f>
        <v>NO</v>
      </c>
      <c r="BS38" s="286" t="s">
        <v>83</v>
      </c>
      <c r="BT38" t="s">
        <v>3281</v>
      </c>
      <c r="BU38" s="411" t="s">
        <v>3624</v>
      </c>
    </row>
    <row r="39" spans="1:73" ht="39" customHeight="1" x14ac:dyDescent="0.35">
      <c r="A39" s="256"/>
      <c r="B39" s="363" t="str">
        <f>PMsheet!$AH$94&amp;'Detailed BudgetC19RM'!BU39</f>
        <v>000P23HP1134</v>
      </c>
      <c r="C39" s="315" t="s">
        <v>2749</v>
      </c>
      <c r="D39" s="315" t="s">
        <v>3134</v>
      </c>
      <c r="E39" s="261" t="s">
        <v>3117</v>
      </c>
      <c r="F39" s="314" t="s">
        <v>750</v>
      </c>
      <c r="G39" s="315">
        <f ca="1">SETUP!$T$2</f>
        <v>0</v>
      </c>
      <c r="H39" s="315" t="str">
        <f>IF(SETUP!$E$3="","","National/Country Level")</f>
        <v/>
      </c>
      <c r="I39" s="315" t="s">
        <v>2665</v>
      </c>
      <c r="J39" s="315" t="s">
        <v>707</v>
      </c>
      <c r="K39" s="315">
        <f t="shared" si="10"/>
        <v>0</v>
      </c>
      <c r="L39" s="315"/>
      <c r="M39" s="315">
        <f>SETUP!$E$7</f>
        <v>0</v>
      </c>
      <c r="N39" s="315"/>
      <c r="O39" s="315"/>
      <c r="P39" s="315"/>
      <c r="Q39" s="917" cm="1">
        <f t="array" ref="Q39">('HPM costs-C19RM'!$G$92+'HPM costs-C19RM'!$G$93)+('HPM costs-C19RM'!$G$284+'HPM costs-C19RM'!$G$285)+(SUMPRODUCT(('Fixed Cost-C19RM'!$D$5:$D$202=$D39)*('Fixed Cost-C19RM'!$F$5:$F$202=$F39)*('Fixed Cost-C19RM'!$K$5:$K$202)))</f>
        <v>0</v>
      </c>
      <c r="R39" s="917" cm="1">
        <f t="array" ref="R39">('HPM costs-C19RM'!$H$92+'HPM costs-C19RM'!$H$93)+('HPM costs-C19RM'!$H$284+'HPM costs-C19RM'!$H$285)+(SUMPRODUCT(('Fixed Cost-C19RM'!$D$5:$D$202=$D39)*('Fixed Cost-C19RM'!$F$5:$F$202=$F39)*('Fixed Cost-C19RM'!$L$5:$L$202)))</f>
        <v>0</v>
      </c>
      <c r="S39" s="917" cm="1">
        <f t="array" ref="S39">('HPM costs-C19RM'!$I$92+'HPM costs-C19RM'!$I$93)+('HPM costs-C19RM'!$I$284+'HPM costs-C19RM'!$I$285)+(SUMPRODUCT(('Fixed Cost-C19RM'!$D$5:$D$202=$D39)*('Fixed Cost-C19RM'!$F$5:$F$202=$F39)*('Fixed Cost-C19RM'!$M$5:$M$202)))</f>
        <v>0</v>
      </c>
      <c r="T39" s="917" cm="1">
        <f t="array" ref="T39">('HPM costs-C19RM'!$J$92+'HPM costs-C19RM'!$J$93)+('HPM costs-C19RM'!$J$284+'HPM costs-C19RM'!$J$285)+(SUMPRODUCT(('Fixed Cost-C19RM'!$D$5:$D$202=$D39)*('Fixed Cost-C19RM'!$F$5:$F$202=$F39)*('Fixed Cost-C19RM'!$N$5:$N$202)))</f>
        <v>0</v>
      </c>
      <c r="U39" s="948">
        <f t="shared" si="2"/>
        <v>0</v>
      </c>
      <c r="V39" s="424"/>
      <c r="W39" s="951"/>
      <c r="X39" s="951"/>
      <c r="Y39" s="424" cm="1">
        <f t="array" ref="Y39">('HPM costs-C19RM'!$M$92+'HPM costs-C19RM'!$M$93)+('HPM costs-C19RM'!$M$284+'HPM costs-C19RM'!$M$285)+(SUMPRODUCT(('Fixed Cost-C19RM'!$D$5:$D$202=$D39)*('Fixed Cost-C19RM'!$F$5:$F$202=$F39)*('Fixed Cost-C19RM'!$P$5:$P$202)))</f>
        <v>0</v>
      </c>
      <c r="Z39" s="424" cm="1">
        <f t="array" ref="Z39">('HPM costs-C19RM'!$N$92+'HPM costs-C19RM'!$N$93)+('HPM costs-C19RM'!$N$284+'HPM costs-C19RM'!$N$285)+(SUMPRODUCT(('Fixed Cost-C19RM'!$D$5:$D$202=$D39)*('Fixed Cost-C19RM'!$F$5:$F$202=$F39)*('Fixed Cost-C19RM'!$Q$5:$Q$202)))</f>
        <v>0</v>
      </c>
      <c r="AA39" s="424" cm="1">
        <f t="array" ref="AA39">('HPM costs-C19RM'!$O$92+'HPM costs-C19RM'!$O$93)+('HPM costs-C19RM'!$O$284+'HPM costs-C19RM'!$O$285)+(SUMPRODUCT(('Fixed Cost-C19RM'!$D$5:$D$202=$D39)*('Fixed Cost-C19RM'!$F$5:$F$202=$F39)*('Fixed Cost-C19RM'!$R$5:$R$202)))</f>
        <v>0</v>
      </c>
      <c r="AB39" s="424" cm="1">
        <f t="array" ref="AB39">('HPM costs-C19RM'!$P$92+'HPM costs-C19RM'!$P$93)+('HPM costs-C19RM'!$P$284+'HPM costs-C19RM'!$P$285)+(SUMPRODUCT(('Fixed Cost-C19RM'!$D$5:$D$202=$D39)*('Fixed Cost-C19RM'!$F$5:$F$202=$F39)*('Fixed Cost-C19RM'!$S$5:$S$202)))</f>
        <v>0</v>
      </c>
      <c r="AC39" s="424">
        <f t="shared" si="3"/>
        <v>0</v>
      </c>
      <c r="AD39" s="424"/>
      <c r="AE39" s="951"/>
      <c r="AF39" s="951"/>
      <c r="AG39" s="424" cm="1">
        <f t="array" ref="AG39">('HPM costs-C19RM'!$S$92+'HPM costs-C19RM'!$S$93)+('HPM costs-C19RM'!$S$284+'HPM costs-C19RM'!$S$285)+(SUMPRODUCT(('Fixed Cost-C19RM'!$D$5:$D$202=$D39)*('Fixed Cost-C19RM'!$F$5:$F$202=$F39)*('Fixed Cost-C19RM'!$U$5:$U$202)))</f>
        <v>0</v>
      </c>
      <c r="AH39" s="424" cm="1">
        <f t="array" ref="AH39">('HPM costs-C19RM'!$T$92+'HPM costs-C19RM'!$T$93)+('HPM costs-C19RM'!$T$284+'HPM costs-C19RM'!$T$285)+(SUMPRODUCT(('Fixed Cost-C19RM'!$D$5:$D$202=$D39)*('Fixed Cost-C19RM'!$F$5:$F$202=$F39)*('Fixed Cost-C19RM'!$V$5:$V$202)))</f>
        <v>0</v>
      </c>
      <c r="AI39" s="424" cm="1">
        <f t="array" ref="AI39">('HPM costs-C19RM'!$U$92+'HPM costs-C19RM'!$U$93)+('HPM costs-C19RM'!$U$284+'HPM costs-C19RM'!$U$285)+(SUMPRODUCT(('Fixed Cost-C19RM'!$D$5:$D$202=$D39)*('Fixed Cost-C19RM'!$F$5:$F$202=$F39)*('Fixed Cost-C19RM'!$W$5:$W$202)))</f>
        <v>0</v>
      </c>
      <c r="AJ39" s="424" cm="1">
        <f t="array" ref="AJ39">('HPM costs-C19RM'!$V$92+'HPM costs-C19RM'!$V$93)+('HPM costs-C19RM'!$V$284+'HPM costs-C19RM'!$V$285)+(SUMPRODUCT(('Fixed Cost-C19RM'!$D$5:$D$202=$D39)*('Fixed Cost-C19RM'!$F$5:$F$202=$F39)*('Fixed Cost-C19RM'!$X$5:$X$202)))</f>
        <v>0</v>
      </c>
      <c r="AK39" s="424">
        <f t="shared" si="4"/>
        <v>0</v>
      </c>
      <c r="AL39" s="424"/>
      <c r="AM39" s="951"/>
      <c r="AN39" s="951"/>
      <c r="AO39" s="424" cm="1">
        <f t="array" ref="AO39">('HPM costs-C19RM'!$Y$92+'HPM costs-C19RM'!$Y$93)+('HPM costs-C19RM'!$Y$284+'HPM costs-C19RM'!$Y$285)+(SUMPRODUCT(('Fixed Cost-C19RM'!$D$5:$D$202=$D39)*('Fixed Cost-C19RM'!$F$5:$F$202=$F39)*('Fixed Cost-C19RM'!$Z$5:$Z$202)))</f>
        <v>0</v>
      </c>
      <c r="AP39" s="424" cm="1">
        <f t="array" ref="AP39">('HPM costs-C19RM'!$Z$92+'HPM costs-C19RM'!$Z$93)+('HPM costs-C19RM'!$Z$284+'HPM costs-C19RM'!$Z$285)+(SUMPRODUCT(('Fixed Cost-C19RM'!$D$5:$D$202=$D39)*('Fixed Cost-C19RM'!$F$5:$F$202=$F39)*('Fixed Cost-C19RM'!$AA$5:$AA$202)))</f>
        <v>0</v>
      </c>
      <c r="AQ39" s="424" cm="1">
        <f t="array" ref="AQ39">('HPM costs-C19RM'!$AA$92+'HPM costs-C19RM'!$AA$93)+('HPM costs-C19RM'!$AA$284+'HPM costs-C19RM'!$AA$285)+(SUMPRODUCT(('Fixed Cost-C19RM'!$D$5:$D$202=$D39)*('Fixed Cost-C19RM'!$F$5:$F$202=$F39)*('Fixed Cost-C19RM'!$AB$5:$AB$202)))</f>
        <v>0</v>
      </c>
      <c r="AR39" s="424" cm="1">
        <f t="array" ref="AR39">('HPM costs-C19RM'!$AB$92+'HPM costs-C19RM'!$AB$93)+('HPM costs-C19RM'!$AB$284+'HPM costs-C19RM'!$AB$285)+(SUMPRODUCT(('Fixed Cost-C19RM'!$D$5:$D$202=$D39)*('Fixed Cost-C19RM'!$F$5:$F$202=$F39)*('Fixed Cost-C19RM'!$AC$5:$AC$202)))</f>
        <v>0</v>
      </c>
      <c r="AS39" s="424">
        <f t="shared" si="5"/>
        <v>0</v>
      </c>
      <c r="AT39" s="424"/>
      <c r="AU39" s="951"/>
      <c r="AV39" s="951"/>
      <c r="AW39" s="424" cm="1">
        <f t="array" ref="AW39">('HPM costs-C19RM'!$AE$92+'HPM costs-C19RM'!$AE$93)+('HPM costs-C19RM'!$AE$284+'HPM costs-C19RM'!$AE$285)+(SUMPRODUCT(('Fixed Cost-C19RM'!$D$5:$D$202=$D39)*('Fixed Cost-C19RM'!$F$5:$F$202=$F39)*('Fixed Cost-C19RM'!$AE$5:$AE$202)))</f>
        <v>0</v>
      </c>
      <c r="AX39" s="424" cm="1">
        <f t="array" ref="AX39">('HPM costs-C19RM'!$AF$92+'HPM costs-C19RM'!$AF$93)+('HPM costs-C19RM'!$AF$284+'HPM costs-C19RM'!$AF$285)+(SUMPRODUCT(('Fixed Cost-C19RM'!$D$5:$D$202=$D39)*('Fixed Cost-C19RM'!$F$5:$F$202=$F39)*('Fixed Cost-C19RM'!$AF$5:$AF$202)))</f>
        <v>0</v>
      </c>
      <c r="AY39" s="424" cm="1">
        <f t="array" ref="AY39">('HPM costs-C19RM'!$AG$92+'HPM costs-C19RM'!$AG$93)+('HPM costs-C19RM'!$AG$284+'HPM costs-C19RM'!$AG$285)+(SUMPRODUCT(('Fixed Cost-C19RM'!$D$5:$D$202=$D39)*('Fixed Cost-C19RM'!$F$5:$F$202=$F39)*('Fixed Cost-C19RM'!$AG$5:$AG$202)))</f>
        <v>0</v>
      </c>
      <c r="AZ39" s="424" cm="1">
        <f t="array" ref="AZ39">('HPM costs-C19RM'!$AH$92+'HPM costs-C19RM'!$AH$93)+('HPM costs-C19RM'!$AH$284+'HPM costs-C19RM'!$AH$285)+(SUMPRODUCT(('Fixed Cost-C19RM'!$D$5:$D$202=$D39)*('Fixed Cost-C19RM'!$F$5:$F$202=$F39)*('Fixed Cost-C19RM'!$AH$5:$AH$202)))</f>
        <v>0</v>
      </c>
      <c r="BA39" s="424">
        <f t="shared" si="6"/>
        <v>0</v>
      </c>
      <c r="BB39" s="424"/>
      <c r="BC39" s="951"/>
      <c r="BD39" s="951"/>
      <c r="BE39" s="424">
        <v>0</v>
      </c>
      <c r="BF39" s="424">
        <v>0</v>
      </c>
      <c r="BG39" s="424">
        <v>0</v>
      </c>
      <c r="BH39" s="424">
        <v>0</v>
      </c>
      <c r="BI39" s="424">
        <f t="shared" si="7"/>
        <v>0</v>
      </c>
      <c r="BJ39" s="424"/>
      <c r="BK39" s="424">
        <f t="shared" si="8"/>
        <v>0</v>
      </c>
      <c r="BL39" s="424"/>
      <c r="BM39" s="142"/>
      <c r="BN39" s="425"/>
      <c r="BP39" s="274" t="str">
        <f t="shared" si="11"/>
        <v>No</v>
      </c>
      <c r="BR39" t="str">
        <f>IF(((IFERROR(INDEX('Fixed Cost-C19RM'!$AO$5:$AO$202,MATCH(BS39&amp;C39&amp;D39&amp;F39,'Fixed Cost-C19RM'!$A$5:$A$202,0)),0)))&gt;0,"Yes","NO")</f>
        <v>NO</v>
      </c>
      <c r="BS39" s="286" t="s">
        <v>83</v>
      </c>
      <c r="BT39" t="s">
        <v>3282</v>
      </c>
      <c r="BU39" s="411" t="s">
        <v>3625</v>
      </c>
    </row>
    <row r="40" spans="1:73" ht="39" customHeight="1" x14ac:dyDescent="0.35">
      <c r="A40" s="256"/>
      <c r="B40" s="363" t="str">
        <f>PMsheet!$AH$94&amp;'Detailed BudgetC19RM'!BU40</f>
        <v>000P23HP1135</v>
      </c>
      <c r="C40" s="315" t="s">
        <v>2749</v>
      </c>
      <c r="D40" s="315" t="s">
        <v>3134</v>
      </c>
      <c r="E40" s="261" t="s">
        <v>3117</v>
      </c>
      <c r="F40" s="314" t="s">
        <v>622</v>
      </c>
      <c r="G40" s="315">
        <f ca="1">SETUP!$T$2</f>
        <v>0</v>
      </c>
      <c r="H40" s="315" t="str">
        <f>IF(SETUP!$E$3="","","National/Country Level")</f>
        <v/>
      </c>
      <c r="I40" s="315" t="s">
        <v>2665</v>
      </c>
      <c r="J40" s="315" t="s">
        <v>707</v>
      </c>
      <c r="K40" s="315">
        <f t="shared" si="10"/>
        <v>0</v>
      </c>
      <c r="L40" s="315"/>
      <c r="M40" s="315">
        <f>SETUP!$E$7</f>
        <v>0</v>
      </c>
      <c r="N40" s="315"/>
      <c r="O40" s="315"/>
      <c r="P40" s="315"/>
      <c r="Q40" s="917" cm="1">
        <f t="array" ref="Q40">('HPM costs-C19RM'!$G$140+'HPM costs-C19RM'!$G$141)+(SUMPRODUCT(('Fixed Cost-C19RM'!$D$5:$D$202=$D40)*('Fixed Cost-C19RM'!$F$5:$F$202=$F40)*('Fixed Cost-C19RM'!$K$5:$K$202)))</f>
        <v>0</v>
      </c>
      <c r="R40" s="917" cm="1">
        <f t="array" ref="R40">('HPM costs-C19RM'!$H$140+'HPM costs-C19RM'!$H$141)+(SUMPRODUCT(('Fixed Cost-C19RM'!$D$5:$D$202=$D40)*('Fixed Cost-C19RM'!$F$5:$F$202=$F40)*('Fixed Cost-C19RM'!$L$5:$L$202)))</f>
        <v>0</v>
      </c>
      <c r="S40" s="917" cm="1">
        <f t="array" ref="S40">('HPM costs-C19RM'!$I$140+'HPM costs-C19RM'!$I$141)+(SUMPRODUCT(('Fixed Cost-C19RM'!$D$5:$D$202=$D40)*('Fixed Cost-C19RM'!$F$5:$F$202=$F40)*('Fixed Cost-C19RM'!$M$5:$M$202)))</f>
        <v>0</v>
      </c>
      <c r="T40" s="917" cm="1">
        <f t="array" ref="T40">('HPM costs-C19RM'!$J$140+'HPM costs-C19RM'!$J$141)+(SUMPRODUCT(('Fixed Cost-C19RM'!$D$5:$D$202=$D40)*('Fixed Cost-C19RM'!$F$5:$F$202=$F40)*('Fixed Cost-C19RM'!$N$5:$N$202)))</f>
        <v>0</v>
      </c>
      <c r="U40" s="948">
        <f t="shared" si="2"/>
        <v>0</v>
      </c>
      <c r="V40" s="424"/>
      <c r="W40" s="951"/>
      <c r="X40" s="951"/>
      <c r="Y40" s="424" cm="1">
        <f t="array" ref="Y40">('HPM costs-C19RM'!$M$140+'HPM costs-C19RM'!$M$141)+(SUMPRODUCT(('Fixed Cost-C19RM'!$D$5:$D$202=$D40)*('Fixed Cost-C19RM'!$F$5:$F$202=$F40)*('Fixed Cost-C19RM'!$P$5:$P$202)))</f>
        <v>0</v>
      </c>
      <c r="Z40" s="424" cm="1">
        <f t="array" ref="Z40">('HPM costs-C19RM'!$N$140+'HPM costs-C19RM'!$N$141)+(SUMPRODUCT(('Fixed Cost-C19RM'!$D$5:$D$202=$D40)*('Fixed Cost-C19RM'!$F$5:$F$202=$F40)*('Fixed Cost-C19RM'!$Q$5:$Q$202)))</f>
        <v>0</v>
      </c>
      <c r="AA40" s="424" cm="1">
        <f t="array" ref="AA40">('HPM costs-C19RM'!$O$140+'HPM costs-C19RM'!$O$141)+(SUMPRODUCT(('Fixed Cost-C19RM'!$D$5:$D$202=$D40)*('Fixed Cost-C19RM'!$F$5:$F$202=$F40)*('Fixed Cost-C19RM'!$R$5:$R$202)))</f>
        <v>0</v>
      </c>
      <c r="AB40" s="424" cm="1">
        <f t="array" ref="AB40">('HPM costs-C19RM'!$P$140+'HPM costs-C19RM'!$P$141)+(SUMPRODUCT(('Fixed Cost-C19RM'!$D$5:$D$202=$D40)*('Fixed Cost-C19RM'!$F$5:$F$202=$F40)*('Fixed Cost-C19RM'!$S$5:$S$202)))</f>
        <v>0</v>
      </c>
      <c r="AC40" s="424">
        <f t="shared" si="3"/>
        <v>0</v>
      </c>
      <c r="AD40" s="424"/>
      <c r="AE40" s="951"/>
      <c r="AF40" s="951"/>
      <c r="AG40" s="424" cm="1">
        <f t="array" ref="AG40">('HPM costs-C19RM'!$S$140+'HPM costs-C19RM'!$S$141)+(SUMPRODUCT(('Fixed Cost-C19RM'!$D$5:$D$202=$D40)*('Fixed Cost-C19RM'!$F$5:$F$202=$F40)*('Fixed Cost-C19RM'!$U$5:$U$202)))</f>
        <v>0</v>
      </c>
      <c r="AH40" s="424" cm="1">
        <f t="array" ref="AH40">('HPM costs-C19RM'!$T$140+'HPM costs-C19RM'!$T$141)+(SUMPRODUCT(('Fixed Cost-C19RM'!$D$5:$D$202=$D40)*('Fixed Cost-C19RM'!$F$5:$F$202=$F40)*('Fixed Cost-C19RM'!$V$5:$V$202)))</f>
        <v>0</v>
      </c>
      <c r="AI40" s="424" cm="1">
        <f t="array" ref="AI40">('HPM costs-C19RM'!$U$140+'HPM costs-C19RM'!$U$141)+(SUMPRODUCT(('Fixed Cost-C19RM'!$D$5:$D$202=$D40)*('Fixed Cost-C19RM'!$F$5:$F$202=$F40)*('Fixed Cost-C19RM'!$W$5:$W$202)))</f>
        <v>0</v>
      </c>
      <c r="AJ40" s="424" cm="1">
        <f t="array" ref="AJ40">('HPM costs-C19RM'!$V$140+'HPM costs-C19RM'!$V$141)+(SUMPRODUCT(('Fixed Cost-C19RM'!$D$5:$D$202=$D40)*('Fixed Cost-C19RM'!$F$5:$F$202=$F40)*('Fixed Cost-C19RM'!$X$5:$X$202)))</f>
        <v>0</v>
      </c>
      <c r="AK40" s="424">
        <f t="shared" si="4"/>
        <v>0</v>
      </c>
      <c r="AL40" s="424"/>
      <c r="AM40" s="951"/>
      <c r="AN40" s="951"/>
      <c r="AO40" s="424" cm="1">
        <f t="array" ref="AO40">('HPM costs-C19RM'!$Y$140+'HPM costs-C19RM'!$Y$141)+(SUMPRODUCT(('Fixed Cost-C19RM'!$D$5:$D$202=$D40)*('Fixed Cost-C19RM'!$F$5:$F$202=$F40)*('Fixed Cost-C19RM'!$Z$5:$Z$202)))</f>
        <v>0</v>
      </c>
      <c r="AP40" s="424" cm="1">
        <f t="array" ref="AP40">('HPM costs-C19RM'!$Z$140+'HPM costs-C19RM'!$Z$141)+(SUMPRODUCT(('Fixed Cost-C19RM'!$D$5:$D$202=$D40)*('Fixed Cost-C19RM'!$F$5:$F$202=$F40)*('Fixed Cost-C19RM'!$AA$5:$AA$202)))</f>
        <v>0</v>
      </c>
      <c r="AQ40" s="424" cm="1">
        <f t="array" ref="AQ40">('HPM costs-C19RM'!$AA$140+'HPM costs-C19RM'!$AA$141)+(SUMPRODUCT(('Fixed Cost-C19RM'!$D$5:$D$202=$D40)*('Fixed Cost-C19RM'!$F$5:$F$202=$F40)*('Fixed Cost-C19RM'!$AB$5:$AB$202)))</f>
        <v>0</v>
      </c>
      <c r="AR40" s="424" cm="1">
        <f t="array" ref="AR40">('HPM costs-C19RM'!$AB$140+'HPM costs-C19RM'!$AB$141)+(SUMPRODUCT(('Fixed Cost-C19RM'!$D$5:$D$202=$D40)*('Fixed Cost-C19RM'!$F$5:$F$202=$F40)*('Fixed Cost-C19RM'!$AC$5:$AC$202)))</f>
        <v>0</v>
      </c>
      <c r="AS40" s="424">
        <f t="shared" si="5"/>
        <v>0</v>
      </c>
      <c r="AT40" s="424"/>
      <c r="AU40" s="951"/>
      <c r="AV40" s="951"/>
      <c r="AW40" s="424" cm="1">
        <f t="array" ref="AW40">('HPM costs-C19RM'!$AE$140+'HPM costs-C19RM'!$AE$141)+(SUMPRODUCT(('Fixed Cost-C19RM'!$D$5:$D$202=$D40)*('Fixed Cost-C19RM'!$F$5:$F$202=$F40)*('Fixed Cost-C19RM'!$AE$5:$AE$202)))</f>
        <v>0</v>
      </c>
      <c r="AX40" s="424" cm="1">
        <f t="array" ref="AX40">('HPM costs-C19RM'!$AF$140+'HPM costs-C19RM'!$AF$141)+(SUMPRODUCT(('Fixed Cost-C19RM'!$D$5:$D$202=$D40)*('Fixed Cost-C19RM'!$F$5:$F$202=$F40)*('Fixed Cost-C19RM'!$AF$5:$AF$202)))</f>
        <v>0</v>
      </c>
      <c r="AY40" s="424" cm="1">
        <f t="array" ref="AY40">('HPM costs-C19RM'!$AG$140+'HPM costs-C19RM'!$AG$141)+(SUMPRODUCT(('Fixed Cost-C19RM'!$D$5:$D$202=$D40)*('Fixed Cost-C19RM'!$F$5:$F$202=$F40)*('Fixed Cost-C19RM'!$AG$5:$AG$202)))</f>
        <v>0</v>
      </c>
      <c r="AZ40" s="424" cm="1">
        <f t="array" ref="AZ40">('HPM costs-C19RM'!$AH$140+'HPM costs-C19RM'!$AH$141)+(SUMPRODUCT(('Fixed Cost-C19RM'!$D$5:$D$202=$D40)*('Fixed Cost-C19RM'!$F$5:$F$202=$F40)*('Fixed Cost-C19RM'!$AH$5:$AH$202)))</f>
        <v>0</v>
      </c>
      <c r="BA40" s="424">
        <f t="shared" si="6"/>
        <v>0</v>
      </c>
      <c r="BB40" s="424"/>
      <c r="BC40" s="951"/>
      <c r="BD40" s="951"/>
      <c r="BE40" s="424">
        <v>0</v>
      </c>
      <c r="BF40" s="424">
        <v>0</v>
      </c>
      <c r="BG40" s="424">
        <v>0</v>
      </c>
      <c r="BH40" s="424">
        <v>0</v>
      </c>
      <c r="BI40" s="424">
        <f t="shared" si="7"/>
        <v>0</v>
      </c>
      <c r="BJ40" s="424"/>
      <c r="BK40" s="424">
        <f t="shared" si="8"/>
        <v>0</v>
      </c>
      <c r="BL40" s="424"/>
      <c r="BM40" s="142"/>
      <c r="BN40" s="425"/>
      <c r="BP40" s="274" t="str">
        <f t="shared" si="11"/>
        <v>No</v>
      </c>
      <c r="BR40" t="str">
        <f>IF(((IFERROR(INDEX('Fixed Cost-C19RM'!$AO$5:$AO$202,MATCH(BS40&amp;C40&amp;D40&amp;F40,'Fixed Cost-C19RM'!$A$5:$A$202,0)),0)))&gt;0,"Yes","NO")</f>
        <v>NO</v>
      </c>
      <c r="BS40" s="286" t="s">
        <v>83</v>
      </c>
      <c r="BT40" t="s">
        <v>3283</v>
      </c>
      <c r="BU40" s="411" t="s">
        <v>3626</v>
      </c>
    </row>
    <row r="41" spans="1:73" ht="39" customHeight="1" x14ac:dyDescent="0.35">
      <c r="A41" s="256"/>
      <c r="B41" s="363" t="str">
        <f>PMsheet!$AH$94&amp;'Detailed BudgetC19RM'!BU41</f>
        <v>000P23HP1136</v>
      </c>
      <c r="C41" s="315" t="s">
        <v>2749</v>
      </c>
      <c r="D41" s="315" t="s">
        <v>3134</v>
      </c>
      <c r="E41" s="261" t="s">
        <v>3117</v>
      </c>
      <c r="F41" s="314" t="s">
        <v>751</v>
      </c>
      <c r="G41" s="315">
        <f ca="1">SETUP!$T$2</f>
        <v>0</v>
      </c>
      <c r="H41" s="315" t="str">
        <f>IF(SETUP!$E$3="","","National/Country Level")</f>
        <v/>
      </c>
      <c r="I41" s="315" t="s">
        <v>2665</v>
      </c>
      <c r="J41" s="315" t="s">
        <v>707</v>
      </c>
      <c r="K41" s="315">
        <f t="shared" si="10"/>
        <v>0</v>
      </c>
      <c r="L41" s="315"/>
      <c r="M41" s="315">
        <f>SETUP!$E$7</f>
        <v>0</v>
      </c>
      <c r="N41" s="315"/>
      <c r="O41" s="315"/>
      <c r="P41" s="315"/>
      <c r="Q41" s="917" cm="1">
        <f t="array" ref="Q41">('HPM costs-C19RM'!$G$331+'HPM costs-C19RM'!$G$332)+(SUMPRODUCT(('Fixed Cost-C19RM'!$D$5:$D$202=$D41)*('Fixed Cost-C19RM'!$F$5:$F$202=$F41)*('Fixed Cost-C19RM'!$K$5:$K$202)))</f>
        <v>0</v>
      </c>
      <c r="R41" s="917" cm="1">
        <f t="array" ref="R41">('HPM costs-C19RM'!$H$331+'HPM costs-C19RM'!$H$332)+(SUMPRODUCT(('Fixed Cost-C19RM'!$D$5:$D$202=$D41)*('Fixed Cost-C19RM'!$F$5:$F$202=$F41)*('Fixed Cost-C19RM'!$L$5:$L$202)))</f>
        <v>0</v>
      </c>
      <c r="S41" s="917" cm="1">
        <f t="array" ref="S41">('HPM costs-C19RM'!$I$331+'HPM costs-C19RM'!$I$332)+(SUMPRODUCT(('Fixed Cost-C19RM'!$D$5:$D$202=$D41)*('Fixed Cost-C19RM'!$F$5:$F$202=$F41)*('Fixed Cost-C19RM'!$M$5:$M$202)))</f>
        <v>0</v>
      </c>
      <c r="T41" s="917" cm="1">
        <f t="array" ref="T41">('HPM costs-C19RM'!$J$331+'HPM costs-C19RM'!$J$332)+(SUMPRODUCT(('Fixed Cost-C19RM'!$D$5:$D$202=$D41)*('Fixed Cost-C19RM'!$F$5:$F$202=$F41)*('Fixed Cost-C19RM'!$N$5:$N$202)))</f>
        <v>0</v>
      </c>
      <c r="U41" s="948">
        <f t="shared" si="2"/>
        <v>0</v>
      </c>
      <c r="V41" s="424"/>
      <c r="W41" s="951"/>
      <c r="X41" s="951"/>
      <c r="Y41" s="424" cm="1">
        <f t="array" ref="Y41">('HPM costs-C19RM'!$M$331+'HPM costs-C19RM'!$M$332)+(SUMPRODUCT(('Fixed Cost-C19RM'!$D$5:$D$202=$D41)*('Fixed Cost-C19RM'!$F$5:$F$202=$F41)*('Fixed Cost-C19RM'!$P$5:$P$202)))</f>
        <v>0</v>
      </c>
      <c r="Z41" s="424" cm="1">
        <f t="array" ref="Z41">('HPM costs-C19RM'!$N$331+'HPM costs-C19RM'!$N$332)+(SUMPRODUCT(('Fixed Cost-C19RM'!$D$5:$D$202=$D41)*('Fixed Cost-C19RM'!$F$5:$F$202=$F41)*('Fixed Cost-C19RM'!$Q$5:$Q$202)))</f>
        <v>0</v>
      </c>
      <c r="AA41" s="424" cm="1">
        <f t="array" ref="AA41">('HPM costs-C19RM'!$O$331+'HPM costs-C19RM'!$O$332)+(SUMPRODUCT(('Fixed Cost-C19RM'!$D$5:$D$202=$D41)*('Fixed Cost-C19RM'!$F$5:$F$202=$F41)*('Fixed Cost-C19RM'!$R$5:$R$202)))</f>
        <v>0</v>
      </c>
      <c r="AB41" s="424" cm="1">
        <f t="array" ref="AB41">('HPM costs-C19RM'!$P$331+'HPM costs-C19RM'!$P$332)+(SUMPRODUCT(('Fixed Cost-C19RM'!$D$5:$D$202=$D41)*('Fixed Cost-C19RM'!$F$5:$F$202=$F41)*('Fixed Cost-C19RM'!$S$5:$S$202)))</f>
        <v>0</v>
      </c>
      <c r="AC41" s="424">
        <f t="shared" si="3"/>
        <v>0</v>
      </c>
      <c r="AD41" s="424"/>
      <c r="AE41" s="951"/>
      <c r="AF41" s="951"/>
      <c r="AG41" s="424" cm="1">
        <f t="array" ref="AG41">('HPM costs-C19RM'!$S$331+'HPM costs-C19RM'!$S$332)+(SUMPRODUCT(('Fixed Cost-C19RM'!$D$5:$D$202=$D41)*('Fixed Cost-C19RM'!$F$5:$F$202=$F41)*('Fixed Cost-C19RM'!$U$5:$U$202)))</f>
        <v>0</v>
      </c>
      <c r="AH41" s="424" cm="1">
        <f t="array" ref="AH41">('HPM costs-C19RM'!$T$331+'HPM costs-C19RM'!$T$332)+(SUMPRODUCT(('Fixed Cost-C19RM'!$D$5:$D$202=$D41)*('Fixed Cost-C19RM'!$F$5:$F$202=$F41)*('Fixed Cost-C19RM'!$V$5:$V$202)))</f>
        <v>0</v>
      </c>
      <c r="AI41" s="424" cm="1">
        <f t="array" ref="AI41">('HPM costs-C19RM'!$U$331+'HPM costs-C19RM'!$U$332)+(SUMPRODUCT(('Fixed Cost-C19RM'!$D$5:$D$202=$D41)*('Fixed Cost-C19RM'!$F$5:$F$202=$F41)*('Fixed Cost-C19RM'!$W$5:$W$202)))</f>
        <v>0</v>
      </c>
      <c r="AJ41" s="424" cm="1">
        <f t="array" ref="AJ41">('HPM costs-C19RM'!$V$331+'HPM costs-C19RM'!$V$332)+(SUMPRODUCT(('Fixed Cost-C19RM'!$D$5:$D$202=$D41)*('Fixed Cost-C19RM'!$F$5:$F$202=$F41)*('Fixed Cost-C19RM'!$X$5:$X$202)))</f>
        <v>0</v>
      </c>
      <c r="AK41" s="424">
        <f t="shared" si="4"/>
        <v>0</v>
      </c>
      <c r="AL41" s="424"/>
      <c r="AM41" s="951"/>
      <c r="AN41" s="951"/>
      <c r="AO41" s="424" cm="1">
        <f t="array" ref="AO41">('HPM costs-C19RM'!$Y$331+'HPM costs-C19RM'!$Y$332)+(SUMPRODUCT(('Fixed Cost-C19RM'!$D$5:$D$202=$D41)*('Fixed Cost-C19RM'!$F$5:$F$202=$F41)*('Fixed Cost-C19RM'!$Z$5:$Z$202)))</f>
        <v>0</v>
      </c>
      <c r="AP41" s="424" cm="1">
        <f t="array" ref="AP41">('HPM costs-C19RM'!$Z$331+'HPM costs-C19RM'!$Z$332)+(SUMPRODUCT(('Fixed Cost-C19RM'!$D$5:$D$202=$D41)*('Fixed Cost-C19RM'!$F$5:$F$202=$F41)*('Fixed Cost-C19RM'!$AA$5:$AA$202)))</f>
        <v>0</v>
      </c>
      <c r="AQ41" s="424" cm="1">
        <f t="array" ref="AQ41">('HPM costs-C19RM'!$AA$331+'HPM costs-C19RM'!$AA$332)+(SUMPRODUCT(('Fixed Cost-C19RM'!$D$5:$D$202=$D41)*('Fixed Cost-C19RM'!$F$5:$F$202=$F41)*('Fixed Cost-C19RM'!$AB$5:$AB$202)))</f>
        <v>0</v>
      </c>
      <c r="AR41" s="424" cm="1">
        <f t="array" ref="AR41">('HPM costs-C19RM'!$AB$331+'HPM costs-C19RM'!$AB$332)+(SUMPRODUCT(('Fixed Cost-C19RM'!$D$5:$D$202=$D41)*('Fixed Cost-C19RM'!$F$5:$F$202=$F41)*('Fixed Cost-C19RM'!$AC$5:$AC$202)))</f>
        <v>0</v>
      </c>
      <c r="AS41" s="424">
        <f t="shared" si="5"/>
        <v>0</v>
      </c>
      <c r="AT41" s="424"/>
      <c r="AU41" s="951"/>
      <c r="AV41" s="951"/>
      <c r="AW41" s="424" cm="1">
        <f t="array" ref="AW41">('HPM costs-C19RM'!$AE$331+'HPM costs-C19RM'!$AE$332)+(SUMPRODUCT(('Fixed Cost-C19RM'!$D$5:$D$202=$D41)*('Fixed Cost-C19RM'!$F$5:$F$202=$F41)*('Fixed Cost-C19RM'!$AE$5:$AE$202)))</f>
        <v>0</v>
      </c>
      <c r="AX41" s="424" cm="1">
        <f t="array" ref="AX41">('HPM costs-C19RM'!$AF$331+'HPM costs-C19RM'!$AF$332)+(SUMPRODUCT(('Fixed Cost-C19RM'!$D$5:$D$202=$D41)*('Fixed Cost-C19RM'!$F$5:$F$202=$F41)*('Fixed Cost-C19RM'!$AF$5:$AF$202)))</f>
        <v>0</v>
      </c>
      <c r="AY41" s="424" cm="1">
        <f t="array" ref="AY41">('HPM costs-C19RM'!$AG$331+'HPM costs-C19RM'!$AG$332)+(SUMPRODUCT(('Fixed Cost-C19RM'!$D$5:$D$202=$D41)*('Fixed Cost-C19RM'!$F$5:$F$202=$F41)*('Fixed Cost-C19RM'!$AG$5:$AG$202)))</f>
        <v>0</v>
      </c>
      <c r="AZ41" s="424" cm="1">
        <f t="array" ref="AZ41">('HPM costs-C19RM'!$AH$331+'HPM costs-C19RM'!$AH$332)+(SUMPRODUCT(('Fixed Cost-C19RM'!$D$5:$D$202=$D41)*('Fixed Cost-C19RM'!$F$5:$F$202=$F41)*('Fixed Cost-C19RM'!$AH$5:$AH$202)))</f>
        <v>0</v>
      </c>
      <c r="BA41" s="424">
        <f t="shared" si="6"/>
        <v>0</v>
      </c>
      <c r="BB41" s="424"/>
      <c r="BC41" s="951"/>
      <c r="BD41" s="951"/>
      <c r="BE41" s="424">
        <v>0</v>
      </c>
      <c r="BF41" s="424">
        <v>0</v>
      </c>
      <c r="BG41" s="424">
        <v>0</v>
      </c>
      <c r="BH41" s="424">
        <v>0</v>
      </c>
      <c r="BI41" s="424">
        <f t="shared" si="7"/>
        <v>0</v>
      </c>
      <c r="BJ41" s="424"/>
      <c r="BK41" s="424">
        <f t="shared" si="8"/>
        <v>0</v>
      </c>
      <c r="BL41" s="424"/>
      <c r="BM41" s="142"/>
      <c r="BN41" s="425"/>
      <c r="BP41" s="274" t="str">
        <f t="shared" si="11"/>
        <v>No</v>
      </c>
      <c r="BR41" t="str">
        <f>IF(((IFERROR(INDEX('Fixed Cost-C19RM'!$AO$5:$AO$202,MATCH(BS41&amp;C41&amp;D41&amp;F41,'Fixed Cost-C19RM'!$A$5:$A$202,0)),0)))&gt;0,"Yes","NO")</f>
        <v>NO</v>
      </c>
      <c r="BS41" s="286" t="s">
        <v>83</v>
      </c>
      <c r="BT41" t="s">
        <v>3284</v>
      </c>
      <c r="BU41" s="411" t="s">
        <v>3627</v>
      </c>
    </row>
    <row r="42" spans="1:73" ht="39" customHeight="1" x14ac:dyDescent="0.35">
      <c r="A42" s="364"/>
      <c r="B42" s="363" t="str">
        <f>PMsheet!$AH$94&amp;'Detailed BudgetC19RM'!BU42</f>
        <v>000P23HP1137</v>
      </c>
      <c r="C42" s="315" t="s">
        <v>2749</v>
      </c>
      <c r="D42" s="315" t="s">
        <v>3137</v>
      </c>
      <c r="E42" s="261" t="s">
        <v>3138</v>
      </c>
      <c r="F42" s="314" t="s">
        <v>3121</v>
      </c>
      <c r="G42" s="315">
        <f ca="1">SETUP!$T$2</f>
        <v>0</v>
      </c>
      <c r="H42" s="315" t="str">
        <f>IF(SETUP!$E$3="","","National/Country Level")</f>
        <v/>
      </c>
      <c r="I42" s="315" t="str">
        <f>IFERROR(IF(INDEX('Master Data-C19RM'!$E$8:$E$18,MATCH((INDEX(SETUP!$E$20:$E$34,MATCH('Detailed BudgetC19RM'!BQ42,SETUP!$D$20:$D$34,0))),'Master Data-C19RM'!$D$8:$D$18,0))="Implementer's name",SETUP!$J$5,INDEX('Master Data-C19RM'!$E$8:$E$18,MATCH((INDEX(SETUP!$E$20:$E$34,MATCH('Detailed BudgetC19RM'!BQ42,SETUP!$D$20:$D$34,0))),'Master Data-C19RM'!$D$8:$D$18,0))),"Pls select HPMT Category in ' BQ ' column")</f>
        <v>Not Applicable</v>
      </c>
      <c r="J42" s="315" t="s">
        <v>707</v>
      </c>
      <c r="K42" s="315">
        <f t="shared" si="10"/>
        <v>0</v>
      </c>
      <c r="L42" s="315"/>
      <c r="M42" s="315">
        <f>SETUP!$E$7</f>
        <v>0</v>
      </c>
      <c r="N42" s="315"/>
      <c r="O42" s="315"/>
      <c r="P42" s="315"/>
      <c r="Q42" s="917" cm="1">
        <f t="array" ref="Q42">(SUMPRODUCT(('Cashflow Summary C19RM'!$B$5:$B$100="C19RM 2021-Lab &amp; Other HPS")*('Cashflow Summary C19RM'!$A$5:$A$100=4)*1*('Cashflow Summary C19RM'!$BC$5:$BC$100="5.4 Rapid Diagnostic Tests")*('Cashflow Summary C19RM'!$R$5:$R$100)))</f>
        <v>0</v>
      </c>
      <c r="R42" s="917" cm="1">
        <f t="array" ref="R42">(SUMPRODUCT(('Cashflow Summary C19RM'!$B$5:$B$100="C19RM 2021-Lab &amp; Other HPS")*('Cashflow Summary C19RM'!$A$5:$A$100=4)*1*('Cashflow Summary C19RM'!$BC$5:$BC$100="5.4 Rapid Diagnostic Tests")*('Cashflow Summary C19RM'!$S$5:$S$100)))</f>
        <v>0</v>
      </c>
      <c r="S42" s="917" cm="1">
        <f t="array" ref="S42">(SUMPRODUCT(('Cashflow Summary C19RM'!$B$5:$B$100="C19RM 2021-Lab &amp; Other HPS")*('Cashflow Summary C19RM'!$A$5:$A$100=4)*1*('Cashflow Summary C19RM'!$BC$5:$BC$100="5.4 Rapid Diagnostic Tests")*('Cashflow Summary C19RM'!$T$5:$T$100)))</f>
        <v>0</v>
      </c>
      <c r="T42" s="917" cm="1">
        <f t="array" ref="T42">(SUMPRODUCT(('Cashflow Summary C19RM'!$B$5:$B$100="C19RM 2021-Lab &amp; Other HPS")*('Cashflow Summary C19RM'!$A$5:$A$100=4)*1*('Cashflow Summary C19RM'!$BC$5:$BC$100="5.4 Rapid Diagnostic Tests")*('Cashflow Summary C19RM'!$U$5:$U$100)))</f>
        <v>0</v>
      </c>
      <c r="U42" s="948">
        <f t="shared" si="2"/>
        <v>0</v>
      </c>
      <c r="V42" s="424"/>
      <c r="W42" s="424"/>
      <c r="X42" s="424"/>
      <c r="Y42" s="424" cm="1">
        <f t="array" ref="Y42">(SUMPRODUCT(('Cashflow Summary C19RM'!$B$5:$B$100="C19RM 2021-Lab &amp; Other HPS")*('Cashflow Summary C19RM'!$A$5:$A$100=4)*1*('Cashflow Summary C19RM'!$BC$5:$BC$100="5.4 Rapid Diagnostic Tests")*('Cashflow Summary C19RM'!$V$5:$V$100)))</f>
        <v>0</v>
      </c>
      <c r="Z42" s="424" cm="1">
        <f t="array" ref="Z42">(SUMPRODUCT(('Cashflow Summary C19RM'!$B$5:$B$100="C19RM 2021-Lab &amp; Other HPS")*('Cashflow Summary C19RM'!$A$5:$A$100=4)*1*('Cashflow Summary C19RM'!$BC$5:$BC$100="5.4 Rapid Diagnostic Tests")*('Cashflow Summary C19RM'!$W$5:$W$100)))</f>
        <v>0</v>
      </c>
      <c r="AA42" s="424" cm="1">
        <f t="array" ref="AA42">(SUMPRODUCT(('Cashflow Summary C19RM'!$B$5:$B$100="C19RM 2021-Lab &amp; Other HPS")*('Cashflow Summary C19RM'!$A$5:$A$100=4)*1*('Cashflow Summary C19RM'!$BC$5:$BC$100="5.4 Rapid Diagnostic Tests")*('Cashflow Summary C19RM'!$X$5:$X$100)))</f>
        <v>0</v>
      </c>
      <c r="AB42" s="424" cm="1">
        <f t="array" ref="AB42">(SUMPRODUCT(('Cashflow Summary C19RM'!$B$5:$B$100="C19RM 2021-Lab &amp; Other HPS")*('Cashflow Summary C19RM'!$A$5:$A$100=4)*1*('Cashflow Summary C19RM'!$BC$5:$BC$100="5.4 Rapid Diagnostic Tests")*('Cashflow Summary C19RM'!$Y$5:$Y$100)))</f>
        <v>0</v>
      </c>
      <c r="AC42" s="424">
        <f t="shared" si="3"/>
        <v>0</v>
      </c>
      <c r="AD42" s="424"/>
      <c r="AE42" s="424"/>
      <c r="AF42" s="424"/>
      <c r="AG42" s="424" cm="1">
        <f t="array" ref="AG42">(SUMPRODUCT(('Cashflow Summary C19RM'!$B$5:$B$100="C19RM 2021-Lab &amp; Other HPS")*('Cashflow Summary C19RM'!$A$5:$A$100=4)*1*('Cashflow Summary C19RM'!$BC$5:$BC$100="5.4 Rapid Diagnostic Tests")*('Cashflow Summary C19RM'!$Z$5:$Z$100)))</f>
        <v>0</v>
      </c>
      <c r="AH42" s="424" cm="1">
        <f t="array" ref="AH42">(SUMPRODUCT(('Cashflow Summary C19RM'!$B$5:$B$100="C19RM 2021-Lab &amp; Other HPS")*('Cashflow Summary C19RM'!$A$5:$A$100=4)*1*('Cashflow Summary C19RM'!$BC$5:$BC$100="5.4 Rapid Diagnostic Tests")*('Cashflow Summary C19RM'!$AA$5:$AA$100)))</f>
        <v>0</v>
      </c>
      <c r="AI42" s="424" cm="1">
        <f t="array" ref="AI42">(SUMPRODUCT(('Cashflow Summary C19RM'!$B$5:$B$100="C19RM 2021-Lab &amp; Other HPS")*('Cashflow Summary C19RM'!$A$5:$A$100=4)*1*('Cashflow Summary C19RM'!$BC$5:$BC$100="5.4 Rapid Diagnostic Tests")*('Cashflow Summary C19RM'!$AB$5:$AB$100)))</f>
        <v>0</v>
      </c>
      <c r="AJ42" s="424" cm="1">
        <f t="array" ref="AJ42">(SUMPRODUCT(('Cashflow Summary C19RM'!$B$5:$B$100="C19RM 2021-Lab &amp; Other HPS")*('Cashflow Summary C19RM'!$A$5:$A$100=4)*1*('Cashflow Summary C19RM'!$BC$5:$BC$100="5.4 Rapid Diagnostic Tests")*('Cashflow Summary C19RM'!$AC$5:$AC$100)))</f>
        <v>0</v>
      </c>
      <c r="AK42" s="424">
        <f t="shared" si="4"/>
        <v>0</v>
      </c>
      <c r="AL42" s="424"/>
      <c r="AM42" s="424"/>
      <c r="AN42" s="424"/>
      <c r="AO42" s="424" cm="1">
        <f t="array" ref="AO42">(SUMPRODUCT(('Cashflow Summary C19RM'!$B$5:$B$100="C19RM 2021-Lab &amp; Other HPS")*('Cashflow Summary C19RM'!$A$5:$A$100=4)*1*('Cashflow Summary C19RM'!$BC$5:$BC$100="5.4 Rapid Diagnostic Tests")*('Cashflow Summary C19RM'!$AD$5:$AD$100)))</f>
        <v>0</v>
      </c>
      <c r="AP42" s="424" cm="1">
        <f t="array" ref="AP42">(SUMPRODUCT(('Cashflow Summary C19RM'!$B$5:$B$100="C19RM 2021-Lab &amp; Other HPS")*('Cashflow Summary C19RM'!$A$5:$A$100=4)*1*('Cashflow Summary C19RM'!$BC$5:$BC$100="5.4 Rapid Diagnostic Tests")*('Cashflow Summary C19RM'!$AE$5:$AE$100)))</f>
        <v>0</v>
      </c>
      <c r="AQ42" s="424" cm="1">
        <f t="array" ref="AQ42">(SUMPRODUCT(('Cashflow Summary C19RM'!$B$5:$B$100="C19RM 2021-Lab &amp; Other HPS")*('Cashflow Summary C19RM'!$A$5:$A$100=4)*1*('Cashflow Summary C19RM'!$BC$5:$BC$100="5.4 Rapid Diagnostic Tests")*('Cashflow Summary C19RM'!$AF$5:$AF$100)))</f>
        <v>0</v>
      </c>
      <c r="AR42" s="424" cm="1">
        <f t="array" ref="AR42">(SUMPRODUCT(('Cashflow Summary C19RM'!$B$5:$B$100="C19RM 2021-Lab &amp; Other HPS")*('Cashflow Summary C19RM'!$A$5:$A$100=4)*1*('Cashflow Summary C19RM'!$BC$5:$BC$100="5.4 Rapid Diagnostic Tests")*('Cashflow Summary C19RM'!$AG$5:$AG$100)))</f>
        <v>0</v>
      </c>
      <c r="AS42" s="424">
        <f t="shared" si="5"/>
        <v>0</v>
      </c>
      <c r="AT42" s="424"/>
      <c r="AU42" s="424"/>
      <c r="AV42" s="424"/>
      <c r="AW42" s="424" cm="1">
        <f t="array" ref="AW42">(SUMPRODUCT(('Cashflow Summary C19RM'!$B$5:$B$100="C19RM 2021-Lab &amp; Other HPS")*('Cashflow Summary C19RM'!$A$5:$A$100=4)*1*('Cashflow Summary C19RM'!$BC$5:$BC$100="5.4 Rapid Diagnostic Tests")*('Cashflow Summary C19RM'!$AH$5:$AH$100)))</f>
        <v>0</v>
      </c>
      <c r="AX42" s="424" cm="1">
        <f t="array" ref="AX42">(SUMPRODUCT(('Cashflow Summary C19RM'!$B$5:$B$100="C19RM 2021-Lab &amp; Other HPS")*('Cashflow Summary C19RM'!$A$5:$A$100=4)*1*('Cashflow Summary C19RM'!$BC$5:$BC$100="5.4 Rapid Diagnostic Tests")*('Cashflow Summary C19RM'!$AI$5:$AI$100)))</f>
        <v>0</v>
      </c>
      <c r="AY42" s="424" cm="1">
        <f t="array" ref="AY42">(SUMPRODUCT(('Cashflow Summary C19RM'!$B$5:$B$100="C19RM 2021-Lab &amp; Other HPS")*('Cashflow Summary C19RM'!$A$5:$A$100=4)*1*('Cashflow Summary C19RM'!$BC$5:$BC$100="5.4 Rapid Diagnostic Tests")*('Cashflow Summary C19RM'!$AJ$5:$AJ$100)))</f>
        <v>0</v>
      </c>
      <c r="AZ42" s="424" cm="1">
        <f t="array" ref="AZ42">(SUMPRODUCT(('Cashflow Summary C19RM'!$B$5:$B$100="C19RM 2021-Lab &amp; Other HPS")*('Cashflow Summary C19RM'!$A$5:$A$100=4)*1*('Cashflow Summary C19RM'!$BC$5:$BC$100="5.4 Rapid Diagnostic Tests")*('Cashflow Summary C19RM'!$AK$5:$AK$100)))</f>
        <v>0</v>
      </c>
      <c r="BA42" s="424">
        <f t="shared" si="6"/>
        <v>0</v>
      </c>
      <c r="BB42" s="424"/>
      <c r="BC42" s="424"/>
      <c r="BD42" s="424"/>
      <c r="BE42" s="424" cm="1">
        <f t="array" ref="BE42">(SUMPRODUCT(('Cashflow Summary C19RM'!$B$5:$B$100="C19RM 2021-Lab &amp; Other HPS")*('Cashflow Summary C19RM'!$A$5:$A$100=4)*1*('Cashflow Summary C19RM'!$BC$5:$BC$100="5.4 Rapid Diagnostic Tests")*('Cashflow Summary C19RM'!$AL$5:$AL$100)))</f>
        <v>0</v>
      </c>
      <c r="BF42" s="424" cm="1">
        <f t="array" ref="BF42">(SUMPRODUCT(('Cashflow Summary C19RM'!$B$5:$B$100="C19RM 2021-Lab &amp; Other HPS")*('Cashflow Summary C19RM'!$A$5:$A$100=4)*1*('Cashflow Summary C19RM'!$BC$5:$BC$100="5.4 Rapid Diagnostic Tests")*('Cashflow Summary C19RM'!$AM$5:$AM$100)))</f>
        <v>0</v>
      </c>
      <c r="BG42" s="424" cm="1">
        <f t="array" ref="BG42">(SUMPRODUCT(('Cashflow Summary C19RM'!$B$5:$B$100="C19RM 2021-Lab &amp; Other HPS")*('Cashflow Summary C19RM'!$A$5:$A$100=4)*1*('Cashflow Summary C19RM'!$BC$5:$BC$100="5.4 Rapid Diagnostic Tests")*('Cashflow Summary C19RM'!$AN$5:$AN$100)))</f>
        <v>0</v>
      </c>
      <c r="BH42" s="424" cm="1">
        <f t="array" ref="BH42">(SUMPRODUCT(('Cashflow Summary C19RM'!$B$5:$B$100="C19RM 2021-Lab &amp; Other HPS")*('Cashflow Summary C19RM'!$A$5:$A$100=4)*1*('Cashflow Summary C19RM'!$BC$5:$BC$100="5.4 Rapid Diagnostic Tests")*('Cashflow Summary C19RM'!$AO$5:$AO$100)))</f>
        <v>0</v>
      </c>
      <c r="BI42" s="424">
        <f t="shared" si="7"/>
        <v>0</v>
      </c>
      <c r="BJ42" s="424"/>
      <c r="BK42" s="424">
        <f t="shared" si="8"/>
        <v>0</v>
      </c>
      <c r="BL42" s="424"/>
      <c r="BM42" s="142"/>
      <c r="BN42" s="425"/>
      <c r="BP42" s="274" t="str">
        <f t="shared" si="11"/>
        <v>No</v>
      </c>
      <c r="BQ42" t="s">
        <v>25</v>
      </c>
      <c r="BS42" s="286" t="s">
        <v>83</v>
      </c>
      <c r="BT42" t="s">
        <v>3336</v>
      </c>
      <c r="BU42" s="411" t="s">
        <v>3628</v>
      </c>
    </row>
    <row r="43" spans="1:73" ht="39" customHeight="1" x14ac:dyDescent="0.35">
      <c r="A43" s="364"/>
      <c r="B43" s="363" t="str">
        <f>PMsheet!$AH$94&amp;'Detailed BudgetC19RM'!BU43</f>
        <v>000P23HP1138</v>
      </c>
      <c r="C43" s="315" t="s">
        <v>2749</v>
      </c>
      <c r="D43" s="315" t="s">
        <v>3137</v>
      </c>
      <c r="E43" s="261" t="s">
        <v>3139</v>
      </c>
      <c r="F43" s="314" t="s">
        <v>183</v>
      </c>
      <c r="G43" s="315">
        <f ca="1">SETUP!$T$2</f>
        <v>0</v>
      </c>
      <c r="H43" s="315" t="str">
        <f>IF(SETUP!$E$3="","","National/Country Level")</f>
        <v/>
      </c>
      <c r="I43" s="315" t="str">
        <f>IFERROR(IF(INDEX('Master Data-C19RM'!$E$8:$E$18,MATCH((INDEX(SETUP!$E$20:$E$34,MATCH('Detailed BudgetC19RM'!BQ43,SETUP!$D$20:$D$34,0))),'Master Data-C19RM'!$D$8:$D$18,0))="Implementer's name",SETUP!$J$5,INDEX('Master Data-C19RM'!$E$8:$E$18,MATCH((INDEX(SETUP!$E$20:$E$34,MATCH('Detailed BudgetC19RM'!BQ43,SETUP!$D$20:$D$34,0))),'Master Data-C19RM'!$D$8:$D$18,0))),"Pls select HPMT Category in ' BQ ' column")</f>
        <v>Not Applicable</v>
      </c>
      <c r="J43" s="315" t="s">
        <v>707</v>
      </c>
      <c r="K43" s="315">
        <f t="shared" si="10"/>
        <v>0</v>
      </c>
      <c r="L43" s="315"/>
      <c r="M43" s="315">
        <f>SETUP!$E$7</f>
        <v>0</v>
      </c>
      <c r="N43" s="315"/>
      <c r="O43" s="315"/>
      <c r="P43" s="315"/>
      <c r="Q43" s="917" cm="1">
        <f t="array" ref="Q43">(SUMPRODUCT(('Cashflow Summary C19RM'!$B$5:$B$100="C19RM 2021-Lab &amp; Other HPS")*('Cashflow Summary C19RM'!$A$5:$A$100=4)*1*('Cashflow Summary C19RM'!$BC$5:$BC$100="6.6 Other health equipment")*('Cashflow Summary C19RM'!$R$5:$R$100)))</f>
        <v>0</v>
      </c>
      <c r="R43" s="917" cm="1">
        <f t="array" ref="R43">(SUMPRODUCT(('Cashflow Summary C19RM'!$B$5:$B$100="C19RM 2021-Lab &amp; Other HPS")*('Cashflow Summary C19RM'!$A$5:$A$100=4)*1*('Cashflow Summary C19RM'!$BC$5:$BC$100="6.6 Other health equipment")*('Cashflow Summary C19RM'!$S$5:$S$100)))</f>
        <v>0</v>
      </c>
      <c r="S43" s="917" cm="1">
        <f t="array" ref="S43">(SUMPRODUCT(('Cashflow Summary C19RM'!$B$5:$B$100="C19RM 2021-Lab &amp; Other HPS")*('Cashflow Summary C19RM'!$A$5:$A$100=4)*1*('Cashflow Summary C19RM'!$BC$5:$BC$100="6.6 Other health equipment")*('Cashflow Summary C19RM'!$T$5:$T$100)))</f>
        <v>0</v>
      </c>
      <c r="T43" s="917" cm="1">
        <f t="array" ref="T43">(SUMPRODUCT(('Cashflow Summary C19RM'!$B$5:$B$100="C19RM 2021-Lab &amp; Other HPS")*('Cashflow Summary C19RM'!$A$5:$A$100=4)*1*('Cashflow Summary C19RM'!$BC$5:$BC$100="6.6 Other health equipment")*('Cashflow Summary C19RM'!$U$5:$U$100)))</f>
        <v>0</v>
      </c>
      <c r="U43" s="948">
        <f t="shared" si="2"/>
        <v>0</v>
      </c>
      <c r="V43" s="424"/>
      <c r="W43" s="424"/>
      <c r="X43" s="424"/>
      <c r="Y43" s="424" cm="1">
        <f t="array" ref="Y43">(SUMPRODUCT(('Cashflow Summary C19RM'!$B$5:$B$100="C19RM 2021-Lab &amp; Other HPS")*('Cashflow Summary C19RM'!$A$5:$A$100=4)*1*('Cashflow Summary C19RM'!$BC$5:$BC$100="6.6 Other health equipment")*('Cashflow Summary C19RM'!$V$5:$V$100)))</f>
        <v>0</v>
      </c>
      <c r="Z43" s="424" cm="1">
        <f t="array" ref="Z43">(SUMPRODUCT(('Cashflow Summary C19RM'!$B$5:$B$100="C19RM 2021-Lab &amp; Other HPS")*('Cashflow Summary C19RM'!$A$5:$A$100=4)*1*('Cashflow Summary C19RM'!$BC$5:$BC$100="6.6 Other health equipment")*('Cashflow Summary C19RM'!$W$5:$W$100)))</f>
        <v>0</v>
      </c>
      <c r="AA43" s="424" cm="1">
        <f t="array" ref="AA43">(SUMPRODUCT(('Cashflow Summary C19RM'!$B$5:$B$100="C19RM 2021-Lab &amp; Other HPS")*('Cashflow Summary C19RM'!$A$5:$A$100=4)*1*('Cashflow Summary C19RM'!$BC$5:$BC$100="6.6 Other health equipment")*('Cashflow Summary C19RM'!$X$5:$X$100)))</f>
        <v>0</v>
      </c>
      <c r="AB43" s="424" cm="1">
        <f t="array" ref="AB43">(SUMPRODUCT(('Cashflow Summary C19RM'!$B$5:$B$100="C19RM 2021-Lab &amp; Other HPS")*('Cashflow Summary C19RM'!$A$5:$A$100=4)*1*('Cashflow Summary C19RM'!$BC$5:$BC$100="6.6 Other health equipment")*('Cashflow Summary C19RM'!$Y$5:$Y$100)))</f>
        <v>0</v>
      </c>
      <c r="AC43" s="424">
        <f t="shared" si="3"/>
        <v>0</v>
      </c>
      <c r="AD43" s="424"/>
      <c r="AE43" s="424"/>
      <c r="AF43" s="424"/>
      <c r="AG43" s="424" cm="1">
        <f t="array" ref="AG43">(SUMPRODUCT(('Cashflow Summary C19RM'!$B$5:$B$100="C19RM 2021-Lab &amp; Other HPS")*('Cashflow Summary C19RM'!$A$5:$A$100=4)*1*('Cashflow Summary C19RM'!$BC$5:$BC$100="6.6 Other health equipment")*('Cashflow Summary C19RM'!$Z$5:$Z$100)))</f>
        <v>0</v>
      </c>
      <c r="AH43" s="424" cm="1">
        <f t="array" ref="AH43">(SUMPRODUCT(('Cashflow Summary C19RM'!$B$5:$B$100="C19RM 2021-Lab &amp; Other HPS")*('Cashflow Summary C19RM'!$A$5:$A$100=4)*1*('Cashflow Summary C19RM'!$BC$5:$BC$100="6.6 Other health equipment")*('Cashflow Summary C19RM'!$AA$5:$AA$100)))</f>
        <v>0</v>
      </c>
      <c r="AI43" s="424" cm="1">
        <f t="array" ref="AI43">(SUMPRODUCT(('Cashflow Summary C19RM'!$B$5:$B$100="C19RM 2021-Lab &amp; Other HPS")*('Cashflow Summary C19RM'!$A$5:$A$100=4)*1*('Cashflow Summary C19RM'!$BC$5:$BC$100="6.6 Other health equipment")*('Cashflow Summary C19RM'!$AB$5:$AB$100)))</f>
        <v>0</v>
      </c>
      <c r="AJ43" s="424" cm="1">
        <f t="array" ref="AJ43">(SUMPRODUCT(('Cashflow Summary C19RM'!$B$5:$B$100="C19RM 2021-Lab &amp; Other HPS")*('Cashflow Summary C19RM'!$A$5:$A$100=4)*1*('Cashflow Summary C19RM'!$BC$5:$BC$100="6.6 Other health equipment")*('Cashflow Summary C19RM'!$AC$5:$AC$100)))</f>
        <v>0</v>
      </c>
      <c r="AK43" s="424">
        <f t="shared" si="4"/>
        <v>0</v>
      </c>
      <c r="AL43" s="424"/>
      <c r="AM43" s="424"/>
      <c r="AN43" s="424"/>
      <c r="AO43" s="424" cm="1">
        <f t="array" ref="AO43">(SUMPRODUCT(('Cashflow Summary C19RM'!$B$5:$B$100="C19RM 2021-Lab &amp; Other HPS")*('Cashflow Summary C19RM'!$A$5:$A$100=4)*1*('Cashflow Summary C19RM'!$BC$5:$BC$100="6.6 Other health equipment")*('Cashflow Summary C19RM'!$AD$5:$AD$100)))</f>
        <v>0</v>
      </c>
      <c r="AP43" s="424" cm="1">
        <f t="array" ref="AP43">(SUMPRODUCT(('Cashflow Summary C19RM'!$B$5:$B$100="C19RM 2021-Lab &amp; Other HPS")*('Cashflow Summary C19RM'!$A$5:$A$100=4)*1*('Cashflow Summary C19RM'!$BC$5:$BC$100="6.6 Other health equipment")*('Cashflow Summary C19RM'!$AE$5:$AE$100)))</f>
        <v>0</v>
      </c>
      <c r="AQ43" s="424" cm="1">
        <f t="array" ref="AQ43">(SUMPRODUCT(('Cashflow Summary C19RM'!$B$5:$B$100="C19RM 2021-Lab &amp; Other HPS")*('Cashflow Summary C19RM'!$A$5:$A$100=4)*1*('Cashflow Summary C19RM'!$BC$5:$BC$100="6.6 Other health equipment")*('Cashflow Summary C19RM'!$AF$5:$AF$100)))</f>
        <v>0</v>
      </c>
      <c r="AR43" s="424" cm="1">
        <f t="array" ref="AR43">(SUMPRODUCT(('Cashflow Summary C19RM'!$B$5:$B$100="C19RM 2021-Lab &amp; Other HPS")*('Cashflow Summary C19RM'!$A$5:$A$100=4)*1*('Cashflow Summary C19RM'!$BC$5:$BC$100="6.6 Other health equipment")*('Cashflow Summary C19RM'!$AG$5:$AG$100)))</f>
        <v>0</v>
      </c>
      <c r="AS43" s="424">
        <f t="shared" si="5"/>
        <v>0</v>
      </c>
      <c r="AT43" s="424"/>
      <c r="AU43" s="424"/>
      <c r="AV43" s="424"/>
      <c r="AW43" s="424" cm="1">
        <f t="array" ref="AW43">(SUMPRODUCT(('Cashflow Summary C19RM'!$B$5:$B$100="C19RM 2021-Lab &amp; Other HPS")*('Cashflow Summary C19RM'!$A$5:$A$100=4)*1*('Cashflow Summary C19RM'!$BC$5:$BC$100="6.6 Other health equipment")*('Cashflow Summary C19RM'!$AH$5:$AH$100)))</f>
        <v>0</v>
      </c>
      <c r="AX43" s="424" cm="1">
        <f t="array" ref="AX43">(SUMPRODUCT(('Cashflow Summary C19RM'!$B$5:$B$100="C19RM 2021-Lab &amp; Other HPS")*('Cashflow Summary C19RM'!$A$5:$A$100=4)*1*('Cashflow Summary C19RM'!$BC$5:$BC$100="6.6 Other health equipment")*('Cashflow Summary C19RM'!$AI$5:$AI$100)))</f>
        <v>0</v>
      </c>
      <c r="AY43" s="424" cm="1">
        <f t="array" ref="AY43">(SUMPRODUCT(('Cashflow Summary C19RM'!$B$5:$B$100="C19RM 2021-Lab &amp; Other HPS")*('Cashflow Summary C19RM'!$A$5:$A$100=4)*1*('Cashflow Summary C19RM'!$BC$5:$BC$100="6.6 Other health equipment")*('Cashflow Summary C19RM'!$AJ$5:$AJ$100)))</f>
        <v>0</v>
      </c>
      <c r="AZ43" s="424" cm="1">
        <f t="array" ref="AZ43">(SUMPRODUCT(('Cashflow Summary C19RM'!$B$5:$B$100="C19RM 2021-Lab &amp; Other HPS")*('Cashflow Summary C19RM'!$A$5:$A$100=4)*1*('Cashflow Summary C19RM'!$BC$5:$BC$100="6.6 Other health equipment")*('Cashflow Summary C19RM'!$AK$5:$AK$100)))</f>
        <v>0</v>
      </c>
      <c r="BA43" s="424">
        <f t="shared" si="6"/>
        <v>0</v>
      </c>
      <c r="BB43" s="424"/>
      <c r="BC43" s="424"/>
      <c r="BD43" s="424"/>
      <c r="BE43" s="424" cm="1">
        <f t="array" ref="BE43">(SUMPRODUCT(('Cashflow Summary C19RM'!$B$5:$B$100="C19RM 2021-Lab &amp; Other HPS")*('Cashflow Summary C19RM'!$A$5:$A$100=4)*1*('Cashflow Summary C19RM'!$BC$5:$BC$100="6.6 Other health equipment")*('Cashflow Summary C19RM'!$AL$5:$AL$100)))</f>
        <v>0</v>
      </c>
      <c r="BF43" s="424" cm="1">
        <f t="array" ref="BF43">(SUMPRODUCT(('Cashflow Summary C19RM'!$B$5:$B$100="C19RM 2021-Lab &amp; Other HPS")*('Cashflow Summary C19RM'!$A$5:$A$100=4)*1*('Cashflow Summary C19RM'!$BC$5:$BC$100="6.6 Other health equipment")*('Cashflow Summary C19RM'!$AM$5:$AM$100)))</f>
        <v>0</v>
      </c>
      <c r="BG43" s="424" cm="1">
        <f t="array" ref="BG43">(SUMPRODUCT(('Cashflow Summary C19RM'!$B$5:$B$100="C19RM 2021-Lab &amp; Other HPS")*('Cashflow Summary C19RM'!$A$5:$A$100=4)*1*('Cashflow Summary C19RM'!$BC$5:$BC$100="6.6 Other health equipment")*('Cashflow Summary C19RM'!$AN$5:$AN$100)))</f>
        <v>0</v>
      </c>
      <c r="BH43" s="424" cm="1">
        <f t="array" ref="BH43">(SUMPRODUCT(('Cashflow Summary C19RM'!$B$5:$B$100="C19RM 2021-Lab &amp; Other HPS")*('Cashflow Summary C19RM'!$A$5:$A$100=4)*1*('Cashflow Summary C19RM'!$BC$5:$BC$100="6.6 Other health equipment")*('Cashflow Summary C19RM'!$AO$5:$AO$100)))</f>
        <v>0</v>
      </c>
      <c r="BI43" s="424">
        <f t="shared" si="7"/>
        <v>0</v>
      </c>
      <c r="BJ43" s="424"/>
      <c r="BK43" s="424">
        <f t="shared" si="8"/>
        <v>0</v>
      </c>
      <c r="BL43" s="424"/>
      <c r="BM43" s="142"/>
      <c r="BN43" s="425"/>
      <c r="BP43" s="274" t="str">
        <f t="shared" si="11"/>
        <v>No</v>
      </c>
      <c r="BQ43" t="s">
        <v>25</v>
      </c>
      <c r="BS43" s="286" t="s">
        <v>83</v>
      </c>
      <c r="BT43" t="s">
        <v>3337</v>
      </c>
      <c r="BU43" s="411" t="s">
        <v>3629</v>
      </c>
    </row>
    <row r="44" spans="1:73" ht="39" customHeight="1" x14ac:dyDescent="0.35">
      <c r="A44" s="364"/>
      <c r="B44" s="363" t="str">
        <f>PMsheet!$AH$94&amp;'Detailed BudgetC19RM'!BU44</f>
        <v>000P23HP1139</v>
      </c>
      <c r="C44" s="315" t="s">
        <v>2749</v>
      </c>
      <c r="D44" s="315" t="s">
        <v>3137</v>
      </c>
      <c r="E44" s="261" t="s">
        <v>3140</v>
      </c>
      <c r="F44" s="314" t="s">
        <v>730</v>
      </c>
      <c r="G44" s="315">
        <f ca="1">SETUP!$T$2</f>
        <v>0</v>
      </c>
      <c r="H44" s="315" t="str">
        <f>IF(SETUP!$E$3="","","National/Country Level")</f>
        <v/>
      </c>
      <c r="I44" s="315" t="str">
        <f>IFERROR(IF(INDEX('Master Data-C19RM'!$E$8:$E$18,MATCH((INDEX(SETUP!$E$20:$E$34,MATCH('Detailed BudgetC19RM'!BQ44,SETUP!$D$20:$D$34,0))),'Master Data-C19RM'!$D$8:$D$18,0))="Implementer's name",SETUP!$J$5,INDEX('Master Data-C19RM'!$E$8:$E$18,MATCH((INDEX(SETUP!$E$20:$E$34,MATCH('Detailed BudgetC19RM'!BQ44,SETUP!$D$20:$D$34,0))),'Master Data-C19RM'!$D$8:$D$18,0))),"Pls select HPMT Category in ' BQ ' column")</f>
        <v>Not Applicable</v>
      </c>
      <c r="J44" s="315" t="s">
        <v>707</v>
      </c>
      <c r="K44" s="315">
        <f t="shared" si="10"/>
        <v>0</v>
      </c>
      <c r="L44" s="315"/>
      <c r="M44" s="315">
        <f>SETUP!$E$7</f>
        <v>0</v>
      </c>
      <c r="N44" s="315"/>
      <c r="O44" s="315"/>
      <c r="P44" s="315"/>
      <c r="Q44" s="917" cm="1">
        <f t="array" ref="Q44">(SUMPRODUCT(('Cashflow Summary C19RM'!$B$5:$B$100="C19RM 2021-Lab &amp; Other HPS")*('Cashflow Summary C19RM'!$A$5:$A$100=4)*1*('Cashflow Summary C19RM'!$BC$5:$BC$100="6.5 Maintenance and service costs")*('Cashflow Summary C19RM'!$R$5:$R$100)))</f>
        <v>0</v>
      </c>
      <c r="R44" s="917" cm="1">
        <f t="array" ref="R44">(SUMPRODUCT(('Cashflow Summary C19RM'!$B$5:$B$100="C19RM 2021-Lab &amp; Other HPS")*('Cashflow Summary C19RM'!$A$5:$A$100=4)*1*('Cashflow Summary C19RM'!$BC$5:$BC$100="6.5 Maintenance and service costs")*('Cashflow Summary C19RM'!$S$5:$S$100)))</f>
        <v>0</v>
      </c>
      <c r="S44" s="917" cm="1">
        <f t="array" ref="S44">(SUMPRODUCT(('Cashflow Summary C19RM'!$B$5:$B$100="C19RM 2021-Lab &amp; Other HPS")*('Cashflow Summary C19RM'!$A$5:$A$100=4)*1*('Cashflow Summary C19RM'!$BC$5:$BC$100="6.5 Maintenance and service costs")*('Cashflow Summary C19RM'!$T$5:$T$100)))</f>
        <v>0</v>
      </c>
      <c r="T44" s="917" cm="1">
        <f t="array" ref="T44">(SUMPRODUCT(('Cashflow Summary C19RM'!$B$5:$B$100="C19RM 2021-Lab &amp; Other HPS")*('Cashflow Summary C19RM'!$A$5:$A$100=4)*1*('Cashflow Summary C19RM'!$BC$5:$BC$100="6.5 Maintenance and service costs")*('Cashflow Summary C19RM'!$U$5:$U$100)))</f>
        <v>0</v>
      </c>
      <c r="U44" s="948">
        <f t="shared" si="2"/>
        <v>0</v>
      </c>
      <c r="V44" s="424"/>
      <c r="W44" s="424"/>
      <c r="X44" s="424"/>
      <c r="Y44" s="424" cm="1">
        <f t="array" ref="Y44">(SUMPRODUCT(('Cashflow Summary C19RM'!$B$5:$B$100="C19RM 2021-Lab &amp; Other HPS")*('Cashflow Summary C19RM'!$A$5:$A$100=4)*1*('Cashflow Summary C19RM'!$BC$5:$BC$100="6.5 Maintenance and service costs")*('Cashflow Summary C19RM'!$V$5:$V$100)))</f>
        <v>0</v>
      </c>
      <c r="Z44" s="424" cm="1">
        <f t="array" ref="Z44">(SUMPRODUCT(('Cashflow Summary C19RM'!$B$5:$B$100="C19RM 2021-Lab &amp; Other HPS")*('Cashflow Summary C19RM'!$A$5:$A$100=4)*1*('Cashflow Summary C19RM'!$BC$5:$BC$100="6.5 Maintenance and service costs")*('Cashflow Summary C19RM'!$W$5:$W$100)))</f>
        <v>0</v>
      </c>
      <c r="AA44" s="424" cm="1">
        <f t="array" ref="AA44">(SUMPRODUCT(('Cashflow Summary C19RM'!$B$5:$B$100="C19RM 2021-Lab &amp; Other HPS")*('Cashflow Summary C19RM'!$A$5:$A$100=4)*1*('Cashflow Summary C19RM'!$BC$5:$BC$100="6.5 Maintenance and service costs")*('Cashflow Summary C19RM'!$X$5:$X$100)))</f>
        <v>0</v>
      </c>
      <c r="AB44" s="424" cm="1">
        <f t="array" ref="AB44">(SUMPRODUCT(('Cashflow Summary C19RM'!$B$5:$B$100="C19RM 2021-Lab &amp; Other HPS")*('Cashflow Summary C19RM'!$A$5:$A$100=4)*1*('Cashflow Summary C19RM'!$BC$5:$BC$100="6.5 Maintenance and service costs")*('Cashflow Summary C19RM'!$Y$5:$Y$100)))</f>
        <v>0</v>
      </c>
      <c r="AC44" s="424">
        <f t="shared" si="3"/>
        <v>0</v>
      </c>
      <c r="AD44" s="424"/>
      <c r="AE44" s="424"/>
      <c r="AF44" s="424"/>
      <c r="AG44" s="424" cm="1">
        <f t="array" ref="AG44">(SUMPRODUCT(('Cashflow Summary C19RM'!$B$5:$B$100="C19RM 2021-Lab &amp; Other HPS")*('Cashflow Summary C19RM'!$A$5:$A$100=4)*1*('Cashflow Summary C19RM'!$BC$5:$BC$100="6.5 Maintenance and service costs")*('Cashflow Summary C19RM'!$Z$5:$Z$100)))</f>
        <v>0</v>
      </c>
      <c r="AH44" s="424" cm="1">
        <f t="array" ref="AH44">(SUMPRODUCT(('Cashflow Summary C19RM'!$B$5:$B$100="C19RM 2021-Lab &amp; Other HPS")*('Cashflow Summary C19RM'!$A$5:$A$100=4)*1*('Cashflow Summary C19RM'!$BC$5:$BC$100="6.5 Maintenance and service costs")*('Cashflow Summary C19RM'!$AA$5:$AA$100)))</f>
        <v>0</v>
      </c>
      <c r="AI44" s="424" cm="1">
        <f t="array" ref="AI44">(SUMPRODUCT(('Cashflow Summary C19RM'!$B$5:$B$100="C19RM 2021-Lab &amp; Other HPS")*('Cashflow Summary C19RM'!$A$5:$A$100=4)*1*('Cashflow Summary C19RM'!$BC$5:$BC$100="6.5 Maintenance and service costs")*('Cashflow Summary C19RM'!$AB$5:$AB$100)))</f>
        <v>0</v>
      </c>
      <c r="AJ44" s="424" cm="1">
        <f t="array" ref="AJ44">(SUMPRODUCT(('Cashflow Summary C19RM'!$B$5:$B$100="C19RM 2021-Lab &amp; Other HPS")*('Cashflow Summary C19RM'!$A$5:$A$100=4)*1*('Cashflow Summary C19RM'!$BC$5:$BC$100="6.5 Maintenance and service costs")*('Cashflow Summary C19RM'!$AC$5:$AC$100)))</f>
        <v>0</v>
      </c>
      <c r="AK44" s="424">
        <f t="shared" si="4"/>
        <v>0</v>
      </c>
      <c r="AL44" s="424"/>
      <c r="AM44" s="424"/>
      <c r="AN44" s="424"/>
      <c r="AO44" s="424" cm="1">
        <f t="array" ref="AO44">(SUMPRODUCT(('Cashflow Summary C19RM'!$B$5:$B$100="C19RM 2021-Lab &amp; Other HPS")*('Cashflow Summary C19RM'!$A$5:$A$100=4)*1*('Cashflow Summary C19RM'!$BC$5:$BC$100="6.5 Maintenance and service costs")*('Cashflow Summary C19RM'!$AD$5:$AD$100)))</f>
        <v>0</v>
      </c>
      <c r="AP44" s="424" cm="1">
        <f t="array" ref="AP44">(SUMPRODUCT(('Cashflow Summary C19RM'!$B$5:$B$100="C19RM 2021-Lab &amp; Other HPS")*('Cashflow Summary C19RM'!$A$5:$A$100=4)*1*('Cashflow Summary C19RM'!$BC$5:$BC$100="6.5 Maintenance and service costs")*('Cashflow Summary C19RM'!$AE$5:$AE$100)))</f>
        <v>0</v>
      </c>
      <c r="AQ44" s="424" cm="1">
        <f t="array" ref="AQ44">(SUMPRODUCT(('Cashflow Summary C19RM'!$B$5:$B$100="C19RM 2021-Lab &amp; Other HPS")*('Cashflow Summary C19RM'!$A$5:$A$100=4)*1*('Cashflow Summary C19RM'!$BC$5:$BC$100="6.5 Maintenance and service costs")*('Cashflow Summary C19RM'!$AF$5:$AF$100)))</f>
        <v>0</v>
      </c>
      <c r="AR44" s="424" cm="1">
        <f t="array" ref="AR44">(SUMPRODUCT(('Cashflow Summary C19RM'!$B$5:$B$100="C19RM 2021-Lab &amp; Other HPS")*('Cashflow Summary C19RM'!$A$5:$A$100=4)*1*('Cashflow Summary C19RM'!$BC$5:$BC$100="6.5 Maintenance and service costs")*('Cashflow Summary C19RM'!$AG$5:$AG$100)))</f>
        <v>0</v>
      </c>
      <c r="AS44" s="424">
        <f t="shared" si="5"/>
        <v>0</v>
      </c>
      <c r="AT44" s="424"/>
      <c r="AU44" s="424"/>
      <c r="AV44" s="424"/>
      <c r="AW44" s="424" cm="1">
        <f t="array" ref="AW44">(SUMPRODUCT(('Cashflow Summary C19RM'!$B$5:$B$100="C19RM 2021-Lab &amp; Other HPS")*('Cashflow Summary C19RM'!$A$5:$A$100=4)*1*('Cashflow Summary C19RM'!$BC$5:$BC$100="6.5 Maintenance and service costs")*('Cashflow Summary C19RM'!$AH$5:$AH$100)))</f>
        <v>0</v>
      </c>
      <c r="AX44" s="424" cm="1">
        <f t="array" ref="AX44">(SUMPRODUCT(('Cashflow Summary C19RM'!$B$5:$B$100="C19RM 2021-Lab &amp; Other HPS")*('Cashflow Summary C19RM'!$A$5:$A$100=4)*1*('Cashflow Summary C19RM'!$BC$5:$BC$100="6.5 Maintenance and service costs")*('Cashflow Summary C19RM'!$AI$5:$AI$100)))</f>
        <v>0</v>
      </c>
      <c r="AY44" s="424" cm="1">
        <f t="array" ref="AY44">(SUMPRODUCT(('Cashflow Summary C19RM'!$B$5:$B$100="C19RM 2021-Lab &amp; Other HPS")*('Cashflow Summary C19RM'!$A$5:$A$100=4)*1*('Cashflow Summary C19RM'!$BC$5:$BC$100="6.5 Maintenance and service costs")*('Cashflow Summary C19RM'!$AJ$5:$AJ$100)))</f>
        <v>0</v>
      </c>
      <c r="AZ44" s="424" cm="1">
        <f t="array" ref="AZ44">(SUMPRODUCT(('Cashflow Summary C19RM'!$B$5:$B$100="C19RM 2021-Lab &amp; Other HPS")*('Cashflow Summary C19RM'!$A$5:$A$100=4)*1*('Cashflow Summary C19RM'!$BC$5:$BC$100="6.5 Maintenance and service costs")*('Cashflow Summary C19RM'!$AK$5:$AK$100)))</f>
        <v>0</v>
      </c>
      <c r="BA44" s="424">
        <f t="shared" si="6"/>
        <v>0</v>
      </c>
      <c r="BB44" s="424"/>
      <c r="BC44" s="424"/>
      <c r="BD44" s="424"/>
      <c r="BE44" s="424" cm="1">
        <f t="array" ref="BE44">(SUMPRODUCT(('Cashflow Summary C19RM'!$B$5:$B$100="C19RM 2021-Lab &amp; Other HPS")*('Cashflow Summary C19RM'!$A$5:$A$100=4)*1*('Cashflow Summary C19RM'!$BC$5:$BC$100="6.5 Maintenance and service costs")*('Cashflow Summary C19RM'!$AL$5:$AL$100)))</f>
        <v>0</v>
      </c>
      <c r="BF44" s="424" cm="1">
        <f t="array" ref="BF44">(SUMPRODUCT(('Cashflow Summary C19RM'!$B$5:$B$100="C19RM 2021-Lab &amp; Other HPS")*('Cashflow Summary C19RM'!$A$5:$A$100=4)*1*('Cashflow Summary C19RM'!$BC$5:$BC$100="6.5 Maintenance and service costs")*('Cashflow Summary C19RM'!$AM$5:$AM$100)))</f>
        <v>0</v>
      </c>
      <c r="BG44" s="424" cm="1">
        <f t="array" ref="BG44">(SUMPRODUCT(('Cashflow Summary C19RM'!$B$5:$B$100="C19RM 2021-Lab &amp; Other HPS")*('Cashflow Summary C19RM'!$A$5:$A$100=4)*1*('Cashflow Summary C19RM'!$BC$5:$BC$100="6.5 Maintenance and service costs")*('Cashflow Summary C19RM'!$AN$5:$AN$100)))</f>
        <v>0</v>
      </c>
      <c r="BH44" s="424" cm="1">
        <f t="array" ref="BH44">(SUMPRODUCT(('Cashflow Summary C19RM'!$B$5:$B$100="C19RM 2021-Lab &amp; Other HPS")*('Cashflow Summary C19RM'!$A$5:$A$100=4)*1*('Cashflow Summary C19RM'!$BC$5:$BC$100="6.5 Maintenance and service costs")*('Cashflow Summary C19RM'!$AO$5:$AO$100)))</f>
        <v>0</v>
      </c>
      <c r="BI44" s="424">
        <f t="shared" si="7"/>
        <v>0</v>
      </c>
      <c r="BJ44" s="424"/>
      <c r="BK44" s="424">
        <f t="shared" si="8"/>
        <v>0</v>
      </c>
      <c r="BL44" s="424"/>
      <c r="BM44" s="142"/>
      <c r="BN44" s="425"/>
      <c r="BP44" s="274" t="str">
        <f t="shared" si="11"/>
        <v>No</v>
      </c>
      <c r="BQ44" t="s">
        <v>25</v>
      </c>
      <c r="BS44" s="286" t="s">
        <v>83</v>
      </c>
      <c r="BT44" t="s">
        <v>3338</v>
      </c>
      <c r="BU44" s="411" t="s">
        <v>3630</v>
      </c>
    </row>
    <row r="45" spans="1:73" ht="39" customHeight="1" x14ac:dyDescent="0.35">
      <c r="A45" s="256"/>
      <c r="B45" s="363" t="str">
        <f>PMsheet!$AH$94&amp;'Detailed BudgetC19RM'!BU45</f>
        <v>000P23HP1140</v>
      </c>
      <c r="C45" s="315" t="s">
        <v>2749</v>
      </c>
      <c r="D45" s="315" t="s">
        <v>3137</v>
      </c>
      <c r="E45" s="261" t="s">
        <v>3117</v>
      </c>
      <c r="F45" s="314" t="s">
        <v>619</v>
      </c>
      <c r="G45" s="315">
        <f ca="1">SETUP!$T$2</f>
        <v>0</v>
      </c>
      <c r="H45" s="315" t="str">
        <f>IF(SETUP!$E$3="","","National/Country Level")</f>
        <v/>
      </c>
      <c r="I45" s="315" t="s">
        <v>2665</v>
      </c>
      <c r="J45" s="315" t="s">
        <v>707</v>
      </c>
      <c r="K45" s="315">
        <f t="shared" si="10"/>
        <v>0</v>
      </c>
      <c r="L45" s="315"/>
      <c r="M45" s="315">
        <f>SETUP!$E$7</f>
        <v>0</v>
      </c>
      <c r="N45" s="315"/>
      <c r="O45" s="315"/>
      <c r="P45" s="315"/>
      <c r="Q45" s="917" cm="1">
        <f t="array" ref="Q45">'HPM costs-C19RM'!$G$27+(SUMPRODUCT(('Fixed Cost-C19RM'!$D$5:$D$202=$D45)*('Fixed Cost-C19RM'!$F$5:$F$202=$F45)*('Fixed Cost-C19RM'!$K$5:$K$202)))</f>
        <v>0</v>
      </c>
      <c r="R45" s="917" cm="1">
        <f t="array" ref="R45">'HPM costs-C19RM'!$H$27+(SUMPRODUCT(('Fixed Cost-C19RM'!$D$5:$D$202=$D45)*('Fixed Cost-C19RM'!$F$5:$F$202=$F45)*('Fixed Cost-C19RM'!$L$5:$L$202)))</f>
        <v>0</v>
      </c>
      <c r="S45" s="917" cm="1">
        <f t="array" ref="S45">'HPM costs-C19RM'!$I$27+(SUMPRODUCT(('Fixed Cost-C19RM'!$D$5:$D$202=$D45)*('Fixed Cost-C19RM'!$F$5:$F$202=$F45)*('Fixed Cost-C19RM'!$M$5:$M$202)))</f>
        <v>0</v>
      </c>
      <c r="T45" s="917" cm="1">
        <f t="array" ref="T45">'HPM costs-C19RM'!$J$27+(SUMPRODUCT(('Fixed Cost-C19RM'!$D$5:$D$202=$D45)*('Fixed Cost-C19RM'!$F$5:$F$202=$F45)*('Fixed Cost-C19RM'!$N$5:$N$202)))</f>
        <v>0</v>
      </c>
      <c r="U45" s="948">
        <f t="shared" si="2"/>
        <v>0</v>
      </c>
      <c r="V45" s="424"/>
      <c r="W45" s="424"/>
      <c r="X45" s="424"/>
      <c r="Y45" s="424" cm="1">
        <f t="array" ref="Y45">'HPM costs-C19RM'!$M$27+(SUMPRODUCT(('Fixed Cost-C19RM'!$D$5:$D$202=$D45)*('Fixed Cost-C19RM'!$F$5:$F$202=$F45)*('Fixed Cost-C19RM'!$P$5:$P$202)))</f>
        <v>0</v>
      </c>
      <c r="Z45" s="424" cm="1">
        <f t="array" ref="Z45">'HPM costs-C19RM'!$N$27+(SUMPRODUCT(('Fixed Cost-C19RM'!$D$5:$D$202=$D45)*('Fixed Cost-C19RM'!$F$5:$F$202=$F45)*('Fixed Cost-C19RM'!$Q$5:$Q$202)))</f>
        <v>0</v>
      </c>
      <c r="AA45" s="424" cm="1">
        <f t="array" ref="AA45">'HPM costs-C19RM'!$O$27+(SUMPRODUCT(('Fixed Cost-C19RM'!$D$5:$D$202=$D45)*('Fixed Cost-C19RM'!$F$5:$F$202=$F45)*('Fixed Cost-C19RM'!$R$5:$R$202)))</f>
        <v>0</v>
      </c>
      <c r="AB45" s="424" cm="1">
        <f t="array" ref="AB45">'HPM costs-C19RM'!$P$27+(SUMPRODUCT(('Fixed Cost-C19RM'!$D$5:$D$202=$D45)*('Fixed Cost-C19RM'!$F$5:$F$202=$F45)*('Fixed Cost-C19RM'!$S$5:$S$202)))</f>
        <v>0</v>
      </c>
      <c r="AC45" s="424">
        <f t="shared" si="3"/>
        <v>0</v>
      </c>
      <c r="AD45" s="424"/>
      <c r="AE45" s="424"/>
      <c r="AF45" s="424"/>
      <c r="AG45" s="424" cm="1">
        <f t="array" ref="AG45">'HPM costs-C19RM'!$S$27+(SUMPRODUCT(('Fixed Cost-C19RM'!$D$5:$D$202=$D45)*('Fixed Cost-C19RM'!$F$5:$F$202=$F45)*('Fixed Cost-C19RM'!$U$5:$U$202)))</f>
        <v>0</v>
      </c>
      <c r="AH45" s="424" cm="1">
        <f t="array" ref="AH45">'HPM costs-C19RM'!$T$27+(SUMPRODUCT(('Fixed Cost-C19RM'!$D$5:$D$202=$D45)*('Fixed Cost-C19RM'!$F$5:$F$202=$F45)*('Fixed Cost-C19RM'!$V$5:$V$202)))</f>
        <v>0</v>
      </c>
      <c r="AI45" s="424" cm="1">
        <f t="array" ref="AI45">'HPM costs-C19RM'!$U$27+(SUMPRODUCT(('Fixed Cost-C19RM'!$D$5:$D$202=$D45)*('Fixed Cost-C19RM'!$F$5:$F$202=$F45)*('Fixed Cost-C19RM'!$W$5:$W$202)))</f>
        <v>0</v>
      </c>
      <c r="AJ45" s="424" cm="1">
        <f t="array" ref="AJ45">'HPM costs-C19RM'!$V$27+(SUMPRODUCT(('Fixed Cost-C19RM'!$D$5:$D$202=$D45)*('Fixed Cost-C19RM'!$F$5:$F$202=$F45)*('Fixed Cost-C19RM'!$X$5:$X$202)))</f>
        <v>0</v>
      </c>
      <c r="AK45" s="424">
        <f t="shared" si="4"/>
        <v>0</v>
      </c>
      <c r="AL45" s="424"/>
      <c r="AM45" s="424"/>
      <c r="AN45" s="424"/>
      <c r="AO45" s="424" cm="1">
        <f t="array" ref="AO45">'HPM costs-C19RM'!$Y$27+(SUMPRODUCT(('Fixed Cost-C19RM'!$D$5:$D$202=$D45)*('Fixed Cost-C19RM'!$F$5:$F$202=$F45)*('Fixed Cost-C19RM'!$Z$5:$Z$202)))</f>
        <v>0</v>
      </c>
      <c r="AP45" s="424" cm="1">
        <f t="array" ref="AP45">'HPM costs-C19RM'!$Z$27+(SUMPRODUCT(('Fixed Cost-C19RM'!$D$5:$D$202=$D45)*('Fixed Cost-C19RM'!$F$5:$F$202=$F45)*('Fixed Cost-C19RM'!$AA$5:$AA$202)))</f>
        <v>0</v>
      </c>
      <c r="AQ45" s="424" cm="1">
        <f t="array" ref="AQ45">'HPM costs-C19RM'!$AA$27+(SUMPRODUCT(('Fixed Cost-C19RM'!$D$5:$D$202=$D45)*('Fixed Cost-C19RM'!$F$5:$F$202=$F45)*('Fixed Cost-C19RM'!$AB$5:$AB$202)))</f>
        <v>0</v>
      </c>
      <c r="AR45" s="424" cm="1">
        <f t="array" ref="AR45">'HPM costs-C19RM'!$AB$27+(SUMPRODUCT(('Fixed Cost-C19RM'!$D$5:$D$202=$D45)*('Fixed Cost-C19RM'!$F$5:$F$202=$F45)*('Fixed Cost-C19RM'!$AC$5:$AC$202)))</f>
        <v>0</v>
      </c>
      <c r="AS45" s="424">
        <f t="shared" si="5"/>
        <v>0</v>
      </c>
      <c r="AT45" s="424"/>
      <c r="AU45" s="424"/>
      <c r="AV45" s="424"/>
      <c r="AW45" s="424" cm="1">
        <f t="array" ref="AW45">'HPM costs-C19RM'!$AE$27+(SUMPRODUCT(('Fixed Cost-C19RM'!$D$5:$D$202=$D45)*('Fixed Cost-C19RM'!$F$5:$F$202=$F45)*('Fixed Cost-C19RM'!$AE$5:$AE$202)))</f>
        <v>0</v>
      </c>
      <c r="AX45" s="424" cm="1">
        <f t="array" ref="AX45">'HPM costs-C19RM'!$AF$27+(SUMPRODUCT(('Fixed Cost-C19RM'!$D$5:$D$202=$D45)*('Fixed Cost-C19RM'!$F$5:$F$202=$F45)*('Fixed Cost-C19RM'!$AF$5:$AF$202)))</f>
        <v>0</v>
      </c>
      <c r="AY45" s="424" cm="1">
        <f t="array" ref="AY45">'HPM costs-C19RM'!$AG$27+(SUMPRODUCT(('Fixed Cost-C19RM'!$D$5:$D$202=$D45)*('Fixed Cost-C19RM'!$F$5:$F$202=$F45)*('Fixed Cost-C19RM'!$AG$5:$AG$202)))</f>
        <v>0</v>
      </c>
      <c r="AZ45" s="424" cm="1">
        <f t="array" ref="AZ45">'HPM costs-C19RM'!$AH$27+(SUMPRODUCT(('Fixed Cost-C19RM'!$D$5:$D$202=$D45)*('Fixed Cost-C19RM'!$F$5:$F$202=$F45)*('Fixed Cost-C19RM'!$AH$5:$AH$202)))</f>
        <v>0</v>
      </c>
      <c r="BA45" s="424">
        <f t="shared" si="6"/>
        <v>0</v>
      </c>
      <c r="BB45" s="424"/>
      <c r="BC45" s="424"/>
      <c r="BD45" s="424"/>
      <c r="BE45" s="424">
        <v>0</v>
      </c>
      <c r="BF45" s="424">
        <v>0</v>
      </c>
      <c r="BG45" s="424">
        <v>0</v>
      </c>
      <c r="BH45" s="424">
        <v>0</v>
      </c>
      <c r="BI45" s="424">
        <f t="shared" si="7"/>
        <v>0</v>
      </c>
      <c r="BJ45" s="424"/>
      <c r="BK45" s="424">
        <f t="shared" si="8"/>
        <v>0</v>
      </c>
      <c r="BL45" s="424"/>
      <c r="BM45" s="142"/>
      <c r="BN45" s="425"/>
      <c r="BP45" s="274" t="str">
        <f t="shared" si="11"/>
        <v>No</v>
      </c>
      <c r="BQ45" s="954" t="s">
        <v>25</v>
      </c>
      <c r="BR45" t="str">
        <f>IF(((IFERROR(INDEX('Fixed Cost-C19RM'!$AO$5:$AO$202,MATCH(BS45&amp;C45&amp;D45&amp;F45,'Fixed Cost-C19RM'!$A$5:$A$202,0)),0)))&gt;0,"Yes","NO")</f>
        <v>NO</v>
      </c>
      <c r="BS45" s="286" t="s">
        <v>83</v>
      </c>
      <c r="BT45" t="s">
        <v>3285</v>
      </c>
      <c r="BU45" s="411" t="s">
        <v>3631</v>
      </c>
    </row>
    <row r="46" spans="1:73" ht="39" customHeight="1" x14ac:dyDescent="0.35">
      <c r="A46" s="256"/>
      <c r="B46" s="363" t="str">
        <f>PMsheet!$AH$94&amp;'Detailed BudgetC19RM'!BU46</f>
        <v>000P23HP1141</v>
      </c>
      <c r="C46" s="315" t="s">
        <v>2749</v>
      </c>
      <c r="D46" s="315" t="s">
        <v>3137</v>
      </c>
      <c r="E46" s="261" t="s">
        <v>3117</v>
      </c>
      <c r="F46" s="314" t="s">
        <v>3118</v>
      </c>
      <c r="G46" s="315">
        <f ca="1">SETUP!$T$2</f>
        <v>0</v>
      </c>
      <c r="H46" s="315" t="str">
        <f>IF(SETUP!$E$3="","","National/Country Level")</f>
        <v/>
      </c>
      <c r="I46" s="315" t="s">
        <v>2665</v>
      </c>
      <c r="J46" s="315" t="s">
        <v>707</v>
      </c>
      <c r="K46" s="315">
        <f t="shared" si="10"/>
        <v>0</v>
      </c>
      <c r="L46" s="315"/>
      <c r="M46" s="315">
        <f>SETUP!$E$7</f>
        <v>0</v>
      </c>
      <c r="N46" s="315"/>
      <c r="O46" s="315"/>
      <c r="P46" s="315"/>
      <c r="Q46" s="917" cm="1">
        <f t="array" ref="Q46">'HPM costs-C19RM'!$G$47+(SUMPRODUCT(('Fixed Cost-C19RM'!$D$5:$D$202=$D46)*('Fixed Cost-C19RM'!$F$5:$F$202=$F46)*('Fixed Cost-C19RM'!$K$5:$K$202)))</f>
        <v>0</v>
      </c>
      <c r="R46" s="917" cm="1">
        <f t="array" ref="R46">'HPM costs-C19RM'!$H$47+(SUMPRODUCT(('Fixed Cost-C19RM'!$D$5:$D$202=$D46)*('Fixed Cost-C19RM'!$F$5:$F$202=$F46)*('Fixed Cost-C19RM'!$L$5:$L$202)))</f>
        <v>0</v>
      </c>
      <c r="S46" s="917" cm="1">
        <f t="array" ref="S46">'HPM costs-C19RM'!$I$47+(SUMPRODUCT(('Fixed Cost-C19RM'!$D$5:$D$202=$D46)*('Fixed Cost-C19RM'!$F$5:$F$202=$F46)*('Fixed Cost-C19RM'!$M$5:$M$202)))</f>
        <v>0</v>
      </c>
      <c r="T46" s="917" cm="1">
        <f t="array" ref="T46">'HPM costs-C19RM'!$J$47+(SUMPRODUCT(('Fixed Cost-C19RM'!$D$5:$D$202=$D46)*('Fixed Cost-C19RM'!$F$5:$F$202=$F46)*('Fixed Cost-C19RM'!$N$5:$N$202)))</f>
        <v>0</v>
      </c>
      <c r="U46" s="948">
        <f t="shared" si="2"/>
        <v>0</v>
      </c>
      <c r="V46" s="424"/>
      <c r="W46" s="424"/>
      <c r="X46" s="424"/>
      <c r="Y46" s="424" cm="1">
        <f t="array" ref="Y46">'HPM costs-C19RM'!$M$47+(SUMPRODUCT(('Fixed Cost-C19RM'!$D$5:$D$202=$D46)*('Fixed Cost-C19RM'!$F$5:$F$202=$F46)*('Fixed Cost-C19RM'!$P$5:$P$202)))</f>
        <v>0</v>
      </c>
      <c r="Z46" s="424" cm="1">
        <f t="array" ref="Z46">'HPM costs-C19RM'!$N$47+(SUMPRODUCT(('Fixed Cost-C19RM'!$D$5:$D$202=$D46)*('Fixed Cost-C19RM'!$F$5:$F$202=$F46)*('Fixed Cost-C19RM'!$Q$5:$Q$202)))</f>
        <v>0</v>
      </c>
      <c r="AA46" s="424" cm="1">
        <f t="array" ref="AA46">'HPM costs-C19RM'!$O$47+(SUMPRODUCT(('Fixed Cost-C19RM'!$D$5:$D$202=$D46)*('Fixed Cost-C19RM'!$F$5:$F$202=$F46)*('Fixed Cost-C19RM'!$R$5:$R$202)))</f>
        <v>0</v>
      </c>
      <c r="AB46" s="424" cm="1">
        <f t="array" ref="AB46">'HPM costs-C19RM'!$P$47+(SUMPRODUCT(('Fixed Cost-C19RM'!$D$5:$D$202=$D46)*('Fixed Cost-C19RM'!$F$5:$F$202=$F46)*('Fixed Cost-C19RM'!$S$5:$S$202)))</f>
        <v>0</v>
      </c>
      <c r="AC46" s="424">
        <f t="shared" si="3"/>
        <v>0</v>
      </c>
      <c r="AD46" s="424"/>
      <c r="AE46" s="424"/>
      <c r="AF46" s="424"/>
      <c r="AG46" s="424" cm="1">
        <f t="array" ref="AG46">'HPM costs-C19RM'!$S$47+(SUMPRODUCT(('Fixed Cost-C19RM'!$D$5:$D$202=$D46)*('Fixed Cost-C19RM'!$F$5:$F$202=$F46)*('Fixed Cost-C19RM'!$U$5:$U$202)))</f>
        <v>0</v>
      </c>
      <c r="AH46" s="424" cm="1">
        <f t="array" ref="AH46">'HPM costs-C19RM'!$T$47+(SUMPRODUCT(('Fixed Cost-C19RM'!$D$5:$D$202=$D46)*('Fixed Cost-C19RM'!$F$5:$F$202=$F46)*('Fixed Cost-C19RM'!$V$5:$V$202)))</f>
        <v>0</v>
      </c>
      <c r="AI46" s="424" cm="1">
        <f t="array" ref="AI46">'HPM costs-C19RM'!$U$47+(SUMPRODUCT(('Fixed Cost-C19RM'!$D$5:$D$202=$D46)*('Fixed Cost-C19RM'!$F$5:$F$202=$F46)*('Fixed Cost-C19RM'!$W$5:$W$202)))</f>
        <v>0</v>
      </c>
      <c r="AJ46" s="424" cm="1">
        <f t="array" ref="AJ46">'HPM costs-C19RM'!$V$47+(SUMPRODUCT(('Fixed Cost-C19RM'!$D$5:$D$202=$D46)*('Fixed Cost-C19RM'!$F$5:$F$202=$F46)*('Fixed Cost-C19RM'!$X$5:$X$202)))</f>
        <v>0</v>
      </c>
      <c r="AK46" s="424">
        <f t="shared" si="4"/>
        <v>0</v>
      </c>
      <c r="AL46" s="424"/>
      <c r="AM46" s="424"/>
      <c r="AN46" s="424"/>
      <c r="AO46" s="424" cm="1">
        <f t="array" ref="AO46">'HPM costs-C19RM'!$Y$47+(SUMPRODUCT(('Fixed Cost-C19RM'!$D$5:$D$202=$D46)*('Fixed Cost-C19RM'!$F$5:$F$202=$F46)*('Fixed Cost-C19RM'!$Z$5:$Z$202)))</f>
        <v>0</v>
      </c>
      <c r="AP46" s="424" cm="1">
        <f t="array" ref="AP46">'HPM costs-C19RM'!$Z$47+(SUMPRODUCT(('Fixed Cost-C19RM'!$D$5:$D$202=$D46)*('Fixed Cost-C19RM'!$F$5:$F$202=$F46)*('Fixed Cost-C19RM'!$AA$5:$AA$202)))</f>
        <v>0</v>
      </c>
      <c r="AQ46" s="424" cm="1">
        <f t="array" ref="AQ46">'HPM costs-C19RM'!$AA$47+(SUMPRODUCT(('Fixed Cost-C19RM'!$D$5:$D$202=$D46)*('Fixed Cost-C19RM'!$F$5:$F$202=$F46)*('Fixed Cost-C19RM'!$AB$5:$AB$202)))</f>
        <v>0</v>
      </c>
      <c r="AR46" s="424" cm="1">
        <f t="array" ref="AR46">'HPM costs-C19RM'!$AB$47+(SUMPRODUCT(('Fixed Cost-C19RM'!$D$5:$D$202=$D46)*('Fixed Cost-C19RM'!$F$5:$F$202=$F46)*('Fixed Cost-C19RM'!$AC$5:$AC$202)))</f>
        <v>0</v>
      </c>
      <c r="AS46" s="424">
        <f t="shared" si="5"/>
        <v>0</v>
      </c>
      <c r="AT46" s="424"/>
      <c r="AU46" s="424"/>
      <c r="AV46" s="424"/>
      <c r="AW46" s="424" cm="1">
        <f t="array" ref="AW46">'HPM costs-C19RM'!$AE$47+(SUMPRODUCT(('Fixed Cost-C19RM'!$D$5:$D$202=$D46)*('Fixed Cost-C19RM'!$F$5:$F$202=$F46)*('Fixed Cost-C19RM'!$AE$5:$AE$202)))</f>
        <v>0</v>
      </c>
      <c r="AX46" s="424" cm="1">
        <f t="array" ref="AX46">'HPM costs-C19RM'!$AF$47+(SUMPRODUCT(('Fixed Cost-C19RM'!$D$5:$D$202=$D46)*('Fixed Cost-C19RM'!$F$5:$F$202=$F46)*('Fixed Cost-C19RM'!$AF$5:$AF$202)))</f>
        <v>0</v>
      </c>
      <c r="AY46" s="424" cm="1">
        <f t="array" ref="AY46">'HPM costs-C19RM'!$AG$47+(SUMPRODUCT(('Fixed Cost-C19RM'!$D$5:$D$202=$D46)*('Fixed Cost-C19RM'!$F$5:$F$202=$F46)*('Fixed Cost-C19RM'!$AG$5:$AG$202)))</f>
        <v>0</v>
      </c>
      <c r="AZ46" s="424" cm="1">
        <f t="array" ref="AZ46">'HPM costs-C19RM'!$AH$47+(SUMPRODUCT(('Fixed Cost-C19RM'!$D$5:$D$202=$D46)*('Fixed Cost-C19RM'!$F$5:$F$202=$F46)*('Fixed Cost-C19RM'!$AH$5:$AH$202)))</f>
        <v>0</v>
      </c>
      <c r="BA46" s="424">
        <f t="shared" si="6"/>
        <v>0</v>
      </c>
      <c r="BB46" s="424"/>
      <c r="BC46" s="424"/>
      <c r="BD46" s="424"/>
      <c r="BE46" s="424">
        <v>0</v>
      </c>
      <c r="BF46" s="424">
        <v>0</v>
      </c>
      <c r="BG46" s="424">
        <v>0</v>
      </c>
      <c r="BH46" s="424">
        <v>0</v>
      </c>
      <c r="BI46" s="424">
        <f t="shared" si="7"/>
        <v>0</v>
      </c>
      <c r="BJ46" s="424"/>
      <c r="BK46" s="424">
        <f t="shared" si="8"/>
        <v>0</v>
      </c>
      <c r="BL46" s="424"/>
      <c r="BM46" s="142"/>
      <c r="BN46" s="425"/>
      <c r="BP46" s="274" t="str">
        <f t="shared" si="11"/>
        <v>No</v>
      </c>
      <c r="BQ46" t="s">
        <v>25</v>
      </c>
      <c r="BR46" t="str">
        <f>IF(((IFERROR(INDEX('Fixed Cost-C19RM'!$AO$5:$AO$202,MATCH(BS46&amp;C46&amp;D46&amp;F46,'Fixed Cost-C19RM'!$A$5:$A$202,0)),0)))&gt;0,"Yes","NO")</f>
        <v>NO</v>
      </c>
      <c r="BS46" s="286" t="s">
        <v>83</v>
      </c>
      <c r="BT46" t="s">
        <v>3286</v>
      </c>
      <c r="BU46" s="411" t="s">
        <v>3632</v>
      </c>
    </row>
    <row r="47" spans="1:73" ht="39" customHeight="1" x14ac:dyDescent="0.35">
      <c r="A47" s="256"/>
      <c r="B47" s="363" t="str">
        <f>PMsheet!$AH$94&amp;'Detailed BudgetC19RM'!BU47</f>
        <v>000P23HP1142</v>
      </c>
      <c r="C47" s="315" t="s">
        <v>2749</v>
      </c>
      <c r="D47" s="315" t="s">
        <v>3137</v>
      </c>
      <c r="E47" s="261" t="s">
        <v>3117</v>
      </c>
      <c r="F47" s="314" t="s">
        <v>620</v>
      </c>
      <c r="G47" s="315">
        <f ca="1">SETUP!$T$2</f>
        <v>0</v>
      </c>
      <c r="H47" s="315" t="str">
        <f>IF(SETUP!$E$3="","","National/Country Level")</f>
        <v/>
      </c>
      <c r="I47" s="315" t="s">
        <v>2665</v>
      </c>
      <c r="J47" s="315" t="s">
        <v>707</v>
      </c>
      <c r="K47" s="315">
        <f t="shared" si="10"/>
        <v>0</v>
      </c>
      <c r="L47" s="315"/>
      <c r="M47" s="315">
        <f>SETUP!$E$7</f>
        <v>0</v>
      </c>
      <c r="N47" s="315"/>
      <c r="O47" s="315"/>
      <c r="P47" s="315"/>
      <c r="Q47" s="917" cm="1">
        <f t="array" ref="Q47">'HPM costs-C19RM'!$G$191+(SUMPRODUCT(('Fixed Cost-C19RM'!$D$5:$D$202=$D47)*('Fixed Cost-C19RM'!$F$5:$F$202=$F47)*('Fixed Cost-C19RM'!$K$5:$K$202)))</f>
        <v>0</v>
      </c>
      <c r="R47" s="917" cm="1">
        <f t="array" ref="R47">'HPM costs-C19RM'!$H$191+(SUMPRODUCT(('Fixed Cost-C19RM'!$D$5:$D$202=$D47)*('Fixed Cost-C19RM'!$F$5:$F$202=$F47)*('Fixed Cost-C19RM'!$L$5:$L$202)))</f>
        <v>0</v>
      </c>
      <c r="S47" s="917" cm="1">
        <f t="array" ref="S47">'HPM costs-C19RM'!$I$191+(SUMPRODUCT(('Fixed Cost-C19RM'!$D$5:$D$202=$D47)*('Fixed Cost-C19RM'!$F$5:$F$202=$F47)*('Fixed Cost-C19RM'!$M$5:$M$202)))</f>
        <v>0</v>
      </c>
      <c r="T47" s="917" cm="1">
        <f t="array" ref="T47">'HPM costs-C19RM'!$J$191+(SUMPRODUCT(('Fixed Cost-C19RM'!$D$5:$D$202=$D47)*('Fixed Cost-C19RM'!$F$5:$F$202=$F47)*('Fixed Cost-C19RM'!$N$5:$N$202)))</f>
        <v>0</v>
      </c>
      <c r="U47" s="948">
        <f t="shared" si="2"/>
        <v>0</v>
      </c>
      <c r="V47" s="424"/>
      <c r="W47" s="424"/>
      <c r="X47" s="424"/>
      <c r="Y47" s="424" cm="1">
        <f t="array" ref="Y47">'HPM costs-C19RM'!$M$191+(SUMPRODUCT(('Fixed Cost-C19RM'!$D$5:$D$202=$D47)*('Fixed Cost-C19RM'!$F$5:$F$202=$F47)*('Fixed Cost-C19RM'!$P$5:$P$202)))</f>
        <v>0</v>
      </c>
      <c r="Z47" s="424" cm="1">
        <f t="array" ref="Z47">'HPM costs-C19RM'!$N$191+(SUMPRODUCT(('Fixed Cost-C19RM'!$D$5:$D$202=$D47)*('Fixed Cost-C19RM'!$F$5:$F$202=$F47)*('Fixed Cost-C19RM'!$Q$5:$Q$202)))</f>
        <v>0</v>
      </c>
      <c r="AA47" s="424" cm="1">
        <f t="array" ref="AA47">'HPM costs-C19RM'!$O$191+(SUMPRODUCT(('Fixed Cost-C19RM'!$D$5:$D$202=$D47)*('Fixed Cost-C19RM'!$F$5:$F$202=$F47)*('Fixed Cost-C19RM'!$R$5:$R$202)))</f>
        <v>0</v>
      </c>
      <c r="AB47" s="424" cm="1">
        <f t="array" ref="AB47">'HPM costs-C19RM'!$P$191+(SUMPRODUCT(('Fixed Cost-C19RM'!$D$5:$D$202=$D47)*('Fixed Cost-C19RM'!$F$5:$F$202=$F47)*('Fixed Cost-C19RM'!$S$5:$S$202)))</f>
        <v>0</v>
      </c>
      <c r="AC47" s="424">
        <f t="shared" si="3"/>
        <v>0</v>
      </c>
      <c r="AD47" s="424"/>
      <c r="AE47" s="424"/>
      <c r="AF47" s="424"/>
      <c r="AG47" s="424" cm="1">
        <f t="array" ref="AG47">'HPM costs-C19RM'!$S$191+(SUMPRODUCT(('Fixed Cost-C19RM'!$D$5:$D$202=$D47)*('Fixed Cost-C19RM'!$F$5:$F$202=$F47)*('Fixed Cost-C19RM'!$U$5:$U$202)))</f>
        <v>0</v>
      </c>
      <c r="AH47" s="424" cm="1">
        <f t="array" ref="AH47">'HPM costs-C19RM'!$T$191+(SUMPRODUCT(('Fixed Cost-C19RM'!$D$5:$D$202=$D47)*('Fixed Cost-C19RM'!$F$5:$F$202=$F47)*('Fixed Cost-C19RM'!$V$5:$V$202)))</f>
        <v>0</v>
      </c>
      <c r="AI47" s="424" cm="1">
        <f t="array" ref="AI47">'HPM costs-C19RM'!$U$191+(SUMPRODUCT(('Fixed Cost-C19RM'!$D$5:$D$202=$D47)*('Fixed Cost-C19RM'!$F$5:$F$202=$F47)*('Fixed Cost-C19RM'!$W$5:$W$202)))</f>
        <v>0</v>
      </c>
      <c r="AJ47" s="424" cm="1">
        <f t="array" ref="AJ47">'HPM costs-C19RM'!$V$191+(SUMPRODUCT(('Fixed Cost-C19RM'!$D$5:$D$202=$D47)*('Fixed Cost-C19RM'!$F$5:$F$202=$F47)*('Fixed Cost-C19RM'!$X$5:$X$202)))</f>
        <v>0</v>
      </c>
      <c r="AK47" s="424">
        <f t="shared" si="4"/>
        <v>0</v>
      </c>
      <c r="AL47" s="424"/>
      <c r="AM47" s="424"/>
      <c r="AN47" s="424"/>
      <c r="AO47" s="424" cm="1">
        <f t="array" ref="AO47">'HPM costs-C19RM'!$Y$191+(SUMPRODUCT(('Fixed Cost-C19RM'!$D$5:$D$202=$D47)*('Fixed Cost-C19RM'!$F$5:$F$202=$F47)*('Fixed Cost-C19RM'!$Z$5:$Z$202)))</f>
        <v>0</v>
      </c>
      <c r="AP47" s="424" cm="1">
        <f t="array" ref="AP47">'HPM costs-C19RM'!$Z$191+(SUMPRODUCT(('Fixed Cost-C19RM'!$D$5:$D$202=$D47)*('Fixed Cost-C19RM'!$F$5:$F$202=$F47)*('Fixed Cost-C19RM'!$AA$5:$AA$202)))</f>
        <v>0</v>
      </c>
      <c r="AQ47" s="424" cm="1">
        <f t="array" ref="AQ47">'HPM costs-C19RM'!$AA$191+(SUMPRODUCT(('Fixed Cost-C19RM'!$D$5:$D$202=$D47)*('Fixed Cost-C19RM'!$F$5:$F$202=$F47)*('Fixed Cost-C19RM'!$AB$5:$AB$202)))</f>
        <v>0</v>
      </c>
      <c r="AR47" s="424" cm="1">
        <f t="array" ref="AR47">'HPM costs-C19RM'!$AB$191+(SUMPRODUCT(('Fixed Cost-C19RM'!$D$5:$D$202=$D47)*('Fixed Cost-C19RM'!$F$5:$F$202=$F47)*('Fixed Cost-C19RM'!$AC$5:$AC$202)))</f>
        <v>0</v>
      </c>
      <c r="AS47" s="424">
        <f t="shared" si="5"/>
        <v>0</v>
      </c>
      <c r="AT47" s="424"/>
      <c r="AU47" s="424"/>
      <c r="AV47" s="424"/>
      <c r="AW47" s="424" cm="1">
        <f t="array" ref="AW47">'HPM costs-C19RM'!$AE$191+(SUMPRODUCT(('Fixed Cost-C19RM'!$D$5:$D$202=$D47)*('Fixed Cost-C19RM'!$F$5:$F$202=$F47)*('Fixed Cost-C19RM'!$AE$5:$AE$202)))</f>
        <v>0</v>
      </c>
      <c r="AX47" s="424" cm="1">
        <f t="array" ref="AX47">'HPM costs-C19RM'!$AF$191+(SUMPRODUCT(('Fixed Cost-C19RM'!$D$5:$D$202=$D47)*('Fixed Cost-C19RM'!$F$5:$F$202=$F47)*('Fixed Cost-C19RM'!$AF$5:$AF$202)))</f>
        <v>0</v>
      </c>
      <c r="AY47" s="424" cm="1">
        <f t="array" ref="AY47">'HPM costs-C19RM'!$AG$191+(SUMPRODUCT(('Fixed Cost-C19RM'!$D$5:$D$202=$D47)*('Fixed Cost-C19RM'!$F$5:$F$202=$F47)*('Fixed Cost-C19RM'!$AG$5:$AG$202)))</f>
        <v>0</v>
      </c>
      <c r="AZ47" s="424" cm="1">
        <f t="array" ref="AZ47">'HPM costs-C19RM'!$AH$191+(SUMPRODUCT(('Fixed Cost-C19RM'!$D$5:$D$202=$D47)*('Fixed Cost-C19RM'!$F$5:$F$202=$F47)*('Fixed Cost-C19RM'!$AH$5:$AH$202)))</f>
        <v>0</v>
      </c>
      <c r="BA47" s="424">
        <f t="shared" si="6"/>
        <v>0</v>
      </c>
      <c r="BB47" s="424"/>
      <c r="BC47" s="424"/>
      <c r="BD47" s="424"/>
      <c r="BE47" s="424">
        <v>0</v>
      </c>
      <c r="BF47" s="424">
        <v>0</v>
      </c>
      <c r="BG47" s="424">
        <v>0</v>
      </c>
      <c r="BH47" s="424">
        <v>0</v>
      </c>
      <c r="BI47" s="424">
        <f t="shared" si="7"/>
        <v>0</v>
      </c>
      <c r="BJ47" s="424"/>
      <c r="BK47" s="424">
        <f t="shared" si="8"/>
        <v>0</v>
      </c>
      <c r="BL47" s="424"/>
      <c r="BM47" s="142"/>
      <c r="BN47" s="425"/>
      <c r="BP47" s="274" t="str">
        <f t="shared" si="11"/>
        <v>No</v>
      </c>
      <c r="BQ47" t="s">
        <v>25</v>
      </c>
      <c r="BR47" t="str">
        <f>IF(((IFERROR(INDEX('Fixed Cost-C19RM'!$AO$5:$AO$202,MATCH(BS47&amp;C47&amp;D47&amp;F47,'Fixed Cost-C19RM'!$A$5:$A$202,0)),0)))&gt;0,"Yes","NO")</f>
        <v>NO</v>
      </c>
      <c r="BS47" s="286" t="s">
        <v>83</v>
      </c>
      <c r="BT47" t="s">
        <v>3287</v>
      </c>
      <c r="BU47" s="411" t="s">
        <v>3633</v>
      </c>
    </row>
    <row r="48" spans="1:73" ht="39" customHeight="1" x14ac:dyDescent="0.35">
      <c r="A48" s="256"/>
      <c r="B48" s="363" t="str">
        <f>PMsheet!$AH$94&amp;'Detailed BudgetC19RM'!BU48</f>
        <v>000P23HP1143</v>
      </c>
      <c r="C48" s="315" t="s">
        <v>2749</v>
      </c>
      <c r="D48" s="315" t="s">
        <v>3137</v>
      </c>
      <c r="E48" s="261" t="s">
        <v>3117</v>
      </c>
      <c r="F48" s="314" t="s">
        <v>621</v>
      </c>
      <c r="G48" s="315">
        <f ca="1">SETUP!$T$2</f>
        <v>0</v>
      </c>
      <c r="H48" s="315" t="str">
        <f>IF(SETUP!$E$3="","","National/Country Level")</f>
        <v/>
      </c>
      <c r="I48" s="315" t="s">
        <v>2665</v>
      </c>
      <c r="J48" s="315" t="s">
        <v>707</v>
      </c>
      <c r="K48" s="315">
        <f t="shared" si="10"/>
        <v>0</v>
      </c>
      <c r="L48" s="315"/>
      <c r="M48" s="315">
        <f>SETUP!$E$7</f>
        <v>0</v>
      </c>
      <c r="N48" s="315"/>
      <c r="O48" s="315"/>
      <c r="P48" s="315"/>
      <c r="Q48" s="917" cm="1">
        <f t="array" ref="Q48">'HPM costs-C19RM'!$G$238+(SUMPRODUCT(('Fixed Cost-C19RM'!$D$5:$D$202=$D48)*('Fixed Cost-C19RM'!$F$5:$F$202=$F48)*('Fixed Cost-C19RM'!$K$5:$K$202)))</f>
        <v>0</v>
      </c>
      <c r="R48" s="917" cm="1">
        <f t="array" ref="R48">'HPM costs-C19RM'!$H$238+(SUMPRODUCT(('Fixed Cost-C19RM'!$D$5:$D$202=$D48)*('Fixed Cost-C19RM'!$F$5:$F$202=$F48)*('Fixed Cost-C19RM'!$L$5:$L$202)))</f>
        <v>0</v>
      </c>
      <c r="S48" s="917" cm="1">
        <f t="array" ref="S48">'HPM costs-C19RM'!$I$238+(SUMPRODUCT(('Fixed Cost-C19RM'!$D$5:$D$202=$D48)*('Fixed Cost-C19RM'!$F$5:$F$202=$F48)*('Fixed Cost-C19RM'!$M$5:$M$202)))</f>
        <v>0</v>
      </c>
      <c r="T48" s="917" cm="1">
        <f t="array" ref="T48">'HPM costs-C19RM'!$J$238+(SUMPRODUCT(('Fixed Cost-C19RM'!$D$5:$D$202=$D48)*('Fixed Cost-C19RM'!$F$5:$F$202=$F48)*('Fixed Cost-C19RM'!$N$5:$N$202)))</f>
        <v>0</v>
      </c>
      <c r="U48" s="948">
        <f t="shared" si="2"/>
        <v>0</v>
      </c>
      <c r="V48" s="424"/>
      <c r="W48" s="424"/>
      <c r="X48" s="424"/>
      <c r="Y48" s="424" cm="1">
        <f t="array" ref="Y48">'HPM costs-C19RM'!$M$238+(SUMPRODUCT(('Fixed Cost-C19RM'!$D$5:$D$202=$D48)*('Fixed Cost-C19RM'!$F$5:$F$202=$F48)*('Fixed Cost-C19RM'!$P$5:$P$202)))</f>
        <v>0</v>
      </c>
      <c r="Z48" s="424" cm="1">
        <f t="array" ref="Z48">'HPM costs-C19RM'!$N$238+(SUMPRODUCT(('Fixed Cost-C19RM'!$D$5:$D$202=$D48)*('Fixed Cost-C19RM'!$F$5:$F$202=$F48)*('Fixed Cost-C19RM'!$Q$5:$Q$202)))</f>
        <v>0</v>
      </c>
      <c r="AA48" s="424" cm="1">
        <f t="array" ref="AA48">'HPM costs-C19RM'!$O$238+(SUMPRODUCT(('Fixed Cost-C19RM'!$D$5:$D$202=$D48)*('Fixed Cost-C19RM'!$F$5:$F$202=$F48)*('Fixed Cost-C19RM'!$R$5:$R$202)))</f>
        <v>0</v>
      </c>
      <c r="AB48" s="424" cm="1">
        <f t="array" ref="AB48">'HPM costs-C19RM'!$P$238+(SUMPRODUCT(('Fixed Cost-C19RM'!$D$5:$D$202=$D48)*('Fixed Cost-C19RM'!$F$5:$F$202=$F48)*('Fixed Cost-C19RM'!$S$5:$S$202)))</f>
        <v>0</v>
      </c>
      <c r="AC48" s="424">
        <f t="shared" si="3"/>
        <v>0</v>
      </c>
      <c r="AD48" s="424"/>
      <c r="AE48" s="424"/>
      <c r="AF48" s="424"/>
      <c r="AG48" s="424" cm="1">
        <f t="array" ref="AG48">'HPM costs-C19RM'!$S$238+(SUMPRODUCT(('Fixed Cost-C19RM'!$D$5:$D$202=$D48)*('Fixed Cost-C19RM'!$F$5:$F$202=$F48)*('Fixed Cost-C19RM'!$U$5:$U$202)))</f>
        <v>0</v>
      </c>
      <c r="AH48" s="424" cm="1">
        <f t="array" ref="AH48">'HPM costs-C19RM'!$T$238+(SUMPRODUCT(('Fixed Cost-C19RM'!$D$5:$D$202=$D48)*('Fixed Cost-C19RM'!$F$5:$F$202=$F48)*('Fixed Cost-C19RM'!$V$5:$V$202)))</f>
        <v>0</v>
      </c>
      <c r="AI48" s="424" cm="1">
        <f t="array" ref="AI48">'HPM costs-C19RM'!$U$238+(SUMPRODUCT(('Fixed Cost-C19RM'!$D$5:$D$202=$D48)*('Fixed Cost-C19RM'!$F$5:$F$202=$F48)*('Fixed Cost-C19RM'!$W$5:$W$202)))</f>
        <v>0</v>
      </c>
      <c r="AJ48" s="424" cm="1">
        <f t="array" ref="AJ48">'HPM costs-C19RM'!$V$238+(SUMPRODUCT(('Fixed Cost-C19RM'!$D$5:$D$202=$D48)*('Fixed Cost-C19RM'!$F$5:$F$202=$F48)*('Fixed Cost-C19RM'!$X$5:$X$202)))</f>
        <v>0</v>
      </c>
      <c r="AK48" s="424">
        <f t="shared" si="4"/>
        <v>0</v>
      </c>
      <c r="AL48" s="424"/>
      <c r="AM48" s="424"/>
      <c r="AN48" s="424"/>
      <c r="AO48" s="424" cm="1">
        <f t="array" ref="AO48">'HPM costs-C19RM'!$Y$238+(SUMPRODUCT(('Fixed Cost-C19RM'!$D$5:$D$202=$D48)*('Fixed Cost-C19RM'!$F$5:$F$202=$F48)*('Fixed Cost-C19RM'!$Z$5:$Z$202)))</f>
        <v>0</v>
      </c>
      <c r="AP48" s="424" cm="1">
        <f t="array" ref="AP48">'HPM costs-C19RM'!$Z$238+(SUMPRODUCT(('Fixed Cost-C19RM'!$D$5:$D$202=$D48)*('Fixed Cost-C19RM'!$F$5:$F$202=$F48)*('Fixed Cost-C19RM'!$AA$5:$AA$202)))</f>
        <v>0</v>
      </c>
      <c r="AQ48" s="424" cm="1">
        <f t="array" ref="AQ48">'HPM costs-C19RM'!$AA$238+(SUMPRODUCT(('Fixed Cost-C19RM'!$D$5:$D$202=$D48)*('Fixed Cost-C19RM'!$F$5:$F$202=$F48)*('Fixed Cost-C19RM'!$AB$5:$AB$202)))</f>
        <v>0</v>
      </c>
      <c r="AR48" s="424" cm="1">
        <f t="array" ref="AR48">'HPM costs-C19RM'!$AB$238+(SUMPRODUCT(('Fixed Cost-C19RM'!$D$5:$D$202=$D48)*('Fixed Cost-C19RM'!$F$5:$F$202=$F48)*('Fixed Cost-C19RM'!$AC$5:$AC$202)))</f>
        <v>0</v>
      </c>
      <c r="AS48" s="424">
        <f t="shared" si="5"/>
        <v>0</v>
      </c>
      <c r="AT48" s="424"/>
      <c r="AU48" s="424"/>
      <c r="AV48" s="424"/>
      <c r="AW48" s="424" cm="1">
        <f t="array" ref="AW48">'HPM costs-C19RM'!$AE$238+(SUMPRODUCT(('Fixed Cost-C19RM'!$D$5:$D$202=$D48)*('Fixed Cost-C19RM'!$F$5:$F$202=$F48)*('Fixed Cost-C19RM'!$AE$5:$AE$202)))</f>
        <v>0</v>
      </c>
      <c r="AX48" s="424" cm="1">
        <f t="array" ref="AX48">'HPM costs-C19RM'!$AF$238+(SUMPRODUCT(('Fixed Cost-C19RM'!$D$5:$D$202=$D48)*('Fixed Cost-C19RM'!$F$5:$F$202=$F48)*('Fixed Cost-C19RM'!$AF$5:$AF$202)))</f>
        <v>0</v>
      </c>
      <c r="AY48" s="424" cm="1">
        <f t="array" ref="AY48">'HPM costs-C19RM'!$AG$238+(SUMPRODUCT(('Fixed Cost-C19RM'!$D$5:$D$202=$D48)*('Fixed Cost-C19RM'!$F$5:$F$202=$F48)*('Fixed Cost-C19RM'!$AG$5:$AG$202)))</f>
        <v>0</v>
      </c>
      <c r="AZ48" s="424" cm="1">
        <f t="array" ref="AZ48">'HPM costs-C19RM'!$AH$238+(SUMPRODUCT(('Fixed Cost-C19RM'!$D$5:$D$202=$D48)*('Fixed Cost-C19RM'!$F$5:$F$202=$F48)*('Fixed Cost-C19RM'!$AH$5:$AH$202)))</f>
        <v>0</v>
      </c>
      <c r="BA48" s="424">
        <f t="shared" si="6"/>
        <v>0</v>
      </c>
      <c r="BB48" s="424"/>
      <c r="BC48" s="424"/>
      <c r="BD48" s="424"/>
      <c r="BE48" s="424">
        <v>0</v>
      </c>
      <c r="BF48" s="424">
        <v>0</v>
      </c>
      <c r="BG48" s="424">
        <v>0</v>
      </c>
      <c r="BH48" s="424">
        <v>0</v>
      </c>
      <c r="BI48" s="424">
        <f t="shared" si="7"/>
        <v>0</v>
      </c>
      <c r="BJ48" s="424"/>
      <c r="BK48" s="424">
        <f t="shared" si="8"/>
        <v>0</v>
      </c>
      <c r="BL48" s="424"/>
      <c r="BM48" s="142"/>
      <c r="BN48" s="425"/>
      <c r="BP48" s="274" t="str">
        <f t="shared" si="11"/>
        <v>No</v>
      </c>
      <c r="BQ48" t="s">
        <v>25</v>
      </c>
      <c r="BR48" t="str">
        <f>IF(((IFERROR(INDEX('Fixed Cost-C19RM'!$AO$5:$AO$202,MATCH(BS48&amp;C48&amp;D48&amp;F48,'Fixed Cost-C19RM'!$A$5:$A$202,0)),0)))&gt;0,"Yes","NO")</f>
        <v>NO</v>
      </c>
      <c r="BS48" s="286" t="s">
        <v>83</v>
      </c>
      <c r="BT48" t="s">
        <v>3288</v>
      </c>
      <c r="BU48" s="411" t="s">
        <v>3634</v>
      </c>
    </row>
    <row r="49" spans="1:108" ht="39" customHeight="1" x14ac:dyDescent="0.35">
      <c r="A49" s="256"/>
      <c r="B49" s="363" t="str">
        <f>PMsheet!$AH$94&amp;'Detailed BudgetC19RM'!BU49</f>
        <v>000P23HP1144</v>
      </c>
      <c r="C49" s="315" t="s">
        <v>2749</v>
      </c>
      <c r="D49" s="315" t="s">
        <v>3137</v>
      </c>
      <c r="E49" s="261" t="s">
        <v>3117</v>
      </c>
      <c r="F49" s="314" t="s">
        <v>750</v>
      </c>
      <c r="G49" s="315">
        <f ca="1">SETUP!$T$2</f>
        <v>0</v>
      </c>
      <c r="H49" s="315" t="str">
        <f>IF(SETUP!$E$3="","","National/Country Level")</f>
        <v/>
      </c>
      <c r="I49" s="315" t="s">
        <v>2665</v>
      </c>
      <c r="J49" s="315" t="s">
        <v>707</v>
      </c>
      <c r="K49" s="315">
        <f t="shared" si="10"/>
        <v>0</v>
      </c>
      <c r="L49" s="315"/>
      <c r="M49" s="315">
        <f>SETUP!$E$7</f>
        <v>0</v>
      </c>
      <c r="N49" s="315"/>
      <c r="O49" s="315"/>
      <c r="P49" s="315"/>
      <c r="Q49" s="917" cm="1">
        <f t="array" ref="Q49">('HPM costs-C19RM'!$G$94+'HPM costs-C19RM'!$G$286)+(SUMPRODUCT(('Fixed Cost-C19RM'!$D$5:$D$202=$D$49)*('Fixed Cost-C19RM'!$F$5:$F$202=$F$49)*('Fixed Cost-C19RM'!$K$5:$K$202)))</f>
        <v>0</v>
      </c>
      <c r="R49" s="917" cm="1">
        <f t="array" ref="R49">('HPM costs-C19RM'!$H$94+'HPM costs-C19RM'!$H$286)+(SUMPRODUCT(('Fixed Cost-C19RM'!$D$5:$D$202=$D$49)*('Fixed Cost-C19RM'!$F$5:$F$202=$F$49)*('Fixed Cost-C19RM'!$L$5:$L$202)))</f>
        <v>0</v>
      </c>
      <c r="S49" s="917" cm="1">
        <f t="array" ref="S49">('HPM costs-C19RM'!$I$94+'HPM costs-C19RM'!$I$286)+(SUMPRODUCT(('Fixed Cost-C19RM'!$D$5:$D$202=$D$49)*('Fixed Cost-C19RM'!$F$5:$F$202=$F$49)*('Fixed Cost-C19RM'!$M$5:$M$202)))</f>
        <v>0</v>
      </c>
      <c r="T49" s="917" cm="1">
        <f t="array" ref="T49">('HPM costs-C19RM'!$J$94+'HPM costs-C19RM'!$J$286)+(SUMPRODUCT(('Fixed Cost-C19RM'!$D$5:$D$202=$D$49)*('Fixed Cost-C19RM'!$F$5:$F$202=$F$49)*('Fixed Cost-C19RM'!$N$5:$N$202)))</f>
        <v>0</v>
      </c>
      <c r="U49" s="948">
        <f t="shared" si="2"/>
        <v>0</v>
      </c>
      <c r="V49" s="424"/>
      <c r="W49" s="424"/>
      <c r="X49" s="424"/>
      <c r="Y49" s="424" cm="1">
        <f t="array" ref="Y49">('HPM costs-C19RM'!$M$94+'HPM costs-C19RM'!$M$286)+(SUMPRODUCT(('Fixed Cost-C19RM'!$D$5:$D$202=$D$49)*('Fixed Cost-C19RM'!$F$5:$F$202=$F$49)*('Fixed Cost-C19RM'!$P$5:$P$202)))</f>
        <v>0</v>
      </c>
      <c r="Z49" s="424" cm="1">
        <f t="array" ref="Z49">('HPM costs-C19RM'!$N$94+'HPM costs-C19RM'!$N$286)+(SUMPRODUCT(('Fixed Cost-C19RM'!$D$5:$D$202=$D$49)*('Fixed Cost-C19RM'!$F$5:$F$202=$F$49)*('Fixed Cost-C19RM'!$Q$5:$Q$202)))</f>
        <v>0</v>
      </c>
      <c r="AA49" s="424" cm="1">
        <f t="array" ref="AA49">('HPM costs-C19RM'!$O$94+'HPM costs-C19RM'!$O$286)+(SUMPRODUCT(('Fixed Cost-C19RM'!$D$5:$D$202=$D$49)*('Fixed Cost-C19RM'!$F$5:$F$202=$F$49)*('Fixed Cost-C19RM'!$R$5:$R$202)))</f>
        <v>0</v>
      </c>
      <c r="AB49" s="424" cm="1">
        <f t="array" ref="AB49">('HPM costs-C19RM'!$P$94+'HPM costs-C19RM'!$P$286)+(SUMPRODUCT(('Fixed Cost-C19RM'!$D$5:$D$202=$D$49)*('Fixed Cost-C19RM'!$F$5:$F$202=$F$49)*('Fixed Cost-C19RM'!$S$5:$S$202)))</f>
        <v>0</v>
      </c>
      <c r="AC49" s="424">
        <f t="shared" si="3"/>
        <v>0</v>
      </c>
      <c r="AD49" s="424"/>
      <c r="AE49" s="424"/>
      <c r="AF49" s="424"/>
      <c r="AG49" s="424" cm="1">
        <f t="array" ref="AG49">('HPM costs-C19RM'!$S$94+'HPM costs-C19RM'!$S$286)+(SUMPRODUCT(('Fixed Cost-C19RM'!$D$5:$D$202=$D$49)*('Fixed Cost-C19RM'!$F$5:$F$202=$F$49)*('Fixed Cost-C19RM'!$U$5:$U$202)))</f>
        <v>0</v>
      </c>
      <c r="AH49" s="424" cm="1">
        <f t="array" ref="AH49">('HPM costs-C19RM'!$T$94+'HPM costs-C19RM'!$T$286)+(SUMPRODUCT(('Fixed Cost-C19RM'!$D$5:$D$202=$D$49)*('Fixed Cost-C19RM'!$F$5:$F$202=$F$49)*('Fixed Cost-C19RM'!$V$5:$V$202)))</f>
        <v>0</v>
      </c>
      <c r="AI49" s="424" cm="1">
        <f t="array" ref="AI49">('HPM costs-C19RM'!$U$94+'HPM costs-C19RM'!$U$286)+(SUMPRODUCT(('Fixed Cost-C19RM'!$D$5:$D$202=$D$49)*('Fixed Cost-C19RM'!$F$5:$F$202=$F$49)*('Fixed Cost-C19RM'!$W$5:$W$202)))</f>
        <v>0</v>
      </c>
      <c r="AJ49" s="424" cm="1">
        <f t="array" ref="AJ49">('HPM costs-C19RM'!$V$94+'HPM costs-C19RM'!$V$286)+(SUMPRODUCT(('Fixed Cost-C19RM'!$D$5:$D$202=$D$49)*('Fixed Cost-C19RM'!$F$5:$F$202=$F$49)*('Fixed Cost-C19RM'!$X$5:$X$202)))</f>
        <v>0</v>
      </c>
      <c r="AK49" s="424">
        <f t="shared" si="4"/>
        <v>0</v>
      </c>
      <c r="AL49" s="424"/>
      <c r="AM49" s="424"/>
      <c r="AN49" s="424"/>
      <c r="AO49" s="424" cm="1">
        <f t="array" ref="AO49">('HPM costs-C19RM'!$Y$94+'HPM costs-C19RM'!$Y$286)+(SUMPRODUCT(('Fixed Cost-C19RM'!$D$5:$D$202=$D$49)*('Fixed Cost-C19RM'!$F$5:$F$202=$F$49)*('Fixed Cost-C19RM'!$Z$5:$Z$202)))</f>
        <v>0</v>
      </c>
      <c r="AP49" s="424" cm="1">
        <f t="array" ref="AP49">('HPM costs-C19RM'!$Z$94+'HPM costs-C19RM'!$Z$286)+(SUMPRODUCT(('Fixed Cost-C19RM'!$D$5:$D$202=$D$49)*('Fixed Cost-C19RM'!$F$5:$F$202=$F$49)*('Fixed Cost-C19RM'!$AA$5:$AA$202)))</f>
        <v>0</v>
      </c>
      <c r="AQ49" s="424" cm="1">
        <f t="array" ref="AQ49">('HPM costs-C19RM'!$AA$94+'HPM costs-C19RM'!$AA$286)+(SUMPRODUCT(('Fixed Cost-C19RM'!$D$5:$D$202=$D$49)*('Fixed Cost-C19RM'!$F$5:$F$202=$F$49)*('Fixed Cost-C19RM'!$AB$5:$AB$202)))</f>
        <v>0</v>
      </c>
      <c r="AR49" s="424" cm="1">
        <f t="array" ref="AR49">('HPM costs-C19RM'!$AB$94+'HPM costs-C19RM'!$AB$286)+(SUMPRODUCT(('Fixed Cost-C19RM'!$D$5:$D$202=$D$49)*('Fixed Cost-C19RM'!$F$5:$F$202=$F$49)*('Fixed Cost-C19RM'!$AC$5:$AC$202)))</f>
        <v>0</v>
      </c>
      <c r="AS49" s="424">
        <f t="shared" si="5"/>
        <v>0</v>
      </c>
      <c r="AT49" s="424"/>
      <c r="AU49" s="424"/>
      <c r="AV49" s="424"/>
      <c r="AW49" s="424" cm="1">
        <f t="array" ref="AW49">('HPM costs-C19RM'!$AE$94+'HPM costs-C19RM'!$AE$286)+(SUMPRODUCT(('Fixed Cost-C19RM'!$D$5:$D$202=$D$49)*('Fixed Cost-C19RM'!$F$5:$F$202=$F$49)*('Fixed Cost-C19RM'!$AE$5:$AE$202)))</f>
        <v>0</v>
      </c>
      <c r="AX49" s="424" cm="1">
        <f t="array" ref="AX49">('HPM costs-C19RM'!$AF$94+'HPM costs-C19RM'!$AF$286)+(SUMPRODUCT(('Fixed Cost-C19RM'!$D$5:$D$202=$D$49)*('Fixed Cost-C19RM'!$F$5:$F$202=$F$49)*('Fixed Cost-C19RM'!$AF$5:$AF$202)))</f>
        <v>0</v>
      </c>
      <c r="AY49" s="424" cm="1">
        <f t="array" ref="AY49">('HPM costs-C19RM'!$AG$94+'HPM costs-C19RM'!$AG$286)+(SUMPRODUCT(('Fixed Cost-C19RM'!$D$5:$D$202=$D$49)*('Fixed Cost-C19RM'!$F$5:$F$202=$F$49)*('Fixed Cost-C19RM'!$AG$5:$AG$202)))</f>
        <v>0</v>
      </c>
      <c r="AZ49" s="424" cm="1">
        <f t="array" ref="AZ49">('HPM costs-C19RM'!$AH$94+'HPM costs-C19RM'!$AH$286)+(SUMPRODUCT(('Fixed Cost-C19RM'!$D$5:$D$202=$D$49)*('Fixed Cost-C19RM'!$F$5:$F$202=$F$49)*('Fixed Cost-C19RM'!$AH$5:$AH$202)))</f>
        <v>0</v>
      </c>
      <c r="BA49" s="424">
        <f t="shared" si="6"/>
        <v>0</v>
      </c>
      <c r="BB49" s="424"/>
      <c r="BC49" s="424"/>
      <c r="BD49" s="424"/>
      <c r="BE49" s="424">
        <v>0</v>
      </c>
      <c r="BF49" s="424">
        <v>0</v>
      </c>
      <c r="BG49" s="424">
        <v>0</v>
      </c>
      <c r="BH49" s="424">
        <v>0</v>
      </c>
      <c r="BI49" s="424">
        <f t="shared" si="7"/>
        <v>0</v>
      </c>
      <c r="BJ49" s="424"/>
      <c r="BK49" s="424">
        <f t="shared" si="8"/>
        <v>0</v>
      </c>
      <c r="BL49" s="424"/>
      <c r="BM49" s="142"/>
      <c r="BN49" s="425"/>
      <c r="BP49" s="274" t="str">
        <f t="shared" si="11"/>
        <v>No</v>
      </c>
      <c r="BQ49" t="s">
        <v>25</v>
      </c>
      <c r="BR49" t="str">
        <f>IF(((IFERROR(INDEX('Fixed Cost-C19RM'!$AO$5:$AO$202,MATCH(BS49&amp;C49&amp;D49&amp;F49,'Fixed Cost-C19RM'!$A$5:$A$202,0)),0)))&gt;0,"Yes","NO")</f>
        <v>NO</v>
      </c>
      <c r="BS49" s="286" t="s">
        <v>83</v>
      </c>
      <c r="BT49" t="s">
        <v>3289</v>
      </c>
      <c r="BU49" s="411" t="s">
        <v>3635</v>
      </c>
    </row>
    <row r="50" spans="1:108" ht="39" customHeight="1" x14ac:dyDescent="0.35">
      <c r="A50" s="256"/>
      <c r="B50" s="363" t="str">
        <f>PMsheet!$AH$94&amp;'Detailed BudgetC19RM'!BU50</f>
        <v>000P23HP1145</v>
      </c>
      <c r="C50" s="315" t="s">
        <v>2749</v>
      </c>
      <c r="D50" s="315" t="s">
        <v>3137</v>
      </c>
      <c r="E50" s="261" t="s">
        <v>3117</v>
      </c>
      <c r="F50" s="314" t="s">
        <v>622</v>
      </c>
      <c r="G50" s="315">
        <f ca="1">SETUP!$T$2</f>
        <v>0</v>
      </c>
      <c r="H50" s="315" t="str">
        <f>IF(SETUP!$E$3="","","National/Country Level")</f>
        <v/>
      </c>
      <c r="I50" s="315" t="s">
        <v>2665</v>
      </c>
      <c r="J50" s="315" t="s">
        <v>707</v>
      </c>
      <c r="K50" s="315">
        <f t="shared" si="10"/>
        <v>0</v>
      </c>
      <c r="L50" s="315"/>
      <c r="M50" s="315">
        <f>SETUP!$E$7</f>
        <v>0</v>
      </c>
      <c r="N50" s="315"/>
      <c r="O50" s="315"/>
      <c r="P50" s="315"/>
      <c r="Q50" s="917" cm="1">
        <f t="array" ref="Q50">'HPM costs-C19RM'!$G$142+(SUMPRODUCT(('Fixed Cost-C19RM'!$D$5:$D$202=$D$50)*('Fixed Cost-C19RM'!$F$5:$F$202=$F$50)*('Fixed Cost-C19RM'!$K$5:$K$202)))</f>
        <v>0</v>
      </c>
      <c r="R50" s="917" cm="1">
        <f t="array" ref="R50">'HPM costs-C19RM'!$H$142+(SUMPRODUCT(('Fixed Cost-C19RM'!$D$5:$D$202=$D$50)*('Fixed Cost-C19RM'!$F$5:$F$202=$F$50)*('Fixed Cost-C19RM'!$L$5:$L$202)))</f>
        <v>0</v>
      </c>
      <c r="S50" s="917" cm="1">
        <f t="array" ref="S50">'HPM costs-C19RM'!$I$142+(SUMPRODUCT(('Fixed Cost-C19RM'!$D$5:$D$202=$D$50)*('Fixed Cost-C19RM'!$F$5:$F$202=$F$50)*('Fixed Cost-C19RM'!$M$5:$M$202)))</f>
        <v>0</v>
      </c>
      <c r="T50" s="917" cm="1">
        <f t="array" ref="T50">'HPM costs-C19RM'!$J$142+(SUMPRODUCT(('Fixed Cost-C19RM'!$D$5:$D$202=$D$50)*('Fixed Cost-C19RM'!$F$5:$F$202=$F$50)*('Fixed Cost-C19RM'!$N$5:$N$202)))</f>
        <v>0</v>
      </c>
      <c r="U50" s="948">
        <f t="shared" si="2"/>
        <v>0</v>
      </c>
      <c r="V50" s="424"/>
      <c r="W50" s="424"/>
      <c r="X50" s="424"/>
      <c r="Y50" s="424" cm="1">
        <f t="array" ref="Y50">'HPM costs-C19RM'!$M$142+(SUMPRODUCT(('Fixed Cost-C19RM'!$D$5:$D$202=$D$50)*('Fixed Cost-C19RM'!$F$5:$F$202=$F$50)*('Fixed Cost-C19RM'!$P$5:$P$202)))</f>
        <v>0</v>
      </c>
      <c r="Z50" s="424" cm="1">
        <f t="array" ref="Z50">'HPM costs-C19RM'!$N$142+(SUMPRODUCT(('Fixed Cost-C19RM'!$D$5:$D$202=$D$50)*('Fixed Cost-C19RM'!$F$5:$F$202=$F$50)*('Fixed Cost-C19RM'!$Q$5:$Q$202)))</f>
        <v>0</v>
      </c>
      <c r="AA50" s="424" cm="1">
        <f t="array" ref="AA50">'HPM costs-C19RM'!$O$142+(SUMPRODUCT(('Fixed Cost-C19RM'!$D$5:$D$202=$D$50)*('Fixed Cost-C19RM'!$F$5:$F$202=$F$50)*('Fixed Cost-C19RM'!$R$5:$R$202)))</f>
        <v>0</v>
      </c>
      <c r="AB50" s="424" cm="1">
        <f t="array" ref="AB50">'HPM costs-C19RM'!$P$142+(SUMPRODUCT(('Fixed Cost-C19RM'!$D$5:$D$202=$D$50)*('Fixed Cost-C19RM'!$F$5:$F$202=$F$50)*('Fixed Cost-C19RM'!$S$5:$S$202)))</f>
        <v>0</v>
      </c>
      <c r="AC50" s="424">
        <f t="shared" si="3"/>
        <v>0</v>
      </c>
      <c r="AD50" s="424"/>
      <c r="AE50" s="424"/>
      <c r="AF50" s="424"/>
      <c r="AG50" s="424" cm="1">
        <f t="array" ref="AG50">'HPM costs-C19RM'!$S$142+(SUMPRODUCT(('Fixed Cost-C19RM'!$D$5:$D$202=$D$50)*('Fixed Cost-C19RM'!$F$5:$F$202=$F$50)*('Fixed Cost-C19RM'!$U$5:$U$202)))</f>
        <v>0</v>
      </c>
      <c r="AH50" s="424" cm="1">
        <f t="array" ref="AH50">'HPM costs-C19RM'!$T$142+(SUMPRODUCT(('Fixed Cost-C19RM'!$D$5:$D$202=$D$50)*('Fixed Cost-C19RM'!$F$5:$F$202=$F$50)*('Fixed Cost-C19RM'!$V$5:$V$202)))</f>
        <v>0</v>
      </c>
      <c r="AI50" s="424" cm="1">
        <f t="array" ref="AI50">'HPM costs-C19RM'!$U$142+(SUMPRODUCT(('Fixed Cost-C19RM'!$D$5:$D$202=$D$50)*('Fixed Cost-C19RM'!$F$5:$F$202=$F$50)*('Fixed Cost-C19RM'!$W$5:$W$202)))</f>
        <v>0</v>
      </c>
      <c r="AJ50" s="424" cm="1">
        <f t="array" ref="AJ50">'HPM costs-C19RM'!$V$142+(SUMPRODUCT(('Fixed Cost-C19RM'!$D$5:$D$202=$D$50)*('Fixed Cost-C19RM'!$F$5:$F$202=$F$50)*('Fixed Cost-C19RM'!$X$5:$X$202)))</f>
        <v>0</v>
      </c>
      <c r="AK50" s="424">
        <f t="shared" si="4"/>
        <v>0</v>
      </c>
      <c r="AL50" s="424"/>
      <c r="AM50" s="424"/>
      <c r="AN50" s="424"/>
      <c r="AO50" s="424" cm="1">
        <f t="array" ref="AO50">'HPM costs-C19RM'!$Y$142+(SUMPRODUCT(('Fixed Cost-C19RM'!$D$5:$D$202=$D$50)*('Fixed Cost-C19RM'!$F$5:$F$202=$F$50)*('Fixed Cost-C19RM'!$Z$5:$Z$202)))</f>
        <v>0</v>
      </c>
      <c r="AP50" s="424" cm="1">
        <f t="array" ref="AP50">'HPM costs-C19RM'!$Z$142+(SUMPRODUCT(('Fixed Cost-C19RM'!$D$5:$D$202=$D$50)*('Fixed Cost-C19RM'!$F$5:$F$202=$F$50)*('Fixed Cost-C19RM'!$AA$5:$AA$202)))</f>
        <v>0</v>
      </c>
      <c r="AQ50" s="424" cm="1">
        <f t="array" ref="AQ50">'HPM costs-C19RM'!$AA$142+(SUMPRODUCT(('Fixed Cost-C19RM'!$D$5:$D$202=$D$50)*('Fixed Cost-C19RM'!$F$5:$F$202=$F$50)*('Fixed Cost-C19RM'!$AB$5:$AB$202)))</f>
        <v>0</v>
      </c>
      <c r="AR50" s="424" cm="1">
        <f t="array" ref="AR50">'HPM costs-C19RM'!$AB$142+(SUMPRODUCT(('Fixed Cost-C19RM'!$D$5:$D$202=$D$50)*('Fixed Cost-C19RM'!$F$5:$F$202=$F$50)*('Fixed Cost-C19RM'!$AC$5:$AC$202)))</f>
        <v>0</v>
      </c>
      <c r="AS50" s="424">
        <f t="shared" si="5"/>
        <v>0</v>
      </c>
      <c r="AT50" s="424"/>
      <c r="AU50" s="424"/>
      <c r="AV50" s="424"/>
      <c r="AW50" s="424" cm="1">
        <f t="array" ref="AW50">'HPM costs-C19RM'!$AE$142+(SUMPRODUCT(('Fixed Cost-C19RM'!$D$5:$D$202=$D$50)*('Fixed Cost-C19RM'!$F$5:$F$202=$F$50)*('Fixed Cost-C19RM'!$AE$5:$AE$202)))</f>
        <v>0</v>
      </c>
      <c r="AX50" s="424" cm="1">
        <f t="array" ref="AX50">'HPM costs-C19RM'!$AF$142+(SUMPRODUCT(('Fixed Cost-C19RM'!$D$5:$D$202=$D$50)*('Fixed Cost-C19RM'!$F$5:$F$202=$F$50)*('Fixed Cost-C19RM'!$AF$5:$AF$202)))</f>
        <v>0</v>
      </c>
      <c r="AY50" s="424" cm="1">
        <f t="array" ref="AY50">'HPM costs-C19RM'!$AG$142+(SUMPRODUCT(('Fixed Cost-C19RM'!$D$5:$D$202=$D$50)*('Fixed Cost-C19RM'!$F$5:$F$202=$F$50)*('Fixed Cost-C19RM'!$AG$5:$AG$202)))</f>
        <v>0</v>
      </c>
      <c r="AZ50" s="424" cm="1">
        <f t="array" ref="AZ50">'HPM costs-C19RM'!$AH$142+(SUMPRODUCT(('Fixed Cost-C19RM'!$D$5:$D$202=$D$50)*('Fixed Cost-C19RM'!$F$5:$F$202=$F$50)*('Fixed Cost-C19RM'!$AH$5:$AH$202)))</f>
        <v>0</v>
      </c>
      <c r="BA50" s="424">
        <f t="shared" si="6"/>
        <v>0</v>
      </c>
      <c r="BB50" s="424"/>
      <c r="BC50" s="424"/>
      <c r="BD50" s="424"/>
      <c r="BE50" s="424">
        <v>0</v>
      </c>
      <c r="BF50" s="424">
        <v>0</v>
      </c>
      <c r="BG50" s="424">
        <v>0</v>
      </c>
      <c r="BH50" s="424">
        <v>0</v>
      </c>
      <c r="BI50" s="424">
        <f t="shared" si="7"/>
        <v>0</v>
      </c>
      <c r="BJ50" s="424"/>
      <c r="BK50" s="424">
        <f t="shared" si="8"/>
        <v>0</v>
      </c>
      <c r="BL50" s="424"/>
      <c r="BM50" s="142"/>
      <c r="BN50" s="425"/>
      <c r="BP50" s="274" t="str">
        <f t="shared" si="11"/>
        <v>No</v>
      </c>
      <c r="BQ50" t="s">
        <v>25</v>
      </c>
      <c r="BR50" t="str">
        <f>IF(((IFERROR(INDEX('Fixed Cost-C19RM'!$AO$5:$AO$202,MATCH(BS50&amp;C50&amp;D50&amp;F50,'Fixed Cost-C19RM'!$A$5:$A$202,0)),0)))&gt;0,"Yes","NO")</f>
        <v>NO</v>
      </c>
      <c r="BS50" s="286" t="s">
        <v>83</v>
      </c>
      <c r="BT50" t="s">
        <v>3290</v>
      </c>
      <c r="BU50" s="411" t="s">
        <v>3636</v>
      </c>
    </row>
    <row r="51" spans="1:108" ht="39" customHeight="1" x14ac:dyDescent="0.35">
      <c r="A51" s="256"/>
      <c r="B51" s="363" t="str">
        <f>PMsheet!$AH$94&amp;'Detailed BudgetC19RM'!BU51</f>
        <v>000P23HP1146</v>
      </c>
      <c r="C51" s="315" t="s">
        <v>2749</v>
      </c>
      <c r="D51" s="315" t="s">
        <v>3137</v>
      </c>
      <c r="E51" s="261" t="s">
        <v>3117</v>
      </c>
      <c r="F51" s="314" t="s">
        <v>751</v>
      </c>
      <c r="G51" s="315">
        <f ca="1">SETUP!$T$2</f>
        <v>0</v>
      </c>
      <c r="H51" s="315" t="str">
        <f>IF(SETUP!$E$3="","","National/Country Level")</f>
        <v/>
      </c>
      <c r="I51" s="315" t="s">
        <v>2665</v>
      </c>
      <c r="J51" s="315" t="s">
        <v>707</v>
      </c>
      <c r="K51" s="315">
        <f t="shared" si="10"/>
        <v>0</v>
      </c>
      <c r="L51" s="315"/>
      <c r="M51" s="315">
        <f>SETUP!$E$7</f>
        <v>0</v>
      </c>
      <c r="N51" s="315"/>
      <c r="O51" s="315"/>
      <c r="P51" s="315"/>
      <c r="Q51" s="917" cm="1">
        <f t="array" ref="Q51">'HPM costs-C19RM'!$G$333+(SUMPRODUCT(('Fixed Cost-C19RM'!$D$5:$D$202=$D$51)*('Fixed Cost-C19RM'!$F$5:$F$202=$F$51)*('Fixed Cost-C19RM'!$K$5:$K$202)))</f>
        <v>0</v>
      </c>
      <c r="R51" s="917" cm="1">
        <f t="array" ref="R51">'HPM costs-C19RM'!$H$333+(SUMPRODUCT(('Fixed Cost-C19RM'!$D$5:$D$202=$D$51)*('Fixed Cost-C19RM'!$F$5:$F$202=$F$51)*('Fixed Cost-C19RM'!$L$5:$L$202)))</f>
        <v>0</v>
      </c>
      <c r="S51" s="917" cm="1">
        <f t="array" ref="S51">'HPM costs-C19RM'!$I$333+(SUMPRODUCT(('Fixed Cost-C19RM'!$D$5:$D$202=$D$51)*('Fixed Cost-C19RM'!$F$5:$F$202=$F$51)*('Fixed Cost-C19RM'!$M$5:$M$202)))</f>
        <v>0</v>
      </c>
      <c r="T51" s="917" cm="1">
        <f t="array" ref="T51">'HPM costs-C19RM'!$J$333+(SUMPRODUCT(('Fixed Cost-C19RM'!$D$5:$D$202=$D$51)*('Fixed Cost-C19RM'!$F$5:$F$202=$F$51)*('Fixed Cost-C19RM'!$N$5:$N$202)))</f>
        <v>0</v>
      </c>
      <c r="U51" s="948">
        <f t="shared" si="2"/>
        <v>0</v>
      </c>
      <c r="V51" s="424"/>
      <c r="W51" s="424"/>
      <c r="X51" s="424"/>
      <c r="Y51" s="424" cm="1">
        <f t="array" ref="Y51">'HPM costs-C19RM'!$M$333+(SUMPRODUCT(('Fixed Cost-C19RM'!$D$5:$D$202=$D$51)*('Fixed Cost-C19RM'!$F$5:$F$202=$F$51)*('Fixed Cost-C19RM'!$P$5:$P$202)))</f>
        <v>0</v>
      </c>
      <c r="Z51" s="424" cm="1">
        <f t="array" ref="Z51">'HPM costs-C19RM'!$N$333+(SUMPRODUCT(('Fixed Cost-C19RM'!$D$5:$D$202=$D$51)*('Fixed Cost-C19RM'!$F$5:$F$202=$F$51)*('Fixed Cost-C19RM'!$Q$5:$Q$202)))</f>
        <v>0</v>
      </c>
      <c r="AA51" s="424" cm="1">
        <f t="array" ref="AA51">'HPM costs-C19RM'!$O$333+(SUMPRODUCT(('Fixed Cost-C19RM'!$D$5:$D$202=$D$51)*('Fixed Cost-C19RM'!$F$5:$F$202=$F$51)*('Fixed Cost-C19RM'!$R$5:$R$202)))</f>
        <v>0</v>
      </c>
      <c r="AB51" s="424" cm="1">
        <f t="array" ref="AB51">'HPM costs-C19RM'!$P$333+(SUMPRODUCT(('Fixed Cost-C19RM'!$D$5:$D$202=$D$51)*('Fixed Cost-C19RM'!$F$5:$F$202=$F$51)*('Fixed Cost-C19RM'!$S$5:$S$202)))</f>
        <v>0</v>
      </c>
      <c r="AC51" s="424">
        <f t="shared" si="3"/>
        <v>0</v>
      </c>
      <c r="AD51" s="424"/>
      <c r="AE51" s="424"/>
      <c r="AF51" s="424"/>
      <c r="AG51" s="919" cm="1">
        <f t="array" ref="AG51">'HPM costs-C19RM'!$S$333+(SUMPRODUCT(('Fixed Cost-C19RM'!$D$5:$D$202=$D$51)*('Fixed Cost-C19RM'!$F$5:$F$202=$F$51)*('Fixed Cost-C19RM'!$U$5:$U$202)))</f>
        <v>0</v>
      </c>
      <c r="AH51" s="424" cm="1">
        <f t="array" ref="AH51">'HPM costs-C19RM'!$T$333+(SUMPRODUCT(('Fixed Cost-C19RM'!$D$5:$D$202=$D$51)*('Fixed Cost-C19RM'!$F$5:$F$202=$F$51)*('Fixed Cost-C19RM'!$V$5:$V$202)))</f>
        <v>0</v>
      </c>
      <c r="AI51" s="424" cm="1">
        <f t="array" ref="AI51">'HPM costs-C19RM'!$U$333+(SUMPRODUCT(('Fixed Cost-C19RM'!$D$5:$D$202=$D$51)*('Fixed Cost-C19RM'!$F$5:$F$202=$F$51)*('Fixed Cost-C19RM'!$W$5:$W$202)))</f>
        <v>0</v>
      </c>
      <c r="AJ51" s="424" cm="1">
        <f t="array" ref="AJ51">'HPM costs-C19RM'!$V$333+(SUMPRODUCT(('Fixed Cost-C19RM'!$D$5:$D$202=$D$51)*('Fixed Cost-C19RM'!$F$5:$F$202=$F$51)*('Fixed Cost-C19RM'!$X$5:$X$202)))</f>
        <v>0</v>
      </c>
      <c r="AK51" s="424">
        <f t="shared" si="4"/>
        <v>0</v>
      </c>
      <c r="AL51" s="424"/>
      <c r="AM51" s="424"/>
      <c r="AN51" s="424"/>
      <c r="AO51" s="424" cm="1">
        <f t="array" ref="AO51">'HPM costs-C19RM'!$Y$333+(SUMPRODUCT(('Fixed Cost-C19RM'!$D$5:$D$202=$D$51)*('Fixed Cost-C19RM'!$F$5:$F$202=$F$51)*('Fixed Cost-C19RM'!$Z$5:$Z$202)))</f>
        <v>0</v>
      </c>
      <c r="AP51" s="424" cm="1">
        <f t="array" ref="AP51">'HPM costs-C19RM'!$Z$333+(SUMPRODUCT(('Fixed Cost-C19RM'!$D$5:$D$202=$D$51)*('Fixed Cost-C19RM'!$F$5:$F$202=$F$51)*('Fixed Cost-C19RM'!$AA$5:$AA$202)))</f>
        <v>0</v>
      </c>
      <c r="AQ51" s="424" cm="1">
        <f t="array" ref="AQ51">'HPM costs-C19RM'!$AA$333+(SUMPRODUCT(('Fixed Cost-C19RM'!$D$5:$D$202=$D$51)*('Fixed Cost-C19RM'!$F$5:$F$202=$F$51)*('Fixed Cost-C19RM'!$AB$5:$AB$202)))</f>
        <v>0</v>
      </c>
      <c r="AR51" s="424" cm="1">
        <f t="array" ref="AR51">'HPM costs-C19RM'!$AB$333+(SUMPRODUCT(('Fixed Cost-C19RM'!$D$5:$D$202=$D$51)*('Fixed Cost-C19RM'!$F$5:$F$202=$F$51)*('Fixed Cost-C19RM'!$AC$5:$AC$202)))</f>
        <v>0</v>
      </c>
      <c r="AS51" s="424">
        <f t="shared" si="5"/>
        <v>0</v>
      </c>
      <c r="AT51" s="424"/>
      <c r="AU51" s="424"/>
      <c r="AV51" s="424"/>
      <c r="AW51" s="424" cm="1">
        <f t="array" ref="AW51">'HPM costs-C19RM'!$AE$333+(SUMPRODUCT(('Fixed Cost-C19RM'!$D$5:$D$202=$D$51)*('Fixed Cost-C19RM'!$F$5:$F$202=$F$51)*('Fixed Cost-C19RM'!$AE$5:$AE$202)))</f>
        <v>0</v>
      </c>
      <c r="AX51" s="424" cm="1">
        <f t="array" ref="AX51">'HPM costs-C19RM'!$AF$333+(SUMPRODUCT(('Fixed Cost-C19RM'!$D$5:$D$202=$D$51)*('Fixed Cost-C19RM'!$F$5:$F$202=$F$51)*('Fixed Cost-C19RM'!$AF$5:$AF$202)))</f>
        <v>0</v>
      </c>
      <c r="AY51" s="424" cm="1">
        <f t="array" ref="AY51">'HPM costs-C19RM'!$AG$333+(SUMPRODUCT(('Fixed Cost-C19RM'!$D$5:$D$202=$D$51)*('Fixed Cost-C19RM'!$F$5:$F$202=$F$51)*('Fixed Cost-C19RM'!$AG$5:$AG$202)))</f>
        <v>0</v>
      </c>
      <c r="AZ51" s="424" cm="1">
        <f t="array" ref="AZ51">'HPM costs-C19RM'!$AH$333+(SUMPRODUCT(('Fixed Cost-C19RM'!$D$5:$D$202=$D$51)*('Fixed Cost-C19RM'!$F$5:$F$202=$F$51)*('Fixed Cost-C19RM'!$AH$5:$AH$202)))</f>
        <v>0</v>
      </c>
      <c r="BA51" s="424">
        <f t="shared" si="6"/>
        <v>0</v>
      </c>
      <c r="BB51" s="424"/>
      <c r="BC51" s="424"/>
      <c r="BD51" s="424"/>
      <c r="BE51" s="424">
        <v>0</v>
      </c>
      <c r="BF51" s="424">
        <v>0</v>
      </c>
      <c r="BG51" s="424">
        <v>0</v>
      </c>
      <c r="BH51" s="424">
        <v>0</v>
      </c>
      <c r="BI51" s="424">
        <f t="shared" si="7"/>
        <v>0</v>
      </c>
      <c r="BJ51" s="424"/>
      <c r="BK51" s="424">
        <f t="shared" si="8"/>
        <v>0</v>
      </c>
      <c r="BL51" s="424"/>
      <c r="BM51" s="142"/>
      <c r="BN51" s="425"/>
      <c r="BP51" s="274" t="str">
        <f t="shared" si="11"/>
        <v>No</v>
      </c>
      <c r="BQ51" t="s">
        <v>25</v>
      </c>
      <c r="BR51" t="str">
        <f>IF(((IFERROR(INDEX('Fixed Cost-C19RM'!$AO$5:$AO$202,MATCH(BS51&amp;C51&amp;D51&amp;F51,'Fixed Cost-C19RM'!$A$5:$A$202,0)),0)))&gt;0,"Yes","NO")</f>
        <v>NO</v>
      </c>
      <c r="BS51" s="286" t="s">
        <v>83</v>
      </c>
      <c r="BT51" t="s">
        <v>3291</v>
      </c>
      <c r="BU51" s="411" t="s">
        <v>3637</v>
      </c>
    </row>
    <row r="52" spans="1:108" ht="39" customHeight="1" x14ac:dyDescent="0.35">
      <c r="A52" s="256"/>
      <c r="B52" s="363" t="str">
        <f>PMsheet!$AH$94&amp;'Detailed BudgetC19RM'!BU52</f>
        <v>000P23HP1147</v>
      </c>
      <c r="C52" s="315" t="s">
        <v>2749</v>
      </c>
      <c r="D52" s="315" t="s">
        <v>3141</v>
      </c>
      <c r="E52" s="261" t="s">
        <v>3142</v>
      </c>
      <c r="F52" s="314" t="s">
        <v>181</v>
      </c>
      <c r="G52" s="315">
        <f ca="1">SETUP!$T$2</f>
        <v>0</v>
      </c>
      <c r="H52" s="315" t="str">
        <f>IF(SETUP!$E$3="","","National/Country Level")</f>
        <v/>
      </c>
      <c r="I52" s="315" t="str">
        <f>IFERROR(IF(INDEX('Master Data-C19RM'!$E$8:$E$18,MATCH((INDEX(SETUP!$E$20:$E$34,MATCH('Detailed BudgetC19RM'!BQ52,SETUP!$D$20:$D$34,0))),'Master Data-C19RM'!$D$8:$D$18,0))="Implementer's name",SETUP!$J$5,INDEX('Master Data-C19RM'!$E$8:$E$18,MATCH((INDEX(SETUP!$E$20:$E$34,MATCH('Detailed BudgetC19RM'!BQ52,SETUP!$D$20:$D$34,0))),'Master Data-C19RM'!$D$8:$D$18,0))),"Pls select HPMT Category in ' BQ ' column")</f>
        <v>Not Applicable</v>
      </c>
      <c r="J52" s="315" t="s">
        <v>707</v>
      </c>
      <c r="K52" s="315">
        <f t="shared" si="10"/>
        <v>0</v>
      </c>
      <c r="L52" s="950"/>
      <c r="M52" s="315">
        <f>SETUP!$E$7</f>
        <v>0</v>
      </c>
      <c r="N52" s="950"/>
      <c r="O52" s="950"/>
      <c r="P52" s="950"/>
      <c r="Q52" s="917" cm="1">
        <f t="array" ref="Q52">(SUMPRODUCT(('Cashflow Summary C19RM'!$B$5:$B$100="C19RM 2021-Lab &amp; Other HPS")*('Cashflow Summary C19RM'!$A$5:$A$100=5)*('Cashflow Summary C19RM'!$BC$5:$BC$100="5.8 Other consumables")*('Cashflow Summary C19RM'!$R$5:$R$100)))</f>
        <v>0</v>
      </c>
      <c r="R52" s="917" cm="1">
        <f t="array" ref="R52">(SUMPRODUCT(('Cashflow Summary C19RM'!$B$5:$B$100="C19RM 2021-Lab &amp; Other HPS")*('Cashflow Summary C19RM'!$A$5:$A$100=5)*('Cashflow Summary C19RM'!$BC$5:$BC$100="5.8 Other consumables")*('Cashflow Summary C19RM'!$S$5:$S$100)))</f>
        <v>0</v>
      </c>
      <c r="S52" s="917" cm="1">
        <f t="array" ref="S52">(SUMPRODUCT(('Cashflow Summary C19RM'!$B$5:$B$100="C19RM 2021-Lab &amp; Other HPS")*('Cashflow Summary C19RM'!$A$5:$A$100=5)*('Cashflow Summary C19RM'!$BC$5:$BC$100="5.8 Other consumables")*('Cashflow Summary C19RM'!$T$5:$T$100)))</f>
        <v>0</v>
      </c>
      <c r="T52" s="917" cm="1">
        <f t="array" ref="T52">(SUMPRODUCT(('Cashflow Summary C19RM'!$B$5:$B$100="C19RM 2021-Lab &amp; Other HPS")*('Cashflow Summary C19RM'!$A$5:$A$100=5)*('Cashflow Summary C19RM'!$BC$5:$BC$100="5.8 Other consumables")*('Cashflow Summary C19RM'!$U$5:$U$100)))</f>
        <v>0</v>
      </c>
      <c r="U52" s="948">
        <f t="shared" si="2"/>
        <v>0</v>
      </c>
      <c r="V52" s="424"/>
      <c r="W52" s="951"/>
      <c r="X52" s="951"/>
      <c r="Y52" s="424" cm="1">
        <f t="array" ref="Y52">(SUMPRODUCT(('Cashflow Summary C19RM'!$B$5:$B$100="C19RM 2021-Lab &amp; Other HPS")*('Cashflow Summary C19RM'!$A$5:$A$100=5)*1*('Cashflow Summary C19RM'!$BC$5:$BC$100="5.8 Other consumables")*('Cashflow Summary C19RM'!$V$5:$V$100)))</f>
        <v>0</v>
      </c>
      <c r="Z52" s="424" cm="1">
        <f t="array" ref="Z52">(SUMPRODUCT(('Cashflow Summary C19RM'!$B$5:$B$100="C19RM 2021-Lab &amp; Other HPS")*('Cashflow Summary C19RM'!$A$5:$A$100=5)*1*('Cashflow Summary C19RM'!$BC$5:$BC$100="5.8 Other consumables")*('Cashflow Summary C19RM'!$W$5:$W$100)))</f>
        <v>0</v>
      </c>
      <c r="AA52" s="424" cm="1">
        <f t="array" ref="AA52">(SUMPRODUCT(('Cashflow Summary C19RM'!$B$5:$B$100="C19RM 2021-Lab &amp; Other HPS")*('Cashflow Summary C19RM'!$A$5:$A$100=5)*1*('Cashflow Summary C19RM'!$BC$5:$BC$100="5.8 Other consumables")*('Cashflow Summary C19RM'!$X$5:$X$100)))</f>
        <v>0</v>
      </c>
      <c r="AB52" s="424" cm="1">
        <f t="array" ref="AB52">(SUMPRODUCT(('Cashflow Summary C19RM'!$B$5:$B$100="C19RM 2021-Lab &amp; Other HPS")*('Cashflow Summary C19RM'!$A$5:$A$100=5)*1*('Cashflow Summary C19RM'!$BC$5:$BC$100="5.8 Other consumables")*('Cashflow Summary C19RM'!$Y$5:$Y$100)))</f>
        <v>0</v>
      </c>
      <c r="AC52" s="424">
        <f t="shared" si="3"/>
        <v>0</v>
      </c>
      <c r="AD52" s="424"/>
      <c r="AE52" s="951"/>
      <c r="AF52" s="951"/>
      <c r="AG52" s="424" cm="1">
        <f t="array" ref="AG52">(SUMPRODUCT(('Cashflow Summary C19RM'!$B$5:$B$100="C19RM 2021-Lab &amp; Other HPS")*('Cashflow Summary C19RM'!$A$5:$A$100=5)*1*('Cashflow Summary C19RM'!$BC$5:$BC$100="5.8 Other consumables")*('Cashflow Summary C19RM'!$Z$5:$Z$100)))</f>
        <v>0</v>
      </c>
      <c r="AH52" s="424" cm="1">
        <f t="array" ref="AH52">(SUMPRODUCT(('Cashflow Summary C19RM'!$B$5:$B$100="C19RM 2021-Lab &amp; Other HPS")*('Cashflow Summary C19RM'!$A$5:$A$100=5)*1*('Cashflow Summary C19RM'!$BC$5:$BC$100="5.8 Other consumables")*('Cashflow Summary C19RM'!$AA$5:$AA$100)))</f>
        <v>0</v>
      </c>
      <c r="AI52" s="424" cm="1">
        <f t="array" ref="AI52">(SUMPRODUCT(('Cashflow Summary C19RM'!$B$5:$B$100="C19RM 2021-Lab &amp; Other HPS")*('Cashflow Summary C19RM'!$A$5:$A$100=5)*1*('Cashflow Summary C19RM'!$BC$5:$BC$100="5.8 Other consumables")*('Cashflow Summary C19RM'!$AB$5:$AB$100)))</f>
        <v>0</v>
      </c>
      <c r="AJ52" s="424" cm="1">
        <f t="array" ref="AJ52">(SUMPRODUCT(('Cashflow Summary C19RM'!$B$5:$B$100="C19RM 2021-Lab &amp; Other HPS")*('Cashflow Summary C19RM'!$A$5:$A$100=5)*1*('Cashflow Summary C19RM'!$BC$5:$BC$100="5.8 Other consumables")*('Cashflow Summary C19RM'!$AC$5:$AC$100)))</f>
        <v>0</v>
      </c>
      <c r="AK52" s="424">
        <f t="shared" si="4"/>
        <v>0</v>
      </c>
      <c r="AL52" s="424"/>
      <c r="AM52" s="951"/>
      <c r="AN52" s="951"/>
      <c r="AO52" s="424" cm="1">
        <f t="array" ref="AO52">(SUMPRODUCT(('Cashflow Summary C19RM'!$B$5:$B$100="C19RM 2021-Lab &amp; Other HPS")*('Cashflow Summary C19RM'!$A$5:$A$100=5)*1*('Cashflow Summary C19RM'!$BC$5:$BC$100="5.8 Other consumables")*('Cashflow Summary C19RM'!$AD$5:$AD$100)))</f>
        <v>0</v>
      </c>
      <c r="AP52" s="424" cm="1">
        <f t="array" ref="AP52">(SUMPRODUCT(('Cashflow Summary C19RM'!$B$5:$B$100="C19RM 2021-Lab &amp; Other HPS")*('Cashflow Summary C19RM'!$A$5:$A$100=5)*1*('Cashflow Summary C19RM'!$BC$5:$BC$100="5.8 Other consumables")*('Cashflow Summary C19RM'!$AE$5:$AE$100)))</f>
        <v>0</v>
      </c>
      <c r="AQ52" s="424" cm="1">
        <f t="array" ref="AQ52">(SUMPRODUCT(('Cashflow Summary C19RM'!$B$5:$B$100="C19RM 2021-Lab &amp; Other HPS")*('Cashflow Summary C19RM'!$A$5:$A$100=5)*1*('Cashflow Summary C19RM'!$BC$5:$BC$100="5.8 Other consumables")*('Cashflow Summary C19RM'!$AF$5:$AF$100)))</f>
        <v>0</v>
      </c>
      <c r="AR52" s="424" cm="1">
        <f t="array" ref="AR52">(SUMPRODUCT(('Cashflow Summary C19RM'!$B$5:$B$100="C19RM 2021-Lab &amp; Other HPS")*('Cashflow Summary C19RM'!$A$5:$A$100=5)*1*('Cashflow Summary C19RM'!$BC$5:$BC$100="5.8 Other consumables")*('Cashflow Summary C19RM'!$AG$5:$AG$100)))</f>
        <v>0</v>
      </c>
      <c r="AS52" s="424">
        <f t="shared" si="5"/>
        <v>0</v>
      </c>
      <c r="AT52" s="424"/>
      <c r="AU52" s="951"/>
      <c r="AV52" s="951"/>
      <c r="AW52" s="424" cm="1">
        <f t="array" ref="AW52">(SUMPRODUCT(('Cashflow Summary C19RM'!$B$5:$B$100="C19RM 2021-Lab &amp; Other HPS")*('Cashflow Summary C19RM'!$A$5:$A$100=5)*1*('Cashflow Summary C19RM'!$BC$5:$BC$100="5.8 Other consumables")*('Cashflow Summary C19RM'!$AH$5:$AH$100)))</f>
        <v>0</v>
      </c>
      <c r="AX52" s="424" cm="1">
        <f t="array" ref="AX52">(SUMPRODUCT(('Cashflow Summary C19RM'!$B$5:$B$100="C19RM 2021-Lab &amp; Other HPS")*('Cashflow Summary C19RM'!$A$5:$A$100=5)*1*('Cashflow Summary C19RM'!$BC$5:$BC$100="5.8 Other consumables")*('Cashflow Summary C19RM'!$AI$5:$AI$100)))</f>
        <v>0</v>
      </c>
      <c r="AY52" s="424" cm="1">
        <f t="array" ref="AY52">(SUMPRODUCT(('Cashflow Summary C19RM'!$B$5:$B$100="C19RM 2021-Lab &amp; Other HPS")*('Cashflow Summary C19RM'!$A$5:$A$100=5)*1*('Cashflow Summary C19RM'!$BC$5:$BC$100="5.8 Other consumables")*('Cashflow Summary C19RM'!$AJ$5:$AJ$100)))</f>
        <v>0</v>
      </c>
      <c r="AZ52" s="424" cm="1">
        <f t="array" ref="AZ52">(SUMPRODUCT(('Cashflow Summary C19RM'!$B$5:$B$100="C19RM 2021-Lab &amp; Other HPS")*('Cashflow Summary C19RM'!$A$5:$A$100=5)*1*('Cashflow Summary C19RM'!$BC$5:$BC$100="5.8 Other consumables")*('Cashflow Summary C19RM'!$AK$5:$AK$100)))</f>
        <v>0</v>
      </c>
      <c r="BA52" s="424">
        <f t="shared" si="6"/>
        <v>0</v>
      </c>
      <c r="BB52" s="424"/>
      <c r="BC52" s="951"/>
      <c r="BD52" s="951"/>
      <c r="BE52" s="424" cm="1">
        <f t="array" ref="BE52">(SUMPRODUCT(('Cashflow Summary C19RM'!$B$5:$B$100="C19RM 2021-Lab &amp; Other HPS")*('Cashflow Summary C19RM'!$A$5:$A$100=5)*1*('Cashflow Summary C19RM'!$BC$5:$BC$100="5.8 Other consumables")*('Cashflow Summary C19RM'!$AL$5:$AL$100)))</f>
        <v>0</v>
      </c>
      <c r="BF52" s="424" cm="1">
        <f t="array" ref="BF52">(SUMPRODUCT(('Cashflow Summary C19RM'!$B$5:$B$100="C19RM 2021-Lab &amp; Other HPS")*('Cashflow Summary C19RM'!$A$5:$A$100=5)*1*('Cashflow Summary C19RM'!$BC$5:$BC$100="5.8 Other consumables")*('Cashflow Summary C19RM'!$AM$5:$AM$100)))</f>
        <v>0</v>
      </c>
      <c r="BG52" s="424" cm="1">
        <f t="array" ref="BG52">(SUMPRODUCT(('Cashflow Summary C19RM'!$B$5:$B$100="C19RM 2021-Lab &amp; Other HPS")*('Cashflow Summary C19RM'!$A$5:$A$100=5)*1*('Cashflow Summary C19RM'!$BC$5:$BC$100="5.8 Other consumables")*('Cashflow Summary C19RM'!$AN$5:$AN$100)))</f>
        <v>0</v>
      </c>
      <c r="BH52" s="424" cm="1">
        <f t="array" ref="BH52">(SUMPRODUCT(('Cashflow Summary C19RM'!$B$5:$B$100="C19RM 2021-Lab &amp; Other HPS")*('Cashflow Summary C19RM'!$A$5:$A$100=5)*1*('Cashflow Summary C19RM'!$BC$5:$BC$100="5.8 Other consumables")*('Cashflow Summary C19RM'!$AO$5:$AO$100)))</f>
        <v>0</v>
      </c>
      <c r="BI52" s="424">
        <f t="shared" si="7"/>
        <v>0</v>
      </c>
      <c r="BJ52" s="424"/>
      <c r="BK52" s="424">
        <f t="shared" si="8"/>
        <v>0</v>
      </c>
      <c r="BL52" s="424"/>
      <c r="BM52" s="142"/>
      <c r="BN52" s="425"/>
      <c r="BP52" s="274" t="str">
        <f t="shared" si="11"/>
        <v>No</v>
      </c>
      <c r="BQ52" t="s">
        <v>30</v>
      </c>
      <c r="BS52" s="953" t="s">
        <v>83</v>
      </c>
      <c r="BT52" s="61" t="s">
        <v>3304</v>
      </c>
      <c r="BU52" s="411" t="s">
        <v>3638</v>
      </c>
      <c r="CD52" s="952"/>
      <c r="CE52" s="952"/>
      <c r="CF52" s="952"/>
      <c r="CG52" s="952"/>
      <c r="CH52" s="952"/>
      <c r="CI52" s="952"/>
      <c r="CJ52" s="952"/>
      <c r="CK52" s="952"/>
      <c r="CL52" s="952"/>
      <c r="CM52" s="952"/>
      <c r="CN52" s="952"/>
      <c r="CO52" s="952"/>
      <c r="CP52" s="952"/>
      <c r="CQ52" s="952"/>
      <c r="CR52" s="952"/>
      <c r="CS52" s="952"/>
      <c r="CT52" s="952"/>
      <c r="CU52" s="952"/>
      <c r="CV52" s="952"/>
      <c r="CW52" s="952"/>
      <c r="CX52" s="952"/>
      <c r="CY52" s="952"/>
      <c r="CZ52" s="952"/>
      <c r="DA52" s="952"/>
      <c r="DB52" s="952"/>
      <c r="DC52" s="952"/>
      <c r="DD52" s="952"/>
    </row>
    <row r="53" spans="1:108" ht="39" customHeight="1" x14ac:dyDescent="0.35">
      <c r="A53" s="256"/>
      <c r="B53" s="363" t="str">
        <f>PMsheet!$AH$94&amp;'Detailed BudgetC19RM'!BU53</f>
        <v>000P23HP1148</v>
      </c>
      <c r="C53" s="315" t="s">
        <v>2749</v>
      </c>
      <c r="D53" s="315" t="s">
        <v>3141</v>
      </c>
      <c r="E53" s="261" t="s">
        <v>3143</v>
      </c>
      <c r="F53" s="314" t="s">
        <v>183</v>
      </c>
      <c r="G53" s="315">
        <f ca="1">SETUP!$T$2</f>
        <v>0</v>
      </c>
      <c r="H53" s="315" t="str">
        <f>IF(SETUP!$E$3="","","National/Country Level")</f>
        <v/>
      </c>
      <c r="I53" s="315" t="str">
        <f>IFERROR(IF(INDEX('Master Data-C19RM'!$E$8:$E$18,MATCH((INDEX(SETUP!$E$20:$E$34,MATCH('Detailed BudgetC19RM'!BQ53,SETUP!$D$20:$D$34,0))),'Master Data-C19RM'!$D$8:$D$18,0))="Implementer's name",SETUP!$J$5,INDEX('Master Data-C19RM'!$E$8:$E$18,MATCH((INDEX(SETUP!$E$20:$E$34,MATCH('Detailed BudgetC19RM'!BQ53,SETUP!$D$20:$D$34,0))),'Master Data-C19RM'!$D$8:$D$18,0))),"Pls select HPMT Category in ' BQ ' column")</f>
        <v>Not Applicable</v>
      </c>
      <c r="J53" s="315" t="s">
        <v>707</v>
      </c>
      <c r="K53" s="315">
        <f t="shared" si="10"/>
        <v>0</v>
      </c>
      <c r="L53" s="950"/>
      <c r="M53" s="315">
        <f>SETUP!$E$7</f>
        <v>0</v>
      </c>
      <c r="N53" s="950"/>
      <c r="O53" s="950"/>
      <c r="P53" s="950"/>
      <c r="Q53" s="917" cm="1">
        <f t="array" ref="Q53">(SUMPRODUCT(('Cashflow Summary C19RM'!$B$5:$B$100="C19RM 2021-Lab &amp; Other HPS")*('Cashflow Summary C19RM'!$A$5:$A$100=5)*('Cashflow Summary C19RM'!$BC$5:$BC$100="6.6 Other health equipment")*('Cashflow Summary C19RM'!$R$5:$R$100)))</f>
        <v>0</v>
      </c>
      <c r="R53" s="917" cm="1">
        <f t="array" ref="R53">(SUMPRODUCT(('Cashflow Summary C19RM'!$B$5:$B$100="C19RM 2021-Lab &amp; Other HPS")*('Cashflow Summary C19RM'!$A$5:$A$100=5)*('Cashflow Summary C19RM'!$BC$5:$BC$100="6.6 Other health equipment")*('Cashflow Summary C19RM'!$S$5:$S$100)))</f>
        <v>0</v>
      </c>
      <c r="S53" s="917" cm="1">
        <f t="array" ref="S53">(SUMPRODUCT(('Cashflow Summary C19RM'!$B$5:$B$100="C19RM 2021-Lab &amp; Other HPS")*('Cashflow Summary C19RM'!$A$5:$A$100=5)*('Cashflow Summary C19RM'!$BC$5:$BC$100="6.6 Other health equipment")*('Cashflow Summary C19RM'!$T$5:$T$100)))</f>
        <v>0</v>
      </c>
      <c r="T53" s="917" cm="1">
        <f t="array" ref="T53">(SUMPRODUCT(('Cashflow Summary C19RM'!$B$5:$B$100="C19RM 2021-Lab &amp; Other HPS")*('Cashflow Summary C19RM'!$A$5:$A$100=5)*('Cashflow Summary C19RM'!$BC$5:$BC$100="6.6 Other health equipment")*('Cashflow Summary C19RM'!$U$5:$U$100)))</f>
        <v>0</v>
      </c>
      <c r="U53" s="948">
        <f t="shared" si="2"/>
        <v>0</v>
      </c>
      <c r="V53" s="424"/>
      <c r="W53" s="951"/>
      <c r="X53" s="951"/>
      <c r="Y53" s="424" cm="1">
        <f t="array" ref="Y53">(SUMPRODUCT(('Cashflow Summary C19RM'!$B$5:$B$100="C19RM 2021-Lab &amp; Other HPS")*('Cashflow Summary C19RM'!$A$5:$A$100=5)*1*('Cashflow Summary C19RM'!$BC$5:$BC$100="6.6 Other health equipment")*('Cashflow Summary C19RM'!$V$5:$V$100)))</f>
        <v>0</v>
      </c>
      <c r="Z53" s="424" cm="1">
        <f t="array" ref="Z53">(SUMPRODUCT(('Cashflow Summary C19RM'!$B$5:$B$100="C19RM 2021-Lab &amp; Other HPS")*('Cashflow Summary C19RM'!$A$5:$A$100=5)*1*('Cashflow Summary C19RM'!$BC$5:$BC$100="6.6 Other health equipment")*('Cashflow Summary C19RM'!$W$5:$W$100)))</f>
        <v>0</v>
      </c>
      <c r="AA53" s="424" cm="1">
        <f t="array" ref="AA53">(SUMPRODUCT(('Cashflow Summary C19RM'!$B$5:$B$100="C19RM 2021-Lab &amp; Other HPS")*('Cashflow Summary C19RM'!$A$5:$A$100=5)*1*('Cashflow Summary C19RM'!$BC$5:$BC$100="6.6 Other health equipment")*('Cashflow Summary C19RM'!$X$5:$X$100)))</f>
        <v>0</v>
      </c>
      <c r="AB53" s="424" cm="1">
        <f t="array" ref="AB53">(SUMPRODUCT(('Cashflow Summary C19RM'!$B$5:$B$100="C19RM 2021-Lab &amp; Other HPS")*('Cashflow Summary C19RM'!$A$5:$A$100=5)*1*('Cashflow Summary C19RM'!$BC$5:$BC$100="6.6 Other health equipment")*('Cashflow Summary C19RM'!$Y$5:$Y$100)))</f>
        <v>0</v>
      </c>
      <c r="AC53" s="424">
        <f t="shared" si="3"/>
        <v>0</v>
      </c>
      <c r="AD53" s="424"/>
      <c r="AE53" s="951"/>
      <c r="AF53" s="951"/>
      <c r="AG53" s="424" cm="1">
        <f t="array" ref="AG53">(SUMPRODUCT(('Cashflow Summary C19RM'!$B$5:$B$100="C19RM 2021-Lab &amp; Other HPS")*('Cashflow Summary C19RM'!$A$5:$A$100=5)*1*('Cashflow Summary C19RM'!$BC$5:$BC$100="6.6 Other health equipment")*('Cashflow Summary C19RM'!$Z$5:$Z$100)))</f>
        <v>0</v>
      </c>
      <c r="AH53" s="424" cm="1">
        <f t="array" ref="AH53">(SUMPRODUCT(('Cashflow Summary C19RM'!$B$5:$B$100="C19RM 2021-Lab &amp; Other HPS")*('Cashflow Summary C19RM'!$A$5:$A$100=5)*1*('Cashflow Summary C19RM'!$BC$5:$BC$100="6.6 Other health equipment")*('Cashflow Summary C19RM'!$AA$5:$AA$100)))</f>
        <v>0</v>
      </c>
      <c r="AI53" s="424" cm="1">
        <f t="array" ref="AI53">(SUMPRODUCT(('Cashflow Summary C19RM'!$B$5:$B$100="C19RM 2021-Lab &amp; Other HPS")*('Cashflow Summary C19RM'!$A$5:$A$100=5)*1*('Cashflow Summary C19RM'!$BC$5:$BC$100="6.6 Other health equipment")*('Cashflow Summary C19RM'!$AB$5:$AB$100)))</f>
        <v>0</v>
      </c>
      <c r="AJ53" s="424" cm="1">
        <f t="array" ref="AJ53">(SUMPRODUCT(('Cashflow Summary C19RM'!$B$5:$B$100="C19RM 2021-Lab &amp; Other HPS")*('Cashflow Summary C19RM'!$A$5:$A$100=5)*1*('Cashflow Summary C19RM'!$BC$5:$BC$100="6.6 Other health equipment")*('Cashflow Summary C19RM'!$AC$5:$AC$100)))</f>
        <v>0</v>
      </c>
      <c r="AK53" s="424">
        <f t="shared" si="4"/>
        <v>0</v>
      </c>
      <c r="AL53" s="424"/>
      <c r="AM53" s="951"/>
      <c r="AN53" s="951"/>
      <c r="AO53" s="424" cm="1">
        <f t="array" ref="AO53">(SUMPRODUCT(('Cashflow Summary C19RM'!$B$5:$B$100="C19RM 2021-Lab &amp; Other HPS")*('Cashflow Summary C19RM'!$A$5:$A$100=5)*1*('Cashflow Summary C19RM'!$BC$5:$BC$100="6.6 Other health equipment")*('Cashflow Summary C19RM'!$AD$5:$AD$100)))</f>
        <v>0</v>
      </c>
      <c r="AP53" s="424" cm="1">
        <f t="array" ref="AP53">(SUMPRODUCT(('Cashflow Summary C19RM'!$B$5:$B$100="C19RM 2021-Lab &amp; Other HPS")*('Cashflow Summary C19RM'!$A$5:$A$100=5)*1*('Cashflow Summary C19RM'!$BC$5:$BC$100="6.6 Other health equipment")*('Cashflow Summary C19RM'!$AE$5:$AE$100)))</f>
        <v>0</v>
      </c>
      <c r="AQ53" s="424" cm="1">
        <f t="array" ref="AQ53">(SUMPRODUCT(('Cashflow Summary C19RM'!$B$5:$B$100="C19RM 2021-Lab &amp; Other HPS")*('Cashflow Summary C19RM'!$A$5:$A$100=5)*1*('Cashflow Summary C19RM'!$BC$5:$BC$100="6.6 Other health equipment")*('Cashflow Summary C19RM'!$AF$5:$AF$100)))</f>
        <v>0</v>
      </c>
      <c r="AR53" s="424" cm="1">
        <f t="array" ref="AR53">(SUMPRODUCT(('Cashflow Summary C19RM'!$B$5:$B$100="C19RM 2021-Lab &amp; Other HPS")*('Cashflow Summary C19RM'!$A$5:$A$100=5)*1*('Cashflow Summary C19RM'!$BC$5:$BC$100="6.6 Other health equipment")*('Cashflow Summary C19RM'!$AG$5:$AG$100)))</f>
        <v>0</v>
      </c>
      <c r="AS53" s="424">
        <f t="shared" si="5"/>
        <v>0</v>
      </c>
      <c r="AT53" s="424"/>
      <c r="AU53" s="951"/>
      <c r="AV53" s="951"/>
      <c r="AW53" s="424" cm="1">
        <f t="array" ref="AW53">(SUMPRODUCT(('Cashflow Summary C19RM'!$B$5:$B$100="C19RM 2021-Lab &amp; Other HPS")*('Cashflow Summary C19RM'!$A$5:$A$100=5)*1*('Cashflow Summary C19RM'!$BC$5:$BC$100="6.6 Other health equipment")*('Cashflow Summary C19RM'!$AH$5:$AH$100)))</f>
        <v>0</v>
      </c>
      <c r="AX53" s="424" cm="1">
        <f t="array" ref="AX53">(SUMPRODUCT(('Cashflow Summary C19RM'!$B$5:$B$100="C19RM 2021-Lab &amp; Other HPS")*('Cashflow Summary C19RM'!$A$5:$A$100=5)*1*('Cashflow Summary C19RM'!$BC$5:$BC$100="6.6 Other health equipment")*('Cashflow Summary C19RM'!$AI$5:$AI$100)))</f>
        <v>0</v>
      </c>
      <c r="AY53" s="424" cm="1">
        <f t="array" ref="AY53">(SUMPRODUCT(('Cashflow Summary C19RM'!$B$5:$B$100="C19RM 2021-Lab &amp; Other HPS")*('Cashflow Summary C19RM'!$A$5:$A$100=5)*1*('Cashflow Summary C19RM'!$BC$5:$BC$100="6.6 Other health equipment")*('Cashflow Summary C19RM'!$AJ$5:$AJ$100)))</f>
        <v>0</v>
      </c>
      <c r="AZ53" s="424" cm="1">
        <f t="array" ref="AZ53">(SUMPRODUCT(('Cashflow Summary C19RM'!$B$5:$B$100="C19RM 2021-Lab &amp; Other HPS")*('Cashflow Summary C19RM'!$A$5:$A$100=5)*1*('Cashflow Summary C19RM'!$BC$5:$BC$100="6.6 Other health equipment")*('Cashflow Summary C19RM'!$AK$5:$AK$100)))</f>
        <v>0</v>
      </c>
      <c r="BA53" s="424">
        <f t="shared" si="6"/>
        <v>0</v>
      </c>
      <c r="BB53" s="424"/>
      <c r="BC53" s="951"/>
      <c r="BD53" s="951"/>
      <c r="BE53" s="424" cm="1">
        <f t="array" ref="BE53">(SUMPRODUCT(('Cashflow Summary C19RM'!$B$5:$B$100="C19RM 2021-Lab &amp; Other HPS")*('Cashflow Summary C19RM'!$A$5:$A$100=5)*1*('Cashflow Summary C19RM'!$BC$5:$BC$100="6.6 Other health equipment")*('Cashflow Summary C19RM'!$AL$5:$AL$100)))</f>
        <v>0</v>
      </c>
      <c r="BF53" s="424" cm="1">
        <f t="array" ref="BF53">(SUMPRODUCT(('Cashflow Summary C19RM'!$B$5:$B$100="C19RM 2021-Lab &amp; Other HPS")*('Cashflow Summary C19RM'!$A$5:$A$100=5)*1*('Cashflow Summary C19RM'!$BC$5:$BC$100="6.6 Other health equipment")*('Cashflow Summary C19RM'!$AM$5:$AM$100)))</f>
        <v>0</v>
      </c>
      <c r="BG53" s="424" cm="1">
        <f t="array" ref="BG53">(SUMPRODUCT(('Cashflow Summary C19RM'!$B$5:$B$100="C19RM 2021-Lab &amp; Other HPS")*('Cashflow Summary C19RM'!$A$5:$A$100=5)*1*('Cashflow Summary C19RM'!$BC$5:$BC$100="6.6 Other health equipment")*('Cashflow Summary C19RM'!$AN$5:$AN$100)))</f>
        <v>0</v>
      </c>
      <c r="BH53" s="424" cm="1">
        <f t="array" ref="BH53">(SUMPRODUCT(('Cashflow Summary C19RM'!$B$5:$B$100="C19RM 2021-Lab &amp; Other HPS")*('Cashflow Summary C19RM'!$A$5:$A$100=5)*1*('Cashflow Summary C19RM'!$BC$5:$BC$100="6.6 Other health equipment")*('Cashflow Summary C19RM'!$AO$5:$AO$100)))</f>
        <v>0</v>
      </c>
      <c r="BI53" s="424">
        <f t="shared" si="7"/>
        <v>0</v>
      </c>
      <c r="BJ53" s="424"/>
      <c r="BK53" s="424">
        <f t="shared" si="8"/>
        <v>0</v>
      </c>
      <c r="BL53" s="424"/>
      <c r="BM53" s="142"/>
      <c r="BN53" s="425"/>
      <c r="BP53" s="274" t="str">
        <f t="shared" si="11"/>
        <v>No</v>
      </c>
      <c r="BQ53" t="s">
        <v>30</v>
      </c>
      <c r="BS53" s="953" t="s">
        <v>83</v>
      </c>
      <c r="BT53" t="s">
        <v>3305</v>
      </c>
      <c r="BU53" s="411" t="s">
        <v>3639</v>
      </c>
      <c r="CD53" s="952"/>
      <c r="CE53" s="952"/>
      <c r="CF53" s="952"/>
      <c r="CG53" s="952"/>
      <c r="CH53" s="952"/>
      <c r="CI53" s="952"/>
      <c r="CJ53" s="952"/>
      <c r="CK53" s="952"/>
      <c r="CL53" s="952"/>
      <c r="CM53" s="952"/>
      <c r="CN53" s="952"/>
      <c r="CO53" s="952"/>
      <c r="CP53" s="952"/>
      <c r="CQ53" s="952"/>
      <c r="CR53" s="952"/>
      <c r="CS53" s="952"/>
      <c r="CT53" s="952"/>
      <c r="CU53" s="952"/>
      <c r="CV53" s="952"/>
      <c r="CW53" s="952"/>
      <c r="CX53" s="952"/>
      <c r="CY53" s="952"/>
      <c r="CZ53" s="952"/>
      <c r="DA53" s="952"/>
      <c r="DB53" s="952"/>
      <c r="DC53" s="952"/>
      <c r="DD53" s="952"/>
    </row>
    <row r="54" spans="1:108" ht="39" customHeight="1" x14ac:dyDescent="0.35">
      <c r="A54" s="364"/>
      <c r="B54" s="363" t="str">
        <f>PMsheet!$AH$94&amp;'Detailed BudgetC19RM'!BU54</f>
        <v>000P23HP1149</v>
      </c>
      <c r="C54" s="315" t="s">
        <v>2749</v>
      </c>
      <c r="D54" s="315" t="s">
        <v>3141</v>
      </c>
      <c r="E54" s="261" t="s">
        <v>3144</v>
      </c>
      <c r="F54" s="314" t="s">
        <v>3123</v>
      </c>
      <c r="G54" s="315">
        <f ca="1">SETUP!$T$2</f>
        <v>0</v>
      </c>
      <c r="H54" s="315" t="str">
        <f>IF(SETUP!$E$3="","","National/Country Level")</f>
        <v/>
      </c>
      <c r="I54" s="315" t="str">
        <f>IFERROR(IF(INDEX('Master Data-C19RM'!$E$8:$E$18,MATCH((INDEX(SETUP!$E$20:$E$34,MATCH('Detailed BudgetC19RM'!BQ54,SETUP!$D$20:$D$34,0))),'Master Data-C19RM'!$D$8:$D$18,0))="Implementer's name",SETUP!$J$5,INDEX('Master Data-C19RM'!$E$8:$E$18,MATCH((INDEX(SETUP!$E$20:$E$34,MATCH('Detailed BudgetC19RM'!BQ54,SETUP!$D$20:$D$34,0))),'Master Data-C19RM'!$D$8:$D$18,0))),"Pls select HPMT Category in ' BQ ' column")</f>
        <v>Not Applicable</v>
      </c>
      <c r="J54" s="315" t="s">
        <v>707</v>
      </c>
      <c r="K54" s="315">
        <f t="shared" si="10"/>
        <v>0</v>
      </c>
      <c r="L54" s="315"/>
      <c r="M54" s="315">
        <f>SETUP!$E$7</f>
        <v>0</v>
      </c>
      <c r="N54" s="315"/>
      <c r="O54" s="315"/>
      <c r="P54" s="315"/>
      <c r="Q54" s="917" cm="1">
        <f t="array" ref="Q54">(SUMPRODUCT(('Cashflow Summary C19RM'!$B$5:$B$100="C19RM 2021-Lab &amp; Other HPS")*('Cashflow Summary C19RM'!$A$5:$A$100=5)*1*('Cashflow Summary C19RM'!$BC$5:$BC$100="5.6 Other laboratory reagents, test kits and consumables")*('Cashflow Summary C19RM'!$R$5:$R$100)))</f>
        <v>0</v>
      </c>
      <c r="R54" s="917" cm="1">
        <f t="array" ref="R54">(SUMPRODUCT(('Cashflow Summary C19RM'!$B$5:$B$100="C19RM 2021-Lab &amp; Other HPS")*('Cashflow Summary C19RM'!$A$5:$A$100=5)*1*('Cashflow Summary C19RM'!$BC$5:$BC$100="5.6 Other laboratory reagents, test kits and consumables")*('Cashflow Summary C19RM'!$S$5:$S$100)))</f>
        <v>0</v>
      </c>
      <c r="S54" s="917" cm="1">
        <f t="array" ref="S54">(SUMPRODUCT(('Cashflow Summary C19RM'!$B$5:$B$100="C19RM 2021-Lab &amp; Other HPS")*('Cashflow Summary C19RM'!$A$5:$A$100=5)*1*('Cashflow Summary C19RM'!$BC$5:$BC$100="5.6 Other laboratory reagents, test kits and consumables")*('Cashflow Summary C19RM'!$T$5:$T$100)))</f>
        <v>0</v>
      </c>
      <c r="T54" s="917" cm="1">
        <f t="array" ref="T54">(SUMPRODUCT(('Cashflow Summary C19RM'!$B$5:$B$100="C19RM 2021-Lab &amp; Other HPS")*('Cashflow Summary C19RM'!$A$5:$A$100=5)*1*('Cashflow Summary C19RM'!$BC$5:$BC$100="5.6 Other laboratory reagents, test kits and consumables")*('Cashflow Summary C19RM'!$U$5:$U$100)))</f>
        <v>0</v>
      </c>
      <c r="U54" s="948">
        <f t="shared" si="2"/>
        <v>0</v>
      </c>
      <c r="V54" s="424"/>
      <c r="W54" s="424"/>
      <c r="X54" s="424"/>
      <c r="Y54" s="424" cm="1">
        <f t="array" ref="Y54">(SUMPRODUCT(('Cashflow Summary C19RM'!$B$5:$B$100="C19RM 2021-Lab &amp; Other HPS")*('Cashflow Summary C19RM'!$A$5:$A$100=5)*1*('Cashflow Summary C19RM'!$BC$5:$BC$100="5.6 Other laboratory reagents, test kits and consumables")*('Cashflow Summary C19RM'!$V$5:$V$100)))</f>
        <v>0</v>
      </c>
      <c r="Z54" s="424" cm="1">
        <f t="array" ref="Z54">(SUMPRODUCT(('Cashflow Summary C19RM'!$B$5:$B$100="C19RM 2021-Lab &amp; Other HPS")*('Cashflow Summary C19RM'!$A$5:$A$100=5)*1*('Cashflow Summary C19RM'!$BC$5:$BC$100="5.6 Other laboratory reagents, test kits and consumables")*('Cashflow Summary C19RM'!$W$5:$W$100)))</f>
        <v>0</v>
      </c>
      <c r="AA54" s="424" cm="1">
        <f t="array" ref="AA54">(SUMPRODUCT(('Cashflow Summary C19RM'!$B$5:$B$100="C19RM 2021-Lab &amp; Other HPS")*('Cashflow Summary C19RM'!$A$5:$A$100=5)*1*('Cashflow Summary C19RM'!$BC$5:$BC$100="5.6 Other laboratory reagents, test kits and consumables")*('Cashflow Summary C19RM'!$X$5:$X$100)))</f>
        <v>0</v>
      </c>
      <c r="AB54" s="424" cm="1">
        <f t="array" ref="AB54">(SUMPRODUCT(('Cashflow Summary C19RM'!$B$5:$B$100="C19RM 2021-Lab &amp; Other HPS")*('Cashflow Summary C19RM'!$A$5:$A$100=5)*1*('Cashflow Summary C19RM'!$BC$5:$BC$100="5.6 Other laboratory reagents, test kits and consumables")*('Cashflow Summary C19RM'!$Y$5:$Y$100)))</f>
        <v>0</v>
      </c>
      <c r="AC54" s="424">
        <f t="shared" si="3"/>
        <v>0</v>
      </c>
      <c r="AD54" s="424"/>
      <c r="AE54" s="424"/>
      <c r="AF54" s="424"/>
      <c r="AG54" s="424" cm="1">
        <f t="array" ref="AG54">(SUMPRODUCT(('Cashflow Summary C19RM'!$B$5:$B$100="C19RM 2021-Lab &amp; Other HPS")*('Cashflow Summary C19RM'!$A$5:$A$100=5)*1*('Cashflow Summary C19RM'!$BC$5:$BC$100="5.6 Other laboratory reagents, test kits and consumables")*('Cashflow Summary C19RM'!$Z$5:$Z$100)))</f>
        <v>0</v>
      </c>
      <c r="AH54" s="424" cm="1">
        <f t="array" ref="AH54">(SUMPRODUCT(('Cashflow Summary C19RM'!$B$5:$B$100="C19RM 2021-Lab &amp; Other HPS")*('Cashflow Summary C19RM'!$A$5:$A$100=5)*1*('Cashflow Summary C19RM'!$BC$5:$BC$100="5.6 Other laboratory reagents, test kits and consumables")*('Cashflow Summary C19RM'!$AA$5:$AA$100)))</f>
        <v>0</v>
      </c>
      <c r="AI54" s="424" cm="1">
        <f t="array" ref="AI54">(SUMPRODUCT(('Cashflow Summary C19RM'!$B$5:$B$100="C19RM 2021-Lab &amp; Other HPS")*('Cashflow Summary C19RM'!$A$5:$A$100=5)*1*('Cashflow Summary C19RM'!$BC$5:$BC$100="5.6 Other laboratory reagents, test kits and consumables")*('Cashflow Summary C19RM'!$AB$5:$AB$100)))</f>
        <v>0</v>
      </c>
      <c r="AJ54" s="424" cm="1">
        <f t="array" ref="AJ54">(SUMPRODUCT(('Cashflow Summary C19RM'!$B$5:$B$100="C19RM 2021-Lab &amp; Other HPS")*('Cashflow Summary C19RM'!$A$5:$A$100=5)*1*('Cashflow Summary C19RM'!$BC$5:$BC$100="5.6 Other laboratory reagents, test kits and consumables")*('Cashflow Summary C19RM'!$AC$5:$AC$100)))</f>
        <v>0</v>
      </c>
      <c r="AK54" s="424">
        <f t="shared" si="4"/>
        <v>0</v>
      </c>
      <c r="AL54" s="424"/>
      <c r="AM54" s="424"/>
      <c r="AN54" s="424"/>
      <c r="AO54" s="424" cm="1">
        <f t="array" ref="AO54">(SUMPRODUCT(('Cashflow Summary C19RM'!$B$5:$B$100="C19RM 2021-Lab &amp; Other HPS")*('Cashflow Summary C19RM'!$A$5:$A$100=5)*1*('Cashflow Summary C19RM'!$BC$5:$BC$100="5.6 Other laboratory reagents, test kits and consumables")*('Cashflow Summary C19RM'!$AD$5:$AD$100)))</f>
        <v>0</v>
      </c>
      <c r="AP54" s="424" cm="1">
        <f t="array" ref="AP54">(SUMPRODUCT(('Cashflow Summary C19RM'!$B$5:$B$100="C19RM 2021-Lab &amp; Other HPS")*('Cashflow Summary C19RM'!$A$5:$A$100=5)*1*('Cashflow Summary C19RM'!$BC$5:$BC$100="5.6 Other laboratory reagents, test kits and consumables")*('Cashflow Summary C19RM'!$AE$5:$AE$100)))</f>
        <v>0</v>
      </c>
      <c r="AQ54" s="424" cm="1">
        <f t="array" ref="AQ54">(SUMPRODUCT(('Cashflow Summary C19RM'!$B$5:$B$100="C19RM 2021-Lab &amp; Other HPS")*('Cashflow Summary C19RM'!$A$5:$A$100=5)*1*('Cashflow Summary C19RM'!$BC$5:$BC$100="5.6 Other laboratory reagents, test kits and consumables")*('Cashflow Summary C19RM'!$AF$5:$AF$100)))</f>
        <v>0</v>
      </c>
      <c r="AR54" s="424" cm="1">
        <f t="array" ref="AR54">(SUMPRODUCT(('Cashflow Summary C19RM'!$B$5:$B$100="C19RM 2021-Lab &amp; Other HPS")*('Cashflow Summary C19RM'!$A$5:$A$100=5)*1*('Cashflow Summary C19RM'!$BC$5:$BC$100="5.6 Other laboratory reagents, test kits and consumables")*('Cashflow Summary C19RM'!$AG$5:$AG$100)))</f>
        <v>0</v>
      </c>
      <c r="AS54" s="424">
        <f t="shared" si="5"/>
        <v>0</v>
      </c>
      <c r="AT54" s="424"/>
      <c r="AU54" s="424"/>
      <c r="AV54" s="424"/>
      <c r="AW54" s="424" cm="1">
        <f t="array" ref="AW54">(SUMPRODUCT(('Cashflow Summary C19RM'!$B$5:$B$100="C19RM 2021-Lab &amp; Other HPS")*('Cashflow Summary C19RM'!$A$5:$A$100=5)*1*('Cashflow Summary C19RM'!$BC$5:$BC$100="5.6 Other laboratory reagents, test kits and consumables")*('Cashflow Summary C19RM'!$AH$5:$AH$100)))</f>
        <v>0</v>
      </c>
      <c r="AX54" s="424" cm="1">
        <f t="array" ref="AX54">(SUMPRODUCT(('Cashflow Summary C19RM'!$B$5:$B$100="C19RM 2021-Lab &amp; Other HPS")*('Cashflow Summary C19RM'!$A$5:$A$100=5)*1*('Cashflow Summary C19RM'!$BC$5:$BC$100="5.6 Other laboratory reagents, test kits and consumables")*('Cashflow Summary C19RM'!$AI$5:$AI$100)))</f>
        <v>0</v>
      </c>
      <c r="AY54" s="424" cm="1">
        <f t="array" ref="AY54">(SUMPRODUCT(('Cashflow Summary C19RM'!$B$5:$B$100="C19RM 2021-Lab &amp; Other HPS")*('Cashflow Summary C19RM'!$A$5:$A$100=5)*1*('Cashflow Summary C19RM'!$BC$5:$BC$100="5.6 Other laboratory reagents, test kits and consumables")*('Cashflow Summary C19RM'!$AJ$5:$AJ$100)))</f>
        <v>0</v>
      </c>
      <c r="AZ54" s="424" cm="1">
        <f t="array" ref="AZ54">(SUMPRODUCT(('Cashflow Summary C19RM'!$B$5:$B$100="C19RM 2021-Lab &amp; Other HPS")*('Cashflow Summary C19RM'!$A$5:$A$100=5)*1*('Cashflow Summary C19RM'!$BC$5:$BC$100="5.6 Other laboratory reagents, test kits and consumables")*('Cashflow Summary C19RM'!$AK$5:$AK$100)))</f>
        <v>0</v>
      </c>
      <c r="BA54" s="424">
        <f t="shared" si="6"/>
        <v>0</v>
      </c>
      <c r="BB54" s="424"/>
      <c r="BC54" s="424"/>
      <c r="BD54" s="424"/>
      <c r="BE54" s="424" cm="1">
        <f t="array" ref="BE54">(SUMPRODUCT(('Cashflow Summary C19RM'!$B$5:$B$100="C19RM 2021-Lab &amp; Other HPS")*('Cashflow Summary C19RM'!$A$5:$A$100=5)*1*('Cashflow Summary C19RM'!$BC$5:$BC$100="5.6 Other laboratory reagents, test kits and consumables")*('Cashflow Summary C19RM'!$AL$5:$AL$100)))</f>
        <v>0</v>
      </c>
      <c r="BF54" s="424" cm="1">
        <f t="array" ref="BF54">(SUMPRODUCT(('Cashflow Summary C19RM'!$B$5:$B$100="C19RM 2021-Lab &amp; Other HPS")*('Cashflow Summary C19RM'!$A$5:$A$100=5)*1*('Cashflow Summary C19RM'!$BC$5:$BC$100="5.6 Other laboratory reagents, test kits and consumables")*('Cashflow Summary C19RM'!$AM$5:$AM$100)))</f>
        <v>0</v>
      </c>
      <c r="BG54" s="424" cm="1">
        <f t="array" ref="BG54">(SUMPRODUCT(('Cashflow Summary C19RM'!$B$5:$B$100="C19RM 2021-Lab &amp; Other HPS")*('Cashflow Summary C19RM'!$A$5:$A$100=5)*1*('Cashflow Summary C19RM'!$BC$5:$BC$100="5.6 Other laboratory reagents, test kits and consumables")*('Cashflow Summary C19RM'!$AN$5:$AN$100)))</f>
        <v>0</v>
      </c>
      <c r="BH54" s="424" cm="1">
        <f t="array" ref="BH54">(SUMPRODUCT(('Cashflow Summary C19RM'!$B$5:$B$100="C19RM 2021-Lab &amp; Other HPS")*('Cashflow Summary C19RM'!$A$5:$A$100=5)*1*('Cashflow Summary C19RM'!$BC$5:$BC$100="5.6 Other laboratory reagents, test kits and consumables")*('Cashflow Summary C19RM'!$AO$5:$AO$100)))</f>
        <v>0</v>
      </c>
      <c r="BI54" s="424">
        <f t="shared" si="7"/>
        <v>0</v>
      </c>
      <c r="BJ54" s="424"/>
      <c r="BK54" s="424">
        <f t="shared" si="8"/>
        <v>0</v>
      </c>
      <c r="BL54" s="424"/>
      <c r="BM54" s="142"/>
      <c r="BN54" s="425"/>
      <c r="BP54" s="274" t="str">
        <f t="shared" si="11"/>
        <v>No</v>
      </c>
      <c r="BQ54" t="s">
        <v>30</v>
      </c>
      <c r="BS54" s="286" t="s">
        <v>83</v>
      </c>
      <c r="BT54" s="61" t="s">
        <v>3306</v>
      </c>
      <c r="BU54" s="411" t="s">
        <v>3640</v>
      </c>
    </row>
    <row r="55" spans="1:108" ht="39" customHeight="1" x14ac:dyDescent="0.35">
      <c r="A55" s="256"/>
      <c r="B55" s="363" t="str">
        <f>PMsheet!$AH$94&amp;'Detailed BudgetC19RM'!BU55</f>
        <v>000P23HP1150</v>
      </c>
      <c r="C55" s="315" t="s">
        <v>2749</v>
      </c>
      <c r="D55" s="315" t="s">
        <v>3141</v>
      </c>
      <c r="E55" s="261" t="s">
        <v>1986</v>
      </c>
      <c r="F55" s="314" t="s">
        <v>730</v>
      </c>
      <c r="G55" s="315">
        <f ca="1">SETUP!$T$2</f>
        <v>0</v>
      </c>
      <c r="H55" s="315" t="str">
        <f>IF(SETUP!$E$3="","","National/Country Level")</f>
        <v/>
      </c>
      <c r="I55" s="315" t="str">
        <f>IFERROR(IF(INDEX('Master Data-C19RM'!$E$8:$E$18,MATCH((INDEX(SETUP!$E$20:$E$34,MATCH('Detailed BudgetC19RM'!BQ55,SETUP!$D$20:$D$34,0))),'Master Data-C19RM'!$D$8:$D$18,0))="Implementer's name",SETUP!$J$5,INDEX('Master Data-C19RM'!$E$8:$E$18,MATCH((INDEX(SETUP!$E$20:$E$34,MATCH('Detailed BudgetC19RM'!BQ55,SETUP!$D$20:$D$34,0))),'Master Data-C19RM'!$D$8:$D$18,0))),"Pls select HPMT Category in ' BQ ' column")</f>
        <v>Not Applicable</v>
      </c>
      <c r="J55" s="315" t="s">
        <v>707</v>
      </c>
      <c r="K55" s="315">
        <f t="shared" si="10"/>
        <v>0</v>
      </c>
      <c r="L55" s="950"/>
      <c r="M55" s="315">
        <f>SETUP!$E$7</f>
        <v>0</v>
      </c>
      <c r="N55" s="950"/>
      <c r="O55" s="950"/>
      <c r="P55" s="950"/>
      <c r="Q55" s="917" cm="1">
        <f t="array" ref="Q55">(SUMPRODUCT(('Cashflow Summary C19RM'!$B$5:$B$100="C19RM 2021-Lab &amp; Other HPS")*('Cashflow Summary C19RM'!$A$5:$A$100=5)*1*('Cashflow Summary C19RM'!$BC$5:$BC$100="6.5 Maintenance and service costs")*('Cashflow Summary C19RM'!$R$5:$R$100)))</f>
        <v>0</v>
      </c>
      <c r="R55" s="917" cm="1">
        <f t="array" ref="R55">(SUMPRODUCT(('Cashflow Summary C19RM'!$B$5:$B$100="C19RM 2021-Lab &amp; Other HPS")*('Cashflow Summary C19RM'!$A$5:$A$100=5)*1*('Cashflow Summary C19RM'!$BC$5:$BC$100="6.5 Maintenance and service costs")*('Cashflow Summary C19RM'!$S$5:$S$100)))</f>
        <v>0</v>
      </c>
      <c r="S55" s="917" cm="1">
        <f t="array" ref="S55">(SUMPRODUCT(('Cashflow Summary C19RM'!$B$5:$B$100="C19RM 2021-Lab &amp; Other HPS")*('Cashflow Summary C19RM'!$A$5:$A$100=5)*1*('Cashflow Summary C19RM'!$BC$5:$BC$100="6.5 Maintenance and service costs")*('Cashflow Summary C19RM'!$T$5:$T$100)))</f>
        <v>0</v>
      </c>
      <c r="T55" s="917" cm="1">
        <f t="array" ref="T55">(SUMPRODUCT(('Cashflow Summary C19RM'!$B$5:$B$100="C19RM 2021-Lab &amp; Other HPS")*('Cashflow Summary C19RM'!$A$5:$A$100=5)*1*('Cashflow Summary C19RM'!$BC$5:$BC$100="6.5 Maintenance and service costs")*('Cashflow Summary C19RM'!$U$5:$U$100)))</f>
        <v>0</v>
      </c>
      <c r="U55" s="948">
        <f t="shared" si="2"/>
        <v>0</v>
      </c>
      <c r="V55" s="424"/>
      <c r="W55" s="951"/>
      <c r="X55" s="951"/>
      <c r="Y55" s="424" cm="1">
        <f t="array" ref="Y55">(SUMPRODUCT(('Cashflow Summary C19RM'!$B$5:$B$100="C19RM 2021-Lab &amp; Other HPS")*('Cashflow Summary C19RM'!$A$5:$A$100=5)*1*('Cashflow Summary C19RM'!$BC$5:$BC$100="6.5 Maintenance and service costs")*('Cashflow Summary C19RM'!$V$5:$V$100)))</f>
        <v>0</v>
      </c>
      <c r="Z55" s="424" cm="1">
        <f t="array" ref="Z55">(SUMPRODUCT(('Cashflow Summary C19RM'!$B$5:$B$100="C19RM 2021-Lab &amp; Other HPS")*('Cashflow Summary C19RM'!$A$5:$A$100=5)*1*('Cashflow Summary C19RM'!$BC$5:$BC$100="6.5 Maintenance and service costs")*('Cashflow Summary C19RM'!$W$5:$W$100)))</f>
        <v>0</v>
      </c>
      <c r="AA55" s="424" cm="1">
        <f t="array" ref="AA55">(SUMPRODUCT(('Cashflow Summary C19RM'!$B$5:$B$100="C19RM 2021-Lab &amp; Other HPS")*('Cashflow Summary C19RM'!$A$5:$A$100=5)*1*('Cashflow Summary C19RM'!$BC$5:$BC$100="6.5 Maintenance and service costs")*('Cashflow Summary C19RM'!$X$5:$X$100)))</f>
        <v>0</v>
      </c>
      <c r="AB55" s="424" cm="1">
        <f t="array" ref="AB55">(SUMPRODUCT(('Cashflow Summary C19RM'!$B$5:$B$100="C19RM 2021-Lab &amp; Other HPS")*('Cashflow Summary C19RM'!$A$5:$A$100=5)*1*('Cashflow Summary C19RM'!$BC$5:$BC$100="6.5 Maintenance and service costs")*('Cashflow Summary C19RM'!$Y$5:$Y$100)))</f>
        <v>0</v>
      </c>
      <c r="AC55" s="424">
        <f t="shared" si="3"/>
        <v>0</v>
      </c>
      <c r="AD55" s="424"/>
      <c r="AE55" s="951"/>
      <c r="AF55" s="951"/>
      <c r="AG55" s="424" cm="1">
        <f t="array" ref="AG55">(SUMPRODUCT(('Cashflow Summary C19RM'!$B$5:$B$100="C19RM 2021-Lab &amp; Other HPS")*('Cashflow Summary C19RM'!$A$5:$A$100=5)*1*('Cashflow Summary C19RM'!$BC$5:$BC$100="6.5 Maintenance and service costs")*('Cashflow Summary C19RM'!$Z$5:$Z$100)))</f>
        <v>0</v>
      </c>
      <c r="AH55" s="424" cm="1">
        <f t="array" ref="AH55">(SUMPRODUCT(('Cashflow Summary C19RM'!$B$5:$B$100="C19RM 2021-Lab &amp; Other HPS")*('Cashflow Summary C19RM'!$A$5:$A$100=5)*1*('Cashflow Summary C19RM'!$BC$5:$BC$100="6.5 Maintenance and service costs")*('Cashflow Summary C19RM'!$AA$5:$AA$100)))</f>
        <v>0</v>
      </c>
      <c r="AI55" s="424" cm="1">
        <f t="array" ref="AI55">(SUMPRODUCT(('Cashflow Summary C19RM'!$B$5:$B$100="C19RM 2021-Lab &amp; Other HPS")*('Cashflow Summary C19RM'!$A$5:$A$100=5)*1*('Cashflow Summary C19RM'!$BC$5:$BC$100="6.5 Maintenance and service costs")*('Cashflow Summary C19RM'!$AB$5:$AB$100)))</f>
        <v>0</v>
      </c>
      <c r="AJ55" s="424" cm="1">
        <f t="array" ref="AJ55">(SUMPRODUCT(('Cashflow Summary C19RM'!$B$5:$B$100="C19RM 2021-Lab &amp; Other HPS")*('Cashflow Summary C19RM'!$A$5:$A$100=5)*1*('Cashflow Summary C19RM'!$BC$5:$BC$100="6.5 Maintenance and service costs")*('Cashflow Summary C19RM'!$AC$5:$AC$100)))</f>
        <v>0</v>
      </c>
      <c r="AK55" s="424">
        <f t="shared" si="4"/>
        <v>0</v>
      </c>
      <c r="AL55" s="424"/>
      <c r="AM55" s="951"/>
      <c r="AN55" s="951"/>
      <c r="AO55" s="424" cm="1">
        <f t="array" ref="AO55">(SUMPRODUCT(('Cashflow Summary C19RM'!$B$5:$B$100="C19RM 2021-Lab &amp; Other HPS")*('Cashflow Summary C19RM'!$A$5:$A$100=5)*1*('Cashflow Summary C19RM'!$BC$5:$BC$100="6.5 Maintenance and service costs")*('Cashflow Summary C19RM'!$AD$5:$AD$100)))</f>
        <v>0</v>
      </c>
      <c r="AP55" s="424" cm="1">
        <f t="array" ref="AP55">(SUMPRODUCT(('Cashflow Summary C19RM'!$B$5:$B$100="C19RM 2021-Lab &amp; Other HPS")*('Cashflow Summary C19RM'!$A$5:$A$100=5)*1*('Cashflow Summary C19RM'!$BC$5:$BC$100="6.5 Maintenance and service costs")*('Cashflow Summary C19RM'!$AE$5:$AE$100)))</f>
        <v>0</v>
      </c>
      <c r="AQ55" s="424" cm="1">
        <f t="array" ref="AQ55">(SUMPRODUCT(('Cashflow Summary C19RM'!$B$5:$B$100="C19RM 2021-Lab &amp; Other HPS")*('Cashflow Summary C19RM'!$A$5:$A$100=5)*1*('Cashflow Summary C19RM'!$BC$5:$BC$100="6.5 Maintenance and service costs")*('Cashflow Summary C19RM'!$AF$5:$AF$100)))</f>
        <v>0</v>
      </c>
      <c r="AR55" s="424" cm="1">
        <f t="array" ref="AR55">(SUMPRODUCT(('Cashflow Summary C19RM'!$B$5:$B$100="C19RM 2021-Lab &amp; Other HPS")*('Cashflow Summary C19RM'!$A$5:$A$100=5)*1*('Cashflow Summary C19RM'!$BC$5:$BC$100="6.5 Maintenance and service costs")*('Cashflow Summary C19RM'!$AG$5:$AG$100)))</f>
        <v>0</v>
      </c>
      <c r="AS55" s="424">
        <f t="shared" si="5"/>
        <v>0</v>
      </c>
      <c r="AT55" s="424"/>
      <c r="AU55" s="951"/>
      <c r="AV55" s="951"/>
      <c r="AW55" s="424" cm="1">
        <f t="array" ref="AW55">(SUMPRODUCT(('Cashflow Summary C19RM'!$B$5:$B$100="C19RM 2021-Lab &amp; Other HPS")*('Cashflow Summary C19RM'!$A$5:$A$100=5)*1*('Cashflow Summary C19RM'!$BC$5:$BC$100="6.5 Maintenance and service costs")*('Cashflow Summary C19RM'!$AH$5:$AH$100)))</f>
        <v>0</v>
      </c>
      <c r="AX55" s="424" cm="1">
        <f t="array" ref="AX55">(SUMPRODUCT(('Cashflow Summary C19RM'!$B$5:$B$100="C19RM 2021-Lab &amp; Other HPS")*('Cashflow Summary C19RM'!$A$5:$A$100=5)*1*('Cashflow Summary C19RM'!$BC$5:$BC$100="6.5 Maintenance and service costs")*('Cashflow Summary C19RM'!$AI$5:$AI$100)))</f>
        <v>0</v>
      </c>
      <c r="AY55" s="424" cm="1">
        <f t="array" ref="AY55">(SUMPRODUCT(('Cashflow Summary C19RM'!$B$5:$B$100="C19RM 2021-Lab &amp; Other HPS")*('Cashflow Summary C19RM'!$A$5:$A$100=5)*1*('Cashflow Summary C19RM'!$BC$5:$BC$100="6.5 Maintenance and service costs")*('Cashflow Summary C19RM'!$AJ$5:$AJ$100)))</f>
        <v>0</v>
      </c>
      <c r="AZ55" s="424" cm="1">
        <f t="array" ref="AZ55">(SUMPRODUCT(('Cashflow Summary C19RM'!$B$5:$B$100="C19RM 2021-Lab &amp; Other HPS")*('Cashflow Summary C19RM'!$A$5:$A$100=5)*1*('Cashflow Summary C19RM'!$BC$5:$BC$100="6.5 Maintenance and service costs")*('Cashflow Summary C19RM'!$AK$5:$AK$100)))</f>
        <v>0</v>
      </c>
      <c r="BA55" s="424">
        <f t="shared" si="6"/>
        <v>0</v>
      </c>
      <c r="BB55" s="424"/>
      <c r="BC55" s="951"/>
      <c r="BD55" s="951"/>
      <c r="BE55" s="424" cm="1">
        <f t="array" ref="BE55">(SUMPRODUCT(('Cashflow Summary C19RM'!$B$5:$B$100="C19RM 2021-Lab &amp; Other HPS")*('Cashflow Summary C19RM'!$A$5:$A$100=5)*1*('Cashflow Summary C19RM'!$BC$5:$BC$100="6.5 Maintenance and service costs")*('Cashflow Summary C19RM'!$AL$5:$AL$100)))</f>
        <v>0</v>
      </c>
      <c r="BF55" s="424" cm="1">
        <f t="array" ref="BF55">(SUMPRODUCT(('Cashflow Summary C19RM'!$B$5:$B$100="C19RM 2021-Lab &amp; Other HPS")*('Cashflow Summary C19RM'!$A$5:$A$100=5)*1*('Cashflow Summary C19RM'!$BC$5:$BC$100="6.5 Maintenance and service costs")*('Cashflow Summary C19RM'!$AM$5:$AM$100)))</f>
        <v>0</v>
      </c>
      <c r="BG55" s="424" cm="1">
        <f t="array" ref="BG55">(SUMPRODUCT(('Cashflow Summary C19RM'!$B$5:$B$100="C19RM 2021-Lab &amp; Other HPS")*('Cashflow Summary C19RM'!$A$5:$A$100=5)*1*('Cashflow Summary C19RM'!$BC$5:$BC$100="6.5 Maintenance and service costs")*('Cashflow Summary C19RM'!$AN$5:$AN$100)))</f>
        <v>0</v>
      </c>
      <c r="BH55" s="424" cm="1">
        <f t="array" ref="BH55">(SUMPRODUCT(('Cashflow Summary C19RM'!$B$5:$B$100="C19RM 2021-Lab &amp; Other HPS")*('Cashflow Summary C19RM'!$A$5:$A$100=5)*1*('Cashflow Summary C19RM'!$BC$5:$BC$100="6.5 Maintenance and service costs")*('Cashflow Summary C19RM'!$AO$5:$AO$100)))</f>
        <v>0</v>
      </c>
      <c r="BI55" s="424">
        <f t="shared" si="7"/>
        <v>0</v>
      </c>
      <c r="BJ55" s="424"/>
      <c r="BK55" s="424">
        <f t="shared" si="8"/>
        <v>0</v>
      </c>
      <c r="BL55" s="424"/>
      <c r="BM55" s="142"/>
      <c r="BN55" s="425"/>
      <c r="BP55" s="274" t="str">
        <f t="shared" si="11"/>
        <v>No</v>
      </c>
      <c r="BQ55" t="s">
        <v>30</v>
      </c>
      <c r="BS55" s="953" t="s">
        <v>83</v>
      </c>
      <c r="BT55" t="s">
        <v>3307</v>
      </c>
      <c r="BU55" s="411" t="s">
        <v>3641</v>
      </c>
      <c r="CD55" s="952"/>
      <c r="CE55" s="952"/>
      <c r="CF55" s="952"/>
      <c r="CG55" s="952"/>
      <c r="CH55" s="952"/>
      <c r="CI55" s="952"/>
      <c r="CJ55" s="952"/>
      <c r="CK55" s="952"/>
      <c r="CL55" s="952"/>
      <c r="CM55" s="952"/>
      <c r="CN55" s="952"/>
      <c r="CO55" s="952"/>
      <c r="CP55" s="952"/>
      <c r="CQ55" s="952"/>
      <c r="CR55" s="952"/>
      <c r="CS55" s="952"/>
      <c r="CT55" s="952"/>
      <c r="CU55" s="952"/>
      <c r="CV55" s="952"/>
      <c r="CW55" s="952"/>
      <c r="CX55" s="952"/>
      <c r="CY55" s="952"/>
      <c r="CZ55" s="952"/>
      <c r="DA55" s="952"/>
      <c r="DB55" s="952"/>
      <c r="DC55" s="952"/>
      <c r="DD55" s="952"/>
    </row>
    <row r="56" spans="1:108" ht="39" customHeight="1" x14ac:dyDescent="0.35">
      <c r="A56" s="256"/>
      <c r="B56" s="363" t="str">
        <f>PMsheet!$AH$94&amp;'Detailed BudgetC19RM'!BU56</f>
        <v>000P23HP1151</v>
      </c>
      <c r="C56" s="315" t="s">
        <v>2749</v>
      </c>
      <c r="D56" s="315" t="s">
        <v>3141</v>
      </c>
      <c r="E56" s="261" t="s">
        <v>3117</v>
      </c>
      <c r="F56" s="314" t="s">
        <v>619</v>
      </c>
      <c r="G56" s="315">
        <f ca="1">SETUP!$T$2</f>
        <v>0</v>
      </c>
      <c r="H56" s="315" t="str">
        <f>IF(SETUP!$E$3="","","National/Country Level")</f>
        <v/>
      </c>
      <c r="I56" s="315" t="s">
        <v>2665</v>
      </c>
      <c r="J56" s="315" t="s">
        <v>707</v>
      </c>
      <c r="K56" s="315">
        <f t="shared" si="10"/>
        <v>0</v>
      </c>
      <c r="L56" s="315"/>
      <c r="M56" s="315">
        <f>SETUP!$E$7</f>
        <v>0</v>
      </c>
      <c r="N56" s="315"/>
      <c r="O56" s="315"/>
      <c r="P56" s="315"/>
      <c r="Q56" s="917" cm="1">
        <f t="array" ref="Q56">('HPM costs-C19RM'!$G$28+'HPM costs-C19RM'!$G$29+'HPM costs-C19RM'!$G$30)+(SUMPRODUCT(('Fixed Cost-C19RM'!$D$5:$D$202=$D$56)*('Fixed Cost-C19RM'!$F$5:$F$202=$F$56)*('Fixed Cost-C19RM'!$K$5:$K$202)))</f>
        <v>0</v>
      </c>
      <c r="R56" s="917" cm="1">
        <f t="array" ref="R56">('HPM costs-C19RM'!$H$28+'HPM costs-C19RM'!$H$29+'HPM costs-C19RM'!$H$30)+(SUMPRODUCT(('Fixed Cost-C19RM'!$D$5:$D$202=$D$56)*('Fixed Cost-C19RM'!$F$5:$F$202=$F$56)*('Fixed Cost-C19RM'!$L$5:$L$202)))</f>
        <v>0</v>
      </c>
      <c r="S56" s="917" cm="1">
        <f t="array" ref="S56">('HPM costs-C19RM'!$I$28+'HPM costs-C19RM'!$I$29+'HPM costs-C19RM'!$I$30)+(SUMPRODUCT(('Fixed Cost-C19RM'!$D$5:$D$202=$D$56)*('Fixed Cost-C19RM'!$F$5:$F$202=$F$56)*('Fixed Cost-C19RM'!$M$5:$M$202)))</f>
        <v>0</v>
      </c>
      <c r="T56" s="917" cm="1">
        <f t="array" ref="T56">('HPM costs-C19RM'!$J$28+'HPM costs-C19RM'!$J$29+'HPM costs-C19RM'!$J$30)+(SUMPRODUCT(('Fixed Cost-C19RM'!$D$5:$D$202=$D$56)*('Fixed Cost-C19RM'!$F$5:$F$202=$F$56)*('Fixed Cost-C19RM'!$N$5:$N$202)))</f>
        <v>0</v>
      </c>
      <c r="U56" s="948">
        <f t="shared" si="2"/>
        <v>0</v>
      </c>
      <c r="V56" s="424"/>
      <c r="W56" s="951"/>
      <c r="X56" s="951"/>
      <c r="Y56" s="424" cm="1">
        <f t="array" ref="Y56">('HPM costs-C19RM'!$M$28+'HPM costs-C19RM'!$M$29+'HPM costs-C19RM'!$M$30)+(SUMPRODUCT(('Fixed Cost-C19RM'!$D$5:$D$202=$D$56)*('Fixed Cost-C19RM'!$F$5:$F$202=$F$56)*('Fixed Cost-C19RM'!$P$5:$P$202)))</f>
        <v>0</v>
      </c>
      <c r="Z56" s="424" cm="1">
        <f t="array" ref="Z56">('HPM costs-C19RM'!$N$28+'HPM costs-C19RM'!$N$29+'HPM costs-C19RM'!$N$30)+(SUMPRODUCT(('Fixed Cost-C19RM'!$D$5:$D$202=$D$56)*('Fixed Cost-C19RM'!$F$5:$F$202=$F$56)*('Fixed Cost-C19RM'!$Q$5:$Q$202)))</f>
        <v>0</v>
      </c>
      <c r="AA56" s="424" cm="1">
        <f t="array" ref="AA56">('HPM costs-C19RM'!$O$28+'HPM costs-C19RM'!$O$29+'HPM costs-C19RM'!$O$30)+(SUMPRODUCT(('Fixed Cost-C19RM'!$D$5:$D$202=$D$56)*('Fixed Cost-C19RM'!$F$5:$F$202=$F$56)*('Fixed Cost-C19RM'!$R$5:$R$202)))</f>
        <v>0</v>
      </c>
      <c r="AB56" s="424" cm="1">
        <f t="array" ref="AB56">('HPM costs-C19RM'!$P$28+'HPM costs-C19RM'!$P$29+'HPM costs-C19RM'!$P$30)+(SUMPRODUCT(('Fixed Cost-C19RM'!$D$5:$D$202=$D$56)*('Fixed Cost-C19RM'!$F$5:$F$202=$F$56)*('Fixed Cost-C19RM'!$S$5:$S$202)))</f>
        <v>0</v>
      </c>
      <c r="AC56" s="424">
        <f t="shared" si="3"/>
        <v>0</v>
      </c>
      <c r="AD56" s="424"/>
      <c r="AE56" s="951"/>
      <c r="AF56" s="951"/>
      <c r="AG56" s="424" cm="1">
        <f t="array" ref="AG56">('HPM costs-C19RM'!$S$28+'HPM costs-C19RM'!$S$29+'HPM costs-C19RM'!$S$30)+(SUMPRODUCT(('Fixed Cost-C19RM'!$D$5:$D$202=$D$56)*('Fixed Cost-C19RM'!$F$5:$F$202=$F$56)*('Fixed Cost-C19RM'!$U$5:$U$202)))</f>
        <v>0</v>
      </c>
      <c r="AH56" s="424" cm="1">
        <f t="array" ref="AH56">('HPM costs-C19RM'!$T$28+'HPM costs-C19RM'!$T$29+'HPM costs-C19RM'!$T$30)+(SUMPRODUCT(('Fixed Cost-C19RM'!$D$5:$D$202=$D$56)*('Fixed Cost-C19RM'!$F$5:$F$202=$F$56)*('Fixed Cost-C19RM'!$V$5:$V$202)))</f>
        <v>0</v>
      </c>
      <c r="AI56" s="424" cm="1">
        <f t="array" ref="AI56">('HPM costs-C19RM'!$U$28+'HPM costs-C19RM'!$U$29+'HPM costs-C19RM'!$U$30)+(SUMPRODUCT(('Fixed Cost-C19RM'!$D$5:$D$202=$D$56)*('Fixed Cost-C19RM'!$F$5:$F$202=$F$56)*('Fixed Cost-C19RM'!$W$5:$W$202)))</f>
        <v>0</v>
      </c>
      <c r="AJ56" s="424" cm="1">
        <f t="array" ref="AJ56">('HPM costs-C19RM'!$V$28+'HPM costs-C19RM'!$V$29+'HPM costs-C19RM'!$V$30)+(SUMPRODUCT(('Fixed Cost-C19RM'!$D$5:$D$202=$D$56)*('Fixed Cost-C19RM'!$F$5:$F$202=$F$56)*('Fixed Cost-C19RM'!$X$5:$X$202)))</f>
        <v>0</v>
      </c>
      <c r="AK56" s="424">
        <f t="shared" si="4"/>
        <v>0</v>
      </c>
      <c r="AL56" s="424"/>
      <c r="AM56" s="951"/>
      <c r="AN56" s="951"/>
      <c r="AO56" s="424" cm="1">
        <f t="array" ref="AO56">('HPM costs-C19RM'!$Y$28+'HPM costs-C19RM'!$Y$29+'HPM costs-C19RM'!$Y$30)+(SUMPRODUCT(('Fixed Cost-C19RM'!$D$5:$D$202=$D$56)*('Fixed Cost-C19RM'!$F$5:$F$202=$F$56)*('Fixed Cost-C19RM'!$Z$5:$Z$202)))</f>
        <v>0</v>
      </c>
      <c r="AP56" s="424" cm="1">
        <f t="array" ref="AP56">('HPM costs-C19RM'!$Z$28+'HPM costs-C19RM'!$Z$29+'HPM costs-C19RM'!$Z$30)+(SUMPRODUCT(('Fixed Cost-C19RM'!$D$5:$D$202=$D$56)*('Fixed Cost-C19RM'!$F$5:$F$202=$F$56)*('Fixed Cost-C19RM'!$AA$5:$AA$202)))</f>
        <v>0</v>
      </c>
      <c r="AQ56" s="424" cm="1">
        <f t="array" ref="AQ56">('HPM costs-C19RM'!$AA$28+'HPM costs-C19RM'!$AA$29+'HPM costs-C19RM'!$AA$30)+(SUMPRODUCT(('Fixed Cost-C19RM'!$D$5:$D$202=$D$56)*('Fixed Cost-C19RM'!$F$5:$F$202=$F$56)*('Fixed Cost-C19RM'!$K$5:$K$202)))</f>
        <v>0</v>
      </c>
      <c r="AR56" s="424" cm="1">
        <f t="array" ref="AR56">('HPM costs-C19RM'!$AB$28+'HPM costs-C19RM'!$AB$29+'HPM costs-C19RM'!$AB$30)+(SUMPRODUCT(('Fixed Cost-C19RM'!$D$5:$D$202=$D$56)*('Fixed Cost-C19RM'!$F$5:$F$202=$F$56)*('Fixed Cost-C19RM'!$AC$5:$AC$202)))</f>
        <v>0</v>
      </c>
      <c r="AS56" s="424">
        <f t="shared" si="5"/>
        <v>0</v>
      </c>
      <c r="AT56" s="424"/>
      <c r="AU56" s="951"/>
      <c r="AV56" s="951"/>
      <c r="AW56" s="424" cm="1">
        <f t="array" ref="AW56">('HPM costs-C19RM'!$AE$28+'HPM costs-C19RM'!$AE$29+'HPM costs-C19RM'!$AE$30)+(SUMPRODUCT(('Fixed Cost-C19RM'!$D$5:$D$202=$D$56)*('Fixed Cost-C19RM'!$F$5:$F$202=$F$56)*('Fixed Cost-C19RM'!$AE$5:$AE$202)))</f>
        <v>0</v>
      </c>
      <c r="AX56" s="424" cm="1">
        <f t="array" ref="AX56">('HPM costs-C19RM'!$AF$28+'HPM costs-C19RM'!$AF$29+'HPM costs-C19RM'!$AF$30)+(SUMPRODUCT(('Fixed Cost-C19RM'!$D$5:$D$202=$D$56)*('Fixed Cost-C19RM'!$F$5:$F$202=$F$56)*('Fixed Cost-C19RM'!$AF$5:$AF$202)))</f>
        <v>0</v>
      </c>
      <c r="AY56" s="424" cm="1">
        <f t="array" ref="AY56">('HPM costs-C19RM'!$AG$28+'HPM costs-C19RM'!$AG$29+'HPM costs-C19RM'!$AG$30)+(SUMPRODUCT(('Fixed Cost-C19RM'!$D$5:$D$202=$D$56)*('Fixed Cost-C19RM'!$F$5:$F$202=$F$56)*('Fixed Cost-C19RM'!$AG$5:$AG$202)))</f>
        <v>0</v>
      </c>
      <c r="AZ56" s="424" cm="1">
        <f t="array" ref="AZ56">('HPM costs-C19RM'!$AH$28+'HPM costs-C19RM'!$AH$29+'HPM costs-C19RM'!$AH$30)+(SUMPRODUCT(('Fixed Cost-C19RM'!$D$5:$D$202=$D$56)*('Fixed Cost-C19RM'!$F$5:$F$202=$F$56)*('Fixed Cost-C19RM'!$AH$5:$AH$202)))</f>
        <v>0</v>
      </c>
      <c r="BA56" s="424">
        <f t="shared" si="6"/>
        <v>0</v>
      </c>
      <c r="BB56" s="424"/>
      <c r="BC56" s="951"/>
      <c r="BD56" s="951"/>
      <c r="BE56" s="424">
        <v>0</v>
      </c>
      <c r="BF56" s="424">
        <v>0</v>
      </c>
      <c r="BG56" s="424">
        <v>0</v>
      </c>
      <c r="BH56" s="424">
        <v>0</v>
      </c>
      <c r="BI56" s="424">
        <f t="shared" si="7"/>
        <v>0</v>
      </c>
      <c r="BJ56" s="424"/>
      <c r="BK56" s="424">
        <f t="shared" si="8"/>
        <v>0</v>
      </c>
      <c r="BL56" s="424"/>
      <c r="BM56" s="142"/>
      <c r="BN56" s="425"/>
      <c r="BP56" s="274" t="str">
        <f t="shared" si="11"/>
        <v>No</v>
      </c>
      <c r="BR56" t="str">
        <f>IF(((IFERROR(INDEX('Fixed Cost-C19RM'!$AO$5:$AO$202,MATCH(BS56&amp;C56&amp;D56&amp;F56,'Fixed Cost-C19RM'!$A$5:$A$202,0)),0)))&gt;0,"Yes","NO")</f>
        <v>NO</v>
      </c>
      <c r="BS56" s="286" t="s">
        <v>83</v>
      </c>
      <c r="BT56" t="s">
        <v>3292</v>
      </c>
      <c r="BU56" s="411" t="s">
        <v>3642</v>
      </c>
    </row>
    <row r="57" spans="1:108" ht="39" customHeight="1" x14ac:dyDescent="0.35">
      <c r="A57" s="256"/>
      <c r="B57" s="363" t="str">
        <f>PMsheet!$AH$94&amp;'Detailed BudgetC19RM'!BU57</f>
        <v>000P23HP1152</v>
      </c>
      <c r="C57" s="315" t="s">
        <v>2749</v>
      </c>
      <c r="D57" s="315" t="s">
        <v>3141</v>
      </c>
      <c r="E57" s="261" t="s">
        <v>3117</v>
      </c>
      <c r="F57" s="314" t="s">
        <v>3118</v>
      </c>
      <c r="G57" s="315">
        <f ca="1">SETUP!$T$2</f>
        <v>0</v>
      </c>
      <c r="H57" s="315" t="str">
        <f>IF(SETUP!$E$3="","","National/Country Level")</f>
        <v/>
      </c>
      <c r="I57" s="315" t="s">
        <v>2665</v>
      </c>
      <c r="J57" s="315" t="s">
        <v>707</v>
      </c>
      <c r="K57" s="315">
        <f t="shared" si="10"/>
        <v>0</v>
      </c>
      <c r="L57" s="315"/>
      <c r="M57" s="315">
        <f>SETUP!$E$7</f>
        <v>0</v>
      </c>
      <c r="N57" s="315"/>
      <c r="O57" s="315"/>
      <c r="P57" s="315"/>
      <c r="Q57" s="917" cm="1">
        <f t="array" ref="Q57">('HPM costs-C19RM'!$G$48+'HPM costs-C19RM'!$G$49+'HPM costs-C19RM'!$G$50)+(SUMPRODUCT(('Fixed Cost-C19RM'!$D$5:$D$202=$D$57)*('Fixed Cost-C19RM'!$F$5:$F$202=$F$57)*('Fixed Cost-C19RM'!$K$5:$K$202)))</f>
        <v>0</v>
      </c>
      <c r="R57" s="917" cm="1">
        <f t="array" ref="R57">('HPM costs-C19RM'!$H$48+'HPM costs-C19RM'!$H$49+'HPM costs-C19RM'!$H$50)+(SUMPRODUCT(('Fixed Cost-C19RM'!$D$5:$D$202=$D$57)*('Fixed Cost-C19RM'!$F$5:$F$202=$F$57)*('Fixed Cost-C19RM'!$L$5:$L$202)))</f>
        <v>0</v>
      </c>
      <c r="S57" s="917" cm="1">
        <f t="array" ref="S57">('HPM costs-C19RM'!$I$48+'HPM costs-C19RM'!$I$49+'HPM costs-C19RM'!$I$50)+(SUMPRODUCT(('Fixed Cost-C19RM'!$D$5:$D$202=$D$57)*('Fixed Cost-C19RM'!$F$5:$F$202=$F$57)*('Fixed Cost-C19RM'!$M$5:$M$202)))</f>
        <v>0</v>
      </c>
      <c r="T57" s="917" cm="1">
        <f t="array" ref="T57">('HPM costs-C19RM'!$J$48+'HPM costs-C19RM'!$J$49+'HPM costs-C19RM'!$J$50)+(SUMPRODUCT(('Fixed Cost-C19RM'!$D$5:$D$202=$D$57)*('Fixed Cost-C19RM'!$F$5:$F$202=$F$57)*('Fixed Cost-C19RM'!$N$5:$N$202)))</f>
        <v>0</v>
      </c>
      <c r="U57" s="948">
        <f t="shared" si="2"/>
        <v>0</v>
      </c>
      <c r="V57" s="424"/>
      <c r="W57" s="951"/>
      <c r="X57" s="951"/>
      <c r="Y57" s="424" cm="1">
        <f t="array" ref="Y57">('HPM costs-C19RM'!$M$48+'HPM costs-C19RM'!$M$49+'HPM costs-C19RM'!$M$50)+(SUMPRODUCT(('Fixed Cost-C19RM'!$D$5:$D$202=$D$57)*('Fixed Cost-C19RM'!$F$5:$F$202=$F$57)*('Fixed Cost-C19RM'!$P$5:$P$202)))</f>
        <v>0</v>
      </c>
      <c r="Z57" s="424" cm="1">
        <f t="array" ref="Z57">('HPM costs-C19RM'!$N$48+'HPM costs-C19RM'!$N$49+'HPM costs-C19RM'!$N$50)+(SUMPRODUCT(('Fixed Cost-C19RM'!$D$5:$D$202=$D$57)*('Fixed Cost-C19RM'!$F$5:$F$202=$F$57)*('Fixed Cost-C19RM'!$Q$5:$Q$202)))</f>
        <v>0</v>
      </c>
      <c r="AA57" s="424" cm="1">
        <f t="array" ref="AA57">('HPM costs-C19RM'!$O$48+'HPM costs-C19RM'!$O$49+'HPM costs-C19RM'!$O$50)+(SUMPRODUCT(('Fixed Cost-C19RM'!$D$5:$D$202=$D$57)*('Fixed Cost-C19RM'!$F$5:$F$202=$F$57)*('Fixed Cost-C19RM'!$R$5:$R$202)))</f>
        <v>0</v>
      </c>
      <c r="AB57" s="424" cm="1">
        <f t="array" ref="AB57">('HPM costs-C19RM'!$P$48+'HPM costs-C19RM'!$P$49+'HPM costs-C19RM'!$P$50)+(SUMPRODUCT(('Fixed Cost-C19RM'!$D$5:$D$202=$D$57)*('Fixed Cost-C19RM'!$F$5:$F$202=$F$57)*('Fixed Cost-C19RM'!$S$5:$S$202)))</f>
        <v>0</v>
      </c>
      <c r="AC57" s="424">
        <f t="shared" si="3"/>
        <v>0</v>
      </c>
      <c r="AD57" s="424"/>
      <c r="AE57" s="951"/>
      <c r="AF57" s="951"/>
      <c r="AG57" s="424" cm="1">
        <f t="array" ref="AG57">('HPM costs-C19RM'!$S$48+'HPM costs-C19RM'!$S$49+'HPM costs-C19RM'!$S$50)+(SUMPRODUCT(('Fixed Cost-C19RM'!$D$5:$D$202=$D$57)*('Fixed Cost-C19RM'!$F$5:$F$202=$F$57)*('Fixed Cost-C19RM'!$U$5:$U$202)))</f>
        <v>0</v>
      </c>
      <c r="AH57" s="424" cm="1">
        <f t="array" ref="AH57">('HPM costs-C19RM'!$T$48+'HPM costs-C19RM'!$T$49+'HPM costs-C19RM'!$T$50)+(SUMPRODUCT(('Fixed Cost-C19RM'!$D$5:$D$202=$D$57)*('Fixed Cost-C19RM'!$F$5:$F$202=$F$57)*('Fixed Cost-C19RM'!$V$5:$V$202)))</f>
        <v>0</v>
      </c>
      <c r="AI57" s="424" cm="1">
        <f t="array" ref="AI57">('HPM costs-C19RM'!$U$48+'HPM costs-C19RM'!$U$49+'HPM costs-C19RM'!$U$50)+(SUMPRODUCT(('Fixed Cost-C19RM'!$D$5:$D$202=$D$57)*('Fixed Cost-C19RM'!$F$5:$F$202=$F$57)*('Fixed Cost-C19RM'!$W$5:$W$202)))</f>
        <v>0</v>
      </c>
      <c r="AJ57" s="424" cm="1">
        <f t="array" ref="AJ57">('HPM costs-C19RM'!$V$48+'HPM costs-C19RM'!$V$49+'HPM costs-C19RM'!$V$50)+(SUMPRODUCT(('Fixed Cost-C19RM'!$D$5:$D$202=$D$57)*('Fixed Cost-C19RM'!$F$5:$F$202=$F$57)*('Fixed Cost-C19RM'!$X$5:$X$202)))</f>
        <v>0</v>
      </c>
      <c r="AK57" s="424">
        <f t="shared" si="4"/>
        <v>0</v>
      </c>
      <c r="AL57" s="424"/>
      <c r="AM57" s="951"/>
      <c r="AN57" s="951"/>
      <c r="AO57" s="424" cm="1">
        <f t="array" ref="AO57">('HPM costs-C19RM'!$Y$48+'HPM costs-C19RM'!$Y$49+'HPM costs-C19RM'!$Y$50)+(SUMPRODUCT(('Fixed Cost-C19RM'!$D$5:$D$202=$D$57)*('Fixed Cost-C19RM'!$F$5:$F$202=$F$57)*('Fixed Cost-C19RM'!$Z$5:$Z$202)))</f>
        <v>0</v>
      </c>
      <c r="AP57" s="424" cm="1">
        <f t="array" ref="AP57">('HPM costs-C19RM'!$Z$48+'HPM costs-C19RM'!$Z$49+'HPM costs-C19RM'!$Z$50)+(SUMPRODUCT(('Fixed Cost-C19RM'!$D$5:$D$202=$D$57)*('Fixed Cost-C19RM'!$F$5:$F$202=$F$57)*('Fixed Cost-C19RM'!$AA$5:$AA$202)))</f>
        <v>0</v>
      </c>
      <c r="AQ57" s="424" cm="1">
        <f t="array" ref="AQ57">('HPM costs-C19RM'!$AA$48+'HPM costs-C19RM'!$AA$49+'HPM costs-C19RM'!$AA$50)+(SUMPRODUCT(('Fixed Cost-C19RM'!$D$5:$D$202=$D$57)*('Fixed Cost-C19RM'!$F$5:$F$202=$F$57)*('Fixed Cost-C19RM'!$K$5:$K$202)))</f>
        <v>0</v>
      </c>
      <c r="AR57" s="424" cm="1">
        <f t="array" ref="AR57">('HPM costs-C19RM'!$AB$48+'HPM costs-C19RM'!$AB$49+'HPM costs-C19RM'!$AB$50)+(SUMPRODUCT(('Fixed Cost-C19RM'!$D$5:$D$202=$D$57)*('Fixed Cost-C19RM'!$F$5:$F$202=$F$57)*('Fixed Cost-C19RM'!$AC$5:$AC$202)))</f>
        <v>0</v>
      </c>
      <c r="AS57" s="424">
        <f t="shared" si="5"/>
        <v>0</v>
      </c>
      <c r="AT57" s="424"/>
      <c r="AU57" s="951"/>
      <c r="AV57" s="951"/>
      <c r="AW57" s="424" cm="1">
        <f t="array" ref="AW57">('HPM costs-C19RM'!$AE$48+'HPM costs-C19RM'!$AE$49+'HPM costs-C19RM'!$AE$50)+(SUMPRODUCT(('Fixed Cost-C19RM'!$D$5:$D$202=$D$57)*('Fixed Cost-C19RM'!$F$5:$F$202=$F$57)*('Fixed Cost-C19RM'!$AE$5:$AE$202)))</f>
        <v>0</v>
      </c>
      <c r="AX57" s="424" cm="1">
        <f t="array" ref="AX57">('HPM costs-C19RM'!$AF$48+'HPM costs-C19RM'!$AF$49+'HPM costs-C19RM'!$AF$50)+(SUMPRODUCT(('Fixed Cost-C19RM'!$D$5:$D$202=$D$57)*('Fixed Cost-C19RM'!$F$5:$F$202=$F$57)*('Fixed Cost-C19RM'!$AF$5:$AF$202)))</f>
        <v>0</v>
      </c>
      <c r="AY57" s="424" cm="1">
        <f t="array" ref="AY57">('HPM costs-C19RM'!$AG$48+'HPM costs-C19RM'!$AG$49+'HPM costs-C19RM'!$AG$50)+(SUMPRODUCT(('Fixed Cost-C19RM'!$D$5:$D$202=$D$57)*('Fixed Cost-C19RM'!$F$5:$F$202=$F$57)*('Fixed Cost-C19RM'!$AG$5:$AG$202)))</f>
        <v>0</v>
      </c>
      <c r="AZ57" s="424" cm="1">
        <f t="array" ref="AZ57">('HPM costs-C19RM'!$AH$48+'HPM costs-C19RM'!$AH$49+'HPM costs-C19RM'!$AH$50)+(SUMPRODUCT(('Fixed Cost-C19RM'!$D$5:$D$202=$D$57)*('Fixed Cost-C19RM'!$F$5:$F$202=$F$57)*('Fixed Cost-C19RM'!$AH$5:$AH$202)))</f>
        <v>0</v>
      </c>
      <c r="BA57" s="424">
        <f t="shared" si="6"/>
        <v>0</v>
      </c>
      <c r="BB57" s="424"/>
      <c r="BC57" s="951"/>
      <c r="BD57" s="951"/>
      <c r="BE57" s="424">
        <v>0</v>
      </c>
      <c r="BF57" s="424">
        <v>0</v>
      </c>
      <c r="BG57" s="424">
        <v>0</v>
      </c>
      <c r="BH57" s="424">
        <v>0</v>
      </c>
      <c r="BI57" s="424">
        <f t="shared" si="7"/>
        <v>0</v>
      </c>
      <c r="BJ57" s="424"/>
      <c r="BK57" s="424">
        <f t="shared" si="8"/>
        <v>0</v>
      </c>
      <c r="BL57" s="424"/>
      <c r="BM57" s="142"/>
      <c r="BN57" s="425"/>
      <c r="BP57" s="274" t="str">
        <f t="shared" si="11"/>
        <v>No</v>
      </c>
      <c r="BR57" t="str">
        <f>IF(((IFERROR(INDEX('Fixed Cost-C19RM'!$AO$5:$AO$202,MATCH(BS57&amp;C57&amp;D57&amp;F57,'Fixed Cost-C19RM'!$A$5:$A$202,0)),0)))&gt;0,"Yes","NO")</f>
        <v>NO</v>
      </c>
      <c r="BS57" s="286" t="s">
        <v>83</v>
      </c>
      <c r="BT57" t="s">
        <v>3293</v>
      </c>
      <c r="BU57" s="411" t="s">
        <v>3643</v>
      </c>
    </row>
    <row r="58" spans="1:108" ht="39" customHeight="1" x14ac:dyDescent="0.35">
      <c r="A58" s="256"/>
      <c r="B58" s="363" t="str">
        <f>PMsheet!$AH$94&amp;'Detailed BudgetC19RM'!BU58</f>
        <v>000P23HP1153</v>
      </c>
      <c r="C58" s="315" t="s">
        <v>2749</v>
      </c>
      <c r="D58" s="315" t="s">
        <v>3141</v>
      </c>
      <c r="E58" s="261" t="s">
        <v>3117</v>
      </c>
      <c r="F58" s="314" t="s">
        <v>620</v>
      </c>
      <c r="G58" s="315">
        <f ca="1">SETUP!$T$2</f>
        <v>0</v>
      </c>
      <c r="H58" s="315" t="str">
        <f>IF(SETUP!$E$3="","","National/Country Level")</f>
        <v/>
      </c>
      <c r="I58" s="315" t="s">
        <v>2665</v>
      </c>
      <c r="J58" s="315" t="s">
        <v>707</v>
      </c>
      <c r="K58" s="315">
        <f t="shared" si="10"/>
        <v>0</v>
      </c>
      <c r="L58" s="315"/>
      <c r="M58" s="315">
        <f>SETUP!$E$7</f>
        <v>0</v>
      </c>
      <c r="N58" s="315"/>
      <c r="O58" s="315"/>
      <c r="P58" s="315"/>
      <c r="Q58" s="917" cm="1">
        <f t="array" ref="Q58">('HPM costs-C19RM'!$G$192+'HPM costs-C19RM'!$G$193+'HPM costs-C19RM'!$G$194)+(SUMPRODUCT(('Fixed Cost-C19RM'!$D$5:$D$202=$D$58)*('Fixed Cost-C19RM'!$F$5:$F$202=$F$58)*('Fixed Cost-C19RM'!$K$5:$K$202)))</f>
        <v>0</v>
      </c>
      <c r="R58" s="917" cm="1">
        <f t="array" ref="R58">('HPM costs-C19RM'!$H$192+'HPM costs-C19RM'!$H$193+'HPM costs-C19RM'!$H$194)+(SUMPRODUCT(('Fixed Cost-C19RM'!$D$5:$D$202=$D$58)*('Fixed Cost-C19RM'!$F$5:$F$202=$F$58)*('Fixed Cost-C19RM'!$L$5:$L$202)))</f>
        <v>0</v>
      </c>
      <c r="S58" s="917" cm="1">
        <f t="array" ref="S58">('HPM costs-C19RM'!$I$192+'HPM costs-C19RM'!$I$193+'HPM costs-C19RM'!$I$194)+(SUMPRODUCT(('Fixed Cost-C19RM'!$D$5:$D$202=$D$58)*('Fixed Cost-C19RM'!$F$5:$F$202=$F$58)*('Fixed Cost-C19RM'!$M$5:$M$202)))</f>
        <v>0</v>
      </c>
      <c r="T58" s="917" cm="1">
        <f t="array" ref="T58">('HPM costs-C19RM'!$J$192+'HPM costs-C19RM'!$J$193+'HPM costs-C19RM'!$J$194)+(SUMPRODUCT(('Fixed Cost-C19RM'!$D$5:$D$202=$D$58)*('Fixed Cost-C19RM'!$F$5:$F$202=$F$58)*('Fixed Cost-C19RM'!$N$5:$N$202)))</f>
        <v>0</v>
      </c>
      <c r="U58" s="948">
        <f t="shared" si="2"/>
        <v>0</v>
      </c>
      <c r="V58" s="424"/>
      <c r="W58" s="951"/>
      <c r="X58" s="951"/>
      <c r="Y58" s="424" cm="1">
        <f t="array" ref="Y58">('HPM costs-C19RM'!$M$192+'HPM costs-C19RM'!$M$193+'HPM costs-C19RM'!$M$194)+(SUMPRODUCT(('Fixed Cost-C19RM'!$D$5:$D$202=$D$58)*('Fixed Cost-C19RM'!$F$5:$F$202=$F$58)*('Fixed Cost-C19RM'!$P$5:$P$202)))</f>
        <v>0</v>
      </c>
      <c r="Z58" s="424" cm="1">
        <f t="array" ref="Z58">('HPM costs-C19RM'!$N$192+'HPM costs-C19RM'!$N$193+'HPM costs-C19RM'!$N$194)+(SUMPRODUCT(('Fixed Cost-C19RM'!$D$5:$D$202=$D$58)*('Fixed Cost-C19RM'!$F$5:$F$202=$F$58)*('Fixed Cost-C19RM'!$Q$5:$Q$202)))</f>
        <v>0</v>
      </c>
      <c r="AA58" s="424" cm="1">
        <f t="array" ref="AA58">('HPM costs-C19RM'!$O$192+'HPM costs-C19RM'!$O$193+'HPM costs-C19RM'!$O$194)+(SUMPRODUCT(('Fixed Cost-C19RM'!$D$5:$D$202=$D$58)*('Fixed Cost-C19RM'!$F$5:$F$202=$F$58)*('Fixed Cost-C19RM'!$R$5:$R$202)))</f>
        <v>0</v>
      </c>
      <c r="AB58" s="424" cm="1">
        <f t="array" ref="AB58">('HPM costs-C19RM'!$P$192+'HPM costs-C19RM'!$P$193+'HPM costs-C19RM'!$P$194)+(SUMPRODUCT(('Fixed Cost-C19RM'!$D$5:$D$202=$D$58)*('Fixed Cost-C19RM'!$F$5:$F$202=$F$58)*('Fixed Cost-C19RM'!$S$5:$S$202)))</f>
        <v>0</v>
      </c>
      <c r="AC58" s="424">
        <f t="shared" si="3"/>
        <v>0</v>
      </c>
      <c r="AD58" s="424"/>
      <c r="AE58" s="951"/>
      <c r="AF58" s="951"/>
      <c r="AG58" s="424" cm="1">
        <f t="array" ref="AG58">('HPM costs-C19RM'!$S$192+'HPM costs-C19RM'!$S$193+'HPM costs-C19RM'!$S$194)+(SUMPRODUCT(('Fixed Cost-C19RM'!$D$5:$D$202=$D$58)*('Fixed Cost-C19RM'!$F$5:$F$202=$F$58)*('Fixed Cost-C19RM'!$U$5:$U$202)))</f>
        <v>0</v>
      </c>
      <c r="AH58" s="424" cm="1">
        <f t="array" ref="AH58">('HPM costs-C19RM'!$T$192+'HPM costs-C19RM'!$T$193+'HPM costs-C19RM'!$T$194)+(SUMPRODUCT(('Fixed Cost-C19RM'!$D$5:$D$202=$D$58)*('Fixed Cost-C19RM'!$F$5:$F$202=$F$58)*('Fixed Cost-C19RM'!$V$5:$V$202)))</f>
        <v>0</v>
      </c>
      <c r="AI58" s="424" cm="1">
        <f t="array" ref="AI58">('HPM costs-C19RM'!$U$192+'HPM costs-C19RM'!$U$193+'HPM costs-C19RM'!$U$194)+(SUMPRODUCT(('Fixed Cost-C19RM'!$D$5:$D$202=$D$58)*('Fixed Cost-C19RM'!$F$5:$F$202=$F$58)*('Fixed Cost-C19RM'!$W$5:$W$202)))</f>
        <v>0</v>
      </c>
      <c r="AJ58" s="424" cm="1">
        <f t="array" ref="AJ58">('HPM costs-C19RM'!$V$192+'HPM costs-C19RM'!$V$193+'HPM costs-C19RM'!$V$194)+(SUMPRODUCT(('Fixed Cost-C19RM'!$D$5:$D$202=$D$58)*('Fixed Cost-C19RM'!$F$5:$F$202=$F$58)*('Fixed Cost-C19RM'!$X$5:$X$202)))</f>
        <v>0</v>
      </c>
      <c r="AK58" s="424">
        <f t="shared" si="4"/>
        <v>0</v>
      </c>
      <c r="AL58" s="424"/>
      <c r="AM58" s="951"/>
      <c r="AN58" s="951"/>
      <c r="AO58" s="424" cm="1">
        <f t="array" ref="AO58">('HPM costs-C19RM'!$Y$192+'HPM costs-C19RM'!$Y$193+'HPM costs-C19RM'!$Y$194)+(SUMPRODUCT(('Fixed Cost-C19RM'!$D$5:$D$202=$D$58)*('Fixed Cost-C19RM'!$F$5:$F$202=$F$58)*('Fixed Cost-C19RM'!$Z$5:$Z$202)))</f>
        <v>0</v>
      </c>
      <c r="AP58" s="424" cm="1">
        <f t="array" ref="AP58">('HPM costs-C19RM'!$Z$192+'HPM costs-C19RM'!$Z$193+'HPM costs-C19RM'!$Z$194)+(SUMPRODUCT(('Fixed Cost-C19RM'!$D$5:$D$202=$D$58)*('Fixed Cost-C19RM'!$F$5:$F$202=$F$58)*('Fixed Cost-C19RM'!$AA$5:$AA$202)))</f>
        <v>0</v>
      </c>
      <c r="AQ58" s="424" cm="1">
        <f t="array" ref="AQ58">('HPM costs-C19RM'!$AA$192+'HPM costs-C19RM'!$AA$193+'HPM costs-C19RM'!$AA$194)+(SUMPRODUCT(('Fixed Cost-C19RM'!$D$5:$D$202=$D$58)*('Fixed Cost-C19RM'!$F$5:$F$202=$F$58)*('Fixed Cost-C19RM'!$K$5:$K$202)))</f>
        <v>0</v>
      </c>
      <c r="AR58" s="424" cm="1">
        <f t="array" ref="AR58">('HPM costs-C19RM'!$AB$192+'HPM costs-C19RM'!$AB$193+'HPM costs-C19RM'!$AB$194)+(SUMPRODUCT(('Fixed Cost-C19RM'!$D$5:$D$202=$D$58)*('Fixed Cost-C19RM'!$F$5:$F$202=$F$58)*('Fixed Cost-C19RM'!$AC$5:$AC$202)))</f>
        <v>0</v>
      </c>
      <c r="AS58" s="424">
        <f t="shared" si="5"/>
        <v>0</v>
      </c>
      <c r="AT58" s="424"/>
      <c r="AU58" s="951"/>
      <c r="AV58" s="951"/>
      <c r="AW58" s="424" cm="1">
        <f t="array" ref="AW58">('HPM costs-C19RM'!$AE$192+'HPM costs-C19RM'!$AE$193+'HPM costs-C19RM'!$AE$194)+(SUMPRODUCT(('Fixed Cost-C19RM'!$D$5:$D$202=$D$58)*('Fixed Cost-C19RM'!$F$5:$F$202=$F$58)*('Fixed Cost-C19RM'!$AE$5:$AE$202)))</f>
        <v>0</v>
      </c>
      <c r="AX58" s="424" cm="1">
        <f t="array" ref="AX58">('HPM costs-C19RM'!$AF$192+'HPM costs-C19RM'!$AF$193+'HPM costs-C19RM'!$AF$194)+(SUMPRODUCT(('Fixed Cost-C19RM'!$D$5:$D$202=$D$58)*('Fixed Cost-C19RM'!$F$5:$F$202=$F$58)*('Fixed Cost-C19RM'!$AF$5:$AF$202)))</f>
        <v>0</v>
      </c>
      <c r="AY58" s="424" cm="1">
        <f t="array" ref="AY58">('HPM costs-C19RM'!$AG$192+'HPM costs-C19RM'!$AG$193+'HPM costs-C19RM'!$AG$194)+(SUMPRODUCT(('Fixed Cost-C19RM'!$D$5:$D$202=$D$58)*('Fixed Cost-C19RM'!$F$5:$F$202=$F$58)*('Fixed Cost-C19RM'!$AG$5:$AG$202)))</f>
        <v>0</v>
      </c>
      <c r="AZ58" s="424" cm="1">
        <f t="array" ref="AZ58">('HPM costs-C19RM'!$AH$192+'HPM costs-C19RM'!$AH$193+'HPM costs-C19RM'!$AH$194)+(SUMPRODUCT(('Fixed Cost-C19RM'!$D$5:$D$202=$D$58)*('Fixed Cost-C19RM'!$F$5:$F$202=$F$58)*('Fixed Cost-C19RM'!$AH$5:$AH$202)))</f>
        <v>0</v>
      </c>
      <c r="BA58" s="424">
        <f t="shared" si="6"/>
        <v>0</v>
      </c>
      <c r="BB58" s="424"/>
      <c r="BC58" s="951"/>
      <c r="BD58" s="951"/>
      <c r="BE58" s="424">
        <v>0</v>
      </c>
      <c r="BF58" s="424">
        <v>0</v>
      </c>
      <c r="BG58" s="424">
        <v>0</v>
      </c>
      <c r="BH58" s="424">
        <v>0</v>
      </c>
      <c r="BI58" s="424">
        <f t="shared" si="7"/>
        <v>0</v>
      </c>
      <c r="BJ58" s="424"/>
      <c r="BK58" s="424">
        <f t="shared" si="8"/>
        <v>0</v>
      </c>
      <c r="BL58" s="424"/>
      <c r="BM58" s="142"/>
      <c r="BN58" s="425"/>
      <c r="BP58" s="274" t="str">
        <f t="shared" si="11"/>
        <v>No</v>
      </c>
      <c r="BR58" t="str">
        <f>IF(((IFERROR(INDEX('Fixed Cost-C19RM'!$AO$5:$AO$202,MATCH(BS58&amp;C58&amp;D58&amp;F58,'Fixed Cost-C19RM'!$A$5:$A$202,0)),0)))&gt;0,"Yes","NO")</f>
        <v>NO</v>
      </c>
      <c r="BS58" s="286" t="s">
        <v>83</v>
      </c>
      <c r="BT58" t="s">
        <v>3294</v>
      </c>
      <c r="BU58" s="411" t="s">
        <v>3644</v>
      </c>
    </row>
    <row r="59" spans="1:108" ht="39" customHeight="1" x14ac:dyDescent="0.35">
      <c r="A59" s="256"/>
      <c r="B59" s="363" t="str">
        <f>PMsheet!$AH$94&amp;'Detailed BudgetC19RM'!BU59</f>
        <v>000P23HP1154</v>
      </c>
      <c r="C59" s="315" t="s">
        <v>2749</v>
      </c>
      <c r="D59" s="315" t="s">
        <v>3141</v>
      </c>
      <c r="E59" s="261" t="s">
        <v>3117</v>
      </c>
      <c r="F59" s="314" t="s">
        <v>621</v>
      </c>
      <c r="G59" s="315">
        <f ca="1">SETUP!$T$2</f>
        <v>0</v>
      </c>
      <c r="H59" s="315" t="str">
        <f>IF(SETUP!$E$3="","","National/Country Level")</f>
        <v/>
      </c>
      <c r="I59" s="315" t="s">
        <v>2665</v>
      </c>
      <c r="J59" s="315" t="s">
        <v>707</v>
      </c>
      <c r="K59" s="315">
        <f t="shared" si="10"/>
        <v>0</v>
      </c>
      <c r="L59" s="315"/>
      <c r="M59" s="315">
        <f>SETUP!$E$7</f>
        <v>0</v>
      </c>
      <c r="N59" s="315"/>
      <c r="O59" s="315"/>
      <c r="P59" s="315"/>
      <c r="Q59" s="917" cm="1">
        <f t="array" ref="Q59">('HPM costs-C19RM'!$G$239+'HPM costs-C19RM'!$G$240+'HPM costs-C19RM'!$G$241)+(SUMPRODUCT(('Fixed Cost-C19RM'!$D$5:$D$202=$D$59)*('Fixed Cost-C19RM'!$F$5:$F$202=$F$59)*('Fixed Cost-C19RM'!$K$5:$K$202)))</f>
        <v>0</v>
      </c>
      <c r="R59" s="917" cm="1">
        <f t="array" ref="R59">('HPM costs-C19RM'!$H$239+'HPM costs-C19RM'!$H$240+'HPM costs-C19RM'!$H$241)+(SUMPRODUCT(('Fixed Cost-C19RM'!$D$5:$D$202=$D$59)*('Fixed Cost-C19RM'!$F$5:$F$202=$F$59)*('Fixed Cost-C19RM'!$L$5:$L$202)))</f>
        <v>0</v>
      </c>
      <c r="S59" s="917" cm="1">
        <f t="array" ref="S59">('HPM costs-C19RM'!$I$239+'HPM costs-C19RM'!$I$240+'HPM costs-C19RM'!$I$241)+(SUMPRODUCT(('Fixed Cost-C19RM'!$D$5:$D$202=$D$59)*('Fixed Cost-C19RM'!$F$5:$F$202=$F$59)*('Fixed Cost-C19RM'!$M$5:$M$202)))</f>
        <v>0</v>
      </c>
      <c r="T59" s="917" cm="1">
        <f t="array" ref="T59">('HPM costs-C19RM'!$J$239+'HPM costs-C19RM'!$J$240+'HPM costs-C19RM'!$J$241)+(SUMPRODUCT(('Fixed Cost-C19RM'!$D$5:$D$202=$D$59)*('Fixed Cost-C19RM'!$F$5:$F$202=$F$59)*('Fixed Cost-C19RM'!$N$5:$N$202)))</f>
        <v>0</v>
      </c>
      <c r="U59" s="948">
        <f t="shared" si="2"/>
        <v>0</v>
      </c>
      <c r="V59" s="424"/>
      <c r="W59" s="951"/>
      <c r="X59" s="951"/>
      <c r="Y59" s="424" cm="1">
        <f t="array" ref="Y59">('HPM costs-C19RM'!$M$239+'HPM costs-C19RM'!$M$240+'HPM costs-C19RM'!$M$241)+(SUMPRODUCT(('Fixed Cost-C19RM'!$D$5:$D$202=$D$59)*('Fixed Cost-C19RM'!$F$5:$F$202=$F$59)*('Fixed Cost-C19RM'!$P$5:$P$202)))</f>
        <v>0</v>
      </c>
      <c r="Z59" s="424" cm="1">
        <f t="array" ref="Z59">('HPM costs-C19RM'!$N$239+'HPM costs-C19RM'!$N$240+'HPM costs-C19RM'!$N$241)+(SUMPRODUCT(('Fixed Cost-C19RM'!$D$5:$D$202=$D$59)*('Fixed Cost-C19RM'!$F$5:$F$202=$F$59)*('Fixed Cost-C19RM'!$Q$5:$Q$202)))</f>
        <v>0</v>
      </c>
      <c r="AA59" s="424" cm="1">
        <f t="array" ref="AA59">('HPM costs-C19RM'!$O$239+'HPM costs-C19RM'!$O$240+'HPM costs-C19RM'!$O$241)+(SUMPRODUCT(('Fixed Cost-C19RM'!$D$5:$D$202=$D$59)*('Fixed Cost-C19RM'!$F$5:$F$202=$F$59)*('Fixed Cost-C19RM'!$R$5:$R$202)))</f>
        <v>0</v>
      </c>
      <c r="AB59" s="424" cm="1">
        <f t="array" ref="AB59">('HPM costs-C19RM'!$P$239+'HPM costs-C19RM'!$P$240+'HPM costs-C19RM'!$P$241)+(SUMPRODUCT(('Fixed Cost-C19RM'!$D$5:$D$202=$D$59)*('Fixed Cost-C19RM'!$F$5:$F$202=$F$59)*('Fixed Cost-C19RM'!$S$5:$S$202)))</f>
        <v>0</v>
      </c>
      <c r="AC59" s="424">
        <f t="shared" si="3"/>
        <v>0</v>
      </c>
      <c r="AD59" s="424"/>
      <c r="AE59" s="951"/>
      <c r="AF59" s="951"/>
      <c r="AG59" s="424" cm="1">
        <f t="array" ref="AG59">('HPM costs-C19RM'!$S$239+'HPM costs-C19RM'!$S$240+'HPM costs-C19RM'!$S$241)+(SUMPRODUCT(('Fixed Cost-C19RM'!$D$5:$D$202=$D$59)*('Fixed Cost-C19RM'!$F$5:$F$202=$F$59)*('Fixed Cost-C19RM'!$U$5:$U$202)))</f>
        <v>0</v>
      </c>
      <c r="AH59" s="424" cm="1">
        <f t="array" ref="AH59">('HPM costs-C19RM'!$T$239+'HPM costs-C19RM'!$T$240+'HPM costs-C19RM'!$T$241)+(SUMPRODUCT(('Fixed Cost-C19RM'!$D$5:$D$202=$D$59)*('Fixed Cost-C19RM'!$F$5:$F$202=$F$59)*('Fixed Cost-C19RM'!$V$5:$V$202)))</f>
        <v>0</v>
      </c>
      <c r="AI59" s="424" cm="1">
        <f t="array" ref="AI59">('HPM costs-C19RM'!$U$239+'HPM costs-C19RM'!$U$240+'HPM costs-C19RM'!$U$241)+(SUMPRODUCT(('Fixed Cost-C19RM'!$D$5:$D$202=$D$59)*('Fixed Cost-C19RM'!$F$5:$F$202=$F$59)*('Fixed Cost-C19RM'!$W$5:$W$202)))</f>
        <v>0</v>
      </c>
      <c r="AJ59" s="424" cm="1">
        <f t="array" ref="AJ59">('HPM costs-C19RM'!$V$239+'HPM costs-C19RM'!$V$240+'HPM costs-C19RM'!$V$241)+(SUMPRODUCT(('Fixed Cost-C19RM'!$D$5:$D$202=$D$59)*('Fixed Cost-C19RM'!$F$5:$F$202=$F$59)*('Fixed Cost-C19RM'!$X$5:$X$202)))</f>
        <v>0</v>
      </c>
      <c r="AK59" s="424">
        <f t="shared" si="4"/>
        <v>0</v>
      </c>
      <c r="AL59" s="424"/>
      <c r="AM59" s="951"/>
      <c r="AN59" s="951"/>
      <c r="AO59" s="424" cm="1">
        <f t="array" ref="AO59">('HPM costs-C19RM'!$Y$239+'HPM costs-C19RM'!$Y$240+'HPM costs-C19RM'!$Y$241)+(SUMPRODUCT(('Fixed Cost-C19RM'!$D$5:$D$202=$D$59)*('Fixed Cost-C19RM'!$F$5:$F$202=$F$59)*('Fixed Cost-C19RM'!$Z$5:$Z$202)))</f>
        <v>0</v>
      </c>
      <c r="AP59" s="424" cm="1">
        <f t="array" ref="AP59">('HPM costs-C19RM'!$Z$239+'HPM costs-C19RM'!$Z$240+'HPM costs-C19RM'!$Z$241)+(SUMPRODUCT(('Fixed Cost-C19RM'!$D$5:$D$202=$D$59)*('Fixed Cost-C19RM'!$F$5:$F$202=$F$59)*('Fixed Cost-C19RM'!$AA$5:$AA$202)))</f>
        <v>0</v>
      </c>
      <c r="AQ59" s="424" cm="1">
        <f t="array" ref="AQ59">('HPM costs-C19RM'!$AA$239+'HPM costs-C19RM'!$AA$240+'HPM costs-C19RM'!$AA$241)+(SUMPRODUCT(('Fixed Cost-C19RM'!$D$5:$D$202=$D$59)*('Fixed Cost-C19RM'!$F$5:$F$202=$F$59)*('Fixed Cost-C19RM'!$K$5:$K$202)))</f>
        <v>0</v>
      </c>
      <c r="AR59" s="424" cm="1">
        <f t="array" ref="AR59">('HPM costs-C19RM'!$AB$239+'HPM costs-C19RM'!$AB$240+'HPM costs-C19RM'!$AB$241)+(SUMPRODUCT(('Fixed Cost-C19RM'!$D$5:$D$202=$D$59)*('Fixed Cost-C19RM'!$F$5:$F$202=$F$59)*('Fixed Cost-C19RM'!$AC$5:$AC$202)))</f>
        <v>0</v>
      </c>
      <c r="AS59" s="424">
        <f t="shared" si="5"/>
        <v>0</v>
      </c>
      <c r="AT59" s="424"/>
      <c r="AU59" s="951"/>
      <c r="AV59" s="951"/>
      <c r="AW59" s="424" cm="1">
        <f t="array" ref="AW59">('HPM costs-C19RM'!$AE$239+'HPM costs-C19RM'!$AE$240+'HPM costs-C19RM'!$AE$241)+(SUMPRODUCT(('Fixed Cost-C19RM'!$D$5:$D$202=$D$59)*('Fixed Cost-C19RM'!$F$5:$F$202=$F$59)*('Fixed Cost-C19RM'!$AE$5:$AE$202)))</f>
        <v>0</v>
      </c>
      <c r="AX59" s="424" cm="1">
        <f t="array" ref="AX59">('HPM costs-C19RM'!$AF$239+'HPM costs-C19RM'!$AF$240+'HPM costs-C19RM'!$AF$241)+(SUMPRODUCT(('Fixed Cost-C19RM'!$D$5:$D$202=$D$59)*('Fixed Cost-C19RM'!$F$5:$F$202=$F$59)*('Fixed Cost-C19RM'!$AF$5:$AF$202)))</f>
        <v>0</v>
      </c>
      <c r="AY59" s="424" cm="1">
        <f t="array" ref="AY59">('HPM costs-C19RM'!$AG$239+'HPM costs-C19RM'!$AG$240+'HPM costs-C19RM'!$AG$241)+(SUMPRODUCT(('Fixed Cost-C19RM'!$D$5:$D$202=$D$59)*('Fixed Cost-C19RM'!$F$5:$F$202=$F$59)*('Fixed Cost-C19RM'!$AG$5:$AG$202)))</f>
        <v>0</v>
      </c>
      <c r="AZ59" s="424" cm="1">
        <f t="array" ref="AZ59">('HPM costs-C19RM'!$AH$239+'HPM costs-C19RM'!$AH$240+'HPM costs-C19RM'!$AH$241)+(SUMPRODUCT(('Fixed Cost-C19RM'!$D$5:$D$202=$D$59)*('Fixed Cost-C19RM'!$F$5:$F$202=$F$59)*('Fixed Cost-C19RM'!$AH$5:$AH$202)))</f>
        <v>0</v>
      </c>
      <c r="BA59" s="424">
        <f t="shared" si="6"/>
        <v>0</v>
      </c>
      <c r="BB59" s="424"/>
      <c r="BC59" s="951"/>
      <c r="BD59" s="951"/>
      <c r="BE59" s="424">
        <v>0</v>
      </c>
      <c r="BF59" s="424">
        <v>0</v>
      </c>
      <c r="BG59" s="424">
        <v>0</v>
      </c>
      <c r="BH59" s="424">
        <v>0</v>
      </c>
      <c r="BI59" s="424">
        <f t="shared" si="7"/>
        <v>0</v>
      </c>
      <c r="BJ59" s="424"/>
      <c r="BK59" s="424">
        <f t="shared" si="8"/>
        <v>0</v>
      </c>
      <c r="BL59" s="424"/>
      <c r="BM59" s="142"/>
      <c r="BN59" s="425"/>
      <c r="BP59" s="274" t="str">
        <f t="shared" si="11"/>
        <v>No</v>
      </c>
      <c r="BR59" t="str">
        <f>IF(((IFERROR(INDEX('Fixed Cost-C19RM'!$AO$5:$AO$202,MATCH(BS59&amp;C59&amp;D59&amp;F59,'Fixed Cost-C19RM'!$A$5:$A$202,0)),0)))&gt;0,"Yes","NO")</f>
        <v>NO</v>
      </c>
      <c r="BS59" s="286" t="s">
        <v>83</v>
      </c>
      <c r="BT59" t="s">
        <v>3295</v>
      </c>
      <c r="BU59" s="411" t="s">
        <v>3645</v>
      </c>
    </row>
    <row r="60" spans="1:108" ht="39" customHeight="1" x14ac:dyDescent="0.35">
      <c r="A60" s="256"/>
      <c r="B60" s="363" t="str">
        <f>PMsheet!$AH$94&amp;'Detailed BudgetC19RM'!BU60</f>
        <v>000P23HP1155</v>
      </c>
      <c r="C60" s="315" t="s">
        <v>2749</v>
      </c>
      <c r="D60" s="315" t="s">
        <v>3141</v>
      </c>
      <c r="E60" s="261" t="s">
        <v>3117</v>
      </c>
      <c r="F60" s="314" t="s">
        <v>750</v>
      </c>
      <c r="G60" s="315">
        <f ca="1">SETUP!$T$2</f>
        <v>0</v>
      </c>
      <c r="H60" s="315" t="str">
        <f>IF(SETUP!$E$3="","","National/Country Level")</f>
        <v/>
      </c>
      <c r="I60" s="315" t="s">
        <v>2665</v>
      </c>
      <c r="J60" s="315" t="s">
        <v>707</v>
      </c>
      <c r="K60" s="315">
        <f t="shared" si="10"/>
        <v>0</v>
      </c>
      <c r="L60" s="315"/>
      <c r="M60" s="315">
        <f>SETUP!$E$7</f>
        <v>0</v>
      </c>
      <c r="N60" s="315"/>
      <c r="O60" s="315"/>
      <c r="P60" s="315"/>
      <c r="Q60" s="917" cm="1">
        <f t="array" ref="Q60">('HPM costs-C19RM'!$G$95+'HPM costs-C19RM'!$G$96+'HPM costs-C19RM'!$G$97)+('HPM costs-C19RM'!$G$287+'HPM costs-C19RM'!$G$288+'HPM costs-C19RM'!$G$289)+(SUMPRODUCT(('Fixed Cost-C19RM'!$D$5:$D$202=$D$60)*('Fixed Cost-C19RM'!$F$5:$F$202=$F$60)*('Fixed Cost-C19RM'!$K$5:$K$202)))</f>
        <v>0</v>
      </c>
      <c r="R60" s="917" cm="1">
        <f t="array" ref="R60">('HPM costs-C19RM'!$H$95+'HPM costs-C19RM'!$H$96+'HPM costs-C19RM'!$H$97)+('HPM costs-C19RM'!$H$287+'HPM costs-C19RM'!$H$288+'HPM costs-C19RM'!$H$289)+(SUMPRODUCT(('Fixed Cost-C19RM'!$D$5:$D$202=$D$60)*('Fixed Cost-C19RM'!$F$5:$F$202=$F$60)*('Fixed Cost-C19RM'!$L$5:$L$202)))</f>
        <v>0</v>
      </c>
      <c r="S60" s="917" cm="1">
        <f t="array" ref="S60">('HPM costs-C19RM'!$I$95+'HPM costs-C19RM'!$I$96+'HPM costs-C19RM'!$I$97)+('HPM costs-C19RM'!$I$287+'HPM costs-C19RM'!$I$288+'HPM costs-C19RM'!$I$289)+(SUMPRODUCT(('Fixed Cost-C19RM'!$D$5:$D$202=$D$60)*('Fixed Cost-C19RM'!$F$5:$F$202=$F$60)*('Fixed Cost-C19RM'!$M$5:$M$202)))</f>
        <v>0</v>
      </c>
      <c r="T60" s="917" cm="1">
        <f t="array" ref="T60">('HPM costs-C19RM'!$J$95+'HPM costs-C19RM'!$J$96+'HPM costs-C19RM'!$J$97)+('HPM costs-C19RM'!$J$287+'HPM costs-C19RM'!$J$288+'HPM costs-C19RM'!$J$289)+(SUMPRODUCT(('Fixed Cost-C19RM'!$D$5:$D$202=$D$60)*('Fixed Cost-C19RM'!$F$5:$F$202=$F$60)*('Fixed Cost-C19RM'!$N$5:$N$202)))</f>
        <v>0</v>
      </c>
      <c r="U60" s="948">
        <f t="shared" si="2"/>
        <v>0</v>
      </c>
      <c r="V60" s="424"/>
      <c r="W60" s="951"/>
      <c r="X60" s="951"/>
      <c r="Y60" s="424" cm="1">
        <f t="array" ref="Y60">('HPM costs-C19RM'!$M$95+'HPM costs-C19RM'!$M$96+'HPM costs-C19RM'!$M$97)+('HPM costs-C19RM'!$M$287+'HPM costs-C19RM'!$M$288+'HPM costs-C19RM'!$M$289)+(SUMPRODUCT(('Fixed Cost-C19RM'!$D$5:$D$202=$D$60)*('Fixed Cost-C19RM'!$F$5:$F$202=$F$60)*('Fixed Cost-C19RM'!$P$5:$P$202)))</f>
        <v>0</v>
      </c>
      <c r="Z60" s="424" cm="1">
        <f t="array" ref="Z60">('HPM costs-C19RM'!$N$95+'HPM costs-C19RM'!$N$96+'HPM costs-C19RM'!$N$97)+('HPM costs-C19RM'!$N$287+'HPM costs-C19RM'!$N$288+'HPM costs-C19RM'!$N$289)+(SUMPRODUCT(('Fixed Cost-C19RM'!$D$5:$D$202=$D$60)*('Fixed Cost-C19RM'!$F$5:$F$202=$F$60)*('Fixed Cost-C19RM'!$Q$5:$Q$202)))</f>
        <v>0</v>
      </c>
      <c r="AA60" s="424" cm="1">
        <f t="array" ref="AA60">('HPM costs-C19RM'!$O$95+'HPM costs-C19RM'!$O$96+'HPM costs-C19RM'!$O$97)+('HPM costs-C19RM'!$O$287+'HPM costs-C19RM'!$O$288+'HPM costs-C19RM'!$O$289)+(SUMPRODUCT(('Fixed Cost-C19RM'!$D$5:$D$202=$D$60)*('Fixed Cost-C19RM'!$F$5:$F$202=$F$60)*('Fixed Cost-C19RM'!$R$5:$R$202)))</f>
        <v>0</v>
      </c>
      <c r="AB60" s="424" cm="1">
        <f t="array" ref="AB60">('HPM costs-C19RM'!$P$95+'HPM costs-C19RM'!$P$96+'HPM costs-C19RM'!$P$97)+('HPM costs-C19RM'!$P$287+'HPM costs-C19RM'!$P$288+'HPM costs-C19RM'!$P$289)+(SUMPRODUCT(('Fixed Cost-C19RM'!$D$5:$D$202=$D$60)*('Fixed Cost-C19RM'!$F$5:$F$202=$F$60)*('Fixed Cost-C19RM'!$S$5:$S$202)))</f>
        <v>0</v>
      </c>
      <c r="AC60" s="424">
        <f t="shared" si="3"/>
        <v>0</v>
      </c>
      <c r="AD60" s="424"/>
      <c r="AE60" s="951"/>
      <c r="AF60" s="951"/>
      <c r="AG60" s="424" cm="1">
        <f t="array" ref="AG60">('HPM costs-C19RM'!$S$95+'HPM costs-C19RM'!$S$96+'HPM costs-C19RM'!$S$97)+('HPM costs-C19RM'!$S$287+'HPM costs-C19RM'!$S$288+'HPM costs-C19RM'!$S$289)+(SUMPRODUCT(('Fixed Cost-C19RM'!$D$5:$D$202=$D$60)*('Fixed Cost-C19RM'!$F$5:$F$202=$F$60)*('Fixed Cost-C19RM'!$U$5:$U$202)))</f>
        <v>0</v>
      </c>
      <c r="AH60" s="424" cm="1">
        <f t="array" ref="AH60">('HPM costs-C19RM'!$T$95+'HPM costs-C19RM'!$T$96+'HPM costs-C19RM'!$T$97)+('HPM costs-C19RM'!$T$287+'HPM costs-C19RM'!$T$288+'HPM costs-C19RM'!$T$289)+(SUMPRODUCT(('Fixed Cost-C19RM'!$D$5:$D$202=$D$60)*('Fixed Cost-C19RM'!$F$5:$F$202=$F$60)*('Fixed Cost-C19RM'!$V$5:$V$202)))</f>
        <v>0</v>
      </c>
      <c r="AI60" s="424" cm="1">
        <f t="array" ref="AI60">('HPM costs-C19RM'!$U$95+'HPM costs-C19RM'!$U$96+'HPM costs-C19RM'!$U$97)+('HPM costs-C19RM'!$U$287+'HPM costs-C19RM'!$U$288+'HPM costs-C19RM'!$U$289)+(SUMPRODUCT(('Fixed Cost-C19RM'!$D$5:$D$202=$D$60)*('Fixed Cost-C19RM'!$F$5:$F$202=$F$60)*('Fixed Cost-C19RM'!$W$5:$W$202)))</f>
        <v>0</v>
      </c>
      <c r="AJ60" s="424" cm="1">
        <f t="array" ref="AJ60">('HPM costs-C19RM'!$V$95+'HPM costs-C19RM'!$V$96+'HPM costs-C19RM'!$V$97)+('HPM costs-C19RM'!$V$287+'HPM costs-C19RM'!$V$288+'HPM costs-C19RM'!$V$289)+(SUMPRODUCT(('Fixed Cost-C19RM'!$D$5:$D$202=$D$60)*('Fixed Cost-C19RM'!$F$5:$F$202=$F$60)*('Fixed Cost-C19RM'!$X$5:$X$202)))</f>
        <v>0</v>
      </c>
      <c r="AK60" s="424">
        <f t="shared" si="4"/>
        <v>0</v>
      </c>
      <c r="AL60" s="424"/>
      <c r="AM60" s="951"/>
      <c r="AN60" s="951"/>
      <c r="AO60" s="424" cm="1">
        <f t="array" ref="AO60">('HPM costs-C19RM'!$Y$95+'HPM costs-C19RM'!$Y$96+'HPM costs-C19RM'!$Y$97)+('HPM costs-C19RM'!$Y$287+'HPM costs-C19RM'!$Y$288+'HPM costs-C19RM'!$Y$289)+(SUMPRODUCT(('Fixed Cost-C19RM'!$D$5:$D$202=$D$60)*('Fixed Cost-C19RM'!$F$5:$F$202=$F$60)*('Fixed Cost-C19RM'!$Z$5:$Z$202)))</f>
        <v>0</v>
      </c>
      <c r="AP60" s="424" cm="1">
        <f t="array" ref="AP60">('HPM costs-C19RM'!$Z$95+'HPM costs-C19RM'!$Z$96+'HPM costs-C19RM'!$Z$97)+('HPM costs-C19RM'!$Z$287+'HPM costs-C19RM'!$Z$288+'HPM costs-C19RM'!$Z$289)+(SUMPRODUCT(('Fixed Cost-C19RM'!$D$5:$D$202=$D$60)*('Fixed Cost-C19RM'!$F$5:$F$202=$F$60)*('Fixed Cost-C19RM'!$AA$5:$AA$202)))</f>
        <v>0</v>
      </c>
      <c r="AQ60" s="424" cm="1">
        <f t="array" ref="AQ60">('HPM costs-C19RM'!$AA$95+'HPM costs-C19RM'!$AA$96+'HPM costs-C19RM'!$AA$97)+('HPM costs-C19RM'!$AA$287+'HPM costs-C19RM'!$AA$288+'HPM costs-C19RM'!$AA$289)+(SUMPRODUCT(('Fixed Cost-C19RM'!$D$5:$D$202=$D$60)*('Fixed Cost-C19RM'!$F$5:$F$202=$F$60)*('Fixed Cost-C19RM'!$K$5:$K$202)))</f>
        <v>0</v>
      </c>
      <c r="AR60" s="424" cm="1">
        <f t="array" ref="AR60">('HPM costs-C19RM'!$AB$95+'HPM costs-C19RM'!$AB$96+'HPM costs-C19RM'!$AB$97)+('HPM costs-C19RM'!$AB$287+'HPM costs-C19RM'!$AB$288+'HPM costs-C19RM'!$AB$289)+(SUMPRODUCT(('Fixed Cost-C19RM'!$D$5:$D$202=$D$60)*('Fixed Cost-C19RM'!$F$5:$F$202=$F$60)*('Fixed Cost-C19RM'!$AC$5:$AC$202)))</f>
        <v>0</v>
      </c>
      <c r="AS60" s="424">
        <f t="shared" si="5"/>
        <v>0</v>
      </c>
      <c r="AT60" s="424"/>
      <c r="AU60" s="951"/>
      <c r="AV60" s="951"/>
      <c r="AW60" s="424" cm="1">
        <f t="array" ref="AW60">('HPM costs-C19RM'!$AE$95+'HPM costs-C19RM'!$AE$96+'HPM costs-C19RM'!$AE$97)+('HPM costs-C19RM'!$AE$287+'HPM costs-C19RM'!$AE$288+'HPM costs-C19RM'!$AE$289)+(SUMPRODUCT(('Fixed Cost-C19RM'!$D$5:$D$202=$D$60)*('Fixed Cost-C19RM'!$F$5:$F$202=$F$60)*('Fixed Cost-C19RM'!$AE$5:$AE$202)))</f>
        <v>0</v>
      </c>
      <c r="AX60" s="424" cm="1">
        <f t="array" ref="AX60">('HPM costs-C19RM'!$AF$95+'HPM costs-C19RM'!$AF$96+'HPM costs-C19RM'!$AF$97)+('HPM costs-C19RM'!$AF$287+'HPM costs-C19RM'!$AF$288+'HPM costs-C19RM'!$AF$289)+(SUMPRODUCT(('Fixed Cost-C19RM'!$D$5:$D$202=$D$60)*('Fixed Cost-C19RM'!$F$5:$F$202=$F$60)*('Fixed Cost-C19RM'!$AF$5:$AF$202)))</f>
        <v>0</v>
      </c>
      <c r="AY60" s="424" cm="1">
        <f t="array" ref="AY60">('HPM costs-C19RM'!$AG$95+'HPM costs-C19RM'!$AG$96+'HPM costs-C19RM'!$AG$97)+('HPM costs-C19RM'!$AG$287+'HPM costs-C19RM'!$AG$288+'HPM costs-C19RM'!$AG$289)+(SUMPRODUCT(('Fixed Cost-C19RM'!$D$5:$D$202=$D$60)*('Fixed Cost-C19RM'!$F$5:$F$202=$F$60)*('Fixed Cost-C19RM'!$AG$5:$AG$202)))</f>
        <v>0</v>
      </c>
      <c r="AZ60" s="424" cm="1">
        <f t="array" ref="AZ60">('HPM costs-C19RM'!$AH$95+'HPM costs-C19RM'!$AH$96+'HPM costs-C19RM'!$AH$97)+('HPM costs-C19RM'!$AH$287+'HPM costs-C19RM'!$AH$288+'HPM costs-C19RM'!$AH$289)+(SUMPRODUCT(('Fixed Cost-C19RM'!$D$5:$D$202=$D$60)*('Fixed Cost-C19RM'!$F$5:$F$202=$F$60)*('Fixed Cost-C19RM'!$AH$5:$AH$202)))</f>
        <v>0</v>
      </c>
      <c r="BA60" s="424">
        <f t="shared" si="6"/>
        <v>0</v>
      </c>
      <c r="BB60" s="424"/>
      <c r="BC60" s="951"/>
      <c r="BD60" s="951"/>
      <c r="BE60" s="424">
        <v>0</v>
      </c>
      <c r="BF60" s="424">
        <v>0</v>
      </c>
      <c r="BG60" s="424">
        <v>0</v>
      </c>
      <c r="BH60" s="424">
        <v>0</v>
      </c>
      <c r="BI60" s="424">
        <f t="shared" si="7"/>
        <v>0</v>
      </c>
      <c r="BJ60" s="424"/>
      <c r="BK60" s="424">
        <f t="shared" si="8"/>
        <v>0</v>
      </c>
      <c r="BL60" s="424"/>
      <c r="BM60" s="142"/>
      <c r="BN60" s="425"/>
      <c r="BP60" s="274" t="str">
        <f t="shared" si="11"/>
        <v>No</v>
      </c>
      <c r="BR60" t="str">
        <f>IF(((IFERROR(INDEX('Fixed Cost-C19RM'!$AO$5:$AO$202,MATCH(BS60&amp;C60&amp;D60&amp;F60,'Fixed Cost-C19RM'!$A$5:$A$202,0)),0)))&gt;0,"Yes","NO")</f>
        <v>NO</v>
      </c>
      <c r="BS60" s="286" t="s">
        <v>83</v>
      </c>
      <c r="BT60" t="s">
        <v>3296</v>
      </c>
      <c r="BU60" s="411" t="s">
        <v>3646</v>
      </c>
    </row>
    <row r="61" spans="1:108" ht="39" customHeight="1" x14ac:dyDescent="0.35">
      <c r="A61" s="256"/>
      <c r="B61" s="363" t="str">
        <f>PMsheet!$AH$94&amp;'Detailed BudgetC19RM'!BU61</f>
        <v>000P23HP1156</v>
      </c>
      <c r="C61" s="315" t="s">
        <v>2749</v>
      </c>
      <c r="D61" s="315" t="s">
        <v>3141</v>
      </c>
      <c r="E61" s="261" t="s">
        <v>3117</v>
      </c>
      <c r="F61" s="314" t="s">
        <v>622</v>
      </c>
      <c r="G61" s="315">
        <f ca="1">SETUP!$T$2</f>
        <v>0</v>
      </c>
      <c r="H61" s="315" t="str">
        <f>IF(SETUP!$E$3="","","National/Country Level")</f>
        <v/>
      </c>
      <c r="I61" s="315" t="s">
        <v>2665</v>
      </c>
      <c r="J61" s="315" t="s">
        <v>707</v>
      </c>
      <c r="K61" s="315">
        <f t="shared" si="10"/>
        <v>0</v>
      </c>
      <c r="L61" s="315"/>
      <c r="M61" s="315">
        <f>SETUP!$E$7</f>
        <v>0</v>
      </c>
      <c r="N61" s="315"/>
      <c r="O61" s="315"/>
      <c r="P61" s="315"/>
      <c r="Q61" s="917" cm="1">
        <f t="array" ref="Q61">('HPM costs-C19RM'!$G$143+'HPM costs-C19RM'!$G$144+'HPM costs-C19RM'!$G$145)+(SUMPRODUCT(('Fixed Cost-C19RM'!$D$5:$D$202=$D$61)*('Fixed Cost-C19RM'!$F$5:$F$202=$F$61)*('Fixed Cost-C19RM'!$K$5:$K$202)))</f>
        <v>0</v>
      </c>
      <c r="R61" s="917" cm="1">
        <f t="array" ref="R61">('HPM costs-C19RM'!$H$143+'HPM costs-C19RM'!$H$144+'HPM costs-C19RM'!$H$145)+(SUMPRODUCT(('Fixed Cost-C19RM'!$D$5:$D$202=$D$61)*('Fixed Cost-C19RM'!$F$5:$F$202=$F$61)*('Fixed Cost-C19RM'!$L$5:$L$202)))</f>
        <v>0</v>
      </c>
      <c r="S61" s="917" cm="1">
        <f t="array" ref="S61">('HPM costs-C19RM'!$I$143+'HPM costs-C19RM'!$I$144+'HPM costs-C19RM'!$I$145)+(SUMPRODUCT(('Fixed Cost-C19RM'!$D$5:$D$202=$D$61)*('Fixed Cost-C19RM'!$F$5:$F$202=$F$61)*('Fixed Cost-C19RM'!$M$5:$M$202)))</f>
        <v>0</v>
      </c>
      <c r="T61" s="917" cm="1">
        <f t="array" ref="T61">('HPM costs-C19RM'!$J$143+'HPM costs-C19RM'!$J$144+'HPM costs-C19RM'!$J$145)+(SUMPRODUCT(('Fixed Cost-C19RM'!$D$5:$D$202=$D$61)*('Fixed Cost-C19RM'!$F$5:$F$202=$F$61)*('Fixed Cost-C19RM'!$N$5:$N$202)))</f>
        <v>0</v>
      </c>
      <c r="U61" s="948">
        <f t="shared" si="2"/>
        <v>0</v>
      </c>
      <c r="V61" s="424"/>
      <c r="W61" s="951"/>
      <c r="X61" s="951"/>
      <c r="Y61" s="424" cm="1">
        <f t="array" ref="Y61">('HPM costs-C19RM'!$M$143+'HPM costs-C19RM'!$M$144+'HPM costs-C19RM'!$M$145)+(SUMPRODUCT(('Fixed Cost-C19RM'!$D$5:$D$202=$D$61)*('Fixed Cost-C19RM'!$F$5:$F$202=$F$61)*('Fixed Cost-C19RM'!$P$5:$P$202)))</f>
        <v>0</v>
      </c>
      <c r="Z61" s="424" cm="1">
        <f t="array" ref="Z61">('HPM costs-C19RM'!$N$143+'HPM costs-C19RM'!$N$144+'HPM costs-C19RM'!$N$145)+(SUMPRODUCT(('Fixed Cost-C19RM'!$D$5:$D$202=$D$61)*('Fixed Cost-C19RM'!$F$5:$F$202=$F$61)*('Fixed Cost-C19RM'!$Q$5:$Q$202)))</f>
        <v>0</v>
      </c>
      <c r="AA61" s="424" cm="1">
        <f t="array" ref="AA61">('HPM costs-C19RM'!$O$143+'HPM costs-C19RM'!$O$144+'HPM costs-C19RM'!$O$145)+(SUMPRODUCT(('Fixed Cost-C19RM'!$D$5:$D$202=$D$61)*('Fixed Cost-C19RM'!$F$5:$F$202=$F$61)*('Fixed Cost-C19RM'!$R$5:$R$202)))</f>
        <v>0</v>
      </c>
      <c r="AB61" s="424" cm="1">
        <f t="array" ref="AB61">('HPM costs-C19RM'!$P$143+'HPM costs-C19RM'!$P$144+'HPM costs-C19RM'!$P$145)+(SUMPRODUCT(('Fixed Cost-C19RM'!$D$5:$D$202=$D$61)*('Fixed Cost-C19RM'!$F$5:$F$202=$F$61)*('Fixed Cost-C19RM'!$S$5:$S$202)))</f>
        <v>0</v>
      </c>
      <c r="AC61" s="424">
        <f t="shared" si="3"/>
        <v>0</v>
      </c>
      <c r="AD61" s="424"/>
      <c r="AE61" s="951"/>
      <c r="AF61" s="951"/>
      <c r="AG61" s="424" cm="1">
        <f t="array" ref="AG61">('HPM costs-C19RM'!$S$143+'HPM costs-C19RM'!$S$144+'HPM costs-C19RM'!$S$145)+(SUMPRODUCT(('Fixed Cost-C19RM'!$D$5:$D$202=$D$61)*('Fixed Cost-C19RM'!$F$5:$F$202=$F$61)*('Fixed Cost-C19RM'!$U$5:$U$202)))</f>
        <v>0</v>
      </c>
      <c r="AH61" s="424" cm="1">
        <f t="array" ref="AH61">('HPM costs-C19RM'!$T$143+'HPM costs-C19RM'!$T$144+'HPM costs-C19RM'!$T$145)+(SUMPRODUCT(('Fixed Cost-C19RM'!$D$5:$D$202=$D$61)*('Fixed Cost-C19RM'!$F$5:$F$202=$F$61)*('Fixed Cost-C19RM'!$V$5:$V$202)))</f>
        <v>0</v>
      </c>
      <c r="AI61" s="424" cm="1">
        <f t="array" ref="AI61">('HPM costs-C19RM'!$U$143+'HPM costs-C19RM'!$U$144+'HPM costs-C19RM'!$U$145)+(SUMPRODUCT(('Fixed Cost-C19RM'!$D$5:$D$202=$D$61)*('Fixed Cost-C19RM'!$F$5:$F$202=$F$61)*('Fixed Cost-C19RM'!$W$5:$W$202)))</f>
        <v>0</v>
      </c>
      <c r="AJ61" s="424" cm="1">
        <f t="array" ref="AJ61">('HPM costs-C19RM'!$V$143+'HPM costs-C19RM'!$V$144+'HPM costs-C19RM'!$V$145)+(SUMPRODUCT(('Fixed Cost-C19RM'!$D$5:$D$202=$D$61)*('Fixed Cost-C19RM'!$F$5:$F$202=$F$61)*('Fixed Cost-C19RM'!$X$5:$X$202)))</f>
        <v>0</v>
      </c>
      <c r="AK61" s="424">
        <f t="shared" si="4"/>
        <v>0</v>
      </c>
      <c r="AL61" s="424"/>
      <c r="AM61" s="951"/>
      <c r="AN61" s="951"/>
      <c r="AO61" s="424" cm="1">
        <f t="array" ref="AO61">('HPM costs-C19RM'!$Y$143+'HPM costs-C19RM'!$Y$144+'HPM costs-C19RM'!$Y$145)+(SUMPRODUCT(('Fixed Cost-C19RM'!$D$5:$D$202=$D$61)*('Fixed Cost-C19RM'!$F$5:$F$202=$F$61)*('Fixed Cost-C19RM'!$Z$5:$Z$202)))</f>
        <v>0</v>
      </c>
      <c r="AP61" s="424" cm="1">
        <f t="array" ref="AP61">('HPM costs-C19RM'!$Z$143+'HPM costs-C19RM'!$Z$144+'HPM costs-C19RM'!$Z$145)+(SUMPRODUCT(('Fixed Cost-C19RM'!$D$5:$D$202=$D$61)*('Fixed Cost-C19RM'!$F$5:$F$202=$F$61)*('Fixed Cost-C19RM'!$AA$5:$AA$202)))</f>
        <v>0</v>
      </c>
      <c r="AQ61" s="424" cm="1">
        <f t="array" ref="AQ61">('HPM costs-C19RM'!$AA$143+'HPM costs-C19RM'!$AA$144+'HPM costs-C19RM'!$AA$145)+(SUMPRODUCT(('Fixed Cost-C19RM'!$D$5:$D$202=$D$61)*('Fixed Cost-C19RM'!$F$5:$F$202=$F$61)*('Fixed Cost-C19RM'!$K$5:$K$202)))</f>
        <v>0</v>
      </c>
      <c r="AR61" s="424" cm="1">
        <f t="array" ref="AR61">('HPM costs-C19RM'!$AB$143+'HPM costs-C19RM'!$AB$144+'HPM costs-C19RM'!$AB$145)+(SUMPRODUCT(('Fixed Cost-C19RM'!$D$5:$D$202=$D$61)*('Fixed Cost-C19RM'!$F$5:$F$202=$F$61)*('Fixed Cost-C19RM'!$AC$5:$AC$202)))</f>
        <v>0</v>
      </c>
      <c r="AS61" s="424">
        <f t="shared" si="5"/>
        <v>0</v>
      </c>
      <c r="AT61" s="424"/>
      <c r="AU61" s="951"/>
      <c r="AV61" s="951"/>
      <c r="AW61" s="424" cm="1">
        <f t="array" ref="AW61">('HPM costs-C19RM'!$AE$143+'HPM costs-C19RM'!$AE$144+'HPM costs-C19RM'!$AE$145)+(SUMPRODUCT(('Fixed Cost-C19RM'!$D$5:$D$202=$D$61)*('Fixed Cost-C19RM'!$F$5:$F$202=$F$61)*('Fixed Cost-C19RM'!$AE$5:$AE$202)))</f>
        <v>0</v>
      </c>
      <c r="AX61" s="424" cm="1">
        <f t="array" ref="AX61">('HPM costs-C19RM'!$AF$143+'HPM costs-C19RM'!$AF$144+'HPM costs-C19RM'!$AF$145)+(SUMPRODUCT(('Fixed Cost-C19RM'!$D$5:$D$202=$D$61)*('Fixed Cost-C19RM'!$F$5:$F$202=$F$61)*('Fixed Cost-C19RM'!$AF$5:$AF$202)))</f>
        <v>0</v>
      </c>
      <c r="AY61" s="424" cm="1">
        <f t="array" ref="AY61">('HPM costs-C19RM'!$AG$143+'HPM costs-C19RM'!$AG$144+'HPM costs-C19RM'!$AG$145)+(SUMPRODUCT(('Fixed Cost-C19RM'!$D$5:$D$202=$D$61)*('Fixed Cost-C19RM'!$F$5:$F$202=$F$61)*('Fixed Cost-C19RM'!$AG$5:$AG$202)))</f>
        <v>0</v>
      </c>
      <c r="AZ61" s="424" cm="1">
        <f t="array" ref="AZ61">('HPM costs-C19RM'!$AH$143+'HPM costs-C19RM'!$AH$144+'HPM costs-C19RM'!$AH$145)+(SUMPRODUCT(('Fixed Cost-C19RM'!$D$5:$D$202=$D$61)*('Fixed Cost-C19RM'!$F$5:$F$202=$F$61)*('Fixed Cost-C19RM'!$AH$5:$AH$202)))</f>
        <v>0</v>
      </c>
      <c r="BA61" s="424">
        <f t="shared" si="6"/>
        <v>0</v>
      </c>
      <c r="BB61" s="424"/>
      <c r="BC61" s="951"/>
      <c r="BD61" s="951"/>
      <c r="BE61" s="424">
        <v>0</v>
      </c>
      <c r="BF61" s="424">
        <v>0</v>
      </c>
      <c r="BG61" s="424">
        <v>0</v>
      </c>
      <c r="BH61" s="424">
        <v>0</v>
      </c>
      <c r="BI61" s="424">
        <f t="shared" si="7"/>
        <v>0</v>
      </c>
      <c r="BJ61" s="424"/>
      <c r="BK61" s="424">
        <f t="shared" si="8"/>
        <v>0</v>
      </c>
      <c r="BL61" s="424"/>
      <c r="BM61" s="142"/>
      <c r="BN61" s="425"/>
      <c r="BP61" s="274" t="str">
        <f t="shared" si="11"/>
        <v>No</v>
      </c>
      <c r="BR61" t="str">
        <f>IF(((IFERROR(INDEX('Fixed Cost-C19RM'!$AO$5:$AO$202,MATCH(BS61&amp;C61&amp;D61&amp;F61,'Fixed Cost-C19RM'!$A$5:$A$202,0)),0)))&gt;0,"Yes","NO")</f>
        <v>NO</v>
      </c>
      <c r="BS61" s="286" t="s">
        <v>83</v>
      </c>
      <c r="BT61" t="s">
        <v>3297</v>
      </c>
      <c r="BU61" s="411" t="s">
        <v>3647</v>
      </c>
    </row>
    <row r="62" spans="1:108" ht="39" customHeight="1" x14ac:dyDescent="0.35">
      <c r="A62" s="256"/>
      <c r="B62" s="363" t="str">
        <f>PMsheet!$AH$94&amp;'Detailed BudgetC19RM'!BU62</f>
        <v>000P23HP1157</v>
      </c>
      <c r="C62" s="315" t="s">
        <v>2749</v>
      </c>
      <c r="D62" s="315" t="s">
        <v>3141</v>
      </c>
      <c r="E62" s="261" t="s">
        <v>3117</v>
      </c>
      <c r="F62" s="314" t="s">
        <v>751</v>
      </c>
      <c r="G62" s="315">
        <f ca="1">SETUP!$T$2</f>
        <v>0</v>
      </c>
      <c r="H62" s="315" t="str">
        <f>IF(SETUP!$E$3="","","National/Country Level")</f>
        <v/>
      </c>
      <c r="I62" s="315" t="s">
        <v>2665</v>
      </c>
      <c r="J62" s="315" t="s">
        <v>707</v>
      </c>
      <c r="K62" s="315">
        <f t="shared" si="10"/>
        <v>0</v>
      </c>
      <c r="L62" s="315"/>
      <c r="M62" s="315">
        <f>SETUP!$E$7</f>
        <v>0</v>
      </c>
      <c r="N62" s="315"/>
      <c r="O62" s="315"/>
      <c r="P62" s="315"/>
      <c r="Q62" s="917" cm="1">
        <f t="array" ref="Q62">('HPM costs-C19RM'!$G$334+'HPM costs-C19RM'!$G$335+'HPM costs-C19RM'!$G$336)+(SUMPRODUCT(('Fixed Cost-C19RM'!$D$5:$D$202=$D$62)*('Fixed Cost-C19RM'!$F$5:$F$202=$F$62)*('Fixed Cost-C19RM'!$K$5:$K$202)))</f>
        <v>0</v>
      </c>
      <c r="R62" s="917" cm="1">
        <f t="array" ref="R62">('HPM costs-C19RM'!$H$334+'HPM costs-C19RM'!$H$335+'HPM costs-C19RM'!$H$336)+(SUMPRODUCT(('Fixed Cost-C19RM'!$D$5:$D$202=$D$62)*('Fixed Cost-C19RM'!$F$5:$F$202=$F$62)*('Fixed Cost-C19RM'!$L$5:$L$202)))</f>
        <v>0</v>
      </c>
      <c r="S62" s="917" cm="1">
        <f t="array" ref="S62">('HPM costs-C19RM'!$I$334+'HPM costs-C19RM'!$I$335+'HPM costs-C19RM'!$I$336)+(SUMPRODUCT(('Fixed Cost-C19RM'!$D$5:$D$202=$D$62)*('Fixed Cost-C19RM'!$F$5:$F$202=$F$62)*('Fixed Cost-C19RM'!$M$5:$M$202)))</f>
        <v>0</v>
      </c>
      <c r="T62" s="917" cm="1">
        <f t="array" ref="T62">('HPM costs-C19RM'!$J$334+'HPM costs-C19RM'!$J$335+'HPM costs-C19RM'!$J$336)+(SUMPRODUCT(('Fixed Cost-C19RM'!$D$5:$D$202=$D$62)*('Fixed Cost-C19RM'!$F$5:$F$202=$F$62)*('Fixed Cost-C19RM'!$N$5:$N$202)))</f>
        <v>0</v>
      </c>
      <c r="U62" s="948">
        <f t="shared" si="2"/>
        <v>0</v>
      </c>
      <c r="V62" s="424"/>
      <c r="W62" s="951"/>
      <c r="X62" s="951"/>
      <c r="Y62" s="424" cm="1">
        <f t="array" ref="Y62">('HPM costs-C19RM'!$M$334+'HPM costs-C19RM'!$M$335+'HPM costs-C19RM'!$M$336)+(SUMPRODUCT(('Fixed Cost-C19RM'!$D$5:$D$202=$D$62)*('Fixed Cost-C19RM'!$F$5:$F$202=$F$62)*('Fixed Cost-C19RM'!$P$5:$P$202)))</f>
        <v>0</v>
      </c>
      <c r="Z62" s="424" cm="1">
        <f t="array" ref="Z62">('HPM costs-C19RM'!$N$334+'HPM costs-C19RM'!$N$335+'HPM costs-C19RM'!$N$336)+(SUMPRODUCT(('Fixed Cost-C19RM'!$D$5:$D$202=$D$62)*('Fixed Cost-C19RM'!$F$5:$F$202=$F$62)*('Fixed Cost-C19RM'!$Q$5:$Q$202)))</f>
        <v>0</v>
      </c>
      <c r="AA62" s="424" cm="1">
        <f t="array" ref="AA62">('HPM costs-C19RM'!$O$334+'HPM costs-C19RM'!$O$335+'HPM costs-C19RM'!$O$336)+(SUMPRODUCT(('Fixed Cost-C19RM'!$D$5:$D$202=$D$62)*('Fixed Cost-C19RM'!$F$5:$F$202=$F$62)*('Fixed Cost-C19RM'!$R$5:$R$202)))</f>
        <v>0</v>
      </c>
      <c r="AB62" s="424" cm="1">
        <f t="array" ref="AB62">('HPM costs-C19RM'!$P$334+'HPM costs-C19RM'!$P$335+'HPM costs-C19RM'!$P$336)+(SUMPRODUCT(('Fixed Cost-C19RM'!$D$5:$D$202=$D$62)*('Fixed Cost-C19RM'!$F$5:$F$202=$F$62)*('Fixed Cost-C19RM'!$S$5:$S$202)))</f>
        <v>0</v>
      </c>
      <c r="AC62" s="424">
        <f t="shared" si="3"/>
        <v>0</v>
      </c>
      <c r="AD62" s="424"/>
      <c r="AE62" s="951"/>
      <c r="AF62" s="951"/>
      <c r="AG62" s="424" cm="1">
        <f t="array" ref="AG62">('HPM costs-C19RM'!$S$334+'HPM costs-C19RM'!$S$335+'HPM costs-C19RM'!$S$336)+(SUMPRODUCT(('Fixed Cost-C19RM'!$D$5:$D$202=$D$62)*('Fixed Cost-C19RM'!$F$5:$F$202=$F$62)*('Fixed Cost-C19RM'!$U$5:$U$202)))</f>
        <v>0</v>
      </c>
      <c r="AH62" s="424" cm="1">
        <f t="array" ref="AH62">('HPM costs-C19RM'!$T$334+'HPM costs-C19RM'!$T$335+'HPM costs-C19RM'!$T$336)+(SUMPRODUCT(('Fixed Cost-C19RM'!$D$5:$D$202=$D$62)*('Fixed Cost-C19RM'!$F$5:$F$202=$F$62)*('Fixed Cost-C19RM'!$V$5:$V$202)))</f>
        <v>0</v>
      </c>
      <c r="AI62" s="424" cm="1">
        <f t="array" ref="AI62">('HPM costs-C19RM'!$U$334+'HPM costs-C19RM'!$U$335+'HPM costs-C19RM'!$U$336)+(SUMPRODUCT(('Fixed Cost-C19RM'!$D$5:$D$202=$D$62)*('Fixed Cost-C19RM'!$F$5:$F$202=$F$62)*('Fixed Cost-C19RM'!$W$5:$W$202)))</f>
        <v>0</v>
      </c>
      <c r="AJ62" s="424" cm="1">
        <f t="array" ref="AJ62">('HPM costs-C19RM'!$V$334+'HPM costs-C19RM'!$V$335+'HPM costs-C19RM'!$V$336)+(SUMPRODUCT(('Fixed Cost-C19RM'!$D$5:$D$202=$D$62)*('Fixed Cost-C19RM'!$F$5:$F$202=$F$62)*('Fixed Cost-C19RM'!$X$5:$X$202)))</f>
        <v>0</v>
      </c>
      <c r="AK62" s="424">
        <f t="shared" si="4"/>
        <v>0</v>
      </c>
      <c r="AL62" s="424"/>
      <c r="AM62" s="951"/>
      <c r="AN62" s="951"/>
      <c r="AO62" s="424" cm="1">
        <f t="array" ref="AO62">('HPM costs-C19RM'!$Y$334+'HPM costs-C19RM'!$Y$335+'HPM costs-C19RM'!$Y$336)+(SUMPRODUCT(('Fixed Cost-C19RM'!$D$5:$D$202=$D$62)*('Fixed Cost-C19RM'!$F$5:$F$202=$F$62)*('Fixed Cost-C19RM'!$Z$5:$Z$202)))</f>
        <v>0</v>
      </c>
      <c r="AP62" s="424" cm="1">
        <f t="array" ref="AP62">('HPM costs-C19RM'!$Z$334+'HPM costs-C19RM'!$Z$335+'HPM costs-C19RM'!$Z$336)+(SUMPRODUCT(('Fixed Cost-C19RM'!$D$5:$D$202=$D$62)*('Fixed Cost-C19RM'!$F$5:$F$202=$F$62)*('Fixed Cost-C19RM'!$AA$5:$AA$202)))</f>
        <v>0</v>
      </c>
      <c r="AQ62" s="424" cm="1">
        <f t="array" ref="AQ62">('HPM costs-C19RM'!$AA$334+'HPM costs-C19RM'!$AA$335+'HPM costs-C19RM'!$AA$336)+(SUMPRODUCT(('Fixed Cost-C19RM'!$D$5:$D$202=$D$62)*('Fixed Cost-C19RM'!$F$5:$F$202=$F$62)*('Fixed Cost-C19RM'!$K$5:$K$202)))</f>
        <v>0</v>
      </c>
      <c r="AR62" s="424" cm="1">
        <f t="array" ref="AR62">('HPM costs-C19RM'!$AB$334+'HPM costs-C19RM'!$AB$335+'HPM costs-C19RM'!$AB$336)+(SUMPRODUCT(('Fixed Cost-C19RM'!$D$5:$D$202=$D$62)*('Fixed Cost-C19RM'!$F$5:$F$202=$F$62)*('Fixed Cost-C19RM'!$AC$5:$AC$202)))</f>
        <v>0</v>
      </c>
      <c r="AS62" s="424">
        <f t="shared" si="5"/>
        <v>0</v>
      </c>
      <c r="AT62" s="424"/>
      <c r="AU62" s="951"/>
      <c r="AV62" s="951"/>
      <c r="AW62" s="424" cm="1">
        <f t="array" ref="AW62">('HPM costs-C19RM'!$AE$334+'HPM costs-C19RM'!$AE$335+'HPM costs-C19RM'!$AE$336)+(SUMPRODUCT(('Fixed Cost-C19RM'!$D$5:$D$202=$D$62)*('Fixed Cost-C19RM'!$F$5:$F$202=$F$62)*('Fixed Cost-C19RM'!$AE$5:$AE$202)))</f>
        <v>0</v>
      </c>
      <c r="AX62" s="424" cm="1">
        <f t="array" ref="AX62">('HPM costs-C19RM'!$AF$334+'HPM costs-C19RM'!$AF$335+'HPM costs-C19RM'!$AF$336)+(SUMPRODUCT(('Fixed Cost-C19RM'!$D$5:$D$202=$D$62)*('Fixed Cost-C19RM'!$F$5:$F$202=$F$62)*('Fixed Cost-C19RM'!$AF$5:$AF$202)))</f>
        <v>0</v>
      </c>
      <c r="AY62" s="424" cm="1">
        <f t="array" ref="AY62">('HPM costs-C19RM'!$AG$334+'HPM costs-C19RM'!$AG$335+'HPM costs-C19RM'!$AG$336)+(SUMPRODUCT(('Fixed Cost-C19RM'!$D$5:$D$202=$D$62)*('Fixed Cost-C19RM'!$F$5:$F$202=$F$62)*('Fixed Cost-C19RM'!$AG$5:$AG$202)))</f>
        <v>0</v>
      </c>
      <c r="AZ62" s="424" cm="1">
        <f t="array" ref="AZ62">('HPM costs-C19RM'!$AH$334+'HPM costs-C19RM'!$AH$335+'HPM costs-C19RM'!$AH$336)+(SUMPRODUCT(('Fixed Cost-C19RM'!$D$5:$D$202=$D$62)*('Fixed Cost-C19RM'!$F$5:$F$202=$F$62)*('Fixed Cost-C19RM'!$AH$5:$AH$202)))</f>
        <v>0</v>
      </c>
      <c r="BA62" s="424">
        <f t="shared" si="6"/>
        <v>0</v>
      </c>
      <c r="BB62" s="424"/>
      <c r="BC62" s="951"/>
      <c r="BD62" s="951"/>
      <c r="BE62" s="424">
        <v>0</v>
      </c>
      <c r="BF62" s="424">
        <v>0</v>
      </c>
      <c r="BG62" s="424">
        <v>0</v>
      </c>
      <c r="BH62" s="424">
        <v>0</v>
      </c>
      <c r="BI62" s="424">
        <f t="shared" si="7"/>
        <v>0</v>
      </c>
      <c r="BJ62" s="424"/>
      <c r="BK62" s="424">
        <f t="shared" si="8"/>
        <v>0</v>
      </c>
      <c r="BL62" s="424"/>
      <c r="BM62" s="142"/>
      <c r="BN62" s="425"/>
      <c r="BP62" s="274" t="str">
        <f t="shared" si="11"/>
        <v>No</v>
      </c>
      <c r="BR62" t="str">
        <f>IF(((IFERROR(INDEX('Fixed Cost-C19RM'!$AO$5:$AO$202,MATCH(BS62&amp;C62&amp;D62&amp;F62,'Fixed Cost-C19RM'!$A$5:$A$202,0)),0)))&gt;0,"Yes","NO")</f>
        <v>NO</v>
      </c>
      <c r="BS62" s="286" t="s">
        <v>83</v>
      </c>
      <c r="BT62" t="s">
        <v>3298</v>
      </c>
      <c r="BU62" s="411" t="s">
        <v>3648</v>
      </c>
    </row>
    <row r="63" spans="1:108" ht="39" customHeight="1" x14ac:dyDescent="0.35">
      <c r="A63" s="364"/>
      <c r="B63" s="363" t="str">
        <f>PMsheet!$AH$94&amp;'Detailed BudgetC19RM'!BU63</f>
        <v>000P23HP1158</v>
      </c>
      <c r="C63" s="315" t="s">
        <v>2749</v>
      </c>
      <c r="D63" s="315" t="s">
        <v>3145</v>
      </c>
      <c r="E63" s="261" t="s">
        <v>3146</v>
      </c>
      <c r="F63" s="314" t="s">
        <v>3121</v>
      </c>
      <c r="G63" s="315">
        <f ca="1">SETUP!$T$2</f>
        <v>0</v>
      </c>
      <c r="H63" s="315" t="str">
        <f>IF(SETUP!$E$3="","","National/Country Level")</f>
        <v/>
      </c>
      <c r="I63" s="315" t="str">
        <f>IFERROR(IF(INDEX('Master Data-C19RM'!$E$8:$E$18,MATCH((INDEX(SETUP!$E$20:$E$34,MATCH('Detailed BudgetC19RM'!BQ63,SETUP!$D$20:$D$34,0))),'Master Data-C19RM'!$D$8:$D$18,0))="Implementer's name",SETUP!$J$5,INDEX('Master Data-C19RM'!$E$8:$E$18,MATCH((INDEX(SETUP!$E$20:$E$34,MATCH('Detailed BudgetC19RM'!BQ63,SETUP!$D$20:$D$34,0))),'Master Data-C19RM'!$D$8:$D$18,0))),"Pls select HPMT Category in ' BQ ' column")</f>
        <v>Not Applicable</v>
      </c>
      <c r="J63" s="315" t="s">
        <v>707</v>
      </c>
      <c r="K63" s="315">
        <f t="shared" si="10"/>
        <v>0</v>
      </c>
      <c r="L63" s="315"/>
      <c r="M63" s="315">
        <f>SETUP!$E$7</f>
        <v>0</v>
      </c>
      <c r="N63" s="315"/>
      <c r="O63" s="315"/>
      <c r="P63" s="315"/>
      <c r="Q63" s="917" cm="1">
        <f t="array" ref="Q63">(SUMPRODUCT(('Cashflow Summary C19RM'!$B$5:$B$100="C19RM 2021-Lab &amp; Other HPS")*('Cashflow Summary C19RM'!$A$5:$A$100=6)*1*('Cashflow Summary C19RM'!$BC$5:$BC$100="5.4 Rapid Diagnostic Tests")*('Cashflow Summary C19RM'!$R$5:$R$100)))</f>
        <v>0</v>
      </c>
      <c r="R63" s="917" cm="1">
        <f t="array" ref="R63">(SUMPRODUCT(('Cashflow Summary C19RM'!$B$5:$B$100="C19RM 2021-Lab &amp; Other HPS")*('Cashflow Summary C19RM'!$A$5:$A$100=6)*1*('Cashflow Summary C19RM'!$BC$5:$BC$100="5.4 Rapid Diagnostic Tests")*('Cashflow Summary C19RM'!$S$5:$S$100)))</f>
        <v>0</v>
      </c>
      <c r="S63" s="917" cm="1">
        <f t="array" ref="S63">(SUMPRODUCT(('Cashflow Summary C19RM'!$B$5:$B$100="C19RM 2021-Lab &amp; Other HPS")*('Cashflow Summary C19RM'!$A$5:$A$100=6)*1*('Cashflow Summary C19RM'!$BC$5:$BC$100="5.4 Rapid Diagnostic Tests")*('Cashflow Summary C19RM'!$T$5:$T$100)))</f>
        <v>0</v>
      </c>
      <c r="T63" s="917" cm="1">
        <f t="array" ref="T63">(SUMPRODUCT(('Cashflow Summary C19RM'!$B$5:$B$100="C19RM 2021-Lab &amp; Other HPS")*('Cashflow Summary C19RM'!$A$5:$A$100=6)*1*('Cashflow Summary C19RM'!$BC$5:$BC$100="5.4 Rapid Diagnostic Tests")*('Cashflow Summary C19RM'!$U$5:$U$100)))</f>
        <v>0</v>
      </c>
      <c r="U63" s="948">
        <f t="shared" si="2"/>
        <v>0</v>
      </c>
      <c r="V63" s="424"/>
      <c r="W63" s="424"/>
      <c r="X63" s="424"/>
      <c r="Y63" s="424" cm="1">
        <f t="array" ref="Y63">(SUMPRODUCT(('Cashflow Summary C19RM'!$B$5:$B$100="C19RM 2021-Lab &amp; Other HPS")*('Cashflow Summary C19RM'!$A$5:$A$100=6)*1*('Cashflow Summary C19RM'!$BC$5:$BC$100="5.4 Rapid Diagnostic Tests")*('Cashflow Summary C19RM'!$V$5:$V$100)))</f>
        <v>0</v>
      </c>
      <c r="Z63" s="424" cm="1">
        <f t="array" ref="Z63">(SUMPRODUCT(('Cashflow Summary C19RM'!$B$5:$B$100="C19RM 2021-Lab &amp; Other HPS")*('Cashflow Summary C19RM'!$A$5:$A$100=6)*1*('Cashflow Summary C19RM'!$BC$5:$BC$100="5.4 Rapid Diagnostic Tests")*('Cashflow Summary C19RM'!$W$5:$W$100)))</f>
        <v>0</v>
      </c>
      <c r="AA63" s="424" cm="1">
        <f t="array" ref="AA63">(SUMPRODUCT(('Cashflow Summary C19RM'!$B$5:$B$100="C19RM 2021-Lab &amp; Other HPS")*('Cashflow Summary C19RM'!$A$5:$A$100=6)*1*('Cashflow Summary C19RM'!$BC$5:$BC$100="5.4 Rapid Diagnostic Tests")*('Cashflow Summary C19RM'!$X$5:$X$100)))</f>
        <v>0</v>
      </c>
      <c r="AB63" s="424" cm="1">
        <f t="array" ref="AB63">(SUMPRODUCT(('Cashflow Summary C19RM'!$B$5:$B$100="C19RM 2021-Lab &amp; Other HPS")*('Cashflow Summary C19RM'!$A$5:$A$100=6)*1*('Cashflow Summary C19RM'!$BC$5:$BC$100="5.4 Rapid Diagnostic Tests")*('Cashflow Summary C19RM'!$Y$5:$Y$100)))</f>
        <v>0</v>
      </c>
      <c r="AC63" s="424">
        <f t="shared" si="3"/>
        <v>0</v>
      </c>
      <c r="AD63" s="424"/>
      <c r="AE63" s="424"/>
      <c r="AF63" s="424"/>
      <c r="AG63" s="424" cm="1">
        <f t="array" ref="AG63">(SUMPRODUCT(('Cashflow Summary C19RM'!$B$5:$B$100="C19RM 2021-Lab &amp; Other HPS")*('Cashflow Summary C19RM'!$A$5:$A$100=6)*1*('Cashflow Summary C19RM'!$BC$5:$BC$100="5.4 Rapid Diagnostic Tests")*('Cashflow Summary C19RM'!$Z$5:$Z$100)))</f>
        <v>0</v>
      </c>
      <c r="AH63" s="424" cm="1">
        <f t="array" ref="AH63">(SUMPRODUCT(('Cashflow Summary C19RM'!$B$5:$B$100="C19RM 2021-Lab &amp; Other HPS")*('Cashflow Summary C19RM'!$A$5:$A$100=6)*1*('Cashflow Summary C19RM'!$BC$5:$BC$100="5.4 Rapid Diagnostic Tests")*('Cashflow Summary C19RM'!$AA$5:$AA$100)))</f>
        <v>0</v>
      </c>
      <c r="AI63" s="424" cm="1">
        <f t="array" ref="AI63">(SUMPRODUCT(('Cashflow Summary C19RM'!$B$5:$B$100="C19RM 2021-Lab &amp; Other HPS")*('Cashflow Summary C19RM'!$A$5:$A$100=6)*1*('Cashflow Summary C19RM'!$BC$5:$BC$100="5.4 Rapid Diagnostic Tests")*('Cashflow Summary C19RM'!$AB$5:$AB$100)))</f>
        <v>0</v>
      </c>
      <c r="AJ63" s="424" cm="1">
        <f t="array" ref="AJ63">(SUMPRODUCT(('Cashflow Summary C19RM'!$B$5:$B$100="C19RM 2021-Lab &amp; Other HPS")*('Cashflow Summary C19RM'!$A$5:$A$100=6)*1*('Cashflow Summary C19RM'!$BC$5:$BC$100="5.4 Rapid Diagnostic Tests")*('Cashflow Summary C19RM'!$AC$5:$AC$100)))</f>
        <v>0</v>
      </c>
      <c r="AK63" s="424">
        <f t="shared" si="4"/>
        <v>0</v>
      </c>
      <c r="AL63" s="424"/>
      <c r="AM63" s="424"/>
      <c r="AN63" s="424"/>
      <c r="AO63" s="424" cm="1">
        <f t="array" ref="AO63">(SUMPRODUCT(('Cashflow Summary C19RM'!$B$5:$B$100="C19RM 2021-Lab &amp; Other HPS")*('Cashflow Summary C19RM'!$A$5:$A$100=6)*1*('Cashflow Summary C19RM'!$BC$5:$BC$100="5.4 Rapid Diagnostic Tests")*('Cashflow Summary C19RM'!$AD$5:$AD$100)))</f>
        <v>0</v>
      </c>
      <c r="AP63" s="424" cm="1">
        <f t="array" ref="AP63">(SUMPRODUCT(('Cashflow Summary C19RM'!$B$5:$B$100="C19RM 2021-Lab &amp; Other HPS")*('Cashflow Summary C19RM'!$A$5:$A$100=6)*1*('Cashflow Summary C19RM'!$BC$5:$BC$100="5.4 Rapid Diagnostic Tests")*('Cashflow Summary C19RM'!$AE$5:$AE$100)))</f>
        <v>0</v>
      </c>
      <c r="AQ63" s="424" cm="1">
        <f t="array" ref="AQ63">(SUMPRODUCT(('Cashflow Summary C19RM'!$B$5:$B$100="C19RM 2021-Lab &amp; Other HPS")*('Cashflow Summary C19RM'!$A$5:$A$100=6)*1*('Cashflow Summary C19RM'!$BC$5:$BC$100="5.4 Rapid Diagnostic Tests")*('Cashflow Summary C19RM'!$AF$5:$AF$100)))</f>
        <v>0</v>
      </c>
      <c r="AR63" s="424" cm="1">
        <f t="array" ref="AR63">(SUMPRODUCT(('Cashflow Summary C19RM'!$B$5:$B$100="C19RM 2021-Lab &amp; Other HPS")*('Cashflow Summary C19RM'!$A$5:$A$100=6)*1*('Cashflow Summary C19RM'!$BC$5:$BC$100="5.4 Rapid Diagnostic Tests")*('Cashflow Summary C19RM'!$AG$5:$AG$100)))</f>
        <v>0</v>
      </c>
      <c r="AS63" s="424">
        <f t="shared" si="5"/>
        <v>0</v>
      </c>
      <c r="AT63" s="424"/>
      <c r="AU63" s="424"/>
      <c r="AV63" s="424"/>
      <c r="AW63" s="424" cm="1">
        <f t="array" ref="AW63">(SUMPRODUCT(('Cashflow Summary C19RM'!$B$5:$B$100="C19RM 2021-Lab &amp; Other HPS")*('Cashflow Summary C19RM'!$A$5:$A$100=6)*1*('Cashflow Summary C19RM'!$BC$5:$BC$100="5.4 Rapid Diagnostic Tests")*('Cashflow Summary C19RM'!$AH$5:$AH$100)))</f>
        <v>0</v>
      </c>
      <c r="AX63" s="424" cm="1">
        <f t="array" ref="AX63">(SUMPRODUCT(('Cashflow Summary C19RM'!$B$5:$B$100="C19RM 2021-Lab &amp; Other HPS")*('Cashflow Summary C19RM'!$A$5:$A$100=6)*1*('Cashflow Summary C19RM'!$BC$5:$BC$100="5.4 Rapid Diagnostic Tests")*('Cashflow Summary C19RM'!$AI$5:$AI$100)))</f>
        <v>0</v>
      </c>
      <c r="AY63" s="424" cm="1">
        <f t="array" ref="AY63">(SUMPRODUCT(('Cashflow Summary C19RM'!$B$5:$B$100="C19RM 2021-Lab &amp; Other HPS")*('Cashflow Summary C19RM'!$A$5:$A$100=6)*1*('Cashflow Summary C19RM'!$BC$5:$BC$100="5.4 Rapid Diagnostic Tests")*('Cashflow Summary C19RM'!$AJ$5:$AJ$100)))</f>
        <v>0</v>
      </c>
      <c r="AZ63" s="424" cm="1">
        <f t="array" ref="AZ63">(SUMPRODUCT(('Cashflow Summary C19RM'!$B$5:$B$100="C19RM 2021-Lab &amp; Other HPS")*('Cashflow Summary C19RM'!$A$5:$A$100=6)*1*('Cashflow Summary C19RM'!$BC$5:$BC$100="5.4 Rapid Diagnostic Tests")*('Cashflow Summary C19RM'!$AK$5:$AK$100)))</f>
        <v>0</v>
      </c>
      <c r="BA63" s="424">
        <f t="shared" si="6"/>
        <v>0</v>
      </c>
      <c r="BB63" s="424"/>
      <c r="BC63" s="424"/>
      <c r="BD63" s="424"/>
      <c r="BE63" s="424" cm="1">
        <f t="array" ref="BE63">(SUMPRODUCT(('Cashflow Summary C19RM'!$B$5:$B$100="C19RM 2021-Lab &amp; Other HPS")*('Cashflow Summary C19RM'!$A$5:$A$100=6)*1*('Cashflow Summary C19RM'!$BC$5:$BC$100="5.4 Rapid Diagnostic Tests")*('Cashflow Summary C19RM'!$AL$5:$AL$100)))</f>
        <v>0</v>
      </c>
      <c r="BF63" s="424" cm="1">
        <f t="array" ref="BF63">(SUMPRODUCT(('Cashflow Summary C19RM'!$B$5:$B$100="C19RM 2021-Lab &amp; Other HPS")*('Cashflow Summary C19RM'!$A$5:$A$100=6)*1*('Cashflow Summary C19RM'!$BC$5:$BC$100="5.4 Rapid Diagnostic Tests")*('Cashflow Summary C19RM'!$AM$5:$AM$100)))</f>
        <v>0</v>
      </c>
      <c r="BG63" s="424" cm="1">
        <f t="array" ref="BG63">(SUMPRODUCT(('Cashflow Summary C19RM'!$B$5:$B$100="C19RM 2021-Lab &amp; Other HPS")*('Cashflow Summary C19RM'!$A$5:$A$100=6)*1*('Cashflow Summary C19RM'!$BC$5:$BC$100="5.4 Rapid Diagnostic Tests")*('Cashflow Summary C19RM'!$AN$5:$AN$100)))</f>
        <v>0</v>
      </c>
      <c r="BH63" s="424" cm="1">
        <f t="array" ref="BH63">(SUMPRODUCT(('Cashflow Summary C19RM'!$B$5:$B$100="C19RM 2021-Lab &amp; Other HPS")*('Cashflow Summary C19RM'!$A$5:$A$100=6)*1*('Cashflow Summary C19RM'!$BC$5:$BC$100="5.4 Rapid Diagnostic Tests")*('Cashflow Summary C19RM'!$AO$5:$AO$100)))</f>
        <v>0</v>
      </c>
      <c r="BI63" s="424">
        <f t="shared" si="7"/>
        <v>0</v>
      </c>
      <c r="BJ63" s="424"/>
      <c r="BK63" s="424">
        <f t="shared" si="8"/>
        <v>0</v>
      </c>
      <c r="BL63" s="424"/>
      <c r="BM63" s="142"/>
      <c r="BN63" s="425"/>
      <c r="BP63" s="274" t="str">
        <f t="shared" si="11"/>
        <v>No</v>
      </c>
      <c r="BQ63" t="s">
        <v>31</v>
      </c>
      <c r="BS63" s="286" t="s">
        <v>83</v>
      </c>
      <c r="BT63" t="s">
        <v>3308</v>
      </c>
      <c r="BU63" s="411" t="s">
        <v>3649</v>
      </c>
    </row>
    <row r="64" spans="1:108" ht="39" customHeight="1" x14ac:dyDescent="0.35">
      <c r="A64" s="364"/>
      <c r="B64" s="363" t="str">
        <f>PMsheet!$AH$94&amp;'Detailed BudgetC19RM'!BU64</f>
        <v>000P23HP1159</v>
      </c>
      <c r="C64" s="315" t="s">
        <v>2749</v>
      </c>
      <c r="D64" s="315" t="s">
        <v>3145</v>
      </c>
      <c r="E64" s="261" t="s">
        <v>3147</v>
      </c>
      <c r="F64" s="314" t="s">
        <v>3123</v>
      </c>
      <c r="G64" s="315">
        <f ca="1">SETUP!$T$2</f>
        <v>0</v>
      </c>
      <c r="H64" s="315" t="str">
        <f>IF(SETUP!$E$3="","","National/Country Level")</f>
        <v/>
      </c>
      <c r="I64" s="315" t="str">
        <f>IFERROR(IF(INDEX('Master Data-C19RM'!$E$8:$E$18,MATCH((INDEX(SETUP!$E$20:$E$34,MATCH('Detailed BudgetC19RM'!BQ64,SETUP!$D$20:$D$34,0))),'Master Data-C19RM'!$D$8:$D$18,0))="Implementer's name",SETUP!$J$5,INDEX('Master Data-C19RM'!$E$8:$E$18,MATCH((INDEX(SETUP!$E$20:$E$34,MATCH('Detailed BudgetC19RM'!BQ64,SETUP!$D$20:$D$34,0))),'Master Data-C19RM'!$D$8:$D$18,0))),"Pls select HPMT Category in ' BQ ' column")</f>
        <v>Not Applicable</v>
      </c>
      <c r="J64" s="315" t="s">
        <v>707</v>
      </c>
      <c r="K64" s="315">
        <f t="shared" si="10"/>
        <v>0</v>
      </c>
      <c r="L64" s="315"/>
      <c r="M64" s="315">
        <f>SETUP!$E$7</f>
        <v>0</v>
      </c>
      <c r="N64" s="315"/>
      <c r="O64" s="315"/>
      <c r="P64" s="315"/>
      <c r="Q64" s="917" cm="1">
        <f t="array" ref="Q64">(SUMPRODUCT(('Cashflow Summary C19RM'!$B$5:$B$100="C19RM 2021-Lab &amp; Other HPS")*('Cashflow Summary C19RM'!$A$5:$A$100=6)*1*('Cashflow Summary C19RM'!$BC$5:$BC$100="5.6 Other laboratory reagents, test kits and consumables")*('Cashflow Summary C19RM'!$R$5:$R$100)))</f>
        <v>0</v>
      </c>
      <c r="R64" s="917" cm="1">
        <f t="array" ref="R64">(SUMPRODUCT(('Cashflow Summary C19RM'!$B$5:$B$100="C19RM 2021-Lab &amp; Other HPS")*('Cashflow Summary C19RM'!$A$5:$A$100=6)*1*('Cashflow Summary C19RM'!$BC$5:$BC$100="5.6 Other laboratory reagents, test kits and consumables")*('Cashflow Summary C19RM'!$S$5:$S$100)))</f>
        <v>0</v>
      </c>
      <c r="S64" s="917" cm="1">
        <f t="array" ref="S64">(SUMPRODUCT(('Cashflow Summary C19RM'!$B$5:$B$100="C19RM 2021-Lab &amp; Other HPS")*('Cashflow Summary C19RM'!$A$5:$A$100=6)*1*('Cashflow Summary C19RM'!$BC$5:$BC$100="5.6 Other laboratory reagents, test kits and consumables")*('Cashflow Summary C19RM'!$T$5:$T$100)))</f>
        <v>0</v>
      </c>
      <c r="T64" s="917" cm="1">
        <f t="array" ref="T64">(SUMPRODUCT(('Cashflow Summary C19RM'!$B$5:$B$100="C19RM 2021-Lab &amp; Other HPS")*('Cashflow Summary C19RM'!$A$5:$A$100=6)*1*('Cashflow Summary C19RM'!$BC$5:$BC$100="5.6 Other laboratory reagents, test kits and consumables")*('Cashflow Summary C19RM'!$U$5:$U$100)))</f>
        <v>0</v>
      </c>
      <c r="U64" s="948">
        <f t="shared" si="2"/>
        <v>0</v>
      </c>
      <c r="V64" s="424"/>
      <c r="W64" s="424"/>
      <c r="X64" s="424"/>
      <c r="Y64" s="424" cm="1">
        <f t="array" ref="Y64">(SUMPRODUCT(('Cashflow Summary C19RM'!$B$5:$B$100="C19RM 2021-Lab &amp; Other HPS")*('Cashflow Summary C19RM'!$A$5:$A$100=6)*1*('Cashflow Summary C19RM'!$BC$5:$BC$100="5.6 Other laboratory reagents, test kits and consumables")*('Cashflow Summary C19RM'!$V$5:$V$100)))</f>
        <v>0</v>
      </c>
      <c r="Z64" s="424" cm="1">
        <f t="array" ref="Z64">(SUMPRODUCT(('Cashflow Summary C19RM'!$B$5:$B$100="C19RM 2021-Lab &amp; Other HPS")*('Cashflow Summary C19RM'!$A$5:$A$100=6)*1*('Cashflow Summary C19RM'!$BC$5:$BC$100="5.6 Other laboratory reagents, test kits and consumables")*('Cashflow Summary C19RM'!$W$5:$W$100)))</f>
        <v>0</v>
      </c>
      <c r="AA64" s="424" cm="1">
        <f t="array" ref="AA64">(SUMPRODUCT(('Cashflow Summary C19RM'!$B$5:$B$100="C19RM 2021-Lab &amp; Other HPS")*('Cashflow Summary C19RM'!$A$5:$A$100=6)*1*('Cashflow Summary C19RM'!$BC$5:$BC$100="5.6 Other laboratory reagents, test kits and consumables")*('Cashflow Summary C19RM'!$X$5:$X$100)))</f>
        <v>0</v>
      </c>
      <c r="AB64" s="424" cm="1">
        <f t="array" ref="AB64">(SUMPRODUCT(('Cashflow Summary C19RM'!$B$5:$B$100="C19RM 2021-Lab &amp; Other HPS")*('Cashflow Summary C19RM'!$A$5:$A$100=6)*1*('Cashflow Summary C19RM'!$BC$5:$BC$100="5.6 Other laboratory reagents, test kits and consumables")*('Cashflow Summary C19RM'!$Y$5:$Y$100)))</f>
        <v>0</v>
      </c>
      <c r="AC64" s="424">
        <f t="shared" si="3"/>
        <v>0</v>
      </c>
      <c r="AD64" s="424"/>
      <c r="AE64" s="424"/>
      <c r="AF64" s="424"/>
      <c r="AG64" s="424" cm="1">
        <f t="array" ref="AG64">(SUMPRODUCT(('Cashflow Summary C19RM'!$B$5:$B$100="C19RM 2021-Lab &amp; Other HPS")*('Cashflow Summary C19RM'!$A$5:$A$100=6)*1*('Cashflow Summary C19RM'!$BC$5:$BC$100="5.6 Other laboratory reagents, test kits and consumables")*('Cashflow Summary C19RM'!$Z$5:$Z$100)))</f>
        <v>0</v>
      </c>
      <c r="AH64" s="424" cm="1">
        <f t="array" ref="AH64">(SUMPRODUCT(('Cashflow Summary C19RM'!$B$5:$B$100="C19RM 2021-Lab &amp; Other HPS")*('Cashflow Summary C19RM'!$A$5:$A$100=6)*1*('Cashflow Summary C19RM'!$BC$5:$BC$100="5.6 Other laboratory reagents, test kits and consumables")*('Cashflow Summary C19RM'!$AA$5:$AA$100)))</f>
        <v>0</v>
      </c>
      <c r="AI64" s="424" cm="1">
        <f t="array" ref="AI64">(SUMPRODUCT(('Cashflow Summary C19RM'!$B$5:$B$100="C19RM 2021-Lab &amp; Other HPS")*('Cashflow Summary C19RM'!$A$5:$A$100=6)*1*('Cashflow Summary C19RM'!$BC$5:$BC$100="5.6 Other laboratory reagents, test kits and consumables")*('Cashflow Summary C19RM'!$AB$5:$AB$100)))</f>
        <v>0</v>
      </c>
      <c r="AJ64" s="424" cm="1">
        <f t="array" ref="AJ64">(SUMPRODUCT(('Cashflow Summary C19RM'!$B$5:$B$100="C19RM 2021-Lab &amp; Other HPS")*('Cashflow Summary C19RM'!$A$5:$A$100=6)*1*('Cashflow Summary C19RM'!$BC$5:$BC$100="5.6 Other laboratory reagents, test kits and consumables")*('Cashflow Summary C19RM'!$AC$5:$AC$100)))</f>
        <v>0</v>
      </c>
      <c r="AK64" s="424">
        <f t="shared" si="4"/>
        <v>0</v>
      </c>
      <c r="AL64" s="424"/>
      <c r="AM64" s="424"/>
      <c r="AN64" s="424"/>
      <c r="AO64" s="424" cm="1">
        <f t="array" ref="AO64">(SUMPRODUCT(('Cashflow Summary C19RM'!$B$5:$B$100="C19RM 2021-Lab &amp; Other HPS")*('Cashflow Summary C19RM'!$A$5:$A$100=6)*1*('Cashflow Summary C19RM'!$BC$5:$BC$100="5.6 Other laboratory reagents, test kits and consumables")*('Cashflow Summary C19RM'!$AD$5:$AD$100)))</f>
        <v>0</v>
      </c>
      <c r="AP64" s="424" cm="1">
        <f t="array" ref="AP64">(SUMPRODUCT(('Cashflow Summary C19RM'!$B$5:$B$100="C19RM 2021-Lab &amp; Other HPS")*('Cashflow Summary C19RM'!$A$5:$A$100=6)*1*('Cashflow Summary C19RM'!$BC$5:$BC$100="5.6 Other laboratory reagents, test kits and consumables")*('Cashflow Summary C19RM'!$AE$5:$AE$100)))</f>
        <v>0</v>
      </c>
      <c r="AQ64" s="424" cm="1">
        <f t="array" ref="AQ64">(SUMPRODUCT(('Cashflow Summary C19RM'!$B$5:$B$100="C19RM 2021-Lab &amp; Other HPS")*('Cashflow Summary C19RM'!$A$5:$A$100=6)*1*('Cashflow Summary C19RM'!$BC$5:$BC$100="5.6 Other laboratory reagents, test kits and consumables")*('Cashflow Summary C19RM'!$AF$5:$AF$100)))</f>
        <v>0</v>
      </c>
      <c r="AR64" s="424" cm="1">
        <f t="array" ref="AR64">(SUMPRODUCT(('Cashflow Summary C19RM'!$B$5:$B$100="C19RM 2021-Lab &amp; Other HPS")*('Cashflow Summary C19RM'!$A$5:$A$100=6)*1*('Cashflow Summary C19RM'!$BC$5:$BC$100="5.6 Other laboratory reagents, test kits and consumables")*('Cashflow Summary C19RM'!$AG$5:$AG$100)))</f>
        <v>0</v>
      </c>
      <c r="AS64" s="424">
        <f t="shared" si="5"/>
        <v>0</v>
      </c>
      <c r="AT64" s="424"/>
      <c r="AU64" s="424"/>
      <c r="AV64" s="424"/>
      <c r="AW64" s="424" cm="1">
        <f t="array" ref="AW64">(SUMPRODUCT(('Cashflow Summary C19RM'!$B$5:$B$100="C19RM 2021-Lab &amp; Other HPS")*('Cashflow Summary C19RM'!$A$5:$A$100=6)*1*('Cashflow Summary C19RM'!$BC$5:$BC$100="5.6 Other laboratory reagents, test kits and consumables")*('Cashflow Summary C19RM'!$AH$5:$AH$100)))</f>
        <v>0</v>
      </c>
      <c r="AX64" s="424" cm="1">
        <f t="array" ref="AX64">(SUMPRODUCT(('Cashflow Summary C19RM'!$B$5:$B$100="C19RM 2021-Lab &amp; Other HPS")*('Cashflow Summary C19RM'!$A$5:$A$100=6)*1*('Cashflow Summary C19RM'!$BC$5:$BC$100="5.6 Other laboratory reagents, test kits and consumables")*('Cashflow Summary C19RM'!$AI$5:$AI$100)))</f>
        <v>0</v>
      </c>
      <c r="AY64" s="424" cm="1">
        <f t="array" ref="AY64">(SUMPRODUCT(('Cashflow Summary C19RM'!$B$5:$B$100="C19RM 2021-Lab &amp; Other HPS")*('Cashflow Summary C19RM'!$A$5:$A$100=6)*1*('Cashflow Summary C19RM'!$BC$5:$BC$100="5.6 Other laboratory reagents, test kits and consumables")*('Cashflow Summary C19RM'!$AJ$5:$AJ$100)))</f>
        <v>0</v>
      </c>
      <c r="AZ64" s="424" cm="1">
        <f t="array" ref="AZ64">(SUMPRODUCT(('Cashflow Summary C19RM'!$B$5:$B$100="C19RM 2021-Lab &amp; Other HPS")*('Cashflow Summary C19RM'!$A$5:$A$100=6)*1*('Cashflow Summary C19RM'!$BC$5:$BC$100="5.6 Other laboratory reagents, test kits and consumables")*('Cashflow Summary C19RM'!$AK$5:$AK$100)))</f>
        <v>0</v>
      </c>
      <c r="BA64" s="424">
        <f t="shared" si="6"/>
        <v>0</v>
      </c>
      <c r="BB64" s="424"/>
      <c r="BC64" s="424"/>
      <c r="BD64" s="424"/>
      <c r="BE64" s="424" cm="1">
        <f t="array" ref="BE64">(SUMPRODUCT(('Cashflow Summary C19RM'!$B$5:$B$100="C19RM 2021-Lab &amp; Other HPS")*('Cashflow Summary C19RM'!$A$5:$A$100=6)*1*('Cashflow Summary C19RM'!$BC$5:$BC$100="5.6 Other laboratory reagents, test kits and consumables")*('Cashflow Summary C19RM'!$AL$5:$AL$100)))</f>
        <v>0</v>
      </c>
      <c r="BF64" s="424" cm="1">
        <f t="array" ref="BF64">(SUMPRODUCT(('Cashflow Summary C19RM'!$B$5:$B$100="C19RM 2021-Lab &amp; Other HPS")*('Cashflow Summary C19RM'!$A$5:$A$100=6)*1*('Cashflow Summary C19RM'!$BC$5:$BC$100="5.6 Other laboratory reagents, test kits and consumables")*('Cashflow Summary C19RM'!$AM$5:$AM$100)))</f>
        <v>0</v>
      </c>
      <c r="BG64" s="424" cm="1">
        <f t="array" ref="BG64">(SUMPRODUCT(('Cashflow Summary C19RM'!$B$5:$B$100="C19RM 2021-Lab &amp; Other HPS")*('Cashflow Summary C19RM'!$A$5:$A$100=6)*1*('Cashflow Summary C19RM'!$BC$5:$BC$100="5.6 Other laboratory reagents, test kits and consumables")*('Cashflow Summary C19RM'!$AN$5:$AN$100)))</f>
        <v>0</v>
      </c>
      <c r="BH64" s="424" cm="1">
        <f t="array" ref="BH64">(SUMPRODUCT(('Cashflow Summary C19RM'!$B$5:$B$100="C19RM 2021-Lab &amp; Other HPS")*('Cashflow Summary C19RM'!$A$5:$A$100=6)*1*('Cashflow Summary C19RM'!$BC$5:$BC$100="5.6 Other laboratory reagents, test kits and consumables")*('Cashflow Summary C19RM'!$AO$5:$AO$100)))</f>
        <v>0</v>
      </c>
      <c r="BI64" s="424">
        <f t="shared" si="7"/>
        <v>0</v>
      </c>
      <c r="BJ64" s="424"/>
      <c r="BK64" s="424">
        <f t="shared" si="8"/>
        <v>0</v>
      </c>
      <c r="BL64" s="424"/>
      <c r="BM64" s="142"/>
      <c r="BN64" s="425"/>
      <c r="BP64" s="274" t="str">
        <f t="shared" si="11"/>
        <v>No</v>
      </c>
      <c r="BQ64" t="s">
        <v>31</v>
      </c>
      <c r="BS64" s="286" t="s">
        <v>83</v>
      </c>
      <c r="BT64" t="s">
        <v>3309</v>
      </c>
      <c r="BU64" s="411" t="s">
        <v>3650</v>
      </c>
    </row>
    <row r="65" spans="1:73" ht="39" customHeight="1" x14ac:dyDescent="0.35">
      <c r="A65" s="364"/>
      <c r="B65" s="363" t="str">
        <f>PMsheet!$AH$94&amp;'Detailed BudgetC19RM'!BU65</f>
        <v>000P23HP1160</v>
      </c>
      <c r="C65" s="315" t="s">
        <v>2749</v>
      </c>
      <c r="D65" s="315" t="s">
        <v>3145</v>
      </c>
      <c r="E65" s="261" t="s">
        <v>3148</v>
      </c>
      <c r="F65" s="314" t="s">
        <v>181</v>
      </c>
      <c r="G65" s="315">
        <f ca="1">SETUP!$T$2</f>
        <v>0</v>
      </c>
      <c r="H65" s="315" t="str">
        <f>IF(SETUP!$E$3="","","National/Country Level")</f>
        <v/>
      </c>
      <c r="I65" s="315" t="str">
        <f>IFERROR(IF(INDEX('Master Data-C19RM'!$E$8:$E$18,MATCH((INDEX(SETUP!$E$20:$E$34,MATCH('Detailed BudgetC19RM'!BQ65,SETUP!$D$20:$D$34,0))),'Master Data-C19RM'!$D$8:$D$18,0))="Implementer's name",SETUP!$J$5,INDEX('Master Data-C19RM'!$E$8:$E$18,MATCH((INDEX(SETUP!$E$20:$E$34,MATCH('Detailed BudgetC19RM'!BQ65,SETUP!$D$20:$D$34,0))),'Master Data-C19RM'!$D$8:$D$18,0))),"Pls select HPMT Category in ' BQ ' column")</f>
        <v>Not Applicable</v>
      </c>
      <c r="J65" s="315" t="s">
        <v>707</v>
      </c>
      <c r="K65" s="315">
        <f t="shared" si="10"/>
        <v>0</v>
      </c>
      <c r="L65" s="315"/>
      <c r="M65" s="315">
        <f>SETUP!$E$7</f>
        <v>0</v>
      </c>
      <c r="N65" s="315"/>
      <c r="O65" s="315"/>
      <c r="P65" s="315"/>
      <c r="Q65" s="917" cm="1">
        <f t="array" ref="Q65">(SUMPRODUCT(('Cashflow Summary C19RM'!$B$5:$B$100="C19RM 2021-Lab &amp; Other HPS")*('Cashflow Summary C19RM'!$A$5:$A$100=6)*1*('Cashflow Summary C19RM'!$BC$5:$BC$100="5.8 Other consumables")*('Cashflow Summary C19RM'!$R$5:$R$100)))</f>
        <v>0</v>
      </c>
      <c r="R65" s="917" cm="1">
        <f t="array" ref="R65">(SUMPRODUCT(('Cashflow Summary C19RM'!$B$5:$B$100="C19RM 2021-Lab &amp; Other HPS")*('Cashflow Summary C19RM'!$A$5:$A$100=6)*1*('Cashflow Summary C19RM'!$BC$5:$BC$100="5.8 Other consumables")*('Cashflow Summary C19RM'!$S$5:$S$100)))</f>
        <v>0</v>
      </c>
      <c r="S65" s="917" cm="1">
        <f t="array" ref="S65">(SUMPRODUCT(('Cashflow Summary C19RM'!$B$5:$B$100="C19RM 2021-Lab &amp; Other HPS")*('Cashflow Summary C19RM'!$A$5:$A$100=6)*1*('Cashflow Summary C19RM'!$BC$5:$BC$100="5.8 Other consumables")*('Cashflow Summary C19RM'!$T$5:$T$100)))</f>
        <v>0</v>
      </c>
      <c r="T65" s="917" cm="1">
        <f t="array" ref="T65">(SUMPRODUCT(('Cashflow Summary C19RM'!$B$5:$B$100="C19RM 2021-Lab &amp; Other HPS")*('Cashflow Summary C19RM'!$A$5:$A$100=6)*1*('Cashflow Summary C19RM'!$BC$5:$BC$100="5.8 Other consumables")*('Cashflow Summary C19RM'!$U$5:$U$100)))</f>
        <v>0</v>
      </c>
      <c r="U65" s="948">
        <f t="shared" si="2"/>
        <v>0</v>
      </c>
      <c r="V65" s="424"/>
      <c r="W65" s="424"/>
      <c r="X65" s="424"/>
      <c r="Y65" s="424" cm="1">
        <f t="array" ref="Y65">(SUMPRODUCT(('Cashflow Summary C19RM'!$B$5:$B$100="C19RM 2021-Lab &amp; Other HPS")*('Cashflow Summary C19RM'!$A$5:$A$100=6)*1*('Cashflow Summary C19RM'!$BC$5:$BC$100="5.8 Other consumables")*('Cashflow Summary C19RM'!$V$5:$V$100)))</f>
        <v>0</v>
      </c>
      <c r="Z65" s="424" cm="1">
        <f t="array" ref="Z65">(SUMPRODUCT(('Cashflow Summary C19RM'!$B$5:$B$100="C19RM 2021-Lab &amp; Other HPS")*('Cashflow Summary C19RM'!$A$5:$A$100=6)*1*('Cashflow Summary C19RM'!$BC$5:$BC$100="5.8 Other consumables")*('Cashflow Summary C19RM'!$W$5:$W$100)))</f>
        <v>0</v>
      </c>
      <c r="AA65" s="424" cm="1">
        <f t="array" ref="AA65">(SUMPRODUCT(('Cashflow Summary C19RM'!$B$5:$B$100="C19RM 2021-Lab &amp; Other HPS")*('Cashflow Summary C19RM'!$A$5:$A$100=6)*1*('Cashflow Summary C19RM'!$BC$5:$BC$100="5.8 Other consumables")*('Cashflow Summary C19RM'!$X$5:$X$100)))</f>
        <v>0</v>
      </c>
      <c r="AB65" s="424" cm="1">
        <f t="array" ref="AB65">(SUMPRODUCT(('Cashflow Summary C19RM'!$B$5:$B$100="C19RM 2021-Lab &amp; Other HPS")*('Cashflow Summary C19RM'!$A$5:$A$100=6)*1*('Cashflow Summary C19RM'!$BC$5:$BC$100="5.8 Other consumables")*('Cashflow Summary C19RM'!$Y$5:$Y$100)))</f>
        <v>0</v>
      </c>
      <c r="AC65" s="424">
        <f t="shared" si="3"/>
        <v>0</v>
      </c>
      <c r="AD65" s="424"/>
      <c r="AE65" s="424"/>
      <c r="AF65" s="424"/>
      <c r="AG65" s="424" cm="1">
        <f t="array" ref="AG65">(SUMPRODUCT(('Cashflow Summary C19RM'!$B$5:$B$100="C19RM 2021-Lab &amp; Other HPS")*('Cashflow Summary C19RM'!$A$5:$A$100=6)*1*('Cashflow Summary C19RM'!$BC$5:$BC$100="5.8 Other consumables")*('Cashflow Summary C19RM'!$Z$5:$Z$100)))</f>
        <v>0</v>
      </c>
      <c r="AH65" s="424" cm="1">
        <f t="array" ref="AH65">(SUMPRODUCT(('Cashflow Summary C19RM'!$B$5:$B$100="C19RM 2021-Lab &amp; Other HPS")*('Cashflow Summary C19RM'!$A$5:$A$100=6)*1*('Cashflow Summary C19RM'!$BC$5:$BC$100="5.8 Other consumables")*('Cashflow Summary C19RM'!$AA$5:$AA$100)))</f>
        <v>0</v>
      </c>
      <c r="AI65" s="424" cm="1">
        <f t="array" ref="AI65">(SUMPRODUCT(('Cashflow Summary C19RM'!$B$5:$B$100="C19RM 2021-Lab &amp; Other HPS")*('Cashflow Summary C19RM'!$A$5:$A$100=6)*1*('Cashflow Summary C19RM'!$BC$5:$BC$100="5.8 Other consumables")*('Cashflow Summary C19RM'!$AB$5:$AB$100)))</f>
        <v>0</v>
      </c>
      <c r="AJ65" s="424" cm="1">
        <f t="array" ref="AJ65">(SUMPRODUCT(('Cashflow Summary C19RM'!$B$5:$B$100="C19RM 2021-Lab &amp; Other HPS")*('Cashflow Summary C19RM'!$A$5:$A$100=6)*1*('Cashflow Summary C19RM'!$BC$5:$BC$100="5.8 Other consumables")*('Cashflow Summary C19RM'!$AC$5:$AC$100)))</f>
        <v>0</v>
      </c>
      <c r="AK65" s="424">
        <f t="shared" si="4"/>
        <v>0</v>
      </c>
      <c r="AL65" s="424"/>
      <c r="AM65" s="424"/>
      <c r="AN65" s="424"/>
      <c r="AO65" s="424" cm="1">
        <f t="array" ref="AO65">(SUMPRODUCT(('Cashflow Summary C19RM'!$B$5:$B$100="C19RM 2021-Lab &amp; Other HPS")*('Cashflow Summary C19RM'!$A$5:$A$100=6)*1*('Cashflow Summary C19RM'!$BC$5:$BC$100="5.8 Other consumables")*('Cashflow Summary C19RM'!$AD$5:$AD$100)))</f>
        <v>0</v>
      </c>
      <c r="AP65" s="424" cm="1">
        <f t="array" ref="AP65">(SUMPRODUCT(('Cashflow Summary C19RM'!$B$5:$B$100="C19RM 2021-Lab &amp; Other HPS")*('Cashflow Summary C19RM'!$A$5:$A$100=6)*1*('Cashflow Summary C19RM'!$BC$5:$BC$100="5.8 Other consumables")*('Cashflow Summary C19RM'!$AE$5:$AE$100)))</f>
        <v>0</v>
      </c>
      <c r="AQ65" s="424" cm="1">
        <f t="array" ref="AQ65">(SUMPRODUCT(('Cashflow Summary C19RM'!$B$5:$B$100="C19RM 2021-Lab &amp; Other HPS")*('Cashflow Summary C19RM'!$A$5:$A$100=6)*1*('Cashflow Summary C19RM'!$BC$5:$BC$100="5.8 Other consumables")*('Cashflow Summary C19RM'!$AF$5:$AF$100)))</f>
        <v>0</v>
      </c>
      <c r="AR65" s="424" cm="1">
        <f t="array" ref="AR65">(SUMPRODUCT(('Cashflow Summary C19RM'!$B$5:$B$100="C19RM 2021-Lab &amp; Other HPS")*('Cashflow Summary C19RM'!$A$5:$A$100=6)*1*('Cashflow Summary C19RM'!$BC$5:$BC$100="5.8 Other consumables")*('Cashflow Summary C19RM'!$AG$5:$AG$100)))</f>
        <v>0</v>
      </c>
      <c r="AS65" s="424">
        <f t="shared" si="5"/>
        <v>0</v>
      </c>
      <c r="AT65" s="424"/>
      <c r="AU65" s="424"/>
      <c r="AV65" s="424"/>
      <c r="AW65" s="424" cm="1">
        <f t="array" ref="AW65">(SUMPRODUCT(('Cashflow Summary C19RM'!$B$5:$B$100="C19RM 2021-Lab &amp; Other HPS")*('Cashflow Summary C19RM'!$A$5:$A$100=6)*1*('Cashflow Summary C19RM'!$BC$5:$BC$100="5.8 Other consumables")*('Cashflow Summary C19RM'!$AH$5:$AH$100)))</f>
        <v>0</v>
      </c>
      <c r="AX65" s="424" cm="1">
        <f t="array" ref="AX65">(SUMPRODUCT(('Cashflow Summary C19RM'!$B$5:$B$100="C19RM 2021-Lab &amp; Other HPS")*('Cashflow Summary C19RM'!$A$5:$A$100=6)*1*('Cashflow Summary C19RM'!$BC$5:$BC$100="5.8 Other consumables")*('Cashflow Summary C19RM'!$AI$5:$AI$100)))</f>
        <v>0</v>
      </c>
      <c r="AY65" s="424" cm="1">
        <f t="array" ref="AY65">(SUMPRODUCT(('Cashflow Summary C19RM'!$B$5:$B$100="C19RM 2021-Lab &amp; Other HPS")*('Cashflow Summary C19RM'!$A$5:$A$100=6)*1*('Cashflow Summary C19RM'!$BC$5:$BC$100="5.8 Other consumables")*('Cashflow Summary C19RM'!$AJ$5:$AJ$100)))</f>
        <v>0</v>
      </c>
      <c r="AZ65" s="424" cm="1">
        <f t="array" ref="AZ65">(SUMPRODUCT(('Cashflow Summary C19RM'!$B$5:$B$100="C19RM 2021-Lab &amp; Other HPS")*('Cashflow Summary C19RM'!$A$5:$A$100=6)*1*('Cashflow Summary C19RM'!$BC$5:$BC$100="5.8 Other consumables")*('Cashflow Summary C19RM'!$AK$5:$AK$100)))</f>
        <v>0</v>
      </c>
      <c r="BA65" s="424">
        <f t="shared" si="6"/>
        <v>0</v>
      </c>
      <c r="BB65" s="424"/>
      <c r="BC65" s="424"/>
      <c r="BD65" s="424"/>
      <c r="BE65" s="424" cm="1">
        <f t="array" ref="BE65">(SUMPRODUCT(('Cashflow Summary C19RM'!$B$5:$B$100="C19RM 2021-Lab &amp; Other HPS")*('Cashflow Summary C19RM'!$A$5:$A$100=6)*1*('Cashflow Summary C19RM'!$BC$5:$BC$100="5.8 Other consumables")*('Cashflow Summary C19RM'!$AL$5:$AL$100)))</f>
        <v>0</v>
      </c>
      <c r="BF65" s="424" cm="1">
        <f t="array" ref="BF65">(SUMPRODUCT(('Cashflow Summary C19RM'!$B$5:$B$100="C19RM 2021-Lab &amp; Other HPS")*('Cashflow Summary C19RM'!$A$5:$A$100=6)*1*('Cashflow Summary C19RM'!$BC$5:$BC$100="5.8 Other consumables")*('Cashflow Summary C19RM'!$AM$5:$AM$100)))</f>
        <v>0</v>
      </c>
      <c r="BG65" s="424" cm="1">
        <f t="array" ref="BG65">(SUMPRODUCT(('Cashflow Summary C19RM'!$B$5:$B$100="C19RM 2021-Lab &amp; Other HPS")*('Cashflow Summary C19RM'!$A$5:$A$100=6)*1*('Cashflow Summary C19RM'!$BC$5:$BC$100="5.8 Other consumables")*('Cashflow Summary C19RM'!$AN$5:$AN$100)))</f>
        <v>0</v>
      </c>
      <c r="BH65" s="424" cm="1">
        <f t="array" ref="BH65">(SUMPRODUCT(('Cashflow Summary C19RM'!$B$5:$B$100="C19RM 2021-Lab &amp; Other HPS")*('Cashflow Summary C19RM'!$A$5:$A$100=6)*1*('Cashflow Summary C19RM'!$BC$5:$BC$100="5.8 Other consumables")*('Cashflow Summary C19RM'!$AO$5:$AO$100)))</f>
        <v>0</v>
      </c>
      <c r="BI65" s="424">
        <f t="shared" si="7"/>
        <v>0</v>
      </c>
      <c r="BJ65" s="424"/>
      <c r="BK65" s="424">
        <f t="shared" si="8"/>
        <v>0</v>
      </c>
      <c r="BL65" s="424"/>
      <c r="BM65" s="142"/>
      <c r="BN65" s="425"/>
      <c r="BP65" s="274" t="str">
        <f t="shared" si="11"/>
        <v>No</v>
      </c>
      <c r="BQ65" t="s">
        <v>31</v>
      </c>
      <c r="BS65" s="286" t="s">
        <v>83</v>
      </c>
      <c r="BT65" t="s">
        <v>3310</v>
      </c>
      <c r="BU65" s="411" t="s">
        <v>3651</v>
      </c>
    </row>
    <row r="66" spans="1:73" ht="39" customHeight="1" x14ac:dyDescent="0.35">
      <c r="A66" s="364"/>
      <c r="B66" s="363" t="str">
        <f>PMsheet!$AH$94&amp;'Detailed BudgetC19RM'!BU66</f>
        <v>000P23HP1161</v>
      </c>
      <c r="C66" s="315" t="s">
        <v>2749</v>
      </c>
      <c r="D66" s="315" t="s">
        <v>3145</v>
      </c>
      <c r="E66" s="261" t="s">
        <v>1986</v>
      </c>
      <c r="F66" s="314" t="s">
        <v>730</v>
      </c>
      <c r="G66" s="315">
        <f ca="1">SETUP!$T$2</f>
        <v>0</v>
      </c>
      <c r="H66" s="315" t="str">
        <f>IF(SETUP!$E$3="","","National/Country Level")</f>
        <v/>
      </c>
      <c r="I66" s="315" t="str">
        <f>IFERROR(IF(INDEX('Master Data-C19RM'!$E$8:$E$18,MATCH((INDEX(SETUP!$E$20:$E$34,MATCH('Detailed BudgetC19RM'!BQ66,SETUP!$D$20:$D$34,0))),'Master Data-C19RM'!$D$8:$D$18,0))="Implementer's name",SETUP!$J$5,INDEX('Master Data-C19RM'!$E$8:$E$18,MATCH((INDEX(SETUP!$E$20:$E$34,MATCH('Detailed BudgetC19RM'!BQ66,SETUP!$D$20:$D$34,0))),'Master Data-C19RM'!$D$8:$D$18,0))),"Pls select HPMT Category in ' BQ ' column")</f>
        <v>Not Applicable</v>
      </c>
      <c r="J66" s="315" t="s">
        <v>707</v>
      </c>
      <c r="K66" s="315">
        <f t="shared" si="10"/>
        <v>0</v>
      </c>
      <c r="L66" s="315"/>
      <c r="M66" s="315">
        <f>SETUP!$E$7</f>
        <v>0</v>
      </c>
      <c r="N66" s="315"/>
      <c r="O66" s="315"/>
      <c r="P66" s="315"/>
      <c r="Q66" s="917" cm="1">
        <f t="array" ref="Q66">(SUMPRODUCT(('Cashflow Summary C19RM'!$B$5:$B$100="C19RM 2021-Lab &amp; Other HPS")*('Cashflow Summary C19RM'!$A$5:$A$100=6)*1*('Cashflow Summary C19RM'!$BC$5:$BC$100="6.5 Maintenance and service costs")*('Cashflow Summary C19RM'!$R$5:$R$100)))</f>
        <v>0</v>
      </c>
      <c r="R66" s="917" cm="1">
        <f t="array" ref="R66">(SUMPRODUCT(('Cashflow Summary C19RM'!$B$5:$B$100="C19RM 2021-Lab &amp; Other HPS")*('Cashflow Summary C19RM'!$A$5:$A$100=6)*1*('Cashflow Summary C19RM'!$BC$5:$BC$100="6.5 Maintenance and service costs")*('Cashflow Summary C19RM'!$S$5:$S$100)))</f>
        <v>0</v>
      </c>
      <c r="S66" s="917" cm="1">
        <f t="array" ref="S66">(SUMPRODUCT(('Cashflow Summary C19RM'!$B$5:$B$100="C19RM 2021-Lab &amp; Other HPS")*('Cashflow Summary C19RM'!$A$5:$A$100=6)*1*('Cashflow Summary C19RM'!$BC$5:$BC$100="6.5 Maintenance and service costs")*('Cashflow Summary C19RM'!$T$5:$T$100)))</f>
        <v>0</v>
      </c>
      <c r="T66" s="917" cm="1">
        <f t="array" ref="T66">(SUMPRODUCT(('Cashflow Summary C19RM'!$B$5:$B$100="C19RM 2021-Lab &amp; Other HPS")*('Cashflow Summary C19RM'!$A$5:$A$100=6)*1*('Cashflow Summary C19RM'!$BC$5:$BC$100="6.5 Maintenance and service costs")*('Cashflow Summary C19RM'!$U$5:$U$100)))</f>
        <v>0</v>
      </c>
      <c r="U66" s="948">
        <f t="shared" si="2"/>
        <v>0</v>
      </c>
      <c r="V66" s="424"/>
      <c r="W66" s="424"/>
      <c r="X66" s="424"/>
      <c r="Y66" s="424" cm="1">
        <f t="array" ref="Y66">(SUMPRODUCT(('Cashflow Summary C19RM'!$B$5:$B$100="C19RM 2021-Lab &amp; Other HPS")*('Cashflow Summary C19RM'!$A$5:$A$100=6)*1*('Cashflow Summary C19RM'!$BC$5:$BC$100="6.5 Maintenance and service costs")*('Cashflow Summary C19RM'!$V$5:$V$100)))</f>
        <v>0</v>
      </c>
      <c r="Z66" s="424" cm="1">
        <f t="array" ref="Z66">(SUMPRODUCT(('Cashflow Summary C19RM'!$B$5:$B$100="C19RM 2021-Lab &amp; Other HPS")*('Cashflow Summary C19RM'!$A$5:$A$100=6)*1*('Cashflow Summary C19RM'!$BC$5:$BC$100="6.5 Maintenance and service costs")*('Cashflow Summary C19RM'!$W$5:$W$100)))</f>
        <v>0</v>
      </c>
      <c r="AA66" s="424" cm="1">
        <f t="array" ref="AA66">(SUMPRODUCT(('Cashflow Summary C19RM'!$B$5:$B$100="C19RM 2021-Lab &amp; Other HPS")*('Cashflow Summary C19RM'!$A$5:$A$100=6)*1*('Cashflow Summary C19RM'!$BC$5:$BC$100="6.5 Maintenance and service costs")*('Cashflow Summary C19RM'!$X$5:$X$100)))</f>
        <v>0</v>
      </c>
      <c r="AB66" s="424" cm="1">
        <f t="array" ref="AB66">(SUMPRODUCT(('Cashflow Summary C19RM'!$B$5:$B$100="C19RM 2021-Lab &amp; Other HPS")*('Cashflow Summary C19RM'!$A$5:$A$100=6)*1*('Cashflow Summary C19RM'!$BC$5:$BC$100="6.5 Maintenance and service costs")*('Cashflow Summary C19RM'!$Y$5:$Y$100)))</f>
        <v>0</v>
      </c>
      <c r="AC66" s="424">
        <f t="shared" si="3"/>
        <v>0</v>
      </c>
      <c r="AD66" s="424"/>
      <c r="AE66" s="424"/>
      <c r="AF66" s="424"/>
      <c r="AG66" s="424" cm="1">
        <f t="array" ref="AG66">(SUMPRODUCT(('Cashflow Summary C19RM'!$B$5:$B$100="C19RM 2021-Lab &amp; Other HPS")*('Cashflow Summary C19RM'!$A$5:$A$100=6)*1*('Cashflow Summary C19RM'!$BC$5:$BC$100="6.5 Maintenance and service costs")*('Cashflow Summary C19RM'!$Z$5:$Z$100)))</f>
        <v>0</v>
      </c>
      <c r="AH66" s="424" cm="1">
        <f t="array" ref="AH66">(SUMPRODUCT(('Cashflow Summary C19RM'!$B$5:$B$100="C19RM 2021-Lab &amp; Other HPS")*('Cashflow Summary C19RM'!$A$5:$A$100=6)*1*('Cashflow Summary C19RM'!$BC$5:$BC$100="6.5 Maintenance and service costs")*('Cashflow Summary C19RM'!$AA$5:$AA$100)))</f>
        <v>0</v>
      </c>
      <c r="AI66" s="424" cm="1">
        <f t="array" ref="AI66">(SUMPRODUCT(('Cashflow Summary C19RM'!$B$5:$B$100="C19RM 2021-Lab &amp; Other HPS")*('Cashflow Summary C19RM'!$A$5:$A$100=6)*1*('Cashflow Summary C19RM'!$BC$5:$BC$100="6.5 Maintenance and service costs")*('Cashflow Summary C19RM'!$AB$5:$AB$100)))</f>
        <v>0</v>
      </c>
      <c r="AJ66" s="424" cm="1">
        <f t="array" ref="AJ66">(SUMPRODUCT(('Cashflow Summary C19RM'!$B$5:$B$100="C19RM 2021-Lab &amp; Other HPS")*('Cashflow Summary C19RM'!$A$5:$A$100=6)*1*('Cashflow Summary C19RM'!$BC$5:$BC$100="6.5 Maintenance and service costs")*('Cashflow Summary C19RM'!$AC$5:$AC$100)))</f>
        <v>0</v>
      </c>
      <c r="AK66" s="424">
        <f t="shared" si="4"/>
        <v>0</v>
      </c>
      <c r="AL66" s="424"/>
      <c r="AM66" s="424"/>
      <c r="AN66" s="424"/>
      <c r="AO66" s="424" cm="1">
        <f t="array" ref="AO66">(SUMPRODUCT(('Cashflow Summary C19RM'!$B$5:$B$100="C19RM 2021-Lab &amp; Other HPS")*('Cashflow Summary C19RM'!$A$5:$A$100=6)*1*('Cashflow Summary C19RM'!$BC$5:$BC$100="6.5 Maintenance and service costs")*('Cashflow Summary C19RM'!$AD$5:$AD$100)))</f>
        <v>0</v>
      </c>
      <c r="AP66" s="424" cm="1">
        <f t="array" ref="AP66">(SUMPRODUCT(('Cashflow Summary C19RM'!$B$5:$B$100="C19RM 2021-Lab &amp; Other HPS")*('Cashflow Summary C19RM'!$A$5:$A$100=6)*1*('Cashflow Summary C19RM'!$BC$5:$BC$100="6.5 Maintenance and service costs")*('Cashflow Summary C19RM'!$AE$5:$AE$100)))</f>
        <v>0</v>
      </c>
      <c r="AQ66" s="424" cm="1">
        <f t="array" ref="AQ66">(SUMPRODUCT(('Cashflow Summary C19RM'!$B$5:$B$100="C19RM 2021-Lab &amp; Other HPS")*('Cashflow Summary C19RM'!$A$5:$A$100=6)*1*('Cashflow Summary C19RM'!$BC$5:$BC$100="6.5 Maintenance and service costs")*('Cashflow Summary C19RM'!$AF$5:$AF$100)))</f>
        <v>0</v>
      </c>
      <c r="AR66" s="424" cm="1">
        <f t="array" ref="AR66">(SUMPRODUCT(('Cashflow Summary C19RM'!$B$5:$B$100="C19RM 2021-Lab &amp; Other HPS")*('Cashflow Summary C19RM'!$A$5:$A$100=6)*1*('Cashflow Summary C19RM'!$BC$5:$BC$100="6.5 Maintenance and service costs")*('Cashflow Summary C19RM'!$AG$5:$AG$100)))</f>
        <v>0</v>
      </c>
      <c r="AS66" s="424">
        <f t="shared" si="5"/>
        <v>0</v>
      </c>
      <c r="AT66" s="424"/>
      <c r="AU66" s="424"/>
      <c r="AV66" s="424"/>
      <c r="AW66" s="424" cm="1">
        <f t="array" ref="AW66">(SUMPRODUCT(('Cashflow Summary C19RM'!$B$5:$B$100="C19RM 2021-Lab &amp; Other HPS")*('Cashflow Summary C19RM'!$A$5:$A$100=6)*1*('Cashflow Summary C19RM'!$BC$5:$BC$100="6.5 Maintenance and service costs")*('Cashflow Summary C19RM'!$AH$5:$AH$100)))</f>
        <v>0</v>
      </c>
      <c r="AX66" s="424" cm="1">
        <f t="array" ref="AX66">(SUMPRODUCT(('Cashflow Summary C19RM'!$B$5:$B$100="C19RM 2021-Lab &amp; Other HPS")*('Cashflow Summary C19RM'!$A$5:$A$100=6)*1*('Cashflow Summary C19RM'!$BC$5:$BC$100="6.5 Maintenance and service costs")*('Cashflow Summary C19RM'!$AI$5:$AI$100)))</f>
        <v>0</v>
      </c>
      <c r="AY66" s="424" cm="1">
        <f t="array" ref="AY66">(SUMPRODUCT(('Cashflow Summary C19RM'!$B$5:$B$100="C19RM 2021-Lab &amp; Other HPS")*('Cashflow Summary C19RM'!$A$5:$A$100=6)*1*('Cashflow Summary C19RM'!$BC$5:$BC$100="6.5 Maintenance and service costs")*('Cashflow Summary C19RM'!$AJ$5:$AJ$100)))</f>
        <v>0</v>
      </c>
      <c r="AZ66" s="424" cm="1">
        <f t="array" ref="AZ66">(SUMPRODUCT(('Cashflow Summary C19RM'!$B$5:$B$100="C19RM 2021-Lab &amp; Other HPS")*('Cashflow Summary C19RM'!$A$5:$A$100=6)*1*('Cashflow Summary C19RM'!$BC$5:$BC$100="6.5 Maintenance and service costs")*('Cashflow Summary C19RM'!$AK$5:$AK$100)))</f>
        <v>0</v>
      </c>
      <c r="BA66" s="424">
        <f t="shared" si="6"/>
        <v>0</v>
      </c>
      <c r="BB66" s="424"/>
      <c r="BC66" s="424"/>
      <c r="BD66" s="424"/>
      <c r="BE66" s="424" cm="1">
        <f t="array" ref="BE66">(SUMPRODUCT(('Cashflow Summary C19RM'!$B$5:$B$100="C19RM 2021-Lab &amp; Other HPS")*('Cashflow Summary C19RM'!$A$5:$A$100=6)*1*('Cashflow Summary C19RM'!$BC$5:$BC$100="6.5 Maintenance and service costs")*('Cashflow Summary C19RM'!$AL$5:$AL$100)))</f>
        <v>0</v>
      </c>
      <c r="BF66" s="424" cm="1">
        <f t="array" ref="BF66">(SUMPRODUCT(('Cashflow Summary C19RM'!$B$5:$B$100="C19RM 2021-Lab &amp; Other HPS")*('Cashflow Summary C19RM'!$A$5:$A$100=6)*1*('Cashflow Summary C19RM'!$BC$5:$BC$100="6.5 Maintenance and service costs")*('Cashflow Summary C19RM'!$AM$5:$AM$100)))</f>
        <v>0</v>
      </c>
      <c r="BG66" s="424" cm="1">
        <f t="array" ref="BG66">(SUMPRODUCT(('Cashflow Summary C19RM'!$B$5:$B$100="C19RM 2021-Lab &amp; Other HPS")*('Cashflow Summary C19RM'!$A$5:$A$100=6)*1*('Cashflow Summary C19RM'!$BC$5:$BC$100="6.5 Maintenance and service costs")*('Cashflow Summary C19RM'!$AN$5:$AN$100)))</f>
        <v>0</v>
      </c>
      <c r="BH66" s="424" cm="1">
        <f t="array" ref="BH66">(SUMPRODUCT(('Cashflow Summary C19RM'!$B$5:$B$100="C19RM 2021-Lab &amp; Other HPS")*('Cashflow Summary C19RM'!$A$5:$A$100=6)*1*('Cashflow Summary C19RM'!$BC$5:$BC$100="6.5 Maintenance and service costs")*('Cashflow Summary C19RM'!$AO$5:$AO$100)))</f>
        <v>0</v>
      </c>
      <c r="BI66" s="424">
        <f t="shared" si="7"/>
        <v>0</v>
      </c>
      <c r="BJ66" s="424"/>
      <c r="BK66" s="424">
        <f t="shared" si="8"/>
        <v>0</v>
      </c>
      <c r="BL66" s="424"/>
      <c r="BM66" s="142"/>
      <c r="BN66" s="425"/>
      <c r="BP66" s="274" t="str">
        <f t="shared" si="11"/>
        <v>No</v>
      </c>
      <c r="BQ66" t="s">
        <v>31</v>
      </c>
      <c r="BS66" s="286" t="s">
        <v>83</v>
      </c>
      <c r="BT66" t="s">
        <v>3311</v>
      </c>
      <c r="BU66" s="411" t="s">
        <v>3652</v>
      </c>
    </row>
    <row r="67" spans="1:73" ht="39" customHeight="1" x14ac:dyDescent="0.35">
      <c r="A67" s="364"/>
      <c r="B67" s="363" t="str">
        <f>PMsheet!$AH$94&amp;'Detailed BudgetC19RM'!BU67</f>
        <v>000P23HP1162</v>
      </c>
      <c r="C67" s="315" t="s">
        <v>2749</v>
      </c>
      <c r="D67" s="315" t="s">
        <v>3145</v>
      </c>
      <c r="E67" s="261" t="s">
        <v>3149</v>
      </c>
      <c r="F67" s="314" t="s">
        <v>183</v>
      </c>
      <c r="G67" s="315">
        <f ca="1">SETUP!$T$2</f>
        <v>0</v>
      </c>
      <c r="H67" s="315" t="str">
        <f>IF(SETUP!$E$3="","","National/Country Level")</f>
        <v/>
      </c>
      <c r="I67" s="315" t="str">
        <f>IFERROR(IF(INDEX('Master Data-C19RM'!$E$8:$E$18,MATCH((INDEX(SETUP!$E$20:$E$34,MATCH('Detailed BudgetC19RM'!BQ67,SETUP!$D$20:$D$34,0))),'Master Data-C19RM'!$D$8:$D$18,0))="Implementer's name",SETUP!$J$5,INDEX('Master Data-C19RM'!$E$8:$E$18,MATCH((INDEX(SETUP!$E$20:$E$34,MATCH('Detailed BudgetC19RM'!BQ67,SETUP!$D$20:$D$34,0))),'Master Data-C19RM'!$D$8:$D$18,0))),"Pls select HPMT Category in ' BQ ' column")</f>
        <v>Not Applicable</v>
      </c>
      <c r="J67" s="315" t="s">
        <v>707</v>
      </c>
      <c r="K67" s="315">
        <f t="shared" si="10"/>
        <v>0</v>
      </c>
      <c r="L67" s="315"/>
      <c r="M67" s="315">
        <f>SETUP!$E$7</f>
        <v>0</v>
      </c>
      <c r="N67" s="315"/>
      <c r="O67" s="315"/>
      <c r="P67" s="315"/>
      <c r="Q67" s="917" cm="1">
        <f t="array" ref="Q67">(SUMPRODUCT(('Cashflow Summary C19RM'!$B$5:$B$100="C19RM 2021-Lab &amp; Other HPS")*('Cashflow Summary C19RM'!$A$5:$A$100=6)*1*('Cashflow Summary C19RM'!$BC$5:$BC$100="6.6 Other health equipment")*('Cashflow Summary C19RM'!$R$5:$R$100)))</f>
        <v>0</v>
      </c>
      <c r="R67" s="917" cm="1">
        <f t="array" ref="R67">(SUMPRODUCT(('Cashflow Summary C19RM'!$B$5:$B$100="C19RM 2021-Lab &amp; Other HPS")*('Cashflow Summary C19RM'!$A$5:$A$100=6)*1*('Cashflow Summary C19RM'!$BC$5:$BC$100="6.6 Other health equipment")*('Cashflow Summary C19RM'!$S$5:$S$100)))</f>
        <v>0</v>
      </c>
      <c r="S67" s="917" cm="1">
        <f t="array" ref="S67">(SUMPRODUCT(('Cashflow Summary C19RM'!$B$5:$B$100="C19RM 2021-Lab &amp; Other HPS")*('Cashflow Summary C19RM'!$A$5:$A$100=6)*1*('Cashflow Summary C19RM'!$BC$5:$BC$100="6.6 Other health equipment")*('Cashflow Summary C19RM'!$T$5:$T$100)))</f>
        <v>0</v>
      </c>
      <c r="T67" s="917" cm="1">
        <f t="array" ref="T67">(SUMPRODUCT(('Cashflow Summary C19RM'!$B$5:$B$100="C19RM 2021-Lab &amp; Other HPS")*('Cashflow Summary C19RM'!$A$5:$A$100=6)*1*('Cashflow Summary C19RM'!$BC$5:$BC$100="6.6 Other health equipment")*('Cashflow Summary C19RM'!$U$5:$U$100)))</f>
        <v>0</v>
      </c>
      <c r="U67" s="948">
        <f t="shared" si="2"/>
        <v>0</v>
      </c>
      <c r="V67" s="424"/>
      <c r="W67" s="424"/>
      <c r="X67" s="424"/>
      <c r="Y67" s="424" cm="1">
        <f t="array" ref="Y67">(SUMPRODUCT(('Cashflow Summary C19RM'!$B$5:$B$100="C19RM 2021-Lab &amp; Other HPS")*('Cashflow Summary C19RM'!$A$5:$A$100=6)*1*('Cashflow Summary C19RM'!$BC$5:$BC$100="6.6 Other health equipment")*('Cashflow Summary C19RM'!$V$5:$V$100)))</f>
        <v>0</v>
      </c>
      <c r="Z67" s="424" cm="1">
        <f t="array" ref="Z67">(SUMPRODUCT(('Cashflow Summary C19RM'!$B$5:$B$100="C19RM 2021-Lab &amp; Other HPS")*('Cashflow Summary C19RM'!$A$5:$A$100=6)*1*('Cashflow Summary C19RM'!$BC$5:$BC$100="6.6 Other health equipment")*('Cashflow Summary C19RM'!$W$5:$W$100)))</f>
        <v>0</v>
      </c>
      <c r="AA67" s="424" cm="1">
        <f t="array" ref="AA67">(SUMPRODUCT(('Cashflow Summary C19RM'!$B$5:$B$100="C19RM 2021-Lab &amp; Other HPS")*('Cashflow Summary C19RM'!$A$5:$A$100=6)*1*('Cashflow Summary C19RM'!$BC$5:$BC$100="6.6 Other health equipment")*('Cashflow Summary C19RM'!$X$5:$X$100)))</f>
        <v>0</v>
      </c>
      <c r="AB67" s="424" cm="1">
        <f t="array" ref="AB67">(SUMPRODUCT(('Cashflow Summary C19RM'!$B$5:$B$100="C19RM 2021-Lab &amp; Other HPS")*('Cashflow Summary C19RM'!$A$5:$A$100=6)*1*('Cashflow Summary C19RM'!$BC$5:$BC$100="6.6 Other health equipment")*('Cashflow Summary C19RM'!$Y$5:$Y$100)))</f>
        <v>0</v>
      </c>
      <c r="AC67" s="424">
        <f t="shared" si="3"/>
        <v>0</v>
      </c>
      <c r="AD67" s="424"/>
      <c r="AE67" s="424"/>
      <c r="AF67" s="424"/>
      <c r="AG67" s="424" cm="1">
        <f t="array" ref="AG67">(SUMPRODUCT(('Cashflow Summary C19RM'!$B$5:$B$100="C19RM 2021-Lab &amp; Other HPS")*('Cashflow Summary C19RM'!$A$5:$A$100=6)*1*('Cashflow Summary C19RM'!$BC$5:$BC$100="6.6 Other health equipment")*('Cashflow Summary C19RM'!$Z$5:$Z$100)))</f>
        <v>0</v>
      </c>
      <c r="AH67" s="424" cm="1">
        <f t="array" ref="AH67">(SUMPRODUCT(('Cashflow Summary C19RM'!$B$5:$B$100="C19RM 2021-Lab &amp; Other HPS")*('Cashflow Summary C19RM'!$A$5:$A$100=6)*1*('Cashflow Summary C19RM'!$BC$5:$BC$100="6.6 Other health equipment")*('Cashflow Summary C19RM'!$AA$5:$AA$100)))</f>
        <v>0</v>
      </c>
      <c r="AI67" s="424" cm="1">
        <f t="array" ref="AI67">(SUMPRODUCT(('Cashflow Summary C19RM'!$B$5:$B$100="C19RM 2021-Lab &amp; Other HPS")*('Cashflow Summary C19RM'!$A$5:$A$100=6)*1*('Cashflow Summary C19RM'!$BC$5:$BC$100="6.6 Other health equipment")*('Cashflow Summary C19RM'!$AB$5:$AB$100)))</f>
        <v>0</v>
      </c>
      <c r="AJ67" s="424" cm="1">
        <f t="array" ref="AJ67">(SUMPRODUCT(('Cashflow Summary C19RM'!$B$5:$B$100="C19RM 2021-Lab &amp; Other HPS")*('Cashflow Summary C19RM'!$A$5:$A$100=6)*1*('Cashflow Summary C19RM'!$BC$5:$BC$100="6.6 Other health equipment")*('Cashflow Summary C19RM'!$AC$5:$AC$100)))</f>
        <v>0</v>
      </c>
      <c r="AK67" s="424">
        <f t="shared" si="4"/>
        <v>0</v>
      </c>
      <c r="AL67" s="424"/>
      <c r="AM67" s="424"/>
      <c r="AN67" s="424"/>
      <c r="AO67" s="424" cm="1">
        <f t="array" ref="AO67">(SUMPRODUCT(('Cashflow Summary C19RM'!$B$5:$B$100="C19RM 2021-Lab &amp; Other HPS")*('Cashflow Summary C19RM'!$A$5:$A$100=6)*1*('Cashflow Summary C19RM'!$BC$5:$BC$100="6.6 Other health equipment")*('Cashflow Summary C19RM'!$AD$5:$AD$100)))</f>
        <v>0</v>
      </c>
      <c r="AP67" s="424" cm="1">
        <f t="array" ref="AP67">(SUMPRODUCT(('Cashflow Summary C19RM'!$B$5:$B$100="C19RM 2021-Lab &amp; Other HPS")*('Cashflow Summary C19RM'!$A$5:$A$100=6)*1*('Cashflow Summary C19RM'!$BC$5:$BC$100="6.6 Other health equipment")*('Cashflow Summary C19RM'!$AE$5:$AE$100)))</f>
        <v>0</v>
      </c>
      <c r="AQ67" s="424" cm="1">
        <f t="array" ref="AQ67">(SUMPRODUCT(('Cashflow Summary C19RM'!$B$5:$B$100="C19RM 2021-Lab &amp; Other HPS")*('Cashflow Summary C19RM'!$A$5:$A$100=6)*1*('Cashflow Summary C19RM'!$BC$5:$BC$100="6.6 Other health equipment")*('Cashflow Summary C19RM'!$AF$5:$AF$100)))</f>
        <v>0</v>
      </c>
      <c r="AR67" s="424" cm="1">
        <f t="array" ref="AR67">(SUMPRODUCT(('Cashflow Summary C19RM'!$B$5:$B$100="C19RM 2021-Lab &amp; Other HPS")*('Cashflow Summary C19RM'!$A$5:$A$100=6)*1*('Cashflow Summary C19RM'!$BC$5:$BC$100="6.6 Other health equipment")*('Cashflow Summary C19RM'!$AG$5:$AG$100)))</f>
        <v>0</v>
      </c>
      <c r="AS67" s="424">
        <f t="shared" si="5"/>
        <v>0</v>
      </c>
      <c r="AT67" s="424"/>
      <c r="AU67" s="424"/>
      <c r="AV67" s="424"/>
      <c r="AW67" s="424" cm="1">
        <f t="array" ref="AW67">(SUMPRODUCT(('Cashflow Summary C19RM'!$B$5:$B$100="C19RM 2021-Lab &amp; Other HPS")*('Cashflow Summary C19RM'!$A$5:$A$100=6)*1*('Cashflow Summary C19RM'!$BC$5:$BC$100="6.6 Other health equipment")*('Cashflow Summary C19RM'!$AH$5:$AH$100)))</f>
        <v>0</v>
      </c>
      <c r="AX67" s="424" cm="1">
        <f t="array" ref="AX67">(SUMPRODUCT(('Cashflow Summary C19RM'!$B$5:$B$100="C19RM 2021-Lab &amp; Other HPS")*('Cashflow Summary C19RM'!$A$5:$A$100=6)*1*('Cashflow Summary C19RM'!$BC$5:$BC$100="6.6 Other health equipment")*('Cashflow Summary C19RM'!$AI$5:$AI$100)))</f>
        <v>0</v>
      </c>
      <c r="AY67" s="424" cm="1">
        <f t="array" ref="AY67">(SUMPRODUCT(('Cashflow Summary C19RM'!$B$5:$B$100="C19RM 2021-Lab &amp; Other HPS")*('Cashflow Summary C19RM'!$A$5:$A$100=6)*1*('Cashflow Summary C19RM'!$BC$5:$BC$100="6.6 Other health equipment")*('Cashflow Summary C19RM'!$AJ$5:$AJ$100)))</f>
        <v>0</v>
      </c>
      <c r="AZ67" s="424" cm="1">
        <f t="array" ref="AZ67">(SUMPRODUCT(('Cashflow Summary C19RM'!$B$5:$B$100="C19RM 2021-Lab &amp; Other HPS")*('Cashflow Summary C19RM'!$A$5:$A$100=6)*1*('Cashflow Summary C19RM'!$BC$5:$BC$100="6.6 Other health equipment")*('Cashflow Summary C19RM'!$AK$5:$AK$100)))</f>
        <v>0</v>
      </c>
      <c r="BA67" s="424">
        <f t="shared" si="6"/>
        <v>0</v>
      </c>
      <c r="BB67" s="424"/>
      <c r="BC67" s="424"/>
      <c r="BD67" s="424"/>
      <c r="BE67" s="424" cm="1">
        <f t="array" ref="BE67">(SUMPRODUCT(('Cashflow Summary C19RM'!$B$5:$B$100="C19RM 2021-Lab &amp; Other HPS")*('Cashflow Summary C19RM'!$A$5:$A$100=6)*1*('Cashflow Summary C19RM'!$BC$5:$BC$100="6.6 Other health equipment")*('Cashflow Summary C19RM'!$AL$5:$AL$100)))</f>
        <v>0</v>
      </c>
      <c r="BF67" s="424" cm="1">
        <f t="array" ref="BF67">(SUMPRODUCT(('Cashflow Summary C19RM'!$B$5:$B$100="C19RM 2021-Lab &amp; Other HPS")*('Cashflow Summary C19RM'!$A$5:$A$100=6)*1*('Cashflow Summary C19RM'!$BC$5:$BC$100="6.6 Other health equipment")*('Cashflow Summary C19RM'!$AM$5:$AM$100)))</f>
        <v>0</v>
      </c>
      <c r="BG67" s="424" cm="1">
        <f t="array" ref="BG67">(SUMPRODUCT(('Cashflow Summary C19RM'!$B$5:$B$100="C19RM 2021-Lab &amp; Other HPS")*('Cashflow Summary C19RM'!$A$5:$A$100=6)*1*('Cashflow Summary C19RM'!$BC$5:$BC$100="6.6 Other health equipment")*('Cashflow Summary C19RM'!$AN$5:$AN$100)))</f>
        <v>0</v>
      </c>
      <c r="BH67" s="424" cm="1">
        <f t="array" ref="BH67">(SUMPRODUCT(('Cashflow Summary C19RM'!$B$5:$B$100="C19RM 2021-Lab &amp; Other HPS")*('Cashflow Summary C19RM'!$A$5:$A$100=6)*1*('Cashflow Summary C19RM'!$BC$5:$BC$100="6.6 Other health equipment")*('Cashflow Summary C19RM'!$AO$5:$AO$100)))</f>
        <v>0</v>
      </c>
      <c r="BI67" s="424">
        <f t="shared" si="7"/>
        <v>0</v>
      </c>
      <c r="BJ67" s="424"/>
      <c r="BK67" s="424">
        <f t="shared" si="8"/>
        <v>0</v>
      </c>
      <c r="BL67" s="424"/>
      <c r="BM67" s="142"/>
      <c r="BN67" s="425"/>
      <c r="BP67" s="274" t="str">
        <f t="shared" si="11"/>
        <v>No</v>
      </c>
      <c r="BQ67" t="s">
        <v>31</v>
      </c>
      <c r="BS67" s="286" t="s">
        <v>83</v>
      </c>
      <c r="BT67" s="61" t="s">
        <v>3312</v>
      </c>
      <c r="BU67" s="411" t="s">
        <v>3653</v>
      </c>
    </row>
    <row r="68" spans="1:73" ht="39" customHeight="1" x14ac:dyDescent="0.35">
      <c r="A68" s="256"/>
      <c r="B68" s="363" t="str">
        <f>PMsheet!$AH$94&amp;'Detailed BudgetC19RM'!BU68</f>
        <v>000P23HP1163</v>
      </c>
      <c r="C68" s="315" t="s">
        <v>2749</v>
      </c>
      <c r="D68" s="315" t="s">
        <v>3145</v>
      </c>
      <c r="E68" s="261" t="s">
        <v>3117</v>
      </c>
      <c r="F68" s="314" t="s">
        <v>619</v>
      </c>
      <c r="G68" s="315">
        <f ca="1">SETUP!$T$2</f>
        <v>0</v>
      </c>
      <c r="H68" s="315" t="str">
        <f>IF(SETUP!$E$3="","","National/Country Level")</f>
        <v/>
      </c>
      <c r="I68" s="315" t="s">
        <v>2665</v>
      </c>
      <c r="J68" s="315" t="s">
        <v>707</v>
      </c>
      <c r="K68" s="315">
        <f t="shared" si="10"/>
        <v>0</v>
      </c>
      <c r="L68" s="315"/>
      <c r="M68" s="315">
        <f>SETUP!$E$7</f>
        <v>0</v>
      </c>
      <c r="N68" s="315"/>
      <c r="O68" s="315"/>
      <c r="P68" s="315"/>
      <c r="Q68" s="949" cm="1">
        <f t="array" ref="Q68">'HPM costs-C19RM'!$G$31+(SUMPRODUCT(('Fixed Cost-C19RM'!$D$5:$D$202=$D$68)*('Fixed Cost-C19RM'!$F$5:$F$202=$F$68)*('Fixed Cost-C19RM'!$K$5:$K$202)))</f>
        <v>0</v>
      </c>
      <c r="R68" s="949" cm="1">
        <f t="array" ref="R68">'HPM costs-C19RM'!$H$31+(SUMPRODUCT(('Fixed Cost-C19RM'!$D$5:$D$202=$D$68)*('Fixed Cost-C19RM'!$F$5:$F$202=$F$68)*('Fixed Cost-C19RM'!$L$5:$L$202)))</f>
        <v>0</v>
      </c>
      <c r="S68" s="949" cm="1">
        <f t="array" ref="S68">'HPM costs-C19RM'!$I$31+(SUMPRODUCT(('Fixed Cost-C19RM'!$D$5:$D$202=$D$68)*('Fixed Cost-C19RM'!$F$5:$F$202=$F$68)*('Fixed Cost-C19RM'!$M$5:$M$202)))</f>
        <v>0</v>
      </c>
      <c r="T68" s="949" cm="1">
        <f t="array" ref="T68">'HPM costs-C19RM'!$J$31+(SUMPRODUCT(('Fixed Cost-C19RM'!$D$5:$D$202=$D$68)*('Fixed Cost-C19RM'!$F$5:$F$202=$F$68)*('Fixed Cost-C19RM'!$N$5:$N$202)))</f>
        <v>0</v>
      </c>
      <c r="U68" s="948">
        <f t="shared" si="2"/>
        <v>0</v>
      </c>
      <c r="V68" s="424"/>
      <c r="W68" s="424"/>
      <c r="X68" s="424"/>
      <c r="Y68" s="424" cm="1">
        <f t="array" ref="Y68">'HPM costs-C19RM'!$M$31+(SUMPRODUCT(('Fixed Cost-C19RM'!$D$5:$D$202=$D$68)*('Fixed Cost-C19RM'!$F$5:$F$202=$F$68)*('Fixed Cost-C19RM'!$P$5:$P$202)))</f>
        <v>0</v>
      </c>
      <c r="Z68" s="424" cm="1">
        <f t="array" ref="Z68">'HPM costs-C19RM'!$N$31+(SUMPRODUCT(('Fixed Cost-C19RM'!$D$5:$D$202=$D$68)*('Fixed Cost-C19RM'!$F$5:$F$202=$F$68)*('Fixed Cost-C19RM'!$Q$5:$Q$202)))</f>
        <v>0</v>
      </c>
      <c r="AA68" s="424" cm="1">
        <f t="array" ref="AA68">'HPM costs-C19RM'!$O$31+(SUMPRODUCT(('Fixed Cost-C19RM'!$D$5:$D$202=$D$68)*('Fixed Cost-C19RM'!$F$5:$F$202=$F$68)*('Fixed Cost-C19RM'!$R$5:$R$202)))</f>
        <v>0</v>
      </c>
      <c r="AB68" s="424" cm="1">
        <f t="array" ref="AB68">'HPM costs-C19RM'!$P$31+(SUMPRODUCT(('Fixed Cost-C19RM'!$D$5:$D$202=$D$68)*('Fixed Cost-C19RM'!$F$5:$F$202=$F$68)*('Fixed Cost-C19RM'!$S$5:$S$202)))</f>
        <v>0</v>
      </c>
      <c r="AC68" s="424">
        <f t="shared" si="3"/>
        <v>0</v>
      </c>
      <c r="AD68" s="424"/>
      <c r="AE68" s="424"/>
      <c r="AF68" s="424"/>
      <c r="AG68" s="424" cm="1">
        <f t="array" ref="AG68">'HPM costs-C19RM'!$S$31+(SUMPRODUCT(('Fixed Cost-C19RM'!$D$5:$D$202=$D$68)*('Fixed Cost-C19RM'!$F$5:$F$202=$F$68)*('Fixed Cost-C19RM'!$U$5:$U$202)))</f>
        <v>0</v>
      </c>
      <c r="AH68" s="424" cm="1">
        <f t="array" ref="AH68">'HPM costs-C19RM'!$T$31+(SUMPRODUCT(('Fixed Cost-C19RM'!$D$5:$D$202=$D$68)*('Fixed Cost-C19RM'!$F$5:$F$202=$F$68)*('Fixed Cost-C19RM'!$V$5:$V$202)))</f>
        <v>0</v>
      </c>
      <c r="AI68" s="424" cm="1">
        <f t="array" ref="AI68">'HPM costs-C19RM'!$U$31+(SUMPRODUCT(('Fixed Cost-C19RM'!$D$5:$D$202=$D$68)*('Fixed Cost-C19RM'!$F$5:$F$202=$F$68)*('Fixed Cost-C19RM'!$W$5:$W$202)))</f>
        <v>0</v>
      </c>
      <c r="AJ68" s="424" cm="1">
        <f t="array" ref="AJ68">'HPM costs-C19RM'!$V$31+(SUMPRODUCT(('Fixed Cost-C19RM'!$D$5:$D$202=$D$68)*('Fixed Cost-C19RM'!$F$5:$F$202=$F$68)*('Fixed Cost-C19RM'!$X$5:$X$202)))</f>
        <v>0</v>
      </c>
      <c r="AK68" s="424">
        <f t="shared" si="4"/>
        <v>0</v>
      </c>
      <c r="AL68" s="424"/>
      <c r="AM68" s="424"/>
      <c r="AN68" s="424"/>
      <c r="AO68" s="424" cm="1">
        <f t="array" ref="AO68">'HPM costs-C19RM'!$Y$31+(SUMPRODUCT(('Fixed Cost-C19RM'!$D$5:$D$202=$D$68)*('Fixed Cost-C19RM'!$F$5:$F$202=$F$68)*('Fixed Cost-C19RM'!$Z$5:$Z$202)))</f>
        <v>0</v>
      </c>
      <c r="AP68" s="424" cm="1">
        <f t="array" ref="AP68">'HPM costs-C19RM'!$Z$31+(SUMPRODUCT(('Fixed Cost-C19RM'!$D$5:$D$202=$D$68)*('Fixed Cost-C19RM'!$F$5:$F$202=$F$68)*('Fixed Cost-C19RM'!$AA$5:$AA$202)))</f>
        <v>0</v>
      </c>
      <c r="AQ68" s="424" cm="1">
        <f t="array" ref="AQ68">'HPM costs-C19RM'!$AA$31+(SUMPRODUCT(('Fixed Cost-C19RM'!$D$5:$D$202=$D$68)*('Fixed Cost-C19RM'!$F$5:$F$202=$F$68)*('Fixed Cost-C19RM'!$AB$5:$AB$202)))</f>
        <v>0</v>
      </c>
      <c r="AR68" s="424" cm="1">
        <f t="array" ref="AR68">'HPM costs-C19RM'!$AB$31+(SUMPRODUCT(('Fixed Cost-C19RM'!$D$5:$D$202=$D$68)*('Fixed Cost-C19RM'!$F$5:$F$202=$F$68)*('Fixed Cost-C19RM'!$AC$5:$AC$202)))</f>
        <v>0</v>
      </c>
      <c r="AS68" s="424">
        <f t="shared" si="5"/>
        <v>0</v>
      </c>
      <c r="AT68" s="424"/>
      <c r="AU68" s="424"/>
      <c r="AV68" s="424"/>
      <c r="AW68" s="424" cm="1">
        <f t="array" ref="AW68">'HPM costs-C19RM'!$AE$31+(SUMPRODUCT(('Fixed Cost-C19RM'!$D$5:$D$202=$D$68)*('Fixed Cost-C19RM'!$F$5:$F$202=$F$68)*('Fixed Cost-C19RM'!$AE$5:$AE$202)))</f>
        <v>0</v>
      </c>
      <c r="AX68" s="424" cm="1">
        <f t="array" ref="AX68">'HPM costs-C19RM'!$AF$31+(SUMPRODUCT(('Fixed Cost-C19RM'!$D$5:$D$202=$D$68)*('Fixed Cost-C19RM'!$F$5:$F$202=$F$68)*('Fixed Cost-C19RM'!$AF$5:$AF$202)))</f>
        <v>0</v>
      </c>
      <c r="AY68" s="424" cm="1">
        <f t="array" ref="AY68">'HPM costs-C19RM'!$AG$31+(SUMPRODUCT(('Fixed Cost-C19RM'!$D$5:$D$202=$D$68)*('Fixed Cost-C19RM'!$F$5:$F$202=$F$68)*('Fixed Cost-C19RM'!$AG$5:$AG$202)))</f>
        <v>0</v>
      </c>
      <c r="AZ68" s="424" cm="1">
        <f t="array" ref="AZ68">'HPM costs-C19RM'!$AH$31+(SUMPRODUCT(('Fixed Cost-C19RM'!$D$5:$D$202=$D$68)*('Fixed Cost-C19RM'!$F$5:$F$202=$F$68)*('Fixed Cost-C19RM'!$AH$5:$AH$202)))</f>
        <v>0</v>
      </c>
      <c r="BA68" s="424">
        <f t="shared" si="6"/>
        <v>0</v>
      </c>
      <c r="BB68" s="424"/>
      <c r="BC68" s="424"/>
      <c r="BD68" s="424"/>
      <c r="BE68" s="424">
        <v>0</v>
      </c>
      <c r="BF68" s="424">
        <v>0</v>
      </c>
      <c r="BG68" s="424">
        <v>0</v>
      </c>
      <c r="BH68" s="424">
        <v>0</v>
      </c>
      <c r="BI68" s="424">
        <f t="shared" si="7"/>
        <v>0</v>
      </c>
      <c r="BJ68" s="424"/>
      <c r="BK68" s="424">
        <f t="shared" si="8"/>
        <v>0</v>
      </c>
      <c r="BL68" s="424"/>
      <c r="BM68" s="142"/>
      <c r="BN68" s="425"/>
      <c r="BP68" s="274" t="str">
        <f t="shared" si="11"/>
        <v>No</v>
      </c>
      <c r="BQ68" s="220" t="s">
        <v>31</v>
      </c>
      <c r="BR68" s="9" t="str">
        <f>IF(((IFERROR(INDEX('Fixed Cost-C19RM'!$AO$5:$AO$202,MATCH(BS68&amp;C68&amp;D68&amp;F68,'Fixed Cost-C19RM'!$A$5:$A$202,0)),0)))&gt;0,"Yes","NO")</f>
        <v>NO</v>
      </c>
      <c r="BS68" s="286" t="s">
        <v>83</v>
      </c>
      <c r="BT68" t="s">
        <v>3285</v>
      </c>
      <c r="BU68" s="411" t="s">
        <v>3654</v>
      </c>
    </row>
    <row r="69" spans="1:73" ht="39" customHeight="1" x14ac:dyDescent="0.35">
      <c r="A69" s="256"/>
      <c r="B69" s="363" t="str">
        <f>PMsheet!$AH$94&amp;'Detailed BudgetC19RM'!BU69</f>
        <v>000P23HP1164</v>
      </c>
      <c r="C69" s="315" t="s">
        <v>2749</v>
      </c>
      <c r="D69" s="315" t="s">
        <v>3145</v>
      </c>
      <c r="E69" s="261" t="s">
        <v>3117</v>
      </c>
      <c r="F69" s="314" t="s">
        <v>3118</v>
      </c>
      <c r="G69" s="315">
        <f ca="1">SETUP!$T$2</f>
        <v>0</v>
      </c>
      <c r="H69" s="315" t="str">
        <f>IF(SETUP!$E$3="","","National/Country Level")</f>
        <v/>
      </c>
      <c r="I69" s="315" t="s">
        <v>2665</v>
      </c>
      <c r="J69" s="315" t="s">
        <v>707</v>
      </c>
      <c r="K69" s="315">
        <f t="shared" si="10"/>
        <v>0</v>
      </c>
      <c r="L69" s="315"/>
      <c r="M69" s="315">
        <f>SETUP!$E$7</f>
        <v>0</v>
      </c>
      <c r="N69" s="315"/>
      <c r="O69" s="315"/>
      <c r="P69" s="315"/>
      <c r="Q69" s="949" cm="1">
        <f t="array" ref="Q69">'HPM costs-C19RM'!$G$51+(SUMPRODUCT(('Fixed Cost-C19RM'!$D$5:$D$202=$D$69)*('Fixed Cost-C19RM'!$F$5:$F$202=$F$69)*('Fixed Cost-C19RM'!$K$5:$K$202)))</f>
        <v>0</v>
      </c>
      <c r="R69" s="949" cm="1">
        <f t="array" ref="R69">'HPM costs-C19RM'!$H$51+(SUMPRODUCT(('Fixed Cost-C19RM'!$D$5:$D$202=$D$69)*('Fixed Cost-C19RM'!$F$5:$F$202=$F$69)*('Fixed Cost-C19RM'!$L$5:$L$202)))</f>
        <v>0</v>
      </c>
      <c r="S69" s="949" cm="1">
        <f t="array" ref="S69">'HPM costs-C19RM'!$I$51+(SUMPRODUCT(('Fixed Cost-C19RM'!$D$5:$D$202=$D$69)*('Fixed Cost-C19RM'!$F$5:$F$202=$F$69)*('Fixed Cost-C19RM'!$M$5:$M$202)))</f>
        <v>0</v>
      </c>
      <c r="T69" s="949" cm="1">
        <f t="array" ref="T69">'HPM costs-C19RM'!$J$51+(SUMPRODUCT(('Fixed Cost-C19RM'!$D$5:$D$202=$D$69)*('Fixed Cost-C19RM'!$F$5:$F$202=$F$69)*('Fixed Cost-C19RM'!$N$5:$N$202)))</f>
        <v>0</v>
      </c>
      <c r="U69" s="948">
        <f t="shared" si="2"/>
        <v>0</v>
      </c>
      <c r="V69" s="424"/>
      <c r="W69" s="424"/>
      <c r="X69" s="424"/>
      <c r="Y69" s="424" cm="1">
        <f t="array" ref="Y69">'HPM costs-C19RM'!$M$51+(SUMPRODUCT(('Fixed Cost-C19RM'!$D$5:$D$202=$D$69)*('Fixed Cost-C19RM'!$F$5:$F$202=$F$69)*('Fixed Cost-C19RM'!$P$5:$P$202)))</f>
        <v>0</v>
      </c>
      <c r="Z69" s="424" cm="1">
        <f t="array" ref="Z69">'HPM costs-C19RM'!$N$51+(SUMPRODUCT(('Fixed Cost-C19RM'!$D$5:$D$202=$D$69)*('Fixed Cost-C19RM'!$F$5:$F$202=$F$69)*('Fixed Cost-C19RM'!$Q$5:$Q$202)))</f>
        <v>0</v>
      </c>
      <c r="AA69" s="424" cm="1">
        <f t="array" ref="AA69">'HPM costs-C19RM'!$O$51+(SUMPRODUCT(('Fixed Cost-C19RM'!$D$5:$D$202=$D$69)*('Fixed Cost-C19RM'!$F$5:$F$202=$F$69)*('Fixed Cost-C19RM'!$R$5:$R$202)))</f>
        <v>0</v>
      </c>
      <c r="AB69" s="424" cm="1">
        <f t="array" ref="AB69">'HPM costs-C19RM'!$P$51+(SUMPRODUCT(('Fixed Cost-C19RM'!$D$5:$D$202=$D$69)*('Fixed Cost-C19RM'!$F$5:$F$202=$F$69)*('Fixed Cost-C19RM'!$S$5:$S$202)))</f>
        <v>0</v>
      </c>
      <c r="AC69" s="424">
        <f t="shared" si="3"/>
        <v>0</v>
      </c>
      <c r="AD69" s="424"/>
      <c r="AE69" s="424"/>
      <c r="AF69" s="424"/>
      <c r="AG69" s="424" cm="1">
        <f t="array" ref="AG69">'HPM costs-C19RM'!$S$51+(SUMPRODUCT(('Fixed Cost-C19RM'!$D$5:$D$202=$D$69)*('Fixed Cost-C19RM'!$F$5:$F$202=$F$69)*('Fixed Cost-C19RM'!$U$5:$U$202)))</f>
        <v>0</v>
      </c>
      <c r="AH69" s="424" cm="1">
        <f t="array" ref="AH69">'HPM costs-C19RM'!$T$51+(SUMPRODUCT(('Fixed Cost-C19RM'!$D$5:$D$202=$D$69)*('Fixed Cost-C19RM'!$F$5:$F$202=$F$69)*('Fixed Cost-C19RM'!$V$5:$V$202)))</f>
        <v>0</v>
      </c>
      <c r="AI69" s="424" cm="1">
        <f t="array" ref="AI69">'HPM costs-C19RM'!$U$51+(SUMPRODUCT(('Fixed Cost-C19RM'!$D$5:$D$202=$D$69)*('Fixed Cost-C19RM'!$F$5:$F$202=$F$69)*('Fixed Cost-C19RM'!$W$5:$W$202)))</f>
        <v>0</v>
      </c>
      <c r="AJ69" s="424" cm="1">
        <f t="array" ref="AJ69">'HPM costs-C19RM'!$V$51+(SUMPRODUCT(('Fixed Cost-C19RM'!$D$5:$D$202=$D$69)*('Fixed Cost-C19RM'!$F$5:$F$202=$F$69)*('Fixed Cost-C19RM'!$X$5:$X$202)))</f>
        <v>0</v>
      </c>
      <c r="AK69" s="424">
        <f t="shared" si="4"/>
        <v>0</v>
      </c>
      <c r="AL69" s="424"/>
      <c r="AM69" s="424"/>
      <c r="AN69" s="424"/>
      <c r="AO69" s="424" cm="1">
        <f t="array" ref="AO69">'HPM costs-C19RM'!$Y$51+(SUMPRODUCT(('Fixed Cost-C19RM'!$D$5:$D$202=$D$69)*('Fixed Cost-C19RM'!$F$5:$F$202=$F$69)*('Fixed Cost-C19RM'!$Z$5:$Z$202)))</f>
        <v>0</v>
      </c>
      <c r="AP69" s="424" cm="1">
        <f t="array" ref="AP69">'HPM costs-C19RM'!$Z$51+(SUMPRODUCT(('Fixed Cost-C19RM'!$D$5:$D$202=$D$69)*('Fixed Cost-C19RM'!$F$5:$F$202=$F$69)*('Fixed Cost-C19RM'!$AA$5:$AA$202)))</f>
        <v>0</v>
      </c>
      <c r="AQ69" s="424" cm="1">
        <f t="array" ref="AQ69">'HPM costs-C19RM'!$AA$51+(SUMPRODUCT(('Fixed Cost-C19RM'!$D$5:$D$202=$D$69)*('Fixed Cost-C19RM'!$F$5:$F$202=$F$69)*('Fixed Cost-C19RM'!$AB$5:$AB$202)))</f>
        <v>0</v>
      </c>
      <c r="AR69" s="424" cm="1">
        <f t="array" ref="AR69">'HPM costs-C19RM'!$AB$51+(SUMPRODUCT(('Fixed Cost-C19RM'!$D$5:$D$202=$D$69)*('Fixed Cost-C19RM'!$F$5:$F$202=$F$69)*('Fixed Cost-C19RM'!$AC$5:$AC$202)))</f>
        <v>0</v>
      </c>
      <c r="AS69" s="424">
        <f t="shared" si="5"/>
        <v>0</v>
      </c>
      <c r="AT69" s="424"/>
      <c r="AU69" s="424"/>
      <c r="AV69" s="424"/>
      <c r="AW69" s="424" cm="1">
        <f t="array" ref="AW69">'HPM costs-C19RM'!$AE$51+(SUMPRODUCT(('Fixed Cost-C19RM'!$D$5:$D$202=$D$69)*('Fixed Cost-C19RM'!$F$5:$F$202=$F$69)*('Fixed Cost-C19RM'!$AE$5:$AE$202)))</f>
        <v>0</v>
      </c>
      <c r="AX69" s="424" cm="1">
        <f t="array" ref="AX69">'HPM costs-C19RM'!$AF$51+(SUMPRODUCT(('Fixed Cost-C19RM'!$D$5:$D$202=$D$69)*('Fixed Cost-C19RM'!$F$5:$F$202=$F$69)*('Fixed Cost-C19RM'!$AF$5:$AF$202)))</f>
        <v>0</v>
      </c>
      <c r="AY69" s="424" cm="1">
        <f t="array" ref="AY69">'HPM costs-C19RM'!$AG$51+(SUMPRODUCT(('Fixed Cost-C19RM'!$D$5:$D$202=$D$69)*('Fixed Cost-C19RM'!$F$5:$F$202=$F$69)*('Fixed Cost-C19RM'!$AG$5:$AG$202)))</f>
        <v>0</v>
      </c>
      <c r="AZ69" s="424" cm="1">
        <f t="array" ref="AZ69">'HPM costs-C19RM'!$AH$51+(SUMPRODUCT(('Fixed Cost-C19RM'!$D$5:$D$202=$D$69)*('Fixed Cost-C19RM'!$F$5:$F$202=$F$69)*('Fixed Cost-C19RM'!$AH$5:$AH$202)))</f>
        <v>0</v>
      </c>
      <c r="BA69" s="424">
        <f t="shared" si="6"/>
        <v>0</v>
      </c>
      <c r="BB69" s="424"/>
      <c r="BC69" s="424"/>
      <c r="BD69" s="424"/>
      <c r="BE69" s="424">
        <v>0</v>
      </c>
      <c r="BF69" s="424">
        <v>0</v>
      </c>
      <c r="BG69" s="424">
        <v>0</v>
      </c>
      <c r="BH69" s="424">
        <v>0</v>
      </c>
      <c r="BI69" s="424">
        <f t="shared" si="7"/>
        <v>0</v>
      </c>
      <c r="BJ69" s="424"/>
      <c r="BK69" s="424">
        <f t="shared" si="8"/>
        <v>0</v>
      </c>
      <c r="BL69" s="424"/>
      <c r="BM69" s="142"/>
      <c r="BN69" s="425"/>
      <c r="BP69" s="274" t="str">
        <f t="shared" si="11"/>
        <v>No</v>
      </c>
      <c r="BQ69" s="220" t="s">
        <v>31</v>
      </c>
      <c r="BR69" t="str">
        <f>IF(((IFERROR(INDEX('Fixed Cost-C19RM'!$AO$5:$AO$202,MATCH(BS69&amp;C69&amp;D69&amp;F69,'Fixed Cost-C19RM'!$A$5:$A$202,0)),0)))&gt;0,"Yes","NO")</f>
        <v>NO</v>
      </c>
      <c r="BS69" s="286" t="s">
        <v>83</v>
      </c>
      <c r="BT69" s="61" t="s">
        <v>3286</v>
      </c>
      <c r="BU69" s="411" t="s">
        <v>3655</v>
      </c>
    </row>
    <row r="70" spans="1:73" ht="39" customHeight="1" x14ac:dyDescent="0.35">
      <c r="A70" s="256"/>
      <c r="B70" s="363" t="str">
        <f>PMsheet!$AH$94&amp;'Detailed BudgetC19RM'!BU70</f>
        <v>000P23HP1165</v>
      </c>
      <c r="C70" s="315" t="s">
        <v>2749</v>
      </c>
      <c r="D70" s="315" t="s">
        <v>3145</v>
      </c>
      <c r="E70" s="261" t="s">
        <v>3117</v>
      </c>
      <c r="F70" s="314" t="s">
        <v>620</v>
      </c>
      <c r="G70" s="315">
        <f ca="1">SETUP!$T$2</f>
        <v>0</v>
      </c>
      <c r="H70" s="315" t="str">
        <f>IF(SETUP!$E$3="","","National/Country Level")</f>
        <v/>
      </c>
      <c r="I70" s="315" t="s">
        <v>2665</v>
      </c>
      <c r="J70" s="315" t="s">
        <v>707</v>
      </c>
      <c r="K70" s="315">
        <f t="shared" si="10"/>
        <v>0</v>
      </c>
      <c r="L70" s="315"/>
      <c r="M70" s="315">
        <f>SETUP!$E$7</f>
        <v>0</v>
      </c>
      <c r="N70" s="315"/>
      <c r="O70" s="315"/>
      <c r="P70" s="315"/>
      <c r="Q70" s="949" cm="1">
        <f t="array" ref="Q70">'HPM costs-C19RM'!$G$195+(SUMPRODUCT(('Fixed Cost-C19RM'!$D$5:$D$202=$D$70)*('Fixed Cost-C19RM'!$F$5:$F$202=$F$70)*('Fixed Cost-C19RM'!$K$5:$K$202)))</f>
        <v>0</v>
      </c>
      <c r="R70" s="949" cm="1">
        <f t="array" ref="R70">'HPM costs-C19RM'!$H$195+(SUMPRODUCT(('Fixed Cost-C19RM'!$D$5:$D$202=$D$70)*('Fixed Cost-C19RM'!$F$5:$F$202=$F$70)*('Fixed Cost-C19RM'!$L$5:$L$202)))</f>
        <v>0</v>
      </c>
      <c r="S70" s="949" cm="1">
        <f t="array" ref="S70">'HPM costs-C19RM'!$I$195+(SUMPRODUCT(('Fixed Cost-C19RM'!$D$5:$D$202=$D$70)*('Fixed Cost-C19RM'!$F$5:$F$202=$F$70)*('Fixed Cost-C19RM'!$M$5:$M$202)))</f>
        <v>0</v>
      </c>
      <c r="T70" s="949" cm="1">
        <f t="array" ref="T70">'HPM costs-C19RM'!$J$195+(SUMPRODUCT(('Fixed Cost-C19RM'!$D$5:$D$202=$D$70)*('Fixed Cost-C19RM'!$F$5:$F$202=$F$70)*('Fixed Cost-C19RM'!$N$5:$N$202)))</f>
        <v>0</v>
      </c>
      <c r="U70" s="948">
        <f t="shared" si="2"/>
        <v>0</v>
      </c>
      <c r="V70" s="424"/>
      <c r="W70" s="424"/>
      <c r="X70" s="424"/>
      <c r="Y70" s="424" cm="1">
        <f t="array" ref="Y70">'HPM costs-C19RM'!$M$195+(SUMPRODUCT(('Fixed Cost-C19RM'!$D$5:$D$202=$D$70)*('Fixed Cost-C19RM'!$F$5:$F$202=$F$70)*('Fixed Cost-C19RM'!$P$5:$P$202)))</f>
        <v>0</v>
      </c>
      <c r="Z70" s="424" cm="1">
        <f t="array" ref="Z70">'HPM costs-C19RM'!$N$195+(SUMPRODUCT(('Fixed Cost-C19RM'!$D$5:$D$202=$D$70)*('Fixed Cost-C19RM'!$F$5:$F$202=$F$70)*('Fixed Cost-C19RM'!$Q$5:$Q$202)))</f>
        <v>0</v>
      </c>
      <c r="AA70" s="424" cm="1">
        <f t="array" ref="AA70">'HPM costs-C19RM'!$O$195+(SUMPRODUCT(('Fixed Cost-C19RM'!$D$5:$D$202=$D$70)*('Fixed Cost-C19RM'!$F$5:$F$202=$F$70)*('Fixed Cost-C19RM'!$R$5:$R$202)))</f>
        <v>0</v>
      </c>
      <c r="AB70" s="424" cm="1">
        <f t="array" ref="AB70">'HPM costs-C19RM'!$P$195+(SUMPRODUCT(('Fixed Cost-C19RM'!$D$5:$D$202=$D$70)*('Fixed Cost-C19RM'!$F$5:$F$202=$F$70)*('Fixed Cost-C19RM'!$S$5:$S$202)))</f>
        <v>0</v>
      </c>
      <c r="AC70" s="424">
        <f t="shared" si="3"/>
        <v>0</v>
      </c>
      <c r="AD70" s="424"/>
      <c r="AE70" s="424"/>
      <c r="AF70" s="424"/>
      <c r="AG70" s="424" cm="1">
        <f t="array" ref="AG70">'HPM costs-C19RM'!$S$195+(SUMPRODUCT(('Fixed Cost-C19RM'!$D$5:$D$202=$D$70)*('Fixed Cost-C19RM'!$F$5:$F$202=$F$70)*('Fixed Cost-C19RM'!$U$5:$U$202)))</f>
        <v>0</v>
      </c>
      <c r="AH70" s="424" cm="1">
        <f t="array" ref="AH70">'HPM costs-C19RM'!$T$195+(SUMPRODUCT(('Fixed Cost-C19RM'!$D$5:$D$202=$D$70)*('Fixed Cost-C19RM'!$F$5:$F$202=$F$70)*('Fixed Cost-C19RM'!$V$5:$V$202)))</f>
        <v>0</v>
      </c>
      <c r="AI70" s="424" cm="1">
        <f t="array" ref="AI70">'HPM costs-C19RM'!$U$195+(SUMPRODUCT(('Fixed Cost-C19RM'!$D$5:$D$202=$D$70)*('Fixed Cost-C19RM'!$F$5:$F$202=$F$70)*('Fixed Cost-C19RM'!$W$5:$W$202)))</f>
        <v>0</v>
      </c>
      <c r="AJ70" s="424" cm="1">
        <f t="array" ref="AJ70">'HPM costs-C19RM'!$V$195+(SUMPRODUCT(('Fixed Cost-C19RM'!$D$5:$D$202=$D$70)*('Fixed Cost-C19RM'!$F$5:$F$202=$F$70)*('Fixed Cost-C19RM'!$X$5:$X$202)))</f>
        <v>0</v>
      </c>
      <c r="AK70" s="424">
        <f t="shared" si="4"/>
        <v>0</v>
      </c>
      <c r="AL70" s="424"/>
      <c r="AM70" s="424"/>
      <c r="AN70" s="424"/>
      <c r="AO70" s="424" cm="1">
        <f t="array" ref="AO70">'HPM costs-C19RM'!$Y$195+(SUMPRODUCT(('Fixed Cost-C19RM'!$D$5:$D$202=$D$70)*('Fixed Cost-C19RM'!$F$5:$F$202=$F$70)*('Fixed Cost-C19RM'!$Z$5:$Z$202)))</f>
        <v>0</v>
      </c>
      <c r="AP70" s="424" cm="1">
        <f t="array" ref="AP70">'HPM costs-C19RM'!$Z$195+(SUMPRODUCT(('Fixed Cost-C19RM'!$D$5:$D$202=$D$70)*('Fixed Cost-C19RM'!$F$5:$F$202=$F$70)*('Fixed Cost-C19RM'!$AA$5:$AA$202)))</f>
        <v>0</v>
      </c>
      <c r="AQ70" s="424" cm="1">
        <f t="array" ref="AQ70">'HPM costs-C19RM'!$AA$195+(SUMPRODUCT(('Fixed Cost-C19RM'!$D$5:$D$202=$D$70)*('Fixed Cost-C19RM'!$F$5:$F$202=$F$70)*('Fixed Cost-C19RM'!$AB$5:$AB$202)))</f>
        <v>0</v>
      </c>
      <c r="AR70" s="424" cm="1">
        <f t="array" ref="AR70">'HPM costs-C19RM'!$AB$195+(SUMPRODUCT(('Fixed Cost-C19RM'!$D$5:$D$202=$D$70)*('Fixed Cost-C19RM'!$F$5:$F$202=$F$70)*('Fixed Cost-C19RM'!$AC$5:$AC$202)))</f>
        <v>0</v>
      </c>
      <c r="AS70" s="424">
        <f t="shared" si="5"/>
        <v>0</v>
      </c>
      <c r="AT70" s="424"/>
      <c r="AU70" s="424"/>
      <c r="AV70" s="424"/>
      <c r="AW70" s="424" cm="1">
        <f t="array" ref="AW70">'HPM costs-C19RM'!$AE$195+(SUMPRODUCT(('Fixed Cost-C19RM'!$D$5:$D$202=$D$70)*('Fixed Cost-C19RM'!$F$5:$F$202=$F$70)*('Fixed Cost-C19RM'!$AE$5:$AE$202)))</f>
        <v>0</v>
      </c>
      <c r="AX70" s="424" cm="1">
        <f t="array" ref="AX70">'HPM costs-C19RM'!$AF$195+(SUMPRODUCT(('Fixed Cost-C19RM'!$D$5:$D$202=$D$70)*('Fixed Cost-C19RM'!$F$5:$F$202=$F$70)*('Fixed Cost-C19RM'!$AF$5:$AF$202)))</f>
        <v>0</v>
      </c>
      <c r="AY70" s="424" cm="1">
        <f t="array" ref="AY70">'HPM costs-C19RM'!$AG$195+(SUMPRODUCT(('Fixed Cost-C19RM'!$D$5:$D$202=$D$70)*('Fixed Cost-C19RM'!$F$5:$F$202=$F$70)*('Fixed Cost-C19RM'!$AG$5:$AG$202)))</f>
        <v>0</v>
      </c>
      <c r="AZ70" s="424" cm="1">
        <f t="array" ref="AZ70">'HPM costs-C19RM'!$AH$195+(SUMPRODUCT(('Fixed Cost-C19RM'!$D$5:$D$202=$D$70)*('Fixed Cost-C19RM'!$F$5:$F$202=$F$70)*('Fixed Cost-C19RM'!$AH$5:$AH$202)))</f>
        <v>0</v>
      </c>
      <c r="BA70" s="424">
        <f t="shared" si="6"/>
        <v>0</v>
      </c>
      <c r="BB70" s="424"/>
      <c r="BC70" s="424"/>
      <c r="BD70" s="424"/>
      <c r="BE70" s="424">
        <v>0</v>
      </c>
      <c r="BF70" s="424">
        <v>0</v>
      </c>
      <c r="BG70" s="424">
        <v>0</v>
      </c>
      <c r="BH70" s="424">
        <v>0</v>
      </c>
      <c r="BI70" s="424">
        <f t="shared" si="7"/>
        <v>0</v>
      </c>
      <c r="BJ70" s="424"/>
      <c r="BK70" s="424">
        <f t="shared" si="8"/>
        <v>0</v>
      </c>
      <c r="BL70" s="424"/>
      <c r="BM70" s="142"/>
      <c r="BN70" s="425"/>
      <c r="BP70" s="274" t="str">
        <f t="shared" si="11"/>
        <v>No</v>
      </c>
      <c r="BQ70" s="220" t="s">
        <v>31</v>
      </c>
      <c r="BR70" t="str">
        <f>IF(((IFERROR(INDEX('Fixed Cost-C19RM'!$AO$5:$AO$202,MATCH(BS70&amp;C70&amp;D70&amp;F70,'Fixed Cost-C19RM'!$A$5:$A$202,0)),0)))&gt;0,"Yes","NO")</f>
        <v>NO</v>
      </c>
      <c r="BS70" s="286" t="s">
        <v>83</v>
      </c>
      <c r="BT70" t="s">
        <v>3287</v>
      </c>
      <c r="BU70" s="411" t="s">
        <v>3656</v>
      </c>
    </row>
    <row r="71" spans="1:73" ht="39" customHeight="1" x14ac:dyDescent="0.35">
      <c r="A71" s="256"/>
      <c r="B71" s="363" t="str">
        <f>PMsheet!$AH$94&amp;'Detailed BudgetC19RM'!BU71</f>
        <v>000P23HP1166</v>
      </c>
      <c r="C71" s="315" t="s">
        <v>2749</v>
      </c>
      <c r="D71" s="315" t="s">
        <v>3145</v>
      </c>
      <c r="E71" s="261" t="s">
        <v>3117</v>
      </c>
      <c r="F71" s="314" t="s">
        <v>621</v>
      </c>
      <c r="G71" s="315">
        <f ca="1">SETUP!$T$2</f>
        <v>0</v>
      </c>
      <c r="H71" s="315" t="str">
        <f>IF(SETUP!$E$3="","","National/Country Level")</f>
        <v/>
      </c>
      <c r="I71" s="315" t="s">
        <v>2665</v>
      </c>
      <c r="J71" s="315" t="s">
        <v>707</v>
      </c>
      <c r="K71" s="315">
        <f t="shared" si="10"/>
        <v>0</v>
      </c>
      <c r="L71" s="315"/>
      <c r="M71" s="315">
        <f>SETUP!$E$7</f>
        <v>0</v>
      </c>
      <c r="N71" s="315"/>
      <c r="O71" s="315"/>
      <c r="P71" s="315"/>
      <c r="Q71" s="949" cm="1">
        <f t="array" ref="Q71">'HPM costs-C19RM'!$G$242+(SUMPRODUCT(('Fixed Cost-C19RM'!$D$5:$D$202=$D$71)*('Fixed Cost-C19RM'!$F$5:$F$202=$F$71)*('Fixed Cost-C19RM'!$K$5:$K$202)))</f>
        <v>0</v>
      </c>
      <c r="R71" s="949" cm="1">
        <f t="array" ref="R71">'HPM costs-C19RM'!$H$242+(SUMPRODUCT(('Fixed Cost-C19RM'!$D$5:$D$202=$D$71)*('Fixed Cost-C19RM'!$F$5:$F$202=$F$71)*('Fixed Cost-C19RM'!$L$5:$L$202)))</f>
        <v>0</v>
      </c>
      <c r="S71" s="949" cm="1">
        <f t="array" ref="S71">'HPM costs-C19RM'!$I$242+(SUMPRODUCT(('Fixed Cost-C19RM'!$D$5:$D$202=$D$71)*('Fixed Cost-C19RM'!$F$5:$F$202=$F$71)*('Fixed Cost-C19RM'!$M$5:$M$202)))</f>
        <v>0</v>
      </c>
      <c r="T71" s="949" cm="1">
        <f t="array" ref="T71">'HPM costs-C19RM'!$J$242+(SUMPRODUCT(('Fixed Cost-C19RM'!$D$5:$D$202=$D$71)*('Fixed Cost-C19RM'!$F$5:$F$202=$F$71)*('Fixed Cost-C19RM'!$N$5:$N$202)))</f>
        <v>0</v>
      </c>
      <c r="U71" s="948">
        <f t="shared" ref="U71:U74" si="12">SUM(Q71:T71)</f>
        <v>0</v>
      </c>
      <c r="V71" s="424"/>
      <c r="W71" s="424"/>
      <c r="X71" s="424"/>
      <c r="Y71" s="424" cm="1">
        <f t="array" ref="Y71">'HPM costs-C19RM'!$M$242+(SUMPRODUCT(('Fixed Cost-C19RM'!$D$5:$D$202=$D$71)*('Fixed Cost-C19RM'!$F$5:$F$202=$F$71)*('Fixed Cost-C19RM'!$P$5:$P$202)))</f>
        <v>0</v>
      </c>
      <c r="Z71" s="424" cm="1">
        <f t="array" ref="Z71">'HPM costs-C19RM'!$N$242+(SUMPRODUCT(('Fixed Cost-C19RM'!$D$5:$D$202=$D$71)*('Fixed Cost-C19RM'!$F$5:$F$202=$F$71)*('Fixed Cost-C19RM'!$Q$5:$Q$202)))</f>
        <v>0</v>
      </c>
      <c r="AA71" s="424" cm="1">
        <f t="array" ref="AA71">'HPM costs-C19RM'!$O$242+(SUMPRODUCT(('Fixed Cost-C19RM'!$D$5:$D$202=$D$71)*('Fixed Cost-C19RM'!$F$5:$F$202=$F$71)*('Fixed Cost-C19RM'!$R$5:$R$202)))</f>
        <v>0</v>
      </c>
      <c r="AB71" s="424" cm="1">
        <f t="array" ref="AB71">'HPM costs-C19RM'!$P$242+(SUMPRODUCT(('Fixed Cost-C19RM'!$D$5:$D$202=$D$71)*('Fixed Cost-C19RM'!$F$5:$F$202=$F$71)*('Fixed Cost-C19RM'!$S$5:$S$202)))</f>
        <v>0</v>
      </c>
      <c r="AC71" s="424">
        <f t="shared" ref="AC71:AC74" si="13">SUM(Y71:AB71)</f>
        <v>0</v>
      </c>
      <c r="AD71" s="424"/>
      <c r="AE71" s="424"/>
      <c r="AF71" s="424"/>
      <c r="AG71" s="424" cm="1">
        <f t="array" ref="AG71">'HPM costs-C19RM'!$S$242+(SUMPRODUCT(('Fixed Cost-C19RM'!$D$5:$D$202=$D$71)*('Fixed Cost-C19RM'!$F$5:$F$202=$F$71)*('Fixed Cost-C19RM'!$U$5:$U$202)))</f>
        <v>0</v>
      </c>
      <c r="AH71" s="424" cm="1">
        <f t="array" ref="AH71">'HPM costs-C19RM'!$T$242+(SUMPRODUCT(('Fixed Cost-C19RM'!$D$5:$D$202=$D$71)*('Fixed Cost-C19RM'!$F$5:$F$202=$F$71)*('Fixed Cost-C19RM'!$V$5:$V$202)))</f>
        <v>0</v>
      </c>
      <c r="AI71" s="424" cm="1">
        <f t="array" ref="AI71">'HPM costs-C19RM'!$U$242+(SUMPRODUCT(('Fixed Cost-C19RM'!$D$5:$D$202=$D$71)*('Fixed Cost-C19RM'!$F$5:$F$202=$F$71)*('Fixed Cost-C19RM'!$W$5:$W$202)))</f>
        <v>0</v>
      </c>
      <c r="AJ71" s="424" cm="1">
        <f t="array" ref="AJ71">'HPM costs-C19RM'!$V$242+(SUMPRODUCT(('Fixed Cost-C19RM'!$D$5:$D$202=$D$71)*('Fixed Cost-C19RM'!$F$5:$F$202=$F$71)*('Fixed Cost-C19RM'!$X$5:$X$202)))</f>
        <v>0</v>
      </c>
      <c r="AK71" s="424">
        <f t="shared" ref="AK71:AK74" si="14">SUM(AG71:AJ71)</f>
        <v>0</v>
      </c>
      <c r="AL71" s="424"/>
      <c r="AM71" s="424"/>
      <c r="AN71" s="424"/>
      <c r="AO71" s="424" cm="1">
        <f t="array" ref="AO71">'HPM costs-C19RM'!$Y$242+(SUMPRODUCT(('Fixed Cost-C19RM'!$D$5:$D$202=$D$71)*('Fixed Cost-C19RM'!$F$5:$F$202=$F$71)*('Fixed Cost-C19RM'!$Z$5:$Z$202)))</f>
        <v>0</v>
      </c>
      <c r="AP71" s="424" cm="1">
        <f t="array" ref="AP71">'HPM costs-C19RM'!$Z$242+(SUMPRODUCT(('Fixed Cost-C19RM'!$D$5:$D$202=$D$71)*('Fixed Cost-C19RM'!$F$5:$F$202=$F$71)*('Fixed Cost-C19RM'!$AA$5:$AA$202)))</f>
        <v>0</v>
      </c>
      <c r="AQ71" s="424" cm="1">
        <f t="array" ref="AQ71">'HPM costs-C19RM'!$AA$242+(SUMPRODUCT(('Fixed Cost-C19RM'!$D$5:$D$202=$D$71)*('Fixed Cost-C19RM'!$F$5:$F$202=$F$71)*('Fixed Cost-C19RM'!$AB$5:$AB$202)))</f>
        <v>0</v>
      </c>
      <c r="AR71" s="424" cm="1">
        <f t="array" ref="AR71">'HPM costs-C19RM'!$AB$242+(SUMPRODUCT(('Fixed Cost-C19RM'!$D$5:$D$202=$D$71)*('Fixed Cost-C19RM'!$F$5:$F$202=$F$71)*('Fixed Cost-C19RM'!$AC$5:$AC$202)))</f>
        <v>0</v>
      </c>
      <c r="AS71" s="424">
        <f t="shared" ref="AS71:AS74" si="15">SUM(AO71:AR71)</f>
        <v>0</v>
      </c>
      <c r="AT71" s="424"/>
      <c r="AU71" s="424"/>
      <c r="AV71" s="424"/>
      <c r="AW71" s="424" cm="1">
        <f t="array" ref="AW71">'HPM costs-C19RM'!$AE$242+(SUMPRODUCT(('Fixed Cost-C19RM'!$D$5:$D$202=$D$71)*('Fixed Cost-C19RM'!$F$5:$F$202=$F$71)*('Fixed Cost-C19RM'!$AE$5:$AE$202)))</f>
        <v>0</v>
      </c>
      <c r="AX71" s="424" cm="1">
        <f t="array" ref="AX71">'HPM costs-C19RM'!$AF$242+(SUMPRODUCT(('Fixed Cost-C19RM'!$D$5:$D$202=$D$71)*('Fixed Cost-C19RM'!$F$5:$F$202=$F$71)*('Fixed Cost-C19RM'!$AF$5:$AF$202)))</f>
        <v>0</v>
      </c>
      <c r="AY71" s="424" cm="1">
        <f t="array" ref="AY71">'HPM costs-C19RM'!$AG$242+(SUMPRODUCT(('Fixed Cost-C19RM'!$D$5:$D$202=$D$71)*('Fixed Cost-C19RM'!$F$5:$F$202=$F$71)*('Fixed Cost-C19RM'!$AG$5:$AG$202)))</f>
        <v>0</v>
      </c>
      <c r="AZ71" s="424" cm="1">
        <f t="array" ref="AZ71">'HPM costs-C19RM'!$AH$242+(SUMPRODUCT(('Fixed Cost-C19RM'!$D$5:$D$202=$D$71)*('Fixed Cost-C19RM'!$F$5:$F$202=$F$71)*('Fixed Cost-C19RM'!$AH$5:$AH$202)))</f>
        <v>0</v>
      </c>
      <c r="BA71" s="424">
        <f t="shared" ref="BA71:BA74" si="16">SUM(AW71:AZ71)</f>
        <v>0</v>
      </c>
      <c r="BB71" s="424"/>
      <c r="BC71" s="424"/>
      <c r="BD71" s="424"/>
      <c r="BE71" s="424">
        <v>0</v>
      </c>
      <c r="BF71" s="424">
        <v>0</v>
      </c>
      <c r="BG71" s="424">
        <v>0</v>
      </c>
      <c r="BH71" s="424">
        <v>0</v>
      </c>
      <c r="BI71" s="424">
        <f t="shared" ref="BI71:BI74" si="17">SUM(BE71:BH71)</f>
        <v>0</v>
      </c>
      <c r="BJ71" s="424"/>
      <c r="BK71" s="424">
        <f t="shared" ref="BK71:BK74" si="18">SUM($U71,$AC71,$AK71,$AS71,$BA71,$BI71)</f>
        <v>0</v>
      </c>
      <c r="BL71" s="424"/>
      <c r="BM71" s="142"/>
      <c r="BN71" s="425"/>
      <c r="BP71" s="274" t="str">
        <f t="shared" si="11"/>
        <v>No</v>
      </c>
      <c r="BQ71" s="220" t="s">
        <v>31</v>
      </c>
      <c r="BR71" t="str">
        <f>IF(((IFERROR(INDEX('Fixed Cost-C19RM'!$AO$5:$AO$202,MATCH(BS71&amp;C71&amp;D71&amp;F71,'Fixed Cost-C19RM'!$A$5:$A$202,0)),0)))&gt;0,"Yes","NO")</f>
        <v>NO</v>
      </c>
      <c r="BS71" s="286" t="s">
        <v>83</v>
      </c>
      <c r="BT71" t="s">
        <v>3288</v>
      </c>
      <c r="BU71" s="411" t="s">
        <v>3657</v>
      </c>
    </row>
    <row r="72" spans="1:73" ht="39" customHeight="1" x14ac:dyDescent="0.35">
      <c r="A72" s="256"/>
      <c r="B72" s="363" t="str">
        <f>PMsheet!$AH$94&amp;'Detailed BudgetC19RM'!BU72</f>
        <v>000P23HP1167</v>
      </c>
      <c r="C72" s="315" t="s">
        <v>2749</v>
      </c>
      <c r="D72" s="315" t="s">
        <v>3145</v>
      </c>
      <c r="E72" s="261" t="s">
        <v>3117</v>
      </c>
      <c r="F72" s="314" t="s">
        <v>750</v>
      </c>
      <c r="G72" s="315">
        <f ca="1">SETUP!$T$2</f>
        <v>0</v>
      </c>
      <c r="H72" s="315" t="str">
        <f>IF(SETUP!$E$3="","","National/Country Level")</f>
        <v/>
      </c>
      <c r="I72" s="315" t="s">
        <v>2665</v>
      </c>
      <c r="J72" s="315" t="s">
        <v>707</v>
      </c>
      <c r="K72" s="315">
        <f t="shared" si="10"/>
        <v>0</v>
      </c>
      <c r="L72" s="315"/>
      <c r="M72" s="315">
        <f>SETUP!$E$7</f>
        <v>0</v>
      </c>
      <c r="N72" s="315"/>
      <c r="O72" s="315"/>
      <c r="P72" s="315"/>
      <c r="Q72" s="949" cm="1">
        <f t="array" ref="Q72">('HPM costs-C19RM'!$G$98+'HPM costs-C19RM'!$G$290)+(SUMPRODUCT(('Fixed Cost-C19RM'!$D$5:$D$202=$D$72)*('Fixed Cost-C19RM'!$F$5:$F$202=$F$72)*('Fixed Cost-C19RM'!$K$5:$K$202)))</f>
        <v>0</v>
      </c>
      <c r="R72" s="949" cm="1">
        <f t="array" ref="R72">('HPM costs-C19RM'!$H$98+'HPM costs-C19RM'!$H$290)+(SUMPRODUCT(('Fixed Cost-C19RM'!$D$5:$D$202=$D$72)*('Fixed Cost-C19RM'!$F$5:$F$202=$F$72)*('Fixed Cost-C19RM'!$L$5:$L$202)))</f>
        <v>0</v>
      </c>
      <c r="S72" s="949" cm="1">
        <f t="array" ref="S72">('HPM costs-C19RM'!$I$98+'HPM costs-C19RM'!$I$290)+(SUMPRODUCT(('Fixed Cost-C19RM'!$D$5:$D$202=$D$72)*('Fixed Cost-C19RM'!$F$5:$F$202=$F$72)*('Fixed Cost-C19RM'!$M$5:$M$202)))</f>
        <v>0</v>
      </c>
      <c r="T72" s="949" cm="1">
        <f t="array" ref="T72">('HPM costs-C19RM'!$J$98+'HPM costs-C19RM'!$J$290)+(SUMPRODUCT(('Fixed Cost-C19RM'!$D$5:$D$202=$D$72)*('Fixed Cost-C19RM'!$F$5:$F$202=$F$72)*('Fixed Cost-C19RM'!$N$5:$N$202)))</f>
        <v>0</v>
      </c>
      <c r="U72" s="948">
        <f t="shared" si="12"/>
        <v>0</v>
      </c>
      <c r="V72" s="424"/>
      <c r="W72" s="424"/>
      <c r="X72" s="424"/>
      <c r="Y72" s="424" cm="1">
        <f t="array" ref="Y72">('HPM costs-C19RM'!$M$98+'HPM costs-C19RM'!$M$290)+(SUMPRODUCT(('Fixed Cost-C19RM'!$D$5:$D$202=$D$72)*('Fixed Cost-C19RM'!$F$5:$F$202=$F$72)*('Fixed Cost-C19RM'!$P$5:$P$202)))</f>
        <v>0</v>
      </c>
      <c r="Z72" s="424" cm="1">
        <f t="array" ref="Z72">('HPM costs-C19RM'!$N$98+'HPM costs-C19RM'!$N$290)+(SUMPRODUCT(('Fixed Cost-C19RM'!$D$5:$D$202=$D$72)*('Fixed Cost-C19RM'!$F$5:$F$202=$F$72)*('Fixed Cost-C19RM'!$Q$5:$Q$202)))</f>
        <v>0</v>
      </c>
      <c r="AA72" s="424" cm="1">
        <f t="array" ref="AA72">('HPM costs-C19RM'!$O$98+'HPM costs-C19RM'!$O$290)+(SUMPRODUCT(('Fixed Cost-C19RM'!$D$5:$D$202=$D$72)*('Fixed Cost-C19RM'!$F$5:$F$202=$F$72)*('Fixed Cost-C19RM'!$R$5:$R$202)))</f>
        <v>0</v>
      </c>
      <c r="AB72" s="424" cm="1">
        <f t="array" ref="AB72">('HPM costs-C19RM'!$P$98+'HPM costs-C19RM'!$P$290)+(SUMPRODUCT(('Fixed Cost-C19RM'!$D$5:$D$202=$D$72)*('Fixed Cost-C19RM'!$F$5:$F$202=$F$72)*('Fixed Cost-C19RM'!$S$5:$S$202)))</f>
        <v>0</v>
      </c>
      <c r="AC72" s="424">
        <f t="shared" si="13"/>
        <v>0</v>
      </c>
      <c r="AD72" s="424"/>
      <c r="AE72" s="424"/>
      <c r="AF72" s="424"/>
      <c r="AG72" s="424" cm="1">
        <f t="array" ref="AG72">('HPM costs-C19RM'!$S$98+'HPM costs-C19RM'!$S$290)+(SUMPRODUCT(('Fixed Cost-C19RM'!$D$5:$D$202=$D$72)*('Fixed Cost-C19RM'!$F$5:$F$202=$F$72)*('Fixed Cost-C19RM'!$U$5:$U$202)))</f>
        <v>0</v>
      </c>
      <c r="AH72" s="424" cm="1">
        <f t="array" ref="AH72">('HPM costs-C19RM'!$T$98+'HPM costs-C19RM'!$T$290)+(SUMPRODUCT(('Fixed Cost-C19RM'!$D$5:$D$202=$D$72)*('Fixed Cost-C19RM'!$F$5:$F$202=$F$72)*('Fixed Cost-C19RM'!$V$5:$V$202)))</f>
        <v>0</v>
      </c>
      <c r="AI72" s="424" cm="1">
        <f t="array" ref="AI72">('HPM costs-C19RM'!$U$98+'HPM costs-C19RM'!$U$290)+(SUMPRODUCT(('Fixed Cost-C19RM'!$D$5:$D$202=$D$72)*('Fixed Cost-C19RM'!$F$5:$F$202=$F$72)*('Fixed Cost-C19RM'!$W$5:$W$202)))</f>
        <v>0</v>
      </c>
      <c r="AJ72" s="424" cm="1">
        <f t="array" ref="AJ72">('HPM costs-C19RM'!$V$98+'HPM costs-C19RM'!$V$290)+(SUMPRODUCT(('Fixed Cost-C19RM'!$D$5:$D$202=$D$72)*('Fixed Cost-C19RM'!$F$5:$F$202=$F$72)*('Fixed Cost-C19RM'!$X$5:$X$202)))</f>
        <v>0</v>
      </c>
      <c r="AK72" s="424">
        <f t="shared" si="14"/>
        <v>0</v>
      </c>
      <c r="AL72" s="424"/>
      <c r="AM72" s="424"/>
      <c r="AN72" s="424"/>
      <c r="AO72" s="424" cm="1">
        <f t="array" ref="AO72">('HPM costs-C19RM'!$Y$98+'HPM costs-C19RM'!$Y$290)+(SUMPRODUCT(('Fixed Cost-C19RM'!$D$5:$D$202=$D$72)*('Fixed Cost-C19RM'!$F$5:$F$202=$F$72)*('Fixed Cost-C19RM'!$Z$5:$Z$202)))</f>
        <v>0</v>
      </c>
      <c r="AP72" s="424" cm="1">
        <f t="array" ref="AP72">('HPM costs-C19RM'!$Z$98+'HPM costs-C19RM'!$Z$290)+(SUMPRODUCT(('Fixed Cost-C19RM'!$D$5:$D$202=$D$72)*('Fixed Cost-C19RM'!$F$5:$F$202=$F$72)*('Fixed Cost-C19RM'!$AA$5:$AA$202)))</f>
        <v>0</v>
      </c>
      <c r="AQ72" s="424" cm="1">
        <f t="array" ref="AQ72">('HPM costs-C19RM'!$AA$98+'HPM costs-C19RM'!$AA$290)+(SUMPRODUCT(('Fixed Cost-C19RM'!$D$5:$D$202=$D$72)*('Fixed Cost-C19RM'!$F$5:$F$202=$F$72)*('Fixed Cost-C19RM'!$AB$5:$AB$202)))</f>
        <v>0</v>
      </c>
      <c r="AR72" s="424" cm="1">
        <f t="array" ref="AR72">('HPM costs-C19RM'!$AB$98+'HPM costs-C19RM'!$AB$290)+(SUMPRODUCT(('Fixed Cost-C19RM'!$D$5:$D$202=$D$72)*('Fixed Cost-C19RM'!$F$5:$F$202=$F$72)*('Fixed Cost-C19RM'!$AC$5:$AC$202)))</f>
        <v>0</v>
      </c>
      <c r="AS72" s="424">
        <f t="shared" si="15"/>
        <v>0</v>
      </c>
      <c r="AT72" s="424"/>
      <c r="AU72" s="424"/>
      <c r="AV72" s="424"/>
      <c r="AW72" s="424" cm="1">
        <f t="array" ref="AW72">('HPM costs-C19RM'!$AE$98+'HPM costs-C19RM'!$AE$290)+(SUMPRODUCT(('Fixed Cost-C19RM'!$D$5:$D$202=$D$72)*('Fixed Cost-C19RM'!$F$5:$F$202=$F$72)*('Fixed Cost-C19RM'!$AE$5:$AE$202)))</f>
        <v>0</v>
      </c>
      <c r="AX72" s="424" cm="1">
        <f t="array" ref="AX72">('HPM costs-C19RM'!$AF$98+'HPM costs-C19RM'!$AF$290)+(SUMPRODUCT(('Fixed Cost-C19RM'!$D$5:$D$202=$D$72)*('Fixed Cost-C19RM'!$F$5:$F$202=$F$72)*('Fixed Cost-C19RM'!$AF$5:$AF$202)))</f>
        <v>0</v>
      </c>
      <c r="AY72" s="424" cm="1">
        <f t="array" ref="AY72">('HPM costs-C19RM'!$AG$98+'HPM costs-C19RM'!$AG$290)+(SUMPRODUCT(('Fixed Cost-C19RM'!$D$5:$D$202=$D$72)*('Fixed Cost-C19RM'!$F$5:$F$202=$F$72)*('Fixed Cost-C19RM'!$AG$5:$AG$202)))</f>
        <v>0</v>
      </c>
      <c r="AZ72" s="424" cm="1">
        <f t="array" ref="AZ72">('HPM costs-C19RM'!$AH$98+'HPM costs-C19RM'!$AH$290)+(SUMPRODUCT(('Fixed Cost-C19RM'!$D$5:$D$202=$D$72)*('Fixed Cost-C19RM'!$F$5:$F$202=$F$72)*('Fixed Cost-C19RM'!$AH$5:$AH$202)))</f>
        <v>0</v>
      </c>
      <c r="BA72" s="424">
        <f t="shared" si="16"/>
        <v>0</v>
      </c>
      <c r="BB72" s="424"/>
      <c r="BC72" s="424"/>
      <c r="BD72" s="424"/>
      <c r="BE72" s="424">
        <v>0</v>
      </c>
      <c r="BF72" s="424">
        <v>0</v>
      </c>
      <c r="BG72" s="424">
        <v>0</v>
      </c>
      <c r="BH72" s="424">
        <v>0</v>
      </c>
      <c r="BI72" s="424">
        <f t="shared" si="17"/>
        <v>0</v>
      </c>
      <c r="BJ72" s="424"/>
      <c r="BK72" s="424">
        <f t="shared" si="18"/>
        <v>0</v>
      </c>
      <c r="BL72" s="424"/>
      <c r="BM72" s="142"/>
      <c r="BN72" s="425"/>
      <c r="BP72" s="274" t="str">
        <f t="shared" si="11"/>
        <v>No</v>
      </c>
      <c r="BQ72" s="220" t="s">
        <v>31</v>
      </c>
      <c r="BR72" t="str">
        <f>IF(((IFERROR(INDEX('Fixed Cost-C19RM'!$AO$5:$AO$202,MATCH(BS72&amp;C72&amp;D72&amp;F72,'Fixed Cost-C19RM'!$A$5:$A$202,0)),0)))&gt;0,"Yes","NO")</f>
        <v>NO</v>
      </c>
      <c r="BS72" s="286" t="s">
        <v>83</v>
      </c>
      <c r="BT72" t="s">
        <v>3289</v>
      </c>
      <c r="BU72" s="411" t="s">
        <v>3658</v>
      </c>
    </row>
    <row r="73" spans="1:73" ht="39" customHeight="1" x14ac:dyDescent="0.35">
      <c r="A73" s="256"/>
      <c r="B73" s="363" t="str">
        <f>PMsheet!$AH$94&amp;'Detailed BudgetC19RM'!BU73</f>
        <v>000P23HP1168</v>
      </c>
      <c r="C73" s="315" t="s">
        <v>2749</v>
      </c>
      <c r="D73" s="315" t="s">
        <v>3145</v>
      </c>
      <c r="E73" s="261" t="s">
        <v>3117</v>
      </c>
      <c r="F73" s="314" t="s">
        <v>622</v>
      </c>
      <c r="G73" s="315">
        <f ca="1">SETUP!$T$2</f>
        <v>0</v>
      </c>
      <c r="H73" s="315" t="str">
        <f>IF(SETUP!$E$3="","","National/Country Level")</f>
        <v/>
      </c>
      <c r="I73" s="315" t="s">
        <v>2665</v>
      </c>
      <c r="J73" s="315" t="s">
        <v>707</v>
      </c>
      <c r="K73" s="315">
        <f t="shared" si="10"/>
        <v>0</v>
      </c>
      <c r="L73" s="315"/>
      <c r="M73" s="315">
        <f>SETUP!$E$7</f>
        <v>0</v>
      </c>
      <c r="N73" s="315"/>
      <c r="O73" s="315"/>
      <c r="P73" s="315"/>
      <c r="Q73" s="949" cm="1">
        <f t="array" ref="Q73">'HPM costs-C19RM'!$G$146+(SUMPRODUCT(('Fixed Cost-C19RM'!$D$5:$D$202=$D$73)*('Fixed Cost-C19RM'!$F$5:$F$202=$F$73)*('Fixed Cost-C19RM'!$K$5:$K$202)))</f>
        <v>0</v>
      </c>
      <c r="R73" s="949" cm="1">
        <f t="array" ref="R73">'HPM costs-C19RM'!$H$146+(SUMPRODUCT(('Fixed Cost-C19RM'!$D$5:$D$202=$D$73)*('Fixed Cost-C19RM'!$F$5:$F$202=$F$73)*('Fixed Cost-C19RM'!$L$5:$L$202)))</f>
        <v>0</v>
      </c>
      <c r="S73" s="949" cm="1">
        <f t="array" ref="S73">'HPM costs-C19RM'!$I$146+(SUMPRODUCT(('Fixed Cost-C19RM'!$D$5:$D$202=$D$73)*('Fixed Cost-C19RM'!$F$5:$F$202=$F$73)*('Fixed Cost-C19RM'!$M$5:$M$202)))</f>
        <v>0</v>
      </c>
      <c r="T73" s="949" cm="1">
        <f t="array" ref="T73">'HPM costs-C19RM'!$J$146+(SUMPRODUCT(('Fixed Cost-C19RM'!$D$5:$D$202=$D$73)*('Fixed Cost-C19RM'!$F$5:$F$202=$F$73)*('Fixed Cost-C19RM'!$N$5:$N$202)))</f>
        <v>0</v>
      </c>
      <c r="U73" s="948">
        <f t="shared" si="12"/>
        <v>0</v>
      </c>
      <c r="V73" s="424"/>
      <c r="W73" s="424"/>
      <c r="X73" s="424"/>
      <c r="Y73" s="424" cm="1">
        <f t="array" ref="Y73">'HPM costs-C19RM'!$M$146+(SUMPRODUCT(('Fixed Cost-C19RM'!$D$5:$D$202=$D$73)*('Fixed Cost-C19RM'!$F$5:$F$202=$F$73)*('Fixed Cost-C19RM'!$P$5:$P$202)))</f>
        <v>0</v>
      </c>
      <c r="Z73" s="424" cm="1">
        <f t="array" ref="Z73">'HPM costs-C19RM'!$N$146+(SUMPRODUCT(('Fixed Cost-C19RM'!$D$5:$D$202=$D$73)*('Fixed Cost-C19RM'!$F$5:$F$202=$F$73)*('Fixed Cost-C19RM'!$Q$5:$Q$202)))</f>
        <v>0</v>
      </c>
      <c r="AA73" s="424" cm="1">
        <f t="array" ref="AA73">'HPM costs-C19RM'!$O$146+(SUMPRODUCT(('Fixed Cost-C19RM'!$D$5:$D$202=$D$73)*('Fixed Cost-C19RM'!$F$5:$F$202=$F$73)*('Fixed Cost-C19RM'!$R$5:$R$202)))</f>
        <v>0</v>
      </c>
      <c r="AB73" s="424" cm="1">
        <f t="array" ref="AB73">'HPM costs-C19RM'!$P$146+(SUMPRODUCT(('Fixed Cost-C19RM'!$D$5:$D$202=$D$73)*('Fixed Cost-C19RM'!$F$5:$F$202=$F$73)*('Fixed Cost-C19RM'!$S$5:$S$202)))</f>
        <v>0</v>
      </c>
      <c r="AC73" s="424">
        <f t="shared" si="13"/>
        <v>0</v>
      </c>
      <c r="AD73" s="424"/>
      <c r="AE73" s="424"/>
      <c r="AF73" s="424"/>
      <c r="AG73" s="424" cm="1">
        <f t="array" ref="AG73">'HPM costs-C19RM'!$S$146+(SUMPRODUCT(('Fixed Cost-C19RM'!$D$5:$D$202=$D$73)*('Fixed Cost-C19RM'!$F$5:$F$202=$F$73)*('Fixed Cost-C19RM'!$U$5:$U$202)))</f>
        <v>0</v>
      </c>
      <c r="AH73" s="424" cm="1">
        <f t="array" ref="AH73">'HPM costs-C19RM'!$T$146+(SUMPRODUCT(('Fixed Cost-C19RM'!$D$5:$D$202=$D$73)*('Fixed Cost-C19RM'!$F$5:$F$202=$F$73)*('Fixed Cost-C19RM'!$V$5:$V$202)))</f>
        <v>0</v>
      </c>
      <c r="AI73" s="424" cm="1">
        <f t="array" ref="AI73">'HPM costs-C19RM'!$U$146+(SUMPRODUCT(('Fixed Cost-C19RM'!$D$5:$D$202=$D$73)*('Fixed Cost-C19RM'!$F$5:$F$202=$F$73)*('Fixed Cost-C19RM'!$W$5:$W$202)))</f>
        <v>0</v>
      </c>
      <c r="AJ73" s="424" cm="1">
        <f t="array" ref="AJ73">'HPM costs-C19RM'!$V$146+(SUMPRODUCT(('Fixed Cost-C19RM'!$D$5:$D$202=$D$73)*('Fixed Cost-C19RM'!$F$5:$F$202=$F$73)*('Fixed Cost-C19RM'!$X$5:$X$202)))</f>
        <v>0</v>
      </c>
      <c r="AK73" s="424">
        <f t="shared" si="14"/>
        <v>0</v>
      </c>
      <c r="AL73" s="424"/>
      <c r="AM73" s="424"/>
      <c r="AN73" s="424"/>
      <c r="AO73" s="424" cm="1">
        <f t="array" ref="AO73">'HPM costs-C19RM'!$Y$146+(SUMPRODUCT(('Fixed Cost-C19RM'!$D$5:$D$202=$D$73)*('Fixed Cost-C19RM'!$F$5:$F$202=$F$73)*('Fixed Cost-C19RM'!$Z$5:$Z$202)))</f>
        <v>0</v>
      </c>
      <c r="AP73" s="424" cm="1">
        <f t="array" ref="AP73">'HPM costs-C19RM'!$Z$146+(SUMPRODUCT(('Fixed Cost-C19RM'!$D$5:$D$202=$D$73)*('Fixed Cost-C19RM'!$F$5:$F$202=$F$73)*('Fixed Cost-C19RM'!$AA$5:$AA$202)))</f>
        <v>0</v>
      </c>
      <c r="AQ73" s="424" cm="1">
        <f t="array" ref="AQ73">'HPM costs-C19RM'!$AA$146+(SUMPRODUCT(('Fixed Cost-C19RM'!$D$5:$D$202=$D$73)*('Fixed Cost-C19RM'!$F$5:$F$202=$F$73)*('Fixed Cost-C19RM'!$AB$5:$AB$202)))</f>
        <v>0</v>
      </c>
      <c r="AR73" s="424" cm="1">
        <f t="array" ref="AR73">'HPM costs-C19RM'!$AB$146+(SUMPRODUCT(('Fixed Cost-C19RM'!$D$5:$D$202=$D$73)*('Fixed Cost-C19RM'!$F$5:$F$202=$F$73)*('Fixed Cost-C19RM'!$AC$5:$AC$202)))</f>
        <v>0</v>
      </c>
      <c r="AS73" s="424">
        <f t="shared" si="15"/>
        <v>0</v>
      </c>
      <c r="AT73" s="424"/>
      <c r="AU73" s="424"/>
      <c r="AV73" s="424"/>
      <c r="AW73" s="424" cm="1">
        <f t="array" ref="AW73">'HPM costs-C19RM'!$AE$146+(SUMPRODUCT(('Fixed Cost-C19RM'!$D$5:$D$202=$D$73)*('Fixed Cost-C19RM'!$F$5:$F$202=$F$73)*('Fixed Cost-C19RM'!$AE$5:$AE$202)))</f>
        <v>0</v>
      </c>
      <c r="AX73" s="424" cm="1">
        <f t="array" ref="AX73">'HPM costs-C19RM'!$AF$146+(SUMPRODUCT(('Fixed Cost-C19RM'!$D$5:$D$202=$D$73)*('Fixed Cost-C19RM'!$F$5:$F$202=$F$73)*('Fixed Cost-C19RM'!$AF$5:$AF$202)))</f>
        <v>0</v>
      </c>
      <c r="AY73" s="424" cm="1">
        <f t="array" ref="AY73">'HPM costs-C19RM'!$AG$146+(SUMPRODUCT(('Fixed Cost-C19RM'!$D$5:$D$202=$D$73)*('Fixed Cost-C19RM'!$F$5:$F$202=$F$73)*('Fixed Cost-C19RM'!$AG$5:$AG$202)))</f>
        <v>0</v>
      </c>
      <c r="AZ73" s="424" cm="1">
        <f t="array" ref="AZ73">'HPM costs-C19RM'!$AH$146+(SUMPRODUCT(('Fixed Cost-C19RM'!$D$5:$D$202=$D$73)*('Fixed Cost-C19RM'!$F$5:$F$202=$F$73)*('Fixed Cost-C19RM'!$AH$5:$AH$202)))</f>
        <v>0</v>
      </c>
      <c r="BA73" s="424">
        <f t="shared" si="16"/>
        <v>0</v>
      </c>
      <c r="BB73" s="424"/>
      <c r="BC73" s="424"/>
      <c r="BD73" s="424"/>
      <c r="BE73" s="424">
        <v>0</v>
      </c>
      <c r="BF73" s="424">
        <v>0</v>
      </c>
      <c r="BG73" s="424">
        <v>0</v>
      </c>
      <c r="BH73" s="424">
        <v>0</v>
      </c>
      <c r="BI73" s="424">
        <f t="shared" si="17"/>
        <v>0</v>
      </c>
      <c r="BJ73" s="424"/>
      <c r="BK73" s="424">
        <f t="shared" si="18"/>
        <v>0</v>
      </c>
      <c r="BL73" s="424"/>
      <c r="BM73" s="142"/>
      <c r="BN73" s="425"/>
      <c r="BP73" s="274" t="str">
        <f t="shared" si="11"/>
        <v>No</v>
      </c>
      <c r="BQ73" s="220" t="s">
        <v>31</v>
      </c>
      <c r="BR73" t="str">
        <f>IF(((IFERROR(INDEX('Fixed Cost-C19RM'!$AO$5:$AO$202,MATCH(BS73&amp;C73&amp;D73&amp;F73,'Fixed Cost-C19RM'!$A$5:$A$202,0)),0)))&gt;0,"Yes","NO")</f>
        <v>NO</v>
      </c>
      <c r="BS73" s="286" t="s">
        <v>83</v>
      </c>
      <c r="BT73" t="s">
        <v>3290</v>
      </c>
      <c r="BU73" s="411" t="s">
        <v>3659</v>
      </c>
    </row>
    <row r="74" spans="1:73" ht="39" customHeight="1" x14ac:dyDescent="0.35">
      <c r="A74" s="256"/>
      <c r="B74" s="363" t="str">
        <f>PMsheet!$AH$94&amp;'Detailed BudgetC19RM'!BU74</f>
        <v>000P23HP1169</v>
      </c>
      <c r="C74" s="315" t="s">
        <v>2749</v>
      </c>
      <c r="D74" s="315" t="s">
        <v>3145</v>
      </c>
      <c r="E74" s="261" t="s">
        <v>3117</v>
      </c>
      <c r="F74" s="314" t="s">
        <v>751</v>
      </c>
      <c r="G74" s="315">
        <f ca="1">SETUP!$T$2</f>
        <v>0</v>
      </c>
      <c r="H74" s="315" t="str">
        <f>IF(SETUP!$E$3="","","National/Country Level")</f>
        <v/>
      </c>
      <c r="I74" s="315" t="s">
        <v>2665</v>
      </c>
      <c r="J74" s="315" t="s">
        <v>707</v>
      </c>
      <c r="K74" s="315">
        <f t="shared" si="10"/>
        <v>0</v>
      </c>
      <c r="L74" s="315"/>
      <c r="M74" s="315">
        <f>SETUP!$E$7</f>
        <v>0</v>
      </c>
      <c r="N74" s="315"/>
      <c r="O74" s="315"/>
      <c r="P74" s="315"/>
      <c r="Q74" s="949" cm="1">
        <f t="array" ref="Q74">'HPM costs-C19RM'!$G$337+(SUMPRODUCT(('Fixed Cost-C19RM'!$D$5:$D$202=$D$74)*('Fixed Cost-C19RM'!$F$5:$F$202=$F$74)*('Fixed Cost-C19RM'!$K$5:$K$202)))</f>
        <v>0</v>
      </c>
      <c r="R74" s="949" cm="1">
        <f t="array" ref="R74">'HPM costs-C19RM'!$H$337+(SUMPRODUCT(('Fixed Cost-C19RM'!$D$5:$D$202=$D$74)*('Fixed Cost-C19RM'!$F$5:$F$202=$F$74)*('Fixed Cost-C19RM'!$L$5:$L$202)))</f>
        <v>0</v>
      </c>
      <c r="S74" s="949" cm="1">
        <f t="array" ref="S74">'HPM costs-C19RM'!$I$337+(SUMPRODUCT(('Fixed Cost-C19RM'!$D$5:$D$202=$D$74)*('Fixed Cost-C19RM'!$F$5:$F$202=$F$74)*('Fixed Cost-C19RM'!$M$5:$M$202)))</f>
        <v>0</v>
      </c>
      <c r="T74" s="949" cm="1">
        <f t="array" ref="T74">'HPM costs-C19RM'!$J$337+(SUMPRODUCT(('Fixed Cost-C19RM'!$D$5:$D$202=$D$74)*('Fixed Cost-C19RM'!$F$5:$F$202=$F$74)*('Fixed Cost-C19RM'!$N$5:$N$202)))</f>
        <v>0</v>
      </c>
      <c r="U74" s="948">
        <f t="shared" si="12"/>
        <v>0</v>
      </c>
      <c r="V74" s="424"/>
      <c r="W74" s="424"/>
      <c r="X74" s="424"/>
      <c r="Y74" s="424" cm="1">
        <f t="array" ref="Y74">'HPM costs-C19RM'!$M$337+(SUMPRODUCT(('Fixed Cost-C19RM'!$D$5:$D$202=$D$74)*('Fixed Cost-C19RM'!$F$5:$F$202=$F$74)*('Fixed Cost-C19RM'!$P$5:$P$202)))</f>
        <v>0</v>
      </c>
      <c r="Z74" s="424" cm="1">
        <f t="array" ref="Z74">'HPM costs-C19RM'!$N$337+(SUMPRODUCT(('Fixed Cost-C19RM'!$D$5:$D$202=$D$74)*('Fixed Cost-C19RM'!$F$5:$F$202=$F$74)*('Fixed Cost-C19RM'!$Q$5:$Q$202)))</f>
        <v>0</v>
      </c>
      <c r="AA74" s="424" cm="1">
        <f t="array" ref="AA74">'HPM costs-C19RM'!$O$337+(SUMPRODUCT(('Fixed Cost-C19RM'!$D$5:$D$202=$D$74)*('Fixed Cost-C19RM'!$F$5:$F$202=$F$74)*('Fixed Cost-C19RM'!$R$5:$R$202)))</f>
        <v>0</v>
      </c>
      <c r="AB74" s="424" cm="1">
        <f t="array" ref="AB74">'HPM costs-C19RM'!$P$337+(SUMPRODUCT(('Fixed Cost-C19RM'!$D$5:$D$202=$D$74)*('Fixed Cost-C19RM'!$F$5:$F$202=$F$74)*('Fixed Cost-C19RM'!$S$5:$S$202)))</f>
        <v>0</v>
      </c>
      <c r="AC74" s="424">
        <f t="shared" si="13"/>
        <v>0</v>
      </c>
      <c r="AD74" s="424"/>
      <c r="AE74" s="424"/>
      <c r="AF74" s="424"/>
      <c r="AG74" s="424" cm="1">
        <f t="array" ref="AG74">'HPM costs-C19RM'!$S$337+(SUMPRODUCT(('Fixed Cost-C19RM'!$D$5:$D$202=$D$74)*('Fixed Cost-C19RM'!$F$5:$F$202=$F$74)*('Fixed Cost-C19RM'!$U$5:$U$202)))</f>
        <v>0</v>
      </c>
      <c r="AH74" s="424" cm="1">
        <f t="array" ref="AH74">'HPM costs-C19RM'!$T$337+(SUMPRODUCT(('Fixed Cost-C19RM'!$D$5:$D$202=$D$74)*('Fixed Cost-C19RM'!$F$5:$F$202=$F$74)*('Fixed Cost-C19RM'!$V$5:$V$202)))</f>
        <v>0</v>
      </c>
      <c r="AI74" s="424" cm="1">
        <f t="array" ref="AI74">'HPM costs-C19RM'!$U$337+(SUMPRODUCT(('Fixed Cost-C19RM'!$D$5:$D$202=$D$74)*('Fixed Cost-C19RM'!$F$5:$F$202=$F$74)*('Fixed Cost-C19RM'!$W$5:$W$202)))</f>
        <v>0</v>
      </c>
      <c r="AJ74" s="424" cm="1">
        <f t="array" ref="AJ74">'HPM costs-C19RM'!$V$337+(SUMPRODUCT(('Fixed Cost-C19RM'!$D$5:$D$202=$D$74)*('Fixed Cost-C19RM'!$F$5:$F$202=$F$74)*('Fixed Cost-C19RM'!$X$5:$X$202)))</f>
        <v>0</v>
      </c>
      <c r="AK74" s="424">
        <f t="shared" si="14"/>
        <v>0</v>
      </c>
      <c r="AL74" s="424"/>
      <c r="AM74" s="424"/>
      <c r="AN74" s="424"/>
      <c r="AO74" s="424" cm="1">
        <f t="array" ref="AO74">'HPM costs-C19RM'!$Y$337+(SUMPRODUCT(('Fixed Cost-C19RM'!$D$5:$D$202=$D$74)*('Fixed Cost-C19RM'!$F$5:$F$202=$F$74)*('Fixed Cost-C19RM'!$Z$5:$Z$202)))</f>
        <v>0</v>
      </c>
      <c r="AP74" s="424" cm="1">
        <f t="array" ref="AP74">'HPM costs-C19RM'!$Z$337+(SUMPRODUCT(('Fixed Cost-C19RM'!$D$5:$D$202=$D$74)*('Fixed Cost-C19RM'!$F$5:$F$202=$F$74)*('Fixed Cost-C19RM'!$AA$5:$AA$202)))</f>
        <v>0</v>
      </c>
      <c r="AQ74" s="424" cm="1">
        <f t="array" ref="AQ74">'HPM costs-C19RM'!$AA$337+(SUMPRODUCT(('Fixed Cost-C19RM'!$D$5:$D$202=$D$74)*('Fixed Cost-C19RM'!$F$5:$F$202=$F$74)*('Fixed Cost-C19RM'!$AB$5:$AB$202)))</f>
        <v>0</v>
      </c>
      <c r="AR74" s="424" cm="1">
        <f t="array" ref="AR74">'HPM costs-C19RM'!$AB$337+(SUMPRODUCT(('Fixed Cost-C19RM'!$D$5:$D$202=$D$74)*('Fixed Cost-C19RM'!$F$5:$F$202=$F$74)*('Fixed Cost-C19RM'!$AC$5:$AC$202)))</f>
        <v>0</v>
      </c>
      <c r="AS74" s="424">
        <f t="shared" si="15"/>
        <v>0</v>
      </c>
      <c r="AT74" s="424"/>
      <c r="AU74" s="424"/>
      <c r="AV74" s="424"/>
      <c r="AW74" s="424" cm="1">
        <f t="array" ref="AW74">'HPM costs-C19RM'!$AE$337+(SUMPRODUCT(('Fixed Cost-C19RM'!$D$5:$D$202=$D$74)*('Fixed Cost-C19RM'!$F$5:$F$202=$F$74)*('Fixed Cost-C19RM'!$AE$5:$AE$202)))</f>
        <v>0</v>
      </c>
      <c r="AX74" s="424" cm="1">
        <f t="array" ref="AX74">'HPM costs-C19RM'!$AF$337+(SUMPRODUCT(('Fixed Cost-C19RM'!$D$5:$D$202=$D$74)*('Fixed Cost-C19RM'!$F$5:$F$202=$F$74)*('Fixed Cost-C19RM'!$AF$5:$AF$202)))</f>
        <v>0</v>
      </c>
      <c r="AY74" s="424" cm="1">
        <f t="array" ref="AY74">'HPM costs-C19RM'!$AG$337+(SUMPRODUCT(('Fixed Cost-C19RM'!$D$5:$D$202=$D$74)*('Fixed Cost-C19RM'!$F$5:$F$202=$F$74)*('Fixed Cost-C19RM'!$AG$5:$AG$202)))</f>
        <v>0</v>
      </c>
      <c r="AZ74" s="424" cm="1">
        <f t="array" ref="AZ74">'HPM costs-C19RM'!$AH$337+(SUMPRODUCT(('Fixed Cost-C19RM'!$D$5:$D$202=$D$74)*('Fixed Cost-C19RM'!$F$5:$F$202=$F$74)*('Fixed Cost-C19RM'!$AH$5:$AH$202)))</f>
        <v>0</v>
      </c>
      <c r="BA74" s="424">
        <f t="shared" si="16"/>
        <v>0</v>
      </c>
      <c r="BB74" s="424"/>
      <c r="BC74" s="424"/>
      <c r="BD74" s="424"/>
      <c r="BE74" s="424">
        <v>0</v>
      </c>
      <c r="BF74" s="424">
        <v>0</v>
      </c>
      <c r="BG74" s="424">
        <v>0</v>
      </c>
      <c r="BH74" s="424">
        <v>0</v>
      </c>
      <c r="BI74" s="424">
        <f t="shared" si="17"/>
        <v>0</v>
      </c>
      <c r="BJ74" s="424"/>
      <c r="BK74" s="424">
        <f t="shared" si="18"/>
        <v>0</v>
      </c>
      <c r="BL74" s="424"/>
      <c r="BM74" s="142"/>
      <c r="BN74" s="425"/>
      <c r="BP74" s="274" t="str">
        <f t="shared" si="11"/>
        <v>No</v>
      </c>
      <c r="BQ74" s="220" t="s">
        <v>31</v>
      </c>
      <c r="BR74" t="str">
        <f>IF(((IFERROR(INDEX('Fixed Cost-C19RM'!$AO$5:$AO$202,MATCH(BS74&amp;C74&amp;D74&amp;F74,'Fixed Cost-C19RM'!$A$5:$A$202,0)),0)))&gt;0,"Yes","NO")</f>
        <v>NO</v>
      </c>
      <c r="BS74" s="286" t="s">
        <v>83</v>
      </c>
      <c r="BT74" t="s">
        <v>3291</v>
      </c>
      <c r="BU74" s="411" t="s">
        <v>3660</v>
      </c>
    </row>
    <row r="75" spans="1:73" x14ac:dyDescent="0.35">
      <c r="A75" s="255"/>
      <c r="B75" s="256"/>
      <c r="C75" s="255"/>
      <c r="D75" s="255"/>
      <c r="E75" s="255"/>
      <c r="F75" s="350"/>
      <c r="G75" s="351"/>
      <c r="H75" s="351"/>
      <c r="I75" s="351"/>
      <c r="J75" s="351"/>
      <c r="K75" s="351"/>
      <c r="L75" s="351"/>
      <c r="M75" s="351"/>
      <c r="N75" s="351"/>
      <c r="O75" s="351"/>
      <c r="P75" s="351"/>
      <c r="Q75" s="351"/>
      <c r="R75" s="351"/>
      <c r="S75" s="351"/>
      <c r="T75" s="351"/>
      <c r="U75" s="352"/>
      <c r="V75" s="352"/>
      <c r="W75" s="352"/>
      <c r="X75" s="352"/>
      <c r="Y75" s="352"/>
      <c r="Z75" s="352"/>
      <c r="AA75" s="352"/>
      <c r="AB75" s="352"/>
      <c r="AC75" s="353"/>
      <c r="AD75" s="353"/>
      <c r="AE75" s="353"/>
      <c r="AF75" s="353"/>
      <c r="AG75" s="353"/>
      <c r="AH75" s="353"/>
      <c r="AI75" s="353"/>
      <c r="AJ75" s="353"/>
      <c r="AK75" s="353"/>
      <c r="AL75" s="353"/>
      <c r="AM75" s="353"/>
      <c r="AN75" s="353"/>
      <c r="AO75" s="353"/>
      <c r="AP75" s="353"/>
      <c r="AQ75" s="353"/>
      <c r="AR75" s="353"/>
      <c r="AS75" s="353"/>
      <c r="AT75" s="353"/>
      <c r="AU75" s="353"/>
      <c r="AV75" s="353"/>
      <c r="AW75" s="353"/>
      <c r="AX75" s="353"/>
      <c r="AY75" s="353"/>
      <c r="AZ75" s="353"/>
      <c r="BA75" s="353"/>
      <c r="BB75" s="353"/>
      <c r="BC75" s="353"/>
      <c r="BD75" s="353"/>
      <c r="BE75" s="353"/>
      <c r="BF75" s="353"/>
      <c r="BG75" s="353"/>
      <c r="BH75" s="353"/>
      <c r="BI75" s="353"/>
      <c r="BJ75" s="353"/>
      <c r="BK75" s="353"/>
      <c r="BL75" s="353"/>
      <c r="BN75" s="257"/>
      <c r="BP75" s="274"/>
    </row>
    <row r="76" spans="1:73" x14ac:dyDescent="0.35">
      <c r="A76" s="255"/>
      <c r="B76" s="256"/>
      <c r="C76" s="255"/>
      <c r="D76" s="255"/>
      <c r="E76" s="255"/>
      <c r="F76" s="350"/>
      <c r="G76" s="351"/>
      <c r="H76" s="351"/>
      <c r="I76" s="351"/>
      <c r="J76" s="351"/>
      <c r="K76" s="351"/>
      <c r="L76" s="351"/>
      <c r="M76" s="351"/>
      <c r="N76" s="351"/>
      <c r="O76" s="351"/>
      <c r="P76" s="351"/>
      <c r="Q76" s="351"/>
      <c r="R76" s="351"/>
      <c r="S76" s="351"/>
      <c r="T76" s="351"/>
      <c r="U76" s="352"/>
      <c r="V76" s="352"/>
      <c r="W76" s="352"/>
      <c r="X76" s="352"/>
      <c r="Y76" s="352"/>
      <c r="Z76" s="352"/>
      <c r="AA76" s="352"/>
      <c r="AB76" s="352"/>
      <c r="AC76" s="353"/>
      <c r="AD76" s="353"/>
      <c r="AE76" s="353"/>
      <c r="AF76" s="353"/>
      <c r="AG76" s="353"/>
      <c r="AH76" s="353"/>
      <c r="AI76" s="353"/>
      <c r="AJ76" s="353"/>
      <c r="AK76" s="353"/>
      <c r="AL76" s="353"/>
      <c r="AM76" s="353"/>
      <c r="AN76" s="353"/>
      <c r="AO76" s="353"/>
      <c r="AP76" s="353"/>
      <c r="AQ76" s="353"/>
      <c r="AR76" s="353"/>
      <c r="AS76" s="353"/>
      <c r="AT76" s="353"/>
      <c r="AU76" s="353"/>
      <c r="AV76" s="353"/>
      <c r="AW76" s="353"/>
      <c r="AX76" s="353"/>
      <c r="AY76" s="353"/>
      <c r="AZ76" s="353"/>
      <c r="BA76" s="353"/>
      <c r="BB76" s="353"/>
      <c r="BC76" s="353"/>
      <c r="BD76" s="353"/>
      <c r="BE76" s="353"/>
      <c r="BF76" s="353"/>
      <c r="BG76" s="353"/>
      <c r="BH76" s="353"/>
      <c r="BI76" s="353"/>
      <c r="BJ76" s="353"/>
      <c r="BK76" s="353"/>
      <c r="BL76" s="353"/>
      <c r="BN76" s="257"/>
      <c r="BP76" s="274"/>
    </row>
    <row r="77" spans="1:73" x14ac:dyDescent="0.35">
      <c r="A77" s="255"/>
      <c r="B77" s="256"/>
      <c r="C77" s="255"/>
      <c r="D77" s="255"/>
      <c r="E77" s="255"/>
      <c r="F77" s="350"/>
      <c r="G77" s="351"/>
      <c r="H77" s="351"/>
      <c r="I77" s="351"/>
      <c r="J77" s="351"/>
      <c r="K77" s="351"/>
      <c r="L77" s="351"/>
      <c r="M77" s="351"/>
      <c r="N77" s="351"/>
      <c r="O77" s="351"/>
      <c r="P77" s="351"/>
      <c r="Q77" s="351"/>
      <c r="R77" s="351"/>
      <c r="S77" s="351"/>
      <c r="T77" s="351"/>
      <c r="U77" s="352"/>
      <c r="V77" s="352"/>
      <c r="W77" s="352"/>
      <c r="X77" s="352"/>
      <c r="Y77" s="352"/>
      <c r="Z77" s="352"/>
      <c r="AA77" s="352"/>
      <c r="AB77" s="352"/>
      <c r="AC77" s="353"/>
      <c r="AD77" s="353"/>
      <c r="AE77" s="353"/>
      <c r="AF77" s="353"/>
      <c r="AG77" s="353"/>
      <c r="AH77" s="353"/>
      <c r="AI77" s="353"/>
      <c r="AJ77" s="353"/>
      <c r="AK77" s="353"/>
      <c r="AL77" s="353"/>
      <c r="AM77" s="353"/>
      <c r="AN77" s="353"/>
      <c r="AO77" s="353"/>
      <c r="AP77" s="353"/>
      <c r="AQ77" s="353"/>
      <c r="AR77" s="353"/>
      <c r="AS77" s="353"/>
      <c r="AT77" s="353"/>
      <c r="AU77" s="353"/>
      <c r="AV77" s="353"/>
      <c r="AW77" s="353"/>
      <c r="AX77" s="353"/>
      <c r="AY77" s="353"/>
      <c r="AZ77" s="353"/>
      <c r="BA77" s="353"/>
      <c r="BB77" s="353"/>
      <c r="BC77" s="353"/>
      <c r="BD77" s="353"/>
      <c r="BE77" s="353"/>
      <c r="BF77" s="353"/>
      <c r="BG77" s="353"/>
      <c r="BH77" s="353"/>
      <c r="BI77" s="353"/>
      <c r="BJ77" s="353"/>
      <c r="BK77" s="353"/>
      <c r="BL77" s="353"/>
      <c r="BN77" s="257"/>
      <c r="BP77" s="274"/>
    </row>
    <row r="78" spans="1:73" x14ac:dyDescent="0.35">
      <c r="A78" s="255"/>
      <c r="B78" s="256"/>
      <c r="C78" s="255"/>
      <c r="D78" s="255"/>
      <c r="E78" s="255"/>
      <c r="F78" s="350"/>
      <c r="G78" s="351"/>
      <c r="H78" s="351"/>
      <c r="I78" s="351"/>
      <c r="J78" s="351"/>
      <c r="K78" s="351"/>
      <c r="L78" s="351"/>
      <c r="M78" s="351"/>
      <c r="N78" s="351"/>
      <c r="O78" s="351"/>
      <c r="P78" s="351"/>
      <c r="Q78" s="351"/>
      <c r="R78" s="351"/>
      <c r="S78" s="351"/>
      <c r="T78" s="351"/>
      <c r="U78" s="352"/>
      <c r="V78" s="352"/>
      <c r="W78" s="352"/>
      <c r="X78" s="352"/>
      <c r="Y78" s="352"/>
      <c r="Z78" s="352"/>
      <c r="AA78" s="352"/>
      <c r="AB78" s="352"/>
      <c r="AC78" s="353"/>
      <c r="AD78" s="353"/>
      <c r="AE78" s="353"/>
      <c r="AF78" s="353"/>
      <c r="AG78" s="353"/>
      <c r="AH78" s="353"/>
      <c r="AI78" s="353"/>
      <c r="AJ78" s="353"/>
      <c r="AK78" s="353"/>
      <c r="AL78" s="353"/>
      <c r="AM78" s="353"/>
      <c r="AN78" s="353"/>
      <c r="AO78" s="353"/>
      <c r="AP78" s="353"/>
      <c r="AQ78" s="353"/>
      <c r="AR78" s="353"/>
      <c r="AS78" s="353"/>
      <c r="AT78" s="353"/>
      <c r="AU78" s="353"/>
      <c r="AV78" s="353"/>
      <c r="AW78" s="353"/>
      <c r="AX78" s="353"/>
      <c r="AY78" s="353"/>
      <c r="AZ78" s="353"/>
      <c r="BA78" s="353"/>
      <c r="BB78" s="353"/>
      <c r="BC78" s="353"/>
      <c r="BD78" s="353"/>
      <c r="BE78" s="353"/>
      <c r="BF78" s="353"/>
      <c r="BG78" s="353"/>
      <c r="BH78" s="353"/>
      <c r="BI78" s="353"/>
      <c r="BJ78" s="353"/>
      <c r="BK78" s="353"/>
      <c r="BL78" s="353"/>
      <c r="BN78" s="257"/>
      <c r="BP78" s="274"/>
    </row>
    <row r="79" spans="1:73" x14ac:dyDescent="0.35">
      <c r="A79" s="255"/>
      <c r="B79" s="256"/>
      <c r="C79" s="255"/>
      <c r="D79" s="255"/>
      <c r="E79" s="255"/>
      <c r="F79" s="350"/>
      <c r="G79" s="351"/>
      <c r="H79" s="351"/>
      <c r="I79" s="351"/>
      <c r="J79" s="351"/>
      <c r="K79" s="351"/>
      <c r="L79" s="351"/>
      <c r="M79" s="351"/>
      <c r="N79" s="351"/>
      <c r="O79" s="351"/>
      <c r="P79" s="351"/>
      <c r="Q79" s="351"/>
      <c r="R79" s="351"/>
      <c r="S79" s="351"/>
      <c r="T79" s="351"/>
      <c r="U79" s="352"/>
      <c r="V79" s="352"/>
      <c r="W79" s="352"/>
      <c r="X79" s="352"/>
      <c r="Y79" s="352"/>
      <c r="Z79" s="352"/>
      <c r="AA79" s="352"/>
      <c r="AB79" s="352"/>
      <c r="AC79" s="353"/>
      <c r="AD79" s="353"/>
      <c r="AE79" s="353"/>
      <c r="AF79" s="353"/>
      <c r="AG79" s="353"/>
      <c r="AH79" s="353"/>
      <c r="AI79" s="353"/>
      <c r="AJ79" s="353"/>
      <c r="AK79" s="353"/>
      <c r="AL79" s="353"/>
      <c r="AM79" s="353"/>
      <c r="AN79" s="353"/>
      <c r="AO79" s="353"/>
      <c r="AP79" s="353"/>
      <c r="AQ79" s="353"/>
      <c r="AR79" s="353"/>
      <c r="AS79" s="353"/>
      <c r="AT79" s="353"/>
      <c r="AU79" s="353"/>
      <c r="AV79" s="353"/>
      <c r="AW79" s="353"/>
      <c r="AX79" s="353"/>
      <c r="AY79" s="353"/>
      <c r="AZ79" s="353"/>
      <c r="BA79" s="353"/>
      <c r="BB79" s="353"/>
      <c r="BC79" s="353"/>
      <c r="BD79" s="353"/>
      <c r="BE79" s="353"/>
      <c r="BF79" s="353"/>
      <c r="BG79" s="353"/>
      <c r="BH79" s="353"/>
      <c r="BI79" s="353"/>
      <c r="BJ79" s="353"/>
      <c r="BK79" s="353"/>
      <c r="BL79" s="353"/>
      <c r="BN79" s="257"/>
      <c r="BP79" s="274"/>
    </row>
    <row r="80" spans="1:73" x14ac:dyDescent="0.35">
      <c r="A80" s="255"/>
      <c r="B80" s="256"/>
      <c r="C80" s="255"/>
      <c r="D80" s="255"/>
      <c r="E80" s="255"/>
      <c r="F80" s="350"/>
      <c r="G80" s="351"/>
      <c r="H80" s="351"/>
      <c r="I80" s="351"/>
      <c r="J80" s="351"/>
      <c r="K80" s="351"/>
      <c r="L80" s="351"/>
      <c r="M80" s="351"/>
      <c r="N80" s="351"/>
      <c r="O80" s="351"/>
      <c r="P80" s="351"/>
      <c r="Q80" s="351"/>
      <c r="R80" s="351"/>
      <c r="S80" s="351"/>
      <c r="T80" s="351"/>
      <c r="U80" s="352"/>
      <c r="V80" s="352"/>
      <c r="W80" s="352"/>
      <c r="X80" s="352"/>
      <c r="Y80" s="352"/>
      <c r="Z80" s="352"/>
      <c r="AA80" s="352"/>
      <c r="AB80" s="352"/>
      <c r="AC80" s="353"/>
      <c r="AD80" s="353"/>
      <c r="AE80" s="353"/>
      <c r="AF80" s="353"/>
      <c r="AG80" s="353"/>
      <c r="AH80" s="353"/>
      <c r="AI80" s="353"/>
      <c r="AJ80" s="353"/>
      <c r="AK80" s="353"/>
      <c r="AL80" s="353"/>
      <c r="AM80" s="353"/>
      <c r="AN80" s="353"/>
      <c r="AO80" s="353"/>
      <c r="AP80" s="353"/>
      <c r="AQ80" s="353"/>
      <c r="AR80" s="353"/>
      <c r="AS80" s="353"/>
      <c r="AT80" s="353"/>
      <c r="AU80" s="353"/>
      <c r="AV80" s="353"/>
      <c r="AW80" s="353"/>
      <c r="AX80" s="353"/>
      <c r="AY80" s="353"/>
      <c r="AZ80" s="353"/>
      <c r="BA80" s="353"/>
      <c r="BB80" s="353"/>
      <c r="BC80" s="353"/>
      <c r="BD80" s="353"/>
      <c r="BE80" s="353"/>
      <c r="BF80" s="353"/>
      <c r="BG80" s="353"/>
      <c r="BH80" s="353"/>
      <c r="BI80" s="353"/>
      <c r="BJ80" s="353"/>
      <c r="BK80" s="353"/>
      <c r="BL80" s="353"/>
      <c r="BN80" s="257"/>
      <c r="BP80" s="274"/>
    </row>
    <row r="81" spans="1:68" x14ac:dyDescent="0.35">
      <c r="A81" s="255"/>
      <c r="B81" s="256"/>
      <c r="C81" s="255"/>
      <c r="D81" s="255"/>
      <c r="E81" s="255"/>
      <c r="F81" s="350"/>
      <c r="G81" s="351"/>
      <c r="H81" s="351"/>
      <c r="I81" s="351"/>
      <c r="J81" s="351"/>
      <c r="K81" s="351"/>
      <c r="L81" s="351"/>
      <c r="M81" s="351"/>
      <c r="N81" s="351"/>
      <c r="O81" s="351"/>
      <c r="P81" s="351"/>
      <c r="Q81" s="351"/>
      <c r="R81" s="351"/>
      <c r="S81" s="351"/>
      <c r="T81" s="351"/>
      <c r="U81" s="352"/>
      <c r="V81" s="352"/>
      <c r="W81" s="352"/>
      <c r="X81" s="352"/>
      <c r="Y81" s="352"/>
      <c r="Z81" s="352"/>
      <c r="AA81" s="352"/>
      <c r="AB81" s="352"/>
      <c r="AC81" s="353"/>
      <c r="AD81" s="353"/>
      <c r="AE81" s="353"/>
      <c r="AF81" s="353"/>
      <c r="AG81" s="353"/>
      <c r="AH81" s="353"/>
      <c r="AI81" s="353"/>
      <c r="AJ81" s="353"/>
      <c r="AK81" s="353"/>
      <c r="AL81" s="353"/>
      <c r="AM81" s="353"/>
      <c r="AN81" s="353"/>
      <c r="AO81" s="353"/>
      <c r="AP81" s="353"/>
      <c r="AQ81" s="353"/>
      <c r="AR81" s="353"/>
      <c r="AS81" s="353"/>
      <c r="AT81" s="353"/>
      <c r="AU81" s="353"/>
      <c r="AV81" s="353"/>
      <c r="AW81" s="353"/>
      <c r="AX81" s="353"/>
      <c r="AY81" s="353"/>
      <c r="AZ81" s="353"/>
      <c r="BA81" s="353"/>
      <c r="BB81" s="353"/>
      <c r="BC81" s="353"/>
      <c r="BD81" s="353"/>
      <c r="BE81" s="353"/>
      <c r="BF81" s="353"/>
      <c r="BG81" s="353"/>
      <c r="BH81" s="353"/>
      <c r="BI81" s="353"/>
      <c r="BJ81" s="353"/>
      <c r="BK81" s="353"/>
      <c r="BL81" s="353"/>
      <c r="BN81" s="257"/>
      <c r="BP81" s="274"/>
    </row>
    <row r="82" spans="1:68" x14ac:dyDescent="0.35">
      <c r="A82" s="255"/>
      <c r="B82" s="256"/>
      <c r="C82" s="255"/>
      <c r="D82" s="255"/>
      <c r="E82" s="255"/>
      <c r="F82" s="350"/>
      <c r="G82" s="351"/>
      <c r="H82" s="351"/>
      <c r="I82" s="351"/>
      <c r="J82" s="351"/>
      <c r="K82" s="351"/>
      <c r="L82" s="351"/>
      <c r="M82" s="351"/>
      <c r="N82" s="351"/>
      <c r="O82" s="351"/>
      <c r="P82" s="351"/>
      <c r="Q82" s="351"/>
      <c r="R82" s="351"/>
      <c r="S82" s="351"/>
      <c r="T82" s="351"/>
      <c r="U82" s="352"/>
      <c r="V82" s="352"/>
      <c r="W82" s="352"/>
      <c r="X82" s="352"/>
      <c r="Y82" s="352"/>
      <c r="Z82" s="352"/>
      <c r="AA82" s="352"/>
      <c r="AB82" s="352"/>
      <c r="AC82" s="353"/>
      <c r="AD82" s="353"/>
      <c r="AE82" s="353"/>
      <c r="AF82" s="353"/>
      <c r="AG82" s="353"/>
      <c r="AH82" s="353"/>
      <c r="AI82" s="353"/>
      <c r="AJ82" s="353"/>
      <c r="AK82" s="353"/>
      <c r="AL82" s="353"/>
      <c r="AM82" s="353"/>
      <c r="AN82" s="353"/>
      <c r="AO82" s="353"/>
      <c r="AP82" s="353"/>
      <c r="AQ82" s="353"/>
      <c r="AR82" s="353"/>
      <c r="AS82" s="353"/>
      <c r="AT82" s="353"/>
      <c r="AU82" s="353"/>
      <c r="AV82" s="353"/>
      <c r="AW82" s="353"/>
      <c r="AX82" s="353"/>
      <c r="AY82" s="353"/>
      <c r="AZ82" s="353"/>
      <c r="BA82" s="353"/>
      <c r="BB82" s="353"/>
      <c r="BC82" s="353"/>
      <c r="BD82" s="353"/>
      <c r="BE82" s="353"/>
      <c r="BF82" s="353"/>
      <c r="BG82" s="353"/>
      <c r="BH82" s="353"/>
      <c r="BI82" s="353"/>
      <c r="BJ82" s="353"/>
      <c r="BK82" s="353"/>
      <c r="BL82" s="353"/>
      <c r="BN82" s="257"/>
      <c r="BP82" s="274"/>
    </row>
    <row r="83" spans="1:68" x14ac:dyDescent="0.35">
      <c r="A83" s="255"/>
      <c r="B83" s="256"/>
      <c r="C83" s="255"/>
      <c r="D83" s="255"/>
      <c r="E83" s="255"/>
      <c r="F83" s="350"/>
      <c r="G83" s="351"/>
      <c r="H83" s="351"/>
      <c r="I83" s="351"/>
      <c r="J83" s="351"/>
      <c r="K83" s="351"/>
      <c r="L83" s="351"/>
      <c r="M83" s="351"/>
      <c r="N83" s="351"/>
      <c r="O83" s="351"/>
      <c r="P83" s="351"/>
      <c r="Q83" s="351"/>
      <c r="R83" s="351"/>
      <c r="S83" s="351"/>
      <c r="T83" s="351"/>
      <c r="U83" s="352"/>
      <c r="V83" s="352"/>
      <c r="W83" s="352"/>
      <c r="X83" s="352"/>
      <c r="Y83" s="352"/>
      <c r="Z83" s="352"/>
      <c r="AA83" s="352"/>
      <c r="AB83" s="352"/>
      <c r="AC83" s="353"/>
      <c r="AD83" s="353"/>
      <c r="AE83" s="353"/>
      <c r="AF83" s="353"/>
      <c r="AG83" s="353"/>
      <c r="AH83" s="353"/>
      <c r="AI83" s="353"/>
      <c r="AJ83" s="353"/>
      <c r="AK83" s="353"/>
      <c r="AL83" s="353"/>
      <c r="AM83" s="353"/>
      <c r="AN83" s="353"/>
      <c r="AO83" s="353"/>
      <c r="AP83" s="353"/>
      <c r="AQ83" s="353"/>
      <c r="AR83" s="353"/>
      <c r="AS83" s="353"/>
      <c r="AT83" s="353"/>
      <c r="AU83" s="353"/>
      <c r="AV83" s="353"/>
      <c r="AW83" s="353"/>
      <c r="AX83" s="353"/>
      <c r="AY83" s="353"/>
      <c r="AZ83" s="353"/>
      <c r="BA83" s="353"/>
      <c r="BB83" s="353"/>
      <c r="BC83" s="353"/>
      <c r="BD83" s="353"/>
      <c r="BE83" s="353"/>
      <c r="BF83" s="353"/>
      <c r="BG83" s="353"/>
      <c r="BH83" s="353"/>
      <c r="BI83" s="353"/>
      <c r="BJ83" s="353"/>
      <c r="BK83" s="353"/>
      <c r="BL83" s="353"/>
      <c r="BN83" s="257"/>
      <c r="BP83" s="274"/>
    </row>
    <row r="84" spans="1:68" x14ac:dyDescent="0.35">
      <c r="A84" s="255"/>
      <c r="B84" s="256"/>
      <c r="C84" s="255"/>
      <c r="D84" s="255"/>
      <c r="E84" s="255"/>
      <c r="F84" s="350"/>
      <c r="G84" s="351"/>
      <c r="H84" s="351"/>
      <c r="I84" s="351"/>
      <c r="J84" s="351"/>
      <c r="K84" s="351"/>
      <c r="L84" s="351"/>
      <c r="M84" s="351"/>
      <c r="N84" s="351"/>
      <c r="O84" s="351"/>
      <c r="P84" s="351"/>
      <c r="Q84" s="351"/>
      <c r="R84" s="351"/>
      <c r="S84" s="351"/>
      <c r="T84" s="351"/>
      <c r="U84" s="352"/>
      <c r="V84" s="352"/>
      <c r="W84" s="352"/>
      <c r="X84" s="352"/>
      <c r="Y84" s="352"/>
      <c r="Z84" s="352"/>
      <c r="AA84" s="352"/>
      <c r="AB84" s="352"/>
      <c r="AC84" s="353"/>
      <c r="AD84" s="353"/>
      <c r="AE84" s="353"/>
      <c r="AF84" s="353"/>
      <c r="AG84" s="353"/>
      <c r="AH84" s="353"/>
      <c r="AI84" s="353"/>
      <c r="AJ84" s="353"/>
      <c r="AK84" s="353"/>
      <c r="AL84" s="353"/>
      <c r="AM84" s="353"/>
      <c r="AN84" s="353"/>
      <c r="AO84" s="353"/>
      <c r="AP84" s="353"/>
      <c r="AQ84" s="353"/>
      <c r="AR84" s="353"/>
      <c r="AS84" s="353"/>
      <c r="AT84" s="353"/>
      <c r="AU84" s="353"/>
      <c r="AV84" s="353"/>
      <c r="AW84" s="353"/>
      <c r="AX84" s="353"/>
      <c r="AY84" s="353"/>
      <c r="AZ84" s="353"/>
      <c r="BA84" s="353"/>
      <c r="BB84" s="353"/>
      <c r="BC84" s="353"/>
      <c r="BD84" s="353"/>
      <c r="BE84" s="353"/>
      <c r="BF84" s="353"/>
      <c r="BG84" s="353"/>
      <c r="BH84" s="353"/>
      <c r="BI84" s="353"/>
      <c r="BJ84" s="353"/>
      <c r="BK84" s="353"/>
      <c r="BL84" s="353"/>
      <c r="BN84" s="257"/>
      <c r="BP84" s="274"/>
    </row>
    <row r="85" spans="1:68" x14ac:dyDescent="0.35">
      <c r="A85" s="255"/>
      <c r="B85" s="256"/>
      <c r="C85" s="255"/>
      <c r="D85" s="255"/>
      <c r="E85" s="255"/>
      <c r="F85" s="350"/>
      <c r="G85" s="351"/>
      <c r="H85" s="351"/>
      <c r="I85" s="351"/>
      <c r="J85" s="351"/>
      <c r="K85" s="351"/>
      <c r="L85" s="351"/>
      <c r="M85" s="351"/>
      <c r="N85" s="351"/>
      <c r="O85" s="351"/>
      <c r="P85" s="351"/>
      <c r="Q85" s="351"/>
      <c r="R85" s="351"/>
      <c r="S85" s="351"/>
      <c r="T85" s="351"/>
      <c r="U85" s="352"/>
      <c r="V85" s="352"/>
      <c r="W85" s="352"/>
      <c r="X85" s="352"/>
      <c r="Y85" s="352"/>
      <c r="Z85" s="352"/>
      <c r="AA85" s="352"/>
      <c r="AB85" s="352"/>
      <c r="AC85" s="353"/>
      <c r="AD85" s="353"/>
      <c r="AE85" s="353"/>
      <c r="AF85" s="353"/>
      <c r="AG85" s="353"/>
      <c r="AH85" s="353"/>
      <c r="AI85" s="353"/>
      <c r="AJ85" s="353"/>
      <c r="AK85" s="353"/>
      <c r="AL85" s="353"/>
      <c r="AM85" s="353"/>
      <c r="AN85" s="353"/>
      <c r="AO85" s="353"/>
      <c r="AP85" s="353"/>
      <c r="AQ85" s="353"/>
      <c r="AR85" s="353"/>
      <c r="AS85" s="353"/>
      <c r="AT85" s="353"/>
      <c r="AU85" s="353"/>
      <c r="AV85" s="353"/>
      <c r="AW85" s="353"/>
      <c r="AX85" s="353"/>
      <c r="AY85" s="353"/>
      <c r="AZ85" s="353"/>
      <c r="BA85" s="353"/>
      <c r="BB85" s="353"/>
      <c r="BC85" s="353"/>
      <c r="BD85" s="353"/>
      <c r="BE85" s="353"/>
      <c r="BF85" s="353"/>
      <c r="BG85" s="353"/>
      <c r="BH85" s="353"/>
      <c r="BI85" s="353"/>
      <c r="BJ85" s="353"/>
      <c r="BK85" s="353"/>
      <c r="BL85" s="353"/>
      <c r="BN85" s="257"/>
      <c r="BP85" s="274"/>
    </row>
    <row r="86" spans="1:68" x14ac:dyDescent="0.35">
      <c r="A86" s="255"/>
      <c r="B86" s="256"/>
      <c r="C86" s="255"/>
      <c r="D86" s="255"/>
      <c r="E86" s="255"/>
      <c r="F86" s="350"/>
      <c r="G86" s="351"/>
      <c r="H86" s="351"/>
      <c r="I86" s="351"/>
      <c r="J86" s="351"/>
      <c r="K86" s="351"/>
      <c r="L86" s="351"/>
      <c r="M86" s="351"/>
      <c r="N86" s="351"/>
      <c r="O86" s="351"/>
      <c r="P86" s="351"/>
      <c r="Q86" s="351"/>
      <c r="R86" s="351"/>
      <c r="S86" s="351"/>
      <c r="T86" s="351"/>
      <c r="U86" s="352"/>
      <c r="V86" s="352"/>
      <c r="W86" s="352"/>
      <c r="X86" s="352"/>
      <c r="Y86" s="352"/>
      <c r="Z86" s="352"/>
      <c r="AA86" s="352"/>
      <c r="AB86" s="352"/>
      <c r="AC86" s="353"/>
      <c r="AD86" s="353"/>
      <c r="AE86" s="353"/>
      <c r="AF86" s="353"/>
      <c r="AG86" s="353"/>
      <c r="AH86" s="353"/>
      <c r="AI86" s="353"/>
      <c r="AJ86" s="353"/>
      <c r="AK86" s="353"/>
      <c r="AL86" s="353"/>
      <c r="AM86" s="353"/>
      <c r="AN86" s="353"/>
      <c r="AO86" s="353"/>
      <c r="AP86" s="353"/>
      <c r="AQ86" s="353"/>
      <c r="AR86" s="353"/>
      <c r="AS86" s="353"/>
      <c r="AT86" s="353"/>
      <c r="AU86" s="353"/>
      <c r="AV86" s="353"/>
      <c r="AW86" s="353"/>
      <c r="AX86" s="353"/>
      <c r="AY86" s="353"/>
      <c r="AZ86" s="353"/>
      <c r="BA86" s="353"/>
      <c r="BB86" s="353"/>
      <c r="BC86" s="353"/>
      <c r="BD86" s="353"/>
      <c r="BE86" s="353"/>
      <c r="BF86" s="353"/>
      <c r="BG86" s="353"/>
      <c r="BH86" s="353"/>
      <c r="BI86" s="353"/>
      <c r="BJ86" s="353"/>
      <c r="BK86" s="353"/>
      <c r="BL86" s="353"/>
      <c r="BN86" s="257"/>
      <c r="BP86" s="274"/>
    </row>
    <row r="87" spans="1:68" x14ac:dyDescent="0.35">
      <c r="A87" s="255"/>
      <c r="B87" s="256"/>
      <c r="C87" s="255"/>
      <c r="D87" s="255"/>
      <c r="E87" s="255"/>
      <c r="F87" s="350"/>
      <c r="G87" s="351"/>
      <c r="H87" s="351"/>
      <c r="I87" s="351"/>
      <c r="J87" s="351"/>
      <c r="K87" s="351"/>
      <c r="L87" s="351"/>
      <c r="M87" s="351"/>
      <c r="N87" s="351"/>
      <c r="O87" s="351"/>
      <c r="P87" s="351"/>
      <c r="Q87" s="351"/>
      <c r="R87" s="351"/>
      <c r="S87" s="351"/>
      <c r="T87" s="351"/>
      <c r="U87" s="352"/>
      <c r="V87" s="352"/>
      <c r="W87" s="352"/>
      <c r="X87" s="352"/>
      <c r="Y87" s="352"/>
      <c r="Z87" s="352"/>
      <c r="AA87" s="352"/>
      <c r="AB87" s="352"/>
      <c r="AC87" s="353"/>
      <c r="AD87" s="353"/>
      <c r="AE87" s="353"/>
      <c r="AF87" s="353"/>
      <c r="AG87" s="353"/>
      <c r="AH87" s="353"/>
      <c r="AI87" s="353"/>
      <c r="AJ87" s="353"/>
      <c r="AK87" s="353"/>
      <c r="AL87" s="353"/>
      <c r="AM87" s="353"/>
      <c r="AN87" s="353"/>
      <c r="AO87" s="353"/>
      <c r="AP87" s="353"/>
      <c r="AQ87" s="353"/>
      <c r="AR87" s="353"/>
      <c r="AS87" s="353"/>
      <c r="AT87" s="353"/>
      <c r="AU87" s="353"/>
      <c r="AV87" s="353"/>
      <c r="AW87" s="353"/>
      <c r="AX87" s="353"/>
      <c r="AY87" s="353"/>
      <c r="AZ87" s="353"/>
      <c r="BA87" s="353"/>
      <c r="BB87" s="353"/>
      <c r="BC87" s="353"/>
      <c r="BD87" s="353"/>
      <c r="BE87" s="353"/>
      <c r="BF87" s="353"/>
      <c r="BG87" s="353"/>
      <c r="BH87" s="353"/>
      <c r="BI87" s="353"/>
      <c r="BJ87" s="353"/>
      <c r="BK87" s="353"/>
      <c r="BL87" s="353"/>
      <c r="BN87" s="257"/>
      <c r="BP87" s="274"/>
    </row>
    <row r="88" spans="1:68" x14ac:dyDescent="0.35">
      <c r="A88" s="255"/>
      <c r="B88" s="256"/>
      <c r="C88" s="255"/>
      <c r="D88" s="255"/>
      <c r="E88" s="255"/>
      <c r="F88" s="350"/>
      <c r="G88" s="351"/>
      <c r="H88" s="351"/>
      <c r="I88" s="351"/>
      <c r="J88" s="351"/>
      <c r="K88" s="351"/>
      <c r="L88" s="351"/>
      <c r="M88" s="351"/>
      <c r="N88" s="351"/>
      <c r="O88" s="351"/>
      <c r="P88" s="351"/>
      <c r="Q88" s="351"/>
      <c r="R88" s="351"/>
      <c r="S88" s="351"/>
      <c r="T88" s="351"/>
      <c r="U88" s="352"/>
      <c r="V88" s="352"/>
      <c r="W88" s="352"/>
      <c r="X88" s="352"/>
      <c r="Y88" s="352"/>
      <c r="Z88" s="352"/>
      <c r="AA88" s="352"/>
      <c r="AB88" s="352"/>
      <c r="AC88" s="353"/>
      <c r="AD88" s="353"/>
      <c r="AE88" s="353"/>
      <c r="AF88" s="353"/>
      <c r="AG88" s="353"/>
      <c r="AH88" s="353"/>
      <c r="AI88" s="353"/>
      <c r="AJ88" s="353"/>
      <c r="AK88" s="353"/>
      <c r="AL88" s="353"/>
      <c r="AM88" s="353"/>
      <c r="AN88" s="353"/>
      <c r="AO88" s="353"/>
      <c r="AP88" s="353"/>
      <c r="AQ88" s="353"/>
      <c r="AR88" s="353"/>
      <c r="AS88" s="353"/>
      <c r="AT88" s="353"/>
      <c r="AU88" s="353"/>
      <c r="AV88" s="353"/>
      <c r="AW88" s="353"/>
      <c r="AX88" s="353"/>
      <c r="AY88" s="353"/>
      <c r="AZ88" s="353"/>
      <c r="BA88" s="353"/>
      <c r="BB88" s="353"/>
      <c r="BC88" s="353"/>
      <c r="BD88" s="353"/>
      <c r="BE88" s="353"/>
      <c r="BF88" s="353"/>
      <c r="BG88" s="353"/>
      <c r="BH88" s="353"/>
      <c r="BI88" s="353"/>
      <c r="BJ88" s="353"/>
      <c r="BK88" s="353"/>
      <c r="BL88" s="353"/>
      <c r="BN88" s="257"/>
      <c r="BP88" s="274"/>
    </row>
    <row r="89" spans="1:68" x14ac:dyDescent="0.35">
      <c r="A89" s="255"/>
      <c r="B89" s="256"/>
      <c r="C89" s="255"/>
      <c r="D89" s="255"/>
      <c r="E89" s="255"/>
      <c r="F89" s="350"/>
      <c r="G89" s="351"/>
      <c r="H89" s="351"/>
      <c r="I89" s="351"/>
      <c r="J89" s="351"/>
      <c r="K89" s="351"/>
      <c r="L89" s="351"/>
      <c r="M89" s="351"/>
      <c r="N89" s="351"/>
      <c r="O89" s="351"/>
      <c r="P89" s="351"/>
      <c r="Q89" s="351"/>
      <c r="R89" s="351"/>
      <c r="S89" s="351"/>
      <c r="T89" s="351"/>
      <c r="U89" s="352"/>
      <c r="V89" s="352"/>
      <c r="W89" s="352"/>
      <c r="X89" s="352"/>
      <c r="Y89" s="352"/>
      <c r="Z89" s="352"/>
      <c r="AA89" s="352"/>
      <c r="AB89" s="352"/>
      <c r="AC89" s="353"/>
      <c r="AD89" s="353"/>
      <c r="AE89" s="353"/>
      <c r="AF89" s="353"/>
      <c r="AG89" s="353"/>
      <c r="AH89" s="353"/>
      <c r="AI89" s="353"/>
      <c r="AJ89" s="353"/>
      <c r="AK89" s="353"/>
      <c r="AL89" s="353"/>
      <c r="AM89" s="353"/>
      <c r="AN89" s="353"/>
      <c r="AO89" s="353"/>
      <c r="AP89" s="353"/>
      <c r="AQ89" s="353"/>
      <c r="AR89" s="353"/>
      <c r="AS89" s="353"/>
      <c r="AT89" s="353"/>
      <c r="AU89" s="353"/>
      <c r="AV89" s="353"/>
      <c r="AW89" s="353"/>
      <c r="AX89" s="353"/>
      <c r="AY89" s="353"/>
      <c r="AZ89" s="353"/>
      <c r="BA89" s="353"/>
      <c r="BB89" s="353"/>
      <c r="BC89" s="353"/>
      <c r="BD89" s="353"/>
      <c r="BE89" s="353"/>
      <c r="BF89" s="353"/>
      <c r="BG89" s="353"/>
      <c r="BH89" s="353"/>
      <c r="BI89" s="353"/>
      <c r="BJ89" s="353"/>
      <c r="BK89" s="353"/>
      <c r="BL89" s="353"/>
      <c r="BN89" s="257"/>
      <c r="BP89" s="274"/>
    </row>
    <row r="90" spans="1:68" x14ac:dyDescent="0.35">
      <c r="A90" s="255"/>
      <c r="B90" s="256"/>
      <c r="C90" s="255"/>
      <c r="D90" s="255"/>
      <c r="E90" s="255"/>
      <c r="F90" s="350"/>
      <c r="G90" s="351"/>
      <c r="H90" s="351"/>
      <c r="I90" s="351"/>
      <c r="J90" s="351"/>
      <c r="K90" s="351"/>
      <c r="L90" s="351"/>
      <c r="M90" s="351"/>
      <c r="N90" s="351"/>
      <c r="O90" s="351"/>
      <c r="P90" s="351"/>
      <c r="Q90" s="351"/>
      <c r="R90" s="351"/>
      <c r="S90" s="351"/>
      <c r="T90" s="351"/>
      <c r="U90" s="352"/>
      <c r="V90" s="352"/>
      <c r="W90" s="352"/>
      <c r="X90" s="352"/>
      <c r="Y90" s="352"/>
      <c r="Z90" s="352"/>
      <c r="AA90" s="352"/>
      <c r="AB90" s="352"/>
      <c r="AC90" s="353"/>
      <c r="AD90" s="353"/>
      <c r="AE90" s="353"/>
      <c r="AF90" s="353"/>
      <c r="AG90" s="353"/>
      <c r="AH90" s="353"/>
      <c r="AI90" s="353"/>
      <c r="AJ90" s="353"/>
      <c r="AK90" s="353"/>
      <c r="AL90" s="353"/>
      <c r="AM90" s="353"/>
      <c r="AN90" s="353"/>
      <c r="AO90" s="353"/>
      <c r="AP90" s="353"/>
      <c r="AQ90" s="353"/>
      <c r="AR90" s="353"/>
      <c r="AS90" s="353"/>
      <c r="AT90" s="353"/>
      <c r="AU90" s="353"/>
      <c r="AV90" s="353"/>
      <c r="AW90" s="353"/>
      <c r="AX90" s="353"/>
      <c r="AY90" s="353"/>
      <c r="AZ90" s="353"/>
      <c r="BA90" s="353"/>
      <c r="BB90" s="353"/>
      <c r="BC90" s="353"/>
      <c r="BD90" s="353"/>
      <c r="BE90" s="353"/>
      <c r="BF90" s="353"/>
      <c r="BG90" s="353"/>
      <c r="BH90" s="353"/>
      <c r="BI90" s="353"/>
      <c r="BJ90" s="353"/>
      <c r="BK90" s="353"/>
      <c r="BL90" s="353"/>
      <c r="BN90" s="257"/>
      <c r="BP90" s="274"/>
    </row>
    <row r="91" spans="1:68" x14ac:dyDescent="0.35">
      <c r="A91" s="255"/>
      <c r="B91" s="256"/>
      <c r="C91" s="255"/>
      <c r="D91" s="255"/>
      <c r="E91" s="255"/>
      <c r="F91" s="350"/>
      <c r="G91" s="351"/>
      <c r="H91" s="351"/>
      <c r="I91" s="351"/>
      <c r="J91" s="351"/>
      <c r="K91" s="351"/>
      <c r="L91" s="351"/>
      <c r="M91" s="351"/>
      <c r="N91" s="351"/>
      <c r="O91" s="351"/>
      <c r="P91" s="351"/>
      <c r="Q91" s="351"/>
      <c r="R91" s="351"/>
      <c r="S91" s="351"/>
      <c r="T91" s="351"/>
      <c r="U91" s="352"/>
      <c r="V91" s="352"/>
      <c r="W91" s="352"/>
      <c r="X91" s="352"/>
      <c r="Y91" s="352"/>
      <c r="Z91" s="352"/>
      <c r="AA91" s="352"/>
      <c r="AB91" s="352"/>
      <c r="AC91" s="353"/>
      <c r="AD91" s="353"/>
      <c r="AE91" s="353"/>
      <c r="AF91" s="353"/>
      <c r="AG91" s="353"/>
      <c r="AH91" s="353"/>
      <c r="AI91" s="353"/>
      <c r="AJ91" s="353"/>
      <c r="AK91" s="353"/>
      <c r="AL91" s="353"/>
      <c r="AM91" s="353"/>
      <c r="AN91" s="353"/>
      <c r="AO91" s="353"/>
      <c r="AP91" s="353"/>
      <c r="AQ91" s="353"/>
      <c r="AR91" s="353"/>
      <c r="AS91" s="353"/>
      <c r="AT91" s="353"/>
      <c r="AU91" s="353"/>
      <c r="AV91" s="353"/>
      <c r="AW91" s="353"/>
      <c r="AX91" s="353"/>
      <c r="AY91" s="353"/>
      <c r="AZ91" s="353"/>
      <c r="BA91" s="353"/>
      <c r="BB91" s="353"/>
      <c r="BC91" s="353"/>
      <c r="BD91" s="353"/>
      <c r="BE91" s="353"/>
      <c r="BF91" s="353"/>
      <c r="BG91" s="353"/>
      <c r="BH91" s="353"/>
      <c r="BI91" s="353"/>
      <c r="BJ91" s="353"/>
      <c r="BK91" s="353"/>
      <c r="BL91" s="353"/>
      <c r="BN91" s="257"/>
      <c r="BP91" s="274"/>
    </row>
    <row r="92" spans="1:68" x14ac:dyDescent="0.35">
      <c r="A92" s="255"/>
      <c r="B92" s="256"/>
      <c r="C92" s="255"/>
      <c r="D92" s="255"/>
      <c r="E92" s="255"/>
      <c r="F92" s="350"/>
      <c r="G92" s="351"/>
      <c r="H92" s="351"/>
      <c r="I92" s="351"/>
      <c r="J92" s="351"/>
      <c r="K92" s="351"/>
      <c r="L92" s="351"/>
      <c r="M92" s="351"/>
      <c r="N92" s="351"/>
      <c r="O92" s="351"/>
      <c r="P92" s="351"/>
      <c r="Q92" s="351"/>
      <c r="R92" s="351"/>
      <c r="S92" s="351"/>
      <c r="T92" s="351"/>
      <c r="U92" s="352"/>
      <c r="V92" s="352"/>
      <c r="W92" s="352"/>
      <c r="X92" s="352"/>
      <c r="Y92" s="352"/>
      <c r="Z92" s="352"/>
      <c r="AA92" s="352"/>
      <c r="AB92" s="352"/>
      <c r="AC92" s="353"/>
      <c r="AD92" s="353"/>
      <c r="AE92" s="353"/>
      <c r="AF92" s="353"/>
      <c r="AG92" s="353"/>
      <c r="AH92" s="353"/>
      <c r="AI92" s="353"/>
      <c r="AJ92" s="353"/>
      <c r="AK92" s="353"/>
      <c r="AL92" s="353"/>
      <c r="AM92" s="353"/>
      <c r="AN92" s="353"/>
      <c r="AO92" s="353"/>
      <c r="AP92" s="353"/>
      <c r="AQ92" s="353"/>
      <c r="AR92" s="353"/>
      <c r="AS92" s="353"/>
      <c r="AT92" s="353"/>
      <c r="AU92" s="353"/>
      <c r="AV92" s="353"/>
      <c r="AW92" s="353"/>
      <c r="AX92" s="353"/>
      <c r="AY92" s="353"/>
      <c r="AZ92" s="353"/>
      <c r="BA92" s="353"/>
      <c r="BB92" s="353"/>
      <c r="BC92" s="353"/>
      <c r="BD92" s="353"/>
      <c r="BE92" s="353"/>
      <c r="BF92" s="353"/>
      <c r="BG92" s="353"/>
      <c r="BH92" s="353"/>
      <c r="BI92" s="353"/>
      <c r="BJ92" s="353"/>
      <c r="BK92" s="353"/>
      <c r="BL92" s="353"/>
      <c r="BN92" s="257"/>
      <c r="BP92" s="274"/>
    </row>
    <row r="93" spans="1:68" x14ac:dyDescent="0.35">
      <c r="A93" s="255"/>
      <c r="B93" s="256"/>
      <c r="C93" s="255"/>
      <c r="D93" s="255"/>
      <c r="E93" s="255"/>
      <c r="F93" s="350"/>
      <c r="G93" s="351"/>
      <c r="H93" s="351"/>
      <c r="I93" s="351"/>
      <c r="J93" s="351"/>
      <c r="K93" s="351"/>
      <c r="L93" s="351"/>
      <c r="M93" s="351"/>
      <c r="N93" s="351"/>
      <c r="O93" s="351"/>
      <c r="P93" s="351"/>
      <c r="Q93" s="351"/>
      <c r="R93" s="351"/>
      <c r="S93" s="351"/>
      <c r="T93" s="351"/>
      <c r="U93" s="352"/>
      <c r="V93" s="352"/>
      <c r="W93" s="352"/>
      <c r="X93" s="352"/>
      <c r="Y93" s="352"/>
      <c r="Z93" s="352"/>
      <c r="AA93" s="352"/>
      <c r="AB93" s="352"/>
      <c r="AC93" s="353"/>
      <c r="AD93" s="353"/>
      <c r="AE93" s="353"/>
      <c r="AF93" s="353"/>
      <c r="AG93" s="353"/>
      <c r="AH93" s="353"/>
      <c r="AI93" s="353"/>
      <c r="AJ93" s="353"/>
      <c r="AK93" s="353"/>
      <c r="AL93" s="353"/>
      <c r="AM93" s="353"/>
      <c r="AN93" s="353"/>
      <c r="AO93" s="353"/>
      <c r="AP93" s="353"/>
      <c r="AQ93" s="353"/>
      <c r="AR93" s="353"/>
      <c r="AS93" s="353"/>
      <c r="AT93" s="353"/>
      <c r="AU93" s="353"/>
      <c r="AV93" s="353"/>
      <c r="AW93" s="353"/>
      <c r="AX93" s="353"/>
      <c r="AY93" s="353"/>
      <c r="AZ93" s="353"/>
      <c r="BA93" s="353"/>
      <c r="BB93" s="353"/>
      <c r="BC93" s="353"/>
      <c r="BD93" s="353"/>
      <c r="BE93" s="353"/>
      <c r="BF93" s="353"/>
      <c r="BG93" s="353"/>
      <c r="BH93" s="353"/>
      <c r="BI93" s="353"/>
      <c r="BJ93" s="353"/>
      <c r="BK93" s="353"/>
      <c r="BL93" s="353"/>
      <c r="BN93" s="257"/>
      <c r="BP93" s="274"/>
    </row>
    <row r="94" spans="1:68" x14ac:dyDescent="0.35"/>
    <row r="95" spans="1:68" x14ac:dyDescent="0.35"/>
    <row r="96" spans="1:68"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row r="110" x14ac:dyDescent="0.35"/>
    <row r="111" x14ac:dyDescent="0.35"/>
    <row r="112" x14ac:dyDescent="0.35"/>
    <row r="113" x14ac:dyDescent="0.35"/>
    <row r="114" x14ac:dyDescent="0.35"/>
    <row r="115" x14ac:dyDescent="0.35"/>
    <row r="116" x14ac:dyDescent="0.35"/>
    <row r="117"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row r="169" x14ac:dyDescent="0.35"/>
    <row r="170" x14ac:dyDescent="0.35"/>
    <row r="171" x14ac:dyDescent="0.35"/>
    <row r="172" x14ac:dyDescent="0.35"/>
    <row r="173" x14ac:dyDescent="0.35"/>
    <row r="174" x14ac:dyDescent="0.35"/>
    <row r="175" x14ac:dyDescent="0.35"/>
    <row r="176" x14ac:dyDescent="0.35"/>
    <row r="177" x14ac:dyDescent="0.35"/>
    <row r="178" x14ac:dyDescent="0.35"/>
    <row r="179" x14ac:dyDescent="0.35"/>
    <row r="180" x14ac:dyDescent="0.35"/>
    <row r="181" x14ac:dyDescent="0.35"/>
    <row r="182" x14ac:dyDescent="0.35"/>
    <row r="183" x14ac:dyDescent="0.35"/>
    <row r="184" x14ac:dyDescent="0.35"/>
    <row r="185" x14ac:dyDescent="0.35"/>
    <row r="186" x14ac:dyDescent="0.35"/>
    <row r="187" x14ac:dyDescent="0.35"/>
    <row r="188" x14ac:dyDescent="0.35"/>
    <row r="189" x14ac:dyDescent="0.35"/>
    <row r="190" x14ac:dyDescent="0.35"/>
    <row r="191" x14ac:dyDescent="0.35"/>
    <row r="192" x14ac:dyDescent="0.35"/>
    <row r="193" x14ac:dyDescent="0.35"/>
    <row r="194" x14ac:dyDescent="0.35"/>
    <row r="195" x14ac:dyDescent="0.35"/>
    <row r="196" x14ac:dyDescent="0.35"/>
    <row r="197" x14ac:dyDescent="0.35"/>
    <row r="198" x14ac:dyDescent="0.35"/>
    <row r="199" x14ac:dyDescent="0.35"/>
    <row r="200" x14ac:dyDescent="0.35"/>
    <row r="201" x14ac:dyDescent="0.35"/>
    <row r="202" x14ac:dyDescent="0.35"/>
    <row r="203" x14ac:dyDescent="0.35"/>
    <row r="204" x14ac:dyDescent="0.35"/>
    <row r="205" x14ac:dyDescent="0.35"/>
    <row r="206" x14ac:dyDescent="0.35"/>
    <row r="207" x14ac:dyDescent="0.35"/>
    <row r="208"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row r="327" x14ac:dyDescent="0.35"/>
    <row r="328" x14ac:dyDescent="0.35"/>
    <row r="329" x14ac:dyDescent="0.35"/>
    <row r="330" x14ac:dyDescent="0.35"/>
    <row r="331" x14ac:dyDescent="0.35"/>
    <row r="332" x14ac:dyDescent="0.35"/>
    <row r="333" x14ac:dyDescent="0.35"/>
    <row r="334" x14ac:dyDescent="0.35"/>
    <row r="335" x14ac:dyDescent="0.35"/>
    <row r="336"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row r="466" x14ac:dyDescent="0.35"/>
    <row r="467" x14ac:dyDescent="0.35"/>
    <row r="468" x14ac:dyDescent="0.35"/>
    <row r="469" x14ac:dyDescent="0.35"/>
    <row r="470" x14ac:dyDescent="0.35"/>
    <row r="471" x14ac:dyDescent="0.35"/>
    <row r="472" x14ac:dyDescent="0.35"/>
    <row r="473" x14ac:dyDescent="0.35"/>
    <row r="474" x14ac:dyDescent="0.35"/>
    <row r="475" x14ac:dyDescent="0.35"/>
    <row r="476" x14ac:dyDescent="0.35"/>
    <row r="477" x14ac:dyDescent="0.35"/>
    <row r="478" x14ac:dyDescent="0.35"/>
    <row r="479" x14ac:dyDescent="0.35"/>
    <row r="480" x14ac:dyDescent="0.35"/>
    <row r="481" x14ac:dyDescent="0.35"/>
    <row r="482" x14ac:dyDescent="0.35"/>
    <row r="483" x14ac:dyDescent="0.35"/>
    <row r="484" x14ac:dyDescent="0.35"/>
    <row r="485" x14ac:dyDescent="0.35"/>
    <row r="486" x14ac:dyDescent="0.35"/>
    <row r="487" x14ac:dyDescent="0.35"/>
    <row r="488" x14ac:dyDescent="0.35"/>
    <row r="489" x14ac:dyDescent="0.35"/>
    <row r="490" x14ac:dyDescent="0.35"/>
    <row r="491" x14ac:dyDescent="0.35"/>
    <row r="492" x14ac:dyDescent="0.35"/>
    <row r="493" x14ac:dyDescent="0.35"/>
    <row r="494" x14ac:dyDescent="0.35"/>
    <row r="495" x14ac:dyDescent="0.35"/>
    <row r="496" x14ac:dyDescent="0.35"/>
    <row r="497" x14ac:dyDescent="0.35"/>
    <row r="498" x14ac:dyDescent="0.35"/>
    <row r="499" x14ac:dyDescent="0.35"/>
    <row r="500" x14ac:dyDescent="0.35"/>
    <row r="501" x14ac:dyDescent="0.35"/>
    <row r="502" x14ac:dyDescent="0.35"/>
    <row r="503" x14ac:dyDescent="0.35"/>
    <row r="504" x14ac:dyDescent="0.35"/>
    <row r="505" x14ac:dyDescent="0.35"/>
    <row r="506" x14ac:dyDescent="0.35"/>
    <row r="507" x14ac:dyDescent="0.35"/>
    <row r="508" x14ac:dyDescent="0.35"/>
    <row r="509" x14ac:dyDescent="0.35"/>
    <row r="510" x14ac:dyDescent="0.35"/>
    <row r="511" x14ac:dyDescent="0.35"/>
    <row r="512" x14ac:dyDescent="0.35"/>
    <row r="513" x14ac:dyDescent="0.35"/>
    <row r="514" x14ac:dyDescent="0.35"/>
    <row r="515" x14ac:dyDescent="0.35"/>
    <row r="516" x14ac:dyDescent="0.35"/>
    <row r="517" x14ac:dyDescent="0.35"/>
    <row r="518" x14ac:dyDescent="0.35"/>
    <row r="519" x14ac:dyDescent="0.35"/>
    <row r="520" x14ac:dyDescent="0.35"/>
    <row r="521" x14ac:dyDescent="0.35"/>
    <row r="522" x14ac:dyDescent="0.35"/>
    <row r="523" x14ac:dyDescent="0.35"/>
    <row r="524" x14ac:dyDescent="0.35"/>
    <row r="525" x14ac:dyDescent="0.35"/>
    <row r="526" x14ac:dyDescent="0.35"/>
    <row r="527" x14ac:dyDescent="0.35"/>
    <row r="528" x14ac:dyDescent="0.35"/>
    <row r="529" x14ac:dyDescent="0.35"/>
    <row r="530" x14ac:dyDescent="0.35"/>
    <row r="531" x14ac:dyDescent="0.35"/>
    <row r="532" x14ac:dyDescent="0.35"/>
    <row r="533" x14ac:dyDescent="0.35"/>
    <row r="534" x14ac:dyDescent="0.35"/>
    <row r="535" x14ac:dyDescent="0.35"/>
    <row r="536" x14ac:dyDescent="0.35"/>
    <row r="537" x14ac:dyDescent="0.35"/>
    <row r="538" x14ac:dyDescent="0.35"/>
    <row r="539" x14ac:dyDescent="0.35"/>
    <row r="540" x14ac:dyDescent="0.35"/>
    <row r="541" x14ac:dyDescent="0.35"/>
    <row r="542" x14ac:dyDescent="0.35"/>
    <row r="543" x14ac:dyDescent="0.35"/>
    <row r="544" x14ac:dyDescent="0.35"/>
    <row r="545" x14ac:dyDescent="0.35"/>
    <row r="546" x14ac:dyDescent="0.35"/>
    <row r="547" x14ac:dyDescent="0.35"/>
    <row r="548" x14ac:dyDescent="0.35"/>
    <row r="549" x14ac:dyDescent="0.35"/>
    <row r="550" x14ac:dyDescent="0.35"/>
    <row r="551" x14ac:dyDescent="0.35"/>
    <row r="552" x14ac:dyDescent="0.35"/>
    <row r="553" x14ac:dyDescent="0.35"/>
    <row r="554" x14ac:dyDescent="0.35"/>
    <row r="555" x14ac:dyDescent="0.35"/>
    <row r="556" x14ac:dyDescent="0.35"/>
    <row r="557" x14ac:dyDescent="0.35"/>
    <row r="558" x14ac:dyDescent="0.35"/>
    <row r="559" x14ac:dyDescent="0.35"/>
    <row r="560" x14ac:dyDescent="0.35"/>
    <row r="561" x14ac:dyDescent="0.35"/>
    <row r="562" x14ac:dyDescent="0.35"/>
    <row r="563" x14ac:dyDescent="0.35"/>
    <row r="564" x14ac:dyDescent="0.35"/>
    <row r="565" x14ac:dyDescent="0.35"/>
    <row r="566" x14ac:dyDescent="0.35"/>
    <row r="567" x14ac:dyDescent="0.35"/>
    <row r="568" x14ac:dyDescent="0.35"/>
    <row r="569" x14ac:dyDescent="0.35"/>
    <row r="570" x14ac:dyDescent="0.35"/>
    <row r="571" x14ac:dyDescent="0.35"/>
    <row r="572" x14ac:dyDescent="0.35"/>
    <row r="573" x14ac:dyDescent="0.35"/>
    <row r="574" x14ac:dyDescent="0.35"/>
    <row r="575" x14ac:dyDescent="0.35"/>
    <row r="576" x14ac:dyDescent="0.35"/>
    <row r="577" x14ac:dyDescent="0.35"/>
    <row r="578" x14ac:dyDescent="0.35"/>
    <row r="579" x14ac:dyDescent="0.35"/>
    <row r="580" x14ac:dyDescent="0.35"/>
    <row r="581" x14ac:dyDescent="0.35"/>
    <row r="582" x14ac:dyDescent="0.35"/>
    <row r="583" x14ac:dyDescent="0.35"/>
    <row r="584" x14ac:dyDescent="0.35"/>
    <row r="585" x14ac:dyDescent="0.35"/>
    <row r="586" x14ac:dyDescent="0.35"/>
    <row r="587" x14ac:dyDescent="0.35"/>
    <row r="588" x14ac:dyDescent="0.35"/>
    <row r="589" x14ac:dyDescent="0.35"/>
    <row r="590" x14ac:dyDescent="0.35"/>
    <row r="591" x14ac:dyDescent="0.35"/>
    <row r="592" x14ac:dyDescent="0.35"/>
    <row r="593" x14ac:dyDescent="0.35"/>
    <row r="594" x14ac:dyDescent="0.35"/>
    <row r="595" x14ac:dyDescent="0.35"/>
    <row r="596" x14ac:dyDescent="0.35"/>
    <row r="597" x14ac:dyDescent="0.35"/>
    <row r="598" x14ac:dyDescent="0.35"/>
    <row r="599" x14ac:dyDescent="0.35"/>
    <row r="600" x14ac:dyDescent="0.35"/>
    <row r="601" x14ac:dyDescent="0.35"/>
    <row r="602" x14ac:dyDescent="0.35"/>
    <row r="603" x14ac:dyDescent="0.35"/>
    <row r="604" x14ac:dyDescent="0.35"/>
    <row r="605" x14ac:dyDescent="0.35"/>
    <row r="606" x14ac:dyDescent="0.35"/>
    <row r="607" x14ac:dyDescent="0.35"/>
    <row r="608" x14ac:dyDescent="0.35"/>
    <row r="609" x14ac:dyDescent="0.35"/>
    <row r="610" x14ac:dyDescent="0.35"/>
    <row r="611" x14ac:dyDescent="0.35"/>
    <row r="612" x14ac:dyDescent="0.35"/>
    <row r="613" x14ac:dyDescent="0.35"/>
    <row r="614" x14ac:dyDescent="0.35"/>
    <row r="615" x14ac:dyDescent="0.35"/>
    <row r="616" x14ac:dyDescent="0.35"/>
    <row r="617" x14ac:dyDescent="0.35"/>
    <row r="618" x14ac:dyDescent="0.35"/>
    <row r="619" x14ac:dyDescent="0.35"/>
    <row r="620" x14ac:dyDescent="0.35"/>
    <row r="621" x14ac:dyDescent="0.35"/>
    <row r="622" x14ac:dyDescent="0.35"/>
    <row r="623" x14ac:dyDescent="0.35"/>
    <row r="624"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row r="652" x14ac:dyDescent="0.35"/>
    <row r="653" x14ac:dyDescent="0.35"/>
    <row r="654" x14ac:dyDescent="0.35"/>
    <row r="655" x14ac:dyDescent="0.35"/>
    <row r="656" x14ac:dyDescent="0.35"/>
    <row r="657" x14ac:dyDescent="0.35"/>
    <row r="658" x14ac:dyDescent="0.35"/>
    <row r="659" x14ac:dyDescent="0.35"/>
    <row r="660" x14ac:dyDescent="0.35"/>
    <row r="661" x14ac:dyDescent="0.35"/>
    <row r="662" x14ac:dyDescent="0.35"/>
    <row r="663" x14ac:dyDescent="0.35"/>
    <row r="664" x14ac:dyDescent="0.35"/>
    <row r="665" x14ac:dyDescent="0.35"/>
    <row r="666" x14ac:dyDescent="0.35"/>
    <row r="667" x14ac:dyDescent="0.35"/>
    <row r="668" x14ac:dyDescent="0.35"/>
    <row r="669" x14ac:dyDescent="0.35"/>
    <row r="670" x14ac:dyDescent="0.35"/>
    <row r="671" x14ac:dyDescent="0.35"/>
    <row r="672" x14ac:dyDescent="0.35"/>
    <row r="673" x14ac:dyDescent="0.35"/>
    <row r="674" x14ac:dyDescent="0.35"/>
    <row r="675" x14ac:dyDescent="0.35"/>
    <row r="676" x14ac:dyDescent="0.35"/>
    <row r="677" x14ac:dyDescent="0.35"/>
    <row r="678" x14ac:dyDescent="0.35"/>
    <row r="679" x14ac:dyDescent="0.35"/>
    <row r="680" x14ac:dyDescent="0.35"/>
    <row r="681" x14ac:dyDescent="0.35"/>
    <row r="682" x14ac:dyDescent="0.35"/>
    <row r="683" x14ac:dyDescent="0.35"/>
    <row r="684" x14ac:dyDescent="0.35"/>
    <row r="685" x14ac:dyDescent="0.35"/>
    <row r="686" x14ac:dyDescent="0.35"/>
    <row r="687" x14ac:dyDescent="0.35"/>
    <row r="688" x14ac:dyDescent="0.35"/>
    <row r="689" x14ac:dyDescent="0.35"/>
    <row r="690" x14ac:dyDescent="0.35"/>
    <row r="691" x14ac:dyDescent="0.35"/>
    <row r="692" x14ac:dyDescent="0.35"/>
    <row r="693" x14ac:dyDescent="0.35"/>
    <row r="694" x14ac:dyDescent="0.35"/>
    <row r="695" x14ac:dyDescent="0.35"/>
    <row r="696" x14ac:dyDescent="0.35"/>
    <row r="697" x14ac:dyDescent="0.35"/>
    <row r="698" x14ac:dyDescent="0.35"/>
    <row r="699" x14ac:dyDescent="0.35"/>
    <row r="700" x14ac:dyDescent="0.35"/>
    <row r="701" x14ac:dyDescent="0.35"/>
    <row r="702" x14ac:dyDescent="0.35"/>
    <row r="703" x14ac:dyDescent="0.35"/>
    <row r="704" x14ac:dyDescent="0.35"/>
    <row r="705" x14ac:dyDescent="0.35"/>
    <row r="706" x14ac:dyDescent="0.35"/>
    <row r="707" x14ac:dyDescent="0.35"/>
    <row r="708" x14ac:dyDescent="0.35"/>
    <row r="709" x14ac:dyDescent="0.35"/>
    <row r="710" x14ac:dyDescent="0.35"/>
    <row r="711" x14ac:dyDescent="0.35"/>
    <row r="712" x14ac:dyDescent="0.35"/>
    <row r="713" x14ac:dyDescent="0.35"/>
    <row r="714" x14ac:dyDescent="0.35"/>
    <row r="715" x14ac:dyDescent="0.35"/>
    <row r="716" x14ac:dyDescent="0.35"/>
    <row r="717" x14ac:dyDescent="0.35"/>
    <row r="718" x14ac:dyDescent="0.35"/>
    <row r="719" x14ac:dyDescent="0.35"/>
    <row r="720" x14ac:dyDescent="0.35"/>
    <row r="721" x14ac:dyDescent="0.35"/>
    <row r="722" x14ac:dyDescent="0.35"/>
    <row r="723" x14ac:dyDescent="0.35"/>
    <row r="724" x14ac:dyDescent="0.35"/>
    <row r="725" x14ac:dyDescent="0.35"/>
    <row r="726" x14ac:dyDescent="0.35"/>
    <row r="727" x14ac:dyDescent="0.35"/>
    <row r="728" x14ac:dyDescent="0.35"/>
    <row r="729" x14ac:dyDescent="0.35"/>
    <row r="730" x14ac:dyDescent="0.35"/>
    <row r="731" x14ac:dyDescent="0.35"/>
    <row r="732" x14ac:dyDescent="0.35"/>
    <row r="733" x14ac:dyDescent="0.35"/>
    <row r="734" x14ac:dyDescent="0.35"/>
    <row r="735" x14ac:dyDescent="0.35"/>
    <row r="736" x14ac:dyDescent="0.35"/>
    <row r="737" x14ac:dyDescent="0.35"/>
    <row r="738" x14ac:dyDescent="0.35"/>
    <row r="739" x14ac:dyDescent="0.35"/>
    <row r="740" x14ac:dyDescent="0.35"/>
    <row r="741" x14ac:dyDescent="0.35"/>
    <row r="742" x14ac:dyDescent="0.35"/>
    <row r="743" x14ac:dyDescent="0.35"/>
    <row r="744" x14ac:dyDescent="0.35"/>
    <row r="745" x14ac:dyDescent="0.35"/>
    <row r="746" x14ac:dyDescent="0.35"/>
    <row r="747" x14ac:dyDescent="0.35"/>
    <row r="748" x14ac:dyDescent="0.35"/>
    <row r="749" x14ac:dyDescent="0.35"/>
    <row r="750" x14ac:dyDescent="0.35"/>
    <row r="751" x14ac:dyDescent="0.35"/>
    <row r="752" x14ac:dyDescent="0.35"/>
    <row r="753" x14ac:dyDescent="0.35"/>
    <row r="754" x14ac:dyDescent="0.35"/>
    <row r="755" x14ac:dyDescent="0.35"/>
    <row r="756" x14ac:dyDescent="0.35"/>
    <row r="757" x14ac:dyDescent="0.35"/>
    <row r="758" x14ac:dyDescent="0.35"/>
    <row r="759" x14ac:dyDescent="0.35"/>
    <row r="760" x14ac:dyDescent="0.35"/>
    <row r="761" x14ac:dyDescent="0.35"/>
    <row r="762" x14ac:dyDescent="0.35"/>
    <row r="763" x14ac:dyDescent="0.35"/>
    <row r="764" x14ac:dyDescent="0.35"/>
    <row r="765" x14ac:dyDescent="0.35"/>
    <row r="766" x14ac:dyDescent="0.35"/>
    <row r="767" x14ac:dyDescent="0.35"/>
    <row r="768" x14ac:dyDescent="0.35"/>
    <row r="769" x14ac:dyDescent="0.35"/>
    <row r="770" x14ac:dyDescent="0.35"/>
    <row r="771" x14ac:dyDescent="0.35"/>
    <row r="772" x14ac:dyDescent="0.35"/>
    <row r="773" x14ac:dyDescent="0.35"/>
    <row r="774" x14ac:dyDescent="0.35"/>
    <row r="775" x14ac:dyDescent="0.35"/>
    <row r="776" x14ac:dyDescent="0.35"/>
    <row r="777" x14ac:dyDescent="0.35"/>
    <row r="778" x14ac:dyDescent="0.35"/>
    <row r="779" x14ac:dyDescent="0.35"/>
    <row r="780" x14ac:dyDescent="0.35"/>
    <row r="781" x14ac:dyDescent="0.35"/>
    <row r="782" x14ac:dyDescent="0.35"/>
    <row r="783" x14ac:dyDescent="0.35"/>
    <row r="784" x14ac:dyDescent="0.35"/>
    <row r="785" x14ac:dyDescent="0.35"/>
    <row r="786" x14ac:dyDescent="0.35"/>
    <row r="787" x14ac:dyDescent="0.35"/>
    <row r="788" x14ac:dyDescent="0.35"/>
    <row r="789" x14ac:dyDescent="0.35"/>
    <row r="790" x14ac:dyDescent="0.35"/>
    <row r="791" x14ac:dyDescent="0.35"/>
    <row r="792" x14ac:dyDescent="0.35"/>
    <row r="793" x14ac:dyDescent="0.35"/>
    <row r="794" x14ac:dyDescent="0.35"/>
    <row r="795" x14ac:dyDescent="0.35"/>
    <row r="796" x14ac:dyDescent="0.35"/>
    <row r="797" x14ac:dyDescent="0.35"/>
    <row r="798" x14ac:dyDescent="0.35"/>
    <row r="799" x14ac:dyDescent="0.35"/>
    <row r="800" x14ac:dyDescent="0.35"/>
    <row r="801" x14ac:dyDescent="0.35"/>
    <row r="802" x14ac:dyDescent="0.35"/>
    <row r="803" x14ac:dyDescent="0.35"/>
    <row r="804" x14ac:dyDescent="0.35"/>
    <row r="805" x14ac:dyDescent="0.35"/>
    <row r="806" x14ac:dyDescent="0.35"/>
    <row r="807" x14ac:dyDescent="0.35"/>
    <row r="808" x14ac:dyDescent="0.35"/>
    <row r="809" x14ac:dyDescent="0.35"/>
    <row r="810" x14ac:dyDescent="0.35"/>
    <row r="811" x14ac:dyDescent="0.35"/>
    <row r="812" x14ac:dyDescent="0.35"/>
    <row r="813" x14ac:dyDescent="0.35"/>
    <row r="814" x14ac:dyDescent="0.35"/>
    <row r="815" x14ac:dyDescent="0.35"/>
    <row r="816" x14ac:dyDescent="0.35"/>
    <row r="817" x14ac:dyDescent="0.35"/>
    <row r="818" x14ac:dyDescent="0.35"/>
    <row r="819" x14ac:dyDescent="0.35"/>
    <row r="820" x14ac:dyDescent="0.35"/>
    <row r="821" x14ac:dyDescent="0.35"/>
    <row r="822" x14ac:dyDescent="0.35"/>
    <row r="823" x14ac:dyDescent="0.35"/>
    <row r="824" x14ac:dyDescent="0.35"/>
    <row r="825" x14ac:dyDescent="0.35"/>
    <row r="826" x14ac:dyDescent="0.35"/>
    <row r="827" x14ac:dyDescent="0.35"/>
    <row r="828" x14ac:dyDescent="0.35"/>
    <row r="829" x14ac:dyDescent="0.35"/>
    <row r="830" x14ac:dyDescent="0.35"/>
    <row r="831" x14ac:dyDescent="0.35"/>
    <row r="832" x14ac:dyDescent="0.35"/>
    <row r="833" x14ac:dyDescent="0.35"/>
    <row r="834" x14ac:dyDescent="0.35"/>
    <row r="835" x14ac:dyDescent="0.35"/>
    <row r="836" x14ac:dyDescent="0.35"/>
    <row r="837" x14ac:dyDescent="0.35"/>
    <row r="838" x14ac:dyDescent="0.35"/>
    <row r="839" x14ac:dyDescent="0.35"/>
    <row r="840" x14ac:dyDescent="0.35"/>
    <row r="841" x14ac:dyDescent="0.35"/>
    <row r="842" x14ac:dyDescent="0.35"/>
    <row r="843" x14ac:dyDescent="0.35"/>
    <row r="844" x14ac:dyDescent="0.35"/>
    <row r="845" x14ac:dyDescent="0.35"/>
    <row r="846" x14ac:dyDescent="0.35"/>
    <row r="847" x14ac:dyDescent="0.35"/>
    <row r="848" x14ac:dyDescent="0.35"/>
    <row r="849" x14ac:dyDescent="0.35"/>
    <row r="850" x14ac:dyDescent="0.35"/>
    <row r="851" x14ac:dyDescent="0.35"/>
    <row r="852" x14ac:dyDescent="0.35"/>
    <row r="853" x14ac:dyDescent="0.35"/>
    <row r="854" x14ac:dyDescent="0.35"/>
    <row r="855" x14ac:dyDescent="0.35"/>
    <row r="856" x14ac:dyDescent="0.35"/>
    <row r="857" x14ac:dyDescent="0.35"/>
    <row r="858" x14ac:dyDescent="0.35"/>
    <row r="859" x14ac:dyDescent="0.35"/>
    <row r="860" x14ac:dyDescent="0.35"/>
    <row r="861" x14ac:dyDescent="0.35"/>
    <row r="862" x14ac:dyDescent="0.35"/>
    <row r="863" x14ac:dyDescent="0.35"/>
    <row r="864" x14ac:dyDescent="0.35"/>
    <row r="865" x14ac:dyDescent="0.35"/>
    <row r="866" x14ac:dyDescent="0.35"/>
    <row r="867" x14ac:dyDescent="0.35"/>
    <row r="868" x14ac:dyDescent="0.35"/>
    <row r="869" x14ac:dyDescent="0.35"/>
    <row r="870" x14ac:dyDescent="0.35"/>
    <row r="871" x14ac:dyDescent="0.35"/>
    <row r="872" x14ac:dyDescent="0.35"/>
    <row r="873" x14ac:dyDescent="0.35"/>
    <row r="874" x14ac:dyDescent="0.35"/>
    <row r="875" x14ac:dyDescent="0.35"/>
    <row r="876" x14ac:dyDescent="0.35"/>
    <row r="877" x14ac:dyDescent="0.35"/>
    <row r="878" x14ac:dyDescent="0.35"/>
    <row r="879" x14ac:dyDescent="0.35"/>
    <row r="880" x14ac:dyDescent="0.35"/>
    <row r="881" x14ac:dyDescent="0.35"/>
    <row r="882" x14ac:dyDescent="0.35"/>
    <row r="883" x14ac:dyDescent="0.35"/>
    <row r="884" x14ac:dyDescent="0.35"/>
    <row r="885" x14ac:dyDescent="0.35"/>
    <row r="886" x14ac:dyDescent="0.35"/>
    <row r="887" x14ac:dyDescent="0.35"/>
    <row r="888" x14ac:dyDescent="0.35"/>
    <row r="889" x14ac:dyDescent="0.35"/>
    <row r="890" x14ac:dyDescent="0.35"/>
    <row r="891" x14ac:dyDescent="0.35"/>
    <row r="892" x14ac:dyDescent="0.35"/>
    <row r="893" x14ac:dyDescent="0.35"/>
    <row r="894" x14ac:dyDescent="0.35"/>
    <row r="895" x14ac:dyDescent="0.35"/>
    <row r="896" x14ac:dyDescent="0.35"/>
    <row r="897" x14ac:dyDescent="0.35"/>
    <row r="898" x14ac:dyDescent="0.35"/>
    <row r="899" x14ac:dyDescent="0.35"/>
    <row r="900" x14ac:dyDescent="0.35"/>
    <row r="901" x14ac:dyDescent="0.35"/>
    <row r="902" x14ac:dyDescent="0.35"/>
    <row r="903" x14ac:dyDescent="0.35"/>
    <row r="904" x14ac:dyDescent="0.35"/>
    <row r="905" x14ac:dyDescent="0.35"/>
    <row r="906" x14ac:dyDescent="0.35"/>
    <row r="907" x14ac:dyDescent="0.35"/>
    <row r="908" x14ac:dyDescent="0.35"/>
    <row r="909" x14ac:dyDescent="0.35"/>
    <row r="910" x14ac:dyDescent="0.35"/>
    <row r="911" x14ac:dyDescent="0.35"/>
    <row r="912" x14ac:dyDescent="0.35"/>
    <row r="913" x14ac:dyDescent="0.35"/>
    <row r="914" x14ac:dyDescent="0.35"/>
    <row r="915" x14ac:dyDescent="0.35"/>
    <row r="916" x14ac:dyDescent="0.35"/>
    <row r="917" x14ac:dyDescent="0.35"/>
    <row r="918" x14ac:dyDescent="0.35"/>
    <row r="919" x14ac:dyDescent="0.35"/>
    <row r="920" x14ac:dyDescent="0.35"/>
    <row r="921" x14ac:dyDescent="0.35"/>
    <row r="922" x14ac:dyDescent="0.35"/>
    <row r="923" x14ac:dyDescent="0.35"/>
    <row r="924" x14ac:dyDescent="0.35"/>
    <row r="925" x14ac:dyDescent="0.35"/>
    <row r="926" x14ac:dyDescent="0.35"/>
    <row r="927" x14ac:dyDescent="0.35"/>
    <row r="928" x14ac:dyDescent="0.35"/>
    <row r="929" x14ac:dyDescent="0.35"/>
    <row r="930" x14ac:dyDescent="0.35"/>
    <row r="931" x14ac:dyDescent="0.35"/>
    <row r="932" x14ac:dyDescent="0.35"/>
    <row r="933" x14ac:dyDescent="0.35"/>
    <row r="934" x14ac:dyDescent="0.35"/>
    <row r="935" x14ac:dyDescent="0.35"/>
    <row r="936" x14ac:dyDescent="0.35"/>
    <row r="937" x14ac:dyDescent="0.35"/>
    <row r="938" x14ac:dyDescent="0.35"/>
    <row r="939" x14ac:dyDescent="0.35"/>
    <row r="940" x14ac:dyDescent="0.35"/>
    <row r="941" x14ac:dyDescent="0.35"/>
    <row r="942" x14ac:dyDescent="0.35"/>
    <row r="943" x14ac:dyDescent="0.35"/>
    <row r="944" x14ac:dyDescent="0.35"/>
    <row r="945" x14ac:dyDescent="0.35"/>
    <row r="946" x14ac:dyDescent="0.35"/>
    <row r="947" x14ac:dyDescent="0.35"/>
    <row r="948" x14ac:dyDescent="0.35"/>
    <row r="949" x14ac:dyDescent="0.35"/>
    <row r="950" x14ac:dyDescent="0.35"/>
    <row r="951" x14ac:dyDescent="0.35"/>
    <row r="952" x14ac:dyDescent="0.35"/>
    <row r="953" x14ac:dyDescent="0.35"/>
    <row r="954" x14ac:dyDescent="0.35"/>
    <row r="955" x14ac:dyDescent="0.35"/>
    <row r="956" x14ac:dyDescent="0.35"/>
    <row r="957" x14ac:dyDescent="0.35"/>
    <row r="958" x14ac:dyDescent="0.35"/>
    <row r="959" x14ac:dyDescent="0.35"/>
    <row r="960" x14ac:dyDescent="0.35"/>
    <row r="961" x14ac:dyDescent="0.35"/>
    <row r="962" x14ac:dyDescent="0.35"/>
    <row r="963" x14ac:dyDescent="0.35"/>
    <row r="964" x14ac:dyDescent="0.35"/>
  </sheetData>
  <sheetProtection algorithmName="SHA-512" hashValue="EObtg4GVy62Tq+ngn/piy3LEdUMTcYZKUPJO3gU/hvFd5P7zPTx/K46xSTtax9grd0WP2/Xz5JOejAuz+djkDA==" saltValue="tLAK5QMSRPpdvaBgX7G2Jw==" spinCount="100000" sheet="1" formatCells="0" formatColumns="0" autoFilter="0"/>
  <autoFilter ref="A4:BU74" xr:uid="{311E05FC-B839-4264-8B54-6641C8CEF1B5}"/>
  <mergeCells count="2">
    <mergeCell ref="A1:A3"/>
    <mergeCell ref="D2:G2"/>
  </mergeCells>
  <phoneticPr fontId="46" type="noConversion"/>
  <conditionalFormatting sqref="I6:I74">
    <cfRule type="containsText" dxfId="383" priority="5" operator="containsText" text="Pls select HPMT Category in ' T ' column">
      <formula>NOT(ISERROR(SEARCH("Pls select HPMT Category in ' T ' column",I6)))</formula>
    </cfRule>
  </conditionalFormatting>
  <conditionalFormatting sqref="D2">
    <cfRule type="notContainsBlanks" dxfId="382" priority="1">
      <formula>LEN(TRIM(D2))&gt;0</formula>
    </cfRule>
  </conditionalFormatting>
  <printOptions headings="1"/>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theme="0" tint="-0.499984740745262"/>
  </sheetPr>
  <dimension ref="A1:AK1935"/>
  <sheetViews>
    <sheetView showGridLines="0" zoomScale="70" zoomScaleNormal="70" workbookViewId="0">
      <pane ySplit="2" topLeftCell="A21" activePane="bottomLeft" state="frozen"/>
      <selection activeCell="A2" sqref="A2"/>
      <selection pane="bottomLeft" activeCell="G27" sqref="G27"/>
    </sheetView>
  </sheetViews>
  <sheetFormatPr defaultColWidth="9.1796875" defaultRowHeight="14.5" x14ac:dyDescent="0.35"/>
  <cols>
    <col min="1" max="1" width="12.453125" style="243" bestFit="1" customWidth="1"/>
    <col min="2" max="2" width="25.81640625" style="243" customWidth="1"/>
    <col min="3" max="3" width="9" style="243" bestFit="1" customWidth="1"/>
    <col min="4" max="4" width="12.36328125" style="243" customWidth="1"/>
    <col min="5" max="5" width="34.6328125" style="243" customWidth="1"/>
    <col min="6" max="6" width="14.1796875" style="243" customWidth="1"/>
    <col min="7" max="7" width="35.81640625" style="243" customWidth="1"/>
    <col min="8" max="8" width="25.36328125" style="243" customWidth="1"/>
    <col min="9" max="9" width="9.81640625" style="243" customWidth="1"/>
    <col min="10" max="10" width="21.90625" style="243" customWidth="1"/>
    <col min="11" max="11" width="9.81640625" style="243" customWidth="1"/>
    <col min="12" max="12" width="12.1796875" style="317" customWidth="1"/>
    <col min="13" max="13" width="31.81640625" style="317" customWidth="1"/>
    <col min="14" max="14" width="14.1796875" style="317" customWidth="1"/>
    <col min="15" max="15" width="16.81640625" style="243" customWidth="1"/>
    <col min="16" max="16" width="9.1796875" style="316" customWidth="1"/>
    <col min="17" max="18" width="9.1796875" style="220"/>
    <col min="19" max="19" width="19.1796875" style="220" customWidth="1"/>
    <col min="20" max="20" width="12.1796875" style="220" customWidth="1"/>
    <col min="21" max="21" width="54.453125" style="220" bestFit="1" customWidth="1"/>
    <col min="22" max="23" width="9.1796875" style="220"/>
    <col min="24" max="24" width="23.453125" style="90" bestFit="1" customWidth="1"/>
    <col min="25" max="25" width="5.453125" style="90" customWidth="1"/>
    <col min="26" max="26" width="40.453125" style="220" bestFit="1" customWidth="1"/>
    <col min="27" max="27" width="37.81640625" style="220" bestFit="1" customWidth="1"/>
    <col min="28" max="28" width="41.90625" style="220" customWidth="1"/>
    <col min="29" max="29" width="9.1796875" style="220"/>
    <col min="30" max="30" width="10.81640625" style="220" bestFit="1" customWidth="1"/>
    <col min="31" max="35" width="9.1796875" style="220"/>
    <col min="36" max="36" width="25.6328125" style="220" customWidth="1"/>
    <col min="37" max="37" width="12.81640625" style="220" customWidth="1"/>
    <col min="38" max="16384" width="9.1796875" style="220"/>
  </cols>
  <sheetData>
    <row r="1" spans="1:37" ht="13" x14ac:dyDescent="0.3">
      <c r="A1" s="220"/>
      <c r="B1" s="220"/>
      <c r="C1" s="220"/>
      <c r="D1" s="220"/>
      <c r="E1" s="220" t="s">
        <v>168</v>
      </c>
      <c r="F1" s="220"/>
      <c r="G1" s="220" t="s">
        <v>602</v>
      </c>
      <c r="H1" s="220" t="s">
        <v>8</v>
      </c>
      <c r="I1" s="220"/>
      <c r="J1" s="220"/>
      <c r="K1" s="220"/>
      <c r="L1" s="236"/>
      <c r="M1" s="236"/>
      <c r="N1" s="236"/>
      <c r="O1" s="220"/>
      <c r="P1" s="220"/>
      <c r="Q1" s="89" t="s">
        <v>4</v>
      </c>
      <c r="R1" s="89" t="s">
        <v>169</v>
      </c>
      <c r="S1" s="89" t="s">
        <v>170</v>
      </c>
      <c r="T1" s="89" t="s">
        <v>140</v>
      </c>
      <c r="W1" s="90"/>
      <c r="Y1" s="220"/>
    </row>
    <row r="2" spans="1:37" x14ac:dyDescent="0.35">
      <c r="A2" s="237" t="s">
        <v>4</v>
      </c>
      <c r="B2" s="237" t="s">
        <v>5</v>
      </c>
      <c r="C2" s="237" t="s">
        <v>6</v>
      </c>
      <c r="D2" s="237" t="s">
        <v>72</v>
      </c>
      <c r="E2" s="237" t="s">
        <v>7</v>
      </c>
      <c r="F2" s="237" t="s">
        <v>171</v>
      </c>
      <c r="G2" s="237" t="s">
        <v>12</v>
      </c>
      <c r="H2" s="237" t="s">
        <v>65</v>
      </c>
      <c r="I2" s="237" t="s">
        <v>172</v>
      </c>
      <c r="J2" s="237" t="s">
        <v>173</v>
      </c>
      <c r="K2" s="237" t="s">
        <v>174</v>
      </c>
      <c r="L2" s="238" t="s">
        <v>9</v>
      </c>
      <c r="M2" s="239" t="s">
        <v>80</v>
      </c>
      <c r="N2" s="240" t="s">
        <v>175</v>
      </c>
      <c r="O2" s="237" t="s">
        <v>10</v>
      </c>
      <c r="P2" s="237" t="s">
        <v>176</v>
      </c>
      <c r="X2" s="277" t="s">
        <v>5</v>
      </c>
      <c r="Y2" s="277" t="s">
        <v>6</v>
      </c>
      <c r="Z2" s="277" t="s">
        <v>7</v>
      </c>
      <c r="AA2" s="277" t="s">
        <v>12</v>
      </c>
      <c r="AB2"/>
      <c r="AH2" s="220" t="s">
        <v>72</v>
      </c>
      <c r="AJ2" s="407" t="s">
        <v>2429</v>
      </c>
      <c r="AK2" s="408" t="s">
        <v>2430</v>
      </c>
    </row>
    <row r="3" spans="1:37" x14ac:dyDescent="0.35">
      <c r="A3" s="825" t="s">
        <v>2749</v>
      </c>
      <c r="B3" s="825" t="s">
        <v>2750</v>
      </c>
      <c r="C3" s="825">
        <v>1</v>
      </c>
      <c r="D3" s="825" t="s">
        <v>11</v>
      </c>
      <c r="E3" s="825" t="s">
        <v>2752</v>
      </c>
      <c r="F3" s="220">
        <v>1</v>
      </c>
      <c r="G3" s="825" t="s">
        <v>2770</v>
      </c>
      <c r="H3" s="825" t="s">
        <v>2771</v>
      </c>
      <c r="I3" s="220" t="s">
        <v>82</v>
      </c>
      <c r="J3" s="220" t="str">
        <f>PMtbl[[#This Row],[Category]]&amp;PMtbl[[#This Row],[Each]]&amp;PMtbl[[#This Row],[Packaging]]</f>
        <v>COVID Tests / Antigen Rapid Diagnostic Test Ag-RDTSARS-CoV-2 Ag Rapid Test kitSARS-CoV-2 - Generic Rapid Antigen Diagnostic Test Kit - 1 test</v>
      </c>
      <c r="K3">
        <v>0</v>
      </c>
      <c r="L3" s="236">
        <v>5.4</v>
      </c>
      <c r="M3" s="234" t="s">
        <v>179</v>
      </c>
      <c r="N3" s="236"/>
      <c r="O3" s="825" t="s">
        <v>12</v>
      </c>
      <c r="P3" s="825"/>
      <c r="R3" s="220" t="str">
        <f>INDEX(PMtbl[Component],MATCH(U3,PMtbl[Category],0),)</f>
        <v>C19RM 2021</v>
      </c>
      <c r="S3" s="220" t="str">
        <f>INDEX(PMtbl[WKst],MATCH(U3,PMtbl[Category],0),)</f>
        <v>C19RM 2021-Lab &amp; Other HPS</v>
      </c>
      <c r="T3" s="220">
        <f>INDEX(PMtbl[Sec],MATCH(U3,PMtbl[Category],0),)</f>
        <v>1</v>
      </c>
      <c r="U3" s="241" t="str" cm="1">
        <f t="array" ref="U3">INDEX(PMtbl[Category],MATCH(0,INDEX(COUNTIF($U$2:U2,PMtbl[Category]),),0))</f>
        <v>COVID Tests / Antigen Rapid Diagnostic Test Ag-RDT</v>
      </c>
      <c r="X3" s="90" t="s">
        <v>2750</v>
      </c>
      <c r="Y3" s="90">
        <v>1</v>
      </c>
      <c r="Z3" s="90" t="s">
        <v>16</v>
      </c>
      <c r="AA3" s="90" t="s">
        <v>2805</v>
      </c>
      <c r="AB3"/>
      <c r="AC3" s="242" t="str">
        <f>TRIM(D8)</f>
        <v>COVID Molecular Test (PCR) Equipment</v>
      </c>
      <c r="AD3" s="242"/>
      <c r="AE3" s="242">
        <f>LEN(D8)</f>
        <v>36</v>
      </c>
      <c r="AF3" s="242" t="b">
        <f>AD3=AE3</f>
        <v>0</v>
      </c>
      <c r="AH3" s="220" t="str">
        <f>R12</f>
        <v>C19RM 2021</v>
      </c>
      <c r="AJ3" s="220" t="e" cm="1" vm="1">
        <f t="array" ref="AJ3">_xlfn._xlws.SORT(_xlfn.UNIQUE(_xlfn._xlws.FILTER(PMtbl[Each],ISNUMBER(SEARCH(#REF!,PMtbl[Each])))))</f>
        <v>#VALUE!</v>
      </c>
      <c r="AK3" s="220" t="e" cm="1">
        <f t="array" ref="AK3">_xlfn.UNIQUE(_xlfn._xlws.FILTER(PMtbl[Packaging],PMtbl[Each]=#REF!,""))</f>
        <v>#REF!</v>
      </c>
    </row>
    <row r="4" spans="1:37" x14ac:dyDescent="0.35">
      <c r="A4" s="825" t="s">
        <v>2749</v>
      </c>
      <c r="B4" s="825" t="s">
        <v>2750</v>
      </c>
      <c r="C4" s="825">
        <v>1</v>
      </c>
      <c r="D4" s="825" t="s">
        <v>13</v>
      </c>
      <c r="E4" s="825" t="s">
        <v>2753</v>
      </c>
      <c r="F4" s="220">
        <v>2</v>
      </c>
      <c r="G4" s="825" t="s">
        <v>2772</v>
      </c>
      <c r="H4" s="825" t="s">
        <v>2773</v>
      </c>
      <c r="I4" s="220" t="s">
        <v>82</v>
      </c>
      <c r="J4" s="220" t="str">
        <f>PMtbl[[#This Row],[Category]]&amp;PMtbl[[#This Row],[Each]]&amp;PMtbl[[#This Row],[Packaging]]</f>
        <v>COVID Molecular Test EquipmentAutomated extractorsBioMerieux EMAG (easyMAG) Equipment</v>
      </c>
      <c r="K4">
        <v>0</v>
      </c>
      <c r="L4" s="236">
        <v>6.6</v>
      </c>
      <c r="M4" s="234" t="s">
        <v>183</v>
      </c>
      <c r="N4" s="236"/>
      <c r="O4" s="825" t="s">
        <v>12</v>
      </c>
      <c r="P4" s="825"/>
      <c r="R4" s="220" t="str">
        <f>INDEX(PMtbl[Component],MATCH(U4,PMtbl[Category],0),)</f>
        <v>C19RM 2021</v>
      </c>
      <c r="S4" s="220" t="str">
        <f>INDEX(PMtbl[WKst],MATCH(U4,PMtbl[Category],0),)</f>
        <v>C19RM 2021-Lab &amp; Other HPS</v>
      </c>
      <c r="T4" s="220">
        <f>INDEX(PMtbl[Sec],MATCH(U4,PMtbl[Category],0),)</f>
        <v>1</v>
      </c>
      <c r="U4" s="241" t="str" cm="1">
        <f t="array" ref="U4">INDEX(PMtbl[Category],MATCH(0,INDEX(COUNTIF($U$2:U3,PMtbl[Category]),),0))</f>
        <v>COVID Molecular Test Equipment</v>
      </c>
      <c r="X4" s="90" t="s">
        <v>2750</v>
      </c>
      <c r="Y4" s="90">
        <v>1</v>
      </c>
      <c r="Z4" s="90" t="s">
        <v>16</v>
      </c>
      <c r="AA4" s="90" t="s">
        <v>2817</v>
      </c>
      <c r="AB4"/>
      <c r="AC4" s="243"/>
      <c r="AD4" s="243"/>
      <c r="AE4" s="243"/>
      <c r="AF4" s="243"/>
    </row>
    <row r="5" spans="1:37" x14ac:dyDescent="0.35">
      <c r="A5" s="825" t="s">
        <v>2749</v>
      </c>
      <c r="B5" s="825" t="s">
        <v>2750</v>
      </c>
      <c r="C5" s="825">
        <v>1</v>
      </c>
      <c r="D5" s="825" t="s">
        <v>13</v>
      </c>
      <c r="E5" s="825" t="s">
        <v>2753</v>
      </c>
      <c r="F5" s="220">
        <v>3</v>
      </c>
      <c r="G5" s="825" t="s">
        <v>2772</v>
      </c>
      <c r="H5" s="825" t="s">
        <v>1987</v>
      </c>
      <c r="I5" s="220" t="s">
        <v>82</v>
      </c>
      <c r="J5" s="220" t="str">
        <f>PMtbl[[#This Row],[Category]]&amp;PMtbl[[#This Row],[Each]]&amp;PMtbl[[#This Row],[Packaging]]</f>
        <v>COVID Molecular Test EquipmentAutomated extractorsEquipment</v>
      </c>
      <c r="K5">
        <v>0</v>
      </c>
      <c r="L5" s="236">
        <v>6.6</v>
      </c>
      <c r="M5" s="234" t="s">
        <v>183</v>
      </c>
      <c r="N5" s="236"/>
      <c r="O5" s="825" t="s">
        <v>12</v>
      </c>
      <c r="P5" s="825"/>
      <c r="R5" s="220" t="str">
        <f>INDEX(PMtbl[Component],MATCH(U5,PMtbl[Category],0),)</f>
        <v>C19RM 2021</v>
      </c>
      <c r="S5" s="220" t="str">
        <f>INDEX(PMtbl[WKst],MATCH(U5,PMtbl[Category],0),)</f>
        <v>C19RM 2021-Lab &amp; Other HPS</v>
      </c>
      <c r="T5" s="220">
        <f>INDEX(PMtbl[Sec],MATCH(U5,PMtbl[Category],0),)</f>
        <v>1</v>
      </c>
      <c r="U5" s="241" t="str" cm="1">
        <f t="array" ref="U5">INDEX(PMtbl[Category],MATCH(0,INDEX(COUNTIF($U$2:U4,PMtbl[Category]),),0))</f>
        <v>GeneXpert - Equipment for C19RM</v>
      </c>
      <c r="X5" s="90" t="s">
        <v>2750</v>
      </c>
      <c r="Y5" s="90">
        <v>1</v>
      </c>
      <c r="Z5" s="90" t="s">
        <v>2753</v>
      </c>
      <c r="AA5" s="90" t="s">
        <v>2772</v>
      </c>
      <c r="AB5"/>
      <c r="AC5" s="243"/>
      <c r="AD5" s="243"/>
      <c r="AE5" s="243"/>
      <c r="AF5" s="243"/>
    </row>
    <row r="6" spans="1:37" x14ac:dyDescent="0.35">
      <c r="A6" s="825" t="s">
        <v>2749</v>
      </c>
      <c r="B6" s="825" t="s">
        <v>2750</v>
      </c>
      <c r="C6" s="825">
        <v>1</v>
      </c>
      <c r="D6" s="825" t="s">
        <v>13</v>
      </c>
      <c r="E6" s="825" t="s">
        <v>2753</v>
      </c>
      <c r="F6" s="220">
        <v>4</v>
      </c>
      <c r="G6" s="825" t="s">
        <v>2772</v>
      </c>
      <c r="H6" s="825" t="s">
        <v>2774</v>
      </c>
      <c r="I6" s="220" t="s">
        <v>82</v>
      </c>
      <c r="J6" s="220" t="str">
        <f>PMtbl[[#This Row],[Category]]&amp;PMtbl[[#This Row],[Each]]&amp;PMtbl[[#This Row],[Packaging]]</f>
        <v>COVID Molecular Test EquipmentAutomated extractorsKingFisher™ Flex Purification System, KingFisher with 96 Deep-well</v>
      </c>
      <c r="K6">
        <v>0</v>
      </c>
      <c r="L6" s="236">
        <v>5.8</v>
      </c>
      <c r="M6" s="234" t="s">
        <v>181</v>
      </c>
      <c r="N6" s="236"/>
      <c r="O6" s="825" t="s">
        <v>14</v>
      </c>
      <c r="P6" s="825"/>
      <c r="R6" s="220" t="str">
        <f>INDEX(PMtbl[Component],MATCH(U6,PMtbl[Category],0),)</f>
        <v>C19RM 2021</v>
      </c>
      <c r="S6" s="220" t="str">
        <f>INDEX(PMtbl[WKst],MATCH(U6,PMtbl[Category],0),)</f>
        <v>C19RM 2021-Lab &amp; Other HPS</v>
      </c>
      <c r="T6" s="220">
        <f>INDEX(PMtbl[Sec],MATCH(U6,PMtbl[Category],0),)</f>
        <v>1</v>
      </c>
      <c r="U6" s="241" t="str" cm="1">
        <f t="array" ref="U6">INDEX(PMtbl[Category],MATCH(0,INDEX(COUNTIF($U$2:U5,PMtbl[Category]),),0))</f>
        <v>OTHER NEAR POC for C19RM</v>
      </c>
      <c r="X6" s="90" t="s">
        <v>2750</v>
      </c>
      <c r="Y6" s="90">
        <v>1</v>
      </c>
      <c r="Z6" s="90" t="s">
        <v>2753</v>
      </c>
      <c r="AA6" s="90" t="s">
        <v>2779</v>
      </c>
      <c r="AB6"/>
      <c r="AC6" s="243"/>
      <c r="AD6" s="243"/>
      <c r="AE6" s="243"/>
      <c r="AF6" s="243"/>
    </row>
    <row r="7" spans="1:37" x14ac:dyDescent="0.35">
      <c r="A7" s="825" t="s">
        <v>2749</v>
      </c>
      <c r="B7" s="825" t="s">
        <v>2750</v>
      </c>
      <c r="C7" s="825">
        <v>1</v>
      </c>
      <c r="D7" s="825" t="s">
        <v>13</v>
      </c>
      <c r="E7" s="825" t="s">
        <v>2753</v>
      </c>
      <c r="F7" s="220">
        <v>5</v>
      </c>
      <c r="G7" s="825" t="s">
        <v>2772</v>
      </c>
      <c r="H7" s="825" t="s">
        <v>2775</v>
      </c>
      <c r="I7" s="220" t="s">
        <v>82</v>
      </c>
      <c r="J7" s="220" t="str">
        <f>PMtbl[[#This Row],[Category]]&amp;PMtbl[[#This Row],[Each]]&amp;PMtbl[[#This Row],[Packaging]]</f>
        <v>COVID Molecular Test EquipmentAutomated extractorsQiagen QIAsymphony SP Equipment</v>
      </c>
      <c r="K7">
        <v>0</v>
      </c>
      <c r="L7" s="236">
        <v>6.6</v>
      </c>
      <c r="M7" s="234" t="s">
        <v>183</v>
      </c>
      <c r="N7" s="236"/>
      <c r="O7" s="825" t="s">
        <v>12</v>
      </c>
      <c r="P7" s="825"/>
      <c r="R7" s="220" t="str">
        <f>INDEX(PMtbl[Component],MATCH(U7,PMtbl[Category],0),)</f>
        <v>C19RM 2021</v>
      </c>
      <c r="S7" s="220" t="str">
        <f>INDEX(PMtbl[WKst],MATCH(U7,PMtbl[Category],0),)</f>
        <v>C19RM 2021-Lab &amp; Other HPS</v>
      </c>
      <c r="T7" s="220">
        <f>INDEX(PMtbl[Sec],MATCH(U7,PMtbl[Category],0),)</f>
        <v>1</v>
      </c>
      <c r="U7" s="241" t="str" cm="1">
        <f t="array" ref="U7">INDEX(PMtbl[Category],MATCH(0,INDEX(COUNTIF($U$2:U6,PMtbl[Category]),),0))</f>
        <v>TrueNat for C19RM</v>
      </c>
      <c r="X7" s="90" t="s">
        <v>2750</v>
      </c>
      <c r="Y7" s="90">
        <v>1</v>
      </c>
      <c r="Z7" s="90" t="s">
        <v>2753</v>
      </c>
      <c r="AA7" s="90" t="s">
        <v>2780</v>
      </c>
      <c r="AB7"/>
      <c r="AC7" s="243"/>
      <c r="AD7" s="243"/>
      <c r="AE7" s="243"/>
      <c r="AF7" s="243"/>
    </row>
    <row r="8" spans="1:37" x14ac:dyDescent="0.35">
      <c r="A8" s="825" t="s">
        <v>2749</v>
      </c>
      <c r="B8" s="825" t="s">
        <v>2750</v>
      </c>
      <c r="C8" s="825">
        <v>1</v>
      </c>
      <c r="D8" s="825" t="s">
        <v>13</v>
      </c>
      <c r="E8" s="825" t="s">
        <v>2753</v>
      </c>
      <c r="F8" s="220">
        <v>6</v>
      </c>
      <c r="G8" s="825" t="s">
        <v>2772</v>
      </c>
      <c r="H8" s="825" t="s">
        <v>2776</v>
      </c>
      <c r="I8" s="220" t="s">
        <v>82</v>
      </c>
      <c r="J8" s="220" t="str">
        <f>PMtbl[[#This Row],[Category]]&amp;PMtbl[[#This Row],[Each]]&amp;PMtbl[[#This Row],[Packaging]]</f>
        <v>COVID Molecular Test EquipmentAutomated extractorsRoche MagNA pure Equipment</v>
      </c>
      <c r="K8">
        <v>0</v>
      </c>
      <c r="L8" s="236">
        <v>6.6</v>
      </c>
      <c r="M8" s="234" t="s">
        <v>183</v>
      </c>
      <c r="N8" s="236"/>
      <c r="O8" s="825" t="s">
        <v>12</v>
      </c>
      <c r="P8" s="825"/>
      <c r="R8" s="220" t="str">
        <f>INDEX(PMtbl[Component],MATCH(U8,PMtbl[Category],0),)</f>
        <v>C19RM 2021</v>
      </c>
      <c r="S8" s="220" t="str">
        <f>INDEX(PMtbl[WKst],MATCH(U8,PMtbl[Category],0),)</f>
        <v>C19RM 2021-Lab &amp; Other HPS</v>
      </c>
      <c r="T8" s="220">
        <f>INDEX(PMtbl[Sec],MATCH(U8,PMtbl[Category],0),)</f>
        <v>1</v>
      </c>
      <c r="U8" s="241" t="str" cm="1">
        <f t="array" ref="U8">INDEX(PMtbl[Category],MATCH(0,INDEX(COUNTIF($U$2:U7,PMtbl[Category]),),0))</f>
        <v>COVID Diagnostics reagents &amp; consumables</v>
      </c>
      <c r="X8" s="90" t="s">
        <v>2750</v>
      </c>
      <c r="Y8" s="90">
        <v>1</v>
      </c>
      <c r="Z8" s="90" t="s">
        <v>2753</v>
      </c>
      <c r="AA8" s="90" t="s">
        <v>2781</v>
      </c>
      <c r="AB8"/>
      <c r="AC8" s="243"/>
      <c r="AD8" s="243"/>
      <c r="AE8" s="243"/>
      <c r="AF8" s="243"/>
    </row>
    <row r="9" spans="1:37" x14ac:dyDescent="0.35">
      <c r="A9" s="825" t="s">
        <v>2749</v>
      </c>
      <c r="B9" s="825" t="s">
        <v>2750</v>
      </c>
      <c r="C9" s="825">
        <v>1</v>
      </c>
      <c r="D9" s="825" t="s">
        <v>13</v>
      </c>
      <c r="E9" s="825" t="s">
        <v>2753</v>
      </c>
      <c r="F9" s="220">
        <v>7</v>
      </c>
      <c r="G9" s="825" t="s">
        <v>2772</v>
      </c>
      <c r="H9" s="825" t="s">
        <v>2777</v>
      </c>
      <c r="I9" s="220" t="s">
        <v>82</v>
      </c>
      <c r="J9" s="220" t="str">
        <f>PMtbl[[#This Row],[Category]]&amp;PMtbl[[#This Row],[Each]]&amp;PMtbl[[#This Row],[Packaging]]</f>
        <v>COVID Molecular Test EquipmentAutomated extractorsSpare parts and accessories</v>
      </c>
      <c r="K9">
        <v>0</v>
      </c>
      <c r="L9" s="236">
        <v>6.6</v>
      </c>
      <c r="M9" s="234" t="s">
        <v>183</v>
      </c>
      <c r="N9" s="236"/>
      <c r="O9" s="825" t="s">
        <v>12</v>
      </c>
      <c r="P9" s="825"/>
      <c r="R9" s="220" t="str">
        <f>INDEX(PMtbl[Component],MATCH(U9,PMtbl[Category],0),)</f>
        <v>C19RM 2021</v>
      </c>
      <c r="S9" s="220" t="str">
        <f>INDEX(PMtbl[WKst],MATCH(U9,PMtbl[Category],0),)</f>
        <v>C19RM 2021-Lab &amp; Other HPS</v>
      </c>
      <c r="T9" s="220">
        <f>INDEX(PMtbl[Sec],MATCH(U9,PMtbl[Category],0),)</f>
        <v>2</v>
      </c>
      <c r="U9" s="241" t="str" cm="1">
        <f t="array" ref="U9">INDEX(PMtbl[Category],MATCH(0,INDEX(COUNTIF($U$2:U8,PMtbl[Category]),),0))</f>
        <v>Medical Oxygen - consumables</v>
      </c>
      <c r="X9" s="90" t="s">
        <v>2750</v>
      </c>
      <c r="Y9" s="90">
        <v>1</v>
      </c>
      <c r="Z9" s="90" t="s">
        <v>2753</v>
      </c>
      <c r="AA9" s="90" t="s">
        <v>1922</v>
      </c>
      <c r="AB9"/>
      <c r="AC9" s="243"/>
      <c r="AD9" s="243"/>
      <c r="AE9" s="243"/>
      <c r="AF9" s="243"/>
    </row>
    <row r="10" spans="1:37" x14ac:dyDescent="0.35">
      <c r="A10" s="825" t="s">
        <v>2749</v>
      </c>
      <c r="B10" s="825" t="s">
        <v>2750</v>
      </c>
      <c r="C10" s="825">
        <v>1</v>
      </c>
      <c r="D10" s="825" t="s">
        <v>13</v>
      </c>
      <c r="E10" s="825" t="s">
        <v>2753</v>
      </c>
      <c r="F10" s="220">
        <v>8</v>
      </c>
      <c r="G10" s="825" t="s">
        <v>2772</v>
      </c>
      <c r="H10" s="825" t="s">
        <v>2778</v>
      </c>
      <c r="I10" s="220" t="s">
        <v>82</v>
      </c>
      <c r="J10" s="220" t="str">
        <f>PMtbl[[#This Row],[Category]]&amp;PMtbl[[#This Row],[Each]]&amp;PMtbl[[#This Row],[Packaging]]</f>
        <v>COVID Molecular Test EquipmentAutomated extractorsWarranty, maintenance and service</v>
      </c>
      <c r="K10">
        <v>0</v>
      </c>
      <c r="L10" s="236">
        <v>6.5</v>
      </c>
      <c r="M10" s="234" t="s">
        <v>182</v>
      </c>
      <c r="N10" s="236"/>
      <c r="O10" s="825" t="s">
        <v>12</v>
      </c>
      <c r="P10" s="825"/>
      <c r="R10" s="220" t="str">
        <f>INDEX(PMtbl[Component],MATCH(U10,PMtbl[Category],0),)</f>
        <v>C19RM 2021</v>
      </c>
      <c r="S10" s="220" t="str">
        <f>INDEX(PMtbl[WKst],MATCH(U10,PMtbl[Category],0),)</f>
        <v>C19RM 2021-Lab &amp; Other HPS</v>
      </c>
      <c r="T10" s="220">
        <f>INDEX(PMtbl[Sec],MATCH(U10,PMtbl[Category],0),)</f>
        <v>2</v>
      </c>
      <c r="U10" s="241" t="str" cm="1">
        <f t="array" ref="U10">INDEX(PMtbl[Category],MATCH(0,INDEX(COUNTIF($U$2:U9,PMtbl[Category]),),0))</f>
        <v>Medical Oxygen - equipment</v>
      </c>
      <c r="X10" s="90" t="s">
        <v>2750</v>
      </c>
      <c r="Y10" s="90">
        <v>1</v>
      </c>
      <c r="Z10" s="90" t="s">
        <v>2753</v>
      </c>
      <c r="AA10" s="90" t="s">
        <v>1923</v>
      </c>
      <c r="AB10"/>
      <c r="AC10" s="243"/>
      <c r="AD10" s="243"/>
      <c r="AE10" s="243"/>
      <c r="AF10" s="243"/>
    </row>
    <row r="11" spans="1:37" x14ac:dyDescent="0.35">
      <c r="A11" s="825" t="s">
        <v>2749</v>
      </c>
      <c r="B11" s="825" t="s">
        <v>2750</v>
      </c>
      <c r="C11" s="825">
        <v>1</v>
      </c>
      <c r="D11" s="825" t="s">
        <v>13</v>
      </c>
      <c r="E11" s="825" t="s">
        <v>2753</v>
      </c>
      <c r="F11" s="220">
        <v>9</v>
      </c>
      <c r="G11" s="825" t="s">
        <v>2779</v>
      </c>
      <c r="H11" s="825" t="s">
        <v>1987</v>
      </c>
      <c r="I11" s="220" t="s">
        <v>82</v>
      </c>
      <c r="J11" s="220" t="str">
        <f>PMtbl[[#This Row],[Category]]&amp;PMtbl[[#This Row],[Each]]&amp;PMtbl[[#This Row],[Packaging]]</f>
        <v>COVID Molecular Test EquipmentCOVID Equipment - OtherEquipment</v>
      </c>
      <c r="K11">
        <v>0</v>
      </c>
      <c r="L11" s="236">
        <v>6.6</v>
      </c>
      <c r="M11" s="234" t="s">
        <v>183</v>
      </c>
      <c r="N11" s="236"/>
      <c r="O11" s="825" t="s">
        <v>12</v>
      </c>
      <c r="P11" s="825"/>
      <c r="R11" s="220" t="str">
        <f>INDEX(PMtbl[Component],MATCH(U11,PMtbl[Category],0),)</f>
        <v>C19RM 2021</v>
      </c>
      <c r="S11" s="220" t="str">
        <f>INDEX(PMtbl[WKst],MATCH(U11,PMtbl[Category],0),)</f>
        <v>C19RM 2021-Lab &amp; Other HPS</v>
      </c>
      <c r="T11" s="220">
        <f>INDEX(PMtbl[Sec],MATCH(U11,PMtbl[Category],0),)</f>
        <v>2</v>
      </c>
      <c r="U11" s="241" t="str" cm="1">
        <f t="array" ref="U11">INDEX(PMtbl[Category],MATCH(0,INDEX(COUNTIF($U$2:U10,PMtbl[Category]),),0))</f>
        <v>Medical Oxygen Liquid &amp; Gas</v>
      </c>
      <c r="X11" s="90" t="s">
        <v>2750</v>
      </c>
      <c r="Y11" s="90">
        <v>1</v>
      </c>
      <c r="Z11" s="90" t="s">
        <v>2753</v>
      </c>
      <c r="AA11" s="90" t="s">
        <v>2791</v>
      </c>
      <c r="AB11"/>
      <c r="AC11" s="243"/>
      <c r="AD11" s="243"/>
      <c r="AE11" s="243"/>
      <c r="AF11" s="243"/>
    </row>
    <row r="12" spans="1:37" x14ac:dyDescent="0.35">
      <c r="A12" s="825" t="s">
        <v>2749</v>
      </c>
      <c r="B12" s="825" t="s">
        <v>2750</v>
      </c>
      <c r="C12" s="825">
        <v>1</v>
      </c>
      <c r="D12" s="825" t="s">
        <v>13</v>
      </c>
      <c r="E12" s="825" t="s">
        <v>2753</v>
      </c>
      <c r="F12" s="220">
        <v>10</v>
      </c>
      <c r="G12" s="825" t="s">
        <v>2779</v>
      </c>
      <c r="H12" s="825" t="s">
        <v>2777</v>
      </c>
      <c r="I12" s="220" t="s">
        <v>82</v>
      </c>
      <c r="J12" s="220" t="str">
        <f>PMtbl[[#This Row],[Category]]&amp;PMtbl[[#This Row],[Each]]&amp;PMtbl[[#This Row],[Packaging]]</f>
        <v>COVID Molecular Test EquipmentCOVID Equipment - OtherSpare parts and accessories</v>
      </c>
      <c r="K12">
        <v>0</v>
      </c>
      <c r="L12" s="236">
        <v>6.6</v>
      </c>
      <c r="M12" s="234" t="s">
        <v>183</v>
      </c>
      <c r="N12" s="236"/>
      <c r="O12" s="825" t="s">
        <v>12</v>
      </c>
      <c r="P12" s="825"/>
      <c r="R12" s="220" t="str">
        <f>INDEX(PMtbl[Component],MATCH(U12,PMtbl[Category],0),)</f>
        <v>C19RM 2021</v>
      </c>
      <c r="S12" s="220" t="str">
        <f>INDEX(PMtbl[WKst],MATCH(U12,PMtbl[Category],0),)</f>
        <v>C19RM 2021-Lab &amp; Other HPS</v>
      </c>
      <c r="T12" s="220">
        <f>INDEX(PMtbl[Sec],MATCH(U12,PMtbl[Category],0),)</f>
        <v>2</v>
      </c>
      <c r="U12" s="241" t="str" cm="1">
        <f t="array" ref="U12">INDEX(PMtbl[Category],MATCH(0,INDEX(COUNTIF($U$2:U11,PMtbl[Category]),),0))</f>
        <v>Other Health Equipment</v>
      </c>
      <c r="X12" s="90" t="s">
        <v>2750</v>
      </c>
      <c r="Y12" s="90">
        <v>1</v>
      </c>
      <c r="Z12" s="90" t="s">
        <v>2753</v>
      </c>
      <c r="AA12" s="90" t="s">
        <v>2792</v>
      </c>
      <c r="AB12"/>
      <c r="AC12" s="243"/>
      <c r="AD12" s="243"/>
      <c r="AE12" s="243"/>
      <c r="AF12" s="243"/>
    </row>
    <row r="13" spans="1:37" x14ac:dyDescent="0.35">
      <c r="A13" s="825" t="s">
        <v>2749</v>
      </c>
      <c r="B13" s="825" t="s">
        <v>2750</v>
      </c>
      <c r="C13" s="825">
        <v>1</v>
      </c>
      <c r="D13" s="825" t="s">
        <v>13</v>
      </c>
      <c r="E13" s="825" t="s">
        <v>2753</v>
      </c>
      <c r="F13" s="220">
        <v>11</v>
      </c>
      <c r="G13" s="825" t="s">
        <v>2779</v>
      </c>
      <c r="H13" s="825" t="s">
        <v>2778</v>
      </c>
      <c r="I13" s="220" t="s">
        <v>82</v>
      </c>
      <c r="J13" s="220" t="str">
        <f>PMtbl[[#This Row],[Category]]&amp;PMtbl[[#This Row],[Each]]&amp;PMtbl[[#This Row],[Packaging]]</f>
        <v>COVID Molecular Test EquipmentCOVID Equipment - OtherWarranty, maintenance and service</v>
      </c>
      <c r="K13">
        <v>0</v>
      </c>
      <c r="L13" s="236">
        <v>6.5</v>
      </c>
      <c r="M13" s="234" t="s">
        <v>182</v>
      </c>
      <c r="N13" s="236"/>
      <c r="O13" s="825" t="s">
        <v>12</v>
      </c>
      <c r="P13" s="825"/>
      <c r="R13" s="220" t="str">
        <f>INDEX(PMtbl[Component],MATCH(U13,PMtbl[Category],0),)</f>
        <v>C19RM 2021</v>
      </c>
      <c r="S13" s="220" t="str">
        <f>INDEX(PMtbl[WKst],MATCH(U13,PMtbl[Category],0),)</f>
        <v>C19RM 2021-Lab &amp; Other HPS</v>
      </c>
      <c r="T13" s="220">
        <f>INDEX(PMtbl[Sec],MATCH(U13,PMtbl[Category],0),)</f>
        <v>3</v>
      </c>
      <c r="U13" s="241" t="str" cm="1">
        <f t="array" ref="U13">INDEX(PMtbl[Category],MATCH(0,INDEX(COUNTIF($U$2:U12,PMtbl[Category]),),0))</f>
        <v>Disinfectants</v>
      </c>
      <c r="X13" s="90" t="s">
        <v>2750</v>
      </c>
      <c r="Y13" s="90">
        <v>1</v>
      </c>
      <c r="Z13" s="90" t="s">
        <v>2753</v>
      </c>
      <c r="AA13" s="90" t="s">
        <v>2793</v>
      </c>
      <c r="AB13"/>
      <c r="AC13" s="243"/>
      <c r="AD13" s="243"/>
      <c r="AE13" s="243"/>
      <c r="AF13" s="243"/>
    </row>
    <row r="14" spans="1:37" x14ac:dyDescent="0.35">
      <c r="A14" s="825" t="s">
        <v>2749</v>
      </c>
      <c r="B14" s="825" t="s">
        <v>2750</v>
      </c>
      <c r="C14" s="825">
        <v>1</v>
      </c>
      <c r="D14" s="825" t="s">
        <v>13</v>
      </c>
      <c r="E14" s="825" t="s">
        <v>2753</v>
      </c>
      <c r="F14" s="220">
        <v>12</v>
      </c>
      <c r="G14" s="825" t="s">
        <v>2780</v>
      </c>
      <c r="H14" s="825" t="s">
        <v>1920</v>
      </c>
      <c r="I14" s="220" t="s">
        <v>82</v>
      </c>
      <c r="J14" s="220" t="str">
        <f>PMtbl[[#This Row],[Category]]&amp;PMtbl[[#This Row],[Each]]&amp;PMtbl[[#This Row],[Packaging]]</f>
        <v>COVID Molecular Test EquipmentMagnetic Stand: Manual ExtractionMagnetic Stand for Manual Extraction 96 well magnet stand</v>
      </c>
      <c r="K14">
        <v>0</v>
      </c>
      <c r="L14" s="236">
        <v>6.6</v>
      </c>
      <c r="M14" s="234" t="s">
        <v>183</v>
      </c>
      <c r="N14" s="236"/>
      <c r="O14" s="825" t="s">
        <v>12</v>
      </c>
      <c r="P14" s="825"/>
      <c r="R14" s="220" t="str">
        <f>INDEX(PMtbl[Component],MATCH(U14,PMtbl[Category],0),)</f>
        <v>C19RM 2021</v>
      </c>
      <c r="S14" s="220" t="str">
        <f>INDEX(PMtbl[WKst],MATCH(U14,PMtbl[Category],0),)</f>
        <v>C19RM 2021-Lab &amp; Other HPS</v>
      </c>
      <c r="T14" s="220">
        <f>INDEX(PMtbl[Sec],MATCH(U14,PMtbl[Category],0),)</f>
        <v>3</v>
      </c>
      <c r="U14" s="241" t="str" cm="1">
        <f t="array" ref="U14">INDEX(PMtbl[Category],MATCH(0,INDEX(COUNTIF($U$2:U13,PMtbl[Category]),),0))</f>
        <v>COVID PPE core</v>
      </c>
      <c r="X14" s="90" t="s">
        <v>2750</v>
      </c>
      <c r="Y14" s="90">
        <v>1</v>
      </c>
      <c r="Z14" s="90" t="s">
        <v>2753</v>
      </c>
      <c r="AA14" s="90" t="s">
        <v>2794</v>
      </c>
      <c r="AB14"/>
      <c r="AC14" s="243"/>
      <c r="AD14" s="243"/>
      <c r="AE14" s="243"/>
      <c r="AF14" s="243"/>
    </row>
    <row r="15" spans="1:37" x14ac:dyDescent="0.35">
      <c r="A15" s="825" t="s">
        <v>2749</v>
      </c>
      <c r="B15" s="825" t="s">
        <v>2750</v>
      </c>
      <c r="C15" s="825">
        <v>1</v>
      </c>
      <c r="D15" s="825" t="s">
        <v>13</v>
      </c>
      <c r="E15" s="825" t="s">
        <v>2753</v>
      </c>
      <c r="F15" s="220">
        <v>13</v>
      </c>
      <c r="G15" s="825" t="s">
        <v>2780</v>
      </c>
      <c r="H15" s="825" t="s">
        <v>2777</v>
      </c>
      <c r="I15" s="220" t="s">
        <v>82</v>
      </c>
      <c r="J15" s="220" t="str">
        <f>PMtbl[[#This Row],[Category]]&amp;PMtbl[[#This Row],[Each]]&amp;PMtbl[[#This Row],[Packaging]]</f>
        <v>COVID Molecular Test EquipmentMagnetic Stand: Manual ExtractionSpare parts and accessories</v>
      </c>
      <c r="K15">
        <v>0</v>
      </c>
      <c r="L15" s="236">
        <v>6.6</v>
      </c>
      <c r="M15" s="234" t="s">
        <v>183</v>
      </c>
      <c r="N15" s="236"/>
      <c r="O15" s="825" t="s">
        <v>12</v>
      </c>
      <c r="P15" s="825"/>
      <c r="R15" s="220" t="str">
        <f>INDEX(PMtbl[Component],MATCH(U15,PMtbl[Category],0),)</f>
        <v>C19RM 2021</v>
      </c>
      <c r="S15" s="220" t="str">
        <f>INDEX(PMtbl[WKst],MATCH(U15,PMtbl[Category],0),)</f>
        <v>C19RM 2021-Lab &amp; Other HPS</v>
      </c>
      <c r="T15" s="220">
        <f>INDEX(PMtbl[Sec],MATCH(U15,PMtbl[Category],0),)</f>
        <v>3</v>
      </c>
      <c r="U15" s="241" t="str" cm="1">
        <f t="array" ref="U15">INDEX(PMtbl[Category],MATCH(0,INDEX(COUNTIF($U$2:U14,PMtbl[Category]),),0))</f>
        <v>COVID PPE: other</v>
      </c>
      <c r="X15" s="90" t="s">
        <v>2750</v>
      </c>
      <c r="Y15" s="90">
        <v>1</v>
      </c>
      <c r="Z15" s="90" t="s">
        <v>2752</v>
      </c>
      <c r="AA15" s="90" t="s">
        <v>2770</v>
      </c>
      <c r="AB15"/>
      <c r="AC15" s="243"/>
      <c r="AD15" s="243"/>
      <c r="AE15" s="243"/>
      <c r="AF15" s="243"/>
    </row>
    <row r="16" spans="1:37" x14ac:dyDescent="0.35">
      <c r="A16" s="825" t="s">
        <v>2749</v>
      </c>
      <c r="B16" s="825" t="s">
        <v>2750</v>
      </c>
      <c r="C16" s="825">
        <v>1</v>
      </c>
      <c r="D16" s="825" t="s">
        <v>13</v>
      </c>
      <c r="E16" s="825" t="s">
        <v>2753</v>
      </c>
      <c r="F16" s="220">
        <v>14</v>
      </c>
      <c r="G16" s="825" t="s">
        <v>2780</v>
      </c>
      <c r="H16" s="825" t="s">
        <v>2778</v>
      </c>
      <c r="I16" s="220" t="s">
        <v>82</v>
      </c>
      <c r="J16" s="220" t="str">
        <f>PMtbl[[#This Row],[Category]]&amp;PMtbl[[#This Row],[Each]]&amp;PMtbl[[#This Row],[Packaging]]</f>
        <v>COVID Molecular Test EquipmentMagnetic Stand: Manual ExtractionWarranty, maintenance and service</v>
      </c>
      <c r="K16">
        <v>0</v>
      </c>
      <c r="L16" s="236">
        <v>6.5</v>
      </c>
      <c r="M16" s="234" t="s">
        <v>182</v>
      </c>
      <c r="N16" s="236"/>
      <c r="O16" s="825" t="s">
        <v>12</v>
      </c>
      <c r="P16" s="825"/>
      <c r="R16" s="220" t="str">
        <f>INDEX(PMtbl[Component],MATCH(U16,PMtbl[Category],0),)</f>
        <v>C19RM 2021</v>
      </c>
      <c r="S16" s="220" t="str">
        <f>INDEX(PMtbl[WKst],MATCH(U16,PMtbl[Category],0),)</f>
        <v>C19RM 2021-Lab &amp; Other HPS</v>
      </c>
      <c r="T16" s="220">
        <f>INDEX(PMtbl[Sec],MATCH(U16,PMtbl[Category],0),)</f>
        <v>4</v>
      </c>
      <c r="U16" s="241" t="str" cm="1">
        <f t="array" ref="U16">INDEX(PMtbl[Category],MATCH(0,INDEX(COUNTIF($U$2:U15,PMtbl[Category]),),0))</f>
        <v>Laboratory Equipment</v>
      </c>
      <c r="X16" s="90" t="s">
        <v>2750</v>
      </c>
      <c r="Y16" s="90">
        <v>1</v>
      </c>
      <c r="Z16" s="90" t="s">
        <v>2754</v>
      </c>
      <c r="AA16" s="90" t="s">
        <v>2795</v>
      </c>
      <c r="AB16"/>
      <c r="AC16" s="243"/>
      <c r="AD16" s="243"/>
      <c r="AE16" s="243"/>
      <c r="AF16" s="243"/>
    </row>
    <row r="17" spans="1:32" x14ac:dyDescent="0.35">
      <c r="A17" s="825" t="s">
        <v>2749</v>
      </c>
      <c r="B17" s="825" t="s">
        <v>2750</v>
      </c>
      <c r="C17" s="825">
        <v>1</v>
      </c>
      <c r="D17" s="825" t="s">
        <v>13</v>
      </c>
      <c r="E17" s="825" t="s">
        <v>2753</v>
      </c>
      <c r="F17" s="220">
        <v>15</v>
      </c>
      <c r="G17" s="825" t="s">
        <v>2781</v>
      </c>
      <c r="H17" s="825" t="s">
        <v>1987</v>
      </c>
      <c r="I17" s="220" t="s">
        <v>82</v>
      </c>
      <c r="J17" s="220" t="str">
        <f>PMtbl[[#This Row],[Category]]&amp;PMtbl[[#This Row],[Each]]&amp;PMtbl[[#This Row],[Packaging]]</f>
        <v>COVID Molecular Test EquipmentMagnetic Stand: Manual Extraction - OtherEquipment</v>
      </c>
      <c r="K17">
        <v>0</v>
      </c>
      <c r="L17" s="236">
        <v>6.6</v>
      </c>
      <c r="M17" s="234" t="s">
        <v>183</v>
      </c>
      <c r="N17" s="236"/>
      <c r="O17" s="825" t="s">
        <v>12</v>
      </c>
      <c r="P17" s="825"/>
      <c r="R17" s="220" t="str">
        <f>INDEX(PMtbl[Component],MATCH(U17,PMtbl[Category],0),)</f>
        <v>C19RM 2021</v>
      </c>
      <c r="S17" s="220" t="str">
        <f>INDEX(PMtbl[WKst],MATCH(U17,PMtbl[Category],0),)</f>
        <v>C19RM 2021-Lab &amp; Other HPS</v>
      </c>
      <c r="T17" s="220">
        <f>INDEX(PMtbl[Sec],MATCH(U17,PMtbl[Category],0),)</f>
        <v>5</v>
      </c>
      <c r="U17" s="241" t="str" cm="1">
        <f t="array" ref="U17">INDEX(PMtbl[Category],MATCH(0,INDEX(COUNTIF($U$2:U16,PMtbl[Category]),),0))</f>
        <v>Cold Chain Consumables</v>
      </c>
      <c r="X17" s="90" t="s">
        <v>2750</v>
      </c>
      <c r="Y17" s="90">
        <v>1</v>
      </c>
      <c r="Z17" s="90" t="s">
        <v>2755</v>
      </c>
      <c r="AA17" s="90" t="s">
        <v>2803</v>
      </c>
      <c r="AB17"/>
      <c r="AC17" s="243"/>
      <c r="AD17" s="243"/>
      <c r="AE17" s="243"/>
      <c r="AF17" s="243"/>
    </row>
    <row r="18" spans="1:32" x14ac:dyDescent="0.35">
      <c r="A18" s="825" t="s">
        <v>2749</v>
      </c>
      <c r="B18" s="825" t="s">
        <v>2750</v>
      </c>
      <c r="C18" s="825">
        <v>1</v>
      </c>
      <c r="D18" s="825" t="s">
        <v>13</v>
      </c>
      <c r="E18" s="825" t="s">
        <v>2753</v>
      </c>
      <c r="F18" s="220">
        <v>16</v>
      </c>
      <c r="G18" s="825" t="s">
        <v>1922</v>
      </c>
      <c r="H18" s="825" t="s">
        <v>1987</v>
      </c>
      <c r="I18" s="220" t="s">
        <v>82</v>
      </c>
      <c r="J18" s="220" t="str">
        <f>PMtbl[[#This Row],[Category]]&amp;PMtbl[[#This Row],[Each]]&amp;PMtbl[[#This Row],[Packaging]]</f>
        <v>COVID Molecular Test EquipmentTabletop PCR workstation with UV lightEquipment</v>
      </c>
      <c r="K18">
        <v>0</v>
      </c>
      <c r="L18" s="236">
        <v>6.6</v>
      </c>
      <c r="M18" s="234" t="s">
        <v>183</v>
      </c>
      <c r="N18" s="236"/>
      <c r="O18" s="825" t="s">
        <v>12</v>
      </c>
      <c r="P18" s="825"/>
      <c r="R18" s="220" t="str">
        <f>INDEX(PMtbl[Component],MATCH(U18,PMtbl[Category],0),)</f>
        <v>C19RM 2021</v>
      </c>
      <c r="S18" s="220" t="str">
        <f>INDEX(PMtbl[WKst],MATCH(U18,PMtbl[Category],0),)</f>
        <v>C19RM 2021-Lab &amp; Other HPS</v>
      </c>
      <c r="T18" s="220">
        <f>INDEX(PMtbl[Sec],MATCH(U18,PMtbl[Category],0),)</f>
        <v>5</v>
      </c>
      <c r="U18" s="241" t="str" cm="1">
        <f t="array" ref="U18">INDEX(PMtbl[Category],MATCH(0,INDEX(COUNTIF($U$2:U17,PMtbl[Category]),),0))</f>
        <v>Cold Chain Equipment</v>
      </c>
      <c r="X18" s="90" t="s">
        <v>2750</v>
      </c>
      <c r="Y18" s="90">
        <v>1</v>
      </c>
      <c r="Z18" s="90" t="s">
        <v>2756</v>
      </c>
      <c r="AA18" s="90" t="s">
        <v>1924</v>
      </c>
      <c r="AB18"/>
      <c r="AC18" s="243"/>
      <c r="AD18" s="243"/>
      <c r="AE18" s="243"/>
      <c r="AF18" s="243"/>
    </row>
    <row r="19" spans="1:32" x14ac:dyDescent="0.35">
      <c r="A19" s="825" t="s">
        <v>2749</v>
      </c>
      <c r="B19" s="825" t="s">
        <v>2750</v>
      </c>
      <c r="C19" s="825">
        <v>1</v>
      </c>
      <c r="D19" s="825" t="s">
        <v>13</v>
      </c>
      <c r="E19" s="825" t="s">
        <v>2753</v>
      </c>
      <c r="F19" s="220">
        <v>17</v>
      </c>
      <c r="G19" s="825" t="s">
        <v>1923</v>
      </c>
      <c r="H19" s="825" t="s">
        <v>2782</v>
      </c>
      <c r="I19" s="220" t="s">
        <v>82</v>
      </c>
      <c r="J19" s="220" t="str">
        <f>PMtbl[[#This Row],[Category]]&amp;PMtbl[[#This Row],[Each]]&amp;PMtbl[[#This Row],[Packaging]]</f>
        <v>COVID Molecular Test EquipmentThermocycler, incl. RT-PCR analyserApplied Biosystems 7500 Fast Dx Real Time PCR Systems</v>
      </c>
      <c r="K19">
        <v>0</v>
      </c>
      <c r="L19" s="236">
        <v>6.6</v>
      </c>
      <c r="M19" s="234" t="s">
        <v>183</v>
      </c>
      <c r="N19" s="236"/>
      <c r="O19" s="825" t="s">
        <v>12</v>
      </c>
      <c r="P19" s="825"/>
      <c r="R19" s="220" t="str">
        <f>INDEX(PMtbl[Component],MATCH(U19,PMtbl[Category],0),)</f>
        <v>C19RM 2021</v>
      </c>
      <c r="S19" s="220" t="str">
        <f>INDEX(PMtbl[WKst],MATCH(U19,PMtbl[Category],0),)</f>
        <v>C19RM 2021-Lab &amp; Other HPS</v>
      </c>
      <c r="T19" s="220">
        <f>INDEX(PMtbl[Sec],MATCH(U19,PMtbl[Category],0),)</f>
        <v>5</v>
      </c>
      <c r="U19" s="241" t="str" cm="1">
        <f t="array" ref="U19">INDEX(PMtbl[Category],MATCH(0,INDEX(COUNTIF($U$2:U18,PMtbl[Category]),),0))</f>
        <v>Waste management for C19RM</v>
      </c>
      <c r="X19" s="90" t="s">
        <v>2750</v>
      </c>
      <c r="Y19" s="90">
        <v>1</v>
      </c>
      <c r="Z19" s="90" t="s">
        <v>2756</v>
      </c>
      <c r="AA19" s="90" t="s">
        <v>2804</v>
      </c>
      <c r="AB19"/>
      <c r="AC19" s="243"/>
      <c r="AD19" s="243"/>
      <c r="AE19" s="243"/>
      <c r="AF19" s="243"/>
    </row>
    <row r="20" spans="1:32" x14ac:dyDescent="0.35">
      <c r="A20" s="825" t="s">
        <v>2749</v>
      </c>
      <c r="B20" s="825" t="s">
        <v>2750</v>
      </c>
      <c r="C20" s="825">
        <v>1</v>
      </c>
      <c r="D20" s="825" t="s">
        <v>13</v>
      </c>
      <c r="E20" s="825" t="s">
        <v>2753</v>
      </c>
      <c r="F20" s="220">
        <v>18</v>
      </c>
      <c r="G20" s="825" t="s">
        <v>1923</v>
      </c>
      <c r="H20" s="825" t="s">
        <v>1921</v>
      </c>
      <c r="I20" s="220" t="s">
        <v>82</v>
      </c>
      <c r="J20" s="220" t="str">
        <f>PMtbl[[#This Row],[Category]]&amp;PMtbl[[#This Row],[Each]]&amp;PMtbl[[#This Row],[Packaging]]</f>
        <v>COVID Molecular Test EquipmentThermocycler, incl. RT-PCR analyserApplied Biosystems 7500 Fast Real Time PCR Systems</v>
      </c>
      <c r="K20">
        <v>0</v>
      </c>
      <c r="L20" s="236">
        <v>6.6</v>
      </c>
      <c r="M20" s="234" t="s">
        <v>183</v>
      </c>
      <c r="N20" s="236"/>
      <c r="O20" s="825" t="s">
        <v>12</v>
      </c>
      <c r="P20" s="825"/>
      <c r="R20" s="220" t="str">
        <f>INDEX(PMtbl[Component],MATCH(U20,PMtbl[Category],0),)</f>
        <v>C19RM 2021</v>
      </c>
      <c r="S20" s="220" t="str">
        <f>INDEX(PMtbl[WKst],MATCH(U20,PMtbl[Category],0),)</f>
        <v>C19RM 2021-Lab &amp; Other HPS</v>
      </c>
      <c r="T20" s="220">
        <f>INDEX(PMtbl[Sec],MATCH(U20,PMtbl[Category],0),)</f>
        <v>6</v>
      </c>
      <c r="U20" s="241" t="str" cm="1">
        <f t="array" ref="U20">INDEX(PMtbl[Category],MATCH(0,INDEX(COUNTIF($U$2:U19,PMtbl[Category]),),0))</f>
        <v>COVID Tests / Antibody Rapid Diagnostic Test Ab-RDT</v>
      </c>
      <c r="X20" s="90" t="s">
        <v>2750</v>
      </c>
      <c r="Y20" s="90">
        <v>2</v>
      </c>
      <c r="Z20" s="90" t="s">
        <v>2758</v>
      </c>
      <c r="AA20" s="90" t="s">
        <v>2832</v>
      </c>
      <c r="AB20"/>
      <c r="AC20" s="243"/>
      <c r="AD20" s="243"/>
      <c r="AE20" s="243"/>
      <c r="AF20" s="243"/>
    </row>
    <row r="21" spans="1:32" x14ac:dyDescent="0.35">
      <c r="A21" s="825" t="s">
        <v>2749</v>
      </c>
      <c r="B21" s="825" t="s">
        <v>2750</v>
      </c>
      <c r="C21" s="825">
        <v>1</v>
      </c>
      <c r="D21" s="825" t="s">
        <v>13</v>
      </c>
      <c r="E21" s="825" t="s">
        <v>2753</v>
      </c>
      <c r="F21" s="220">
        <v>19</v>
      </c>
      <c r="G21" s="825" t="s">
        <v>1923</v>
      </c>
      <c r="H21" s="825" t="s">
        <v>2783</v>
      </c>
      <c r="I21" s="220" t="s">
        <v>82</v>
      </c>
      <c r="J21" s="220" t="str">
        <f>PMtbl[[#This Row],[Category]]&amp;PMtbl[[#This Row],[Each]]&amp;PMtbl[[#This Row],[Packaging]]</f>
        <v>COVID Molecular Test EquipmentThermocycler, incl. RT-PCR analyserApplied Biosystems™ 7500 Real-Time PCR Instrument</v>
      </c>
      <c r="K21">
        <v>0</v>
      </c>
      <c r="L21" s="236">
        <v>6.6</v>
      </c>
      <c r="M21" s="234" t="s">
        <v>183</v>
      </c>
      <c r="N21" s="236"/>
      <c r="O21" s="825" t="s">
        <v>12</v>
      </c>
      <c r="P21" s="825"/>
      <c r="R21" s="220" t="str">
        <f>INDEX(PMtbl[Component],MATCH(U21,PMtbl[Category],0),)</f>
        <v>C19RM 2021</v>
      </c>
      <c r="S21" s="220" t="str">
        <f>INDEX(PMtbl[WKst],MATCH(U21,PMtbl[Category],0),)</f>
        <v>C19RM 2021-Lab &amp; Other HPS</v>
      </c>
      <c r="T21" s="220">
        <f>INDEX(PMtbl[Sec],MATCH(U21,PMtbl[Category],0),)</f>
        <v>6</v>
      </c>
      <c r="U21" s="241" t="str" cm="1">
        <f t="array" ref="U21">INDEX(PMtbl[Category],MATCH(0,INDEX(COUNTIF($U$2:U20,PMtbl[Category]),),0))</f>
        <v>Genomic surveillance / sequencing</v>
      </c>
      <c r="X21" s="90" t="s">
        <v>2750</v>
      </c>
      <c r="Y21" s="90">
        <v>2</v>
      </c>
      <c r="Z21" s="90" t="s">
        <v>2758</v>
      </c>
      <c r="AA21" s="90" t="s">
        <v>2835</v>
      </c>
      <c r="AB21"/>
      <c r="AC21" s="243"/>
      <c r="AD21" s="243"/>
      <c r="AE21" s="243"/>
      <c r="AF21" s="243"/>
    </row>
    <row r="22" spans="1:32" x14ac:dyDescent="0.35">
      <c r="A22" s="825" t="s">
        <v>2749</v>
      </c>
      <c r="B22" s="825" t="s">
        <v>2750</v>
      </c>
      <c r="C22" s="825">
        <v>1</v>
      </c>
      <c r="D22" s="825" t="s">
        <v>13</v>
      </c>
      <c r="E22" s="825" t="s">
        <v>2753</v>
      </c>
      <c r="F22" s="220">
        <v>20</v>
      </c>
      <c r="G22" s="825" t="s">
        <v>1923</v>
      </c>
      <c r="H22" s="825" t="s">
        <v>2784</v>
      </c>
      <c r="I22" s="220" t="s">
        <v>82</v>
      </c>
      <c r="J22" s="220" t="str">
        <f>PMtbl[[#This Row],[Category]]&amp;PMtbl[[#This Row],[Each]]&amp;PMtbl[[#This Row],[Packaging]]</f>
        <v>COVID Molecular Test EquipmentThermocycler, incl. RT-PCR analyserBioRad CFX96 PCR system</v>
      </c>
      <c r="K22">
        <v>0</v>
      </c>
      <c r="L22" s="236">
        <v>6.6</v>
      </c>
      <c r="M22" s="234" t="s">
        <v>183</v>
      </c>
      <c r="N22" s="236"/>
      <c r="O22" s="825" t="s">
        <v>12</v>
      </c>
      <c r="P22" s="825"/>
      <c r="R22" s="220" t="str">
        <f>INDEX(PMtbl[Component],MATCH(U22,PMtbl[Category],0),)</f>
        <v>C19RM 2021</v>
      </c>
      <c r="S22" s="220" t="str">
        <f>INDEX(PMtbl[WKst],MATCH(U22,PMtbl[Category],0),)</f>
        <v>C19RM 2021-Pharma</v>
      </c>
      <c r="T22" s="220">
        <f>INDEX(PMtbl[Sec],MATCH(U22,PMtbl[Category],0),)</f>
        <v>1</v>
      </c>
      <c r="U22" s="241" t="str" cm="1">
        <f t="array" ref="U22">INDEX(PMtbl[Category],MATCH(0,INDEX(COUNTIF($U$2:U21,PMtbl[Category]),),0))</f>
        <v>COVID Existing/Repurposed Medicines</v>
      </c>
      <c r="X22" s="90" t="s">
        <v>2750</v>
      </c>
      <c r="Y22" s="90">
        <v>2</v>
      </c>
      <c r="Z22" s="90" t="s">
        <v>2758</v>
      </c>
      <c r="AA22" s="90" t="s">
        <v>2837</v>
      </c>
      <c r="AB22"/>
      <c r="AC22" s="243"/>
      <c r="AD22" s="243"/>
      <c r="AE22" s="243"/>
      <c r="AF22" s="243"/>
    </row>
    <row r="23" spans="1:32" x14ac:dyDescent="0.35">
      <c r="A23" s="825" t="s">
        <v>2749</v>
      </c>
      <c r="B23" s="825" t="s">
        <v>2750</v>
      </c>
      <c r="C23" s="825">
        <v>1</v>
      </c>
      <c r="D23" s="825" t="s">
        <v>13</v>
      </c>
      <c r="E23" s="825" t="s">
        <v>2753</v>
      </c>
      <c r="F23" s="220">
        <v>21</v>
      </c>
      <c r="G23" s="825" t="s">
        <v>1923</v>
      </c>
      <c r="H23" s="825" t="s">
        <v>2785</v>
      </c>
      <c r="I23" s="220" t="s">
        <v>82</v>
      </c>
      <c r="J23" s="220" t="str">
        <f>PMtbl[[#This Row],[Category]]&amp;PMtbl[[#This Row],[Each]]&amp;PMtbl[[#This Row],[Packaging]]</f>
        <v>COVID Molecular Test EquipmentThermocycler, incl. RT-PCR analyserQiagen Rotor-Gene 5 Plex PCR system</v>
      </c>
      <c r="K23">
        <v>0</v>
      </c>
      <c r="L23" s="236">
        <v>6.6</v>
      </c>
      <c r="M23" s="234" t="s">
        <v>183</v>
      </c>
      <c r="N23" s="236"/>
      <c r="O23" s="825" t="s">
        <v>12</v>
      </c>
      <c r="P23" s="825"/>
      <c r="R23" s="220" t="str">
        <f>INDEX(PMtbl[Component],MATCH(U23,PMtbl[Category],0),)</f>
        <v>C19RM 2021</v>
      </c>
      <c r="S23" s="220" t="str">
        <f>INDEX(PMtbl[WKst],MATCH(U23,PMtbl[Category],0),)</f>
        <v>C19RM 2021-Pharma</v>
      </c>
      <c r="T23" s="220">
        <f>INDEX(PMtbl[Sec],MATCH(U23,PMtbl[Category],0),)</f>
        <v>1</v>
      </c>
      <c r="U23" s="241" t="str" cm="1">
        <f t="array" ref="U23">INDEX(PMtbl[Category],MATCH(0,INDEX(COUNTIF($U$2:U22,PMtbl[Category]),),0))</f>
        <v>COVID Novel Medicines</v>
      </c>
      <c r="X23" s="90" t="s">
        <v>2750</v>
      </c>
      <c r="Y23" s="90">
        <v>2</v>
      </c>
      <c r="Z23" s="90" t="s">
        <v>2758</v>
      </c>
      <c r="AA23" s="90" t="s">
        <v>2839</v>
      </c>
      <c r="AB23"/>
      <c r="AC23" s="243"/>
      <c r="AD23" s="243"/>
      <c r="AE23" s="243"/>
      <c r="AF23" s="243"/>
    </row>
    <row r="24" spans="1:32" x14ac:dyDescent="0.35">
      <c r="A24" s="825" t="s">
        <v>2749</v>
      </c>
      <c r="B24" s="825" t="s">
        <v>2750</v>
      </c>
      <c r="C24" s="825">
        <v>1</v>
      </c>
      <c r="D24" s="825" t="s">
        <v>13</v>
      </c>
      <c r="E24" s="825" t="s">
        <v>2753</v>
      </c>
      <c r="F24" s="220">
        <v>22</v>
      </c>
      <c r="G24" s="825" t="s">
        <v>1923</v>
      </c>
      <c r="H24" s="825" t="s">
        <v>2786</v>
      </c>
      <c r="I24" s="220" t="s">
        <v>82</v>
      </c>
      <c r="J24" s="220" t="str">
        <f>PMtbl[[#This Row],[Category]]&amp;PMtbl[[#This Row],[Each]]&amp;PMtbl[[#This Row],[Packaging]]</f>
        <v>COVID Molecular Test EquipmentThermocycler, incl. RT-PCR analyserQuantStudio™ 5 Real-Time PCR System, 384-well</v>
      </c>
      <c r="K24">
        <v>0</v>
      </c>
      <c r="L24" s="236">
        <v>5.8</v>
      </c>
      <c r="M24" s="234" t="s">
        <v>181</v>
      </c>
      <c r="N24" s="236"/>
      <c r="O24" s="825" t="s">
        <v>14</v>
      </c>
      <c r="P24" s="825"/>
      <c r="R24" s="220" t="str">
        <f>INDEX(PMtbl[Component],MATCH(U24,PMtbl[Category],0),)</f>
        <v>C19RM 2021</v>
      </c>
      <c r="S24" s="220" t="str">
        <f>INDEX(PMtbl[WKst],MATCH(U24,PMtbl[Category],0),)</f>
        <v>C19RM 2021-Pharma</v>
      </c>
      <c r="T24" s="220">
        <f>INDEX(PMtbl[Sec],MATCH(U24,PMtbl[Category],0),)</f>
        <v>1</v>
      </c>
      <c r="U24" s="241" t="str" cm="1">
        <f t="array" ref="U24">INDEX(PMtbl[Category],MATCH(0,INDEX(COUNTIF($U$2:U23,PMtbl[Category]),),0))</f>
        <v>COVID Other Medicines</v>
      </c>
      <c r="X24" s="90" t="s">
        <v>2750</v>
      </c>
      <c r="Y24" s="90">
        <v>2</v>
      </c>
      <c r="Z24" s="90" t="s">
        <v>2758</v>
      </c>
      <c r="AA24" s="90" t="s">
        <v>2842</v>
      </c>
      <c r="AB24"/>
      <c r="AC24" s="243"/>
      <c r="AD24" s="243"/>
      <c r="AE24" s="243"/>
      <c r="AF24" s="243"/>
    </row>
    <row r="25" spans="1:32" x14ac:dyDescent="0.35">
      <c r="A25" s="825" t="s">
        <v>2749</v>
      </c>
      <c r="B25" s="825" t="s">
        <v>2750</v>
      </c>
      <c r="C25" s="825">
        <v>1</v>
      </c>
      <c r="D25" s="825" t="s">
        <v>13</v>
      </c>
      <c r="E25" s="825" t="s">
        <v>2753</v>
      </c>
      <c r="F25" s="220">
        <v>23</v>
      </c>
      <c r="G25" s="825" t="s">
        <v>1923</v>
      </c>
      <c r="H25" s="825" t="s">
        <v>2787</v>
      </c>
      <c r="I25" s="220" t="s">
        <v>82</v>
      </c>
      <c r="J25" s="220" t="str">
        <f>PMtbl[[#This Row],[Category]]&amp;PMtbl[[#This Row],[Each]]&amp;PMtbl[[#This Row],[Packaging]]</f>
        <v>COVID Molecular Test EquipmentThermocycler, incl. RT-PCR analyserQuantStudio™ 5 Real-Time PCR System, 96-well, 0.1 mL</v>
      </c>
      <c r="K25">
        <v>0</v>
      </c>
      <c r="L25" s="236">
        <v>5.8</v>
      </c>
      <c r="M25" s="234" t="s">
        <v>181</v>
      </c>
      <c r="N25" s="236"/>
      <c r="O25" s="825" t="s">
        <v>14</v>
      </c>
      <c r="P25" s="825"/>
      <c r="R25" s="220" t="e">
        <f>INDEX(PMtbl[Component],MATCH(U25,PMtbl[Category],0),)</f>
        <v>#N/A</v>
      </c>
      <c r="S25" s="220" t="e">
        <f>INDEX(PMtbl[WKst],MATCH(U25,PMtbl[Category],0),)</f>
        <v>#N/A</v>
      </c>
      <c r="T25" s="220" t="e">
        <f>INDEX(PMtbl[Sec],MATCH(U25,PMtbl[Category],0),)</f>
        <v>#N/A</v>
      </c>
      <c r="U25" s="241" t="e" cm="1">
        <f t="array" ref="U25">INDEX(PMtbl[Category],MATCH(0,INDEX(COUNTIF($U$2:U24,PMtbl[Category]),),0))</f>
        <v>#N/A</v>
      </c>
      <c r="X25" s="90" t="s">
        <v>2750</v>
      </c>
      <c r="Y25" s="90">
        <v>2</v>
      </c>
      <c r="Z25" s="90" t="s">
        <v>2758</v>
      </c>
      <c r="AA25" s="90" t="s">
        <v>2844</v>
      </c>
      <c r="AB25"/>
      <c r="AC25" s="243"/>
      <c r="AD25" s="243"/>
      <c r="AE25" s="243"/>
      <c r="AF25" s="243"/>
    </row>
    <row r="26" spans="1:32" x14ac:dyDescent="0.35">
      <c r="A26" s="825" t="s">
        <v>2749</v>
      </c>
      <c r="B26" s="825" t="s">
        <v>2750</v>
      </c>
      <c r="C26" s="825">
        <v>1</v>
      </c>
      <c r="D26" s="825" t="s">
        <v>13</v>
      </c>
      <c r="E26" s="825" t="s">
        <v>2753</v>
      </c>
      <c r="F26" s="220">
        <v>24</v>
      </c>
      <c r="G26" s="825" t="s">
        <v>1923</v>
      </c>
      <c r="H26" s="825" t="s">
        <v>2788</v>
      </c>
      <c r="I26" s="220" t="s">
        <v>82</v>
      </c>
      <c r="J26" s="220" t="str">
        <f>PMtbl[[#This Row],[Category]]&amp;PMtbl[[#This Row],[Each]]&amp;PMtbl[[#This Row],[Packaging]]</f>
        <v>COVID Molecular Test EquipmentThermocycler, incl. RT-PCR analyserQuantStudio™ 5 Real-Time PCR System, 96-well, 0.2 mL</v>
      </c>
      <c r="K26">
        <v>0</v>
      </c>
      <c r="L26" s="236">
        <v>5.8</v>
      </c>
      <c r="M26" s="234" t="s">
        <v>181</v>
      </c>
      <c r="N26" s="236"/>
      <c r="O26" s="825" t="s">
        <v>14</v>
      </c>
      <c r="P26" s="825"/>
      <c r="R26" s="220" t="e">
        <f>INDEX(PMtbl[Component],MATCH(U26,PMtbl[Category],0),)</f>
        <v>#N/A</v>
      </c>
      <c r="S26" s="220" t="e">
        <f>INDEX(PMtbl[WKst],MATCH(U26,PMtbl[Category],0),)</f>
        <v>#N/A</v>
      </c>
      <c r="T26" s="220" t="e">
        <f>INDEX(PMtbl[Sec],MATCH(U26,PMtbl[Category],0),)</f>
        <v>#N/A</v>
      </c>
      <c r="U26" s="241" t="e" cm="1">
        <f t="array" ref="U26">INDEX(PMtbl[Category],MATCH(0,INDEX(COUNTIF($U$2:U25,PMtbl[Category]),),0))</f>
        <v>#N/A</v>
      </c>
      <c r="X26" s="90" t="s">
        <v>2750</v>
      </c>
      <c r="Y26" s="90">
        <v>2</v>
      </c>
      <c r="Z26" s="90" t="s">
        <v>2758</v>
      </c>
      <c r="AA26" s="90" t="s">
        <v>2848</v>
      </c>
      <c r="AB26"/>
      <c r="AC26" s="243"/>
      <c r="AD26" s="243"/>
      <c r="AE26" s="243"/>
      <c r="AF26" s="243"/>
    </row>
    <row r="27" spans="1:32" x14ac:dyDescent="0.35">
      <c r="A27" s="825" t="s">
        <v>2749</v>
      </c>
      <c r="B27" s="825" t="s">
        <v>2750</v>
      </c>
      <c r="C27" s="825">
        <v>1</v>
      </c>
      <c r="D27" s="825" t="s">
        <v>13</v>
      </c>
      <c r="E27" s="825" t="s">
        <v>2753</v>
      </c>
      <c r="F27" s="220">
        <v>25</v>
      </c>
      <c r="G27" s="825" t="s">
        <v>1923</v>
      </c>
      <c r="H27" s="825" t="s">
        <v>2789</v>
      </c>
      <c r="I27" s="220" t="s">
        <v>82</v>
      </c>
      <c r="J27" s="220" t="str">
        <f>PMtbl[[#This Row],[Category]]&amp;PMtbl[[#This Row],[Each]]&amp;PMtbl[[#This Row],[Packaging]]</f>
        <v>COVID Molecular Test EquipmentThermocycler, incl. RT-PCR analyserRoche LightCycler 480 PCR system</v>
      </c>
      <c r="K27">
        <v>0</v>
      </c>
      <c r="L27" s="236">
        <v>6.6</v>
      </c>
      <c r="M27" s="234" t="s">
        <v>183</v>
      </c>
      <c r="N27" s="236"/>
      <c r="O27" s="825" t="s">
        <v>12</v>
      </c>
      <c r="P27" s="825"/>
      <c r="R27" s="220" t="e">
        <f>INDEX(PMtbl[Component],MATCH(U27,PMtbl[Category],0),)</f>
        <v>#N/A</v>
      </c>
      <c r="S27" s="220" t="e">
        <f>INDEX(PMtbl[WKst],MATCH(U27,PMtbl[Category],0),)</f>
        <v>#N/A</v>
      </c>
      <c r="T27" s="220" t="e">
        <f>INDEX(PMtbl[Sec],MATCH(U27,PMtbl[Category],0),)</f>
        <v>#N/A</v>
      </c>
      <c r="U27" s="241" t="e" cm="1">
        <f t="array" ref="U27">INDEX(PMtbl[Category],MATCH(0,INDEX(COUNTIF($U$2:U26,PMtbl[Category]),),0))</f>
        <v>#N/A</v>
      </c>
      <c r="X27" s="90" t="s">
        <v>2750</v>
      </c>
      <c r="Y27" s="90">
        <v>2</v>
      </c>
      <c r="Z27" s="90" t="s">
        <v>2758</v>
      </c>
      <c r="AA27" s="90" t="s">
        <v>2852</v>
      </c>
      <c r="AB27"/>
      <c r="AC27" s="243"/>
      <c r="AD27" s="243"/>
      <c r="AE27" s="243"/>
      <c r="AF27" s="243"/>
    </row>
    <row r="28" spans="1:32" x14ac:dyDescent="0.35">
      <c r="A28" s="825" t="s">
        <v>2749</v>
      </c>
      <c r="B28" s="825" t="s">
        <v>2750</v>
      </c>
      <c r="C28" s="825">
        <v>1</v>
      </c>
      <c r="D28" s="825" t="s">
        <v>13</v>
      </c>
      <c r="E28" s="825" t="s">
        <v>2753</v>
      </c>
      <c r="F28" s="220">
        <v>26</v>
      </c>
      <c r="G28" s="825" t="s">
        <v>1923</v>
      </c>
      <c r="H28" s="825" t="s">
        <v>2790</v>
      </c>
      <c r="I28" s="220" t="s">
        <v>82</v>
      </c>
      <c r="J28" s="220" t="str">
        <f>PMtbl[[#This Row],[Category]]&amp;PMtbl[[#This Row],[Each]]&amp;PMtbl[[#This Row],[Packaging]]</f>
        <v>COVID Molecular Test EquipmentThermocycler, incl. RT-PCR analyserSLAN-96P PCR system</v>
      </c>
      <c r="K28">
        <v>0</v>
      </c>
      <c r="L28" s="236">
        <v>6.6</v>
      </c>
      <c r="M28" s="234" t="s">
        <v>183</v>
      </c>
      <c r="N28" s="236"/>
      <c r="O28" s="825" t="s">
        <v>12</v>
      </c>
      <c r="P28" s="825"/>
      <c r="R28" s="220" t="e">
        <f>INDEX(PMtbl[Component],MATCH(U28,PMtbl[Category],0),)</f>
        <v>#N/A</v>
      </c>
      <c r="S28" s="220" t="e">
        <f>INDEX(PMtbl[WKst],MATCH(U28,PMtbl[Category],0),)</f>
        <v>#N/A</v>
      </c>
      <c r="T28" s="220" t="e">
        <f>INDEX(PMtbl[Sec],MATCH(U28,PMtbl[Category],0),)</f>
        <v>#N/A</v>
      </c>
      <c r="U28" s="241" t="e" cm="1">
        <f t="array" ref="U28">INDEX(PMtbl[Category],MATCH(0,INDEX(COUNTIF($U$2:U27,PMtbl[Category]),),0))</f>
        <v>#N/A</v>
      </c>
      <c r="X28" s="90" t="s">
        <v>2750</v>
      </c>
      <c r="Y28" s="90">
        <v>2</v>
      </c>
      <c r="Z28" s="90" t="s">
        <v>2758</v>
      </c>
      <c r="AA28" s="90" t="s">
        <v>1911</v>
      </c>
      <c r="AB28"/>
      <c r="AC28" s="243"/>
      <c r="AD28" s="243"/>
      <c r="AE28" s="243"/>
      <c r="AF28" s="243"/>
    </row>
    <row r="29" spans="1:32" x14ac:dyDescent="0.35">
      <c r="A29" s="825" t="s">
        <v>2749</v>
      </c>
      <c r="B29" s="825" t="s">
        <v>2750</v>
      </c>
      <c r="C29" s="825">
        <v>1</v>
      </c>
      <c r="D29" s="825" t="s">
        <v>13</v>
      </c>
      <c r="E29" s="825" t="s">
        <v>2753</v>
      </c>
      <c r="F29" s="220">
        <v>27</v>
      </c>
      <c r="G29" s="825" t="s">
        <v>2791</v>
      </c>
      <c r="H29" s="825" t="s">
        <v>1987</v>
      </c>
      <c r="I29" s="220" t="s">
        <v>82</v>
      </c>
      <c r="J29" s="220" t="str">
        <f>PMtbl[[#This Row],[Category]]&amp;PMtbl[[#This Row],[Each]]&amp;PMtbl[[#This Row],[Packaging]]</f>
        <v>COVID Molecular Test EquipmentThermocycler, incl. RT-PCR analyser - OtherEquipment</v>
      </c>
      <c r="K29">
        <v>0</v>
      </c>
      <c r="L29" s="236">
        <v>6.6</v>
      </c>
      <c r="M29" s="234" t="s">
        <v>183</v>
      </c>
      <c r="N29" s="236"/>
      <c r="O29" s="825" t="s">
        <v>12</v>
      </c>
      <c r="P29" s="825"/>
      <c r="R29" s="220" t="e">
        <f>INDEX(PMtbl[Component],MATCH(U29,PMtbl[Category],0),)</f>
        <v>#N/A</v>
      </c>
      <c r="S29" s="220" t="e">
        <f>INDEX(PMtbl[WKst],MATCH(U29,PMtbl[Category],0),)</f>
        <v>#N/A</v>
      </c>
      <c r="T29" s="220" t="e">
        <f>INDEX(PMtbl[Sec],MATCH(U29,PMtbl[Category],0),)</f>
        <v>#N/A</v>
      </c>
      <c r="U29" s="241" t="e" cm="1">
        <f t="array" ref="U29">INDEX(PMtbl[Category],MATCH(0,INDEX(COUNTIF($U$2:U28,PMtbl[Category]),),0))</f>
        <v>#N/A</v>
      </c>
      <c r="X29" s="90" t="s">
        <v>2750</v>
      </c>
      <c r="Y29" s="90">
        <v>2</v>
      </c>
      <c r="Z29" s="90" t="s">
        <v>2758</v>
      </c>
      <c r="AA29" s="90" t="s">
        <v>2855</v>
      </c>
      <c r="AB29"/>
      <c r="AC29" s="243"/>
      <c r="AD29" s="243"/>
      <c r="AE29" s="243"/>
      <c r="AF29" s="243"/>
    </row>
    <row r="30" spans="1:32" x14ac:dyDescent="0.35">
      <c r="A30" s="825" t="s">
        <v>2749</v>
      </c>
      <c r="B30" s="825" t="s">
        <v>2750</v>
      </c>
      <c r="C30" s="825">
        <v>1</v>
      </c>
      <c r="D30" s="825" t="s">
        <v>13</v>
      </c>
      <c r="E30" s="825" t="s">
        <v>2753</v>
      </c>
      <c r="F30" s="220">
        <v>28</v>
      </c>
      <c r="G30" s="825" t="s">
        <v>2791</v>
      </c>
      <c r="H30" s="825" t="s">
        <v>2777</v>
      </c>
      <c r="I30" s="220" t="s">
        <v>82</v>
      </c>
      <c r="J30" s="220" t="str">
        <f>PMtbl[[#This Row],[Category]]&amp;PMtbl[[#This Row],[Each]]&amp;PMtbl[[#This Row],[Packaging]]</f>
        <v>COVID Molecular Test EquipmentThermocycler, incl. RT-PCR analyser - OtherSpare parts and accessories</v>
      </c>
      <c r="K30">
        <v>0</v>
      </c>
      <c r="L30" s="236">
        <v>6.6</v>
      </c>
      <c r="M30" s="234" t="s">
        <v>183</v>
      </c>
      <c r="N30" s="236"/>
      <c r="O30" s="825" t="s">
        <v>12</v>
      </c>
      <c r="P30" s="825"/>
      <c r="R30" s="220" t="e">
        <f>INDEX(PMtbl[Component],MATCH(U30,PMtbl[Category],0),)</f>
        <v>#N/A</v>
      </c>
      <c r="S30" s="220" t="e">
        <f>INDEX(PMtbl[WKst],MATCH(U30,PMtbl[Category],0),)</f>
        <v>#N/A</v>
      </c>
      <c r="T30" s="220" t="e">
        <f>INDEX(PMtbl[Sec],MATCH(U30,PMtbl[Category],0),)</f>
        <v>#N/A</v>
      </c>
      <c r="U30" s="241" t="e" cm="1">
        <f t="array" ref="U30">INDEX(PMtbl[Category],MATCH(0,INDEX(COUNTIF($U$2:U29,PMtbl[Category]),),0))</f>
        <v>#N/A</v>
      </c>
      <c r="X30" s="90" t="s">
        <v>2750</v>
      </c>
      <c r="Y30" s="90">
        <v>2</v>
      </c>
      <c r="Z30" s="90" t="s">
        <v>2758</v>
      </c>
      <c r="AA30" s="90" t="s">
        <v>2858</v>
      </c>
      <c r="AB30"/>
      <c r="AC30" s="243"/>
      <c r="AD30" s="243"/>
      <c r="AE30" s="243"/>
      <c r="AF30" s="243"/>
    </row>
    <row r="31" spans="1:32" x14ac:dyDescent="0.35">
      <c r="A31" s="825" t="s">
        <v>2749</v>
      </c>
      <c r="B31" s="825" t="s">
        <v>2750</v>
      </c>
      <c r="C31" s="825">
        <v>1</v>
      </c>
      <c r="D31" s="825" t="s">
        <v>13</v>
      </c>
      <c r="E31" s="825" t="s">
        <v>2753</v>
      </c>
      <c r="F31" s="220">
        <v>29</v>
      </c>
      <c r="G31" s="825" t="s">
        <v>2791</v>
      </c>
      <c r="H31" s="825" t="s">
        <v>2778</v>
      </c>
      <c r="I31" s="220" t="s">
        <v>82</v>
      </c>
      <c r="J31" s="220" t="str">
        <f>PMtbl[[#This Row],[Category]]&amp;PMtbl[[#This Row],[Each]]&amp;PMtbl[[#This Row],[Packaging]]</f>
        <v>COVID Molecular Test EquipmentThermocycler, incl. RT-PCR analyser - OtherWarranty, maintenance and service</v>
      </c>
      <c r="K31">
        <v>0</v>
      </c>
      <c r="L31" s="236">
        <v>6.5</v>
      </c>
      <c r="M31" s="234" t="s">
        <v>182</v>
      </c>
      <c r="N31" s="236"/>
      <c r="O31" s="825" t="s">
        <v>12</v>
      </c>
      <c r="P31" s="825"/>
      <c r="R31" s="220" t="e">
        <f>INDEX(PMtbl[Component],MATCH(U31,PMtbl[Category],0),)</f>
        <v>#N/A</v>
      </c>
      <c r="S31" s="220" t="e">
        <f>INDEX(PMtbl[WKst],MATCH(U31,PMtbl[Category],0),)</f>
        <v>#N/A</v>
      </c>
      <c r="T31" s="220" t="e">
        <f>INDEX(PMtbl[Sec],MATCH(U31,PMtbl[Category],0),)</f>
        <v>#N/A</v>
      </c>
      <c r="U31" s="241" t="e" cm="1">
        <f t="array" ref="U31">INDEX(PMtbl[Category],MATCH(0,INDEX(COUNTIF($U$2:U30,PMtbl[Category]),),0))</f>
        <v>#N/A</v>
      </c>
      <c r="X31" s="90" t="s">
        <v>2750</v>
      </c>
      <c r="Y31" s="90">
        <v>2</v>
      </c>
      <c r="Z31" s="90" t="s">
        <v>2758</v>
      </c>
      <c r="AA31" s="90" t="s">
        <v>2860</v>
      </c>
      <c r="AB31"/>
      <c r="AC31" s="243"/>
      <c r="AD31" s="243"/>
      <c r="AE31" s="243"/>
      <c r="AF31" s="243"/>
    </row>
    <row r="32" spans="1:32" x14ac:dyDescent="0.35">
      <c r="A32" s="825" t="s">
        <v>2749</v>
      </c>
      <c r="B32" s="825" t="s">
        <v>2750</v>
      </c>
      <c r="C32" s="825">
        <v>1</v>
      </c>
      <c r="D32" s="825" t="s">
        <v>13</v>
      </c>
      <c r="E32" s="825" t="s">
        <v>2753</v>
      </c>
      <c r="F32" s="220">
        <v>30</v>
      </c>
      <c r="G32" s="825" t="s">
        <v>2792</v>
      </c>
      <c r="H32" s="825" t="s">
        <v>2777</v>
      </c>
      <c r="I32" s="220" t="s">
        <v>82</v>
      </c>
      <c r="J32" s="220" t="str">
        <f>PMtbl[[#This Row],[Category]]&amp;PMtbl[[#This Row],[Each]]&amp;PMtbl[[#This Row],[Packaging]]</f>
        <v>COVID Molecular Test EquipmentUV crosslinkerSpare parts and accessories</v>
      </c>
      <c r="K32">
        <v>0</v>
      </c>
      <c r="L32" s="236">
        <v>6.6</v>
      </c>
      <c r="M32" s="234" t="s">
        <v>183</v>
      </c>
      <c r="N32" s="236"/>
      <c r="O32" s="825" t="s">
        <v>12</v>
      </c>
      <c r="P32" s="825"/>
      <c r="R32" s="220" t="e">
        <f>INDEX(PMtbl[Component],MATCH(U32,PMtbl[Category],0),)</f>
        <v>#N/A</v>
      </c>
      <c r="S32" s="220" t="e">
        <f>INDEX(PMtbl[WKst],MATCH(U32,PMtbl[Category],0),)</f>
        <v>#N/A</v>
      </c>
      <c r="T32" s="220" t="e">
        <f>INDEX(PMtbl[Sec],MATCH(U32,PMtbl[Category],0),)</f>
        <v>#N/A</v>
      </c>
      <c r="U32" s="241" t="e" cm="1">
        <f t="array" ref="U32">INDEX(PMtbl[Category],MATCH(0,INDEX(COUNTIF($U$2:U31,PMtbl[Category]),),0))</f>
        <v>#N/A</v>
      </c>
      <c r="X32" s="90" t="s">
        <v>2750</v>
      </c>
      <c r="Y32" s="90">
        <v>2</v>
      </c>
      <c r="Z32" s="90" t="s">
        <v>2758</v>
      </c>
      <c r="AA32" s="90" t="s">
        <v>2862</v>
      </c>
      <c r="AB32"/>
      <c r="AC32" s="243"/>
      <c r="AD32" s="243"/>
      <c r="AE32" s="243"/>
      <c r="AF32" s="243"/>
    </row>
    <row r="33" spans="1:32" x14ac:dyDescent="0.35">
      <c r="A33" s="825" t="s">
        <v>2749</v>
      </c>
      <c r="B33" s="825" t="s">
        <v>2750</v>
      </c>
      <c r="C33" s="825">
        <v>1</v>
      </c>
      <c r="D33" s="825" t="s">
        <v>13</v>
      </c>
      <c r="E33" s="825" t="s">
        <v>2753</v>
      </c>
      <c r="F33" s="220">
        <v>31</v>
      </c>
      <c r="G33" s="825" t="s">
        <v>2793</v>
      </c>
      <c r="H33" s="825" t="s">
        <v>2777</v>
      </c>
      <c r="I33" s="220" t="s">
        <v>82</v>
      </c>
      <c r="J33" s="220" t="str">
        <f>PMtbl[[#This Row],[Category]]&amp;PMtbl[[#This Row],[Each]]&amp;PMtbl[[#This Row],[Packaging]]</f>
        <v>COVID Molecular Test EquipmentUV transilluminator 312nmSpare parts and accessories</v>
      </c>
      <c r="K33">
        <v>0</v>
      </c>
      <c r="L33" s="236">
        <v>6.6</v>
      </c>
      <c r="M33" s="234" t="s">
        <v>183</v>
      </c>
      <c r="N33" s="236"/>
      <c r="O33" s="825" t="s">
        <v>12</v>
      </c>
      <c r="P33" s="825"/>
      <c r="R33" s="220" t="e">
        <f>INDEX(PMtbl[Component],MATCH(U33,PMtbl[Category],0),)</f>
        <v>#N/A</v>
      </c>
      <c r="S33" s="220" t="e">
        <f>INDEX(PMtbl[WKst],MATCH(U33,PMtbl[Category],0),)</f>
        <v>#N/A</v>
      </c>
      <c r="T33" s="220" t="e">
        <f>INDEX(PMtbl[Sec],MATCH(U33,PMtbl[Category],0),)</f>
        <v>#N/A</v>
      </c>
      <c r="U33" s="241" t="e" cm="1">
        <f t="array" ref="U33">INDEX(PMtbl[Category],MATCH(0,INDEX(COUNTIF($U$2:U32,PMtbl[Category]),),0))</f>
        <v>#N/A</v>
      </c>
      <c r="X33" s="90" t="s">
        <v>2750</v>
      </c>
      <c r="Y33" s="90">
        <v>2</v>
      </c>
      <c r="Z33" s="90" t="s">
        <v>2758</v>
      </c>
      <c r="AA33" s="90" t="s">
        <v>18</v>
      </c>
      <c r="AB33"/>
      <c r="AC33" s="243"/>
      <c r="AD33" s="243"/>
      <c r="AE33" s="243"/>
      <c r="AF33" s="243"/>
    </row>
    <row r="34" spans="1:32" x14ac:dyDescent="0.35">
      <c r="A34" s="825" t="s">
        <v>2749</v>
      </c>
      <c r="B34" s="825" t="s">
        <v>2750</v>
      </c>
      <c r="C34" s="825">
        <v>1</v>
      </c>
      <c r="D34" s="825" t="s">
        <v>13</v>
      </c>
      <c r="E34" s="825" t="s">
        <v>2753</v>
      </c>
      <c r="F34" s="220">
        <v>32</v>
      </c>
      <c r="G34" s="825" t="s">
        <v>2794</v>
      </c>
      <c r="H34" s="825" t="s">
        <v>2777</v>
      </c>
      <c r="I34" s="220" t="s">
        <v>82</v>
      </c>
      <c r="J34" s="220" t="str">
        <f>PMtbl[[#This Row],[Category]]&amp;PMtbl[[#This Row],[Each]]&amp;PMtbl[[#This Row],[Packaging]]</f>
        <v>COVID Molecular Test EquipmentUV transilluminator 365nmSpare parts and accessories</v>
      </c>
      <c r="K34">
        <v>0</v>
      </c>
      <c r="L34" s="236">
        <v>6.6</v>
      </c>
      <c r="M34" s="234" t="s">
        <v>183</v>
      </c>
      <c r="N34" s="236"/>
      <c r="O34" s="825" t="s">
        <v>12</v>
      </c>
      <c r="P34" s="825"/>
      <c r="R34" s="220" t="e">
        <f>INDEX(PMtbl[Component],MATCH(U34,PMtbl[Category],0),)</f>
        <v>#N/A</v>
      </c>
      <c r="S34" s="220" t="e">
        <f>INDEX(PMtbl[WKst],MATCH(U34,PMtbl[Category],0),)</f>
        <v>#N/A</v>
      </c>
      <c r="T34" s="220" t="e">
        <f>INDEX(PMtbl[Sec],MATCH(U34,PMtbl[Category],0),)</f>
        <v>#N/A</v>
      </c>
      <c r="U34" s="241" t="e" cm="1">
        <f t="array" ref="U34">INDEX(PMtbl[Category],MATCH(0,INDEX(COUNTIF($U$2:U33,PMtbl[Category]),),0))</f>
        <v>#N/A</v>
      </c>
      <c r="X34" s="90" t="s">
        <v>2750</v>
      </c>
      <c r="Y34" s="90">
        <v>2</v>
      </c>
      <c r="Z34" s="90" t="s">
        <v>2758</v>
      </c>
      <c r="AA34" s="90" t="s">
        <v>2867</v>
      </c>
      <c r="AB34"/>
      <c r="AC34" s="243"/>
      <c r="AD34" s="243"/>
      <c r="AE34" s="243"/>
      <c r="AF34" s="243"/>
    </row>
    <row r="35" spans="1:32" x14ac:dyDescent="0.35">
      <c r="A35" s="825" t="s">
        <v>2749</v>
      </c>
      <c r="B35" s="825" t="s">
        <v>2750</v>
      </c>
      <c r="C35" s="825">
        <v>1</v>
      </c>
      <c r="D35" s="825" t="s">
        <v>13</v>
      </c>
      <c r="E35" s="825" t="s">
        <v>2754</v>
      </c>
      <c r="F35" s="220">
        <v>33</v>
      </c>
      <c r="G35" s="825" t="s">
        <v>2795</v>
      </c>
      <c r="H35" s="825" t="s">
        <v>2796</v>
      </c>
      <c r="I35" s="220" t="s">
        <v>82</v>
      </c>
      <c r="J35" s="220" t="str">
        <f>PMtbl[[#This Row],[Category]]&amp;PMtbl[[#This Row],[Each]]&amp;PMtbl[[#This Row],[Packaging]]</f>
        <v>GeneXpert - Equipment for C19RMGeneXpert: EquipmentGeneXpert 1-module Edge with tablet, barcode reader and auxiliary batteries</v>
      </c>
      <c r="K35">
        <v>0</v>
      </c>
      <c r="L35" s="236">
        <v>6.4</v>
      </c>
      <c r="M35" s="234" t="s">
        <v>3299</v>
      </c>
      <c r="N35" s="236"/>
      <c r="O35" s="825" t="s">
        <v>12</v>
      </c>
      <c r="P35" s="825"/>
      <c r="R35" s="220" t="e">
        <f>INDEX(PMtbl[Component],MATCH(U35,PMtbl[Category],0),)</f>
        <v>#N/A</v>
      </c>
      <c r="S35" s="220" t="e">
        <f>INDEX(PMtbl[WKst],MATCH(U35,PMtbl[Category],0),)</f>
        <v>#N/A</v>
      </c>
      <c r="T35" s="220" t="e">
        <f>INDEX(PMtbl[Sec],MATCH(U35,PMtbl[Category],0),)</f>
        <v>#N/A</v>
      </c>
      <c r="U35" s="241" t="e" cm="1">
        <f t="array" ref="U35">INDEX(PMtbl[Category],MATCH(0,INDEX(COUNTIF($U$2:U34,PMtbl[Category]),),0))</f>
        <v>#N/A</v>
      </c>
      <c r="X35" s="90" t="s">
        <v>2750</v>
      </c>
      <c r="Y35" s="90">
        <v>2</v>
      </c>
      <c r="Z35" s="90" t="s">
        <v>2758</v>
      </c>
      <c r="AA35" s="90" t="s">
        <v>2872</v>
      </c>
      <c r="AB35"/>
      <c r="AC35" s="243"/>
      <c r="AD35" s="243"/>
      <c r="AE35" s="243"/>
      <c r="AF35" s="243"/>
    </row>
    <row r="36" spans="1:32" x14ac:dyDescent="0.35">
      <c r="A36" s="825" t="s">
        <v>2749</v>
      </c>
      <c r="B36" s="825" t="s">
        <v>2750</v>
      </c>
      <c r="C36" s="825">
        <v>1</v>
      </c>
      <c r="D36" s="825" t="s">
        <v>13</v>
      </c>
      <c r="E36" s="825" t="s">
        <v>2754</v>
      </c>
      <c r="F36" s="220">
        <v>34</v>
      </c>
      <c r="G36" s="825" t="s">
        <v>2795</v>
      </c>
      <c r="H36" s="825" t="s">
        <v>2797</v>
      </c>
      <c r="I36" s="220" t="s">
        <v>82</v>
      </c>
      <c r="J36" s="220" t="str">
        <f>PMtbl[[#This Row],[Category]]&amp;PMtbl[[#This Row],[Each]]&amp;PMtbl[[#This Row],[Packaging]]</f>
        <v>GeneXpert - Equipment for C19RMGeneXpert: EquipmentGeneXpert IV-2 modules with desktop computer and barcode reader</v>
      </c>
      <c r="K36">
        <v>0</v>
      </c>
      <c r="L36" s="236">
        <v>6.4</v>
      </c>
      <c r="M36" s="234" t="s">
        <v>3299</v>
      </c>
      <c r="N36" s="236"/>
      <c r="O36" s="825" t="s">
        <v>12</v>
      </c>
      <c r="P36" s="825"/>
      <c r="R36" s="220" t="e">
        <f>INDEX(PMtbl[Component],MATCH(U36,PMtbl[Category],0),)</f>
        <v>#N/A</v>
      </c>
      <c r="S36" s="220" t="e">
        <f>INDEX(PMtbl[WKst],MATCH(U36,PMtbl[Category],0),)</f>
        <v>#N/A</v>
      </c>
      <c r="T36" s="220" t="e">
        <f>INDEX(PMtbl[Sec],MATCH(U36,PMtbl[Category],0),)</f>
        <v>#N/A</v>
      </c>
      <c r="U36" s="241" t="e" cm="1">
        <f t="array" ref="U36">INDEX(PMtbl[Category],MATCH(0,INDEX(COUNTIF($U$2:U35,PMtbl[Category]),),0))</f>
        <v>#N/A</v>
      </c>
      <c r="X36" s="90" t="s">
        <v>2750</v>
      </c>
      <c r="Y36" s="90">
        <v>2</v>
      </c>
      <c r="Z36" s="90" t="s">
        <v>2758</v>
      </c>
      <c r="AA36" s="90" t="s">
        <v>2879</v>
      </c>
      <c r="AB36"/>
      <c r="AC36" s="243"/>
      <c r="AD36" s="243"/>
      <c r="AE36" s="243"/>
      <c r="AF36" s="243"/>
    </row>
    <row r="37" spans="1:32" x14ac:dyDescent="0.35">
      <c r="A37" s="825" t="s">
        <v>2749</v>
      </c>
      <c r="B37" s="825" t="s">
        <v>2750</v>
      </c>
      <c r="C37" s="825">
        <v>1</v>
      </c>
      <c r="D37" s="825" t="s">
        <v>13</v>
      </c>
      <c r="E37" s="825" t="s">
        <v>2754</v>
      </c>
      <c r="F37" s="220">
        <v>35</v>
      </c>
      <c r="G37" s="825" t="s">
        <v>2795</v>
      </c>
      <c r="H37" s="825" t="s">
        <v>2798</v>
      </c>
      <c r="I37" s="220" t="s">
        <v>82</v>
      </c>
      <c r="J37" s="220" t="str">
        <f>PMtbl[[#This Row],[Category]]&amp;PMtbl[[#This Row],[Each]]&amp;PMtbl[[#This Row],[Packaging]]</f>
        <v>GeneXpert - Equipment for C19RMGeneXpert: EquipmentGeneXpert IV-2 modules with laptop computer and barcode reader</v>
      </c>
      <c r="K37">
        <v>0</v>
      </c>
      <c r="L37" s="236">
        <v>6.4</v>
      </c>
      <c r="M37" s="234" t="s">
        <v>3299</v>
      </c>
      <c r="N37" s="236"/>
      <c r="O37" s="825" t="s">
        <v>12</v>
      </c>
      <c r="P37" s="825"/>
      <c r="R37" s="220" t="e">
        <f>INDEX(PMtbl[Component],MATCH(U37,PMtbl[Category],0),)</f>
        <v>#N/A</v>
      </c>
      <c r="S37" s="220" t="e">
        <f>INDEX(PMtbl[WKst],MATCH(U37,PMtbl[Category],0),)</f>
        <v>#N/A</v>
      </c>
      <c r="T37" s="220" t="e">
        <f>INDEX(PMtbl[Sec],MATCH(U37,PMtbl[Category],0),)</f>
        <v>#N/A</v>
      </c>
      <c r="U37" s="241" t="e" cm="1">
        <f t="array" ref="U37">INDEX(PMtbl[Category],MATCH(0,INDEX(COUNTIF($U$2:U36,PMtbl[Category]),),0))</f>
        <v>#N/A</v>
      </c>
      <c r="X37" s="90" t="s">
        <v>2750</v>
      </c>
      <c r="Y37" s="90">
        <v>2</v>
      </c>
      <c r="Z37" s="90" t="s">
        <v>2758</v>
      </c>
      <c r="AA37" s="90" t="s">
        <v>2882</v>
      </c>
      <c r="AB37"/>
      <c r="AC37" s="243"/>
      <c r="AD37" s="243"/>
      <c r="AE37" s="243"/>
      <c r="AF37" s="243"/>
    </row>
    <row r="38" spans="1:32" x14ac:dyDescent="0.35">
      <c r="A38" s="825" t="s">
        <v>2749</v>
      </c>
      <c r="B38" s="825" t="s">
        <v>2750</v>
      </c>
      <c r="C38" s="825">
        <v>1</v>
      </c>
      <c r="D38" s="825" t="s">
        <v>13</v>
      </c>
      <c r="E38" s="825" t="s">
        <v>2754</v>
      </c>
      <c r="F38" s="220">
        <v>36</v>
      </c>
      <c r="G38" s="825" t="s">
        <v>2795</v>
      </c>
      <c r="H38" s="825" t="s">
        <v>2799</v>
      </c>
      <c r="I38" s="220" t="s">
        <v>82</v>
      </c>
      <c r="J38" s="220" t="str">
        <f>PMtbl[[#This Row],[Category]]&amp;PMtbl[[#This Row],[Each]]&amp;PMtbl[[#This Row],[Packaging]]</f>
        <v>GeneXpert - Equipment for C19RMGeneXpert: EquipmentGeneXpert IV-4 modules with desktop computer and barcode reader</v>
      </c>
      <c r="K38">
        <v>0</v>
      </c>
      <c r="L38" s="236">
        <v>6.4</v>
      </c>
      <c r="M38" s="234" t="s">
        <v>3299</v>
      </c>
      <c r="N38" s="236"/>
      <c r="O38" s="825" t="s">
        <v>12</v>
      </c>
      <c r="P38" s="825"/>
      <c r="R38" s="220" t="e">
        <f>INDEX(PMtbl[Component],MATCH(U38,PMtbl[Category],0),)</f>
        <v>#N/A</v>
      </c>
      <c r="S38" s="220" t="e">
        <f>INDEX(PMtbl[WKst],MATCH(U38,PMtbl[Category],0),)</f>
        <v>#N/A</v>
      </c>
      <c r="T38" s="220" t="e">
        <f>INDEX(PMtbl[Sec],MATCH(U38,PMtbl[Category],0),)</f>
        <v>#N/A</v>
      </c>
      <c r="U38" s="241" t="e" cm="1">
        <f t="array" ref="U38">INDEX(PMtbl[Category],MATCH(0,INDEX(COUNTIF($U$2:U37,PMtbl[Category]),),0))</f>
        <v>#N/A</v>
      </c>
      <c r="X38" s="90" t="s">
        <v>2750</v>
      </c>
      <c r="Y38" s="90">
        <v>2</v>
      </c>
      <c r="Z38" s="90" t="s">
        <v>2758</v>
      </c>
      <c r="AA38" s="90" t="s">
        <v>2884</v>
      </c>
      <c r="AB38"/>
      <c r="AC38" s="243"/>
      <c r="AD38" s="243"/>
      <c r="AE38" s="243"/>
      <c r="AF38" s="243"/>
    </row>
    <row r="39" spans="1:32" x14ac:dyDescent="0.35">
      <c r="A39" s="825" t="s">
        <v>2749</v>
      </c>
      <c r="B39" s="825" t="s">
        <v>2750</v>
      </c>
      <c r="C39" s="825">
        <v>1</v>
      </c>
      <c r="D39" s="825" t="s">
        <v>13</v>
      </c>
      <c r="E39" s="825" t="s">
        <v>2754</v>
      </c>
      <c r="F39" s="220">
        <v>37</v>
      </c>
      <c r="G39" s="825" t="s">
        <v>2795</v>
      </c>
      <c r="H39" s="825" t="s">
        <v>2800</v>
      </c>
      <c r="I39" s="220" t="s">
        <v>82</v>
      </c>
      <c r="J39" s="220" t="str">
        <f>PMtbl[[#This Row],[Category]]&amp;PMtbl[[#This Row],[Each]]&amp;PMtbl[[#This Row],[Packaging]]</f>
        <v>GeneXpert - Equipment for C19RMGeneXpert: EquipmentGeneXpert IV-4 modules with laptop computer and barcode reader</v>
      </c>
      <c r="K39">
        <v>0</v>
      </c>
      <c r="L39" s="236">
        <v>6.4</v>
      </c>
      <c r="M39" s="234" t="s">
        <v>3299</v>
      </c>
      <c r="N39" s="236"/>
      <c r="O39" s="825" t="s">
        <v>12</v>
      </c>
      <c r="P39" s="825"/>
      <c r="R39" s="220" t="e">
        <f>INDEX(PMtbl[Component],MATCH(U39,PMtbl[Category],0),)</f>
        <v>#N/A</v>
      </c>
      <c r="S39" s="220" t="e">
        <f>INDEX(PMtbl[WKst],MATCH(U39,PMtbl[Category],0),)</f>
        <v>#N/A</v>
      </c>
      <c r="T39" s="220" t="e">
        <f>INDEX(PMtbl[Sec],MATCH(U39,PMtbl[Category],0),)</f>
        <v>#N/A</v>
      </c>
      <c r="U39" s="241" t="e" cm="1">
        <f t="array" ref="U39">INDEX(PMtbl[Category],MATCH(0,INDEX(COUNTIF($U$2:U38,PMtbl[Category]),),0))</f>
        <v>#N/A</v>
      </c>
      <c r="X39" s="90" t="s">
        <v>2750</v>
      </c>
      <c r="Y39" s="90">
        <v>2</v>
      </c>
      <c r="Z39" s="90" t="s">
        <v>2759</v>
      </c>
      <c r="AA39" s="90" t="s">
        <v>20</v>
      </c>
      <c r="AB39"/>
      <c r="AC39" s="243"/>
      <c r="AD39" s="243"/>
      <c r="AE39" s="243"/>
      <c r="AF39" s="243"/>
    </row>
    <row r="40" spans="1:32" x14ac:dyDescent="0.35">
      <c r="A40" s="825" t="s">
        <v>2749</v>
      </c>
      <c r="B40" s="825" t="s">
        <v>2750</v>
      </c>
      <c r="C40" s="825">
        <v>1</v>
      </c>
      <c r="D40" s="825" t="s">
        <v>13</v>
      </c>
      <c r="E40" s="825" t="s">
        <v>2754</v>
      </c>
      <c r="F40" s="220">
        <v>38</v>
      </c>
      <c r="G40" s="825" t="s">
        <v>2795</v>
      </c>
      <c r="H40" s="825" t="s">
        <v>2801</v>
      </c>
      <c r="I40" s="220" t="s">
        <v>82</v>
      </c>
      <c r="J40" s="220" t="str">
        <f>PMtbl[[#This Row],[Category]]&amp;PMtbl[[#This Row],[Each]]&amp;PMtbl[[#This Row],[Packaging]]</f>
        <v>GeneXpert - Equipment for C19RMGeneXpert: EquipmentGeneXpert XVI-16 modules with desktop computer and barcode reader</v>
      </c>
      <c r="K40">
        <v>0</v>
      </c>
      <c r="L40" s="236">
        <v>6.4</v>
      </c>
      <c r="M40" s="234" t="s">
        <v>3299</v>
      </c>
      <c r="N40" s="236"/>
      <c r="O40" s="825" t="s">
        <v>12</v>
      </c>
      <c r="P40" s="825"/>
      <c r="R40" s="220" t="e">
        <f>INDEX(PMtbl[Component],MATCH(U40,PMtbl[Category],0),)</f>
        <v>#N/A</v>
      </c>
      <c r="S40" s="220" t="e">
        <f>INDEX(PMtbl[WKst],MATCH(U40,PMtbl[Category],0),)</f>
        <v>#N/A</v>
      </c>
      <c r="T40" s="220" t="e">
        <f>INDEX(PMtbl[Sec],MATCH(U40,PMtbl[Category],0),)</f>
        <v>#N/A</v>
      </c>
      <c r="U40" s="241" t="e" cm="1">
        <f t="array" ref="U40">INDEX(PMtbl[Category],MATCH(0,INDEX(COUNTIF($U$2:U39,PMtbl[Category]),),0))</f>
        <v>#N/A</v>
      </c>
      <c r="X40" s="90" t="s">
        <v>2750</v>
      </c>
      <c r="Y40" s="90">
        <v>2</v>
      </c>
      <c r="Z40" s="90" t="s">
        <v>2759</v>
      </c>
      <c r="AA40" s="90" t="s">
        <v>2887</v>
      </c>
      <c r="AB40"/>
      <c r="AC40" s="243"/>
      <c r="AD40" s="243"/>
      <c r="AE40" s="243"/>
      <c r="AF40" s="243"/>
    </row>
    <row r="41" spans="1:32" x14ac:dyDescent="0.35">
      <c r="A41" s="825" t="s">
        <v>2749</v>
      </c>
      <c r="B41" s="825" t="s">
        <v>2750</v>
      </c>
      <c r="C41" s="825">
        <v>1</v>
      </c>
      <c r="D41" s="825" t="s">
        <v>13</v>
      </c>
      <c r="E41" s="825" t="s">
        <v>2754</v>
      </c>
      <c r="F41" s="220">
        <v>39</v>
      </c>
      <c r="G41" s="825" t="s">
        <v>2795</v>
      </c>
      <c r="H41" s="825" t="s">
        <v>2802</v>
      </c>
      <c r="I41" s="220" t="s">
        <v>82</v>
      </c>
      <c r="J41" s="220" t="str">
        <f>PMtbl[[#This Row],[Category]]&amp;PMtbl[[#This Row],[Each]]&amp;PMtbl[[#This Row],[Packaging]]</f>
        <v>GeneXpert - Equipment for C19RMGeneXpert: EquipmentGeneXpert XVI-16 modules with laptop computer and barcode reader</v>
      </c>
      <c r="K41">
        <v>0</v>
      </c>
      <c r="L41" s="236">
        <v>6.4</v>
      </c>
      <c r="M41" s="234" t="s">
        <v>3299</v>
      </c>
      <c r="N41" s="236"/>
      <c r="O41" s="825" t="s">
        <v>12</v>
      </c>
      <c r="P41" s="825"/>
      <c r="R41" s="220" t="e">
        <f>INDEX(PMtbl[Component],MATCH(U41,PMtbl[Category],0),)</f>
        <v>#N/A</v>
      </c>
      <c r="S41" s="220" t="e">
        <f>INDEX(PMtbl[WKst],MATCH(U41,PMtbl[Category],0),)</f>
        <v>#N/A</v>
      </c>
      <c r="T41" s="220" t="e">
        <f>INDEX(PMtbl[Sec],MATCH(U41,PMtbl[Category],0),)</f>
        <v>#N/A</v>
      </c>
      <c r="U41" s="241" t="e" cm="1">
        <f t="array" ref="U41">INDEX(PMtbl[Category],MATCH(0,INDEX(COUNTIF($U$2:U40,PMtbl[Category]),),0))</f>
        <v>#N/A</v>
      </c>
      <c r="X41" s="90" t="s">
        <v>2750</v>
      </c>
      <c r="Y41" s="90">
        <v>2</v>
      </c>
      <c r="Z41" s="90" t="s">
        <v>2759</v>
      </c>
      <c r="AA41" s="90" t="s">
        <v>2890</v>
      </c>
      <c r="AB41"/>
      <c r="AC41" s="243"/>
      <c r="AD41" s="243"/>
      <c r="AE41" s="243"/>
      <c r="AF41" s="243"/>
    </row>
    <row r="42" spans="1:32" x14ac:dyDescent="0.35">
      <c r="A42" s="825" t="s">
        <v>2749</v>
      </c>
      <c r="B42" s="825" t="s">
        <v>2750</v>
      </c>
      <c r="C42" s="825">
        <v>1</v>
      </c>
      <c r="D42" s="825" t="s">
        <v>13</v>
      </c>
      <c r="E42" s="825" t="s">
        <v>2754</v>
      </c>
      <c r="F42" s="220">
        <v>40</v>
      </c>
      <c r="G42" s="825" t="s">
        <v>2795</v>
      </c>
      <c r="H42" s="825" t="s">
        <v>2777</v>
      </c>
      <c r="I42" s="220" t="s">
        <v>82</v>
      </c>
      <c r="J42" s="220" t="str">
        <f>PMtbl[[#This Row],[Category]]&amp;PMtbl[[#This Row],[Each]]&amp;PMtbl[[#This Row],[Packaging]]</f>
        <v>GeneXpert - Equipment for C19RMGeneXpert: EquipmentSpare parts and accessories</v>
      </c>
      <c r="K42">
        <v>0</v>
      </c>
      <c r="L42" s="236">
        <v>6.4</v>
      </c>
      <c r="M42" s="234" t="s">
        <v>3299</v>
      </c>
      <c r="N42" s="236"/>
      <c r="O42" s="825" t="s">
        <v>12</v>
      </c>
      <c r="P42" s="825"/>
      <c r="R42" s="220" t="e">
        <f>INDEX(PMtbl[Component],MATCH(U42,PMtbl[Category],0),)</f>
        <v>#N/A</v>
      </c>
      <c r="S42" s="220" t="e">
        <f>INDEX(PMtbl[WKst],MATCH(U42,PMtbl[Category],0),)</f>
        <v>#N/A</v>
      </c>
      <c r="T42" s="220" t="e">
        <f>INDEX(PMtbl[Sec],MATCH(U42,PMtbl[Category],0),)</f>
        <v>#N/A</v>
      </c>
      <c r="U42" s="241" t="e" cm="1">
        <f t="array" ref="U42">INDEX(PMtbl[Category],MATCH(0,INDEX(COUNTIF($U$2:U41,PMtbl[Category]),),0))</f>
        <v>#N/A</v>
      </c>
      <c r="X42" s="90" t="s">
        <v>2750</v>
      </c>
      <c r="Y42" s="90">
        <v>2</v>
      </c>
      <c r="Z42" s="90" t="s">
        <v>2759</v>
      </c>
      <c r="AA42" s="90" t="s">
        <v>2894</v>
      </c>
      <c r="AB42"/>
      <c r="AC42" s="243"/>
      <c r="AD42" s="243"/>
      <c r="AE42" s="243"/>
      <c r="AF42" s="243"/>
    </row>
    <row r="43" spans="1:32" x14ac:dyDescent="0.35">
      <c r="A43" s="825" t="s">
        <v>2749</v>
      </c>
      <c r="B43" s="825" t="s">
        <v>2750</v>
      </c>
      <c r="C43" s="825">
        <v>1</v>
      </c>
      <c r="D43" s="825" t="s">
        <v>13</v>
      </c>
      <c r="E43" s="825" t="s">
        <v>2754</v>
      </c>
      <c r="F43" s="220">
        <v>41</v>
      </c>
      <c r="G43" s="825" t="s">
        <v>2795</v>
      </c>
      <c r="H43" s="825" t="s">
        <v>2778</v>
      </c>
      <c r="I43" s="220" t="s">
        <v>82</v>
      </c>
      <c r="J43" s="220" t="str">
        <f>PMtbl[[#This Row],[Category]]&amp;PMtbl[[#This Row],[Each]]&amp;PMtbl[[#This Row],[Packaging]]</f>
        <v>GeneXpert - Equipment for C19RMGeneXpert: EquipmentWarranty, maintenance and service</v>
      </c>
      <c r="K43">
        <v>0</v>
      </c>
      <c r="L43" s="236">
        <v>6.5</v>
      </c>
      <c r="M43" s="234" t="s">
        <v>182</v>
      </c>
      <c r="N43" s="236"/>
      <c r="O43" s="825" t="s">
        <v>12</v>
      </c>
      <c r="P43" s="825"/>
      <c r="R43" s="220" t="e">
        <f>INDEX(PMtbl[Component],MATCH(U43,PMtbl[Category],0),)</f>
        <v>#N/A</v>
      </c>
      <c r="S43" s="220" t="e">
        <f>INDEX(PMtbl[WKst],MATCH(U43,PMtbl[Category],0),)</f>
        <v>#N/A</v>
      </c>
      <c r="T43" s="220" t="e">
        <f>INDEX(PMtbl[Sec],MATCH(U43,PMtbl[Category],0),)</f>
        <v>#N/A</v>
      </c>
      <c r="U43" s="241" t="e" cm="1">
        <f t="array" ref="U43">INDEX(PMtbl[Category],MATCH(0,INDEX(COUNTIF($U$2:U42,PMtbl[Category]),),0))</f>
        <v>#N/A</v>
      </c>
      <c r="X43" s="90" t="s">
        <v>2750</v>
      </c>
      <c r="Y43" s="90">
        <v>2</v>
      </c>
      <c r="Z43" s="90" t="s">
        <v>2759</v>
      </c>
      <c r="AA43" s="90" t="s">
        <v>2897</v>
      </c>
      <c r="AB43"/>
      <c r="AC43" s="243"/>
      <c r="AD43" s="243"/>
      <c r="AE43" s="243"/>
      <c r="AF43" s="243"/>
    </row>
    <row r="44" spans="1:32" x14ac:dyDescent="0.35">
      <c r="A44" s="825" t="s">
        <v>2749</v>
      </c>
      <c r="B44" s="825" t="s">
        <v>2750</v>
      </c>
      <c r="C44" s="825">
        <v>1</v>
      </c>
      <c r="D44" s="825" t="s">
        <v>13</v>
      </c>
      <c r="E44" s="825" t="s">
        <v>2755</v>
      </c>
      <c r="F44" s="220">
        <v>42</v>
      </c>
      <c r="G44" s="825" t="s">
        <v>2803</v>
      </c>
      <c r="H44" s="825" t="s">
        <v>1987</v>
      </c>
      <c r="I44" s="220" t="s">
        <v>82</v>
      </c>
      <c r="J44" s="220" t="str">
        <f>PMtbl[[#This Row],[Category]]&amp;PMtbl[[#This Row],[Each]]&amp;PMtbl[[#This Row],[Packaging]]</f>
        <v>OTHER NEAR POC for C19RMOTHER NEAR POCEquipment</v>
      </c>
      <c r="K44">
        <v>0</v>
      </c>
      <c r="L44" s="236">
        <v>6.6</v>
      </c>
      <c r="M44" s="234" t="s">
        <v>183</v>
      </c>
      <c r="N44" s="236"/>
      <c r="O44" s="825" t="s">
        <v>12</v>
      </c>
      <c r="P44" s="825"/>
      <c r="R44" s="220" t="e">
        <f>INDEX(PMtbl[Component],MATCH(U44,PMtbl[Category],0),)</f>
        <v>#N/A</v>
      </c>
      <c r="S44" s="220" t="e">
        <f>INDEX(PMtbl[WKst],MATCH(U44,PMtbl[Category],0),)</f>
        <v>#N/A</v>
      </c>
      <c r="T44" s="220" t="e">
        <f>INDEX(PMtbl[Sec],MATCH(U44,PMtbl[Category],0),)</f>
        <v>#N/A</v>
      </c>
      <c r="U44" s="241" t="e" cm="1">
        <f t="array" ref="U44">INDEX(PMtbl[Category],MATCH(0,INDEX(COUNTIF($U$2:U43,PMtbl[Category]),),0))</f>
        <v>#N/A</v>
      </c>
      <c r="X44" s="90" t="s">
        <v>2750</v>
      </c>
      <c r="Y44" s="90">
        <v>2</v>
      </c>
      <c r="Z44" s="90" t="s">
        <v>2759</v>
      </c>
      <c r="AA44" s="90" t="s">
        <v>1929</v>
      </c>
      <c r="AB44"/>
      <c r="AC44" s="243"/>
      <c r="AD44" s="243"/>
      <c r="AE44" s="243"/>
      <c r="AF44" s="243"/>
    </row>
    <row r="45" spans="1:32" x14ac:dyDescent="0.35">
      <c r="A45" s="825" t="s">
        <v>2749</v>
      </c>
      <c r="B45" s="825" t="s">
        <v>2750</v>
      </c>
      <c r="C45" s="825">
        <v>1</v>
      </c>
      <c r="D45" s="825" t="s">
        <v>13</v>
      </c>
      <c r="E45" s="825" t="s">
        <v>2755</v>
      </c>
      <c r="F45" s="220">
        <v>43</v>
      </c>
      <c r="G45" s="825" t="s">
        <v>2803</v>
      </c>
      <c r="H45" s="825" t="s">
        <v>2777</v>
      </c>
      <c r="I45" s="220" t="s">
        <v>82</v>
      </c>
      <c r="J45" s="220" t="str">
        <f>PMtbl[[#This Row],[Category]]&amp;PMtbl[[#This Row],[Each]]&amp;PMtbl[[#This Row],[Packaging]]</f>
        <v>OTHER NEAR POC for C19RMOTHER NEAR POCSpare parts and accessories</v>
      </c>
      <c r="K45">
        <v>0</v>
      </c>
      <c r="L45" s="236">
        <v>6.6</v>
      </c>
      <c r="M45" s="234" t="s">
        <v>183</v>
      </c>
      <c r="N45" s="236"/>
      <c r="O45" s="825" t="s">
        <v>12</v>
      </c>
      <c r="P45" s="825"/>
      <c r="R45" s="220" t="e">
        <f>INDEX(PMtbl[Component],MATCH(U45,PMtbl[Category],0),)</f>
        <v>#N/A</v>
      </c>
      <c r="S45" s="220" t="e">
        <f>INDEX(PMtbl[WKst],MATCH(U45,PMtbl[Category],0),)</f>
        <v>#N/A</v>
      </c>
      <c r="T45" s="220" t="e">
        <f>INDEX(PMtbl[Sec],MATCH(U45,PMtbl[Category],0),)</f>
        <v>#N/A</v>
      </c>
      <c r="U45" s="241" t="e" cm="1">
        <f t="array" ref="U45">INDEX(PMtbl[Category],MATCH(0,INDEX(COUNTIF($U$2:U44,PMtbl[Category]),),0))</f>
        <v>#N/A</v>
      </c>
      <c r="X45" s="90" t="s">
        <v>2750</v>
      </c>
      <c r="Y45" s="90">
        <v>2</v>
      </c>
      <c r="Z45" s="90" t="s">
        <v>2759</v>
      </c>
      <c r="AA45" s="90" t="s">
        <v>1930</v>
      </c>
      <c r="AB45"/>
      <c r="AC45" s="243"/>
      <c r="AD45" s="243"/>
      <c r="AE45" s="243"/>
      <c r="AF45" s="243"/>
    </row>
    <row r="46" spans="1:32" x14ac:dyDescent="0.35">
      <c r="A46" s="825" t="s">
        <v>2749</v>
      </c>
      <c r="B46" s="825" t="s">
        <v>2750</v>
      </c>
      <c r="C46" s="825">
        <v>1</v>
      </c>
      <c r="D46" s="825" t="s">
        <v>13</v>
      </c>
      <c r="E46" s="825" t="s">
        <v>2755</v>
      </c>
      <c r="F46" s="220">
        <v>44</v>
      </c>
      <c r="G46" s="825" t="s">
        <v>2803</v>
      </c>
      <c r="H46" s="825" t="s">
        <v>2778</v>
      </c>
      <c r="I46" s="220" t="s">
        <v>82</v>
      </c>
      <c r="J46" s="220" t="str">
        <f>PMtbl[[#This Row],[Category]]&amp;PMtbl[[#This Row],[Each]]&amp;PMtbl[[#This Row],[Packaging]]</f>
        <v>OTHER NEAR POC for C19RMOTHER NEAR POCWarranty, maintenance and service</v>
      </c>
      <c r="K46">
        <v>0</v>
      </c>
      <c r="L46" s="236">
        <v>6.5</v>
      </c>
      <c r="M46" s="234" t="s">
        <v>182</v>
      </c>
      <c r="N46" s="236"/>
      <c r="O46" s="825" t="s">
        <v>12</v>
      </c>
      <c r="P46" s="825"/>
      <c r="R46" s="220" t="e">
        <f>INDEX(PMtbl[Component],MATCH(U46,PMtbl[Category],0),)</f>
        <v>#N/A</v>
      </c>
      <c r="S46" s="220" t="e">
        <f>INDEX(PMtbl[WKst],MATCH(U46,PMtbl[Category],0),)</f>
        <v>#N/A</v>
      </c>
      <c r="T46" s="220" t="e">
        <f>INDEX(PMtbl[Sec],MATCH(U46,PMtbl[Category],0),)</f>
        <v>#N/A</v>
      </c>
      <c r="U46" s="241" t="e" cm="1">
        <f t="array" ref="U46">INDEX(PMtbl[Category],MATCH(0,INDEX(COUNTIF($U$2:U45,PMtbl[Category]),),0))</f>
        <v>#N/A</v>
      </c>
      <c r="X46" s="90" t="s">
        <v>2750</v>
      </c>
      <c r="Y46" s="90">
        <v>2</v>
      </c>
      <c r="Z46" s="90" t="s">
        <v>2759</v>
      </c>
      <c r="AA46" s="90" t="s">
        <v>1933</v>
      </c>
      <c r="AB46"/>
      <c r="AC46" s="243"/>
      <c r="AD46" s="243"/>
      <c r="AE46" s="243"/>
      <c r="AF46" s="243"/>
    </row>
    <row r="47" spans="1:32" x14ac:dyDescent="0.35">
      <c r="A47" s="825" t="s">
        <v>2749</v>
      </c>
      <c r="B47" s="825" t="s">
        <v>2750</v>
      </c>
      <c r="C47" s="825">
        <v>1</v>
      </c>
      <c r="D47" s="825" t="s">
        <v>13</v>
      </c>
      <c r="E47" s="825" t="s">
        <v>2756</v>
      </c>
      <c r="F47" s="220">
        <v>45</v>
      </c>
      <c r="G47" s="825" t="s">
        <v>1924</v>
      </c>
      <c r="H47" s="825" t="s">
        <v>1987</v>
      </c>
      <c r="I47" s="220" t="s">
        <v>82</v>
      </c>
      <c r="J47" s="220" t="str">
        <f>PMtbl[[#This Row],[Category]]&amp;PMtbl[[#This Row],[Each]]&amp;PMtbl[[#This Row],[Packaging]]</f>
        <v>TrueNat for C19RMTruelab Uno DxEquipment</v>
      </c>
      <c r="K47">
        <v>0</v>
      </c>
      <c r="L47" s="236">
        <v>6.4</v>
      </c>
      <c r="M47" s="234" t="s">
        <v>3299</v>
      </c>
      <c r="N47" s="236"/>
      <c r="O47" s="825" t="s">
        <v>12</v>
      </c>
      <c r="P47" s="825"/>
      <c r="R47" s="220" t="e">
        <f>INDEX(PMtbl[Component],MATCH(U47,PMtbl[Category],0),)</f>
        <v>#N/A</v>
      </c>
      <c r="S47" s="220" t="e">
        <f>INDEX(PMtbl[WKst],MATCH(U47,PMtbl[Category],0),)</f>
        <v>#N/A</v>
      </c>
      <c r="T47" s="220" t="e">
        <f>INDEX(PMtbl[Sec],MATCH(U47,PMtbl[Category],0),)</f>
        <v>#N/A</v>
      </c>
      <c r="U47" s="241" t="e" cm="1">
        <f t="array" ref="U47">INDEX(PMtbl[Category],MATCH(0,INDEX(COUNTIF($U$2:U46,PMtbl[Category]),),0))</f>
        <v>#N/A</v>
      </c>
      <c r="X47" s="90" t="s">
        <v>2750</v>
      </c>
      <c r="Y47" s="90">
        <v>2</v>
      </c>
      <c r="Z47" s="90" t="s">
        <v>2757</v>
      </c>
      <c r="AA47" s="90" t="s">
        <v>2828</v>
      </c>
      <c r="AB47"/>
      <c r="AC47" s="243"/>
      <c r="AD47" s="243"/>
      <c r="AE47" s="243"/>
      <c r="AF47" s="243"/>
    </row>
    <row r="48" spans="1:32" x14ac:dyDescent="0.35">
      <c r="A48" s="825" t="s">
        <v>2749</v>
      </c>
      <c r="B48" s="825" t="s">
        <v>2750</v>
      </c>
      <c r="C48" s="825">
        <v>1</v>
      </c>
      <c r="D48" s="825" t="s">
        <v>13</v>
      </c>
      <c r="E48" s="825" t="s">
        <v>2756</v>
      </c>
      <c r="F48" s="220">
        <v>46</v>
      </c>
      <c r="G48" s="825" t="s">
        <v>1924</v>
      </c>
      <c r="H48" s="825" t="s">
        <v>2777</v>
      </c>
      <c r="I48" s="220" t="s">
        <v>82</v>
      </c>
      <c r="J48" s="220" t="str">
        <f>PMtbl[[#This Row],[Category]]&amp;PMtbl[[#This Row],[Each]]&amp;PMtbl[[#This Row],[Packaging]]</f>
        <v>TrueNat for C19RMTruelab Uno DxSpare parts and accessories</v>
      </c>
      <c r="K48">
        <v>0</v>
      </c>
      <c r="L48" s="236">
        <v>6.4</v>
      </c>
      <c r="M48" s="234" t="s">
        <v>3299</v>
      </c>
      <c r="N48" s="236"/>
      <c r="O48" s="825" t="s">
        <v>12</v>
      </c>
      <c r="P48" s="825"/>
      <c r="R48" s="220" t="e">
        <f>INDEX(PMtbl[Component],MATCH(U48,PMtbl[Category],0),)</f>
        <v>#N/A</v>
      </c>
      <c r="S48" s="220" t="e">
        <f>INDEX(PMtbl[WKst],MATCH(U48,PMtbl[Category],0),)</f>
        <v>#N/A</v>
      </c>
      <c r="T48" s="220" t="e">
        <f>INDEX(PMtbl[Sec],MATCH(U48,PMtbl[Category],0),)</f>
        <v>#N/A</v>
      </c>
      <c r="U48" s="241" t="e" cm="1">
        <f t="array" ref="U48">INDEX(PMtbl[Category],MATCH(0,INDEX(COUNTIF($U$2:U47,PMtbl[Category]),),0))</f>
        <v>#N/A</v>
      </c>
      <c r="X48" s="90" t="s">
        <v>2750</v>
      </c>
      <c r="Y48" s="90">
        <v>2</v>
      </c>
      <c r="Z48" s="90" t="s">
        <v>2757</v>
      </c>
      <c r="AA48" s="90" t="s">
        <v>2830</v>
      </c>
      <c r="AB48"/>
      <c r="AC48" s="243"/>
      <c r="AD48" s="243"/>
      <c r="AE48" s="243"/>
      <c r="AF48" s="243"/>
    </row>
    <row r="49" spans="1:32" x14ac:dyDescent="0.35">
      <c r="A49" s="825" t="s">
        <v>2749</v>
      </c>
      <c r="B49" s="825" t="s">
        <v>2750</v>
      </c>
      <c r="C49" s="825">
        <v>1</v>
      </c>
      <c r="D49" s="825" t="s">
        <v>13</v>
      </c>
      <c r="E49" s="825" t="s">
        <v>2756</v>
      </c>
      <c r="F49" s="220">
        <v>47</v>
      </c>
      <c r="G49" s="825" t="s">
        <v>1924</v>
      </c>
      <c r="H49" s="825" t="s">
        <v>2778</v>
      </c>
      <c r="I49" s="220" t="s">
        <v>82</v>
      </c>
      <c r="J49" s="220" t="str">
        <f>PMtbl[[#This Row],[Category]]&amp;PMtbl[[#This Row],[Each]]&amp;PMtbl[[#This Row],[Packaging]]</f>
        <v>TrueNat for C19RMTruelab Uno DxWarranty, maintenance and service</v>
      </c>
      <c r="K49">
        <v>0</v>
      </c>
      <c r="L49" s="236">
        <v>6.5</v>
      </c>
      <c r="M49" s="234" t="s">
        <v>182</v>
      </c>
      <c r="N49" s="236"/>
      <c r="O49" s="825" t="s">
        <v>12</v>
      </c>
      <c r="P49" s="825"/>
      <c r="R49" s="220" t="e">
        <f>INDEX(PMtbl[Component],MATCH(U49,PMtbl[Category],0),)</f>
        <v>#N/A</v>
      </c>
      <c r="S49" s="220" t="e">
        <f>INDEX(PMtbl[WKst],MATCH(U49,PMtbl[Category],0),)</f>
        <v>#N/A</v>
      </c>
      <c r="T49" s="220" t="e">
        <f>INDEX(PMtbl[Sec],MATCH(U49,PMtbl[Category],0),)</f>
        <v>#N/A</v>
      </c>
      <c r="U49" s="241" t="e" cm="1">
        <f t="array" ref="U49">INDEX(PMtbl[Category],MATCH(0,INDEX(COUNTIF($U$2:U48,PMtbl[Category]),),0))</f>
        <v>#N/A</v>
      </c>
      <c r="X49" s="90" t="s">
        <v>2750</v>
      </c>
      <c r="Y49" s="90">
        <v>2</v>
      </c>
      <c r="Z49" s="90" t="s">
        <v>2760</v>
      </c>
      <c r="AA49" s="90" t="s">
        <v>2905</v>
      </c>
      <c r="AB49"/>
      <c r="AC49" s="243"/>
      <c r="AD49" s="243"/>
      <c r="AE49" s="243"/>
      <c r="AF49" s="243"/>
    </row>
    <row r="50" spans="1:32" x14ac:dyDescent="0.35">
      <c r="A50" s="825" t="s">
        <v>2749</v>
      </c>
      <c r="B50" s="825" t="s">
        <v>2750</v>
      </c>
      <c r="C50" s="825">
        <v>1</v>
      </c>
      <c r="D50" s="825" t="s">
        <v>13</v>
      </c>
      <c r="E50" s="825" t="s">
        <v>2756</v>
      </c>
      <c r="F50" s="220">
        <v>48</v>
      </c>
      <c r="G50" s="825" t="s">
        <v>2804</v>
      </c>
      <c r="H50" s="825" t="s">
        <v>1987</v>
      </c>
      <c r="I50" s="220" t="s">
        <v>82</v>
      </c>
      <c r="J50" s="220" t="str">
        <f>PMtbl[[#This Row],[Category]]&amp;PMtbl[[#This Row],[Each]]&amp;PMtbl[[#This Row],[Packaging]]</f>
        <v>TrueNat for C19RMTrueprepEquipment</v>
      </c>
      <c r="K50">
        <v>0</v>
      </c>
      <c r="L50" s="236">
        <v>6.4</v>
      </c>
      <c r="M50" s="234" t="s">
        <v>3299</v>
      </c>
      <c r="N50" s="236"/>
      <c r="O50" s="825" t="s">
        <v>12</v>
      </c>
      <c r="P50" s="825"/>
      <c r="R50" s="220" t="e">
        <f>INDEX(PMtbl[Component],MATCH(U50,PMtbl[Category],0),)</f>
        <v>#N/A</v>
      </c>
      <c r="S50" s="220" t="e">
        <f>INDEX(PMtbl[WKst],MATCH(U50,PMtbl[Category],0),)</f>
        <v>#N/A</v>
      </c>
      <c r="T50" s="220" t="e">
        <f>INDEX(PMtbl[Sec],MATCH(U50,PMtbl[Category],0),)</f>
        <v>#N/A</v>
      </c>
      <c r="U50" s="241" t="e" cm="1">
        <f t="array" ref="U50">INDEX(PMtbl[Category],MATCH(0,INDEX(COUNTIF($U$2:U49,PMtbl[Category]),),0))</f>
        <v>#N/A</v>
      </c>
      <c r="X50" s="90" t="s">
        <v>2750</v>
      </c>
      <c r="Y50" s="90">
        <v>2</v>
      </c>
      <c r="Z50" s="90" t="s">
        <v>2760</v>
      </c>
      <c r="AA50" s="90" t="s">
        <v>1926</v>
      </c>
      <c r="AB50"/>
      <c r="AC50" s="243"/>
      <c r="AD50" s="243"/>
      <c r="AE50" s="243"/>
      <c r="AF50" s="243"/>
    </row>
    <row r="51" spans="1:32" x14ac:dyDescent="0.35">
      <c r="A51" s="825" t="s">
        <v>2749</v>
      </c>
      <c r="B51" s="825" t="s">
        <v>2750</v>
      </c>
      <c r="C51" s="825">
        <v>1</v>
      </c>
      <c r="D51" s="825" t="s">
        <v>13</v>
      </c>
      <c r="E51" s="825" t="s">
        <v>2756</v>
      </c>
      <c r="F51" s="220">
        <v>49</v>
      </c>
      <c r="G51" s="825" t="s">
        <v>2804</v>
      </c>
      <c r="H51" s="825" t="s">
        <v>2777</v>
      </c>
      <c r="I51" s="220" t="s">
        <v>82</v>
      </c>
      <c r="J51" s="220" t="str">
        <f>PMtbl[[#This Row],[Category]]&amp;PMtbl[[#This Row],[Each]]&amp;PMtbl[[#This Row],[Packaging]]</f>
        <v>TrueNat for C19RMTrueprepSpare parts and accessories</v>
      </c>
      <c r="K51">
        <v>0</v>
      </c>
      <c r="L51" s="236">
        <v>6.4</v>
      </c>
      <c r="M51" s="234" t="s">
        <v>3299</v>
      </c>
      <c r="N51" s="236"/>
      <c r="O51" s="825" t="s">
        <v>12</v>
      </c>
      <c r="P51" s="825"/>
      <c r="R51" s="220" t="e">
        <f>INDEX(PMtbl[Component],MATCH(U51,PMtbl[Category],0),)</f>
        <v>#N/A</v>
      </c>
      <c r="S51" s="220" t="e">
        <f>INDEX(PMtbl[WKst],MATCH(U51,PMtbl[Category],0),)</f>
        <v>#N/A</v>
      </c>
      <c r="T51" s="220" t="e">
        <f>INDEX(PMtbl[Sec],MATCH(U51,PMtbl[Category],0),)</f>
        <v>#N/A</v>
      </c>
      <c r="U51" s="241" t="e" cm="1">
        <f t="array" ref="U51">INDEX(PMtbl[Category],MATCH(0,INDEX(COUNTIF($U$2:U50,PMtbl[Category]),),0))</f>
        <v>#N/A</v>
      </c>
      <c r="X51" s="90" t="s">
        <v>2750</v>
      </c>
      <c r="Y51" s="90">
        <v>2</v>
      </c>
      <c r="Z51" s="90" t="s">
        <v>2760</v>
      </c>
      <c r="AA51" s="90" t="s">
        <v>2907</v>
      </c>
      <c r="AB51"/>
      <c r="AC51" s="243"/>
      <c r="AD51" s="243"/>
      <c r="AE51" s="243"/>
      <c r="AF51" s="243"/>
    </row>
    <row r="52" spans="1:32" x14ac:dyDescent="0.35">
      <c r="A52" s="825" t="s">
        <v>2749</v>
      </c>
      <c r="B52" s="825" t="s">
        <v>2750</v>
      </c>
      <c r="C52" s="825">
        <v>1</v>
      </c>
      <c r="D52" s="825" t="s">
        <v>13</v>
      </c>
      <c r="E52" s="825" t="s">
        <v>2756</v>
      </c>
      <c r="F52" s="220">
        <v>50</v>
      </c>
      <c r="G52" s="825" t="s">
        <v>2804</v>
      </c>
      <c r="H52" s="825" t="s">
        <v>2778</v>
      </c>
      <c r="I52" s="220" t="s">
        <v>82</v>
      </c>
      <c r="J52" s="220" t="str">
        <f>PMtbl[[#This Row],[Category]]&amp;PMtbl[[#This Row],[Each]]&amp;PMtbl[[#This Row],[Packaging]]</f>
        <v>TrueNat for C19RMTrueprepWarranty, maintenance and service</v>
      </c>
      <c r="K52">
        <v>0</v>
      </c>
      <c r="L52" s="236">
        <v>6.5</v>
      </c>
      <c r="M52" s="234" t="s">
        <v>182</v>
      </c>
      <c r="N52" s="236"/>
      <c r="O52" s="825" t="s">
        <v>12</v>
      </c>
      <c r="P52" s="825"/>
      <c r="R52" s="220" t="e">
        <f>INDEX(PMtbl[Component],MATCH(U52,PMtbl[Category],0),)</f>
        <v>#N/A</v>
      </c>
      <c r="S52" s="220" t="e">
        <f>INDEX(PMtbl[WKst],MATCH(U52,PMtbl[Category],0),)</f>
        <v>#N/A</v>
      </c>
      <c r="T52" s="220" t="e">
        <f>INDEX(PMtbl[Sec],MATCH(U52,PMtbl[Category],0),)</f>
        <v>#N/A</v>
      </c>
      <c r="U52" s="241" t="e" cm="1">
        <f t="array" ref="U52">INDEX(PMtbl[Category],MATCH(0,INDEX(COUNTIF($U$2:U51,PMtbl[Category]),),0))</f>
        <v>#N/A</v>
      </c>
      <c r="X52" s="90" t="s">
        <v>2750</v>
      </c>
      <c r="Y52" s="90">
        <v>2</v>
      </c>
      <c r="Z52" s="90" t="s">
        <v>2760</v>
      </c>
      <c r="AA52" s="90" t="s">
        <v>1928</v>
      </c>
      <c r="AB52"/>
      <c r="AC52" s="243"/>
      <c r="AD52" s="243"/>
      <c r="AE52" s="243"/>
      <c r="AF52" s="243"/>
    </row>
    <row r="53" spans="1:32" x14ac:dyDescent="0.35">
      <c r="A53" s="825" t="s">
        <v>2749</v>
      </c>
      <c r="B53" s="825" t="s">
        <v>2750</v>
      </c>
      <c r="C53" s="825">
        <v>1</v>
      </c>
      <c r="D53" s="825" t="s">
        <v>15</v>
      </c>
      <c r="E53" s="825" t="s">
        <v>16</v>
      </c>
      <c r="F53" s="220">
        <v>51</v>
      </c>
      <c r="G53" s="825" t="s">
        <v>2805</v>
      </c>
      <c r="H53" s="825" t="s">
        <v>2806</v>
      </c>
      <c r="I53" s="220" t="s">
        <v>82</v>
      </c>
      <c r="J53" s="220" t="str">
        <f>PMtbl[[#This Row],[Category]]&amp;PMtbl[[#This Row],[Each]]&amp;PMtbl[[#This Row],[Packaging]]</f>
        <v>COVID Diagnostics reagents &amp; consumablesCOVID Tests / Diagnostic ConsumablesCepheid Xpert Nasopharyngeal swab collection kit 100</v>
      </c>
      <c r="K53">
        <v>0</v>
      </c>
      <c r="L53" s="236">
        <v>5.8</v>
      </c>
      <c r="M53" s="234" t="s">
        <v>181</v>
      </c>
      <c r="N53" s="236"/>
      <c r="O53" s="825" t="s">
        <v>14</v>
      </c>
      <c r="P53" s="825"/>
      <c r="R53" s="220" t="e">
        <f>INDEX(PMtbl[Component],MATCH(U53,PMtbl[Category],0),)</f>
        <v>#N/A</v>
      </c>
      <c r="S53" s="220" t="e">
        <f>INDEX(PMtbl[WKst],MATCH(U53,PMtbl[Category],0),)</f>
        <v>#N/A</v>
      </c>
      <c r="T53" s="220" t="e">
        <f>INDEX(PMtbl[Sec],MATCH(U53,PMtbl[Category],0),)</f>
        <v>#N/A</v>
      </c>
      <c r="U53" s="241" t="e" cm="1">
        <f t="array" ref="U53">INDEX(PMtbl[Category],MATCH(0,INDEX(COUNTIF($U$2:U52,PMtbl[Category]),),0))</f>
        <v>#N/A</v>
      </c>
      <c r="X53" s="90" t="s">
        <v>2750</v>
      </c>
      <c r="Y53" s="90">
        <v>2</v>
      </c>
      <c r="Z53" s="90" t="s">
        <v>2760</v>
      </c>
      <c r="AA53" s="90" t="s">
        <v>1932</v>
      </c>
      <c r="AB53"/>
      <c r="AC53" s="243"/>
      <c r="AD53" s="243"/>
      <c r="AE53" s="243"/>
      <c r="AF53" s="243"/>
    </row>
    <row r="54" spans="1:32" x14ac:dyDescent="0.35">
      <c r="A54" s="825" t="s">
        <v>2749</v>
      </c>
      <c r="B54" s="825" t="s">
        <v>2750</v>
      </c>
      <c r="C54" s="825">
        <v>1</v>
      </c>
      <c r="D54" s="825" t="s">
        <v>15</v>
      </c>
      <c r="E54" s="825" t="s">
        <v>16</v>
      </c>
      <c r="F54" s="220">
        <v>52</v>
      </c>
      <c r="G54" s="825" t="s">
        <v>2805</v>
      </c>
      <c r="H54" s="825" t="s">
        <v>2807</v>
      </c>
      <c r="I54" s="220" t="s">
        <v>82</v>
      </c>
      <c r="J54" s="220" t="str">
        <f>PMtbl[[#This Row],[Category]]&amp;PMtbl[[#This Row],[Each]]&amp;PMtbl[[#This Row],[Packaging]]</f>
        <v>COVID Diagnostics reagents &amp; consumablesCOVID Tests / Diagnostic ConsumablesExtraction consumables (e.g. deep-well plate, microplate)</v>
      </c>
      <c r="K54">
        <v>0</v>
      </c>
      <c r="L54" s="236">
        <v>5.8</v>
      </c>
      <c r="M54" s="234" t="s">
        <v>181</v>
      </c>
      <c r="N54" s="236"/>
      <c r="O54" s="825" t="s">
        <v>14</v>
      </c>
      <c r="P54" s="825"/>
      <c r="R54" s="220" t="e">
        <f>INDEX(PMtbl[Component],MATCH(U54,PMtbl[Category],0),)</f>
        <v>#N/A</v>
      </c>
      <c r="S54" s="220" t="e">
        <f>INDEX(PMtbl[WKst],MATCH(U54,PMtbl[Category],0),)</f>
        <v>#N/A</v>
      </c>
      <c r="T54" s="220" t="e">
        <f>INDEX(PMtbl[Sec],MATCH(U54,PMtbl[Category],0),)</f>
        <v>#N/A</v>
      </c>
      <c r="U54" s="241" t="e" cm="1">
        <f t="array" ref="U54">INDEX(PMtbl[Category],MATCH(0,INDEX(COUNTIF($U$2:U53,PMtbl[Category]),),0))</f>
        <v>#N/A</v>
      </c>
      <c r="X54" s="90" t="s">
        <v>2750</v>
      </c>
      <c r="Y54" s="90">
        <v>2</v>
      </c>
      <c r="Z54" s="90" t="s">
        <v>2760</v>
      </c>
      <c r="AA54" s="90" t="s">
        <v>1931</v>
      </c>
      <c r="AB54"/>
      <c r="AC54" s="243"/>
      <c r="AD54" s="243"/>
      <c r="AE54" s="243"/>
      <c r="AF54" s="243"/>
    </row>
    <row r="55" spans="1:32" x14ac:dyDescent="0.35">
      <c r="A55" s="825" t="s">
        <v>2749</v>
      </c>
      <c r="B55" s="825" t="s">
        <v>2750</v>
      </c>
      <c r="C55" s="825">
        <v>1</v>
      </c>
      <c r="D55" s="825" t="s">
        <v>15</v>
      </c>
      <c r="E55" s="825" t="s">
        <v>16</v>
      </c>
      <c r="F55" s="220">
        <v>53</v>
      </c>
      <c r="G55" s="825" t="s">
        <v>2805</v>
      </c>
      <c r="H55" s="825" t="s">
        <v>2808</v>
      </c>
      <c r="I55" s="220" t="s">
        <v>82</v>
      </c>
      <c r="J55" s="220" t="str">
        <f>PMtbl[[#This Row],[Category]]&amp;PMtbl[[#This Row],[Each]]&amp;PMtbl[[#This Row],[Packaging]]</f>
        <v>COVID Diagnostics reagents &amp; consumablesCOVID Tests / Diagnostic ConsumablesFiltered Pipette Tips Sterile, 0.1-10 µl, 30 mm, Racked, 960 pieces, box</v>
      </c>
      <c r="K55">
        <v>0</v>
      </c>
      <c r="L55" s="236">
        <v>5.8</v>
      </c>
      <c r="M55" s="234" t="s">
        <v>181</v>
      </c>
      <c r="N55" s="236"/>
      <c r="O55" s="825" t="s">
        <v>14</v>
      </c>
      <c r="P55" s="825"/>
      <c r="R55" s="220" t="e">
        <f>INDEX(PMtbl[Component],MATCH(U55,PMtbl[Category],0),)</f>
        <v>#N/A</v>
      </c>
      <c r="S55" s="220" t="e">
        <f>INDEX(PMtbl[WKst],MATCH(U55,PMtbl[Category],0),)</f>
        <v>#N/A</v>
      </c>
      <c r="T55" s="220" t="e">
        <f>INDEX(PMtbl[Sec],MATCH(U55,PMtbl[Category],0),)</f>
        <v>#N/A</v>
      </c>
      <c r="U55" s="241" t="e" cm="1">
        <f t="array" ref="U55">INDEX(PMtbl[Category],MATCH(0,INDEX(COUNTIF($U$2:U54,PMtbl[Category]),),0))</f>
        <v>#N/A</v>
      </c>
      <c r="X55" s="90" t="s">
        <v>2750</v>
      </c>
      <c r="Y55" s="90">
        <v>2</v>
      </c>
      <c r="Z55" s="90" t="s">
        <v>2760</v>
      </c>
      <c r="AA55" s="90" t="s">
        <v>2913</v>
      </c>
      <c r="AB55"/>
      <c r="AC55" s="243"/>
      <c r="AD55" s="243"/>
      <c r="AE55" s="243"/>
      <c r="AF55" s="243"/>
    </row>
    <row r="56" spans="1:32" x14ac:dyDescent="0.35">
      <c r="A56" s="825" t="s">
        <v>2749</v>
      </c>
      <c r="B56" s="825" t="s">
        <v>2750</v>
      </c>
      <c r="C56" s="825">
        <v>1</v>
      </c>
      <c r="D56" s="825" t="s">
        <v>15</v>
      </c>
      <c r="E56" s="825" t="s">
        <v>16</v>
      </c>
      <c r="F56" s="220">
        <v>54</v>
      </c>
      <c r="G56" s="825" t="s">
        <v>2805</v>
      </c>
      <c r="H56" s="825" t="s">
        <v>2809</v>
      </c>
      <c r="I56" s="220" t="s">
        <v>82</v>
      </c>
      <c r="J56" s="220" t="str">
        <f>PMtbl[[#This Row],[Category]]&amp;PMtbl[[#This Row],[Each]]&amp;PMtbl[[#This Row],[Packaging]]</f>
        <v>COVID Diagnostics reagents &amp; consumablesCOVID Tests / Diagnostic ConsumablesFiltered Pipette Tips Sterile, 100-1000 µl, 66 mm, Racked, 960 pieces, box</v>
      </c>
      <c r="K56">
        <v>0</v>
      </c>
      <c r="L56" s="236">
        <v>5.8</v>
      </c>
      <c r="M56" s="234" t="s">
        <v>181</v>
      </c>
      <c r="N56" s="236"/>
      <c r="O56" s="825" t="s">
        <v>14</v>
      </c>
      <c r="P56" s="825"/>
      <c r="R56" s="220" t="e">
        <f>INDEX(PMtbl[Component],MATCH(U56,PMtbl[Category],0),)</f>
        <v>#N/A</v>
      </c>
      <c r="S56" s="220" t="e">
        <f>INDEX(PMtbl[WKst],MATCH(U56,PMtbl[Category],0),)</f>
        <v>#N/A</v>
      </c>
      <c r="T56" s="220" t="e">
        <f>INDEX(PMtbl[Sec],MATCH(U56,PMtbl[Category],0),)</f>
        <v>#N/A</v>
      </c>
      <c r="U56" s="241" t="e" cm="1">
        <f t="array" ref="U56">INDEX(PMtbl[Category],MATCH(0,INDEX(COUNTIF($U$2:U55,PMtbl[Category]),),0))</f>
        <v>#N/A</v>
      </c>
      <c r="X56" s="90" t="s">
        <v>2750</v>
      </c>
      <c r="Y56" s="90">
        <v>2</v>
      </c>
      <c r="Z56" s="90" t="s">
        <v>2760</v>
      </c>
      <c r="AA56" s="90" t="s">
        <v>2915</v>
      </c>
      <c r="AB56"/>
      <c r="AC56" s="243"/>
      <c r="AD56" s="243"/>
      <c r="AE56" s="243"/>
      <c r="AF56" s="243"/>
    </row>
    <row r="57" spans="1:32" x14ac:dyDescent="0.35">
      <c r="A57" s="825" t="s">
        <v>2749</v>
      </c>
      <c r="B57" s="825" t="s">
        <v>2750</v>
      </c>
      <c r="C57" s="825">
        <v>1</v>
      </c>
      <c r="D57" s="825" t="s">
        <v>15</v>
      </c>
      <c r="E57" s="825" t="s">
        <v>16</v>
      </c>
      <c r="F57" s="220">
        <v>55</v>
      </c>
      <c r="G57" s="825" t="s">
        <v>2805</v>
      </c>
      <c r="H57" s="825" t="s">
        <v>2810</v>
      </c>
      <c r="I57" s="220" t="s">
        <v>82</v>
      </c>
      <c r="J57" s="220" t="str">
        <f>PMtbl[[#This Row],[Category]]&amp;PMtbl[[#This Row],[Each]]&amp;PMtbl[[#This Row],[Packaging]]</f>
        <v>COVID Diagnostics reagents &amp; consumablesCOVID Tests / Diagnostic ConsumablesFiltered Pipette Tips Sterile, 20-200 µl, 30 mm, Racked, 960 pieces, box</v>
      </c>
      <c r="K57">
        <v>0</v>
      </c>
      <c r="L57" s="236">
        <v>5.8</v>
      </c>
      <c r="M57" s="234" t="s">
        <v>181</v>
      </c>
      <c r="N57" s="236"/>
      <c r="O57" s="825" t="s">
        <v>14</v>
      </c>
      <c r="P57" s="825"/>
      <c r="R57" s="220" t="e">
        <f>INDEX(PMtbl[Component],MATCH(U57,PMtbl[Category],0),)</f>
        <v>#N/A</v>
      </c>
      <c r="S57" s="220" t="e">
        <f>INDEX(PMtbl[WKst],MATCH(U57,PMtbl[Category],0),)</f>
        <v>#N/A</v>
      </c>
      <c r="T57" s="220" t="e">
        <f>INDEX(PMtbl[Sec],MATCH(U57,PMtbl[Category],0),)</f>
        <v>#N/A</v>
      </c>
      <c r="U57" s="241" t="e" cm="1">
        <f t="array" ref="U57">INDEX(PMtbl[Category],MATCH(0,INDEX(COUNTIF($U$2:U56,PMtbl[Category]),),0))</f>
        <v>#N/A</v>
      </c>
      <c r="X57" s="90" t="s">
        <v>2750</v>
      </c>
      <c r="Y57" s="90">
        <v>2</v>
      </c>
      <c r="Z57" s="90" t="s">
        <v>2760</v>
      </c>
      <c r="AA57" s="90" t="s">
        <v>2426</v>
      </c>
      <c r="AB57"/>
      <c r="AC57" s="243"/>
      <c r="AD57" s="243"/>
      <c r="AE57" s="243"/>
      <c r="AF57" s="243"/>
    </row>
    <row r="58" spans="1:32" x14ac:dyDescent="0.35">
      <c r="A58" s="825" t="s">
        <v>2749</v>
      </c>
      <c r="B58" s="825" t="s">
        <v>2750</v>
      </c>
      <c r="C58" s="825">
        <v>1</v>
      </c>
      <c r="D58" s="825" t="s">
        <v>15</v>
      </c>
      <c r="E58" s="825" t="s">
        <v>16</v>
      </c>
      <c r="F58" s="220">
        <v>56</v>
      </c>
      <c r="G58" s="825" t="s">
        <v>2805</v>
      </c>
      <c r="H58" s="825" t="s">
        <v>2811</v>
      </c>
      <c r="I58" s="220" t="s">
        <v>82</v>
      </c>
      <c r="J58" s="220" t="str">
        <f>PMtbl[[#This Row],[Category]]&amp;PMtbl[[#This Row],[Each]]&amp;PMtbl[[#This Row],[Packaging]]</f>
        <v>COVID Diagnostics reagents &amp; consumablesCOVID Tests / Diagnostic ConsumablesFiltered Pipette Tips Sterile, 2-30 µl, 51 mm, Racked, 960 pieces, box</v>
      </c>
      <c r="K58">
        <v>0</v>
      </c>
      <c r="L58" s="236">
        <v>5.8</v>
      </c>
      <c r="M58" s="234" t="s">
        <v>181</v>
      </c>
      <c r="N58" s="236"/>
      <c r="O58" s="825" t="s">
        <v>14</v>
      </c>
      <c r="P58" s="825"/>
      <c r="R58" s="220" t="e">
        <f>INDEX(PMtbl[Component],MATCH(U58,PMtbl[Category],0),)</f>
        <v>#N/A</v>
      </c>
      <c r="S58" s="220" t="e">
        <f>INDEX(PMtbl[WKst],MATCH(U58,PMtbl[Category],0),)</f>
        <v>#N/A</v>
      </c>
      <c r="T58" s="220" t="e">
        <f>INDEX(PMtbl[Sec],MATCH(U58,PMtbl[Category],0),)</f>
        <v>#N/A</v>
      </c>
      <c r="U58" s="241" t="e" cm="1">
        <f t="array" ref="U58">INDEX(PMtbl[Category],MATCH(0,INDEX(COUNTIF($U$2:U57,PMtbl[Category]),),0))</f>
        <v>#N/A</v>
      </c>
      <c r="X58" s="90" t="s">
        <v>2750</v>
      </c>
      <c r="Y58" s="90">
        <v>3</v>
      </c>
      <c r="Z58" s="90" t="s">
        <v>2762</v>
      </c>
      <c r="AA58" s="90" t="s">
        <v>2150</v>
      </c>
      <c r="AB58"/>
      <c r="AC58" s="243"/>
      <c r="AD58" s="243"/>
      <c r="AE58" s="243"/>
      <c r="AF58" s="243"/>
    </row>
    <row r="59" spans="1:32" x14ac:dyDescent="0.35">
      <c r="A59" s="825" t="s">
        <v>2749</v>
      </c>
      <c r="B59" s="825" t="s">
        <v>2750</v>
      </c>
      <c r="C59" s="825">
        <v>1</v>
      </c>
      <c r="D59" s="825" t="s">
        <v>15</v>
      </c>
      <c r="E59" s="825" t="s">
        <v>16</v>
      </c>
      <c r="F59" s="220">
        <v>57</v>
      </c>
      <c r="G59" s="825" t="s">
        <v>2805</v>
      </c>
      <c r="H59" s="825" t="s">
        <v>2812</v>
      </c>
      <c r="I59" s="220" t="s">
        <v>82</v>
      </c>
      <c r="J59" s="220" t="str">
        <f>PMtbl[[#This Row],[Category]]&amp;PMtbl[[#This Row],[Each]]&amp;PMtbl[[#This Row],[Packaging]]</f>
        <v>COVID Diagnostics reagents &amp; consumablesCOVID Tests / Diagnostic ConsumablesOther consumables - Enter details in Comments</v>
      </c>
      <c r="K59">
        <v>0</v>
      </c>
      <c r="L59" s="236">
        <v>5.8</v>
      </c>
      <c r="M59" s="234" t="s">
        <v>181</v>
      </c>
      <c r="N59" s="236"/>
      <c r="O59" s="825" t="s">
        <v>14</v>
      </c>
      <c r="P59" s="825"/>
      <c r="R59" s="220" t="e">
        <f>INDEX(PMtbl[Component],MATCH(U59,PMtbl[Category],0),)</f>
        <v>#N/A</v>
      </c>
      <c r="S59" s="220" t="e">
        <f>INDEX(PMtbl[WKst],MATCH(U59,PMtbl[Category],0),)</f>
        <v>#N/A</v>
      </c>
      <c r="T59" s="220" t="e">
        <f>INDEX(PMtbl[Sec],MATCH(U59,PMtbl[Category],0),)</f>
        <v>#N/A</v>
      </c>
      <c r="U59" s="241" t="e" cm="1">
        <f t="array" ref="U59">INDEX(PMtbl[Category],MATCH(0,INDEX(COUNTIF($U$2:U58,PMtbl[Category]),),0))</f>
        <v>#N/A</v>
      </c>
      <c r="X59" s="90" t="s">
        <v>2750</v>
      </c>
      <c r="Y59" s="90">
        <v>3</v>
      </c>
      <c r="Z59" s="90" t="s">
        <v>2762</v>
      </c>
      <c r="AA59" s="90" t="s">
        <v>2154</v>
      </c>
      <c r="AB59"/>
      <c r="AC59" s="243"/>
      <c r="AD59" s="243"/>
      <c r="AE59" s="243"/>
      <c r="AF59" s="243"/>
    </row>
    <row r="60" spans="1:32" x14ac:dyDescent="0.35">
      <c r="A60" s="825" t="s">
        <v>2749</v>
      </c>
      <c r="B60" s="825" t="s">
        <v>2750</v>
      </c>
      <c r="C60" s="825">
        <v>1</v>
      </c>
      <c r="D60" s="825" t="s">
        <v>15</v>
      </c>
      <c r="E60" s="825" t="s">
        <v>16</v>
      </c>
      <c r="F60" s="220">
        <v>58</v>
      </c>
      <c r="G60" s="825" t="s">
        <v>2805</v>
      </c>
      <c r="H60" s="825" t="s">
        <v>2813</v>
      </c>
      <c r="I60" s="220" t="s">
        <v>82</v>
      </c>
      <c r="J60" s="220" t="str">
        <f>PMtbl[[#This Row],[Category]]&amp;PMtbl[[#This Row],[Each]]&amp;PMtbl[[#This Row],[Packaging]]</f>
        <v>COVID Diagnostics reagents &amp; consumablesCOVID Tests / Diagnostic ConsumablesSample collection kit: swab</v>
      </c>
      <c r="K60">
        <v>0</v>
      </c>
      <c r="L60" s="236">
        <v>5.8</v>
      </c>
      <c r="M60" s="234" t="s">
        <v>181</v>
      </c>
      <c r="N60" s="236"/>
      <c r="O60" s="825" t="s">
        <v>14</v>
      </c>
      <c r="P60" s="825"/>
      <c r="R60" s="220" t="e">
        <f>INDEX(PMtbl[Component],MATCH(U60,PMtbl[Category],0),)</f>
        <v>#N/A</v>
      </c>
      <c r="S60" s="220" t="e">
        <f>INDEX(PMtbl[WKst],MATCH(U60,PMtbl[Category],0),)</f>
        <v>#N/A</v>
      </c>
      <c r="T60" s="220" t="e">
        <f>INDEX(PMtbl[Sec],MATCH(U60,PMtbl[Category],0),)</f>
        <v>#N/A</v>
      </c>
      <c r="U60" s="241" t="e" cm="1">
        <f t="array" ref="U60">INDEX(PMtbl[Category],MATCH(0,INDEX(COUNTIF($U$2:U59,PMtbl[Category]),),0))</f>
        <v>#N/A</v>
      </c>
      <c r="X60" s="90" t="s">
        <v>2750</v>
      </c>
      <c r="Y60" s="90">
        <v>3</v>
      </c>
      <c r="Z60" s="90" t="s">
        <v>2762</v>
      </c>
      <c r="AA60" s="90" t="s">
        <v>2155</v>
      </c>
      <c r="AB60"/>
      <c r="AC60" s="243"/>
      <c r="AD60" s="243"/>
      <c r="AE60" s="243"/>
      <c r="AF60" s="243"/>
    </row>
    <row r="61" spans="1:32" x14ac:dyDescent="0.35">
      <c r="A61" s="825" t="s">
        <v>2749</v>
      </c>
      <c r="B61" s="825" t="s">
        <v>2750</v>
      </c>
      <c r="C61" s="825">
        <v>1</v>
      </c>
      <c r="D61" s="825" t="s">
        <v>15</v>
      </c>
      <c r="E61" s="825" t="s">
        <v>16</v>
      </c>
      <c r="F61" s="220">
        <v>59</v>
      </c>
      <c r="G61" s="825" t="s">
        <v>2805</v>
      </c>
      <c r="H61" s="825" t="s">
        <v>2814</v>
      </c>
      <c r="I61" s="220" t="s">
        <v>82</v>
      </c>
      <c r="J61" s="220" t="str">
        <f>PMtbl[[#This Row],[Category]]&amp;PMtbl[[#This Row],[Each]]&amp;PMtbl[[#This Row],[Packaging]]</f>
        <v>COVID Diagnostics reagents &amp; consumablesCOVID Tests / Diagnostic ConsumablesSample collection kit: swab and viral transport medium</v>
      </c>
      <c r="K61">
        <v>0</v>
      </c>
      <c r="L61" s="236">
        <v>5.8</v>
      </c>
      <c r="M61" s="234" t="s">
        <v>181</v>
      </c>
      <c r="N61" s="236"/>
      <c r="O61" s="825" t="s">
        <v>14</v>
      </c>
      <c r="P61" s="825"/>
      <c r="R61" s="220" t="e">
        <f>INDEX(PMtbl[Component],MATCH(U61,PMtbl[Category],0),)</f>
        <v>#N/A</v>
      </c>
      <c r="S61" s="220" t="e">
        <f>INDEX(PMtbl[WKst],MATCH(U61,PMtbl[Category],0),)</f>
        <v>#N/A</v>
      </c>
      <c r="T61" s="220" t="e">
        <f>INDEX(PMtbl[Sec],MATCH(U61,PMtbl[Category],0),)</f>
        <v>#N/A</v>
      </c>
      <c r="U61" s="241" t="e" cm="1">
        <f t="array" ref="U61">INDEX(PMtbl[Category],MATCH(0,INDEX(COUNTIF($U$2:U60,PMtbl[Category]),),0))</f>
        <v>#N/A</v>
      </c>
      <c r="X61" s="90" t="s">
        <v>2750</v>
      </c>
      <c r="Y61" s="90">
        <v>3</v>
      </c>
      <c r="Z61" s="90" t="s">
        <v>2762</v>
      </c>
      <c r="AA61" s="90" t="s">
        <v>2157</v>
      </c>
      <c r="AB61"/>
      <c r="AC61" s="243"/>
      <c r="AD61" s="243"/>
      <c r="AE61" s="243"/>
      <c r="AF61" s="243"/>
    </row>
    <row r="62" spans="1:32" x14ac:dyDescent="0.35">
      <c r="A62" s="825" t="s">
        <v>2749</v>
      </c>
      <c r="B62" s="825" t="s">
        <v>2750</v>
      </c>
      <c r="C62" s="825">
        <v>1</v>
      </c>
      <c r="D62" s="825" t="s">
        <v>15</v>
      </c>
      <c r="E62" s="825" t="s">
        <v>16</v>
      </c>
      <c r="F62" s="220">
        <v>60</v>
      </c>
      <c r="G62" s="825" t="s">
        <v>2805</v>
      </c>
      <c r="H62" s="825" t="s">
        <v>2815</v>
      </c>
      <c r="I62" s="220" t="s">
        <v>82</v>
      </c>
      <c r="J62" s="220" t="str">
        <f>PMtbl[[#This Row],[Category]]&amp;PMtbl[[#This Row],[Each]]&amp;PMtbl[[#This Row],[Packaging]]</f>
        <v>COVID Diagnostics reagents &amp; consumablesCOVID Tests / Diagnostic ConsumablesSample collection kit: viral transport medium</v>
      </c>
      <c r="K62">
        <v>0</v>
      </c>
      <c r="L62" s="236">
        <v>5.8</v>
      </c>
      <c r="M62" s="234" t="s">
        <v>181</v>
      </c>
      <c r="N62" s="236"/>
      <c r="O62" s="825" t="s">
        <v>14</v>
      </c>
      <c r="P62" s="825"/>
      <c r="R62" s="220" t="e">
        <f>INDEX(PMtbl[Component],MATCH(U62,PMtbl[Category],0),)</f>
        <v>#N/A</v>
      </c>
      <c r="S62" s="220" t="e">
        <f>INDEX(PMtbl[WKst],MATCH(U62,PMtbl[Category],0),)</f>
        <v>#N/A</v>
      </c>
      <c r="T62" s="220" t="e">
        <f>INDEX(PMtbl[Sec],MATCH(U62,PMtbl[Category],0),)</f>
        <v>#N/A</v>
      </c>
      <c r="U62" s="241" t="e" cm="1">
        <f t="array" ref="U62">INDEX(PMtbl[Category],MATCH(0,INDEX(COUNTIF($U$2:U61,PMtbl[Category]),),0))</f>
        <v>#N/A</v>
      </c>
      <c r="X62" s="90" t="s">
        <v>2750</v>
      </c>
      <c r="Y62" s="90">
        <v>3</v>
      </c>
      <c r="Z62" s="90" t="s">
        <v>2762</v>
      </c>
      <c r="AA62" s="90" t="s">
        <v>2936</v>
      </c>
      <c r="AB62"/>
      <c r="AC62" s="243"/>
      <c r="AD62" s="243"/>
      <c r="AE62" s="243"/>
      <c r="AF62" s="243"/>
    </row>
    <row r="63" spans="1:32" x14ac:dyDescent="0.35">
      <c r="A63" s="825" t="s">
        <v>2749</v>
      </c>
      <c r="B63" s="825" t="s">
        <v>2750</v>
      </c>
      <c r="C63" s="825">
        <v>1</v>
      </c>
      <c r="D63" s="825" t="s">
        <v>15</v>
      </c>
      <c r="E63" s="825" t="s">
        <v>16</v>
      </c>
      <c r="F63" s="220">
        <v>61</v>
      </c>
      <c r="G63" s="825" t="s">
        <v>2805</v>
      </c>
      <c r="H63" s="825" t="s">
        <v>2816</v>
      </c>
      <c r="I63" s="220" t="s">
        <v>82</v>
      </c>
      <c r="J63" s="220" t="str">
        <f>PMtbl[[#This Row],[Category]]&amp;PMtbl[[#This Row],[Each]]&amp;PMtbl[[#This Row],[Packaging]]</f>
        <v>COVID Diagnostics reagents &amp; consumablesCOVID Tests / Diagnostic ConsumablesSample collection: Triple packaging boxes for transport</v>
      </c>
      <c r="K63">
        <v>0</v>
      </c>
      <c r="L63" s="236">
        <v>5.8</v>
      </c>
      <c r="M63" s="234" t="s">
        <v>181</v>
      </c>
      <c r="N63" s="236"/>
      <c r="O63" s="825" t="s">
        <v>12</v>
      </c>
      <c r="P63" s="825"/>
      <c r="R63" s="220" t="e">
        <f>INDEX(PMtbl[Component],MATCH(U63,PMtbl[Category],0),)</f>
        <v>#N/A</v>
      </c>
      <c r="S63" s="220" t="e">
        <f>INDEX(PMtbl[WKst],MATCH(U63,PMtbl[Category],0),)</f>
        <v>#N/A</v>
      </c>
      <c r="T63" s="220" t="e">
        <f>INDEX(PMtbl[Sec],MATCH(U63,PMtbl[Category],0),)</f>
        <v>#N/A</v>
      </c>
      <c r="U63" s="241" t="e" cm="1">
        <f t="array" ref="U63">INDEX(PMtbl[Category],MATCH(0,INDEX(COUNTIF($U$2:U62,PMtbl[Category]),),0))</f>
        <v>#N/A</v>
      </c>
      <c r="X63" s="90" t="s">
        <v>2750</v>
      </c>
      <c r="Y63" s="90">
        <v>3</v>
      </c>
      <c r="Z63" s="90" t="s">
        <v>2762</v>
      </c>
      <c r="AA63" s="90" t="s">
        <v>2939</v>
      </c>
      <c r="AB63"/>
      <c r="AC63" s="243"/>
      <c r="AD63" s="243"/>
      <c r="AE63" s="243"/>
      <c r="AF63" s="243"/>
    </row>
    <row r="64" spans="1:32" x14ac:dyDescent="0.35">
      <c r="A64" s="825" t="s">
        <v>2749</v>
      </c>
      <c r="B64" s="825" t="s">
        <v>2750</v>
      </c>
      <c r="C64" s="825">
        <v>1</v>
      </c>
      <c r="D64" s="825" t="s">
        <v>15</v>
      </c>
      <c r="E64" s="825" t="s">
        <v>16</v>
      </c>
      <c r="F64" s="220">
        <v>62</v>
      </c>
      <c r="G64" s="825" t="s">
        <v>2817</v>
      </c>
      <c r="H64" s="825" t="s">
        <v>2818</v>
      </c>
      <c r="I64" s="220" t="s">
        <v>82</v>
      </c>
      <c r="J64" s="220" t="str">
        <f>PMtbl[[#This Row],[Category]]&amp;PMtbl[[#This Row],[Each]]&amp;PMtbl[[#This Row],[Packaging]]</f>
        <v>COVID Diagnostics reagents &amp; consumablesCOVID Tests / Diagnostic Reagents &amp; CartridgesAbbott RealTime SARS-CoV-2 RT-PCR Kit 96 tests</v>
      </c>
      <c r="K64">
        <v>0</v>
      </c>
      <c r="L64" s="236">
        <v>5.6</v>
      </c>
      <c r="M64" s="234" t="s">
        <v>180</v>
      </c>
      <c r="N64" s="236"/>
      <c r="O64" s="825" t="s">
        <v>14</v>
      </c>
      <c r="P64" s="825"/>
      <c r="R64" s="220" t="e">
        <f>INDEX(PMtbl[Component],MATCH(U64,PMtbl[Category],0),)</f>
        <v>#N/A</v>
      </c>
      <c r="S64" s="220" t="e">
        <f>INDEX(PMtbl[WKst],MATCH(U64,PMtbl[Category],0),)</f>
        <v>#N/A</v>
      </c>
      <c r="T64" s="220" t="e">
        <f>INDEX(PMtbl[Sec],MATCH(U64,PMtbl[Category],0),)</f>
        <v>#N/A</v>
      </c>
      <c r="U64" s="241" t="e" cm="1">
        <f t="array" ref="U64">INDEX(PMtbl[Category],MATCH(0,INDEX(COUNTIF($U$2:U63,PMtbl[Category]),),0))</f>
        <v>#N/A</v>
      </c>
      <c r="X64" s="90" t="s">
        <v>2750</v>
      </c>
      <c r="Y64" s="90">
        <v>3</v>
      </c>
      <c r="Z64" s="90" t="s">
        <v>2762</v>
      </c>
      <c r="AA64" s="90" t="s">
        <v>24</v>
      </c>
      <c r="AB64"/>
      <c r="AC64" s="243"/>
      <c r="AD64" s="243"/>
      <c r="AE64" s="243"/>
      <c r="AF64" s="243"/>
    </row>
    <row r="65" spans="1:32" x14ac:dyDescent="0.35">
      <c r="A65" s="825" t="s">
        <v>2749</v>
      </c>
      <c r="B65" s="825" t="s">
        <v>2750</v>
      </c>
      <c r="C65" s="825">
        <v>1</v>
      </c>
      <c r="D65" s="825" t="s">
        <v>15</v>
      </c>
      <c r="E65" s="825" t="s">
        <v>16</v>
      </c>
      <c r="F65" s="220">
        <v>63</v>
      </c>
      <c r="G65" s="825" t="s">
        <v>2817</v>
      </c>
      <c r="H65" s="825" t="s">
        <v>2819</v>
      </c>
      <c r="I65" s="220" t="s">
        <v>82</v>
      </c>
      <c r="J65" s="220" t="str">
        <f>PMtbl[[#This Row],[Category]]&amp;PMtbl[[#This Row],[Each]]&amp;PMtbl[[#This Row],[Packaging]]</f>
        <v>COVID Diagnostics reagents &amp; consumablesCOVID Tests / Diagnostic Reagents &amp; CartridgesBGI Real-time fluorescent RT-PCR kit for detecting 2019- nCoV</v>
      </c>
      <c r="K65">
        <v>0</v>
      </c>
      <c r="L65" s="236">
        <v>5.6</v>
      </c>
      <c r="M65" s="234" t="s">
        <v>180</v>
      </c>
      <c r="N65" s="236"/>
      <c r="O65" s="825" t="s">
        <v>14</v>
      </c>
      <c r="P65" s="825"/>
      <c r="R65" s="220" t="e">
        <f>INDEX(PMtbl[Component],MATCH(U65,PMtbl[Category],0),)</f>
        <v>#N/A</v>
      </c>
      <c r="S65" s="220" t="e">
        <f>INDEX(PMtbl[WKst],MATCH(U65,PMtbl[Category],0),)</f>
        <v>#N/A</v>
      </c>
      <c r="T65" s="220" t="e">
        <f>INDEX(PMtbl[Sec],MATCH(U65,PMtbl[Category],0),)</f>
        <v>#N/A</v>
      </c>
      <c r="U65" s="241" t="e" cm="1">
        <f t="array" ref="U65">INDEX(PMtbl[Category],MATCH(0,INDEX(COUNTIF($U$2:U64,PMtbl[Category]),),0))</f>
        <v>#N/A</v>
      </c>
      <c r="X65" s="90" t="s">
        <v>2750</v>
      </c>
      <c r="Y65" s="90">
        <v>3</v>
      </c>
      <c r="Z65" s="90" t="s">
        <v>2762</v>
      </c>
      <c r="AA65" s="90" t="s">
        <v>1925</v>
      </c>
      <c r="AB65"/>
      <c r="AC65" s="243"/>
      <c r="AD65" s="243"/>
      <c r="AE65" s="243"/>
      <c r="AF65" s="243"/>
    </row>
    <row r="66" spans="1:32" x14ac:dyDescent="0.35">
      <c r="A66" s="825" t="s">
        <v>2749</v>
      </c>
      <c r="B66" s="825" t="s">
        <v>2750</v>
      </c>
      <c r="C66" s="825">
        <v>1</v>
      </c>
      <c r="D66" s="825" t="s">
        <v>15</v>
      </c>
      <c r="E66" s="825" t="s">
        <v>16</v>
      </c>
      <c r="F66" s="220">
        <v>64</v>
      </c>
      <c r="G66" s="825" t="s">
        <v>2817</v>
      </c>
      <c r="H66" s="825" t="s">
        <v>2820</v>
      </c>
      <c r="I66" s="220" t="s">
        <v>82</v>
      </c>
      <c r="J66" s="220" t="str">
        <f>PMtbl[[#This Row],[Category]]&amp;PMtbl[[#This Row],[Each]]&amp;PMtbl[[#This Row],[Packaging]]</f>
        <v>COVID Diagnostics reagents &amp; consumablesCOVID Tests / Diagnostic Reagents &amp; CartridgesCepheid Xpert® Xpress SARS-CoV-2 10 tests</v>
      </c>
      <c r="K66">
        <v>0</v>
      </c>
      <c r="L66" s="236">
        <v>5.6</v>
      </c>
      <c r="M66" s="234" t="s">
        <v>180</v>
      </c>
      <c r="N66" s="236"/>
      <c r="O66" s="825" t="s">
        <v>14</v>
      </c>
      <c r="P66" s="825"/>
      <c r="R66" s="220" t="e">
        <f>INDEX(PMtbl[Component],MATCH(U66,PMtbl[Category],0),)</f>
        <v>#N/A</v>
      </c>
      <c r="S66" s="220" t="e">
        <f>INDEX(PMtbl[WKst],MATCH(U66,PMtbl[Category],0),)</f>
        <v>#N/A</v>
      </c>
      <c r="T66" s="220" t="e">
        <f>INDEX(PMtbl[Sec],MATCH(U66,PMtbl[Category],0),)</f>
        <v>#N/A</v>
      </c>
      <c r="U66" s="241" t="e" cm="1">
        <f t="array" ref="U66">INDEX(PMtbl[Category],MATCH(0,INDEX(COUNTIF($U$2:U65,PMtbl[Category]),),0))</f>
        <v>#N/A</v>
      </c>
      <c r="X66" s="90" t="s">
        <v>2750</v>
      </c>
      <c r="Y66" s="90">
        <v>3</v>
      </c>
      <c r="Z66" s="90" t="s">
        <v>2763</v>
      </c>
      <c r="AA66" s="90" t="s">
        <v>2150</v>
      </c>
      <c r="AB66"/>
      <c r="AC66" s="243"/>
      <c r="AD66" s="243"/>
      <c r="AE66" s="243"/>
      <c r="AF66" s="243"/>
    </row>
    <row r="67" spans="1:32" x14ac:dyDescent="0.35">
      <c r="A67" s="825" t="s">
        <v>2749</v>
      </c>
      <c r="B67" s="825" t="s">
        <v>2750</v>
      </c>
      <c r="C67" s="825">
        <v>1</v>
      </c>
      <c r="D67" s="825" t="s">
        <v>15</v>
      </c>
      <c r="E67" s="825" t="s">
        <v>16</v>
      </c>
      <c r="F67" s="220">
        <v>65</v>
      </c>
      <c r="G67" s="825" t="s">
        <v>2817</v>
      </c>
      <c r="H67" s="825" t="s">
        <v>2821</v>
      </c>
      <c r="I67" s="220" t="s">
        <v>82</v>
      </c>
      <c r="J67" s="220" t="str">
        <f>PMtbl[[#This Row],[Category]]&amp;PMtbl[[#This Row],[Each]]&amp;PMtbl[[#This Row],[Packaging]]</f>
        <v>COVID Diagnostics reagents &amp; consumablesCOVID Tests / Diagnostic Reagents &amp; CartridgesHologic Aptima SARS-CoV-2 assay</v>
      </c>
      <c r="K67">
        <v>0</v>
      </c>
      <c r="L67" s="236">
        <v>5.6</v>
      </c>
      <c r="M67" s="234" t="s">
        <v>180</v>
      </c>
      <c r="N67" s="236"/>
      <c r="O67" s="825" t="s">
        <v>14</v>
      </c>
      <c r="P67" s="825"/>
      <c r="R67" s="220" t="e">
        <f>INDEX(PMtbl[Component],MATCH(U67,PMtbl[Category],0),)</f>
        <v>#N/A</v>
      </c>
      <c r="S67" s="220" t="e">
        <f>INDEX(PMtbl[WKst],MATCH(U67,PMtbl[Category],0),)</f>
        <v>#N/A</v>
      </c>
      <c r="T67" s="220" t="e">
        <f>INDEX(PMtbl[Sec],MATCH(U67,PMtbl[Category],0),)</f>
        <v>#N/A</v>
      </c>
      <c r="U67" s="241" t="e" cm="1">
        <f t="array" ref="U67">INDEX(PMtbl[Category],MATCH(0,INDEX(COUNTIF($U$2:U66,PMtbl[Category]),),0))</f>
        <v>#N/A</v>
      </c>
      <c r="X67" s="90" t="s">
        <v>2750</v>
      </c>
      <c r="Y67" s="90">
        <v>3</v>
      </c>
      <c r="Z67" s="90" t="s">
        <v>2763</v>
      </c>
      <c r="AA67" s="90" t="s">
        <v>2151</v>
      </c>
      <c r="AB67"/>
      <c r="AC67" s="243"/>
      <c r="AD67" s="243"/>
      <c r="AE67" s="243"/>
      <c r="AF67" s="243"/>
    </row>
    <row r="68" spans="1:32" x14ac:dyDescent="0.35">
      <c r="A68" s="825" t="s">
        <v>2749</v>
      </c>
      <c r="B68" s="825" t="s">
        <v>2750</v>
      </c>
      <c r="C68" s="825">
        <v>1</v>
      </c>
      <c r="D68" s="825" t="s">
        <v>15</v>
      </c>
      <c r="E68" s="825" t="s">
        <v>16</v>
      </c>
      <c r="F68" s="220">
        <v>66</v>
      </c>
      <c r="G68" s="825" t="s">
        <v>2817</v>
      </c>
      <c r="H68" s="825" t="s">
        <v>2822</v>
      </c>
      <c r="I68" s="220" t="s">
        <v>82</v>
      </c>
      <c r="J68" s="220" t="str">
        <f>PMtbl[[#This Row],[Category]]&amp;PMtbl[[#This Row],[Each]]&amp;PMtbl[[#This Row],[Packaging]]</f>
        <v>COVID Diagnostics reagents &amp; consumablesCOVID Tests / Diagnostic Reagents &amp; CartridgesOther automated tests - please specify in the comments column</v>
      </c>
      <c r="K68">
        <v>0</v>
      </c>
      <c r="L68" s="236">
        <v>5.6</v>
      </c>
      <c r="M68" s="234" t="s">
        <v>180</v>
      </c>
      <c r="N68" s="236"/>
      <c r="O68" s="825" t="s">
        <v>14</v>
      </c>
      <c r="P68" s="825"/>
      <c r="R68" s="220" t="e">
        <f>INDEX(PMtbl[Component],MATCH(U68,PMtbl[Category],0),)</f>
        <v>#N/A</v>
      </c>
      <c r="S68" s="220" t="e">
        <f>INDEX(PMtbl[WKst],MATCH(U68,PMtbl[Category],0),)</f>
        <v>#N/A</v>
      </c>
      <c r="T68" s="220" t="e">
        <f>INDEX(PMtbl[Sec],MATCH(U68,PMtbl[Category],0),)</f>
        <v>#N/A</v>
      </c>
      <c r="U68" s="241" t="e" cm="1">
        <f t="array" ref="U68">INDEX(PMtbl[Category],MATCH(0,INDEX(COUNTIF($U$2:U67,PMtbl[Category]),),0))</f>
        <v>#N/A</v>
      </c>
      <c r="X68" s="90" t="s">
        <v>2750</v>
      </c>
      <c r="Y68" s="90">
        <v>3</v>
      </c>
      <c r="Z68" s="90" t="s">
        <v>2763</v>
      </c>
      <c r="AA68" s="90" t="s">
        <v>2152</v>
      </c>
      <c r="AB68"/>
      <c r="AC68" s="243"/>
      <c r="AD68" s="243"/>
      <c r="AE68" s="243"/>
      <c r="AF68" s="243"/>
    </row>
    <row r="69" spans="1:32" x14ac:dyDescent="0.35">
      <c r="A69" s="825" t="s">
        <v>2749</v>
      </c>
      <c r="B69" s="825" t="s">
        <v>2750</v>
      </c>
      <c r="C69" s="825">
        <v>1</v>
      </c>
      <c r="D69" s="825" t="s">
        <v>15</v>
      </c>
      <c r="E69" s="825" t="s">
        <v>16</v>
      </c>
      <c r="F69" s="220">
        <v>67</v>
      </c>
      <c r="G69" s="825" t="s">
        <v>2817</v>
      </c>
      <c r="H69" s="825" t="s">
        <v>2823</v>
      </c>
      <c r="I69" s="220" t="s">
        <v>82</v>
      </c>
      <c r="J69" s="220" t="str">
        <f>PMtbl[[#This Row],[Category]]&amp;PMtbl[[#This Row],[Each]]&amp;PMtbl[[#This Row],[Packaging]]</f>
        <v>COVID Diagnostics reagents &amp; consumablesCOVID Tests / Diagnostic Reagents &amp; CartridgesOther manual tests - please specify in the comments column</v>
      </c>
      <c r="K69">
        <v>0</v>
      </c>
      <c r="L69" s="236">
        <v>5.6</v>
      </c>
      <c r="M69" s="234" t="s">
        <v>180</v>
      </c>
      <c r="N69" s="236"/>
      <c r="O69" s="825" t="s">
        <v>14</v>
      </c>
      <c r="P69" s="825"/>
      <c r="R69" s="220" t="e">
        <f>INDEX(PMtbl[Component],MATCH(U69,PMtbl[Category],0),)</f>
        <v>#N/A</v>
      </c>
      <c r="S69" s="220" t="e">
        <f>INDEX(PMtbl[WKst],MATCH(U69,PMtbl[Category],0),)</f>
        <v>#N/A</v>
      </c>
      <c r="T69" s="220" t="e">
        <f>INDEX(PMtbl[Sec],MATCH(U69,PMtbl[Category],0),)</f>
        <v>#N/A</v>
      </c>
      <c r="U69" s="241" t="e" cm="1">
        <f t="array" ref="U69">INDEX(PMtbl[Category],MATCH(0,INDEX(COUNTIF($U$2:U68,PMtbl[Category]),),0))</f>
        <v>#N/A</v>
      </c>
      <c r="X69" s="90" t="s">
        <v>2750</v>
      </c>
      <c r="Y69" s="90">
        <v>3</v>
      </c>
      <c r="Z69" s="90" t="s">
        <v>2763</v>
      </c>
      <c r="AA69" s="90" t="s">
        <v>2153</v>
      </c>
      <c r="AB69"/>
      <c r="AC69" s="243"/>
      <c r="AD69" s="243"/>
      <c r="AE69" s="243"/>
      <c r="AF69" s="243"/>
    </row>
    <row r="70" spans="1:32" x14ac:dyDescent="0.35">
      <c r="A70" s="825" t="s">
        <v>2749</v>
      </c>
      <c r="B70" s="825" t="s">
        <v>2750</v>
      </c>
      <c r="C70" s="825">
        <v>1</v>
      </c>
      <c r="D70" s="825" t="s">
        <v>15</v>
      </c>
      <c r="E70" s="825" t="s">
        <v>16</v>
      </c>
      <c r="F70" s="220">
        <v>68</v>
      </c>
      <c r="G70" s="825" t="s">
        <v>2817</v>
      </c>
      <c r="H70" s="825" t="s">
        <v>2824</v>
      </c>
      <c r="I70" s="220" t="s">
        <v>82</v>
      </c>
      <c r="J70" s="220" t="str">
        <f>PMtbl[[#This Row],[Category]]&amp;PMtbl[[#This Row],[Each]]&amp;PMtbl[[#This Row],[Packaging]]</f>
        <v>COVID Diagnostics reagents &amp; consumablesCOVID Tests / Diagnostic Reagents &amp; CartridgesQiagen QIAamp Viral RNA extraction kit</v>
      </c>
      <c r="K70">
        <v>0</v>
      </c>
      <c r="L70" s="236">
        <v>5.6</v>
      </c>
      <c r="M70" s="234" t="s">
        <v>180</v>
      </c>
      <c r="N70" s="236"/>
      <c r="O70" s="825" t="s">
        <v>14</v>
      </c>
      <c r="P70" s="825"/>
      <c r="R70" s="220" t="e">
        <f>INDEX(PMtbl[Component],MATCH(U70,PMtbl[Category],0),)</f>
        <v>#N/A</v>
      </c>
      <c r="S70" s="220" t="e">
        <f>INDEX(PMtbl[WKst],MATCH(U70,PMtbl[Category],0),)</f>
        <v>#N/A</v>
      </c>
      <c r="T70" s="220" t="e">
        <f>INDEX(PMtbl[Sec],MATCH(U70,PMtbl[Category],0),)</f>
        <v>#N/A</v>
      </c>
      <c r="U70" s="241" t="e" cm="1">
        <f t="array" ref="U70">INDEX(PMtbl[Category],MATCH(0,INDEX(COUNTIF($U$2:U69,PMtbl[Category]),),0))</f>
        <v>#N/A</v>
      </c>
      <c r="X70" s="90" t="s">
        <v>2750</v>
      </c>
      <c r="Y70" s="90">
        <v>3</v>
      </c>
      <c r="Z70" s="90" t="s">
        <v>2763</v>
      </c>
      <c r="AA70" s="90" t="s">
        <v>2954</v>
      </c>
      <c r="AB70"/>
      <c r="AC70" s="243"/>
      <c r="AD70" s="243"/>
      <c r="AE70" s="243"/>
      <c r="AF70" s="243"/>
    </row>
    <row r="71" spans="1:32" x14ac:dyDescent="0.35">
      <c r="A71" s="825" t="s">
        <v>2749</v>
      </c>
      <c r="B71" s="825" t="s">
        <v>2750</v>
      </c>
      <c r="C71" s="825">
        <v>1</v>
      </c>
      <c r="D71" s="825" t="s">
        <v>15</v>
      </c>
      <c r="E71" s="825" t="s">
        <v>16</v>
      </c>
      <c r="F71" s="220">
        <v>69</v>
      </c>
      <c r="G71" s="825" t="s">
        <v>2817</v>
      </c>
      <c r="H71" s="825" t="s">
        <v>2825</v>
      </c>
      <c r="I71" s="220" t="s">
        <v>82</v>
      </c>
      <c r="J71" s="220" t="str">
        <f>PMtbl[[#This Row],[Category]]&amp;PMtbl[[#This Row],[Each]]&amp;PMtbl[[#This Row],[Packaging]]</f>
        <v>COVID Diagnostics reagents &amp; consumablesCOVID Tests / Diagnostic Reagents &amp; CartridgesRoche Cobas SARS-CoV-2 RT-PCR Kit 96 tests</v>
      </c>
      <c r="K71">
        <v>0</v>
      </c>
      <c r="L71" s="236">
        <v>5.6</v>
      </c>
      <c r="M71" s="234" t="s">
        <v>180</v>
      </c>
      <c r="N71" s="236"/>
      <c r="O71" s="825" t="s">
        <v>14</v>
      </c>
      <c r="P71" s="825"/>
      <c r="R71" s="220" t="e">
        <f>INDEX(PMtbl[Component],MATCH(U71,PMtbl[Category],0),)</f>
        <v>#N/A</v>
      </c>
      <c r="S71" s="220" t="e">
        <f>INDEX(PMtbl[WKst],MATCH(U71,PMtbl[Category],0),)</f>
        <v>#N/A</v>
      </c>
      <c r="T71" s="220" t="e">
        <f>INDEX(PMtbl[Sec],MATCH(U71,PMtbl[Category],0),)</f>
        <v>#N/A</v>
      </c>
      <c r="U71" s="241" t="e" cm="1">
        <f t="array" ref="U71">INDEX(PMtbl[Category],MATCH(0,INDEX(COUNTIF($U$2:U70,PMtbl[Category]),),0))</f>
        <v>#N/A</v>
      </c>
      <c r="X71" s="90" t="s">
        <v>2750</v>
      </c>
      <c r="Y71" s="90">
        <v>3</v>
      </c>
      <c r="Z71" s="90" t="s">
        <v>2763</v>
      </c>
      <c r="AA71" s="90" t="s">
        <v>2956</v>
      </c>
      <c r="AB71"/>
      <c r="AC71" s="243"/>
      <c r="AD71" s="243"/>
      <c r="AE71" s="243"/>
      <c r="AF71" s="243"/>
    </row>
    <row r="72" spans="1:32" x14ac:dyDescent="0.35">
      <c r="A72" s="825" t="s">
        <v>2749</v>
      </c>
      <c r="B72" s="825" t="s">
        <v>2750</v>
      </c>
      <c r="C72" s="825">
        <v>1</v>
      </c>
      <c r="D72" s="825" t="s">
        <v>15</v>
      </c>
      <c r="E72" s="825" t="s">
        <v>16</v>
      </c>
      <c r="F72" s="220">
        <v>70</v>
      </c>
      <c r="G72" s="825" t="s">
        <v>2817</v>
      </c>
      <c r="H72" s="825" t="s">
        <v>2826</v>
      </c>
      <c r="I72" s="220" t="s">
        <v>82</v>
      </c>
      <c r="J72" s="220" t="str">
        <f>PMtbl[[#This Row],[Category]]&amp;PMtbl[[#This Row],[Each]]&amp;PMtbl[[#This Row],[Packaging]]</f>
        <v>COVID Diagnostics reagents &amp; consumablesCOVID Tests / Diagnostic Reagents &amp; CartridgesThermo Fisher MagMAX Viral/Pathogen Nucleic Acid Isolation Kit</v>
      </c>
      <c r="K72">
        <v>0</v>
      </c>
      <c r="L72" s="236">
        <v>5.6</v>
      </c>
      <c r="M72" s="234" t="s">
        <v>180</v>
      </c>
      <c r="N72" s="236"/>
      <c r="O72" s="825" t="s">
        <v>14</v>
      </c>
      <c r="P72" s="825"/>
      <c r="R72" s="220" t="e">
        <f>INDEX(PMtbl[Component],MATCH(U72,PMtbl[Category],0),)</f>
        <v>#N/A</v>
      </c>
      <c r="S72" s="220" t="e">
        <f>INDEX(PMtbl[WKst],MATCH(U72,PMtbl[Category],0),)</f>
        <v>#N/A</v>
      </c>
      <c r="T72" s="220" t="e">
        <f>INDEX(PMtbl[Sec],MATCH(U72,PMtbl[Category],0),)</f>
        <v>#N/A</v>
      </c>
      <c r="U72" s="241" t="e" cm="1">
        <f t="array" ref="U72">INDEX(PMtbl[Category],MATCH(0,INDEX(COUNTIF($U$2:U71,PMtbl[Category]),),0))</f>
        <v>#N/A</v>
      </c>
      <c r="X72" s="90" t="s">
        <v>2750</v>
      </c>
      <c r="Y72" s="90">
        <v>3</v>
      </c>
      <c r="Z72" s="90" t="s">
        <v>2763</v>
      </c>
      <c r="AA72" s="90" t="s">
        <v>2958</v>
      </c>
      <c r="AB72"/>
      <c r="AC72" s="243"/>
      <c r="AD72" s="243"/>
      <c r="AE72" s="243"/>
      <c r="AF72" s="243"/>
    </row>
    <row r="73" spans="1:32" x14ac:dyDescent="0.35">
      <c r="A73" s="825" t="s">
        <v>2749</v>
      </c>
      <c r="B73" s="825" t="s">
        <v>2750</v>
      </c>
      <c r="C73" s="825">
        <v>1</v>
      </c>
      <c r="D73" s="825" t="s">
        <v>15</v>
      </c>
      <c r="E73" s="825" t="s">
        <v>16</v>
      </c>
      <c r="F73" s="220">
        <v>71</v>
      </c>
      <c r="G73" s="825" t="s">
        <v>2817</v>
      </c>
      <c r="H73" s="825" t="s">
        <v>2827</v>
      </c>
      <c r="I73" s="220" t="s">
        <v>82</v>
      </c>
      <c r="J73" s="220" t="str">
        <f>PMtbl[[#This Row],[Category]]&amp;PMtbl[[#This Row],[Each]]&amp;PMtbl[[#This Row],[Packaging]]</f>
        <v>COVID Diagnostics reagents &amp; consumablesCOVID Tests / Diagnostic Reagents &amp; CartridgesThermo Fisher TaqPath COVID-19 CE-IVD RT-PCR Kit</v>
      </c>
      <c r="K73">
        <v>0</v>
      </c>
      <c r="L73" s="236">
        <v>5.6</v>
      </c>
      <c r="M73" s="234" t="s">
        <v>180</v>
      </c>
      <c r="N73" s="236"/>
      <c r="O73" s="825" t="s">
        <v>14</v>
      </c>
      <c r="P73" s="825"/>
      <c r="R73" s="220" t="e">
        <f>INDEX(PMtbl[Component],MATCH(U73,PMtbl[Category],0),)</f>
        <v>#N/A</v>
      </c>
      <c r="S73" s="220" t="e">
        <f>INDEX(PMtbl[WKst],MATCH(U73,PMtbl[Category],0),)</f>
        <v>#N/A</v>
      </c>
      <c r="T73" s="220" t="e">
        <f>INDEX(PMtbl[Sec],MATCH(U73,PMtbl[Category],0),)</f>
        <v>#N/A</v>
      </c>
      <c r="U73" s="241" t="e" cm="1">
        <f t="array" ref="U73">INDEX(PMtbl[Category],MATCH(0,INDEX(COUNTIF($U$2:U72,PMtbl[Category]),),0))</f>
        <v>#N/A</v>
      </c>
      <c r="X73" s="90" t="s">
        <v>2750</v>
      </c>
      <c r="Y73" s="90">
        <v>3</v>
      </c>
      <c r="Z73" s="90" t="s">
        <v>2763</v>
      </c>
      <c r="AA73" s="90" t="s">
        <v>2959</v>
      </c>
      <c r="AB73"/>
      <c r="AC73" s="243"/>
      <c r="AD73" s="243"/>
      <c r="AE73" s="243"/>
      <c r="AF73" s="243"/>
    </row>
    <row r="74" spans="1:32" x14ac:dyDescent="0.35">
      <c r="A74" s="825" t="s">
        <v>2749</v>
      </c>
      <c r="B74" s="825" t="s">
        <v>2750</v>
      </c>
      <c r="C74" s="825">
        <v>2</v>
      </c>
      <c r="D74" s="825" t="s">
        <v>17</v>
      </c>
      <c r="E74" s="825" t="s">
        <v>2758</v>
      </c>
      <c r="F74" s="220">
        <v>76</v>
      </c>
      <c r="G74" s="825" t="s">
        <v>2832</v>
      </c>
      <c r="H74" s="825" t="s">
        <v>2833</v>
      </c>
      <c r="I74" s="220" t="s">
        <v>82</v>
      </c>
      <c r="J74" s="220" t="str">
        <f>PMtbl[[#This Row],[Category]]&amp;PMtbl[[#This Row],[Each]]&amp;PMtbl[[#This Row],[Packaging]]</f>
        <v>Medical Oxygen - consumablesAirwayNasopharyngeal airway</v>
      </c>
      <c r="K74">
        <v>0</v>
      </c>
      <c r="L74" s="930">
        <v>5.12</v>
      </c>
      <c r="M74" s="234" t="s">
        <v>1996</v>
      </c>
      <c r="N74" s="236"/>
      <c r="O74" s="825" t="s">
        <v>12</v>
      </c>
      <c r="P74" s="825"/>
      <c r="R74" s="220" t="e">
        <f>INDEX(PMtbl[Component],MATCH(U74,PMtbl[Category],0),)</f>
        <v>#N/A</v>
      </c>
      <c r="S74" s="220" t="e">
        <f>INDEX(PMtbl[WKst],MATCH(U74,PMtbl[Category],0),)</f>
        <v>#N/A</v>
      </c>
      <c r="T74" s="220" t="e">
        <f>INDEX(PMtbl[Sec],MATCH(U74,PMtbl[Category],0),)</f>
        <v>#N/A</v>
      </c>
      <c r="U74" s="241" t="e" cm="1">
        <f t="array" ref="U74">INDEX(PMtbl[Category],MATCH(0,INDEX(COUNTIF($U$2:U73,PMtbl[Category]),),0))</f>
        <v>#N/A</v>
      </c>
      <c r="X74" s="90" t="s">
        <v>2750</v>
      </c>
      <c r="Y74" s="90">
        <v>3</v>
      </c>
      <c r="Z74" s="90" t="s">
        <v>2761</v>
      </c>
      <c r="AA74" s="90" t="s">
        <v>2921</v>
      </c>
      <c r="AB74"/>
      <c r="AC74" s="243"/>
      <c r="AD74" s="243"/>
      <c r="AE74" s="243"/>
      <c r="AF74" s="243"/>
    </row>
    <row r="75" spans="1:32" x14ac:dyDescent="0.35">
      <c r="A75" s="825" t="s">
        <v>2749</v>
      </c>
      <c r="B75" s="825" t="s">
        <v>2750</v>
      </c>
      <c r="C75" s="825">
        <v>2</v>
      </c>
      <c r="D75" s="825" t="s">
        <v>17</v>
      </c>
      <c r="E75" s="825" t="s">
        <v>2758</v>
      </c>
      <c r="F75" s="220">
        <v>77</v>
      </c>
      <c r="G75" s="825" t="s">
        <v>2832</v>
      </c>
      <c r="H75" s="825" t="s">
        <v>2834</v>
      </c>
      <c r="I75" s="220" t="s">
        <v>82</v>
      </c>
      <c r="J75" s="220" t="str">
        <f>PMtbl[[#This Row],[Category]]&amp;PMtbl[[#This Row],[Each]]&amp;PMtbl[[#This Row],[Packaging]]</f>
        <v>Medical Oxygen - consumablesAirwayOropharyngeal airway,Guedel, sterile,single-use</v>
      </c>
      <c r="K75">
        <v>0</v>
      </c>
      <c r="L75" s="930">
        <v>5.12</v>
      </c>
      <c r="M75" s="234" t="s">
        <v>1996</v>
      </c>
      <c r="N75" s="236"/>
      <c r="O75" s="825" t="s">
        <v>12</v>
      </c>
      <c r="P75" s="825"/>
      <c r="R75" s="220" t="e">
        <f>INDEX(PMtbl[Component],MATCH(U75,PMtbl[Category],0),)</f>
        <v>#N/A</v>
      </c>
      <c r="S75" s="220" t="e">
        <f>INDEX(PMtbl[WKst],MATCH(U75,PMtbl[Category],0),)</f>
        <v>#N/A</v>
      </c>
      <c r="T75" s="220" t="e">
        <f>INDEX(PMtbl[Sec],MATCH(U75,PMtbl[Category],0),)</f>
        <v>#N/A</v>
      </c>
      <c r="U75" s="241" t="e" cm="1">
        <f t="array" ref="U75">INDEX(PMtbl[Category],MATCH(0,INDEX(COUNTIF($U$2:U74,PMtbl[Category]),),0))</f>
        <v>#N/A</v>
      </c>
      <c r="X75" s="90" t="s">
        <v>2750</v>
      </c>
      <c r="Y75" s="90">
        <v>3</v>
      </c>
      <c r="Z75" s="90" t="s">
        <v>2761</v>
      </c>
      <c r="AA75" s="90" t="s">
        <v>2923</v>
      </c>
      <c r="AB75"/>
      <c r="AC75" s="243"/>
      <c r="AD75" s="243"/>
      <c r="AE75" s="243"/>
      <c r="AF75" s="243"/>
    </row>
    <row r="76" spans="1:32" x14ac:dyDescent="0.35">
      <c r="A76" s="825" t="s">
        <v>2749</v>
      </c>
      <c r="B76" s="825" t="s">
        <v>2750</v>
      </c>
      <c r="C76" s="825">
        <v>2</v>
      </c>
      <c r="D76" s="825" t="s">
        <v>17</v>
      </c>
      <c r="E76" s="825" t="s">
        <v>2758</v>
      </c>
      <c r="F76" s="220">
        <v>78</v>
      </c>
      <c r="G76" s="825" t="s">
        <v>2835</v>
      </c>
      <c r="H76" s="825" t="s">
        <v>2836</v>
      </c>
      <c r="I76" s="220" t="s">
        <v>82</v>
      </c>
      <c r="J76" s="220" t="str">
        <f>PMtbl[[#This Row],[Category]]&amp;PMtbl[[#This Row],[Each]]&amp;PMtbl[[#This Row],[Packaging]]</f>
        <v>Medical Oxygen - consumablesCO2 detectorColorimetric end tidal CO2 detector</v>
      </c>
      <c r="K76">
        <v>0</v>
      </c>
      <c r="L76" s="930">
        <v>5.12</v>
      </c>
      <c r="M76" s="234" t="s">
        <v>1996</v>
      </c>
      <c r="N76" s="236"/>
      <c r="O76" s="825" t="s">
        <v>12</v>
      </c>
      <c r="P76" s="825"/>
      <c r="R76" s="220" t="e">
        <f>INDEX(PMtbl[Component],MATCH(U76,PMtbl[Category],0),)</f>
        <v>#N/A</v>
      </c>
      <c r="S76" s="220" t="e">
        <f>INDEX(PMtbl[WKst],MATCH(U76,PMtbl[Category],0),)</f>
        <v>#N/A</v>
      </c>
      <c r="T76" s="220" t="e">
        <f>INDEX(PMtbl[Sec],MATCH(U76,PMtbl[Category],0),)</f>
        <v>#N/A</v>
      </c>
      <c r="U76" s="241" t="e" cm="1">
        <f t="array" ref="U76">INDEX(PMtbl[Category],MATCH(0,INDEX(COUNTIF($U$2:U75,PMtbl[Category]),),0))</f>
        <v>#N/A</v>
      </c>
      <c r="X76" s="90" t="s">
        <v>2750</v>
      </c>
      <c r="Y76" s="90">
        <v>3</v>
      </c>
      <c r="Z76" s="90" t="s">
        <v>2761</v>
      </c>
      <c r="AA76" s="90" t="s">
        <v>2925</v>
      </c>
      <c r="AB76"/>
      <c r="AC76" s="243"/>
      <c r="AD76" s="243"/>
      <c r="AE76" s="243"/>
      <c r="AF76" s="243"/>
    </row>
    <row r="77" spans="1:32" ht="15" customHeight="1" x14ac:dyDescent="0.35">
      <c r="A77" s="825" t="s">
        <v>2749</v>
      </c>
      <c r="B77" s="825" t="s">
        <v>2750</v>
      </c>
      <c r="C77" s="825">
        <v>2</v>
      </c>
      <c r="D77" s="825" t="s">
        <v>17</v>
      </c>
      <c r="E77" s="825" t="s">
        <v>2758</v>
      </c>
      <c r="F77" s="220">
        <v>79</v>
      </c>
      <c r="G77" s="825" t="s">
        <v>2837</v>
      </c>
      <c r="H77" s="825" t="s">
        <v>2838</v>
      </c>
      <c r="I77" s="220" t="s">
        <v>82</v>
      </c>
      <c r="J77" s="220" t="str">
        <f>PMtbl[[#This Row],[Category]]&amp;PMtbl[[#This Row],[Each]]&amp;PMtbl[[#This Row],[Packaging]]</f>
        <v>Medical Oxygen - consumablesCricothyrotomySet, emergency, 6 mm, sterile, single use</v>
      </c>
      <c r="K77">
        <v>0</v>
      </c>
      <c r="L77" s="930">
        <v>5.12</v>
      </c>
      <c r="M77" s="234" t="s">
        <v>1996</v>
      </c>
      <c r="N77" s="236"/>
      <c r="O77" s="825" t="s">
        <v>12</v>
      </c>
      <c r="P77" s="825"/>
      <c r="R77" s="220" t="e">
        <f>INDEX(PMtbl[Component],MATCH(U77,PMtbl[Category],0),)</f>
        <v>#N/A</v>
      </c>
      <c r="S77" s="220" t="e">
        <f>INDEX(PMtbl[WKst],MATCH(U77,PMtbl[Category],0),)</f>
        <v>#N/A</v>
      </c>
      <c r="T77" s="220" t="e">
        <f>INDEX(PMtbl[Sec],MATCH(U77,PMtbl[Category],0),)</f>
        <v>#N/A</v>
      </c>
      <c r="U77" s="241" t="e" cm="1">
        <f t="array" ref="U77">INDEX(PMtbl[Category],MATCH(0,INDEX(COUNTIF($U$2:U76,PMtbl[Category]),),0))</f>
        <v>#N/A</v>
      </c>
      <c r="X77" s="90" t="s">
        <v>2750</v>
      </c>
      <c r="Y77" s="90">
        <v>3</v>
      </c>
      <c r="Z77" s="90" t="s">
        <v>2761</v>
      </c>
      <c r="AA77" s="90" t="s">
        <v>2927</v>
      </c>
      <c r="AB77"/>
      <c r="AC77" s="243"/>
      <c r="AD77" s="243"/>
      <c r="AE77" s="243"/>
      <c r="AF77" s="243"/>
    </row>
    <row r="78" spans="1:32" x14ac:dyDescent="0.35">
      <c r="A78" s="825" t="s">
        <v>2749</v>
      </c>
      <c r="B78" s="825" t="s">
        <v>2750</v>
      </c>
      <c r="C78" s="825">
        <v>2</v>
      </c>
      <c r="D78" s="825" t="s">
        <v>17</v>
      </c>
      <c r="E78" s="825" t="s">
        <v>2758</v>
      </c>
      <c r="F78" s="220">
        <v>80</v>
      </c>
      <c r="G78" s="825" t="s">
        <v>2839</v>
      </c>
      <c r="H78" s="825" t="s">
        <v>2840</v>
      </c>
      <c r="I78" s="220" t="s">
        <v>82</v>
      </c>
      <c r="J78" s="220" t="str">
        <f>PMtbl[[#This Row],[Category]]&amp;PMtbl[[#This Row],[Each]]&amp;PMtbl[[#This Row],[Packaging]]</f>
        <v>Medical Oxygen - consumablesEndotracheal tubeEndotracheal tube (specify in comments with cuff, without cuff)</v>
      </c>
      <c r="K78">
        <v>0</v>
      </c>
      <c r="L78" s="930">
        <v>5.12</v>
      </c>
      <c r="M78" s="234" t="s">
        <v>1996</v>
      </c>
      <c r="N78" s="236"/>
      <c r="O78" s="825" t="s">
        <v>12</v>
      </c>
      <c r="P78" s="825"/>
      <c r="R78" s="220" t="e">
        <f>INDEX(PMtbl[Component],MATCH(U78,PMtbl[Category],0),)</f>
        <v>#N/A</v>
      </c>
      <c r="S78" s="220" t="e">
        <f>INDEX(PMtbl[WKst],MATCH(U78,PMtbl[Category],0),)</f>
        <v>#N/A</v>
      </c>
      <c r="T78" s="220" t="e">
        <f>INDEX(PMtbl[Sec],MATCH(U78,PMtbl[Category],0),)</f>
        <v>#N/A</v>
      </c>
      <c r="U78" s="241" t="e" cm="1">
        <f t="array" ref="U78">INDEX(PMtbl[Category],MATCH(0,INDEX(COUNTIF($U$2:U77,PMtbl[Category]),),0))</f>
        <v>#N/A</v>
      </c>
      <c r="X78" s="90" t="s">
        <v>2750</v>
      </c>
      <c r="Y78" s="90">
        <v>3</v>
      </c>
      <c r="Z78" s="90" t="s">
        <v>2761</v>
      </c>
      <c r="AA78" s="90" t="s">
        <v>2928</v>
      </c>
      <c r="AB78"/>
      <c r="AC78" s="243"/>
      <c r="AD78" s="243"/>
      <c r="AE78" s="243"/>
      <c r="AF78" s="243"/>
    </row>
    <row r="79" spans="1:32" x14ac:dyDescent="0.35">
      <c r="A79" s="825" t="s">
        <v>2749</v>
      </c>
      <c r="B79" s="825" t="s">
        <v>2750</v>
      </c>
      <c r="C79" s="825">
        <v>2</v>
      </c>
      <c r="D79" s="825" t="s">
        <v>17</v>
      </c>
      <c r="E79" s="825" t="s">
        <v>2758</v>
      </c>
      <c r="F79" s="220">
        <v>81</v>
      </c>
      <c r="G79" s="825" t="s">
        <v>2839</v>
      </c>
      <c r="H79" s="825" t="s">
        <v>2841</v>
      </c>
      <c r="I79" s="220" t="s">
        <v>82</v>
      </c>
      <c r="J79" s="220" t="str">
        <f>PMtbl[[#This Row],[Category]]&amp;PMtbl[[#This Row],[Each]]&amp;PMtbl[[#This Row],[Packaging]]</f>
        <v>Medical Oxygen - consumablesEndotracheal tubeEndotracheal tube introducer (specify in comments Bougie or Stylet)</v>
      </c>
      <c r="K79">
        <v>0</v>
      </c>
      <c r="L79" s="930">
        <v>5.12</v>
      </c>
      <c r="M79" s="234" t="s">
        <v>1996</v>
      </c>
      <c r="N79" s="236"/>
      <c r="O79" s="825" t="s">
        <v>12</v>
      </c>
      <c r="P79" s="825"/>
      <c r="R79" s="220" t="e">
        <f>INDEX(PMtbl[Component],MATCH(U79,PMtbl[Category],0),)</f>
        <v>#N/A</v>
      </c>
      <c r="S79" s="220" t="e">
        <f>INDEX(PMtbl[WKst],MATCH(U79,PMtbl[Category],0),)</f>
        <v>#N/A</v>
      </c>
      <c r="T79" s="220" t="e">
        <f>INDEX(PMtbl[Sec],MATCH(U79,PMtbl[Category],0),)</f>
        <v>#N/A</v>
      </c>
      <c r="U79" s="241" t="e" cm="1">
        <f t="array" ref="U79">INDEX(PMtbl[Category],MATCH(0,INDEX(COUNTIF($U$2:U78,PMtbl[Category]),),0))</f>
        <v>#N/A</v>
      </c>
      <c r="X79" s="90" t="s">
        <v>2750</v>
      </c>
      <c r="Y79" s="90">
        <v>4</v>
      </c>
      <c r="Z79" s="90" t="s">
        <v>26</v>
      </c>
      <c r="AA79" s="90" t="s">
        <v>2961</v>
      </c>
      <c r="AB79"/>
      <c r="AC79" s="243"/>
      <c r="AD79" s="243"/>
      <c r="AE79" s="243"/>
      <c r="AF79" s="243"/>
    </row>
    <row r="80" spans="1:32" x14ac:dyDescent="0.35">
      <c r="A80" s="825" t="s">
        <v>2749</v>
      </c>
      <c r="B80" s="825" t="s">
        <v>2750</v>
      </c>
      <c r="C80" s="825">
        <v>2</v>
      </c>
      <c r="D80" s="825" t="s">
        <v>17</v>
      </c>
      <c r="E80" s="825" t="s">
        <v>2758</v>
      </c>
      <c r="F80" s="220">
        <v>82</v>
      </c>
      <c r="G80" s="825" t="s">
        <v>2842</v>
      </c>
      <c r="H80" s="825" t="s">
        <v>2843</v>
      </c>
      <c r="I80" s="220" t="s">
        <v>82</v>
      </c>
      <c r="J80" s="220" t="str">
        <f>PMtbl[[#This Row],[Category]]&amp;PMtbl[[#This Row],[Each]]&amp;PMtbl[[#This Row],[Packaging]]</f>
        <v>Medical Oxygen - consumablesFlow spitterFlow splitter, for oxygen concentrator, 5 flowmeters, range 0.125 – 2 l/m</v>
      </c>
      <c r="K80">
        <v>0</v>
      </c>
      <c r="L80" s="930">
        <v>5.12</v>
      </c>
      <c r="M80" s="234" t="s">
        <v>1996</v>
      </c>
      <c r="N80" s="236"/>
      <c r="O80" s="825" t="s">
        <v>12</v>
      </c>
      <c r="P80" s="825"/>
      <c r="R80" s="220" t="e">
        <f>INDEX(PMtbl[Component],MATCH(U80,PMtbl[Category],0),)</f>
        <v>#N/A</v>
      </c>
      <c r="S80" s="220" t="e">
        <f>INDEX(PMtbl[WKst],MATCH(U80,PMtbl[Category],0),)</f>
        <v>#N/A</v>
      </c>
      <c r="T80" s="220" t="e">
        <f>INDEX(PMtbl[Sec],MATCH(U80,PMtbl[Category],0),)</f>
        <v>#N/A</v>
      </c>
      <c r="U80" s="241" t="e" cm="1">
        <f t="array" ref="U80">INDEX(PMtbl[Category],MATCH(0,INDEX(COUNTIF($U$2:U79,PMtbl[Category]),),0))</f>
        <v>#N/A</v>
      </c>
      <c r="X80" s="90" t="s">
        <v>2750</v>
      </c>
      <c r="Y80" s="90">
        <v>4</v>
      </c>
      <c r="Z80" s="90" t="s">
        <v>26</v>
      </c>
      <c r="AA80" s="90" t="s">
        <v>2967</v>
      </c>
      <c r="AB80"/>
      <c r="AC80" s="243"/>
      <c r="AD80" s="243"/>
      <c r="AE80" s="243"/>
      <c r="AF80" s="243"/>
    </row>
    <row r="81" spans="1:37" x14ac:dyDescent="0.35">
      <c r="A81" s="825" t="s">
        <v>2749</v>
      </c>
      <c r="B81" s="825" t="s">
        <v>2750</v>
      </c>
      <c r="C81" s="825">
        <v>2</v>
      </c>
      <c r="D81" s="825" t="s">
        <v>17</v>
      </c>
      <c r="E81" s="825" t="s">
        <v>2758</v>
      </c>
      <c r="F81" s="220">
        <v>83</v>
      </c>
      <c r="G81" s="825" t="s">
        <v>2844</v>
      </c>
      <c r="H81" s="825" t="s">
        <v>2845</v>
      </c>
      <c r="I81" s="220" t="s">
        <v>82</v>
      </c>
      <c r="J81" s="220" t="str">
        <f>PMtbl[[#This Row],[Category]]&amp;PMtbl[[#This Row],[Each]]&amp;PMtbl[[#This Row],[Packaging]]</f>
        <v>Medical Oxygen - consumablesFlowmeter, medical O2, Gas CylinderThorpe tube, pressure-compensated, with pressure regulator &amp; pressure-reducing valve, Barbed green “Christmas tree” connector to connect to tubing/patient delivery device</v>
      </c>
      <c r="K81">
        <v>0</v>
      </c>
      <c r="L81" s="930">
        <v>5.12</v>
      </c>
      <c r="M81" s="234" t="s">
        <v>1996</v>
      </c>
      <c r="N81" s="236"/>
      <c r="O81" s="825" t="s">
        <v>12</v>
      </c>
      <c r="P81" s="825"/>
      <c r="R81" s="220" t="e">
        <f>INDEX(PMtbl[Component],MATCH(U81,PMtbl[Category],0),)</f>
        <v>#N/A</v>
      </c>
      <c r="S81" s="220" t="e">
        <f>INDEX(PMtbl[WKst],MATCH(U81,PMtbl[Category],0),)</f>
        <v>#N/A</v>
      </c>
      <c r="T81" s="220" t="e">
        <f>INDEX(PMtbl[Sec],MATCH(U81,PMtbl[Category],0),)</f>
        <v>#N/A</v>
      </c>
      <c r="U81" s="241" t="e" cm="1">
        <f t="array" ref="U81">INDEX(PMtbl[Category],MATCH(0,INDEX(COUNTIF($U$2:U80,PMtbl[Category]),),0))</f>
        <v>#N/A</v>
      </c>
      <c r="X81" s="90" t="s">
        <v>2750</v>
      </c>
      <c r="Y81" s="90">
        <v>4</v>
      </c>
      <c r="Z81" s="90" t="s">
        <v>26</v>
      </c>
      <c r="AA81" s="90" t="s">
        <v>2962</v>
      </c>
      <c r="AB81"/>
      <c r="AC81" s="243"/>
      <c r="AD81" s="243"/>
      <c r="AE81" s="243"/>
      <c r="AF81" s="243"/>
    </row>
    <row r="82" spans="1:37" x14ac:dyDescent="0.35">
      <c r="A82" s="825" t="s">
        <v>2749</v>
      </c>
      <c r="B82" s="825" t="s">
        <v>2750</v>
      </c>
      <c r="C82" s="825">
        <v>2</v>
      </c>
      <c r="D82" s="825" t="s">
        <v>17</v>
      </c>
      <c r="E82" s="825" t="s">
        <v>2758</v>
      </c>
      <c r="F82" s="220">
        <v>84</v>
      </c>
      <c r="G82" s="825" t="s">
        <v>2844</v>
      </c>
      <c r="H82" s="825" t="s">
        <v>2846</v>
      </c>
      <c r="I82" s="220" t="s">
        <v>82</v>
      </c>
      <c r="J82" s="220" t="str">
        <f>PMtbl[[#This Row],[Category]]&amp;PMtbl[[#This Row],[Each]]&amp;PMtbl[[#This Row],[Packaging]]</f>
        <v>Medical Oxygen - consumablesFlowmeter, medical O2, Gas CylinderThorpe tube, pressure-compensated, with pressure regulator &amp; pressure-reducing valve, DISS female/male connector (or other) &amp; adapter to connect with humidifier</v>
      </c>
      <c r="K82">
        <v>0</v>
      </c>
      <c r="L82" s="930">
        <v>5.12</v>
      </c>
      <c r="M82" s="234" t="s">
        <v>1996</v>
      </c>
      <c r="N82" s="236"/>
      <c r="O82" s="825" t="s">
        <v>12</v>
      </c>
      <c r="P82" s="825"/>
      <c r="R82" s="220" t="e">
        <f>INDEX(PMtbl[Component],MATCH(U82,PMtbl[Category],0),)</f>
        <v>#N/A</v>
      </c>
      <c r="S82" s="220" t="e">
        <f>INDEX(PMtbl[WKst],MATCH(U82,PMtbl[Category],0),)</f>
        <v>#N/A</v>
      </c>
      <c r="T82" s="220" t="e">
        <f>INDEX(PMtbl[Sec],MATCH(U82,PMtbl[Category],0),)</f>
        <v>#N/A</v>
      </c>
      <c r="U82" s="241" t="e" cm="1">
        <f t="array" ref="U82">INDEX(PMtbl[Category],MATCH(0,INDEX(COUNTIF($U$2:U81,PMtbl[Category]),),0))</f>
        <v>#N/A</v>
      </c>
      <c r="X82" s="90" t="s">
        <v>2750</v>
      </c>
      <c r="Y82" s="90">
        <v>4</v>
      </c>
      <c r="Z82" s="90" t="s">
        <v>26</v>
      </c>
      <c r="AA82" s="90" t="s">
        <v>1915</v>
      </c>
      <c r="AB82"/>
      <c r="AC82" s="243"/>
      <c r="AD82" s="243"/>
      <c r="AE82" s="243"/>
      <c r="AF82" s="243"/>
    </row>
    <row r="83" spans="1:37" ht="15" thickBot="1" x14ac:dyDescent="0.4">
      <c r="A83" s="825" t="s">
        <v>2749</v>
      </c>
      <c r="B83" s="825" t="s">
        <v>2750</v>
      </c>
      <c r="C83" s="825">
        <v>2</v>
      </c>
      <c r="D83" s="825" t="s">
        <v>17</v>
      </c>
      <c r="E83" s="825" t="s">
        <v>2758</v>
      </c>
      <c r="F83" s="220">
        <v>85</v>
      </c>
      <c r="G83" s="825" t="s">
        <v>2844</v>
      </c>
      <c r="H83" s="825" t="s">
        <v>2847</v>
      </c>
      <c r="I83" s="220" t="s">
        <v>82</v>
      </c>
      <c r="J83" s="220" t="str">
        <f>PMtbl[[#This Row],[Category]]&amp;PMtbl[[#This Row],[Each]]&amp;PMtbl[[#This Row],[Packaging]]</f>
        <v>Medical Oxygen - consumablesFlowmeter, medical O2, Gas CylinderThorpe tube, pressure-compensated, with pressure regulator &amp; pressure-reducing valve, DISS female/male connector (or other) &amp; adapter to connect with regulator</v>
      </c>
      <c r="K83">
        <v>0</v>
      </c>
      <c r="L83" s="930">
        <v>5.12</v>
      </c>
      <c r="M83" s="234" t="s">
        <v>1996</v>
      </c>
      <c r="N83" s="236"/>
      <c r="O83" s="825" t="s">
        <v>12</v>
      </c>
      <c r="P83" s="825"/>
      <c r="R83" s="220" t="e">
        <f>INDEX(PMtbl[Component],MATCH(U83,PMtbl[Category],0),)</f>
        <v>#N/A</v>
      </c>
      <c r="S83" s="220" t="e">
        <f>INDEX(PMtbl[WKst],MATCH(U83,PMtbl[Category],0),)</f>
        <v>#N/A</v>
      </c>
      <c r="T83" s="220" t="e">
        <f>INDEX(PMtbl[Sec],MATCH(U83,PMtbl[Category],0),)</f>
        <v>#N/A</v>
      </c>
      <c r="U83" s="241" t="e" cm="1">
        <f t="array" ref="U83">INDEX(PMtbl[Category],MATCH(0,INDEX(COUNTIF($U$2:U82,PMtbl[Category]),),0))</f>
        <v>#N/A</v>
      </c>
      <c r="X83" s="90" t="s">
        <v>2750</v>
      </c>
      <c r="Y83" s="90">
        <v>4</v>
      </c>
      <c r="Z83" s="90" t="s">
        <v>26</v>
      </c>
      <c r="AA83" s="90" t="s">
        <v>2963</v>
      </c>
      <c r="AB83"/>
      <c r="AC83" s="243"/>
      <c r="AD83" s="243"/>
      <c r="AE83" s="243"/>
      <c r="AF83" s="243" t="s">
        <v>2671</v>
      </c>
    </row>
    <row r="84" spans="1:37" ht="15" thickBot="1" x14ac:dyDescent="0.4">
      <c r="A84" s="825" t="s">
        <v>2749</v>
      </c>
      <c r="B84" s="825" t="s">
        <v>2750</v>
      </c>
      <c r="C84" s="825">
        <v>2</v>
      </c>
      <c r="D84" s="825" t="s">
        <v>17</v>
      </c>
      <c r="E84" s="825" t="s">
        <v>2758</v>
      </c>
      <c r="F84" s="220">
        <v>86</v>
      </c>
      <c r="G84" s="825" t="s">
        <v>2848</v>
      </c>
      <c r="H84" s="825" t="s">
        <v>2849</v>
      </c>
      <c r="I84" s="220" t="s">
        <v>82</v>
      </c>
      <c r="J84" s="220" t="str">
        <f>PMtbl[[#This Row],[Category]]&amp;PMtbl[[#This Row],[Each]]&amp;PMtbl[[#This Row],[Packaging]]</f>
        <v>Medical Oxygen - consumablesFlowmeter, medical O2, Terminal (wall) UnitThorpe tube, pressure-compensated, with pressure regulator, Barbed green “Christmas tree” connector to connect to tubing/patient delivery device</v>
      </c>
      <c r="K84">
        <v>0</v>
      </c>
      <c r="L84" s="930">
        <v>5.12</v>
      </c>
      <c r="M84" s="234" t="s">
        <v>1996</v>
      </c>
      <c r="N84" s="236"/>
      <c r="O84" s="825" t="s">
        <v>12</v>
      </c>
      <c r="P84" s="825"/>
      <c r="R84" s="220" t="e">
        <f>INDEX(PMtbl[Component],MATCH(U84,PMtbl[Category],0),)</f>
        <v>#N/A</v>
      </c>
      <c r="S84" s="220" t="e">
        <f>INDEX(PMtbl[WKst],MATCH(U84,PMtbl[Category],0),)</f>
        <v>#N/A</v>
      </c>
      <c r="T84" s="220" t="e">
        <f>INDEX(PMtbl[Sec],MATCH(U84,PMtbl[Category],0),)</f>
        <v>#N/A</v>
      </c>
      <c r="U84" s="241" t="e" cm="1">
        <f t="array" ref="U84">INDEX(PMtbl[Category],MATCH(0,INDEX(COUNTIF($U$2:U83,PMtbl[Category]),),0))</f>
        <v>#N/A</v>
      </c>
      <c r="X84" s="90" t="s">
        <v>2750</v>
      </c>
      <c r="Y84" s="90">
        <v>4</v>
      </c>
      <c r="Z84" s="90" t="s">
        <v>26</v>
      </c>
      <c r="AA84" s="90" t="s">
        <v>1985</v>
      </c>
      <c r="AB84"/>
      <c r="AC84" s="243"/>
      <c r="AD84" s="225" t="s">
        <v>2433</v>
      </c>
      <c r="AE84" s="225" t="s">
        <v>310</v>
      </c>
      <c r="AF84" s="225" t="s">
        <v>2425</v>
      </c>
      <c r="AG84" s="225" t="s">
        <v>2434</v>
      </c>
      <c r="AH84" s="225" t="s">
        <v>173</v>
      </c>
    </row>
    <row r="85" spans="1:37" ht="13.5" customHeight="1" thickBot="1" x14ac:dyDescent="0.4">
      <c r="A85" s="825" t="s">
        <v>2749</v>
      </c>
      <c r="B85" s="825" t="s">
        <v>2750</v>
      </c>
      <c r="C85" s="825">
        <v>2</v>
      </c>
      <c r="D85" s="825" t="s">
        <v>17</v>
      </c>
      <c r="E85" s="825" t="s">
        <v>2758</v>
      </c>
      <c r="F85" s="220">
        <v>87</v>
      </c>
      <c r="G85" s="825" t="s">
        <v>2848</v>
      </c>
      <c r="H85" s="825" t="s">
        <v>2850</v>
      </c>
      <c r="I85" s="220" t="s">
        <v>82</v>
      </c>
      <c r="J85" s="220" t="str">
        <f>PMtbl[[#This Row],[Category]]&amp;PMtbl[[#This Row],[Each]]&amp;PMtbl[[#This Row],[Packaging]]</f>
        <v>Medical Oxygen - consumablesFlowmeter, medical O2, Terminal (wall) UnitThorpe tube, pressure-compensated, with pressure regulator, DISS female/male connector (or other) &amp; adapter to connect with humidifier</v>
      </c>
      <c r="K85">
        <v>0</v>
      </c>
      <c r="L85" s="930">
        <v>5.12</v>
      </c>
      <c r="M85" s="234" t="s">
        <v>1996</v>
      </c>
      <c r="N85" s="236"/>
      <c r="O85" s="825" t="s">
        <v>12</v>
      </c>
      <c r="P85" s="825"/>
      <c r="R85" s="220" t="e">
        <f>INDEX(PMtbl[Component],MATCH(U85,PMtbl[Category],0),)</f>
        <v>#N/A</v>
      </c>
      <c r="S85" s="220" t="e">
        <f>INDEX(PMtbl[WKst],MATCH(U85,PMtbl[Category],0),)</f>
        <v>#N/A</v>
      </c>
      <c r="T85" s="220" t="e">
        <f>INDEX(PMtbl[Sec],MATCH(U85,PMtbl[Category],0),)</f>
        <v>#N/A</v>
      </c>
      <c r="U85" s="241" t="e" cm="1">
        <f t="array" ref="U85">INDEX(PMtbl[Category],MATCH(0,INDEX(COUNTIF($U$2:U84,PMtbl[Category]),),0))</f>
        <v>#N/A</v>
      </c>
      <c r="X85" s="90" t="s">
        <v>2750</v>
      </c>
      <c r="Y85" s="90">
        <v>4</v>
      </c>
      <c r="Z85" s="90" t="s">
        <v>26</v>
      </c>
      <c r="AA85" s="90" t="s">
        <v>1916</v>
      </c>
      <c r="AB85"/>
      <c r="AC85" s="243"/>
      <c r="AD85" s="225" t="s">
        <v>2435</v>
      </c>
      <c r="AE85" s="225" t="s">
        <v>2436</v>
      </c>
      <c r="AF85" s="225" t="s">
        <v>97</v>
      </c>
      <c r="AG85" s="410" t="s">
        <v>2437</v>
      </c>
      <c r="AH85" s="225" t="s">
        <v>2438</v>
      </c>
    </row>
    <row r="86" spans="1:37" x14ac:dyDescent="0.35">
      <c r="A86" s="825" t="s">
        <v>2749</v>
      </c>
      <c r="B86" s="825" t="s">
        <v>2750</v>
      </c>
      <c r="C86" s="825">
        <v>2</v>
      </c>
      <c r="D86" s="825" t="s">
        <v>17</v>
      </c>
      <c r="E86" s="825" t="s">
        <v>2758</v>
      </c>
      <c r="F86" s="220">
        <v>88</v>
      </c>
      <c r="G86" s="825" t="s">
        <v>2848</v>
      </c>
      <c r="H86" s="825" t="s">
        <v>2851</v>
      </c>
      <c r="I86" s="220" t="s">
        <v>82</v>
      </c>
      <c r="J86" s="220" t="str">
        <f>PMtbl[[#This Row],[Category]]&amp;PMtbl[[#This Row],[Each]]&amp;PMtbl[[#This Row],[Packaging]]</f>
        <v>Medical Oxygen - consumablesFlowmeter, medical O2, Terminal (wall) UnitThorpe tube, pressure-compensated, with pressure regulator, DISS female/male connector (or other) &amp; adapter to connect with regulator</v>
      </c>
      <c r="K86">
        <v>0</v>
      </c>
      <c r="L86" s="930">
        <v>5.12</v>
      </c>
      <c r="M86" s="234" t="s">
        <v>1996</v>
      </c>
      <c r="N86" s="236"/>
      <c r="O86" s="825" t="s">
        <v>12</v>
      </c>
      <c r="P86" s="825"/>
      <c r="R86" s="220" t="e">
        <f>INDEX(PMtbl[Component],MATCH(U86,PMtbl[Category],0),)</f>
        <v>#N/A</v>
      </c>
      <c r="S86" s="220" t="e">
        <f>INDEX(PMtbl[WKst],MATCH(U86,PMtbl[Category],0),)</f>
        <v>#N/A</v>
      </c>
      <c r="T86" s="220" t="e">
        <f>INDEX(PMtbl[Sec],MATCH(U86,PMtbl[Category],0),)</f>
        <v>#N/A</v>
      </c>
      <c r="U86" s="241" t="e" cm="1">
        <f t="array" ref="U86">INDEX(PMtbl[Category],MATCH(0,INDEX(COUNTIF($U$2:U85,PMtbl[Category]),),0))</f>
        <v>#N/A</v>
      </c>
      <c r="X86" s="90" t="s">
        <v>2750</v>
      </c>
      <c r="Y86" s="90">
        <v>4</v>
      </c>
      <c r="Z86" s="90" t="s">
        <v>26</v>
      </c>
      <c r="AA86" s="90" t="s">
        <v>1917</v>
      </c>
      <c r="AB86"/>
      <c r="AC86" s="243"/>
      <c r="AD86" s="243">
        <f>GRAN_NO</f>
        <v>0</v>
      </c>
      <c r="AE86" s="243">
        <f>SETUP!F76</f>
        <v>6.1</v>
      </c>
      <c r="AF86" s="243" t="str">
        <f>SETUP!N1</f>
        <v>PR</v>
      </c>
      <c r="AG86" s="220">
        <f>SETUP!L26</f>
        <v>0</v>
      </c>
    </row>
    <row r="87" spans="1:37" x14ac:dyDescent="0.35">
      <c r="A87" s="825" t="s">
        <v>2749</v>
      </c>
      <c r="B87" s="825" t="s">
        <v>2750</v>
      </c>
      <c r="C87" s="825">
        <v>2</v>
      </c>
      <c r="D87" s="825" t="s">
        <v>17</v>
      </c>
      <c r="E87" s="825" t="s">
        <v>2758</v>
      </c>
      <c r="F87" s="220">
        <v>89</v>
      </c>
      <c r="G87" s="825" t="s">
        <v>2852</v>
      </c>
      <c r="H87" s="825" t="s">
        <v>2853</v>
      </c>
      <c r="I87" s="220" t="s">
        <v>82</v>
      </c>
      <c r="J87" s="220" t="str">
        <f>PMtbl[[#This Row],[Category]]&amp;PMtbl[[#This Row],[Each]]&amp;PMtbl[[#This Row],[Packaging]]</f>
        <v>Medical Oxygen - consumablesHumidifierHumidifier, non-heated, reusable</v>
      </c>
      <c r="K87">
        <v>0</v>
      </c>
      <c r="L87" s="930">
        <v>5.12</v>
      </c>
      <c r="M87" s="234" t="s">
        <v>1996</v>
      </c>
      <c r="N87" s="236"/>
      <c r="O87" s="825" t="s">
        <v>12</v>
      </c>
      <c r="P87" s="825"/>
      <c r="R87" s="220" t="e">
        <f>INDEX(PMtbl[Component],MATCH(U87,PMtbl[Category],0),)</f>
        <v>#N/A</v>
      </c>
      <c r="S87" s="220" t="e">
        <f>INDEX(PMtbl[WKst],MATCH(U87,PMtbl[Category],0),)</f>
        <v>#N/A</v>
      </c>
      <c r="T87" s="220" t="e">
        <f>INDEX(PMtbl[Sec],MATCH(U87,PMtbl[Category],0),)</f>
        <v>#N/A</v>
      </c>
      <c r="U87" s="241" t="e" cm="1">
        <f t="array" ref="U87">INDEX(PMtbl[Category],MATCH(0,INDEX(COUNTIF($U$2:U86,PMtbl[Category]),),0))</f>
        <v>#N/A</v>
      </c>
      <c r="X87" s="90" t="s">
        <v>2750</v>
      </c>
      <c r="Y87" s="90">
        <v>4</v>
      </c>
      <c r="Z87" s="90" t="s">
        <v>26</v>
      </c>
      <c r="AA87" s="90" t="s">
        <v>2964</v>
      </c>
      <c r="AB87"/>
      <c r="AC87" s="243"/>
      <c r="AD87" s="243" t="str">
        <f>LEFT(AD86,1)&amp;RIGHT(AD86,1)</f>
        <v>00</v>
      </c>
      <c r="AE87" s="243" t="str">
        <f>RIGHT(AE86,1)</f>
        <v>1</v>
      </c>
      <c r="AF87" s="243" t="str">
        <f>LEFT(AF86,1)</f>
        <v>P</v>
      </c>
      <c r="AH87" s="242" t="str">
        <f>AD87&amp;AE87&amp;AF87</f>
        <v>001P</v>
      </c>
      <c r="AI87" s="220">
        <f>LEN(AH87)</f>
        <v>4</v>
      </c>
    </row>
    <row r="88" spans="1:37" x14ac:dyDescent="0.35">
      <c r="A88" s="825" t="s">
        <v>2749</v>
      </c>
      <c r="B88" s="825" t="s">
        <v>2750</v>
      </c>
      <c r="C88" s="825">
        <v>2</v>
      </c>
      <c r="D88" s="825" t="s">
        <v>17</v>
      </c>
      <c r="E88" s="825" t="s">
        <v>2758</v>
      </c>
      <c r="F88" s="220">
        <v>90</v>
      </c>
      <c r="G88" s="825" t="s">
        <v>1911</v>
      </c>
      <c r="H88" s="825" t="s">
        <v>2854</v>
      </c>
      <c r="I88" s="220" t="s">
        <v>82</v>
      </c>
      <c r="J88" s="220" t="str">
        <f>PMtbl[[#This Row],[Category]]&amp;PMtbl[[#This Row],[Each]]&amp;PMtbl[[#This Row],[Packaging]]</f>
        <v>Medical Oxygen - consumablesInfusion giving setInfusion giving sets for adult and pediatric use with IV catheters and scalp vein sets (all size)</v>
      </c>
      <c r="K88">
        <v>0</v>
      </c>
      <c r="L88" s="930">
        <v>5.12</v>
      </c>
      <c r="M88" s="234" t="s">
        <v>1996</v>
      </c>
      <c r="N88" s="236"/>
      <c r="O88" s="825" t="s">
        <v>12</v>
      </c>
      <c r="P88" s="825"/>
      <c r="R88" s="220" t="e">
        <f>INDEX(PMtbl[Component],MATCH(U88,PMtbl[Category],0),)</f>
        <v>#N/A</v>
      </c>
      <c r="S88" s="220" t="e">
        <f>INDEX(PMtbl[WKst],MATCH(U88,PMtbl[Category],0),)</f>
        <v>#N/A</v>
      </c>
      <c r="T88" s="220" t="e">
        <f>INDEX(PMtbl[Sec],MATCH(U88,PMtbl[Category],0),)</f>
        <v>#N/A</v>
      </c>
      <c r="U88" s="241" t="e" cm="1">
        <f t="array" ref="U88">INDEX(PMtbl[Category],MATCH(0,INDEX(COUNTIF($U$2:U87,PMtbl[Category]),),0))</f>
        <v>#N/A</v>
      </c>
      <c r="X88" s="90" t="s">
        <v>2750</v>
      </c>
      <c r="Y88" s="90">
        <v>4</v>
      </c>
      <c r="Z88" s="90" t="s">
        <v>26</v>
      </c>
      <c r="AA88" s="90" t="s">
        <v>27</v>
      </c>
      <c r="AB88"/>
      <c r="AC88" s="243"/>
      <c r="AD88" s="243"/>
      <c r="AE88" s="243">
        <f>INT(AE86)</f>
        <v>6</v>
      </c>
      <c r="AF88" s="243"/>
    </row>
    <row r="89" spans="1:37" x14ac:dyDescent="0.35">
      <c r="A89" s="825" t="s">
        <v>2749</v>
      </c>
      <c r="B89" s="825" t="s">
        <v>2750</v>
      </c>
      <c r="C89" s="825">
        <v>2</v>
      </c>
      <c r="D89" s="825" t="s">
        <v>17</v>
      </c>
      <c r="E89" s="825" t="s">
        <v>2758</v>
      </c>
      <c r="F89" s="220">
        <v>91</v>
      </c>
      <c r="G89" s="825" t="s">
        <v>2855</v>
      </c>
      <c r="H89" s="825" t="s">
        <v>2856</v>
      </c>
      <c r="I89" s="220" t="s">
        <v>82</v>
      </c>
      <c r="J89" s="220" t="str">
        <f>PMtbl[[#This Row],[Category]]&amp;PMtbl[[#This Row],[Each]]&amp;PMtbl[[#This Row],[Packaging]]</f>
        <v>Medical Oxygen - consumablesLaryngoscopeLaryngoscope – adult/child</v>
      </c>
      <c r="K89">
        <v>0</v>
      </c>
      <c r="L89" s="930">
        <v>5.12</v>
      </c>
      <c r="M89" s="234" t="s">
        <v>1996</v>
      </c>
      <c r="N89" s="236"/>
      <c r="O89" s="825" t="s">
        <v>12</v>
      </c>
      <c r="P89" s="825"/>
      <c r="R89" s="220" t="e">
        <f>INDEX(PMtbl[Component],MATCH(U89,PMtbl[Category],0),)</f>
        <v>#N/A</v>
      </c>
      <c r="S89" s="220" t="e">
        <f>INDEX(PMtbl[WKst],MATCH(U89,PMtbl[Category],0),)</f>
        <v>#N/A</v>
      </c>
      <c r="T89" s="220" t="e">
        <f>INDEX(PMtbl[Sec],MATCH(U89,PMtbl[Category],0),)</f>
        <v>#N/A</v>
      </c>
      <c r="U89" s="241" t="e" cm="1">
        <f t="array" ref="U89">INDEX(PMtbl[Category],MATCH(0,INDEX(COUNTIF($U$2:U88,PMtbl[Category]),),0))</f>
        <v>#N/A</v>
      </c>
      <c r="X89" s="90" t="s">
        <v>2750</v>
      </c>
      <c r="Y89" s="90">
        <v>4</v>
      </c>
      <c r="Z89" s="90" t="s">
        <v>26</v>
      </c>
      <c r="AA89" s="90" t="s">
        <v>1918</v>
      </c>
      <c r="AB89"/>
      <c r="AC89" s="243"/>
      <c r="AD89" s="243" t="str">
        <f>LEFT(AD88,1)&amp;RIGHT(AD88,1)</f>
        <v/>
      </c>
      <c r="AE89" s="243"/>
      <c r="AF89" s="243"/>
    </row>
    <row r="90" spans="1:37" x14ac:dyDescent="0.35">
      <c r="A90" s="825" t="s">
        <v>2749</v>
      </c>
      <c r="B90" s="825" t="s">
        <v>2750</v>
      </c>
      <c r="C90" s="825">
        <v>2</v>
      </c>
      <c r="D90" s="825" t="s">
        <v>17</v>
      </c>
      <c r="E90" s="825" t="s">
        <v>2758</v>
      </c>
      <c r="F90" s="220">
        <v>92</v>
      </c>
      <c r="G90" s="825" t="s">
        <v>2855</v>
      </c>
      <c r="H90" s="825" t="s">
        <v>2857</v>
      </c>
      <c r="I90" s="220" t="s">
        <v>82</v>
      </c>
      <c r="J90" s="220" t="str">
        <f>PMtbl[[#This Row],[Category]]&amp;PMtbl[[#This Row],[Each]]&amp;PMtbl[[#This Row],[Packaging]]</f>
        <v>Medical Oxygen - consumablesLaryngoscopeLaryngoscope – neonate</v>
      </c>
      <c r="K90">
        <v>0</v>
      </c>
      <c r="L90" s="930">
        <v>5.12</v>
      </c>
      <c r="M90" s="234" t="s">
        <v>1996</v>
      </c>
      <c r="N90" s="236"/>
      <c r="O90" s="825" t="s">
        <v>12</v>
      </c>
      <c r="P90" s="825"/>
      <c r="R90" s="220" t="e">
        <f>INDEX(PMtbl[Component],MATCH(U90,PMtbl[Category],0),)</f>
        <v>#N/A</v>
      </c>
      <c r="S90" s="220" t="e">
        <f>INDEX(PMtbl[WKst],MATCH(U90,PMtbl[Category],0),)</f>
        <v>#N/A</v>
      </c>
      <c r="T90" s="220" t="e">
        <f>INDEX(PMtbl[Sec],MATCH(U90,PMtbl[Category],0),)</f>
        <v>#N/A</v>
      </c>
      <c r="U90" s="241" t="e" cm="1">
        <f t="array" ref="U90">INDEX(PMtbl[Category],MATCH(0,INDEX(COUNTIF($U$2:U89,PMtbl[Category]),),0))</f>
        <v>#N/A</v>
      </c>
      <c r="X90" s="90" t="s">
        <v>2750</v>
      </c>
      <c r="Y90" s="90">
        <v>4</v>
      </c>
      <c r="Z90" s="90" t="s">
        <v>26</v>
      </c>
      <c r="AA90" s="90" t="s">
        <v>1919</v>
      </c>
      <c r="AB90"/>
      <c r="AC90" s="243"/>
      <c r="AD90" s="243"/>
      <c r="AE90" s="243"/>
      <c r="AF90" s="243"/>
    </row>
    <row r="91" spans="1:37" x14ac:dyDescent="0.35">
      <c r="A91" s="825" t="s">
        <v>2749</v>
      </c>
      <c r="B91" s="825" t="s">
        <v>2750</v>
      </c>
      <c r="C91" s="825">
        <v>2</v>
      </c>
      <c r="D91" s="825" t="s">
        <v>17</v>
      </c>
      <c r="E91" s="825" t="s">
        <v>2758</v>
      </c>
      <c r="F91" s="220">
        <v>93</v>
      </c>
      <c r="G91" s="825" t="s">
        <v>2858</v>
      </c>
      <c r="H91" s="825" t="s">
        <v>2859</v>
      </c>
      <c r="I91" s="220" t="s">
        <v>82</v>
      </c>
      <c r="J91" s="220" t="str">
        <f>PMtbl[[#This Row],[Category]]&amp;PMtbl[[#This Row],[Each]]&amp;PMtbl[[#This Row],[Packaging]]</f>
        <v>Medical Oxygen - consumablesNasal CannulaHigh flow with tubing &amp; patient interfaces, with accessories</v>
      </c>
      <c r="K91">
        <v>0</v>
      </c>
      <c r="L91" s="930">
        <v>5.12</v>
      </c>
      <c r="M91" s="234" t="s">
        <v>1996</v>
      </c>
      <c r="N91" s="236"/>
      <c r="O91" s="825" t="s">
        <v>12</v>
      </c>
      <c r="P91" s="825"/>
      <c r="R91" s="220" t="e">
        <f>INDEX(PMtbl[Component],MATCH(U91,PMtbl[Category],0),)</f>
        <v>#N/A</v>
      </c>
      <c r="S91" s="220" t="e">
        <f>INDEX(PMtbl[WKst],MATCH(U91,PMtbl[Category],0),)</f>
        <v>#N/A</v>
      </c>
      <c r="T91" s="220" t="e">
        <f>INDEX(PMtbl[Sec],MATCH(U91,PMtbl[Category],0),)</f>
        <v>#N/A</v>
      </c>
      <c r="U91" s="241" t="e" cm="1">
        <f t="array" ref="U91">INDEX(PMtbl[Category],MATCH(0,INDEX(COUNTIF($U$2:U90,PMtbl[Category]),),0))</f>
        <v>#N/A</v>
      </c>
      <c r="X91" s="90" t="s">
        <v>2750</v>
      </c>
      <c r="Y91" s="90">
        <v>4</v>
      </c>
      <c r="Z91" s="90" t="s">
        <v>26</v>
      </c>
      <c r="AA91" s="90" t="s">
        <v>2965</v>
      </c>
      <c r="AB91"/>
      <c r="AC91" s="243" t="s">
        <v>2664</v>
      </c>
      <c r="AD91" s="243" t="s">
        <v>2662</v>
      </c>
      <c r="AE91" s="243" t="s">
        <v>2663</v>
      </c>
      <c r="AF91" s="243"/>
      <c r="AG91" s="220" t="s">
        <v>2672</v>
      </c>
    </row>
    <row r="92" spans="1:37" x14ac:dyDescent="0.35">
      <c r="A92" s="825" t="s">
        <v>2749</v>
      </c>
      <c r="B92" s="825" t="s">
        <v>2750</v>
      </c>
      <c r="C92" s="825">
        <v>2</v>
      </c>
      <c r="D92" s="825" t="s">
        <v>17</v>
      </c>
      <c r="E92" s="825" t="s">
        <v>2758</v>
      </c>
      <c r="F92" s="220">
        <v>94</v>
      </c>
      <c r="G92" s="825" t="s">
        <v>2860</v>
      </c>
      <c r="H92" s="825" t="s">
        <v>2861</v>
      </c>
      <c r="I92" s="220" t="s">
        <v>82</v>
      </c>
      <c r="J92" s="220" t="str">
        <f>PMtbl[[#This Row],[Category]]&amp;PMtbl[[#This Row],[Each]]&amp;PMtbl[[#This Row],[Packaging]]</f>
        <v>Medical Oxygen - consumablesNasal CatheterHigh flow with tubing &amp; adapters, lubricated, non-sterile</v>
      </c>
      <c r="K92">
        <v>0</v>
      </c>
      <c r="L92" s="930">
        <v>5.12</v>
      </c>
      <c r="M92" s="234" t="s">
        <v>1996</v>
      </c>
      <c r="N92" s="236"/>
      <c r="O92" s="825" t="s">
        <v>12</v>
      </c>
      <c r="P92" s="825"/>
      <c r="R92" s="220" t="e">
        <f>INDEX(PMtbl[Component],MATCH(U92,PMtbl[Category],0),)</f>
        <v>#N/A</v>
      </c>
      <c r="S92" s="220" t="e">
        <f>INDEX(PMtbl[WKst],MATCH(U92,PMtbl[Category],0),)</f>
        <v>#N/A</v>
      </c>
      <c r="T92" s="220" t="e">
        <f>INDEX(PMtbl[Sec],MATCH(U92,PMtbl[Category],0),)</f>
        <v>#N/A</v>
      </c>
      <c r="U92" s="241" t="e" cm="1">
        <f t="array" ref="U92">INDEX(PMtbl[Category],MATCH(0,INDEX(COUNTIF($U$2:U91,PMtbl[Category]),),0))</f>
        <v>#N/A</v>
      </c>
      <c r="X92" s="90" t="s">
        <v>2750</v>
      </c>
      <c r="Y92" s="90">
        <v>4</v>
      </c>
      <c r="Z92" s="90" t="s">
        <v>26</v>
      </c>
      <c r="AA92" s="90" t="s">
        <v>2966</v>
      </c>
      <c r="AB92"/>
      <c r="AC92" s="243"/>
      <c r="AD92" s="243"/>
      <c r="AE92" s="243"/>
      <c r="AF92" s="243"/>
      <c r="AG92" s="220" t="s">
        <v>2670</v>
      </c>
    </row>
    <row r="93" spans="1:37" x14ac:dyDescent="0.35">
      <c r="A93" s="825" t="s">
        <v>2749</v>
      </c>
      <c r="B93" s="825" t="s">
        <v>2750</v>
      </c>
      <c r="C93" s="825">
        <v>2</v>
      </c>
      <c r="D93" s="825" t="s">
        <v>17</v>
      </c>
      <c r="E93" s="825" t="s">
        <v>2758</v>
      </c>
      <c r="F93" s="220">
        <v>95</v>
      </c>
      <c r="G93" s="825" t="s">
        <v>2862</v>
      </c>
      <c r="H93" s="825" t="s">
        <v>2863</v>
      </c>
      <c r="I93" s="220" t="s">
        <v>82</v>
      </c>
      <c r="J93" s="220" t="str">
        <f>PMtbl[[#This Row],[Category]]&amp;PMtbl[[#This Row],[Each]]&amp;PMtbl[[#This Row],[Packaging]]</f>
        <v>Medical Oxygen - consumablesNasal prongProngs, nasal, Oxygen, adult, single use</v>
      </c>
      <c r="K93">
        <v>0</v>
      </c>
      <c r="L93" s="930">
        <v>5.12</v>
      </c>
      <c r="M93" s="234" t="s">
        <v>1996</v>
      </c>
      <c r="N93" s="236"/>
      <c r="O93" s="825" t="s">
        <v>12</v>
      </c>
      <c r="P93" s="825"/>
      <c r="R93" s="220" t="e">
        <f>INDEX(PMtbl[Component],MATCH(U93,PMtbl[Category],0),)</f>
        <v>#N/A</v>
      </c>
      <c r="S93" s="220" t="e">
        <f>INDEX(PMtbl[WKst],MATCH(U93,PMtbl[Category],0),)</f>
        <v>#N/A</v>
      </c>
      <c r="T93" s="220" t="e">
        <f>INDEX(PMtbl[Sec],MATCH(U93,PMtbl[Category],0),)</f>
        <v>#N/A</v>
      </c>
      <c r="U93" s="241" t="e" cm="1">
        <f t="array" ref="U93">INDEX(PMtbl[Category],MATCH(0,INDEX(COUNTIF($U$2:U92,PMtbl[Category]),),0))</f>
        <v>#N/A</v>
      </c>
      <c r="X93" s="90" t="s">
        <v>2750</v>
      </c>
      <c r="Y93" s="90">
        <v>5</v>
      </c>
      <c r="Z93" s="90" t="s">
        <v>28</v>
      </c>
      <c r="AA93" s="90" t="s">
        <v>2976</v>
      </c>
      <c r="AB93"/>
      <c r="AC93" s="243"/>
      <c r="AD93" s="243"/>
      <c r="AE93" s="243">
        <f>IF(SETUP!$J$31&lt;&gt;"",SETUP!$J$31,IF(SETUP!$J$30&lt;&gt;"",SETUP!$J$30,IF(SETUP!$J$29&lt;&gt;"",SETUP!$J$29,IF(SETUP!$J$28&lt;&gt;"",SETUP!$J$28,IF(SETUP!$J$27&lt;&gt;"",SETUP!$J$27,IF(SETUP!$J$26&lt;&gt;"",SETUP!$J$26,0))))))</f>
        <v>0</v>
      </c>
      <c r="AF93" s="243"/>
      <c r="AG93" s="587">
        <f>IF(SETUP!$J$31&lt;&gt;"",SETUP!$L$31,IF(SETUP!$J$30&lt;&gt;"",SETUP!$L$30,IF(SETUP!$J$29&lt;&gt;"",SETUP!$L$29,IF(SETUP!$J$28&lt;&gt;"",SETUP!$L$28,IF(SETUP!$J$27&lt;&gt;"",SETUP!$L$27,IF(SETUP!$J$26&lt;&gt;"",SETUP!$L$26,IMP_ST_DATE))))))</f>
        <v>44197</v>
      </c>
      <c r="AI93" s="220">
        <f>MONTH(AG93)</f>
        <v>1</v>
      </c>
      <c r="AJ93" s="220">
        <f>DAY(AG93)</f>
        <v>1</v>
      </c>
      <c r="AK93" s="220" t="str">
        <f>RIGHT(YEAR(AG93),2)</f>
        <v>21</v>
      </c>
    </row>
    <row r="94" spans="1:37" x14ac:dyDescent="0.35">
      <c r="A94" s="825" t="s">
        <v>2749</v>
      </c>
      <c r="B94" s="825" t="s">
        <v>2750</v>
      </c>
      <c r="C94" s="825">
        <v>2</v>
      </c>
      <c r="D94" s="825" t="s">
        <v>17</v>
      </c>
      <c r="E94" s="825" t="s">
        <v>2758</v>
      </c>
      <c r="F94" s="220">
        <v>96</v>
      </c>
      <c r="G94" s="825" t="s">
        <v>2862</v>
      </c>
      <c r="H94" s="825" t="s">
        <v>2864</v>
      </c>
      <c r="I94" s="220" t="s">
        <v>82</v>
      </c>
      <c r="J94" s="220" t="str">
        <f>PMtbl[[#This Row],[Category]]&amp;PMtbl[[#This Row],[Each]]&amp;PMtbl[[#This Row],[Packaging]]</f>
        <v>Medical Oxygen - consumablesNasal prongProngs, nasal, Oxygen, child, single use</v>
      </c>
      <c r="K94">
        <v>0</v>
      </c>
      <c r="L94" s="930">
        <v>5.12</v>
      </c>
      <c r="M94" s="234" t="s">
        <v>1996</v>
      </c>
      <c r="N94" s="236"/>
      <c r="O94" s="825" t="s">
        <v>12</v>
      </c>
      <c r="P94" s="825"/>
      <c r="R94" s="220" t="e">
        <f>INDEX(PMtbl[Component],MATCH(U94,PMtbl[Category],0),)</f>
        <v>#N/A</v>
      </c>
      <c r="S94" s="220" t="e">
        <f>INDEX(PMtbl[WKst],MATCH(U94,PMtbl[Category],0),)</f>
        <v>#N/A</v>
      </c>
      <c r="T94" s="220" t="e">
        <f>INDEX(PMtbl[Sec],MATCH(U94,PMtbl[Category],0),)</f>
        <v>#N/A</v>
      </c>
      <c r="U94" s="241" t="e" cm="1">
        <f t="array" ref="U94">INDEX(PMtbl[Category],MATCH(0,INDEX(COUNTIF($U$2:U93,PMtbl[Category]),),0))</f>
        <v>#N/A</v>
      </c>
      <c r="X94" s="90" t="s">
        <v>2750</v>
      </c>
      <c r="Y94" s="90">
        <v>5</v>
      </c>
      <c r="Z94" s="90" t="s">
        <v>28</v>
      </c>
      <c r="AA94" s="90" t="s">
        <v>2978</v>
      </c>
      <c r="AB94"/>
      <c r="AC94" s="243"/>
      <c r="AD94" s="243" t="str">
        <f>LEFT(AD86,1)&amp;MID(AD86,5,1)&amp;RIGHT(AD86,1)</f>
        <v>00</v>
      </c>
      <c r="AE94" s="243" t="str">
        <f>RIGHT(AE93,1)</f>
        <v>0</v>
      </c>
      <c r="AF94" s="243" t="str">
        <f>LEFT(AF86,1)</f>
        <v>P</v>
      </c>
      <c r="AG94" s="220">
        <f>AI93+AJ93+AK93</f>
        <v>23</v>
      </c>
      <c r="AH94" s="242" t="str">
        <f>AD94&amp;AE94&amp;AF94&amp;AG94</f>
        <v>000P23</v>
      </c>
      <c r="AI94" s="220">
        <f>LEN(AH94)</f>
        <v>6</v>
      </c>
    </row>
    <row r="95" spans="1:37" x14ac:dyDescent="0.35">
      <c r="A95" s="825" t="s">
        <v>2749</v>
      </c>
      <c r="B95" s="825" t="s">
        <v>2750</v>
      </c>
      <c r="C95" s="825">
        <v>2</v>
      </c>
      <c r="D95" s="825" t="s">
        <v>17</v>
      </c>
      <c r="E95" s="825" t="s">
        <v>2758</v>
      </c>
      <c r="F95" s="220">
        <v>97</v>
      </c>
      <c r="G95" s="825" t="s">
        <v>2862</v>
      </c>
      <c r="H95" s="825" t="s">
        <v>2865</v>
      </c>
      <c r="I95" s="220" t="s">
        <v>82</v>
      </c>
      <c r="J95" s="220" t="str">
        <f>PMtbl[[#This Row],[Category]]&amp;PMtbl[[#This Row],[Each]]&amp;PMtbl[[#This Row],[Packaging]]</f>
        <v>Medical Oxygen - consumablesNasal prongProngs, nasal, Oxygen, neonate, single use</v>
      </c>
      <c r="K95">
        <v>0</v>
      </c>
      <c r="L95" s="930">
        <v>5.12</v>
      </c>
      <c r="M95" s="234" t="s">
        <v>1996</v>
      </c>
      <c r="N95" s="236"/>
      <c r="O95" s="825" t="s">
        <v>12</v>
      </c>
      <c r="P95" s="825"/>
      <c r="R95" s="220" t="e">
        <f>INDEX(PMtbl[Component],MATCH(U95,PMtbl[Category],0),)</f>
        <v>#N/A</v>
      </c>
      <c r="S95" s="220" t="e">
        <f>INDEX(PMtbl[WKst],MATCH(U95,PMtbl[Category],0),)</f>
        <v>#N/A</v>
      </c>
      <c r="T95" s="220" t="e">
        <f>INDEX(PMtbl[Sec],MATCH(U95,PMtbl[Category],0),)</f>
        <v>#N/A</v>
      </c>
      <c r="U95" s="241" t="e" cm="1">
        <f t="array" ref="U95">INDEX(PMtbl[Category],MATCH(0,INDEX(COUNTIF($U$2:U94,PMtbl[Category]),),0))</f>
        <v>#N/A</v>
      </c>
      <c r="X95" s="90" t="s">
        <v>2750</v>
      </c>
      <c r="Y95" s="90">
        <v>5</v>
      </c>
      <c r="Z95" s="90" t="s">
        <v>28</v>
      </c>
      <c r="AA95" s="90" t="s">
        <v>2979</v>
      </c>
      <c r="AB95"/>
      <c r="AC95" s="243"/>
      <c r="AD95" s="243"/>
      <c r="AE95" s="243"/>
      <c r="AF95" s="243"/>
    </row>
    <row r="96" spans="1:37" x14ac:dyDescent="0.35">
      <c r="A96" s="825" t="s">
        <v>2749</v>
      </c>
      <c r="B96" s="825" t="s">
        <v>2750</v>
      </c>
      <c r="C96" s="825">
        <v>2</v>
      </c>
      <c r="D96" s="825" t="s">
        <v>17</v>
      </c>
      <c r="E96" s="825" t="s">
        <v>2758</v>
      </c>
      <c r="F96" s="220">
        <v>98</v>
      </c>
      <c r="G96" s="825" t="s">
        <v>18</v>
      </c>
      <c r="H96" s="825" t="s">
        <v>2866</v>
      </c>
      <c r="I96" s="220" t="s">
        <v>82</v>
      </c>
      <c r="J96" s="220" t="str">
        <f>PMtbl[[#This Row],[Category]]&amp;PMtbl[[#This Row],[Each]]&amp;PMtbl[[#This Row],[Packaging]]</f>
        <v>Medical Oxygen - consumablesOtherOther - Enter details in Comments</v>
      </c>
      <c r="K96">
        <v>0</v>
      </c>
      <c r="L96" s="930">
        <v>5.12</v>
      </c>
      <c r="M96" s="234" t="s">
        <v>1996</v>
      </c>
      <c r="N96" s="236"/>
      <c r="O96" s="825" t="s">
        <v>12</v>
      </c>
      <c r="P96" s="825"/>
      <c r="R96" s="220" t="e">
        <f>INDEX(PMtbl[Component],MATCH(U96,PMtbl[Category],0),)</f>
        <v>#N/A</v>
      </c>
      <c r="S96" s="220" t="e">
        <f>INDEX(PMtbl[WKst],MATCH(U96,PMtbl[Category],0),)</f>
        <v>#N/A</v>
      </c>
      <c r="T96" s="220" t="e">
        <f>INDEX(PMtbl[Sec],MATCH(U96,PMtbl[Category],0),)</f>
        <v>#N/A</v>
      </c>
      <c r="U96" s="241" t="e" cm="1">
        <f t="array" ref="U96">INDEX(PMtbl[Category],MATCH(0,INDEX(COUNTIF($U$2:U95,PMtbl[Category]),),0))</f>
        <v>#N/A</v>
      </c>
      <c r="X96" s="90" t="s">
        <v>2750</v>
      </c>
      <c r="Y96" s="90">
        <v>5</v>
      </c>
      <c r="Z96" s="90" t="s">
        <v>28</v>
      </c>
      <c r="AA96" s="90" t="s">
        <v>2980</v>
      </c>
      <c r="AB96"/>
      <c r="AC96" s="243"/>
      <c r="AD96" s="243"/>
      <c r="AE96" s="243"/>
      <c r="AF96" s="243"/>
    </row>
    <row r="97" spans="1:32" x14ac:dyDescent="0.35">
      <c r="A97" s="825" t="s">
        <v>2749</v>
      </c>
      <c r="B97" s="825" t="s">
        <v>2750</v>
      </c>
      <c r="C97" s="825">
        <v>2</v>
      </c>
      <c r="D97" s="825" t="s">
        <v>17</v>
      </c>
      <c r="E97" s="825" t="s">
        <v>2758</v>
      </c>
      <c r="F97" s="220">
        <v>99</v>
      </c>
      <c r="G97" s="825" t="s">
        <v>2867</v>
      </c>
      <c r="H97" s="825" t="s">
        <v>2868</v>
      </c>
      <c r="I97" s="220" t="s">
        <v>82</v>
      </c>
      <c r="J97" s="220" t="str">
        <f>PMtbl[[#This Row],[Category]]&amp;PMtbl[[#This Row],[Each]]&amp;PMtbl[[#This Row],[Packaging]]</f>
        <v>Medical Oxygen - consumablesOxygen maskOxygen mask with connection tube, reservoir bag and value, adult, single use</v>
      </c>
      <c r="K97">
        <v>0</v>
      </c>
      <c r="L97" s="930">
        <v>5.12</v>
      </c>
      <c r="M97" s="234" t="s">
        <v>1996</v>
      </c>
      <c r="N97" s="236"/>
      <c r="O97" s="825" t="s">
        <v>12</v>
      </c>
      <c r="P97" s="825"/>
      <c r="R97" s="220" t="e">
        <f>INDEX(PMtbl[Component],MATCH(U97,PMtbl[Category],0),)</f>
        <v>#N/A</v>
      </c>
      <c r="S97" s="220" t="e">
        <f>INDEX(PMtbl[WKst],MATCH(U97,PMtbl[Category],0),)</f>
        <v>#N/A</v>
      </c>
      <c r="T97" s="220" t="e">
        <f>INDEX(PMtbl[Sec],MATCH(U97,PMtbl[Category],0),)</f>
        <v>#N/A</v>
      </c>
      <c r="U97" s="241" t="e" cm="1">
        <f t="array" ref="U97">INDEX(PMtbl[Category],MATCH(0,INDEX(COUNTIF($U$2:U96,PMtbl[Category]),),0))</f>
        <v>#N/A</v>
      </c>
      <c r="X97" s="90" t="s">
        <v>2750</v>
      </c>
      <c r="Y97" s="90">
        <v>5</v>
      </c>
      <c r="Z97" s="90" t="s">
        <v>28</v>
      </c>
      <c r="AA97" s="90" t="s">
        <v>2982</v>
      </c>
      <c r="AB97"/>
      <c r="AC97" s="243"/>
      <c r="AD97" s="243"/>
      <c r="AE97" s="243"/>
      <c r="AF97" s="243"/>
    </row>
    <row r="98" spans="1:32" x14ac:dyDescent="0.35">
      <c r="A98" s="825" t="s">
        <v>2749</v>
      </c>
      <c r="B98" s="825" t="s">
        <v>2750</v>
      </c>
      <c r="C98" s="825">
        <v>2</v>
      </c>
      <c r="D98" s="825" t="s">
        <v>17</v>
      </c>
      <c r="E98" s="825" t="s">
        <v>2758</v>
      </c>
      <c r="F98" s="220">
        <v>100</v>
      </c>
      <c r="G98" s="825" t="s">
        <v>2867</v>
      </c>
      <c r="H98" s="825" t="s">
        <v>2869</v>
      </c>
      <c r="I98" s="220" t="s">
        <v>82</v>
      </c>
      <c r="J98" s="220" t="str">
        <f>PMtbl[[#This Row],[Category]]&amp;PMtbl[[#This Row],[Each]]&amp;PMtbl[[#This Row],[Packaging]]</f>
        <v>Medical Oxygen - consumablesOxygen maskOxygen mask with connection tube, reservoir bag and value, child, single use</v>
      </c>
      <c r="K98">
        <v>0</v>
      </c>
      <c r="L98" s="930">
        <v>5.12</v>
      </c>
      <c r="M98" s="234" t="s">
        <v>1996</v>
      </c>
      <c r="N98" s="236"/>
      <c r="O98" s="825" t="s">
        <v>12</v>
      </c>
      <c r="P98" s="825"/>
      <c r="R98" s="220" t="e">
        <f>INDEX(PMtbl[Component],MATCH(U98,PMtbl[Category],0),)</f>
        <v>#N/A</v>
      </c>
      <c r="S98" s="220" t="e">
        <f>INDEX(PMtbl[WKst],MATCH(U98,PMtbl[Category],0),)</f>
        <v>#N/A</v>
      </c>
      <c r="T98" s="220" t="e">
        <f>INDEX(PMtbl[Sec],MATCH(U98,PMtbl[Category],0),)</f>
        <v>#N/A</v>
      </c>
      <c r="U98" s="241" t="e" cm="1">
        <f t="array" ref="U98">INDEX(PMtbl[Category],MATCH(0,INDEX(COUNTIF($U$2:U97,PMtbl[Category]),),0))</f>
        <v>#N/A</v>
      </c>
      <c r="X98" s="90" t="s">
        <v>2750</v>
      </c>
      <c r="Y98" s="90">
        <v>5</v>
      </c>
      <c r="Z98" s="90" t="s">
        <v>29</v>
      </c>
      <c r="AA98" s="90" t="s">
        <v>2984</v>
      </c>
      <c r="AB98"/>
      <c r="AC98" s="243"/>
      <c r="AD98" s="243"/>
      <c r="AE98" s="243"/>
      <c r="AF98" s="243"/>
    </row>
    <row r="99" spans="1:32" x14ac:dyDescent="0.35">
      <c r="A99" s="825" t="s">
        <v>2749</v>
      </c>
      <c r="B99" s="825" t="s">
        <v>2750</v>
      </c>
      <c r="C99" s="825">
        <v>2</v>
      </c>
      <c r="D99" s="825" t="s">
        <v>17</v>
      </c>
      <c r="E99" s="825" t="s">
        <v>2758</v>
      </c>
      <c r="F99" s="220">
        <v>101</v>
      </c>
      <c r="G99" s="825" t="s">
        <v>2867</v>
      </c>
      <c r="H99" s="825" t="s">
        <v>2870</v>
      </c>
      <c r="I99" s="220" t="s">
        <v>82</v>
      </c>
      <c r="J99" s="220" t="str">
        <f>PMtbl[[#This Row],[Category]]&amp;PMtbl[[#This Row],[Each]]&amp;PMtbl[[#This Row],[Packaging]]</f>
        <v>Medical Oxygen - consumablesOxygen maskVenturi mask with percent O2 Lock and tubing, adult</v>
      </c>
      <c r="K99">
        <v>0</v>
      </c>
      <c r="L99" s="930">
        <v>5.12</v>
      </c>
      <c r="M99" s="234" t="s">
        <v>1996</v>
      </c>
      <c r="N99" s="236"/>
      <c r="O99" s="825" t="s">
        <v>12</v>
      </c>
      <c r="P99" s="825"/>
      <c r="R99" s="220" t="e">
        <f>INDEX(PMtbl[Component],MATCH(U99,PMtbl[Category],0),)</f>
        <v>#N/A</v>
      </c>
      <c r="S99" s="220" t="e">
        <f>INDEX(PMtbl[WKst],MATCH(U99,PMtbl[Category],0),)</f>
        <v>#N/A</v>
      </c>
      <c r="T99" s="220" t="e">
        <f>INDEX(PMtbl[Sec],MATCH(U99,PMtbl[Category],0),)</f>
        <v>#N/A</v>
      </c>
      <c r="U99" s="241" t="e" cm="1">
        <f t="array" ref="U99">INDEX(PMtbl[Category],MATCH(0,INDEX(COUNTIF($U$2:U98,PMtbl[Category]),),0))</f>
        <v>#N/A</v>
      </c>
      <c r="X99" s="90" t="s">
        <v>2750</v>
      </c>
      <c r="Y99" s="90">
        <v>5</v>
      </c>
      <c r="Z99" s="90" t="s">
        <v>29</v>
      </c>
      <c r="AA99" s="90" t="s">
        <v>2985</v>
      </c>
      <c r="AB99"/>
      <c r="AC99" s="243"/>
      <c r="AD99" s="243"/>
      <c r="AE99" s="243"/>
      <c r="AF99" s="243"/>
    </row>
    <row r="100" spans="1:32" x14ac:dyDescent="0.35">
      <c r="A100" s="825" t="s">
        <v>2749</v>
      </c>
      <c r="B100" s="825" t="s">
        <v>2750</v>
      </c>
      <c r="C100" s="825">
        <v>2</v>
      </c>
      <c r="D100" s="825" t="s">
        <v>17</v>
      </c>
      <c r="E100" s="825" t="s">
        <v>2758</v>
      </c>
      <c r="F100" s="220">
        <v>102</v>
      </c>
      <c r="G100" s="825" t="s">
        <v>2867</v>
      </c>
      <c r="H100" s="825" t="s">
        <v>2871</v>
      </c>
      <c r="I100" s="220" t="s">
        <v>82</v>
      </c>
      <c r="J100" s="220" t="str">
        <f>PMtbl[[#This Row],[Category]]&amp;PMtbl[[#This Row],[Each]]&amp;PMtbl[[#This Row],[Packaging]]</f>
        <v>Medical Oxygen - consumablesOxygen maskVenturi mask with percent O2 Lock and tubing, child</v>
      </c>
      <c r="K100">
        <v>0</v>
      </c>
      <c r="L100" s="930">
        <v>5.12</v>
      </c>
      <c r="M100" s="234" t="s">
        <v>1996</v>
      </c>
      <c r="N100" s="236"/>
      <c r="O100" s="825" t="s">
        <v>12</v>
      </c>
      <c r="P100" s="825"/>
      <c r="R100" s="220" t="e">
        <f>INDEX(PMtbl[Component],MATCH(U100,PMtbl[Category],0),)</f>
        <v>#N/A</v>
      </c>
      <c r="S100" s="220" t="e">
        <f>INDEX(PMtbl[WKst],MATCH(U100,PMtbl[Category],0),)</f>
        <v>#N/A</v>
      </c>
      <c r="T100" s="220" t="e">
        <f>INDEX(PMtbl[Sec],MATCH(U100,PMtbl[Category],0),)</f>
        <v>#N/A</v>
      </c>
      <c r="U100" s="241" t="e" cm="1">
        <f t="array" ref="U100">INDEX(PMtbl[Category],MATCH(0,INDEX(COUNTIF($U$2:U99,PMtbl[Category]),),0))</f>
        <v>#N/A</v>
      </c>
      <c r="X100" s="90" t="s">
        <v>2750</v>
      </c>
      <c r="Y100" s="90">
        <v>5</v>
      </c>
      <c r="Z100" s="90" t="s">
        <v>29</v>
      </c>
      <c r="AA100" s="90" t="s">
        <v>2986</v>
      </c>
      <c r="AB100"/>
      <c r="AC100" s="243"/>
      <c r="AD100" s="243"/>
      <c r="AE100" s="243"/>
      <c r="AF100" s="243"/>
    </row>
    <row r="101" spans="1:32" x14ac:dyDescent="0.35">
      <c r="A101" s="825" t="s">
        <v>2749</v>
      </c>
      <c r="B101" s="825" t="s">
        <v>2750</v>
      </c>
      <c r="C101" s="825">
        <v>2</v>
      </c>
      <c r="D101" s="825" t="s">
        <v>17</v>
      </c>
      <c r="E101" s="825" t="s">
        <v>2758</v>
      </c>
      <c r="F101" s="220">
        <v>103</v>
      </c>
      <c r="G101" s="825" t="s">
        <v>2872</v>
      </c>
      <c r="H101" s="825" t="s">
        <v>2873</v>
      </c>
      <c r="I101" s="220" t="s">
        <v>82</v>
      </c>
      <c r="J101" s="220" t="str">
        <f>PMtbl[[#This Row],[Category]]&amp;PMtbl[[#This Row],[Each]]&amp;PMtbl[[#This Row],[Packaging]]</f>
        <v>Medical Oxygen - consumablesPulse oximeter probesHandheld pulse oximeter probes, adult</v>
      </c>
      <c r="K101">
        <v>0</v>
      </c>
      <c r="L101" s="930">
        <v>5.12</v>
      </c>
      <c r="M101" s="234" t="s">
        <v>1996</v>
      </c>
      <c r="N101" s="236"/>
      <c r="O101" s="825" t="s">
        <v>12</v>
      </c>
      <c r="P101" s="825"/>
      <c r="R101" s="220" t="e">
        <f>INDEX(PMtbl[Component],MATCH(U101,PMtbl[Category],0),)</f>
        <v>#N/A</v>
      </c>
      <c r="S101" s="220" t="e">
        <f>INDEX(PMtbl[WKst],MATCH(U101,PMtbl[Category],0),)</f>
        <v>#N/A</v>
      </c>
      <c r="T101" s="220" t="e">
        <f>INDEX(PMtbl[Sec],MATCH(U101,PMtbl[Category],0),)</f>
        <v>#N/A</v>
      </c>
      <c r="U101" s="241" t="e" cm="1">
        <f t="array" ref="U101">INDEX(PMtbl[Category],MATCH(0,INDEX(COUNTIF($U$2:U100,PMtbl[Category]),),0))</f>
        <v>#N/A</v>
      </c>
      <c r="X101" s="90" t="s">
        <v>2750</v>
      </c>
      <c r="Y101" s="90">
        <v>5</v>
      </c>
      <c r="Z101" s="90" t="s">
        <v>2764</v>
      </c>
      <c r="AA101" s="90" t="s">
        <v>2989</v>
      </c>
      <c r="AB101"/>
      <c r="AC101" s="243"/>
      <c r="AD101" s="243"/>
      <c r="AE101" s="243"/>
      <c r="AF101" s="243"/>
    </row>
    <row r="102" spans="1:32" x14ac:dyDescent="0.35">
      <c r="A102" s="825" t="s">
        <v>2749</v>
      </c>
      <c r="B102" s="825" t="s">
        <v>2750</v>
      </c>
      <c r="C102" s="825">
        <v>2</v>
      </c>
      <c r="D102" s="825" t="s">
        <v>17</v>
      </c>
      <c r="E102" s="825" t="s">
        <v>2758</v>
      </c>
      <c r="F102" s="220">
        <v>104</v>
      </c>
      <c r="G102" s="825" t="s">
        <v>2872</v>
      </c>
      <c r="H102" s="825" t="s">
        <v>2874</v>
      </c>
      <c r="I102" s="220" t="s">
        <v>82</v>
      </c>
      <c r="J102" s="220" t="str">
        <f>PMtbl[[#This Row],[Category]]&amp;PMtbl[[#This Row],[Each]]&amp;PMtbl[[#This Row],[Packaging]]</f>
        <v>Medical Oxygen - consumablesPulse oximeter probesHandheld pulse oximeter probes, neonatal</v>
      </c>
      <c r="K102">
        <v>0</v>
      </c>
      <c r="L102" s="930">
        <v>5.12</v>
      </c>
      <c r="M102" s="234" t="s">
        <v>1996</v>
      </c>
      <c r="N102" s="236"/>
      <c r="O102" s="825" t="s">
        <v>12</v>
      </c>
      <c r="P102" s="825"/>
      <c r="R102" s="220" t="e">
        <f>INDEX(PMtbl[Component],MATCH(U102,PMtbl[Category],0),)</f>
        <v>#N/A</v>
      </c>
      <c r="S102" s="220" t="e">
        <f>INDEX(PMtbl[WKst],MATCH(U102,PMtbl[Category],0),)</f>
        <v>#N/A</v>
      </c>
      <c r="T102" s="220" t="e">
        <f>INDEX(PMtbl[Sec],MATCH(U102,PMtbl[Category],0),)</f>
        <v>#N/A</v>
      </c>
      <c r="U102" s="241" t="e" cm="1">
        <f t="array" ref="U102">INDEX(PMtbl[Category],MATCH(0,INDEX(COUNTIF($U$2:U101,PMtbl[Category]),),0))</f>
        <v>#N/A</v>
      </c>
      <c r="X102" s="90" t="s">
        <v>2750</v>
      </c>
      <c r="Y102" s="90">
        <v>5</v>
      </c>
      <c r="Z102" s="90" t="s">
        <v>2764</v>
      </c>
      <c r="AA102" s="90" t="s">
        <v>2994</v>
      </c>
      <c r="AB102"/>
      <c r="AC102" s="243"/>
      <c r="AD102" s="243"/>
      <c r="AE102" s="243"/>
      <c r="AF102" s="243"/>
    </row>
    <row r="103" spans="1:32" x14ac:dyDescent="0.35">
      <c r="A103" s="825" t="s">
        <v>2749</v>
      </c>
      <c r="B103" s="825" t="s">
        <v>2750</v>
      </c>
      <c r="C103" s="825">
        <v>2</v>
      </c>
      <c r="D103" s="825" t="s">
        <v>17</v>
      </c>
      <c r="E103" s="825" t="s">
        <v>2758</v>
      </c>
      <c r="F103" s="220">
        <v>105</v>
      </c>
      <c r="G103" s="825" t="s">
        <v>2872</v>
      </c>
      <c r="H103" s="825" t="s">
        <v>2875</v>
      </c>
      <c r="I103" s="220" t="s">
        <v>82</v>
      </c>
      <c r="J103" s="220" t="str">
        <f>PMtbl[[#This Row],[Category]]&amp;PMtbl[[#This Row],[Each]]&amp;PMtbl[[#This Row],[Packaging]]</f>
        <v>Medical Oxygen - consumablesPulse oximeter probesHandheld pulse oximeter probes, pediatric</v>
      </c>
      <c r="K103">
        <v>0</v>
      </c>
      <c r="L103" s="930">
        <v>5.12</v>
      </c>
      <c r="M103" s="234" t="s">
        <v>1996</v>
      </c>
      <c r="N103" s="236"/>
      <c r="O103" s="825" t="s">
        <v>12</v>
      </c>
      <c r="P103" s="825"/>
      <c r="R103" s="220" t="e">
        <f>INDEX(PMtbl[Component],MATCH(U103,PMtbl[Category],0),)</f>
        <v>#N/A</v>
      </c>
      <c r="S103" s="220" t="e">
        <f>INDEX(PMtbl[WKst],MATCH(U103,PMtbl[Category],0),)</f>
        <v>#N/A</v>
      </c>
      <c r="T103" s="220" t="e">
        <f>INDEX(PMtbl[Sec],MATCH(U103,PMtbl[Category],0),)</f>
        <v>#N/A</v>
      </c>
      <c r="U103" s="241" t="e" cm="1">
        <f t="array" ref="U103">INDEX(PMtbl[Category],MATCH(0,INDEX(COUNTIF($U$2:U102,PMtbl[Category]),),0))</f>
        <v>#N/A</v>
      </c>
      <c r="X103" s="90" t="s">
        <v>2750</v>
      </c>
      <c r="Y103" s="90">
        <v>5</v>
      </c>
      <c r="Z103" s="90" t="s">
        <v>2764</v>
      </c>
      <c r="AA103" s="90" t="s">
        <v>2995</v>
      </c>
      <c r="AB103"/>
      <c r="AC103" s="243"/>
      <c r="AD103" s="243"/>
      <c r="AE103" s="243"/>
      <c r="AF103" s="243"/>
    </row>
    <row r="104" spans="1:32" x14ac:dyDescent="0.35">
      <c r="A104" s="825" t="s">
        <v>2749</v>
      </c>
      <c r="B104" s="825" t="s">
        <v>2750</v>
      </c>
      <c r="C104" s="825">
        <v>2</v>
      </c>
      <c r="D104" s="825" t="s">
        <v>17</v>
      </c>
      <c r="E104" s="825" t="s">
        <v>2758</v>
      </c>
      <c r="F104" s="220">
        <v>106</v>
      </c>
      <c r="G104" s="825" t="s">
        <v>2872</v>
      </c>
      <c r="H104" s="825" t="s">
        <v>2876</v>
      </c>
      <c r="I104" s="220" t="s">
        <v>82</v>
      </c>
      <c r="J104" s="220" t="str">
        <f>PMtbl[[#This Row],[Category]]&amp;PMtbl[[#This Row],[Each]]&amp;PMtbl[[#This Row],[Packaging]]</f>
        <v>Medical Oxygen - consumablesPulse oximeter probesTabletop pulse oximeter probes, adult</v>
      </c>
      <c r="K104">
        <v>0</v>
      </c>
      <c r="L104" s="930">
        <v>5.12</v>
      </c>
      <c r="M104" s="234" t="s">
        <v>1996</v>
      </c>
      <c r="N104" s="236"/>
      <c r="O104" s="825" t="s">
        <v>12</v>
      </c>
      <c r="P104" s="825"/>
      <c r="R104" s="220" t="e">
        <f>INDEX(PMtbl[Component],MATCH(U104,PMtbl[Category],0),)</f>
        <v>#N/A</v>
      </c>
      <c r="S104" s="220" t="e">
        <f>INDEX(PMtbl[WKst],MATCH(U104,PMtbl[Category],0),)</f>
        <v>#N/A</v>
      </c>
      <c r="T104" s="220" t="e">
        <f>INDEX(PMtbl[Sec],MATCH(U104,PMtbl[Category],0),)</f>
        <v>#N/A</v>
      </c>
      <c r="U104" s="241" t="e" cm="1">
        <f t="array" ref="U104">INDEX(PMtbl[Category],MATCH(0,INDEX(COUNTIF($U$2:U103,PMtbl[Category]),),0))</f>
        <v>#N/A</v>
      </c>
      <c r="X104" s="90" t="s">
        <v>2750</v>
      </c>
      <c r="Y104" s="90">
        <v>5</v>
      </c>
      <c r="Z104" s="90" t="s">
        <v>2764</v>
      </c>
      <c r="AA104" s="90" t="s">
        <v>2996</v>
      </c>
      <c r="AB104"/>
      <c r="AC104" s="243"/>
      <c r="AD104" s="243"/>
      <c r="AE104" s="243"/>
      <c r="AF104" s="243"/>
    </row>
    <row r="105" spans="1:32" x14ac:dyDescent="0.35">
      <c r="A105" s="825" t="s">
        <v>2749</v>
      </c>
      <c r="B105" s="825" t="s">
        <v>2750</v>
      </c>
      <c r="C105" s="825">
        <v>2</v>
      </c>
      <c r="D105" s="825" t="s">
        <v>17</v>
      </c>
      <c r="E105" s="825" t="s">
        <v>2758</v>
      </c>
      <c r="F105" s="220">
        <v>107</v>
      </c>
      <c r="G105" s="825" t="s">
        <v>2872</v>
      </c>
      <c r="H105" s="825" t="s">
        <v>2877</v>
      </c>
      <c r="I105" s="220" t="s">
        <v>82</v>
      </c>
      <c r="J105" s="220" t="str">
        <f>PMtbl[[#This Row],[Category]]&amp;PMtbl[[#This Row],[Each]]&amp;PMtbl[[#This Row],[Packaging]]</f>
        <v>Medical Oxygen - consumablesPulse oximeter probesTabletop pulse oximeter probes, neonatal</v>
      </c>
      <c r="K105">
        <v>0</v>
      </c>
      <c r="L105" s="930">
        <v>5.12</v>
      </c>
      <c r="M105" s="234" t="s">
        <v>1996</v>
      </c>
      <c r="N105" s="236"/>
      <c r="O105" s="825" t="s">
        <v>12</v>
      </c>
      <c r="P105" s="825"/>
      <c r="R105" s="220" t="e">
        <f>INDEX(PMtbl[Component],MATCH(U105,PMtbl[Category],0),)</f>
        <v>#N/A</v>
      </c>
      <c r="S105" s="220" t="e">
        <f>INDEX(PMtbl[WKst],MATCH(U105,PMtbl[Category],0),)</f>
        <v>#N/A</v>
      </c>
      <c r="T105" s="220" t="e">
        <f>INDEX(PMtbl[Sec],MATCH(U105,PMtbl[Category],0),)</f>
        <v>#N/A</v>
      </c>
      <c r="U105" s="241" t="e" cm="1">
        <f t="array" ref="U105">INDEX(PMtbl[Category],MATCH(0,INDEX(COUNTIF($U$2:U104,PMtbl[Category]),),0))</f>
        <v>#N/A</v>
      </c>
      <c r="X105" s="90" t="s">
        <v>2750</v>
      </c>
      <c r="Y105" s="90">
        <v>5</v>
      </c>
      <c r="Z105" s="90" t="s">
        <v>2764</v>
      </c>
      <c r="AA105" s="90" t="s">
        <v>2997</v>
      </c>
      <c r="AB105"/>
      <c r="AC105" s="243"/>
      <c r="AD105" s="243"/>
      <c r="AE105" s="243"/>
      <c r="AF105" s="243"/>
    </row>
    <row r="106" spans="1:32" x14ac:dyDescent="0.35">
      <c r="A106" s="825" t="s">
        <v>2749</v>
      </c>
      <c r="B106" s="825" t="s">
        <v>2750</v>
      </c>
      <c r="C106" s="825">
        <v>2</v>
      </c>
      <c r="D106" s="825" t="s">
        <v>17</v>
      </c>
      <c r="E106" s="825" t="s">
        <v>2758</v>
      </c>
      <c r="F106" s="220">
        <v>108</v>
      </c>
      <c r="G106" s="825" t="s">
        <v>2872</v>
      </c>
      <c r="H106" s="825" t="s">
        <v>2878</v>
      </c>
      <c r="I106" s="220" t="s">
        <v>82</v>
      </c>
      <c r="J106" s="220" t="str">
        <f>PMtbl[[#This Row],[Category]]&amp;PMtbl[[#This Row],[Each]]&amp;PMtbl[[#This Row],[Packaging]]</f>
        <v>Medical Oxygen - consumablesPulse oximeter probesTabletop pulse oximeter probes, pediatric</v>
      </c>
      <c r="K106">
        <v>0</v>
      </c>
      <c r="L106" s="930">
        <v>5.12</v>
      </c>
      <c r="M106" s="234" t="s">
        <v>1996</v>
      </c>
      <c r="N106" s="236"/>
      <c r="O106" s="825" t="s">
        <v>12</v>
      </c>
      <c r="P106" s="825"/>
      <c r="R106" s="220" t="e">
        <f>INDEX(PMtbl[Component],MATCH(U106,PMtbl[Category],0),)</f>
        <v>#N/A</v>
      </c>
      <c r="S106" s="220" t="e">
        <f>INDEX(PMtbl[WKst],MATCH(U106,PMtbl[Category],0),)</f>
        <v>#N/A</v>
      </c>
      <c r="T106" s="220" t="e">
        <f>INDEX(PMtbl[Sec],MATCH(U106,PMtbl[Category],0),)</f>
        <v>#N/A</v>
      </c>
      <c r="U106" s="241" t="e" cm="1">
        <f t="array" ref="U106">INDEX(PMtbl[Category],MATCH(0,INDEX(COUNTIF($U$2:U105,PMtbl[Category]),),0))</f>
        <v>#N/A</v>
      </c>
      <c r="X106" s="90" t="s">
        <v>2750</v>
      </c>
      <c r="Y106" s="90">
        <v>5</v>
      </c>
      <c r="Z106" s="90" t="s">
        <v>2764</v>
      </c>
      <c r="AA106" s="90" t="s">
        <v>2998</v>
      </c>
      <c r="AB106"/>
      <c r="AC106" s="243"/>
      <c r="AD106" s="243"/>
      <c r="AE106" s="243"/>
      <c r="AF106" s="243"/>
    </row>
    <row r="107" spans="1:32" x14ac:dyDescent="0.35">
      <c r="A107" s="825" t="s">
        <v>2749</v>
      </c>
      <c r="B107" s="825" t="s">
        <v>2750</v>
      </c>
      <c r="C107" s="825">
        <v>2</v>
      </c>
      <c r="D107" s="825" t="s">
        <v>17</v>
      </c>
      <c r="E107" s="825" t="s">
        <v>2758</v>
      </c>
      <c r="F107" s="220">
        <v>109</v>
      </c>
      <c r="G107" s="825" t="s">
        <v>2879</v>
      </c>
      <c r="H107" s="825" t="s">
        <v>2880</v>
      </c>
      <c r="I107" s="220" t="s">
        <v>82</v>
      </c>
      <c r="J107" s="220" t="str">
        <f>PMtbl[[#This Row],[Category]]&amp;PMtbl[[#This Row],[Each]]&amp;PMtbl[[#This Row],[Packaging]]</f>
        <v>Medical Oxygen - consumablesResuscitatorResuscitator, adult</v>
      </c>
      <c r="K107">
        <v>0</v>
      </c>
      <c r="L107" s="930">
        <v>5.12</v>
      </c>
      <c r="M107" s="234" t="s">
        <v>1996</v>
      </c>
      <c r="N107" s="236"/>
      <c r="O107" s="825" t="s">
        <v>12</v>
      </c>
      <c r="P107" s="825"/>
      <c r="R107" s="220" t="e">
        <f>INDEX(PMtbl[Component],MATCH(U107,PMtbl[Category],0),)</f>
        <v>#N/A</v>
      </c>
      <c r="S107" s="220" t="e">
        <f>INDEX(PMtbl[WKst],MATCH(U107,PMtbl[Category],0),)</f>
        <v>#N/A</v>
      </c>
      <c r="T107" s="220" t="e">
        <f>INDEX(PMtbl[Sec],MATCH(U107,PMtbl[Category],0),)</f>
        <v>#N/A</v>
      </c>
      <c r="U107" s="241" t="e" cm="1">
        <f t="array" ref="U107">INDEX(PMtbl[Category],MATCH(0,INDEX(COUNTIF($U$2:U106,PMtbl[Category]),),0))</f>
        <v>#N/A</v>
      </c>
      <c r="X107" s="90" t="s">
        <v>2750</v>
      </c>
      <c r="Y107" s="90">
        <v>5</v>
      </c>
      <c r="Z107" s="90" t="s">
        <v>2764</v>
      </c>
      <c r="AA107" s="90" t="s">
        <v>2987</v>
      </c>
      <c r="AB107"/>
      <c r="AC107" s="243"/>
      <c r="AD107" s="243"/>
      <c r="AE107" s="243"/>
      <c r="AF107" s="243"/>
    </row>
    <row r="108" spans="1:32" x14ac:dyDescent="0.35">
      <c r="A108" s="825" t="s">
        <v>2749</v>
      </c>
      <c r="B108" s="825" t="s">
        <v>2750</v>
      </c>
      <c r="C108" s="825">
        <v>2</v>
      </c>
      <c r="D108" s="825" t="s">
        <v>17</v>
      </c>
      <c r="E108" s="825" t="s">
        <v>2758</v>
      </c>
      <c r="F108" s="220">
        <v>110</v>
      </c>
      <c r="G108" s="825" t="s">
        <v>2879</v>
      </c>
      <c r="H108" s="825" t="s">
        <v>2881</v>
      </c>
      <c r="I108" s="220" t="s">
        <v>82</v>
      </c>
      <c r="J108" s="220" t="str">
        <f>PMtbl[[#This Row],[Category]]&amp;PMtbl[[#This Row],[Each]]&amp;PMtbl[[#This Row],[Packaging]]</f>
        <v>Medical Oxygen - consumablesResuscitatorResuscitator, child</v>
      </c>
      <c r="K108">
        <v>0</v>
      </c>
      <c r="L108" s="930">
        <v>5.12</v>
      </c>
      <c r="M108" s="234" t="s">
        <v>1996</v>
      </c>
      <c r="N108" s="236"/>
      <c r="O108" s="825" t="s">
        <v>12</v>
      </c>
      <c r="P108" s="825"/>
      <c r="R108" s="220" t="e">
        <f>INDEX(PMtbl[Component],MATCH(U108,PMtbl[Category],0),)</f>
        <v>#N/A</v>
      </c>
      <c r="S108" s="220" t="e">
        <f>INDEX(PMtbl[WKst],MATCH(U108,PMtbl[Category],0),)</f>
        <v>#N/A</v>
      </c>
      <c r="T108" s="220" t="e">
        <f>INDEX(PMtbl[Sec],MATCH(U108,PMtbl[Category],0),)</f>
        <v>#N/A</v>
      </c>
      <c r="U108" s="241" t="e" cm="1">
        <f t="array" ref="U108">INDEX(PMtbl[Category],MATCH(0,INDEX(COUNTIF($U$2:U107,PMtbl[Category]),),0))</f>
        <v>#N/A</v>
      </c>
      <c r="X108" s="90" t="s">
        <v>2750</v>
      </c>
      <c r="Y108" s="90">
        <v>6</v>
      </c>
      <c r="Z108" s="90" t="s">
        <v>2765</v>
      </c>
      <c r="AA108" s="90" t="s">
        <v>2999</v>
      </c>
      <c r="AB108"/>
      <c r="AC108" s="243"/>
      <c r="AD108" s="243"/>
      <c r="AE108" s="243"/>
      <c r="AF108" s="243"/>
    </row>
    <row r="109" spans="1:32" x14ac:dyDescent="0.35">
      <c r="A109" s="825" t="s">
        <v>2749</v>
      </c>
      <c r="B109" s="825" t="s">
        <v>2750</v>
      </c>
      <c r="C109" s="825">
        <v>2</v>
      </c>
      <c r="D109" s="825" t="s">
        <v>17</v>
      </c>
      <c r="E109" s="825" t="s">
        <v>2758</v>
      </c>
      <c r="F109" s="220">
        <v>111</v>
      </c>
      <c r="G109" s="825" t="s">
        <v>2882</v>
      </c>
      <c r="H109" s="825" t="s">
        <v>2883</v>
      </c>
      <c r="I109" s="220" t="s">
        <v>82</v>
      </c>
      <c r="J109" s="220" t="str">
        <f>PMtbl[[#This Row],[Category]]&amp;PMtbl[[#This Row],[Each]]&amp;PMtbl[[#This Row],[Packaging]]</f>
        <v>Medical Oxygen - consumablesSuction deviceSuction devices (Electrical recommend)</v>
      </c>
      <c r="K109">
        <v>0</v>
      </c>
      <c r="L109" s="930">
        <v>5.12</v>
      </c>
      <c r="M109" s="234" t="s">
        <v>1996</v>
      </c>
      <c r="N109" s="236"/>
      <c r="O109" s="825" t="s">
        <v>12</v>
      </c>
      <c r="P109" s="825"/>
      <c r="R109" s="220" t="e">
        <f>INDEX(PMtbl[Component],MATCH(U109,PMtbl[Category],0),)</f>
        <v>#N/A</v>
      </c>
      <c r="S109" s="220" t="e">
        <f>INDEX(PMtbl[WKst],MATCH(U109,PMtbl[Category],0),)</f>
        <v>#N/A</v>
      </c>
      <c r="T109" s="220" t="e">
        <f>INDEX(PMtbl[Sec],MATCH(U109,PMtbl[Category],0),)</f>
        <v>#N/A</v>
      </c>
      <c r="U109" s="241" t="e" cm="1">
        <f t="array" ref="U109">INDEX(PMtbl[Category],MATCH(0,INDEX(COUNTIF($U$2:U108,PMtbl[Category]),),0))</f>
        <v>#N/A</v>
      </c>
      <c r="X109" s="90" t="s">
        <v>2750</v>
      </c>
      <c r="Y109" s="90">
        <v>6</v>
      </c>
      <c r="Z109" s="90" t="s">
        <v>2766</v>
      </c>
      <c r="AA109" s="90" t="s">
        <v>3001</v>
      </c>
      <c r="AB109"/>
      <c r="AC109" s="243"/>
      <c r="AD109" s="243"/>
      <c r="AE109" s="243"/>
      <c r="AF109" s="243"/>
    </row>
    <row r="110" spans="1:32" x14ac:dyDescent="0.35">
      <c r="A110" s="825" t="s">
        <v>2749</v>
      </c>
      <c r="B110" s="825" t="s">
        <v>2750</v>
      </c>
      <c r="C110" s="825">
        <v>2</v>
      </c>
      <c r="D110" s="825" t="s">
        <v>17</v>
      </c>
      <c r="E110" s="825" t="s">
        <v>2758</v>
      </c>
      <c r="F110" s="220">
        <v>112</v>
      </c>
      <c r="G110" s="825" t="s">
        <v>2884</v>
      </c>
      <c r="H110" s="825" t="s">
        <v>2885</v>
      </c>
      <c r="I110" s="220" t="s">
        <v>82</v>
      </c>
      <c r="J110" s="220" t="str">
        <f>PMtbl[[#This Row],[Category]]&amp;PMtbl[[#This Row],[Each]]&amp;PMtbl[[#This Row],[Packaging]]</f>
        <v>Medical Oxygen - consumablesTubingOxygen administration tubing, non-sterile</v>
      </c>
      <c r="K110">
        <v>0</v>
      </c>
      <c r="L110" s="930">
        <v>5.12</v>
      </c>
      <c r="M110" s="234" t="s">
        <v>1996</v>
      </c>
      <c r="N110" s="236"/>
      <c r="O110" s="825" t="s">
        <v>12</v>
      </c>
      <c r="P110" s="825"/>
      <c r="R110" s="220" t="e">
        <f>INDEX(PMtbl[Component],MATCH(U110,PMtbl[Category],0),)</f>
        <v>#N/A</v>
      </c>
      <c r="S110" s="220" t="e">
        <f>INDEX(PMtbl[WKst],MATCH(U110,PMtbl[Category],0),)</f>
        <v>#N/A</v>
      </c>
      <c r="T110" s="220" t="e">
        <f>INDEX(PMtbl[Sec],MATCH(U110,PMtbl[Category],0),)</f>
        <v>#N/A</v>
      </c>
      <c r="U110" s="241" t="e" cm="1">
        <f t="array" ref="U110">INDEX(PMtbl[Category],MATCH(0,INDEX(COUNTIF($U$2:U109,PMtbl[Category]),),0))</f>
        <v>#N/A</v>
      </c>
      <c r="X110" s="90" t="s">
        <v>2750</v>
      </c>
      <c r="Y110" s="90">
        <v>6</v>
      </c>
      <c r="Z110" s="90" t="s">
        <v>2766</v>
      </c>
      <c r="AA110" s="90" t="s">
        <v>3002</v>
      </c>
      <c r="AB110"/>
      <c r="AC110" s="243"/>
      <c r="AD110" s="243"/>
      <c r="AE110" s="243"/>
      <c r="AF110" s="243"/>
    </row>
    <row r="111" spans="1:32" x14ac:dyDescent="0.35">
      <c r="A111" s="825" t="s">
        <v>2749</v>
      </c>
      <c r="B111" s="825" t="s">
        <v>2750</v>
      </c>
      <c r="C111" s="825">
        <v>2</v>
      </c>
      <c r="D111" s="825" t="s">
        <v>17</v>
      </c>
      <c r="E111" s="825" t="s">
        <v>2758</v>
      </c>
      <c r="F111" s="220">
        <v>113</v>
      </c>
      <c r="G111" s="825" t="s">
        <v>2884</v>
      </c>
      <c r="H111" s="825" t="s">
        <v>2886</v>
      </c>
      <c r="I111" s="220" t="s">
        <v>82</v>
      </c>
      <c r="J111" s="220" t="str">
        <f>PMtbl[[#This Row],[Category]]&amp;PMtbl[[#This Row],[Each]]&amp;PMtbl[[#This Row],[Packaging]]</f>
        <v>Medical Oxygen - consumablesTubingSuction tubing, silicone, non-sterile</v>
      </c>
      <c r="K111">
        <v>0</v>
      </c>
      <c r="L111" s="930">
        <v>5.12</v>
      </c>
      <c r="M111" s="234" t="s">
        <v>1996</v>
      </c>
      <c r="N111" s="236"/>
      <c r="O111" s="825" t="s">
        <v>12</v>
      </c>
      <c r="P111" s="825"/>
      <c r="R111" s="220" t="e">
        <f>INDEX(PMtbl[Component],MATCH(U111,PMtbl[Category],0),)</f>
        <v>#N/A</v>
      </c>
      <c r="S111" s="220" t="e">
        <f>INDEX(PMtbl[WKst],MATCH(U111,PMtbl[Category],0),)</f>
        <v>#N/A</v>
      </c>
      <c r="T111" s="220" t="e">
        <f>INDEX(PMtbl[Sec],MATCH(U111,PMtbl[Category],0),)</f>
        <v>#N/A</v>
      </c>
      <c r="U111" s="241" t="e" cm="1">
        <f t="array" ref="U111">INDEX(PMtbl[Category],MATCH(0,INDEX(COUNTIF($U$2:U110,PMtbl[Category]),),0))</f>
        <v>#N/A</v>
      </c>
      <c r="X111" s="90" t="s">
        <v>2750</v>
      </c>
      <c r="Y111" s="90">
        <v>6</v>
      </c>
      <c r="Z111" s="90" t="s">
        <v>2766</v>
      </c>
      <c r="AA111" s="90" t="s">
        <v>1914</v>
      </c>
      <c r="AB111"/>
      <c r="AC111" s="243"/>
      <c r="AD111" s="243"/>
      <c r="AE111" s="243"/>
      <c r="AF111" s="243"/>
    </row>
    <row r="112" spans="1:32" x14ac:dyDescent="0.35">
      <c r="A112" s="825" t="s">
        <v>2749</v>
      </c>
      <c r="B112" s="825" t="s">
        <v>2750</v>
      </c>
      <c r="C112" s="825">
        <v>2</v>
      </c>
      <c r="D112" s="825" t="s">
        <v>19</v>
      </c>
      <c r="E112" s="825" t="s">
        <v>2759</v>
      </c>
      <c r="F112" s="220">
        <v>114</v>
      </c>
      <c r="G112" s="825" t="s">
        <v>20</v>
      </c>
      <c r="H112" s="825" t="s">
        <v>2777</v>
      </c>
      <c r="I112" s="220" t="s">
        <v>82</v>
      </c>
      <c r="J112" s="220" t="str">
        <f>PMtbl[[#This Row],[Category]]&amp;PMtbl[[#This Row],[Each]]&amp;PMtbl[[#This Row],[Packaging]]</f>
        <v>Medical Oxygen - equipmentCOVID EquipmentSpare parts and accessories</v>
      </c>
      <c r="K112">
        <v>0</v>
      </c>
      <c r="L112" s="236">
        <v>6.7</v>
      </c>
      <c r="M112" s="234" t="s">
        <v>3300</v>
      </c>
      <c r="N112" s="236"/>
      <c r="O112" s="825" t="s">
        <v>12</v>
      </c>
      <c r="P112" s="825"/>
      <c r="R112" s="220" t="e">
        <f>INDEX(PMtbl[Component],MATCH(U112,PMtbl[Category],0),)</f>
        <v>#N/A</v>
      </c>
      <c r="S112" s="220" t="e">
        <f>INDEX(PMtbl[WKst],MATCH(U112,PMtbl[Category],0),)</f>
        <v>#N/A</v>
      </c>
      <c r="T112" s="220" t="e">
        <f>INDEX(PMtbl[Sec],MATCH(U112,PMtbl[Category],0),)</f>
        <v>#N/A</v>
      </c>
      <c r="U112" s="241" t="e" cm="1">
        <f t="array" ref="U112">INDEX(PMtbl[Category],MATCH(0,INDEX(COUNTIF($U$2:U111,PMtbl[Category]),),0))</f>
        <v>#N/A</v>
      </c>
      <c r="X112" s="90" t="s">
        <v>2751</v>
      </c>
      <c r="Y112" s="90">
        <v>1</v>
      </c>
      <c r="Z112" s="90" t="s">
        <v>2767</v>
      </c>
      <c r="AA112" s="90" t="s">
        <v>3004</v>
      </c>
      <c r="AB112"/>
      <c r="AC112" s="243"/>
      <c r="AD112" s="243"/>
      <c r="AE112" s="243"/>
      <c r="AF112" s="243"/>
    </row>
    <row r="113" spans="1:32" x14ac:dyDescent="0.35">
      <c r="A113" s="825" t="s">
        <v>2749</v>
      </c>
      <c r="B113" s="825" t="s">
        <v>2750</v>
      </c>
      <c r="C113" s="825">
        <v>2</v>
      </c>
      <c r="D113" s="825" t="s">
        <v>19</v>
      </c>
      <c r="E113" s="825" t="s">
        <v>2759</v>
      </c>
      <c r="F113" s="220">
        <v>115</v>
      </c>
      <c r="G113" s="825" t="s">
        <v>20</v>
      </c>
      <c r="H113" s="825" t="s">
        <v>2778</v>
      </c>
      <c r="I113" s="220" t="s">
        <v>82</v>
      </c>
      <c r="J113" s="220" t="str">
        <f>PMtbl[[#This Row],[Category]]&amp;PMtbl[[#This Row],[Each]]&amp;PMtbl[[#This Row],[Packaging]]</f>
        <v>Medical Oxygen - equipmentCOVID EquipmentWarranty, maintenance and service</v>
      </c>
      <c r="K113">
        <v>0</v>
      </c>
      <c r="L113" s="236">
        <v>6.5</v>
      </c>
      <c r="M113" s="234" t="s">
        <v>182</v>
      </c>
      <c r="N113" s="236"/>
      <c r="O113" s="825" t="s">
        <v>12</v>
      </c>
      <c r="P113" s="825"/>
      <c r="R113" s="220" t="e">
        <f>INDEX(PMtbl[Component],MATCH(U113,PMtbl[Category],0),)</f>
        <v>#N/A</v>
      </c>
      <c r="S113" s="220" t="e">
        <f>INDEX(PMtbl[WKst],MATCH(U113,PMtbl[Category],0),)</f>
        <v>#N/A</v>
      </c>
      <c r="T113" s="220" t="e">
        <f>INDEX(PMtbl[Sec],MATCH(U113,PMtbl[Category],0),)</f>
        <v>#N/A</v>
      </c>
      <c r="U113" s="241" t="e" cm="1">
        <f t="array" ref="U113">INDEX(PMtbl[Category],MATCH(0,INDEX(COUNTIF($U$2:U112,PMtbl[Category]),),0))</f>
        <v>#N/A</v>
      </c>
      <c r="X113" s="90" t="s">
        <v>2751</v>
      </c>
      <c r="Y113" s="90">
        <v>1</v>
      </c>
      <c r="Z113" s="90" t="s">
        <v>2767</v>
      </c>
      <c r="AA113" s="90" t="s">
        <v>3006</v>
      </c>
      <c r="AB113"/>
      <c r="AC113" s="243"/>
      <c r="AD113" s="243"/>
      <c r="AE113" s="243"/>
      <c r="AF113" s="243"/>
    </row>
    <row r="114" spans="1:32" x14ac:dyDescent="0.35">
      <c r="A114" s="825" t="s">
        <v>2749</v>
      </c>
      <c r="B114" s="825" t="s">
        <v>2750</v>
      </c>
      <c r="C114" s="825">
        <v>2</v>
      </c>
      <c r="D114" s="825" t="s">
        <v>19</v>
      </c>
      <c r="E114" s="825" t="s">
        <v>2759</v>
      </c>
      <c r="F114" s="220">
        <v>116</v>
      </c>
      <c r="G114" s="825" t="s">
        <v>2887</v>
      </c>
      <c r="H114" s="825" t="s">
        <v>2888</v>
      </c>
      <c r="I114" s="220" t="s">
        <v>82</v>
      </c>
      <c r="J114" s="220" t="str">
        <f>PMtbl[[#This Row],[Category]]&amp;PMtbl[[#This Row],[Each]]&amp;PMtbl[[#This Row],[Packaging]]</f>
        <v>Medical Oxygen - equipmentMechanical ventilationPatient ventilator, for critical / intensive care, for adult &amp; paediatric, with breathing circuits &amp; patient interface</v>
      </c>
      <c r="K114">
        <v>0</v>
      </c>
      <c r="L114" s="236">
        <v>6.7</v>
      </c>
      <c r="M114" s="234" t="s">
        <v>3300</v>
      </c>
      <c r="N114" s="236"/>
      <c r="O114" s="825" t="s">
        <v>12</v>
      </c>
      <c r="P114" s="825"/>
      <c r="R114" s="220" t="e">
        <f>INDEX(PMtbl[Component],MATCH(U114,PMtbl[Category],0),)</f>
        <v>#N/A</v>
      </c>
      <c r="S114" s="220" t="e">
        <f>INDEX(PMtbl[WKst],MATCH(U114,PMtbl[Category],0),)</f>
        <v>#N/A</v>
      </c>
      <c r="T114" s="220" t="e">
        <f>INDEX(PMtbl[Sec],MATCH(U114,PMtbl[Category],0),)</f>
        <v>#N/A</v>
      </c>
      <c r="U114" s="241" t="e" cm="1">
        <f t="array" ref="U114">INDEX(PMtbl[Category],MATCH(0,INDEX(COUNTIF($U$2:U113,PMtbl[Category]),),0))</f>
        <v>#N/A</v>
      </c>
      <c r="X114" s="90" t="s">
        <v>2751</v>
      </c>
      <c r="Y114" s="90">
        <v>1</v>
      </c>
      <c r="Z114" s="90" t="s">
        <v>2767</v>
      </c>
      <c r="AA114" s="90" t="s">
        <v>3011</v>
      </c>
      <c r="AB114"/>
      <c r="AC114" s="243"/>
      <c r="AD114" s="243"/>
      <c r="AE114" s="243"/>
      <c r="AF114" s="243"/>
    </row>
    <row r="115" spans="1:32" x14ac:dyDescent="0.35">
      <c r="A115" s="825" t="s">
        <v>2749</v>
      </c>
      <c r="B115" s="825" t="s">
        <v>2750</v>
      </c>
      <c r="C115" s="825">
        <v>2</v>
      </c>
      <c r="D115" s="825" t="s">
        <v>19</v>
      </c>
      <c r="E115" s="825" t="s">
        <v>2759</v>
      </c>
      <c r="F115" s="220">
        <v>117</v>
      </c>
      <c r="G115" s="825" t="s">
        <v>2887</v>
      </c>
      <c r="H115" s="825" t="s">
        <v>2889</v>
      </c>
      <c r="I115" s="220" t="s">
        <v>82</v>
      </c>
      <c r="J115" s="220" t="str">
        <f>PMtbl[[#This Row],[Category]]&amp;PMtbl[[#This Row],[Each]]&amp;PMtbl[[#This Row],[Packaging]]</f>
        <v>Medical Oxygen - equipmentMechanical ventilationPatient ventilator, for transport, for adult &amp; paediatric, with breathing circuits &amp; patient interface</v>
      </c>
      <c r="K115">
        <v>0</v>
      </c>
      <c r="L115" s="236">
        <v>6.7</v>
      </c>
      <c r="M115" s="234" t="s">
        <v>3300</v>
      </c>
      <c r="N115" s="236"/>
      <c r="O115" s="825" t="s">
        <v>12</v>
      </c>
      <c r="P115" s="825"/>
      <c r="R115" s="220" t="e">
        <f>INDEX(PMtbl[Component],MATCH(U115,PMtbl[Category],0),)</f>
        <v>#N/A</v>
      </c>
      <c r="S115" s="220" t="e">
        <f>INDEX(PMtbl[WKst],MATCH(U115,PMtbl[Category],0),)</f>
        <v>#N/A</v>
      </c>
      <c r="T115" s="220" t="e">
        <f>INDEX(PMtbl[Sec],MATCH(U115,PMtbl[Category],0),)</f>
        <v>#N/A</v>
      </c>
      <c r="U115" s="241" t="e" cm="1">
        <f t="array" ref="U115">INDEX(PMtbl[Category],MATCH(0,INDEX(COUNTIF($U$2:U114,PMtbl[Category]),),0))</f>
        <v>#N/A</v>
      </c>
      <c r="X115" s="90" t="s">
        <v>2751</v>
      </c>
      <c r="Y115" s="90">
        <v>1</v>
      </c>
      <c r="Z115" s="90" t="s">
        <v>2767</v>
      </c>
      <c r="AA115" s="90" t="s">
        <v>3012</v>
      </c>
      <c r="AB115"/>
      <c r="AC115" s="243"/>
      <c r="AD115" s="243"/>
      <c r="AE115" s="243"/>
      <c r="AF115" s="243"/>
    </row>
    <row r="116" spans="1:32" x14ac:dyDescent="0.35">
      <c r="A116" s="825" t="s">
        <v>2749</v>
      </c>
      <c r="B116" s="825" t="s">
        <v>2750</v>
      </c>
      <c r="C116" s="825">
        <v>2</v>
      </c>
      <c r="D116" s="825" t="s">
        <v>19</v>
      </c>
      <c r="E116" s="825" t="s">
        <v>2759</v>
      </c>
      <c r="F116" s="220">
        <v>118</v>
      </c>
      <c r="G116" s="825" t="s">
        <v>2890</v>
      </c>
      <c r="H116" s="825" t="s">
        <v>2891</v>
      </c>
      <c r="I116" s="220" t="s">
        <v>82</v>
      </c>
      <c r="J116" s="220" t="str">
        <f>PMtbl[[#This Row],[Category]]&amp;PMtbl[[#This Row],[Each]]&amp;PMtbl[[#This Row],[Packaging]]</f>
        <v>Medical Oxygen - equipmentNon-invasive ventilationBiPAP, with tubing &amp; patient interfaces, with accessories</v>
      </c>
      <c r="K116">
        <v>0</v>
      </c>
      <c r="L116" s="236">
        <v>6.7</v>
      </c>
      <c r="M116" s="234" t="s">
        <v>3300</v>
      </c>
      <c r="N116" s="236"/>
      <c r="O116" s="825" t="s">
        <v>12</v>
      </c>
      <c r="P116" s="825"/>
      <c r="R116" s="220" t="e">
        <f>INDEX(PMtbl[Component],MATCH(U116,PMtbl[Category],0),)</f>
        <v>#N/A</v>
      </c>
      <c r="S116" s="220" t="e">
        <f>INDEX(PMtbl[WKst],MATCH(U116,PMtbl[Category],0),)</f>
        <v>#N/A</v>
      </c>
      <c r="T116" s="220" t="e">
        <f>INDEX(PMtbl[Sec],MATCH(U116,PMtbl[Category],0),)</f>
        <v>#N/A</v>
      </c>
      <c r="U116" s="241" t="e" cm="1">
        <f t="array" ref="U116">INDEX(PMtbl[Category],MATCH(0,INDEX(COUNTIF($U$2:U115,PMtbl[Category]),),0))</f>
        <v>#N/A</v>
      </c>
      <c r="X116" s="90" t="s">
        <v>2751</v>
      </c>
      <c r="Y116" s="90">
        <v>1</v>
      </c>
      <c r="Z116" s="90" t="s">
        <v>2767</v>
      </c>
      <c r="AA116" s="90" t="s">
        <v>3014</v>
      </c>
      <c r="AB116"/>
      <c r="AC116" s="243"/>
      <c r="AD116" s="243"/>
      <c r="AE116" s="243"/>
      <c r="AF116" s="243"/>
    </row>
    <row r="117" spans="1:32" x14ac:dyDescent="0.35">
      <c r="A117" s="825" t="s">
        <v>2749</v>
      </c>
      <c r="B117" s="825" t="s">
        <v>2750</v>
      </c>
      <c r="C117" s="825">
        <v>2</v>
      </c>
      <c r="D117" s="825" t="s">
        <v>19</v>
      </c>
      <c r="E117" s="825" t="s">
        <v>2759</v>
      </c>
      <c r="F117" s="220">
        <v>119</v>
      </c>
      <c r="G117" s="825" t="s">
        <v>2890</v>
      </c>
      <c r="H117" s="825" t="s">
        <v>2892</v>
      </c>
      <c r="I117" s="220" t="s">
        <v>82</v>
      </c>
      <c r="J117" s="220" t="str">
        <f>PMtbl[[#This Row],[Category]]&amp;PMtbl[[#This Row],[Each]]&amp;PMtbl[[#This Row],[Packaging]]</f>
        <v>Medical Oxygen - equipmentNon-invasive ventilationCPAP, with tubing and patient interfaces, adult &amp; paediatric, with accessories</v>
      </c>
      <c r="K117">
        <v>0</v>
      </c>
      <c r="L117" s="236">
        <v>6.7</v>
      </c>
      <c r="M117" s="234" t="s">
        <v>3300</v>
      </c>
      <c r="N117" s="236"/>
      <c r="O117" s="825" t="s">
        <v>12</v>
      </c>
      <c r="P117" s="825"/>
      <c r="R117" s="220" t="e">
        <f>INDEX(PMtbl[Component],MATCH(U117,PMtbl[Category],0),)</f>
        <v>#N/A</v>
      </c>
      <c r="S117" s="220" t="e">
        <f>INDEX(PMtbl[WKst],MATCH(U117,PMtbl[Category],0),)</f>
        <v>#N/A</v>
      </c>
      <c r="T117" s="220" t="e">
        <f>INDEX(PMtbl[Sec],MATCH(U117,PMtbl[Category],0),)</f>
        <v>#N/A</v>
      </c>
      <c r="U117" s="241" t="e" cm="1">
        <f t="array" ref="U117">INDEX(PMtbl[Category],MATCH(0,INDEX(COUNTIF($U$2:U116,PMtbl[Category]),),0))</f>
        <v>#N/A</v>
      </c>
      <c r="X117" s="90" t="s">
        <v>2751</v>
      </c>
      <c r="Y117" s="90">
        <v>1</v>
      </c>
      <c r="Z117" s="90" t="s">
        <v>2767</v>
      </c>
      <c r="AA117" s="90" t="s">
        <v>3015</v>
      </c>
      <c r="AB117"/>
      <c r="AC117" s="243"/>
      <c r="AD117" s="243"/>
      <c r="AE117" s="243"/>
      <c r="AF117" s="243"/>
    </row>
    <row r="118" spans="1:32" x14ac:dyDescent="0.35">
      <c r="A118" s="825" t="s">
        <v>2749</v>
      </c>
      <c r="B118" s="825" t="s">
        <v>2750</v>
      </c>
      <c r="C118" s="825">
        <v>2</v>
      </c>
      <c r="D118" s="825" t="s">
        <v>19</v>
      </c>
      <c r="E118" s="825" t="s">
        <v>2759</v>
      </c>
      <c r="F118" s="220">
        <v>120</v>
      </c>
      <c r="G118" s="825" t="s">
        <v>2890</v>
      </c>
      <c r="H118" s="825" t="s">
        <v>2893</v>
      </c>
      <c r="I118" s="220" t="s">
        <v>82</v>
      </c>
      <c r="J118" s="220" t="str">
        <f>PMtbl[[#This Row],[Category]]&amp;PMtbl[[#This Row],[Each]]&amp;PMtbl[[#This Row],[Packaging]]</f>
        <v>Medical Oxygen - equipmentNon-invasive ventilationHigh-Flow Nasal Cannula (HFNC) Oxygen Therapy Devices</v>
      </c>
      <c r="K118">
        <v>0</v>
      </c>
      <c r="L118" s="236">
        <v>6.7</v>
      </c>
      <c r="M118" s="234" t="s">
        <v>3300</v>
      </c>
      <c r="N118" s="236"/>
      <c r="O118" s="825" t="s">
        <v>12</v>
      </c>
      <c r="P118" s="825"/>
      <c r="R118" s="220" t="e">
        <f>INDEX(PMtbl[Component],MATCH(U118,PMtbl[Category],0),)</f>
        <v>#N/A</v>
      </c>
      <c r="S118" s="220" t="e">
        <f>INDEX(PMtbl[WKst],MATCH(U118,PMtbl[Category],0),)</f>
        <v>#N/A</v>
      </c>
      <c r="T118" s="220" t="e">
        <f>INDEX(PMtbl[Sec],MATCH(U118,PMtbl[Category],0),)</f>
        <v>#N/A</v>
      </c>
      <c r="U118" s="241" t="e" cm="1">
        <f t="array" ref="U118">INDEX(PMtbl[Category],MATCH(0,INDEX(COUNTIF($U$2:U117,PMtbl[Category]),),0))</f>
        <v>#N/A</v>
      </c>
      <c r="X118" s="90" t="s">
        <v>2751</v>
      </c>
      <c r="Y118" s="90">
        <v>1</v>
      </c>
      <c r="Z118" s="90" t="s">
        <v>2768</v>
      </c>
      <c r="AA118" s="90" t="s">
        <v>3016</v>
      </c>
      <c r="AB118"/>
      <c r="AC118" s="243"/>
      <c r="AD118" s="243"/>
      <c r="AE118" s="243"/>
      <c r="AF118" s="243"/>
    </row>
    <row r="119" spans="1:32" x14ac:dyDescent="0.35">
      <c r="A119" s="825" t="s">
        <v>2749</v>
      </c>
      <c r="B119" s="825" t="s">
        <v>2750</v>
      </c>
      <c r="C119" s="825">
        <v>2</v>
      </c>
      <c r="D119" s="825" t="s">
        <v>19</v>
      </c>
      <c r="E119" s="825" t="s">
        <v>2759</v>
      </c>
      <c r="F119" s="220">
        <v>121</v>
      </c>
      <c r="G119" s="825" t="s">
        <v>2894</v>
      </c>
      <c r="H119" s="825" t="s">
        <v>2895</v>
      </c>
      <c r="I119" s="220" t="s">
        <v>82</v>
      </c>
      <c r="J119" s="220" t="str">
        <f>PMtbl[[#This Row],[Category]]&amp;PMtbl[[#This Row],[Each]]&amp;PMtbl[[#This Row],[Packaging]]</f>
        <v>Medical Oxygen - equipmentOxygen analyserElectrochemical, battery-powered, handheld</v>
      </c>
      <c r="K119">
        <v>0</v>
      </c>
      <c r="L119" s="236">
        <v>6.7</v>
      </c>
      <c r="M119" s="234" t="s">
        <v>3300</v>
      </c>
      <c r="N119" s="236"/>
      <c r="O119" s="825" t="s">
        <v>12</v>
      </c>
      <c r="P119" s="825"/>
      <c r="R119" s="220" t="e">
        <f>INDEX(PMtbl[Component],MATCH(U119,PMtbl[Category],0),)</f>
        <v>#N/A</v>
      </c>
      <c r="S119" s="220" t="e">
        <f>INDEX(PMtbl[WKst],MATCH(U119,PMtbl[Category],0),)</f>
        <v>#N/A</v>
      </c>
      <c r="T119" s="220" t="e">
        <f>INDEX(PMtbl[Sec],MATCH(U119,PMtbl[Category],0),)</f>
        <v>#N/A</v>
      </c>
      <c r="U119" s="241" t="e" cm="1">
        <f t="array" ref="U119">INDEX(PMtbl[Category],MATCH(0,INDEX(COUNTIF($U$2:U118,PMtbl[Category]),),0))</f>
        <v>#N/A</v>
      </c>
      <c r="X119" s="90" t="s">
        <v>2751</v>
      </c>
      <c r="Y119" s="90">
        <v>1</v>
      </c>
      <c r="Z119" s="90" t="s">
        <v>2769</v>
      </c>
      <c r="AA119" s="90" t="s">
        <v>3017</v>
      </c>
      <c r="AB119"/>
      <c r="AC119" s="243"/>
      <c r="AD119" s="243"/>
      <c r="AE119" s="243"/>
      <c r="AF119" s="243"/>
    </row>
    <row r="120" spans="1:32" x14ac:dyDescent="0.35">
      <c r="A120" s="825" t="s">
        <v>2749</v>
      </c>
      <c r="B120" s="825" t="s">
        <v>2750</v>
      </c>
      <c r="C120" s="825">
        <v>2</v>
      </c>
      <c r="D120" s="825" t="s">
        <v>19</v>
      </c>
      <c r="E120" s="825" t="s">
        <v>2759</v>
      </c>
      <c r="F120" s="220">
        <v>122</v>
      </c>
      <c r="G120" s="825" t="s">
        <v>2894</v>
      </c>
      <c r="H120" s="825" t="s">
        <v>2896</v>
      </c>
      <c r="I120" s="220" t="s">
        <v>82</v>
      </c>
      <c r="J120" s="220" t="str">
        <f>PMtbl[[#This Row],[Category]]&amp;PMtbl[[#This Row],[Each]]&amp;PMtbl[[#This Row],[Packaging]]</f>
        <v>Medical Oxygen - equipmentOxygen analyserUltrasonic, battery-powered, handheld</v>
      </c>
      <c r="K120">
        <v>0</v>
      </c>
      <c r="L120" s="236">
        <v>6.7</v>
      </c>
      <c r="M120" s="234" t="s">
        <v>3300</v>
      </c>
      <c r="N120" s="236"/>
      <c r="O120" s="825" t="s">
        <v>12</v>
      </c>
      <c r="P120" s="825"/>
      <c r="R120" s="220" t="e">
        <f>INDEX(PMtbl[Component],MATCH(U120,PMtbl[Category],0),)</f>
        <v>#N/A</v>
      </c>
      <c r="S120" s="220" t="e">
        <f>INDEX(PMtbl[WKst],MATCH(U120,PMtbl[Category],0),)</f>
        <v>#N/A</v>
      </c>
      <c r="T120" s="220" t="e">
        <f>INDEX(PMtbl[Sec],MATCH(U120,PMtbl[Category],0),)</f>
        <v>#N/A</v>
      </c>
      <c r="U120" s="241" t="e" cm="1">
        <f t="array" ref="U120">INDEX(PMtbl[Category],MATCH(0,INDEX(COUNTIF($U$2:U119,PMtbl[Category]),),0))</f>
        <v>#N/A</v>
      </c>
      <c r="X120" s="90" t="s">
        <v>2751</v>
      </c>
      <c r="Y120" s="90">
        <v>1</v>
      </c>
      <c r="Z120" s="90" t="s">
        <v>2769</v>
      </c>
      <c r="AA120" s="90" t="s">
        <v>3020</v>
      </c>
      <c r="AB120"/>
      <c r="AC120" s="243"/>
      <c r="AD120" s="243"/>
      <c r="AE120" s="243"/>
      <c r="AF120" s="243"/>
    </row>
    <row r="121" spans="1:32" x14ac:dyDescent="0.35">
      <c r="A121" s="825" t="s">
        <v>2749</v>
      </c>
      <c r="B121" s="825" t="s">
        <v>2750</v>
      </c>
      <c r="C121" s="825">
        <v>2</v>
      </c>
      <c r="D121" s="825" t="s">
        <v>19</v>
      </c>
      <c r="E121" s="825" t="s">
        <v>2759</v>
      </c>
      <c r="F121" s="220">
        <v>123</v>
      </c>
      <c r="G121" s="825" t="s">
        <v>2897</v>
      </c>
      <c r="H121" s="825" t="s">
        <v>2898</v>
      </c>
      <c r="I121" s="220" t="s">
        <v>82</v>
      </c>
      <c r="J121" s="220" t="str">
        <f>PMtbl[[#This Row],[Category]]&amp;PMtbl[[#This Row],[Each]]&amp;PMtbl[[#This Row],[Packaging]]</f>
        <v>Medical Oxygen - equipmentOxygen concentratorOxygen concentrator, portable, with accessories</v>
      </c>
      <c r="K121">
        <v>0</v>
      </c>
      <c r="L121" s="236">
        <v>6.7</v>
      </c>
      <c r="M121" s="234" t="s">
        <v>3300</v>
      </c>
      <c r="N121" s="236"/>
      <c r="O121" s="825" t="s">
        <v>12</v>
      </c>
      <c r="P121" s="825"/>
      <c r="R121" s="220" t="e">
        <f>INDEX(PMtbl[Component],MATCH(U121,PMtbl[Category],0),)</f>
        <v>#N/A</v>
      </c>
      <c r="S121" s="220" t="e">
        <f>INDEX(PMtbl[WKst],MATCH(U121,PMtbl[Category],0),)</f>
        <v>#N/A</v>
      </c>
      <c r="T121" s="220" t="e">
        <f>INDEX(PMtbl[Sec],MATCH(U121,PMtbl[Category],0),)</f>
        <v>#N/A</v>
      </c>
      <c r="U121" s="241" t="e" cm="1">
        <f t="array" ref="U121">INDEX(PMtbl[Category],MATCH(0,INDEX(COUNTIF($U$2:U120,PMtbl[Category]),),0))</f>
        <v>#N/A</v>
      </c>
      <c r="X121" s="90" t="s">
        <v>2751</v>
      </c>
      <c r="Y121" s="90">
        <v>1</v>
      </c>
      <c r="Z121" s="90" t="s">
        <v>2769</v>
      </c>
      <c r="AA121" s="90" t="s">
        <v>3021</v>
      </c>
      <c r="AB121"/>
      <c r="AC121" s="243"/>
      <c r="AD121" s="243"/>
      <c r="AE121" s="243"/>
      <c r="AF121" s="243"/>
    </row>
    <row r="122" spans="1:32" x14ac:dyDescent="0.35">
      <c r="A122" s="825" t="s">
        <v>2749</v>
      </c>
      <c r="B122" s="825" t="s">
        <v>2750</v>
      </c>
      <c r="C122" s="825">
        <v>2</v>
      </c>
      <c r="D122" s="825" t="s">
        <v>19</v>
      </c>
      <c r="E122" s="825" t="s">
        <v>2759</v>
      </c>
      <c r="F122" s="220">
        <v>124</v>
      </c>
      <c r="G122" s="825" t="s">
        <v>2897</v>
      </c>
      <c r="H122" s="825" t="s">
        <v>2899</v>
      </c>
      <c r="I122" s="220" t="s">
        <v>82</v>
      </c>
      <c r="J122" s="220" t="str">
        <f>PMtbl[[#This Row],[Category]]&amp;PMtbl[[#This Row],[Each]]&amp;PMtbl[[#This Row],[Packaging]]</f>
        <v>Medical Oxygen - equipmentOxygen concentratorOxygen concentrator, stationary/bedside, with accessories</v>
      </c>
      <c r="K122">
        <v>0</v>
      </c>
      <c r="L122" s="236">
        <v>6.7</v>
      </c>
      <c r="M122" s="234" t="s">
        <v>3300</v>
      </c>
      <c r="N122" s="236"/>
      <c r="O122" s="825" t="s">
        <v>12</v>
      </c>
      <c r="P122" s="825"/>
      <c r="R122" s="220" t="e">
        <f>INDEX(PMtbl[Component],MATCH(U122,PMtbl[Category],0),)</f>
        <v>#N/A</v>
      </c>
      <c r="S122" s="220" t="e">
        <f>INDEX(PMtbl[WKst],MATCH(U122,PMtbl[Category],0),)</f>
        <v>#N/A</v>
      </c>
      <c r="T122" s="220" t="e">
        <f>INDEX(PMtbl[Sec],MATCH(U122,PMtbl[Category],0),)</f>
        <v>#N/A</v>
      </c>
      <c r="U122" s="241" t="e" cm="1">
        <f t="array" ref="U122">INDEX(PMtbl[Category],MATCH(0,INDEX(COUNTIF($U$2:U121,PMtbl[Category]),),0))</f>
        <v>#N/A</v>
      </c>
      <c r="X122"/>
      <c r="Y122"/>
      <c r="Z122"/>
      <c r="AA122"/>
      <c r="AB122"/>
      <c r="AC122" s="243"/>
      <c r="AD122" s="243"/>
      <c r="AE122" s="243"/>
      <c r="AF122" s="243"/>
    </row>
    <row r="123" spans="1:32" x14ac:dyDescent="0.35">
      <c r="A123" s="825" t="s">
        <v>2749</v>
      </c>
      <c r="B123" s="825" t="s">
        <v>2750</v>
      </c>
      <c r="C123" s="825">
        <v>2</v>
      </c>
      <c r="D123" s="825" t="s">
        <v>19</v>
      </c>
      <c r="E123" s="825" t="s">
        <v>2759</v>
      </c>
      <c r="F123" s="220">
        <v>125</v>
      </c>
      <c r="G123" s="825" t="s">
        <v>2897</v>
      </c>
      <c r="H123" s="825" t="s">
        <v>2777</v>
      </c>
      <c r="I123" s="220" t="s">
        <v>82</v>
      </c>
      <c r="J123" s="220" t="str">
        <f>PMtbl[[#This Row],[Category]]&amp;PMtbl[[#This Row],[Each]]&amp;PMtbl[[#This Row],[Packaging]]</f>
        <v>Medical Oxygen - equipmentOxygen concentratorSpare parts and accessories</v>
      </c>
      <c r="K123">
        <v>0</v>
      </c>
      <c r="L123" s="236">
        <v>6.7</v>
      </c>
      <c r="M123" s="234" t="s">
        <v>3300</v>
      </c>
      <c r="N123" s="236"/>
      <c r="O123" s="825" t="s">
        <v>12</v>
      </c>
      <c r="P123" s="825"/>
      <c r="R123" s="220" t="e">
        <f>INDEX(PMtbl[Component],MATCH(U123,PMtbl[Category],0),)</f>
        <v>#N/A</v>
      </c>
      <c r="S123" s="220" t="e">
        <f>INDEX(PMtbl[WKst],MATCH(U123,PMtbl[Category],0),)</f>
        <v>#N/A</v>
      </c>
      <c r="T123" s="220" t="e">
        <f>INDEX(PMtbl[Sec],MATCH(U123,PMtbl[Category],0),)</f>
        <v>#N/A</v>
      </c>
      <c r="U123" s="241" t="e" cm="1">
        <f t="array" ref="U123">INDEX(PMtbl[Category],MATCH(0,INDEX(COUNTIF($U$2:U122,PMtbl[Category]),),0))</f>
        <v>#N/A</v>
      </c>
      <c r="X123"/>
      <c r="Y123"/>
      <c r="Z123"/>
      <c r="AA123"/>
      <c r="AB123"/>
      <c r="AC123" s="243"/>
      <c r="AD123" s="243"/>
      <c r="AE123" s="243"/>
      <c r="AF123" s="243"/>
    </row>
    <row r="124" spans="1:32" x14ac:dyDescent="0.35">
      <c r="A124" s="825" t="s">
        <v>2749</v>
      </c>
      <c r="B124" s="825" t="s">
        <v>2750</v>
      </c>
      <c r="C124" s="825">
        <v>2</v>
      </c>
      <c r="D124" s="825" t="s">
        <v>19</v>
      </c>
      <c r="E124" s="825" t="s">
        <v>2759</v>
      </c>
      <c r="F124" s="220">
        <v>126</v>
      </c>
      <c r="G124" s="825" t="s">
        <v>2897</v>
      </c>
      <c r="H124" s="825" t="s">
        <v>2778</v>
      </c>
      <c r="I124" s="220" t="s">
        <v>82</v>
      </c>
      <c r="J124" s="220" t="str">
        <f>PMtbl[[#This Row],[Category]]&amp;PMtbl[[#This Row],[Each]]&amp;PMtbl[[#This Row],[Packaging]]</f>
        <v>Medical Oxygen - equipmentOxygen concentratorWarranty, maintenance and service</v>
      </c>
      <c r="K124">
        <v>0</v>
      </c>
      <c r="L124" s="236">
        <v>6.5</v>
      </c>
      <c r="M124" s="234" t="s">
        <v>182</v>
      </c>
      <c r="N124" s="236"/>
      <c r="O124" s="825" t="s">
        <v>12</v>
      </c>
      <c r="P124" s="825"/>
      <c r="R124" s="220" t="e">
        <f>INDEX(PMtbl[Component],MATCH(U124,PMtbl[Category],0),)</f>
        <v>#N/A</v>
      </c>
      <c r="S124" s="220" t="e">
        <f>INDEX(PMtbl[WKst],MATCH(U124,PMtbl[Category],0),)</f>
        <v>#N/A</v>
      </c>
      <c r="T124" s="220" t="e">
        <f>INDEX(PMtbl[Sec],MATCH(U124,PMtbl[Category],0),)</f>
        <v>#N/A</v>
      </c>
      <c r="U124" s="241" t="e" cm="1">
        <f t="array" ref="U124">INDEX(PMtbl[Category],MATCH(0,INDEX(COUNTIF($U$2:U123,PMtbl[Category]),),0))</f>
        <v>#N/A</v>
      </c>
      <c r="X124"/>
      <c r="Y124"/>
      <c r="Z124"/>
      <c r="AA124"/>
      <c r="AB124"/>
      <c r="AC124" s="243"/>
      <c r="AD124" s="243"/>
      <c r="AE124" s="243"/>
      <c r="AF124" s="243"/>
    </row>
    <row r="125" spans="1:32" x14ac:dyDescent="0.35">
      <c r="A125" s="825" t="s">
        <v>2749</v>
      </c>
      <c r="B125" s="825" t="s">
        <v>2750</v>
      </c>
      <c r="C125" s="825">
        <v>2</v>
      </c>
      <c r="D125" s="825" t="s">
        <v>19</v>
      </c>
      <c r="E125" s="825" t="s">
        <v>2759</v>
      </c>
      <c r="F125" s="220">
        <v>127</v>
      </c>
      <c r="G125" s="825" t="s">
        <v>1929</v>
      </c>
      <c r="H125" s="825" t="s">
        <v>2900</v>
      </c>
      <c r="I125" s="220" t="s">
        <v>82</v>
      </c>
      <c r="J125" s="220" t="str">
        <f>PMtbl[[#This Row],[Category]]&amp;PMtbl[[#This Row],[Each]]&amp;PMtbl[[#This Row],[Packaging]]</f>
        <v>Medical Oxygen - equipmentPulse oximeterOxygen saturation monitor, portable fingertip, battery-powered</v>
      </c>
      <c r="K125">
        <v>0</v>
      </c>
      <c r="L125" s="236">
        <v>6.7</v>
      </c>
      <c r="M125" s="234" t="s">
        <v>3300</v>
      </c>
      <c r="N125" s="236"/>
      <c r="O125" s="825" t="s">
        <v>12</v>
      </c>
      <c r="P125" s="825"/>
      <c r="R125" s="220" t="e">
        <f>INDEX(PMtbl[Component],MATCH(U125,PMtbl[Category],0),)</f>
        <v>#N/A</v>
      </c>
      <c r="S125" s="220" t="e">
        <f>INDEX(PMtbl[WKst],MATCH(U125,PMtbl[Category],0),)</f>
        <v>#N/A</v>
      </c>
      <c r="T125" s="220" t="e">
        <f>INDEX(PMtbl[Sec],MATCH(U125,PMtbl[Category],0),)</f>
        <v>#N/A</v>
      </c>
      <c r="U125" s="241" t="e" cm="1">
        <f t="array" ref="U125">INDEX(PMtbl[Category],MATCH(0,INDEX(COUNTIF($U$2:U124,PMtbl[Category]),),0))</f>
        <v>#N/A</v>
      </c>
      <c r="X125"/>
      <c r="Y125"/>
      <c r="Z125"/>
      <c r="AA125"/>
      <c r="AB125"/>
      <c r="AC125" s="243"/>
      <c r="AD125" s="243"/>
      <c r="AE125" s="243"/>
      <c r="AF125" s="243"/>
    </row>
    <row r="126" spans="1:32" x14ac:dyDescent="0.35">
      <c r="A126" s="825" t="s">
        <v>2749</v>
      </c>
      <c r="B126" s="825" t="s">
        <v>2750</v>
      </c>
      <c r="C126" s="825">
        <v>2</v>
      </c>
      <c r="D126" s="825" t="s">
        <v>19</v>
      </c>
      <c r="E126" s="825" t="s">
        <v>2759</v>
      </c>
      <c r="F126" s="220">
        <v>128</v>
      </c>
      <c r="G126" s="825" t="s">
        <v>1929</v>
      </c>
      <c r="H126" s="825" t="s">
        <v>2901</v>
      </c>
      <c r="I126" s="220" t="s">
        <v>82</v>
      </c>
      <c r="J126" s="220" t="str">
        <f>PMtbl[[#This Row],[Category]]&amp;PMtbl[[#This Row],[Each]]&amp;PMtbl[[#This Row],[Packaging]]</f>
        <v>Medical Oxygen - equipmentPulse oximeterOxygen saturation monitor, portable handheld, battery-powered, with cables &amp; sensor</v>
      </c>
      <c r="K126">
        <v>0</v>
      </c>
      <c r="L126" s="236">
        <v>6.7</v>
      </c>
      <c r="M126" s="234" t="s">
        <v>3300</v>
      </c>
      <c r="N126" s="236"/>
      <c r="O126" s="825" t="s">
        <v>12</v>
      </c>
      <c r="P126" s="825"/>
      <c r="R126" s="220" t="e">
        <f>INDEX(PMtbl[Component],MATCH(U126,PMtbl[Category],0),)</f>
        <v>#N/A</v>
      </c>
      <c r="S126" s="220" t="e">
        <f>INDEX(PMtbl[WKst],MATCH(U126,PMtbl[Category],0),)</f>
        <v>#N/A</v>
      </c>
      <c r="T126" s="220" t="e">
        <f>INDEX(PMtbl[Sec],MATCH(U126,PMtbl[Category],0),)</f>
        <v>#N/A</v>
      </c>
      <c r="U126" s="241" t="e" cm="1">
        <f t="array" ref="U126">INDEX(PMtbl[Category],MATCH(0,INDEX(COUNTIF($U$2:U125,PMtbl[Category]),),0))</f>
        <v>#N/A</v>
      </c>
      <c r="X126"/>
      <c r="Y126"/>
      <c r="Z126"/>
      <c r="AA126"/>
      <c r="AB126"/>
      <c r="AC126" s="243"/>
      <c r="AD126" s="243"/>
      <c r="AE126" s="243"/>
      <c r="AF126" s="243"/>
    </row>
    <row r="127" spans="1:32" x14ac:dyDescent="0.35">
      <c r="A127" s="825" t="s">
        <v>2749</v>
      </c>
      <c r="B127" s="825" t="s">
        <v>2750</v>
      </c>
      <c r="C127" s="825">
        <v>2</v>
      </c>
      <c r="D127" s="825" t="s">
        <v>19</v>
      </c>
      <c r="E127" s="825" t="s">
        <v>2759</v>
      </c>
      <c r="F127" s="220">
        <v>129</v>
      </c>
      <c r="G127" s="825" t="s">
        <v>1929</v>
      </c>
      <c r="H127" s="825" t="s">
        <v>2902</v>
      </c>
      <c r="I127" s="220" t="s">
        <v>82</v>
      </c>
      <c r="J127" s="220" t="str">
        <f>PMtbl[[#This Row],[Category]]&amp;PMtbl[[#This Row],[Each]]&amp;PMtbl[[#This Row],[Packaging]]</f>
        <v>Medical Oxygen - equipmentPulse oximeterOxygen saturation monitor, tabletop, AC-powered, with cables &amp; sensor</v>
      </c>
      <c r="K127">
        <v>0</v>
      </c>
      <c r="L127" s="236">
        <v>6.7</v>
      </c>
      <c r="M127" s="234" t="s">
        <v>3300</v>
      </c>
      <c r="N127" s="236"/>
      <c r="O127" s="825" t="s">
        <v>12</v>
      </c>
      <c r="P127" s="825"/>
      <c r="R127" s="220" t="e">
        <f>INDEX(PMtbl[Component],MATCH(U127,PMtbl[Category],0),)</f>
        <v>#N/A</v>
      </c>
      <c r="S127" s="220" t="e">
        <f>INDEX(PMtbl[WKst],MATCH(U127,PMtbl[Category],0),)</f>
        <v>#N/A</v>
      </c>
      <c r="T127" s="220" t="e">
        <f>INDEX(PMtbl[Sec],MATCH(U127,PMtbl[Category],0),)</f>
        <v>#N/A</v>
      </c>
      <c r="U127" s="241" t="e" cm="1">
        <f t="array" ref="U127">INDEX(PMtbl[Category],MATCH(0,INDEX(COUNTIF($U$2:U126,PMtbl[Category]),),0))</f>
        <v>#N/A</v>
      </c>
      <c r="X127"/>
      <c r="Y127"/>
      <c r="Z127"/>
      <c r="AA127"/>
      <c r="AB127"/>
      <c r="AC127" s="243"/>
      <c r="AD127" s="243"/>
      <c r="AE127" s="243"/>
      <c r="AF127" s="243"/>
    </row>
    <row r="128" spans="1:32" x14ac:dyDescent="0.35">
      <c r="A128" s="825" t="s">
        <v>2749</v>
      </c>
      <c r="B128" s="825" t="s">
        <v>2750</v>
      </c>
      <c r="C128" s="825">
        <v>2</v>
      </c>
      <c r="D128" s="825" t="s">
        <v>19</v>
      </c>
      <c r="E128" s="825" t="s">
        <v>2759</v>
      </c>
      <c r="F128" s="220">
        <v>130</v>
      </c>
      <c r="G128" s="825" t="s">
        <v>1930</v>
      </c>
      <c r="H128" s="825" t="s">
        <v>2903</v>
      </c>
      <c r="I128" s="220" t="s">
        <v>82</v>
      </c>
      <c r="J128" s="220" t="str">
        <f>PMtbl[[#This Row],[Category]]&amp;PMtbl[[#This Row],[Each]]&amp;PMtbl[[#This Row],[Packaging]]</f>
        <v>Medical Oxygen - equipmentSurge suppressorSurge protector device, with multiple protected output sockets, hospital grade</v>
      </c>
      <c r="K128">
        <v>0</v>
      </c>
      <c r="L128" s="236">
        <v>6.7</v>
      </c>
      <c r="M128" s="234" t="s">
        <v>3300</v>
      </c>
      <c r="N128" s="236"/>
      <c r="O128" s="825" t="s">
        <v>12</v>
      </c>
      <c r="P128" s="825"/>
      <c r="R128" s="220" t="e">
        <f>INDEX(PMtbl[Component],MATCH(U128,PMtbl[Category],0),)</f>
        <v>#N/A</v>
      </c>
      <c r="S128" s="220" t="e">
        <f>INDEX(PMtbl[WKst],MATCH(U128,PMtbl[Category],0),)</f>
        <v>#N/A</v>
      </c>
      <c r="T128" s="220" t="e">
        <f>INDEX(PMtbl[Sec],MATCH(U128,PMtbl[Category],0),)</f>
        <v>#N/A</v>
      </c>
      <c r="U128" s="241" t="e" cm="1">
        <f t="array" ref="U128">INDEX(PMtbl[Category],MATCH(0,INDEX(COUNTIF($U$2:U127,PMtbl[Category]),),0))</f>
        <v>#N/A</v>
      </c>
      <c r="X128"/>
      <c r="Y128"/>
      <c r="Z128"/>
      <c r="AA128"/>
      <c r="AB128"/>
      <c r="AC128" s="243"/>
      <c r="AD128" s="243"/>
      <c r="AE128" s="243"/>
      <c r="AF128" s="243"/>
    </row>
    <row r="129" spans="1:32" x14ac:dyDescent="0.35">
      <c r="A129" s="825" t="s">
        <v>2749</v>
      </c>
      <c r="B129" s="825" t="s">
        <v>2750</v>
      </c>
      <c r="C129" s="825">
        <v>2</v>
      </c>
      <c r="D129" s="825" t="s">
        <v>19</v>
      </c>
      <c r="E129" s="825" t="s">
        <v>2759</v>
      </c>
      <c r="F129" s="220">
        <v>131</v>
      </c>
      <c r="G129" s="825" t="s">
        <v>1933</v>
      </c>
      <c r="H129" s="825" t="s">
        <v>2904</v>
      </c>
      <c r="I129" s="220" t="s">
        <v>82</v>
      </c>
      <c r="J129" s="220" t="str">
        <f>PMtbl[[#This Row],[Category]]&amp;PMtbl[[#This Row],[Each]]&amp;PMtbl[[#This Row],[Packaging]]</f>
        <v>Medical Oxygen - equipmentVoltage stabilizerElectronic, microprocessor controlled voltage stabilizer, with voltage monitor</v>
      </c>
      <c r="K129">
        <v>0</v>
      </c>
      <c r="L129" s="236">
        <v>6.7</v>
      </c>
      <c r="M129" s="234" t="s">
        <v>3300</v>
      </c>
      <c r="N129" s="236"/>
      <c r="O129" s="825" t="s">
        <v>12</v>
      </c>
      <c r="P129" s="825"/>
      <c r="R129" s="220" t="e">
        <f>INDEX(PMtbl[Component],MATCH(U129,PMtbl[Category],0),)</f>
        <v>#N/A</v>
      </c>
      <c r="S129" s="220" t="e">
        <f>INDEX(PMtbl[WKst],MATCH(U129,PMtbl[Category],0),)</f>
        <v>#N/A</v>
      </c>
      <c r="T129" s="220" t="e">
        <f>INDEX(PMtbl[Sec],MATCH(U129,PMtbl[Category],0),)</f>
        <v>#N/A</v>
      </c>
      <c r="U129" s="241" t="e" cm="1">
        <f t="array" ref="U129">INDEX(PMtbl[Category],MATCH(0,INDEX(COUNTIF($U$2:U128,PMtbl[Category]),),0))</f>
        <v>#N/A</v>
      </c>
      <c r="X129"/>
      <c r="Y129"/>
      <c r="Z129"/>
      <c r="AA129"/>
      <c r="AB129"/>
      <c r="AC129" s="243"/>
      <c r="AD129" s="243"/>
      <c r="AE129" s="243"/>
      <c r="AF129" s="243"/>
    </row>
    <row r="130" spans="1:32" x14ac:dyDescent="0.35">
      <c r="A130" s="825" t="s">
        <v>2749</v>
      </c>
      <c r="B130" s="825" t="s">
        <v>2750</v>
      </c>
      <c r="C130" s="825">
        <v>2</v>
      </c>
      <c r="D130" s="825" t="s">
        <v>122</v>
      </c>
      <c r="E130" s="825" t="s">
        <v>2757</v>
      </c>
      <c r="F130" s="220">
        <v>72</v>
      </c>
      <c r="G130" s="825" t="s">
        <v>2828</v>
      </c>
      <c r="H130" s="825" t="s">
        <v>2829</v>
      </c>
      <c r="I130" s="220" t="s">
        <v>82</v>
      </c>
      <c r="J130" s="220" t="str">
        <f>PMtbl[[#This Row],[Category]]&amp;PMtbl[[#This Row],[Each]]&amp;PMtbl[[#This Row],[Packaging]]</f>
        <v>Medical Oxygen Liquid &amp; GasMedical gas cylinder, portableCompressed oxygen or compressed medical air, with valves and regulators.</v>
      </c>
      <c r="K130">
        <v>0</v>
      </c>
      <c r="L130" s="930">
        <v>5.12</v>
      </c>
      <c r="M130" s="234" t="s">
        <v>1996</v>
      </c>
      <c r="N130" s="236"/>
      <c r="O130" s="825" t="s">
        <v>14</v>
      </c>
      <c r="P130" s="825"/>
      <c r="R130" s="220" t="e">
        <f>INDEX(PMtbl[Component],MATCH(U130,PMtbl[Category],0),)</f>
        <v>#N/A</v>
      </c>
      <c r="S130" s="220" t="e">
        <f>INDEX(PMtbl[WKst],MATCH(U130,PMtbl[Category],0),)</f>
        <v>#N/A</v>
      </c>
      <c r="T130" s="220" t="e">
        <f>INDEX(PMtbl[Sec],MATCH(U130,PMtbl[Category],0),)</f>
        <v>#N/A</v>
      </c>
      <c r="U130" s="241" t="e" cm="1">
        <f t="array" ref="U130">INDEX(PMtbl[Category],MATCH(0,INDEX(COUNTIF($U$2:U129,PMtbl[Category]),),0))</f>
        <v>#N/A</v>
      </c>
      <c r="X130"/>
      <c r="Y130"/>
      <c r="Z130"/>
      <c r="AA130"/>
      <c r="AB130"/>
      <c r="AC130" s="243"/>
      <c r="AD130" s="243"/>
      <c r="AE130" s="243"/>
      <c r="AF130" s="243"/>
    </row>
    <row r="131" spans="1:32" x14ac:dyDescent="0.35">
      <c r="A131" s="825" t="s">
        <v>2749</v>
      </c>
      <c r="B131" s="825" t="s">
        <v>2750</v>
      </c>
      <c r="C131" s="825">
        <v>2</v>
      </c>
      <c r="D131" s="825" t="s">
        <v>122</v>
      </c>
      <c r="E131" s="825" t="s">
        <v>2757</v>
      </c>
      <c r="F131" s="220">
        <v>73</v>
      </c>
      <c r="G131" s="825" t="s">
        <v>2830</v>
      </c>
      <c r="H131" s="825" t="s">
        <v>2831</v>
      </c>
      <c r="I131" s="220" t="s">
        <v>82</v>
      </c>
      <c r="J131" s="220" t="str">
        <f>PMtbl[[#This Row],[Category]]&amp;PMtbl[[#This Row],[Each]]&amp;PMtbl[[#This Row],[Packaging]]</f>
        <v>Medical Oxygen Liquid &amp; GasOxygen plantPressure Swing Adsorption (PSA) Oxygen Generator Plants</v>
      </c>
      <c r="K131">
        <v>0</v>
      </c>
      <c r="L131" s="930">
        <v>5.12</v>
      </c>
      <c r="M131" s="234" t="s">
        <v>1996</v>
      </c>
      <c r="N131" s="236"/>
      <c r="O131" s="825" t="s">
        <v>14</v>
      </c>
      <c r="P131" s="825"/>
      <c r="R131" s="220" t="e">
        <f>INDEX(PMtbl[Component],MATCH(U131,PMtbl[Category],0),)</f>
        <v>#N/A</v>
      </c>
      <c r="S131" s="220" t="e">
        <f>INDEX(PMtbl[WKst],MATCH(U131,PMtbl[Category],0),)</f>
        <v>#N/A</v>
      </c>
      <c r="T131" s="220" t="e">
        <f>INDEX(PMtbl[Sec],MATCH(U131,PMtbl[Category],0),)</f>
        <v>#N/A</v>
      </c>
      <c r="U131" s="241" t="e" cm="1">
        <f t="array" ref="U131">INDEX(PMtbl[Category],MATCH(0,INDEX(COUNTIF($U$2:U130,PMtbl[Category]),),0))</f>
        <v>#N/A</v>
      </c>
      <c r="X131"/>
      <c r="Y131"/>
      <c r="Z131"/>
      <c r="AA131"/>
      <c r="AB131"/>
      <c r="AC131" s="243"/>
      <c r="AD131" s="243"/>
      <c r="AE131" s="243"/>
      <c r="AF131" s="243"/>
    </row>
    <row r="132" spans="1:32" x14ac:dyDescent="0.35">
      <c r="A132" s="825" t="s">
        <v>2749</v>
      </c>
      <c r="B132" s="825" t="s">
        <v>2750</v>
      </c>
      <c r="C132" s="825">
        <v>2</v>
      </c>
      <c r="D132" s="825" t="s">
        <v>122</v>
      </c>
      <c r="E132" s="825" t="s">
        <v>2757</v>
      </c>
      <c r="F132" s="220">
        <v>74</v>
      </c>
      <c r="G132" s="825" t="s">
        <v>2830</v>
      </c>
      <c r="H132" s="825" t="s">
        <v>2777</v>
      </c>
      <c r="I132" s="220" t="s">
        <v>82</v>
      </c>
      <c r="J132" s="220" t="str">
        <f>PMtbl[[#This Row],[Category]]&amp;PMtbl[[#This Row],[Each]]&amp;PMtbl[[#This Row],[Packaging]]</f>
        <v>Medical Oxygen Liquid &amp; GasOxygen plantSpare parts and accessories</v>
      </c>
      <c r="K132">
        <v>0</v>
      </c>
      <c r="L132" s="930">
        <v>5.12</v>
      </c>
      <c r="M132" s="234" t="s">
        <v>1996</v>
      </c>
      <c r="N132" s="236"/>
      <c r="O132" s="825" t="s">
        <v>14</v>
      </c>
      <c r="P132" s="825"/>
      <c r="R132" s="220" t="e">
        <f>INDEX(PMtbl[Component],MATCH(U132,PMtbl[Category],0),)</f>
        <v>#N/A</v>
      </c>
      <c r="S132" s="220" t="e">
        <f>INDEX(PMtbl[WKst],MATCH(U132,PMtbl[Category],0),)</f>
        <v>#N/A</v>
      </c>
      <c r="T132" s="220" t="e">
        <f>INDEX(PMtbl[Sec],MATCH(U132,PMtbl[Category],0),)</f>
        <v>#N/A</v>
      </c>
      <c r="U132" s="241" t="e" cm="1">
        <f t="array" ref="U132">INDEX(PMtbl[Category],MATCH(0,INDEX(COUNTIF($U$2:U131,PMtbl[Category]),),0))</f>
        <v>#N/A</v>
      </c>
      <c r="X132"/>
      <c r="Y132"/>
      <c r="Z132"/>
      <c r="AA132"/>
      <c r="AB132"/>
      <c r="AC132" s="243"/>
      <c r="AD132" s="243"/>
      <c r="AE132" s="243"/>
      <c r="AF132" s="243"/>
    </row>
    <row r="133" spans="1:32" x14ac:dyDescent="0.35">
      <c r="A133" s="825" t="s">
        <v>2749</v>
      </c>
      <c r="B133" s="825" t="s">
        <v>2750</v>
      </c>
      <c r="C133" s="825">
        <v>2</v>
      </c>
      <c r="D133" s="825" t="s">
        <v>122</v>
      </c>
      <c r="E133" s="825" t="s">
        <v>2757</v>
      </c>
      <c r="F133" s="220">
        <v>75</v>
      </c>
      <c r="G133" s="825" t="s">
        <v>2830</v>
      </c>
      <c r="H133" s="825" t="s">
        <v>2778</v>
      </c>
      <c r="I133" s="220" t="s">
        <v>82</v>
      </c>
      <c r="J133" s="220" t="str">
        <f>PMtbl[[#This Row],[Category]]&amp;PMtbl[[#This Row],[Each]]&amp;PMtbl[[#This Row],[Packaging]]</f>
        <v>Medical Oxygen Liquid &amp; GasOxygen plantWarranty, maintenance and service</v>
      </c>
      <c r="K133">
        <v>0</v>
      </c>
      <c r="L133" s="236">
        <v>6.5</v>
      </c>
      <c r="M133" s="234" t="s">
        <v>182</v>
      </c>
      <c r="N133" s="236"/>
      <c r="O133" s="825" t="s">
        <v>14</v>
      </c>
      <c r="P133" s="825"/>
      <c r="R133" s="220" t="e">
        <f>INDEX(PMtbl[Component],MATCH(U133,PMtbl[Category],0),)</f>
        <v>#N/A</v>
      </c>
      <c r="S133" s="220" t="e">
        <f>INDEX(PMtbl[WKst],MATCH(U133,PMtbl[Category],0),)</f>
        <v>#N/A</v>
      </c>
      <c r="T133" s="220" t="e">
        <f>INDEX(PMtbl[Sec],MATCH(U133,PMtbl[Category],0),)</f>
        <v>#N/A</v>
      </c>
      <c r="U133" s="241" t="e" cm="1">
        <f t="array" ref="U133">INDEX(PMtbl[Category],MATCH(0,INDEX(COUNTIF($U$2:U132,PMtbl[Category]),),0))</f>
        <v>#N/A</v>
      </c>
      <c r="X133"/>
      <c r="Y133"/>
      <c r="Z133"/>
      <c r="AA133"/>
      <c r="AB133"/>
      <c r="AC133" s="243"/>
      <c r="AD133" s="243"/>
      <c r="AE133" s="243"/>
      <c r="AF133" s="243"/>
    </row>
    <row r="134" spans="1:32" x14ac:dyDescent="0.35">
      <c r="A134" s="825" t="s">
        <v>2749</v>
      </c>
      <c r="B134" s="825" t="s">
        <v>2750</v>
      </c>
      <c r="C134" s="825">
        <v>2</v>
      </c>
      <c r="D134" s="825" t="s">
        <v>21</v>
      </c>
      <c r="E134" s="825" t="s">
        <v>2760</v>
      </c>
      <c r="F134" s="220">
        <v>132</v>
      </c>
      <c r="G134" s="825" t="s">
        <v>2905</v>
      </c>
      <c r="H134" s="825" t="s">
        <v>2906</v>
      </c>
      <c r="I134" s="220" t="s">
        <v>82</v>
      </c>
      <c r="J134" s="220" t="str">
        <f>PMtbl[[#This Row],[Category]]&amp;PMtbl[[#This Row],[Each]]&amp;PMtbl[[#This Row],[Packaging]]</f>
        <v>Other Health EquipmentBlood Gas AnalyserPortable, with cartridges and control solutions</v>
      </c>
      <c r="K134">
        <v>0</v>
      </c>
      <c r="L134" s="236">
        <v>6.6</v>
      </c>
      <c r="M134" s="234" t="s">
        <v>183</v>
      </c>
      <c r="N134" s="236"/>
      <c r="O134" s="825" t="s">
        <v>12</v>
      </c>
      <c r="P134" s="825"/>
      <c r="R134" s="220" t="e">
        <f>INDEX(PMtbl[Component],MATCH(U134,PMtbl[Category],0),)</f>
        <v>#N/A</v>
      </c>
      <c r="S134" s="220" t="e">
        <f>INDEX(PMtbl[WKst],MATCH(U134,PMtbl[Category],0),)</f>
        <v>#N/A</v>
      </c>
      <c r="T134" s="220" t="e">
        <f>INDEX(PMtbl[Sec],MATCH(U134,PMtbl[Category],0),)</f>
        <v>#N/A</v>
      </c>
      <c r="U134" s="241" t="e" cm="1">
        <f t="array" ref="U134">INDEX(PMtbl[Category],MATCH(0,INDEX(COUNTIF($U$2:U133,PMtbl[Category]),),0))</f>
        <v>#N/A</v>
      </c>
      <c r="X134"/>
      <c r="Y134"/>
      <c r="Z134"/>
      <c r="AA134"/>
      <c r="AB134"/>
      <c r="AC134" s="243"/>
      <c r="AD134" s="243"/>
      <c r="AE134" s="243"/>
      <c r="AF134" s="243"/>
    </row>
    <row r="135" spans="1:32" x14ac:dyDescent="0.35">
      <c r="A135" s="825" t="s">
        <v>2749</v>
      </c>
      <c r="B135" s="825" t="s">
        <v>2750</v>
      </c>
      <c r="C135" s="825">
        <v>2</v>
      </c>
      <c r="D135" s="825" t="s">
        <v>21</v>
      </c>
      <c r="E135" s="825" t="s">
        <v>2760</v>
      </c>
      <c r="F135" s="220">
        <v>133</v>
      </c>
      <c r="G135" s="825" t="s">
        <v>1926</v>
      </c>
      <c r="H135" s="825" t="s">
        <v>1987</v>
      </c>
      <c r="I135" s="220" t="s">
        <v>82</v>
      </c>
      <c r="J135" s="220" t="str">
        <f>PMtbl[[#This Row],[Category]]&amp;PMtbl[[#This Row],[Each]]&amp;PMtbl[[#This Row],[Packaging]]</f>
        <v>Other Health EquipmentElectrocardiogram (ECG) digital monitor and recorderEquipment</v>
      </c>
      <c r="K135">
        <v>0</v>
      </c>
      <c r="L135" s="236">
        <v>6.6</v>
      </c>
      <c r="M135" s="234" t="s">
        <v>183</v>
      </c>
      <c r="N135" s="236"/>
      <c r="O135" s="825" t="s">
        <v>12</v>
      </c>
      <c r="P135" s="825"/>
      <c r="R135" s="220" t="e">
        <f>INDEX(PMtbl[Component],MATCH(U135,PMtbl[Category],0),)</f>
        <v>#N/A</v>
      </c>
      <c r="S135" s="220" t="e">
        <f>INDEX(PMtbl[WKst],MATCH(U135,PMtbl[Category],0),)</f>
        <v>#N/A</v>
      </c>
      <c r="T135" s="220" t="e">
        <f>INDEX(PMtbl[Sec],MATCH(U135,PMtbl[Category],0),)</f>
        <v>#N/A</v>
      </c>
      <c r="U135" s="241" t="e" cm="1">
        <f t="array" ref="U135">INDEX(PMtbl[Category],MATCH(0,INDEX(COUNTIF($U$2:U134,PMtbl[Category]),),0))</f>
        <v>#N/A</v>
      </c>
      <c r="X135"/>
      <c r="Y135"/>
      <c r="Z135"/>
      <c r="AA135"/>
      <c r="AB135"/>
      <c r="AC135" s="243"/>
      <c r="AD135" s="243"/>
      <c r="AE135" s="243"/>
      <c r="AF135" s="243"/>
    </row>
    <row r="136" spans="1:32" x14ac:dyDescent="0.35">
      <c r="A136" s="825" t="s">
        <v>2749</v>
      </c>
      <c r="B136" s="825" t="s">
        <v>2750</v>
      </c>
      <c r="C136" s="825">
        <v>2</v>
      </c>
      <c r="D136" s="825" t="s">
        <v>21</v>
      </c>
      <c r="E136" s="825" t="s">
        <v>2760</v>
      </c>
      <c r="F136" s="220">
        <v>134</v>
      </c>
      <c r="G136" s="825" t="s">
        <v>1926</v>
      </c>
      <c r="H136" s="825" t="s">
        <v>2777</v>
      </c>
      <c r="I136" s="220" t="s">
        <v>82</v>
      </c>
      <c r="J136" s="220" t="str">
        <f>PMtbl[[#This Row],[Category]]&amp;PMtbl[[#This Row],[Each]]&amp;PMtbl[[#This Row],[Packaging]]</f>
        <v>Other Health EquipmentElectrocardiogram (ECG) digital monitor and recorderSpare parts and accessories</v>
      </c>
      <c r="K136">
        <v>0</v>
      </c>
      <c r="L136" s="236">
        <v>6.6</v>
      </c>
      <c r="M136" s="234" t="s">
        <v>183</v>
      </c>
      <c r="N136" s="236"/>
      <c r="O136" s="825" t="s">
        <v>12</v>
      </c>
      <c r="P136" s="825"/>
      <c r="R136" s="220" t="e">
        <f>INDEX(PMtbl[Component],MATCH(U136,PMtbl[Category],0),)</f>
        <v>#N/A</v>
      </c>
      <c r="S136" s="220" t="e">
        <f>INDEX(PMtbl[WKst],MATCH(U136,PMtbl[Category],0),)</f>
        <v>#N/A</v>
      </c>
      <c r="T136" s="220" t="e">
        <f>INDEX(PMtbl[Sec],MATCH(U136,PMtbl[Category],0),)</f>
        <v>#N/A</v>
      </c>
      <c r="U136" s="241" t="e" cm="1">
        <f t="array" ref="U136">INDEX(PMtbl[Category],MATCH(0,INDEX(COUNTIF($U$2:U135,PMtbl[Category]),),0))</f>
        <v>#N/A</v>
      </c>
      <c r="X136"/>
      <c r="Y136"/>
      <c r="Z136"/>
      <c r="AA136"/>
      <c r="AB136"/>
      <c r="AC136" s="243"/>
      <c r="AD136" s="243"/>
      <c r="AE136" s="243"/>
      <c r="AF136" s="243"/>
    </row>
    <row r="137" spans="1:32" x14ac:dyDescent="0.35">
      <c r="A137" s="825" t="s">
        <v>2749</v>
      </c>
      <c r="B137" s="825" t="s">
        <v>2750</v>
      </c>
      <c r="C137" s="825">
        <v>2</v>
      </c>
      <c r="D137" s="825" t="s">
        <v>21</v>
      </c>
      <c r="E137" s="825" t="s">
        <v>2760</v>
      </c>
      <c r="F137" s="220">
        <v>135</v>
      </c>
      <c r="G137" s="825" t="s">
        <v>1926</v>
      </c>
      <c r="H137" s="825" t="s">
        <v>2778</v>
      </c>
      <c r="I137" s="220" t="s">
        <v>82</v>
      </c>
      <c r="J137" s="220" t="str">
        <f>PMtbl[[#This Row],[Category]]&amp;PMtbl[[#This Row],[Each]]&amp;PMtbl[[#This Row],[Packaging]]</f>
        <v>Other Health EquipmentElectrocardiogram (ECG) digital monitor and recorderWarranty, maintenance and service</v>
      </c>
      <c r="K137">
        <v>0</v>
      </c>
      <c r="L137" s="236">
        <v>6.5</v>
      </c>
      <c r="M137" s="234" t="s">
        <v>182</v>
      </c>
      <c r="N137" s="236"/>
      <c r="O137" s="825" t="s">
        <v>12</v>
      </c>
      <c r="P137" s="825"/>
      <c r="R137" s="220" t="e">
        <f>INDEX(PMtbl[Component],MATCH(U137,PMtbl[Category],0),)</f>
        <v>#N/A</v>
      </c>
      <c r="S137" s="220" t="e">
        <f>INDEX(PMtbl[WKst],MATCH(U137,PMtbl[Category],0),)</f>
        <v>#N/A</v>
      </c>
      <c r="T137" s="220" t="e">
        <f>INDEX(PMtbl[Sec],MATCH(U137,PMtbl[Category],0),)</f>
        <v>#N/A</v>
      </c>
      <c r="U137" s="241" t="e" cm="1">
        <f t="array" ref="U137">INDEX(PMtbl[Category],MATCH(0,INDEX(COUNTIF($U$2:U136,PMtbl[Category]),),0))</f>
        <v>#N/A</v>
      </c>
      <c r="X137"/>
      <c r="Y137"/>
      <c r="Z137"/>
      <c r="AA137"/>
      <c r="AB137"/>
      <c r="AC137" s="243"/>
      <c r="AD137" s="243"/>
      <c r="AE137" s="243"/>
      <c r="AF137" s="243"/>
    </row>
    <row r="138" spans="1:32" x14ac:dyDescent="0.35">
      <c r="A138" s="825" t="s">
        <v>2749</v>
      </c>
      <c r="B138" s="825" t="s">
        <v>2750</v>
      </c>
      <c r="C138" s="825">
        <v>2</v>
      </c>
      <c r="D138" s="825" t="s">
        <v>21</v>
      </c>
      <c r="E138" s="825" t="s">
        <v>2760</v>
      </c>
      <c r="F138" s="220">
        <v>136</v>
      </c>
      <c r="G138" s="825" t="s">
        <v>2907</v>
      </c>
      <c r="H138" s="825" t="s">
        <v>1927</v>
      </c>
      <c r="I138" s="220" t="s">
        <v>82</v>
      </c>
      <c r="J138" s="220" t="str">
        <f>PMtbl[[#This Row],[Category]]&amp;PMtbl[[#This Row],[Each]]&amp;PMtbl[[#This Row],[Packaging]]</f>
        <v>Other Health EquipmentElectronic drop counterElectronic drop counter, IV fluids</v>
      </c>
      <c r="K138">
        <v>0</v>
      </c>
      <c r="L138" s="236">
        <v>6.6</v>
      </c>
      <c r="M138" s="234" t="s">
        <v>183</v>
      </c>
      <c r="N138" s="236"/>
      <c r="O138" s="825" t="s">
        <v>12</v>
      </c>
      <c r="P138" s="825"/>
      <c r="R138" s="220" t="e">
        <f>INDEX(PMtbl[Component],MATCH(U138,PMtbl[Category],0),)</f>
        <v>#N/A</v>
      </c>
      <c r="S138" s="220" t="e">
        <f>INDEX(PMtbl[WKst],MATCH(U138,PMtbl[Category],0),)</f>
        <v>#N/A</v>
      </c>
      <c r="T138" s="220" t="e">
        <f>INDEX(PMtbl[Sec],MATCH(U138,PMtbl[Category],0),)</f>
        <v>#N/A</v>
      </c>
      <c r="U138" s="241" t="e" cm="1">
        <f t="array" ref="U138">INDEX(PMtbl[Category],MATCH(0,INDEX(COUNTIF($U$2:U137,PMtbl[Category]),),0))</f>
        <v>#N/A</v>
      </c>
      <c r="X138"/>
      <c r="Y138"/>
      <c r="Z138"/>
      <c r="AA138"/>
      <c r="AB138"/>
      <c r="AC138" s="243"/>
      <c r="AD138" s="243"/>
      <c r="AE138" s="243"/>
      <c r="AF138" s="243"/>
    </row>
    <row r="139" spans="1:32" x14ac:dyDescent="0.35">
      <c r="A139" s="825" t="s">
        <v>2749</v>
      </c>
      <c r="B139" s="825" t="s">
        <v>2750</v>
      </c>
      <c r="C139" s="825">
        <v>2</v>
      </c>
      <c r="D139" s="825" t="s">
        <v>21</v>
      </c>
      <c r="E139" s="825" t="s">
        <v>2760</v>
      </c>
      <c r="F139" s="220">
        <v>137</v>
      </c>
      <c r="G139" s="825" t="s">
        <v>1928</v>
      </c>
      <c r="H139" s="825" t="s">
        <v>2908</v>
      </c>
      <c r="I139" s="220" t="s">
        <v>82</v>
      </c>
      <c r="J139" s="220" t="str">
        <f>PMtbl[[#This Row],[Category]]&amp;PMtbl[[#This Row],[Each]]&amp;PMtbl[[#This Row],[Packaging]]</f>
        <v>Other Health EquipmentInfusion pumpInfusion pump, with accessories</v>
      </c>
      <c r="K139">
        <v>0</v>
      </c>
      <c r="L139" s="236">
        <v>6.6</v>
      </c>
      <c r="M139" s="234" t="s">
        <v>183</v>
      </c>
      <c r="N139" s="236"/>
      <c r="O139" s="825" t="s">
        <v>12</v>
      </c>
      <c r="P139" s="825"/>
      <c r="R139" s="220" t="e">
        <f>INDEX(PMtbl[Component],MATCH(U139,PMtbl[Category],0),)</f>
        <v>#N/A</v>
      </c>
      <c r="S139" s="220" t="e">
        <f>INDEX(PMtbl[WKst],MATCH(U139,PMtbl[Category],0),)</f>
        <v>#N/A</v>
      </c>
      <c r="T139" s="220" t="e">
        <f>INDEX(PMtbl[Sec],MATCH(U139,PMtbl[Category],0),)</f>
        <v>#N/A</v>
      </c>
      <c r="U139" s="241" t="e" cm="1">
        <f t="array" ref="U139">INDEX(PMtbl[Category],MATCH(0,INDEX(COUNTIF($U$2:U138,PMtbl[Category]),),0))</f>
        <v>#N/A</v>
      </c>
      <c r="X139"/>
      <c r="Y139"/>
      <c r="Z139"/>
      <c r="AA139"/>
      <c r="AB139"/>
      <c r="AC139" s="243"/>
      <c r="AD139" s="243"/>
      <c r="AE139" s="243"/>
      <c r="AF139" s="243"/>
    </row>
    <row r="140" spans="1:32" x14ac:dyDescent="0.35">
      <c r="A140" s="825" t="s">
        <v>2749</v>
      </c>
      <c r="B140" s="825" t="s">
        <v>2750</v>
      </c>
      <c r="C140" s="825">
        <v>2</v>
      </c>
      <c r="D140" s="825" t="s">
        <v>21</v>
      </c>
      <c r="E140" s="825" t="s">
        <v>2760</v>
      </c>
      <c r="F140" s="220">
        <v>138</v>
      </c>
      <c r="G140" s="825" t="s">
        <v>1932</v>
      </c>
      <c r="H140" s="825" t="s">
        <v>2909</v>
      </c>
      <c r="I140" s="220" t="s">
        <v>82</v>
      </c>
      <c r="J140" s="220" t="str">
        <f>PMtbl[[#This Row],[Category]]&amp;PMtbl[[#This Row],[Each]]&amp;PMtbl[[#This Row],[Packaging]]</f>
        <v>Other Health EquipmentPatient monitorPatient monitor, multiparametric with EKG/ECG</v>
      </c>
      <c r="K140">
        <v>0</v>
      </c>
      <c r="L140" s="236">
        <v>6.6</v>
      </c>
      <c r="M140" s="234" t="s">
        <v>183</v>
      </c>
      <c r="N140" s="236"/>
      <c r="O140" s="825" t="s">
        <v>12</v>
      </c>
      <c r="P140" s="825"/>
      <c r="R140" s="220" t="e">
        <f>INDEX(PMtbl[Component],MATCH(U140,PMtbl[Category],0),)</f>
        <v>#N/A</v>
      </c>
      <c r="S140" s="220" t="e">
        <f>INDEX(PMtbl[WKst],MATCH(U140,PMtbl[Category],0),)</f>
        <v>#N/A</v>
      </c>
      <c r="T140" s="220" t="e">
        <f>INDEX(PMtbl[Sec],MATCH(U140,PMtbl[Category],0),)</f>
        <v>#N/A</v>
      </c>
      <c r="U140" s="241" t="e" cm="1">
        <f t="array" ref="U140">INDEX(PMtbl[Category],MATCH(0,INDEX(COUNTIF($U$2:U139,PMtbl[Category]),),0))</f>
        <v>#N/A</v>
      </c>
      <c r="X140"/>
      <c r="Y140"/>
      <c r="Z140"/>
      <c r="AA140"/>
      <c r="AB140"/>
      <c r="AC140" s="243"/>
      <c r="AD140" s="243"/>
      <c r="AE140" s="243"/>
      <c r="AF140" s="243"/>
    </row>
    <row r="141" spans="1:32" x14ac:dyDescent="0.35">
      <c r="A141" s="825" t="s">
        <v>2749</v>
      </c>
      <c r="B141" s="825" t="s">
        <v>2750</v>
      </c>
      <c r="C141" s="825">
        <v>2</v>
      </c>
      <c r="D141" s="825" t="s">
        <v>21</v>
      </c>
      <c r="E141" s="825" t="s">
        <v>2760</v>
      </c>
      <c r="F141" s="220">
        <v>139</v>
      </c>
      <c r="G141" s="825" t="s">
        <v>1932</v>
      </c>
      <c r="H141" s="825" t="s">
        <v>2910</v>
      </c>
      <c r="I141" s="220" t="s">
        <v>82</v>
      </c>
      <c r="J141" s="220" t="str">
        <f>PMtbl[[#This Row],[Category]]&amp;PMtbl[[#This Row],[Each]]&amp;PMtbl[[#This Row],[Packaging]]</f>
        <v>Other Health EquipmentPatient monitorPatient monitor, multiparametric without EKG/ECG</v>
      </c>
      <c r="K141">
        <v>0</v>
      </c>
      <c r="L141" s="236">
        <v>6.6</v>
      </c>
      <c r="M141" s="234" t="s">
        <v>183</v>
      </c>
      <c r="N141" s="236"/>
      <c r="O141" s="825" t="s">
        <v>12</v>
      </c>
      <c r="P141" s="825"/>
      <c r="R141" s="220" t="e">
        <f>INDEX(PMtbl[Component],MATCH(U141,PMtbl[Category],0),)</f>
        <v>#N/A</v>
      </c>
      <c r="S141" s="220" t="e">
        <f>INDEX(PMtbl[WKst],MATCH(U141,PMtbl[Category],0),)</f>
        <v>#N/A</v>
      </c>
      <c r="T141" s="220" t="e">
        <f>INDEX(PMtbl[Sec],MATCH(U141,PMtbl[Category],0),)</f>
        <v>#N/A</v>
      </c>
      <c r="U141" s="241" t="e" cm="1">
        <f t="array" ref="U141">INDEX(PMtbl[Category],MATCH(0,INDEX(COUNTIF($U$2:U140,PMtbl[Category]),),0))</f>
        <v>#N/A</v>
      </c>
      <c r="X141"/>
      <c r="Y141"/>
      <c r="Z141"/>
      <c r="AA141"/>
      <c r="AB141"/>
      <c r="AC141" s="243"/>
      <c r="AD141" s="243"/>
      <c r="AE141" s="243"/>
      <c r="AF141" s="243"/>
    </row>
    <row r="142" spans="1:32" x14ac:dyDescent="0.35">
      <c r="A142" s="825" t="s">
        <v>2749</v>
      </c>
      <c r="B142" s="825" t="s">
        <v>2750</v>
      </c>
      <c r="C142" s="825">
        <v>2</v>
      </c>
      <c r="D142" s="825" t="s">
        <v>21</v>
      </c>
      <c r="E142" s="825" t="s">
        <v>2760</v>
      </c>
      <c r="F142" s="220">
        <v>140</v>
      </c>
      <c r="G142" s="825" t="s">
        <v>1931</v>
      </c>
      <c r="H142" s="825" t="s">
        <v>2911</v>
      </c>
      <c r="I142" s="220" t="s">
        <v>82</v>
      </c>
      <c r="J142" s="220" t="str">
        <f>PMtbl[[#This Row],[Category]]&amp;PMtbl[[#This Row],[Each]]&amp;PMtbl[[#This Row],[Packaging]]</f>
        <v>Other Health EquipmentThermometerNon-contact infrared thermometer</v>
      </c>
      <c r="K142">
        <v>0</v>
      </c>
      <c r="L142" s="236">
        <v>6.6</v>
      </c>
      <c r="M142" s="234" t="s">
        <v>183</v>
      </c>
      <c r="N142" s="236"/>
      <c r="O142" s="825" t="s">
        <v>12</v>
      </c>
      <c r="P142" s="825"/>
      <c r="R142" s="220" t="e">
        <f>INDEX(PMtbl[Component],MATCH(U142,PMtbl[Category],0),)</f>
        <v>#N/A</v>
      </c>
      <c r="S142" s="220" t="e">
        <f>INDEX(PMtbl[WKst],MATCH(U142,PMtbl[Category],0),)</f>
        <v>#N/A</v>
      </c>
      <c r="T142" s="220" t="e">
        <f>INDEX(PMtbl[Sec],MATCH(U142,PMtbl[Category],0),)</f>
        <v>#N/A</v>
      </c>
      <c r="U142" s="241" t="e" cm="1">
        <f t="array" ref="U142">INDEX(PMtbl[Category],MATCH(0,INDEX(COUNTIF($U$2:U141,PMtbl[Category]),),0))</f>
        <v>#N/A</v>
      </c>
      <c r="X142"/>
      <c r="Y142"/>
      <c r="Z142"/>
      <c r="AA142"/>
      <c r="AB142"/>
      <c r="AC142" s="243"/>
      <c r="AD142" s="243"/>
      <c r="AE142" s="243"/>
      <c r="AF142" s="243"/>
    </row>
    <row r="143" spans="1:32" x14ac:dyDescent="0.35">
      <c r="A143" s="825" t="s">
        <v>2749</v>
      </c>
      <c r="B143" s="825" t="s">
        <v>2750</v>
      </c>
      <c r="C143" s="825">
        <v>2</v>
      </c>
      <c r="D143" s="825" t="s">
        <v>21</v>
      </c>
      <c r="E143" s="825" t="s">
        <v>2760</v>
      </c>
      <c r="F143" s="220">
        <v>141</v>
      </c>
      <c r="G143" s="825" t="s">
        <v>1931</v>
      </c>
      <c r="H143" s="825" t="s">
        <v>2912</v>
      </c>
      <c r="I143" s="220" t="s">
        <v>82</v>
      </c>
      <c r="J143" s="220" t="str">
        <f>PMtbl[[#This Row],[Category]]&amp;PMtbl[[#This Row],[Each]]&amp;PMtbl[[#This Row],[Packaging]]</f>
        <v>Other Health EquipmentThermometerThermometer, clinical, non-cntct, incl bat</v>
      </c>
      <c r="K143">
        <v>0</v>
      </c>
      <c r="L143" s="236">
        <v>6.6</v>
      </c>
      <c r="M143" s="234" t="s">
        <v>183</v>
      </c>
      <c r="N143" s="236"/>
      <c r="O143" s="825" t="s">
        <v>12</v>
      </c>
      <c r="P143" s="825"/>
      <c r="R143" s="220" t="e">
        <f>INDEX(PMtbl[Component],MATCH(U143,PMtbl[Category],0),)</f>
        <v>#N/A</v>
      </c>
      <c r="S143" s="220" t="e">
        <f>INDEX(PMtbl[WKst],MATCH(U143,PMtbl[Category],0),)</f>
        <v>#N/A</v>
      </c>
      <c r="T143" s="220" t="e">
        <f>INDEX(PMtbl[Sec],MATCH(U143,PMtbl[Category],0),)</f>
        <v>#N/A</v>
      </c>
      <c r="U143" s="241" t="e" cm="1">
        <f t="array" ref="U143">INDEX(PMtbl[Category],MATCH(0,INDEX(COUNTIF($U$2:U142,PMtbl[Category]),),0))</f>
        <v>#N/A</v>
      </c>
      <c r="X143"/>
      <c r="Y143"/>
      <c r="Z143"/>
      <c r="AA143"/>
      <c r="AB143"/>
      <c r="AC143" s="243"/>
      <c r="AD143" s="243"/>
      <c r="AE143" s="243"/>
      <c r="AF143" s="243"/>
    </row>
    <row r="144" spans="1:32" x14ac:dyDescent="0.35">
      <c r="A144" s="825" t="s">
        <v>2749</v>
      </c>
      <c r="B144" s="825" t="s">
        <v>2750</v>
      </c>
      <c r="C144" s="825">
        <v>2</v>
      </c>
      <c r="D144" s="825" t="s">
        <v>21</v>
      </c>
      <c r="E144" s="825" t="s">
        <v>2760</v>
      </c>
      <c r="F144" s="220">
        <v>142</v>
      </c>
      <c r="G144" s="825" t="s">
        <v>2913</v>
      </c>
      <c r="H144" s="825" t="s">
        <v>2914</v>
      </c>
      <c r="I144" s="220" t="s">
        <v>82</v>
      </c>
      <c r="J144" s="220" t="str">
        <f>PMtbl[[#This Row],[Category]]&amp;PMtbl[[#This Row],[Each]]&amp;PMtbl[[#This Row],[Packaging]]</f>
        <v>Other Health EquipmentUltrasoundPortable, w/linear and phased array cardiac transducer (5.0-7.5 MHz), w/trolley</v>
      </c>
      <c r="K144">
        <v>0</v>
      </c>
      <c r="L144" s="236">
        <v>6.6</v>
      </c>
      <c r="M144" s="234" t="s">
        <v>183</v>
      </c>
      <c r="N144" s="236"/>
      <c r="O144" s="825" t="s">
        <v>12</v>
      </c>
      <c r="P144" s="825"/>
      <c r="R144" s="220" t="e">
        <f>INDEX(PMtbl[Component],MATCH(U144,PMtbl[Category],0),)</f>
        <v>#N/A</v>
      </c>
      <c r="S144" s="220" t="e">
        <f>INDEX(PMtbl[WKst],MATCH(U144,PMtbl[Category],0),)</f>
        <v>#N/A</v>
      </c>
      <c r="T144" s="220" t="e">
        <f>INDEX(PMtbl[Sec],MATCH(U144,PMtbl[Category],0),)</f>
        <v>#N/A</v>
      </c>
      <c r="U144" s="241" t="e" cm="1">
        <f t="array" ref="U144">INDEX(PMtbl[Category],MATCH(0,INDEX(COUNTIF($U$2:U143,PMtbl[Category]),),0))</f>
        <v>#N/A</v>
      </c>
      <c r="X144"/>
      <c r="Y144"/>
      <c r="Z144"/>
      <c r="AA144"/>
      <c r="AB144"/>
      <c r="AC144" s="243"/>
      <c r="AD144" s="243"/>
      <c r="AE144" s="243"/>
      <c r="AF144" s="243"/>
    </row>
    <row r="145" spans="1:32" x14ac:dyDescent="0.35">
      <c r="A145" s="825" t="s">
        <v>2749</v>
      </c>
      <c r="B145" s="825" t="s">
        <v>2750</v>
      </c>
      <c r="C145" s="825">
        <v>2</v>
      </c>
      <c r="D145" s="825" t="s">
        <v>21</v>
      </c>
      <c r="E145" s="825" t="s">
        <v>2760</v>
      </c>
      <c r="F145" s="220">
        <v>143</v>
      </c>
      <c r="G145" s="825" t="s">
        <v>2915</v>
      </c>
      <c r="H145" s="825" t="s">
        <v>1987</v>
      </c>
      <c r="I145" s="220" t="s">
        <v>82</v>
      </c>
      <c r="J145" s="220" t="str">
        <f>PMtbl[[#This Row],[Category]]&amp;PMtbl[[#This Row],[Each]]&amp;PMtbl[[#This Row],[Packaging]]</f>
        <v>Other Health EquipmentUPS unitsEquipment</v>
      </c>
      <c r="K145">
        <v>0</v>
      </c>
      <c r="L145" s="236">
        <v>6.6</v>
      </c>
      <c r="M145" s="234" t="s">
        <v>183</v>
      </c>
      <c r="N145" s="236"/>
      <c r="O145" s="825" t="s">
        <v>12</v>
      </c>
      <c r="P145" s="825"/>
      <c r="R145" s="220" t="e">
        <f>INDEX(PMtbl[Component],MATCH(U145,PMtbl[Category],0),)</f>
        <v>#N/A</v>
      </c>
      <c r="S145" s="220" t="e">
        <f>INDEX(PMtbl[WKst],MATCH(U145,PMtbl[Category],0),)</f>
        <v>#N/A</v>
      </c>
      <c r="T145" s="220" t="e">
        <f>INDEX(PMtbl[Sec],MATCH(U145,PMtbl[Category],0),)</f>
        <v>#N/A</v>
      </c>
      <c r="U145" s="241" t="e" cm="1">
        <f t="array" ref="U145">INDEX(PMtbl[Category],MATCH(0,INDEX(COUNTIF($U$2:U144,PMtbl[Category]),),0))</f>
        <v>#N/A</v>
      </c>
      <c r="X145"/>
      <c r="Y145"/>
      <c r="Z145"/>
      <c r="AA145"/>
      <c r="AB145"/>
      <c r="AC145" s="243"/>
      <c r="AD145" s="243"/>
      <c r="AE145" s="243"/>
      <c r="AF145" s="243"/>
    </row>
    <row r="146" spans="1:32" x14ac:dyDescent="0.35">
      <c r="A146" s="825" t="s">
        <v>2749</v>
      </c>
      <c r="B146" s="825" t="s">
        <v>2750</v>
      </c>
      <c r="C146" s="825">
        <v>2</v>
      </c>
      <c r="D146" s="825" t="s">
        <v>21</v>
      </c>
      <c r="E146" s="825" t="s">
        <v>2760</v>
      </c>
      <c r="F146" s="220">
        <v>144</v>
      </c>
      <c r="G146" s="825" t="s">
        <v>2915</v>
      </c>
      <c r="H146" s="825" t="s">
        <v>2777</v>
      </c>
      <c r="I146" s="220" t="s">
        <v>82</v>
      </c>
      <c r="J146" s="220" t="str">
        <f>PMtbl[[#This Row],[Category]]&amp;PMtbl[[#This Row],[Each]]&amp;PMtbl[[#This Row],[Packaging]]</f>
        <v>Other Health EquipmentUPS unitsSpare parts and accessories</v>
      </c>
      <c r="K146">
        <v>0</v>
      </c>
      <c r="L146" s="236">
        <v>6.6</v>
      </c>
      <c r="M146" s="234" t="s">
        <v>183</v>
      </c>
      <c r="N146" s="236"/>
      <c r="O146" s="825" t="s">
        <v>12</v>
      </c>
      <c r="P146" s="825"/>
      <c r="R146" s="220" t="e">
        <f>INDEX(PMtbl[Component],MATCH(U146,PMtbl[Category],0),)</f>
        <v>#N/A</v>
      </c>
      <c r="S146" s="220" t="e">
        <f>INDEX(PMtbl[WKst],MATCH(U146,PMtbl[Category],0),)</f>
        <v>#N/A</v>
      </c>
      <c r="T146" s="220" t="e">
        <f>INDEX(PMtbl[Sec],MATCH(U146,PMtbl[Category],0),)</f>
        <v>#N/A</v>
      </c>
      <c r="U146" s="241" t="e" cm="1">
        <f t="array" ref="U146">INDEX(PMtbl[Category],MATCH(0,INDEX(COUNTIF($U$2:U145,PMtbl[Category]),),0))</f>
        <v>#N/A</v>
      </c>
      <c r="X146"/>
      <c r="Y146"/>
      <c r="Z146"/>
      <c r="AA146"/>
      <c r="AB146"/>
      <c r="AC146" s="243"/>
      <c r="AD146" s="243"/>
      <c r="AE146" s="243"/>
      <c r="AF146" s="243"/>
    </row>
    <row r="147" spans="1:32" x14ac:dyDescent="0.35">
      <c r="A147" s="825" t="s">
        <v>2749</v>
      </c>
      <c r="B147" s="825" t="s">
        <v>2750</v>
      </c>
      <c r="C147" s="825">
        <v>2</v>
      </c>
      <c r="D147" s="825" t="s">
        <v>21</v>
      </c>
      <c r="E147" s="825" t="s">
        <v>2760</v>
      </c>
      <c r="F147" s="220">
        <v>145</v>
      </c>
      <c r="G147" s="825" t="s">
        <v>2915</v>
      </c>
      <c r="H147" s="825" t="s">
        <v>2778</v>
      </c>
      <c r="I147" s="220" t="s">
        <v>82</v>
      </c>
      <c r="J147" s="220" t="str">
        <f>PMtbl[[#This Row],[Category]]&amp;PMtbl[[#This Row],[Each]]&amp;PMtbl[[#This Row],[Packaging]]</f>
        <v>Other Health EquipmentUPS unitsWarranty, maintenance and service</v>
      </c>
      <c r="K147">
        <v>0</v>
      </c>
      <c r="L147" s="236">
        <v>6.5</v>
      </c>
      <c r="M147" s="234" t="s">
        <v>182</v>
      </c>
      <c r="N147" s="236"/>
      <c r="O147" s="825" t="s">
        <v>12</v>
      </c>
      <c r="P147" s="825"/>
      <c r="R147" s="220" t="e">
        <f>INDEX(PMtbl[Component],MATCH(U147,PMtbl[Category],0),)</f>
        <v>#N/A</v>
      </c>
      <c r="S147" s="220" t="e">
        <f>INDEX(PMtbl[WKst],MATCH(U147,PMtbl[Category],0),)</f>
        <v>#N/A</v>
      </c>
      <c r="T147" s="220" t="e">
        <f>INDEX(PMtbl[Sec],MATCH(U147,PMtbl[Category],0),)</f>
        <v>#N/A</v>
      </c>
      <c r="U147" s="241" t="e" cm="1">
        <f t="array" ref="U147">INDEX(PMtbl[Category],MATCH(0,INDEX(COUNTIF($U$2:U146,PMtbl[Category]),),0))</f>
        <v>#N/A</v>
      </c>
      <c r="X147"/>
      <c r="Y147"/>
      <c r="Z147"/>
      <c r="AA147"/>
      <c r="AB147"/>
      <c r="AC147" s="243"/>
      <c r="AD147" s="243"/>
      <c r="AE147" s="243"/>
      <c r="AF147" s="243"/>
    </row>
    <row r="148" spans="1:32" x14ac:dyDescent="0.35">
      <c r="A148" s="825" t="s">
        <v>2749</v>
      </c>
      <c r="B148" s="825" t="s">
        <v>2750</v>
      </c>
      <c r="C148" s="825">
        <v>2</v>
      </c>
      <c r="D148" s="825" t="s">
        <v>21</v>
      </c>
      <c r="E148" s="825" t="s">
        <v>2760</v>
      </c>
      <c r="F148" s="220">
        <v>146</v>
      </c>
      <c r="G148" s="825" t="s">
        <v>2426</v>
      </c>
      <c r="H148" s="825" t="s">
        <v>2916</v>
      </c>
      <c r="I148" s="220" t="s">
        <v>82</v>
      </c>
      <c r="J148" s="220" t="str">
        <f>PMtbl[[#This Row],[Category]]&amp;PMtbl[[#This Row],[Each]]&amp;PMtbl[[#This Row],[Packaging]]</f>
        <v>Other Health EquipmentX-ray: EquipmentDarkroom Automatic X-ray Film processor</v>
      </c>
      <c r="K148">
        <v>0</v>
      </c>
      <c r="L148" s="236">
        <v>6.6</v>
      </c>
      <c r="M148" s="234" t="s">
        <v>183</v>
      </c>
      <c r="N148" s="236"/>
      <c r="O148" s="825" t="s">
        <v>12</v>
      </c>
      <c r="P148" s="825"/>
      <c r="R148" s="220" t="e">
        <f>INDEX(PMtbl[Component],MATCH(U148,PMtbl[Category],0),)</f>
        <v>#N/A</v>
      </c>
      <c r="S148" s="220" t="e">
        <f>INDEX(PMtbl[WKst],MATCH(U148,PMtbl[Category],0),)</f>
        <v>#N/A</v>
      </c>
      <c r="T148" s="220" t="e">
        <f>INDEX(PMtbl[Sec],MATCH(U148,PMtbl[Category],0),)</f>
        <v>#N/A</v>
      </c>
      <c r="U148" s="241" t="e" cm="1">
        <f t="array" ref="U148">INDEX(PMtbl[Category],MATCH(0,INDEX(COUNTIF($U$2:U147,PMtbl[Category]),),0))</f>
        <v>#N/A</v>
      </c>
      <c r="X148"/>
      <c r="Y148"/>
      <c r="Z148"/>
      <c r="AA148"/>
      <c r="AB148"/>
      <c r="AC148" s="243"/>
      <c r="AD148" s="243"/>
      <c r="AE148" s="243"/>
      <c r="AF148" s="243"/>
    </row>
    <row r="149" spans="1:32" x14ac:dyDescent="0.35">
      <c r="A149" s="825" t="s">
        <v>2749</v>
      </c>
      <c r="B149" s="825" t="s">
        <v>2750</v>
      </c>
      <c r="C149" s="825">
        <v>2</v>
      </c>
      <c r="D149" s="825" t="s">
        <v>21</v>
      </c>
      <c r="E149" s="825" t="s">
        <v>2760</v>
      </c>
      <c r="F149" s="220">
        <v>147</v>
      </c>
      <c r="G149" s="825" t="s">
        <v>2426</v>
      </c>
      <c r="H149" s="825" t="s">
        <v>2917</v>
      </c>
      <c r="I149" s="220" t="s">
        <v>82</v>
      </c>
      <c r="J149" s="220" t="str">
        <f>PMtbl[[#This Row],[Category]]&amp;PMtbl[[#This Row],[Each]]&amp;PMtbl[[#This Row],[Packaging]]</f>
        <v>Other Health EquipmentX-ray: EquipmentDaylight Automatic X-ray Film Processor</v>
      </c>
      <c r="K149">
        <v>0</v>
      </c>
      <c r="L149" s="236">
        <v>6.6</v>
      </c>
      <c r="M149" s="234" t="s">
        <v>183</v>
      </c>
      <c r="N149" s="236"/>
      <c r="O149" s="825" t="s">
        <v>12</v>
      </c>
      <c r="P149" s="825"/>
      <c r="R149" s="220" t="e">
        <f>INDEX(PMtbl[Component],MATCH(U149,PMtbl[Category],0),)</f>
        <v>#N/A</v>
      </c>
      <c r="S149" s="220" t="e">
        <f>INDEX(PMtbl[WKst],MATCH(U149,PMtbl[Category],0),)</f>
        <v>#N/A</v>
      </c>
      <c r="T149" s="220" t="e">
        <f>INDEX(PMtbl[Sec],MATCH(U149,PMtbl[Category],0),)</f>
        <v>#N/A</v>
      </c>
      <c r="U149" s="241" t="e" cm="1">
        <f t="array" ref="U149">INDEX(PMtbl[Category],MATCH(0,INDEX(COUNTIF($U$2:U148,PMtbl[Category]),),0))</f>
        <v>#N/A</v>
      </c>
      <c r="X149"/>
      <c r="Y149"/>
      <c r="Z149"/>
      <c r="AA149"/>
      <c r="AB149"/>
      <c r="AC149" s="243"/>
      <c r="AD149" s="243"/>
      <c r="AE149" s="243"/>
      <c r="AF149" s="243"/>
    </row>
    <row r="150" spans="1:32" x14ac:dyDescent="0.35">
      <c r="A150" s="825" t="s">
        <v>2749</v>
      </c>
      <c r="B150" s="825" t="s">
        <v>2750</v>
      </c>
      <c r="C150" s="825">
        <v>2</v>
      </c>
      <c r="D150" s="825" t="s">
        <v>21</v>
      </c>
      <c r="E150" s="825" t="s">
        <v>2760</v>
      </c>
      <c r="F150" s="220">
        <v>148</v>
      </c>
      <c r="G150" s="825" t="s">
        <v>2426</v>
      </c>
      <c r="H150" s="825" t="s">
        <v>1934</v>
      </c>
      <c r="I150" s="220" t="s">
        <v>82</v>
      </c>
      <c r="J150" s="220" t="str">
        <f>PMtbl[[#This Row],[Category]]&amp;PMtbl[[#This Row],[Each]]&amp;PMtbl[[#This Row],[Packaging]]</f>
        <v>Other Health EquipmentX-ray: EquipmentMobile basic diagnostic x-ray system, analogue</v>
      </c>
      <c r="K150">
        <v>0</v>
      </c>
      <c r="L150" s="236">
        <v>6.6</v>
      </c>
      <c r="M150" s="234" t="s">
        <v>183</v>
      </c>
      <c r="N150" s="236"/>
      <c r="O150" s="825" t="s">
        <v>12</v>
      </c>
      <c r="P150" s="825"/>
      <c r="R150" s="220" t="e">
        <f>INDEX(PMtbl[Component],MATCH(U150,PMtbl[Category],0),)</f>
        <v>#N/A</v>
      </c>
      <c r="S150" s="220" t="e">
        <f>INDEX(PMtbl[WKst],MATCH(U150,PMtbl[Category],0),)</f>
        <v>#N/A</v>
      </c>
      <c r="T150" s="220" t="e">
        <f>INDEX(PMtbl[Sec],MATCH(U150,PMtbl[Category],0),)</f>
        <v>#N/A</v>
      </c>
      <c r="U150" s="241" t="e" cm="1">
        <f t="array" ref="U150">INDEX(PMtbl[Category],MATCH(0,INDEX(COUNTIF($U$2:U149,PMtbl[Category]),),0))</f>
        <v>#N/A</v>
      </c>
      <c r="X150"/>
      <c r="Y150"/>
      <c r="Z150"/>
      <c r="AA150"/>
      <c r="AB150"/>
      <c r="AC150" s="243"/>
      <c r="AD150" s="243"/>
      <c r="AE150" s="243"/>
      <c r="AF150" s="243"/>
    </row>
    <row r="151" spans="1:32" x14ac:dyDescent="0.35">
      <c r="A151" s="825" t="s">
        <v>2749</v>
      </c>
      <c r="B151" s="825" t="s">
        <v>2750</v>
      </c>
      <c r="C151" s="825">
        <v>2</v>
      </c>
      <c r="D151" s="825" t="s">
        <v>21</v>
      </c>
      <c r="E151" s="825" t="s">
        <v>2760</v>
      </c>
      <c r="F151" s="220">
        <v>149</v>
      </c>
      <c r="G151" s="825" t="s">
        <v>2426</v>
      </c>
      <c r="H151" s="825" t="s">
        <v>1935</v>
      </c>
      <c r="I151" s="220" t="s">
        <v>82</v>
      </c>
      <c r="J151" s="220" t="str">
        <f>PMtbl[[#This Row],[Category]]&amp;PMtbl[[#This Row],[Each]]&amp;PMtbl[[#This Row],[Packaging]]</f>
        <v>Other Health EquipmentX-ray: EquipmentMobile basic diagnostic x-ray system, digital</v>
      </c>
      <c r="K151">
        <v>0</v>
      </c>
      <c r="L151" s="236">
        <v>6.6</v>
      </c>
      <c r="M151" s="234" t="s">
        <v>183</v>
      </c>
      <c r="N151" s="236"/>
      <c r="O151" s="825" t="s">
        <v>12</v>
      </c>
      <c r="P151" s="825"/>
      <c r="R151" s="220" t="e">
        <f>INDEX(PMtbl[Component],MATCH(U151,PMtbl[Category],0),)</f>
        <v>#N/A</v>
      </c>
      <c r="S151" s="220" t="e">
        <f>INDEX(PMtbl[WKst],MATCH(U151,PMtbl[Category],0),)</f>
        <v>#N/A</v>
      </c>
      <c r="T151" s="220" t="e">
        <f>INDEX(PMtbl[Sec],MATCH(U151,PMtbl[Category],0),)</f>
        <v>#N/A</v>
      </c>
      <c r="U151" s="241" t="e" cm="1">
        <f t="array" ref="U151">INDEX(PMtbl[Category],MATCH(0,INDEX(COUNTIF($U$2:U150,PMtbl[Category]),),0))</f>
        <v>#N/A</v>
      </c>
      <c r="X151"/>
      <c r="Y151"/>
      <c r="Z151"/>
      <c r="AA151"/>
      <c r="AB151"/>
      <c r="AC151" s="243"/>
      <c r="AD151" s="243"/>
      <c r="AE151" s="243"/>
      <c r="AF151" s="243"/>
    </row>
    <row r="152" spans="1:32" x14ac:dyDescent="0.35">
      <c r="A152" s="825" t="s">
        <v>2749</v>
      </c>
      <c r="B152" s="825" t="s">
        <v>2750</v>
      </c>
      <c r="C152" s="825">
        <v>2</v>
      </c>
      <c r="D152" s="825" t="s">
        <v>21</v>
      </c>
      <c r="E152" s="825" t="s">
        <v>2760</v>
      </c>
      <c r="F152" s="220">
        <v>150</v>
      </c>
      <c r="G152" s="825" t="s">
        <v>2426</v>
      </c>
      <c r="H152" s="825" t="s">
        <v>2918</v>
      </c>
      <c r="I152" s="220" t="s">
        <v>82</v>
      </c>
      <c r="J152" s="220" t="str">
        <f>PMtbl[[#This Row],[Category]]&amp;PMtbl[[#This Row],[Each]]&amp;PMtbl[[#This Row],[Packaging]]</f>
        <v>Other Health EquipmentX-ray: EquipmentMobile flouroscopic x-ray system, analogue</v>
      </c>
      <c r="K152">
        <v>0</v>
      </c>
      <c r="L152" s="236">
        <v>6.6</v>
      </c>
      <c r="M152" s="234" t="s">
        <v>183</v>
      </c>
      <c r="N152" s="236"/>
      <c r="O152" s="825" t="s">
        <v>12</v>
      </c>
      <c r="P152" s="825"/>
      <c r="R152" s="220" t="e">
        <f>INDEX(PMtbl[Component],MATCH(U152,PMtbl[Category],0),)</f>
        <v>#N/A</v>
      </c>
      <c r="S152" s="220" t="e">
        <f>INDEX(PMtbl[WKst],MATCH(U152,PMtbl[Category],0),)</f>
        <v>#N/A</v>
      </c>
      <c r="T152" s="220" t="e">
        <f>INDEX(PMtbl[Sec],MATCH(U152,PMtbl[Category],0),)</f>
        <v>#N/A</v>
      </c>
      <c r="U152" s="241" t="e" cm="1">
        <f t="array" ref="U152">INDEX(PMtbl[Category],MATCH(0,INDEX(COUNTIF($U$2:U151,PMtbl[Category]),),0))</f>
        <v>#N/A</v>
      </c>
      <c r="X152"/>
      <c r="Y152"/>
      <c r="Z152"/>
      <c r="AA152"/>
      <c r="AB152"/>
      <c r="AC152" s="243"/>
      <c r="AD152" s="243"/>
      <c r="AE152" s="243"/>
      <c r="AF152" s="243"/>
    </row>
    <row r="153" spans="1:32" x14ac:dyDescent="0.35">
      <c r="A153" s="825" t="s">
        <v>2749</v>
      </c>
      <c r="B153" s="825" t="s">
        <v>2750</v>
      </c>
      <c r="C153" s="825">
        <v>2</v>
      </c>
      <c r="D153" s="825" t="s">
        <v>21</v>
      </c>
      <c r="E153" s="825" t="s">
        <v>2760</v>
      </c>
      <c r="F153" s="220">
        <v>151</v>
      </c>
      <c r="G153" s="825" t="s">
        <v>2426</v>
      </c>
      <c r="H153" s="825" t="s">
        <v>2919</v>
      </c>
      <c r="I153" s="220" t="s">
        <v>82</v>
      </c>
      <c r="J153" s="220" t="str">
        <f>PMtbl[[#This Row],[Category]]&amp;PMtbl[[#This Row],[Each]]&amp;PMtbl[[#This Row],[Packaging]]</f>
        <v>Other Health EquipmentX-ray: EquipmentMobile flouroscopic x-ray system, digital</v>
      </c>
      <c r="K153">
        <v>0</v>
      </c>
      <c r="L153" s="236">
        <v>6.6</v>
      </c>
      <c r="M153" s="234" t="s">
        <v>183</v>
      </c>
      <c r="N153" s="236"/>
      <c r="O153" s="825" t="s">
        <v>12</v>
      </c>
      <c r="P153" s="825"/>
      <c r="R153" s="220" t="e">
        <f>INDEX(PMtbl[Component],MATCH(U153,PMtbl[Category],0),)</f>
        <v>#N/A</v>
      </c>
      <c r="S153" s="220" t="e">
        <f>INDEX(PMtbl[WKst],MATCH(U153,PMtbl[Category],0),)</f>
        <v>#N/A</v>
      </c>
      <c r="T153" s="220" t="e">
        <f>INDEX(PMtbl[Sec],MATCH(U153,PMtbl[Category],0),)</f>
        <v>#N/A</v>
      </c>
      <c r="U153" s="241" t="e" cm="1">
        <f t="array" ref="U153">INDEX(PMtbl[Category],MATCH(0,INDEX(COUNTIF($U$2:U152,PMtbl[Category]),),0))</f>
        <v>#N/A</v>
      </c>
      <c r="X153"/>
      <c r="Y153"/>
      <c r="Z153"/>
      <c r="AA153"/>
      <c r="AB153"/>
      <c r="AC153" s="243"/>
      <c r="AD153" s="243"/>
      <c r="AE153" s="243"/>
      <c r="AF153" s="243"/>
    </row>
    <row r="154" spans="1:32" x14ac:dyDescent="0.35">
      <c r="A154" s="825" t="s">
        <v>2749</v>
      </c>
      <c r="B154" s="825" t="s">
        <v>2750</v>
      </c>
      <c r="C154" s="825">
        <v>2</v>
      </c>
      <c r="D154" s="825" t="s">
        <v>21</v>
      </c>
      <c r="E154" s="825" t="s">
        <v>2760</v>
      </c>
      <c r="F154" s="220">
        <v>152</v>
      </c>
      <c r="G154" s="825" t="s">
        <v>2426</v>
      </c>
      <c r="H154" s="825" t="s">
        <v>2920</v>
      </c>
      <c r="I154" s="220" t="s">
        <v>82</v>
      </c>
      <c r="J154" s="220" t="str">
        <f>PMtbl[[#This Row],[Category]]&amp;PMtbl[[#This Row],[Each]]&amp;PMtbl[[#This Row],[Packaging]]</f>
        <v>Other Health EquipmentX-ray: EquipmentOther type</v>
      </c>
      <c r="K154">
        <v>0</v>
      </c>
      <c r="L154" s="236">
        <v>6.6</v>
      </c>
      <c r="M154" s="234" t="s">
        <v>183</v>
      </c>
      <c r="N154" s="236"/>
      <c r="O154" s="825" t="s">
        <v>12</v>
      </c>
      <c r="P154" s="825"/>
      <c r="R154" s="220" t="e">
        <f>INDEX(PMtbl[Component],MATCH(U154,PMtbl[Category],0),)</f>
        <v>#N/A</v>
      </c>
      <c r="S154" s="220" t="e">
        <f>INDEX(PMtbl[WKst],MATCH(U154,PMtbl[Category],0),)</f>
        <v>#N/A</v>
      </c>
      <c r="T154" s="220" t="e">
        <f>INDEX(PMtbl[Sec],MATCH(U154,PMtbl[Category],0),)</f>
        <v>#N/A</v>
      </c>
      <c r="U154" s="241" t="e" cm="1">
        <f t="array" ref="U154">INDEX(PMtbl[Category],MATCH(0,INDEX(COUNTIF($U$2:U153,PMtbl[Category]),),0))</f>
        <v>#N/A</v>
      </c>
      <c r="X154"/>
      <c r="Y154"/>
      <c r="Z154"/>
      <c r="AA154"/>
      <c r="AB154"/>
      <c r="AC154" s="243"/>
      <c r="AD154" s="243"/>
      <c r="AE154" s="243"/>
      <c r="AF154" s="243"/>
    </row>
    <row r="155" spans="1:32" x14ac:dyDescent="0.35">
      <c r="A155" s="825" t="s">
        <v>2749</v>
      </c>
      <c r="B155" s="825" t="s">
        <v>2750</v>
      </c>
      <c r="C155" s="825">
        <v>2</v>
      </c>
      <c r="D155" s="825" t="s">
        <v>21</v>
      </c>
      <c r="E155" s="825" t="s">
        <v>2760</v>
      </c>
      <c r="F155" s="220">
        <v>153</v>
      </c>
      <c r="G155" s="825" t="s">
        <v>2426</v>
      </c>
      <c r="H155" s="825" t="s">
        <v>1936</v>
      </c>
      <c r="I155" s="220" t="s">
        <v>82</v>
      </c>
      <c r="J155" s="220" t="str">
        <f>PMtbl[[#This Row],[Category]]&amp;PMtbl[[#This Row],[Each]]&amp;PMtbl[[#This Row],[Packaging]]</f>
        <v>Other Health EquipmentX-ray: EquipmentRadiographic film view box, non-powered</v>
      </c>
      <c r="K155">
        <v>0</v>
      </c>
      <c r="L155" s="236">
        <v>6.6</v>
      </c>
      <c r="M155" s="234" t="s">
        <v>183</v>
      </c>
      <c r="N155" s="236"/>
      <c r="O155" s="825" t="s">
        <v>12</v>
      </c>
      <c r="P155" s="825"/>
      <c r="R155" s="220" t="e">
        <f>INDEX(PMtbl[Component],MATCH(U155,PMtbl[Category],0),)</f>
        <v>#N/A</v>
      </c>
      <c r="S155" s="220" t="e">
        <f>INDEX(PMtbl[WKst],MATCH(U155,PMtbl[Category],0),)</f>
        <v>#N/A</v>
      </c>
      <c r="T155" s="220" t="e">
        <f>INDEX(PMtbl[Sec],MATCH(U155,PMtbl[Category],0),)</f>
        <v>#N/A</v>
      </c>
      <c r="U155" s="241" t="e" cm="1">
        <f t="array" ref="U155">INDEX(PMtbl[Category],MATCH(0,INDEX(COUNTIF($U$2:U154,PMtbl[Category]),),0))</f>
        <v>#N/A</v>
      </c>
      <c r="X155"/>
      <c r="Y155"/>
      <c r="Z155"/>
      <c r="AA155"/>
      <c r="AB155"/>
      <c r="AC155" s="243"/>
      <c r="AD155" s="243"/>
      <c r="AE155" s="243"/>
      <c r="AF155" s="243"/>
    </row>
    <row r="156" spans="1:32" x14ac:dyDescent="0.35">
      <c r="A156" s="825" t="s">
        <v>2749</v>
      </c>
      <c r="B156" s="825" t="s">
        <v>2750</v>
      </c>
      <c r="C156" s="825">
        <v>2</v>
      </c>
      <c r="D156" s="825" t="s">
        <v>21</v>
      </c>
      <c r="E156" s="825" t="s">
        <v>2760</v>
      </c>
      <c r="F156" s="220">
        <v>154</v>
      </c>
      <c r="G156" s="825" t="s">
        <v>2426</v>
      </c>
      <c r="H156" s="825" t="s">
        <v>2777</v>
      </c>
      <c r="I156" s="220" t="s">
        <v>82</v>
      </c>
      <c r="J156" s="220" t="str">
        <f>PMtbl[[#This Row],[Category]]&amp;PMtbl[[#This Row],[Each]]&amp;PMtbl[[#This Row],[Packaging]]</f>
        <v>Other Health EquipmentX-ray: EquipmentSpare parts and accessories</v>
      </c>
      <c r="K156">
        <v>0</v>
      </c>
      <c r="L156" s="236">
        <v>6.6</v>
      </c>
      <c r="M156" s="234" t="s">
        <v>183</v>
      </c>
      <c r="N156" s="236"/>
      <c r="O156" s="825" t="s">
        <v>12</v>
      </c>
      <c r="P156" s="825"/>
      <c r="R156" s="220" t="e">
        <f>INDEX(PMtbl[Component],MATCH(U156,PMtbl[Category],0),)</f>
        <v>#N/A</v>
      </c>
      <c r="S156" s="220" t="e">
        <f>INDEX(PMtbl[WKst],MATCH(U156,PMtbl[Category],0),)</f>
        <v>#N/A</v>
      </c>
      <c r="T156" s="220" t="e">
        <f>INDEX(PMtbl[Sec],MATCH(U156,PMtbl[Category],0),)</f>
        <v>#N/A</v>
      </c>
      <c r="U156" s="241" t="e" cm="1">
        <f t="array" ref="U156">INDEX(PMtbl[Category],MATCH(0,INDEX(COUNTIF($U$2:U155,PMtbl[Category]),),0))</f>
        <v>#N/A</v>
      </c>
      <c r="X156"/>
      <c r="Y156"/>
      <c r="Z156"/>
      <c r="AA156"/>
      <c r="AB156"/>
      <c r="AC156" s="243"/>
      <c r="AD156" s="243"/>
      <c r="AE156" s="243"/>
      <c r="AF156" s="243"/>
    </row>
    <row r="157" spans="1:32" x14ac:dyDescent="0.35">
      <c r="A157" s="825" t="s">
        <v>2749</v>
      </c>
      <c r="B157" s="825" t="s">
        <v>2750</v>
      </c>
      <c r="C157" s="825">
        <v>2</v>
      </c>
      <c r="D157" s="825" t="s">
        <v>21</v>
      </c>
      <c r="E157" s="825" t="s">
        <v>2760</v>
      </c>
      <c r="F157" s="220">
        <v>155</v>
      </c>
      <c r="G157" s="825" t="s">
        <v>2426</v>
      </c>
      <c r="H157" s="825" t="s">
        <v>2778</v>
      </c>
      <c r="I157" s="220" t="s">
        <v>82</v>
      </c>
      <c r="J157" s="220" t="str">
        <f>PMtbl[[#This Row],[Category]]&amp;PMtbl[[#This Row],[Each]]&amp;PMtbl[[#This Row],[Packaging]]</f>
        <v>Other Health EquipmentX-ray: EquipmentWarranty, maintenance and service</v>
      </c>
      <c r="K157">
        <v>0</v>
      </c>
      <c r="L157" s="236">
        <v>6.5</v>
      </c>
      <c r="M157" s="234" t="s">
        <v>182</v>
      </c>
      <c r="N157" s="236"/>
      <c r="O157" s="825" t="s">
        <v>12</v>
      </c>
      <c r="P157" s="825"/>
      <c r="R157" s="220" t="e">
        <f>INDEX(PMtbl[Component],MATCH(U157,PMtbl[Category],0),)</f>
        <v>#N/A</v>
      </c>
      <c r="S157" s="220" t="e">
        <f>INDEX(PMtbl[WKst],MATCH(U157,PMtbl[Category],0),)</f>
        <v>#N/A</v>
      </c>
      <c r="T157" s="220" t="e">
        <f>INDEX(PMtbl[Sec],MATCH(U157,PMtbl[Category],0),)</f>
        <v>#N/A</v>
      </c>
      <c r="U157" s="241" t="e" cm="1">
        <f t="array" ref="U157">INDEX(PMtbl[Category],MATCH(0,INDEX(COUNTIF($U$2:U156,PMtbl[Category]),),0))</f>
        <v>#N/A</v>
      </c>
      <c r="X157"/>
      <c r="Y157"/>
      <c r="Z157"/>
      <c r="AA157"/>
      <c r="AB157"/>
      <c r="AC157" s="243"/>
      <c r="AD157" s="243"/>
      <c r="AE157" s="243"/>
      <c r="AF157" s="243"/>
    </row>
    <row r="158" spans="1:32" x14ac:dyDescent="0.35">
      <c r="A158" s="825" t="s">
        <v>2749</v>
      </c>
      <c r="B158" s="825" t="s">
        <v>2750</v>
      </c>
      <c r="C158" s="825">
        <v>3</v>
      </c>
      <c r="D158" s="825" t="s">
        <v>22</v>
      </c>
      <c r="E158" s="825" t="s">
        <v>2761</v>
      </c>
      <c r="F158" s="220">
        <v>156</v>
      </c>
      <c r="G158" s="825" t="s">
        <v>2921</v>
      </c>
      <c r="H158" s="825" t="s">
        <v>2922</v>
      </c>
      <c r="I158" s="220" t="s">
        <v>82</v>
      </c>
      <c r="J158" s="220" t="str">
        <f>PMtbl[[#This Row],[Category]]&amp;PMtbl[[#This Row],[Each]]&amp;PMtbl[[#This Row],[Packaging]]</f>
        <v>DisinfectantsAlcohol-based hand rubSolution: 80% v/v ethanol; 75% v/v isopropyl alcohol</v>
      </c>
      <c r="K158">
        <v>0</v>
      </c>
      <c r="L158" s="236">
        <v>5.8</v>
      </c>
      <c r="M158" s="234" t="s">
        <v>181</v>
      </c>
      <c r="N158" s="236"/>
      <c r="O158" s="825" t="s">
        <v>14</v>
      </c>
      <c r="P158" s="825"/>
      <c r="R158" s="220" t="e">
        <f>INDEX(PMtbl[Component],MATCH(U158,PMtbl[Category],0),)</f>
        <v>#N/A</v>
      </c>
      <c r="S158" s="220" t="e">
        <f>INDEX(PMtbl[WKst],MATCH(U158,PMtbl[Category],0),)</f>
        <v>#N/A</v>
      </c>
      <c r="T158" s="220" t="e">
        <f>INDEX(PMtbl[Sec],MATCH(U158,PMtbl[Category],0),)</f>
        <v>#N/A</v>
      </c>
      <c r="U158" s="241" t="e" cm="1">
        <f t="array" ref="U158">INDEX(PMtbl[Category],MATCH(0,INDEX(COUNTIF($U$2:U157,PMtbl[Category]),),0))</f>
        <v>#N/A</v>
      </c>
      <c r="X158"/>
      <c r="Y158"/>
      <c r="Z158"/>
      <c r="AA158"/>
      <c r="AB158"/>
      <c r="AC158" s="243"/>
      <c r="AD158" s="243"/>
      <c r="AE158" s="243"/>
      <c r="AF158" s="243"/>
    </row>
    <row r="159" spans="1:32" x14ac:dyDescent="0.35">
      <c r="A159" s="825" t="s">
        <v>2749</v>
      </c>
      <c r="B159" s="825" t="s">
        <v>2750</v>
      </c>
      <c r="C159" s="825">
        <v>3</v>
      </c>
      <c r="D159" s="825" t="s">
        <v>22</v>
      </c>
      <c r="E159" s="825" t="s">
        <v>2761</v>
      </c>
      <c r="F159" s="220">
        <v>157</v>
      </c>
      <c r="G159" s="825" t="s">
        <v>2923</v>
      </c>
      <c r="H159" s="825" t="s">
        <v>2924</v>
      </c>
      <c r="I159" s="220" t="s">
        <v>82</v>
      </c>
      <c r="J159" s="220" t="str">
        <f>PMtbl[[#This Row],[Category]]&amp;PMtbl[[#This Row],[Each]]&amp;PMtbl[[#This Row],[Packaging]]</f>
        <v>DisinfectantsChlorhexidineSolution: 5% (digluconate) for dilution</v>
      </c>
      <c r="K159">
        <v>0</v>
      </c>
      <c r="L159" s="236">
        <v>5.8</v>
      </c>
      <c r="M159" s="234" t="s">
        <v>181</v>
      </c>
      <c r="N159" s="236"/>
      <c r="O159" s="825" t="s">
        <v>14</v>
      </c>
      <c r="P159" s="825"/>
      <c r="R159" s="220" t="e">
        <f>INDEX(PMtbl[Component],MATCH(U159,PMtbl[Category],0),)</f>
        <v>#N/A</v>
      </c>
      <c r="S159" s="220" t="e">
        <f>INDEX(PMtbl[WKst],MATCH(U159,PMtbl[Category],0),)</f>
        <v>#N/A</v>
      </c>
      <c r="T159" s="220" t="e">
        <f>INDEX(PMtbl[Sec],MATCH(U159,PMtbl[Category],0),)</f>
        <v>#N/A</v>
      </c>
      <c r="U159" s="241" t="e" cm="1">
        <f t="array" ref="U159">INDEX(PMtbl[Category],MATCH(0,INDEX(COUNTIF($U$2:U158,PMtbl[Category]),),0))</f>
        <v>#N/A</v>
      </c>
      <c r="X159"/>
      <c r="Y159"/>
      <c r="Z159"/>
      <c r="AA159"/>
      <c r="AB159"/>
      <c r="AC159" s="243"/>
      <c r="AD159" s="243"/>
      <c r="AE159" s="243"/>
      <c r="AF159" s="243"/>
    </row>
    <row r="160" spans="1:32" x14ac:dyDescent="0.35">
      <c r="A160" s="825" t="s">
        <v>2749</v>
      </c>
      <c r="B160" s="825" t="s">
        <v>2750</v>
      </c>
      <c r="C160" s="825">
        <v>3</v>
      </c>
      <c r="D160" s="825" t="s">
        <v>22</v>
      </c>
      <c r="E160" s="825" t="s">
        <v>2761</v>
      </c>
      <c r="F160" s="220">
        <v>158</v>
      </c>
      <c r="G160" s="825" t="s">
        <v>2925</v>
      </c>
      <c r="H160" s="825" t="s">
        <v>2926</v>
      </c>
      <c r="I160" s="220" t="s">
        <v>82</v>
      </c>
      <c r="J160" s="220" t="str">
        <f>PMtbl[[#This Row],[Category]]&amp;PMtbl[[#This Row],[Each]]&amp;PMtbl[[#This Row],[Packaging]]</f>
        <v>DisinfectantsChlorineNaDCC, granules, 1kg, 65 to 70% + measurement spoon</v>
      </c>
      <c r="K160">
        <v>0</v>
      </c>
      <c r="L160" s="236">
        <v>5.8</v>
      </c>
      <c r="M160" s="234" t="s">
        <v>181</v>
      </c>
      <c r="N160" s="236"/>
      <c r="O160" s="825" t="s">
        <v>14</v>
      </c>
      <c r="P160" s="825"/>
      <c r="R160" s="220" t="e">
        <f>INDEX(PMtbl[Component],MATCH(U160,PMtbl[Category],0),)</f>
        <v>#N/A</v>
      </c>
      <c r="S160" s="220" t="e">
        <f>INDEX(PMtbl[WKst],MATCH(U160,PMtbl[Category],0),)</f>
        <v>#N/A</v>
      </c>
      <c r="T160" s="220" t="e">
        <f>INDEX(PMtbl[Sec],MATCH(U160,PMtbl[Category],0),)</f>
        <v>#N/A</v>
      </c>
      <c r="U160" s="241" t="e" cm="1">
        <f t="array" ref="U160">INDEX(PMtbl[Category],MATCH(0,INDEX(COUNTIF($U$2:U159,PMtbl[Category]),),0))</f>
        <v>#N/A</v>
      </c>
      <c r="X160"/>
      <c r="Y160"/>
      <c r="Z160"/>
      <c r="AA160"/>
      <c r="AB160"/>
      <c r="AC160" s="243"/>
      <c r="AD160" s="243"/>
      <c r="AE160" s="243"/>
      <c r="AF160" s="243"/>
    </row>
    <row r="161" spans="1:32" x14ac:dyDescent="0.35">
      <c r="A161" s="825" t="s">
        <v>2749</v>
      </c>
      <c r="B161" s="825" t="s">
        <v>2750</v>
      </c>
      <c r="C161" s="825">
        <v>3</v>
      </c>
      <c r="D161" s="825" t="s">
        <v>22</v>
      </c>
      <c r="E161" s="825" t="s">
        <v>2761</v>
      </c>
      <c r="F161" s="220">
        <v>159</v>
      </c>
      <c r="G161" s="825" t="s">
        <v>2927</v>
      </c>
      <c r="H161" s="825" t="s">
        <v>2149</v>
      </c>
      <c r="I161" s="220" t="s">
        <v>82</v>
      </c>
      <c r="J161" s="220" t="str">
        <f>PMtbl[[#This Row],[Category]]&amp;PMtbl[[#This Row],[Each]]&amp;PMtbl[[#This Row],[Packaging]]</f>
        <v>DisinfectantsHand wash (liquid)Enter details in Comments</v>
      </c>
      <c r="K161">
        <v>0</v>
      </c>
      <c r="L161" s="236">
        <v>5.8</v>
      </c>
      <c r="M161" s="234" t="s">
        <v>181</v>
      </c>
      <c r="N161" s="236"/>
      <c r="O161" s="825" t="s">
        <v>12</v>
      </c>
      <c r="P161" s="825"/>
      <c r="R161" s="220" t="e">
        <f>INDEX(PMtbl[Component],MATCH(U161,PMtbl[Category],0),)</f>
        <v>#N/A</v>
      </c>
      <c r="S161" s="220" t="e">
        <f>INDEX(PMtbl[WKst],MATCH(U161,PMtbl[Category],0),)</f>
        <v>#N/A</v>
      </c>
      <c r="T161" s="220" t="e">
        <f>INDEX(PMtbl[Sec],MATCH(U161,PMtbl[Category],0),)</f>
        <v>#N/A</v>
      </c>
      <c r="U161" s="241" t="e" cm="1">
        <f t="array" ref="U161">INDEX(PMtbl[Category],MATCH(0,INDEX(COUNTIF($U$2:U160,PMtbl[Category]),),0))</f>
        <v>#N/A</v>
      </c>
      <c r="X161"/>
      <c r="Y161"/>
      <c r="Z161"/>
      <c r="AA161"/>
      <c r="AB161"/>
      <c r="AC161" s="243"/>
      <c r="AD161" s="243"/>
      <c r="AE161" s="243"/>
      <c r="AF161" s="243"/>
    </row>
    <row r="162" spans="1:32" x14ac:dyDescent="0.35">
      <c r="A162" s="825" t="s">
        <v>2749</v>
      </c>
      <c r="B162" s="825" t="s">
        <v>2750</v>
      </c>
      <c r="C162" s="825">
        <v>3</v>
      </c>
      <c r="D162" s="825" t="s">
        <v>22</v>
      </c>
      <c r="E162" s="825" t="s">
        <v>2761</v>
      </c>
      <c r="F162" s="220">
        <v>160</v>
      </c>
      <c r="G162" s="825" t="s">
        <v>2928</v>
      </c>
      <c r="H162" s="825" t="s">
        <v>2149</v>
      </c>
      <c r="I162" s="220" t="s">
        <v>82</v>
      </c>
      <c r="J162" s="220" t="str">
        <f>PMtbl[[#This Row],[Category]]&amp;PMtbl[[#This Row],[Each]]&amp;PMtbl[[#This Row],[Packaging]]</f>
        <v>DisinfectantsSoapEnter details in Comments</v>
      </c>
      <c r="K162">
        <v>0</v>
      </c>
      <c r="L162" s="236">
        <v>5.8</v>
      </c>
      <c r="M162" s="234" t="s">
        <v>181</v>
      </c>
      <c r="N162" s="236"/>
      <c r="O162" s="825" t="s">
        <v>12</v>
      </c>
      <c r="P162" s="825"/>
      <c r="R162" s="220" t="e">
        <f>INDEX(PMtbl[Component],MATCH(U162,PMtbl[Category],0),)</f>
        <v>#N/A</v>
      </c>
      <c r="S162" s="220" t="e">
        <f>INDEX(PMtbl[WKst],MATCH(U162,PMtbl[Category],0),)</f>
        <v>#N/A</v>
      </c>
      <c r="T162" s="220" t="e">
        <f>INDEX(PMtbl[Sec],MATCH(U162,PMtbl[Category],0),)</f>
        <v>#N/A</v>
      </c>
      <c r="U162" s="241" t="e" cm="1">
        <f t="array" ref="U162">INDEX(PMtbl[Category],MATCH(0,INDEX(COUNTIF($U$2:U161,PMtbl[Category]),),0))</f>
        <v>#N/A</v>
      </c>
      <c r="X162"/>
      <c r="Y162"/>
      <c r="Z162"/>
      <c r="AA162"/>
      <c r="AB162"/>
      <c r="AC162" s="243"/>
      <c r="AD162" s="243"/>
      <c r="AE162" s="243"/>
      <c r="AF162" s="243"/>
    </row>
    <row r="163" spans="1:32" x14ac:dyDescent="0.35">
      <c r="A163" s="825" t="s">
        <v>2749</v>
      </c>
      <c r="B163" s="825" t="s">
        <v>2750</v>
      </c>
      <c r="C163" s="825">
        <v>3</v>
      </c>
      <c r="D163" s="825" t="s">
        <v>23</v>
      </c>
      <c r="E163" s="825" t="s">
        <v>2762</v>
      </c>
      <c r="F163" s="220">
        <v>161</v>
      </c>
      <c r="G163" s="825" t="s">
        <v>2150</v>
      </c>
      <c r="H163" s="825" t="s">
        <v>2929</v>
      </c>
      <c r="I163" s="220" t="s">
        <v>82</v>
      </c>
      <c r="J163" s="220" t="str">
        <f>PMtbl[[#This Row],[Category]]&amp;PMtbl[[#This Row],[Each]]&amp;PMtbl[[#This Row],[Packaging]]</f>
        <v>COVID PPE coreApronApron Reusable, 100</v>
      </c>
      <c r="K163">
        <v>0</v>
      </c>
      <c r="L163" s="236">
        <v>5.1100000000000003</v>
      </c>
      <c r="M163" s="234" t="s">
        <v>184</v>
      </c>
      <c r="N163" s="236"/>
      <c r="O163" s="825" t="s">
        <v>14</v>
      </c>
      <c r="P163" s="825"/>
      <c r="R163" s="220" t="e">
        <f>INDEX(PMtbl[Component],MATCH(U163,PMtbl[Category],0),)</f>
        <v>#N/A</v>
      </c>
      <c r="S163" s="220" t="e">
        <f>INDEX(PMtbl[WKst],MATCH(U163,PMtbl[Category],0),)</f>
        <v>#N/A</v>
      </c>
      <c r="T163" s="220" t="e">
        <f>INDEX(PMtbl[Sec],MATCH(U163,PMtbl[Category],0),)</f>
        <v>#N/A</v>
      </c>
      <c r="U163" s="241" t="e" cm="1">
        <f t="array" ref="U163">INDEX(PMtbl[Category],MATCH(0,INDEX(COUNTIF($U$2:U162,PMtbl[Category]),),0))</f>
        <v>#N/A</v>
      </c>
      <c r="X163"/>
      <c r="Y163"/>
      <c r="Z163"/>
      <c r="AA163"/>
      <c r="AB163"/>
      <c r="AC163" s="243"/>
      <c r="AD163" s="243"/>
      <c r="AE163" s="243"/>
      <c r="AF163" s="243"/>
    </row>
    <row r="164" spans="1:32" x14ac:dyDescent="0.35">
      <c r="A164" s="825" t="s">
        <v>2749</v>
      </c>
      <c r="B164" s="825" t="s">
        <v>2750</v>
      </c>
      <c r="C164" s="825">
        <v>3</v>
      </c>
      <c r="D164" s="825" t="s">
        <v>23</v>
      </c>
      <c r="E164" s="825" t="s">
        <v>2762</v>
      </c>
      <c r="F164" s="220">
        <v>162</v>
      </c>
      <c r="G164" s="825" t="s">
        <v>2154</v>
      </c>
      <c r="H164" s="825" t="s">
        <v>2930</v>
      </c>
      <c r="I164" s="220" t="s">
        <v>82</v>
      </c>
      <c r="J164" s="220" t="str">
        <f>PMtbl[[#This Row],[Category]]&amp;PMtbl[[#This Row],[Each]]&amp;PMtbl[[#This Row],[Packaging]]</f>
        <v>COVID PPE coreFaceshieldFaceshield Reusable</v>
      </c>
      <c r="K164">
        <v>0</v>
      </c>
      <c r="L164" s="236">
        <v>5.1100000000000003</v>
      </c>
      <c r="M164" s="234" t="s">
        <v>184</v>
      </c>
      <c r="N164" s="236"/>
      <c r="O164" s="825" t="s">
        <v>12</v>
      </c>
      <c r="P164" s="825"/>
      <c r="R164" s="220" t="e">
        <f>INDEX(PMtbl[Component],MATCH(U164,PMtbl[Category],0),)</f>
        <v>#N/A</v>
      </c>
      <c r="S164" s="220" t="e">
        <f>INDEX(PMtbl[WKst],MATCH(U164,PMtbl[Category],0),)</f>
        <v>#N/A</v>
      </c>
      <c r="T164" s="220" t="e">
        <f>INDEX(PMtbl[Sec],MATCH(U164,PMtbl[Category],0),)</f>
        <v>#N/A</v>
      </c>
      <c r="U164" s="241" t="e" cm="1">
        <f t="array" ref="U164">INDEX(PMtbl[Category],MATCH(0,INDEX(COUNTIF($U$2:U163,PMtbl[Category]),),0))</f>
        <v>#N/A</v>
      </c>
      <c r="X164"/>
      <c r="Y164"/>
      <c r="Z164"/>
      <c r="AA164"/>
      <c r="AB164"/>
      <c r="AC164" s="243"/>
      <c r="AD164" s="243"/>
      <c r="AE164" s="243"/>
      <c r="AF164" s="243"/>
    </row>
    <row r="165" spans="1:32" x14ac:dyDescent="0.35">
      <c r="A165" s="825" t="s">
        <v>2749</v>
      </c>
      <c r="B165" s="825" t="s">
        <v>2750</v>
      </c>
      <c r="C165" s="825">
        <v>3</v>
      </c>
      <c r="D165" s="825" t="s">
        <v>23</v>
      </c>
      <c r="E165" s="825" t="s">
        <v>2762</v>
      </c>
      <c r="F165" s="220">
        <v>163</v>
      </c>
      <c r="G165" s="825" t="s">
        <v>2154</v>
      </c>
      <c r="H165" s="825" t="s">
        <v>2931</v>
      </c>
      <c r="I165" s="220" t="s">
        <v>82</v>
      </c>
      <c r="J165" s="220" t="str">
        <f>PMtbl[[#This Row],[Category]]&amp;PMtbl[[#This Row],[Each]]&amp;PMtbl[[#This Row],[Packaging]]</f>
        <v>COVID PPE coreFaceshieldFaceshield Single-use, disposable</v>
      </c>
      <c r="K165">
        <v>0</v>
      </c>
      <c r="L165" s="236">
        <v>5.1100000000000003</v>
      </c>
      <c r="M165" s="234" t="s">
        <v>184</v>
      </c>
      <c r="N165" s="236"/>
      <c r="O165" s="825" t="s">
        <v>12</v>
      </c>
      <c r="P165" s="825"/>
      <c r="R165" s="220" t="e">
        <f>INDEX(PMtbl[Component],MATCH(U165,PMtbl[Category],0),)</f>
        <v>#N/A</v>
      </c>
      <c r="S165" s="220" t="e">
        <f>INDEX(PMtbl[WKst],MATCH(U165,PMtbl[Category],0),)</f>
        <v>#N/A</v>
      </c>
      <c r="T165" s="220" t="e">
        <f>INDEX(PMtbl[Sec],MATCH(U165,PMtbl[Category],0),)</f>
        <v>#N/A</v>
      </c>
      <c r="U165" s="241" t="e" cm="1">
        <f t="array" ref="U165">INDEX(PMtbl[Category],MATCH(0,INDEX(COUNTIF($U$2:U164,PMtbl[Category]),),0))</f>
        <v>#N/A</v>
      </c>
      <c r="X165"/>
      <c r="Y165"/>
      <c r="Z165"/>
      <c r="AA165"/>
      <c r="AB165"/>
      <c r="AC165" s="243"/>
      <c r="AD165" s="243"/>
      <c r="AE165" s="243"/>
      <c r="AF165" s="243"/>
    </row>
    <row r="166" spans="1:32" x14ac:dyDescent="0.35">
      <c r="A166" s="825" t="s">
        <v>2749</v>
      </c>
      <c r="B166" s="825" t="s">
        <v>2750</v>
      </c>
      <c r="C166" s="825">
        <v>3</v>
      </c>
      <c r="D166" s="825" t="s">
        <v>23</v>
      </c>
      <c r="E166" s="825" t="s">
        <v>2762</v>
      </c>
      <c r="F166" s="220">
        <v>164</v>
      </c>
      <c r="G166" s="825" t="s">
        <v>2155</v>
      </c>
      <c r="H166" s="825" t="s">
        <v>2932</v>
      </c>
      <c r="I166" s="220" t="s">
        <v>82</v>
      </c>
      <c r="J166" s="220" t="str">
        <f>PMtbl[[#This Row],[Category]]&amp;PMtbl[[#This Row],[Each]]&amp;PMtbl[[#This Row],[Packaging]]</f>
        <v>COVID PPE coreGlovesGloves, Examination - Latex - non-sterile, single-use, disposable, powder-free 100</v>
      </c>
      <c r="K166">
        <v>0</v>
      </c>
      <c r="L166" s="236">
        <v>5.1100000000000003</v>
      </c>
      <c r="M166" s="234" t="s">
        <v>184</v>
      </c>
      <c r="N166" s="236"/>
      <c r="O166" s="825" t="s">
        <v>14</v>
      </c>
      <c r="P166" s="825"/>
      <c r="R166" s="220" t="e">
        <f>INDEX(PMtbl[Component],MATCH(U166,PMtbl[Category],0),)</f>
        <v>#N/A</v>
      </c>
      <c r="S166" s="220" t="e">
        <f>INDEX(PMtbl[WKst],MATCH(U166,PMtbl[Category],0),)</f>
        <v>#N/A</v>
      </c>
      <c r="T166" s="220" t="e">
        <f>INDEX(PMtbl[Sec],MATCH(U166,PMtbl[Category],0),)</f>
        <v>#N/A</v>
      </c>
      <c r="U166" s="241" t="e" cm="1">
        <f t="array" ref="U166">INDEX(PMtbl[Category],MATCH(0,INDEX(COUNTIF($U$2:U165,PMtbl[Category]),),0))</f>
        <v>#N/A</v>
      </c>
      <c r="X166"/>
      <c r="Y166"/>
      <c r="Z166"/>
      <c r="AA166"/>
      <c r="AB166"/>
      <c r="AC166" s="243"/>
      <c r="AD166" s="243"/>
      <c r="AE166" s="243"/>
      <c r="AF166" s="243"/>
    </row>
    <row r="167" spans="1:32" x14ac:dyDescent="0.35">
      <c r="A167" s="825" t="s">
        <v>2749</v>
      </c>
      <c r="B167" s="825" t="s">
        <v>2750</v>
      </c>
      <c r="C167" s="825">
        <v>3</v>
      </c>
      <c r="D167" s="825" t="s">
        <v>23</v>
      </c>
      <c r="E167" s="825" t="s">
        <v>2762</v>
      </c>
      <c r="F167" s="220">
        <v>165</v>
      </c>
      <c r="G167" s="825" t="s">
        <v>2155</v>
      </c>
      <c r="H167" s="825" t="s">
        <v>2933</v>
      </c>
      <c r="I167" s="220" t="s">
        <v>82</v>
      </c>
      <c r="J167" s="220" t="str">
        <f>PMtbl[[#This Row],[Category]]&amp;PMtbl[[#This Row],[Each]]&amp;PMtbl[[#This Row],[Packaging]]</f>
        <v>COVID PPE coreGlovesGloves, Examination - Nitrile - non-sterile, single-use, disposable, powder-free100</v>
      </c>
      <c r="K167">
        <v>0</v>
      </c>
      <c r="L167" s="236">
        <v>5.1100000000000003</v>
      </c>
      <c r="M167" s="234" t="s">
        <v>184</v>
      </c>
      <c r="N167" s="236"/>
      <c r="O167" s="825" t="s">
        <v>14</v>
      </c>
      <c r="P167" s="825"/>
      <c r="R167" s="220" t="e">
        <f>INDEX(PMtbl[Component],MATCH(U167,PMtbl[Category],0),)</f>
        <v>#N/A</v>
      </c>
      <c r="S167" s="220" t="e">
        <f>INDEX(PMtbl[WKst],MATCH(U167,PMtbl[Category],0),)</f>
        <v>#N/A</v>
      </c>
      <c r="T167" s="220" t="e">
        <f>INDEX(PMtbl[Sec],MATCH(U167,PMtbl[Category],0),)</f>
        <v>#N/A</v>
      </c>
      <c r="U167" s="241" t="e" cm="1">
        <f t="array" ref="U167">INDEX(PMtbl[Category],MATCH(0,INDEX(COUNTIF($U$2:U166,PMtbl[Category]),),0))</f>
        <v>#N/A</v>
      </c>
      <c r="X167"/>
      <c r="Y167"/>
      <c r="Z167"/>
      <c r="AA167"/>
      <c r="AB167"/>
      <c r="AC167" s="243"/>
      <c r="AD167" s="243"/>
      <c r="AE167" s="243"/>
      <c r="AF167" s="243"/>
    </row>
    <row r="168" spans="1:32" x14ac:dyDescent="0.35">
      <c r="A168" s="825" t="s">
        <v>2749</v>
      </c>
      <c r="B168" s="825" t="s">
        <v>2750</v>
      </c>
      <c r="C168" s="825">
        <v>3</v>
      </c>
      <c r="D168" s="825" t="s">
        <v>23</v>
      </c>
      <c r="E168" s="825" t="s">
        <v>2762</v>
      </c>
      <c r="F168" s="220">
        <v>166</v>
      </c>
      <c r="G168" s="825" t="s">
        <v>2155</v>
      </c>
      <c r="H168" s="825" t="s">
        <v>2934</v>
      </c>
      <c r="I168" s="220" t="s">
        <v>82</v>
      </c>
      <c r="J168" s="220" t="str">
        <f>PMtbl[[#This Row],[Category]]&amp;PMtbl[[#This Row],[Each]]&amp;PMtbl[[#This Row],[Packaging]]</f>
        <v>COVID PPE coreGlovesGloves, Surgical - sterile, single-use, disposable, powder-free pair</v>
      </c>
      <c r="K168">
        <v>0</v>
      </c>
      <c r="L168" s="236">
        <v>5.1100000000000003</v>
      </c>
      <c r="M168" s="234" t="s">
        <v>184</v>
      </c>
      <c r="N168" s="236"/>
      <c r="O168" s="825" t="s">
        <v>12</v>
      </c>
      <c r="P168" s="825"/>
      <c r="R168" s="220" t="e">
        <f>INDEX(PMtbl[Component],MATCH(U168,PMtbl[Category],0),)</f>
        <v>#N/A</v>
      </c>
      <c r="S168" s="220" t="e">
        <f>INDEX(PMtbl[WKst],MATCH(U168,PMtbl[Category],0),)</f>
        <v>#N/A</v>
      </c>
      <c r="T168" s="220" t="e">
        <f>INDEX(PMtbl[Sec],MATCH(U168,PMtbl[Category],0),)</f>
        <v>#N/A</v>
      </c>
      <c r="U168" s="241" t="e" cm="1">
        <f t="array" ref="U168">INDEX(PMtbl[Category],MATCH(0,INDEX(COUNTIF($U$2:U167,PMtbl[Category]),),0))</f>
        <v>#N/A</v>
      </c>
      <c r="X168"/>
      <c r="Y168"/>
      <c r="Z168"/>
      <c r="AA168"/>
      <c r="AB168"/>
      <c r="AC168" s="243"/>
      <c r="AD168" s="243"/>
      <c r="AE168" s="243"/>
      <c r="AF168" s="243"/>
    </row>
    <row r="169" spans="1:32" x14ac:dyDescent="0.35">
      <c r="A169" s="825" t="s">
        <v>2749</v>
      </c>
      <c r="B169" s="825" t="s">
        <v>2750</v>
      </c>
      <c r="C169" s="825">
        <v>3</v>
      </c>
      <c r="D169" s="825" t="s">
        <v>23</v>
      </c>
      <c r="E169" s="825" t="s">
        <v>2762</v>
      </c>
      <c r="F169" s="220">
        <v>167</v>
      </c>
      <c r="G169" s="825" t="s">
        <v>2157</v>
      </c>
      <c r="H169" s="825" t="s">
        <v>2935</v>
      </c>
      <c r="I169" s="220" t="s">
        <v>82</v>
      </c>
      <c r="J169" s="220" t="str">
        <f>PMtbl[[#This Row],[Category]]&amp;PMtbl[[#This Row],[Each]]&amp;PMtbl[[#This Row],[Packaging]]</f>
        <v>COVID PPE coreGogglesGoggles, protective, indirect side-ventilation</v>
      </c>
      <c r="K169">
        <v>0</v>
      </c>
      <c r="L169" s="236">
        <v>5.1100000000000003</v>
      </c>
      <c r="M169" s="234" t="s">
        <v>184</v>
      </c>
      <c r="N169" s="236"/>
      <c r="O169" s="825" t="s">
        <v>12</v>
      </c>
      <c r="P169" s="825"/>
      <c r="R169" s="220" t="e">
        <f>INDEX(PMtbl[Component],MATCH(U169,PMtbl[Category],0),)</f>
        <v>#N/A</v>
      </c>
      <c r="S169" s="220" t="e">
        <f>INDEX(PMtbl[WKst],MATCH(U169,PMtbl[Category],0),)</f>
        <v>#N/A</v>
      </c>
      <c r="T169" s="220" t="e">
        <f>INDEX(PMtbl[Sec],MATCH(U169,PMtbl[Category],0),)</f>
        <v>#N/A</v>
      </c>
      <c r="U169" s="241" t="e" cm="1">
        <f t="array" ref="U169">INDEX(PMtbl[Category],MATCH(0,INDEX(COUNTIF($U$2:U168,PMtbl[Category]),),0))</f>
        <v>#N/A</v>
      </c>
      <c r="X169"/>
      <c r="Y169"/>
      <c r="Z169"/>
      <c r="AA169"/>
      <c r="AB169"/>
      <c r="AC169" s="243"/>
      <c r="AD169" s="243"/>
      <c r="AE169" s="243"/>
      <c r="AF169" s="243"/>
    </row>
    <row r="170" spans="1:32" x14ac:dyDescent="0.35">
      <c r="A170" s="825" t="s">
        <v>2749</v>
      </c>
      <c r="B170" s="825" t="s">
        <v>2750</v>
      </c>
      <c r="C170" s="825">
        <v>3</v>
      </c>
      <c r="D170" s="825" t="s">
        <v>23</v>
      </c>
      <c r="E170" s="825" t="s">
        <v>2762</v>
      </c>
      <c r="F170" s="220">
        <v>168</v>
      </c>
      <c r="G170" s="825" t="s">
        <v>2936</v>
      </c>
      <c r="H170" s="825" t="s">
        <v>2937</v>
      </c>
      <c r="I170" s="220" t="s">
        <v>82</v>
      </c>
      <c r="J170" s="220" t="str">
        <f>PMtbl[[#This Row],[Category]]&amp;PMtbl[[#This Row],[Each]]&amp;PMtbl[[#This Row],[Packaging]]</f>
        <v>COVID PPE coreGownsGown, Isolation, non-woven, disposable, pack 10</v>
      </c>
      <c r="K170">
        <v>0</v>
      </c>
      <c r="L170" s="236">
        <v>5.1100000000000003</v>
      </c>
      <c r="M170" s="234" t="s">
        <v>184</v>
      </c>
      <c r="N170" s="236"/>
      <c r="O170" s="825" t="s">
        <v>14</v>
      </c>
      <c r="P170" s="825"/>
      <c r="R170" s="220" t="e">
        <f>INDEX(PMtbl[Component],MATCH(U170,PMtbl[Category],0),)</f>
        <v>#N/A</v>
      </c>
      <c r="S170" s="220" t="e">
        <f>INDEX(PMtbl[WKst],MATCH(U170,PMtbl[Category],0),)</f>
        <v>#N/A</v>
      </c>
      <c r="T170" s="220" t="e">
        <f>INDEX(PMtbl[Sec],MATCH(U170,PMtbl[Category],0),)</f>
        <v>#N/A</v>
      </c>
      <c r="U170" s="241" t="e" cm="1">
        <f t="array" ref="U170">INDEX(PMtbl[Category],MATCH(0,INDEX(COUNTIF($U$2:U169,PMtbl[Category]),),0))</f>
        <v>#N/A</v>
      </c>
      <c r="X170"/>
      <c r="Y170"/>
      <c r="Z170"/>
      <c r="AA170"/>
      <c r="AB170"/>
      <c r="AC170" s="243"/>
      <c r="AD170" s="243"/>
      <c r="AE170" s="243"/>
      <c r="AF170" s="243"/>
    </row>
    <row r="171" spans="1:32" x14ac:dyDescent="0.35">
      <c r="A171" s="825" t="s">
        <v>2749</v>
      </c>
      <c r="B171" s="825" t="s">
        <v>2750</v>
      </c>
      <c r="C171" s="825">
        <v>3</v>
      </c>
      <c r="D171" s="825" t="s">
        <v>23</v>
      </c>
      <c r="E171" s="825" t="s">
        <v>2762</v>
      </c>
      <c r="F171" s="220">
        <v>169</v>
      </c>
      <c r="G171" s="825" t="s">
        <v>2936</v>
      </c>
      <c r="H171" s="825" t="s">
        <v>2938</v>
      </c>
      <c r="I171" s="220" t="s">
        <v>82</v>
      </c>
      <c r="J171" s="220" t="str">
        <f>PMtbl[[#This Row],[Category]]&amp;PMtbl[[#This Row],[Each]]&amp;PMtbl[[#This Row],[Packaging]]</f>
        <v>COVID PPE coreGownsGown, Surgical sterile, single-use, disposable, standard perfusion</v>
      </c>
      <c r="K171">
        <v>0</v>
      </c>
      <c r="L171" s="236">
        <v>5.1100000000000003</v>
      </c>
      <c r="M171" s="234" t="s">
        <v>184</v>
      </c>
      <c r="N171" s="236"/>
      <c r="O171" s="825" t="s">
        <v>12</v>
      </c>
      <c r="P171" s="825"/>
      <c r="R171" s="220" t="e">
        <f>INDEX(PMtbl[Component],MATCH(U171,PMtbl[Category],0),)</f>
        <v>#N/A</v>
      </c>
      <c r="S171" s="220" t="e">
        <f>INDEX(PMtbl[WKst],MATCH(U171,PMtbl[Category],0),)</f>
        <v>#N/A</v>
      </c>
      <c r="T171" s="220" t="e">
        <f>INDEX(PMtbl[Sec],MATCH(U171,PMtbl[Category],0),)</f>
        <v>#N/A</v>
      </c>
      <c r="U171" s="241" t="e" cm="1">
        <f t="array" ref="U171">INDEX(PMtbl[Category],MATCH(0,INDEX(COUNTIF($U$2:U170,PMtbl[Category]),),0))</f>
        <v>#N/A</v>
      </c>
      <c r="X171"/>
      <c r="Y171"/>
      <c r="Z171"/>
      <c r="AA171"/>
      <c r="AB171"/>
      <c r="AC171" s="243"/>
      <c r="AD171" s="243"/>
      <c r="AE171" s="243"/>
      <c r="AF171" s="243"/>
    </row>
    <row r="172" spans="1:32" x14ac:dyDescent="0.35">
      <c r="A172" s="825" t="s">
        <v>2749</v>
      </c>
      <c r="B172" s="825" t="s">
        <v>2750</v>
      </c>
      <c r="C172" s="825">
        <v>3</v>
      </c>
      <c r="D172" s="825" t="s">
        <v>23</v>
      </c>
      <c r="E172" s="825" t="s">
        <v>2762</v>
      </c>
      <c r="F172" s="220">
        <v>170</v>
      </c>
      <c r="G172" s="825" t="s">
        <v>2939</v>
      </c>
      <c r="H172" s="825" t="s">
        <v>2940</v>
      </c>
      <c r="I172" s="220" t="s">
        <v>82</v>
      </c>
      <c r="J172" s="220" t="str">
        <f>PMtbl[[#This Row],[Category]]&amp;PMtbl[[#This Row],[Each]]&amp;PMtbl[[#This Row],[Packaging]]</f>
        <v>COVID PPE coreMasksMask, Medical, Type I, single-use, disposable 50</v>
      </c>
      <c r="K172">
        <v>0</v>
      </c>
      <c r="L172" s="236">
        <v>5.1100000000000003</v>
      </c>
      <c r="M172" s="234" t="s">
        <v>184</v>
      </c>
      <c r="N172" s="236"/>
      <c r="O172" s="825" t="s">
        <v>14</v>
      </c>
      <c r="P172" s="825"/>
      <c r="R172" s="220" t="e">
        <f>INDEX(PMtbl[Component],MATCH(U172,PMtbl[Category],0),)</f>
        <v>#N/A</v>
      </c>
      <c r="S172" s="220" t="e">
        <f>INDEX(PMtbl[WKst],MATCH(U172,PMtbl[Category],0),)</f>
        <v>#N/A</v>
      </c>
      <c r="T172" s="220" t="e">
        <f>INDEX(PMtbl[Sec],MATCH(U172,PMtbl[Category],0),)</f>
        <v>#N/A</v>
      </c>
      <c r="U172" s="241" t="e" cm="1">
        <f t="array" ref="U172">INDEX(PMtbl[Category],MATCH(0,INDEX(COUNTIF($U$2:U171,PMtbl[Category]),),0))</f>
        <v>#N/A</v>
      </c>
      <c r="X172"/>
      <c r="Y172"/>
      <c r="Z172"/>
      <c r="AA172"/>
      <c r="AB172"/>
      <c r="AC172" s="243"/>
      <c r="AD172" s="243"/>
      <c r="AE172" s="243"/>
      <c r="AF172" s="243"/>
    </row>
    <row r="173" spans="1:32" x14ac:dyDescent="0.35">
      <c r="A173" s="825" t="s">
        <v>2749</v>
      </c>
      <c r="B173" s="825" t="s">
        <v>2750</v>
      </c>
      <c r="C173" s="825">
        <v>3</v>
      </c>
      <c r="D173" s="825" t="s">
        <v>23</v>
      </c>
      <c r="E173" s="825" t="s">
        <v>2762</v>
      </c>
      <c r="F173" s="220">
        <v>171</v>
      </c>
      <c r="G173" s="825" t="s">
        <v>2939</v>
      </c>
      <c r="H173" s="825" t="s">
        <v>2941</v>
      </c>
      <c r="I173" s="220" t="s">
        <v>82</v>
      </c>
      <c r="J173" s="220" t="str">
        <f>PMtbl[[#This Row],[Category]]&amp;PMtbl[[#This Row],[Each]]&amp;PMtbl[[#This Row],[Packaging]]</f>
        <v>COVID PPE coreMasksMask, Surgical, Type II (non-fluid resistant), single-use, disposable 50</v>
      </c>
      <c r="K173">
        <v>0</v>
      </c>
      <c r="L173" s="236">
        <v>5.1100000000000003</v>
      </c>
      <c r="M173" s="234" t="s">
        <v>184</v>
      </c>
      <c r="N173" s="236"/>
      <c r="O173" s="825" t="s">
        <v>14</v>
      </c>
      <c r="P173" s="825"/>
      <c r="R173" s="220" t="e">
        <f>INDEX(PMtbl[Component],MATCH(U173,PMtbl[Category],0),)</f>
        <v>#N/A</v>
      </c>
      <c r="S173" s="220" t="e">
        <f>INDEX(PMtbl[WKst],MATCH(U173,PMtbl[Category],0),)</f>
        <v>#N/A</v>
      </c>
      <c r="T173" s="220" t="e">
        <f>INDEX(PMtbl[Sec],MATCH(U173,PMtbl[Category],0),)</f>
        <v>#N/A</v>
      </c>
      <c r="U173" s="241" t="e" cm="1">
        <f t="array" ref="U173">INDEX(PMtbl[Category],MATCH(0,INDEX(COUNTIF($U$2:U172,PMtbl[Category]),),0))</f>
        <v>#N/A</v>
      </c>
      <c r="X173"/>
      <c r="Y173"/>
      <c r="Z173"/>
      <c r="AA173"/>
      <c r="AB173"/>
      <c r="AC173" s="243"/>
      <c r="AD173" s="243"/>
      <c r="AE173" s="243"/>
      <c r="AF173" s="243"/>
    </row>
    <row r="174" spans="1:32" x14ac:dyDescent="0.35">
      <c r="A174" s="825" t="s">
        <v>2749</v>
      </c>
      <c r="B174" s="825" t="s">
        <v>2750</v>
      </c>
      <c r="C174" s="825">
        <v>3</v>
      </c>
      <c r="D174" s="825" t="s">
        <v>23</v>
      </c>
      <c r="E174" s="825" t="s">
        <v>2762</v>
      </c>
      <c r="F174" s="220">
        <v>172</v>
      </c>
      <c r="G174" s="825" t="s">
        <v>2939</v>
      </c>
      <c r="H174" s="825" t="s">
        <v>2942</v>
      </c>
      <c r="I174" s="220" t="s">
        <v>82</v>
      </c>
      <c r="J174" s="220" t="str">
        <f>PMtbl[[#This Row],[Category]]&amp;PMtbl[[#This Row],[Each]]&amp;PMtbl[[#This Row],[Packaging]]</f>
        <v>COVID PPE coreMasksMask, Surgical, Type IIR (fluid resistant), single-use, disposable 50</v>
      </c>
      <c r="K174">
        <v>0</v>
      </c>
      <c r="L174" s="236">
        <v>5.1100000000000003</v>
      </c>
      <c r="M174" s="234" t="s">
        <v>184</v>
      </c>
      <c r="N174" s="236"/>
      <c r="O174" s="825" t="s">
        <v>14</v>
      </c>
      <c r="P174" s="825"/>
      <c r="R174" s="220" t="e">
        <f>INDEX(PMtbl[Component],MATCH(U174,PMtbl[Category],0),)</f>
        <v>#N/A</v>
      </c>
      <c r="S174" s="220" t="e">
        <f>INDEX(PMtbl[WKst],MATCH(U174,PMtbl[Category],0),)</f>
        <v>#N/A</v>
      </c>
      <c r="T174" s="220" t="e">
        <f>INDEX(PMtbl[Sec],MATCH(U174,PMtbl[Category],0),)</f>
        <v>#N/A</v>
      </c>
      <c r="U174" s="241" t="e" cm="1">
        <f t="array" ref="U174">INDEX(PMtbl[Category],MATCH(0,INDEX(COUNTIF($U$2:U173,PMtbl[Category]),),0))</f>
        <v>#N/A</v>
      </c>
      <c r="X174"/>
      <c r="Y174"/>
      <c r="Z174"/>
      <c r="AA174"/>
      <c r="AB174"/>
      <c r="AC174" s="243"/>
      <c r="AD174" s="243"/>
      <c r="AE174" s="243"/>
      <c r="AF174" s="243"/>
    </row>
    <row r="175" spans="1:32" x14ac:dyDescent="0.35">
      <c r="A175" s="825" t="s">
        <v>2749</v>
      </c>
      <c r="B175" s="825" t="s">
        <v>2750</v>
      </c>
      <c r="C175" s="825">
        <v>3</v>
      </c>
      <c r="D175" s="825" t="s">
        <v>23</v>
      </c>
      <c r="E175" s="825" t="s">
        <v>2762</v>
      </c>
      <c r="F175" s="220">
        <v>173</v>
      </c>
      <c r="G175" s="825" t="s">
        <v>24</v>
      </c>
      <c r="H175" s="825" t="s">
        <v>2943</v>
      </c>
      <c r="I175" s="220" t="s">
        <v>82</v>
      </c>
      <c r="J175" s="220" t="str">
        <f>PMtbl[[#This Row],[Category]]&amp;PMtbl[[#This Row],[Each]]&amp;PMtbl[[#This Row],[Packaging]]</f>
        <v>COVID PPE coreRespiratorAirflow (fit-test) test set</v>
      </c>
      <c r="K175">
        <v>0</v>
      </c>
      <c r="L175" s="236">
        <v>5.1100000000000003</v>
      </c>
      <c r="M175" s="234" t="s">
        <v>184</v>
      </c>
      <c r="N175" s="236"/>
      <c r="O175" s="825" t="s">
        <v>14</v>
      </c>
      <c r="P175" s="825"/>
      <c r="R175" s="220" t="e">
        <f>INDEX(PMtbl[Component],MATCH(U175,PMtbl[Category],0),)</f>
        <v>#N/A</v>
      </c>
      <c r="S175" s="220" t="e">
        <f>INDEX(PMtbl[WKst],MATCH(U175,PMtbl[Category],0),)</f>
        <v>#N/A</v>
      </c>
      <c r="T175" s="220" t="e">
        <f>INDEX(PMtbl[Sec],MATCH(U175,PMtbl[Category],0),)</f>
        <v>#N/A</v>
      </c>
      <c r="U175" s="241" t="e" cm="1">
        <f t="array" ref="U175">INDEX(PMtbl[Category],MATCH(0,INDEX(COUNTIF($U$2:U174,PMtbl[Category]),),0))</f>
        <v>#N/A</v>
      </c>
      <c r="X175"/>
      <c r="Y175"/>
      <c r="Z175"/>
      <c r="AA175"/>
      <c r="AB175"/>
      <c r="AC175" s="243"/>
      <c r="AD175" s="243"/>
      <c r="AE175" s="243"/>
      <c r="AF175" s="243"/>
    </row>
    <row r="176" spans="1:32" x14ac:dyDescent="0.35">
      <c r="A176" s="825" t="s">
        <v>2749</v>
      </c>
      <c r="B176" s="825" t="s">
        <v>2750</v>
      </c>
      <c r="C176" s="825">
        <v>3</v>
      </c>
      <c r="D176" s="825" t="s">
        <v>23</v>
      </c>
      <c r="E176" s="825" t="s">
        <v>2762</v>
      </c>
      <c r="F176" s="220">
        <v>174</v>
      </c>
      <c r="G176" s="825" t="s">
        <v>24</v>
      </c>
      <c r="H176" s="825" t="s">
        <v>2944</v>
      </c>
      <c r="I176" s="220" t="s">
        <v>82</v>
      </c>
      <c r="J176" s="220" t="str">
        <f>PMtbl[[#This Row],[Category]]&amp;PMtbl[[#This Row],[Each]]&amp;PMtbl[[#This Row],[Packaging]]</f>
        <v>COVID PPE coreRespiratorRefill for airflow test set</v>
      </c>
      <c r="K176">
        <v>0</v>
      </c>
      <c r="L176" s="236">
        <v>5.1100000000000003</v>
      </c>
      <c r="M176" s="234" t="s">
        <v>184</v>
      </c>
      <c r="N176" s="236"/>
      <c r="O176" s="825" t="s">
        <v>14</v>
      </c>
      <c r="P176" s="825"/>
      <c r="R176" s="220" t="e">
        <f>INDEX(PMtbl[Component],MATCH(U176,PMtbl[Category],0),)</f>
        <v>#N/A</v>
      </c>
      <c r="S176" s="220" t="e">
        <f>INDEX(PMtbl[WKst],MATCH(U176,PMtbl[Category],0),)</f>
        <v>#N/A</v>
      </c>
      <c r="T176" s="220" t="e">
        <f>INDEX(PMtbl[Sec],MATCH(U176,PMtbl[Category],0),)</f>
        <v>#N/A</v>
      </c>
      <c r="U176" s="241" t="e" cm="1">
        <f t="array" ref="U176">INDEX(PMtbl[Category],MATCH(0,INDEX(COUNTIF($U$2:U175,PMtbl[Category]),),0))</f>
        <v>#N/A</v>
      </c>
      <c r="X176"/>
      <c r="Y176"/>
      <c r="Z176"/>
      <c r="AA176"/>
      <c r="AB176"/>
      <c r="AC176" s="243"/>
      <c r="AD176" s="243"/>
      <c r="AE176" s="243"/>
      <c r="AF176" s="243"/>
    </row>
    <row r="177" spans="1:32" x14ac:dyDescent="0.35">
      <c r="A177" s="825" t="s">
        <v>2749</v>
      </c>
      <c r="B177" s="825" t="s">
        <v>2750</v>
      </c>
      <c r="C177" s="825">
        <v>3</v>
      </c>
      <c r="D177" s="825" t="s">
        <v>23</v>
      </c>
      <c r="E177" s="825" t="s">
        <v>2762</v>
      </c>
      <c r="F177" s="220">
        <v>175</v>
      </c>
      <c r="G177" s="825" t="s">
        <v>24</v>
      </c>
      <c r="H177" s="825" t="s">
        <v>2945</v>
      </c>
      <c r="I177" s="220" t="s">
        <v>82</v>
      </c>
      <c r="J177" s="220" t="str">
        <f>PMtbl[[#This Row],[Category]]&amp;PMtbl[[#This Row],[Each]]&amp;PMtbl[[#This Row],[Packaging]]</f>
        <v>COVID PPE coreRespiratorRespirator, High-filt, FPP2/N95, non-sterile each</v>
      </c>
      <c r="K177">
        <v>0</v>
      </c>
      <c r="L177" s="236">
        <v>5.1100000000000003</v>
      </c>
      <c r="M177" s="234" t="s">
        <v>184</v>
      </c>
      <c r="N177" s="236"/>
      <c r="O177" s="825" t="s">
        <v>12</v>
      </c>
      <c r="P177" s="825"/>
      <c r="R177" s="220" t="e">
        <f>INDEX(PMtbl[Component],MATCH(U177,PMtbl[Category],0),)</f>
        <v>#N/A</v>
      </c>
      <c r="S177" s="220" t="e">
        <f>INDEX(PMtbl[WKst],MATCH(U177,PMtbl[Category],0),)</f>
        <v>#N/A</v>
      </c>
      <c r="T177" s="220" t="e">
        <f>INDEX(PMtbl[Sec],MATCH(U177,PMtbl[Category],0),)</f>
        <v>#N/A</v>
      </c>
      <c r="U177" s="241" t="e" cm="1">
        <f t="array" ref="U177">INDEX(PMtbl[Category],MATCH(0,INDEX(COUNTIF($U$2:U176,PMtbl[Category]),),0))</f>
        <v>#N/A</v>
      </c>
      <c r="X177"/>
      <c r="Y177"/>
      <c r="Z177"/>
      <c r="AA177"/>
      <c r="AB177"/>
      <c r="AC177" s="243"/>
      <c r="AD177" s="243"/>
      <c r="AE177" s="243"/>
      <c r="AF177" s="243"/>
    </row>
    <row r="178" spans="1:32" x14ac:dyDescent="0.35">
      <c r="A178" s="825" t="s">
        <v>2749</v>
      </c>
      <c r="B178" s="825" t="s">
        <v>2750</v>
      </c>
      <c r="C178" s="825">
        <v>3</v>
      </c>
      <c r="D178" s="825" t="s">
        <v>23</v>
      </c>
      <c r="E178" s="825" t="s">
        <v>2762</v>
      </c>
      <c r="F178" s="220">
        <v>176</v>
      </c>
      <c r="G178" s="825" t="s">
        <v>24</v>
      </c>
      <c r="H178" s="825" t="s">
        <v>2946</v>
      </c>
      <c r="I178" s="220" t="s">
        <v>82</v>
      </c>
      <c r="J178" s="220" t="str">
        <f>PMtbl[[#This Row],[Category]]&amp;PMtbl[[#This Row],[Each]]&amp;PMtbl[[#This Row],[Packaging]]</f>
        <v>COVID PPE coreRespiratorRespirator, High-filt, FPP3, non-sterile each</v>
      </c>
      <c r="K178">
        <v>0</v>
      </c>
      <c r="L178" s="236">
        <v>5.1100000000000003</v>
      </c>
      <c r="M178" s="234" t="s">
        <v>184</v>
      </c>
      <c r="N178" s="236"/>
      <c r="O178" s="825" t="s">
        <v>12</v>
      </c>
      <c r="P178" s="825"/>
      <c r="R178" s="220" t="e">
        <f>INDEX(PMtbl[Component],MATCH(U178,PMtbl[Category],0),)</f>
        <v>#N/A</v>
      </c>
      <c r="S178" s="220" t="e">
        <f>INDEX(PMtbl[WKst],MATCH(U178,PMtbl[Category],0),)</f>
        <v>#N/A</v>
      </c>
      <c r="T178" s="220" t="e">
        <f>INDEX(PMtbl[Sec],MATCH(U178,PMtbl[Category],0),)</f>
        <v>#N/A</v>
      </c>
      <c r="U178" s="241" t="e" cm="1">
        <f t="array" ref="U178">INDEX(PMtbl[Category],MATCH(0,INDEX(COUNTIF($U$2:U177,PMtbl[Category]),),0))</f>
        <v>#N/A</v>
      </c>
      <c r="X178"/>
      <c r="Y178"/>
      <c r="Z178"/>
      <c r="AA178"/>
      <c r="AB178"/>
      <c r="AC178" s="243"/>
      <c r="AD178" s="243"/>
      <c r="AE178" s="243"/>
      <c r="AF178" s="243"/>
    </row>
    <row r="179" spans="1:32" x14ac:dyDescent="0.35">
      <c r="A179" s="825" t="s">
        <v>2749</v>
      </c>
      <c r="B179" s="825" t="s">
        <v>2750</v>
      </c>
      <c r="C179" s="825">
        <v>3</v>
      </c>
      <c r="D179" s="825" t="s">
        <v>23</v>
      </c>
      <c r="E179" s="825" t="s">
        <v>2762</v>
      </c>
      <c r="F179" s="220">
        <v>177</v>
      </c>
      <c r="G179" s="825" t="s">
        <v>24</v>
      </c>
      <c r="H179" s="825" t="s">
        <v>2947</v>
      </c>
      <c r="I179" s="220" t="s">
        <v>82</v>
      </c>
      <c r="J179" s="220" t="str">
        <f>PMtbl[[#This Row],[Category]]&amp;PMtbl[[#This Row],[Each]]&amp;PMtbl[[#This Row],[Packaging]]</f>
        <v>COVID PPE coreRespiratorSurgical Respirator, High-filt, FPP2/N95, sterile each</v>
      </c>
      <c r="K179">
        <v>0</v>
      </c>
      <c r="L179" s="236">
        <v>5.1100000000000003</v>
      </c>
      <c r="M179" s="234" t="s">
        <v>184</v>
      </c>
      <c r="N179" s="236"/>
      <c r="O179" s="825" t="s">
        <v>12</v>
      </c>
      <c r="P179" s="825"/>
      <c r="R179" s="220" t="e">
        <f>INDEX(PMtbl[Component],MATCH(U179,PMtbl[Category],0),)</f>
        <v>#N/A</v>
      </c>
      <c r="S179" s="220" t="e">
        <f>INDEX(PMtbl[WKst],MATCH(U179,PMtbl[Category],0),)</f>
        <v>#N/A</v>
      </c>
      <c r="T179" s="220" t="e">
        <f>INDEX(PMtbl[Sec],MATCH(U179,PMtbl[Category],0),)</f>
        <v>#N/A</v>
      </c>
      <c r="U179" s="241" t="e" cm="1">
        <f t="array" ref="U179">INDEX(PMtbl[Category],MATCH(0,INDEX(COUNTIF($U$2:U178,PMtbl[Category]),),0))</f>
        <v>#N/A</v>
      </c>
      <c r="X179"/>
      <c r="Y179"/>
      <c r="Z179"/>
      <c r="AA179"/>
      <c r="AB179"/>
      <c r="AC179" s="243"/>
      <c r="AD179" s="243"/>
      <c r="AE179" s="243"/>
      <c r="AF179" s="243"/>
    </row>
    <row r="180" spans="1:32" x14ac:dyDescent="0.35">
      <c r="A180" s="825" t="s">
        <v>2749</v>
      </c>
      <c r="B180" s="825" t="s">
        <v>2750</v>
      </c>
      <c r="C180" s="825">
        <v>3</v>
      </c>
      <c r="D180" s="825" t="s">
        <v>23</v>
      </c>
      <c r="E180" s="825" t="s">
        <v>2762</v>
      </c>
      <c r="F180" s="220">
        <v>178</v>
      </c>
      <c r="G180" s="825" t="s">
        <v>1925</v>
      </c>
      <c r="H180" s="825" t="s">
        <v>2948</v>
      </c>
      <c r="I180" s="220" t="s">
        <v>82</v>
      </c>
      <c r="J180" s="220" t="str">
        <f>PMtbl[[#This Row],[Category]]&amp;PMtbl[[#This Row],[Each]]&amp;PMtbl[[#This Row],[Packaging]]</f>
        <v>COVID PPE coreScrubsPants</v>
      </c>
      <c r="K180">
        <v>0</v>
      </c>
      <c r="L180" s="236">
        <v>5.1100000000000003</v>
      </c>
      <c r="M180" s="234" t="s">
        <v>184</v>
      </c>
      <c r="N180" s="236"/>
      <c r="O180" s="825" t="s">
        <v>12</v>
      </c>
      <c r="P180" s="825"/>
      <c r="R180" s="220" t="e">
        <f>INDEX(PMtbl[Component],MATCH(U180,PMtbl[Category],0),)</f>
        <v>#N/A</v>
      </c>
      <c r="S180" s="220" t="e">
        <f>INDEX(PMtbl[WKst],MATCH(U180,PMtbl[Category],0),)</f>
        <v>#N/A</v>
      </c>
      <c r="T180" s="220" t="e">
        <f>INDEX(PMtbl[Sec],MATCH(U180,PMtbl[Category],0),)</f>
        <v>#N/A</v>
      </c>
      <c r="U180" s="241" t="e" cm="1">
        <f t="array" ref="U180">INDEX(PMtbl[Category],MATCH(0,INDEX(COUNTIF($U$2:U179,PMtbl[Category]),),0))</f>
        <v>#N/A</v>
      </c>
      <c r="X180"/>
      <c r="Y180"/>
      <c r="Z180"/>
      <c r="AA180"/>
      <c r="AB180"/>
      <c r="AC180" s="243"/>
      <c r="AD180" s="243"/>
      <c r="AE180" s="243"/>
      <c r="AF180" s="243"/>
    </row>
    <row r="181" spans="1:32" x14ac:dyDescent="0.35">
      <c r="A181" s="825" t="s">
        <v>2749</v>
      </c>
      <c r="B181" s="825" t="s">
        <v>2750</v>
      </c>
      <c r="C181" s="825">
        <v>3</v>
      </c>
      <c r="D181" s="825" t="s">
        <v>23</v>
      </c>
      <c r="E181" s="825" t="s">
        <v>2762</v>
      </c>
      <c r="F181" s="220">
        <v>179</v>
      </c>
      <c r="G181" s="825" t="s">
        <v>1925</v>
      </c>
      <c r="H181" s="825" t="s">
        <v>2949</v>
      </c>
      <c r="I181" s="220" t="s">
        <v>82</v>
      </c>
      <c r="J181" s="220" t="str">
        <f>PMtbl[[#This Row],[Category]]&amp;PMtbl[[#This Row],[Each]]&amp;PMtbl[[#This Row],[Packaging]]</f>
        <v>COVID PPE coreScrubsTops</v>
      </c>
      <c r="K181">
        <v>0</v>
      </c>
      <c r="L181" s="236">
        <v>5.1100000000000003</v>
      </c>
      <c r="M181" s="234" t="s">
        <v>184</v>
      </c>
      <c r="N181" s="236"/>
      <c r="O181" s="825" t="s">
        <v>12</v>
      </c>
      <c r="P181" s="825"/>
      <c r="R181" s="220" t="e">
        <f>INDEX(PMtbl[Component],MATCH(U181,PMtbl[Category],0),)</f>
        <v>#N/A</v>
      </c>
      <c r="S181" s="220" t="e">
        <f>INDEX(PMtbl[WKst],MATCH(U181,PMtbl[Category],0),)</f>
        <v>#N/A</v>
      </c>
      <c r="T181" s="220" t="e">
        <f>INDEX(PMtbl[Sec],MATCH(U181,PMtbl[Category],0),)</f>
        <v>#N/A</v>
      </c>
      <c r="U181" s="241" t="e" cm="1">
        <f t="array" ref="U181">INDEX(PMtbl[Category],MATCH(0,INDEX(COUNTIF($U$2:U180,PMtbl[Category]),),0))</f>
        <v>#N/A</v>
      </c>
      <c r="X181"/>
      <c r="Y181"/>
      <c r="Z181"/>
      <c r="AA181"/>
      <c r="AB181"/>
      <c r="AC181" s="243"/>
      <c r="AD181" s="243"/>
      <c r="AE181" s="243"/>
      <c r="AF181" s="243"/>
    </row>
    <row r="182" spans="1:32" x14ac:dyDescent="0.35">
      <c r="A182" s="825" t="s">
        <v>2749</v>
      </c>
      <c r="B182" s="825" t="s">
        <v>2750</v>
      </c>
      <c r="C182" s="825">
        <v>3</v>
      </c>
      <c r="D182" s="825" t="s">
        <v>23</v>
      </c>
      <c r="E182" s="825" t="s">
        <v>2763</v>
      </c>
      <c r="F182" s="220">
        <v>180</v>
      </c>
      <c r="G182" s="825" t="s">
        <v>2150</v>
      </c>
      <c r="H182" s="825" t="s">
        <v>2950</v>
      </c>
      <c r="I182" s="220" t="s">
        <v>82</v>
      </c>
      <c r="J182" s="220" t="str">
        <f>PMtbl[[#This Row],[Category]]&amp;PMtbl[[#This Row],[Each]]&amp;PMtbl[[#This Row],[Packaging]]</f>
        <v>COVID PPE: otherApronApron Single-use, disposable 100</v>
      </c>
      <c r="K182">
        <v>0</v>
      </c>
      <c r="L182" s="236">
        <v>5.1100000000000003</v>
      </c>
      <c r="M182" s="234" t="s">
        <v>184</v>
      </c>
      <c r="N182" s="236"/>
      <c r="O182" s="825" t="s">
        <v>14</v>
      </c>
      <c r="P182" s="825"/>
      <c r="R182" s="220" t="e">
        <f>INDEX(PMtbl[Component],MATCH(U182,PMtbl[Category],0),)</f>
        <v>#N/A</v>
      </c>
      <c r="S182" s="220" t="e">
        <f>INDEX(PMtbl[WKst],MATCH(U182,PMtbl[Category],0),)</f>
        <v>#N/A</v>
      </c>
      <c r="T182" s="220" t="e">
        <f>INDEX(PMtbl[Sec],MATCH(U182,PMtbl[Category],0),)</f>
        <v>#N/A</v>
      </c>
      <c r="U182" s="241" t="e" cm="1">
        <f t="array" ref="U182">INDEX(PMtbl[Category],MATCH(0,INDEX(COUNTIF($U$2:U181,PMtbl[Category]),),0))</f>
        <v>#N/A</v>
      </c>
      <c r="X182"/>
      <c r="Y182"/>
      <c r="Z182"/>
      <c r="AA182"/>
      <c r="AB182"/>
      <c r="AC182" s="243"/>
      <c r="AD182" s="243"/>
      <c r="AE182" s="243"/>
      <c r="AF182" s="243"/>
    </row>
    <row r="183" spans="1:32" x14ac:dyDescent="0.35">
      <c r="A183" s="825" t="s">
        <v>2749</v>
      </c>
      <c r="B183" s="825" t="s">
        <v>2750</v>
      </c>
      <c r="C183" s="825">
        <v>3</v>
      </c>
      <c r="D183" s="825" t="s">
        <v>23</v>
      </c>
      <c r="E183" s="825" t="s">
        <v>2763</v>
      </c>
      <c r="F183" s="220">
        <v>181</v>
      </c>
      <c r="G183" s="825" t="s">
        <v>2151</v>
      </c>
      <c r="H183" s="825" t="s">
        <v>2951</v>
      </c>
      <c r="I183" s="220" t="s">
        <v>82</v>
      </c>
      <c r="J183" s="220" t="str">
        <f>PMtbl[[#This Row],[Category]]&amp;PMtbl[[#This Row],[Each]]&amp;PMtbl[[#This Row],[Packaging]]</f>
        <v>COVID PPE: otherBootcoverBootcover, anti-skid, elasticated, pair</v>
      </c>
      <c r="K183">
        <v>0</v>
      </c>
      <c r="L183" s="236">
        <v>5.1100000000000003</v>
      </c>
      <c r="M183" s="234" t="s">
        <v>184</v>
      </c>
      <c r="N183" s="236"/>
      <c r="O183" s="825" t="s">
        <v>12</v>
      </c>
      <c r="P183" s="825"/>
      <c r="R183" s="220" t="e">
        <f>INDEX(PMtbl[Component],MATCH(U183,PMtbl[Category],0),)</f>
        <v>#N/A</v>
      </c>
      <c r="S183" s="220" t="e">
        <f>INDEX(PMtbl[WKst],MATCH(U183,PMtbl[Category],0),)</f>
        <v>#N/A</v>
      </c>
      <c r="T183" s="220" t="e">
        <f>INDEX(PMtbl[Sec],MATCH(U183,PMtbl[Category],0),)</f>
        <v>#N/A</v>
      </c>
      <c r="U183" s="241" t="e" cm="1">
        <f t="array" ref="U183">INDEX(PMtbl[Category],MATCH(0,INDEX(COUNTIF($U$2:U182,PMtbl[Category]),),0))</f>
        <v>#N/A</v>
      </c>
      <c r="X183"/>
      <c r="Y183"/>
      <c r="Z183"/>
      <c r="AA183"/>
      <c r="AB183"/>
      <c r="AC183" s="243"/>
      <c r="AD183" s="243"/>
      <c r="AE183" s="243"/>
      <c r="AF183" s="243"/>
    </row>
    <row r="184" spans="1:32" x14ac:dyDescent="0.35">
      <c r="A184" s="825" t="s">
        <v>2749</v>
      </c>
      <c r="B184" s="825" t="s">
        <v>2750</v>
      </c>
      <c r="C184" s="825">
        <v>3</v>
      </c>
      <c r="D184" s="825" t="s">
        <v>23</v>
      </c>
      <c r="E184" s="825" t="s">
        <v>2763</v>
      </c>
      <c r="F184" s="220">
        <v>182</v>
      </c>
      <c r="G184" s="825" t="s">
        <v>2152</v>
      </c>
      <c r="H184" s="825" t="s">
        <v>2952</v>
      </c>
      <c r="I184" s="220" t="s">
        <v>82</v>
      </c>
      <c r="J184" s="220" t="str">
        <f>PMtbl[[#This Row],[Category]]&amp;PMtbl[[#This Row],[Each]]&amp;PMtbl[[#This Row],[Packaging]]</f>
        <v>COVID PPE: otherBootsBoots, rubber/PVC, reusable, pair</v>
      </c>
      <c r="K184">
        <v>0</v>
      </c>
      <c r="L184" s="236">
        <v>5.1100000000000003</v>
      </c>
      <c r="M184" s="234" t="s">
        <v>184</v>
      </c>
      <c r="N184" s="236"/>
      <c r="O184" s="825" t="s">
        <v>12</v>
      </c>
      <c r="P184" s="825"/>
      <c r="R184" s="220" t="e">
        <f>INDEX(PMtbl[Component],MATCH(U184,PMtbl[Category],0),)</f>
        <v>#N/A</v>
      </c>
      <c r="S184" s="220" t="e">
        <f>INDEX(PMtbl[WKst],MATCH(U184,PMtbl[Category],0),)</f>
        <v>#N/A</v>
      </c>
      <c r="T184" s="220" t="e">
        <f>INDEX(PMtbl[Sec],MATCH(U184,PMtbl[Category],0),)</f>
        <v>#N/A</v>
      </c>
      <c r="U184" s="241" t="e" cm="1">
        <f t="array" ref="U184">INDEX(PMtbl[Category],MATCH(0,INDEX(COUNTIF($U$2:U183,PMtbl[Category]),),0))</f>
        <v>#N/A</v>
      </c>
      <c r="X184"/>
      <c r="Y184"/>
      <c r="Z184"/>
      <c r="AA184"/>
      <c r="AB184"/>
      <c r="AC184" s="243"/>
      <c r="AD184" s="243"/>
      <c r="AE184" s="243"/>
      <c r="AF184" s="243"/>
    </row>
    <row r="185" spans="1:32" x14ac:dyDescent="0.35">
      <c r="A185" s="825" t="s">
        <v>2749</v>
      </c>
      <c r="B185" s="825" t="s">
        <v>2750</v>
      </c>
      <c r="C185" s="825">
        <v>3</v>
      </c>
      <c r="D185" s="825" t="s">
        <v>23</v>
      </c>
      <c r="E185" s="825" t="s">
        <v>2763</v>
      </c>
      <c r="F185" s="220">
        <v>183</v>
      </c>
      <c r="G185" s="825" t="s">
        <v>2153</v>
      </c>
      <c r="H185" s="825" t="s">
        <v>2953</v>
      </c>
      <c r="I185" s="220" t="s">
        <v>82</v>
      </c>
      <c r="J185" s="220" t="str">
        <f>PMtbl[[#This Row],[Category]]&amp;PMtbl[[#This Row],[Each]]&amp;PMtbl[[#This Row],[Packaging]]</f>
        <v>COVID PPE: otherCoverallCoverall, Protection, CatIII, Type 6b</v>
      </c>
      <c r="K185">
        <v>0</v>
      </c>
      <c r="L185" s="236">
        <v>5.1100000000000003</v>
      </c>
      <c r="M185" s="234" t="s">
        <v>184</v>
      </c>
      <c r="N185" s="236"/>
      <c r="O185" s="825" t="s">
        <v>12</v>
      </c>
      <c r="P185" s="825"/>
      <c r="R185" s="220" t="e">
        <f>INDEX(PMtbl[Component],MATCH(U185,PMtbl[Category],0),)</f>
        <v>#N/A</v>
      </c>
      <c r="S185" s="220" t="e">
        <f>INDEX(PMtbl[WKst],MATCH(U185,PMtbl[Category],0),)</f>
        <v>#N/A</v>
      </c>
      <c r="T185" s="220" t="e">
        <f>INDEX(PMtbl[Sec],MATCH(U185,PMtbl[Category],0),)</f>
        <v>#N/A</v>
      </c>
      <c r="U185" s="241" t="e" cm="1">
        <f t="array" ref="U185">INDEX(PMtbl[Category],MATCH(0,INDEX(COUNTIF($U$2:U184,PMtbl[Category]),),0))</f>
        <v>#N/A</v>
      </c>
      <c r="X185"/>
      <c r="Y185"/>
      <c r="Z185"/>
      <c r="AA185"/>
      <c r="AB185"/>
      <c r="AC185" s="243"/>
      <c r="AD185" s="243"/>
      <c r="AE185" s="243"/>
      <c r="AF185" s="243"/>
    </row>
    <row r="186" spans="1:32" x14ac:dyDescent="0.35">
      <c r="A186" s="825" t="s">
        <v>2749</v>
      </c>
      <c r="B186" s="825" t="s">
        <v>2750</v>
      </c>
      <c r="C186" s="825">
        <v>3</v>
      </c>
      <c r="D186" s="825" t="s">
        <v>23</v>
      </c>
      <c r="E186" s="825" t="s">
        <v>2763</v>
      </c>
      <c r="F186" s="220">
        <v>184</v>
      </c>
      <c r="G186" s="825" t="s">
        <v>2954</v>
      </c>
      <c r="H186" s="825" t="s">
        <v>2955</v>
      </c>
      <c r="I186" s="220" t="s">
        <v>82</v>
      </c>
      <c r="J186" s="220" t="str">
        <f>PMtbl[[#This Row],[Category]]&amp;PMtbl[[#This Row],[Each]]&amp;PMtbl[[#This Row],[Packaging]]</f>
        <v>COVID PPE: otherHeavy-duty apronApron, protection, plastic, reusable</v>
      </c>
      <c r="K186">
        <v>0</v>
      </c>
      <c r="L186" s="236">
        <v>5.1100000000000003</v>
      </c>
      <c r="M186" s="234" t="s">
        <v>184</v>
      </c>
      <c r="N186" s="236"/>
      <c r="O186" s="825" t="s">
        <v>12</v>
      </c>
      <c r="P186" s="825"/>
      <c r="R186" s="220" t="e">
        <f>INDEX(PMtbl[Component],MATCH(U186,PMtbl[Category],0),)</f>
        <v>#N/A</v>
      </c>
      <c r="S186" s="220" t="e">
        <f>INDEX(PMtbl[WKst],MATCH(U186,PMtbl[Category],0),)</f>
        <v>#N/A</v>
      </c>
      <c r="T186" s="220" t="e">
        <f>INDEX(PMtbl[Sec],MATCH(U186,PMtbl[Category],0),)</f>
        <v>#N/A</v>
      </c>
      <c r="U186" s="241" t="e" cm="1">
        <f t="array" ref="U186">INDEX(PMtbl[Category],MATCH(0,INDEX(COUNTIF($U$2:U185,PMtbl[Category]),),0))</f>
        <v>#N/A</v>
      </c>
      <c r="X186"/>
      <c r="Y186"/>
      <c r="Z186"/>
      <c r="AA186"/>
      <c r="AB186"/>
      <c r="AC186" s="243"/>
      <c r="AD186" s="243"/>
      <c r="AE186" s="243"/>
      <c r="AF186" s="243"/>
    </row>
    <row r="187" spans="1:32" x14ac:dyDescent="0.35">
      <c r="A187" s="825" t="s">
        <v>2749</v>
      </c>
      <c r="B187" s="825" t="s">
        <v>2750</v>
      </c>
      <c r="C187" s="825">
        <v>3</v>
      </c>
      <c r="D187" s="825" t="s">
        <v>23</v>
      </c>
      <c r="E187" s="825" t="s">
        <v>2763</v>
      </c>
      <c r="F187" s="220">
        <v>185</v>
      </c>
      <c r="G187" s="825" t="s">
        <v>2956</v>
      </c>
      <c r="H187" s="825" t="s">
        <v>2957</v>
      </c>
      <c r="I187" s="220" t="s">
        <v>82</v>
      </c>
      <c r="J187" s="220" t="str">
        <f>PMtbl[[#This Row],[Category]]&amp;PMtbl[[#This Row],[Each]]&amp;PMtbl[[#This Row],[Packaging]]</f>
        <v>COVID PPE: otherHeavy-duty glovesGloves, Heavy-duty, rubber/nitrile, pair</v>
      </c>
      <c r="K187">
        <v>0</v>
      </c>
      <c r="L187" s="236">
        <v>5.1100000000000003</v>
      </c>
      <c r="M187" s="234" t="s">
        <v>184</v>
      </c>
      <c r="N187" s="236"/>
      <c r="O187" s="825" t="s">
        <v>12</v>
      </c>
      <c r="P187" s="825"/>
      <c r="R187" s="220" t="e">
        <f>INDEX(PMtbl[Component],MATCH(U187,PMtbl[Category],0),)</f>
        <v>#N/A</v>
      </c>
      <c r="S187" s="220" t="e">
        <f>INDEX(PMtbl[WKst],MATCH(U187,PMtbl[Category],0),)</f>
        <v>#N/A</v>
      </c>
      <c r="T187" s="220" t="e">
        <f>INDEX(PMtbl[Sec],MATCH(U187,PMtbl[Category],0),)</f>
        <v>#N/A</v>
      </c>
      <c r="U187" s="241" t="e" cm="1">
        <f t="array" ref="U187">INDEX(PMtbl[Category],MATCH(0,INDEX(COUNTIF($U$2:U186,PMtbl[Category]),),0))</f>
        <v>#N/A</v>
      </c>
      <c r="X187"/>
      <c r="Y187"/>
      <c r="Z187"/>
      <c r="AA187"/>
      <c r="AB187"/>
      <c r="AC187" s="243"/>
      <c r="AD187" s="243"/>
      <c r="AE187" s="243"/>
      <c r="AF187" s="243"/>
    </row>
    <row r="188" spans="1:32" x14ac:dyDescent="0.35">
      <c r="A188" s="825" t="s">
        <v>2749</v>
      </c>
      <c r="B188" s="825" t="s">
        <v>2750</v>
      </c>
      <c r="C188" s="825">
        <v>3</v>
      </c>
      <c r="D188" s="825" t="s">
        <v>23</v>
      </c>
      <c r="E188" s="825" t="s">
        <v>2763</v>
      </c>
      <c r="F188" s="220">
        <v>186</v>
      </c>
      <c r="G188" s="825" t="s">
        <v>2958</v>
      </c>
      <c r="H188" s="825" t="s">
        <v>2866</v>
      </c>
      <c r="I188" s="220" t="s">
        <v>82</v>
      </c>
      <c r="J188" s="220" t="str">
        <f>PMtbl[[#This Row],[Category]]&amp;PMtbl[[#This Row],[Each]]&amp;PMtbl[[#This Row],[Packaging]]</f>
        <v>COVID PPE: otherOther COVID consumablesOther - Enter details in Comments</v>
      </c>
      <c r="K188">
        <v>0</v>
      </c>
      <c r="L188" s="236">
        <v>5.1100000000000003</v>
      </c>
      <c r="M188" s="234" t="s">
        <v>184</v>
      </c>
      <c r="N188" s="236"/>
      <c r="O188" s="825" t="s">
        <v>14</v>
      </c>
      <c r="P188" s="825"/>
      <c r="R188" s="220" t="e">
        <f>INDEX(PMtbl[Component],MATCH(U188,PMtbl[Category],0),)</f>
        <v>#N/A</v>
      </c>
      <c r="S188" s="220" t="e">
        <f>INDEX(PMtbl[WKst],MATCH(U188,PMtbl[Category],0),)</f>
        <v>#N/A</v>
      </c>
      <c r="T188" s="220" t="e">
        <f>INDEX(PMtbl[Sec],MATCH(U188,PMtbl[Category],0),)</f>
        <v>#N/A</v>
      </c>
      <c r="U188" s="241" t="e" cm="1">
        <f t="array" ref="U188">INDEX(PMtbl[Category],MATCH(0,INDEX(COUNTIF($U$2:U187,PMtbl[Category]),),0))</f>
        <v>#N/A</v>
      </c>
      <c r="X188"/>
      <c r="Y188"/>
      <c r="Z188"/>
      <c r="AA188"/>
      <c r="AB188"/>
      <c r="AC188" s="243"/>
      <c r="AD188" s="243"/>
      <c r="AE188" s="243"/>
      <c r="AF188" s="243"/>
    </row>
    <row r="189" spans="1:32" x14ac:dyDescent="0.35">
      <c r="A189" s="825" t="s">
        <v>2749</v>
      </c>
      <c r="B189" s="825" t="s">
        <v>2750</v>
      </c>
      <c r="C189" s="825">
        <v>3</v>
      </c>
      <c r="D189" s="825" t="s">
        <v>23</v>
      </c>
      <c r="E189" s="825" t="s">
        <v>2763</v>
      </c>
      <c r="F189" s="220">
        <v>187</v>
      </c>
      <c r="G189" s="825" t="s">
        <v>2959</v>
      </c>
      <c r="H189" s="825" t="s">
        <v>2960</v>
      </c>
      <c r="I189" s="220" t="s">
        <v>82</v>
      </c>
      <c r="J189" s="220" t="str">
        <f>PMtbl[[#This Row],[Category]]&amp;PMtbl[[#This Row],[Each]]&amp;PMtbl[[#This Row],[Packaging]]</f>
        <v>COVID PPE: otherSurgical capCap, surgical, bouffant, non-woven, box 100</v>
      </c>
      <c r="K189">
        <v>0</v>
      </c>
      <c r="L189" s="236">
        <v>5.1100000000000003</v>
      </c>
      <c r="M189" s="234" t="s">
        <v>184</v>
      </c>
      <c r="N189" s="236"/>
      <c r="O189" s="825" t="s">
        <v>14</v>
      </c>
      <c r="P189" s="825"/>
      <c r="R189" s="220" t="e">
        <f>INDEX(PMtbl[Component],MATCH(U189,PMtbl[Category],0),)</f>
        <v>#N/A</v>
      </c>
      <c r="S189" s="220" t="e">
        <f>INDEX(PMtbl[WKst],MATCH(U189,PMtbl[Category],0),)</f>
        <v>#N/A</v>
      </c>
      <c r="T189" s="220" t="e">
        <f>INDEX(PMtbl[Sec],MATCH(U189,PMtbl[Category],0),)</f>
        <v>#N/A</v>
      </c>
      <c r="U189" s="241" t="e" cm="1">
        <f t="array" ref="U189">INDEX(PMtbl[Category],MATCH(0,INDEX(COUNTIF($U$2:U188,PMtbl[Category]),),0))</f>
        <v>#N/A</v>
      </c>
      <c r="X189"/>
      <c r="Y189"/>
      <c r="Z189"/>
      <c r="AA189"/>
      <c r="AB189"/>
      <c r="AC189" s="243"/>
      <c r="AD189" s="243"/>
      <c r="AE189" s="243"/>
      <c r="AF189" s="243"/>
    </row>
    <row r="190" spans="1:32" x14ac:dyDescent="0.35">
      <c r="A190" s="825" t="s">
        <v>2749</v>
      </c>
      <c r="B190" s="825" t="s">
        <v>2750</v>
      </c>
      <c r="C190" s="825">
        <v>4</v>
      </c>
      <c r="D190" s="825" t="s">
        <v>25</v>
      </c>
      <c r="E190" s="825" t="s">
        <v>26</v>
      </c>
      <c r="F190" s="220">
        <v>188</v>
      </c>
      <c r="G190" s="825" t="s">
        <v>2961</v>
      </c>
      <c r="H190" s="825" t="s">
        <v>1987</v>
      </c>
      <c r="I190" s="220" t="s">
        <v>82</v>
      </c>
      <c r="J190" s="220" t="str">
        <f>PMtbl[[#This Row],[Category]]&amp;PMtbl[[#This Row],[Each]]&amp;PMtbl[[#This Row],[Packaging]]</f>
        <v>Laboratory EquipmentAutoclave for laboratoryEquipment</v>
      </c>
      <c r="K190">
        <v>0</v>
      </c>
      <c r="L190" s="236">
        <v>6.6</v>
      </c>
      <c r="M190" s="234" t="s">
        <v>183</v>
      </c>
      <c r="N190" s="236"/>
      <c r="O190" s="825" t="s">
        <v>12</v>
      </c>
      <c r="P190" s="825"/>
      <c r="R190" s="220" t="e">
        <f>INDEX(PMtbl[Component],MATCH(U190,PMtbl[Category],0),)</f>
        <v>#N/A</v>
      </c>
      <c r="S190" s="220" t="e">
        <f>INDEX(PMtbl[WKst],MATCH(U190,PMtbl[Category],0),)</f>
        <v>#N/A</v>
      </c>
      <c r="T190" s="220" t="e">
        <f>INDEX(PMtbl[Sec],MATCH(U190,PMtbl[Category],0),)</f>
        <v>#N/A</v>
      </c>
      <c r="U190" s="241" t="e" cm="1">
        <f t="array" ref="U190">INDEX(PMtbl[Category],MATCH(0,INDEX(COUNTIF($U$2:U189,PMtbl[Category]),),0))</f>
        <v>#N/A</v>
      </c>
      <c r="X190"/>
      <c r="Y190"/>
      <c r="Z190"/>
      <c r="AA190"/>
      <c r="AB190"/>
      <c r="AC190" s="243"/>
      <c r="AD190" s="243"/>
      <c r="AE190" s="243"/>
      <c r="AF190" s="243"/>
    </row>
    <row r="191" spans="1:32" x14ac:dyDescent="0.35">
      <c r="A191" s="825" t="s">
        <v>2749</v>
      </c>
      <c r="B191" s="825" t="s">
        <v>2750</v>
      </c>
      <c r="C191" s="825">
        <v>4</v>
      </c>
      <c r="D191" s="825" t="s">
        <v>25</v>
      </c>
      <c r="E191" s="825" t="s">
        <v>26</v>
      </c>
      <c r="F191" s="220">
        <v>189</v>
      </c>
      <c r="G191" s="825" t="s">
        <v>2961</v>
      </c>
      <c r="H191" s="825" t="s">
        <v>2777</v>
      </c>
      <c r="I191" s="220" t="s">
        <v>82</v>
      </c>
      <c r="J191" s="220" t="str">
        <f>PMtbl[[#This Row],[Category]]&amp;PMtbl[[#This Row],[Each]]&amp;PMtbl[[#This Row],[Packaging]]</f>
        <v>Laboratory EquipmentAutoclave for laboratorySpare parts and accessories</v>
      </c>
      <c r="K191">
        <v>0</v>
      </c>
      <c r="L191" s="236">
        <v>6.6</v>
      </c>
      <c r="M191" s="234" t="s">
        <v>183</v>
      </c>
      <c r="N191" s="236"/>
      <c r="O191" s="825" t="s">
        <v>12</v>
      </c>
      <c r="P191" s="825"/>
      <c r="R191" s="220" t="e">
        <f>INDEX(PMtbl[Component],MATCH(U191,PMtbl[Category],0),)</f>
        <v>#N/A</v>
      </c>
      <c r="S191" s="220" t="e">
        <f>INDEX(PMtbl[WKst],MATCH(U191,PMtbl[Category],0),)</f>
        <v>#N/A</v>
      </c>
      <c r="T191" s="220" t="e">
        <f>INDEX(PMtbl[Sec],MATCH(U191,PMtbl[Category],0),)</f>
        <v>#N/A</v>
      </c>
      <c r="U191" s="241" t="e" cm="1">
        <f t="array" ref="U191">INDEX(PMtbl[Category],MATCH(0,INDEX(COUNTIF($U$2:U190,PMtbl[Category]),),0))</f>
        <v>#N/A</v>
      </c>
      <c r="X191"/>
      <c r="Y191"/>
      <c r="Z191"/>
      <c r="AA191"/>
      <c r="AB191"/>
      <c r="AC191" s="243"/>
      <c r="AD191" s="243"/>
      <c r="AE191" s="243"/>
      <c r="AF191" s="243"/>
    </row>
    <row r="192" spans="1:32" x14ac:dyDescent="0.35">
      <c r="A192" s="825" t="s">
        <v>2749</v>
      </c>
      <c r="B192" s="825" t="s">
        <v>2750</v>
      </c>
      <c r="C192" s="825">
        <v>4</v>
      </c>
      <c r="D192" s="825" t="s">
        <v>25</v>
      </c>
      <c r="E192" s="825" t="s">
        <v>26</v>
      </c>
      <c r="F192" s="220">
        <v>190</v>
      </c>
      <c r="G192" s="825" t="s">
        <v>2961</v>
      </c>
      <c r="H192" s="825" t="s">
        <v>2778</v>
      </c>
      <c r="I192" s="220" t="s">
        <v>82</v>
      </c>
      <c r="J192" s="220" t="str">
        <f>PMtbl[[#This Row],[Category]]&amp;PMtbl[[#This Row],[Each]]&amp;PMtbl[[#This Row],[Packaging]]</f>
        <v>Laboratory EquipmentAutoclave for laboratoryWarranty, maintenance and service</v>
      </c>
      <c r="K192">
        <v>0</v>
      </c>
      <c r="L192" s="236">
        <v>6.5</v>
      </c>
      <c r="M192" s="234" t="s">
        <v>182</v>
      </c>
      <c r="N192" s="236"/>
      <c r="O192" s="825" t="s">
        <v>12</v>
      </c>
      <c r="P192" s="825"/>
      <c r="R192" s="220" t="e">
        <f>INDEX(PMtbl[Component],MATCH(U192,PMtbl[Category],0),)</f>
        <v>#N/A</v>
      </c>
      <c r="S192" s="220" t="e">
        <f>INDEX(PMtbl[WKst],MATCH(U192,PMtbl[Category],0),)</f>
        <v>#N/A</v>
      </c>
      <c r="T192" s="220" t="e">
        <f>INDEX(PMtbl[Sec],MATCH(U192,PMtbl[Category],0),)</f>
        <v>#N/A</v>
      </c>
      <c r="U192" s="241" t="e" cm="1">
        <f t="array" ref="U192">INDEX(PMtbl[Category],MATCH(0,INDEX(COUNTIF($U$2:U191,PMtbl[Category]),),0))</f>
        <v>#N/A</v>
      </c>
      <c r="X192"/>
      <c r="Y192"/>
      <c r="Z192"/>
      <c r="AA192"/>
      <c r="AB192"/>
      <c r="AC192" s="243"/>
      <c r="AD192" s="243"/>
      <c r="AE192" s="243"/>
      <c r="AF192" s="243"/>
    </row>
    <row r="193" spans="1:32" x14ac:dyDescent="0.35">
      <c r="A193" s="825" t="s">
        <v>2749</v>
      </c>
      <c r="B193" s="825" t="s">
        <v>2750</v>
      </c>
      <c r="C193" s="825">
        <v>4</v>
      </c>
      <c r="D193" s="825" t="s">
        <v>25</v>
      </c>
      <c r="E193" s="825" t="s">
        <v>26</v>
      </c>
      <c r="F193" s="220">
        <v>227</v>
      </c>
      <c r="G193" s="825" t="s">
        <v>2967</v>
      </c>
      <c r="H193" s="825" t="s">
        <v>2968</v>
      </c>
      <c r="I193" s="220" t="s">
        <v>82</v>
      </c>
      <c r="J193" s="220" t="str">
        <f>PMtbl[[#This Row],[Category]]&amp;PMtbl[[#This Row],[Each]]&amp;PMtbl[[#This Row],[Packaging]]</f>
        <v>Laboratory EquipmentBi-directional testingGeneXpert MTB/RIF Cartridge 10</v>
      </c>
      <c r="K193">
        <v>0</v>
      </c>
      <c r="L193" s="236">
        <v>5.4</v>
      </c>
      <c r="M193" s="234" t="s">
        <v>179</v>
      </c>
      <c r="N193" s="236"/>
      <c r="O193" s="825" t="s">
        <v>14</v>
      </c>
      <c r="P193" s="825"/>
      <c r="R193" s="220" t="e">
        <f>INDEX(PMtbl[Component],MATCH(U193,PMtbl[Category],0),)</f>
        <v>#N/A</v>
      </c>
      <c r="S193" s="220" t="e">
        <f>INDEX(PMtbl[WKst],MATCH(U193,PMtbl[Category],0),)</f>
        <v>#N/A</v>
      </c>
      <c r="T193" s="220" t="e">
        <f>INDEX(PMtbl[Sec],MATCH(U193,PMtbl[Category],0),)</f>
        <v>#N/A</v>
      </c>
      <c r="U193" s="241" t="e" cm="1">
        <f t="array" ref="U193">INDEX(PMtbl[Category],MATCH(0,INDEX(COUNTIF($U$2:U192,PMtbl[Category]),),0))</f>
        <v>#N/A</v>
      </c>
      <c r="X193"/>
      <c r="Y193"/>
      <c r="Z193"/>
      <c r="AA193"/>
      <c r="AB193"/>
      <c r="AC193" s="243"/>
      <c r="AD193" s="243"/>
      <c r="AE193" s="243"/>
      <c r="AF193" s="243"/>
    </row>
    <row r="194" spans="1:32" x14ac:dyDescent="0.35">
      <c r="A194" s="825" t="s">
        <v>2749</v>
      </c>
      <c r="B194" s="825" t="s">
        <v>2750</v>
      </c>
      <c r="C194" s="825">
        <v>4</v>
      </c>
      <c r="D194" s="825" t="s">
        <v>25</v>
      </c>
      <c r="E194" s="825" t="s">
        <v>26</v>
      </c>
      <c r="F194" s="220">
        <v>228</v>
      </c>
      <c r="G194" s="825" t="s">
        <v>2967</v>
      </c>
      <c r="H194" s="825" t="s">
        <v>2969</v>
      </c>
      <c r="I194" s="220" t="s">
        <v>82</v>
      </c>
      <c r="J194" s="220" t="str">
        <f>PMtbl[[#This Row],[Category]]&amp;PMtbl[[#This Row],[Each]]&amp;PMtbl[[#This Row],[Packaging]]</f>
        <v>Laboratory EquipmentBi-directional testingGeneXpert MTB/RIF Cartridge 50</v>
      </c>
      <c r="K194">
        <v>0</v>
      </c>
      <c r="L194" s="236">
        <v>5.4</v>
      </c>
      <c r="M194" s="234" t="s">
        <v>179</v>
      </c>
      <c r="N194" s="236"/>
      <c r="O194" s="825" t="s">
        <v>14</v>
      </c>
      <c r="P194" s="825"/>
      <c r="R194" s="220" t="e">
        <f>INDEX(PMtbl[Component],MATCH(U194,PMtbl[Category],0),)</f>
        <v>#N/A</v>
      </c>
      <c r="S194" s="220" t="e">
        <f>INDEX(PMtbl[WKst],MATCH(U194,PMtbl[Category],0),)</f>
        <v>#N/A</v>
      </c>
      <c r="T194" s="220" t="e">
        <f>INDEX(PMtbl[Sec],MATCH(U194,PMtbl[Category],0),)</f>
        <v>#N/A</v>
      </c>
      <c r="U194" s="241" t="e" cm="1">
        <f t="array" ref="U194">INDEX(PMtbl[Category],MATCH(0,INDEX(COUNTIF($U$2:U193,PMtbl[Category]),),0))</f>
        <v>#N/A</v>
      </c>
      <c r="X194"/>
      <c r="Y194"/>
      <c r="Z194"/>
      <c r="AA194"/>
      <c r="AB194"/>
      <c r="AC194" s="243"/>
      <c r="AD194" s="243"/>
      <c r="AE194" s="243"/>
      <c r="AF194" s="243"/>
    </row>
    <row r="195" spans="1:32" x14ac:dyDescent="0.35">
      <c r="A195" s="825" t="s">
        <v>2749</v>
      </c>
      <c r="B195" s="825" t="s">
        <v>2750</v>
      </c>
      <c r="C195" s="825">
        <v>4</v>
      </c>
      <c r="D195" s="825" t="s">
        <v>25</v>
      </c>
      <c r="E195" s="825" t="s">
        <v>26</v>
      </c>
      <c r="F195" s="220">
        <v>229</v>
      </c>
      <c r="G195" s="825" t="s">
        <v>2967</v>
      </c>
      <c r="H195" s="825" t="s">
        <v>2970</v>
      </c>
      <c r="I195" s="220" t="s">
        <v>82</v>
      </c>
      <c r="J195" s="220" t="str">
        <f>PMtbl[[#This Row],[Category]]&amp;PMtbl[[#This Row],[Each]]&amp;PMtbl[[#This Row],[Packaging]]</f>
        <v>Laboratory EquipmentBi-directional testingGeneXpert MTB/RIF ULTRA Cartridge 10</v>
      </c>
      <c r="K195">
        <v>0</v>
      </c>
      <c r="L195" s="236">
        <v>5.4</v>
      </c>
      <c r="M195" s="234" t="s">
        <v>179</v>
      </c>
      <c r="N195" s="236"/>
      <c r="O195" s="825" t="s">
        <v>14</v>
      </c>
      <c r="P195" s="825"/>
      <c r="R195" s="220" t="e">
        <f>INDEX(PMtbl[Component],MATCH(U195,PMtbl[Category],0),)</f>
        <v>#N/A</v>
      </c>
      <c r="S195" s="220" t="e">
        <f>INDEX(PMtbl[WKst],MATCH(U195,PMtbl[Category],0),)</f>
        <v>#N/A</v>
      </c>
      <c r="T195" s="220" t="e">
        <f>INDEX(PMtbl[Sec],MATCH(U195,PMtbl[Category],0),)</f>
        <v>#N/A</v>
      </c>
      <c r="U195" s="241" t="e" cm="1">
        <f t="array" ref="U195">INDEX(PMtbl[Category],MATCH(0,INDEX(COUNTIF($U$2:U194,PMtbl[Category]),),0))</f>
        <v>#N/A</v>
      </c>
      <c r="X195"/>
      <c r="Y195"/>
      <c r="Z195"/>
      <c r="AA195"/>
      <c r="AB195"/>
      <c r="AC195" s="243"/>
      <c r="AD195" s="243"/>
      <c r="AE195" s="243"/>
      <c r="AF195" s="243"/>
    </row>
    <row r="196" spans="1:32" x14ac:dyDescent="0.35">
      <c r="A196" s="825" t="s">
        <v>2749</v>
      </c>
      <c r="B196" s="825" t="s">
        <v>2750</v>
      </c>
      <c r="C196" s="825">
        <v>4</v>
      </c>
      <c r="D196" s="825" t="s">
        <v>25</v>
      </c>
      <c r="E196" s="825" t="s">
        <v>26</v>
      </c>
      <c r="F196" s="220">
        <v>230</v>
      </c>
      <c r="G196" s="825" t="s">
        <v>2967</v>
      </c>
      <c r="H196" s="825" t="s">
        <v>2971</v>
      </c>
      <c r="I196" s="220" t="s">
        <v>82</v>
      </c>
      <c r="J196" s="220" t="str">
        <f>PMtbl[[#This Row],[Category]]&amp;PMtbl[[#This Row],[Each]]&amp;PMtbl[[#This Row],[Packaging]]</f>
        <v>Laboratory EquipmentBi-directional testingGeneXpert MTB/RIF ULTRA Cartridge 50</v>
      </c>
      <c r="K196">
        <v>0</v>
      </c>
      <c r="L196" s="236">
        <v>5.4</v>
      </c>
      <c r="M196" s="234" t="s">
        <v>179</v>
      </c>
      <c r="N196" s="236"/>
      <c r="O196" s="825" t="s">
        <v>14</v>
      </c>
      <c r="P196" s="825"/>
      <c r="R196" s="220" t="e">
        <f>INDEX(PMtbl[Component],MATCH(U196,PMtbl[Category],0),)</f>
        <v>#N/A</v>
      </c>
      <c r="S196" s="220" t="e">
        <f>INDEX(PMtbl[WKst],MATCH(U196,PMtbl[Category],0),)</f>
        <v>#N/A</v>
      </c>
      <c r="T196" s="220" t="e">
        <f>INDEX(PMtbl[Sec],MATCH(U196,PMtbl[Category],0),)</f>
        <v>#N/A</v>
      </c>
      <c r="U196" s="241" t="e" cm="1">
        <f t="array" ref="U196">INDEX(PMtbl[Category],MATCH(0,INDEX(COUNTIF($U$2:U195,PMtbl[Category]),),0))</f>
        <v>#N/A</v>
      </c>
      <c r="X196"/>
      <c r="Y196"/>
      <c r="Z196"/>
      <c r="AA196"/>
      <c r="AB196"/>
      <c r="AC196" s="243"/>
      <c r="AD196" s="243"/>
      <c r="AE196" s="243"/>
      <c r="AF196" s="243"/>
    </row>
    <row r="197" spans="1:32" x14ac:dyDescent="0.35">
      <c r="A197" s="825" t="s">
        <v>2749</v>
      </c>
      <c r="B197" s="825" t="s">
        <v>2750</v>
      </c>
      <c r="C197" s="825">
        <v>4</v>
      </c>
      <c r="D197" s="825" t="s">
        <v>25</v>
      </c>
      <c r="E197" s="825" t="s">
        <v>26</v>
      </c>
      <c r="F197" s="220">
        <v>231</v>
      </c>
      <c r="G197" s="825" t="s">
        <v>2967</v>
      </c>
      <c r="H197" s="825" t="s">
        <v>2972</v>
      </c>
      <c r="I197" s="220" t="s">
        <v>82</v>
      </c>
      <c r="J197" s="220" t="str">
        <f>PMtbl[[#This Row],[Category]]&amp;PMtbl[[#This Row],[Each]]&amp;PMtbl[[#This Row],[Packaging]]</f>
        <v>Laboratory EquipmentBi-directional testingGeneXpert MTB/XDR Cartridge 10</v>
      </c>
      <c r="K197">
        <v>0</v>
      </c>
      <c r="L197" s="236">
        <v>5.4</v>
      </c>
      <c r="M197" s="234" t="s">
        <v>179</v>
      </c>
      <c r="N197" s="236"/>
      <c r="O197" s="825" t="s">
        <v>14</v>
      </c>
      <c r="P197" s="825"/>
      <c r="R197" s="220" t="e">
        <f>INDEX(PMtbl[Component],MATCH(U197,PMtbl[Category],0),)</f>
        <v>#N/A</v>
      </c>
      <c r="S197" s="220" t="e">
        <f>INDEX(PMtbl[WKst],MATCH(U197,PMtbl[Category],0),)</f>
        <v>#N/A</v>
      </c>
      <c r="T197" s="220" t="e">
        <f>INDEX(PMtbl[Sec],MATCH(U197,PMtbl[Category],0),)</f>
        <v>#N/A</v>
      </c>
      <c r="U197" s="241" t="e" cm="1">
        <f t="array" ref="U197">INDEX(PMtbl[Category],MATCH(0,INDEX(COUNTIF($U$2:U196,PMtbl[Category]),),0))</f>
        <v>#N/A</v>
      </c>
      <c r="X197"/>
      <c r="Y197"/>
      <c r="Z197"/>
      <c r="AA197"/>
      <c r="AB197"/>
      <c r="AC197" s="243"/>
      <c r="AD197" s="243"/>
      <c r="AE197" s="243"/>
      <c r="AF197" s="243"/>
    </row>
    <row r="198" spans="1:32" x14ac:dyDescent="0.35">
      <c r="A198" s="825" t="s">
        <v>2749</v>
      </c>
      <c r="B198" s="825" t="s">
        <v>2750</v>
      </c>
      <c r="C198" s="825">
        <v>4</v>
      </c>
      <c r="D198" s="825" t="s">
        <v>25</v>
      </c>
      <c r="E198" s="825" t="s">
        <v>26</v>
      </c>
      <c r="F198" s="220">
        <v>232</v>
      </c>
      <c r="G198" s="825" t="s">
        <v>2967</v>
      </c>
      <c r="H198" s="825" t="s">
        <v>2973</v>
      </c>
      <c r="I198" s="220" t="s">
        <v>82</v>
      </c>
      <c r="J198" s="220" t="str">
        <f>PMtbl[[#This Row],[Category]]&amp;PMtbl[[#This Row],[Each]]&amp;PMtbl[[#This Row],[Packaging]]</f>
        <v>Laboratory EquipmentBi-directional testingTruenat MTB 20 tests</v>
      </c>
      <c r="K198">
        <v>0</v>
      </c>
      <c r="L198" s="236">
        <v>5.4</v>
      </c>
      <c r="M198" s="234" t="s">
        <v>179</v>
      </c>
      <c r="N198" s="236"/>
      <c r="O198" s="825" t="s">
        <v>14</v>
      </c>
      <c r="P198" s="825"/>
      <c r="R198" s="220" t="e">
        <f>INDEX(PMtbl[Component],MATCH(U198,PMtbl[Category],0),)</f>
        <v>#N/A</v>
      </c>
      <c r="S198" s="220" t="e">
        <f>INDEX(PMtbl[WKst],MATCH(U198,PMtbl[Category],0),)</f>
        <v>#N/A</v>
      </c>
      <c r="T198" s="220" t="e">
        <f>INDEX(PMtbl[Sec],MATCH(U198,PMtbl[Category],0),)</f>
        <v>#N/A</v>
      </c>
      <c r="U198" s="241" t="e" cm="1">
        <f t="array" ref="U198">INDEX(PMtbl[Category],MATCH(0,INDEX(COUNTIF($U$2:U197,PMtbl[Category]),),0))</f>
        <v>#N/A</v>
      </c>
      <c r="X198"/>
      <c r="Y198"/>
      <c r="Z198"/>
      <c r="AA198"/>
      <c r="AB198"/>
      <c r="AC198" s="243"/>
      <c r="AD198" s="243"/>
      <c r="AE198" s="243"/>
      <c r="AF198" s="243"/>
    </row>
    <row r="199" spans="1:32" x14ac:dyDescent="0.35">
      <c r="A199" s="825" t="s">
        <v>2749</v>
      </c>
      <c r="B199" s="825" t="s">
        <v>2750</v>
      </c>
      <c r="C199" s="825">
        <v>4</v>
      </c>
      <c r="D199" s="825" t="s">
        <v>25</v>
      </c>
      <c r="E199" s="825" t="s">
        <v>26</v>
      </c>
      <c r="F199" s="220">
        <v>233</v>
      </c>
      <c r="G199" s="825" t="s">
        <v>2967</v>
      </c>
      <c r="H199" s="825" t="s">
        <v>2974</v>
      </c>
      <c r="I199" s="220" t="s">
        <v>82</v>
      </c>
      <c r="J199" s="220" t="str">
        <f>PMtbl[[#This Row],[Category]]&amp;PMtbl[[#This Row],[Each]]&amp;PMtbl[[#This Row],[Packaging]]</f>
        <v>Laboratory EquipmentBi-directional testingTruenat MTB Plus 20 tests</v>
      </c>
      <c r="K199">
        <v>0</v>
      </c>
      <c r="L199" s="236">
        <v>5.4</v>
      </c>
      <c r="M199" s="234" t="s">
        <v>179</v>
      </c>
      <c r="N199" s="236"/>
      <c r="O199" s="825" t="s">
        <v>14</v>
      </c>
      <c r="P199" s="825"/>
      <c r="R199" s="220" t="e">
        <f>INDEX(PMtbl[Component],MATCH(U199,PMtbl[Category],0),)</f>
        <v>#N/A</v>
      </c>
      <c r="S199" s="220" t="e">
        <f>INDEX(PMtbl[WKst],MATCH(U199,PMtbl[Category],0),)</f>
        <v>#N/A</v>
      </c>
      <c r="T199" s="220" t="e">
        <f>INDEX(PMtbl[Sec],MATCH(U199,PMtbl[Category],0),)</f>
        <v>#N/A</v>
      </c>
      <c r="U199" s="241" t="e" cm="1">
        <f t="array" ref="U199">INDEX(PMtbl[Category],MATCH(0,INDEX(COUNTIF($U$2:U198,PMtbl[Category]),),0))</f>
        <v>#N/A</v>
      </c>
      <c r="X199"/>
      <c r="Y199"/>
      <c r="Z199"/>
      <c r="AA199"/>
      <c r="AB199"/>
      <c r="AC199" s="243"/>
      <c r="AD199" s="243"/>
      <c r="AE199" s="243"/>
      <c r="AF199" s="243"/>
    </row>
    <row r="200" spans="1:32" x14ac:dyDescent="0.35">
      <c r="A200" s="825" t="s">
        <v>2749</v>
      </c>
      <c r="B200" s="825" t="s">
        <v>2750</v>
      </c>
      <c r="C200" s="825">
        <v>4</v>
      </c>
      <c r="D200" s="825" t="s">
        <v>25</v>
      </c>
      <c r="E200" s="825" t="s">
        <v>26</v>
      </c>
      <c r="F200" s="220">
        <v>234</v>
      </c>
      <c r="G200" s="825" t="s">
        <v>2967</v>
      </c>
      <c r="H200" s="825" t="s">
        <v>2975</v>
      </c>
      <c r="I200" s="220" t="s">
        <v>82</v>
      </c>
      <c r="J200" s="220" t="str">
        <f>PMtbl[[#This Row],[Category]]&amp;PMtbl[[#This Row],[Each]]&amp;PMtbl[[#This Row],[Packaging]]</f>
        <v>Laboratory EquipmentBi-directional testingTruenat MTB-RIF Dx 20 tests</v>
      </c>
      <c r="K200">
        <v>0</v>
      </c>
      <c r="L200" s="236">
        <v>5.4</v>
      </c>
      <c r="M200" s="234" t="s">
        <v>179</v>
      </c>
      <c r="N200" s="236"/>
      <c r="O200" s="825" t="s">
        <v>14</v>
      </c>
      <c r="P200" s="825"/>
      <c r="R200" s="220" t="e">
        <f>INDEX(PMtbl[Component],MATCH(U200,PMtbl[Category],0),)</f>
        <v>#N/A</v>
      </c>
      <c r="S200" s="220" t="e">
        <f>INDEX(PMtbl[WKst],MATCH(U200,PMtbl[Category],0),)</f>
        <v>#N/A</v>
      </c>
      <c r="T200" s="220" t="e">
        <f>INDEX(PMtbl[Sec],MATCH(U200,PMtbl[Category],0),)</f>
        <v>#N/A</v>
      </c>
      <c r="U200" s="241" t="e" cm="1">
        <f t="array" ref="U200">INDEX(PMtbl[Category],MATCH(0,INDEX(COUNTIF($U$2:U199,PMtbl[Category]),),0))</f>
        <v>#N/A</v>
      </c>
      <c r="X200"/>
      <c r="Y200"/>
      <c r="Z200"/>
      <c r="AA200"/>
      <c r="AB200"/>
      <c r="AC200" s="243"/>
      <c r="AD200" s="243"/>
      <c r="AE200" s="243"/>
      <c r="AF200" s="243"/>
    </row>
    <row r="201" spans="1:32" x14ac:dyDescent="0.35">
      <c r="A201" s="825" t="s">
        <v>2749</v>
      </c>
      <c r="B201" s="825" t="s">
        <v>2750</v>
      </c>
      <c r="C201" s="825">
        <v>4</v>
      </c>
      <c r="D201" s="825" t="s">
        <v>25</v>
      </c>
      <c r="E201" s="825" t="s">
        <v>26</v>
      </c>
      <c r="F201" s="220">
        <v>191</v>
      </c>
      <c r="G201" s="825" t="s">
        <v>2962</v>
      </c>
      <c r="H201" s="825" t="s">
        <v>1987</v>
      </c>
      <c r="I201" s="220" t="s">
        <v>82</v>
      </c>
      <c r="J201" s="220" t="str">
        <f>PMtbl[[#This Row],[Category]]&amp;PMtbl[[#This Row],[Each]]&amp;PMtbl[[#This Row],[Packaging]]</f>
        <v>Laboratory EquipmentBiological Safety Cabinet BSL IIEquipment</v>
      </c>
      <c r="K201">
        <v>0</v>
      </c>
      <c r="L201" s="236">
        <v>6.6</v>
      </c>
      <c r="M201" s="234" t="s">
        <v>183</v>
      </c>
      <c r="N201" s="236"/>
      <c r="O201" s="825" t="s">
        <v>12</v>
      </c>
      <c r="P201" s="825"/>
      <c r="R201" s="220" t="e">
        <f>INDEX(PMtbl[Component],MATCH(U201,PMtbl[Category],0),)</f>
        <v>#N/A</v>
      </c>
      <c r="S201" s="220" t="e">
        <f>INDEX(PMtbl[WKst],MATCH(U201,PMtbl[Category],0),)</f>
        <v>#N/A</v>
      </c>
      <c r="T201" s="220" t="e">
        <f>INDEX(PMtbl[Sec],MATCH(U201,PMtbl[Category],0),)</f>
        <v>#N/A</v>
      </c>
      <c r="U201" s="241" t="e" cm="1">
        <f t="array" ref="U201">INDEX(PMtbl[Category],MATCH(0,INDEX(COUNTIF($U$2:U200,PMtbl[Category]),),0))</f>
        <v>#N/A</v>
      </c>
      <c r="X201"/>
      <c r="Y201"/>
      <c r="Z201"/>
      <c r="AA201"/>
      <c r="AB201"/>
      <c r="AC201" s="243"/>
      <c r="AD201" s="243"/>
      <c r="AE201" s="243"/>
      <c r="AF201" s="243"/>
    </row>
    <row r="202" spans="1:32" x14ac:dyDescent="0.35">
      <c r="A202" s="825" t="s">
        <v>2749</v>
      </c>
      <c r="B202" s="825" t="s">
        <v>2750</v>
      </c>
      <c r="C202" s="825">
        <v>4</v>
      </c>
      <c r="D202" s="825" t="s">
        <v>25</v>
      </c>
      <c r="E202" s="825" t="s">
        <v>26</v>
      </c>
      <c r="F202" s="220">
        <v>192</v>
      </c>
      <c r="G202" s="825" t="s">
        <v>2962</v>
      </c>
      <c r="H202" s="825" t="s">
        <v>2777</v>
      </c>
      <c r="I202" s="220" t="s">
        <v>82</v>
      </c>
      <c r="J202" s="220" t="str">
        <f>PMtbl[[#This Row],[Category]]&amp;PMtbl[[#This Row],[Each]]&amp;PMtbl[[#This Row],[Packaging]]</f>
        <v>Laboratory EquipmentBiological Safety Cabinet BSL IISpare parts and accessories</v>
      </c>
      <c r="K202">
        <v>0</v>
      </c>
      <c r="L202" s="236">
        <v>6.6</v>
      </c>
      <c r="M202" s="234" t="s">
        <v>183</v>
      </c>
      <c r="N202" s="236"/>
      <c r="O202" s="825" t="s">
        <v>12</v>
      </c>
      <c r="P202" s="825"/>
      <c r="R202" s="220" t="e">
        <f>INDEX(PMtbl[Component],MATCH(U202,PMtbl[Category],0),)</f>
        <v>#N/A</v>
      </c>
      <c r="S202" s="220" t="e">
        <f>INDEX(PMtbl[WKst],MATCH(U202,PMtbl[Category],0),)</f>
        <v>#N/A</v>
      </c>
      <c r="T202" s="220" t="e">
        <f>INDEX(PMtbl[Sec],MATCH(U202,PMtbl[Category],0),)</f>
        <v>#N/A</v>
      </c>
      <c r="U202" s="241" t="e" cm="1">
        <f t="array" ref="U202">INDEX(PMtbl[Category],MATCH(0,INDEX(COUNTIF($U$2:U201,PMtbl[Category]),),0))</f>
        <v>#N/A</v>
      </c>
      <c r="X202"/>
      <c r="Y202"/>
      <c r="Z202"/>
      <c r="AA202"/>
      <c r="AB202"/>
      <c r="AC202" s="243"/>
      <c r="AD202" s="243"/>
      <c r="AE202" s="243"/>
      <c r="AF202" s="243"/>
    </row>
    <row r="203" spans="1:32" ht="12.65" customHeight="1" x14ac:dyDescent="0.35">
      <c r="A203" s="825" t="s">
        <v>2749</v>
      </c>
      <c r="B203" s="825" t="s">
        <v>2750</v>
      </c>
      <c r="C203" s="825">
        <v>4</v>
      </c>
      <c r="D203" s="825" t="s">
        <v>25</v>
      </c>
      <c r="E203" s="825" t="s">
        <v>26</v>
      </c>
      <c r="F203" s="220">
        <v>193</v>
      </c>
      <c r="G203" s="825" t="s">
        <v>2962</v>
      </c>
      <c r="H203" s="825" t="s">
        <v>2778</v>
      </c>
      <c r="I203" s="220" t="s">
        <v>82</v>
      </c>
      <c r="J203" s="220" t="str">
        <f>PMtbl[[#This Row],[Category]]&amp;PMtbl[[#This Row],[Each]]&amp;PMtbl[[#This Row],[Packaging]]</f>
        <v>Laboratory EquipmentBiological Safety Cabinet BSL IIWarranty, maintenance and service</v>
      </c>
      <c r="K203">
        <v>0</v>
      </c>
      <c r="L203" s="236">
        <v>6.5</v>
      </c>
      <c r="M203" s="234" t="s">
        <v>182</v>
      </c>
      <c r="N203" s="236"/>
      <c r="O203" s="825" t="s">
        <v>12</v>
      </c>
      <c r="P203" s="825"/>
      <c r="R203" s="220" t="e">
        <f>INDEX(PMtbl[Component],MATCH(U203,PMtbl[Category],0),)</f>
        <v>#N/A</v>
      </c>
      <c r="S203" s="220" t="e">
        <f>INDEX(PMtbl[WKst],MATCH(U203,PMtbl[Category],0),)</f>
        <v>#N/A</v>
      </c>
      <c r="T203" s="220" t="e">
        <f>INDEX(PMtbl[Sec],MATCH(U203,PMtbl[Category],0),)</f>
        <v>#N/A</v>
      </c>
      <c r="U203" s="241" t="e" cm="1">
        <f t="array" ref="U203">INDEX(PMtbl[Category],MATCH(0,INDEX(COUNTIF($U$2:U202,PMtbl[Category]),),0))</f>
        <v>#N/A</v>
      </c>
      <c r="X203"/>
      <c r="Y203"/>
      <c r="Z203"/>
      <c r="AA203"/>
      <c r="AB203"/>
      <c r="AC203" s="243"/>
      <c r="AD203" s="243"/>
      <c r="AE203" s="243"/>
      <c r="AF203" s="243"/>
    </row>
    <row r="204" spans="1:32" x14ac:dyDescent="0.35">
      <c r="A204" s="825" t="s">
        <v>2749</v>
      </c>
      <c r="B204" s="825" t="s">
        <v>2750</v>
      </c>
      <c r="C204" s="825">
        <v>4</v>
      </c>
      <c r="D204" s="825" t="s">
        <v>25</v>
      </c>
      <c r="E204" s="825" t="s">
        <v>26</v>
      </c>
      <c r="F204" s="220">
        <v>194</v>
      </c>
      <c r="G204" s="825" t="s">
        <v>1915</v>
      </c>
      <c r="H204" s="825" t="s">
        <v>1987</v>
      </c>
      <c r="I204" s="220" t="s">
        <v>82</v>
      </c>
      <c r="J204" s="220" t="str">
        <f>PMtbl[[#This Row],[Category]]&amp;PMtbl[[#This Row],[Each]]&amp;PMtbl[[#This Row],[Packaging]]</f>
        <v>Laboratory EquipmentCentrifugesEquipment</v>
      </c>
      <c r="K204">
        <v>0</v>
      </c>
      <c r="L204" s="236">
        <v>6.6</v>
      </c>
      <c r="M204" s="234" t="s">
        <v>183</v>
      </c>
      <c r="N204" s="236"/>
      <c r="O204" s="825" t="s">
        <v>12</v>
      </c>
      <c r="P204" s="825"/>
      <c r="R204" s="220" t="e">
        <f>INDEX(PMtbl[Component],MATCH(U204,PMtbl[Category],0),)</f>
        <v>#N/A</v>
      </c>
      <c r="S204" s="220" t="e">
        <f>INDEX(PMtbl[WKst],MATCH(U204,PMtbl[Category],0),)</f>
        <v>#N/A</v>
      </c>
      <c r="T204" s="220" t="e">
        <f>INDEX(PMtbl[Sec],MATCH(U204,PMtbl[Category],0),)</f>
        <v>#N/A</v>
      </c>
      <c r="U204" s="241" t="e" cm="1">
        <f t="array" ref="U204">INDEX(PMtbl[Category],MATCH(0,INDEX(COUNTIF($U$2:U203,PMtbl[Category]),),0))</f>
        <v>#N/A</v>
      </c>
      <c r="X204"/>
      <c r="Y204"/>
      <c r="Z204"/>
      <c r="AA204"/>
      <c r="AB204"/>
      <c r="AC204" s="243"/>
      <c r="AD204" s="243"/>
      <c r="AE204" s="243"/>
      <c r="AF204" s="243"/>
    </row>
    <row r="205" spans="1:32" x14ac:dyDescent="0.35">
      <c r="A205" s="825" t="s">
        <v>2749</v>
      </c>
      <c r="B205" s="825" t="s">
        <v>2750</v>
      </c>
      <c r="C205" s="825">
        <v>4</v>
      </c>
      <c r="D205" s="825" t="s">
        <v>25</v>
      </c>
      <c r="E205" s="825" t="s">
        <v>26</v>
      </c>
      <c r="F205" s="220">
        <v>195</v>
      </c>
      <c r="G205" s="825" t="s">
        <v>1915</v>
      </c>
      <c r="H205" s="825" t="s">
        <v>2777</v>
      </c>
      <c r="I205" s="220" t="s">
        <v>82</v>
      </c>
      <c r="J205" s="220" t="str">
        <f>PMtbl[[#This Row],[Category]]&amp;PMtbl[[#This Row],[Each]]&amp;PMtbl[[#This Row],[Packaging]]</f>
        <v>Laboratory EquipmentCentrifugesSpare parts and accessories</v>
      </c>
      <c r="K205">
        <v>0</v>
      </c>
      <c r="L205" s="236">
        <v>6.6</v>
      </c>
      <c r="M205" s="234" t="s">
        <v>183</v>
      </c>
      <c r="N205" s="236"/>
      <c r="O205" s="825" t="s">
        <v>12</v>
      </c>
      <c r="P205" s="825"/>
      <c r="R205" s="220" t="e">
        <f>INDEX(PMtbl[Component],MATCH(U205,PMtbl[Category],0),)</f>
        <v>#N/A</v>
      </c>
      <c r="S205" s="220" t="e">
        <f>INDEX(PMtbl[WKst],MATCH(U205,PMtbl[Category],0),)</f>
        <v>#N/A</v>
      </c>
      <c r="T205" s="220" t="e">
        <f>INDEX(PMtbl[Sec],MATCH(U205,PMtbl[Category],0),)</f>
        <v>#N/A</v>
      </c>
      <c r="U205" s="241" t="e" cm="1">
        <f t="array" ref="U205">INDEX(PMtbl[Category],MATCH(0,INDEX(COUNTIF($U$2:U204,PMtbl[Category]),),0))</f>
        <v>#N/A</v>
      </c>
      <c r="X205"/>
      <c r="Y205"/>
      <c r="Z205"/>
      <c r="AA205"/>
      <c r="AB205"/>
      <c r="AC205" s="243"/>
      <c r="AD205" s="243"/>
      <c r="AE205" s="243"/>
      <c r="AF205" s="243"/>
    </row>
    <row r="206" spans="1:32" x14ac:dyDescent="0.35">
      <c r="A206" s="825" t="s">
        <v>2749</v>
      </c>
      <c r="B206" s="825" t="s">
        <v>2750</v>
      </c>
      <c r="C206" s="825">
        <v>4</v>
      </c>
      <c r="D206" s="825" t="s">
        <v>25</v>
      </c>
      <c r="E206" s="825" t="s">
        <v>26</v>
      </c>
      <c r="F206" s="220">
        <v>196</v>
      </c>
      <c r="G206" s="825" t="s">
        <v>1915</v>
      </c>
      <c r="H206" s="825" t="s">
        <v>2778</v>
      </c>
      <c r="I206" s="220" t="s">
        <v>82</v>
      </c>
      <c r="J206" s="220" t="str">
        <f>PMtbl[[#This Row],[Category]]&amp;PMtbl[[#This Row],[Each]]&amp;PMtbl[[#This Row],[Packaging]]</f>
        <v>Laboratory EquipmentCentrifugesWarranty, maintenance and service</v>
      </c>
      <c r="K206">
        <v>0</v>
      </c>
      <c r="L206" s="236">
        <v>6.5</v>
      </c>
      <c r="M206" s="234" t="s">
        <v>182</v>
      </c>
      <c r="N206" s="236"/>
      <c r="O206" s="825" t="s">
        <v>12</v>
      </c>
      <c r="P206" s="825"/>
      <c r="R206" s="220" t="e">
        <f>INDEX(PMtbl[Component],MATCH(U206,PMtbl[Category],0),)</f>
        <v>#N/A</v>
      </c>
      <c r="S206" s="220" t="e">
        <f>INDEX(PMtbl[WKst],MATCH(U206,PMtbl[Category],0),)</f>
        <v>#N/A</v>
      </c>
      <c r="T206" s="220" t="e">
        <f>INDEX(PMtbl[Sec],MATCH(U206,PMtbl[Category],0),)</f>
        <v>#N/A</v>
      </c>
      <c r="U206" s="241" t="e" cm="1">
        <f t="array" ref="U206">INDEX(PMtbl[Category],MATCH(0,INDEX(COUNTIF($U$2:U205,PMtbl[Category]),),0))</f>
        <v>#N/A</v>
      </c>
      <c r="X206"/>
      <c r="Y206"/>
      <c r="Z206"/>
      <c r="AA206"/>
      <c r="AB206"/>
      <c r="AC206" s="243"/>
      <c r="AD206" s="243"/>
      <c r="AE206" s="243"/>
      <c r="AF206" s="243"/>
    </row>
    <row r="207" spans="1:32" x14ac:dyDescent="0.35">
      <c r="A207" s="825" t="s">
        <v>2749</v>
      </c>
      <c r="B207" s="825" t="s">
        <v>2750</v>
      </c>
      <c r="C207" s="825">
        <v>4</v>
      </c>
      <c r="D207" s="825" t="s">
        <v>25</v>
      </c>
      <c r="E207" s="825" t="s">
        <v>26</v>
      </c>
      <c r="F207" s="220">
        <v>197</v>
      </c>
      <c r="G207" s="825" t="s">
        <v>2963</v>
      </c>
      <c r="H207" s="825" t="s">
        <v>1987</v>
      </c>
      <c r="I207" s="220" t="s">
        <v>82</v>
      </c>
      <c r="J207" s="220" t="str">
        <f>PMtbl[[#This Row],[Category]]&amp;PMtbl[[#This Row],[Each]]&amp;PMtbl[[#This Row],[Packaging]]</f>
        <v>Laboratory EquipmentEquipment: otherEquipment</v>
      </c>
      <c r="K207">
        <v>0</v>
      </c>
      <c r="L207" s="236">
        <v>6.6</v>
      </c>
      <c r="M207" s="234" t="s">
        <v>183</v>
      </c>
      <c r="N207" s="236"/>
      <c r="O207" s="825" t="s">
        <v>12</v>
      </c>
      <c r="P207" s="825"/>
      <c r="R207" s="220" t="e">
        <f>INDEX(PMtbl[Component],MATCH(U207,PMtbl[Category],0),)</f>
        <v>#N/A</v>
      </c>
      <c r="S207" s="220" t="e">
        <f>INDEX(PMtbl[WKst],MATCH(U207,PMtbl[Category],0),)</f>
        <v>#N/A</v>
      </c>
      <c r="T207" s="220" t="e">
        <f>INDEX(PMtbl[Sec],MATCH(U207,PMtbl[Category],0),)</f>
        <v>#N/A</v>
      </c>
      <c r="U207" s="241" t="e" cm="1">
        <f t="array" ref="U207">INDEX(PMtbl[Category],MATCH(0,INDEX(COUNTIF($U$2:U206,PMtbl[Category]),),0))</f>
        <v>#N/A</v>
      </c>
      <c r="X207"/>
      <c r="Y207"/>
      <c r="Z207"/>
      <c r="AA207"/>
      <c r="AB207"/>
      <c r="AC207" s="243"/>
      <c r="AD207" s="243"/>
      <c r="AE207" s="243"/>
      <c r="AF207" s="243"/>
    </row>
    <row r="208" spans="1:32" x14ac:dyDescent="0.35">
      <c r="A208" s="825" t="s">
        <v>2749</v>
      </c>
      <c r="B208" s="825" t="s">
        <v>2750</v>
      </c>
      <c r="C208" s="825">
        <v>4</v>
      </c>
      <c r="D208" s="825" t="s">
        <v>25</v>
      </c>
      <c r="E208" s="825" t="s">
        <v>26</v>
      </c>
      <c r="F208" s="220">
        <v>198</v>
      </c>
      <c r="G208" s="825" t="s">
        <v>2963</v>
      </c>
      <c r="H208" s="825" t="s">
        <v>2777</v>
      </c>
      <c r="I208" s="220" t="s">
        <v>82</v>
      </c>
      <c r="J208" s="220" t="str">
        <f>PMtbl[[#This Row],[Category]]&amp;PMtbl[[#This Row],[Each]]&amp;PMtbl[[#This Row],[Packaging]]</f>
        <v>Laboratory EquipmentEquipment: otherSpare parts and accessories</v>
      </c>
      <c r="K208">
        <v>0</v>
      </c>
      <c r="L208" s="236">
        <v>6.6</v>
      </c>
      <c r="M208" s="234" t="s">
        <v>183</v>
      </c>
      <c r="N208" s="236"/>
      <c r="O208" s="825" t="s">
        <v>12</v>
      </c>
      <c r="P208" s="825"/>
      <c r="R208" s="220" t="e">
        <f>INDEX(PMtbl[Component],MATCH(U208,PMtbl[Category],0),)</f>
        <v>#N/A</v>
      </c>
      <c r="S208" s="220" t="e">
        <f>INDEX(PMtbl[WKst],MATCH(U208,PMtbl[Category],0),)</f>
        <v>#N/A</v>
      </c>
      <c r="T208" s="220" t="e">
        <f>INDEX(PMtbl[Sec],MATCH(U208,PMtbl[Category],0),)</f>
        <v>#N/A</v>
      </c>
      <c r="U208" s="241" t="e" cm="1">
        <f t="array" ref="U208">INDEX(PMtbl[Category],MATCH(0,INDEX(COUNTIF($U$2:U207,PMtbl[Category]),),0))</f>
        <v>#N/A</v>
      </c>
      <c r="X208"/>
      <c r="Y208"/>
      <c r="Z208"/>
      <c r="AA208"/>
      <c r="AB208"/>
      <c r="AC208" s="243"/>
      <c r="AD208" s="243"/>
      <c r="AE208" s="243"/>
      <c r="AF208" s="243"/>
    </row>
    <row r="209" spans="1:32" x14ac:dyDescent="0.35">
      <c r="A209" s="825" t="s">
        <v>2749</v>
      </c>
      <c r="B209" s="825" t="s">
        <v>2750</v>
      </c>
      <c r="C209" s="825">
        <v>4</v>
      </c>
      <c r="D209" s="825" t="s">
        <v>25</v>
      </c>
      <c r="E209" s="825" t="s">
        <v>26</v>
      </c>
      <c r="F209" s="220">
        <v>199</v>
      </c>
      <c r="G209" s="825" t="s">
        <v>2963</v>
      </c>
      <c r="H209" s="825" t="s">
        <v>2778</v>
      </c>
      <c r="I209" s="220" t="s">
        <v>82</v>
      </c>
      <c r="J209" s="220" t="str">
        <f>PMtbl[[#This Row],[Category]]&amp;PMtbl[[#This Row],[Each]]&amp;PMtbl[[#This Row],[Packaging]]</f>
        <v>Laboratory EquipmentEquipment: otherWarranty, maintenance and service</v>
      </c>
      <c r="K209">
        <v>0</v>
      </c>
      <c r="L209" s="236">
        <v>6.5</v>
      </c>
      <c r="M209" s="234" t="s">
        <v>182</v>
      </c>
      <c r="N209" s="236"/>
      <c r="O209" s="825" t="s">
        <v>12</v>
      </c>
      <c r="P209" s="825"/>
      <c r="R209" s="220" t="e">
        <f>INDEX(PMtbl[Component],MATCH(U209,PMtbl[Category],0),)</f>
        <v>#N/A</v>
      </c>
      <c r="S209" s="220" t="e">
        <f>INDEX(PMtbl[WKst],MATCH(U209,PMtbl[Category],0),)</f>
        <v>#N/A</v>
      </c>
      <c r="T209" s="220" t="e">
        <f>INDEX(PMtbl[Sec],MATCH(U209,PMtbl[Category],0),)</f>
        <v>#N/A</v>
      </c>
      <c r="U209" s="241" t="e" cm="1">
        <f t="array" ref="U209">INDEX(PMtbl[Category],MATCH(0,INDEX(COUNTIF($U$2:U208,PMtbl[Category]),),0))</f>
        <v>#N/A</v>
      </c>
      <c r="X209"/>
      <c r="Y209"/>
      <c r="Z209"/>
      <c r="AA209"/>
      <c r="AB209"/>
      <c r="AC209" s="243"/>
      <c r="AD209" s="243"/>
      <c r="AE209" s="243"/>
      <c r="AF209" s="243"/>
    </row>
    <row r="210" spans="1:32" x14ac:dyDescent="0.35">
      <c r="A210" s="825" t="s">
        <v>2749</v>
      </c>
      <c r="B210" s="825" t="s">
        <v>2750</v>
      </c>
      <c r="C210" s="825">
        <v>4</v>
      </c>
      <c r="D210" s="825" t="s">
        <v>25</v>
      </c>
      <c r="E210" s="825" t="s">
        <v>26</v>
      </c>
      <c r="F210" s="220">
        <v>200</v>
      </c>
      <c r="G210" s="825" t="s">
        <v>1985</v>
      </c>
      <c r="H210" s="825" t="s">
        <v>1987</v>
      </c>
      <c r="I210" s="220" t="s">
        <v>82</v>
      </c>
      <c r="J210" s="220" t="str">
        <f>PMtbl[[#This Row],[Category]]&amp;PMtbl[[#This Row],[Each]]&amp;PMtbl[[#This Row],[Packaging]]</f>
        <v>Laboratory EquipmentGlove boxEquipment</v>
      </c>
      <c r="K210">
        <v>0</v>
      </c>
      <c r="L210" s="236">
        <v>6.6</v>
      </c>
      <c r="M210" s="234" t="s">
        <v>183</v>
      </c>
      <c r="N210" s="236"/>
      <c r="O210" s="825" t="s">
        <v>12</v>
      </c>
      <c r="P210" s="825"/>
      <c r="R210" s="220" t="e">
        <f>INDEX(PMtbl[Component],MATCH(U210,PMtbl[Category],0),)</f>
        <v>#N/A</v>
      </c>
      <c r="S210" s="220" t="e">
        <f>INDEX(PMtbl[WKst],MATCH(U210,PMtbl[Category],0),)</f>
        <v>#N/A</v>
      </c>
      <c r="T210" s="220" t="e">
        <f>INDEX(PMtbl[Sec],MATCH(U210,PMtbl[Category],0),)</f>
        <v>#N/A</v>
      </c>
      <c r="U210" s="241" t="e" cm="1">
        <f t="array" ref="U210">INDEX(PMtbl[Category],MATCH(0,INDEX(COUNTIF($U$2:U209,PMtbl[Category]),),0))</f>
        <v>#N/A</v>
      </c>
      <c r="X210"/>
      <c r="Y210"/>
      <c r="Z210"/>
      <c r="AA210"/>
      <c r="AB210"/>
      <c r="AC210" s="243"/>
      <c r="AD210" s="243"/>
      <c r="AE210" s="243"/>
      <c r="AF210" s="243"/>
    </row>
    <row r="211" spans="1:32" x14ac:dyDescent="0.35">
      <c r="A211" s="825" t="s">
        <v>2749</v>
      </c>
      <c r="B211" s="825" t="s">
        <v>2750</v>
      </c>
      <c r="C211" s="825">
        <v>4</v>
      </c>
      <c r="D211" s="825" t="s">
        <v>25</v>
      </c>
      <c r="E211" s="825" t="s">
        <v>26</v>
      </c>
      <c r="F211" s="220">
        <v>201</v>
      </c>
      <c r="G211" s="825" t="s">
        <v>1985</v>
      </c>
      <c r="H211" s="825" t="s">
        <v>2777</v>
      </c>
      <c r="I211" s="220" t="s">
        <v>82</v>
      </c>
      <c r="J211" s="220" t="str">
        <f>PMtbl[[#This Row],[Category]]&amp;PMtbl[[#This Row],[Each]]&amp;PMtbl[[#This Row],[Packaging]]</f>
        <v>Laboratory EquipmentGlove boxSpare parts and accessories</v>
      </c>
      <c r="K211">
        <v>0</v>
      </c>
      <c r="L211" s="236">
        <v>6.6</v>
      </c>
      <c r="M211" s="234" t="s">
        <v>183</v>
      </c>
      <c r="N211" s="236"/>
      <c r="O211" s="825" t="s">
        <v>12</v>
      </c>
      <c r="P211" s="825"/>
      <c r="R211" s="220" t="e">
        <f>INDEX(PMtbl[Component],MATCH(U211,PMtbl[Category],0),)</f>
        <v>#N/A</v>
      </c>
      <c r="S211" s="220" t="e">
        <f>INDEX(PMtbl[WKst],MATCH(U211,PMtbl[Category],0),)</f>
        <v>#N/A</v>
      </c>
      <c r="T211" s="220" t="e">
        <f>INDEX(PMtbl[Sec],MATCH(U211,PMtbl[Category],0),)</f>
        <v>#N/A</v>
      </c>
      <c r="U211" s="241" t="e" cm="1">
        <f t="array" ref="U211">INDEX(PMtbl[Category],MATCH(0,INDEX(COUNTIF($U$2:U210,PMtbl[Category]),),0))</f>
        <v>#N/A</v>
      </c>
      <c r="X211"/>
      <c r="Y211"/>
      <c r="Z211"/>
      <c r="AA211"/>
      <c r="AB211"/>
      <c r="AC211" s="243"/>
      <c r="AD211" s="243"/>
      <c r="AE211" s="243"/>
      <c r="AF211" s="243"/>
    </row>
    <row r="212" spans="1:32" x14ac:dyDescent="0.35">
      <c r="A212" s="825" t="s">
        <v>2749</v>
      </c>
      <c r="B212" s="825" t="s">
        <v>2750</v>
      </c>
      <c r="C212" s="825">
        <v>4</v>
      </c>
      <c r="D212" s="825" t="s">
        <v>25</v>
      </c>
      <c r="E212" s="825" t="s">
        <v>26</v>
      </c>
      <c r="F212" s="220">
        <v>202</v>
      </c>
      <c r="G212" s="825" t="s">
        <v>1985</v>
      </c>
      <c r="H212" s="825" t="s">
        <v>2778</v>
      </c>
      <c r="I212" s="220" t="s">
        <v>82</v>
      </c>
      <c r="J212" s="220" t="str">
        <f>PMtbl[[#This Row],[Category]]&amp;PMtbl[[#This Row],[Each]]&amp;PMtbl[[#This Row],[Packaging]]</f>
        <v>Laboratory EquipmentGlove boxWarranty, maintenance and service</v>
      </c>
      <c r="K212">
        <v>0</v>
      </c>
      <c r="L212" s="236">
        <v>6.5</v>
      </c>
      <c r="M212" s="234" t="s">
        <v>182</v>
      </c>
      <c r="N212" s="236"/>
      <c r="O212" s="825" t="s">
        <v>12</v>
      </c>
      <c r="P212" s="825"/>
      <c r="R212" s="220" t="e">
        <f>INDEX(PMtbl[Component],MATCH(U212,PMtbl[Category],0),)</f>
        <v>#N/A</v>
      </c>
      <c r="S212" s="220" t="e">
        <f>INDEX(PMtbl[WKst],MATCH(U212,PMtbl[Category],0),)</f>
        <v>#N/A</v>
      </c>
      <c r="T212" s="220" t="e">
        <f>INDEX(PMtbl[Sec],MATCH(U212,PMtbl[Category],0),)</f>
        <v>#N/A</v>
      </c>
      <c r="U212" s="241" t="e" cm="1">
        <f t="array" ref="U212">INDEX(PMtbl[Category],MATCH(0,INDEX(COUNTIF($U$2:U211,PMtbl[Category]),),0))</f>
        <v>#N/A</v>
      </c>
      <c r="X212"/>
      <c r="Y212"/>
      <c r="Z212"/>
      <c r="AA212"/>
      <c r="AB212"/>
      <c r="AC212" s="243"/>
      <c r="AD212" s="243"/>
      <c r="AE212" s="243"/>
      <c r="AF212" s="243"/>
    </row>
    <row r="213" spans="1:32" x14ac:dyDescent="0.35">
      <c r="A213" s="825" t="s">
        <v>2749</v>
      </c>
      <c r="B213" s="825" t="s">
        <v>2750</v>
      </c>
      <c r="C213" s="825">
        <v>4</v>
      </c>
      <c r="D213" s="825" t="s">
        <v>25</v>
      </c>
      <c r="E213" s="825" t="s">
        <v>26</v>
      </c>
      <c r="F213" s="220">
        <v>203</v>
      </c>
      <c r="G213" s="825" t="s">
        <v>1916</v>
      </c>
      <c r="H213" s="825" t="s">
        <v>1987</v>
      </c>
      <c r="I213" s="220" t="s">
        <v>82</v>
      </c>
      <c r="J213" s="220" t="str">
        <f>PMtbl[[#This Row],[Category]]&amp;PMtbl[[#This Row],[Each]]&amp;PMtbl[[#This Row],[Packaging]]</f>
        <v>Laboratory EquipmentIncubatorEquipment</v>
      </c>
      <c r="K213">
        <v>0</v>
      </c>
      <c r="L213" s="236">
        <v>6.6</v>
      </c>
      <c r="M213" s="234" t="s">
        <v>183</v>
      </c>
      <c r="N213" s="236"/>
      <c r="O213" s="825" t="s">
        <v>12</v>
      </c>
      <c r="P213" s="825"/>
      <c r="R213" s="220" t="e">
        <f>INDEX(PMtbl[Component],MATCH(U213,PMtbl[Category],0),)</f>
        <v>#N/A</v>
      </c>
      <c r="S213" s="220" t="e">
        <f>INDEX(PMtbl[WKst],MATCH(U213,PMtbl[Category],0),)</f>
        <v>#N/A</v>
      </c>
      <c r="T213" s="220" t="e">
        <f>INDEX(PMtbl[Sec],MATCH(U213,PMtbl[Category],0),)</f>
        <v>#N/A</v>
      </c>
      <c r="U213" s="241" t="e" cm="1">
        <f t="array" ref="U213">INDEX(PMtbl[Category],MATCH(0,INDEX(COUNTIF($U$2:U212,PMtbl[Category]),),0))</f>
        <v>#N/A</v>
      </c>
      <c r="X213"/>
      <c r="Y213"/>
      <c r="Z213"/>
      <c r="AA213"/>
      <c r="AB213"/>
      <c r="AC213" s="243"/>
      <c r="AD213" s="243"/>
      <c r="AE213" s="243"/>
      <c r="AF213" s="243"/>
    </row>
    <row r="214" spans="1:32" x14ac:dyDescent="0.35">
      <c r="A214" s="825" t="s">
        <v>2749</v>
      </c>
      <c r="B214" s="825" t="s">
        <v>2750</v>
      </c>
      <c r="C214" s="825">
        <v>4</v>
      </c>
      <c r="D214" s="825" t="s">
        <v>25</v>
      </c>
      <c r="E214" s="825" t="s">
        <v>26</v>
      </c>
      <c r="F214" s="220">
        <v>204</v>
      </c>
      <c r="G214" s="825" t="s">
        <v>1916</v>
      </c>
      <c r="H214" s="825" t="s">
        <v>2777</v>
      </c>
      <c r="I214" s="220" t="s">
        <v>82</v>
      </c>
      <c r="J214" s="220" t="str">
        <f>PMtbl[[#This Row],[Category]]&amp;PMtbl[[#This Row],[Each]]&amp;PMtbl[[#This Row],[Packaging]]</f>
        <v>Laboratory EquipmentIncubatorSpare parts and accessories</v>
      </c>
      <c r="K214">
        <v>0</v>
      </c>
      <c r="L214" s="236">
        <v>6.6</v>
      </c>
      <c r="M214" s="234" t="s">
        <v>183</v>
      </c>
      <c r="N214" s="236"/>
      <c r="O214" s="825" t="s">
        <v>12</v>
      </c>
      <c r="P214" s="825"/>
      <c r="R214" s="220" t="e">
        <f>INDEX(PMtbl[Component],MATCH(U214,PMtbl[Category],0),)</f>
        <v>#N/A</v>
      </c>
      <c r="S214" s="220" t="e">
        <f>INDEX(PMtbl[WKst],MATCH(U214,PMtbl[Category],0),)</f>
        <v>#N/A</v>
      </c>
      <c r="T214" s="220" t="e">
        <f>INDEX(PMtbl[Sec],MATCH(U214,PMtbl[Category],0),)</f>
        <v>#N/A</v>
      </c>
      <c r="U214" s="241" t="e" cm="1">
        <f t="array" ref="U214">INDEX(PMtbl[Category],MATCH(0,INDEX(COUNTIF($U$2:U213,PMtbl[Category]),),0))</f>
        <v>#N/A</v>
      </c>
      <c r="X214"/>
      <c r="Y214"/>
      <c r="Z214"/>
      <c r="AA214"/>
      <c r="AB214"/>
      <c r="AC214" s="243"/>
      <c r="AD214" s="243"/>
      <c r="AE214" s="243"/>
      <c r="AF214" s="243"/>
    </row>
    <row r="215" spans="1:32" x14ac:dyDescent="0.35">
      <c r="A215" s="825" t="s">
        <v>2749</v>
      </c>
      <c r="B215" s="825" t="s">
        <v>2750</v>
      </c>
      <c r="C215" s="825">
        <v>4</v>
      </c>
      <c r="D215" s="825" t="s">
        <v>25</v>
      </c>
      <c r="E215" s="825" t="s">
        <v>26</v>
      </c>
      <c r="F215" s="220">
        <v>205</v>
      </c>
      <c r="G215" s="825" t="s">
        <v>1916</v>
      </c>
      <c r="H215" s="825" t="s">
        <v>2778</v>
      </c>
      <c r="I215" s="220" t="s">
        <v>82</v>
      </c>
      <c r="J215" s="220" t="str">
        <f>PMtbl[[#This Row],[Category]]&amp;PMtbl[[#This Row],[Each]]&amp;PMtbl[[#This Row],[Packaging]]</f>
        <v>Laboratory EquipmentIncubatorWarranty, maintenance and service</v>
      </c>
      <c r="K215">
        <v>0</v>
      </c>
      <c r="L215" s="236">
        <v>6.5</v>
      </c>
      <c r="M215" s="234" t="s">
        <v>182</v>
      </c>
      <c r="N215" s="236"/>
      <c r="O215" s="825" t="s">
        <v>12</v>
      </c>
      <c r="P215" s="825"/>
      <c r="R215" s="220" t="e">
        <f>INDEX(PMtbl[Component],MATCH(U215,PMtbl[Category],0),)</f>
        <v>#N/A</v>
      </c>
      <c r="S215" s="220" t="e">
        <f>INDEX(PMtbl[WKst],MATCH(U215,PMtbl[Category],0),)</f>
        <v>#N/A</v>
      </c>
      <c r="T215" s="220" t="e">
        <f>INDEX(PMtbl[Sec],MATCH(U215,PMtbl[Category],0),)</f>
        <v>#N/A</v>
      </c>
      <c r="U215" s="241" t="e" cm="1">
        <f t="array" ref="U215">INDEX(PMtbl[Category],MATCH(0,INDEX(COUNTIF($U$2:U214,PMtbl[Category]),),0))</f>
        <v>#N/A</v>
      </c>
      <c r="X215"/>
      <c r="Y215"/>
      <c r="Z215"/>
      <c r="AA215"/>
      <c r="AB215"/>
      <c r="AC215" s="243"/>
      <c r="AD215" s="243"/>
      <c r="AE215" s="243"/>
      <c r="AF215" s="243"/>
    </row>
    <row r="216" spans="1:32" x14ac:dyDescent="0.35">
      <c r="A216" s="825" t="s">
        <v>2749</v>
      </c>
      <c r="B216" s="825" t="s">
        <v>2750</v>
      </c>
      <c r="C216" s="825">
        <v>4</v>
      </c>
      <c r="D216" s="825" t="s">
        <v>25</v>
      </c>
      <c r="E216" s="825" t="s">
        <v>26</v>
      </c>
      <c r="F216" s="220">
        <v>206</v>
      </c>
      <c r="G216" s="825" t="s">
        <v>1917</v>
      </c>
      <c r="H216" s="825" t="s">
        <v>1987</v>
      </c>
      <c r="I216" s="220" t="s">
        <v>82</v>
      </c>
      <c r="J216" s="220" t="str">
        <f>PMtbl[[#This Row],[Category]]&amp;PMtbl[[#This Row],[Each]]&amp;PMtbl[[#This Row],[Packaging]]</f>
        <v>Laboratory EquipmentLaboratory freezerEquipment</v>
      </c>
      <c r="K216">
        <v>0</v>
      </c>
      <c r="L216" s="236">
        <v>6.6</v>
      </c>
      <c r="M216" s="234" t="s">
        <v>183</v>
      </c>
      <c r="N216" s="236"/>
      <c r="O216" s="825" t="s">
        <v>12</v>
      </c>
      <c r="P216" s="825"/>
      <c r="R216" s="220" t="e">
        <f>INDEX(PMtbl[Component],MATCH(U216,PMtbl[Category],0),)</f>
        <v>#N/A</v>
      </c>
      <c r="S216" s="220" t="e">
        <f>INDEX(PMtbl[WKst],MATCH(U216,PMtbl[Category],0),)</f>
        <v>#N/A</v>
      </c>
      <c r="T216" s="220" t="e">
        <f>INDEX(PMtbl[Sec],MATCH(U216,PMtbl[Category],0),)</f>
        <v>#N/A</v>
      </c>
      <c r="U216" s="241" t="e" cm="1">
        <f t="array" ref="U216">INDEX(PMtbl[Category],MATCH(0,INDEX(COUNTIF($U$2:U215,PMtbl[Category]),),0))</f>
        <v>#N/A</v>
      </c>
      <c r="X216"/>
      <c r="Y216"/>
      <c r="Z216"/>
      <c r="AA216"/>
      <c r="AB216"/>
      <c r="AC216" s="243"/>
      <c r="AD216" s="243"/>
      <c r="AE216" s="243"/>
      <c r="AF216" s="243"/>
    </row>
    <row r="217" spans="1:32" x14ac:dyDescent="0.35">
      <c r="A217" s="825" t="s">
        <v>2749</v>
      </c>
      <c r="B217" s="825" t="s">
        <v>2750</v>
      </c>
      <c r="C217" s="825">
        <v>4</v>
      </c>
      <c r="D217" s="825" t="s">
        <v>25</v>
      </c>
      <c r="E217" s="825" t="s">
        <v>26</v>
      </c>
      <c r="F217" s="220">
        <v>207</v>
      </c>
      <c r="G217" s="825" t="s">
        <v>1917</v>
      </c>
      <c r="H217" s="825" t="s">
        <v>2777</v>
      </c>
      <c r="I217" s="220" t="s">
        <v>82</v>
      </c>
      <c r="J217" s="220" t="str">
        <f>PMtbl[[#This Row],[Category]]&amp;PMtbl[[#This Row],[Each]]&amp;PMtbl[[#This Row],[Packaging]]</f>
        <v>Laboratory EquipmentLaboratory freezerSpare parts and accessories</v>
      </c>
      <c r="K217">
        <v>0</v>
      </c>
      <c r="L217" s="236">
        <v>6.6</v>
      </c>
      <c r="M217" s="234" t="s">
        <v>183</v>
      </c>
      <c r="N217" s="236"/>
      <c r="O217" s="825" t="s">
        <v>12</v>
      </c>
      <c r="P217" s="825"/>
      <c r="R217" s="220" t="e">
        <f>INDEX(PMtbl[Component],MATCH(U217,PMtbl[Category],0),)</f>
        <v>#N/A</v>
      </c>
      <c r="S217" s="220" t="e">
        <f>INDEX(PMtbl[WKst],MATCH(U217,PMtbl[Category],0),)</f>
        <v>#N/A</v>
      </c>
      <c r="T217" s="220" t="e">
        <f>INDEX(PMtbl[Sec],MATCH(U217,PMtbl[Category],0),)</f>
        <v>#N/A</v>
      </c>
      <c r="U217" s="241" t="e" cm="1">
        <f t="array" ref="U217">INDEX(PMtbl[Category],MATCH(0,INDEX(COUNTIF($U$2:U216,PMtbl[Category]),),0))</f>
        <v>#N/A</v>
      </c>
      <c r="X217"/>
      <c r="Y217"/>
      <c r="Z217"/>
      <c r="AA217"/>
      <c r="AB217"/>
      <c r="AC217" s="243"/>
      <c r="AD217" s="243"/>
      <c r="AE217" s="243"/>
      <c r="AF217" s="243"/>
    </row>
    <row r="218" spans="1:32" x14ac:dyDescent="0.35">
      <c r="A218" s="825" t="s">
        <v>2749</v>
      </c>
      <c r="B218" s="825" t="s">
        <v>2750</v>
      </c>
      <c r="C218" s="825">
        <v>4</v>
      </c>
      <c r="D218" s="825" t="s">
        <v>25</v>
      </c>
      <c r="E218" s="825" t="s">
        <v>26</v>
      </c>
      <c r="F218" s="220">
        <v>208</v>
      </c>
      <c r="G218" s="825" t="s">
        <v>1917</v>
      </c>
      <c r="H218" s="825" t="s">
        <v>2778</v>
      </c>
      <c r="I218" s="220" t="s">
        <v>82</v>
      </c>
      <c r="J218" s="220" t="str">
        <f>PMtbl[[#This Row],[Category]]&amp;PMtbl[[#This Row],[Each]]&amp;PMtbl[[#This Row],[Packaging]]</f>
        <v>Laboratory EquipmentLaboratory freezerWarranty, maintenance and service</v>
      </c>
      <c r="K218">
        <v>0</v>
      </c>
      <c r="L218" s="236">
        <v>6.5</v>
      </c>
      <c r="M218" s="234" t="s">
        <v>182</v>
      </c>
      <c r="N218" s="236"/>
      <c r="O218" s="825" t="s">
        <v>12</v>
      </c>
      <c r="P218" s="825"/>
      <c r="R218" s="220" t="e">
        <f>INDEX(PMtbl[Component],MATCH(U218,PMtbl[Category],0),)</f>
        <v>#N/A</v>
      </c>
      <c r="S218" s="220" t="e">
        <f>INDEX(PMtbl[WKst],MATCH(U218,PMtbl[Category],0),)</f>
        <v>#N/A</v>
      </c>
      <c r="T218" s="220" t="e">
        <f>INDEX(PMtbl[Sec],MATCH(U218,PMtbl[Category],0),)</f>
        <v>#N/A</v>
      </c>
      <c r="U218" s="241" t="e" cm="1">
        <f t="array" ref="U218">INDEX(PMtbl[Category],MATCH(0,INDEX(COUNTIF($U$2:U217,PMtbl[Category]),),0))</f>
        <v>#N/A</v>
      </c>
      <c r="X218"/>
      <c r="Y218"/>
      <c r="Z218"/>
      <c r="AA218"/>
      <c r="AB218"/>
      <c r="AC218" s="243"/>
      <c r="AD218" s="243"/>
      <c r="AE218" s="243"/>
      <c r="AF218" s="243"/>
    </row>
    <row r="219" spans="1:32" x14ac:dyDescent="0.35">
      <c r="A219" s="825" t="s">
        <v>2749</v>
      </c>
      <c r="B219" s="825" t="s">
        <v>2750</v>
      </c>
      <c r="C219" s="825">
        <v>4</v>
      </c>
      <c r="D219" s="825" t="s">
        <v>25</v>
      </c>
      <c r="E219" s="825" t="s">
        <v>26</v>
      </c>
      <c r="F219" s="220">
        <v>209</v>
      </c>
      <c r="G219" s="825" t="s">
        <v>2964</v>
      </c>
      <c r="H219" s="825" t="s">
        <v>1987</v>
      </c>
      <c r="I219" s="220" t="s">
        <v>82</v>
      </c>
      <c r="J219" s="220" t="str">
        <f>PMtbl[[#This Row],[Category]]&amp;PMtbl[[#This Row],[Each]]&amp;PMtbl[[#This Row],[Packaging]]</f>
        <v>Laboratory EquipmentLaboratory freezer - ultra lowEquipment</v>
      </c>
      <c r="K219">
        <v>0</v>
      </c>
      <c r="L219" s="236">
        <v>6.6</v>
      </c>
      <c r="M219" s="234" t="s">
        <v>183</v>
      </c>
      <c r="N219" s="236"/>
      <c r="O219" s="825" t="s">
        <v>12</v>
      </c>
      <c r="P219" s="825"/>
      <c r="R219" s="220" t="e">
        <f>INDEX(PMtbl[Component],MATCH(U219,PMtbl[Category],0),)</f>
        <v>#N/A</v>
      </c>
      <c r="S219" s="220" t="e">
        <f>INDEX(PMtbl[WKst],MATCH(U219,PMtbl[Category],0),)</f>
        <v>#N/A</v>
      </c>
      <c r="T219" s="220" t="e">
        <f>INDEX(PMtbl[Sec],MATCH(U219,PMtbl[Category],0),)</f>
        <v>#N/A</v>
      </c>
      <c r="U219" s="241" t="e" cm="1">
        <f t="array" ref="U219">INDEX(PMtbl[Category],MATCH(0,INDEX(COUNTIF($U$2:U218,PMtbl[Category]),),0))</f>
        <v>#N/A</v>
      </c>
      <c r="X219"/>
      <c r="Y219"/>
      <c r="Z219"/>
      <c r="AA219"/>
      <c r="AB219"/>
      <c r="AC219" s="243"/>
      <c r="AD219" s="243"/>
      <c r="AE219" s="243"/>
      <c r="AF219" s="243"/>
    </row>
    <row r="220" spans="1:32" x14ac:dyDescent="0.35">
      <c r="A220" s="825" t="s">
        <v>2749</v>
      </c>
      <c r="B220" s="825" t="s">
        <v>2750</v>
      </c>
      <c r="C220" s="825">
        <v>4</v>
      </c>
      <c r="D220" s="825" t="s">
        <v>25</v>
      </c>
      <c r="E220" s="825" t="s">
        <v>26</v>
      </c>
      <c r="F220" s="220">
        <v>210</v>
      </c>
      <c r="G220" s="825" t="s">
        <v>2964</v>
      </c>
      <c r="H220" s="825" t="s">
        <v>2777</v>
      </c>
      <c r="I220" s="220" t="s">
        <v>82</v>
      </c>
      <c r="J220" s="220" t="str">
        <f>PMtbl[[#This Row],[Category]]&amp;PMtbl[[#This Row],[Each]]&amp;PMtbl[[#This Row],[Packaging]]</f>
        <v>Laboratory EquipmentLaboratory freezer - ultra lowSpare parts and accessories</v>
      </c>
      <c r="K220">
        <v>0</v>
      </c>
      <c r="L220" s="236">
        <v>6.6</v>
      </c>
      <c r="M220" s="234" t="s">
        <v>183</v>
      </c>
      <c r="N220" s="236"/>
      <c r="O220" s="825" t="s">
        <v>12</v>
      </c>
      <c r="P220" s="825"/>
      <c r="R220" s="220" t="e">
        <f>INDEX(PMtbl[Component],MATCH(U220,PMtbl[Category],0),)</f>
        <v>#N/A</v>
      </c>
      <c r="S220" s="220" t="e">
        <f>INDEX(PMtbl[WKst],MATCH(U220,PMtbl[Category],0),)</f>
        <v>#N/A</v>
      </c>
      <c r="T220" s="220" t="e">
        <f>INDEX(PMtbl[Sec],MATCH(U220,PMtbl[Category],0),)</f>
        <v>#N/A</v>
      </c>
      <c r="U220" s="241" t="e" cm="1">
        <f t="array" ref="U220">INDEX(PMtbl[Category],MATCH(0,INDEX(COUNTIF($U$2:U219,PMtbl[Category]),),0))</f>
        <v>#N/A</v>
      </c>
      <c r="X220"/>
      <c r="Y220"/>
      <c r="Z220"/>
      <c r="AA220"/>
      <c r="AB220"/>
      <c r="AC220" s="243"/>
      <c r="AD220" s="243"/>
      <c r="AE220" s="243"/>
      <c r="AF220" s="243"/>
    </row>
    <row r="221" spans="1:32" x14ac:dyDescent="0.35">
      <c r="A221" s="825" t="s">
        <v>2749</v>
      </c>
      <c r="B221" s="825" t="s">
        <v>2750</v>
      </c>
      <c r="C221" s="825">
        <v>4</v>
      </c>
      <c r="D221" s="825" t="s">
        <v>25</v>
      </c>
      <c r="E221" s="825" t="s">
        <v>26</v>
      </c>
      <c r="F221" s="220">
        <v>211</v>
      </c>
      <c r="G221" s="825" t="s">
        <v>2964</v>
      </c>
      <c r="H221" s="825" t="s">
        <v>2778</v>
      </c>
      <c r="I221" s="220" t="s">
        <v>82</v>
      </c>
      <c r="J221" s="220" t="str">
        <f>PMtbl[[#This Row],[Category]]&amp;PMtbl[[#This Row],[Each]]&amp;PMtbl[[#This Row],[Packaging]]</f>
        <v>Laboratory EquipmentLaboratory freezer - ultra lowWarranty, maintenance and service</v>
      </c>
      <c r="K221">
        <v>0</v>
      </c>
      <c r="L221" s="236">
        <v>6.5</v>
      </c>
      <c r="M221" s="234" t="s">
        <v>182</v>
      </c>
      <c r="N221" s="236"/>
      <c r="O221" s="825" t="s">
        <v>12</v>
      </c>
      <c r="P221" s="825"/>
      <c r="R221" s="220" t="e">
        <f>INDEX(PMtbl[Component],MATCH(U221,PMtbl[Category],0),)</f>
        <v>#N/A</v>
      </c>
      <c r="S221" s="220" t="e">
        <f>INDEX(PMtbl[WKst],MATCH(U221,PMtbl[Category],0),)</f>
        <v>#N/A</v>
      </c>
      <c r="T221" s="220" t="e">
        <f>INDEX(PMtbl[Sec],MATCH(U221,PMtbl[Category],0),)</f>
        <v>#N/A</v>
      </c>
      <c r="U221" s="241" t="e" cm="1">
        <f t="array" ref="U221">INDEX(PMtbl[Category],MATCH(0,INDEX(COUNTIF($U$2:U220,PMtbl[Category]),),0))</f>
        <v>#N/A</v>
      </c>
      <c r="X221"/>
      <c r="Y221"/>
      <c r="Z221"/>
      <c r="AA221"/>
      <c r="AB221"/>
      <c r="AC221" s="243"/>
      <c r="AD221" s="243"/>
      <c r="AE221" s="243"/>
      <c r="AF221" s="243"/>
    </row>
    <row r="222" spans="1:32" x14ac:dyDescent="0.35">
      <c r="A222" s="825" t="s">
        <v>2749</v>
      </c>
      <c r="B222" s="825" t="s">
        <v>2750</v>
      </c>
      <c r="C222" s="825">
        <v>4</v>
      </c>
      <c r="D222" s="825" t="s">
        <v>25</v>
      </c>
      <c r="E222" s="825" t="s">
        <v>26</v>
      </c>
      <c r="F222" s="220">
        <v>212</v>
      </c>
      <c r="G222" s="825" t="s">
        <v>27</v>
      </c>
      <c r="H222" s="825" t="s">
        <v>1987</v>
      </c>
      <c r="I222" s="220" t="s">
        <v>82</v>
      </c>
      <c r="J222" s="220" t="str">
        <f>PMtbl[[#This Row],[Category]]&amp;PMtbl[[#This Row],[Each]]&amp;PMtbl[[#This Row],[Packaging]]</f>
        <v>Laboratory EquipmentLaboratory refrigeratorEquipment</v>
      </c>
      <c r="K222">
        <v>0</v>
      </c>
      <c r="L222" s="236">
        <v>6.6</v>
      </c>
      <c r="M222" s="234" t="s">
        <v>183</v>
      </c>
      <c r="N222" s="236"/>
      <c r="O222" s="825" t="s">
        <v>12</v>
      </c>
      <c r="P222" s="825"/>
      <c r="R222" s="220" t="e">
        <f>INDEX(PMtbl[Component],MATCH(U222,PMtbl[Category],0),)</f>
        <v>#N/A</v>
      </c>
      <c r="S222" s="220" t="e">
        <f>INDEX(PMtbl[WKst],MATCH(U222,PMtbl[Category],0),)</f>
        <v>#N/A</v>
      </c>
      <c r="T222" s="220" t="e">
        <f>INDEX(PMtbl[Sec],MATCH(U222,PMtbl[Category],0),)</f>
        <v>#N/A</v>
      </c>
      <c r="U222" s="241" t="e" cm="1">
        <f t="array" ref="U222">INDEX(PMtbl[Category],MATCH(0,INDEX(COUNTIF($U$2:U221,PMtbl[Category]),),0))</f>
        <v>#N/A</v>
      </c>
      <c r="X222"/>
      <c r="Y222"/>
      <c r="Z222"/>
      <c r="AA222"/>
      <c r="AB222"/>
      <c r="AC222" s="243"/>
      <c r="AD222" s="243"/>
      <c r="AE222" s="243"/>
      <c r="AF222" s="243"/>
    </row>
    <row r="223" spans="1:32" x14ac:dyDescent="0.35">
      <c r="A223" s="825" t="s">
        <v>2749</v>
      </c>
      <c r="B223" s="825" t="s">
        <v>2750</v>
      </c>
      <c r="C223" s="825">
        <v>4</v>
      </c>
      <c r="D223" s="825" t="s">
        <v>25</v>
      </c>
      <c r="E223" s="825" t="s">
        <v>26</v>
      </c>
      <c r="F223" s="220">
        <v>213</v>
      </c>
      <c r="G223" s="825" t="s">
        <v>27</v>
      </c>
      <c r="H223" s="825" t="s">
        <v>2777</v>
      </c>
      <c r="I223" s="220" t="s">
        <v>82</v>
      </c>
      <c r="J223" s="220" t="str">
        <f>PMtbl[[#This Row],[Category]]&amp;PMtbl[[#This Row],[Each]]&amp;PMtbl[[#This Row],[Packaging]]</f>
        <v>Laboratory EquipmentLaboratory refrigeratorSpare parts and accessories</v>
      </c>
      <c r="K223">
        <v>0</v>
      </c>
      <c r="L223" s="236">
        <v>6.6</v>
      </c>
      <c r="M223" s="234" t="s">
        <v>183</v>
      </c>
      <c r="N223" s="236"/>
      <c r="O223" s="825" t="s">
        <v>12</v>
      </c>
      <c r="P223" s="825"/>
      <c r="R223" s="220" t="e">
        <f>INDEX(PMtbl[Component],MATCH(U223,PMtbl[Category],0),)</f>
        <v>#N/A</v>
      </c>
      <c r="S223" s="220" t="e">
        <f>INDEX(PMtbl[WKst],MATCH(U223,PMtbl[Category],0),)</f>
        <v>#N/A</v>
      </c>
      <c r="T223" s="220" t="e">
        <f>INDEX(PMtbl[Sec],MATCH(U223,PMtbl[Category],0),)</f>
        <v>#N/A</v>
      </c>
      <c r="U223" s="241" t="e" cm="1">
        <f t="array" ref="U223">INDEX(PMtbl[Category],MATCH(0,INDEX(COUNTIF($U$2:U222,PMtbl[Category]),),0))</f>
        <v>#N/A</v>
      </c>
      <c r="X223"/>
      <c r="Y223"/>
      <c r="Z223"/>
      <c r="AA223"/>
      <c r="AB223"/>
      <c r="AC223" s="243"/>
      <c r="AD223" s="243"/>
      <c r="AE223" s="243"/>
      <c r="AF223" s="243"/>
    </row>
    <row r="224" spans="1:32" x14ac:dyDescent="0.35">
      <c r="A224" s="825" t="s">
        <v>2749</v>
      </c>
      <c r="B224" s="825" t="s">
        <v>2750</v>
      </c>
      <c r="C224" s="825">
        <v>4</v>
      </c>
      <c r="D224" s="825" t="s">
        <v>25</v>
      </c>
      <c r="E224" s="825" t="s">
        <v>26</v>
      </c>
      <c r="F224" s="220">
        <v>214</v>
      </c>
      <c r="G224" s="825" t="s">
        <v>27</v>
      </c>
      <c r="H224" s="825" t="s">
        <v>2778</v>
      </c>
      <c r="I224" s="220" t="s">
        <v>82</v>
      </c>
      <c r="J224" s="220" t="str">
        <f>PMtbl[[#This Row],[Category]]&amp;PMtbl[[#This Row],[Each]]&amp;PMtbl[[#This Row],[Packaging]]</f>
        <v>Laboratory EquipmentLaboratory refrigeratorWarranty, maintenance and service</v>
      </c>
      <c r="K224">
        <v>0</v>
      </c>
      <c r="L224" s="236">
        <v>6.5</v>
      </c>
      <c r="M224" s="234" t="s">
        <v>182</v>
      </c>
      <c r="N224" s="236"/>
      <c r="O224" s="825" t="s">
        <v>12</v>
      </c>
      <c r="P224" s="825"/>
      <c r="R224" s="220" t="e">
        <f>INDEX(PMtbl[Component],MATCH(U224,PMtbl[Category],0),)</f>
        <v>#N/A</v>
      </c>
      <c r="S224" s="220" t="e">
        <f>INDEX(PMtbl[WKst],MATCH(U224,PMtbl[Category],0),)</f>
        <v>#N/A</v>
      </c>
      <c r="T224" s="220" t="e">
        <f>INDEX(PMtbl[Sec],MATCH(U224,PMtbl[Category],0),)</f>
        <v>#N/A</v>
      </c>
      <c r="U224" s="241" t="e" cm="1">
        <f t="array" ref="U224">INDEX(PMtbl[Category],MATCH(0,INDEX(COUNTIF($U$2:U223,PMtbl[Category]),),0))</f>
        <v>#N/A</v>
      </c>
      <c r="X224"/>
      <c r="Y224"/>
      <c r="Z224"/>
      <c r="AA224"/>
      <c r="AB224"/>
      <c r="AC224" s="243"/>
      <c r="AD224" s="243"/>
      <c r="AE224" s="243"/>
      <c r="AF224" s="243"/>
    </row>
    <row r="225" spans="1:32" x14ac:dyDescent="0.35">
      <c r="A225" s="825" t="s">
        <v>2749</v>
      </c>
      <c r="B225" s="825" t="s">
        <v>2750</v>
      </c>
      <c r="C225" s="825">
        <v>4</v>
      </c>
      <c r="D225" s="825" t="s">
        <v>25</v>
      </c>
      <c r="E225" s="825" t="s">
        <v>26</v>
      </c>
      <c r="F225" s="220">
        <v>215</v>
      </c>
      <c r="G225" s="825" t="s">
        <v>1918</v>
      </c>
      <c r="H225" s="825" t="s">
        <v>1987</v>
      </c>
      <c r="I225" s="220" t="s">
        <v>82</v>
      </c>
      <c r="J225" s="220" t="str">
        <f>PMtbl[[#This Row],[Category]]&amp;PMtbl[[#This Row],[Each]]&amp;PMtbl[[#This Row],[Packaging]]</f>
        <v>Laboratory EquipmentMicrocentrifugeEquipment</v>
      </c>
      <c r="K225">
        <v>0</v>
      </c>
      <c r="L225" s="236">
        <v>6.6</v>
      </c>
      <c r="M225" s="234" t="s">
        <v>183</v>
      </c>
      <c r="N225" s="236"/>
      <c r="O225" s="825" t="s">
        <v>12</v>
      </c>
      <c r="P225" s="825"/>
      <c r="R225" s="220" t="e">
        <f>INDEX(PMtbl[Component],MATCH(U225,PMtbl[Category],0),)</f>
        <v>#N/A</v>
      </c>
      <c r="S225" s="220" t="e">
        <f>INDEX(PMtbl[WKst],MATCH(U225,PMtbl[Category],0),)</f>
        <v>#N/A</v>
      </c>
      <c r="T225" s="220" t="e">
        <f>INDEX(PMtbl[Sec],MATCH(U225,PMtbl[Category],0),)</f>
        <v>#N/A</v>
      </c>
      <c r="U225" s="241" t="e" cm="1">
        <f t="array" ref="U225">INDEX(PMtbl[Category],MATCH(0,INDEX(COUNTIF($U$2:U224,PMtbl[Category]),),0))</f>
        <v>#N/A</v>
      </c>
      <c r="X225"/>
      <c r="Y225"/>
      <c r="Z225"/>
      <c r="AA225"/>
      <c r="AB225"/>
      <c r="AC225" s="243"/>
      <c r="AD225" s="243"/>
      <c r="AE225" s="243"/>
      <c r="AF225" s="243"/>
    </row>
    <row r="226" spans="1:32" x14ac:dyDescent="0.35">
      <c r="A226" s="825" t="s">
        <v>2749</v>
      </c>
      <c r="B226" s="825" t="s">
        <v>2750</v>
      </c>
      <c r="C226" s="825">
        <v>4</v>
      </c>
      <c r="D226" s="825" t="s">
        <v>25</v>
      </c>
      <c r="E226" s="825" t="s">
        <v>26</v>
      </c>
      <c r="F226" s="220">
        <v>216</v>
      </c>
      <c r="G226" s="825" t="s">
        <v>1918</v>
      </c>
      <c r="H226" s="825" t="s">
        <v>2777</v>
      </c>
      <c r="I226" s="220" t="s">
        <v>82</v>
      </c>
      <c r="J226" s="220" t="str">
        <f>PMtbl[[#This Row],[Category]]&amp;PMtbl[[#This Row],[Each]]&amp;PMtbl[[#This Row],[Packaging]]</f>
        <v>Laboratory EquipmentMicrocentrifugeSpare parts and accessories</v>
      </c>
      <c r="K226">
        <v>0</v>
      </c>
      <c r="L226" s="236">
        <v>6.6</v>
      </c>
      <c r="M226" s="234" t="s">
        <v>183</v>
      </c>
      <c r="N226" s="236"/>
      <c r="O226" s="825" t="s">
        <v>12</v>
      </c>
      <c r="P226" s="825"/>
      <c r="R226" s="220" t="e">
        <f>INDEX(PMtbl[Component],MATCH(U226,PMtbl[Category],0),)</f>
        <v>#N/A</v>
      </c>
      <c r="S226" s="220" t="e">
        <f>INDEX(PMtbl[WKst],MATCH(U226,PMtbl[Category],0),)</f>
        <v>#N/A</v>
      </c>
      <c r="T226" s="220" t="e">
        <f>INDEX(PMtbl[Sec],MATCH(U226,PMtbl[Category],0),)</f>
        <v>#N/A</v>
      </c>
      <c r="U226" s="241" t="e" cm="1">
        <f t="array" ref="U226">INDEX(PMtbl[Category],MATCH(0,INDEX(COUNTIF($U$2:U225,PMtbl[Category]),),0))</f>
        <v>#N/A</v>
      </c>
      <c r="X226"/>
      <c r="Y226"/>
      <c r="Z226"/>
      <c r="AA226"/>
      <c r="AB226"/>
      <c r="AC226" s="243"/>
      <c r="AD226" s="243"/>
      <c r="AE226" s="243"/>
      <c r="AF226" s="243"/>
    </row>
    <row r="227" spans="1:32" x14ac:dyDescent="0.35">
      <c r="A227" s="825" t="s">
        <v>2749</v>
      </c>
      <c r="B227" s="825" t="s">
        <v>2750</v>
      </c>
      <c r="C227" s="825">
        <v>4</v>
      </c>
      <c r="D227" s="825" t="s">
        <v>25</v>
      </c>
      <c r="E227" s="825" t="s">
        <v>26</v>
      </c>
      <c r="F227" s="220">
        <v>217</v>
      </c>
      <c r="G227" s="825" t="s">
        <v>1918</v>
      </c>
      <c r="H227" s="825" t="s">
        <v>2778</v>
      </c>
      <c r="I227" s="220" t="s">
        <v>82</v>
      </c>
      <c r="J227" s="220" t="str">
        <f>PMtbl[[#This Row],[Category]]&amp;PMtbl[[#This Row],[Each]]&amp;PMtbl[[#This Row],[Packaging]]</f>
        <v>Laboratory EquipmentMicrocentrifugeWarranty, maintenance and service</v>
      </c>
      <c r="K227">
        <v>0</v>
      </c>
      <c r="L227" s="236">
        <v>6.5</v>
      </c>
      <c r="M227" s="234" t="s">
        <v>182</v>
      </c>
      <c r="N227" s="236"/>
      <c r="O227" s="825" t="s">
        <v>12</v>
      </c>
      <c r="P227" s="825"/>
      <c r="R227" s="220" t="e">
        <f>INDEX(PMtbl[Component],MATCH(U227,PMtbl[Category],0),)</f>
        <v>#N/A</v>
      </c>
      <c r="S227" s="220" t="e">
        <f>INDEX(PMtbl[WKst],MATCH(U227,PMtbl[Category],0),)</f>
        <v>#N/A</v>
      </c>
      <c r="T227" s="220" t="e">
        <f>INDEX(PMtbl[Sec],MATCH(U227,PMtbl[Category],0),)</f>
        <v>#N/A</v>
      </c>
      <c r="U227" s="241" t="e" cm="1">
        <f t="array" ref="U227">INDEX(PMtbl[Category],MATCH(0,INDEX(COUNTIF($U$2:U226,PMtbl[Category]),),0))</f>
        <v>#N/A</v>
      </c>
      <c r="X227"/>
      <c r="Y227"/>
      <c r="Z227"/>
      <c r="AA227"/>
      <c r="AB227"/>
      <c r="AC227" s="243"/>
      <c r="AD227" s="243"/>
      <c r="AE227" s="243"/>
      <c r="AF227" s="243"/>
    </row>
    <row r="228" spans="1:32" x14ac:dyDescent="0.35">
      <c r="A228" s="825" t="s">
        <v>2749</v>
      </c>
      <c r="B228" s="825" t="s">
        <v>2750</v>
      </c>
      <c r="C228" s="825">
        <v>4</v>
      </c>
      <c r="D228" s="825" t="s">
        <v>25</v>
      </c>
      <c r="E228" s="825" t="s">
        <v>26</v>
      </c>
      <c r="F228" s="220">
        <v>218</v>
      </c>
      <c r="G228" s="825" t="s">
        <v>1919</v>
      </c>
      <c r="H228" s="825" t="s">
        <v>1987</v>
      </c>
      <c r="I228" s="220" t="s">
        <v>82</v>
      </c>
      <c r="J228" s="220" t="str">
        <f>PMtbl[[#This Row],[Category]]&amp;PMtbl[[#This Row],[Each]]&amp;PMtbl[[#This Row],[Packaging]]</f>
        <v>Laboratory EquipmentRefrigerated bench top centrifugeEquipment</v>
      </c>
      <c r="K228">
        <v>0</v>
      </c>
      <c r="L228" s="236">
        <v>6.6</v>
      </c>
      <c r="M228" s="234" t="s">
        <v>183</v>
      </c>
      <c r="N228" s="236"/>
      <c r="O228" s="825" t="s">
        <v>12</v>
      </c>
      <c r="P228" s="825"/>
      <c r="R228" s="220" t="e">
        <f>INDEX(PMtbl[Component],MATCH(U228,PMtbl[Category],0),)</f>
        <v>#N/A</v>
      </c>
      <c r="S228" s="220" t="e">
        <f>INDEX(PMtbl[WKst],MATCH(U228,PMtbl[Category],0),)</f>
        <v>#N/A</v>
      </c>
      <c r="T228" s="220" t="e">
        <f>INDEX(PMtbl[Sec],MATCH(U228,PMtbl[Category],0),)</f>
        <v>#N/A</v>
      </c>
      <c r="U228" s="241" t="e" cm="1">
        <f t="array" ref="U228">INDEX(PMtbl[Category],MATCH(0,INDEX(COUNTIF($U$2:U227,PMtbl[Category]),),0))</f>
        <v>#N/A</v>
      </c>
      <c r="X228"/>
      <c r="Y228"/>
      <c r="Z228"/>
      <c r="AA228"/>
      <c r="AB228"/>
      <c r="AC228" s="243"/>
      <c r="AD228" s="243"/>
      <c r="AE228" s="243"/>
      <c r="AF228" s="243"/>
    </row>
    <row r="229" spans="1:32" x14ac:dyDescent="0.35">
      <c r="A229" s="825" t="s">
        <v>2749</v>
      </c>
      <c r="B229" s="825" t="s">
        <v>2750</v>
      </c>
      <c r="C229" s="825">
        <v>4</v>
      </c>
      <c r="D229" s="825" t="s">
        <v>25</v>
      </c>
      <c r="E229" s="825" t="s">
        <v>26</v>
      </c>
      <c r="F229" s="220">
        <v>219</v>
      </c>
      <c r="G229" s="825" t="s">
        <v>1919</v>
      </c>
      <c r="H229" s="825" t="s">
        <v>2777</v>
      </c>
      <c r="I229" s="220" t="s">
        <v>82</v>
      </c>
      <c r="J229" s="220" t="str">
        <f>PMtbl[[#This Row],[Category]]&amp;PMtbl[[#This Row],[Each]]&amp;PMtbl[[#This Row],[Packaging]]</f>
        <v>Laboratory EquipmentRefrigerated bench top centrifugeSpare parts and accessories</v>
      </c>
      <c r="K229">
        <v>0</v>
      </c>
      <c r="L229" s="236">
        <v>6.6</v>
      </c>
      <c r="M229" s="234" t="s">
        <v>183</v>
      </c>
      <c r="N229" s="236"/>
      <c r="O229" s="825" t="s">
        <v>12</v>
      </c>
      <c r="P229" s="825"/>
      <c r="R229" s="220" t="e">
        <f>INDEX(PMtbl[Component],MATCH(U229,PMtbl[Category],0),)</f>
        <v>#N/A</v>
      </c>
      <c r="S229" s="220" t="e">
        <f>INDEX(PMtbl[WKst],MATCH(U229,PMtbl[Category],0),)</f>
        <v>#N/A</v>
      </c>
      <c r="T229" s="220" t="e">
        <f>INDEX(PMtbl[Sec],MATCH(U229,PMtbl[Category],0),)</f>
        <v>#N/A</v>
      </c>
      <c r="U229" s="241" t="e" cm="1">
        <f t="array" ref="U229">INDEX(PMtbl[Category],MATCH(0,INDEX(COUNTIF($U$2:U228,PMtbl[Category]),),0))</f>
        <v>#N/A</v>
      </c>
      <c r="X229"/>
      <c r="Y229"/>
      <c r="Z229"/>
      <c r="AA229"/>
      <c r="AB229"/>
      <c r="AC229" s="243"/>
      <c r="AD229" s="243"/>
      <c r="AE229" s="243"/>
      <c r="AF229" s="243"/>
    </row>
    <row r="230" spans="1:32" x14ac:dyDescent="0.35">
      <c r="A230" s="825" t="s">
        <v>2749</v>
      </c>
      <c r="B230" s="825" t="s">
        <v>2750</v>
      </c>
      <c r="C230" s="825">
        <v>4</v>
      </c>
      <c r="D230" s="825" t="s">
        <v>25</v>
      </c>
      <c r="E230" s="825" t="s">
        <v>26</v>
      </c>
      <c r="F230" s="220">
        <v>220</v>
      </c>
      <c r="G230" s="825" t="s">
        <v>1919</v>
      </c>
      <c r="H230" s="825" t="s">
        <v>2778</v>
      </c>
      <c r="I230" s="220" t="s">
        <v>82</v>
      </c>
      <c r="J230" s="220" t="str">
        <f>PMtbl[[#This Row],[Category]]&amp;PMtbl[[#This Row],[Each]]&amp;PMtbl[[#This Row],[Packaging]]</f>
        <v>Laboratory EquipmentRefrigerated bench top centrifugeWarranty, maintenance and service</v>
      </c>
      <c r="K230">
        <v>0</v>
      </c>
      <c r="L230" s="236">
        <v>6.5</v>
      </c>
      <c r="M230" s="234" t="s">
        <v>182</v>
      </c>
      <c r="N230" s="236"/>
      <c r="O230" s="825" t="s">
        <v>12</v>
      </c>
      <c r="P230" s="825"/>
      <c r="R230" s="220" t="e">
        <f>INDEX(PMtbl[Component],MATCH(U230,PMtbl[Category],0),)</f>
        <v>#N/A</v>
      </c>
      <c r="S230" s="220" t="e">
        <f>INDEX(PMtbl[WKst],MATCH(U230,PMtbl[Category],0),)</f>
        <v>#N/A</v>
      </c>
      <c r="T230" s="220" t="e">
        <f>INDEX(PMtbl[Sec],MATCH(U230,PMtbl[Category],0),)</f>
        <v>#N/A</v>
      </c>
      <c r="U230" s="241" t="e" cm="1">
        <f t="array" ref="U230">INDEX(PMtbl[Category],MATCH(0,INDEX(COUNTIF($U$2:U229,PMtbl[Category]),),0))</f>
        <v>#N/A</v>
      </c>
      <c r="X230"/>
      <c r="Y230"/>
      <c r="Z230"/>
      <c r="AA230"/>
      <c r="AB230"/>
      <c r="AC230" s="243"/>
      <c r="AD230" s="243"/>
      <c r="AE230" s="243"/>
      <c r="AF230" s="243"/>
    </row>
    <row r="231" spans="1:32" x14ac:dyDescent="0.35">
      <c r="A231" s="825" t="s">
        <v>2749</v>
      </c>
      <c r="B231" s="825" t="s">
        <v>2750</v>
      </c>
      <c r="C231" s="825">
        <v>4</v>
      </c>
      <c r="D231" s="825" t="s">
        <v>25</v>
      </c>
      <c r="E231" s="825" t="s">
        <v>26</v>
      </c>
      <c r="F231" s="220">
        <v>221</v>
      </c>
      <c r="G231" s="825" t="s">
        <v>2965</v>
      </c>
      <c r="H231" s="825" t="s">
        <v>1987</v>
      </c>
      <c r="I231" s="220" t="s">
        <v>82</v>
      </c>
      <c r="J231" s="220" t="str">
        <f>PMtbl[[#This Row],[Category]]&amp;PMtbl[[#This Row],[Each]]&amp;PMtbl[[#This Row],[Packaging]]</f>
        <v>Laboratory EquipmentThermoblockEquipment</v>
      </c>
      <c r="K231">
        <v>0</v>
      </c>
      <c r="L231" s="236">
        <v>6.6</v>
      </c>
      <c r="M231" s="234" t="s">
        <v>183</v>
      </c>
      <c r="N231" s="236"/>
      <c r="O231" s="825" t="s">
        <v>12</v>
      </c>
      <c r="P231" s="825"/>
      <c r="R231" s="220" t="e">
        <f>INDEX(PMtbl[Component],MATCH(U231,PMtbl[Category],0),)</f>
        <v>#N/A</v>
      </c>
      <c r="S231" s="220" t="e">
        <f>INDEX(PMtbl[WKst],MATCH(U231,PMtbl[Category],0),)</f>
        <v>#N/A</v>
      </c>
      <c r="T231" s="220" t="e">
        <f>INDEX(PMtbl[Sec],MATCH(U231,PMtbl[Category],0),)</f>
        <v>#N/A</v>
      </c>
      <c r="U231" s="241" t="e" cm="1">
        <f t="array" ref="U231">INDEX(PMtbl[Category],MATCH(0,INDEX(COUNTIF($U$2:U230,PMtbl[Category]),),0))</f>
        <v>#N/A</v>
      </c>
      <c r="X231"/>
      <c r="Y231"/>
      <c r="Z231"/>
      <c r="AA231"/>
      <c r="AB231"/>
      <c r="AC231" s="243"/>
      <c r="AD231" s="243"/>
      <c r="AE231" s="243"/>
      <c r="AF231" s="243"/>
    </row>
    <row r="232" spans="1:32" x14ac:dyDescent="0.35">
      <c r="A232" s="825" t="s">
        <v>2749</v>
      </c>
      <c r="B232" s="825" t="s">
        <v>2750</v>
      </c>
      <c r="C232" s="825">
        <v>4</v>
      </c>
      <c r="D232" s="825" t="s">
        <v>25</v>
      </c>
      <c r="E232" s="825" t="s">
        <v>26</v>
      </c>
      <c r="F232" s="220">
        <v>222</v>
      </c>
      <c r="G232" s="825" t="s">
        <v>2965</v>
      </c>
      <c r="H232" s="825" t="s">
        <v>2777</v>
      </c>
      <c r="I232" s="220" t="s">
        <v>82</v>
      </c>
      <c r="J232" s="220" t="str">
        <f>PMtbl[[#This Row],[Category]]&amp;PMtbl[[#This Row],[Each]]&amp;PMtbl[[#This Row],[Packaging]]</f>
        <v>Laboratory EquipmentThermoblockSpare parts and accessories</v>
      </c>
      <c r="K232">
        <v>0</v>
      </c>
      <c r="L232" s="236">
        <v>6.6</v>
      </c>
      <c r="M232" s="234" t="s">
        <v>183</v>
      </c>
      <c r="N232" s="236"/>
      <c r="O232" s="825" t="s">
        <v>12</v>
      </c>
      <c r="P232" s="825"/>
      <c r="R232" s="220" t="e">
        <f>INDEX(PMtbl[Component],MATCH(U232,PMtbl[Category],0),)</f>
        <v>#N/A</v>
      </c>
      <c r="S232" s="220" t="e">
        <f>INDEX(PMtbl[WKst],MATCH(U232,PMtbl[Category],0),)</f>
        <v>#N/A</v>
      </c>
      <c r="T232" s="220" t="e">
        <f>INDEX(PMtbl[Sec],MATCH(U232,PMtbl[Category],0),)</f>
        <v>#N/A</v>
      </c>
      <c r="U232" s="241" t="e" cm="1">
        <f t="array" ref="U232">INDEX(PMtbl[Category],MATCH(0,INDEX(COUNTIF($U$2:U231,PMtbl[Category]),),0))</f>
        <v>#N/A</v>
      </c>
      <c r="X232"/>
      <c r="Y232"/>
      <c r="Z232"/>
      <c r="AA232"/>
      <c r="AB232"/>
      <c r="AC232" s="243"/>
      <c r="AD232" s="243"/>
      <c r="AE232" s="243"/>
      <c r="AF232" s="243"/>
    </row>
    <row r="233" spans="1:32" x14ac:dyDescent="0.35">
      <c r="A233" s="825" t="s">
        <v>2749</v>
      </c>
      <c r="B233" s="825" t="s">
        <v>2750</v>
      </c>
      <c r="C233" s="825">
        <v>4</v>
      </c>
      <c r="D233" s="825" t="s">
        <v>25</v>
      </c>
      <c r="E233" s="825" t="s">
        <v>26</v>
      </c>
      <c r="F233" s="220">
        <v>223</v>
      </c>
      <c r="G233" s="825" t="s">
        <v>2965</v>
      </c>
      <c r="H233" s="825" t="s">
        <v>2778</v>
      </c>
      <c r="I233" s="220" t="s">
        <v>82</v>
      </c>
      <c r="J233" s="220" t="str">
        <f>PMtbl[[#This Row],[Category]]&amp;PMtbl[[#This Row],[Each]]&amp;PMtbl[[#This Row],[Packaging]]</f>
        <v>Laboratory EquipmentThermoblockWarranty, maintenance and service</v>
      </c>
      <c r="K233">
        <v>0</v>
      </c>
      <c r="L233" s="236">
        <v>6.5</v>
      </c>
      <c r="M233" s="234" t="s">
        <v>182</v>
      </c>
      <c r="N233" s="236"/>
      <c r="O233" s="825" t="s">
        <v>12</v>
      </c>
      <c r="P233" s="825"/>
      <c r="R233" s="220" t="e">
        <f>INDEX(PMtbl[Component],MATCH(U233,PMtbl[Category],0),)</f>
        <v>#N/A</v>
      </c>
      <c r="S233" s="220" t="e">
        <f>INDEX(PMtbl[WKst],MATCH(U233,PMtbl[Category],0),)</f>
        <v>#N/A</v>
      </c>
      <c r="T233" s="220" t="e">
        <f>INDEX(PMtbl[Sec],MATCH(U233,PMtbl[Category],0),)</f>
        <v>#N/A</v>
      </c>
      <c r="U233" s="241" t="e" cm="1">
        <f t="array" ref="U233">INDEX(PMtbl[Category],MATCH(0,INDEX(COUNTIF($U$2:U232,PMtbl[Category]),),0))</f>
        <v>#N/A</v>
      </c>
      <c r="X233"/>
      <c r="Y233"/>
      <c r="Z233"/>
      <c r="AA233"/>
      <c r="AB233"/>
      <c r="AC233" s="243"/>
      <c r="AD233" s="243"/>
      <c r="AE233" s="243"/>
      <c r="AF233" s="243"/>
    </row>
    <row r="234" spans="1:32" x14ac:dyDescent="0.35">
      <c r="A234" s="825" t="s">
        <v>2749</v>
      </c>
      <c r="B234" s="825" t="s">
        <v>2750</v>
      </c>
      <c r="C234" s="825">
        <v>4</v>
      </c>
      <c r="D234" s="825" t="s">
        <v>25</v>
      </c>
      <c r="E234" s="825" t="s">
        <v>26</v>
      </c>
      <c r="F234" s="220">
        <v>224</v>
      </c>
      <c r="G234" s="825" t="s">
        <v>2966</v>
      </c>
      <c r="H234" s="825" t="s">
        <v>1987</v>
      </c>
      <c r="I234" s="220" t="s">
        <v>82</v>
      </c>
      <c r="J234" s="220" t="str">
        <f>PMtbl[[#This Row],[Category]]&amp;PMtbl[[#This Row],[Each]]&amp;PMtbl[[#This Row],[Packaging]]</f>
        <v>Laboratory EquipmentVortexEquipment</v>
      </c>
      <c r="K234">
        <v>0</v>
      </c>
      <c r="L234" s="236">
        <v>6.6</v>
      </c>
      <c r="M234" s="234" t="s">
        <v>183</v>
      </c>
      <c r="N234" s="236"/>
      <c r="O234" s="825" t="s">
        <v>12</v>
      </c>
      <c r="P234" s="825"/>
      <c r="R234" s="220" t="e">
        <f>INDEX(PMtbl[Component],MATCH(U234,PMtbl[Category],0),)</f>
        <v>#N/A</v>
      </c>
      <c r="S234" s="220" t="e">
        <f>INDEX(PMtbl[WKst],MATCH(U234,PMtbl[Category],0),)</f>
        <v>#N/A</v>
      </c>
      <c r="T234" s="220" t="e">
        <f>INDEX(PMtbl[Sec],MATCH(U234,PMtbl[Category],0),)</f>
        <v>#N/A</v>
      </c>
      <c r="U234" s="241" t="e" cm="1">
        <f t="array" ref="U234">INDEX(PMtbl[Category],MATCH(0,INDEX(COUNTIF($U$2:U233,PMtbl[Category]),),0))</f>
        <v>#N/A</v>
      </c>
      <c r="X234"/>
      <c r="Y234"/>
      <c r="Z234"/>
      <c r="AA234"/>
      <c r="AB234"/>
      <c r="AC234" s="243"/>
      <c r="AD234" s="243"/>
      <c r="AE234" s="243"/>
      <c r="AF234" s="243"/>
    </row>
    <row r="235" spans="1:32" x14ac:dyDescent="0.35">
      <c r="A235" s="825" t="s">
        <v>2749</v>
      </c>
      <c r="B235" s="825" t="s">
        <v>2750</v>
      </c>
      <c r="C235" s="825">
        <v>4</v>
      </c>
      <c r="D235" s="825" t="s">
        <v>25</v>
      </c>
      <c r="E235" s="825" t="s">
        <v>26</v>
      </c>
      <c r="F235" s="220">
        <v>225</v>
      </c>
      <c r="G235" s="825" t="s">
        <v>2966</v>
      </c>
      <c r="H235" s="825" t="s">
        <v>2777</v>
      </c>
      <c r="I235" s="220" t="s">
        <v>82</v>
      </c>
      <c r="J235" s="220" t="str">
        <f>PMtbl[[#This Row],[Category]]&amp;PMtbl[[#This Row],[Each]]&amp;PMtbl[[#This Row],[Packaging]]</f>
        <v>Laboratory EquipmentVortexSpare parts and accessories</v>
      </c>
      <c r="K235">
        <v>0</v>
      </c>
      <c r="L235" s="236">
        <v>6.6</v>
      </c>
      <c r="M235" s="234" t="s">
        <v>183</v>
      </c>
      <c r="N235" s="236"/>
      <c r="O235" s="825" t="s">
        <v>12</v>
      </c>
      <c r="P235" s="825"/>
      <c r="R235" s="220" t="e">
        <f>INDEX(PMtbl[Component],MATCH(U235,PMtbl[Category],0),)</f>
        <v>#N/A</v>
      </c>
      <c r="S235" s="220" t="e">
        <f>INDEX(PMtbl[WKst],MATCH(U235,PMtbl[Category],0),)</f>
        <v>#N/A</v>
      </c>
      <c r="T235" s="220" t="e">
        <f>INDEX(PMtbl[Sec],MATCH(U235,PMtbl[Category],0),)</f>
        <v>#N/A</v>
      </c>
      <c r="U235" s="241" t="e" cm="1">
        <f t="array" ref="U235">INDEX(PMtbl[Category],MATCH(0,INDEX(COUNTIF($U$2:U234,PMtbl[Category]),),0))</f>
        <v>#N/A</v>
      </c>
      <c r="X235"/>
      <c r="Y235"/>
      <c r="Z235"/>
      <c r="AA235"/>
      <c r="AB235"/>
      <c r="AC235" s="243"/>
      <c r="AD235" s="243"/>
      <c r="AE235" s="243"/>
      <c r="AF235" s="243"/>
    </row>
    <row r="236" spans="1:32" x14ac:dyDescent="0.35">
      <c r="A236" s="825" t="s">
        <v>2749</v>
      </c>
      <c r="B236" s="825" t="s">
        <v>2750</v>
      </c>
      <c r="C236" s="825">
        <v>4</v>
      </c>
      <c r="D236" s="825" t="s">
        <v>25</v>
      </c>
      <c r="E236" s="825" t="s">
        <v>26</v>
      </c>
      <c r="F236" s="220">
        <v>226</v>
      </c>
      <c r="G236" s="825" t="s">
        <v>2966</v>
      </c>
      <c r="H236" s="825" t="s">
        <v>2778</v>
      </c>
      <c r="I236" s="220" t="s">
        <v>82</v>
      </c>
      <c r="J236" s="220" t="str">
        <f>PMtbl[[#This Row],[Category]]&amp;PMtbl[[#This Row],[Each]]&amp;PMtbl[[#This Row],[Packaging]]</f>
        <v>Laboratory EquipmentVortexWarranty, maintenance and service</v>
      </c>
      <c r="K236">
        <v>0</v>
      </c>
      <c r="L236" s="236">
        <v>6.5</v>
      </c>
      <c r="M236" s="234" t="s">
        <v>182</v>
      </c>
      <c r="N236" s="236"/>
      <c r="O236" s="825" t="s">
        <v>12</v>
      </c>
      <c r="P236" s="825"/>
      <c r="R236" s="220" t="e">
        <f>INDEX(PMtbl[Component],MATCH(U236,PMtbl[Category],0),)</f>
        <v>#N/A</v>
      </c>
      <c r="S236" s="220" t="e">
        <f>INDEX(PMtbl[WKst],MATCH(U236,PMtbl[Category],0),)</f>
        <v>#N/A</v>
      </c>
      <c r="T236" s="220" t="e">
        <f>INDEX(PMtbl[Sec],MATCH(U236,PMtbl[Category],0),)</f>
        <v>#N/A</v>
      </c>
      <c r="U236" s="241" t="e" cm="1">
        <f t="array" ref="U236">INDEX(PMtbl[Category],MATCH(0,INDEX(COUNTIF($U$2:U235,PMtbl[Category]),),0))</f>
        <v>#N/A</v>
      </c>
      <c r="X236"/>
      <c r="Y236"/>
      <c r="Z236"/>
      <c r="AA236"/>
      <c r="AB236"/>
      <c r="AC236" s="243"/>
      <c r="AD236" s="243"/>
      <c r="AE236" s="243"/>
      <c r="AF236" s="243"/>
    </row>
    <row r="237" spans="1:32" x14ac:dyDescent="0.35">
      <c r="A237" s="825" t="s">
        <v>2749</v>
      </c>
      <c r="B237" s="825" t="s">
        <v>2750</v>
      </c>
      <c r="C237" s="825">
        <v>5</v>
      </c>
      <c r="D237" s="825" t="s">
        <v>28</v>
      </c>
      <c r="E237" s="825" t="s">
        <v>28</v>
      </c>
      <c r="F237" s="220">
        <v>235</v>
      </c>
      <c r="G237" s="825" t="s">
        <v>2976</v>
      </c>
      <c r="H237" s="825" t="s">
        <v>2977</v>
      </c>
      <c r="I237" s="220" t="s">
        <v>82</v>
      </c>
      <c r="J237" s="220" t="str">
        <f>PMtbl[[#This Row],[Category]]&amp;PMtbl[[#This Row],[Each]]&amp;PMtbl[[#This Row],[Packaging]]</f>
        <v>Cold Chain ConsumablesCold BoxCold box, Large, Long range, vaccine storage capacity</v>
      </c>
      <c r="K237">
        <v>0</v>
      </c>
      <c r="L237" s="236">
        <v>5.8</v>
      </c>
      <c r="M237" s="234" t="s">
        <v>181</v>
      </c>
      <c r="N237" s="236"/>
      <c r="O237" s="825" t="s">
        <v>12</v>
      </c>
      <c r="P237" s="825"/>
      <c r="R237" s="220" t="e">
        <f>INDEX(PMtbl[Component],MATCH(U237,PMtbl[Category],0),)</f>
        <v>#N/A</v>
      </c>
      <c r="S237" s="220" t="e">
        <f>INDEX(PMtbl[WKst],MATCH(U237,PMtbl[Category],0),)</f>
        <v>#N/A</v>
      </c>
      <c r="T237" s="220" t="e">
        <f>INDEX(PMtbl[Sec],MATCH(U237,PMtbl[Category],0),)</f>
        <v>#N/A</v>
      </c>
      <c r="U237" s="241" t="e" cm="1">
        <f t="array" ref="U237">INDEX(PMtbl[Category],MATCH(0,INDEX(COUNTIF($U$2:U236,PMtbl[Category]),),0))</f>
        <v>#N/A</v>
      </c>
      <c r="X237"/>
      <c r="Y237"/>
      <c r="Z237"/>
      <c r="AA237"/>
      <c r="AB237"/>
      <c r="AC237" s="243"/>
      <c r="AD237" s="243"/>
      <c r="AE237" s="243"/>
      <c r="AF237" s="243"/>
    </row>
    <row r="238" spans="1:32" x14ac:dyDescent="0.35">
      <c r="A238" s="825" t="s">
        <v>2749</v>
      </c>
      <c r="B238" s="825" t="s">
        <v>2750</v>
      </c>
      <c r="C238" s="825">
        <v>5</v>
      </c>
      <c r="D238" s="825" t="s">
        <v>28</v>
      </c>
      <c r="E238" s="825" t="s">
        <v>28</v>
      </c>
      <c r="F238" s="220">
        <v>236</v>
      </c>
      <c r="G238" s="825" t="s">
        <v>2978</v>
      </c>
      <c r="H238" s="825" t="s">
        <v>1913</v>
      </c>
      <c r="I238" s="220" t="s">
        <v>82</v>
      </c>
      <c r="J238" s="220" t="str">
        <f>PMtbl[[#This Row],[Category]]&amp;PMtbl[[#This Row],[Each]]&amp;PMtbl[[#This Row],[Packaging]]</f>
        <v>Cold Chain ConsumablesData loggerMulti-use data logger</v>
      </c>
      <c r="K238">
        <v>0</v>
      </c>
      <c r="L238" s="236">
        <v>5.8</v>
      </c>
      <c r="M238" s="234" t="s">
        <v>181</v>
      </c>
      <c r="N238" s="236"/>
      <c r="O238" s="825" t="s">
        <v>12</v>
      </c>
      <c r="P238" s="825"/>
      <c r="R238" s="220" t="e">
        <f>INDEX(PMtbl[Component],MATCH(U238,PMtbl[Category],0),)</f>
        <v>#N/A</v>
      </c>
      <c r="S238" s="220" t="e">
        <f>INDEX(PMtbl[WKst],MATCH(U238,PMtbl[Category],0),)</f>
        <v>#N/A</v>
      </c>
      <c r="T238" s="220" t="e">
        <f>INDEX(PMtbl[Sec],MATCH(U238,PMtbl[Category],0),)</f>
        <v>#N/A</v>
      </c>
      <c r="U238" s="241" t="e" cm="1">
        <f t="array" ref="U238">INDEX(PMtbl[Category],MATCH(0,INDEX(COUNTIF($U$2:U237,PMtbl[Category]),),0))</f>
        <v>#N/A</v>
      </c>
      <c r="X238"/>
      <c r="Y238"/>
      <c r="Z238"/>
      <c r="AA238"/>
      <c r="AB238"/>
      <c r="AC238" s="243"/>
      <c r="AD238" s="243"/>
      <c r="AE238" s="243"/>
      <c r="AF238" s="243"/>
    </row>
    <row r="239" spans="1:32" x14ac:dyDescent="0.35">
      <c r="A239" s="825" t="s">
        <v>2749</v>
      </c>
      <c r="B239" s="825" t="s">
        <v>2750</v>
      </c>
      <c r="C239" s="825">
        <v>5</v>
      </c>
      <c r="D239" s="825" t="s">
        <v>28</v>
      </c>
      <c r="E239" s="825" t="s">
        <v>28</v>
      </c>
      <c r="F239" s="220">
        <v>237</v>
      </c>
      <c r="G239" s="825" t="s">
        <v>2979</v>
      </c>
      <c r="H239" s="825" t="s">
        <v>2979</v>
      </c>
      <c r="I239" s="220" t="s">
        <v>82</v>
      </c>
      <c r="J239" s="220" t="str">
        <f>PMtbl[[#This Row],[Category]]&amp;PMtbl[[#This Row],[Each]]&amp;PMtbl[[#This Row],[Packaging]]</f>
        <v>Cold Chain ConsumablesIcepackIcepack</v>
      </c>
      <c r="K239">
        <v>0</v>
      </c>
      <c r="L239" s="236">
        <v>5.8</v>
      </c>
      <c r="M239" s="234" t="s">
        <v>181</v>
      </c>
      <c r="N239" s="236"/>
      <c r="O239" s="825" t="s">
        <v>12</v>
      </c>
      <c r="P239" s="825"/>
      <c r="R239" s="220" t="e">
        <f>INDEX(PMtbl[Component],MATCH(U239,PMtbl[Category],0),)</f>
        <v>#N/A</v>
      </c>
      <c r="S239" s="220" t="e">
        <f>INDEX(PMtbl[WKst],MATCH(U239,PMtbl[Category],0),)</f>
        <v>#N/A</v>
      </c>
      <c r="T239" s="220" t="e">
        <f>INDEX(PMtbl[Sec],MATCH(U239,PMtbl[Category],0),)</f>
        <v>#N/A</v>
      </c>
      <c r="U239" s="241" t="e" cm="1">
        <f t="array" ref="U239">INDEX(PMtbl[Category],MATCH(0,INDEX(COUNTIF($U$2:U238,PMtbl[Category]),),0))</f>
        <v>#N/A</v>
      </c>
      <c r="X239"/>
      <c r="Y239"/>
      <c r="Z239"/>
      <c r="AA239"/>
      <c r="AB239"/>
      <c r="AC239" s="243"/>
      <c r="AD239" s="243"/>
      <c r="AE239" s="243"/>
      <c r="AF239" s="243"/>
    </row>
    <row r="240" spans="1:32" x14ac:dyDescent="0.35">
      <c r="A240" s="825" t="s">
        <v>2749</v>
      </c>
      <c r="B240" s="825" t="s">
        <v>2750</v>
      </c>
      <c r="C240" s="825">
        <v>5</v>
      </c>
      <c r="D240" s="825" t="s">
        <v>28</v>
      </c>
      <c r="E240" s="825" t="s">
        <v>28</v>
      </c>
      <c r="F240" s="220">
        <v>238</v>
      </c>
      <c r="G240" s="825" t="s">
        <v>2980</v>
      </c>
      <c r="H240" s="825" t="s">
        <v>2981</v>
      </c>
      <c r="I240" s="220" t="s">
        <v>82</v>
      </c>
      <c r="J240" s="220" t="str">
        <f>PMtbl[[#This Row],[Category]]&amp;PMtbl[[#This Row],[Each]]&amp;PMtbl[[#This Row],[Packaging]]</f>
        <v>Cold Chain ConsumablesRemote Temperature Monitoring SystemConfigured for real-time monitoring of vaccine storage conditions</v>
      </c>
      <c r="K240">
        <v>0</v>
      </c>
      <c r="L240" s="236">
        <v>5.8</v>
      </c>
      <c r="M240" s="234" t="s">
        <v>181</v>
      </c>
      <c r="N240" s="236"/>
      <c r="O240" s="825" t="s">
        <v>12</v>
      </c>
      <c r="P240" s="825"/>
      <c r="R240" s="220" t="e">
        <f>INDEX(PMtbl[Component],MATCH(U240,PMtbl[Category],0),)</f>
        <v>#N/A</v>
      </c>
      <c r="S240" s="220" t="e">
        <f>INDEX(PMtbl[WKst],MATCH(U240,PMtbl[Category],0),)</f>
        <v>#N/A</v>
      </c>
      <c r="T240" s="220" t="e">
        <f>INDEX(PMtbl[Sec],MATCH(U240,PMtbl[Category],0),)</f>
        <v>#N/A</v>
      </c>
      <c r="U240" s="241" t="e" cm="1">
        <f t="array" ref="U240">INDEX(PMtbl[Category],MATCH(0,INDEX(COUNTIF($U$2:U239,PMtbl[Category]),),0))</f>
        <v>#N/A</v>
      </c>
      <c r="X240"/>
      <c r="Y240"/>
      <c r="Z240"/>
      <c r="AA240"/>
      <c r="AB240"/>
      <c r="AC240" s="243"/>
      <c r="AD240" s="243"/>
      <c r="AE240" s="243"/>
      <c r="AF240" s="243"/>
    </row>
    <row r="241" spans="1:32" x14ac:dyDescent="0.35">
      <c r="A241" s="825" t="s">
        <v>2749</v>
      </c>
      <c r="B241" s="825" t="s">
        <v>2750</v>
      </c>
      <c r="C241" s="825">
        <v>5</v>
      </c>
      <c r="D241" s="825" t="s">
        <v>28</v>
      </c>
      <c r="E241" s="825" t="s">
        <v>28</v>
      </c>
      <c r="F241" s="220">
        <v>239</v>
      </c>
      <c r="G241" s="825" t="s">
        <v>2982</v>
      </c>
      <c r="H241" s="825" t="s">
        <v>2983</v>
      </c>
      <c r="I241" s="220" t="s">
        <v>82</v>
      </c>
      <c r="J241" s="220" t="str">
        <f>PMtbl[[#This Row],[Category]]&amp;PMtbl[[#This Row],[Each]]&amp;PMtbl[[#This Row],[Packaging]]</f>
        <v>Cold Chain ConsumablesVaccine carrierVaccine carrier,Large, Long range vaccine storage capacity</v>
      </c>
      <c r="K241">
        <v>0</v>
      </c>
      <c r="L241" s="236">
        <v>5.8</v>
      </c>
      <c r="M241" s="234" t="s">
        <v>181</v>
      </c>
      <c r="N241" s="236"/>
      <c r="O241" s="825" t="s">
        <v>12</v>
      </c>
      <c r="P241" s="825"/>
      <c r="R241" s="220" t="e">
        <f>INDEX(PMtbl[Component],MATCH(U241,PMtbl[Category],0),)</f>
        <v>#N/A</v>
      </c>
      <c r="S241" s="220" t="e">
        <f>INDEX(PMtbl[WKst],MATCH(U241,PMtbl[Category],0),)</f>
        <v>#N/A</v>
      </c>
      <c r="T241" s="220" t="e">
        <f>INDEX(PMtbl[Sec],MATCH(U241,PMtbl[Category],0),)</f>
        <v>#N/A</v>
      </c>
      <c r="U241" s="241" t="e" cm="1">
        <f t="array" ref="U241">INDEX(PMtbl[Category],MATCH(0,INDEX(COUNTIF($U$2:U240,PMtbl[Category]),),0))</f>
        <v>#N/A</v>
      </c>
      <c r="X241"/>
      <c r="Y241"/>
      <c r="Z241"/>
      <c r="AA241"/>
      <c r="AB241"/>
      <c r="AC241" s="243"/>
      <c r="AD241" s="243"/>
      <c r="AE241" s="243"/>
      <c r="AF241" s="243"/>
    </row>
    <row r="242" spans="1:32" x14ac:dyDescent="0.35">
      <c r="A242" s="825" t="s">
        <v>2749</v>
      </c>
      <c r="B242" s="825" t="s">
        <v>2750</v>
      </c>
      <c r="C242" s="825">
        <v>5</v>
      </c>
      <c r="D242" s="825" t="s">
        <v>29</v>
      </c>
      <c r="E242" s="825" t="s">
        <v>29</v>
      </c>
      <c r="F242" s="220">
        <v>240</v>
      </c>
      <c r="G242" s="825" t="s">
        <v>2984</v>
      </c>
      <c r="H242" s="825" t="s">
        <v>1987</v>
      </c>
      <c r="I242" s="220" t="s">
        <v>82</v>
      </c>
      <c r="J242" s="220" t="str">
        <f>PMtbl[[#This Row],[Category]]&amp;PMtbl[[#This Row],[Each]]&amp;PMtbl[[#This Row],[Packaging]]</f>
        <v>Cold Chain EquipmentVaccine Combined Refrigerator &amp; FreezerEquipment</v>
      </c>
      <c r="K242">
        <v>0</v>
      </c>
      <c r="L242" s="236">
        <v>6.6</v>
      </c>
      <c r="M242" s="234" t="s">
        <v>183</v>
      </c>
      <c r="N242" s="236"/>
      <c r="O242" s="825" t="s">
        <v>12</v>
      </c>
      <c r="P242" s="825"/>
      <c r="R242" s="220" t="e">
        <f>INDEX(PMtbl[Component],MATCH(U242,PMtbl[Category],0),)</f>
        <v>#N/A</v>
      </c>
      <c r="S242" s="220" t="e">
        <f>INDEX(PMtbl[WKst],MATCH(U242,PMtbl[Category],0),)</f>
        <v>#N/A</v>
      </c>
      <c r="T242" s="220" t="e">
        <f>INDEX(PMtbl[Sec],MATCH(U242,PMtbl[Category],0),)</f>
        <v>#N/A</v>
      </c>
      <c r="U242" s="241" t="e" cm="1">
        <f t="array" ref="U242">INDEX(PMtbl[Category],MATCH(0,INDEX(COUNTIF($U$2:U241,PMtbl[Category]),),0))</f>
        <v>#N/A</v>
      </c>
      <c r="X242"/>
      <c r="Y242"/>
      <c r="Z242"/>
      <c r="AA242"/>
      <c r="AB242"/>
      <c r="AC242" s="243"/>
      <c r="AD242" s="243"/>
      <c r="AE242" s="243"/>
      <c r="AF242" s="243"/>
    </row>
    <row r="243" spans="1:32" x14ac:dyDescent="0.35">
      <c r="A243" s="825" t="s">
        <v>2749</v>
      </c>
      <c r="B243" s="825" t="s">
        <v>2750</v>
      </c>
      <c r="C243" s="825">
        <v>5</v>
      </c>
      <c r="D243" s="825" t="s">
        <v>29</v>
      </c>
      <c r="E243" s="825" t="s">
        <v>29</v>
      </c>
      <c r="F243" s="220">
        <v>241</v>
      </c>
      <c r="G243" s="825" t="s">
        <v>2984</v>
      </c>
      <c r="H243" s="825" t="s">
        <v>2777</v>
      </c>
      <c r="I243" s="220" t="s">
        <v>82</v>
      </c>
      <c r="J243" s="220" t="str">
        <f>PMtbl[[#This Row],[Category]]&amp;PMtbl[[#This Row],[Each]]&amp;PMtbl[[#This Row],[Packaging]]</f>
        <v>Cold Chain EquipmentVaccine Combined Refrigerator &amp; FreezerSpare parts and accessories</v>
      </c>
      <c r="K243">
        <v>0</v>
      </c>
      <c r="L243" s="236">
        <v>6.6</v>
      </c>
      <c r="M243" s="234" t="s">
        <v>183</v>
      </c>
      <c r="N243" s="236"/>
      <c r="O243" s="825" t="s">
        <v>12</v>
      </c>
      <c r="P243" s="825"/>
      <c r="R243" s="220" t="e">
        <f>INDEX(PMtbl[Component],MATCH(U243,PMtbl[Category],0),)</f>
        <v>#N/A</v>
      </c>
      <c r="S243" s="220" t="e">
        <f>INDEX(PMtbl[WKst],MATCH(U243,PMtbl[Category],0),)</f>
        <v>#N/A</v>
      </c>
      <c r="T243" s="220" t="e">
        <f>INDEX(PMtbl[Sec],MATCH(U243,PMtbl[Category],0),)</f>
        <v>#N/A</v>
      </c>
      <c r="U243" s="241" t="e" cm="1">
        <f t="array" ref="U243">INDEX(PMtbl[Category],MATCH(0,INDEX(COUNTIF($U$2:U242,PMtbl[Category]),),0))</f>
        <v>#N/A</v>
      </c>
      <c r="X243"/>
      <c r="Y243"/>
      <c r="Z243"/>
      <c r="AA243"/>
      <c r="AB243"/>
      <c r="AC243" s="243"/>
      <c r="AD243" s="243"/>
      <c r="AE243" s="243"/>
      <c r="AF243" s="243"/>
    </row>
    <row r="244" spans="1:32" x14ac:dyDescent="0.35">
      <c r="A244" s="825" t="s">
        <v>2749</v>
      </c>
      <c r="B244" s="825" t="s">
        <v>2750</v>
      </c>
      <c r="C244" s="825">
        <v>5</v>
      </c>
      <c r="D244" s="825" t="s">
        <v>29</v>
      </c>
      <c r="E244" s="825" t="s">
        <v>29</v>
      </c>
      <c r="F244" s="220">
        <v>242</v>
      </c>
      <c r="G244" s="825" t="s">
        <v>2984</v>
      </c>
      <c r="H244" s="825" t="s">
        <v>2778</v>
      </c>
      <c r="I244" s="220" t="s">
        <v>82</v>
      </c>
      <c r="J244" s="220" t="str">
        <f>PMtbl[[#This Row],[Category]]&amp;PMtbl[[#This Row],[Each]]&amp;PMtbl[[#This Row],[Packaging]]</f>
        <v>Cold Chain EquipmentVaccine Combined Refrigerator &amp; FreezerWarranty, maintenance and service</v>
      </c>
      <c r="K244">
        <v>0</v>
      </c>
      <c r="L244" s="236">
        <v>6.5</v>
      </c>
      <c r="M244" s="234" t="s">
        <v>182</v>
      </c>
      <c r="N244" s="236"/>
      <c r="O244" s="825" t="s">
        <v>12</v>
      </c>
      <c r="P244" s="825"/>
      <c r="R244" s="220" t="e">
        <f>INDEX(PMtbl[Component],MATCH(U244,PMtbl[Category],0),)</f>
        <v>#N/A</v>
      </c>
      <c r="S244" s="220" t="e">
        <f>INDEX(PMtbl[WKst],MATCH(U244,PMtbl[Category],0),)</f>
        <v>#N/A</v>
      </c>
      <c r="T244" s="220" t="e">
        <f>INDEX(PMtbl[Sec],MATCH(U244,PMtbl[Category],0),)</f>
        <v>#N/A</v>
      </c>
      <c r="U244" s="241" t="e" cm="1">
        <f t="array" ref="U244">INDEX(PMtbl[Category],MATCH(0,INDEX(COUNTIF($U$2:U243,PMtbl[Category]),),0))</f>
        <v>#N/A</v>
      </c>
      <c r="X244"/>
      <c r="Y244"/>
      <c r="Z244"/>
      <c r="AA244"/>
      <c r="AB244"/>
      <c r="AC244" s="243"/>
      <c r="AD244" s="243"/>
      <c r="AE244" s="243"/>
      <c r="AF244" s="243"/>
    </row>
    <row r="245" spans="1:32" x14ac:dyDescent="0.35">
      <c r="A245" s="825" t="s">
        <v>2749</v>
      </c>
      <c r="B245" s="825" t="s">
        <v>2750</v>
      </c>
      <c r="C245" s="825">
        <v>5</v>
      </c>
      <c r="D245" s="825" t="s">
        <v>29</v>
      </c>
      <c r="E245" s="825" t="s">
        <v>29</v>
      </c>
      <c r="F245" s="220">
        <v>243</v>
      </c>
      <c r="G245" s="825" t="s">
        <v>2985</v>
      </c>
      <c r="H245" s="825" t="s">
        <v>1987</v>
      </c>
      <c r="I245" s="220" t="s">
        <v>82</v>
      </c>
      <c r="J245" s="220" t="str">
        <f>PMtbl[[#This Row],[Category]]&amp;PMtbl[[#This Row],[Each]]&amp;PMtbl[[#This Row],[Packaging]]</f>
        <v>Cold Chain EquipmentVaccine freezerEquipment</v>
      </c>
      <c r="K245">
        <v>0</v>
      </c>
      <c r="L245" s="236">
        <v>6.6</v>
      </c>
      <c r="M245" s="234" t="s">
        <v>183</v>
      </c>
      <c r="N245" s="236"/>
      <c r="O245" s="825" t="s">
        <v>12</v>
      </c>
      <c r="P245" s="825"/>
      <c r="R245" s="220" t="e">
        <f>INDEX(PMtbl[Component],MATCH(U245,PMtbl[Category],0),)</f>
        <v>#N/A</v>
      </c>
      <c r="S245" s="220" t="e">
        <f>INDEX(PMtbl[WKst],MATCH(U245,PMtbl[Category],0),)</f>
        <v>#N/A</v>
      </c>
      <c r="T245" s="220" t="e">
        <f>INDEX(PMtbl[Sec],MATCH(U245,PMtbl[Category],0),)</f>
        <v>#N/A</v>
      </c>
      <c r="U245" s="241" t="e" cm="1">
        <f t="array" ref="U245">INDEX(PMtbl[Category],MATCH(0,INDEX(COUNTIF($U$2:U244,PMtbl[Category]),),0))</f>
        <v>#N/A</v>
      </c>
      <c r="X245"/>
      <c r="Y245"/>
      <c r="Z245"/>
      <c r="AA245"/>
      <c r="AB245"/>
      <c r="AC245" s="243"/>
      <c r="AD245" s="243"/>
      <c r="AE245" s="243"/>
      <c r="AF245" s="243"/>
    </row>
    <row r="246" spans="1:32" x14ac:dyDescent="0.35">
      <c r="A246" s="825" t="s">
        <v>2749</v>
      </c>
      <c r="B246" s="825" t="s">
        <v>2750</v>
      </c>
      <c r="C246" s="825">
        <v>5</v>
      </c>
      <c r="D246" s="825" t="s">
        <v>29</v>
      </c>
      <c r="E246" s="825" t="s">
        <v>29</v>
      </c>
      <c r="F246" s="220">
        <v>244</v>
      </c>
      <c r="G246" s="825" t="s">
        <v>2985</v>
      </c>
      <c r="H246" s="825" t="s">
        <v>2777</v>
      </c>
      <c r="I246" s="220" t="s">
        <v>82</v>
      </c>
      <c r="J246" s="220" t="str">
        <f>PMtbl[[#This Row],[Category]]&amp;PMtbl[[#This Row],[Each]]&amp;PMtbl[[#This Row],[Packaging]]</f>
        <v>Cold Chain EquipmentVaccine freezerSpare parts and accessories</v>
      </c>
      <c r="K246">
        <v>0</v>
      </c>
      <c r="L246" s="236">
        <v>6.6</v>
      </c>
      <c r="M246" s="234" t="s">
        <v>183</v>
      </c>
      <c r="N246" s="236"/>
      <c r="O246" s="825" t="s">
        <v>12</v>
      </c>
      <c r="P246" s="825"/>
      <c r="R246" s="220" t="e">
        <f>INDEX(PMtbl[Component],MATCH(U246,PMtbl[Category],0),)</f>
        <v>#N/A</v>
      </c>
      <c r="S246" s="220" t="e">
        <f>INDEX(PMtbl[WKst],MATCH(U246,PMtbl[Category],0),)</f>
        <v>#N/A</v>
      </c>
      <c r="T246" s="220" t="e">
        <f>INDEX(PMtbl[Sec],MATCH(U246,PMtbl[Category],0),)</f>
        <v>#N/A</v>
      </c>
      <c r="U246" s="241" t="e" cm="1">
        <f t="array" ref="U246">INDEX(PMtbl[Category],MATCH(0,INDEX(COUNTIF($U$2:U245,PMtbl[Category]),),0))</f>
        <v>#N/A</v>
      </c>
      <c r="X246"/>
      <c r="Y246"/>
      <c r="Z246"/>
      <c r="AA246"/>
      <c r="AB246"/>
      <c r="AC246" s="243"/>
      <c r="AD246" s="243"/>
      <c r="AE246" s="243"/>
      <c r="AF246" s="243"/>
    </row>
    <row r="247" spans="1:32" x14ac:dyDescent="0.35">
      <c r="A247" s="825" t="s">
        <v>2749</v>
      </c>
      <c r="B247" s="825" t="s">
        <v>2750</v>
      </c>
      <c r="C247" s="825">
        <v>5</v>
      </c>
      <c r="D247" s="825" t="s">
        <v>29</v>
      </c>
      <c r="E247" s="825" t="s">
        <v>29</v>
      </c>
      <c r="F247" s="220">
        <v>245</v>
      </c>
      <c r="G247" s="825" t="s">
        <v>2985</v>
      </c>
      <c r="H247" s="825" t="s">
        <v>2778</v>
      </c>
      <c r="I247" s="220" t="s">
        <v>82</v>
      </c>
      <c r="J247" s="220" t="str">
        <f>PMtbl[[#This Row],[Category]]&amp;PMtbl[[#This Row],[Each]]&amp;PMtbl[[#This Row],[Packaging]]</f>
        <v>Cold Chain EquipmentVaccine freezerWarranty, maintenance and service</v>
      </c>
      <c r="K247">
        <v>0</v>
      </c>
      <c r="L247" s="236">
        <v>6.5</v>
      </c>
      <c r="M247" s="234" t="s">
        <v>182</v>
      </c>
      <c r="N247" s="236"/>
      <c r="O247" s="825" t="s">
        <v>12</v>
      </c>
      <c r="P247" s="825"/>
      <c r="R247" s="220" t="e">
        <f>INDEX(PMtbl[Component],MATCH(U247,PMtbl[Category],0),)</f>
        <v>#N/A</v>
      </c>
      <c r="S247" s="220" t="e">
        <f>INDEX(PMtbl[WKst],MATCH(U247,PMtbl[Category],0),)</f>
        <v>#N/A</v>
      </c>
      <c r="T247" s="220" t="e">
        <f>INDEX(PMtbl[Sec],MATCH(U247,PMtbl[Category],0),)</f>
        <v>#N/A</v>
      </c>
      <c r="U247" s="241" t="e" cm="1">
        <f t="array" ref="U247">INDEX(PMtbl[Category],MATCH(0,INDEX(COUNTIF($U$2:U246,PMtbl[Category]),),0))</f>
        <v>#N/A</v>
      </c>
      <c r="X247"/>
      <c r="Y247"/>
      <c r="Z247"/>
      <c r="AA247"/>
      <c r="AB247"/>
      <c r="AC247" s="243"/>
      <c r="AD247" s="243"/>
      <c r="AE247" s="243"/>
      <c r="AF247" s="243"/>
    </row>
    <row r="248" spans="1:32" x14ac:dyDescent="0.35">
      <c r="A248" s="825" t="s">
        <v>2749</v>
      </c>
      <c r="B248" s="825" t="s">
        <v>2750</v>
      </c>
      <c r="C248" s="825">
        <v>5</v>
      </c>
      <c r="D248" s="825" t="s">
        <v>29</v>
      </c>
      <c r="E248" s="825" t="s">
        <v>29</v>
      </c>
      <c r="F248" s="220">
        <v>246</v>
      </c>
      <c r="G248" s="825" t="s">
        <v>2986</v>
      </c>
      <c r="H248" s="825" t="s">
        <v>1987</v>
      </c>
      <c r="I248" s="220" t="s">
        <v>82</v>
      </c>
      <c r="J248" s="220" t="str">
        <f>PMtbl[[#This Row],[Category]]&amp;PMtbl[[#This Row],[Each]]&amp;PMtbl[[#This Row],[Packaging]]</f>
        <v>Cold Chain EquipmentVaccine refrigeratorEquipment</v>
      </c>
      <c r="K248">
        <v>0</v>
      </c>
      <c r="L248" s="236">
        <v>6.6</v>
      </c>
      <c r="M248" s="234" t="s">
        <v>183</v>
      </c>
      <c r="N248" s="236"/>
      <c r="O248" s="825" t="s">
        <v>12</v>
      </c>
      <c r="P248" s="825"/>
      <c r="R248" s="220" t="e">
        <f>INDEX(PMtbl[Component],MATCH(U248,PMtbl[Category],0),)</f>
        <v>#N/A</v>
      </c>
      <c r="S248" s="220" t="e">
        <f>INDEX(PMtbl[WKst],MATCH(U248,PMtbl[Category],0),)</f>
        <v>#N/A</v>
      </c>
      <c r="T248" s="220" t="e">
        <f>INDEX(PMtbl[Sec],MATCH(U248,PMtbl[Category],0),)</f>
        <v>#N/A</v>
      </c>
      <c r="U248" s="241" t="e" cm="1">
        <f t="array" ref="U248">INDEX(PMtbl[Category],MATCH(0,INDEX(COUNTIF($U$2:U247,PMtbl[Category]),),0))</f>
        <v>#N/A</v>
      </c>
      <c r="X248"/>
      <c r="Y248"/>
      <c r="Z248"/>
      <c r="AA248"/>
      <c r="AB248"/>
      <c r="AC248" s="243"/>
      <c r="AD248" s="243"/>
      <c r="AE248" s="243"/>
      <c r="AF248" s="243"/>
    </row>
    <row r="249" spans="1:32" x14ac:dyDescent="0.35">
      <c r="A249" s="825" t="s">
        <v>2749</v>
      </c>
      <c r="B249" s="825" t="s">
        <v>2750</v>
      </c>
      <c r="C249" s="825">
        <v>5</v>
      </c>
      <c r="D249" s="825" t="s">
        <v>29</v>
      </c>
      <c r="E249" s="825" t="s">
        <v>29</v>
      </c>
      <c r="F249" s="220">
        <v>247</v>
      </c>
      <c r="G249" s="825" t="s">
        <v>2986</v>
      </c>
      <c r="H249" s="825" t="s">
        <v>2777</v>
      </c>
      <c r="I249" s="220" t="s">
        <v>82</v>
      </c>
      <c r="J249" s="220" t="str">
        <f>PMtbl[[#This Row],[Category]]&amp;PMtbl[[#This Row],[Each]]&amp;PMtbl[[#This Row],[Packaging]]</f>
        <v>Cold Chain EquipmentVaccine refrigeratorSpare parts and accessories</v>
      </c>
      <c r="K249">
        <v>0</v>
      </c>
      <c r="L249" s="236">
        <v>6.6</v>
      </c>
      <c r="M249" s="234" t="s">
        <v>183</v>
      </c>
      <c r="N249" s="236"/>
      <c r="O249" s="825" t="s">
        <v>12</v>
      </c>
      <c r="P249" s="825"/>
      <c r="R249" s="220" t="e">
        <f>INDEX(PMtbl[Component],MATCH(U249,PMtbl[Category],0),)</f>
        <v>#N/A</v>
      </c>
      <c r="S249" s="220" t="e">
        <f>INDEX(PMtbl[WKst],MATCH(U249,PMtbl[Category],0),)</f>
        <v>#N/A</v>
      </c>
      <c r="T249" s="220" t="e">
        <f>INDEX(PMtbl[Sec],MATCH(U249,PMtbl[Category],0),)</f>
        <v>#N/A</v>
      </c>
      <c r="U249" s="241" t="e" cm="1">
        <f t="array" ref="U249">INDEX(PMtbl[Category],MATCH(0,INDEX(COUNTIF($U$2:U248,PMtbl[Category]),),0))</f>
        <v>#N/A</v>
      </c>
      <c r="X249"/>
      <c r="Y249"/>
      <c r="Z249"/>
      <c r="AA249"/>
      <c r="AB249"/>
      <c r="AC249" s="243"/>
      <c r="AD249" s="243"/>
      <c r="AE249" s="243"/>
      <c r="AF249" s="243"/>
    </row>
    <row r="250" spans="1:32" x14ac:dyDescent="0.35">
      <c r="A250" s="825" t="s">
        <v>2749</v>
      </c>
      <c r="B250" s="825" t="s">
        <v>2750</v>
      </c>
      <c r="C250" s="825">
        <v>5</v>
      </c>
      <c r="D250" s="825" t="s">
        <v>29</v>
      </c>
      <c r="E250" s="825" t="s">
        <v>29</v>
      </c>
      <c r="F250" s="220">
        <v>248</v>
      </c>
      <c r="G250" s="825" t="s">
        <v>2986</v>
      </c>
      <c r="H250" s="825" t="s">
        <v>2778</v>
      </c>
      <c r="I250" s="220" t="s">
        <v>82</v>
      </c>
      <c r="J250" s="220" t="str">
        <f>PMtbl[[#This Row],[Category]]&amp;PMtbl[[#This Row],[Each]]&amp;PMtbl[[#This Row],[Packaging]]</f>
        <v>Cold Chain EquipmentVaccine refrigeratorWarranty, maintenance and service</v>
      </c>
      <c r="K250">
        <v>0</v>
      </c>
      <c r="L250" s="236">
        <v>6.5</v>
      </c>
      <c r="M250" s="234" t="s">
        <v>182</v>
      </c>
      <c r="N250" s="236"/>
      <c r="O250" s="825" t="s">
        <v>12</v>
      </c>
      <c r="P250" s="825"/>
      <c r="R250" s="220" t="e">
        <f>INDEX(PMtbl[Component],MATCH(U250,PMtbl[Category],0),)</f>
        <v>#N/A</v>
      </c>
      <c r="S250" s="220" t="e">
        <f>INDEX(PMtbl[WKst],MATCH(U250,PMtbl[Category],0),)</f>
        <v>#N/A</v>
      </c>
      <c r="T250" s="220" t="e">
        <f>INDEX(PMtbl[Sec],MATCH(U250,PMtbl[Category],0),)</f>
        <v>#N/A</v>
      </c>
      <c r="U250" s="241" t="e" cm="1">
        <f t="array" ref="U250">INDEX(PMtbl[Category],MATCH(0,INDEX(COUNTIF($U$2:U249,PMtbl[Category]),),0))</f>
        <v>#N/A</v>
      </c>
      <c r="X250"/>
      <c r="Y250"/>
      <c r="Z250"/>
      <c r="AA250"/>
      <c r="AB250"/>
      <c r="AC250" s="243"/>
      <c r="AD250" s="243"/>
      <c r="AE250" s="243"/>
      <c r="AF250" s="243"/>
    </row>
    <row r="251" spans="1:32" x14ac:dyDescent="0.35">
      <c r="A251" s="825" t="s">
        <v>2749</v>
      </c>
      <c r="B251" s="825" t="s">
        <v>2750</v>
      </c>
      <c r="C251" s="825">
        <v>5</v>
      </c>
      <c r="D251" s="825" t="s">
        <v>30</v>
      </c>
      <c r="E251" s="825" t="s">
        <v>2764</v>
      </c>
      <c r="F251" s="220">
        <v>250</v>
      </c>
      <c r="G251" s="825" t="s">
        <v>2989</v>
      </c>
      <c r="H251" s="825" t="s">
        <v>2990</v>
      </c>
      <c r="I251" s="220" t="s">
        <v>82</v>
      </c>
      <c r="J251" s="220" t="str">
        <f>PMtbl[[#This Row],[Category]]&amp;PMtbl[[#This Row],[Each]]&amp;PMtbl[[#This Row],[Packaging]]</f>
        <v>Waste management for C19RMWaste management supplies: ConsumablesBag, biohazard, refuse, autoclav., min. 30 liters</v>
      </c>
      <c r="K251">
        <v>0</v>
      </c>
      <c r="L251" s="236">
        <v>5.8</v>
      </c>
      <c r="M251" s="234" t="s">
        <v>181</v>
      </c>
      <c r="N251" s="236"/>
      <c r="O251" s="825" t="s">
        <v>14</v>
      </c>
      <c r="P251" s="825"/>
      <c r="R251" s="220" t="e">
        <f>INDEX(PMtbl[Component],MATCH(U251,PMtbl[Category],0),)</f>
        <v>#N/A</v>
      </c>
      <c r="S251" s="220" t="e">
        <f>INDEX(PMtbl[WKst],MATCH(U251,PMtbl[Category],0),)</f>
        <v>#N/A</v>
      </c>
      <c r="T251" s="220" t="e">
        <f>INDEX(PMtbl[Sec],MATCH(U251,PMtbl[Category],0),)</f>
        <v>#N/A</v>
      </c>
      <c r="U251" s="241" t="e" cm="1">
        <f t="array" ref="U251">INDEX(PMtbl[Category],MATCH(0,INDEX(COUNTIF($U$2:U250,PMtbl[Category]),),0))</f>
        <v>#N/A</v>
      </c>
      <c r="X251"/>
      <c r="Y251"/>
      <c r="Z251"/>
      <c r="AA251"/>
      <c r="AB251"/>
      <c r="AC251" s="243"/>
      <c r="AD251" s="243"/>
      <c r="AE251" s="243"/>
      <c r="AF251" s="243"/>
    </row>
    <row r="252" spans="1:32" x14ac:dyDescent="0.35">
      <c r="A252" s="825" t="s">
        <v>2749</v>
      </c>
      <c r="B252" s="825" t="s">
        <v>2750</v>
      </c>
      <c r="C252" s="825">
        <v>5</v>
      </c>
      <c r="D252" s="825" t="s">
        <v>30</v>
      </c>
      <c r="E252" s="825" t="s">
        <v>2764</v>
      </c>
      <c r="F252" s="220">
        <v>251</v>
      </c>
      <c r="G252" s="825" t="s">
        <v>2989</v>
      </c>
      <c r="H252" s="825" t="s">
        <v>2991</v>
      </c>
      <c r="I252" s="220" t="s">
        <v>82</v>
      </c>
      <c r="J252" s="220" t="str">
        <f>PMtbl[[#This Row],[Category]]&amp;PMtbl[[#This Row],[Each]]&amp;PMtbl[[#This Row],[Packaging]]</f>
        <v>Waste management for C19RMWaste management supplies: ConsumablesBag,biohazard, Other - Enter details in Comments</v>
      </c>
      <c r="K252">
        <v>0</v>
      </c>
      <c r="L252" s="236">
        <v>5.8</v>
      </c>
      <c r="M252" s="234" t="s">
        <v>181</v>
      </c>
      <c r="N252" s="236"/>
      <c r="O252" s="825" t="s">
        <v>14</v>
      </c>
      <c r="P252" s="825"/>
      <c r="R252" s="220" t="e">
        <f>INDEX(PMtbl[Component],MATCH(U252,PMtbl[Category],0),)</f>
        <v>#N/A</v>
      </c>
      <c r="S252" s="220" t="e">
        <f>INDEX(PMtbl[WKst],MATCH(U252,PMtbl[Category],0),)</f>
        <v>#N/A</v>
      </c>
      <c r="T252" s="220" t="e">
        <f>INDEX(PMtbl[Sec],MATCH(U252,PMtbl[Category],0),)</f>
        <v>#N/A</v>
      </c>
      <c r="U252" s="241" t="e" cm="1">
        <f t="array" ref="U252">INDEX(PMtbl[Category],MATCH(0,INDEX(COUNTIF($U$2:U251,PMtbl[Category]),),0))</f>
        <v>#N/A</v>
      </c>
      <c r="X252"/>
      <c r="Y252"/>
      <c r="Z252"/>
      <c r="AA252"/>
      <c r="AB252"/>
      <c r="AC252" s="243"/>
      <c r="AD252" s="243"/>
      <c r="AE252" s="243"/>
      <c r="AF252" s="243"/>
    </row>
    <row r="253" spans="1:32" x14ac:dyDescent="0.35">
      <c r="A253" s="825" t="s">
        <v>2749</v>
      </c>
      <c r="B253" s="825" t="s">
        <v>2750</v>
      </c>
      <c r="C253" s="825">
        <v>5</v>
      </c>
      <c r="D253" s="825" t="s">
        <v>30</v>
      </c>
      <c r="E253" s="825" t="s">
        <v>2764</v>
      </c>
      <c r="F253" s="220">
        <v>252</v>
      </c>
      <c r="G253" s="825" t="s">
        <v>2989</v>
      </c>
      <c r="H253" s="825" t="s">
        <v>2992</v>
      </c>
      <c r="I253" s="220" t="s">
        <v>82</v>
      </c>
      <c r="J253" s="220" t="str">
        <f>PMtbl[[#This Row],[Category]]&amp;PMtbl[[#This Row],[Each]]&amp;PMtbl[[#This Row],[Packaging]]</f>
        <v>Waste management for C19RMWaste management supplies: ConsumablesBag,biohazard,red,100L,box/100</v>
      </c>
      <c r="K253">
        <v>0</v>
      </c>
      <c r="L253" s="236">
        <v>5.8</v>
      </c>
      <c r="M253" s="234" t="s">
        <v>181</v>
      </c>
      <c r="N253" s="236"/>
      <c r="O253" s="825" t="s">
        <v>14</v>
      </c>
      <c r="P253" s="825"/>
      <c r="R253" s="220" t="e">
        <f>INDEX(PMtbl[Component],MATCH(U253,PMtbl[Category],0),)</f>
        <v>#N/A</v>
      </c>
      <c r="S253" s="220" t="e">
        <f>INDEX(PMtbl[WKst],MATCH(U253,PMtbl[Category],0),)</f>
        <v>#N/A</v>
      </c>
      <c r="T253" s="220" t="e">
        <f>INDEX(PMtbl[Sec],MATCH(U253,PMtbl[Category],0),)</f>
        <v>#N/A</v>
      </c>
      <c r="U253" s="241" t="e" cm="1">
        <f t="array" ref="U253">INDEX(PMtbl[Category],MATCH(0,INDEX(COUNTIF($U$2:U252,PMtbl[Category]),),0))</f>
        <v>#N/A</v>
      </c>
      <c r="X253"/>
      <c r="Y253"/>
      <c r="Z253"/>
      <c r="AA253"/>
      <c r="AB253"/>
      <c r="AC253" s="243"/>
      <c r="AD253" s="243"/>
      <c r="AE253" s="243"/>
      <c r="AF253" s="243"/>
    </row>
    <row r="254" spans="1:32" x14ac:dyDescent="0.35">
      <c r="A254" s="825" t="s">
        <v>2749</v>
      </c>
      <c r="B254" s="825" t="s">
        <v>2750</v>
      </c>
      <c r="C254" s="825">
        <v>5</v>
      </c>
      <c r="D254" s="825" t="s">
        <v>30</v>
      </c>
      <c r="E254" s="825" t="s">
        <v>2764</v>
      </c>
      <c r="F254" s="220">
        <v>253</v>
      </c>
      <c r="G254" s="825" t="s">
        <v>2989</v>
      </c>
      <c r="H254" s="825" t="s">
        <v>2993</v>
      </c>
      <c r="I254" s="220" t="s">
        <v>82</v>
      </c>
      <c r="J254" s="220" t="str">
        <f>PMtbl[[#This Row],[Category]]&amp;PMtbl[[#This Row],[Each]]&amp;PMtbl[[#This Row],[Packaging]]</f>
        <v>Waste management for C19RMWaste management supplies: ConsumablesContainer, sharps, leak-resistant, with lid</v>
      </c>
      <c r="K254">
        <v>0</v>
      </c>
      <c r="L254" s="236">
        <v>5.8</v>
      </c>
      <c r="M254" s="234" t="s">
        <v>181</v>
      </c>
      <c r="N254" s="236"/>
      <c r="O254" s="825" t="s">
        <v>12</v>
      </c>
      <c r="P254" s="825"/>
      <c r="R254" s="220" t="e">
        <f>INDEX(PMtbl[Component],MATCH(U254,PMtbl[Category],0),)</f>
        <v>#N/A</v>
      </c>
      <c r="S254" s="220" t="e">
        <f>INDEX(PMtbl[WKst],MATCH(U254,PMtbl[Category],0),)</f>
        <v>#N/A</v>
      </c>
      <c r="T254" s="220" t="e">
        <f>INDEX(PMtbl[Sec],MATCH(U254,PMtbl[Category],0),)</f>
        <v>#N/A</v>
      </c>
      <c r="U254" s="241" t="e" cm="1">
        <f t="array" ref="U254">INDEX(PMtbl[Category],MATCH(0,INDEX(COUNTIF($U$2:U253,PMtbl[Category]),),0))</f>
        <v>#N/A</v>
      </c>
      <c r="X254"/>
      <c r="Y254"/>
      <c r="Z254"/>
      <c r="AA254"/>
      <c r="AB254"/>
      <c r="AC254" s="243"/>
      <c r="AD254" s="243"/>
      <c r="AE254" s="243"/>
      <c r="AF254" s="243"/>
    </row>
    <row r="255" spans="1:32" x14ac:dyDescent="0.35">
      <c r="A255" s="825" t="s">
        <v>2749</v>
      </c>
      <c r="B255" s="825" t="s">
        <v>2750</v>
      </c>
      <c r="C255" s="825">
        <v>5</v>
      </c>
      <c r="D255" s="825" t="s">
        <v>30</v>
      </c>
      <c r="E255" s="825" t="s">
        <v>2764</v>
      </c>
      <c r="F255" s="220">
        <v>254</v>
      </c>
      <c r="G255" s="825" t="s">
        <v>2989</v>
      </c>
      <c r="H255" s="825" t="s">
        <v>2866</v>
      </c>
      <c r="I255" s="220" t="s">
        <v>82</v>
      </c>
      <c r="J255" s="220" t="str">
        <f>PMtbl[[#This Row],[Category]]&amp;PMtbl[[#This Row],[Each]]&amp;PMtbl[[#This Row],[Packaging]]</f>
        <v>Waste management for C19RMWaste management supplies: ConsumablesOther - Enter details in Comments</v>
      </c>
      <c r="K255">
        <v>0</v>
      </c>
      <c r="L255" s="236">
        <v>5.8</v>
      </c>
      <c r="M255" s="234" t="s">
        <v>181</v>
      </c>
      <c r="N255" s="236"/>
      <c r="O255" s="825" t="s">
        <v>14</v>
      </c>
      <c r="P255" s="825"/>
      <c r="R255" s="220" t="e">
        <f>INDEX(PMtbl[Component],MATCH(U255,PMtbl[Category],0),)</f>
        <v>#N/A</v>
      </c>
      <c r="S255" s="220" t="e">
        <f>INDEX(PMtbl[WKst],MATCH(U255,PMtbl[Category],0),)</f>
        <v>#N/A</v>
      </c>
      <c r="T255" s="220" t="e">
        <f>INDEX(PMtbl[Sec],MATCH(U255,PMtbl[Category],0),)</f>
        <v>#N/A</v>
      </c>
      <c r="U255" s="241" t="e" cm="1">
        <f t="array" ref="U255">INDEX(PMtbl[Category],MATCH(0,INDEX(COUNTIF($U$2:U254,PMtbl[Category]),),0))</f>
        <v>#N/A</v>
      </c>
      <c r="X255"/>
      <c r="Y255"/>
      <c r="Z255"/>
      <c r="AA255"/>
      <c r="AB255"/>
      <c r="AC255" s="243"/>
      <c r="AD255" s="243"/>
      <c r="AE255" s="243"/>
      <c r="AF255" s="243"/>
    </row>
    <row r="256" spans="1:32" x14ac:dyDescent="0.35">
      <c r="A256" s="825" t="s">
        <v>2749</v>
      </c>
      <c r="B256" s="825" t="s">
        <v>2750</v>
      </c>
      <c r="C256" s="825">
        <v>5</v>
      </c>
      <c r="D256" s="825" t="s">
        <v>30</v>
      </c>
      <c r="E256" s="825" t="s">
        <v>2764</v>
      </c>
      <c r="F256" s="220">
        <v>255</v>
      </c>
      <c r="G256" s="825" t="s">
        <v>2994</v>
      </c>
      <c r="H256" s="825" t="s">
        <v>2866</v>
      </c>
      <c r="I256" s="220" t="s">
        <v>82</v>
      </c>
      <c r="J256" s="220" t="str">
        <f>PMtbl[[#This Row],[Category]]&amp;PMtbl[[#This Row],[Each]]&amp;PMtbl[[#This Row],[Packaging]]</f>
        <v>Waste management for C19RMWaste management supplies: ReagentsOther - Enter details in Comments</v>
      </c>
      <c r="K256">
        <v>0</v>
      </c>
      <c r="L256" s="236">
        <v>5.6</v>
      </c>
      <c r="M256" s="234" t="s">
        <v>180</v>
      </c>
      <c r="N256" s="236"/>
      <c r="O256" s="825" t="s">
        <v>14</v>
      </c>
      <c r="P256" s="825"/>
      <c r="R256" s="220" t="e">
        <f>INDEX(PMtbl[Component],MATCH(U256,PMtbl[Category],0),)</f>
        <v>#N/A</v>
      </c>
      <c r="S256" s="220" t="e">
        <f>INDEX(PMtbl[WKst],MATCH(U256,PMtbl[Category],0),)</f>
        <v>#N/A</v>
      </c>
      <c r="T256" s="220" t="e">
        <f>INDEX(PMtbl[Sec],MATCH(U256,PMtbl[Category],0),)</f>
        <v>#N/A</v>
      </c>
      <c r="U256" s="241" t="e" cm="1">
        <f t="array" ref="U256">INDEX(PMtbl[Category],MATCH(0,INDEX(COUNTIF($U$2:U255,PMtbl[Category]),),0))</f>
        <v>#N/A</v>
      </c>
      <c r="X256"/>
      <c r="Y256"/>
      <c r="Z256"/>
      <c r="AA256"/>
      <c r="AB256"/>
      <c r="AC256" s="243"/>
      <c r="AD256" s="243"/>
      <c r="AE256" s="243"/>
      <c r="AF256" s="243"/>
    </row>
    <row r="257" spans="1:32" x14ac:dyDescent="0.35">
      <c r="A257" s="825" t="s">
        <v>2749</v>
      </c>
      <c r="B257" s="825" t="s">
        <v>2750</v>
      </c>
      <c r="C257" s="825">
        <v>5</v>
      </c>
      <c r="D257" s="825" t="s">
        <v>30</v>
      </c>
      <c r="E257" s="825" t="s">
        <v>2764</v>
      </c>
      <c r="F257" s="220">
        <v>256</v>
      </c>
      <c r="G257" s="825" t="s">
        <v>2995</v>
      </c>
      <c r="H257" s="825" t="s">
        <v>1987</v>
      </c>
      <c r="I257" s="220" t="s">
        <v>82</v>
      </c>
      <c r="J257" s="220" t="str">
        <f>PMtbl[[#This Row],[Category]]&amp;PMtbl[[#This Row],[Each]]&amp;PMtbl[[#This Row],[Packaging]]</f>
        <v>Waste management for C19RMWaste management: AutoclaveEquipment</v>
      </c>
      <c r="K257">
        <v>0</v>
      </c>
      <c r="L257" s="236">
        <v>6.6</v>
      </c>
      <c r="M257" s="234" t="s">
        <v>183</v>
      </c>
      <c r="N257" s="236"/>
      <c r="O257" s="825" t="s">
        <v>12</v>
      </c>
      <c r="P257" s="825"/>
      <c r="R257" s="220" t="e">
        <f>INDEX(PMtbl[Component],MATCH(U257,PMtbl[Category],0),)</f>
        <v>#N/A</v>
      </c>
      <c r="S257" s="220" t="e">
        <f>INDEX(PMtbl[WKst],MATCH(U257,PMtbl[Category],0),)</f>
        <v>#N/A</v>
      </c>
      <c r="T257" s="220" t="e">
        <f>INDEX(PMtbl[Sec],MATCH(U257,PMtbl[Category],0),)</f>
        <v>#N/A</v>
      </c>
      <c r="U257" s="241" t="e" cm="1">
        <f t="array" ref="U257">INDEX(PMtbl[Category],MATCH(0,INDEX(COUNTIF($U$2:U256,PMtbl[Category]),),0))</f>
        <v>#N/A</v>
      </c>
      <c r="X257"/>
      <c r="Y257"/>
      <c r="Z257"/>
      <c r="AA257"/>
      <c r="AB257"/>
      <c r="AC257" s="243"/>
      <c r="AD257" s="243"/>
      <c r="AE257" s="243"/>
      <c r="AF257" s="243"/>
    </row>
    <row r="258" spans="1:32" x14ac:dyDescent="0.35">
      <c r="A258" s="825" t="s">
        <v>2749</v>
      </c>
      <c r="B258" s="825" t="s">
        <v>2750</v>
      </c>
      <c r="C258" s="825">
        <v>5</v>
      </c>
      <c r="D258" s="825" t="s">
        <v>30</v>
      </c>
      <c r="E258" s="825" t="s">
        <v>2764</v>
      </c>
      <c r="F258" s="220">
        <v>257</v>
      </c>
      <c r="G258" s="825" t="s">
        <v>2995</v>
      </c>
      <c r="H258" s="825" t="s">
        <v>2777</v>
      </c>
      <c r="I258" s="220" t="s">
        <v>82</v>
      </c>
      <c r="J258" s="220" t="str">
        <f>PMtbl[[#This Row],[Category]]&amp;PMtbl[[#This Row],[Each]]&amp;PMtbl[[#This Row],[Packaging]]</f>
        <v>Waste management for C19RMWaste management: AutoclaveSpare parts and accessories</v>
      </c>
      <c r="K258">
        <v>0</v>
      </c>
      <c r="L258" s="236">
        <v>6.6</v>
      </c>
      <c r="M258" s="234" t="s">
        <v>183</v>
      </c>
      <c r="N258" s="236"/>
      <c r="O258" s="825" t="s">
        <v>12</v>
      </c>
      <c r="P258" s="825"/>
      <c r="R258" s="220" t="e">
        <f>INDEX(PMtbl[Component],MATCH(U258,PMtbl[Category],0),)</f>
        <v>#N/A</v>
      </c>
      <c r="S258" s="220" t="e">
        <f>INDEX(PMtbl[WKst],MATCH(U258,PMtbl[Category],0),)</f>
        <v>#N/A</v>
      </c>
      <c r="T258" s="220" t="e">
        <f>INDEX(PMtbl[Sec],MATCH(U258,PMtbl[Category],0),)</f>
        <v>#N/A</v>
      </c>
      <c r="U258" s="241" t="e" cm="1">
        <f t="array" ref="U258">INDEX(PMtbl[Category],MATCH(0,INDEX(COUNTIF($U$2:U257,PMtbl[Category]),),0))</f>
        <v>#N/A</v>
      </c>
      <c r="X258"/>
      <c r="Y258"/>
      <c r="Z258"/>
      <c r="AA258"/>
      <c r="AB258"/>
      <c r="AC258" s="243"/>
      <c r="AD258" s="243"/>
      <c r="AE258" s="243"/>
      <c r="AF258" s="243"/>
    </row>
    <row r="259" spans="1:32" x14ac:dyDescent="0.35">
      <c r="A259" s="825" t="s">
        <v>2749</v>
      </c>
      <c r="B259" s="825" t="s">
        <v>2750</v>
      </c>
      <c r="C259" s="825">
        <v>5</v>
      </c>
      <c r="D259" s="825" t="s">
        <v>30</v>
      </c>
      <c r="E259" s="825" t="s">
        <v>2764</v>
      </c>
      <c r="F259" s="220">
        <v>258</v>
      </c>
      <c r="G259" s="825" t="s">
        <v>2995</v>
      </c>
      <c r="H259" s="825" t="s">
        <v>2778</v>
      </c>
      <c r="I259" s="220" t="s">
        <v>82</v>
      </c>
      <c r="J259" s="220" t="str">
        <f>PMtbl[[#This Row],[Category]]&amp;PMtbl[[#This Row],[Each]]&amp;PMtbl[[#This Row],[Packaging]]</f>
        <v>Waste management for C19RMWaste management: AutoclaveWarranty, maintenance and service</v>
      </c>
      <c r="K259">
        <v>0</v>
      </c>
      <c r="L259" s="236">
        <v>6.5</v>
      </c>
      <c r="M259" s="234" t="s">
        <v>182</v>
      </c>
      <c r="N259" s="236"/>
      <c r="O259" s="825" t="s">
        <v>12</v>
      </c>
      <c r="P259" s="825"/>
      <c r="R259" s="220" t="e">
        <f>INDEX(PMtbl[Component],MATCH(U259,PMtbl[Category],0),)</f>
        <v>#N/A</v>
      </c>
      <c r="S259" s="220" t="e">
        <f>INDEX(PMtbl[WKst],MATCH(U259,PMtbl[Category],0),)</f>
        <v>#N/A</v>
      </c>
      <c r="T259" s="220" t="e">
        <f>INDEX(PMtbl[Sec],MATCH(U259,PMtbl[Category],0),)</f>
        <v>#N/A</v>
      </c>
      <c r="U259" s="241" t="e" cm="1">
        <f t="array" ref="U259">INDEX(PMtbl[Category],MATCH(0,INDEX(COUNTIF($U$2:U258,PMtbl[Category]),),0))</f>
        <v>#N/A</v>
      </c>
      <c r="X259"/>
      <c r="Y259"/>
      <c r="Z259"/>
      <c r="AA259"/>
      <c r="AB259"/>
      <c r="AC259" s="243"/>
      <c r="AD259" s="243"/>
      <c r="AE259" s="243"/>
      <c r="AF259" s="243"/>
    </row>
    <row r="260" spans="1:32" x14ac:dyDescent="0.35">
      <c r="A260" s="825" t="s">
        <v>2749</v>
      </c>
      <c r="B260" s="825" t="s">
        <v>2750</v>
      </c>
      <c r="C260" s="825">
        <v>5</v>
      </c>
      <c r="D260" s="825" t="s">
        <v>30</v>
      </c>
      <c r="E260" s="825" t="s">
        <v>2764</v>
      </c>
      <c r="F260" s="220">
        <v>259</v>
      </c>
      <c r="G260" s="825" t="s">
        <v>2996</v>
      </c>
      <c r="H260" s="825" t="s">
        <v>1987</v>
      </c>
      <c r="I260" s="220" t="s">
        <v>82</v>
      </c>
      <c r="J260" s="220" t="str">
        <f>PMtbl[[#This Row],[Category]]&amp;PMtbl[[#This Row],[Each]]&amp;PMtbl[[#This Row],[Packaging]]</f>
        <v>Waste management for C19RMWaste management: Incinerator, general wasteEquipment</v>
      </c>
      <c r="K260">
        <v>0</v>
      </c>
      <c r="L260" s="236">
        <v>6.6</v>
      </c>
      <c r="M260" s="234" t="s">
        <v>183</v>
      </c>
      <c r="N260" s="236"/>
      <c r="O260" s="825" t="s">
        <v>12</v>
      </c>
      <c r="P260" s="825"/>
      <c r="R260" s="220" t="e">
        <f>INDEX(PMtbl[Component],MATCH(U260,PMtbl[Category],0),)</f>
        <v>#N/A</v>
      </c>
      <c r="S260" s="220" t="e">
        <f>INDEX(PMtbl[WKst],MATCH(U260,PMtbl[Category],0),)</f>
        <v>#N/A</v>
      </c>
      <c r="T260" s="220" t="e">
        <f>INDEX(PMtbl[Sec],MATCH(U260,PMtbl[Category],0),)</f>
        <v>#N/A</v>
      </c>
      <c r="U260" s="241" t="e" cm="1">
        <f t="array" ref="U260">INDEX(PMtbl[Category],MATCH(0,INDEX(COUNTIF($U$2:U259,PMtbl[Category]),),0))</f>
        <v>#N/A</v>
      </c>
      <c r="X260"/>
      <c r="Y260"/>
      <c r="Z260"/>
      <c r="AA260"/>
      <c r="AB260"/>
      <c r="AC260" s="243"/>
      <c r="AD260" s="243"/>
      <c r="AE260" s="243"/>
      <c r="AF260" s="243"/>
    </row>
    <row r="261" spans="1:32" x14ac:dyDescent="0.35">
      <c r="A261" s="825" t="s">
        <v>2749</v>
      </c>
      <c r="B261" s="825" t="s">
        <v>2750</v>
      </c>
      <c r="C261" s="825">
        <v>5</v>
      </c>
      <c r="D261" s="825" t="s">
        <v>30</v>
      </c>
      <c r="E261" s="825" t="s">
        <v>2764</v>
      </c>
      <c r="F261" s="220">
        <v>260</v>
      </c>
      <c r="G261" s="825" t="s">
        <v>2996</v>
      </c>
      <c r="H261" s="825" t="s">
        <v>2777</v>
      </c>
      <c r="I261" s="220" t="s">
        <v>82</v>
      </c>
      <c r="J261" s="220" t="str">
        <f>PMtbl[[#This Row],[Category]]&amp;PMtbl[[#This Row],[Each]]&amp;PMtbl[[#This Row],[Packaging]]</f>
        <v>Waste management for C19RMWaste management: Incinerator, general wasteSpare parts and accessories</v>
      </c>
      <c r="K261">
        <v>0</v>
      </c>
      <c r="L261" s="236">
        <v>6.6</v>
      </c>
      <c r="M261" s="234" t="s">
        <v>183</v>
      </c>
      <c r="N261" s="236"/>
      <c r="O261" s="825" t="s">
        <v>12</v>
      </c>
      <c r="P261" s="825"/>
      <c r="R261" s="220" t="e">
        <f>INDEX(PMtbl[Component],MATCH(U261,PMtbl[Category],0),)</f>
        <v>#N/A</v>
      </c>
      <c r="S261" s="220" t="e">
        <f>INDEX(PMtbl[WKst],MATCH(U261,PMtbl[Category],0),)</f>
        <v>#N/A</v>
      </c>
      <c r="T261" s="220" t="e">
        <f>INDEX(PMtbl[Sec],MATCH(U261,PMtbl[Category],0),)</f>
        <v>#N/A</v>
      </c>
      <c r="U261" s="241" t="e" cm="1">
        <f t="array" ref="U261">INDEX(PMtbl[Category],MATCH(0,INDEX(COUNTIF($U$2:U260,PMtbl[Category]),),0))</f>
        <v>#N/A</v>
      </c>
      <c r="X261"/>
      <c r="Y261"/>
      <c r="Z261"/>
      <c r="AA261"/>
      <c r="AB261"/>
      <c r="AC261" s="243"/>
      <c r="AD261" s="243"/>
      <c r="AE261" s="243"/>
      <c r="AF261" s="243"/>
    </row>
    <row r="262" spans="1:32" x14ac:dyDescent="0.35">
      <c r="A262" s="825" t="s">
        <v>2749</v>
      </c>
      <c r="B262" s="825" t="s">
        <v>2750</v>
      </c>
      <c r="C262" s="825">
        <v>5</v>
      </c>
      <c r="D262" s="825" t="s">
        <v>30</v>
      </c>
      <c r="E262" s="825" t="s">
        <v>2764</v>
      </c>
      <c r="F262" s="220">
        <v>261</v>
      </c>
      <c r="G262" s="825" t="s">
        <v>2996</v>
      </c>
      <c r="H262" s="825" t="s">
        <v>2778</v>
      </c>
      <c r="I262" s="220" t="s">
        <v>82</v>
      </c>
      <c r="J262" s="220" t="str">
        <f>PMtbl[[#This Row],[Category]]&amp;PMtbl[[#This Row],[Each]]&amp;PMtbl[[#This Row],[Packaging]]</f>
        <v>Waste management for C19RMWaste management: Incinerator, general wasteWarranty, maintenance and service</v>
      </c>
      <c r="K262">
        <v>0</v>
      </c>
      <c r="L262" s="236">
        <v>6.5</v>
      </c>
      <c r="M262" s="234" t="s">
        <v>182</v>
      </c>
      <c r="N262" s="236"/>
      <c r="O262" s="825" t="s">
        <v>12</v>
      </c>
      <c r="P262" s="825"/>
      <c r="R262" s="220" t="e">
        <f>INDEX(PMtbl[Component],MATCH(U262,PMtbl[Category],0),)</f>
        <v>#N/A</v>
      </c>
      <c r="S262" s="220" t="e">
        <f>INDEX(PMtbl[WKst],MATCH(U262,PMtbl[Category],0),)</f>
        <v>#N/A</v>
      </c>
      <c r="T262" s="220" t="e">
        <f>INDEX(PMtbl[Sec],MATCH(U262,PMtbl[Category],0),)</f>
        <v>#N/A</v>
      </c>
      <c r="U262" s="241" t="e" cm="1">
        <f t="array" ref="U262">INDEX(PMtbl[Category],MATCH(0,INDEX(COUNTIF($U$2:U261,PMtbl[Category]),),0))</f>
        <v>#N/A</v>
      </c>
      <c r="X262"/>
      <c r="Y262"/>
      <c r="Z262"/>
      <c r="AA262"/>
      <c r="AB262"/>
      <c r="AC262" s="243"/>
      <c r="AD262" s="243"/>
      <c r="AE262" s="243"/>
      <c r="AF262" s="243"/>
    </row>
    <row r="263" spans="1:32" x14ac:dyDescent="0.35">
      <c r="A263" s="825" t="s">
        <v>2749</v>
      </c>
      <c r="B263" s="825" t="s">
        <v>2750</v>
      </c>
      <c r="C263" s="825">
        <v>5</v>
      </c>
      <c r="D263" s="825" t="s">
        <v>30</v>
      </c>
      <c r="E263" s="825" t="s">
        <v>2764</v>
      </c>
      <c r="F263" s="220">
        <v>262</v>
      </c>
      <c r="G263" s="825" t="s">
        <v>2997</v>
      </c>
      <c r="H263" s="825" t="s">
        <v>1987</v>
      </c>
      <c r="I263" s="220" t="s">
        <v>82</v>
      </c>
      <c r="J263" s="220" t="str">
        <f>PMtbl[[#This Row],[Category]]&amp;PMtbl[[#This Row],[Each]]&amp;PMtbl[[#This Row],[Packaging]]</f>
        <v>Waste management for C19RMWaste management: Incinerator, medical wasteEquipment</v>
      </c>
      <c r="K263">
        <v>0</v>
      </c>
      <c r="L263" s="236">
        <v>6.6</v>
      </c>
      <c r="M263" s="234" t="s">
        <v>183</v>
      </c>
      <c r="N263" s="236"/>
      <c r="O263" s="825" t="s">
        <v>12</v>
      </c>
      <c r="P263" s="825"/>
      <c r="R263" s="220" t="e">
        <f>INDEX(PMtbl[Component],MATCH(U263,PMtbl[Category],0),)</f>
        <v>#N/A</v>
      </c>
      <c r="S263" s="220" t="e">
        <f>INDEX(PMtbl[WKst],MATCH(U263,PMtbl[Category],0),)</f>
        <v>#N/A</v>
      </c>
      <c r="T263" s="220" t="e">
        <f>INDEX(PMtbl[Sec],MATCH(U263,PMtbl[Category],0),)</f>
        <v>#N/A</v>
      </c>
      <c r="U263" s="241" t="e" cm="1">
        <f t="array" ref="U263">INDEX(PMtbl[Category],MATCH(0,INDEX(COUNTIF($U$2:U262,PMtbl[Category]),),0))</f>
        <v>#N/A</v>
      </c>
      <c r="X263"/>
      <c r="Y263"/>
      <c r="Z263"/>
      <c r="AA263"/>
      <c r="AB263"/>
      <c r="AC263" s="243"/>
      <c r="AD263" s="243"/>
      <c r="AE263" s="243"/>
      <c r="AF263" s="243"/>
    </row>
    <row r="264" spans="1:32" x14ac:dyDescent="0.35">
      <c r="A264" s="825" t="s">
        <v>2749</v>
      </c>
      <c r="B264" s="825" t="s">
        <v>2750</v>
      </c>
      <c r="C264" s="825">
        <v>5</v>
      </c>
      <c r="D264" s="825" t="s">
        <v>30</v>
      </c>
      <c r="E264" s="825" t="s">
        <v>2764</v>
      </c>
      <c r="F264" s="220">
        <v>263</v>
      </c>
      <c r="G264" s="825" t="s">
        <v>2997</v>
      </c>
      <c r="H264" s="825" t="s">
        <v>2777</v>
      </c>
      <c r="I264" s="220" t="s">
        <v>82</v>
      </c>
      <c r="J264" s="220" t="str">
        <f>PMtbl[[#This Row],[Category]]&amp;PMtbl[[#This Row],[Each]]&amp;PMtbl[[#This Row],[Packaging]]</f>
        <v>Waste management for C19RMWaste management: Incinerator, medical wasteSpare parts and accessories</v>
      </c>
      <c r="K264">
        <v>0</v>
      </c>
      <c r="L264" s="236">
        <v>6.6</v>
      </c>
      <c r="M264" s="234" t="s">
        <v>183</v>
      </c>
      <c r="N264" s="236"/>
      <c r="O264" s="825" t="s">
        <v>12</v>
      </c>
      <c r="P264" s="825"/>
      <c r="R264" s="220" t="e">
        <f>INDEX(PMtbl[Component],MATCH(U264,PMtbl[Category],0),)</f>
        <v>#N/A</v>
      </c>
      <c r="S264" s="220" t="e">
        <f>INDEX(PMtbl[WKst],MATCH(U264,PMtbl[Category],0),)</f>
        <v>#N/A</v>
      </c>
      <c r="T264" s="220" t="e">
        <f>INDEX(PMtbl[Sec],MATCH(U264,PMtbl[Category],0),)</f>
        <v>#N/A</v>
      </c>
      <c r="U264" s="241" t="e" cm="1">
        <f t="array" ref="U264">INDEX(PMtbl[Category],MATCH(0,INDEX(COUNTIF($U$2:U263,PMtbl[Category]),),0))</f>
        <v>#N/A</v>
      </c>
      <c r="X264"/>
      <c r="Y264"/>
      <c r="Z264"/>
      <c r="AA264"/>
      <c r="AB264"/>
      <c r="AC264" s="243"/>
      <c r="AD264" s="243"/>
      <c r="AE264" s="243"/>
      <c r="AF264" s="243"/>
    </row>
    <row r="265" spans="1:32" x14ac:dyDescent="0.35">
      <c r="A265" s="825" t="s">
        <v>2749</v>
      </c>
      <c r="B265" s="825" t="s">
        <v>2750</v>
      </c>
      <c r="C265" s="825">
        <v>5</v>
      </c>
      <c r="D265" s="825" t="s">
        <v>30</v>
      </c>
      <c r="E265" s="825" t="s">
        <v>2764</v>
      </c>
      <c r="F265" s="220">
        <v>264</v>
      </c>
      <c r="G265" s="825" t="s">
        <v>2997</v>
      </c>
      <c r="H265" s="825" t="s">
        <v>2778</v>
      </c>
      <c r="I265" s="220" t="s">
        <v>82</v>
      </c>
      <c r="J265" s="220" t="str">
        <f>PMtbl[[#This Row],[Category]]&amp;PMtbl[[#This Row],[Each]]&amp;PMtbl[[#This Row],[Packaging]]</f>
        <v>Waste management for C19RMWaste management: Incinerator, medical wasteWarranty, maintenance and service</v>
      </c>
      <c r="K265">
        <v>0</v>
      </c>
      <c r="L265" s="236">
        <v>6.5</v>
      </c>
      <c r="M265" s="234" t="s">
        <v>182</v>
      </c>
      <c r="N265" s="236"/>
      <c r="O265" s="825" t="s">
        <v>12</v>
      </c>
      <c r="P265" s="825"/>
      <c r="R265" s="220" t="e">
        <f>INDEX(PMtbl[Component],MATCH(U265,PMtbl[Category],0),)</f>
        <v>#N/A</v>
      </c>
      <c r="S265" s="220" t="e">
        <f>INDEX(PMtbl[WKst],MATCH(U265,PMtbl[Category],0),)</f>
        <v>#N/A</v>
      </c>
      <c r="T265" s="220" t="e">
        <f>INDEX(PMtbl[Sec],MATCH(U265,PMtbl[Category],0),)</f>
        <v>#N/A</v>
      </c>
      <c r="U265" s="241" t="e" cm="1">
        <f t="array" ref="U265">INDEX(PMtbl[Category],MATCH(0,INDEX(COUNTIF($U$2:U264,PMtbl[Category]),),0))</f>
        <v>#N/A</v>
      </c>
      <c r="X265"/>
      <c r="Y265"/>
      <c r="Z265"/>
      <c r="AA265"/>
      <c r="AB265"/>
      <c r="AC265" s="243"/>
      <c r="AD265" s="243"/>
      <c r="AE265" s="243"/>
      <c r="AF265" s="243"/>
    </row>
    <row r="266" spans="1:32" x14ac:dyDescent="0.35">
      <c r="A266" s="825" t="s">
        <v>2749</v>
      </c>
      <c r="B266" s="825" t="s">
        <v>2750</v>
      </c>
      <c r="C266" s="825">
        <v>5</v>
      </c>
      <c r="D266" s="825" t="s">
        <v>30</v>
      </c>
      <c r="E266" s="825" t="s">
        <v>2764</v>
      </c>
      <c r="F266" s="220">
        <v>265</v>
      </c>
      <c r="G266" s="825" t="s">
        <v>2998</v>
      </c>
      <c r="H266" s="825" t="s">
        <v>1987</v>
      </c>
      <c r="I266" s="220" t="s">
        <v>82</v>
      </c>
      <c r="J266" s="220" t="str">
        <f>PMtbl[[#This Row],[Category]]&amp;PMtbl[[#This Row],[Each]]&amp;PMtbl[[#This Row],[Packaging]]</f>
        <v>Waste management for C19RMWaste management: Other equipmentEquipment</v>
      </c>
      <c r="K266">
        <v>0</v>
      </c>
      <c r="L266" s="236">
        <v>6.6</v>
      </c>
      <c r="M266" s="234" t="s">
        <v>183</v>
      </c>
      <c r="N266" s="236"/>
      <c r="O266" s="825" t="s">
        <v>12</v>
      </c>
      <c r="P266" s="825"/>
      <c r="R266" s="220" t="e">
        <f>INDEX(PMtbl[Component],MATCH(U266,PMtbl[Category],0),)</f>
        <v>#N/A</v>
      </c>
      <c r="S266" s="220" t="e">
        <f>INDEX(PMtbl[WKst],MATCH(U266,PMtbl[Category],0),)</f>
        <v>#N/A</v>
      </c>
      <c r="T266" s="220" t="e">
        <f>INDEX(PMtbl[Sec],MATCH(U266,PMtbl[Category],0),)</f>
        <v>#N/A</v>
      </c>
      <c r="U266" s="241" t="e" cm="1">
        <f t="array" ref="U266">INDEX(PMtbl[Category],MATCH(0,INDEX(COUNTIF($U$2:U265,PMtbl[Category]),),0))</f>
        <v>#N/A</v>
      </c>
      <c r="X266"/>
      <c r="Y266"/>
      <c r="Z266"/>
      <c r="AA266"/>
      <c r="AB266"/>
      <c r="AC266" s="243"/>
      <c r="AD266" s="243"/>
      <c r="AE266" s="243"/>
      <c r="AF266" s="243"/>
    </row>
    <row r="267" spans="1:32" x14ac:dyDescent="0.35">
      <c r="A267" s="825" t="s">
        <v>2749</v>
      </c>
      <c r="B267" s="825" t="s">
        <v>2750</v>
      </c>
      <c r="C267" s="825">
        <v>5</v>
      </c>
      <c r="D267" s="825" t="s">
        <v>30</v>
      </c>
      <c r="E267" s="825" t="s">
        <v>2764</v>
      </c>
      <c r="F267" s="220">
        <v>266</v>
      </c>
      <c r="G267" s="825" t="s">
        <v>2998</v>
      </c>
      <c r="H267" s="825" t="s">
        <v>2777</v>
      </c>
      <c r="I267" s="220" t="s">
        <v>82</v>
      </c>
      <c r="J267" s="220" t="str">
        <f>PMtbl[[#This Row],[Category]]&amp;PMtbl[[#This Row],[Each]]&amp;PMtbl[[#This Row],[Packaging]]</f>
        <v>Waste management for C19RMWaste management: Other equipmentSpare parts and accessories</v>
      </c>
      <c r="K267">
        <v>0</v>
      </c>
      <c r="L267" s="236">
        <v>6.6</v>
      </c>
      <c r="M267" s="234" t="s">
        <v>183</v>
      </c>
      <c r="N267" s="236"/>
      <c r="O267" s="825" t="s">
        <v>12</v>
      </c>
      <c r="P267" s="825"/>
      <c r="R267" s="220" t="e">
        <f>INDEX(PMtbl[Component],MATCH(U267,PMtbl[Category],0),)</f>
        <v>#N/A</v>
      </c>
      <c r="S267" s="220" t="e">
        <f>INDEX(PMtbl[WKst],MATCH(U267,PMtbl[Category],0),)</f>
        <v>#N/A</v>
      </c>
      <c r="T267" s="220" t="e">
        <f>INDEX(PMtbl[Sec],MATCH(U267,PMtbl[Category],0),)</f>
        <v>#N/A</v>
      </c>
      <c r="U267" s="241" t="e" cm="1">
        <f t="array" ref="U267">INDEX(PMtbl[Category],MATCH(0,INDEX(COUNTIF($U$2:U266,PMtbl[Category]),),0))</f>
        <v>#N/A</v>
      </c>
      <c r="X267"/>
      <c r="Y267"/>
      <c r="Z267"/>
      <c r="AA267"/>
      <c r="AB267"/>
      <c r="AC267" s="243"/>
      <c r="AD267" s="243"/>
      <c r="AE267" s="243"/>
      <c r="AF267" s="243"/>
    </row>
    <row r="268" spans="1:32" x14ac:dyDescent="0.35">
      <c r="A268" s="825" t="s">
        <v>2749</v>
      </c>
      <c r="B268" s="825" t="s">
        <v>2750</v>
      </c>
      <c r="C268" s="825">
        <v>5</v>
      </c>
      <c r="D268" s="825" t="s">
        <v>30</v>
      </c>
      <c r="E268" s="825" t="s">
        <v>2764</v>
      </c>
      <c r="F268" s="220">
        <v>267</v>
      </c>
      <c r="G268" s="825" t="s">
        <v>2998</v>
      </c>
      <c r="H268" s="825" t="s">
        <v>2778</v>
      </c>
      <c r="I268" s="220" t="s">
        <v>82</v>
      </c>
      <c r="J268" s="220" t="str">
        <f>PMtbl[[#This Row],[Category]]&amp;PMtbl[[#This Row],[Each]]&amp;PMtbl[[#This Row],[Packaging]]</f>
        <v>Waste management for C19RMWaste management: Other equipmentWarranty, maintenance and service</v>
      </c>
      <c r="K268">
        <v>0</v>
      </c>
      <c r="L268" s="236">
        <v>6.5</v>
      </c>
      <c r="M268" s="234" t="s">
        <v>182</v>
      </c>
      <c r="N268" s="236"/>
      <c r="O268" s="825" t="s">
        <v>12</v>
      </c>
      <c r="P268" s="825"/>
      <c r="R268" s="220" t="e">
        <f>INDEX(PMtbl[Component],MATCH(U268,PMtbl[Category],0),)</f>
        <v>#N/A</v>
      </c>
      <c r="S268" s="220" t="e">
        <f>INDEX(PMtbl[WKst],MATCH(U268,PMtbl[Category],0),)</f>
        <v>#N/A</v>
      </c>
      <c r="T268" s="220" t="e">
        <f>INDEX(PMtbl[Sec],MATCH(U268,PMtbl[Category],0),)</f>
        <v>#N/A</v>
      </c>
      <c r="U268" s="241" t="e" cm="1">
        <f t="array" ref="U268">INDEX(PMtbl[Category],MATCH(0,INDEX(COUNTIF($U$2:U267,PMtbl[Category]),),0))</f>
        <v>#N/A</v>
      </c>
      <c r="X268"/>
      <c r="Y268"/>
      <c r="Z268"/>
      <c r="AA268"/>
      <c r="AB268"/>
      <c r="AC268" s="243"/>
      <c r="AD268" s="243"/>
      <c r="AE268" s="243"/>
      <c r="AF268" s="243"/>
    </row>
    <row r="269" spans="1:32" x14ac:dyDescent="0.35">
      <c r="A269" s="825" t="s">
        <v>2749</v>
      </c>
      <c r="B269" s="825" t="s">
        <v>2750</v>
      </c>
      <c r="C269" s="825">
        <v>5</v>
      </c>
      <c r="D269" s="825" t="s">
        <v>30</v>
      </c>
      <c r="E269" s="825" t="s">
        <v>2764</v>
      </c>
      <c r="F269" s="220">
        <v>249</v>
      </c>
      <c r="G269" s="825" t="s">
        <v>2987</v>
      </c>
      <c r="H269" s="825" t="s">
        <v>2988</v>
      </c>
      <c r="I269" s="220" t="s">
        <v>82</v>
      </c>
      <c r="J269" s="220" t="str">
        <f>PMtbl[[#This Row],[Category]]&amp;PMtbl[[#This Row],[Each]]&amp;PMtbl[[#This Row],[Packaging]]</f>
        <v>Waste management for C19RMWaste management:Service ContractsService Contracts</v>
      </c>
      <c r="K269">
        <v>0</v>
      </c>
      <c r="L269" s="236">
        <v>6.5</v>
      </c>
      <c r="M269" s="234" t="s">
        <v>182</v>
      </c>
      <c r="N269" s="236"/>
      <c r="O269" s="825" t="s">
        <v>12</v>
      </c>
      <c r="P269" s="825"/>
      <c r="R269" s="220" t="e">
        <f>INDEX(PMtbl[Component],MATCH(U269,PMtbl[Category],0),)</f>
        <v>#N/A</v>
      </c>
      <c r="S269" s="220" t="e">
        <f>INDEX(PMtbl[WKst],MATCH(U269,PMtbl[Category],0),)</f>
        <v>#N/A</v>
      </c>
      <c r="T269" s="220" t="e">
        <f>INDEX(PMtbl[Sec],MATCH(U269,PMtbl[Category],0),)</f>
        <v>#N/A</v>
      </c>
      <c r="U269" s="241" t="e" cm="1">
        <f t="array" ref="U269">INDEX(PMtbl[Category],MATCH(0,INDEX(COUNTIF($U$2:U268,PMtbl[Category]),),0))</f>
        <v>#N/A</v>
      </c>
      <c r="X269"/>
      <c r="Y269"/>
      <c r="Z269"/>
      <c r="AA269"/>
      <c r="AB269"/>
      <c r="AC269" s="243"/>
      <c r="AD269" s="243"/>
      <c r="AE269" s="243"/>
      <c r="AF269" s="243"/>
    </row>
    <row r="270" spans="1:32" x14ac:dyDescent="0.35">
      <c r="A270" s="825" t="s">
        <v>2749</v>
      </c>
      <c r="B270" s="825" t="s">
        <v>2750</v>
      </c>
      <c r="C270" s="825">
        <v>6</v>
      </c>
      <c r="D270" s="825" t="s">
        <v>31</v>
      </c>
      <c r="E270" s="825" t="s">
        <v>2765</v>
      </c>
      <c r="F270" s="220">
        <v>268</v>
      </c>
      <c r="G270" s="825" t="s">
        <v>2999</v>
      </c>
      <c r="H270" s="825" t="s">
        <v>3000</v>
      </c>
      <c r="I270" s="220" t="s">
        <v>82</v>
      </c>
      <c r="J270" s="220" t="str">
        <f>PMtbl[[#This Row],[Category]]&amp;PMtbl[[#This Row],[Each]]&amp;PMtbl[[#This Row],[Packaging]]</f>
        <v>COVID Tests / Antibody Rapid Diagnostic Test Ab-RDTSARS-CoV-2 Ab Rapid Test kitSARS-CoV-2 - Generic Rapid Antibody Diagnostic Test Kit - 1 test</v>
      </c>
      <c r="K270">
        <v>0</v>
      </c>
      <c r="L270" s="236">
        <v>5.4</v>
      </c>
      <c r="M270" s="234" t="s">
        <v>179</v>
      </c>
      <c r="N270" s="236"/>
      <c r="O270" s="825" t="s">
        <v>12</v>
      </c>
      <c r="P270" s="825"/>
      <c r="R270" s="220" t="e">
        <f>INDEX(PMtbl[Component],MATCH(U270,PMtbl[Category],0),)</f>
        <v>#N/A</v>
      </c>
      <c r="S270" s="220" t="e">
        <f>INDEX(PMtbl[WKst],MATCH(U270,PMtbl[Category],0),)</f>
        <v>#N/A</v>
      </c>
      <c r="T270" s="220" t="e">
        <f>INDEX(PMtbl[Sec],MATCH(U270,PMtbl[Category],0),)</f>
        <v>#N/A</v>
      </c>
      <c r="U270" s="241" t="e" cm="1">
        <f t="array" ref="U270">INDEX(PMtbl[Category],MATCH(0,INDEX(COUNTIF($U$2:U269,PMtbl[Category]),),0))</f>
        <v>#N/A</v>
      </c>
      <c r="X270"/>
      <c r="Y270"/>
      <c r="Z270"/>
      <c r="AA270"/>
      <c r="AB270"/>
      <c r="AC270" s="243"/>
      <c r="AD270" s="243"/>
      <c r="AE270" s="243"/>
      <c r="AF270" s="243"/>
    </row>
    <row r="271" spans="1:32" x14ac:dyDescent="0.35">
      <c r="A271" s="825" t="s">
        <v>2749</v>
      </c>
      <c r="B271" s="825" t="s">
        <v>2750</v>
      </c>
      <c r="C271" s="825">
        <v>6</v>
      </c>
      <c r="D271" s="825" t="s">
        <v>31</v>
      </c>
      <c r="E271" s="825" t="s">
        <v>2766</v>
      </c>
      <c r="F271" s="220">
        <v>269</v>
      </c>
      <c r="G271" s="825" t="s">
        <v>3001</v>
      </c>
      <c r="H271" s="825" t="s">
        <v>2149</v>
      </c>
      <c r="I271" s="220" t="s">
        <v>82</v>
      </c>
      <c r="J271" s="220" t="str">
        <f>PMtbl[[#This Row],[Category]]&amp;PMtbl[[#This Row],[Each]]&amp;PMtbl[[#This Row],[Packaging]]</f>
        <v>Genomic surveillance / sequencingReagents for sequencingEnter details in Comments</v>
      </c>
      <c r="K271">
        <v>0</v>
      </c>
      <c r="L271" s="236">
        <v>5.6</v>
      </c>
      <c r="M271" s="234" t="s">
        <v>180</v>
      </c>
      <c r="N271" s="236"/>
      <c r="O271" s="825" t="s">
        <v>12</v>
      </c>
      <c r="P271" s="825"/>
      <c r="R271" s="220" t="e">
        <f>INDEX(PMtbl[Component],MATCH(U271,PMtbl[Category],0),)</f>
        <v>#N/A</v>
      </c>
      <c r="S271" s="220" t="e">
        <f>INDEX(PMtbl[WKst],MATCH(U271,PMtbl[Category],0),)</f>
        <v>#N/A</v>
      </c>
      <c r="T271" s="220" t="e">
        <f>INDEX(PMtbl[Sec],MATCH(U271,PMtbl[Category],0),)</f>
        <v>#N/A</v>
      </c>
      <c r="U271" s="241" t="e" cm="1">
        <f t="array" ref="U271">INDEX(PMtbl[Category],MATCH(0,INDEX(COUNTIF($U$2:U270,PMtbl[Category]),),0))</f>
        <v>#N/A</v>
      </c>
      <c r="X271"/>
      <c r="Y271"/>
      <c r="Z271"/>
      <c r="AA271"/>
      <c r="AB271"/>
      <c r="AC271" s="243"/>
      <c r="AD271" s="243"/>
      <c r="AE271" s="243"/>
      <c r="AF271" s="243"/>
    </row>
    <row r="272" spans="1:32" x14ac:dyDescent="0.35">
      <c r="A272" s="825" t="s">
        <v>2749</v>
      </c>
      <c r="B272" s="825" t="s">
        <v>2750</v>
      </c>
      <c r="C272" s="825">
        <v>6</v>
      </c>
      <c r="D272" s="825" t="s">
        <v>31</v>
      </c>
      <c r="E272" s="825" t="s">
        <v>2766</v>
      </c>
      <c r="F272" s="220">
        <v>270</v>
      </c>
      <c r="G272" s="825" t="s">
        <v>3002</v>
      </c>
      <c r="H272" s="825" t="s">
        <v>2993</v>
      </c>
      <c r="I272" s="220" t="s">
        <v>82</v>
      </c>
      <c r="J272" s="220" t="str">
        <f>PMtbl[[#This Row],[Category]]&amp;PMtbl[[#This Row],[Each]]&amp;PMtbl[[#This Row],[Packaging]]</f>
        <v>Genomic surveillance / sequencingSample CollectionContainer, sharps, leak-resistant, with lid</v>
      </c>
      <c r="K272">
        <v>0</v>
      </c>
      <c r="L272" s="236">
        <v>5.8</v>
      </c>
      <c r="M272" s="234" t="s">
        <v>181</v>
      </c>
      <c r="N272" s="236"/>
      <c r="O272" s="825" t="s">
        <v>12</v>
      </c>
      <c r="P272" s="825"/>
      <c r="R272" s="220" t="e">
        <f>INDEX(PMtbl[Component],MATCH(U272,PMtbl[Category],0),)</f>
        <v>#N/A</v>
      </c>
      <c r="S272" s="220" t="e">
        <f>INDEX(PMtbl[WKst],MATCH(U272,PMtbl[Category],0),)</f>
        <v>#N/A</v>
      </c>
      <c r="T272" s="220" t="e">
        <f>INDEX(PMtbl[Sec],MATCH(U272,PMtbl[Category],0),)</f>
        <v>#N/A</v>
      </c>
      <c r="U272" s="241" t="e" cm="1">
        <f t="array" ref="U272">INDEX(PMtbl[Category],MATCH(0,INDEX(COUNTIF($U$2:U271,PMtbl[Category]),),0))</f>
        <v>#N/A</v>
      </c>
      <c r="X272"/>
      <c r="Y272"/>
      <c r="Z272"/>
      <c r="AA272"/>
      <c r="AB272"/>
      <c r="AC272" s="243"/>
      <c r="AD272" s="243"/>
      <c r="AE272" s="243"/>
      <c r="AF272" s="243"/>
    </row>
    <row r="273" spans="1:32" x14ac:dyDescent="0.35">
      <c r="A273" s="825" t="s">
        <v>2749</v>
      </c>
      <c r="B273" s="825" t="s">
        <v>2750</v>
      </c>
      <c r="C273" s="825">
        <v>6</v>
      </c>
      <c r="D273" s="825" t="s">
        <v>31</v>
      </c>
      <c r="E273" s="825" t="s">
        <v>2766</v>
      </c>
      <c r="F273" s="220">
        <v>271</v>
      </c>
      <c r="G273" s="825" t="s">
        <v>3002</v>
      </c>
      <c r="H273" s="825" t="s">
        <v>1912</v>
      </c>
      <c r="I273" s="220" t="s">
        <v>82</v>
      </c>
      <c r="J273" s="220" t="str">
        <f>PMtbl[[#This Row],[Category]]&amp;PMtbl[[#This Row],[Each]]&amp;PMtbl[[#This Row],[Packaging]]</f>
        <v>Genomic surveillance / sequencingSample CollectionNeedles and Syringes</v>
      </c>
      <c r="K273">
        <v>0</v>
      </c>
      <c r="L273" s="236">
        <v>5.8</v>
      </c>
      <c r="M273" s="234" t="s">
        <v>181</v>
      </c>
      <c r="N273" s="236"/>
      <c r="O273" s="825" t="s">
        <v>12</v>
      </c>
      <c r="P273" s="825"/>
      <c r="R273" s="220" t="e">
        <f>INDEX(PMtbl[Component],MATCH(U273,PMtbl[Category],0),)</f>
        <v>#N/A</v>
      </c>
      <c r="S273" s="220" t="e">
        <f>INDEX(PMtbl[WKst],MATCH(U273,PMtbl[Category],0),)</f>
        <v>#N/A</v>
      </c>
      <c r="T273" s="220" t="e">
        <f>INDEX(PMtbl[Sec],MATCH(U273,PMtbl[Category],0),)</f>
        <v>#N/A</v>
      </c>
      <c r="U273" s="241" t="e" cm="1">
        <f t="array" ref="U273">INDEX(PMtbl[Category],MATCH(0,INDEX(COUNTIF($U$2:U272,PMtbl[Category]),),0))</f>
        <v>#N/A</v>
      </c>
      <c r="X273"/>
      <c r="Y273"/>
      <c r="Z273"/>
      <c r="AA273"/>
      <c r="AB273"/>
      <c r="AC273" s="243"/>
      <c r="AD273" s="243"/>
      <c r="AE273" s="243"/>
      <c r="AF273" s="243"/>
    </row>
    <row r="274" spans="1:32" x14ac:dyDescent="0.35">
      <c r="A274" s="825" t="s">
        <v>2749</v>
      </c>
      <c r="B274" s="825" t="s">
        <v>2750</v>
      </c>
      <c r="C274" s="825">
        <v>6</v>
      </c>
      <c r="D274" s="825" t="s">
        <v>31</v>
      </c>
      <c r="E274" s="825" t="s">
        <v>2766</v>
      </c>
      <c r="F274" s="220">
        <v>272</v>
      </c>
      <c r="G274" s="825" t="s">
        <v>3002</v>
      </c>
      <c r="H274" s="825" t="s">
        <v>2814</v>
      </c>
      <c r="I274" s="220" t="s">
        <v>82</v>
      </c>
      <c r="J274" s="220" t="str">
        <f>PMtbl[[#This Row],[Category]]&amp;PMtbl[[#This Row],[Each]]&amp;PMtbl[[#This Row],[Packaging]]</f>
        <v>Genomic surveillance / sequencingSample CollectionSample collection kit: swab and viral transport medium</v>
      </c>
      <c r="K274">
        <v>0</v>
      </c>
      <c r="L274" s="236">
        <v>5.8</v>
      </c>
      <c r="M274" s="234" t="s">
        <v>181</v>
      </c>
      <c r="N274" s="236"/>
      <c r="O274" s="825" t="s">
        <v>12</v>
      </c>
      <c r="P274" s="825"/>
      <c r="R274" s="220" t="e">
        <f>INDEX(PMtbl[Component],MATCH(U274,PMtbl[Category],0),)</f>
        <v>#N/A</v>
      </c>
      <c r="S274" s="220" t="e">
        <f>INDEX(PMtbl[WKst],MATCH(U274,PMtbl[Category],0),)</f>
        <v>#N/A</v>
      </c>
      <c r="T274" s="220" t="e">
        <f>INDEX(PMtbl[Sec],MATCH(U274,PMtbl[Category],0),)</f>
        <v>#N/A</v>
      </c>
      <c r="U274" s="241" t="e" cm="1">
        <f t="array" ref="U274">INDEX(PMtbl[Category],MATCH(0,INDEX(COUNTIF($U$2:U273,PMtbl[Category]),),0))</f>
        <v>#N/A</v>
      </c>
      <c r="X274"/>
      <c r="Y274"/>
      <c r="Z274"/>
      <c r="AA274"/>
      <c r="AB274"/>
      <c r="AC274" s="243"/>
      <c r="AD274" s="243"/>
      <c r="AE274" s="243"/>
      <c r="AF274" s="243"/>
    </row>
    <row r="275" spans="1:32" x14ac:dyDescent="0.35">
      <c r="A275" s="825" t="s">
        <v>2749</v>
      </c>
      <c r="B275" s="825" t="s">
        <v>2750</v>
      </c>
      <c r="C275" s="825">
        <v>6</v>
      </c>
      <c r="D275" s="825" t="s">
        <v>31</v>
      </c>
      <c r="E275" s="825" t="s">
        <v>2766</v>
      </c>
      <c r="F275" s="220">
        <v>273</v>
      </c>
      <c r="G275" s="825" t="s">
        <v>3002</v>
      </c>
      <c r="H275" s="825" t="s">
        <v>3003</v>
      </c>
      <c r="I275" s="220" t="s">
        <v>82</v>
      </c>
      <c r="J275" s="220" t="str">
        <f>PMtbl[[#This Row],[Category]]&amp;PMtbl[[#This Row],[Each]]&amp;PMtbl[[#This Row],[Packaging]]</f>
        <v>Genomic surveillance / sequencingSample CollectionTriple packaging boxes for transport</v>
      </c>
      <c r="K275">
        <v>0</v>
      </c>
      <c r="L275" s="236">
        <v>5.8</v>
      </c>
      <c r="M275" s="234" t="s">
        <v>181</v>
      </c>
      <c r="N275" s="236"/>
      <c r="O275" s="825" t="s">
        <v>12</v>
      </c>
      <c r="P275" s="825"/>
      <c r="R275" s="220" t="e">
        <f>INDEX(PMtbl[Component],MATCH(U275,PMtbl[Category],0),)</f>
        <v>#N/A</v>
      </c>
      <c r="S275" s="220" t="e">
        <f>INDEX(PMtbl[WKst],MATCH(U275,PMtbl[Category],0),)</f>
        <v>#N/A</v>
      </c>
      <c r="T275" s="220" t="e">
        <f>INDEX(PMtbl[Sec],MATCH(U275,PMtbl[Category],0),)</f>
        <v>#N/A</v>
      </c>
      <c r="U275" s="241" t="e" cm="1">
        <f t="array" ref="U275">INDEX(PMtbl[Category],MATCH(0,INDEX(COUNTIF($U$2:U274,PMtbl[Category]),),0))</f>
        <v>#N/A</v>
      </c>
      <c r="X275"/>
      <c r="Y275"/>
      <c r="Z275"/>
      <c r="AA275"/>
      <c r="AB275"/>
      <c r="AC275" s="243"/>
      <c r="AD275" s="243"/>
      <c r="AE275" s="243"/>
      <c r="AF275" s="243"/>
    </row>
    <row r="276" spans="1:32" x14ac:dyDescent="0.35">
      <c r="A276" s="825" t="s">
        <v>2749</v>
      </c>
      <c r="B276" s="825" t="s">
        <v>2750</v>
      </c>
      <c r="C276" s="825">
        <v>6</v>
      </c>
      <c r="D276" s="825" t="s">
        <v>31</v>
      </c>
      <c r="E276" s="825" t="s">
        <v>2766</v>
      </c>
      <c r="F276" s="220">
        <v>274</v>
      </c>
      <c r="G276" s="825" t="s">
        <v>1914</v>
      </c>
      <c r="H276" s="825" t="s">
        <v>1987</v>
      </c>
      <c r="I276" s="220" t="s">
        <v>82</v>
      </c>
      <c r="J276" s="220" t="str">
        <f>PMtbl[[#This Row],[Category]]&amp;PMtbl[[#This Row],[Each]]&amp;PMtbl[[#This Row],[Packaging]]</f>
        <v>Genomic surveillance / sequencingSequencing analyzersEquipment</v>
      </c>
      <c r="K276">
        <v>0</v>
      </c>
      <c r="L276" s="236">
        <v>6.6</v>
      </c>
      <c r="M276" s="234" t="s">
        <v>183</v>
      </c>
      <c r="N276" s="236"/>
      <c r="O276" s="825" t="s">
        <v>12</v>
      </c>
      <c r="P276" s="825"/>
      <c r="R276" s="220" t="e">
        <f>INDEX(PMtbl[Component],MATCH(U276,PMtbl[Category],0),)</f>
        <v>#N/A</v>
      </c>
      <c r="S276" s="220" t="e">
        <f>INDEX(PMtbl[WKst],MATCH(U276,PMtbl[Category],0),)</f>
        <v>#N/A</v>
      </c>
      <c r="T276" s="220" t="e">
        <f>INDEX(PMtbl[Sec],MATCH(U276,PMtbl[Category],0),)</f>
        <v>#N/A</v>
      </c>
      <c r="U276" s="241" t="e" cm="1">
        <f t="array" ref="U276">INDEX(PMtbl[Category],MATCH(0,INDEX(COUNTIF($U$2:U275,PMtbl[Category]),),0))</f>
        <v>#N/A</v>
      </c>
      <c r="X276"/>
      <c r="Y276"/>
      <c r="Z276"/>
      <c r="AA276"/>
      <c r="AB276"/>
      <c r="AC276" s="243"/>
      <c r="AD276" s="243"/>
      <c r="AE276" s="243"/>
      <c r="AF276" s="243"/>
    </row>
    <row r="277" spans="1:32" x14ac:dyDescent="0.35">
      <c r="A277" s="825" t="s">
        <v>2749</v>
      </c>
      <c r="B277" s="825" t="s">
        <v>2750</v>
      </c>
      <c r="C277" s="825">
        <v>6</v>
      </c>
      <c r="D277" s="825" t="s">
        <v>31</v>
      </c>
      <c r="E277" s="825" t="s">
        <v>2766</v>
      </c>
      <c r="F277" s="220">
        <v>275</v>
      </c>
      <c r="G277" s="825" t="s">
        <v>1914</v>
      </c>
      <c r="H277" s="825" t="s">
        <v>2777</v>
      </c>
      <c r="I277" s="220" t="s">
        <v>82</v>
      </c>
      <c r="J277" s="220" t="str">
        <f>PMtbl[[#This Row],[Category]]&amp;PMtbl[[#This Row],[Each]]&amp;PMtbl[[#This Row],[Packaging]]</f>
        <v>Genomic surveillance / sequencingSequencing analyzersSpare parts and accessories</v>
      </c>
      <c r="K277">
        <v>0</v>
      </c>
      <c r="L277" s="236">
        <v>6.6</v>
      </c>
      <c r="M277" s="234" t="s">
        <v>183</v>
      </c>
      <c r="N277" s="236"/>
      <c r="O277" s="825" t="s">
        <v>12</v>
      </c>
      <c r="P277" s="825"/>
      <c r="R277" s="220" t="e">
        <f>INDEX(PMtbl[Component],MATCH(U277,PMtbl[Category],0),)</f>
        <v>#N/A</v>
      </c>
      <c r="S277" s="220" t="e">
        <f>INDEX(PMtbl[WKst],MATCH(U277,PMtbl[Category],0),)</f>
        <v>#N/A</v>
      </c>
      <c r="T277" s="220" t="e">
        <f>INDEX(PMtbl[Sec],MATCH(U277,PMtbl[Category],0),)</f>
        <v>#N/A</v>
      </c>
      <c r="U277" s="241" t="e" cm="1">
        <f t="array" ref="U277">INDEX(PMtbl[Category],MATCH(0,INDEX(COUNTIF($U$2:U276,PMtbl[Category]),),0))</f>
        <v>#N/A</v>
      </c>
      <c r="X277"/>
      <c r="Y277"/>
      <c r="Z277"/>
      <c r="AA277"/>
      <c r="AB277"/>
      <c r="AC277" s="243"/>
      <c r="AD277" s="243"/>
      <c r="AE277" s="243"/>
      <c r="AF277" s="243"/>
    </row>
    <row r="278" spans="1:32" x14ac:dyDescent="0.35">
      <c r="A278" s="825" t="s">
        <v>2749</v>
      </c>
      <c r="B278" s="825" t="s">
        <v>2750</v>
      </c>
      <c r="C278" s="825">
        <v>6</v>
      </c>
      <c r="D278" s="825" t="s">
        <v>31</v>
      </c>
      <c r="E278" s="825" t="s">
        <v>2766</v>
      </c>
      <c r="F278" s="220">
        <v>276</v>
      </c>
      <c r="G278" s="825" t="s">
        <v>1914</v>
      </c>
      <c r="H278" s="825" t="s">
        <v>2778</v>
      </c>
      <c r="I278" s="220" t="s">
        <v>82</v>
      </c>
      <c r="J278" s="220" t="str">
        <f>PMtbl[[#This Row],[Category]]&amp;PMtbl[[#This Row],[Each]]&amp;PMtbl[[#This Row],[Packaging]]</f>
        <v>Genomic surveillance / sequencingSequencing analyzersWarranty, maintenance and service</v>
      </c>
      <c r="K278">
        <v>0</v>
      </c>
      <c r="L278" s="236">
        <v>6.5</v>
      </c>
      <c r="M278" s="234" t="s">
        <v>182</v>
      </c>
      <c r="N278" s="236"/>
      <c r="O278" s="825" t="s">
        <v>12</v>
      </c>
      <c r="P278" s="825"/>
      <c r="R278" s="220" t="e">
        <f>INDEX(PMtbl[Component],MATCH(U278,PMtbl[Category],0),)</f>
        <v>#N/A</v>
      </c>
      <c r="S278" s="220" t="e">
        <f>INDEX(PMtbl[WKst],MATCH(U278,PMtbl[Category],0),)</f>
        <v>#N/A</v>
      </c>
      <c r="T278" s="220" t="e">
        <f>INDEX(PMtbl[Sec],MATCH(U278,PMtbl[Category],0),)</f>
        <v>#N/A</v>
      </c>
      <c r="U278" s="241" t="e" cm="1">
        <f t="array" ref="U278">INDEX(PMtbl[Category],MATCH(0,INDEX(COUNTIF($U$2:U277,PMtbl[Category]),),0))</f>
        <v>#N/A</v>
      </c>
      <c r="X278"/>
      <c r="Y278"/>
      <c r="Z278"/>
      <c r="AA278"/>
      <c r="AB278"/>
      <c r="AC278" s="243"/>
      <c r="AD278" s="243"/>
      <c r="AE278" s="243"/>
      <c r="AF278" s="243"/>
    </row>
    <row r="279" spans="1:32" x14ac:dyDescent="0.35">
      <c r="A279" s="825" t="s">
        <v>2749</v>
      </c>
      <c r="B279" s="825" t="s">
        <v>2751</v>
      </c>
      <c r="C279" s="825">
        <v>1</v>
      </c>
      <c r="D279" s="825" t="s">
        <v>32</v>
      </c>
      <c r="E279" s="825" t="s">
        <v>2767</v>
      </c>
      <c r="F279" s="220">
        <v>277</v>
      </c>
      <c r="G279" s="825" t="s">
        <v>3004</v>
      </c>
      <c r="H279" s="825" t="s">
        <v>3005</v>
      </c>
      <c r="I279" s="220" t="s">
        <v>82</v>
      </c>
      <c r="J279" s="220" t="str">
        <f>PMtbl[[#This Row],[Category]]&amp;PMtbl[[#This Row],[Each]]&amp;PMtbl[[#This Row],[Packaging]]</f>
        <v>COVID Existing/Repurposed MedicinesDalteparin SodiumSingle dose subcutaneous injection, each</v>
      </c>
      <c r="K279">
        <v>0</v>
      </c>
      <c r="L279" s="236">
        <v>4.8</v>
      </c>
      <c r="M279" s="234" t="s">
        <v>1997</v>
      </c>
      <c r="N279" s="236"/>
      <c r="O279" s="825" t="s">
        <v>14</v>
      </c>
      <c r="P279" s="825"/>
      <c r="R279" s="220" t="e">
        <f>INDEX(PMtbl[Component],MATCH(U279,PMtbl[Category],0),)</f>
        <v>#N/A</v>
      </c>
      <c r="S279" s="220" t="e">
        <f>INDEX(PMtbl[WKst],MATCH(U279,PMtbl[Category],0),)</f>
        <v>#N/A</v>
      </c>
      <c r="T279" s="220" t="e">
        <f>INDEX(PMtbl[Sec],MATCH(U279,PMtbl[Category],0),)</f>
        <v>#N/A</v>
      </c>
      <c r="U279" s="241" t="e" cm="1">
        <f t="array" ref="U279">INDEX(PMtbl[Category],MATCH(0,INDEX(COUNTIF($U$2:U278,PMtbl[Category]),),0))</f>
        <v>#N/A</v>
      </c>
      <c r="X279"/>
      <c r="Y279"/>
      <c r="Z279"/>
      <c r="AA279"/>
      <c r="AB279"/>
      <c r="AC279" s="243"/>
      <c r="AD279" s="243"/>
      <c r="AE279" s="243"/>
      <c r="AF279" s="243"/>
    </row>
    <row r="280" spans="1:32" x14ac:dyDescent="0.35">
      <c r="A280" s="825" t="s">
        <v>2749</v>
      </c>
      <c r="B280" s="825" t="s">
        <v>2751</v>
      </c>
      <c r="C280" s="825">
        <v>1</v>
      </c>
      <c r="D280" s="825" t="s">
        <v>32</v>
      </c>
      <c r="E280" s="825" t="s">
        <v>2767</v>
      </c>
      <c r="F280" s="220">
        <v>278</v>
      </c>
      <c r="G280" s="825" t="s">
        <v>3006</v>
      </c>
      <c r="H280" s="825" t="s">
        <v>3007</v>
      </c>
      <c r="I280" s="220" t="s">
        <v>82</v>
      </c>
      <c r="J280" s="220" t="str">
        <f>PMtbl[[#This Row],[Category]]&amp;PMtbl[[#This Row],[Each]]&amp;PMtbl[[#This Row],[Packaging]]</f>
        <v>COVID Existing/Repurposed MedicinesDexamethasone0.5mg 1000</v>
      </c>
      <c r="K280">
        <v>0</v>
      </c>
      <c r="L280" s="236">
        <v>4.8</v>
      </c>
      <c r="M280" s="234" t="s">
        <v>1997</v>
      </c>
      <c r="N280" s="236"/>
      <c r="O280" s="825" t="s">
        <v>14</v>
      </c>
      <c r="P280" s="825"/>
      <c r="R280" s="220" t="e">
        <f>INDEX(PMtbl[Component],MATCH(U280,PMtbl[Category],0),)</f>
        <v>#N/A</v>
      </c>
      <c r="S280" s="220" t="e">
        <f>INDEX(PMtbl[WKst],MATCH(U280,PMtbl[Category],0),)</f>
        <v>#N/A</v>
      </c>
      <c r="T280" s="220" t="e">
        <f>INDEX(PMtbl[Sec],MATCH(U280,PMtbl[Category],0),)</f>
        <v>#N/A</v>
      </c>
      <c r="U280" s="241" t="e" cm="1">
        <f t="array" ref="U280">INDEX(PMtbl[Category],MATCH(0,INDEX(COUNTIF($U$2:U279,PMtbl[Category]),),0))</f>
        <v>#N/A</v>
      </c>
      <c r="X280"/>
      <c r="Y280"/>
      <c r="Z280"/>
      <c r="AA280"/>
      <c r="AB280"/>
      <c r="AC280" s="243"/>
      <c r="AD280" s="243"/>
      <c r="AE280" s="243"/>
      <c r="AF280" s="243"/>
    </row>
    <row r="281" spans="1:32" x14ac:dyDescent="0.35">
      <c r="A281" s="825" t="s">
        <v>2749</v>
      </c>
      <c r="B281" s="825" t="s">
        <v>2751</v>
      </c>
      <c r="C281" s="825">
        <v>1</v>
      </c>
      <c r="D281" s="825" t="s">
        <v>32</v>
      </c>
      <c r="E281" s="825" t="s">
        <v>2767</v>
      </c>
      <c r="F281" s="220">
        <v>279</v>
      </c>
      <c r="G281" s="825" t="s">
        <v>3006</v>
      </c>
      <c r="H281" s="825" t="s">
        <v>3008</v>
      </c>
      <c r="I281" s="220" t="s">
        <v>82</v>
      </c>
      <c r="J281" s="220" t="str">
        <f>PMtbl[[#This Row],[Category]]&amp;PMtbl[[#This Row],[Each]]&amp;PMtbl[[#This Row],[Packaging]]</f>
        <v>COVID Existing/Repurposed MedicinesDexamethasone4mg tablet 100</v>
      </c>
      <c r="K281">
        <v>0</v>
      </c>
      <c r="L281" s="236">
        <v>4.8</v>
      </c>
      <c r="M281" s="234" t="s">
        <v>1997</v>
      </c>
      <c r="N281" s="236"/>
      <c r="O281" s="825" t="s">
        <v>14</v>
      </c>
      <c r="P281" s="825"/>
      <c r="R281" s="220" t="e">
        <f>INDEX(PMtbl[Component],MATCH(U281,PMtbl[Category],0),)</f>
        <v>#N/A</v>
      </c>
      <c r="S281" s="220" t="e">
        <f>INDEX(PMtbl[WKst],MATCH(U281,PMtbl[Category],0),)</f>
        <v>#N/A</v>
      </c>
      <c r="T281" s="220" t="e">
        <f>INDEX(PMtbl[Sec],MATCH(U281,PMtbl[Category],0),)</f>
        <v>#N/A</v>
      </c>
      <c r="U281" s="241" t="e" cm="1">
        <f t="array" ref="U281">INDEX(PMtbl[Category],MATCH(0,INDEX(COUNTIF($U$2:U280,PMtbl[Category]),),0))</f>
        <v>#N/A</v>
      </c>
      <c r="X281"/>
      <c r="Y281"/>
      <c r="Z281"/>
      <c r="AA281"/>
      <c r="AB281"/>
      <c r="AC281" s="243"/>
      <c r="AD281" s="243"/>
      <c r="AE281" s="243"/>
      <c r="AF281" s="243"/>
    </row>
    <row r="282" spans="1:32" x14ac:dyDescent="0.35">
      <c r="A282" s="825" t="s">
        <v>2749</v>
      </c>
      <c r="B282" s="825" t="s">
        <v>2751</v>
      </c>
      <c r="C282" s="825">
        <v>1</v>
      </c>
      <c r="D282" s="825" t="s">
        <v>32</v>
      </c>
      <c r="E282" s="825" t="s">
        <v>2767</v>
      </c>
      <c r="F282" s="220">
        <v>280</v>
      </c>
      <c r="G282" s="825" t="s">
        <v>3006</v>
      </c>
      <c r="H282" s="825" t="s">
        <v>3009</v>
      </c>
      <c r="I282" s="220" t="s">
        <v>82</v>
      </c>
      <c r="J282" s="220" t="str">
        <f>PMtbl[[#This Row],[Category]]&amp;PMtbl[[#This Row],[Each]]&amp;PMtbl[[#This Row],[Packaging]]</f>
        <v>COVID Existing/Repurposed MedicinesDexamethasone4mg/ml vial 1ml ampoule 50</v>
      </c>
      <c r="K282">
        <v>0</v>
      </c>
      <c r="L282" s="236">
        <v>4.8</v>
      </c>
      <c r="M282" s="234" t="s">
        <v>1997</v>
      </c>
      <c r="N282" s="236"/>
      <c r="O282" s="825" t="s">
        <v>14</v>
      </c>
      <c r="P282" s="825"/>
      <c r="R282" s="220" t="e">
        <f>INDEX(PMtbl[Component],MATCH(U282,PMtbl[Category],0),)</f>
        <v>#N/A</v>
      </c>
      <c r="S282" s="220" t="e">
        <f>INDEX(PMtbl[WKst],MATCH(U282,PMtbl[Category],0),)</f>
        <v>#N/A</v>
      </c>
      <c r="T282" s="220" t="e">
        <f>INDEX(PMtbl[Sec],MATCH(U282,PMtbl[Category],0),)</f>
        <v>#N/A</v>
      </c>
      <c r="U282" s="241" t="e" cm="1">
        <f t="array" ref="U282">INDEX(PMtbl[Category],MATCH(0,INDEX(COUNTIF($U$2:U281,PMtbl[Category]),),0))</f>
        <v>#N/A</v>
      </c>
      <c r="X282"/>
      <c r="Y282"/>
      <c r="Z282"/>
      <c r="AA282"/>
      <c r="AB282"/>
      <c r="AC282" s="243"/>
      <c r="AD282" s="243"/>
      <c r="AE282" s="243"/>
      <c r="AF282" s="243"/>
    </row>
    <row r="283" spans="1:32" x14ac:dyDescent="0.35">
      <c r="A283" s="825" t="s">
        <v>2749</v>
      </c>
      <c r="B283" s="825" t="s">
        <v>2751</v>
      </c>
      <c r="C283" s="825">
        <v>1</v>
      </c>
      <c r="D283" s="825" t="s">
        <v>32</v>
      </c>
      <c r="E283" s="825" t="s">
        <v>2767</v>
      </c>
      <c r="F283" s="220">
        <v>281</v>
      </c>
      <c r="G283" s="825" t="s">
        <v>3006</v>
      </c>
      <c r="H283" s="825" t="s">
        <v>3010</v>
      </c>
      <c r="I283" s="220" t="s">
        <v>82</v>
      </c>
      <c r="J283" s="220" t="str">
        <f>PMtbl[[#This Row],[Category]]&amp;PMtbl[[#This Row],[Each]]&amp;PMtbl[[#This Row],[Packaging]]</f>
        <v>COVID Existing/Repurposed MedicinesDexamethasone5mg/ml 1ml ampoule 100</v>
      </c>
      <c r="K283">
        <v>0</v>
      </c>
      <c r="L283" s="236">
        <v>4.8</v>
      </c>
      <c r="M283" s="234" t="s">
        <v>1997</v>
      </c>
      <c r="N283" s="236"/>
      <c r="O283" s="825" t="s">
        <v>14</v>
      </c>
      <c r="P283" s="825"/>
      <c r="R283" s="220" t="e">
        <f>INDEX(PMtbl[Component],MATCH(U283,PMtbl[Category],0),)</f>
        <v>#N/A</v>
      </c>
      <c r="S283" s="220" t="e">
        <f>INDEX(PMtbl[WKst],MATCH(U283,PMtbl[Category],0),)</f>
        <v>#N/A</v>
      </c>
      <c r="T283" s="220" t="e">
        <f>INDEX(PMtbl[Sec],MATCH(U283,PMtbl[Category],0),)</f>
        <v>#N/A</v>
      </c>
      <c r="U283" s="241" t="e" cm="1">
        <f t="array" ref="U283">INDEX(PMtbl[Category],MATCH(0,INDEX(COUNTIF($U$2:U282,PMtbl[Category]),),0))</f>
        <v>#N/A</v>
      </c>
      <c r="X283"/>
      <c r="Y283"/>
      <c r="Z283"/>
      <c r="AA283"/>
      <c r="AB283"/>
      <c r="AC283" s="243"/>
      <c r="AD283" s="243"/>
      <c r="AE283" s="243"/>
      <c r="AF283" s="243"/>
    </row>
    <row r="284" spans="1:32" x14ac:dyDescent="0.35">
      <c r="A284" s="825" t="s">
        <v>2749</v>
      </c>
      <c r="B284" s="825" t="s">
        <v>2751</v>
      </c>
      <c r="C284" s="825">
        <v>1</v>
      </c>
      <c r="D284" s="825" t="s">
        <v>32</v>
      </c>
      <c r="E284" s="825" t="s">
        <v>2767</v>
      </c>
      <c r="F284" s="220">
        <v>282</v>
      </c>
      <c r="G284" s="825" t="s">
        <v>3011</v>
      </c>
      <c r="H284" s="825" t="s">
        <v>3005</v>
      </c>
      <c r="I284" s="220" t="s">
        <v>82</v>
      </c>
      <c r="J284" s="220" t="str">
        <f>PMtbl[[#This Row],[Category]]&amp;PMtbl[[#This Row],[Each]]&amp;PMtbl[[#This Row],[Packaging]]</f>
        <v>COVID Existing/Repurposed MedicinesEnoxaparin SodiumSingle dose subcutaneous injection, each</v>
      </c>
      <c r="K284">
        <v>0</v>
      </c>
      <c r="L284" s="236">
        <v>4.8</v>
      </c>
      <c r="M284" s="234" t="s">
        <v>1997</v>
      </c>
      <c r="N284" s="236"/>
      <c r="O284" s="825" t="s">
        <v>12</v>
      </c>
      <c r="P284" s="825"/>
      <c r="R284" s="220" t="e">
        <f>INDEX(PMtbl[Component],MATCH(U284,PMtbl[Category],0),)</f>
        <v>#N/A</v>
      </c>
      <c r="S284" s="220" t="e">
        <f>INDEX(PMtbl[WKst],MATCH(U284,PMtbl[Category],0),)</f>
        <v>#N/A</v>
      </c>
      <c r="T284" s="220" t="e">
        <f>INDEX(PMtbl[Sec],MATCH(U284,PMtbl[Category],0),)</f>
        <v>#N/A</v>
      </c>
      <c r="U284" s="241" t="e" cm="1">
        <f t="array" ref="U284">INDEX(PMtbl[Category],MATCH(0,INDEX(COUNTIF($U$2:U283,PMtbl[Category]),),0))</f>
        <v>#N/A</v>
      </c>
      <c r="X284"/>
      <c r="Y284"/>
      <c r="Z284"/>
      <c r="AA284"/>
      <c r="AB284"/>
      <c r="AC284" s="243"/>
      <c r="AD284" s="243"/>
      <c r="AE284" s="243"/>
      <c r="AF284" s="243"/>
    </row>
    <row r="285" spans="1:32" x14ac:dyDescent="0.35">
      <c r="A285" s="825" t="s">
        <v>2749</v>
      </c>
      <c r="B285" s="825" t="s">
        <v>2751</v>
      </c>
      <c r="C285" s="825">
        <v>1</v>
      </c>
      <c r="D285" s="825" t="s">
        <v>32</v>
      </c>
      <c r="E285" s="825" t="s">
        <v>2767</v>
      </c>
      <c r="F285" s="220">
        <v>283</v>
      </c>
      <c r="G285" s="825" t="s">
        <v>3012</v>
      </c>
      <c r="H285" s="825" t="s">
        <v>3013</v>
      </c>
      <c r="I285" s="220" t="s">
        <v>82</v>
      </c>
      <c r="J285" s="220" t="str">
        <f>PMtbl[[#This Row],[Category]]&amp;PMtbl[[#This Row],[Each]]&amp;PMtbl[[#This Row],[Packaging]]</f>
        <v>COVID Existing/Repurposed MedicinesHeparin sodium solution for injection5000 IU/ml, 5ml vial, box of 10 vials</v>
      </c>
      <c r="K285">
        <v>0</v>
      </c>
      <c r="L285" s="236">
        <v>4.8</v>
      </c>
      <c r="M285" s="234" t="s">
        <v>1997</v>
      </c>
      <c r="N285" s="236"/>
      <c r="O285" s="825" t="s">
        <v>14</v>
      </c>
      <c r="P285" s="825"/>
      <c r="R285" s="220" t="e">
        <f>INDEX(PMtbl[Component],MATCH(U285,PMtbl[Category],0),)</f>
        <v>#N/A</v>
      </c>
      <c r="S285" s="220" t="e">
        <f>INDEX(PMtbl[WKst],MATCH(U285,PMtbl[Category],0),)</f>
        <v>#N/A</v>
      </c>
      <c r="T285" s="220" t="e">
        <f>INDEX(PMtbl[Sec],MATCH(U285,PMtbl[Category],0),)</f>
        <v>#N/A</v>
      </c>
      <c r="U285" s="241" t="e" cm="1">
        <f t="array" ref="U285">INDEX(PMtbl[Category],MATCH(0,INDEX(COUNTIF($U$2:U284,PMtbl[Category]),),0))</f>
        <v>#N/A</v>
      </c>
      <c r="X285"/>
      <c r="Y285"/>
      <c r="Z285"/>
      <c r="AA285"/>
      <c r="AB285"/>
      <c r="AC285" s="243"/>
      <c r="AD285" s="243"/>
      <c r="AE285" s="243"/>
      <c r="AF285" s="243"/>
    </row>
    <row r="286" spans="1:32" x14ac:dyDescent="0.35">
      <c r="A286" s="825" t="s">
        <v>2749</v>
      </c>
      <c r="B286" s="825" t="s">
        <v>2751</v>
      </c>
      <c r="C286" s="825">
        <v>1</v>
      </c>
      <c r="D286" s="825" t="s">
        <v>32</v>
      </c>
      <c r="E286" s="825" t="s">
        <v>2767</v>
      </c>
      <c r="F286" s="220">
        <v>284</v>
      </c>
      <c r="G286" s="825" t="s">
        <v>3014</v>
      </c>
      <c r="H286" s="825" t="s">
        <v>2866</v>
      </c>
      <c r="I286" s="220" t="s">
        <v>82</v>
      </c>
      <c r="J286" s="220" t="str">
        <f>PMtbl[[#This Row],[Category]]&amp;PMtbl[[#This Row],[Each]]&amp;PMtbl[[#This Row],[Packaging]]</f>
        <v>COVID Existing/Repurposed MedicinesOther AnticoagulantsOther - Enter details in Comments</v>
      </c>
      <c r="K286">
        <v>0</v>
      </c>
      <c r="L286" s="236">
        <v>4.8</v>
      </c>
      <c r="M286" s="234" t="s">
        <v>1997</v>
      </c>
      <c r="N286" s="236"/>
      <c r="O286" s="825" t="s">
        <v>14</v>
      </c>
      <c r="P286" s="825"/>
      <c r="R286" s="220" t="e">
        <f>INDEX(PMtbl[Component],MATCH(U286,PMtbl[Category],0),)</f>
        <v>#N/A</v>
      </c>
      <c r="S286" s="220" t="e">
        <f>INDEX(PMtbl[WKst],MATCH(U286,PMtbl[Category],0),)</f>
        <v>#N/A</v>
      </c>
      <c r="T286" s="220" t="e">
        <f>INDEX(PMtbl[Sec],MATCH(U286,PMtbl[Category],0),)</f>
        <v>#N/A</v>
      </c>
      <c r="U286" s="241" t="e" cm="1">
        <f t="array" ref="U286">INDEX(PMtbl[Category],MATCH(0,INDEX(COUNTIF($U$2:U285,PMtbl[Category]),),0))</f>
        <v>#N/A</v>
      </c>
      <c r="X286"/>
      <c r="Y286"/>
      <c r="Z286"/>
      <c r="AA286"/>
      <c r="AB286"/>
      <c r="AC286" s="243"/>
      <c r="AD286" s="243"/>
      <c r="AE286" s="243"/>
      <c r="AF286" s="243"/>
    </row>
    <row r="287" spans="1:32" ht="14.15" customHeight="1" x14ac:dyDescent="0.35">
      <c r="A287" s="825" t="s">
        <v>2749</v>
      </c>
      <c r="B287" s="825" t="s">
        <v>2751</v>
      </c>
      <c r="C287" s="825">
        <v>1</v>
      </c>
      <c r="D287" s="825" t="s">
        <v>32</v>
      </c>
      <c r="E287" s="825" t="s">
        <v>2767</v>
      </c>
      <c r="F287" s="220">
        <v>285</v>
      </c>
      <c r="G287" s="825" t="s">
        <v>3015</v>
      </c>
      <c r="H287" s="825" t="s">
        <v>2866</v>
      </c>
      <c r="I287" s="220" t="s">
        <v>82</v>
      </c>
      <c r="J287" s="220" t="str">
        <f>PMtbl[[#This Row],[Category]]&amp;PMtbl[[#This Row],[Each]]&amp;PMtbl[[#This Row],[Packaging]]</f>
        <v>COVID Existing/Repurposed MedicinesOther SteroidsOther - Enter details in Comments</v>
      </c>
      <c r="K287">
        <v>0</v>
      </c>
      <c r="L287" s="236">
        <v>4.8</v>
      </c>
      <c r="M287" s="234" t="s">
        <v>1997</v>
      </c>
      <c r="N287" s="236"/>
      <c r="O287" s="825" t="s">
        <v>14</v>
      </c>
      <c r="P287" s="825"/>
      <c r="R287" s="220" t="e">
        <f>INDEX(PMtbl[Component],MATCH(U287,PMtbl[Category],0),)</f>
        <v>#N/A</v>
      </c>
      <c r="S287" s="220" t="e">
        <f>INDEX(PMtbl[WKst],MATCH(U287,PMtbl[Category],0),)</f>
        <v>#N/A</v>
      </c>
      <c r="T287" s="220" t="e">
        <f>INDEX(PMtbl[Sec],MATCH(U287,PMtbl[Category],0),)</f>
        <v>#N/A</v>
      </c>
      <c r="U287" s="241" t="e" cm="1">
        <f t="array" ref="U287">INDEX(PMtbl[Category],MATCH(0,INDEX(COUNTIF($U$2:U286,PMtbl[Category]),),0))</f>
        <v>#N/A</v>
      </c>
      <c r="X287"/>
      <c r="Y287"/>
      <c r="Z287"/>
      <c r="AA287"/>
      <c r="AB287"/>
      <c r="AC287" s="243"/>
      <c r="AD287" s="243"/>
      <c r="AE287" s="243"/>
      <c r="AF287" s="243"/>
    </row>
    <row r="288" spans="1:32" x14ac:dyDescent="0.35">
      <c r="A288" s="825" t="s">
        <v>2749</v>
      </c>
      <c r="B288" s="825" t="s">
        <v>2751</v>
      </c>
      <c r="C288" s="825">
        <v>1</v>
      </c>
      <c r="D288" s="825" t="s">
        <v>32</v>
      </c>
      <c r="E288" s="825" t="s">
        <v>2768</v>
      </c>
      <c r="F288" s="220">
        <v>286</v>
      </c>
      <c r="G288" s="825" t="s">
        <v>3016</v>
      </c>
      <c r="H288" s="825" t="s">
        <v>2149</v>
      </c>
      <c r="I288" s="220" t="s">
        <v>82</v>
      </c>
      <c r="J288" s="220" t="str">
        <f>PMtbl[[#This Row],[Category]]&amp;PMtbl[[#This Row],[Each]]&amp;PMtbl[[#This Row],[Packaging]]</f>
        <v>COVID Novel MedicinesNew MedicinesEnter details in Comments</v>
      </c>
      <c r="K288">
        <v>0</v>
      </c>
      <c r="L288" s="236">
        <v>4.9000000000000004</v>
      </c>
      <c r="M288" s="234" t="s">
        <v>1998</v>
      </c>
      <c r="N288" s="236"/>
      <c r="O288" s="825" t="s">
        <v>14</v>
      </c>
      <c r="P288" s="825"/>
      <c r="R288" s="220" t="e">
        <f>INDEX(PMtbl[Component],MATCH(U288,PMtbl[Category],0),)</f>
        <v>#N/A</v>
      </c>
      <c r="S288" s="220" t="e">
        <f>INDEX(PMtbl[WKst],MATCH(U288,PMtbl[Category],0),)</f>
        <v>#N/A</v>
      </c>
      <c r="T288" s="220" t="e">
        <f>INDEX(PMtbl[Sec],MATCH(U288,PMtbl[Category],0),)</f>
        <v>#N/A</v>
      </c>
      <c r="U288" s="241" t="e" cm="1">
        <f t="array" ref="U288">INDEX(PMtbl[Category],MATCH(0,INDEX(COUNTIF($U$2:U287,PMtbl[Category]),),0))</f>
        <v>#N/A</v>
      </c>
      <c r="X288"/>
      <c r="Y288"/>
      <c r="Z288"/>
      <c r="AA288"/>
      <c r="AB288"/>
      <c r="AC288" s="243"/>
      <c r="AD288" s="243"/>
      <c r="AE288" s="243"/>
      <c r="AF288" s="243"/>
    </row>
    <row r="289" spans="1:32" x14ac:dyDescent="0.35">
      <c r="A289" s="825" t="s">
        <v>2749</v>
      </c>
      <c r="B289" s="825" t="s">
        <v>2751</v>
      </c>
      <c r="C289" s="825">
        <v>1</v>
      </c>
      <c r="D289" s="825" t="s">
        <v>32</v>
      </c>
      <c r="E289" s="825" t="s">
        <v>2769</v>
      </c>
      <c r="F289" s="220">
        <v>287</v>
      </c>
      <c r="G289" s="825" t="s">
        <v>3017</v>
      </c>
      <c r="H289" s="825" t="s">
        <v>3018</v>
      </c>
      <c r="I289" s="220" t="s">
        <v>82</v>
      </c>
      <c r="J289" s="220" t="str">
        <f>PMtbl[[#This Row],[Category]]&amp;PMtbl[[#This Row],[Each]]&amp;PMtbl[[#This Row],[Packaging]]</f>
        <v>COVID Other MedicinesCompound sodium lactate solution (Ringer's lactate)1000ml</v>
      </c>
      <c r="K289">
        <v>0</v>
      </c>
      <c r="L289" s="236">
        <v>4.7</v>
      </c>
      <c r="M289" s="234" t="s">
        <v>177</v>
      </c>
      <c r="N289" s="236"/>
      <c r="O289" s="825" t="s">
        <v>12</v>
      </c>
      <c r="P289" s="825"/>
      <c r="R289" s="220" t="e">
        <f>INDEX(PMtbl[Component],MATCH(U289,PMtbl[Category],0),)</f>
        <v>#N/A</v>
      </c>
      <c r="S289" s="220" t="e">
        <f>INDEX(PMtbl[WKst],MATCH(U289,PMtbl[Category],0),)</f>
        <v>#N/A</v>
      </c>
      <c r="T289" s="220" t="e">
        <f>INDEX(PMtbl[Sec],MATCH(U289,PMtbl[Category],0),)</f>
        <v>#N/A</v>
      </c>
      <c r="U289" s="241" t="e" cm="1">
        <f t="array" ref="U289">INDEX(PMtbl[Category],MATCH(0,INDEX(COUNTIF($U$2:U288,PMtbl[Category]),),0))</f>
        <v>#N/A</v>
      </c>
      <c r="X289"/>
      <c r="Y289"/>
      <c r="Z289"/>
      <c r="AA289"/>
      <c r="AB289"/>
      <c r="AC289" s="243"/>
      <c r="AD289" s="243"/>
      <c r="AE289" s="243"/>
      <c r="AF289" s="243"/>
    </row>
    <row r="290" spans="1:32" x14ac:dyDescent="0.35">
      <c r="A290" s="825" t="s">
        <v>2749</v>
      </c>
      <c r="B290" s="825" t="s">
        <v>2751</v>
      </c>
      <c r="C290" s="825">
        <v>1</v>
      </c>
      <c r="D290" s="825" t="s">
        <v>32</v>
      </c>
      <c r="E290" s="825" t="s">
        <v>2769</v>
      </c>
      <c r="F290" s="220">
        <v>288</v>
      </c>
      <c r="G290" s="825" t="s">
        <v>3017</v>
      </c>
      <c r="H290" s="825" t="s">
        <v>3019</v>
      </c>
      <c r="I290" s="220" t="s">
        <v>82</v>
      </c>
      <c r="J290" s="220" t="str">
        <f>PMtbl[[#This Row],[Category]]&amp;PMtbl[[#This Row],[Each]]&amp;PMtbl[[#This Row],[Packaging]]</f>
        <v>COVID Other MedicinesCompound sodium lactate solution (Ringer's lactate)500ml</v>
      </c>
      <c r="K290">
        <v>0</v>
      </c>
      <c r="L290" s="236">
        <v>4.7</v>
      </c>
      <c r="M290" s="234" t="s">
        <v>177</v>
      </c>
      <c r="N290" s="236"/>
      <c r="O290" s="825" t="s">
        <v>12</v>
      </c>
      <c r="P290" s="825"/>
      <c r="R290" s="220" t="e">
        <f>INDEX(PMtbl[Component],MATCH(U290,PMtbl[Category],0),)</f>
        <v>#N/A</v>
      </c>
      <c r="S290" s="220" t="e">
        <f>INDEX(PMtbl[WKst],MATCH(U290,PMtbl[Category],0),)</f>
        <v>#N/A</v>
      </c>
      <c r="T290" s="220" t="e">
        <f>INDEX(PMtbl[Sec],MATCH(U290,PMtbl[Category],0),)</f>
        <v>#N/A</v>
      </c>
      <c r="U290" s="241" t="e" cm="1">
        <f t="array" ref="U290">INDEX(PMtbl[Category],MATCH(0,INDEX(COUNTIF($U$2:U289,PMtbl[Category]),),0))</f>
        <v>#N/A</v>
      </c>
      <c r="X290"/>
      <c r="Y290"/>
      <c r="Z290"/>
      <c r="AA290"/>
      <c r="AB290"/>
      <c r="AC290" s="243"/>
      <c r="AD290" s="243"/>
      <c r="AE290" s="243"/>
      <c r="AF290" s="243"/>
    </row>
    <row r="291" spans="1:32" x14ac:dyDescent="0.35">
      <c r="A291" s="825" t="s">
        <v>2749</v>
      </c>
      <c r="B291" s="825" t="s">
        <v>2751</v>
      </c>
      <c r="C291" s="825">
        <v>1</v>
      </c>
      <c r="D291" s="825" t="s">
        <v>32</v>
      </c>
      <c r="E291" s="825" t="s">
        <v>2769</v>
      </c>
      <c r="F291" s="220">
        <v>289</v>
      </c>
      <c r="G291" s="825" t="s">
        <v>3020</v>
      </c>
      <c r="H291" s="825" t="s">
        <v>2866</v>
      </c>
      <c r="I291" s="220" t="s">
        <v>82</v>
      </c>
      <c r="J291" s="220" t="str">
        <f>PMtbl[[#This Row],[Category]]&amp;PMtbl[[#This Row],[Each]]&amp;PMtbl[[#This Row],[Packaging]]</f>
        <v>COVID Other MedicinesOther essential medicinesOther - Enter details in Comments</v>
      </c>
      <c r="K291">
        <v>0</v>
      </c>
      <c r="L291" s="236">
        <v>4.7</v>
      </c>
      <c r="M291" s="234" t="s">
        <v>177</v>
      </c>
      <c r="N291" s="236"/>
      <c r="O291" s="825" t="s">
        <v>14</v>
      </c>
      <c r="P291" s="825"/>
      <c r="R291" s="220" t="e">
        <f>INDEX(PMtbl[Component],MATCH(U291,PMtbl[Category],0),)</f>
        <v>#N/A</v>
      </c>
      <c r="S291" s="220" t="e">
        <f>INDEX(PMtbl[WKst],MATCH(U291,PMtbl[Category],0),)</f>
        <v>#N/A</v>
      </c>
      <c r="T291" s="220" t="e">
        <f>INDEX(PMtbl[Sec],MATCH(U291,PMtbl[Category],0),)</f>
        <v>#N/A</v>
      </c>
      <c r="U291" s="241" t="e" cm="1">
        <f t="array" ref="U291">INDEX(PMtbl[Category],MATCH(0,INDEX(COUNTIF($U$2:U290,PMtbl[Category]),),0))</f>
        <v>#N/A</v>
      </c>
      <c r="X291"/>
      <c r="Y291"/>
      <c r="Z291"/>
      <c r="AA291"/>
      <c r="AB291"/>
      <c r="AC291" s="243"/>
      <c r="AD291" s="243"/>
      <c r="AE291" s="243"/>
      <c r="AF291" s="243"/>
    </row>
    <row r="292" spans="1:32" x14ac:dyDescent="0.35">
      <c r="A292" s="825" t="s">
        <v>2749</v>
      </c>
      <c r="B292" s="825" t="s">
        <v>2751</v>
      </c>
      <c r="C292" s="825">
        <v>1</v>
      </c>
      <c r="D292" s="825" t="s">
        <v>32</v>
      </c>
      <c r="E292" s="825" t="s">
        <v>2769</v>
      </c>
      <c r="F292" s="220">
        <v>290</v>
      </c>
      <c r="G292" s="825" t="s">
        <v>3021</v>
      </c>
      <c r="H292" s="825" t="s">
        <v>3022</v>
      </c>
      <c r="I292" s="220" t="s">
        <v>82</v>
      </c>
      <c r="J292" s="220" t="str">
        <f>PMtbl[[#This Row],[Category]]&amp;PMtbl[[#This Row],[Each]]&amp;PMtbl[[#This Row],[Packaging]]</f>
        <v>COVID Other MedicinesParacetamol120mg/5ml oral solution 60ml - 140 bottles</v>
      </c>
      <c r="K292">
        <v>0</v>
      </c>
      <c r="L292" s="236">
        <v>4.7</v>
      </c>
      <c r="M292" s="234" t="s">
        <v>177</v>
      </c>
      <c r="N292" s="236"/>
      <c r="O292" s="825" t="s">
        <v>14</v>
      </c>
      <c r="P292" s="825"/>
      <c r="R292" s="220" t="e">
        <f>INDEX(PMtbl[Component],MATCH(U292,PMtbl[Category],0),)</f>
        <v>#N/A</v>
      </c>
      <c r="S292" s="220" t="e">
        <f>INDEX(PMtbl[WKst],MATCH(U292,PMtbl[Category],0),)</f>
        <v>#N/A</v>
      </c>
      <c r="T292" s="220" t="e">
        <f>INDEX(PMtbl[Sec],MATCH(U292,PMtbl[Category],0),)</f>
        <v>#N/A</v>
      </c>
      <c r="U292" s="241" t="e" cm="1">
        <f t="array" ref="U292">INDEX(PMtbl[Category],MATCH(0,INDEX(COUNTIF($U$2:U291,PMtbl[Category]),),0))</f>
        <v>#N/A</v>
      </c>
      <c r="X292"/>
      <c r="Y292"/>
      <c r="Z292"/>
      <c r="AA292"/>
      <c r="AB292"/>
      <c r="AC292" s="243"/>
      <c r="AD292" s="243"/>
      <c r="AE292" s="243"/>
      <c r="AF292" s="243"/>
    </row>
    <row r="293" spans="1:32" x14ac:dyDescent="0.35">
      <c r="A293" s="825" t="s">
        <v>2749</v>
      </c>
      <c r="B293" s="825" t="s">
        <v>2751</v>
      </c>
      <c r="C293" s="825">
        <v>1</v>
      </c>
      <c r="D293" s="825" t="s">
        <v>32</v>
      </c>
      <c r="E293" s="825" t="s">
        <v>2769</v>
      </c>
      <c r="F293" s="220">
        <v>291</v>
      </c>
      <c r="G293" s="825" t="s">
        <v>3021</v>
      </c>
      <c r="H293" s="825" t="s">
        <v>3023</v>
      </c>
      <c r="I293" s="220" t="s">
        <v>82</v>
      </c>
      <c r="J293" s="220" t="str">
        <f>PMtbl[[#This Row],[Category]]&amp;PMtbl[[#This Row],[Each]]&amp;PMtbl[[#This Row],[Packaging]]</f>
        <v>COVID Other MedicinesParacetamol500mg tablet 1000</v>
      </c>
      <c r="K293">
        <v>0</v>
      </c>
      <c r="L293" s="236">
        <v>4.7</v>
      </c>
      <c r="M293" s="234" t="s">
        <v>177</v>
      </c>
      <c r="N293" s="236"/>
      <c r="O293" s="825" t="s">
        <v>14</v>
      </c>
      <c r="P293" s="825"/>
      <c r="R293" s="220" t="e">
        <f>INDEX(PMtbl[Component],MATCH(U293,PMtbl[Category],0),)</f>
        <v>#N/A</v>
      </c>
      <c r="S293" s="220" t="e">
        <f>INDEX(PMtbl[WKst],MATCH(U293,PMtbl[Category],0),)</f>
        <v>#N/A</v>
      </c>
      <c r="T293" s="220" t="e">
        <f>INDEX(PMtbl[Sec],MATCH(U293,PMtbl[Category],0),)</f>
        <v>#N/A</v>
      </c>
      <c r="U293" s="241" t="e" cm="1">
        <f t="array" ref="U293">INDEX(PMtbl[Category],MATCH(0,INDEX(COUNTIF($U$2:U292,PMtbl[Category]),),0))</f>
        <v>#N/A</v>
      </c>
      <c r="X293"/>
      <c r="Y293"/>
      <c r="Z293"/>
      <c r="AA293"/>
      <c r="AB293"/>
      <c r="AC293" s="243"/>
      <c r="AD293" s="243"/>
      <c r="AE293" s="243"/>
      <c r="AF293" s="243"/>
    </row>
    <row r="294" spans="1:32" x14ac:dyDescent="0.35">
      <c r="A294"/>
      <c r="B294"/>
      <c r="C294"/>
      <c r="D294"/>
      <c r="E294"/>
      <c r="F294"/>
      <c r="G294"/>
      <c r="H294"/>
      <c r="I294"/>
      <c r="J294" s="220"/>
      <c r="K294"/>
      <c r="L294"/>
      <c r="M294"/>
      <c r="N294"/>
      <c r="O294"/>
      <c r="P294" s="378"/>
      <c r="X294"/>
      <c r="Y294"/>
      <c r="Z294"/>
      <c r="AA294"/>
      <c r="AB294"/>
    </row>
    <row r="295" spans="1:32" x14ac:dyDescent="0.35">
      <c r="A295"/>
      <c r="B295"/>
      <c r="C295"/>
      <c r="D295"/>
      <c r="E295"/>
      <c r="F295"/>
      <c r="G295"/>
      <c r="H295"/>
      <c r="I295"/>
      <c r="J295" s="220"/>
      <c r="K295"/>
      <c r="L295"/>
      <c r="M295"/>
      <c r="N295"/>
      <c r="O295"/>
      <c r="P295" s="378"/>
      <c r="X295"/>
      <c r="Y295"/>
      <c r="Z295"/>
      <c r="AA295"/>
      <c r="AB295"/>
    </row>
    <row r="296" spans="1:32" x14ac:dyDescent="0.35">
      <c r="A296"/>
      <c r="B296"/>
      <c r="C296"/>
      <c r="D296"/>
      <c r="E296"/>
      <c r="F296"/>
      <c r="G296"/>
      <c r="H296"/>
      <c r="I296"/>
      <c r="J296" s="220"/>
      <c r="K296"/>
      <c r="L296" s="612"/>
      <c r="M296" s="54"/>
      <c r="N296" s="612"/>
      <c r="O296"/>
      <c r="P296" s="220"/>
      <c r="X296"/>
      <c r="Y296"/>
      <c r="Z296"/>
      <c r="AA296"/>
      <c r="AB296"/>
    </row>
    <row r="297" spans="1:32" x14ac:dyDescent="0.35">
      <c r="A297"/>
      <c r="B297"/>
      <c r="C297"/>
      <c r="D297"/>
      <c r="E297"/>
      <c r="F297"/>
      <c r="G297"/>
      <c r="H297"/>
      <c r="I297"/>
      <c r="J297" s="220"/>
      <c r="K297"/>
      <c r="L297" s="612"/>
      <c r="M297" s="54"/>
      <c r="N297" s="612"/>
      <c r="O297"/>
      <c r="P297" s="220"/>
      <c r="X297"/>
      <c r="Y297"/>
      <c r="Z297"/>
      <c r="AA297"/>
      <c r="AB297"/>
    </row>
    <row r="298" spans="1:32" x14ac:dyDescent="0.35">
      <c r="A298"/>
      <c r="B298"/>
      <c r="C298"/>
      <c r="D298"/>
      <c r="E298"/>
      <c r="F298"/>
      <c r="G298"/>
      <c r="H298"/>
      <c r="I298"/>
      <c r="J298" s="220"/>
      <c r="K298"/>
      <c r="L298" s="612"/>
      <c r="M298" s="931"/>
      <c r="N298" s="931"/>
      <c r="O298" s="931"/>
      <c r="P298" s="220"/>
      <c r="X298"/>
      <c r="Y298"/>
      <c r="Z298"/>
      <c r="AA298"/>
      <c r="AB298"/>
    </row>
    <row r="299" spans="1:32" x14ac:dyDescent="0.35">
      <c r="A299"/>
      <c r="B299"/>
      <c r="C299"/>
      <c r="D299"/>
      <c r="E299"/>
      <c r="F299"/>
      <c r="G299"/>
      <c r="H299"/>
      <c r="I299"/>
      <c r="J299" s="220"/>
      <c r="K299"/>
      <c r="L299" s="612"/>
      <c r="M299" s="931"/>
      <c r="N299" s="931"/>
      <c r="O299" s="931"/>
      <c r="P299" s="220"/>
      <c r="X299"/>
      <c r="Y299"/>
      <c r="Z299"/>
      <c r="AA299"/>
      <c r="AB299"/>
    </row>
    <row r="300" spans="1:32" x14ac:dyDescent="0.35">
      <c r="A300"/>
      <c r="B300"/>
      <c r="C300"/>
      <c r="D300"/>
      <c r="E300"/>
      <c r="F300"/>
      <c r="G300"/>
      <c r="H300"/>
      <c r="I300"/>
      <c r="J300" s="220"/>
      <c r="K300"/>
      <c r="L300" s="612"/>
      <c r="M300" s="54"/>
      <c r="N300" s="612"/>
      <c r="O300"/>
      <c r="P300" s="220"/>
      <c r="X300"/>
      <c r="Y300"/>
      <c r="Z300"/>
      <c r="AA300"/>
      <c r="AB300"/>
    </row>
    <row r="301" spans="1:32" x14ac:dyDescent="0.35">
      <c r="A301"/>
      <c r="B301"/>
      <c r="C301"/>
      <c r="D301"/>
      <c r="E301"/>
      <c r="F301"/>
      <c r="G301"/>
      <c r="H301"/>
      <c r="I301"/>
      <c r="J301" s="220"/>
      <c r="K301"/>
      <c r="L301" s="612"/>
      <c r="M301" s="54"/>
      <c r="N301" s="612"/>
      <c r="O301"/>
      <c r="P301" s="220"/>
      <c r="X301"/>
      <c r="Y301"/>
      <c r="Z301"/>
      <c r="AA301"/>
      <c r="AB301"/>
    </row>
    <row r="302" spans="1:32" x14ac:dyDescent="0.35">
      <c r="A302"/>
      <c r="B302"/>
      <c r="C302"/>
      <c r="D302"/>
      <c r="E302"/>
      <c r="F302"/>
      <c r="G302"/>
      <c r="H302"/>
      <c r="I302"/>
      <c r="J302" s="220"/>
      <c r="K302"/>
      <c r="L302" s="612"/>
      <c r="M302" s="54"/>
      <c r="N302" s="612"/>
      <c r="O302"/>
      <c r="P302" s="220"/>
      <c r="X302"/>
      <c r="Y302"/>
      <c r="Z302"/>
      <c r="AA302"/>
      <c r="AB302"/>
    </row>
    <row r="303" spans="1:32" x14ac:dyDescent="0.35">
      <c r="A303"/>
      <c r="B303"/>
      <c r="C303"/>
      <c r="D303"/>
      <c r="E303"/>
      <c r="F303"/>
      <c r="G303"/>
      <c r="H303"/>
      <c r="I303"/>
      <c r="J303" s="220"/>
      <c r="K303"/>
      <c r="L303" s="612"/>
      <c r="M303" s="54"/>
      <c r="N303" s="612"/>
      <c r="O303"/>
      <c r="P303" s="220"/>
      <c r="X303"/>
      <c r="Y303"/>
      <c r="Z303"/>
      <c r="AA303"/>
      <c r="AB303"/>
    </row>
    <row r="304" spans="1:32" x14ac:dyDescent="0.35">
      <c r="A304"/>
      <c r="B304"/>
      <c r="C304"/>
      <c r="D304"/>
      <c r="E304"/>
      <c r="F304"/>
      <c r="G304"/>
      <c r="H304"/>
      <c r="I304"/>
      <c r="J304" s="220"/>
      <c r="K304"/>
      <c r="L304" s="612"/>
      <c r="M304" s="54"/>
      <c r="N304" s="612"/>
      <c r="O304"/>
      <c r="P304" s="220"/>
      <c r="X304"/>
      <c r="Y304"/>
      <c r="Z304"/>
      <c r="AA304"/>
      <c r="AB304"/>
    </row>
    <row r="305" spans="1:28" x14ac:dyDescent="0.35">
      <c r="A305"/>
      <c r="B305"/>
      <c r="C305"/>
      <c r="D305"/>
      <c r="E305"/>
      <c r="F305"/>
      <c r="G305"/>
      <c r="H305"/>
      <c r="I305"/>
      <c r="J305" s="220"/>
      <c r="K305"/>
      <c r="L305" s="612"/>
      <c r="M305" s="54"/>
      <c r="N305" s="612"/>
      <c r="O305"/>
      <c r="P305" s="220"/>
      <c r="X305"/>
      <c r="Y305"/>
      <c r="Z305"/>
      <c r="AA305"/>
      <c r="AB305"/>
    </row>
    <row r="306" spans="1:28" x14ac:dyDescent="0.35">
      <c r="A306"/>
      <c r="B306"/>
      <c r="C306"/>
      <c r="D306"/>
      <c r="E306"/>
      <c r="F306"/>
      <c r="G306"/>
      <c r="H306"/>
      <c r="I306"/>
      <c r="J306" s="220"/>
      <c r="K306"/>
      <c r="L306" s="612"/>
      <c r="M306" s="54"/>
      <c r="N306" s="612"/>
      <c r="O306"/>
      <c r="P306" s="220"/>
      <c r="X306"/>
      <c r="Y306"/>
      <c r="Z306"/>
      <c r="AA306"/>
      <c r="AB306"/>
    </row>
    <row r="307" spans="1:28" x14ac:dyDescent="0.35">
      <c r="A307"/>
      <c r="B307"/>
      <c r="C307"/>
      <c r="D307"/>
      <c r="E307"/>
      <c r="F307"/>
      <c r="G307"/>
      <c r="H307"/>
      <c r="I307"/>
      <c r="J307" s="220"/>
      <c r="K307"/>
      <c r="L307" s="612"/>
      <c r="M307" s="54"/>
      <c r="N307" s="612"/>
      <c r="O307"/>
      <c r="P307" s="220"/>
      <c r="X307"/>
      <c r="Y307"/>
      <c r="Z307"/>
      <c r="AA307"/>
      <c r="AB307"/>
    </row>
    <row r="308" spans="1:28" x14ac:dyDescent="0.35">
      <c r="A308"/>
      <c r="B308"/>
      <c r="C308"/>
      <c r="D308"/>
      <c r="E308"/>
      <c r="F308"/>
      <c r="G308"/>
      <c r="H308"/>
      <c r="I308"/>
      <c r="J308" s="220"/>
      <c r="K308"/>
      <c r="L308" s="612"/>
      <c r="M308" s="54"/>
      <c r="N308" s="612"/>
      <c r="O308"/>
      <c r="P308" s="220"/>
      <c r="X308"/>
      <c r="Y308"/>
      <c r="Z308"/>
      <c r="AA308"/>
      <c r="AB308"/>
    </row>
    <row r="309" spans="1:28" x14ac:dyDescent="0.35">
      <c r="A309"/>
      <c r="B309"/>
      <c r="C309"/>
      <c r="D309"/>
      <c r="E309"/>
      <c r="F309"/>
      <c r="G309"/>
      <c r="H309"/>
      <c r="I309"/>
      <c r="J309" s="220"/>
      <c r="K309"/>
      <c r="L309" s="612"/>
      <c r="M309" s="54"/>
      <c r="N309" s="612"/>
      <c r="O309"/>
      <c r="P309" s="220"/>
      <c r="X309"/>
      <c r="Y309"/>
      <c r="Z309"/>
      <c r="AA309"/>
      <c r="AB309"/>
    </row>
    <row r="310" spans="1:28" x14ac:dyDescent="0.35">
      <c r="A310"/>
      <c r="B310"/>
      <c r="C310"/>
      <c r="D310"/>
      <c r="E310"/>
      <c r="F310"/>
      <c r="G310"/>
      <c r="H310"/>
      <c r="I310"/>
      <c r="J310" s="220"/>
      <c r="K310"/>
      <c r="L310" s="612"/>
      <c r="M310" s="54"/>
      <c r="N310" s="612"/>
      <c r="O310"/>
      <c r="P310" s="220"/>
      <c r="X310"/>
      <c r="Y310"/>
      <c r="Z310"/>
      <c r="AA310"/>
      <c r="AB310"/>
    </row>
    <row r="311" spans="1:28" x14ac:dyDescent="0.35">
      <c r="X311"/>
      <c r="Y311"/>
      <c r="Z311"/>
      <c r="AA311"/>
      <c r="AB311"/>
    </row>
    <row r="312" spans="1:28" x14ac:dyDescent="0.35">
      <c r="X312"/>
      <c r="Y312"/>
      <c r="Z312"/>
      <c r="AA312"/>
      <c r="AB312"/>
    </row>
    <row r="313" spans="1:28" x14ac:dyDescent="0.35">
      <c r="X313"/>
      <c r="Y313"/>
      <c r="Z313"/>
      <c r="AA313"/>
      <c r="AB313"/>
    </row>
    <row r="314" spans="1:28" x14ac:dyDescent="0.35">
      <c r="X314"/>
      <c r="Y314"/>
      <c r="Z314"/>
      <c r="AA314"/>
      <c r="AB314"/>
    </row>
    <row r="315" spans="1:28" x14ac:dyDescent="0.35">
      <c r="X315"/>
      <c r="Y315"/>
      <c r="Z315"/>
      <c r="AA315"/>
      <c r="AB315"/>
    </row>
    <row r="316" spans="1:28" x14ac:dyDescent="0.35">
      <c r="X316"/>
      <c r="Y316"/>
      <c r="Z316"/>
      <c r="AA316"/>
      <c r="AB316"/>
    </row>
    <row r="317" spans="1:28" x14ac:dyDescent="0.35">
      <c r="X317"/>
      <c r="Y317"/>
      <c r="Z317"/>
      <c r="AA317"/>
      <c r="AB317"/>
    </row>
    <row r="318" spans="1:28" x14ac:dyDescent="0.35">
      <c r="X318"/>
      <c r="Y318"/>
      <c r="Z318"/>
      <c r="AA318"/>
      <c r="AB318"/>
    </row>
    <row r="319" spans="1:28" x14ac:dyDescent="0.35">
      <c r="X319"/>
      <c r="Y319"/>
      <c r="Z319"/>
      <c r="AA319"/>
      <c r="AB319"/>
    </row>
    <row r="320" spans="1:28" x14ac:dyDescent="0.35">
      <c r="X320"/>
      <c r="Y320"/>
      <c r="Z320"/>
      <c r="AA320"/>
      <c r="AB320"/>
    </row>
    <row r="321" spans="24:28" x14ac:dyDescent="0.35">
      <c r="X321"/>
      <c r="Y321"/>
      <c r="Z321"/>
      <c r="AA321"/>
      <c r="AB321"/>
    </row>
    <row r="322" spans="24:28" x14ac:dyDescent="0.35">
      <c r="X322"/>
      <c r="Y322"/>
      <c r="Z322"/>
      <c r="AA322"/>
      <c r="AB322"/>
    </row>
    <row r="323" spans="24:28" x14ac:dyDescent="0.35">
      <c r="X323"/>
      <c r="Y323"/>
      <c r="Z323"/>
      <c r="AA323"/>
      <c r="AB323"/>
    </row>
    <row r="324" spans="24:28" x14ac:dyDescent="0.35">
      <c r="X324"/>
      <c r="Y324"/>
      <c r="Z324"/>
      <c r="AA324"/>
      <c r="AB324"/>
    </row>
    <row r="325" spans="24:28" x14ac:dyDescent="0.35">
      <c r="X325"/>
      <c r="Y325"/>
      <c r="Z325"/>
      <c r="AA325"/>
      <c r="AB325"/>
    </row>
    <row r="326" spans="24:28" x14ac:dyDescent="0.35">
      <c r="X326"/>
      <c r="Y326"/>
      <c r="Z326"/>
      <c r="AA326"/>
      <c r="AB326"/>
    </row>
    <row r="327" spans="24:28" x14ac:dyDescent="0.35">
      <c r="X327"/>
      <c r="Y327"/>
      <c r="Z327"/>
      <c r="AA327"/>
      <c r="AB327"/>
    </row>
    <row r="328" spans="24:28" x14ac:dyDescent="0.35">
      <c r="X328"/>
      <c r="Y328"/>
      <c r="Z328"/>
      <c r="AA328"/>
      <c r="AB328"/>
    </row>
    <row r="329" spans="24:28" x14ac:dyDescent="0.35">
      <c r="X329"/>
      <c r="Y329"/>
      <c r="Z329"/>
      <c r="AA329"/>
      <c r="AB329"/>
    </row>
    <row r="330" spans="24:28" x14ac:dyDescent="0.35">
      <c r="X330"/>
      <c r="Y330"/>
      <c r="Z330"/>
      <c r="AA330"/>
      <c r="AB330"/>
    </row>
    <row r="331" spans="24:28" x14ac:dyDescent="0.35">
      <c r="X331"/>
      <c r="Y331"/>
      <c r="Z331"/>
      <c r="AA331"/>
      <c r="AB331"/>
    </row>
    <row r="332" spans="24:28" x14ac:dyDescent="0.35">
      <c r="X332"/>
      <c r="Y332"/>
      <c r="Z332"/>
      <c r="AA332"/>
      <c r="AB332"/>
    </row>
    <row r="333" spans="24:28" x14ac:dyDescent="0.35">
      <c r="X333"/>
      <c r="Y333"/>
      <c r="Z333"/>
      <c r="AA333"/>
      <c r="AB333"/>
    </row>
    <row r="334" spans="24:28" x14ac:dyDescent="0.35">
      <c r="X334"/>
      <c r="Y334"/>
      <c r="Z334"/>
      <c r="AA334"/>
      <c r="AB334"/>
    </row>
    <row r="335" spans="24:28" x14ac:dyDescent="0.35">
      <c r="X335"/>
      <c r="Y335"/>
      <c r="Z335"/>
      <c r="AA335"/>
      <c r="AB335"/>
    </row>
    <row r="336" spans="24:28" x14ac:dyDescent="0.35">
      <c r="X336"/>
      <c r="Y336"/>
      <c r="Z336"/>
      <c r="AA336"/>
      <c r="AB336"/>
    </row>
    <row r="337" spans="24:28" x14ac:dyDescent="0.35">
      <c r="X337"/>
      <c r="Y337"/>
      <c r="Z337"/>
      <c r="AA337"/>
      <c r="AB337"/>
    </row>
    <row r="338" spans="24:28" x14ac:dyDescent="0.35">
      <c r="X338"/>
      <c r="Y338"/>
      <c r="Z338"/>
      <c r="AA338"/>
      <c r="AB338"/>
    </row>
    <row r="339" spans="24:28" x14ac:dyDescent="0.35">
      <c r="X339"/>
      <c r="Y339"/>
      <c r="Z339"/>
      <c r="AA339"/>
      <c r="AB339"/>
    </row>
    <row r="340" spans="24:28" x14ac:dyDescent="0.35">
      <c r="X340"/>
      <c r="Y340"/>
      <c r="Z340"/>
      <c r="AA340"/>
      <c r="AB340"/>
    </row>
    <row r="341" spans="24:28" x14ac:dyDescent="0.35">
      <c r="X341"/>
      <c r="Y341"/>
      <c r="Z341"/>
      <c r="AA341"/>
      <c r="AB341"/>
    </row>
    <row r="342" spans="24:28" x14ac:dyDescent="0.35">
      <c r="X342"/>
      <c r="Y342"/>
      <c r="Z342"/>
      <c r="AA342"/>
      <c r="AB342"/>
    </row>
    <row r="343" spans="24:28" x14ac:dyDescent="0.35">
      <c r="X343"/>
      <c r="Y343"/>
      <c r="Z343"/>
      <c r="AA343"/>
      <c r="AB343"/>
    </row>
    <row r="344" spans="24:28" x14ac:dyDescent="0.35">
      <c r="X344"/>
      <c r="Y344"/>
      <c r="Z344"/>
      <c r="AA344"/>
      <c r="AB344"/>
    </row>
    <row r="345" spans="24:28" x14ac:dyDescent="0.35">
      <c r="X345"/>
      <c r="Y345"/>
      <c r="Z345"/>
      <c r="AA345"/>
      <c r="AB345"/>
    </row>
    <row r="346" spans="24:28" x14ac:dyDescent="0.35">
      <c r="X346"/>
      <c r="Y346"/>
      <c r="Z346"/>
      <c r="AA346"/>
      <c r="AB346"/>
    </row>
    <row r="347" spans="24:28" x14ac:dyDescent="0.35">
      <c r="X347"/>
      <c r="Y347"/>
      <c r="Z347"/>
      <c r="AA347"/>
      <c r="AB347"/>
    </row>
    <row r="348" spans="24:28" x14ac:dyDescent="0.35">
      <c r="X348"/>
      <c r="Y348"/>
      <c r="Z348"/>
      <c r="AA348"/>
      <c r="AB348"/>
    </row>
    <row r="349" spans="24:28" x14ac:dyDescent="0.35">
      <c r="X349"/>
      <c r="Y349"/>
      <c r="Z349"/>
      <c r="AA349"/>
      <c r="AB349"/>
    </row>
    <row r="350" spans="24:28" x14ac:dyDescent="0.35">
      <c r="X350"/>
      <c r="Y350"/>
      <c r="Z350"/>
      <c r="AA350"/>
      <c r="AB350"/>
    </row>
    <row r="351" spans="24:28" x14ac:dyDescent="0.35">
      <c r="X351"/>
      <c r="Y351"/>
      <c r="Z351"/>
      <c r="AA351"/>
      <c r="AB351"/>
    </row>
    <row r="352" spans="24:28" x14ac:dyDescent="0.35">
      <c r="X352"/>
      <c r="Y352"/>
      <c r="Z352"/>
      <c r="AA352"/>
      <c r="AB352"/>
    </row>
    <row r="353" spans="24:28" x14ac:dyDescent="0.35">
      <c r="X353"/>
      <c r="Y353"/>
      <c r="Z353"/>
      <c r="AA353"/>
      <c r="AB353"/>
    </row>
    <row r="354" spans="24:28" x14ac:dyDescent="0.35">
      <c r="X354"/>
      <c r="Y354"/>
      <c r="Z354"/>
      <c r="AA354"/>
      <c r="AB354"/>
    </row>
    <row r="355" spans="24:28" x14ac:dyDescent="0.35">
      <c r="X355"/>
      <c r="Y355"/>
      <c r="Z355"/>
      <c r="AA355"/>
      <c r="AB355"/>
    </row>
    <row r="356" spans="24:28" x14ac:dyDescent="0.35">
      <c r="X356"/>
      <c r="Y356"/>
      <c r="Z356"/>
      <c r="AA356"/>
      <c r="AB356"/>
    </row>
    <row r="357" spans="24:28" x14ac:dyDescent="0.35">
      <c r="X357"/>
      <c r="Y357"/>
      <c r="Z357"/>
      <c r="AA357"/>
      <c r="AB357"/>
    </row>
    <row r="358" spans="24:28" x14ac:dyDescent="0.35">
      <c r="X358"/>
      <c r="Y358"/>
      <c r="Z358"/>
      <c r="AA358"/>
      <c r="AB358"/>
    </row>
    <row r="359" spans="24:28" x14ac:dyDescent="0.35">
      <c r="X359"/>
      <c r="Y359"/>
      <c r="Z359"/>
      <c r="AA359"/>
      <c r="AB359"/>
    </row>
    <row r="360" spans="24:28" x14ac:dyDescent="0.35">
      <c r="X360"/>
      <c r="Y360"/>
      <c r="Z360"/>
      <c r="AA360"/>
      <c r="AB360"/>
    </row>
    <row r="361" spans="24:28" x14ac:dyDescent="0.35">
      <c r="X361"/>
      <c r="Y361"/>
      <c r="Z361"/>
      <c r="AA361"/>
      <c r="AB361"/>
    </row>
    <row r="362" spans="24:28" x14ac:dyDescent="0.35">
      <c r="X362"/>
      <c r="Y362"/>
      <c r="Z362"/>
      <c r="AA362"/>
      <c r="AB362"/>
    </row>
    <row r="363" spans="24:28" x14ac:dyDescent="0.35">
      <c r="X363"/>
      <c r="Y363"/>
      <c r="Z363"/>
      <c r="AA363"/>
      <c r="AB363"/>
    </row>
    <row r="364" spans="24:28" x14ac:dyDescent="0.35">
      <c r="X364"/>
      <c r="Y364"/>
      <c r="Z364"/>
      <c r="AA364"/>
      <c r="AB364"/>
    </row>
    <row r="365" spans="24:28" x14ac:dyDescent="0.35">
      <c r="X365"/>
      <c r="Y365"/>
      <c r="Z365"/>
      <c r="AA365"/>
      <c r="AB365"/>
    </row>
    <row r="366" spans="24:28" x14ac:dyDescent="0.35">
      <c r="X366"/>
      <c r="Y366"/>
      <c r="Z366"/>
      <c r="AA366"/>
      <c r="AB366"/>
    </row>
    <row r="367" spans="24:28" x14ac:dyDescent="0.35">
      <c r="X367"/>
      <c r="Y367"/>
      <c r="Z367"/>
      <c r="AA367"/>
      <c r="AB367"/>
    </row>
    <row r="368" spans="24:28" x14ac:dyDescent="0.35">
      <c r="X368"/>
      <c r="Y368"/>
      <c r="Z368"/>
      <c r="AA368"/>
      <c r="AB368"/>
    </row>
    <row r="369" spans="24:28" x14ac:dyDescent="0.35">
      <c r="X369"/>
      <c r="Y369"/>
      <c r="Z369"/>
      <c r="AA369"/>
      <c r="AB369"/>
    </row>
    <row r="370" spans="24:28" x14ac:dyDescent="0.35">
      <c r="X370"/>
      <c r="Y370"/>
      <c r="Z370"/>
      <c r="AA370"/>
      <c r="AB370"/>
    </row>
    <row r="371" spans="24:28" x14ac:dyDescent="0.35">
      <c r="X371"/>
      <c r="Y371"/>
      <c r="Z371"/>
      <c r="AA371"/>
      <c r="AB371"/>
    </row>
    <row r="372" spans="24:28" x14ac:dyDescent="0.35">
      <c r="X372"/>
      <c r="Y372"/>
      <c r="Z372"/>
      <c r="AA372"/>
      <c r="AB372"/>
    </row>
    <row r="373" spans="24:28" x14ac:dyDescent="0.35">
      <c r="X373"/>
      <c r="Y373"/>
      <c r="Z373"/>
      <c r="AA373"/>
      <c r="AB373"/>
    </row>
    <row r="374" spans="24:28" x14ac:dyDescent="0.35">
      <c r="X374"/>
      <c r="Y374"/>
      <c r="Z374"/>
      <c r="AA374"/>
      <c r="AB374"/>
    </row>
    <row r="375" spans="24:28" x14ac:dyDescent="0.35">
      <c r="X375"/>
      <c r="Y375"/>
      <c r="Z375"/>
      <c r="AA375"/>
      <c r="AB375"/>
    </row>
    <row r="376" spans="24:28" x14ac:dyDescent="0.35">
      <c r="X376"/>
      <c r="Y376"/>
      <c r="Z376"/>
      <c r="AA376"/>
      <c r="AB376"/>
    </row>
    <row r="377" spans="24:28" x14ac:dyDescent="0.35">
      <c r="X377"/>
      <c r="Y377"/>
      <c r="Z377"/>
      <c r="AA377"/>
      <c r="AB377"/>
    </row>
    <row r="378" spans="24:28" x14ac:dyDescent="0.35">
      <c r="X378"/>
      <c r="Y378"/>
      <c r="Z378"/>
      <c r="AA378"/>
      <c r="AB378"/>
    </row>
    <row r="379" spans="24:28" x14ac:dyDescent="0.35">
      <c r="X379"/>
      <c r="Y379"/>
      <c r="Z379"/>
      <c r="AA379"/>
      <c r="AB379"/>
    </row>
    <row r="380" spans="24:28" x14ac:dyDescent="0.35">
      <c r="X380"/>
      <c r="Y380"/>
      <c r="Z380"/>
      <c r="AA380"/>
      <c r="AB380"/>
    </row>
    <row r="381" spans="24:28" x14ac:dyDescent="0.35">
      <c r="X381"/>
      <c r="Y381"/>
      <c r="Z381"/>
      <c r="AA381"/>
      <c r="AB381"/>
    </row>
    <row r="382" spans="24:28" x14ac:dyDescent="0.35">
      <c r="X382"/>
      <c r="Y382"/>
      <c r="Z382"/>
      <c r="AA382"/>
      <c r="AB382"/>
    </row>
    <row r="383" spans="24:28" x14ac:dyDescent="0.35">
      <c r="X383"/>
      <c r="Y383"/>
      <c r="Z383"/>
      <c r="AA383"/>
      <c r="AB383"/>
    </row>
    <row r="384" spans="24:28" x14ac:dyDescent="0.35">
      <c r="X384"/>
      <c r="Y384"/>
      <c r="Z384"/>
      <c r="AA384"/>
      <c r="AB384"/>
    </row>
    <row r="385" spans="24:28" x14ac:dyDescent="0.35">
      <c r="X385"/>
      <c r="Y385"/>
      <c r="Z385"/>
      <c r="AA385"/>
      <c r="AB385"/>
    </row>
    <row r="386" spans="24:28" x14ac:dyDescent="0.35">
      <c r="X386"/>
      <c r="Y386"/>
      <c r="Z386"/>
      <c r="AA386"/>
      <c r="AB386"/>
    </row>
    <row r="387" spans="24:28" x14ac:dyDescent="0.35">
      <c r="X387"/>
      <c r="Y387"/>
      <c r="Z387"/>
      <c r="AA387"/>
      <c r="AB387"/>
    </row>
    <row r="388" spans="24:28" x14ac:dyDescent="0.35">
      <c r="X388"/>
      <c r="Y388"/>
      <c r="Z388"/>
      <c r="AA388"/>
      <c r="AB388"/>
    </row>
    <row r="389" spans="24:28" x14ac:dyDescent="0.35">
      <c r="X389"/>
      <c r="Y389"/>
      <c r="Z389"/>
      <c r="AA389"/>
      <c r="AB389"/>
    </row>
    <row r="390" spans="24:28" x14ac:dyDescent="0.35">
      <c r="X390"/>
      <c r="Y390"/>
      <c r="Z390"/>
      <c r="AA390"/>
      <c r="AB390"/>
    </row>
    <row r="391" spans="24:28" x14ac:dyDescent="0.35">
      <c r="X391"/>
      <c r="Y391"/>
      <c r="Z391"/>
      <c r="AA391"/>
      <c r="AB391"/>
    </row>
    <row r="392" spans="24:28" x14ac:dyDescent="0.35">
      <c r="X392"/>
      <c r="Y392"/>
      <c r="Z392"/>
      <c r="AA392"/>
      <c r="AB392"/>
    </row>
    <row r="393" spans="24:28" x14ac:dyDescent="0.35">
      <c r="X393"/>
      <c r="Y393"/>
      <c r="Z393"/>
      <c r="AA393"/>
      <c r="AB393"/>
    </row>
    <row r="394" spans="24:28" x14ac:dyDescent="0.35">
      <c r="X394"/>
      <c r="Y394"/>
      <c r="Z394"/>
      <c r="AA394"/>
      <c r="AB394"/>
    </row>
    <row r="395" spans="24:28" x14ac:dyDescent="0.35">
      <c r="X395"/>
      <c r="Y395"/>
      <c r="Z395"/>
      <c r="AA395"/>
      <c r="AB395"/>
    </row>
    <row r="396" spans="24:28" x14ac:dyDescent="0.35">
      <c r="X396"/>
      <c r="Y396"/>
      <c r="Z396"/>
      <c r="AA396"/>
      <c r="AB396"/>
    </row>
    <row r="397" spans="24:28" x14ac:dyDescent="0.35">
      <c r="X397"/>
      <c r="Y397"/>
      <c r="Z397"/>
      <c r="AA397"/>
      <c r="AB397"/>
    </row>
    <row r="398" spans="24:28" x14ac:dyDescent="0.35">
      <c r="X398"/>
      <c r="Y398"/>
      <c r="Z398"/>
      <c r="AA398"/>
      <c r="AB398"/>
    </row>
    <row r="399" spans="24:28" x14ac:dyDescent="0.35">
      <c r="X399"/>
      <c r="Y399"/>
      <c r="Z399"/>
      <c r="AA399"/>
      <c r="AB399"/>
    </row>
    <row r="400" spans="24:28" x14ac:dyDescent="0.35">
      <c r="X400"/>
      <c r="Y400"/>
      <c r="Z400"/>
      <c r="AA400"/>
      <c r="AB400"/>
    </row>
    <row r="401" spans="24:28" x14ac:dyDescent="0.35">
      <c r="X401"/>
      <c r="Y401"/>
      <c r="Z401"/>
      <c r="AA401"/>
      <c r="AB401"/>
    </row>
    <row r="402" spans="24:28" x14ac:dyDescent="0.35">
      <c r="X402"/>
      <c r="Y402"/>
      <c r="Z402"/>
      <c r="AA402"/>
      <c r="AB402"/>
    </row>
    <row r="403" spans="24:28" x14ac:dyDescent="0.35">
      <c r="X403"/>
      <c r="Y403"/>
      <c r="Z403"/>
      <c r="AA403"/>
      <c r="AB403"/>
    </row>
    <row r="404" spans="24:28" x14ac:dyDescent="0.35">
      <c r="X404"/>
      <c r="Y404"/>
      <c r="Z404"/>
      <c r="AA404"/>
      <c r="AB404"/>
    </row>
    <row r="405" spans="24:28" x14ac:dyDescent="0.35">
      <c r="X405"/>
      <c r="Y405"/>
      <c r="Z405"/>
      <c r="AA405"/>
      <c r="AB405"/>
    </row>
    <row r="406" spans="24:28" x14ac:dyDescent="0.35">
      <c r="X406"/>
      <c r="Y406"/>
      <c r="Z406"/>
      <c r="AA406"/>
      <c r="AB406"/>
    </row>
    <row r="407" spans="24:28" x14ac:dyDescent="0.35">
      <c r="X407"/>
      <c r="Y407"/>
      <c r="Z407"/>
      <c r="AA407"/>
      <c r="AB407"/>
    </row>
    <row r="408" spans="24:28" x14ac:dyDescent="0.35">
      <c r="X408"/>
      <c r="Y408"/>
      <c r="Z408"/>
      <c r="AA408"/>
      <c r="AB408"/>
    </row>
    <row r="409" spans="24:28" x14ac:dyDescent="0.35">
      <c r="X409"/>
      <c r="Y409"/>
      <c r="Z409"/>
      <c r="AA409"/>
      <c r="AB409"/>
    </row>
    <row r="410" spans="24:28" x14ac:dyDescent="0.35">
      <c r="X410"/>
      <c r="Y410"/>
      <c r="Z410"/>
      <c r="AA410"/>
      <c r="AB410"/>
    </row>
    <row r="411" spans="24:28" x14ac:dyDescent="0.35">
      <c r="X411"/>
      <c r="Y411"/>
      <c r="Z411"/>
      <c r="AA411"/>
      <c r="AB411"/>
    </row>
    <row r="412" spans="24:28" x14ac:dyDescent="0.35">
      <c r="X412"/>
      <c r="Y412"/>
      <c r="Z412"/>
      <c r="AA412"/>
      <c r="AB412"/>
    </row>
    <row r="413" spans="24:28" x14ac:dyDescent="0.35">
      <c r="X413"/>
      <c r="Y413"/>
      <c r="Z413"/>
      <c r="AA413"/>
      <c r="AB413"/>
    </row>
    <row r="414" spans="24:28" x14ac:dyDescent="0.35">
      <c r="X414"/>
      <c r="Y414"/>
      <c r="Z414"/>
      <c r="AA414"/>
      <c r="AB414"/>
    </row>
    <row r="415" spans="24:28" x14ac:dyDescent="0.35">
      <c r="X415"/>
      <c r="Y415"/>
      <c r="Z415"/>
      <c r="AA415"/>
      <c r="AB415"/>
    </row>
    <row r="416" spans="24:28" x14ac:dyDescent="0.35">
      <c r="X416"/>
      <c r="Y416"/>
      <c r="Z416"/>
      <c r="AA416"/>
      <c r="AB416"/>
    </row>
    <row r="417" spans="24:28" x14ac:dyDescent="0.35">
      <c r="X417"/>
      <c r="Y417"/>
      <c r="Z417"/>
      <c r="AA417"/>
      <c r="AB417"/>
    </row>
    <row r="418" spans="24:28" x14ac:dyDescent="0.35">
      <c r="X418"/>
      <c r="Y418"/>
      <c r="Z418"/>
      <c r="AA418"/>
      <c r="AB418"/>
    </row>
    <row r="419" spans="24:28" x14ac:dyDescent="0.35">
      <c r="X419"/>
      <c r="Y419"/>
      <c r="Z419"/>
      <c r="AA419"/>
      <c r="AB419"/>
    </row>
    <row r="420" spans="24:28" x14ac:dyDescent="0.35">
      <c r="X420"/>
      <c r="Y420"/>
      <c r="Z420"/>
      <c r="AA420"/>
      <c r="AB420"/>
    </row>
    <row r="421" spans="24:28" x14ac:dyDescent="0.35">
      <c r="X421"/>
      <c r="Y421"/>
      <c r="Z421"/>
      <c r="AA421"/>
      <c r="AB421"/>
    </row>
    <row r="422" spans="24:28" x14ac:dyDescent="0.35">
      <c r="X422"/>
      <c r="Y422"/>
      <c r="Z422"/>
      <c r="AA422"/>
      <c r="AB422"/>
    </row>
    <row r="423" spans="24:28" x14ac:dyDescent="0.35">
      <c r="X423"/>
      <c r="Y423"/>
      <c r="Z423"/>
      <c r="AA423"/>
      <c r="AB423"/>
    </row>
    <row r="424" spans="24:28" x14ac:dyDescent="0.35">
      <c r="X424"/>
      <c r="Y424"/>
      <c r="Z424"/>
      <c r="AA424"/>
      <c r="AB424"/>
    </row>
    <row r="425" spans="24:28" x14ac:dyDescent="0.35">
      <c r="X425"/>
      <c r="Y425"/>
      <c r="Z425"/>
      <c r="AA425"/>
      <c r="AB425"/>
    </row>
    <row r="426" spans="24:28" x14ac:dyDescent="0.35">
      <c r="X426"/>
      <c r="Y426"/>
      <c r="Z426"/>
      <c r="AA426"/>
      <c r="AB426"/>
    </row>
    <row r="427" spans="24:28" x14ac:dyDescent="0.35">
      <c r="X427"/>
      <c r="Y427"/>
      <c r="Z427"/>
      <c r="AA427"/>
      <c r="AB427"/>
    </row>
    <row r="428" spans="24:28" x14ac:dyDescent="0.35">
      <c r="X428"/>
      <c r="Y428"/>
      <c r="Z428"/>
      <c r="AA428"/>
      <c r="AB428"/>
    </row>
    <row r="429" spans="24:28" x14ac:dyDescent="0.35">
      <c r="X429"/>
      <c r="Y429"/>
      <c r="Z429"/>
      <c r="AA429"/>
      <c r="AB429"/>
    </row>
    <row r="430" spans="24:28" x14ac:dyDescent="0.35">
      <c r="X430"/>
      <c r="Y430"/>
      <c r="Z430"/>
      <c r="AA430"/>
      <c r="AB430"/>
    </row>
    <row r="431" spans="24:28" x14ac:dyDescent="0.35">
      <c r="X431"/>
      <c r="Y431"/>
      <c r="Z431"/>
      <c r="AA431"/>
      <c r="AB431"/>
    </row>
    <row r="432" spans="24:28" x14ac:dyDescent="0.35">
      <c r="X432"/>
      <c r="Y432"/>
      <c r="Z432"/>
      <c r="AA432"/>
      <c r="AB432"/>
    </row>
    <row r="433" spans="24:28" x14ac:dyDescent="0.35">
      <c r="X433"/>
      <c r="Y433"/>
      <c r="Z433"/>
      <c r="AA433"/>
      <c r="AB433"/>
    </row>
    <row r="434" spans="24:28" x14ac:dyDescent="0.35">
      <c r="X434"/>
      <c r="Y434"/>
      <c r="Z434"/>
      <c r="AA434"/>
      <c r="AB434"/>
    </row>
    <row r="435" spans="24:28" x14ac:dyDescent="0.35">
      <c r="X435"/>
      <c r="Y435"/>
      <c r="Z435"/>
      <c r="AA435"/>
      <c r="AB435"/>
    </row>
    <row r="436" spans="24:28" x14ac:dyDescent="0.35">
      <c r="X436"/>
      <c r="Y436"/>
      <c r="Z436"/>
      <c r="AA436"/>
      <c r="AB436"/>
    </row>
    <row r="437" spans="24:28" x14ac:dyDescent="0.35">
      <c r="X437"/>
      <c r="Y437"/>
      <c r="Z437"/>
      <c r="AA437"/>
      <c r="AB437"/>
    </row>
    <row r="438" spans="24:28" x14ac:dyDescent="0.35">
      <c r="X438"/>
      <c r="Y438"/>
      <c r="Z438"/>
      <c r="AA438"/>
      <c r="AB438"/>
    </row>
    <row r="439" spans="24:28" x14ac:dyDescent="0.35">
      <c r="X439"/>
      <c r="Y439"/>
      <c r="Z439"/>
      <c r="AA439"/>
      <c r="AB439"/>
    </row>
    <row r="440" spans="24:28" x14ac:dyDescent="0.35">
      <c r="X440"/>
      <c r="Y440"/>
      <c r="Z440"/>
      <c r="AA440"/>
      <c r="AB440"/>
    </row>
    <row r="441" spans="24:28" x14ac:dyDescent="0.35">
      <c r="X441"/>
      <c r="Y441"/>
      <c r="Z441"/>
      <c r="AA441"/>
      <c r="AB441"/>
    </row>
    <row r="442" spans="24:28" x14ac:dyDescent="0.35">
      <c r="X442"/>
      <c r="Y442"/>
      <c r="Z442"/>
      <c r="AA442"/>
      <c r="AB442"/>
    </row>
    <row r="443" spans="24:28" x14ac:dyDescent="0.35">
      <c r="X443"/>
      <c r="Y443"/>
      <c r="Z443"/>
      <c r="AA443"/>
      <c r="AB443"/>
    </row>
    <row r="444" spans="24:28" x14ac:dyDescent="0.35">
      <c r="X444"/>
      <c r="Y444"/>
      <c r="Z444"/>
      <c r="AA444"/>
      <c r="AB444"/>
    </row>
    <row r="445" spans="24:28" x14ac:dyDescent="0.35">
      <c r="X445"/>
      <c r="Y445"/>
      <c r="Z445"/>
      <c r="AA445"/>
      <c r="AB445"/>
    </row>
    <row r="446" spans="24:28" x14ac:dyDescent="0.35">
      <c r="X446"/>
      <c r="Y446"/>
      <c r="Z446"/>
      <c r="AA446"/>
      <c r="AB446"/>
    </row>
    <row r="447" spans="24:28" x14ac:dyDescent="0.35">
      <c r="X447"/>
      <c r="Y447"/>
      <c r="Z447"/>
      <c r="AA447"/>
      <c r="AB447"/>
    </row>
    <row r="448" spans="24:28" x14ac:dyDescent="0.35">
      <c r="X448"/>
      <c r="Y448"/>
      <c r="Z448"/>
      <c r="AA448"/>
      <c r="AB448"/>
    </row>
    <row r="449" spans="24:28" x14ac:dyDescent="0.35">
      <c r="X449"/>
      <c r="Y449"/>
      <c r="Z449"/>
      <c r="AA449"/>
      <c r="AB449"/>
    </row>
    <row r="450" spans="24:28" x14ac:dyDescent="0.35">
      <c r="X450"/>
      <c r="Y450"/>
      <c r="Z450"/>
      <c r="AA450"/>
      <c r="AB450"/>
    </row>
    <row r="451" spans="24:28" x14ac:dyDescent="0.35">
      <c r="X451"/>
      <c r="Y451"/>
      <c r="Z451"/>
      <c r="AA451"/>
      <c r="AB451"/>
    </row>
    <row r="452" spans="24:28" x14ac:dyDescent="0.35">
      <c r="X452"/>
      <c r="Y452"/>
      <c r="Z452"/>
      <c r="AA452"/>
      <c r="AB452"/>
    </row>
    <row r="453" spans="24:28" x14ac:dyDescent="0.35">
      <c r="X453"/>
      <c r="Y453"/>
      <c r="Z453"/>
      <c r="AA453"/>
      <c r="AB453"/>
    </row>
    <row r="454" spans="24:28" x14ac:dyDescent="0.35">
      <c r="X454"/>
      <c r="Y454"/>
      <c r="Z454"/>
      <c r="AA454"/>
      <c r="AB454"/>
    </row>
    <row r="455" spans="24:28" x14ac:dyDescent="0.35">
      <c r="X455"/>
      <c r="Y455"/>
      <c r="Z455"/>
      <c r="AA455"/>
      <c r="AB455"/>
    </row>
    <row r="456" spans="24:28" x14ac:dyDescent="0.35">
      <c r="X456"/>
      <c r="Y456"/>
      <c r="Z456"/>
      <c r="AA456"/>
      <c r="AB456"/>
    </row>
    <row r="457" spans="24:28" x14ac:dyDescent="0.35">
      <c r="X457"/>
      <c r="Y457"/>
      <c r="Z457"/>
      <c r="AA457"/>
      <c r="AB457"/>
    </row>
    <row r="458" spans="24:28" x14ac:dyDescent="0.35">
      <c r="X458"/>
      <c r="Y458"/>
      <c r="Z458"/>
      <c r="AA458"/>
      <c r="AB458"/>
    </row>
    <row r="459" spans="24:28" x14ac:dyDescent="0.35">
      <c r="X459"/>
      <c r="Y459"/>
      <c r="Z459"/>
      <c r="AA459"/>
      <c r="AB459"/>
    </row>
    <row r="460" spans="24:28" x14ac:dyDescent="0.35">
      <c r="X460"/>
      <c r="Y460"/>
      <c r="Z460"/>
      <c r="AA460"/>
      <c r="AB460"/>
    </row>
    <row r="461" spans="24:28" x14ac:dyDescent="0.35">
      <c r="X461"/>
      <c r="Y461"/>
      <c r="Z461"/>
      <c r="AA461"/>
      <c r="AB461"/>
    </row>
    <row r="462" spans="24:28" x14ac:dyDescent="0.35">
      <c r="X462"/>
      <c r="Y462"/>
      <c r="Z462"/>
      <c r="AA462"/>
      <c r="AB462"/>
    </row>
    <row r="463" spans="24:28" x14ac:dyDescent="0.35">
      <c r="X463"/>
      <c r="Y463"/>
      <c r="Z463"/>
      <c r="AA463"/>
      <c r="AB463"/>
    </row>
    <row r="464" spans="24:28" x14ac:dyDescent="0.35">
      <c r="X464"/>
      <c r="Y464"/>
      <c r="Z464"/>
      <c r="AA464"/>
      <c r="AB464"/>
    </row>
    <row r="465" spans="24:28" x14ac:dyDescent="0.35">
      <c r="X465"/>
      <c r="Y465"/>
      <c r="Z465"/>
      <c r="AA465"/>
      <c r="AB465"/>
    </row>
    <row r="466" spans="24:28" x14ac:dyDescent="0.35">
      <c r="X466"/>
      <c r="Y466"/>
      <c r="Z466"/>
      <c r="AA466"/>
      <c r="AB466"/>
    </row>
    <row r="467" spans="24:28" x14ac:dyDescent="0.35">
      <c r="X467"/>
      <c r="Y467"/>
      <c r="Z467"/>
      <c r="AA467"/>
      <c r="AB467"/>
    </row>
    <row r="468" spans="24:28" x14ac:dyDescent="0.35">
      <c r="X468"/>
      <c r="Y468"/>
      <c r="Z468"/>
      <c r="AA468"/>
      <c r="AB468"/>
    </row>
    <row r="469" spans="24:28" x14ac:dyDescent="0.35">
      <c r="X469"/>
      <c r="Y469"/>
      <c r="Z469"/>
      <c r="AA469"/>
      <c r="AB469"/>
    </row>
    <row r="470" spans="24:28" x14ac:dyDescent="0.35">
      <c r="X470"/>
      <c r="Y470"/>
      <c r="Z470"/>
      <c r="AA470"/>
      <c r="AB470"/>
    </row>
    <row r="471" spans="24:28" x14ac:dyDescent="0.35">
      <c r="X471"/>
      <c r="Y471"/>
      <c r="Z471"/>
      <c r="AA471"/>
      <c r="AB471"/>
    </row>
    <row r="472" spans="24:28" x14ac:dyDescent="0.35">
      <c r="X472"/>
      <c r="Y472"/>
      <c r="Z472"/>
      <c r="AA472"/>
      <c r="AB472"/>
    </row>
    <row r="473" spans="24:28" x14ac:dyDescent="0.35">
      <c r="X473"/>
      <c r="Y473"/>
      <c r="Z473"/>
      <c r="AA473"/>
      <c r="AB473"/>
    </row>
    <row r="474" spans="24:28" x14ac:dyDescent="0.35">
      <c r="X474"/>
      <c r="Y474"/>
      <c r="Z474"/>
      <c r="AA474"/>
      <c r="AB474"/>
    </row>
    <row r="475" spans="24:28" x14ac:dyDescent="0.35">
      <c r="X475"/>
      <c r="Y475"/>
      <c r="Z475"/>
      <c r="AA475"/>
      <c r="AB475"/>
    </row>
    <row r="476" spans="24:28" x14ac:dyDescent="0.35">
      <c r="X476"/>
      <c r="Y476"/>
      <c r="Z476"/>
      <c r="AA476"/>
      <c r="AB476"/>
    </row>
    <row r="477" spans="24:28" x14ac:dyDescent="0.35">
      <c r="X477"/>
      <c r="Y477"/>
      <c r="Z477"/>
      <c r="AA477"/>
      <c r="AB477"/>
    </row>
    <row r="478" spans="24:28" x14ac:dyDescent="0.35">
      <c r="X478"/>
      <c r="Y478"/>
      <c r="Z478"/>
      <c r="AA478"/>
      <c r="AB478"/>
    </row>
    <row r="479" spans="24:28" x14ac:dyDescent="0.35">
      <c r="X479"/>
      <c r="Y479"/>
      <c r="Z479"/>
      <c r="AA479"/>
      <c r="AB479"/>
    </row>
    <row r="480" spans="24:28" x14ac:dyDescent="0.35">
      <c r="X480"/>
      <c r="Y480"/>
      <c r="Z480"/>
      <c r="AA480"/>
      <c r="AB480"/>
    </row>
    <row r="481" spans="24:28" x14ac:dyDescent="0.35">
      <c r="X481"/>
      <c r="Y481"/>
      <c r="Z481"/>
      <c r="AA481"/>
      <c r="AB481"/>
    </row>
    <row r="482" spans="24:28" x14ac:dyDescent="0.35">
      <c r="X482"/>
      <c r="Y482"/>
      <c r="Z482"/>
      <c r="AA482"/>
      <c r="AB482"/>
    </row>
    <row r="483" spans="24:28" x14ac:dyDescent="0.35">
      <c r="X483"/>
      <c r="Y483"/>
      <c r="Z483"/>
      <c r="AA483"/>
      <c r="AB483"/>
    </row>
    <row r="484" spans="24:28" x14ac:dyDescent="0.35">
      <c r="X484"/>
      <c r="Y484"/>
      <c r="Z484"/>
      <c r="AA484"/>
      <c r="AB484"/>
    </row>
    <row r="485" spans="24:28" x14ac:dyDescent="0.35">
      <c r="X485"/>
      <c r="Y485"/>
      <c r="Z485"/>
      <c r="AA485"/>
      <c r="AB485"/>
    </row>
    <row r="486" spans="24:28" x14ac:dyDescent="0.35">
      <c r="X486"/>
      <c r="Y486"/>
      <c r="Z486"/>
      <c r="AA486"/>
      <c r="AB486"/>
    </row>
    <row r="487" spans="24:28" x14ac:dyDescent="0.35">
      <c r="X487"/>
      <c r="Y487"/>
      <c r="Z487"/>
      <c r="AA487"/>
      <c r="AB487"/>
    </row>
    <row r="488" spans="24:28" x14ac:dyDescent="0.35">
      <c r="X488"/>
      <c r="Y488"/>
      <c r="Z488"/>
      <c r="AA488"/>
      <c r="AB488"/>
    </row>
    <row r="489" spans="24:28" x14ac:dyDescent="0.35">
      <c r="X489"/>
      <c r="Y489"/>
      <c r="Z489"/>
      <c r="AA489"/>
      <c r="AB489"/>
    </row>
    <row r="490" spans="24:28" x14ac:dyDescent="0.35">
      <c r="X490"/>
      <c r="Y490"/>
      <c r="Z490"/>
      <c r="AA490"/>
      <c r="AB490"/>
    </row>
    <row r="491" spans="24:28" x14ac:dyDescent="0.35">
      <c r="X491"/>
      <c r="Y491"/>
      <c r="Z491"/>
      <c r="AA491"/>
      <c r="AB491"/>
    </row>
    <row r="492" spans="24:28" x14ac:dyDescent="0.35">
      <c r="X492"/>
      <c r="Y492"/>
      <c r="Z492"/>
      <c r="AA492"/>
      <c r="AB492"/>
    </row>
    <row r="493" spans="24:28" x14ac:dyDescent="0.35">
      <c r="X493"/>
      <c r="Y493"/>
      <c r="Z493"/>
      <c r="AA493"/>
      <c r="AB493"/>
    </row>
    <row r="494" spans="24:28" x14ac:dyDescent="0.35">
      <c r="X494"/>
      <c r="Y494"/>
      <c r="Z494"/>
      <c r="AA494"/>
      <c r="AB494"/>
    </row>
    <row r="495" spans="24:28" x14ac:dyDescent="0.35">
      <c r="X495"/>
      <c r="Y495"/>
      <c r="Z495"/>
      <c r="AA495"/>
      <c r="AB495"/>
    </row>
    <row r="496" spans="24:28" x14ac:dyDescent="0.35">
      <c r="X496"/>
      <c r="Y496"/>
      <c r="Z496"/>
      <c r="AA496"/>
      <c r="AB496"/>
    </row>
    <row r="497" spans="24:28" x14ac:dyDescent="0.35">
      <c r="X497"/>
      <c r="Y497"/>
      <c r="Z497"/>
      <c r="AA497"/>
      <c r="AB497"/>
    </row>
    <row r="498" spans="24:28" x14ac:dyDescent="0.35">
      <c r="X498"/>
      <c r="Y498"/>
      <c r="Z498"/>
      <c r="AA498"/>
      <c r="AB498"/>
    </row>
    <row r="499" spans="24:28" x14ac:dyDescent="0.35">
      <c r="X499"/>
      <c r="Y499"/>
      <c r="Z499"/>
      <c r="AA499"/>
      <c r="AB499"/>
    </row>
    <row r="500" spans="24:28" x14ac:dyDescent="0.35">
      <c r="X500"/>
      <c r="Y500"/>
      <c r="Z500"/>
      <c r="AA500"/>
      <c r="AB500"/>
    </row>
    <row r="501" spans="24:28" x14ac:dyDescent="0.35">
      <c r="X501"/>
      <c r="Y501"/>
      <c r="Z501"/>
      <c r="AA501"/>
      <c r="AB501"/>
    </row>
    <row r="502" spans="24:28" x14ac:dyDescent="0.35">
      <c r="X502"/>
      <c r="Y502"/>
      <c r="Z502"/>
      <c r="AA502"/>
      <c r="AB502"/>
    </row>
    <row r="503" spans="24:28" x14ac:dyDescent="0.35">
      <c r="X503"/>
      <c r="Y503"/>
      <c r="Z503"/>
      <c r="AA503"/>
      <c r="AB503"/>
    </row>
    <row r="504" spans="24:28" x14ac:dyDescent="0.35">
      <c r="X504"/>
      <c r="Y504"/>
      <c r="Z504"/>
      <c r="AA504"/>
      <c r="AB504"/>
    </row>
    <row r="505" spans="24:28" x14ac:dyDescent="0.35">
      <c r="X505"/>
      <c r="Y505"/>
      <c r="Z505"/>
      <c r="AA505"/>
      <c r="AB505"/>
    </row>
    <row r="506" spans="24:28" x14ac:dyDescent="0.35">
      <c r="X506"/>
      <c r="Y506"/>
      <c r="Z506"/>
      <c r="AA506"/>
      <c r="AB506"/>
    </row>
    <row r="507" spans="24:28" x14ac:dyDescent="0.35">
      <c r="X507"/>
      <c r="Y507"/>
      <c r="Z507"/>
      <c r="AA507"/>
      <c r="AB507"/>
    </row>
    <row r="508" spans="24:28" x14ac:dyDescent="0.35">
      <c r="X508"/>
      <c r="Y508"/>
      <c r="Z508"/>
      <c r="AA508"/>
      <c r="AB508"/>
    </row>
    <row r="509" spans="24:28" x14ac:dyDescent="0.35">
      <c r="X509"/>
      <c r="Y509"/>
      <c r="Z509"/>
      <c r="AA509"/>
      <c r="AB509"/>
    </row>
    <row r="510" spans="24:28" x14ac:dyDescent="0.35">
      <c r="X510"/>
      <c r="Y510"/>
      <c r="Z510"/>
      <c r="AA510"/>
      <c r="AB510"/>
    </row>
    <row r="511" spans="24:28" x14ac:dyDescent="0.35">
      <c r="X511"/>
      <c r="Y511"/>
      <c r="Z511"/>
      <c r="AA511"/>
      <c r="AB511"/>
    </row>
    <row r="512" spans="24:28" x14ac:dyDescent="0.35">
      <c r="X512"/>
      <c r="Y512"/>
      <c r="Z512"/>
      <c r="AA512"/>
      <c r="AB512"/>
    </row>
    <row r="513" spans="24:28" x14ac:dyDescent="0.35">
      <c r="X513"/>
      <c r="Y513"/>
      <c r="Z513"/>
      <c r="AA513"/>
      <c r="AB513"/>
    </row>
    <row r="514" spans="24:28" x14ac:dyDescent="0.35">
      <c r="X514"/>
      <c r="Y514"/>
      <c r="Z514"/>
      <c r="AA514"/>
      <c r="AB514"/>
    </row>
    <row r="515" spans="24:28" x14ac:dyDescent="0.35">
      <c r="X515"/>
      <c r="Y515"/>
      <c r="Z515"/>
      <c r="AA515"/>
      <c r="AB515"/>
    </row>
    <row r="516" spans="24:28" x14ac:dyDescent="0.35">
      <c r="X516"/>
      <c r="Y516"/>
      <c r="Z516"/>
      <c r="AA516"/>
      <c r="AB516"/>
    </row>
    <row r="517" spans="24:28" x14ac:dyDescent="0.35">
      <c r="X517"/>
      <c r="Y517"/>
      <c r="Z517"/>
      <c r="AA517"/>
      <c r="AB517"/>
    </row>
    <row r="518" spans="24:28" x14ac:dyDescent="0.35">
      <c r="X518"/>
      <c r="Y518"/>
      <c r="Z518"/>
      <c r="AA518"/>
      <c r="AB518"/>
    </row>
    <row r="519" spans="24:28" x14ac:dyDescent="0.35">
      <c r="X519"/>
      <c r="Y519"/>
      <c r="Z519"/>
      <c r="AA519"/>
      <c r="AB519"/>
    </row>
    <row r="520" spans="24:28" x14ac:dyDescent="0.35">
      <c r="X520"/>
      <c r="Y520"/>
      <c r="Z520"/>
      <c r="AA520"/>
      <c r="AB520"/>
    </row>
    <row r="521" spans="24:28" x14ac:dyDescent="0.35">
      <c r="X521"/>
      <c r="Y521"/>
      <c r="Z521"/>
      <c r="AA521"/>
      <c r="AB521"/>
    </row>
    <row r="522" spans="24:28" x14ac:dyDescent="0.35">
      <c r="X522"/>
      <c r="Y522"/>
      <c r="Z522"/>
      <c r="AA522"/>
      <c r="AB522"/>
    </row>
    <row r="523" spans="24:28" x14ac:dyDescent="0.35">
      <c r="X523"/>
      <c r="Y523"/>
      <c r="Z523"/>
      <c r="AA523"/>
      <c r="AB523"/>
    </row>
    <row r="524" spans="24:28" x14ac:dyDescent="0.35">
      <c r="X524"/>
      <c r="Y524"/>
      <c r="Z524"/>
      <c r="AA524"/>
      <c r="AB524"/>
    </row>
    <row r="525" spans="24:28" x14ac:dyDescent="0.35">
      <c r="X525"/>
      <c r="Y525"/>
      <c r="Z525"/>
      <c r="AA525"/>
      <c r="AB525"/>
    </row>
    <row r="526" spans="24:28" x14ac:dyDescent="0.35">
      <c r="X526"/>
      <c r="Y526"/>
      <c r="Z526"/>
      <c r="AA526"/>
      <c r="AB526"/>
    </row>
    <row r="527" spans="24:28" x14ac:dyDescent="0.35">
      <c r="X527"/>
      <c r="Y527"/>
      <c r="Z527"/>
      <c r="AA527"/>
      <c r="AB527"/>
    </row>
    <row r="528" spans="24:28" x14ac:dyDescent="0.35">
      <c r="X528"/>
      <c r="Y528"/>
      <c r="Z528"/>
      <c r="AA528"/>
      <c r="AB528"/>
    </row>
    <row r="529" spans="24:28" x14ac:dyDescent="0.35">
      <c r="X529"/>
      <c r="Y529"/>
      <c r="Z529"/>
      <c r="AA529"/>
      <c r="AB529"/>
    </row>
    <row r="530" spans="24:28" x14ac:dyDescent="0.35">
      <c r="X530"/>
      <c r="Y530"/>
      <c r="Z530"/>
      <c r="AA530"/>
      <c r="AB530"/>
    </row>
    <row r="531" spans="24:28" x14ac:dyDescent="0.35">
      <c r="X531"/>
      <c r="Y531"/>
      <c r="Z531"/>
      <c r="AA531"/>
      <c r="AB531"/>
    </row>
    <row r="532" spans="24:28" x14ac:dyDescent="0.35">
      <c r="X532"/>
      <c r="Y532"/>
      <c r="Z532"/>
      <c r="AA532"/>
      <c r="AB532"/>
    </row>
    <row r="533" spans="24:28" x14ac:dyDescent="0.35">
      <c r="X533"/>
      <c r="Y533"/>
      <c r="Z533"/>
      <c r="AA533"/>
      <c r="AB533"/>
    </row>
    <row r="534" spans="24:28" x14ac:dyDescent="0.35">
      <c r="X534"/>
      <c r="Y534"/>
      <c r="Z534"/>
      <c r="AA534"/>
      <c r="AB534"/>
    </row>
    <row r="535" spans="24:28" x14ac:dyDescent="0.35">
      <c r="X535"/>
      <c r="Y535"/>
      <c r="Z535"/>
      <c r="AA535"/>
      <c r="AB535"/>
    </row>
    <row r="536" spans="24:28" x14ac:dyDescent="0.35">
      <c r="X536"/>
      <c r="Y536"/>
      <c r="Z536"/>
      <c r="AA536"/>
      <c r="AB536"/>
    </row>
    <row r="537" spans="24:28" x14ac:dyDescent="0.35">
      <c r="X537"/>
      <c r="Y537"/>
      <c r="Z537"/>
      <c r="AA537"/>
      <c r="AB537"/>
    </row>
    <row r="538" spans="24:28" x14ac:dyDescent="0.35">
      <c r="X538"/>
      <c r="Y538"/>
      <c r="Z538"/>
      <c r="AA538"/>
      <c r="AB538"/>
    </row>
    <row r="539" spans="24:28" x14ac:dyDescent="0.35">
      <c r="X539"/>
      <c r="Y539"/>
      <c r="Z539"/>
      <c r="AA539"/>
      <c r="AB539"/>
    </row>
    <row r="540" spans="24:28" x14ac:dyDescent="0.35">
      <c r="X540"/>
      <c r="Y540"/>
      <c r="Z540"/>
      <c r="AA540"/>
      <c r="AB540"/>
    </row>
    <row r="541" spans="24:28" x14ac:dyDescent="0.35">
      <c r="X541"/>
      <c r="Y541"/>
      <c r="Z541"/>
      <c r="AA541"/>
      <c r="AB541"/>
    </row>
    <row r="542" spans="24:28" x14ac:dyDescent="0.35">
      <c r="X542"/>
      <c r="Y542"/>
      <c r="Z542"/>
      <c r="AA542"/>
      <c r="AB542"/>
    </row>
    <row r="543" spans="24:28" x14ac:dyDescent="0.35">
      <c r="X543"/>
      <c r="Y543"/>
      <c r="Z543"/>
      <c r="AA543"/>
      <c r="AB543"/>
    </row>
    <row r="544" spans="24:28" x14ac:dyDescent="0.35">
      <c r="X544"/>
      <c r="Y544"/>
      <c r="Z544"/>
      <c r="AA544"/>
      <c r="AB544"/>
    </row>
    <row r="545" spans="24:28" x14ac:dyDescent="0.35">
      <c r="X545"/>
      <c r="Y545"/>
      <c r="Z545"/>
      <c r="AA545"/>
      <c r="AB545"/>
    </row>
    <row r="546" spans="24:28" x14ac:dyDescent="0.35">
      <c r="X546"/>
      <c r="Y546"/>
      <c r="Z546"/>
      <c r="AA546"/>
      <c r="AB546"/>
    </row>
    <row r="547" spans="24:28" x14ac:dyDescent="0.35">
      <c r="X547"/>
      <c r="Y547"/>
      <c r="Z547"/>
      <c r="AA547"/>
      <c r="AB547"/>
    </row>
    <row r="548" spans="24:28" x14ac:dyDescent="0.35">
      <c r="X548"/>
      <c r="Y548"/>
      <c r="Z548"/>
      <c r="AA548"/>
      <c r="AB548"/>
    </row>
    <row r="549" spans="24:28" x14ac:dyDescent="0.35">
      <c r="X549"/>
      <c r="Y549"/>
      <c r="Z549"/>
      <c r="AA549"/>
      <c r="AB549"/>
    </row>
    <row r="550" spans="24:28" x14ac:dyDescent="0.35">
      <c r="X550"/>
      <c r="Y550"/>
      <c r="Z550"/>
      <c r="AA550"/>
      <c r="AB550"/>
    </row>
    <row r="551" spans="24:28" x14ac:dyDescent="0.35">
      <c r="X551"/>
      <c r="Y551"/>
      <c r="Z551"/>
      <c r="AA551"/>
      <c r="AB551"/>
    </row>
    <row r="552" spans="24:28" x14ac:dyDescent="0.35">
      <c r="X552"/>
      <c r="Y552"/>
      <c r="Z552"/>
      <c r="AA552"/>
      <c r="AB552"/>
    </row>
    <row r="553" spans="24:28" x14ac:dyDescent="0.35">
      <c r="X553"/>
      <c r="Y553"/>
      <c r="Z553"/>
      <c r="AA553"/>
      <c r="AB553"/>
    </row>
    <row r="554" spans="24:28" x14ac:dyDescent="0.35">
      <c r="X554"/>
      <c r="Y554"/>
      <c r="Z554"/>
      <c r="AA554"/>
      <c r="AB554"/>
    </row>
    <row r="555" spans="24:28" x14ac:dyDescent="0.35">
      <c r="X555"/>
      <c r="Y555"/>
      <c r="Z555"/>
      <c r="AA555"/>
      <c r="AB555"/>
    </row>
    <row r="556" spans="24:28" x14ac:dyDescent="0.35">
      <c r="X556"/>
      <c r="Y556"/>
      <c r="Z556"/>
      <c r="AA556"/>
      <c r="AB556"/>
    </row>
    <row r="557" spans="24:28" x14ac:dyDescent="0.35">
      <c r="X557"/>
      <c r="Y557"/>
      <c r="Z557"/>
      <c r="AA557"/>
      <c r="AB557"/>
    </row>
    <row r="558" spans="24:28" x14ac:dyDescent="0.35">
      <c r="X558"/>
      <c r="Y558"/>
      <c r="Z558"/>
      <c r="AA558"/>
      <c r="AB558"/>
    </row>
    <row r="559" spans="24:28" x14ac:dyDescent="0.35">
      <c r="X559"/>
      <c r="Y559"/>
      <c r="Z559"/>
      <c r="AA559"/>
      <c r="AB559"/>
    </row>
    <row r="560" spans="24:28" x14ac:dyDescent="0.35">
      <c r="X560"/>
      <c r="Y560"/>
      <c r="Z560"/>
      <c r="AA560"/>
      <c r="AB560"/>
    </row>
    <row r="561" spans="24:28" x14ac:dyDescent="0.35">
      <c r="X561"/>
      <c r="Y561"/>
      <c r="Z561"/>
      <c r="AA561"/>
      <c r="AB561"/>
    </row>
    <row r="562" spans="24:28" x14ac:dyDescent="0.35">
      <c r="X562"/>
      <c r="Y562"/>
      <c r="Z562"/>
      <c r="AA562"/>
      <c r="AB562"/>
    </row>
    <row r="563" spans="24:28" x14ac:dyDescent="0.35">
      <c r="X563"/>
      <c r="Y563"/>
      <c r="Z563"/>
      <c r="AA563"/>
      <c r="AB563"/>
    </row>
    <row r="564" spans="24:28" x14ac:dyDescent="0.35">
      <c r="X564"/>
      <c r="Y564"/>
      <c r="Z564"/>
      <c r="AA564"/>
      <c r="AB564"/>
    </row>
    <row r="565" spans="24:28" x14ac:dyDescent="0.35">
      <c r="X565"/>
      <c r="Y565"/>
      <c r="Z565"/>
      <c r="AA565"/>
      <c r="AB565"/>
    </row>
    <row r="566" spans="24:28" x14ac:dyDescent="0.35">
      <c r="X566"/>
      <c r="Y566"/>
      <c r="Z566"/>
      <c r="AA566"/>
      <c r="AB566"/>
    </row>
    <row r="567" spans="24:28" x14ac:dyDescent="0.35">
      <c r="X567"/>
      <c r="Y567"/>
      <c r="Z567"/>
      <c r="AA567"/>
      <c r="AB567"/>
    </row>
    <row r="568" spans="24:28" x14ac:dyDescent="0.35">
      <c r="X568"/>
      <c r="Y568"/>
      <c r="Z568"/>
      <c r="AA568"/>
      <c r="AB568"/>
    </row>
    <row r="569" spans="24:28" x14ac:dyDescent="0.35">
      <c r="X569"/>
      <c r="Y569"/>
      <c r="Z569"/>
      <c r="AA569"/>
      <c r="AB569"/>
    </row>
    <row r="570" spans="24:28" x14ac:dyDescent="0.35">
      <c r="X570"/>
      <c r="Y570"/>
      <c r="Z570"/>
      <c r="AA570"/>
      <c r="AB570"/>
    </row>
    <row r="571" spans="24:28" x14ac:dyDescent="0.35">
      <c r="X571"/>
      <c r="Y571"/>
      <c r="Z571"/>
      <c r="AA571"/>
      <c r="AB571"/>
    </row>
    <row r="572" spans="24:28" x14ac:dyDescent="0.35">
      <c r="X572"/>
      <c r="Y572"/>
      <c r="Z572"/>
      <c r="AA572"/>
      <c r="AB572"/>
    </row>
    <row r="573" spans="24:28" x14ac:dyDescent="0.35">
      <c r="X573"/>
      <c r="Y573"/>
      <c r="Z573"/>
      <c r="AA573"/>
      <c r="AB573"/>
    </row>
    <row r="574" spans="24:28" x14ac:dyDescent="0.35">
      <c r="X574"/>
      <c r="Y574"/>
      <c r="Z574"/>
      <c r="AA574"/>
      <c r="AB574"/>
    </row>
    <row r="575" spans="24:28" x14ac:dyDescent="0.35">
      <c r="X575"/>
      <c r="Y575"/>
      <c r="Z575"/>
      <c r="AA575"/>
      <c r="AB575"/>
    </row>
    <row r="576" spans="24:28" x14ac:dyDescent="0.35">
      <c r="X576"/>
      <c r="Y576"/>
      <c r="Z576"/>
      <c r="AA576"/>
      <c r="AB576"/>
    </row>
    <row r="577" spans="24:28" x14ac:dyDescent="0.35">
      <c r="X577"/>
      <c r="Y577"/>
      <c r="Z577"/>
      <c r="AA577"/>
      <c r="AB577"/>
    </row>
    <row r="578" spans="24:28" x14ac:dyDescent="0.35">
      <c r="X578"/>
      <c r="Y578"/>
      <c r="Z578"/>
      <c r="AA578"/>
      <c r="AB578"/>
    </row>
    <row r="579" spans="24:28" x14ac:dyDescent="0.35">
      <c r="X579"/>
      <c r="Y579"/>
      <c r="Z579"/>
      <c r="AA579"/>
      <c r="AB579"/>
    </row>
    <row r="580" spans="24:28" x14ac:dyDescent="0.35">
      <c r="X580"/>
      <c r="Y580"/>
      <c r="Z580"/>
      <c r="AA580"/>
      <c r="AB580"/>
    </row>
    <row r="581" spans="24:28" x14ac:dyDescent="0.35">
      <c r="X581"/>
      <c r="Y581"/>
      <c r="Z581"/>
      <c r="AA581"/>
      <c r="AB581"/>
    </row>
    <row r="582" spans="24:28" x14ac:dyDescent="0.35">
      <c r="X582"/>
      <c r="Y582"/>
      <c r="Z582"/>
      <c r="AA582"/>
      <c r="AB582"/>
    </row>
    <row r="583" spans="24:28" x14ac:dyDescent="0.35">
      <c r="X583"/>
      <c r="Y583"/>
      <c r="Z583"/>
      <c r="AA583"/>
      <c r="AB583"/>
    </row>
    <row r="584" spans="24:28" x14ac:dyDescent="0.35">
      <c r="X584"/>
      <c r="Y584"/>
      <c r="Z584"/>
      <c r="AA584"/>
      <c r="AB584"/>
    </row>
    <row r="585" spans="24:28" x14ac:dyDescent="0.35">
      <c r="X585"/>
      <c r="Y585"/>
      <c r="Z585"/>
      <c r="AA585"/>
      <c r="AB585"/>
    </row>
    <row r="586" spans="24:28" x14ac:dyDescent="0.35">
      <c r="X586"/>
      <c r="Y586"/>
      <c r="Z586"/>
      <c r="AA586"/>
      <c r="AB586"/>
    </row>
    <row r="587" spans="24:28" x14ac:dyDescent="0.35">
      <c r="X587"/>
      <c r="Y587"/>
      <c r="Z587"/>
      <c r="AA587"/>
      <c r="AB587"/>
    </row>
    <row r="588" spans="24:28" x14ac:dyDescent="0.35">
      <c r="X588"/>
      <c r="Y588"/>
      <c r="Z588"/>
      <c r="AA588"/>
      <c r="AB588"/>
    </row>
    <row r="589" spans="24:28" x14ac:dyDescent="0.35">
      <c r="X589"/>
      <c r="Y589"/>
      <c r="Z589"/>
      <c r="AA589"/>
      <c r="AB589"/>
    </row>
    <row r="590" spans="24:28" x14ac:dyDescent="0.35">
      <c r="X590"/>
      <c r="Y590"/>
      <c r="Z590"/>
      <c r="AA590"/>
      <c r="AB590"/>
    </row>
    <row r="591" spans="24:28" x14ac:dyDescent="0.35">
      <c r="X591"/>
      <c r="Y591"/>
      <c r="Z591"/>
      <c r="AA591"/>
      <c r="AB591"/>
    </row>
    <row r="592" spans="24:28" x14ac:dyDescent="0.35">
      <c r="X592"/>
      <c r="Y592"/>
      <c r="Z592"/>
      <c r="AA592"/>
      <c r="AB592"/>
    </row>
    <row r="593" spans="24:28" x14ac:dyDescent="0.35">
      <c r="X593"/>
      <c r="Y593"/>
      <c r="Z593"/>
      <c r="AA593"/>
      <c r="AB593"/>
    </row>
    <row r="594" spans="24:28" x14ac:dyDescent="0.35">
      <c r="X594"/>
      <c r="Y594"/>
      <c r="Z594"/>
      <c r="AA594"/>
      <c r="AB594"/>
    </row>
    <row r="595" spans="24:28" x14ac:dyDescent="0.35">
      <c r="X595"/>
      <c r="Y595"/>
      <c r="Z595"/>
      <c r="AA595"/>
      <c r="AB595"/>
    </row>
    <row r="596" spans="24:28" x14ac:dyDescent="0.35">
      <c r="X596"/>
      <c r="Y596"/>
      <c r="Z596"/>
      <c r="AA596"/>
      <c r="AB596"/>
    </row>
    <row r="597" spans="24:28" x14ac:dyDescent="0.35">
      <c r="X597"/>
      <c r="Y597"/>
      <c r="Z597"/>
      <c r="AA597"/>
      <c r="AB597"/>
    </row>
    <row r="598" spans="24:28" x14ac:dyDescent="0.35">
      <c r="X598"/>
      <c r="Y598"/>
      <c r="Z598"/>
      <c r="AA598"/>
      <c r="AB598"/>
    </row>
    <row r="599" spans="24:28" x14ac:dyDescent="0.35">
      <c r="X599"/>
      <c r="Y599"/>
      <c r="Z599"/>
      <c r="AA599"/>
      <c r="AB599"/>
    </row>
    <row r="600" spans="24:28" x14ac:dyDescent="0.35">
      <c r="X600"/>
      <c r="Y600"/>
      <c r="Z600"/>
      <c r="AA600"/>
      <c r="AB600"/>
    </row>
    <row r="601" spans="24:28" x14ac:dyDescent="0.35">
      <c r="X601"/>
      <c r="Y601"/>
      <c r="Z601"/>
      <c r="AA601"/>
      <c r="AB601"/>
    </row>
    <row r="602" spans="24:28" x14ac:dyDescent="0.35">
      <c r="X602"/>
      <c r="Y602"/>
      <c r="Z602"/>
      <c r="AA602"/>
      <c r="AB602"/>
    </row>
    <row r="603" spans="24:28" x14ac:dyDescent="0.35">
      <c r="X603"/>
      <c r="Y603"/>
      <c r="Z603"/>
      <c r="AA603"/>
      <c r="AB603"/>
    </row>
    <row r="604" spans="24:28" x14ac:dyDescent="0.35">
      <c r="X604"/>
      <c r="Y604"/>
      <c r="Z604"/>
      <c r="AA604"/>
      <c r="AB604"/>
    </row>
    <row r="605" spans="24:28" x14ac:dyDescent="0.35">
      <c r="X605"/>
      <c r="Y605"/>
      <c r="Z605"/>
      <c r="AA605"/>
      <c r="AB605"/>
    </row>
    <row r="606" spans="24:28" x14ac:dyDescent="0.35">
      <c r="X606"/>
      <c r="Y606"/>
      <c r="Z606"/>
      <c r="AA606"/>
      <c r="AB606"/>
    </row>
    <row r="607" spans="24:28" x14ac:dyDescent="0.35">
      <c r="X607"/>
      <c r="Y607"/>
      <c r="Z607"/>
      <c r="AA607"/>
      <c r="AB607"/>
    </row>
    <row r="608" spans="24:28" x14ac:dyDescent="0.35">
      <c r="X608"/>
      <c r="Y608"/>
      <c r="Z608"/>
      <c r="AA608"/>
      <c r="AB608"/>
    </row>
    <row r="609" spans="24:28" x14ac:dyDescent="0.35">
      <c r="X609"/>
      <c r="Y609"/>
      <c r="Z609"/>
      <c r="AA609"/>
      <c r="AB609"/>
    </row>
    <row r="610" spans="24:28" x14ac:dyDescent="0.35">
      <c r="X610"/>
      <c r="Y610"/>
      <c r="Z610"/>
      <c r="AA610"/>
      <c r="AB610"/>
    </row>
    <row r="611" spans="24:28" x14ac:dyDescent="0.35">
      <c r="X611"/>
      <c r="Y611"/>
      <c r="Z611"/>
      <c r="AA611"/>
      <c r="AB611"/>
    </row>
    <row r="612" spans="24:28" x14ac:dyDescent="0.35">
      <c r="X612"/>
      <c r="Y612"/>
      <c r="Z612"/>
      <c r="AA612"/>
      <c r="AB612"/>
    </row>
    <row r="613" spans="24:28" x14ac:dyDescent="0.35">
      <c r="X613"/>
      <c r="Y613"/>
      <c r="Z613"/>
      <c r="AA613"/>
      <c r="AB613"/>
    </row>
    <row r="614" spans="24:28" x14ac:dyDescent="0.35">
      <c r="X614"/>
      <c r="Y614"/>
      <c r="Z614"/>
      <c r="AA614"/>
      <c r="AB614"/>
    </row>
    <row r="615" spans="24:28" x14ac:dyDescent="0.35">
      <c r="X615"/>
      <c r="Y615"/>
      <c r="Z615"/>
      <c r="AA615"/>
      <c r="AB615"/>
    </row>
    <row r="616" spans="24:28" x14ac:dyDescent="0.35">
      <c r="X616"/>
      <c r="Y616"/>
      <c r="Z616"/>
      <c r="AA616"/>
      <c r="AB616"/>
    </row>
    <row r="617" spans="24:28" x14ac:dyDescent="0.35">
      <c r="X617"/>
      <c r="Y617"/>
      <c r="Z617"/>
      <c r="AA617"/>
      <c r="AB617"/>
    </row>
    <row r="618" spans="24:28" x14ac:dyDescent="0.35">
      <c r="X618"/>
      <c r="Y618"/>
      <c r="Z618"/>
      <c r="AA618"/>
      <c r="AB618"/>
    </row>
    <row r="619" spans="24:28" x14ac:dyDescent="0.35">
      <c r="X619"/>
      <c r="Y619"/>
      <c r="Z619"/>
      <c r="AA619"/>
      <c r="AB619"/>
    </row>
    <row r="620" spans="24:28" x14ac:dyDescent="0.35">
      <c r="X620"/>
      <c r="Y620"/>
      <c r="Z620"/>
      <c r="AA620"/>
      <c r="AB620"/>
    </row>
    <row r="621" spans="24:28" x14ac:dyDescent="0.35">
      <c r="X621"/>
      <c r="Y621"/>
      <c r="Z621"/>
      <c r="AA621"/>
      <c r="AB621"/>
    </row>
    <row r="622" spans="24:28" x14ac:dyDescent="0.35">
      <c r="X622"/>
      <c r="Y622"/>
      <c r="Z622"/>
      <c r="AA622"/>
      <c r="AB622"/>
    </row>
    <row r="623" spans="24:28" x14ac:dyDescent="0.35">
      <c r="X623"/>
      <c r="Y623"/>
      <c r="Z623"/>
      <c r="AA623"/>
      <c r="AB623"/>
    </row>
    <row r="624" spans="24:28" x14ac:dyDescent="0.35">
      <c r="X624"/>
      <c r="Y624"/>
      <c r="Z624"/>
      <c r="AA624"/>
      <c r="AB624"/>
    </row>
    <row r="625" spans="24:28" x14ac:dyDescent="0.35">
      <c r="X625"/>
      <c r="Y625"/>
      <c r="Z625"/>
      <c r="AA625"/>
      <c r="AB625"/>
    </row>
    <row r="626" spans="24:28" x14ac:dyDescent="0.35">
      <c r="X626"/>
      <c r="Y626"/>
      <c r="Z626"/>
      <c r="AA626"/>
      <c r="AB626"/>
    </row>
    <row r="627" spans="24:28" x14ac:dyDescent="0.35">
      <c r="X627"/>
      <c r="Y627"/>
      <c r="Z627"/>
      <c r="AA627"/>
      <c r="AB627"/>
    </row>
    <row r="628" spans="24:28" x14ac:dyDescent="0.35">
      <c r="X628"/>
      <c r="Y628"/>
      <c r="Z628"/>
      <c r="AA628"/>
      <c r="AB628"/>
    </row>
    <row r="629" spans="24:28" x14ac:dyDescent="0.35">
      <c r="X629"/>
      <c r="Y629"/>
      <c r="Z629"/>
      <c r="AA629"/>
      <c r="AB629"/>
    </row>
    <row r="630" spans="24:28" x14ac:dyDescent="0.35">
      <c r="X630"/>
      <c r="Y630"/>
      <c r="Z630"/>
      <c r="AA630"/>
      <c r="AB630"/>
    </row>
    <row r="631" spans="24:28" x14ac:dyDescent="0.35">
      <c r="X631"/>
      <c r="Y631"/>
      <c r="Z631"/>
      <c r="AA631"/>
      <c r="AB631"/>
    </row>
    <row r="632" spans="24:28" x14ac:dyDescent="0.35">
      <c r="X632"/>
      <c r="Y632"/>
      <c r="Z632"/>
      <c r="AA632"/>
      <c r="AB632"/>
    </row>
    <row r="633" spans="24:28" x14ac:dyDescent="0.35">
      <c r="X633"/>
      <c r="Y633"/>
      <c r="Z633"/>
      <c r="AA633"/>
      <c r="AB633"/>
    </row>
    <row r="634" spans="24:28" x14ac:dyDescent="0.35">
      <c r="X634"/>
      <c r="Y634"/>
      <c r="Z634"/>
      <c r="AA634"/>
      <c r="AB634"/>
    </row>
    <row r="635" spans="24:28" x14ac:dyDescent="0.35">
      <c r="X635"/>
      <c r="Y635"/>
      <c r="Z635"/>
      <c r="AA635"/>
      <c r="AB635"/>
    </row>
    <row r="636" spans="24:28" x14ac:dyDescent="0.35">
      <c r="X636"/>
      <c r="Y636"/>
      <c r="Z636"/>
      <c r="AA636"/>
      <c r="AB636"/>
    </row>
    <row r="637" spans="24:28" x14ac:dyDescent="0.35">
      <c r="X637"/>
      <c r="Y637"/>
      <c r="Z637"/>
      <c r="AA637"/>
      <c r="AB637"/>
    </row>
    <row r="638" spans="24:28" x14ac:dyDescent="0.35">
      <c r="X638"/>
      <c r="Y638"/>
      <c r="Z638"/>
      <c r="AA638"/>
      <c r="AB638"/>
    </row>
    <row r="639" spans="24:28" x14ac:dyDescent="0.35">
      <c r="X639"/>
      <c r="Y639"/>
      <c r="Z639"/>
      <c r="AA639"/>
      <c r="AB639"/>
    </row>
    <row r="640" spans="24:28" x14ac:dyDescent="0.35">
      <c r="X640"/>
      <c r="Y640"/>
      <c r="Z640"/>
      <c r="AA640"/>
      <c r="AB640"/>
    </row>
    <row r="641" spans="24:28" x14ac:dyDescent="0.35">
      <c r="X641"/>
      <c r="Y641"/>
      <c r="Z641"/>
      <c r="AA641"/>
      <c r="AB641"/>
    </row>
    <row r="642" spans="24:28" x14ac:dyDescent="0.35">
      <c r="X642"/>
      <c r="Y642"/>
      <c r="Z642"/>
      <c r="AA642"/>
      <c r="AB642"/>
    </row>
    <row r="643" spans="24:28" x14ac:dyDescent="0.35">
      <c r="X643"/>
      <c r="Y643"/>
      <c r="Z643"/>
      <c r="AA643"/>
      <c r="AB643"/>
    </row>
    <row r="644" spans="24:28" x14ac:dyDescent="0.35">
      <c r="X644"/>
      <c r="Y644"/>
      <c r="Z644"/>
      <c r="AA644"/>
      <c r="AB644"/>
    </row>
    <row r="645" spans="24:28" x14ac:dyDescent="0.35">
      <c r="X645"/>
      <c r="Y645"/>
      <c r="Z645"/>
      <c r="AA645"/>
      <c r="AB645"/>
    </row>
    <row r="646" spans="24:28" x14ac:dyDescent="0.35">
      <c r="X646"/>
      <c r="Y646"/>
      <c r="Z646"/>
      <c r="AA646"/>
      <c r="AB646"/>
    </row>
    <row r="647" spans="24:28" x14ac:dyDescent="0.35">
      <c r="X647"/>
      <c r="Y647"/>
      <c r="Z647"/>
      <c r="AA647"/>
      <c r="AB647"/>
    </row>
    <row r="648" spans="24:28" x14ac:dyDescent="0.35">
      <c r="X648"/>
      <c r="Y648"/>
      <c r="Z648"/>
      <c r="AA648"/>
      <c r="AB648"/>
    </row>
    <row r="649" spans="24:28" x14ac:dyDescent="0.35">
      <c r="X649"/>
      <c r="Y649"/>
      <c r="Z649"/>
      <c r="AA649"/>
      <c r="AB649"/>
    </row>
    <row r="650" spans="24:28" x14ac:dyDescent="0.35">
      <c r="X650"/>
      <c r="Y650"/>
      <c r="Z650"/>
      <c r="AA650"/>
      <c r="AB650"/>
    </row>
    <row r="651" spans="24:28" x14ac:dyDescent="0.35">
      <c r="X651"/>
      <c r="Y651"/>
      <c r="Z651"/>
      <c r="AA651"/>
      <c r="AB651"/>
    </row>
    <row r="652" spans="24:28" x14ac:dyDescent="0.35">
      <c r="X652"/>
      <c r="Y652"/>
      <c r="Z652"/>
      <c r="AA652"/>
      <c r="AB652"/>
    </row>
    <row r="653" spans="24:28" x14ac:dyDescent="0.35">
      <c r="X653"/>
      <c r="Y653"/>
      <c r="Z653"/>
      <c r="AA653"/>
      <c r="AB653"/>
    </row>
    <row r="654" spans="24:28" x14ac:dyDescent="0.35">
      <c r="X654"/>
      <c r="Y654"/>
      <c r="Z654"/>
      <c r="AA654"/>
      <c r="AB654"/>
    </row>
    <row r="655" spans="24:28" x14ac:dyDescent="0.35">
      <c r="X655"/>
      <c r="Y655"/>
      <c r="Z655"/>
      <c r="AA655"/>
      <c r="AB655"/>
    </row>
    <row r="656" spans="24:28" x14ac:dyDescent="0.35">
      <c r="X656"/>
      <c r="Y656"/>
      <c r="Z656"/>
      <c r="AA656"/>
      <c r="AB656"/>
    </row>
    <row r="657" spans="24:28" x14ac:dyDescent="0.35">
      <c r="X657"/>
      <c r="Y657"/>
      <c r="Z657"/>
      <c r="AA657"/>
      <c r="AB657"/>
    </row>
    <row r="658" spans="24:28" x14ac:dyDescent="0.35">
      <c r="X658"/>
      <c r="Y658"/>
      <c r="Z658"/>
      <c r="AA658"/>
      <c r="AB658"/>
    </row>
    <row r="659" spans="24:28" x14ac:dyDescent="0.35">
      <c r="X659"/>
      <c r="Y659"/>
      <c r="Z659"/>
      <c r="AA659"/>
      <c r="AB659"/>
    </row>
    <row r="660" spans="24:28" x14ac:dyDescent="0.35">
      <c r="X660"/>
      <c r="Y660"/>
      <c r="Z660"/>
      <c r="AA660"/>
      <c r="AB660"/>
    </row>
    <row r="661" spans="24:28" x14ac:dyDescent="0.35">
      <c r="X661"/>
      <c r="Y661"/>
      <c r="Z661"/>
      <c r="AA661"/>
      <c r="AB661"/>
    </row>
    <row r="662" spans="24:28" x14ac:dyDescent="0.35">
      <c r="X662"/>
      <c r="Y662"/>
      <c r="Z662"/>
      <c r="AA662"/>
      <c r="AB662"/>
    </row>
    <row r="663" spans="24:28" x14ac:dyDescent="0.35">
      <c r="X663"/>
      <c r="Y663"/>
      <c r="Z663"/>
      <c r="AA663"/>
      <c r="AB663"/>
    </row>
    <row r="664" spans="24:28" x14ac:dyDescent="0.35">
      <c r="X664"/>
      <c r="Y664"/>
      <c r="Z664"/>
      <c r="AA664"/>
      <c r="AB664"/>
    </row>
    <row r="665" spans="24:28" x14ac:dyDescent="0.35">
      <c r="X665"/>
      <c r="Y665"/>
      <c r="Z665"/>
      <c r="AA665"/>
      <c r="AB665"/>
    </row>
    <row r="666" spans="24:28" x14ac:dyDescent="0.35">
      <c r="X666"/>
      <c r="Y666"/>
      <c r="Z666"/>
      <c r="AA666"/>
      <c r="AB666"/>
    </row>
    <row r="667" spans="24:28" x14ac:dyDescent="0.35">
      <c r="X667"/>
      <c r="Y667"/>
      <c r="Z667"/>
      <c r="AA667"/>
      <c r="AB667"/>
    </row>
    <row r="668" spans="24:28" x14ac:dyDescent="0.35">
      <c r="X668"/>
      <c r="Y668"/>
      <c r="Z668"/>
      <c r="AA668"/>
      <c r="AB668"/>
    </row>
    <row r="669" spans="24:28" x14ac:dyDescent="0.35">
      <c r="X669"/>
      <c r="Y669"/>
      <c r="Z669"/>
      <c r="AA669"/>
      <c r="AB669"/>
    </row>
    <row r="670" spans="24:28" x14ac:dyDescent="0.35">
      <c r="X670"/>
      <c r="Y670"/>
      <c r="Z670"/>
      <c r="AA670"/>
      <c r="AB670"/>
    </row>
    <row r="671" spans="24:28" x14ac:dyDescent="0.35">
      <c r="X671"/>
      <c r="Y671"/>
      <c r="Z671"/>
      <c r="AA671"/>
      <c r="AB671"/>
    </row>
    <row r="672" spans="24:28" x14ac:dyDescent="0.35">
      <c r="X672"/>
      <c r="Y672"/>
      <c r="Z672"/>
      <c r="AA672"/>
      <c r="AB672"/>
    </row>
    <row r="673" spans="24:28" x14ac:dyDescent="0.35">
      <c r="X673"/>
      <c r="Y673"/>
      <c r="Z673"/>
      <c r="AA673"/>
      <c r="AB673"/>
    </row>
    <row r="674" spans="24:28" x14ac:dyDescent="0.35">
      <c r="X674"/>
      <c r="Y674"/>
      <c r="Z674"/>
      <c r="AA674"/>
      <c r="AB674"/>
    </row>
    <row r="675" spans="24:28" x14ac:dyDescent="0.35">
      <c r="X675"/>
      <c r="Y675"/>
      <c r="Z675"/>
      <c r="AA675"/>
      <c r="AB675"/>
    </row>
    <row r="676" spans="24:28" x14ac:dyDescent="0.35">
      <c r="X676"/>
      <c r="Y676"/>
      <c r="Z676"/>
      <c r="AA676"/>
      <c r="AB676"/>
    </row>
    <row r="677" spans="24:28" x14ac:dyDescent="0.35">
      <c r="X677"/>
      <c r="Y677"/>
      <c r="Z677"/>
      <c r="AA677"/>
      <c r="AB677"/>
    </row>
    <row r="678" spans="24:28" x14ac:dyDescent="0.35">
      <c r="X678"/>
      <c r="Y678"/>
      <c r="Z678"/>
      <c r="AA678"/>
      <c r="AB678"/>
    </row>
    <row r="679" spans="24:28" x14ac:dyDescent="0.35">
      <c r="X679"/>
      <c r="Y679"/>
      <c r="Z679"/>
      <c r="AA679"/>
      <c r="AB679"/>
    </row>
    <row r="680" spans="24:28" x14ac:dyDescent="0.35">
      <c r="X680"/>
      <c r="Y680"/>
      <c r="Z680"/>
      <c r="AA680"/>
      <c r="AB680"/>
    </row>
    <row r="681" spans="24:28" x14ac:dyDescent="0.35">
      <c r="X681"/>
      <c r="Y681"/>
      <c r="Z681"/>
      <c r="AA681"/>
      <c r="AB681"/>
    </row>
    <row r="682" spans="24:28" x14ac:dyDescent="0.35">
      <c r="X682"/>
      <c r="Y682"/>
      <c r="Z682"/>
      <c r="AA682"/>
      <c r="AB682"/>
    </row>
    <row r="683" spans="24:28" x14ac:dyDescent="0.35">
      <c r="X683"/>
      <c r="Y683"/>
      <c r="Z683"/>
      <c r="AA683"/>
      <c r="AB683"/>
    </row>
    <row r="684" spans="24:28" x14ac:dyDescent="0.35">
      <c r="X684"/>
      <c r="Y684"/>
      <c r="Z684"/>
      <c r="AA684"/>
      <c r="AB684"/>
    </row>
    <row r="685" spans="24:28" x14ac:dyDescent="0.35">
      <c r="X685"/>
      <c r="Y685"/>
      <c r="Z685"/>
      <c r="AA685"/>
      <c r="AB685"/>
    </row>
    <row r="686" spans="24:28" x14ac:dyDescent="0.35">
      <c r="X686"/>
      <c r="Y686"/>
      <c r="Z686"/>
      <c r="AA686"/>
      <c r="AB686"/>
    </row>
    <row r="687" spans="24:28" x14ac:dyDescent="0.35">
      <c r="X687"/>
      <c r="Y687"/>
      <c r="Z687"/>
      <c r="AA687"/>
      <c r="AB687"/>
    </row>
    <row r="688" spans="24:28" x14ac:dyDescent="0.35">
      <c r="X688"/>
      <c r="Y688"/>
      <c r="Z688"/>
      <c r="AA688"/>
      <c r="AB688"/>
    </row>
    <row r="689" spans="24:28" x14ac:dyDescent="0.35">
      <c r="X689"/>
      <c r="Y689"/>
      <c r="Z689"/>
      <c r="AA689"/>
      <c r="AB689"/>
    </row>
    <row r="690" spans="24:28" x14ac:dyDescent="0.35">
      <c r="X690"/>
      <c r="Y690"/>
      <c r="Z690"/>
      <c r="AA690"/>
      <c r="AB690"/>
    </row>
    <row r="691" spans="24:28" x14ac:dyDescent="0.35">
      <c r="X691"/>
      <c r="Y691"/>
      <c r="Z691"/>
      <c r="AA691"/>
      <c r="AB691"/>
    </row>
    <row r="692" spans="24:28" x14ac:dyDescent="0.35">
      <c r="X692"/>
      <c r="Y692"/>
      <c r="Z692"/>
      <c r="AA692"/>
      <c r="AB692"/>
    </row>
    <row r="693" spans="24:28" x14ac:dyDescent="0.35">
      <c r="X693"/>
      <c r="Y693"/>
      <c r="Z693"/>
      <c r="AA693"/>
      <c r="AB693"/>
    </row>
    <row r="694" spans="24:28" x14ac:dyDescent="0.35">
      <c r="X694"/>
      <c r="Y694"/>
      <c r="Z694"/>
      <c r="AA694"/>
      <c r="AB694"/>
    </row>
    <row r="695" spans="24:28" x14ac:dyDescent="0.35">
      <c r="X695"/>
      <c r="Y695"/>
      <c r="Z695"/>
      <c r="AA695"/>
      <c r="AB695"/>
    </row>
    <row r="696" spans="24:28" x14ac:dyDescent="0.35">
      <c r="X696"/>
      <c r="Y696"/>
      <c r="Z696"/>
      <c r="AA696"/>
      <c r="AB696"/>
    </row>
    <row r="697" spans="24:28" x14ac:dyDescent="0.35">
      <c r="X697"/>
      <c r="Y697"/>
      <c r="Z697"/>
      <c r="AA697"/>
      <c r="AB697"/>
    </row>
    <row r="698" spans="24:28" x14ac:dyDescent="0.35">
      <c r="X698"/>
      <c r="Y698"/>
      <c r="Z698"/>
      <c r="AA698"/>
      <c r="AB698"/>
    </row>
    <row r="699" spans="24:28" x14ac:dyDescent="0.35">
      <c r="X699"/>
      <c r="Y699"/>
      <c r="Z699"/>
      <c r="AA699"/>
      <c r="AB699"/>
    </row>
    <row r="700" spans="24:28" x14ac:dyDescent="0.35">
      <c r="X700"/>
      <c r="Y700"/>
      <c r="Z700"/>
      <c r="AA700"/>
      <c r="AB700"/>
    </row>
    <row r="701" spans="24:28" x14ac:dyDescent="0.35">
      <c r="X701"/>
      <c r="Y701"/>
      <c r="Z701"/>
      <c r="AA701"/>
      <c r="AB701"/>
    </row>
    <row r="702" spans="24:28" x14ac:dyDescent="0.35">
      <c r="X702"/>
      <c r="Y702"/>
      <c r="Z702"/>
      <c r="AA702"/>
      <c r="AB702"/>
    </row>
    <row r="703" spans="24:28" x14ac:dyDescent="0.35">
      <c r="X703"/>
      <c r="Y703"/>
      <c r="Z703"/>
      <c r="AA703"/>
      <c r="AB703"/>
    </row>
    <row r="704" spans="24:28" x14ac:dyDescent="0.35">
      <c r="X704"/>
      <c r="Y704"/>
      <c r="Z704"/>
      <c r="AA704"/>
      <c r="AB704"/>
    </row>
    <row r="705" spans="24:28" x14ac:dyDescent="0.35">
      <c r="X705"/>
      <c r="Y705"/>
      <c r="Z705"/>
      <c r="AA705"/>
      <c r="AB705"/>
    </row>
    <row r="706" spans="24:28" x14ac:dyDescent="0.35">
      <c r="X706"/>
      <c r="Y706"/>
      <c r="Z706"/>
      <c r="AA706"/>
      <c r="AB706"/>
    </row>
    <row r="707" spans="24:28" x14ac:dyDescent="0.35">
      <c r="X707"/>
      <c r="Y707"/>
      <c r="Z707"/>
      <c r="AA707"/>
      <c r="AB707"/>
    </row>
    <row r="708" spans="24:28" x14ac:dyDescent="0.35">
      <c r="X708"/>
      <c r="Y708"/>
      <c r="Z708"/>
      <c r="AA708"/>
      <c r="AB708"/>
    </row>
    <row r="709" spans="24:28" x14ac:dyDescent="0.35">
      <c r="X709"/>
      <c r="Y709"/>
      <c r="Z709"/>
      <c r="AA709"/>
      <c r="AB709"/>
    </row>
    <row r="710" spans="24:28" x14ac:dyDescent="0.35">
      <c r="X710"/>
      <c r="Y710"/>
      <c r="Z710"/>
      <c r="AA710"/>
      <c r="AB710"/>
    </row>
    <row r="711" spans="24:28" x14ac:dyDescent="0.35">
      <c r="X711"/>
      <c r="Y711"/>
      <c r="Z711"/>
      <c r="AA711"/>
      <c r="AB711"/>
    </row>
    <row r="712" spans="24:28" x14ac:dyDescent="0.35">
      <c r="X712"/>
      <c r="Y712"/>
      <c r="Z712"/>
      <c r="AA712"/>
      <c r="AB712"/>
    </row>
    <row r="713" spans="24:28" x14ac:dyDescent="0.35">
      <c r="X713"/>
      <c r="Y713"/>
      <c r="Z713"/>
      <c r="AA713"/>
      <c r="AB713"/>
    </row>
    <row r="714" spans="24:28" x14ac:dyDescent="0.35">
      <c r="X714"/>
      <c r="Y714"/>
      <c r="Z714"/>
      <c r="AA714"/>
      <c r="AB714"/>
    </row>
    <row r="715" spans="24:28" x14ac:dyDescent="0.35">
      <c r="X715"/>
      <c r="Y715"/>
      <c r="Z715"/>
      <c r="AA715"/>
      <c r="AB715"/>
    </row>
    <row r="716" spans="24:28" x14ac:dyDescent="0.35">
      <c r="X716"/>
      <c r="Y716"/>
      <c r="Z716"/>
      <c r="AA716"/>
      <c r="AB716"/>
    </row>
    <row r="717" spans="24:28" x14ac:dyDescent="0.35">
      <c r="X717"/>
      <c r="Y717"/>
      <c r="Z717"/>
      <c r="AA717"/>
      <c r="AB717"/>
    </row>
    <row r="718" spans="24:28" x14ac:dyDescent="0.35">
      <c r="X718"/>
      <c r="Y718"/>
      <c r="Z718"/>
      <c r="AA718"/>
      <c r="AB718"/>
    </row>
    <row r="719" spans="24:28" x14ac:dyDescent="0.35">
      <c r="X719"/>
      <c r="Y719"/>
      <c r="Z719"/>
      <c r="AA719"/>
      <c r="AB719"/>
    </row>
    <row r="720" spans="24:28" x14ac:dyDescent="0.35">
      <c r="X720"/>
      <c r="Y720"/>
      <c r="Z720"/>
      <c r="AA720"/>
      <c r="AB720"/>
    </row>
    <row r="721" spans="24:28" x14ac:dyDescent="0.35">
      <c r="X721"/>
      <c r="Y721"/>
      <c r="Z721"/>
      <c r="AA721"/>
      <c r="AB721"/>
    </row>
    <row r="722" spans="24:28" x14ac:dyDescent="0.35">
      <c r="X722"/>
      <c r="Y722"/>
      <c r="Z722"/>
      <c r="AA722"/>
      <c r="AB722"/>
    </row>
    <row r="723" spans="24:28" x14ac:dyDescent="0.35">
      <c r="X723"/>
      <c r="Y723"/>
      <c r="Z723"/>
      <c r="AA723"/>
      <c r="AB723"/>
    </row>
    <row r="724" spans="24:28" x14ac:dyDescent="0.35">
      <c r="X724"/>
      <c r="Y724"/>
      <c r="Z724"/>
      <c r="AA724"/>
      <c r="AB724"/>
    </row>
    <row r="725" spans="24:28" x14ac:dyDescent="0.35">
      <c r="X725"/>
      <c r="Y725"/>
      <c r="Z725"/>
      <c r="AA725"/>
      <c r="AB725"/>
    </row>
    <row r="726" spans="24:28" x14ac:dyDescent="0.35">
      <c r="X726"/>
      <c r="Y726"/>
      <c r="Z726"/>
      <c r="AA726"/>
      <c r="AB726"/>
    </row>
    <row r="727" spans="24:28" x14ac:dyDescent="0.35">
      <c r="X727"/>
      <c r="Y727"/>
      <c r="Z727"/>
      <c r="AA727"/>
      <c r="AB727"/>
    </row>
    <row r="728" spans="24:28" x14ac:dyDescent="0.35">
      <c r="X728"/>
      <c r="Y728"/>
      <c r="Z728"/>
      <c r="AA728"/>
      <c r="AB728"/>
    </row>
    <row r="729" spans="24:28" x14ac:dyDescent="0.35">
      <c r="X729"/>
      <c r="Y729"/>
      <c r="Z729"/>
      <c r="AA729"/>
      <c r="AB729"/>
    </row>
    <row r="730" spans="24:28" x14ac:dyDescent="0.35">
      <c r="X730"/>
      <c r="Y730"/>
      <c r="Z730"/>
      <c r="AA730"/>
      <c r="AB730"/>
    </row>
    <row r="731" spans="24:28" x14ac:dyDescent="0.35">
      <c r="X731"/>
      <c r="Y731"/>
      <c r="Z731"/>
      <c r="AA731"/>
      <c r="AB731"/>
    </row>
    <row r="732" spans="24:28" x14ac:dyDescent="0.35">
      <c r="X732"/>
      <c r="Y732"/>
      <c r="Z732"/>
      <c r="AA732"/>
      <c r="AB732"/>
    </row>
    <row r="733" spans="24:28" x14ac:dyDescent="0.35">
      <c r="X733"/>
      <c r="Y733"/>
      <c r="Z733"/>
      <c r="AA733"/>
      <c r="AB733"/>
    </row>
    <row r="734" spans="24:28" x14ac:dyDescent="0.35">
      <c r="X734"/>
      <c r="Y734"/>
      <c r="Z734"/>
      <c r="AA734"/>
      <c r="AB734"/>
    </row>
    <row r="735" spans="24:28" x14ac:dyDescent="0.35">
      <c r="X735"/>
      <c r="Y735"/>
      <c r="Z735"/>
      <c r="AA735"/>
      <c r="AB735"/>
    </row>
    <row r="736" spans="24:28" x14ac:dyDescent="0.35">
      <c r="X736"/>
      <c r="Y736"/>
      <c r="Z736"/>
      <c r="AA736"/>
      <c r="AB736"/>
    </row>
    <row r="737" spans="24:28" x14ac:dyDescent="0.35">
      <c r="X737"/>
      <c r="Y737"/>
      <c r="Z737"/>
      <c r="AA737"/>
      <c r="AB737"/>
    </row>
    <row r="738" spans="24:28" x14ac:dyDescent="0.35">
      <c r="X738"/>
      <c r="Y738"/>
      <c r="Z738"/>
      <c r="AA738"/>
      <c r="AB738"/>
    </row>
    <row r="739" spans="24:28" x14ac:dyDescent="0.35">
      <c r="X739"/>
      <c r="Y739"/>
      <c r="Z739"/>
      <c r="AA739"/>
      <c r="AB739"/>
    </row>
    <row r="740" spans="24:28" x14ac:dyDescent="0.35">
      <c r="X740"/>
      <c r="Y740"/>
      <c r="Z740"/>
      <c r="AA740"/>
      <c r="AB740"/>
    </row>
    <row r="741" spans="24:28" x14ac:dyDescent="0.35">
      <c r="X741"/>
      <c r="Y741"/>
      <c r="Z741"/>
      <c r="AA741"/>
      <c r="AB741"/>
    </row>
    <row r="742" spans="24:28" x14ac:dyDescent="0.35">
      <c r="X742"/>
      <c r="Y742"/>
      <c r="Z742"/>
      <c r="AA742"/>
      <c r="AB742"/>
    </row>
    <row r="743" spans="24:28" x14ac:dyDescent="0.35">
      <c r="X743"/>
      <c r="Y743"/>
      <c r="Z743"/>
      <c r="AA743"/>
      <c r="AB743"/>
    </row>
    <row r="744" spans="24:28" x14ac:dyDescent="0.35">
      <c r="X744"/>
      <c r="Y744"/>
      <c r="Z744"/>
      <c r="AA744"/>
      <c r="AB744"/>
    </row>
    <row r="745" spans="24:28" x14ac:dyDescent="0.35">
      <c r="X745"/>
      <c r="Y745"/>
      <c r="Z745"/>
      <c r="AA745"/>
      <c r="AB745"/>
    </row>
    <row r="746" spans="24:28" x14ac:dyDescent="0.35">
      <c r="X746"/>
      <c r="Y746"/>
      <c r="Z746"/>
      <c r="AA746"/>
      <c r="AB746"/>
    </row>
    <row r="747" spans="24:28" x14ac:dyDescent="0.35">
      <c r="X747"/>
      <c r="Y747"/>
      <c r="Z747"/>
      <c r="AA747"/>
      <c r="AB747"/>
    </row>
    <row r="748" spans="24:28" x14ac:dyDescent="0.35">
      <c r="X748"/>
      <c r="Y748"/>
      <c r="Z748"/>
      <c r="AA748"/>
      <c r="AB748"/>
    </row>
    <row r="749" spans="24:28" x14ac:dyDescent="0.35">
      <c r="X749"/>
      <c r="Y749"/>
      <c r="Z749"/>
      <c r="AA749"/>
      <c r="AB749"/>
    </row>
    <row r="750" spans="24:28" x14ac:dyDescent="0.35">
      <c r="X750"/>
      <c r="Y750"/>
      <c r="Z750"/>
      <c r="AA750"/>
      <c r="AB750"/>
    </row>
    <row r="751" spans="24:28" x14ac:dyDescent="0.35">
      <c r="X751"/>
      <c r="Y751"/>
      <c r="Z751"/>
      <c r="AA751"/>
      <c r="AB751"/>
    </row>
    <row r="752" spans="24:28" x14ac:dyDescent="0.35">
      <c r="X752"/>
      <c r="Y752"/>
      <c r="Z752"/>
      <c r="AA752"/>
      <c r="AB752"/>
    </row>
    <row r="753" spans="24:28" x14ac:dyDescent="0.35">
      <c r="X753"/>
      <c r="Y753"/>
      <c r="Z753"/>
      <c r="AA753"/>
      <c r="AB753"/>
    </row>
    <row r="754" spans="24:28" x14ac:dyDescent="0.35">
      <c r="X754"/>
      <c r="Y754"/>
      <c r="Z754"/>
      <c r="AA754"/>
      <c r="AB754"/>
    </row>
    <row r="755" spans="24:28" x14ac:dyDescent="0.35">
      <c r="X755"/>
      <c r="Y755"/>
      <c r="Z755"/>
      <c r="AA755"/>
      <c r="AB755"/>
    </row>
    <row r="756" spans="24:28" x14ac:dyDescent="0.35">
      <c r="X756"/>
      <c r="Y756"/>
      <c r="Z756"/>
      <c r="AA756"/>
      <c r="AB756"/>
    </row>
    <row r="757" spans="24:28" x14ac:dyDescent="0.35">
      <c r="X757"/>
      <c r="Y757"/>
      <c r="Z757"/>
      <c r="AA757"/>
      <c r="AB757"/>
    </row>
    <row r="758" spans="24:28" x14ac:dyDescent="0.35">
      <c r="X758"/>
      <c r="Y758"/>
      <c r="Z758"/>
      <c r="AA758"/>
      <c r="AB758"/>
    </row>
    <row r="759" spans="24:28" x14ac:dyDescent="0.35">
      <c r="X759"/>
      <c r="Y759"/>
      <c r="Z759"/>
      <c r="AA759"/>
      <c r="AB759"/>
    </row>
    <row r="760" spans="24:28" x14ac:dyDescent="0.35">
      <c r="X760"/>
      <c r="Y760"/>
      <c r="Z760"/>
      <c r="AA760"/>
      <c r="AB760"/>
    </row>
    <row r="761" spans="24:28" x14ac:dyDescent="0.35">
      <c r="X761"/>
      <c r="Y761"/>
      <c r="Z761"/>
      <c r="AA761"/>
      <c r="AB761"/>
    </row>
    <row r="762" spans="24:28" x14ac:dyDescent="0.35">
      <c r="X762"/>
      <c r="Y762"/>
      <c r="Z762"/>
      <c r="AA762"/>
      <c r="AB762"/>
    </row>
    <row r="763" spans="24:28" x14ac:dyDescent="0.35">
      <c r="X763"/>
      <c r="Y763"/>
      <c r="Z763"/>
      <c r="AA763"/>
      <c r="AB763"/>
    </row>
    <row r="764" spans="24:28" x14ac:dyDescent="0.35">
      <c r="X764"/>
      <c r="Y764"/>
      <c r="Z764"/>
      <c r="AA764"/>
      <c r="AB764"/>
    </row>
    <row r="765" spans="24:28" x14ac:dyDescent="0.35">
      <c r="X765"/>
      <c r="Y765"/>
      <c r="Z765"/>
      <c r="AA765"/>
      <c r="AB765"/>
    </row>
    <row r="766" spans="24:28" x14ac:dyDescent="0.35">
      <c r="X766"/>
      <c r="Y766"/>
      <c r="Z766"/>
      <c r="AA766"/>
      <c r="AB766"/>
    </row>
    <row r="767" spans="24:28" x14ac:dyDescent="0.35">
      <c r="X767"/>
      <c r="Y767"/>
      <c r="Z767"/>
      <c r="AA767"/>
      <c r="AB767"/>
    </row>
    <row r="768" spans="24:28" x14ac:dyDescent="0.35">
      <c r="X768"/>
      <c r="Y768"/>
      <c r="Z768"/>
      <c r="AA768"/>
      <c r="AB768"/>
    </row>
    <row r="769" spans="24:28" x14ac:dyDescent="0.35">
      <c r="X769"/>
      <c r="Y769"/>
      <c r="Z769"/>
      <c r="AA769"/>
      <c r="AB769"/>
    </row>
    <row r="770" spans="24:28" x14ac:dyDescent="0.35">
      <c r="X770"/>
      <c r="Y770"/>
      <c r="Z770"/>
      <c r="AA770"/>
      <c r="AB770"/>
    </row>
    <row r="771" spans="24:28" x14ac:dyDescent="0.35">
      <c r="X771"/>
      <c r="Y771"/>
      <c r="Z771"/>
      <c r="AA771"/>
      <c r="AB771"/>
    </row>
    <row r="772" spans="24:28" x14ac:dyDescent="0.35">
      <c r="X772"/>
      <c r="Y772"/>
      <c r="Z772"/>
      <c r="AA772"/>
      <c r="AB772"/>
    </row>
    <row r="773" spans="24:28" x14ac:dyDescent="0.35">
      <c r="X773"/>
      <c r="Y773"/>
      <c r="Z773"/>
      <c r="AA773"/>
      <c r="AB773"/>
    </row>
    <row r="774" spans="24:28" x14ac:dyDescent="0.35">
      <c r="X774"/>
      <c r="Y774"/>
      <c r="Z774"/>
      <c r="AA774"/>
      <c r="AB774"/>
    </row>
    <row r="775" spans="24:28" x14ac:dyDescent="0.35">
      <c r="X775"/>
      <c r="Y775"/>
      <c r="Z775"/>
      <c r="AA775"/>
      <c r="AB775"/>
    </row>
    <row r="776" spans="24:28" x14ac:dyDescent="0.35">
      <c r="X776"/>
      <c r="Y776"/>
      <c r="Z776"/>
      <c r="AA776"/>
      <c r="AB776"/>
    </row>
    <row r="777" spans="24:28" x14ac:dyDescent="0.35">
      <c r="X777"/>
      <c r="Y777"/>
      <c r="Z777"/>
      <c r="AA777"/>
      <c r="AB777"/>
    </row>
    <row r="778" spans="24:28" x14ac:dyDescent="0.35">
      <c r="X778"/>
      <c r="Y778"/>
      <c r="Z778"/>
      <c r="AA778"/>
      <c r="AB778"/>
    </row>
    <row r="779" spans="24:28" x14ac:dyDescent="0.35">
      <c r="X779"/>
      <c r="Y779"/>
      <c r="Z779"/>
      <c r="AA779"/>
      <c r="AB779"/>
    </row>
    <row r="780" spans="24:28" x14ac:dyDescent="0.35">
      <c r="X780"/>
      <c r="Y780"/>
      <c r="Z780"/>
      <c r="AA780"/>
      <c r="AB780"/>
    </row>
    <row r="781" spans="24:28" x14ac:dyDescent="0.35">
      <c r="X781"/>
      <c r="Y781"/>
      <c r="Z781"/>
      <c r="AA781"/>
      <c r="AB781"/>
    </row>
    <row r="782" spans="24:28" x14ac:dyDescent="0.35">
      <c r="X782"/>
      <c r="Y782"/>
      <c r="Z782"/>
      <c r="AA782"/>
      <c r="AB782"/>
    </row>
    <row r="783" spans="24:28" x14ac:dyDescent="0.35">
      <c r="X783"/>
      <c r="Y783"/>
      <c r="Z783"/>
      <c r="AA783"/>
      <c r="AB783"/>
    </row>
    <row r="784" spans="24:28" x14ac:dyDescent="0.35">
      <c r="X784"/>
      <c r="Y784"/>
      <c r="Z784"/>
      <c r="AA784"/>
      <c r="AB784"/>
    </row>
    <row r="785" spans="24:28" x14ac:dyDescent="0.35">
      <c r="X785"/>
      <c r="Y785"/>
      <c r="Z785"/>
      <c r="AA785"/>
      <c r="AB785"/>
    </row>
    <row r="786" spans="24:28" x14ac:dyDescent="0.35">
      <c r="X786"/>
      <c r="Y786"/>
      <c r="Z786"/>
      <c r="AA786"/>
      <c r="AB786"/>
    </row>
    <row r="787" spans="24:28" x14ac:dyDescent="0.35">
      <c r="X787"/>
      <c r="Y787"/>
      <c r="Z787"/>
      <c r="AA787"/>
      <c r="AB787"/>
    </row>
    <row r="788" spans="24:28" x14ac:dyDescent="0.35">
      <c r="X788"/>
      <c r="Y788"/>
      <c r="Z788"/>
      <c r="AA788"/>
      <c r="AB788"/>
    </row>
    <row r="789" spans="24:28" x14ac:dyDescent="0.35">
      <c r="X789"/>
      <c r="Y789"/>
      <c r="Z789"/>
      <c r="AA789"/>
      <c r="AB789"/>
    </row>
    <row r="790" spans="24:28" x14ac:dyDescent="0.35">
      <c r="X790"/>
      <c r="Y790"/>
      <c r="Z790"/>
      <c r="AA790"/>
      <c r="AB790"/>
    </row>
    <row r="791" spans="24:28" x14ac:dyDescent="0.35">
      <c r="X791"/>
      <c r="Y791"/>
      <c r="Z791"/>
      <c r="AA791"/>
      <c r="AB791"/>
    </row>
    <row r="792" spans="24:28" x14ac:dyDescent="0.35">
      <c r="X792"/>
      <c r="Y792"/>
      <c r="Z792"/>
      <c r="AA792"/>
      <c r="AB792"/>
    </row>
    <row r="793" spans="24:28" x14ac:dyDescent="0.35">
      <c r="X793"/>
      <c r="Y793"/>
      <c r="Z793"/>
      <c r="AA793"/>
      <c r="AB793"/>
    </row>
    <row r="794" spans="24:28" x14ac:dyDescent="0.35">
      <c r="X794"/>
      <c r="Y794"/>
      <c r="Z794"/>
      <c r="AA794"/>
      <c r="AB794"/>
    </row>
    <row r="795" spans="24:28" x14ac:dyDescent="0.35">
      <c r="X795"/>
      <c r="Y795"/>
      <c r="Z795"/>
      <c r="AA795"/>
      <c r="AB795"/>
    </row>
    <row r="796" spans="24:28" x14ac:dyDescent="0.35">
      <c r="X796"/>
      <c r="Y796"/>
      <c r="Z796"/>
      <c r="AA796"/>
      <c r="AB796"/>
    </row>
    <row r="797" spans="24:28" x14ac:dyDescent="0.35">
      <c r="X797"/>
      <c r="Y797"/>
      <c r="Z797"/>
      <c r="AA797"/>
      <c r="AB797"/>
    </row>
    <row r="798" spans="24:28" x14ac:dyDescent="0.35">
      <c r="X798"/>
      <c r="Y798"/>
      <c r="Z798"/>
      <c r="AA798"/>
      <c r="AB798"/>
    </row>
    <row r="799" spans="24:28" x14ac:dyDescent="0.35">
      <c r="X799"/>
      <c r="Y799"/>
      <c r="Z799"/>
      <c r="AA799"/>
      <c r="AB799"/>
    </row>
    <row r="800" spans="24:28" x14ac:dyDescent="0.35">
      <c r="X800"/>
      <c r="Y800"/>
      <c r="Z800"/>
      <c r="AA800"/>
      <c r="AB800"/>
    </row>
    <row r="801" spans="24:28" x14ac:dyDescent="0.35">
      <c r="X801"/>
      <c r="Y801"/>
      <c r="Z801"/>
      <c r="AA801"/>
      <c r="AB801"/>
    </row>
    <row r="802" spans="24:28" x14ac:dyDescent="0.35">
      <c r="X802"/>
      <c r="Y802"/>
      <c r="Z802"/>
      <c r="AA802"/>
      <c r="AB802"/>
    </row>
    <row r="803" spans="24:28" x14ac:dyDescent="0.35">
      <c r="X803"/>
      <c r="Y803"/>
      <c r="Z803"/>
      <c r="AA803"/>
      <c r="AB803"/>
    </row>
    <row r="804" spans="24:28" x14ac:dyDescent="0.35">
      <c r="X804"/>
      <c r="Y804"/>
      <c r="Z804"/>
      <c r="AA804"/>
      <c r="AB804"/>
    </row>
    <row r="805" spans="24:28" x14ac:dyDescent="0.35">
      <c r="X805"/>
      <c r="Y805"/>
      <c r="Z805"/>
      <c r="AA805"/>
      <c r="AB805"/>
    </row>
    <row r="806" spans="24:28" x14ac:dyDescent="0.35">
      <c r="X806"/>
      <c r="Y806"/>
      <c r="Z806"/>
      <c r="AA806"/>
      <c r="AB806"/>
    </row>
    <row r="807" spans="24:28" x14ac:dyDescent="0.35">
      <c r="X807"/>
      <c r="Y807"/>
      <c r="Z807"/>
      <c r="AA807"/>
      <c r="AB807"/>
    </row>
    <row r="808" spans="24:28" x14ac:dyDescent="0.35">
      <c r="X808"/>
      <c r="Y808"/>
      <c r="Z808"/>
      <c r="AA808"/>
      <c r="AB808"/>
    </row>
    <row r="809" spans="24:28" x14ac:dyDescent="0.35">
      <c r="X809"/>
      <c r="Y809"/>
      <c r="Z809"/>
      <c r="AA809"/>
      <c r="AB809"/>
    </row>
    <row r="810" spans="24:28" x14ac:dyDescent="0.35">
      <c r="X810"/>
      <c r="Y810"/>
      <c r="Z810"/>
      <c r="AA810"/>
      <c r="AB810"/>
    </row>
    <row r="811" spans="24:28" x14ac:dyDescent="0.35">
      <c r="X811"/>
      <c r="Y811"/>
      <c r="Z811"/>
      <c r="AA811"/>
      <c r="AB811"/>
    </row>
    <row r="812" spans="24:28" x14ac:dyDescent="0.35">
      <c r="X812"/>
      <c r="Y812"/>
      <c r="Z812"/>
      <c r="AA812"/>
      <c r="AB812"/>
    </row>
    <row r="813" spans="24:28" x14ac:dyDescent="0.35">
      <c r="X813"/>
      <c r="Y813"/>
      <c r="Z813"/>
      <c r="AA813"/>
      <c r="AB813"/>
    </row>
    <row r="814" spans="24:28" x14ac:dyDescent="0.35">
      <c r="X814"/>
      <c r="Y814"/>
      <c r="Z814"/>
      <c r="AA814"/>
      <c r="AB814"/>
    </row>
    <row r="815" spans="24:28" x14ac:dyDescent="0.35">
      <c r="X815"/>
      <c r="Y815"/>
      <c r="Z815"/>
      <c r="AA815"/>
      <c r="AB815"/>
    </row>
    <row r="816" spans="24:28" x14ac:dyDescent="0.35">
      <c r="X816"/>
      <c r="Y816"/>
      <c r="Z816"/>
      <c r="AA816"/>
      <c r="AB816"/>
    </row>
    <row r="817" spans="24:28" x14ac:dyDescent="0.35">
      <c r="X817"/>
      <c r="Y817"/>
      <c r="Z817"/>
      <c r="AA817"/>
      <c r="AB817"/>
    </row>
    <row r="818" spans="24:28" x14ac:dyDescent="0.35">
      <c r="X818"/>
      <c r="Y818"/>
      <c r="Z818"/>
      <c r="AA818"/>
      <c r="AB818"/>
    </row>
    <row r="819" spans="24:28" x14ac:dyDescent="0.35">
      <c r="X819"/>
      <c r="Y819"/>
      <c r="Z819"/>
      <c r="AA819"/>
      <c r="AB819"/>
    </row>
    <row r="820" spans="24:28" x14ac:dyDescent="0.35">
      <c r="X820"/>
      <c r="Y820"/>
      <c r="Z820"/>
      <c r="AA820"/>
      <c r="AB820"/>
    </row>
    <row r="821" spans="24:28" x14ac:dyDescent="0.35">
      <c r="X821"/>
      <c r="Y821"/>
      <c r="Z821"/>
      <c r="AA821"/>
      <c r="AB821"/>
    </row>
    <row r="822" spans="24:28" x14ac:dyDescent="0.35">
      <c r="X822"/>
      <c r="Y822"/>
      <c r="Z822"/>
      <c r="AA822"/>
      <c r="AB822"/>
    </row>
    <row r="823" spans="24:28" x14ac:dyDescent="0.35">
      <c r="X823"/>
      <c r="Y823"/>
      <c r="Z823"/>
      <c r="AA823"/>
      <c r="AB823"/>
    </row>
    <row r="824" spans="24:28" x14ac:dyDescent="0.35">
      <c r="X824"/>
      <c r="Y824"/>
      <c r="Z824"/>
      <c r="AA824"/>
      <c r="AB824"/>
    </row>
    <row r="825" spans="24:28" x14ac:dyDescent="0.35">
      <c r="X825"/>
      <c r="Y825"/>
      <c r="Z825"/>
      <c r="AA825"/>
      <c r="AB825"/>
    </row>
    <row r="826" spans="24:28" x14ac:dyDescent="0.35">
      <c r="X826"/>
      <c r="Y826"/>
      <c r="Z826"/>
      <c r="AA826"/>
      <c r="AB826"/>
    </row>
    <row r="827" spans="24:28" x14ac:dyDescent="0.35">
      <c r="X827"/>
      <c r="Y827"/>
      <c r="Z827"/>
      <c r="AA827"/>
      <c r="AB827"/>
    </row>
    <row r="828" spans="24:28" x14ac:dyDescent="0.35">
      <c r="X828"/>
      <c r="Y828"/>
      <c r="Z828"/>
      <c r="AA828"/>
      <c r="AB828"/>
    </row>
    <row r="829" spans="24:28" x14ac:dyDescent="0.35">
      <c r="X829"/>
      <c r="Y829"/>
      <c r="Z829"/>
      <c r="AA829"/>
      <c r="AB829"/>
    </row>
    <row r="830" spans="24:28" x14ac:dyDescent="0.35">
      <c r="X830"/>
      <c r="Y830"/>
      <c r="Z830"/>
      <c r="AA830"/>
      <c r="AB830"/>
    </row>
    <row r="831" spans="24:28" x14ac:dyDescent="0.35">
      <c r="X831"/>
      <c r="Y831"/>
      <c r="Z831"/>
      <c r="AA831"/>
      <c r="AB831"/>
    </row>
    <row r="832" spans="24:28" x14ac:dyDescent="0.35">
      <c r="X832"/>
      <c r="Y832"/>
      <c r="Z832"/>
      <c r="AA832"/>
      <c r="AB832"/>
    </row>
    <row r="833" spans="24:28" x14ac:dyDescent="0.35">
      <c r="X833"/>
      <c r="Y833"/>
      <c r="Z833"/>
      <c r="AA833"/>
      <c r="AB833"/>
    </row>
    <row r="834" spans="24:28" x14ac:dyDescent="0.35">
      <c r="X834"/>
      <c r="Y834"/>
      <c r="Z834"/>
      <c r="AA834"/>
      <c r="AB834"/>
    </row>
    <row r="835" spans="24:28" x14ac:dyDescent="0.35">
      <c r="X835"/>
      <c r="Y835"/>
      <c r="Z835"/>
      <c r="AA835"/>
      <c r="AB835"/>
    </row>
    <row r="836" spans="24:28" x14ac:dyDescent="0.35">
      <c r="X836"/>
      <c r="Y836"/>
      <c r="Z836"/>
      <c r="AA836"/>
      <c r="AB836"/>
    </row>
    <row r="837" spans="24:28" x14ac:dyDescent="0.35">
      <c r="X837"/>
      <c r="Y837"/>
      <c r="Z837"/>
      <c r="AA837"/>
      <c r="AB837"/>
    </row>
    <row r="838" spans="24:28" x14ac:dyDescent="0.35">
      <c r="X838"/>
      <c r="Y838"/>
      <c r="Z838"/>
      <c r="AA838"/>
      <c r="AB838"/>
    </row>
    <row r="839" spans="24:28" x14ac:dyDescent="0.35">
      <c r="X839"/>
      <c r="Y839"/>
      <c r="Z839"/>
      <c r="AA839"/>
      <c r="AB839"/>
    </row>
    <row r="840" spans="24:28" x14ac:dyDescent="0.35">
      <c r="X840"/>
      <c r="Y840"/>
      <c r="Z840"/>
      <c r="AA840"/>
      <c r="AB840"/>
    </row>
    <row r="841" spans="24:28" x14ac:dyDescent="0.35">
      <c r="X841"/>
      <c r="Y841"/>
      <c r="Z841"/>
      <c r="AA841"/>
      <c r="AB841"/>
    </row>
    <row r="842" spans="24:28" x14ac:dyDescent="0.35">
      <c r="X842"/>
      <c r="Y842"/>
      <c r="Z842"/>
      <c r="AA842"/>
      <c r="AB842"/>
    </row>
    <row r="843" spans="24:28" x14ac:dyDescent="0.35">
      <c r="X843"/>
      <c r="Y843"/>
      <c r="Z843"/>
      <c r="AA843"/>
      <c r="AB843"/>
    </row>
    <row r="844" spans="24:28" x14ac:dyDescent="0.35">
      <c r="X844"/>
      <c r="Y844"/>
      <c r="Z844"/>
      <c r="AA844"/>
      <c r="AB844"/>
    </row>
    <row r="845" spans="24:28" x14ac:dyDescent="0.35">
      <c r="X845"/>
      <c r="Y845"/>
      <c r="Z845"/>
      <c r="AA845"/>
      <c r="AB845"/>
    </row>
    <row r="846" spans="24:28" x14ac:dyDescent="0.35">
      <c r="X846"/>
      <c r="Y846"/>
      <c r="Z846"/>
      <c r="AA846"/>
      <c r="AB846"/>
    </row>
    <row r="847" spans="24:28" x14ac:dyDescent="0.35">
      <c r="X847"/>
      <c r="Y847"/>
      <c r="Z847"/>
      <c r="AA847"/>
      <c r="AB847"/>
    </row>
    <row r="848" spans="24:28" x14ac:dyDescent="0.35">
      <c r="X848"/>
      <c r="Y848"/>
      <c r="Z848"/>
      <c r="AA848"/>
      <c r="AB848"/>
    </row>
    <row r="849" spans="24:28" x14ac:dyDescent="0.35">
      <c r="X849"/>
      <c r="Y849"/>
      <c r="Z849"/>
      <c r="AA849"/>
      <c r="AB849"/>
    </row>
    <row r="850" spans="24:28" x14ac:dyDescent="0.35">
      <c r="X850"/>
      <c r="Y850"/>
      <c r="Z850"/>
      <c r="AA850"/>
      <c r="AB850"/>
    </row>
    <row r="851" spans="24:28" x14ac:dyDescent="0.35">
      <c r="X851"/>
      <c r="Y851"/>
      <c r="Z851"/>
      <c r="AA851"/>
      <c r="AB851"/>
    </row>
    <row r="852" spans="24:28" x14ac:dyDescent="0.35">
      <c r="X852"/>
      <c r="Y852"/>
      <c r="Z852"/>
      <c r="AA852"/>
      <c r="AB852"/>
    </row>
    <row r="853" spans="24:28" x14ac:dyDescent="0.35">
      <c r="X853"/>
      <c r="Y853"/>
      <c r="Z853"/>
      <c r="AA853"/>
      <c r="AB853"/>
    </row>
    <row r="854" spans="24:28" x14ac:dyDescent="0.35">
      <c r="X854"/>
      <c r="Y854"/>
      <c r="Z854"/>
      <c r="AA854"/>
      <c r="AB854"/>
    </row>
    <row r="855" spans="24:28" x14ac:dyDescent="0.35">
      <c r="X855"/>
      <c r="Y855"/>
      <c r="Z855"/>
      <c r="AA855"/>
      <c r="AB855"/>
    </row>
    <row r="856" spans="24:28" x14ac:dyDescent="0.35">
      <c r="X856"/>
      <c r="Y856"/>
      <c r="Z856"/>
      <c r="AA856"/>
      <c r="AB856"/>
    </row>
    <row r="857" spans="24:28" x14ac:dyDescent="0.35">
      <c r="X857"/>
      <c r="Y857"/>
      <c r="Z857"/>
      <c r="AA857"/>
      <c r="AB857"/>
    </row>
    <row r="858" spans="24:28" x14ac:dyDescent="0.35">
      <c r="X858"/>
      <c r="Y858"/>
      <c r="Z858"/>
      <c r="AA858"/>
      <c r="AB858"/>
    </row>
    <row r="859" spans="24:28" x14ac:dyDescent="0.35">
      <c r="X859"/>
      <c r="Y859"/>
      <c r="Z859"/>
      <c r="AA859"/>
      <c r="AB859"/>
    </row>
    <row r="860" spans="24:28" x14ac:dyDescent="0.35">
      <c r="X860"/>
      <c r="Y860"/>
      <c r="Z860"/>
      <c r="AA860"/>
      <c r="AB860"/>
    </row>
    <row r="861" spans="24:28" x14ac:dyDescent="0.35">
      <c r="X861"/>
      <c r="Y861"/>
      <c r="Z861"/>
      <c r="AA861"/>
      <c r="AB861"/>
    </row>
    <row r="862" spans="24:28" x14ac:dyDescent="0.35">
      <c r="X862"/>
      <c r="Y862"/>
      <c r="Z862"/>
      <c r="AA862"/>
      <c r="AB862"/>
    </row>
    <row r="863" spans="24:28" x14ac:dyDescent="0.35">
      <c r="X863"/>
      <c r="Y863"/>
      <c r="Z863"/>
      <c r="AA863"/>
      <c r="AB863"/>
    </row>
    <row r="864" spans="24:28" x14ac:dyDescent="0.35">
      <c r="X864"/>
      <c r="Y864"/>
      <c r="Z864"/>
      <c r="AA864"/>
      <c r="AB864"/>
    </row>
    <row r="865" spans="24:28" x14ac:dyDescent="0.35">
      <c r="X865"/>
      <c r="Y865"/>
      <c r="Z865"/>
      <c r="AA865"/>
      <c r="AB865"/>
    </row>
    <row r="866" spans="24:28" x14ac:dyDescent="0.35">
      <c r="X866"/>
      <c r="Y866"/>
      <c r="Z866"/>
      <c r="AA866"/>
      <c r="AB866"/>
    </row>
    <row r="867" spans="24:28" x14ac:dyDescent="0.35">
      <c r="X867"/>
      <c r="Y867"/>
      <c r="Z867"/>
      <c r="AA867"/>
      <c r="AB867"/>
    </row>
    <row r="868" spans="24:28" x14ac:dyDescent="0.35">
      <c r="X868"/>
      <c r="Y868"/>
      <c r="Z868"/>
      <c r="AA868"/>
      <c r="AB868"/>
    </row>
    <row r="869" spans="24:28" x14ac:dyDescent="0.35">
      <c r="X869"/>
      <c r="Y869"/>
      <c r="Z869"/>
      <c r="AA869"/>
      <c r="AB869"/>
    </row>
    <row r="870" spans="24:28" x14ac:dyDescent="0.35">
      <c r="X870"/>
      <c r="Y870"/>
      <c r="Z870"/>
      <c r="AA870"/>
      <c r="AB870"/>
    </row>
    <row r="871" spans="24:28" x14ac:dyDescent="0.35">
      <c r="X871"/>
      <c r="Y871"/>
      <c r="Z871"/>
      <c r="AA871"/>
      <c r="AB871"/>
    </row>
    <row r="872" spans="24:28" x14ac:dyDescent="0.35">
      <c r="X872"/>
      <c r="Y872"/>
      <c r="Z872"/>
      <c r="AA872"/>
      <c r="AB872"/>
    </row>
    <row r="873" spans="24:28" x14ac:dyDescent="0.35">
      <c r="X873"/>
      <c r="Y873"/>
      <c r="Z873"/>
      <c r="AA873"/>
      <c r="AB873"/>
    </row>
    <row r="874" spans="24:28" x14ac:dyDescent="0.35">
      <c r="X874"/>
      <c r="Y874"/>
      <c r="Z874"/>
      <c r="AA874"/>
      <c r="AB874"/>
    </row>
    <row r="875" spans="24:28" x14ac:dyDescent="0.35">
      <c r="X875"/>
      <c r="Y875"/>
      <c r="Z875"/>
      <c r="AA875"/>
      <c r="AB875"/>
    </row>
    <row r="876" spans="24:28" x14ac:dyDescent="0.35">
      <c r="X876"/>
      <c r="Y876"/>
      <c r="Z876"/>
      <c r="AA876"/>
      <c r="AB876"/>
    </row>
    <row r="877" spans="24:28" x14ac:dyDescent="0.35">
      <c r="X877"/>
      <c r="Y877"/>
      <c r="Z877"/>
      <c r="AA877"/>
      <c r="AB877"/>
    </row>
    <row r="878" spans="24:28" x14ac:dyDescent="0.35">
      <c r="X878"/>
      <c r="Y878"/>
      <c r="Z878"/>
      <c r="AA878"/>
      <c r="AB878"/>
    </row>
    <row r="879" spans="24:28" x14ac:dyDescent="0.35">
      <c r="X879"/>
      <c r="Y879"/>
      <c r="Z879"/>
      <c r="AA879"/>
      <c r="AB879"/>
    </row>
    <row r="880" spans="24:28" x14ac:dyDescent="0.35">
      <c r="X880"/>
      <c r="Y880"/>
      <c r="Z880"/>
      <c r="AA880"/>
      <c r="AB880"/>
    </row>
    <row r="881" spans="24:28" x14ac:dyDescent="0.35">
      <c r="X881"/>
      <c r="Y881"/>
      <c r="Z881"/>
      <c r="AA881"/>
      <c r="AB881"/>
    </row>
    <row r="882" spans="24:28" x14ac:dyDescent="0.35">
      <c r="X882"/>
      <c r="Y882"/>
      <c r="Z882"/>
      <c r="AA882"/>
      <c r="AB882"/>
    </row>
    <row r="883" spans="24:28" x14ac:dyDescent="0.35">
      <c r="X883"/>
      <c r="Y883"/>
      <c r="Z883"/>
      <c r="AA883"/>
      <c r="AB883"/>
    </row>
    <row r="884" spans="24:28" x14ac:dyDescent="0.35">
      <c r="X884"/>
      <c r="Y884"/>
      <c r="Z884"/>
      <c r="AA884"/>
      <c r="AB884"/>
    </row>
    <row r="885" spans="24:28" x14ac:dyDescent="0.35">
      <c r="X885"/>
      <c r="Y885"/>
      <c r="Z885"/>
      <c r="AA885"/>
      <c r="AB885"/>
    </row>
    <row r="886" spans="24:28" x14ac:dyDescent="0.35">
      <c r="X886"/>
      <c r="Y886"/>
      <c r="Z886"/>
      <c r="AA886"/>
      <c r="AB886"/>
    </row>
    <row r="887" spans="24:28" x14ac:dyDescent="0.35">
      <c r="X887"/>
      <c r="Y887"/>
      <c r="Z887"/>
      <c r="AA887"/>
      <c r="AB887"/>
    </row>
    <row r="888" spans="24:28" x14ac:dyDescent="0.35">
      <c r="X888"/>
      <c r="Y888"/>
      <c r="Z888"/>
      <c r="AA888"/>
      <c r="AB888"/>
    </row>
    <row r="889" spans="24:28" x14ac:dyDescent="0.35">
      <c r="X889"/>
      <c r="Y889"/>
      <c r="Z889"/>
      <c r="AA889"/>
      <c r="AB889"/>
    </row>
    <row r="890" spans="24:28" x14ac:dyDescent="0.35">
      <c r="X890"/>
      <c r="Y890"/>
      <c r="Z890"/>
      <c r="AA890"/>
      <c r="AB890"/>
    </row>
    <row r="891" spans="24:28" x14ac:dyDescent="0.35">
      <c r="X891"/>
      <c r="Y891"/>
      <c r="Z891"/>
      <c r="AA891"/>
      <c r="AB891"/>
    </row>
    <row r="892" spans="24:28" x14ac:dyDescent="0.35">
      <c r="X892"/>
      <c r="Y892"/>
      <c r="Z892"/>
      <c r="AA892"/>
      <c r="AB892"/>
    </row>
    <row r="893" spans="24:28" x14ac:dyDescent="0.35">
      <c r="X893"/>
      <c r="Y893"/>
      <c r="Z893"/>
      <c r="AA893"/>
      <c r="AB893"/>
    </row>
    <row r="894" spans="24:28" x14ac:dyDescent="0.35">
      <c r="X894"/>
      <c r="Y894"/>
      <c r="Z894"/>
      <c r="AA894"/>
      <c r="AB894"/>
    </row>
    <row r="895" spans="24:28" x14ac:dyDescent="0.35">
      <c r="X895"/>
      <c r="Y895"/>
      <c r="Z895"/>
      <c r="AA895"/>
      <c r="AB895"/>
    </row>
    <row r="896" spans="24:28" x14ac:dyDescent="0.35">
      <c r="X896"/>
      <c r="Y896"/>
      <c r="Z896"/>
      <c r="AA896"/>
      <c r="AB896"/>
    </row>
    <row r="897" spans="24:28" x14ac:dyDescent="0.35">
      <c r="X897"/>
      <c r="Y897"/>
      <c r="Z897"/>
      <c r="AA897"/>
      <c r="AB897"/>
    </row>
    <row r="898" spans="24:28" x14ac:dyDescent="0.35">
      <c r="X898"/>
      <c r="Y898"/>
      <c r="Z898"/>
      <c r="AA898"/>
      <c r="AB898"/>
    </row>
    <row r="899" spans="24:28" x14ac:dyDescent="0.35">
      <c r="X899"/>
      <c r="Y899"/>
      <c r="Z899"/>
      <c r="AA899"/>
      <c r="AB899"/>
    </row>
    <row r="900" spans="24:28" x14ac:dyDescent="0.35">
      <c r="X900"/>
      <c r="Y900"/>
      <c r="Z900"/>
      <c r="AA900"/>
      <c r="AB900"/>
    </row>
    <row r="901" spans="24:28" x14ac:dyDescent="0.35">
      <c r="X901"/>
      <c r="Y901"/>
      <c r="Z901"/>
      <c r="AA901"/>
      <c r="AB901"/>
    </row>
    <row r="902" spans="24:28" x14ac:dyDescent="0.35">
      <c r="X902"/>
      <c r="Y902"/>
      <c r="Z902"/>
      <c r="AA902"/>
      <c r="AB902"/>
    </row>
    <row r="903" spans="24:28" x14ac:dyDescent="0.35">
      <c r="X903"/>
      <c r="Y903"/>
      <c r="Z903"/>
      <c r="AA903"/>
      <c r="AB903"/>
    </row>
    <row r="904" spans="24:28" x14ac:dyDescent="0.35">
      <c r="X904"/>
      <c r="Y904"/>
      <c r="Z904"/>
      <c r="AA904"/>
      <c r="AB904"/>
    </row>
    <row r="905" spans="24:28" x14ac:dyDescent="0.35">
      <c r="X905"/>
      <c r="Y905"/>
      <c r="Z905"/>
      <c r="AA905"/>
      <c r="AB905"/>
    </row>
    <row r="906" spans="24:28" x14ac:dyDescent="0.35">
      <c r="X906"/>
      <c r="Y906"/>
      <c r="Z906"/>
      <c r="AA906"/>
      <c r="AB906"/>
    </row>
    <row r="907" spans="24:28" x14ac:dyDescent="0.35">
      <c r="X907"/>
      <c r="Y907"/>
      <c r="Z907"/>
      <c r="AA907"/>
      <c r="AB907"/>
    </row>
    <row r="908" spans="24:28" x14ac:dyDescent="0.35">
      <c r="X908"/>
      <c r="Y908"/>
      <c r="Z908"/>
      <c r="AA908"/>
      <c r="AB908"/>
    </row>
    <row r="909" spans="24:28" x14ac:dyDescent="0.35">
      <c r="X909"/>
      <c r="Y909"/>
      <c r="Z909"/>
      <c r="AA909"/>
      <c r="AB909"/>
    </row>
    <row r="910" spans="24:28" x14ac:dyDescent="0.35">
      <c r="X910"/>
      <c r="Y910"/>
      <c r="Z910"/>
      <c r="AA910"/>
      <c r="AB910"/>
    </row>
    <row r="911" spans="24:28" x14ac:dyDescent="0.35">
      <c r="X911"/>
      <c r="Y911"/>
      <c r="Z911"/>
      <c r="AA911"/>
      <c r="AB911"/>
    </row>
    <row r="912" spans="24:28" x14ac:dyDescent="0.35">
      <c r="X912"/>
      <c r="Y912"/>
      <c r="Z912"/>
      <c r="AA912"/>
      <c r="AB912"/>
    </row>
    <row r="913" spans="24:28" x14ac:dyDescent="0.35">
      <c r="X913"/>
      <c r="Y913"/>
      <c r="Z913"/>
      <c r="AA913"/>
      <c r="AB913"/>
    </row>
    <row r="914" spans="24:28" x14ac:dyDescent="0.35">
      <c r="X914"/>
      <c r="Y914"/>
      <c r="Z914"/>
      <c r="AA914"/>
      <c r="AB914"/>
    </row>
    <row r="915" spans="24:28" x14ac:dyDescent="0.35">
      <c r="X915"/>
      <c r="Y915"/>
      <c r="Z915"/>
      <c r="AA915"/>
      <c r="AB915"/>
    </row>
    <row r="916" spans="24:28" x14ac:dyDescent="0.35">
      <c r="X916"/>
      <c r="Y916"/>
      <c r="Z916"/>
      <c r="AA916"/>
      <c r="AB916"/>
    </row>
    <row r="917" spans="24:28" x14ac:dyDescent="0.35">
      <c r="X917"/>
      <c r="Y917"/>
      <c r="Z917"/>
      <c r="AA917"/>
      <c r="AB917"/>
    </row>
    <row r="918" spans="24:28" x14ac:dyDescent="0.35">
      <c r="X918"/>
      <c r="Y918"/>
      <c r="Z918"/>
      <c r="AA918"/>
      <c r="AB918"/>
    </row>
    <row r="919" spans="24:28" x14ac:dyDescent="0.35">
      <c r="X919"/>
      <c r="Y919"/>
      <c r="Z919"/>
      <c r="AA919"/>
      <c r="AB919"/>
    </row>
    <row r="920" spans="24:28" x14ac:dyDescent="0.35">
      <c r="X920"/>
      <c r="Y920"/>
      <c r="Z920"/>
      <c r="AA920"/>
      <c r="AB920"/>
    </row>
    <row r="921" spans="24:28" x14ac:dyDescent="0.35">
      <c r="X921"/>
      <c r="Y921"/>
      <c r="Z921"/>
      <c r="AA921"/>
      <c r="AB921"/>
    </row>
    <row r="922" spans="24:28" x14ac:dyDescent="0.35">
      <c r="X922"/>
      <c r="Y922"/>
      <c r="Z922"/>
      <c r="AA922"/>
      <c r="AB922"/>
    </row>
    <row r="923" spans="24:28" x14ac:dyDescent="0.35">
      <c r="X923"/>
      <c r="Y923"/>
      <c r="Z923"/>
      <c r="AA923"/>
      <c r="AB923"/>
    </row>
    <row r="924" spans="24:28" x14ac:dyDescent="0.35">
      <c r="X924"/>
      <c r="Y924"/>
      <c r="Z924"/>
      <c r="AA924"/>
      <c r="AB924"/>
    </row>
    <row r="925" spans="24:28" x14ac:dyDescent="0.35">
      <c r="X925"/>
      <c r="Y925"/>
      <c r="Z925"/>
      <c r="AA925"/>
      <c r="AB925"/>
    </row>
    <row r="926" spans="24:28" x14ac:dyDescent="0.35">
      <c r="X926"/>
      <c r="Y926"/>
      <c r="Z926"/>
      <c r="AA926"/>
      <c r="AB926"/>
    </row>
    <row r="927" spans="24:28" x14ac:dyDescent="0.35">
      <c r="X927"/>
      <c r="Y927"/>
      <c r="Z927"/>
      <c r="AA927"/>
      <c r="AB927"/>
    </row>
    <row r="928" spans="24:28" x14ac:dyDescent="0.35">
      <c r="X928"/>
      <c r="Y928"/>
      <c r="Z928"/>
      <c r="AA928"/>
      <c r="AB928"/>
    </row>
    <row r="929" spans="24:28" x14ac:dyDescent="0.35">
      <c r="X929"/>
      <c r="Y929"/>
      <c r="Z929"/>
      <c r="AA929"/>
      <c r="AB929"/>
    </row>
    <row r="930" spans="24:28" x14ac:dyDescent="0.35">
      <c r="X930"/>
      <c r="Y930"/>
      <c r="Z930"/>
      <c r="AA930"/>
      <c r="AB930"/>
    </row>
    <row r="931" spans="24:28" x14ac:dyDescent="0.35">
      <c r="X931"/>
      <c r="Y931"/>
      <c r="Z931"/>
      <c r="AA931"/>
      <c r="AB931"/>
    </row>
    <row r="932" spans="24:28" x14ac:dyDescent="0.35">
      <c r="X932"/>
      <c r="Y932"/>
      <c r="Z932"/>
      <c r="AA932"/>
      <c r="AB932"/>
    </row>
    <row r="933" spans="24:28" x14ac:dyDescent="0.35">
      <c r="X933"/>
      <c r="Y933"/>
      <c r="Z933"/>
      <c r="AA933"/>
      <c r="AB933"/>
    </row>
    <row r="934" spans="24:28" x14ac:dyDescent="0.35">
      <c r="X934"/>
      <c r="Y934"/>
      <c r="Z934"/>
      <c r="AA934"/>
      <c r="AB934"/>
    </row>
    <row r="935" spans="24:28" x14ac:dyDescent="0.35">
      <c r="X935"/>
      <c r="Y935"/>
      <c r="Z935"/>
      <c r="AA935"/>
      <c r="AB935"/>
    </row>
    <row r="936" spans="24:28" x14ac:dyDescent="0.35">
      <c r="X936"/>
      <c r="Y936"/>
      <c r="Z936"/>
      <c r="AA936"/>
      <c r="AB936"/>
    </row>
    <row r="937" spans="24:28" x14ac:dyDescent="0.35">
      <c r="X937"/>
      <c r="Y937"/>
      <c r="Z937"/>
      <c r="AA937"/>
      <c r="AB937"/>
    </row>
    <row r="938" spans="24:28" x14ac:dyDescent="0.35">
      <c r="X938"/>
      <c r="Y938"/>
      <c r="Z938"/>
      <c r="AA938"/>
      <c r="AB938"/>
    </row>
    <row r="939" spans="24:28" x14ac:dyDescent="0.35">
      <c r="X939"/>
      <c r="Y939"/>
      <c r="Z939"/>
      <c r="AA939"/>
      <c r="AB939"/>
    </row>
    <row r="940" spans="24:28" x14ac:dyDescent="0.35">
      <c r="X940"/>
      <c r="Y940"/>
      <c r="Z940"/>
      <c r="AA940"/>
      <c r="AB940"/>
    </row>
    <row r="941" spans="24:28" x14ac:dyDescent="0.35">
      <c r="X941"/>
      <c r="Y941"/>
      <c r="Z941"/>
      <c r="AA941"/>
      <c r="AB941"/>
    </row>
    <row r="942" spans="24:28" x14ac:dyDescent="0.35">
      <c r="X942"/>
      <c r="Y942"/>
      <c r="Z942"/>
      <c r="AA942"/>
      <c r="AB942"/>
    </row>
    <row r="943" spans="24:28" x14ac:dyDescent="0.35">
      <c r="X943"/>
      <c r="Y943"/>
      <c r="Z943"/>
      <c r="AA943"/>
      <c r="AB943"/>
    </row>
    <row r="944" spans="24:28" x14ac:dyDescent="0.35">
      <c r="X944"/>
      <c r="Y944"/>
      <c r="Z944"/>
      <c r="AA944"/>
      <c r="AB944"/>
    </row>
    <row r="945" spans="24:28" x14ac:dyDescent="0.35">
      <c r="X945"/>
      <c r="Y945"/>
      <c r="Z945"/>
      <c r="AA945"/>
      <c r="AB945"/>
    </row>
    <row r="946" spans="24:28" x14ac:dyDescent="0.35">
      <c r="X946"/>
      <c r="Y946"/>
      <c r="Z946"/>
      <c r="AA946"/>
      <c r="AB946"/>
    </row>
    <row r="947" spans="24:28" x14ac:dyDescent="0.35">
      <c r="X947"/>
      <c r="Y947"/>
      <c r="Z947"/>
      <c r="AA947"/>
      <c r="AB947"/>
    </row>
    <row r="948" spans="24:28" x14ac:dyDescent="0.35">
      <c r="X948"/>
      <c r="Y948"/>
      <c r="Z948"/>
      <c r="AA948"/>
      <c r="AB948"/>
    </row>
    <row r="949" spans="24:28" x14ac:dyDescent="0.35">
      <c r="X949"/>
      <c r="Y949"/>
      <c r="Z949"/>
      <c r="AA949"/>
      <c r="AB949"/>
    </row>
    <row r="950" spans="24:28" x14ac:dyDescent="0.35">
      <c r="X950"/>
      <c r="Y950"/>
      <c r="Z950"/>
      <c r="AA950"/>
      <c r="AB950"/>
    </row>
    <row r="951" spans="24:28" x14ac:dyDescent="0.35">
      <c r="X951"/>
      <c r="Y951"/>
      <c r="Z951"/>
      <c r="AA951"/>
      <c r="AB951"/>
    </row>
    <row r="952" spans="24:28" x14ac:dyDescent="0.35">
      <c r="X952"/>
      <c r="Y952"/>
      <c r="Z952"/>
      <c r="AA952"/>
      <c r="AB952"/>
    </row>
    <row r="953" spans="24:28" x14ac:dyDescent="0.35">
      <c r="X953"/>
      <c r="Y953"/>
      <c r="Z953"/>
      <c r="AA953"/>
      <c r="AB953"/>
    </row>
    <row r="954" spans="24:28" x14ac:dyDescent="0.35">
      <c r="X954"/>
      <c r="Y954"/>
      <c r="Z954"/>
      <c r="AA954"/>
      <c r="AB954"/>
    </row>
    <row r="955" spans="24:28" x14ac:dyDescent="0.35">
      <c r="X955"/>
      <c r="Y955"/>
      <c r="Z955"/>
      <c r="AA955"/>
      <c r="AB955"/>
    </row>
    <row r="956" spans="24:28" x14ac:dyDescent="0.35">
      <c r="X956"/>
      <c r="Y956"/>
      <c r="Z956"/>
      <c r="AA956"/>
      <c r="AB956"/>
    </row>
    <row r="957" spans="24:28" x14ac:dyDescent="0.35">
      <c r="X957"/>
      <c r="Y957"/>
      <c r="Z957"/>
      <c r="AA957"/>
      <c r="AB957"/>
    </row>
    <row r="958" spans="24:28" x14ac:dyDescent="0.35">
      <c r="X958"/>
      <c r="Y958"/>
      <c r="Z958"/>
      <c r="AA958"/>
      <c r="AB958"/>
    </row>
    <row r="959" spans="24:28" x14ac:dyDescent="0.35">
      <c r="X959"/>
      <c r="Y959"/>
      <c r="Z959"/>
      <c r="AA959"/>
      <c r="AB959"/>
    </row>
    <row r="960" spans="24:28" x14ac:dyDescent="0.35">
      <c r="X960"/>
      <c r="Y960"/>
      <c r="Z960"/>
      <c r="AA960"/>
      <c r="AB960"/>
    </row>
    <row r="961" spans="24:28" x14ac:dyDescent="0.35">
      <c r="X961"/>
      <c r="Y961"/>
      <c r="Z961"/>
      <c r="AA961"/>
      <c r="AB961"/>
    </row>
    <row r="962" spans="24:28" x14ac:dyDescent="0.35">
      <c r="X962"/>
      <c r="Y962"/>
      <c r="Z962"/>
      <c r="AA962"/>
      <c r="AB962"/>
    </row>
    <row r="963" spans="24:28" x14ac:dyDescent="0.35">
      <c r="X963"/>
      <c r="Y963"/>
      <c r="Z963"/>
      <c r="AA963"/>
      <c r="AB963"/>
    </row>
    <row r="964" spans="24:28" x14ac:dyDescent="0.35">
      <c r="X964"/>
      <c r="Y964"/>
      <c r="Z964"/>
      <c r="AA964"/>
      <c r="AB964"/>
    </row>
    <row r="965" spans="24:28" x14ac:dyDescent="0.35">
      <c r="X965"/>
      <c r="Y965"/>
      <c r="Z965"/>
      <c r="AA965"/>
      <c r="AB965"/>
    </row>
    <row r="966" spans="24:28" x14ac:dyDescent="0.35">
      <c r="X966"/>
      <c r="Y966"/>
      <c r="Z966"/>
      <c r="AA966"/>
      <c r="AB966"/>
    </row>
    <row r="967" spans="24:28" x14ac:dyDescent="0.35">
      <c r="X967"/>
      <c r="Y967"/>
      <c r="Z967"/>
      <c r="AA967"/>
      <c r="AB967"/>
    </row>
    <row r="968" spans="24:28" x14ac:dyDescent="0.35">
      <c r="X968"/>
      <c r="Y968"/>
      <c r="Z968"/>
      <c r="AA968"/>
      <c r="AB968"/>
    </row>
    <row r="969" spans="24:28" x14ac:dyDescent="0.35">
      <c r="X969"/>
      <c r="Y969"/>
      <c r="Z969"/>
      <c r="AA969"/>
      <c r="AB969"/>
    </row>
    <row r="970" spans="24:28" x14ac:dyDescent="0.35">
      <c r="X970"/>
      <c r="Y970"/>
      <c r="Z970"/>
      <c r="AA970"/>
      <c r="AB970"/>
    </row>
    <row r="971" spans="24:28" x14ac:dyDescent="0.35">
      <c r="X971"/>
      <c r="Y971"/>
      <c r="Z971"/>
      <c r="AA971"/>
      <c r="AB971"/>
    </row>
    <row r="972" spans="24:28" x14ac:dyDescent="0.35">
      <c r="X972"/>
      <c r="Y972"/>
      <c r="Z972"/>
      <c r="AA972"/>
      <c r="AB972"/>
    </row>
    <row r="973" spans="24:28" x14ac:dyDescent="0.35">
      <c r="X973"/>
      <c r="Y973"/>
      <c r="Z973"/>
      <c r="AA973"/>
      <c r="AB973"/>
    </row>
    <row r="974" spans="24:28" x14ac:dyDescent="0.35">
      <c r="X974"/>
      <c r="Y974"/>
      <c r="Z974"/>
      <c r="AA974"/>
      <c r="AB974"/>
    </row>
    <row r="975" spans="24:28" x14ac:dyDescent="0.35">
      <c r="X975"/>
      <c r="Y975"/>
      <c r="Z975"/>
      <c r="AA975"/>
      <c r="AB975"/>
    </row>
    <row r="976" spans="24:28" x14ac:dyDescent="0.35">
      <c r="X976"/>
      <c r="Y976"/>
      <c r="Z976"/>
      <c r="AA976"/>
      <c r="AB976"/>
    </row>
    <row r="977" spans="24:28" x14ac:dyDescent="0.35">
      <c r="X977"/>
      <c r="Y977"/>
      <c r="Z977"/>
      <c r="AA977"/>
      <c r="AB977"/>
    </row>
    <row r="978" spans="24:28" x14ac:dyDescent="0.35">
      <c r="X978"/>
      <c r="Y978"/>
      <c r="Z978"/>
      <c r="AA978"/>
      <c r="AB978"/>
    </row>
    <row r="979" spans="24:28" x14ac:dyDescent="0.35">
      <c r="X979"/>
      <c r="Y979"/>
      <c r="Z979"/>
      <c r="AA979"/>
      <c r="AB979"/>
    </row>
    <row r="980" spans="24:28" x14ac:dyDescent="0.35">
      <c r="X980"/>
      <c r="Y980"/>
      <c r="Z980"/>
      <c r="AA980"/>
      <c r="AB980"/>
    </row>
    <row r="981" spans="24:28" x14ac:dyDescent="0.35">
      <c r="X981"/>
      <c r="Y981"/>
      <c r="Z981"/>
      <c r="AA981"/>
      <c r="AB981"/>
    </row>
    <row r="982" spans="24:28" x14ac:dyDescent="0.35">
      <c r="X982"/>
      <c r="Y982"/>
      <c r="Z982"/>
      <c r="AA982"/>
      <c r="AB982"/>
    </row>
    <row r="983" spans="24:28" x14ac:dyDescent="0.35">
      <c r="X983"/>
      <c r="Y983"/>
      <c r="Z983"/>
      <c r="AA983"/>
      <c r="AB983"/>
    </row>
    <row r="984" spans="24:28" x14ac:dyDescent="0.35">
      <c r="X984"/>
      <c r="Y984"/>
      <c r="Z984"/>
      <c r="AA984"/>
      <c r="AB984"/>
    </row>
    <row r="985" spans="24:28" x14ac:dyDescent="0.35">
      <c r="X985"/>
      <c r="Y985"/>
      <c r="Z985"/>
      <c r="AA985"/>
      <c r="AB985"/>
    </row>
    <row r="986" spans="24:28" x14ac:dyDescent="0.35">
      <c r="X986"/>
      <c r="Y986"/>
      <c r="Z986"/>
      <c r="AA986"/>
      <c r="AB986"/>
    </row>
    <row r="987" spans="24:28" x14ac:dyDescent="0.35">
      <c r="X987"/>
      <c r="Y987"/>
      <c r="Z987"/>
      <c r="AA987"/>
      <c r="AB987"/>
    </row>
    <row r="988" spans="24:28" x14ac:dyDescent="0.35">
      <c r="X988"/>
      <c r="Y988"/>
      <c r="Z988"/>
      <c r="AA988"/>
      <c r="AB988"/>
    </row>
    <row r="989" spans="24:28" x14ac:dyDescent="0.35">
      <c r="X989"/>
      <c r="Y989"/>
      <c r="Z989"/>
      <c r="AA989"/>
      <c r="AB989"/>
    </row>
    <row r="990" spans="24:28" x14ac:dyDescent="0.35">
      <c r="X990"/>
      <c r="Y990"/>
      <c r="Z990"/>
      <c r="AA990"/>
      <c r="AB990"/>
    </row>
    <row r="991" spans="24:28" x14ac:dyDescent="0.35">
      <c r="X991"/>
      <c r="Y991"/>
      <c r="Z991"/>
      <c r="AA991"/>
      <c r="AB991"/>
    </row>
    <row r="992" spans="24:28" x14ac:dyDescent="0.35">
      <c r="X992"/>
      <c r="Y992"/>
      <c r="Z992"/>
      <c r="AA992"/>
      <c r="AB992"/>
    </row>
    <row r="993" spans="24:28" x14ac:dyDescent="0.35">
      <c r="X993"/>
      <c r="Y993"/>
      <c r="Z993"/>
      <c r="AA993"/>
      <c r="AB993"/>
    </row>
    <row r="994" spans="24:28" x14ac:dyDescent="0.35">
      <c r="X994"/>
      <c r="Y994"/>
      <c r="Z994"/>
      <c r="AA994"/>
      <c r="AB994"/>
    </row>
    <row r="995" spans="24:28" x14ac:dyDescent="0.35">
      <c r="X995"/>
      <c r="Y995"/>
      <c r="Z995"/>
      <c r="AA995"/>
      <c r="AB995"/>
    </row>
    <row r="996" spans="24:28" x14ac:dyDescent="0.35">
      <c r="X996"/>
      <c r="Y996"/>
      <c r="Z996"/>
      <c r="AA996"/>
      <c r="AB996"/>
    </row>
    <row r="997" spans="24:28" x14ac:dyDescent="0.35">
      <c r="X997"/>
      <c r="Y997"/>
      <c r="Z997"/>
      <c r="AA997"/>
      <c r="AB997"/>
    </row>
    <row r="998" spans="24:28" x14ac:dyDescent="0.35">
      <c r="X998"/>
      <c r="Y998"/>
      <c r="Z998"/>
      <c r="AA998"/>
      <c r="AB998"/>
    </row>
    <row r="999" spans="24:28" x14ac:dyDescent="0.35">
      <c r="X999"/>
      <c r="Y999"/>
      <c r="Z999"/>
      <c r="AA999"/>
      <c r="AB999"/>
    </row>
    <row r="1000" spans="24:28" x14ac:dyDescent="0.35">
      <c r="X1000"/>
      <c r="Y1000"/>
      <c r="Z1000"/>
      <c r="AA1000"/>
      <c r="AB1000"/>
    </row>
    <row r="1001" spans="24:28" x14ac:dyDescent="0.35">
      <c r="X1001"/>
      <c r="Y1001"/>
      <c r="Z1001"/>
      <c r="AA1001"/>
      <c r="AB1001"/>
    </row>
    <row r="1002" spans="24:28" x14ac:dyDescent="0.35">
      <c r="X1002"/>
      <c r="Y1002"/>
      <c r="Z1002"/>
      <c r="AA1002"/>
      <c r="AB1002"/>
    </row>
    <row r="1003" spans="24:28" x14ac:dyDescent="0.35">
      <c r="X1003"/>
      <c r="Y1003"/>
      <c r="Z1003"/>
      <c r="AA1003"/>
      <c r="AB1003"/>
    </row>
    <row r="1004" spans="24:28" x14ac:dyDescent="0.35">
      <c r="X1004"/>
      <c r="Y1004"/>
      <c r="Z1004"/>
      <c r="AA1004"/>
      <c r="AB1004"/>
    </row>
    <row r="1005" spans="24:28" x14ac:dyDescent="0.35">
      <c r="X1005"/>
      <c r="Y1005"/>
      <c r="Z1005"/>
      <c r="AA1005"/>
      <c r="AB1005"/>
    </row>
    <row r="1006" spans="24:28" x14ac:dyDescent="0.35">
      <c r="X1006"/>
      <c r="Y1006"/>
      <c r="Z1006"/>
      <c r="AA1006"/>
      <c r="AB1006"/>
    </row>
    <row r="1007" spans="24:28" x14ac:dyDescent="0.35">
      <c r="X1007"/>
      <c r="Y1007"/>
      <c r="Z1007"/>
      <c r="AA1007"/>
      <c r="AB1007"/>
    </row>
    <row r="1008" spans="24:28" x14ac:dyDescent="0.35">
      <c r="X1008"/>
      <c r="Y1008"/>
      <c r="Z1008"/>
      <c r="AA1008"/>
      <c r="AB1008"/>
    </row>
    <row r="1009" spans="24:28" x14ac:dyDescent="0.35">
      <c r="X1009"/>
      <c r="Y1009"/>
      <c r="Z1009"/>
      <c r="AA1009"/>
      <c r="AB1009"/>
    </row>
    <row r="1010" spans="24:28" x14ac:dyDescent="0.35">
      <c r="X1010"/>
      <c r="Y1010"/>
      <c r="Z1010"/>
      <c r="AA1010"/>
      <c r="AB1010"/>
    </row>
    <row r="1011" spans="24:28" x14ac:dyDescent="0.35">
      <c r="X1011"/>
      <c r="Y1011"/>
      <c r="Z1011"/>
      <c r="AA1011"/>
      <c r="AB1011"/>
    </row>
    <row r="1012" spans="24:28" x14ac:dyDescent="0.35">
      <c r="X1012"/>
      <c r="Y1012"/>
      <c r="Z1012"/>
      <c r="AA1012"/>
      <c r="AB1012"/>
    </row>
    <row r="1013" spans="24:28" x14ac:dyDescent="0.35">
      <c r="X1013"/>
      <c r="Y1013"/>
      <c r="Z1013"/>
      <c r="AA1013"/>
      <c r="AB1013"/>
    </row>
    <row r="1014" spans="24:28" x14ac:dyDescent="0.35">
      <c r="X1014"/>
      <c r="Y1014"/>
      <c r="Z1014"/>
      <c r="AA1014"/>
      <c r="AB1014"/>
    </row>
    <row r="1015" spans="24:28" x14ac:dyDescent="0.35">
      <c r="X1015"/>
      <c r="Y1015"/>
      <c r="Z1015"/>
      <c r="AA1015"/>
      <c r="AB1015"/>
    </row>
    <row r="1016" spans="24:28" x14ac:dyDescent="0.35">
      <c r="X1016"/>
      <c r="Y1016"/>
      <c r="Z1016"/>
      <c r="AA1016"/>
      <c r="AB1016"/>
    </row>
    <row r="1017" spans="24:28" x14ac:dyDescent="0.35">
      <c r="X1017"/>
      <c r="Y1017"/>
      <c r="Z1017"/>
      <c r="AA1017"/>
      <c r="AB1017"/>
    </row>
    <row r="1018" spans="24:28" x14ac:dyDescent="0.35">
      <c r="X1018"/>
      <c r="Y1018"/>
      <c r="Z1018"/>
      <c r="AA1018"/>
      <c r="AB1018"/>
    </row>
    <row r="1019" spans="24:28" x14ac:dyDescent="0.35">
      <c r="X1019"/>
      <c r="Y1019"/>
      <c r="Z1019"/>
      <c r="AA1019"/>
      <c r="AB1019"/>
    </row>
    <row r="1020" spans="24:28" x14ac:dyDescent="0.35">
      <c r="X1020"/>
      <c r="Y1020"/>
      <c r="Z1020"/>
      <c r="AA1020"/>
      <c r="AB1020"/>
    </row>
    <row r="1021" spans="24:28" x14ac:dyDescent="0.35">
      <c r="X1021"/>
      <c r="Y1021"/>
      <c r="Z1021"/>
      <c r="AA1021"/>
      <c r="AB1021"/>
    </row>
    <row r="1022" spans="24:28" x14ac:dyDescent="0.35">
      <c r="X1022"/>
      <c r="Y1022"/>
      <c r="Z1022"/>
      <c r="AA1022"/>
      <c r="AB1022"/>
    </row>
    <row r="1023" spans="24:28" x14ac:dyDescent="0.35">
      <c r="X1023"/>
      <c r="Y1023"/>
      <c r="Z1023"/>
      <c r="AA1023"/>
      <c r="AB1023"/>
    </row>
    <row r="1024" spans="24:28" x14ac:dyDescent="0.35">
      <c r="X1024"/>
      <c r="Y1024"/>
      <c r="Z1024"/>
      <c r="AA1024"/>
      <c r="AB1024"/>
    </row>
    <row r="1025" spans="24:28" x14ac:dyDescent="0.35">
      <c r="X1025"/>
      <c r="Y1025"/>
      <c r="Z1025"/>
      <c r="AA1025"/>
      <c r="AB1025"/>
    </row>
    <row r="1026" spans="24:28" x14ac:dyDescent="0.35">
      <c r="X1026"/>
      <c r="Y1026"/>
      <c r="Z1026"/>
      <c r="AA1026"/>
      <c r="AB1026"/>
    </row>
    <row r="1027" spans="24:28" x14ac:dyDescent="0.35">
      <c r="X1027"/>
      <c r="Y1027"/>
      <c r="Z1027"/>
      <c r="AA1027"/>
      <c r="AB1027"/>
    </row>
    <row r="1028" spans="24:28" x14ac:dyDescent="0.35">
      <c r="X1028"/>
      <c r="Y1028"/>
      <c r="Z1028"/>
      <c r="AA1028"/>
      <c r="AB1028"/>
    </row>
    <row r="1029" spans="24:28" x14ac:dyDescent="0.35">
      <c r="X1029"/>
      <c r="Y1029"/>
      <c r="Z1029"/>
      <c r="AA1029"/>
      <c r="AB1029"/>
    </row>
    <row r="1030" spans="24:28" x14ac:dyDescent="0.35">
      <c r="X1030"/>
      <c r="Y1030"/>
      <c r="Z1030"/>
      <c r="AA1030"/>
      <c r="AB1030"/>
    </row>
    <row r="1031" spans="24:28" x14ac:dyDescent="0.35">
      <c r="X1031"/>
      <c r="Y1031"/>
      <c r="Z1031"/>
      <c r="AA1031"/>
      <c r="AB1031"/>
    </row>
    <row r="1032" spans="24:28" x14ac:dyDescent="0.35">
      <c r="X1032"/>
      <c r="Y1032"/>
      <c r="Z1032"/>
      <c r="AA1032"/>
      <c r="AB1032"/>
    </row>
    <row r="1033" spans="24:28" x14ac:dyDescent="0.35">
      <c r="X1033"/>
      <c r="Y1033"/>
      <c r="Z1033"/>
      <c r="AA1033"/>
      <c r="AB1033"/>
    </row>
    <row r="1034" spans="24:28" x14ac:dyDescent="0.35">
      <c r="X1034"/>
      <c r="Y1034"/>
      <c r="Z1034"/>
      <c r="AA1034"/>
      <c r="AB1034"/>
    </row>
    <row r="1035" spans="24:28" x14ac:dyDescent="0.35">
      <c r="X1035"/>
      <c r="Y1035"/>
      <c r="Z1035"/>
      <c r="AA1035"/>
      <c r="AB1035"/>
    </row>
    <row r="1036" spans="24:28" x14ac:dyDescent="0.35">
      <c r="X1036"/>
      <c r="Y1036"/>
      <c r="Z1036"/>
      <c r="AA1036"/>
      <c r="AB1036"/>
    </row>
    <row r="1037" spans="24:28" x14ac:dyDescent="0.35">
      <c r="X1037"/>
      <c r="Y1037"/>
      <c r="Z1037"/>
      <c r="AA1037"/>
      <c r="AB1037"/>
    </row>
    <row r="1038" spans="24:28" x14ac:dyDescent="0.35">
      <c r="X1038"/>
      <c r="Y1038"/>
      <c r="Z1038"/>
      <c r="AA1038"/>
      <c r="AB1038"/>
    </row>
    <row r="1039" spans="24:28" x14ac:dyDescent="0.35">
      <c r="X1039"/>
      <c r="Y1039"/>
      <c r="Z1039"/>
      <c r="AA1039"/>
      <c r="AB1039"/>
    </row>
    <row r="1040" spans="24:28" x14ac:dyDescent="0.35">
      <c r="X1040"/>
      <c r="Y1040"/>
      <c r="Z1040"/>
      <c r="AA1040"/>
      <c r="AB1040"/>
    </row>
    <row r="1041" spans="24:28" x14ac:dyDescent="0.35">
      <c r="X1041"/>
      <c r="Y1041"/>
      <c r="Z1041"/>
      <c r="AA1041"/>
      <c r="AB1041"/>
    </row>
    <row r="1042" spans="24:28" x14ac:dyDescent="0.35">
      <c r="X1042"/>
      <c r="Y1042"/>
      <c r="Z1042"/>
      <c r="AA1042"/>
      <c r="AB1042"/>
    </row>
    <row r="1043" spans="24:28" x14ac:dyDescent="0.35">
      <c r="X1043"/>
      <c r="Y1043"/>
      <c r="Z1043"/>
      <c r="AA1043"/>
      <c r="AB1043"/>
    </row>
    <row r="1044" spans="24:28" x14ac:dyDescent="0.35">
      <c r="X1044"/>
      <c r="Y1044"/>
      <c r="Z1044"/>
      <c r="AA1044"/>
      <c r="AB1044"/>
    </row>
    <row r="1045" spans="24:28" x14ac:dyDescent="0.35">
      <c r="X1045"/>
      <c r="Y1045"/>
      <c r="Z1045"/>
      <c r="AA1045"/>
      <c r="AB1045"/>
    </row>
    <row r="1046" spans="24:28" x14ac:dyDescent="0.35">
      <c r="X1046"/>
      <c r="Y1046"/>
      <c r="Z1046"/>
      <c r="AA1046"/>
      <c r="AB1046"/>
    </row>
    <row r="1047" spans="24:28" x14ac:dyDescent="0.35">
      <c r="X1047"/>
      <c r="Y1047"/>
      <c r="Z1047"/>
      <c r="AA1047"/>
      <c r="AB1047"/>
    </row>
    <row r="1048" spans="24:28" x14ac:dyDescent="0.35">
      <c r="X1048"/>
      <c r="Y1048"/>
      <c r="Z1048"/>
      <c r="AA1048"/>
      <c r="AB1048"/>
    </row>
    <row r="1049" spans="24:28" x14ac:dyDescent="0.35">
      <c r="X1049"/>
      <c r="Y1049"/>
      <c r="Z1049"/>
      <c r="AA1049"/>
      <c r="AB1049"/>
    </row>
    <row r="1050" spans="24:28" x14ac:dyDescent="0.35">
      <c r="X1050"/>
      <c r="Y1050"/>
      <c r="Z1050"/>
      <c r="AA1050"/>
      <c r="AB1050"/>
    </row>
    <row r="1051" spans="24:28" x14ac:dyDescent="0.35">
      <c r="X1051"/>
      <c r="Y1051"/>
      <c r="Z1051"/>
      <c r="AA1051"/>
      <c r="AB1051"/>
    </row>
    <row r="1052" spans="24:28" x14ac:dyDescent="0.35">
      <c r="X1052"/>
      <c r="Y1052"/>
      <c r="Z1052"/>
      <c r="AA1052"/>
      <c r="AB1052"/>
    </row>
    <row r="1053" spans="24:28" x14ac:dyDescent="0.35">
      <c r="X1053"/>
      <c r="Y1053"/>
      <c r="Z1053"/>
      <c r="AA1053"/>
      <c r="AB1053"/>
    </row>
    <row r="1054" spans="24:28" x14ac:dyDescent="0.35">
      <c r="X1054"/>
      <c r="Y1054"/>
      <c r="Z1054"/>
      <c r="AA1054"/>
      <c r="AB1054"/>
    </row>
    <row r="1055" spans="24:28" x14ac:dyDescent="0.35">
      <c r="X1055"/>
      <c r="Y1055"/>
      <c r="Z1055"/>
      <c r="AA1055"/>
      <c r="AB1055"/>
    </row>
    <row r="1056" spans="24:28" x14ac:dyDescent="0.35">
      <c r="X1056"/>
      <c r="Y1056"/>
      <c r="Z1056"/>
      <c r="AA1056"/>
      <c r="AB1056"/>
    </row>
    <row r="1057" spans="24:28" x14ac:dyDescent="0.35">
      <c r="X1057"/>
      <c r="Y1057"/>
      <c r="Z1057"/>
      <c r="AA1057"/>
      <c r="AB1057"/>
    </row>
    <row r="1058" spans="24:28" x14ac:dyDescent="0.35">
      <c r="X1058"/>
      <c r="Y1058"/>
      <c r="Z1058"/>
      <c r="AA1058"/>
      <c r="AB1058"/>
    </row>
    <row r="1059" spans="24:28" x14ac:dyDescent="0.35">
      <c r="X1059"/>
      <c r="Y1059"/>
      <c r="Z1059"/>
      <c r="AA1059"/>
      <c r="AB1059"/>
    </row>
    <row r="1060" spans="24:28" x14ac:dyDescent="0.35">
      <c r="X1060"/>
      <c r="Y1060"/>
      <c r="Z1060"/>
      <c r="AA1060"/>
      <c r="AB1060"/>
    </row>
    <row r="1061" spans="24:28" x14ac:dyDescent="0.35">
      <c r="X1061"/>
      <c r="Y1061"/>
      <c r="Z1061"/>
      <c r="AA1061"/>
      <c r="AB1061"/>
    </row>
    <row r="1062" spans="24:28" x14ac:dyDescent="0.35">
      <c r="X1062"/>
      <c r="Y1062"/>
      <c r="Z1062"/>
      <c r="AA1062"/>
      <c r="AB1062"/>
    </row>
    <row r="1063" spans="24:28" x14ac:dyDescent="0.35">
      <c r="X1063"/>
      <c r="Y1063"/>
      <c r="Z1063"/>
      <c r="AA1063"/>
      <c r="AB1063"/>
    </row>
    <row r="1064" spans="24:28" x14ac:dyDescent="0.35">
      <c r="X1064"/>
      <c r="Y1064"/>
      <c r="Z1064"/>
      <c r="AA1064"/>
      <c r="AB1064"/>
    </row>
    <row r="1065" spans="24:28" x14ac:dyDescent="0.35">
      <c r="X1065"/>
      <c r="Y1065"/>
      <c r="Z1065"/>
      <c r="AA1065"/>
      <c r="AB1065"/>
    </row>
    <row r="1066" spans="24:28" x14ac:dyDescent="0.35">
      <c r="X1066"/>
      <c r="Y1066"/>
      <c r="Z1066"/>
      <c r="AA1066"/>
      <c r="AB1066"/>
    </row>
    <row r="1067" spans="24:28" x14ac:dyDescent="0.35">
      <c r="X1067"/>
      <c r="Y1067"/>
      <c r="Z1067"/>
      <c r="AA1067"/>
      <c r="AB1067"/>
    </row>
    <row r="1068" spans="24:28" x14ac:dyDescent="0.35">
      <c r="X1068"/>
      <c r="Y1068"/>
      <c r="Z1068"/>
      <c r="AA1068"/>
      <c r="AB1068"/>
    </row>
    <row r="1069" spans="24:28" x14ac:dyDescent="0.35">
      <c r="X1069"/>
      <c r="Y1069"/>
      <c r="Z1069"/>
      <c r="AA1069"/>
      <c r="AB1069"/>
    </row>
    <row r="1070" spans="24:28" x14ac:dyDescent="0.35">
      <c r="X1070"/>
      <c r="Y1070"/>
      <c r="Z1070"/>
      <c r="AA1070"/>
      <c r="AB1070"/>
    </row>
    <row r="1071" spans="24:28" x14ac:dyDescent="0.35">
      <c r="X1071"/>
      <c r="Y1071"/>
      <c r="Z1071"/>
      <c r="AA1071"/>
      <c r="AB1071"/>
    </row>
    <row r="1072" spans="24:28" x14ac:dyDescent="0.35">
      <c r="X1072"/>
      <c r="Y1072"/>
      <c r="Z1072"/>
      <c r="AA1072"/>
      <c r="AB1072"/>
    </row>
    <row r="1073" spans="24:28" x14ac:dyDescent="0.35">
      <c r="X1073"/>
      <c r="Y1073"/>
      <c r="Z1073"/>
      <c r="AA1073"/>
      <c r="AB1073"/>
    </row>
    <row r="1074" spans="24:28" x14ac:dyDescent="0.35">
      <c r="X1074"/>
      <c r="Y1074"/>
      <c r="Z1074"/>
      <c r="AA1074"/>
      <c r="AB1074"/>
    </row>
    <row r="1075" spans="24:28" x14ac:dyDescent="0.35">
      <c r="X1075"/>
      <c r="Y1075"/>
      <c r="Z1075"/>
      <c r="AA1075"/>
      <c r="AB1075"/>
    </row>
    <row r="1076" spans="24:28" x14ac:dyDescent="0.35">
      <c r="X1076"/>
      <c r="Y1076"/>
      <c r="Z1076"/>
      <c r="AA1076"/>
      <c r="AB1076"/>
    </row>
    <row r="1077" spans="24:28" x14ac:dyDescent="0.35">
      <c r="X1077"/>
      <c r="Y1077"/>
      <c r="Z1077"/>
      <c r="AA1077"/>
      <c r="AB1077"/>
    </row>
    <row r="1078" spans="24:28" x14ac:dyDescent="0.35">
      <c r="X1078"/>
      <c r="Y1078"/>
      <c r="Z1078"/>
      <c r="AA1078"/>
      <c r="AB1078"/>
    </row>
    <row r="1079" spans="24:28" x14ac:dyDescent="0.35">
      <c r="X1079"/>
      <c r="Y1079"/>
      <c r="Z1079"/>
      <c r="AA1079"/>
      <c r="AB1079"/>
    </row>
    <row r="1080" spans="24:28" x14ac:dyDescent="0.35">
      <c r="X1080"/>
      <c r="Y1080"/>
      <c r="Z1080"/>
      <c r="AA1080"/>
      <c r="AB1080"/>
    </row>
    <row r="1081" spans="24:28" x14ac:dyDescent="0.35">
      <c r="X1081"/>
      <c r="Y1081"/>
      <c r="Z1081"/>
      <c r="AA1081"/>
      <c r="AB1081"/>
    </row>
    <row r="1082" spans="24:28" x14ac:dyDescent="0.35">
      <c r="X1082"/>
      <c r="Y1082"/>
      <c r="Z1082"/>
      <c r="AA1082"/>
      <c r="AB1082"/>
    </row>
    <row r="1083" spans="24:28" x14ac:dyDescent="0.35">
      <c r="X1083"/>
      <c r="Y1083"/>
      <c r="Z1083"/>
      <c r="AA1083"/>
      <c r="AB1083"/>
    </row>
    <row r="1084" spans="24:28" x14ac:dyDescent="0.35">
      <c r="X1084"/>
      <c r="Y1084"/>
      <c r="Z1084"/>
      <c r="AA1084"/>
      <c r="AB1084"/>
    </row>
    <row r="1085" spans="24:28" x14ac:dyDescent="0.35">
      <c r="X1085"/>
      <c r="Y1085"/>
      <c r="Z1085"/>
      <c r="AA1085"/>
      <c r="AB1085"/>
    </row>
    <row r="1086" spans="24:28" x14ac:dyDescent="0.35">
      <c r="X1086"/>
      <c r="Y1086"/>
      <c r="Z1086"/>
      <c r="AA1086"/>
      <c r="AB1086"/>
    </row>
    <row r="1087" spans="24:28" x14ac:dyDescent="0.35">
      <c r="X1087"/>
      <c r="Y1087"/>
      <c r="Z1087"/>
      <c r="AA1087"/>
      <c r="AB1087"/>
    </row>
    <row r="1088" spans="24:28" x14ac:dyDescent="0.35">
      <c r="X1088"/>
      <c r="Y1088"/>
      <c r="Z1088"/>
      <c r="AA1088"/>
      <c r="AB1088"/>
    </row>
    <row r="1089" spans="24:28" x14ac:dyDescent="0.35">
      <c r="X1089"/>
      <c r="Y1089"/>
      <c r="Z1089"/>
      <c r="AA1089"/>
      <c r="AB1089"/>
    </row>
    <row r="1090" spans="24:28" x14ac:dyDescent="0.35">
      <c r="X1090"/>
      <c r="Y1090"/>
      <c r="Z1090"/>
      <c r="AA1090"/>
      <c r="AB1090"/>
    </row>
    <row r="1091" spans="24:28" x14ac:dyDescent="0.35">
      <c r="X1091"/>
      <c r="Y1091"/>
      <c r="Z1091"/>
      <c r="AA1091"/>
      <c r="AB1091"/>
    </row>
    <row r="1092" spans="24:28" x14ac:dyDescent="0.35">
      <c r="X1092"/>
      <c r="Y1092"/>
      <c r="Z1092"/>
      <c r="AA1092"/>
      <c r="AB1092"/>
    </row>
    <row r="1093" spans="24:28" x14ac:dyDescent="0.35">
      <c r="X1093"/>
      <c r="Y1093"/>
      <c r="Z1093"/>
      <c r="AA1093"/>
      <c r="AB1093"/>
    </row>
    <row r="1094" spans="24:28" x14ac:dyDescent="0.35">
      <c r="X1094"/>
      <c r="Y1094"/>
      <c r="Z1094"/>
      <c r="AA1094"/>
      <c r="AB1094"/>
    </row>
    <row r="1095" spans="24:28" x14ac:dyDescent="0.35">
      <c r="X1095"/>
      <c r="Y1095"/>
      <c r="Z1095"/>
      <c r="AA1095"/>
      <c r="AB1095"/>
    </row>
    <row r="1096" spans="24:28" x14ac:dyDescent="0.35">
      <c r="X1096"/>
      <c r="Y1096"/>
      <c r="Z1096"/>
      <c r="AA1096"/>
      <c r="AB1096"/>
    </row>
    <row r="1097" spans="24:28" x14ac:dyDescent="0.35">
      <c r="X1097"/>
      <c r="Y1097"/>
      <c r="Z1097"/>
      <c r="AA1097"/>
      <c r="AB1097"/>
    </row>
    <row r="1098" spans="24:28" x14ac:dyDescent="0.35">
      <c r="X1098"/>
      <c r="Y1098"/>
      <c r="Z1098"/>
      <c r="AA1098"/>
      <c r="AB1098"/>
    </row>
    <row r="1099" spans="24:28" x14ac:dyDescent="0.35">
      <c r="X1099"/>
      <c r="Y1099"/>
      <c r="Z1099"/>
      <c r="AA1099"/>
      <c r="AB1099"/>
    </row>
    <row r="1100" spans="24:28" x14ac:dyDescent="0.35">
      <c r="X1100"/>
      <c r="Y1100"/>
      <c r="Z1100"/>
      <c r="AA1100"/>
      <c r="AB1100"/>
    </row>
    <row r="1101" spans="24:28" x14ac:dyDescent="0.35">
      <c r="X1101"/>
      <c r="Y1101"/>
      <c r="Z1101"/>
      <c r="AA1101"/>
      <c r="AB1101"/>
    </row>
    <row r="1102" spans="24:28" x14ac:dyDescent="0.35">
      <c r="X1102"/>
      <c r="Y1102"/>
      <c r="Z1102"/>
      <c r="AA1102"/>
      <c r="AB1102"/>
    </row>
    <row r="1103" spans="24:28" x14ac:dyDescent="0.35">
      <c r="X1103"/>
      <c r="Y1103"/>
      <c r="Z1103"/>
      <c r="AA1103"/>
      <c r="AB1103"/>
    </row>
    <row r="1104" spans="24:28" x14ac:dyDescent="0.35">
      <c r="X1104"/>
      <c r="Y1104"/>
      <c r="Z1104"/>
      <c r="AA1104"/>
      <c r="AB1104"/>
    </row>
    <row r="1105" spans="24:28" x14ac:dyDescent="0.35">
      <c r="X1105"/>
      <c r="Y1105"/>
      <c r="Z1105"/>
      <c r="AA1105"/>
      <c r="AB1105"/>
    </row>
    <row r="1106" spans="24:28" x14ac:dyDescent="0.35">
      <c r="X1106"/>
      <c r="Y1106"/>
      <c r="Z1106"/>
      <c r="AA1106"/>
      <c r="AB1106"/>
    </row>
    <row r="1107" spans="24:28" x14ac:dyDescent="0.35">
      <c r="X1107"/>
      <c r="Y1107"/>
      <c r="Z1107"/>
      <c r="AA1107"/>
      <c r="AB1107"/>
    </row>
    <row r="1108" spans="24:28" x14ac:dyDescent="0.35">
      <c r="X1108"/>
      <c r="Y1108"/>
      <c r="Z1108"/>
      <c r="AA1108"/>
      <c r="AB1108"/>
    </row>
    <row r="1109" spans="24:28" x14ac:dyDescent="0.35">
      <c r="X1109"/>
      <c r="Y1109"/>
      <c r="Z1109"/>
      <c r="AA1109"/>
      <c r="AB1109"/>
    </row>
    <row r="1110" spans="24:28" x14ac:dyDescent="0.35">
      <c r="X1110"/>
      <c r="Y1110"/>
      <c r="Z1110"/>
      <c r="AA1110"/>
      <c r="AB1110"/>
    </row>
    <row r="1111" spans="24:28" x14ac:dyDescent="0.35">
      <c r="X1111"/>
      <c r="Y1111"/>
      <c r="Z1111"/>
      <c r="AA1111"/>
      <c r="AB1111"/>
    </row>
    <row r="1112" spans="24:28" x14ac:dyDescent="0.35">
      <c r="X1112"/>
      <c r="Y1112"/>
      <c r="Z1112"/>
      <c r="AA1112"/>
      <c r="AB1112"/>
    </row>
    <row r="1113" spans="24:28" x14ac:dyDescent="0.35">
      <c r="X1113"/>
      <c r="Y1113"/>
      <c r="Z1113"/>
      <c r="AA1113"/>
      <c r="AB1113"/>
    </row>
    <row r="1114" spans="24:28" x14ac:dyDescent="0.35">
      <c r="X1114"/>
      <c r="Y1114"/>
      <c r="Z1114"/>
      <c r="AA1114"/>
      <c r="AB1114"/>
    </row>
    <row r="1115" spans="24:28" x14ac:dyDescent="0.35">
      <c r="X1115"/>
      <c r="Y1115"/>
      <c r="Z1115"/>
      <c r="AA1115"/>
      <c r="AB1115"/>
    </row>
    <row r="1116" spans="24:28" x14ac:dyDescent="0.35">
      <c r="X1116"/>
      <c r="Y1116"/>
      <c r="Z1116"/>
      <c r="AA1116"/>
      <c r="AB1116"/>
    </row>
    <row r="1117" spans="24:28" x14ac:dyDescent="0.35">
      <c r="X1117"/>
      <c r="Y1117"/>
      <c r="Z1117"/>
      <c r="AA1117"/>
      <c r="AB1117"/>
    </row>
    <row r="1118" spans="24:28" x14ac:dyDescent="0.35">
      <c r="X1118"/>
      <c r="Y1118"/>
      <c r="Z1118"/>
      <c r="AA1118"/>
      <c r="AB1118"/>
    </row>
    <row r="1119" spans="24:28" x14ac:dyDescent="0.35">
      <c r="X1119"/>
      <c r="Y1119"/>
      <c r="Z1119"/>
      <c r="AA1119"/>
      <c r="AB1119"/>
    </row>
    <row r="1120" spans="24:28" x14ac:dyDescent="0.35">
      <c r="X1120"/>
      <c r="Y1120"/>
      <c r="Z1120"/>
      <c r="AA1120"/>
      <c r="AB1120"/>
    </row>
    <row r="1121" spans="24:28" x14ac:dyDescent="0.35">
      <c r="X1121"/>
      <c r="Y1121"/>
      <c r="Z1121"/>
      <c r="AA1121"/>
      <c r="AB1121"/>
    </row>
    <row r="1122" spans="24:28" x14ac:dyDescent="0.35">
      <c r="X1122"/>
      <c r="Y1122"/>
      <c r="Z1122"/>
      <c r="AA1122"/>
      <c r="AB1122"/>
    </row>
    <row r="1123" spans="24:28" x14ac:dyDescent="0.35">
      <c r="X1123"/>
      <c r="Y1123"/>
      <c r="Z1123"/>
      <c r="AA1123"/>
      <c r="AB1123"/>
    </row>
    <row r="1124" spans="24:28" x14ac:dyDescent="0.35">
      <c r="X1124"/>
      <c r="Y1124"/>
      <c r="Z1124"/>
      <c r="AA1124"/>
      <c r="AB1124"/>
    </row>
    <row r="1125" spans="24:28" x14ac:dyDescent="0.35">
      <c r="X1125"/>
      <c r="Y1125"/>
      <c r="Z1125"/>
      <c r="AA1125"/>
      <c r="AB1125"/>
    </row>
    <row r="1126" spans="24:28" x14ac:dyDescent="0.35">
      <c r="X1126"/>
      <c r="Y1126"/>
      <c r="Z1126"/>
      <c r="AA1126"/>
      <c r="AB1126"/>
    </row>
    <row r="1127" spans="24:28" x14ac:dyDescent="0.35">
      <c r="X1127"/>
      <c r="Y1127"/>
      <c r="Z1127"/>
      <c r="AA1127"/>
      <c r="AB1127"/>
    </row>
    <row r="1128" spans="24:28" x14ac:dyDescent="0.35">
      <c r="X1128"/>
      <c r="Y1128"/>
      <c r="Z1128"/>
      <c r="AA1128"/>
      <c r="AB1128"/>
    </row>
    <row r="1129" spans="24:28" x14ac:dyDescent="0.35">
      <c r="X1129"/>
      <c r="Y1129"/>
      <c r="Z1129"/>
      <c r="AA1129"/>
      <c r="AB1129"/>
    </row>
    <row r="1130" spans="24:28" x14ac:dyDescent="0.35">
      <c r="X1130"/>
      <c r="Y1130"/>
      <c r="Z1130"/>
      <c r="AA1130"/>
      <c r="AB1130"/>
    </row>
    <row r="1131" spans="24:28" x14ac:dyDescent="0.35">
      <c r="X1131"/>
      <c r="Y1131"/>
      <c r="Z1131"/>
      <c r="AA1131"/>
      <c r="AB1131"/>
    </row>
    <row r="1132" spans="24:28" x14ac:dyDescent="0.35">
      <c r="X1132"/>
      <c r="Y1132"/>
      <c r="Z1132"/>
      <c r="AA1132"/>
      <c r="AB1132"/>
    </row>
    <row r="1133" spans="24:28" x14ac:dyDescent="0.35">
      <c r="X1133"/>
      <c r="Y1133"/>
      <c r="Z1133"/>
      <c r="AA1133"/>
      <c r="AB1133"/>
    </row>
    <row r="1134" spans="24:28" x14ac:dyDescent="0.35">
      <c r="X1134"/>
      <c r="Y1134"/>
      <c r="Z1134"/>
      <c r="AA1134"/>
      <c r="AB1134"/>
    </row>
    <row r="1135" spans="24:28" x14ac:dyDescent="0.35">
      <c r="X1135"/>
      <c r="Y1135"/>
      <c r="Z1135"/>
      <c r="AA1135"/>
      <c r="AB1135"/>
    </row>
    <row r="1136" spans="24:28" x14ac:dyDescent="0.35">
      <c r="X1136"/>
      <c r="Y1136"/>
      <c r="Z1136"/>
      <c r="AA1136"/>
      <c r="AB1136"/>
    </row>
    <row r="1137" spans="24:28" x14ac:dyDescent="0.35">
      <c r="X1137"/>
      <c r="Y1137"/>
      <c r="Z1137"/>
      <c r="AA1137"/>
      <c r="AB1137"/>
    </row>
    <row r="1138" spans="24:28" x14ac:dyDescent="0.35">
      <c r="X1138"/>
      <c r="Y1138"/>
      <c r="Z1138"/>
      <c r="AA1138"/>
      <c r="AB1138"/>
    </row>
    <row r="1139" spans="24:28" x14ac:dyDescent="0.35">
      <c r="X1139"/>
      <c r="Y1139"/>
      <c r="Z1139"/>
      <c r="AA1139"/>
      <c r="AB1139"/>
    </row>
    <row r="1140" spans="24:28" x14ac:dyDescent="0.35">
      <c r="X1140"/>
      <c r="Y1140"/>
      <c r="Z1140"/>
      <c r="AA1140"/>
      <c r="AB1140"/>
    </row>
    <row r="1141" spans="24:28" x14ac:dyDescent="0.35">
      <c r="X1141"/>
      <c r="Y1141"/>
      <c r="Z1141"/>
      <c r="AA1141"/>
      <c r="AB1141"/>
    </row>
    <row r="1142" spans="24:28" x14ac:dyDescent="0.35">
      <c r="X1142"/>
      <c r="Y1142"/>
      <c r="Z1142"/>
      <c r="AA1142"/>
      <c r="AB1142"/>
    </row>
    <row r="1143" spans="24:28" x14ac:dyDescent="0.35">
      <c r="X1143"/>
      <c r="Y1143"/>
      <c r="Z1143"/>
      <c r="AA1143"/>
      <c r="AB1143"/>
    </row>
    <row r="1144" spans="24:28" x14ac:dyDescent="0.35">
      <c r="X1144"/>
      <c r="Y1144"/>
      <c r="Z1144"/>
      <c r="AA1144"/>
      <c r="AB1144"/>
    </row>
    <row r="1145" spans="24:28" x14ac:dyDescent="0.35">
      <c r="X1145"/>
      <c r="Y1145"/>
      <c r="Z1145"/>
      <c r="AA1145"/>
      <c r="AB1145"/>
    </row>
    <row r="1146" spans="24:28" x14ac:dyDescent="0.35">
      <c r="X1146"/>
      <c r="Y1146"/>
      <c r="Z1146"/>
      <c r="AA1146"/>
      <c r="AB1146"/>
    </row>
    <row r="1147" spans="24:28" x14ac:dyDescent="0.35">
      <c r="X1147"/>
      <c r="Y1147"/>
      <c r="Z1147"/>
      <c r="AA1147"/>
      <c r="AB1147"/>
    </row>
    <row r="1148" spans="24:28" x14ac:dyDescent="0.35">
      <c r="X1148"/>
      <c r="Y1148"/>
      <c r="Z1148"/>
      <c r="AA1148"/>
      <c r="AB1148"/>
    </row>
    <row r="1149" spans="24:28" x14ac:dyDescent="0.35">
      <c r="X1149"/>
      <c r="Y1149"/>
      <c r="Z1149"/>
      <c r="AA1149"/>
      <c r="AB1149"/>
    </row>
    <row r="1150" spans="24:28" x14ac:dyDescent="0.35">
      <c r="X1150"/>
      <c r="Y1150"/>
      <c r="Z1150"/>
      <c r="AA1150"/>
      <c r="AB1150"/>
    </row>
    <row r="1151" spans="24:28" x14ac:dyDescent="0.35">
      <c r="X1151"/>
      <c r="Y1151"/>
      <c r="Z1151"/>
      <c r="AA1151"/>
      <c r="AB1151"/>
    </row>
    <row r="1152" spans="24:28" x14ac:dyDescent="0.35">
      <c r="X1152"/>
      <c r="Y1152"/>
      <c r="Z1152"/>
      <c r="AA1152"/>
      <c r="AB1152"/>
    </row>
    <row r="1153" spans="24:28" x14ac:dyDescent="0.35">
      <c r="X1153"/>
      <c r="Y1153"/>
      <c r="Z1153"/>
      <c r="AA1153"/>
      <c r="AB1153"/>
    </row>
    <row r="1154" spans="24:28" x14ac:dyDescent="0.35">
      <c r="X1154"/>
      <c r="Y1154"/>
      <c r="Z1154"/>
      <c r="AA1154"/>
      <c r="AB1154"/>
    </row>
    <row r="1155" spans="24:28" x14ac:dyDescent="0.35">
      <c r="X1155"/>
      <c r="Y1155"/>
      <c r="Z1155"/>
      <c r="AA1155"/>
      <c r="AB1155"/>
    </row>
    <row r="1156" spans="24:28" x14ac:dyDescent="0.35">
      <c r="X1156"/>
      <c r="Y1156"/>
      <c r="Z1156"/>
      <c r="AA1156"/>
      <c r="AB1156"/>
    </row>
    <row r="1157" spans="24:28" x14ac:dyDescent="0.35">
      <c r="X1157"/>
      <c r="Y1157"/>
      <c r="Z1157"/>
      <c r="AA1157"/>
      <c r="AB1157"/>
    </row>
    <row r="1158" spans="24:28" x14ac:dyDescent="0.35">
      <c r="X1158"/>
      <c r="Y1158"/>
      <c r="Z1158"/>
      <c r="AA1158"/>
      <c r="AB1158"/>
    </row>
    <row r="1159" spans="24:28" x14ac:dyDescent="0.35">
      <c r="X1159"/>
      <c r="Y1159"/>
      <c r="Z1159"/>
      <c r="AA1159"/>
      <c r="AB1159"/>
    </row>
    <row r="1160" spans="24:28" x14ac:dyDescent="0.35">
      <c r="X1160"/>
      <c r="Y1160"/>
      <c r="Z1160"/>
      <c r="AA1160"/>
      <c r="AB1160"/>
    </row>
    <row r="1161" spans="24:28" x14ac:dyDescent="0.35">
      <c r="X1161"/>
      <c r="Y1161"/>
      <c r="Z1161"/>
      <c r="AA1161"/>
      <c r="AB1161"/>
    </row>
    <row r="1162" spans="24:28" x14ac:dyDescent="0.35">
      <c r="X1162"/>
      <c r="Y1162"/>
      <c r="Z1162"/>
      <c r="AA1162"/>
      <c r="AB1162"/>
    </row>
    <row r="1163" spans="24:28" x14ac:dyDescent="0.35">
      <c r="X1163"/>
      <c r="Y1163"/>
      <c r="Z1163"/>
      <c r="AA1163"/>
      <c r="AB1163"/>
    </row>
    <row r="1164" spans="24:28" x14ac:dyDescent="0.35">
      <c r="X1164"/>
      <c r="Y1164"/>
      <c r="Z1164"/>
      <c r="AA1164"/>
      <c r="AB1164"/>
    </row>
    <row r="1165" spans="24:28" x14ac:dyDescent="0.35">
      <c r="X1165"/>
      <c r="Y1165"/>
      <c r="Z1165"/>
      <c r="AA1165"/>
      <c r="AB1165"/>
    </row>
    <row r="1166" spans="24:28" x14ac:dyDescent="0.35">
      <c r="X1166"/>
      <c r="Y1166"/>
      <c r="Z1166"/>
      <c r="AA1166"/>
      <c r="AB1166"/>
    </row>
    <row r="1167" spans="24:28" x14ac:dyDescent="0.35">
      <c r="X1167"/>
      <c r="Y1167"/>
      <c r="Z1167"/>
      <c r="AA1167"/>
      <c r="AB1167"/>
    </row>
    <row r="1168" spans="24:28" x14ac:dyDescent="0.35">
      <c r="X1168"/>
      <c r="Y1168"/>
      <c r="Z1168"/>
      <c r="AA1168"/>
      <c r="AB1168"/>
    </row>
    <row r="1169" spans="24:28" x14ac:dyDescent="0.35">
      <c r="X1169"/>
      <c r="Y1169"/>
      <c r="Z1169"/>
      <c r="AA1169"/>
      <c r="AB1169"/>
    </row>
    <row r="1170" spans="24:28" x14ac:dyDescent="0.35">
      <c r="X1170"/>
      <c r="Y1170"/>
      <c r="Z1170"/>
      <c r="AA1170"/>
      <c r="AB1170"/>
    </row>
    <row r="1171" spans="24:28" x14ac:dyDescent="0.35">
      <c r="X1171"/>
      <c r="Y1171"/>
      <c r="Z1171"/>
      <c r="AA1171"/>
      <c r="AB1171"/>
    </row>
    <row r="1172" spans="24:28" x14ac:dyDescent="0.35">
      <c r="X1172"/>
      <c r="Y1172"/>
      <c r="Z1172"/>
      <c r="AA1172"/>
      <c r="AB1172"/>
    </row>
    <row r="1173" spans="24:28" x14ac:dyDescent="0.35">
      <c r="X1173"/>
      <c r="Y1173"/>
      <c r="Z1173"/>
      <c r="AA1173"/>
      <c r="AB1173"/>
    </row>
    <row r="1174" spans="24:28" x14ac:dyDescent="0.35">
      <c r="X1174"/>
      <c r="Y1174"/>
      <c r="Z1174"/>
      <c r="AA1174"/>
      <c r="AB1174"/>
    </row>
    <row r="1175" spans="24:28" x14ac:dyDescent="0.35">
      <c r="X1175"/>
      <c r="Y1175"/>
      <c r="Z1175"/>
      <c r="AA1175"/>
      <c r="AB1175"/>
    </row>
    <row r="1176" spans="24:28" x14ac:dyDescent="0.35">
      <c r="X1176"/>
      <c r="Y1176"/>
      <c r="Z1176"/>
      <c r="AA1176"/>
      <c r="AB1176"/>
    </row>
    <row r="1177" spans="24:28" x14ac:dyDescent="0.35">
      <c r="X1177"/>
      <c r="Y1177"/>
      <c r="Z1177"/>
      <c r="AA1177"/>
      <c r="AB1177"/>
    </row>
    <row r="1178" spans="24:28" x14ac:dyDescent="0.35">
      <c r="X1178"/>
      <c r="Y1178"/>
      <c r="Z1178"/>
      <c r="AA1178"/>
      <c r="AB1178"/>
    </row>
    <row r="1179" spans="24:28" x14ac:dyDescent="0.35">
      <c r="X1179"/>
      <c r="Y1179"/>
      <c r="Z1179"/>
      <c r="AA1179"/>
      <c r="AB1179"/>
    </row>
    <row r="1180" spans="24:28" x14ac:dyDescent="0.35">
      <c r="X1180"/>
      <c r="Y1180"/>
      <c r="Z1180"/>
      <c r="AA1180"/>
      <c r="AB1180"/>
    </row>
    <row r="1181" spans="24:28" x14ac:dyDescent="0.35">
      <c r="X1181"/>
      <c r="Y1181"/>
      <c r="Z1181"/>
      <c r="AA1181"/>
      <c r="AB1181"/>
    </row>
    <row r="1182" spans="24:28" x14ac:dyDescent="0.35">
      <c r="X1182"/>
      <c r="Y1182"/>
      <c r="Z1182"/>
      <c r="AA1182"/>
      <c r="AB1182"/>
    </row>
    <row r="1183" spans="24:28" x14ac:dyDescent="0.35">
      <c r="X1183"/>
      <c r="Y1183"/>
      <c r="Z1183"/>
      <c r="AA1183"/>
      <c r="AB1183"/>
    </row>
    <row r="1184" spans="24:28" x14ac:dyDescent="0.35">
      <c r="X1184"/>
      <c r="Y1184"/>
      <c r="Z1184"/>
      <c r="AA1184"/>
      <c r="AB1184"/>
    </row>
    <row r="1185" spans="24:28" x14ac:dyDescent="0.35">
      <c r="X1185"/>
      <c r="Y1185"/>
      <c r="Z1185"/>
      <c r="AA1185"/>
      <c r="AB1185"/>
    </row>
    <row r="1186" spans="24:28" x14ac:dyDescent="0.35">
      <c r="X1186"/>
      <c r="Y1186"/>
      <c r="Z1186"/>
      <c r="AA1186"/>
      <c r="AB1186"/>
    </row>
    <row r="1187" spans="24:28" x14ac:dyDescent="0.35">
      <c r="X1187"/>
      <c r="Y1187"/>
      <c r="Z1187"/>
      <c r="AA1187"/>
      <c r="AB1187"/>
    </row>
    <row r="1188" spans="24:28" x14ac:dyDescent="0.35">
      <c r="X1188"/>
      <c r="Y1188"/>
      <c r="Z1188"/>
      <c r="AA1188"/>
      <c r="AB1188"/>
    </row>
    <row r="1189" spans="24:28" x14ac:dyDescent="0.35">
      <c r="X1189"/>
      <c r="Y1189"/>
      <c r="Z1189"/>
      <c r="AA1189"/>
      <c r="AB1189"/>
    </row>
    <row r="1190" spans="24:28" x14ac:dyDescent="0.35">
      <c r="X1190"/>
      <c r="Y1190"/>
      <c r="Z1190"/>
      <c r="AA1190"/>
      <c r="AB1190"/>
    </row>
    <row r="1191" spans="24:28" x14ac:dyDescent="0.35">
      <c r="X1191"/>
      <c r="Y1191"/>
      <c r="Z1191"/>
      <c r="AA1191"/>
      <c r="AB1191"/>
    </row>
    <row r="1192" spans="24:28" x14ac:dyDescent="0.35">
      <c r="X1192"/>
      <c r="Y1192"/>
      <c r="Z1192"/>
      <c r="AA1192"/>
      <c r="AB1192"/>
    </row>
    <row r="1193" spans="24:28" x14ac:dyDescent="0.35">
      <c r="X1193"/>
      <c r="Y1193"/>
      <c r="Z1193"/>
      <c r="AA1193"/>
      <c r="AB1193"/>
    </row>
    <row r="1194" spans="24:28" x14ac:dyDescent="0.35">
      <c r="X1194"/>
      <c r="Y1194"/>
      <c r="Z1194"/>
      <c r="AA1194"/>
      <c r="AB1194"/>
    </row>
    <row r="1195" spans="24:28" x14ac:dyDescent="0.35">
      <c r="X1195"/>
      <c r="Y1195"/>
      <c r="Z1195"/>
      <c r="AA1195"/>
      <c r="AB1195"/>
    </row>
    <row r="1196" spans="24:28" x14ac:dyDescent="0.35">
      <c r="X1196"/>
      <c r="Y1196"/>
      <c r="Z1196"/>
      <c r="AA1196"/>
      <c r="AB1196"/>
    </row>
    <row r="1197" spans="24:28" x14ac:dyDescent="0.35">
      <c r="X1197"/>
      <c r="Y1197"/>
      <c r="Z1197"/>
      <c r="AA1197"/>
      <c r="AB1197"/>
    </row>
    <row r="1198" spans="24:28" x14ac:dyDescent="0.35">
      <c r="X1198"/>
      <c r="Y1198"/>
      <c r="Z1198"/>
      <c r="AA1198"/>
      <c r="AB1198"/>
    </row>
    <row r="1199" spans="24:28" x14ac:dyDescent="0.35">
      <c r="X1199"/>
      <c r="Y1199"/>
      <c r="Z1199"/>
      <c r="AA1199"/>
      <c r="AB1199"/>
    </row>
    <row r="1200" spans="24:28" x14ac:dyDescent="0.35">
      <c r="X1200"/>
      <c r="Y1200"/>
      <c r="Z1200"/>
      <c r="AA1200"/>
      <c r="AB1200"/>
    </row>
    <row r="1201" spans="24:28" x14ac:dyDescent="0.35">
      <c r="X1201"/>
      <c r="Y1201"/>
      <c r="Z1201"/>
      <c r="AA1201"/>
      <c r="AB1201"/>
    </row>
    <row r="1202" spans="24:28" x14ac:dyDescent="0.35">
      <c r="X1202"/>
      <c r="Y1202"/>
      <c r="Z1202"/>
      <c r="AA1202"/>
      <c r="AB1202"/>
    </row>
    <row r="1203" spans="24:28" x14ac:dyDescent="0.35">
      <c r="X1203"/>
      <c r="Y1203"/>
      <c r="Z1203"/>
      <c r="AA1203"/>
      <c r="AB1203"/>
    </row>
    <row r="1204" spans="24:28" x14ac:dyDescent="0.35">
      <c r="X1204"/>
      <c r="Y1204"/>
      <c r="Z1204"/>
      <c r="AA1204"/>
      <c r="AB1204"/>
    </row>
    <row r="1205" spans="24:28" x14ac:dyDescent="0.35">
      <c r="X1205"/>
      <c r="Y1205"/>
      <c r="Z1205"/>
      <c r="AA1205"/>
      <c r="AB1205"/>
    </row>
    <row r="1206" spans="24:28" x14ac:dyDescent="0.35">
      <c r="X1206"/>
      <c r="Y1206"/>
      <c r="Z1206"/>
      <c r="AA1206"/>
      <c r="AB1206"/>
    </row>
    <row r="1207" spans="24:28" x14ac:dyDescent="0.35">
      <c r="X1207"/>
      <c r="Y1207"/>
      <c r="Z1207"/>
      <c r="AA1207"/>
      <c r="AB1207"/>
    </row>
    <row r="1208" spans="24:28" x14ac:dyDescent="0.35">
      <c r="X1208"/>
      <c r="Y1208"/>
      <c r="Z1208"/>
      <c r="AA1208"/>
      <c r="AB1208"/>
    </row>
    <row r="1209" spans="24:28" x14ac:dyDescent="0.35">
      <c r="X1209"/>
      <c r="Y1209"/>
      <c r="Z1209"/>
      <c r="AA1209"/>
      <c r="AB1209"/>
    </row>
    <row r="1210" spans="24:28" x14ac:dyDescent="0.35">
      <c r="X1210"/>
      <c r="Y1210"/>
      <c r="Z1210"/>
      <c r="AA1210"/>
      <c r="AB1210"/>
    </row>
    <row r="1211" spans="24:28" x14ac:dyDescent="0.35">
      <c r="X1211"/>
      <c r="Y1211"/>
      <c r="Z1211"/>
      <c r="AA1211"/>
      <c r="AB1211"/>
    </row>
    <row r="1212" spans="24:28" x14ac:dyDescent="0.35">
      <c r="X1212"/>
      <c r="Y1212"/>
      <c r="Z1212"/>
      <c r="AA1212"/>
      <c r="AB1212"/>
    </row>
    <row r="1213" spans="24:28" x14ac:dyDescent="0.35">
      <c r="X1213"/>
      <c r="Y1213"/>
      <c r="Z1213"/>
      <c r="AA1213"/>
      <c r="AB1213"/>
    </row>
    <row r="1214" spans="24:28" x14ac:dyDescent="0.35">
      <c r="X1214"/>
      <c r="Y1214"/>
      <c r="Z1214"/>
      <c r="AA1214"/>
      <c r="AB1214"/>
    </row>
    <row r="1215" spans="24:28" x14ac:dyDescent="0.35">
      <c r="X1215"/>
      <c r="Y1215"/>
      <c r="Z1215"/>
      <c r="AA1215"/>
      <c r="AB1215"/>
    </row>
    <row r="1216" spans="24:28" x14ac:dyDescent="0.35">
      <c r="X1216"/>
      <c r="Y1216"/>
      <c r="Z1216"/>
      <c r="AA1216"/>
      <c r="AB1216"/>
    </row>
    <row r="1217" spans="24:28" x14ac:dyDescent="0.35">
      <c r="X1217"/>
      <c r="Y1217"/>
      <c r="Z1217"/>
      <c r="AA1217"/>
      <c r="AB1217"/>
    </row>
    <row r="1218" spans="24:28" x14ac:dyDescent="0.35">
      <c r="X1218"/>
      <c r="Y1218"/>
      <c r="Z1218"/>
      <c r="AA1218"/>
      <c r="AB1218"/>
    </row>
    <row r="1219" spans="24:28" x14ac:dyDescent="0.35">
      <c r="X1219"/>
      <c r="Y1219"/>
      <c r="Z1219"/>
      <c r="AA1219"/>
      <c r="AB1219"/>
    </row>
    <row r="1220" spans="24:28" x14ac:dyDescent="0.35">
      <c r="X1220"/>
      <c r="Y1220"/>
      <c r="Z1220"/>
      <c r="AA1220"/>
      <c r="AB1220"/>
    </row>
    <row r="1221" spans="24:28" x14ac:dyDescent="0.35">
      <c r="X1221"/>
      <c r="Y1221"/>
      <c r="Z1221"/>
      <c r="AA1221"/>
      <c r="AB1221"/>
    </row>
    <row r="1222" spans="24:28" x14ac:dyDescent="0.35">
      <c r="X1222"/>
      <c r="Y1222"/>
      <c r="Z1222"/>
      <c r="AA1222"/>
      <c r="AB1222"/>
    </row>
    <row r="1223" spans="24:28" x14ac:dyDescent="0.35">
      <c r="X1223"/>
      <c r="Y1223"/>
      <c r="Z1223"/>
      <c r="AA1223"/>
      <c r="AB1223"/>
    </row>
    <row r="1224" spans="24:28" x14ac:dyDescent="0.35">
      <c r="X1224"/>
      <c r="Y1224"/>
      <c r="Z1224"/>
      <c r="AA1224"/>
      <c r="AB1224"/>
    </row>
    <row r="1225" spans="24:28" x14ac:dyDescent="0.35">
      <c r="X1225"/>
      <c r="Y1225"/>
      <c r="Z1225"/>
      <c r="AA1225"/>
      <c r="AB1225"/>
    </row>
    <row r="1226" spans="24:28" x14ac:dyDescent="0.35">
      <c r="X1226"/>
      <c r="Y1226"/>
      <c r="Z1226"/>
      <c r="AA1226"/>
      <c r="AB1226"/>
    </row>
    <row r="1227" spans="24:28" x14ac:dyDescent="0.35">
      <c r="X1227"/>
      <c r="Y1227"/>
      <c r="Z1227"/>
      <c r="AA1227"/>
      <c r="AB1227"/>
    </row>
    <row r="1228" spans="24:28" x14ac:dyDescent="0.35">
      <c r="X1228"/>
      <c r="Y1228"/>
      <c r="Z1228"/>
      <c r="AA1228"/>
      <c r="AB1228"/>
    </row>
    <row r="1229" spans="24:28" x14ac:dyDescent="0.35">
      <c r="X1229"/>
      <c r="Y1229"/>
      <c r="Z1229"/>
      <c r="AA1229"/>
      <c r="AB1229"/>
    </row>
    <row r="1230" spans="24:28" x14ac:dyDescent="0.35">
      <c r="X1230"/>
      <c r="Y1230"/>
      <c r="Z1230"/>
      <c r="AA1230"/>
      <c r="AB1230"/>
    </row>
    <row r="1231" spans="24:28" x14ac:dyDescent="0.35">
      <c r="X1231"/>
      <c r="Y1231"/>
      <c r="Z1231"/>
      <c r="AA1231"/>
      <c r="AB1231"/>
    </row>
    <row r="1232" spans="24:28" x14ac:dyDescent="0.35">
      <c r="X1232"/>
      <c r="Y1232"/>
      <c r="Z1232"/>
      <c r="AA1232"/>
      <c r="AB1232"/>
    </row>
    <row r="1233" spans="24:28" x14ac:dyDescent="0.35">
      <c r="X1233"/>
      <c r="Y1233"/>
      <c r="Z1233"/>
      <c r="AA1233"/>
      <c r="AB1233"/>
    </row>
    <row r="1234" spans="24:28" x14ac:dyDescent="0.35">
      <c r="X1234"/>
      <c r="Y1234"/>
      <c r="Z1234"/>
      <c r="AA1234"/>
      <c r="AB1234"/>
    </row>
    <row r="1235" spans="24:28" x14ac:dyDescent="0.35">
      <c r="X1235"/>
      <c r="Y1235"/>
      <c r="Z1235"/>
      <c r="AA1235"/>
      <c r="AB1235"/>
    </row>
    <row r="1236" spans="24:28" x14ac:dyDescent="0.35">
      <c r="X1236"/>
      <c r="Y1236"/>
      <c r="Z1236"/>
      <c r="AA1236"/>
      <c r="AB1236"/>
    </row>
    <row r="1237" spans="24:28" x14ac:dyDescent="0.35">
      <c r="X1237"/>
      <c r="Y1237"/>
      <c r="Z1237"/>
      <c r="AA1237"/>
      <c r="AB1237"/>
    </row>
    <row r="1238" spans="24:28" x14ac:dyDescent="0.35">
      <c r="X1238"/>
      <c r="Y1238"/>
      <c r="Z1238"/>
      <c r="AA1238"/>
      <c r="AB1238"/>
    </row>
    <row r="1239" spans="24:28" x14ac:dyDescent="0.35">
      <c r="X1239"/>
      <c r="Y1239"/>
      <c r="Z1239"/>
      <c r="AA1239"/>
      <c r="AB1239"/>
    </row>
    <row r="1240" spans="24:28" x14ac:dyDescent="0.35">
      <c r="X1240"/>
      <c r="Y1240"/>
      <c r="Z1240"/>
      <c r="AA1240"/>
      <c r="AB1240"/>
    </row>
    <row r="1241" spans="24:28" x14ac:dyDescent="0.35">
      <c r="X1241"/>
      <c r="Y1241"/>
      <c r="Z1241"/>
      <c r="AA1241"/>
      <c r="AB1241"/>
    </row>
    <row r="1242" spans="24:28" x14ac:dyDescent="0.35">
      <c r="X1242"/>
      <c r="Y1242"/>
      <c r="Z1242"/>
      <c r="AA1242"/>
      <c r="AB1242"/>
    </row>
    <row r="1243" spans="24:28" x14ac:dyDescent="0.35">
      <c r="X1243"/>
      <c r="Y1243"/>
      <c r="Z1243"/>
      <c r="AA1243"/>
      <c r="AB1243"/>
    </row>
    <row r="1244" spans="24:28" x14ac:dyDescent="0.35">
      <c r="X1244"/>
      <c r="Y1244"/>
      <c r="Z1244"/>
      <c r="AA1244"/>
      <c r="AB1244"/>
    </row>
    <row r="1245" spans="24:28" x14ac:dyDescent="0.35">
      <c r="X1245"/>
      <c r="Y1245"/>
      <c r="Z1245"/>
      <c r="AA1245"/>
      <c r="AB1245"/>
    </row>
    <row r="1246" spans="24:28" x14ac:dyDescent="0.35">
      <c r="X1246"/>
      <c r="Y1246"/>
      <c r="Z1246"/>
      <c r="AA1246"/>
      <c r="AB1246"/>
    </row>
    <row r="1247" spans="24:28" x14ac:dyDescent="0.35">
      <c r="X1247"/>
      <c r="Y1247"/>
      <c r="Z1247"/>
      <c r="AA1247"/>
      <c r="AB1247"/>
    </row>
    <row r="1248" spans="24:28" x14ac:dyDescent="0.35">
      <c r="X1248"/>
      <c r="Y1248"/>
      <c r="Z1248"/>
      <c r="AA1248"/>
      <c r="AB1248"/>
    </row>
    <row r="1249" spans="24:28" x14ac:dyDescent="0.35">
      <c r="X1249"/>
      <c r="Y1249"/>
      <c r="Z1249"/>
      <c r="AA1249"/>
      <c r="AB1249"/>
    </row>
    <row r="1250" spans="24:28" x14ac:dyDescent="0.35">
      <c r="X1250"/>
      <c r="Y1250"/>
      <c r="Z1250"/>
      <c r="AA1250"/>
      <c r="AB1250"/>
    </row>
    <row r="1251" spans="24:28" x14ac:dyDescent="0.35">
      <c r="X1251"/>
      <c r="Y1251"/>
      <c r="Z1251"/>
      <c r="AA1251"/>
      <c r="AB1251"/>
    </row>
    <row r="1252" spans="24:28" x14ac:dyDescent="0.35">
      <c r="X1252"/>
      <c r="Y1252"/>
      <c r="Z1252"/>
      <c r="AA1252"/>
      <c r="AB1252"/>
    </row>
    <row r="1253" spans="24:28" x14ac:dyDescent="0.35">
      <c r="X1253"/>
      <c r="Y1253"/>
      <c r="Z1253"/>
      <c r="AA1253"/>
      <c r="AB1253"/>
    </row>
    <row r="1254" spans="24:28" x14ac:dyDescent="0.35">
      <c r="X1254"/>
      <c r="Y1254"/>
      <c r="Z1254"/>
      <c r="AA1254"/>
      <c r="AB1254"/>
    </row>
    <row r="1255" spans="24:28" x14ac:dyDescent="0.35">
      <c r="X1255"/>
      <c r="Y1255"/>
      <c r="Z1255"/>
      <c r="AA1255"/>
      <c r="AB1255"/>
    </row>
    <row r="1256" spans="24:28" x14ac:dyDescent="0.35">
      <c r="X1256"/>
      <c r="Y1256"/>
      <c r="Z1256"/>
      <c r="AA1256"/>
      <c r="AB1256"/>
    </row>
    <row r="1257" spans="24:28" x14ac:dyDescent="0.35">
      <c r="X1257"/>
      <c r="Y1257"/>
      <c r="Z1257"/>
      <c r="AA1257"/>
      <c r="AB1257"/>
    </row>
    <row r="1258" spans="24:28" x14ac:dyDescent="0.35">
      <c r="X1258"/>
      <c r="Y1258"/>
      <c r="Z1258"/>
      <c r="AA1258"/>
      <c r="AB1258"/>
    </row>
    <row r="1259" spans="24:28" x14ac:dyDescent="0.35">
      <c r="X1259"/>
      <c r="Y1259"/>
      <c r="Z1259"/>
      <c r="AA1259"/>
      <c r="AB1259"/>
    </row>
    <row r="1260" spans="24:28" x14ac:dyDescent="0.35">
      <c r="X1260"/>
      <c r="Y1260"/>
      <c r="Z1260"/>
      <c r="AA1260"/>
      <c r="AB1260"/>
    </row>
    <row r="1261" spans="24:28" x14ac:dyDescent="0.35">
      <c r="X1261"/>
      <c r="Y1261"/>
      <c r="Z1261"/>
      <c r="AA1261"/>
      <c r="AB1261"/>
    </row>
    <row r="1262" spans="24:28" x14ac:dyDescent="0.35">
      <c r="X1262"/>
      <c r="Y1262"/>
      <c r="Z1262"/>
      <c r="AA1262"/>
      <c r="AB1262"/>
    </row>
    <row r="1263" spans="24:28" x14ac:dyDescent="0.35">
      <c r="X1263"/>
      <c r="Y1263"/>
      <c r="Z1263"/>
      <c r="AA1263"/>
      <c r="AB1263"/>
    </row>
    <row r="1264" spans="24:28" x14ac:dyDescent="0.35">
      <c r="X1264"/>
      <c r="Y1264"/>
      <c r="Z1264"/>
      <c r="AA1264"/>
      <c r="AB1264"/>
    </row>
    <row r="1265" spans="24:28" x14ac:dyDescent="0.35">
      <c r="X1265"/>
      <c r="Y1265"/>
      <c r="Z1265"/>
      <c r="AA1265"/>
      <c r="AB1265"/>
    </row>
    <row r="1266" spans="24:28" x14ac:dyDescent="0.35">
      <c r="X1266"/>
      <c r="Y1266"/>
      <c r="Z1266"/>
      <c r="AA1266"/>
      <c r="AB1266"/>
    </row>
    <row r="1267" spans="24:28" x14ac:dyDescent="0.35">
      <c r="X1267"/>
      <c r="Y1267"/>
      <c r="Z1267"/>
      <c r="AA1267"/>
      <c r="AB1267"/>
    </row>
    <row r="1268" spans="24:28" x14ac:dyDescent="0.35">
      <c r="X1268"/>
      <c r="Y1268"/>
      <c r="Z1268"/>
      <c r="AA1268"/>
      <c r="AB1268"/>
    </row>
    <row r="1269" spans="24:28" x14ac:dyDescent="0.35">
      <c r="X1269"/>
      <c r="Y1269"/>
      <c r="Z1269"/>
      <c r="AA1269"/>
      <c r="AB1269"/>
    </row>
    <row r="1270" spans="24:28" x14ac:dyDescent="0.35">
      <c r="X1270"/>
      <c r="Y1270"/>
      <c r="Z1270"/>
      <c r="AA1270"/>
      <c r="AB1270"/>
    </row>
    <row r="1271" spans="24:28" x14ac:dyDescent="0.35">
      <c r="X1271"/>
      <c r="Y1271"/>
      <c r="Z1271"/>
      <c r="AA1271"/>
      <c r="AB1271"/>
    </row>
    <row r="1272" spans="24:28" x14ac:dyDescent="0.35">
      <c r="X1272"/>
      <c r="Y1272"/>
      <c r="Z1272"/>
      <c r="AA1272"/>
      <c r="AB1272"/>
    </row>
    <row r="1273" spans="24:28" x14ac:dyDescent="0.35">
      <c r="X1273"/>
      <c r="Y1273"/>
      <c r="Z1273"/>
      <c r="AA1273"/>
      <c r="AB1273"/>
    </row>
    <row r="1274" spans="24:28" x14ac:dyDescent="0.35">
      <c r="X1274"/>
      <c r="Y1274"/>
      <c r="Z1274"/>
      <c r="AA1274"/>
      <c r="AB1274"/>
    </row>
    <row r="1275" spans="24:28" x14ac:dyDescent="0.35">
      <c r="X1275"/>
      <c r="Y1275"/>
      <c r="Z1275"/>
      <c r="AA1275"/>
      <c r="AB1275"/>
    </row>
    <row r="1276" spans="24:28" x14ac:dyDescent="0.35">
      <c r="X1276"/>
      <c r="Y1276"/>
      <c r="Z1276"/>
      <c r="AA1276"/>
      <c r="AB1276"/>
    </row>
    <row r="1277" spans="24:28" x14ac:dyDescent="0.35">
      <c r="X1277"/>
      <c r="Y1277"/>
      <c r="Z1277"/>
      <c r="AA1277"/>
      <c r="AB1277"/>
    </row>
    <row r="1278" spans="24:28" x14ac:dyDescent="0.35">
      <c r="X1278"/>
      <c r="Y1278"/>
      <c r="Z1278"/>
      <c r="AA1278"/>
      <c r="AB1278"/>
    </row>
    <row r="1279" spans="24:28" x14ac:dyDescent="0.35">
      <c r="X1279"/>
      <c r="Y1279"/>
      <c r="Z1279"/>
      <c r="AA1279"/>
      <c r="AB1279"/>
    </row>
    <row r="1280" spans="24:28" x14ac:dyDescent="0.35">
      <c r="X1280"/>
      <c r="Y1280"/>
      <c r="Z1280"/>
      <c r="AA1280"/>
      <c r="AB1280"/>
    </row>
    <row r="1281" spans="24:28" x14ac:dyDescent="0.35">
      <c r="X1281"/>
      <c r="Y1281"/>
      <c r="Z1281"/>
      <c r="AA1281"/>
      <c r="AB1281"/>
    </row>
    <row r="1282" spans="24:28" x14ac:dyDescent="0.35">
      <c r="X1282"/>
      <c r="Y1282"/>
      <c r="Z1282"/>
      <c r="AA1282"/>
      <c r="AB1282"/>
    </row>
    <row r="1283" spans="24:28" x14ac:dyDescent="0.35">
      <c r="X1283"/>
      <c r="Y1283"/>
      <c r="Z1283"/>
      <c r="AA1283"/>
      <c r="AB1283"/>
    </row>
    <row r="1284" spans="24:28" x14ac:dyDescent="0.35">
      <c r="X1284"/>
      <c r="Y1284"/>
      <c r="Z1284"/>
      <c r="AA1284"/>
      <c r="AB1284"/>
    </row>
    <row r="1285" spans="24:28" x14ac:dyDescent="0.35">
      <c r="X1285"/>
      <c r="Y1285"/>
      <c r="Z1285"/>
      <c r="AA1285"/>
      <c r="AB1285"/>
    </row>
    <row r="1286" spans="24:28" x14ac:dyDescent="0.35">
      <c r="X1286"/>
      <c r="Y1286"/>
      <c r="Z1286"/>
      <c r="AA1286"/>
      <c r="AB1286"/>
    </row>
    <row r="1287" spans="24:28" x14ac:dyDescent="0.35">
      <c r="X1287"/>
      <c r="Y1287"/>
      <c r="Z1287"/>
      <c r="AA1287"/>
      <c r="AB1287"/>
    </row>
    <row r="1288" spans="24:28" x14ac:dyDescent="0.35">
      <c r="X1288"/>
      <c r="Y1288"/>
      <c r="Z1288"/>
      <c r="AA1288"/>
      <c r="AB1288"/>
    </row>
    <row r="1289" spans="24:28" x14ac:dyDescent="0.35">
      <c r="X1289"/>
      <c r="Y1289"/>
      <c r="Z1289"/>
      <c r="AA1289"/>
      <c r="AB1289"/>
    </row>
    <row r="1290" spans="24:28" x14ac:dyDescent="0.35">
      <c r="X1290"/>
      <c r="Y1290"/>
      <c r="Z1290"/>
      <c r="AA1290"/>
      <c r="AB1290"/>
    </row>
    <row r="1291" spans="24:28" x14ac:dyDescent="0.35">
      <c r="X1291"/>
      <c r="Y1291"/>
      <c r="Z1291"/>
      <c r="AA1291"/>
      <c r="AB1291"/>
    </row>
    <row r="1292" spans="24:28" x14ac:dyDescent="0.35">
      <c r="X1292"/>
      <c r="Y1292"/>
      <c r="Z1292"/>
      <c r="AA1292"/>
      <c r="AB1292"/>
    </row>
    <row r="1293" spans="24:28" x14ac:dyDescent="0.35">
      <c r="X1293"/>
      <c r="Y1293"/>
      <c r="Z1293"/>
      <c r="AA1293"/>
      <c r="AB1293"/>
    </row>
    <row r="1294" spans="24:28" x14ac:dyDescent="0.35">
      <c r="X1294"/>
      <c r="Y1294"/>
      <c r="Z1294"/>
      <c r="AA1294"/>
      <c r="AB1294"/>
    </row>
    <row r="1295" spans="24:28" x14ac:dyDescent="0.35">
      <c r="X1295"/>
      <c r="Y1295"/>
      <c r="Z1295"/>
      <c r="AA1295"/>
      <c r="AB1295"/>
    </row>
    <row r="1296" spans="24:28" x14ac:dyDescent="0.35">
      <c r="X1296"/>
      <c r="Y1296"/>
      <c r="Z1296"/>
      <c r="AA1296"/>
      <c r="AB1296"/>
    </row>
    <row r="1297" spans="24:28" x14ac:dyDescent="0.35">
      <c r="X1297"/>
      <c r="Y1297"/>
      <c r="Z1297"/>
      <c r="AA1297"/>
      <c r="AB1297"/>
    </row>
    <row r="1298" spans="24:28" x14ac:dyDescent="0.35">
      <c r="X1298"/>
      <c r="Y1298"/>
      <c r="Z1298"/>
      <c r="AA1298"/>
      <c r="AB1298"/>
    </row>
    <row r="1299" spans="24:28" x14ac:dyDescent="0.35">
      <c r="X1299"/>
      <c r="Y1299"/>
      <c r="Z1299"/>
      <c r="AA1299"/>
      <c r="AB1299"/>
    </row>
    <row r="1300" spans="24:28" x14ac:dyDescent="0.35">
      <c r="X1300"/>
      <c r="Y1300"/>
      <c r="Z1300"/>
      <c r="AA1300"/>
      <c r="AB1300"/>
    </row>
    <row r="1301" spans="24:28" x14ac:dyDescent="0.35">
      <c r="X1301"/>
      <c r="Y1301"/>
      <c r="Z1301"/>
      <c r="AA1301"/>
      <c r="AB1301"/>
    </row>
    <row r="1302" spans="24:28" x14ac:dyDescent="0.35">
      <c r="X1302"/>
      <c r="Y1302"/>
      <c r="Z1302"/>
      <c r="AA1302"/>
      <c r="AB1302"/>
    </row>
    <row r="1303" spans="24:28" x14ac:dyDescent="0.35">
      <c r="X1303"/>
      <c r="Y1303"/>
      <c r="Z1303"/>
      <c r="AA1303"/>
      <c r="AB1303"/>
    </row>
    <row r="1304" spans="24:28" x14ac:dyDescent="0.35">
      <c r="X1304"/>
      <c r="Y1304"/>
      <c r="Z1304"/>
      <c r="AA1304"/>
      <c r="AB1304"/>
    </row>
    <row r="1305" spans="24:28" x14ac:dyDescent="0.35">
      <c r="X1305"/>
      <c r="Y1305"/>
      <c r="Z1305"/>
      <c r="AA1305"/>
      <c r="AB1305"/>
    </row>
    <row r="1306" spans="24:28" x14ac:dyDescent="0.35">
      <c r="X1306"/>
      <c r="Y1306"/>
      <c r="Z1306"/>
      <c r="AA1306"/>
      <c r="AB1306"/>
    </row>
    <row r="1307" spans="24:28" x14ac:dyDescent="0.35">
      <c r="X1307"/>
      <c r="Y1307"/>
      <c r="Z1307"/>
      <c r="AA1307"/>
      <c r="AB1307"/>
    </row>
    <row r="1308" spans="24:28" x14ac:dyDescent="0.35">
      <c r="X1308"/>
      <c r="Y1308"/>
      <c r="Z1308"/>
      <c r="AA1308"/>
      <c r="AB1308"/>
    </row>
    <row r="1309" spans="24:28" x14ac:dyDescent="0.35">
      <c r="X1309"/>
      <c r="Y1309"/>
      <c r="Z1309"/>
      <c r="AA1309"/>
      <c r="AB1309"/>
    </row>
    <row r="1310" spans="24:28" x14ac:dyDescent="0.35">
      <c r="X1310"/>
      <c r="Y1310"/>
      <c r="Z1310"/>
      <c r="AA1310"/>
      <c r="AB1310"/>
    </row>
    <row r="1311" spans="24:28" x14ac:dyDescent="0.35">
      <c r="X1311"/>
      <c r="Y1311"/>
      <c r="Z1311"/>
      <c r="AA1311"/>
      <c r="AB1311"/>
    </row>
    <row r="1312" spans="24:28" x14ac:dyDescent="0.35">
      <c r="X1312"/>
      <c r="Y1312"/>
      <c r="Z1312"/>
      <c r="AA1312"/>
      <c r="AB1312"/>
    </row>
    <row r="1313" spans="24:28" x14ac:dyDescent="0.35">
      <c r="X1313"/>
      <c r="Y1313"/>
      <c r="Z1313"/>
      <c r="AA1313"/>
      <c r="AB1313"/>
    </row>
    <row r="1314" spans="24:28" x14ac:dyDescent="0.35">
      <c r="X1314"/>
      <c r="Y1314"/>
      <c r="Z1314"/>
      <c r="AA1314"/>
      <c r="AB1314"/>
    </row>
    <row r="1315" spans="24:28" x14ac:dyDescent="0.35">
      <c r="X1315"/>
      <c r="Y1315"/>
      <c r="Z1315"/>
      <c r="AA1315"/>
      <c r="AB1315"/>
    </row>
    <row r="1316" spans="24:28" x14ac:dyDescent="0.35">
      <c r="X1316"/>
      <c r="Y1316"/>
      <c r="Z1316"/>
      <c r="AA1316"/>
      <c r="AB1316"/>
    </row>
    <row r="1317" spans="24:28" x14ac:dyDescent="0.35">
      <c r="X1317"/>
      <c r="Y1317"/>
      <c r="Z1317"/>
      <c r="AA1317"/>
      <c r="AB1317"/>
    </row>
    <row r="1318" spans="24:28" x14ac:dyDescent="0.35">
      <c r="X1318"/>
      <c r="Y1318"/>
      <c r="Z1318"/>
      <c r="AA1318"/>
      <c r="AB1318"/>
    </row>
    <row r="1319" spans="24:28" x14ac:dyDescent="0.35">
      <c r="X1319"/>
      <c r="Y1319"/>
      <c r="Z1319"/>
      <c r="AA1319"/>
      <c r="AB1319"/>
    </row>
    <row r="1320" spans="24:28" x14ac:dyDescent="0.35">
      <c r="X1320"/>
      <c r="Y1320"/>
      <c r="Z1320"/>
      <c r="AA1320"/>
      <c r="AB1320"/>
    </row>
    <row r="1321" spans="24:28" x14ac:dyDescent="0.35">
      <c r="X1321"/>
      <c r="Y1321"/>
      <c r="Z1321"/>
      <c r="AA1321"/>
      <c r="AB1321"/>
    </row>
    <row r="1322" spans="24:28" x14ac:dyDescent="0.35">
      <c r="X1322"/>
      <c r="Y1322"/>
      <c r="Z1322"/>
      <c r="AA1322"/>
      <c r="AB1322"/>
    </row>
    <row r="1323" spans="24:28" x14ac:dyDescent="0.35">
      <c r="X1323"/>
      <c r="Y1323"/>
      <c r="Z1323"/>
      <c r="AA1323"/>
      <c r="AB1323"/>
    </row>
    <row r="1324" spans="24:28" x14ac:dyDescent="0.35">
      <c r="X1324"/>
      <c r="Y1324"/>
      <c r="Z1324"/>
      <c r="AA1324"/>
      <c r="AB1324"/>
    </row>
    <row r="1325" spans="24:28" x14ac:dyDescent="0.35">
      <c r="X1325"/>
      <c r="Y1325"/>
      <c r="Z1325"/>
      <c r="AA1325"/>
      <c r="AB1325"/>
    </row>
    <row r="1326" spans="24:28" x14ac:dyDescent="0.35">
      <c r="X1326"/>
      <c r="Y1326"/>
      <c r="Z1326"/>
      <c r="AA1326"/>
      <c r="AB1326"/>
    </row>
    <row r="1327" spans="24:28" x14ac:dyDescent="0.35">
      <c r="X1327"/>
      <c r="Y1327"/>
      <c r="Z1327"/>
      <c r="AA1327"/>
      <c r="AB1327"/>
    </row>
    <row r="1328" spans="24:28" x14ac:dyDescent="0.35">
      <c r="X1328"/>
      <c r="Y1328"/>
      <c r="Z1328"/>
      <c r="AA1328"/>
      <c r="AB1328"/>
    </row>
    <row r="1329" spans="24:28" x14ac:dyDescent="0.35">
      <c r="X1329"/>
      <c r="Y1329"/>
      <c r="Z1329"/>
      <c r="AA1329"/>
      <c r="AB1329"/>
    </row>
    <row r="1330" spans="24:28" x14ac:dyDescent="0.35">
      <c r="X1330"/>
      <c r="Y1330"/>
      <c r="Z1330"/>
      <c r="AA1330"/>
      <c r="AB1330"/>
    </row>
    <row r="1331" spans="24:28" x14ac:dyDescent="0.35">
      <c r="X1331"/>
      <c r="Y1331"/>
      <c r="Z1331"/>
      <c r="AA1331"/>
      <c r="AB1331"/>
    </row>
    <row r="1332" spans="24:28" x14ac:dyDescent="0.35">
      <c r="X1332"/>
      <c r="Y1332"/>
      <c r="Z1332"/>
      <c r="AA1332"/>
      <c r="AB1332"/>
    </row>
    <row r="1333" spans="24:28" x14ac:dyDescent="0.35">
      <c r="X1333"/>
      <c r="Y1333"/>
      <c r="Z1333"/>
      <c r="AA1333"/>
      <c r="AB1333"/>
    </row>
    <row r="1334" spans="24:28" x14ac:dyDescent="0.35">
      <c r="X1334"/>
      <c r="Y1334"/>
      <c r="Z1334"/>
      <c r="AA1334"/>
      <c r="AB1334"/>
    </row>
    <row r="1335" spans="24:28" x14ac:dyDescent="0.35">
      <c r="X1335"/>
      <c r="Y1335"/>
      <c r="Z1335"/>
      <c r="AA1335"/>
      <c r="AB1335"/>
    </row>
    <row r="1336" spans="24:28" x14ac:dyDescent="0.35">
      <c r="X1336"/>
      <c r="Y1336"/>
      <c r="Z1336"/>
      <c r="AA1336"/>
      <c r="AB1336"/>
    </row>
    <row r="1337" spans="24:28" x14ac:dyDescent="0.35">
      <c r="X1337"/>
      <c r="Y1337"/>
      <c r="Z1337"/>
      <c r="AA1337"/>
      <c r="AB1337"/>
    </row>
    <row r="1338" spans="24:28" x14ac:dyDescent="0.35">
      <c r="X1338"/>
      <c r="Y1338"/>
      <c r="Z1338"/>
      <c r="AA1338"/>
      <c r="AB1338"/>
    </row>
    <row r="1339" spans="24:28" x14ac:dyDescent="0.35">
      <c r="X1339"/>
      <c r="Y1339"/>
      <c r="Z1339"/>
      <c r="AA1339"/>
      <c r="AB1339"/>
    </row>
    <row r="1340" spans="24:28" x14ac:dyDescent="0.35">
      <c r="X1340"/>
      <c r="Y1340"/>
      <c r="Z1340"/>
      <c r="AA1340"/>
      <c r="AB1340"/>
    </row>
    <row r="1341" spans="24:28" x14ac:dyDescent="0.35">
      <c r="X1341"/>
      <c r="Y1341"/>
      <c r="Z1341"/>
      <c r="AA1341"/>
      <c r="AB1341"/>
    </row>
    <row r="1342" spans="24:28" x14ac:dyDescent="0.35">
      <c r="X1342"/>
      <c r="Y1342"/>
      <c r="Z1342"/>
      <c r="AA1342"/>
      <c r="AB1342"/>
    </row>
    <row r="1343" spans="24:28" x14ac:dyDescent="0.35">
      <c r="X1343"/>
      <c r="Y1343"/>
      <c r="Z1343"/>
      <c r="AA1343"/>
      <c r="AB1343"/>
    </row>
    <row r="1344" spans="24:28" x14ac:dyDescent="0.35">
      <c r="X1344"/>
      <c r="Y1344"/>
      <c r="Z1344"/>
      <c r="AA1344"/>
      <c r="AB1344"/>
    </row>
    <row r="1345" spans="24:28" x14ac:dyDescent="0.35">
      <c r="X1345"/>
      <c r="Y1345"/>
      <c r="Z1345"/>
      <c r="AA1345"/>
      <c r="AB1345"/>
    </row>
    <row r="1346" spans="24:28" x14ac:dyDescent="0.35">
      <c r="X1346"/>
      <c r="Y1346"/>
      <c r="Z1346"/>
      <c r="AA1346"/>
      <c r="AB1346"/>
    </row>
    <row r="1347" spans="24:28" x14ac:dyDescent="0.35">
      <c r="X1347"/>
      <c r="Y1347"/>
      <c r="Z1347"/>
      <c r="AA1347"/>
      <c r="AB1347"/>
    </row>
    <row r="1348" spans="24:28" x14ac:dyDescent="0.35">
      <c r="X1348"/>
      <c r="Y1348"/>
      <c r="Z1348"/>
      <c r="AA1348"/>
      <c r="AB1348"/>
    </row>
    <row r="1349" spans="24:28" x14ac:dyDescent="0.35">
      <c r="X1349"/>
      <c r="Y1349"/>
      <c r="Z1349"/>
      <c r="AA1349"/>
      <c r="AB1349"/>
    </row>
    <row r="1350" spans="24:28" x14ac:dyDescent="0.35">
      <c r="X1350"/>
      <c r="Y1350"/>
      <c r="Z1350"/>
      <c r="AA1350"/>
      <c r="AB1350"/>
    </row>
    <row r="1351" spans="24:28" x14ac:dyDescent="0.35">
      <c r="X1351"/>
      <c r="Y1351"/>
      <c r="Z1351"/>
      <c r="AA1351"/>
      <c r="AB1351"/>
    </row>
    <row r="1352" spans="24:28" x14ac:dyDescent="0.35">
      <c r="X1352"/>
      <c r="Y1352"/>
      <c r="Z1352"/>
      <c r="AA1352"/>
      <c r="AB1352"/>
    </row>
    <row r="1353" spans="24:28" x14ac:dyDescent="0.35">
      <c r="X1353"/>
      <c r="Y1353"/>
      <c r="Z1353"/>
      <c r="AA1353"/>
      <c r="AB1353"/>
    </row>
    <row r="1354" spans="24:28" x14ac:dyDescent="0.35">
      <c r="X1354"/>
      <c r="Y1354"/>
      <c r="Z1354"/>
      <c r="AA1354"/>
      <c r="AB1354"/>
    </row>
    <row r="1355" spans="24:28" x14ac:dyDescent="0.35">
      <c r="X1355"/>
      <c r="Y1355"/>
      <c r="Z1355"/>
      <c r="AA1355"/>
      <c r="AB1355"/>
    </row>
    <row r="1356" spans="24:28" x14ac:dyDescent="0.35">
      <c r="X1356"/>
      <c r="Y1356"/>
      <c r="Z1356"/>
      <c r="AA1356"/>
      <c r="AB1356"/>
    </row>
    <row r="1357" spans="24:28" x14ac:dyDescent="0.35">
      <c r="X1357"/>
      <c r="Y1357"/>
      <c r="Z1357"/>
      <c r="AA1357"/>
      <c r="AB1357"/>
    </row>
    <row r="1358" spans="24:28" x14ac:dyDescent="0.35">
      <c r="X1358"/>
      <c r="Y1358"/>
      <c r="Z1358"/>
      <c r="AA1358"/>
      <c r="AB1358"/>
    </row>
    <row r="1359" spans="24:28" x14ac:dyDescent="0.35">
      <c r="X1359"/>
      <c r="Y1359"/>
      <c r="Z1359"/>
      <c r="AA1359"/>
      <c r="AB1359"/>
    </row>
    <row r="1360" spans="24:28" x14ac:dyDescent="0.35">
      <c r="X1360"/>
      <c r="Y1360"/>
      <c r="Z1360"/>
      <c r="AA1360"/>
      <c r="AB1360"/>
    </row>
    <row r="1361" spans="24:28" x14ac:dyDescent="0.35">
      <c r="X1361"/>
      <c r="Y1361"/>
      <c r="Z1361"/>
      <c r="AA1361"/>
      <c r="AB1361"/>
    </row>
    <row r="1362" spans="24:28" x14ac:dyDescent="0.35">
      <c r="X1362"/>
      <c r="Y1362"/>
      <c r="Z1362"/>
      <c r="AA1362"/>
      <c r="AB1362"/>
    </row>
    <row r="1363" spans="24:28" x14ac:dyDescent="0.35">
      <c r="X1363"/>
      <c r="Y1363"/>
      <c r="Z1363"/>
      <c r="AA1363"/>
      <c r="AB1363"/>
    </row>
    <row r="1364" spans="24:28" x14ac:dyDescent="0.35">
      <c r="X1364"/>
      <c r="Y1364"/>
      <c r="Z1364"/>
      <c r="AA1364"/>
      <c r="AB1364"/>
    </row>
    <row r="1365" spans="24:28" x14ac:dyDescent="0.35">
      <c r="X1365"/>
      <c r="Y1365"/>
      <c r="Z1365"/>
      <c r="AA1365"/>
      <c r="AB1365"/>
    </row>
    <row r="1366" spans="24:28" x14ac:dyDescent="0.35">
      <c r="X1366"/>
      <c r="Y1366"/>
      <c r="Z1366"/>
      <c r="AA1366"/>
      <c r="AB1366"/>
    </row>
    <row r="1367" spans="24:28" x14ac:dyDescent="0.35">
      <c r="X1367"/>
      <c r="Y1367"/>
      <c r="Z1367"/>
      <c r="AA1367"/>
      <c r="AB1367"/>
    </row>
    <row r="1368" spans="24:28" x14ac:dyDescent="0.35">
      <c r="X1368"/>
      <c r="Y1368"/>
      <c r="Z1368"/>
      <c r="AA1368"/>
      <c r="AB1368"/>
    </row>
    <row r="1369" spans="24:28" x14ac:dyDescent="0.35">
      <c r="X1369"/>
      <c r="Y1369"/>
      <c r="Z1369"/>
      <c r="AA1369"/>
      <c r="AB1369"/>
    </row>
    <row r="1370" spans="24:28" x14ac:dyDescent="0.35">
      <c r="X1370"/>
      <c r="Y1370"/>
      <c r="Z1370"/>
      <c r="AA1370"/>
      <c r="AB1370"/>
    </row>
    <row r="1371" spans="24:28" x14ac:dyDescent="0.35">
      <c r="X1371"/>
      <c r="Y1371"/>
      <c r="Z1371"/>
      <c r="AA1371"/>
      <c r="AB1371"/>
    </row>
    <row r="1372" spans="24:28" x14ac:dyDescent="0.35">
      <c r="X1372"/>
      <c r="Y1372"/>
      <c r="Z1372"/>
      <c r="AA1372"/>
      <c r="AB1372"/>
    </row>
    <row r="1373" spans="24:28" x14ac:dyDescent="0.35">
      <c r="X1373"/>
      <c r="Y1373"/>
      <c r="Z1373"/>
      <c r="AA1373"/>
      <c r="AB1373"/>
    </row>
    <row r="1374" spans="24:28" x14ac:dyDescent="0.35">
      <c r="X1374"/>
      <c r="Y1374"/>
      <c r="Z1374"/>
      <c r="AA1374"/>
      <c r="AB1374"/>
    </row>
    <row r="1375" spans="24:28" x14ac:dyDescent="0.35">
      <c r="X1375"/>
      <c r="Y1375"/>
      <c r="Z1375"/>
      <c r="AA1375"/>
      <c r="AB1375"/>
    </row>
    <row r="1376" spans="24:28" x14ac:dyDescent="0.35">
      <c r="X1376"/>
      <c r="Y1376"/>
      <c r="Z1376"/>
      <c r="AA1376"/>
      <c r="AB1376"/>
    </row>
    <row r="1377" spans="24:28" x14ac:dyDescent="0.35">
      <c r="X1377"/>
      <c r="Y1377"/>
      <c r="Z1377"/>
      <c r="AA1377"/>
      <c r="AB1377"/>
    </row>
    <row r="1378" spans="24:28" x14ac:dyDescent="0.35">
      <c r="X1378"/>
      <c r="Y1378"/>
      <c r="Z1378"/>
      <c r="AA1378"/>
      <c r="AB1378"/>
    </row>
    <row r="1379" spans="24:28" x14ac:dyDescent="0.35">
      <c r="X1379"/>
      <c r="Y1379"/>
      <c r="Z1379"/>
      <c r="AA1379"/>
      <c r="AB1379"/>
    </row>
    <row r="1380" spans="24:28" x14ac:dyDescent="0.35">
      <c r="X1380"/>
      <c r="Y1380"/>
      <c r="Z1380"/>
      <c r="AA1380"/>
      <c r="AB1380"/>
    </row>
    <row r="1381" spans="24:28" x14ac:dyDescent="0.35">
      <c r="X1381"/>
      <c r="Y1381"/>
      <c r="Z1381"/>
      <c r="AA1381"/>
      <c r="AB1381"/>
    </row>
    <row r="1382" spans="24:28" x14ac:dyDescent="0.35">
      <c r="X1382"/>
      <c r="Y1382"/>
      <c r="Z1382"/>
      <c r="AA1382"/>
      <c r="AB1382"/>
    </row>
    <row r="1383" spans="24:28" x14ac:dyDescent="0.35">
      <c r="X1383"/>
      <c r="Y1383"/>
      <c r="Z1383"/>
      <c r="AA1383"/>
      <c r="AB1383"/>
    </row>
    <row r="1384" spans="24:28" x14ac:dyDescent="0.35">
      <c r="X1384"/>
      <c r="Y1384"/>
      <c r="Z1384"/>
      <c r="AA1384"/>
      <c r="AB1384"/>
    </row>
    <row r="1385" spans="24:28" x14ac:dyDescent="0.35">
      <c r="X1385"/>
      <c r="Y1385"/>
      <c r="Z1385"/>
      <c r="AA1385"/>
      <c r="AB1385"/>
    </row>
    <row r="1386" spans="24:28" x14ac:dyDescent="0.35">
      <c r="X1386"/>
      <c r="Y1386"/>
      <c r="Z1386"/>
      <c r="AA1386"/>
      <c r="AB1386"/>
    </row>
    <row r="1387" spans="24:28" x14ac:dyDescent="0.35">
      <c r="X1387"/>
      <c r="Y1387"/>
      <c r="Z1387"/>
      <c r="AA1387"/>
      <c r="AB1387"/>
    </row>
    <row r="1388" spans="24:28" x14ac:dyDescent="0.35">
      <c r="X1388"/>
      <c r="Y1388"/>
      <c r="Z1388"/>
      <c r="AA1388"/>
      <c r="AB1388"/>
    </row>
    <row r="1389" spans="24:28" x14ac:dyDescent="0.35">
      <c r="X1389"/>
      <c r="Y1389"/>
      <c r="Z1389"/>
      <c r="AA1389"/>
      <c r="AB1389"/>
    </row>
    <row r="1390" spans="24:28" x14ac:dyDescent="0.35">
      <c r="X1390"/>
      <c r="Y1390"/>
      <c r="Z1390"/>
      <c r="AA1390"/>
      <c r="AB1390"/>
    </row>
    <row r="1391" spans="24:28" x14ac:dyDescent="0.35">
      <c r="X1391"/>
      <c r="Y1391"/>
      <c r="Z1391"/>
      <c r="AA1391"/>
      <c r="AB1391"/>
    </row>
    <row r="1392" spans="24:28" x14ac:dyDescent="0.35">
      <c r="X1392"/>
      <c r="Y1392"/>
      <c r="Z1392"/>
      <c r="AA1392"/>
      <c r="AB1392"/>
    </row>
    <row r="1393" spans="24:28" x14ac:dyDescent="0.35">
      <c r="X1393"/>
      <c r="Y1393"/>
      <c r="Z1393"/>
      <c r="AA1393"/>
      <c r="AB1393"/>
    </row>
    <row r="1394" spans="24:28" x14ac:dyDescent="0.35">
      <c r="X1394"/>
      <c r="Y1394"/>
      <c r="Z1394"/>
      <c r="AA1394"/>
      <c r="AB1394"/>
    </row>
    <row r="1395" spans="24:28" x14ac:dyDescent="0.35">
      <c r="X1395"/>
      <c r="Y1395"/>
      <c r="Z1395"/>
      <c r="AA1395"/>
      <c r="AB1395"/>
    </row>
    <row r="1396" spans="24:28" x14ac:dyDescent="0.35">
      <c r="X1396"/>
      <c r="Y1396"/>
      <c r="Z1396"/>
      <c r="AA1396"/>
      <c r="AB1396"/>
    </row>
    <row r="1397" spans="24:28" x14ac:dyDescent="0.35">
      <c r="X1397"/>
      <c r="Y1397"/>
      <c r="Z1397"/>
      <c r="AA1397"/>
      <c r="AB1397"/>
    </row>
    <row r="1398" spans="24:28" x14ac:dyDescent="0.35">
      <c r="X1398"/>
      <c r="Y1398"/>
      <c r="Z1398"/>
      <c r="AA1398"/>
      <c r="AB1398"/>
    </row>
    <row r="1399" spans="24:28" x14ac:dyDescent="0.35">
      <c r="X1399"/>
      <c r="Y1399"/>
      <c r="Z1399"/>
      <c r="AA1399"/>
      <c r="AB1399"/>
    </row>
    <row r="1400" spans="24:28" x14ac:dyDescent="0.35">
      <c r="X1400"/>
      <c r="Y1400"/>
      <c r="Z1400"/>
      <c r="AA1400"/>
      <c r="AB1400"/>
    </row>
    <row r="1401" spans="24:28" x14ac:dyDescent="0.35">
      <c r="X1401"/>
      <c r="Y1401"/>
      <c r="Z1401"/>
      <c r="AA1401"/>
      <c r="AB1401"/>
    </row>
    <row r="1402" spans="24:28" x14ac:dyDescent="0.35">
      <c r="X1402"/>
      <c r="Y1402"/>
      <c r="Z1402"/>
      <c r="AA1402"/>
      <c r="AB1402"/>
    </row>
    <row r="1403" spans="24:28" x14ac:dyDescent="0.35">
      <c r="X1403"/>
      <c r="Y1403"/>
      <c r="Z1403"/>
      <c r="AA1403"/>
      <c r="AB1403"/>
    </row>
    <row r="1404" spans="24:28" x14ac:dyDescent="0.35">
      <c r="X1404"/>
      <c r="Y1404"/>
      <c r="Z1404"/>
      <c r="AA1404"/>
      <c r="AB1404"/>
    </row>
    <row r="1405" spans="24:28" x14ac:dyDescent="0.35">
      <c r="X1405"/>
      <c r="Y1405"/>
      <c r="Z1405"/>
      <c r="AA1405"/>
      <c r="AB1405"/>
    </row>
    <row r="1406" spans="24:28" x14ac:dyDescent="0.35">
      <c r="X1406"/>
      <c r="Y1406"/>
      <c r="Z1406"/>
      <c r="AA1406"/>
      <c r="AB1406"/>
    </row>
    <row r="1407" spans="24:28" x14ac:dyDescent="0.35">
      <c r="X1407"/>
      <c r="Y1407"/>
      <c r="Z1407"/>
      <c r="AA1407"/>
      <c r="AB1407"/>
    </row>
    <row r="1408" spans="24:28" x14ac:dyDescent="0.35">
      <c r="X1408"/>
      <c r="Y1408"/>
      <c r="Z1408"/>
      <c r="AA1408"/>
      <c r="AB1408"/>
    </row>
    <row r="1409" spans="24:28" x14ac:dyDescent="0.35">
      <c r="X1409"/>
      <c r="Y1409"/>
      <c r="Z1409"/>
      <c r="AA1409"/>
      <c r="AB1409"/>
    </row>
    <row r="1410" spans="24:28" x14ac:dyDescent="0.35">
      <c r="X1410"/>
      <c r="Y1410"/>
      <c r="Z1410"/>
      <c r="AA1410"/>
      <c r="AB1410"/>
    </row>
    <row r="1411" spans="24:28" x14ac:dyDescent="0.35">
      <c r="X1411"/>
      <c r="Y1411"/>
      <c r="Z1411"/>
      <c r="AA1411"/>
      <c r="AB1411"/>
    </row>
    <row r="1412" spans="24:28" x14ac:dyDescent="0.35">
      <c r="X1412"/>
      <c r="Y1412"/>
      <c r="Z1412"/>
      <c r="AA1412"/>
      <c r="AB1412"/>
    </row>
    <row r="1413" spans="24:28" x14ac:dyDescent="0.35">
      <c r="X1413"/>
      <c r="Y1413"/>
      <c r="Z1413"/>
      <c r="AA1413"/>
      <c r="AB1413"/>
    </row>
    <row r="1414" spans="24:28" x14ac:dyDescent="0.35">
      <c r="X1414"/>
      <c r="Y1414"/>
      <c r="Z1414"/>
      <c r="AA1414"/>
      <c r="AB1414"/>
    </row>
    <row r="1415" spans="24:28" x14ac:dyDescent="0.35">
      <c r="X1415"/>
      <c r="Y1415"/>
      <c r="Z1415"/>
      <c r="AA1415"/>
      <c r="AB1415"/>
    </row>
    <row r="1416" spans="24:28" x14ac:dyDescent="0.35">
      <c r="X1416"/>
      <c r="Y1416"/>
      <c r="Z1416"/>
      <c r="AA1416"/>
      <c r="AB1416"/>
    </row>
    <row r="1417" spans="24:28" x14ac:dyDescent="0.35">
      <c r="X1417"/>
      <c r="Y1417"/>
      <c r="Z1417"/>
      <c r="AA1417"/>
      <c r="AB1417"/>
    </row>
    <row r="1418" spans="24:28" x14ac:dyDescent="0.35">
      <c r="X1418"/>
      <c r="Y1418"/>
      <c r="Z1418"/>
      <c r="AA1418"/>
      <c r="AB1418"/>
    </row>
    <row r="1419" spans="24:28" x14ac:dyDescent="0.35">
      <c r="X1419"/>
      <c r="Y1419"/>
      <c r="Z1419"/>
      <c r="AA1419"/>
      <c r="AB1419"/>
    </row>
    <row r="1420" spans="24:28" x14ac:dyDescent="0.35">
      <c r="X1420"/>
      <c r="Y1420"/>
      <c r="Z1420"/>
      <c r="AA1420"/>
      <c r="AB1420"/>
    </row>
    <row r="1421" spans="24:28" x14ac:dyDescent="0.35">
      <c r="X1421"/>
      <c r="Y1421"/>
      <c r="Z1421"/>
      <c r="AA1421"/>
      <c r="AB1421"/>
    </row>
    <row r="1422" spans="24:28" x14ac:dyDescent="0.35">
      <c r="X1422"/>
      <c r="Y1422"/>
      <c r="Z1422"/>
      <c r="AA1422"/>
      <c r="AB1422"/>
    </row>
    <row r="1423" spans="24:28" x14ac:dyDescent="0.35">
      <c r="X1423"/>
      <c r="Y1423"/>
      <c r="Z1423"/>
      <c r="AA1423"/>
      <c r="AB1423"/>
    </row>
    <row r="1424" spans="24:28" x14ac:dyDescent="0.35">
      <c r="X1424"/>
      <c r="Y1424"/>
      <c r="Z1424"/>
      <c r="AA1424"/>
      <c r="AB1424"/>
    </row>
    <row r="1425" spans="24:28" x14ac:dyDescent="0.35">
      <c r="X1425"/>
      <c r="Y1425"/>
      <c r="Z1425"/>
      <c r="AA1425"/>
      <c r="AB1425"/>
    </row>
    <row r="1426" spans="24:28" x14ac:dyDescent="0.35">
      <c r="X1426"/>
      <c r="Y1426"/>
      <c r="Z1426"/>
      <c r="AA1426"/>
      <c r="AB1426"/>
    </row>
    <row r="1427" spans="24:28" x14ac:dyDescent="0.35">
      <c r="X1427"/>
      <c r="Y1427"/>
      <c r="Z1427"/>
      <c r="AA1427"/>
      <c r="AB1427"/>
    </row>
    <row r="1428" spans="24:28" x14ac:dyDescent="0.35">
      <c r="X1428"/>
      <c r="Y1428"/>
      <c r="Z1428"/>
      <c r="AA1428"/>
      <c r="AB1428"/>
    </row>
    <row r="1429" spans="24:28" x14ac:dyDescent="0.35">
      <c r="X1429"/>
      <c r="Y1429"/>
      <c r="Z1429"/>
      <c r="AA1429"/>
      <c r="AB1429"/>
    </row>
    <row r="1430" spans="24:28" x14ac:dyDescent="0.35">
      <c r="X1430"/>
      <c r="Y1430"/>
      <c r="Z1430"/>
      <c r="AA1430"/>
      <c r="AB1430"/>
    </row>
    <row r="1431" spans="24:28" x14ac:dyDescent="0.35">
      <c r="X1431"/>
      <c r="Y1431"/>
      <c r="Z1431"/>
      <c r="AA1431"/>
      <c r="AB1431"/>
    </row>
    <row r="1432" spans="24:28" x14ac:dyDescent="0.35">
      <c r="X1432"/>
      <c r="Y1432"/>
      <c r="Z1432"/>
      <c r="AA1432"/>
      <c r="AB1432"/>
    </row>
    <row r="1433" spans="24:28" x14ac:dyDescent="0.35">
      <c r="X1433"/>
      <c r="Y1433"/>
      <c r="Z1433"/>
      <c r="AA1433"/>
      <c r="AB1433"/>
    </row>
    <row r="1434" spans="24:28" x14ac:dyDescent="0.35">
      <c r="X1434"/>
      <c r="Y1434"/>
      <c r="Z1434"/>
      <c r="AA1434"/>
      <c r="AB1434"/>
    </row>
    <row r="1435" spans="24:28" x14ac:dyDescent="0.35">
      <c r="X1435"/>
      <c r="Y1435"/>
      <c r="Z1435"/>
      <c r="AA1435"/>
      <c r="AB1435"/>
    </row>
    <row r="1436" spans="24:28" x14ac:dyDescent="0.35">
      <c r="X1436"/>
      <c r="Y1436"/>
      <c r="Z1436"/>
      <c r="AA1436"/>
      <c r="AB1436"/>
    </row>
    <row r="1437" spans="24:28" x14ac:dyDescent="0.35">
      <c r="X1437"/>
      <c r="Y1437"/>
      <c r="Z1437"/>
      <c r="AA1437"/>
      <c r="AB1437"/>
    </row>
    <row r="1438" spans="24:28" x14ac:dyDescent="0.35">
      <c r="X1438"/>
      <c r="Y1438"/>
      <c r="Z1438"/>
      <c r="AA1438"/>
      <c r="AB1438"/>
    </row>
    <row r="1439" spans="24:28" x14ac:dyDescent="0.35">
      <c r="X1439"/>
      <c r="Y1439"/>
      <c r="Z1439"/>
      <c r="AA1439"/>
      <c r="AB1439"/>
    </row>
    <row r="1440" spans="24:28" x14ac:dyDescent="0.35">
      <c r="X1440"/>
      <c r="Y1440"/>
      <c r="Z1440"/>
      <c r="AA1440"/>
      <c r="AB1440"/>
    </row>
    <row r="1441" spans="24:28" x14ac:dyDescent="0.35">
      <c r="X1441"/>
      <c r="Y1441"/>
      <c r="Z1441"/>
      <c r="AA1441"/>
      <c r="AB1441"/>
    </row>
    <row r="1442" spans="24:28" x14ac:dyDescent="0.35">
      <c r="X1442"/>
      <c r="Y1442"/>
      <c r="Z1442"/>
      <c r="AA1442"/>
      <c r="AB1442"/>
    </row>
    <row r="1443" spans="24:28" x14ac:dyDescent="0.35">
      <c r="X1443"/>
      <c r="Y1443"/>
      <c r="Z1443"/>
      <c r="AA1443"/>
      <c r="AB1443"/>
    </row>
    <row r="1444" spans="24:28" x14ac:dyDescent="0.35">
      <c r="X1444"/>
      <c r="Y1444"/>
      <c r="Z1444"/>
      <c r="AA1444"/>
      <c r="AB1444"/>
    </row>
    <row r="1445" spans="24:28" x14ac:dyDescent="0.35">
      <c r="X1445"/>
      <c r="Y1445"/>
      <c r="Z1445"/>
      <c r="AA1445"/>
      <c r="AB1445"/>
    </row>
    <row r="1446" spans="24:28" x14ac:dyDescent="0.35">
      <c r="X1446"/>
      <c r="Y1446"/>
      <c r="Z1446"/>
      <c r="AA1446"/>
      <c r="AB1446"/>
    </row>
    <row r="1447" spans="24:28" x14ac:dyDescent="0.35">
      <c r="X1447"/>
      <c r="Y1447"/>
      <c r="Z1447"/>
      <c r="AA1447"/>
      <c r="AB1447"/>
    </row>
    <row r="1448" spans="24:28" x14ac:dyDescent="0.35">
      <c r="X1448"/>
      <c r="Y1448"/>
      <c r="Z1448"/>
      <c r="AA1448"/>
      <c r="AB1448"/>
    </row>
    <row r="1449" spans="24:28" x14ac:dyDescent="0.35">
      <c r="X1449"/>
      <c r="Y1449"/>
      <c r="Z1449"/>
      <c r="AA1449"/>
      <c r="AB1449"/>
    </row>
    <row r="1450" spans="24:28" x14ac:dyDescent="0.35">
      <c r="X1450"/>
      <c r="Y1450"/>
      <c r="Z1450"/>
      <c r="AA1450"/>
      <c r="AB1450"/>
    </row>
    <row r="1451" spans="24:28" x14ac:dyDescent="0.35">
      <c r="X1451"/>
      <c r="Y1451"/>
      <c r="Z1451"/>
      <c r="AA1451"/>
      <c r="AB1451"/>
    </row>
    <row r="1452" spans="24:28" x14ac:dyDescent="0.35">
      <c r="X1452"/>
      <c r="Y1452"/>
      <c r="Z1452"/>
      <c r="AA1452"/>
      <c r="AB1452"/>
    </row>
    <row r="1453" spans="24:28" x14ac:dyDescent="0.35">
      <c r="X1453"/>
      <c r="Y1453"/>
      <c r="Z1453"/>
      <c r="AA1453"/>
      <c r="AB1453"/>
    </row>
    <row r="1454" spans="24:28" x14ac:dyDescent="0.35">
      <c r="X1454"/>
      <c r="Y1454"/>
      <c r="Z1454"/>
      <c r="AA1454"/>
      <c r="AB1454"/>
    </row>
    <row r="1455" spans="24:28" x14ac:dyDescent="0.35">
      <c r="X1455"/>
      <c r="Y1455"/>
      <c r="Z1455"/>
      <c r="AA1455"/>
      <c r="AB1455"/>
    </row>
    <row r="1456" spans="24:28" x14ac:dyDescent="0.35">
      <c r="X1456"/>
      <c r="Y1456"/>
      <c r="Z1456"/>
      <c r="AA1456"/>
      <c r="AB1456"/>
    </row>
    <row r="1457" spans="24:28" x14ac:dyDescent="0.35">
      <c r="X1457"/>
      <c r="Y1457"/>
      <c r="Z1457"/>
      <c r="AA1457"/>
      <c r="AB1457"/>
    </row>
    <row r="1458" spans="24:28" x14ac:dyDescent="0.35">
      <c r="X1458"/>
      <c r="Y1458"/>
      <c r="Z1458"/>
      <c r="AA1458"/>
      <c r="AB1458"/>
    </row>
    <row r="1459" spans="24:28" x14ac:dyDescent="0.35">
      <c r="X1459"/>
      <c r="Y1459"/>
      <c r="Z1459"/>
      <c r="AA1459"/>
      <c r="AB1459"/>
    </row>
    <row r="1460" spans="24:28" x14ac:dyDescent="0.35">
      <c r="X1460"/>
      <c r="Y1460"/>
      <c r="Z1460"/>
      <c r="AA1460"/>
      <c r="AB1460"/>
    </row>
    <row r="1461" spans="24:28" x14ac:dyDescent="0.35">
      <c r="X1461"/>
      <c r="Y1461"/>
      <c r="Z1461"/>
      <c r="AA1461"/>
      <c r="AB1461"/>
    </row>
    <row r="1462" spans="24:28" x14ac:dyDescent="0.35">
      <c r="X1462"/>
      <c r="Y1462"/>
      <c r="Z1462"/>
      <c r="AA1462"/>
      <c r="AB1462"/>
    </row>
    <row r="1463" spans="24:28" x14ac:dyDescent="0.35">
      <c r="X1463"/>
      <c r="Y1463"/>
      <c r="Z1463"/>
      <c r="AA1463"/>
      <c r="AB1463"/>
    </row>
    <row r="1464" spans="24:28" x14ac:dyDescent="0.35">
      <c r="X1464"/>
      <c r="Y1464"/>
      <c r="Z1464"/>
      <c r="AA1464"/>
      <c r="AB1464"/>
    </row>
    <row r="1465" spans="24:28" x14ac:dyDescent="0.35">
      <c r="X1465"/>
      <c r="Y1465"/>
      <c r="Z1465"/>
      <c r="AA1465"/>
      <c r="AB1465"/>
    </row>
    <row r="1466" spans="24:28" x14ac:dyDescent="0.35">
      <c r="X1466"/>
      <c r="Y1466"/>
      <c r="Z1466"/>
      <c r="AA1466"/>
      <c r="AB1466"/>
    </row>
    <row r="1467" spans="24:28" x14ac:dyDescent="0.35">
      <c r="X1467"/>
      <c r="Y1467"/>
      <c r="Z1467"/>
      <c r="AA1467"/>
      <c r="AB1467"/>
    </row>
    <row r="1468" spans="24:28" x14ac:dyDescent="0.35">
      <c r="X1468"/>
      <c r="Y1468"/>
      <c r="Z1468"/>
      <c r="AA1468"/>
      <c r="AB1468"/>
    </row>
    <row r="1469" spans="24:28" x14ac:dyDescent="0.35">
      <c r="X1469"/>
      <c r="Y1469"/>
      <c r="Z1469"/>
      <c r="AA1469"/>
      <c r="AB1469"/>
    </row>
    <row r="1470" spans="24:28" x14ac:dyDescent="0.35">
      <c r="X1470"/>
      <c r="Y1470"/>
      <c r="Z1470"/>
      <c r="AA1470"/>
      <c r="AB1470"/>
    </row>
    <row r="1471" spans="24:28" x14ac:dyDescent="0.35">
      <c r="X1471"/>
      <c r="Y1471"/>
      <c r="Z1471"/>
      <c r="AA1471"/>
      <c r="AB1471"/>
    </row>
    <row r="1472" spans="24:28" x14ac:dyDescent="0.35">
      <c r="X1472"/>
      <c r="Y1472"/>
      <c r="Z1472"/>
      <c r="AA1472"/>
      <c r="AB1472"/>
    </row>
    <row r="1473" spans="24:28" x14ac:dyDescent="0.35">
      <c r="X1473"/>
      <c r="Y1473"/>
      <c r="Z1473"/>
      <c r="AA1473"/>
      <c r="AB1473"/>
    </row>
    <row r="1474" spans="24:28" x14ac:dyDescent="0.35">
      <c r="X1474"/>
      <c r="Y1474"/>
      <c r="Z1474"/>
      <c r="AA1474"/>
      <c r="AB1474"/>
    </row>
    <row r="1475" spans="24:28" x14ac:dyDescent="0.35">
      <c r="X1475"/>
      <c r="Y1475"/>
      <c r="Z1475"/>
      <c r="AA1475"/>
      <c r="AB1475"/>
    </row>
    <row r="1476" spans="24:28" x14ac:dyDescent="0.35">
      <c r="X1476"/>
      <c r="Y1476"/>
      <c r="Z1476"/>
      <c r="AA1476"/>
      <c r="AB1476"/>
    </row>
    <row r="1477" spans="24:28" x14ac:dyDescent="0.35">
      <c r="X1477"/>
      <c r="Y1477"/>
      <c r="Z1477"/>
      <c r="AA1477"/>
      <c r="AB1477"/>
    </row>
    <row r="1478" spans="24:28" x14ac:dyDescent="0.35">
      <c r="X1478"/>
      <c r="Y1478"/>
      <c r="Z1478"/>
      <c r="AA1478"/>
      <c r="AB1478"/>
    </row>
    <row r="1479" spans="24:28" x14ac:dyDescent="0.35">
      <c r="X1479"/>
      <c r="Y1479"/>
      <c r="Z1479"/>
      <c r="AA1479"/>
      <c r="AB1479"/>
    </row>
    <row r="1480" spans="24:28" x14ac:dyDescent="0.35">
      <c r="X1480"/>
      <c r="Y1480"/>
      <c r="Z1480"/>
      <c r="AA1480"/>
      <c r="AB1480"/>
    </row>
    <row r="1481" spans="24:28" x14ac:dyDescent="0.35">
      <c r="X1481"/>
      <c r="Y1481"/>
      <c r="Z1481"/>
      <c r="AA1481"/>
      <c r="AB1481"/>
    </row>
    <row r="1482" spans="24:28" x14ac:dyDescent="0.35">
      <c r="X1482"/>
      <c r="Y1482"/>
      <c r="Z1482"/>
      <c r="AA1482"/>
      <c r="AB1482"/>
    </row>
    <row r="1483" spans="24:28" x14ac:dyDescent="0.35">
      <c r="X1483"/>
      <c r="Y1483"/>
      <c r="Z1483"/>
      <c r="AA1483"/>
      <c r="AB1483"/>
    </row>
    <row r="1484" spans="24:28" x14ac:dyDescent="0.35">
      <c r="X1484"/>
      <c r="Y1484"/>
      <c r="Z1484"/>
      <c r="AA1484"/>
      <c r="AB1484"/>
    </row>
    <row r="1485" spans="24:28" x14ac:dyDescent="0.35">
      <c r="X1485"/>
      <c r="Y1485"/>
      <c r="Z1485"/>
      <c r="AA1485"/>
      <c r="AB1485"/>
    </row>
    <row r="1486" spans="24:28" x14ac:dyDescent="0.35">
      <c r="X1486"/>
      <c r="Y1486"/>
      <c r="Z1486"/>
      <c r="AA1486"/>
      <c r="AB1486"/>
    </row>
    <row r="1487" spans="24:28" x14ac:dyDescent="0.35">
      <c r="X1487"/>
      <c r="Y1487"/>
      <c r="Z1487"/>
      <c r="AA1487"/>
      <c r="AB1487"/>
    </row>
    <row r="1488" spans="24:28" x14ac:dyDescent="0.35">
      <c r="X1488"/>
      <c r="Y1488"/>
      <c r="Z1488"/>
      <c r="AA1488"/>
      <c r="AB1488"/>
    </row>
    <row r="1489" spans="24:28" x14ac:dyDescent="0.35">
      <c r="X1489"/>
      <c r="Y1489"/>
      <c r="Z1489"/>
      <c r="AA1489"/>
      <c r="AB1489"/>
    </row>
    <row r="1490" spans="24:28" x14ac:dyDescent="0.35">
      <c r="X1490"/>
      <c r="Y1490"/>
      <c r="Z1490"/>
      <c r="AA1490"/>
      <c r="AB1490"/>
    </row>
    <row r="1491" spans="24:28" x14ac:dyDescent="0.35">
      <c r="X1491"/>
      <c r="Y1491"/>
      <c r="Z1491"/>
      <c r="AA1491"/>
      <c r="AB1491"/>
    </row>
    <row r="1492" spans="24:28" x14ac:dyDescent="0.35">
      <c r="X1492"/>
      <c r="Y1492"/>
      <c r="Z1492"/>
      <c r="AA1492"/>
      <c r="AB1492"/>
    </row>
    <row r="1493" spans="24:28" x14ac:dyDescent="0.35">
      <c r="X1493"/>
      <c r="Y1493"/>
      <c r="Z1493"/>
      <c r="AA1493"/>
      <c r="AB1493"/>
    </row>
    <row r="1494" spans="24:28" x14ac:dyDescent="0.35">
      <c r="X1494"/>
      <c r="Y1494"/>
      <c r="Z1494"/>
      <c r="AA1494"/>
      <c r="AB1494"/>
    </row>
    <row r="1495" spans="24:28" x14ac:dyDescent="0.35">
      <c r="X1495"/>
      <c r="Y1495"/>
      <c r="Z1495"/>
      <c r="AA1495"/>
      <c r="AB1495"/>
    </row>
    <row r="1496" spans="24:28" x14ac:dyDescent="0.35">
      <c r="X1496"/>
      <c r="Y1496"/>
      <c r="Z1496"/>
      <c r="AA1496"/>
      <c r="AB1496"/>
    </row>
    <row r="1497" spans="24:28" x14ac:dyDescent="0.35">
      <c r="X1497"/>
      <c r="Y1497"/>
      <c r="Z1497"/>
      <c r="AA1497"/>
      <c r="AB1497"/>
    </row>
    <row r="1498" spans="24:28" x14ac:dyDescent="0.35">
      <c r="X1498"/>
      <c r="Y1498"/>
      <c r="Z1498"/>
      <c r="AA1498"/>
      <c r="AB1498"/>
    </row>
    <row r="1499" spans="24:28" x14ac:dyDescent="0.35">
      <c r="X1499"/>
      <c r="Y1499"/>
      <c r="Z1499"/>
      <c r="AA1499"/>
      <c r="AB1499"/>
    </row>
    <row r="1500" spans="24:28" x14ac:dyDescent="0.35">
      <c r="X1500"/>
      <c r="Y1500"/>
      <c r="Z1500"/>
      <c r="AA1500"/>
      <c r="AB1500"/>
    </row>
    <row r="1501" spans="24:28" x14ac:dyDescent="0.35">
      <c r="X1501"/>
      <c r="Y1501"/>
      <c r="Z1501"/>
      <c r="AA1501"/>
      <c r="AB1501"/>
    </row>
    <row r="1502" spans="24:28" x14ac:dyDescent="0.35">
      <c r="X1502"/>
      <c r="Y1502"/>
      <c r="Z1502"/>
      <c r="AA1502"/>
      <c r="AB1502"/>
    </row>
    <row r="1503" spans="24:28" x14ac:dyDescent="0.35">
      <c r="X1503"/>
      <c r="Y1503"/>
      <c r="Z1503"/>
      <c r="AA1503"/>
      <c r="AB1503"/>
    </row>
    <row r="1504" spans="24:28" x14ac:dyDescent="0.35">
      <c r="X1504"/>
      <c r="Y1504"/>
      <c r="Z1504"/>
      <c r="AA1504"/>
      <c r="AB1504"/>
    </row>
    <row r="1505" spans="24:28" x14ac:dyDescent="0.35">
      <c r="X1505"/>
      <c r="Y1505"/>
      <c r="Z1505"/>
      <c r="AA1505"/>
      <c r="AB1505"/>
    </row>
    <row r="1506" spans="24:28" x14ac:dyDescent="0.35">
      <c r="X1506"/>
      <c r="Y1506"/>
      <c r="Z1506"/>
      <c r="AA1506"/>
      <c r="AB1506"/>
    </row>
    <row r="1507" spans="24:28" x14ac:dyDescent="0.35">
      <c r="X1507"/>
      <c r="Y1507"/>
      <c r="Z1507"/>
      <c r="AA1507"/>
      <c r="AB1507"/>
    </row>
    <row r="1508" spans="24:28" x14ac:dyDescent="0.35">
      <c r="X1508"/>
      <c r="Y1508"/>
      <c r="Z1508"/>
      <c r="AA1508"/>
      <c r="AB1508"/>
    </row>
    <row r="1509" spans="24:28" x14ac:dyDescent="0.35">
      <c r="X1509"/>
      <c r="Y1509"/>
      <c r="Z1509"/>
      <c r="AA1509"/>
      <c r="AB1509"/>
    </row>
    <row r="1510" spans="24:28" x14ac:dyDescent="0.35">
      <c r="X1510"/>
      <c r="Y1510"/>
      <c r="Z1510"/>
      <c r="AA1510"/>
      <c r="AB1510"/>
    </row>
    <row r="1511" spans="24:28" x14ac:dyDescent="0.35">
      <c r="X1511"/>
      <c r="Y1511"/>
      <c r="Z1511"/>
      <c r="AA1511"/>
      <c r="AB1511"/>
    </row>
    <row r="1512" spans="24:28" x14ac:dyDescent="0.35">
      <c r="X1512"/>
      <c r="Y1512"/>
      <c r="Z1512"/>
      <c r="AA1512"/>
      <c r="AB1512"/>
    </row>
    <row r="1513" spans="24:28" x14ac:dyDescent="0.35">
      <c r="X1513"/>
      <c r="Y1513"/>
      <c r="Z1513"/>
      <c r="AA1513"/>
      <c r="AB1513"/>
    </row>
    <row r="1514" spans="24:28" x14ac:dyDescent="0.35">
      <c r="X1514"/>
      <c r="Y1514"/>
      <c r="Z1514"/>
      <c r="AA1514"/>
      <c r="AB1514"/>
    </row>
    <row r="1515" spans="24:28" x14ac:dyDescent="0.35">
      <c r="X1515"/>
      <c r="Y1515"/>
      <c r="Z1515"/>
      <c r="AA1515"/>
      <c r="AB1515"/>
    </row>
    <row r="1516" spans="24:28" x14ac:dyDescent="0.35">
      <c r="X1516"/>
      <c r="Y1516"/>
      <c r="Z1516"/>
      <c r="AA1516"/>
      <c r="AB1516"/>
    </row>
    <row r="1517" spans="24:28" x14ac:dyDescent="0.35">
      <c r="X1517"/>
      <c r="Y1517"/>
      <c r="Z1517"/>
      <c r="AA1517"/>
      <c r="AB1517"/>
    </row>
    <row r="1518" spans="24:28" x14ac:dyDescent="0.35">
      <c r="X1518"/>
      <c r="Y1518"/>
      <c r="Z1518"/>
      <c r="AA1518"/>
      <c r="AB1518"/>
    </row>
    <row r="1519" spans="24:28" x14ac:dyDescent="0.35">
      <c r="X1519"/>
      <c r="Y1519"/>
      <c r="Z1519"/>
      <c r="AA1519"/>
      <c r="AB1519"/>
    </row>
    <row r="1520" spans="24:28" x14ac:dyDescent="0.35">
      <c r="X1520"/>
      <c r="Y1520"/>
      <c r="Z1520"/>
      <c r="AA1520"/>
      <c r="AB1520"/>
    </row>
    <row r="1521" spans="24:28" x14ac:dyDescent="0.35">
      <c r="X1521"/>
      <c r="Y1521"/>
      <c r="Z1521"/>
      <c r="AA1521"/>
      <c r="AB1521"/>
    </row>
    <row r="1522" spans="24:28" x14ac:dyDescent="0.35">
      <c r="X1522"/>
      <c r="Y1522"/>
      <c r="Z1522"/>
      <c r="AA1522"/>
      <c r="AB1522"/>
    </row>
    <row r="1523" spans="24:28" x14ac:dyDescent="0.35">
      <c r="X1523"/>
      <c r="Y1523"/>
      <c r="Z1523"/>
      <c r="AA1523"/>
      <c r="AB1523"/>
    </row>
    <row r="1524" spans="24:28" x14ac:dyDescent="0.35">
      <c r="X1524"/>
      <c r="Y1524"/>
      <c r="Z1524"/>
      <c r="AA1524"/>
      <c r="AB1524"/>
    </row>
    <row r="1525" spans="24:28" x14ac:dyDescent="0.35">
      <c r="X1525"/>
      <c r="Y1525"/>
      <c r="Z1525"/>
      <c r="AA1525"/>
      <c r="AB1525"/>
    </row>
    <row r="1526" spans="24:28" x14ac:dyDescent="0.35">
      <c r="X1526"/>
      <c r="Y1526"/>
      <c r="Z1526"/>
      <c r="AA1526"/>
      <c r="AB1526"/>
    </row>
    <row r="1527" spans="24:28" x14ac:dyDescent="0.35">
      <c r="X1527"/>
      <c r="Y1527"/>
      <c r="Z1527"/>
      <c r="AA1527"/>
      <c r="AB1527"/>
    </row>
    <row r="1528" spans="24:28" x14ac:dyDescent="0.35">
      <c r="X1528"/>
      <c r="Y1528"/>
      <c r="Z1528"/>
      <c r="AA1528"/>
      <c r="AB1528"/>
    </row>
    <row r="1529" spans="24:28" x14ac:dyDescent="0.35">
      <c r="X1529"/>
      <c r="Y1529"/>
      <c r="Z1529"/>
      <c r="AA1529"/>
      <c r="AB1529"/>
    </row>
    <row r="1530" spans="24:28" x14ac:dyDescent="0.35">
      <c r="X1530"/>
      <c r="Y1530"/>
      <c r="Z1530"/>
      <c r="AA1530"/>
      <c r="AB1530"/>
    </row>
    <row r="1531" spans="24:28" x14ac:dyDescent="0.35">
      <c r="X1531"/>
      <c r="Y1531"/>
      <c r="Z1531"/>
      <c r="AA1531"/>
      <c r="AB1531"/>
    </row>
    <row r="1532" spans="24:28" x14ac:dyDescent="0.35">
      <c r="X1532"/>
      <c r="Y1532"/>
      <c r="Z1532"/>
      <c r="AA1532"/>
      <c r="AB1532"/>
    </row>
    <row r="1533" spans="24:28" x14ac:dyDescent="0.35">
      <c r="X1533"/>
      <c r="Y1533"/>
      <c r="Z1533"/>
      <c r="AA1533"/>
      <c r="AB1533"/>
    </row>
    <row r="1534" spans="24:28" x14ac:dyDescent="0.35">
      <c r="X1534"/>
      <c r="Y1534"/>
      <c r="Z1534"/>
      <c r="AA1534"/>
      <c r="AB1534"/>
    </row>
    <row r="1535" spans="24:28" x14ac:dyDescent="0.35">
      <c r="X1535"/>
      <c r="Y1535"/>
      <c r="Z1535"/>
      <c r="AA1535"/>
      <c r="AB1535"/>
    </row>
    <row r="1536" spans="24:28" x14ac:dyDescent="0.35">
      <c r="X1536"/>
      <c r="Y1536"/>
      <c r="Z1536"/>
      <c r="AA1536"/>
      <c r="AB1536"/>
    </row>
    <row r="1537" spans="24:28" x14ac:dyDescent="0.35">
      <c r="X1537"/>
      <c r="Y1537"/>
      <c r="Z1537"/>
      <c r="AA1537"/>
      <c r="AB1537"/>
    </row>
    <row r="1538" spans="24:28" x14ac:dyDescent="0.35">
      <c r="X1538"/>
      <c r="Y1538"/>
      <c r="Z1538"/>
      <c r="AA1538"/>
      <c r="AB1538"/>
    </row>
    <row r="1539" spans="24:28" x14ac:dyDescent="0.35">
      <c r="X1539"/>
      <c r="Y1539"/>
      <c r="Z1539"/>
      <c r="AA1539"/>
      <c r="AB1539"/>
    </row>
    <row r="1540" spans="24:28" x14ac:dyDescent="0.35">
      <c r="X1540"/>
      <c r="Y1540"/>
      <c r="Z1540"/>
      <c r="AA1540"/>
      <c r="AB1540"/>
    </row>
    <row r="1541" spans="24:28" x14ac:dyDescent="0.35">
      <c r="X1541"/>
      <c r="Y1541"/>
      <c r="Z1541"/>
      <c r="AA1541"/>
      <c r="AB1541"/>
    </row>
    <row r="1542" spans="24:28" x14ac:dyDescent="0.35">
      <c r="X1542"/>
      <c r="Y1542"/>
      <c r="Z1542"/>
      <c r="AA1542"/>
      <c r="AB1542"/>
    </row>
    <row r="1543" spans="24:28" x14ac:dyDescent="0.35">
      <c r="X1543"/>
      <c r="Y1543"/>
      <c r="Z1543"/>
      <c r="AA1543"/>
      <c r="AB1543"/>
    </row>
    <row r="1544" spans="24:28" x14ac:dyDescent="0.35">
      <c r="X1544"/>
      <c r="Y1544"/>
      <c r="Z1544"/>
      <c r="AA1544"/>
      <c r="AB1544"/>
    </row>
    <row r="1545" spans="24:28" x14ac:dyDescent="0.35">
      <c r="X1545"/>
      <c r="Y1545"/>
      <c r="Z1545"/>
      <c r="AA1545"/>
      <c r="AB1545"/>
    </row>
    <row r="1546" spans="24:28" x14ac:dyDescent="0.35">
      <c r="X1546"/>
      <c r="Y1546"/>
      <c r="Z1546"/>
      <c r="AA1546"/>
      <c r="AB1546"/>
    </row>
    <row r="1547" spans="24:28" x14ac:dyDescent="0.35">
      <c r="X1547"/>
      <c r="Y1547"/>
      <c r="Z1547"/>
      <c r="AA1547"/>
      <c r="AB1547"/>
    </row>
    <row r="1548" spans="24:28" x14ac:dyDescent="0.35">
      <c r="X1548"/>
      <c r="Y1548"/>
      <c r="Z1548"/>
      <c r="AA1548"/>
      <c r="AB1548"/>
    </row>
    <row r="1549" spans="24:28" x14ac:dyDescent="0.35">
      <c r="X1549"/>
      <c r="Y1549"/>
      <c r="Z1549"/>
      <c r="AA1549"/>
      <c r="AB1549"/>
    </row>
    <row r="1550" spans="24:28" x14ac:dyDescent="0.35">
      <c r="X1550"/>
      <c r="Y1550"/>
      <c r="Z1550"/>
      <c r="AA1550"/>
      <c r="AB1550"/>
    </row>
    <row r="1551" spans="24:28" x14ac:dyDescent="0.35">
      <c r="X1551"/>
      <c r="Y1551"/>
      <c r="Z1551"/>
      <c r="AA1551"/>
      <c r="AB1551"/>
    </row>
    <row r="1552" spans="24:28" x14ac:dyDescent="0.35">
      <c r="X1552"/>
      <c r="Y1552"/>
      <c r="Z1552"/>
      <c r="AA1552"/>
      <c r="AB1552"/>
    </row>
    <row r="1553" spans="24:28" x14ac:dyDescent="0.35">
      <c r="X1553"/>
      <c r="Y1553"/>
      <c r="Z1553"/>
      <c r="AA1553"/>
      <c r="AB1553"/>
    </row>
    <row r="1554" spans="24:28" x14ac:dyDescent="0.35">
      <c r="X1554"/>
      <c r="Y1554"/>
      <c r="Z1554"/>
      <c r="AA1554"/>
      <c r="AB1554"/>
    </row>
    <row r="1555" spans="24:28" x14ac:dyDescent="0.35">
      <c r="X1555"/>
      <c r="Y1555"/>
      <c r="Z1555"/>
      <c r="AA1555"/>
      <c r="AB1555"/>
    </row>
    <row r="1556" spans="24:28" x14ac:dyDescent="0.35">
      <c r="X1556"/>
      <c r="Y1556"/>
      <c r="Z1556"/>
      <c r="AA1556"/>
      <c r="AB1556"/>
    </row>
    <row r="1557" spans="24:28" x14ac:dyDescent="0.35">
      <c r="X1557"/>
      <c r="Y1557"/>
      <c r="Z1557"/>
      <c r="AA1557"/>
      <c r="AB1557"/>
    </row>
    <row r="1558" spans="24:28" x14ac:dyDescent="0.35">
      <c r="X1558"/>
      <c r="Y1558"/>
      <c r="Z1558"/>
      <c r="AA1558"/>
      <c r="AB1558"/>
    </row>
    <row r="1559" spans="24:28" x14ac:dyDescent="0.35">
      <c r="X1559"/>
      <c r="Y1559"/>
      <c r="Z1559"/>
      <c r="AA1559"/>
      <c r="AB1559"/>
    </row>
    <row r="1560" spans="24:28" x14ac:dyDescent="0.35">
      <c r="X1560"/>
      <c r="Y1560"/>
      <c r="Z1560"/>
      <c r="AA1560"/>
      <c r="AB1560"/>
    </row>
    <row r="1561" spans="24:28" x14ac:dyDescent="0.35">
      <c r="X1561"/>
      <c r="Y1561"/>
      <c r="Z1561"/>
      <c r="AA1561"/>
      <c r="AB1561"/>
    </row>
    <row r="1562" spans="24:28" x14ac:dyDescent="0.35">
      <c r="X1562"/>
      <c r="Y1562"/>
      <c r="Z1562"/>
      <c r="AA1562"/>
      <c r="AB1562"/>
    </row>
    <row r="1563" spans="24:28" x14ac:dyDescent="0.35">
      <c r="X1563"/>
      <c r="Y1563"/>
      <c r="Z1563"/>
      <c r="AA1563"/>
      <c r="AB1563"/>
    </row>
    <row r="1564" spans="24:28" x14ac:dyDescent="0.35">
      <c r="X1564"/>
      <c r="Y1564"/>
      <c r="Z1564"/>
      <c r="AA1564"/>
      <c r="AB1564"/>
    </row>
    <row r="1565" spans="24:28" x14ac:dyDescent="0.35">
      <c r="X1565"/>
      <c r="Y1565"/>
      <c r="Z1565"/>
      <c r="AA1565"/>
      <c r="AB1565"/>
    </row>
    <row r="1566" spans="24:28" x14ac:dyDescent="0.35">
      <c r="X1566"/>
      <c r="Y1566"/>
      <c r="Z1566"/>
      <c r="AA1566"/>
      <c r="AB1566"/>
    </row>
    <row r="1567" spans="24:28" x14ac:dyDescent="0.35">
      <c r="X1567"/>
      <c r="Y1567"/>
      <c r="Z1567"/>
      <c r="AA1567"/>
      <c r="AB1567"/>
    </row>
    <row r="1568" spans="24:28" x14ac:dyDescent="0.35">
      <c r="X1568"/>
      <c r="Y1568"/>
      <c r="Z1568"/>
      <c r="AA1568"/>
      <c r="AB1568"/>
    </row>
    <row r="1569" spans="24:28" x14ac:dyDescent="0.35">
      <c r="X1569"/>
      <c r="Y1569"/>
      <c r="Z1569"/>
      <c r="AA1569"/>
      <c r="AB1569"/>
    </row>
    <row r="1570" spans="24:28" x14ac:dyDescent="0.35">
      <c r="X1570"/>
      <c r="Y1570"/>
      <c r="Z1570"/>
      <c r="AA1570"/>
      <c r="AB1570"/>
    </row>
    <row r="1571" spans="24:28" x14ac:dyDescent="0.35">
      <c r="X1571"/>
      <c r="Y1571"/>
      <c r="Z1571"/>
      <c r="AA1571"/>
      <c r="AB1571"/>
    </row>
    <row r="1572" spans="24:28" x14ac:dyDescent="0.35">
      <c r="X1572"/>
      <c r="Y1572"/>
      <c r="Z1572"/>
      <c r="AA1572"/>
      <c r="AB1572"/>
    </row>
    <row r="1573" spans="24:28" x14ac:dyDescent="0.35">
      <c r="X1573"/>
      <c r="Y1573"/>
      <c r="Z1573"/>
      <c r="AA1573"/>
      <c r="AB1573"/>
    </row>
    <row r="1574" spans="24:28" x14ac:dyDescent="0.35">
      <c r="X1574"/>
      <c r="Y1574"/>
      <c r="Z1574"/>
      <c r="AA1574"/>
      <c r="AB1574"/>
    </row>
    <row r="1575" spans="24:28" x14ac:dyDescent="0.35">
      <c r="X1575"/>
      <c r="Y1575"/>
      <c r="Z1575"/>
      <c r="AA1575"/>
      <c r="AB1575"/>
    </row>
    <row r="1576" spans="24:28" x14ac:dyDescent="0.35">
      <c r="X1576"/>
      <c r="Y1576"/>
      <c r="Z1576"/>
      <c r="AA1576"/>
      <c r="AB1576"/>
    </row>
    <row r="1577" spans="24:28" x14ac:dyDescent="0.35">
      <c r="X1577"/>
      <c r="Y1577"/>
      <c r="Z1577"/>
      <c r="AA1577"/>
      <c r="AB1577"/>
    </row>
    <row r="1578" spans="24:28" x14ac:dyDescent="0.35">
      <c r="X1578"/>
      <c r="Y1578"/>
      <c r="Z1578"/>
      <c r="AA1578"/>
      <c r="AB1578"/>
    </row>
    <row r="1579" spans="24:28" x14ac:dyDescent="0.35">
      <c r="X1579"/>
      <c r="Y1579"/>
      <c r="Z1579"/>
      <c r="AA1579"/>
      <c r="AB1579"/>
    </row>
    <row r="1580" spans="24:28" x14ac:dyDescent="0.35">
      <c r="X1580"/>
      <c r="Y1580"/>
      <c r="Z1580"/>
      <c r="AA1580"/>
      <c r="AB1580"/>
    </row>
    <row r="1581" spans="24:28" x14ac:dyDescent="0.35">
      <c r="X1581"/>
      <c r="Y1581"/>
      <c r="Z1581"/>
      <c r="AA1581"/>
      <c r="AB1581"/>
    </row>
    <row r="1582" spans="24:28" x14ac:dyDescent="0.35">
      <c r="X1582"/>
      <c r="Y1582"/>
      <c r="Z1582"/>
      <c r="AA1582"/>
      <c r="AB1582"/>
    </row>
    <row r="1583" spans="24:28" x14ac:dyDescent="0.35">
      <c r="X1583"/>
      <c r="Y1583"/>
      <c r="Z1583"/>
      <c r="AA1583"/>
      <c r="AB1583"/>
    </row>
    <row r="1584" spans="24:28" x14ac:dyDescent="0.35">
      <c r="X1584"/>
      <c r="Y1584"/>
      <c r="Z1584"/>
      <c r="AA1584"/>
      <c r="AB1584"/>
    </row>
    <row r="1585" spans="24:28" x14ac:dyDescent="0.35">
      <c r="X1585"/>
      <c r="Y1585"/>
      <c r="Z1585"/>
      <c r="AA1585"/>
      <c r="AB1585"/>
    </row>
    <row r="1586" spans="24:28" x14ac:dyDescent="0.35">
      <c r="X1586"/>
      <c r="Y1586"/>
      <c r="Z1586"/>
      <c r="AA1586"/>
      <c r="AB1586"/>
    </row>
    <row r="1587" spans="24:28" x14ac:dyDescent="0.35">
      <c r="X1587"/>
      <c r="Y1587"/>
      <c r="Z1587"/>
      <c r="AA1587"/>
      <c r="AB1587"/>
    </row>
    <row r="1588" spans="24:28" x14ac:dyDescent="0.35">
      <c r="X1588"/>
      <c r="Y1588"/>
      <c r="Z1588"/>
      <c r="AA1588"/>
      <c r="AB1588"/>
    </row>
    <row r="1589" spans="24:28" x14ac:dyDescent="0.35">
      <c r="X1589"/>
      <c r="Y1589"/>
      <c r="Z1589"/>
      <c r="AA1589"/>
      <c r="AB1589"/>
    </row>
    <row r="1590" spans="24:28" x14ac:dyDescent="0.35">
      <c r="X1590"/>
      <c r="Y1590"/>
      <c r="Z1590"/>
      <c r="AA1590"/>
      <c r="AB1590"/>
    </row>
    <row r="1591" spans="24:28" x14ac:dyDescent="0.35">
      <c r="X1591"/>
      <c r="Y1591"/>
      <c r="Z1591"/>
      <c r="AA1591"/>
      <c r="AB1591"/>
    </row>
    <row r="1592" spans="24:28" x14ac:dyDescent="0.35">
      <c r="X1592"/>
      <c r="Y1592"/>
      <c r="Z1592"/>
      <c r="AA1592"/>
      <c r="AB1592"/>
    </row>
    <row r="1593" spans="24:28" x14ac:dyDescent="0.35">
      <c r="X1593"/>
      <c r="Y1593"/>
      <c r="Z1593"/>
      <c r="AA1593"/>
      <c r="AB1593"/>
    </row>
    <row r="1594" spans="24:28" x14ac:dyDescent="0.35">
      <c r="X1594"/>
      <c r="Y1594"/>
      <c r="Z1594"/>
      <c r="AA1594"/>
      <c r="AB1594"/>
    </row>
    <row r="1595" spans="24:28" x14ac:dyDescent="0.35">
      <c r="X1595"/>
      <c r="Y1595"/>
      <c r="Z1595"/>
      <c r="AA1595"/>
      <c r="AB1595"/>
    </row>
    <row r="1596" spans="24:28" x14ac:dyDescent="0.35">
      <c r="X1596"/>
      <c r="Y1596"/>
      <c r="Z1596"/>
      <c r="AA1596"/>
      <c r="AB1596"/>
    </row>
    <row r="1597" spans="24:28" x14ac:dyDescent="0.35">
      <c r="X1597"/>
      <c r="Y1597"/>
      <c r="Z1597"/>
      <c r="AA1597"/>
      <c r="AB1597"/>
    </row>
    <row r="1598" spans="24:28" x14ac:dyDescent="0.35">
      <c r="X1598"/>
      <c r="Y1598"/>
      <c r="Z1598"/>
      <c r="AA1598"/>
      <c r="AB1598"/>
    </row>
    <row r="1599" spans="24:28" x14ac:dyDescent="0.35">
      <c r="X1599"/>
      <c r="Y1599"/>
      <c r="Z1599"/>
      <c r="AA1599"/>
      <c r="AB1599"/>
    </row>
    <row r="1600" spans="24:28" x14ac:dyDescent="0.35">
      <c r="X1600"/>
      <c r="Y1600"/>
      <c r="Z1600"/>
      <c r="AA1600"/>
      <c r="AB1600"/>
    </row>
    <row r="1601" spans="24:28" x14ac:dyDescent="0.35">
      <c r="X1601"/>
      <c r="Y1601"/>
      <c r="Z1601"/>
      <c r="AA1601"/>
      <c r="AB1601"/>
    </row>
    <row r="1602" spans="24:28" x14ac:dyDescent="0.35">
      <c r="X1602"/>
      <c r="Y1602"/>
      <c r="Z1602"/>
      <c r="AA1602"/>
      <c r="AB1602"/>
    </row>
    <row r="1603" spans="24:28" x14ac:dyDescent="0.35">
      <c r="X1603"/>
      <c r="Y1603"/>
      <c r="Z1603"/>
      <c r="AA1603"/>
      <c r="AB1603"/>
    </row>
    <row r="1604" spans="24:28" x14ac:dyDescent="0.35">
      <c r="X1604"/>
      <c r="Y1604"/>
      <c r="Z1604"/>
      <c r="AA1604"/>
      <c r="AB1604"/>
    </row>
    <row r="1605" spans="24:28" x14ac:dyDescent="0.35">
      <c r="X1605"/>
      <c r="Y1605"/>
      <c r="Z1605"/>
      <c r="AA1605"/>
      <c r="AB1605"/>
    </row>
    <row r="1606" spans="24:28" x14ac:dyDescent="0.35">
      <c r="X1606"/>
      <c r="Y1606"/>
      <c r="Z1606"/>
      <c r="AA1606"/>
      <c r="AB1606"/>
    </row>
    <row r="1607" spans="24:28" x14ac:dyDescent="0.35">
      <c r="X1607"/>
      <c r="Y1607"/>
      <c r="Z1607"/>
      <c r="AA1607"/>
      <c r="AB1607"/>
    </row>
    <row r="1608" spans="24:28" x14ac:dyDescent="0.35">
      <c r="X1608"/>
      <c r="Y1608"/>
      <c r="Z1608"/>
      <c r="AA1608"/>
      <c r="AB1608"/>
    </row>
    <row r="1609" spans="24:28" x14ac:dyDescent="0.35">
      <c r="X1609"/>
      <c r="Y1609"/>
      <c r="Z1609"/>
      <c r="AA1609"/>
      <c r="AB1609"/>
    </row>
    <row r="1610" spans="24:28" x14ac:dyDescent="0.35">
      <c r="X1610"/>
      <c r="Y1610"/>
      <c r="Z1610"/>
      <c r="AA1610"/>
      <c r="AB1610"/>
    </row>
    <row r="1611" spans="24:28" x14ac:dyDescent="0.35">
      <c r="X1611"/>
      <c r="Y1611"/>
      <c r="Z1611"/>
      <c r="AA1611"/>
      <c r="AB1611"/>
    </row>
    <row r="1612" spans="24:28" x14ac:dyDescent="0.35">
      <c r="X1612"/>
      <c r="Y1612"/>
      <c r="Z1612"/>
      <c r="AA1612"/>
      <c r="AB1612"/>
    </row>
    <row r="1613" spans="24:28" x14ac:dyDescent="0.35">
      <c r="X1613"/>
      <c r="Y1613"/>
      <c r="Z1613"/>
      <c r="AA1613"/>
      <c r="AB1613"/>
    </row>
    <row r="1614" spans="24:28" x14ac:dyDescent="0.35">
      <c r="X1614"/>
      <c r="Y1614"/>
      <c r="Z1614"/>
      <c r="AA1614"/>
      <c r="AB1614"/>
    </row>
    <row r="1615" spans="24:28" x14ac:dyDescent="0.35">
      <c r="X1615"/>
      <c r="Y1615"/>
      <c r="Z1615"/>
      <c r="AA1615"/>
      <c r="AB1615"/>
    </row>
    <row r="1616" spans="24:28" x14ac:dyDescent="0.35">
      <c r="X1616"/>
      <c r="Y1616"/>
      <c r="Z1616"/>
      <c r="AA1616"/>
      <c r="AB1616"/>
    </row>
    <row r="1617" spans="24:28" x14ac:dyDescent="0.35">
      <c r="X1617"/>
      <c r="Y1617"/>
      <c r="Z1617"/>
      <c r="AA1617"/>
      <c r="AB1617"/>
    </row>
    <row r="1618" spans="24:28" x14ac:dyDescent="0.35">
      <c r="X1618"/>
      <c r="Y1618"/>
      <c r="Z1618"/>
      <c r="AA1618"/>
      <c r="AB1618"/>
    </row>
    <row r="1619" spans="24:28" x14ac:dyDescent="0.35">
      <c r="X1619"/>
      <c r="Y1619"/>
      <c r="Z1619"/>
      <c r="AA1619"/>
      <c r="AB1619"/>
    </row>
    <row r="1620" spans="24:28" x14ac:dyDescent="0.35">
      <c r="X1620"/>
      <c r="Y1620"/>
      <c r="Z1620"/>
      <c r="AA1620"/>
      <c r="AB1620"/>
    </row>
    <row r="1621" spans="24:28" x14ac:dyDescent="0.35">
      <c r="X1621"/>
      <c r="Y1621"/>
      <c r="Z1621"/>
      <c r="AA1621"/>
      <c r="AB1621"/>
    </row>
    <row r="1622" spans="24:28" x14ac:dyDescent="0.35">
      <c r="X1622"/>
      <c r="Y1622"/>
      <c r="Z1622"/>
      <c r="AA1622"/>
      <c r="AB1622"/>
    </row>
    <row r="1623" spans="24:28" x14ac:dyDescent="0.35">
      <c r="X1623"/>
      <c r="Y1623"/>
      <c r="Z1623"/>
      <c r="AA1623"/>
      <c r="AB1623"/>
    </row>
    <row r="1624" spans="24:28" x14ac:dyDescent="0.35">
      <c r="X1624"/>
      <c r="Y1624"/>
      <c r="Z1624"/>
      <c r="AA1624"/>
      <c r="AB1624"/>
    </row>
    <row r="1625" spans="24:28" x14ac:dyDescent="0.35">
      <c r="X1625"/>
      <c r="Y1625"/>
      <c r="Z1625"/>
      <c r="AA1625"/>
      <c r="AB1625"/>
    </row>
    <row r="1626" spans="24:28" x14ac:dyDescent="0.35">
      <c r="X1626"/>
      <c r="Y1626"/>
      <c r="Z1626"/>
      <c r="AA1626"/>
      <c r="AB1626"/>
    </row>
    <row r="1627" spans="24:28" x14ac:dyDescent="0.35">
      <c r="X1627"/>
      <c r="Y1627"/>
      <c r="Z1627"/>
      <c r="AA1627"/>
      <c r="AB1627"/>
    </row>
    <row r="1628" spans="24:28" x14ac:dyDescent="0.35">
      <c r="X1628"/>
      <c r="Y1628"/>
      <c r="Z1628"/>
      <c r="AA1628"/>
      <c r="AB1628"/>
    </row>
    <row r="1629" spans="24:28" x14ac:dyDescent="0.35">
      <c r="X1629"/>
      <c r="Y1629"/>
      <c r="Z1629"/>
      <c r="AA1629"/>
      <c r="AB1629"/>
    </row>
    <row r="1630" spans="24:28" x14ac:dyDescent="0.35">
      <c r="X1630"/>
      <c r="Y1630"/>
      <c r="Z1630"/>
      <c r="AA1630"/>
      <c r="AB1630"/>
    </row>
    <row r="1631" spans="24:28" x14ac:dyDescent="0.35">
      <c r="X1631"/>
      <c r="Y1631"/>
      <c r="Z1631"/>
      <c r="AA1631"/>
      <c r="AB1631"/>
    </row>
    <row r="1632" spans="24:28" x14ac:dyDescent="0.35">
      <c r="X1632"/>
      <c r="Y1632"/>
      <c r="Z1632"/>
      <c r="AA1632"/>
      <c r="AB1632"/>
    </row>
    <row r="1633" spans="24:28" x14ac:dyDescent="0.35">
      <c r="X1633"/>
      <c r="Y1633"/>
      <c r="Z1633"/>
      <c r="AA1633"/>
      <c r="AB1633"/>
    </row>
    <row r="1634" spans="24:28" x14ac:dyDescent="0.35">
      <c r="X1634"/>
      <c r="Y1634"/>
      <c r="Z1634"/>
      <c r="AA1634"/>
      <c r="AB1634"/>
    </row>
    <row r="1635" spans="24:28" x14ac:dyDescent="0.35">
      <c r="X1635"/>
      <c r="Y1635"/>
      <c r="Z1635"/>
      <c r="AA1635"/>
      <c r="AB1635"/>
    </row>
    <row r="1636" spans="24:28" x14ac:dyDescent="0.35">
      <c r="X1636"/>
      <c r="Y1636"/>
      <c r="Z1636"/>
      <c r="AA1636"/>
      <c r="AB1636"/>
    </row>
    <row r="1637" spans="24:28" x14ac:dyDescent="0.35">
      <c r="X1637"/>
      <c r="Y1637"/>
      <c r="Z1637"/>
      <c r="AA1637"/>
      <c r="AB1637"/>
    </row>
    <row r="1638" spans="24:28" x14ac:dyDescent="0.35">
      <c r="X1638"/>
      <c r="Y1638"/>
      <c r="Z1638"/>
      <c r="AA1638"/>
      <c r="AB1638"/>
    </row>
    <row r="1639" spans="24:28" x14ac:dyDescent="0.35">
      <c r="X1639"/>
      <c r="Y1639"/>
      <c r="Z1639"/>
      <c r="AA1639"/>
      <c r="AB1639"/>
    </row>
    <row r="1640" spans="24:28" x14ac:dyDescent="0.35">
      <c r="X1640"/>
      <c r="Y1640"/>
      <c r="Z1640"/>
      <c r="AA1640"/>
      <c r="AB1640"/>
    </row>
    <row r="1641" spans="24:28" x14ac:dyDescent="0.35">
      <c r="X1641"/>
      <c r="Y1641"/>
      <c r="Z1641"/>
      <c r="AA1641"/>
      <c r="AB1641"/>
    </row>
    <row r="1642" spans="24:28" x14ac:dyDescent="0.35">
      <c r="X1642"/>
      <c r="Y1642"/>
      <c r="Z1642"/>
      <c r="AA1642"/>
      <c r="AB1642"/>
    </row>
    <row r="1643" spans="24:28" x14ac:dyDescent="0.35">
      <c r="X1643"/>
      <c r="Y1643"/>
      <c r="Z1643"/>
      <c r="AA1643"/>
      <c r="AB1643"/>
    </row>
    <row r="1644" spans="24:28" x14ac:dyDescent="0.35">
      <c r="X1644"/>
      <c r="Y1644"/>
      <c r="Z1644"/>
      <c r="AA1644"/>
      <c r="AB1644"/>
    </row>
    <row r="1645" spans="24:28" x14ac:dyDescent="0.35">
      <c r="X1645"/>
      <c r="Y1645"/>
      <c r="Z1645"/>
      <c r="AA1645"/>
      <c r="AB1645"/>
    </row>
    <row r="1646" spans="24:28" x14ac:dyDescent="0.35">
      <c r="X1646"/>
      <c r="Y1646"/>
      <c r="Z1646"/>
      <c r="AA1646"/>
      <c r="AB1646"/>
    </row>
    <row r="1647" spans="24:28" x14ac:dyDescent="0.35">
      <c r="X1647"/>
      <c r="Y1647"/>
      <c r="Z1647"/>
      <c r="AA1647"/>
      <c r="AB1647"/>
    </row>
    <row r="1648" spans="24:28" x14ac:dyDescent="0.35">
      <c r="X1648"/>
      <c r="Y1648"/>
      <c r="Z1648"/>
      <c r="AA1648"/>
      <c r="AB1648"/>
    </row>
    <row r="1649" spans="24:28" x14ac:dyDescent="0.35">
      <c r="X1649"/>
      <c r="Y1649"/>
      <c r="Z1649"/>
      <c r="AA1649"/>
      <c r="AB1649"/>
    </row>
    <row r="1650" spans="24:28" x14ac:dyDescent="0.35">
      <c r="X1650"/>
      <c r="Y1650"/>
      <c r="Z1650"/>
      <c r="AA1650"/>
      <c r="AB1650"/>
    </row>
    <row r="1651" spans="24:28" x14ac:dyDescent="0.35">
      <c r="X1651"/>
      <c r="Y1651"/>
      <c r="Z1651"/>
      <c r="AA1651"/>
      <c r="AB1651"/>
    </row>
    <row r="1652" spans="24:28" x14ac:dyDescent="0.35">
      <c r="X1652"/>
      <c r="Y1652"/>
      <c r="Z1652"/>
      <c r="AA1652"/>
      <c r="AB1652"/>
    </row>
    <row r="1653" spans="24:28" x14ac:dyDescent="0.35">
      <c r="X1653"/>
      <c r="Y1653"/>
      <c r="Z1653"/>
      <c r="AA1653"/>
      <c r="AB1653"/>
    </row>
    <row r="1654" spans="24:28" x14ac:dyDescent="0.35">
      <c r="X1654"/>
      <c r="Y1654"/>
      <c r="Z1654"/>
      <c r="AA1654"/>
      <c r="AB1654"/>
    </row>
    <row r="1655" spans="24:28" x14ac:dyDescent="0.35">
      <c r="X1655"/>
      <c r="Y1655"/>
      <c r="Z1655"/>
      <c r="AA1655"/>
      <c r="AB1655"/>
    </row>
    <row r="1656" spans="24:28" x14ac:dyDescent="0.35">
      <c r="X1656"/>
      <c r="Y1656"/>
      <c r="Z1656"/>
      <c r="AA1656"/>
      <c r="AB1656"/>
    </row>
    <row r="1657" spans="24:28" x14ac:dyDescent="0.35">
      <c r="X1657"/>
      <c r="Y1657"/>
      <c r="Z1657"/>
      <c r="AA1657"/>
      <c r="AB1657"/>
    </row>
    <row r="1658" spans="24:28" x14ac:dyDescent="0.35">
      <c r="X1658"/>
      <c r="Y1658"/>
      <c r="Z1658"/>
      <c r="AA1658"/>
      <c r="AB1658"/>
    </row>
    <row r="1659" spans="24:28" x14ac:dyDescent="0.35">
      <c r="X1659"/>
      <c r="Y1659"/>
      <c r="Z1659"/>
      <c r="AA1659"/>
      <c r="AB1659"/>
    </row>
    <row r="1660" spans="24:28" x14ac:dyDescent="0.35">
      <c r="X1660"/>
      <c r="Y1660"/>
      <c r="Z1660"/>
      <c r="AA1660"/>
      <c r="AB1660"/>
    </row>
    <row r="1661" spans="24:28" x14ac:dyDescent="0.35">
      <c r="X1661"/>
      <c r="Y1661"/>
      <c r="Z1661"/>
      <c r="AA1661"/>
      <c r="AB1661"/>
    </row>
    <row r="1662" spans="24:28" x14ac:dyDescent="0.35">
      <c r="X1662"/>
      <c r="Y1662"/>
      <c r="Z1662"/>
      <c r="AA1662"/>
      <c r="AB1662"/>
    </row>
    <row r="1663" spans="24:28" x14ac:dyDescent="0.35">
      <c r="X1663"/>
      <c r="Y1663"/>
      <c r="Z1663"/>
      <c r="AA1663"/>
      <c r="AB1663"/>
    </row>
    <row r="1664" spans="24:28" x14ac:dyDescent="0.35">
      <c r="X1664"/>
      <c r="Y1664"/>
      <c r="Z1664"/>
      <c r="AA1664"/>
      <c r="AB1664"/>
    </row>
    <row r="1665" spans="24:28" x14ac:dyDescent="0.35">
      <c r="X1665"/>
      <c r="Y1665"/>
      <c r="Z1665"/>
      <c r="AA1665"/>
      <c r="AB1665"/>
    </row>
    <row r="1666" spans="24:28" x14ac:dyDescent="0.35">
      <c r="X1666"/>
      <c r="Y1666"/>
      <c r="Z1666"/>
      <c r="AA1666"/>
      <c r="AB1666"/>
    </row>
    <row r="1667" spans="24:28" x14ac:dyDescent="0.35">
      <c r="X1667"/>
      <c r="Y1667"/>
      <c r="Z1667"/>
      <c r="AA1667"/>
      <c r="AB1667"/>
    </row>
    <row r="1668" spans="24:28" x14ac:dyDescent="0.35">
      <c r="X1668"/>
      <c r="Y1668"/>
      <c r="Z1668"/>
      <c r="AA1668"/>
      <c r="AB1668"/>
    </row>
    <row r="1669" spans="24:28" x14ac:dyDescent="0.35">
      <c r="X1669"/>
      <c r="Y1669"/>
      <c r="Z1669"/>
      <c r="AA1669"/>
      <c r="AB1669"/>
    </row>
    <row r="1670" spans="24:28" x14ac:dyDescent="0.35">
      <c r="X1670"/>
      <c r="Y1670"/>
      <c r="Z1670"/>
      <c r="AA1670"/>
      <c r="AB1670"/>
    </row>
    <row r="1671" spans="24:28" x14ac:dyDescent="0.35">
      <c r="X1671"/>
      <c r="Y1671"/>
      <c r="Z1671"/>
      <c r="AA1671"/>
      <c r="AB1671"/>
    </row>
    <row r="1672" spans="24:28" x14ac:dyDescent="0.35">
      <c r="X1672"/>
      <c r="Y1672"/>
      <c r="Z1672"/>
      <c r="AA1672"/>
      <c r="AB1672"/>
    </row>
    <row r="1673" spans="24:28" x14ac:dyDescent="0.35">
      <c r="X1673"/>
      <c r="Y1673"/>
      <c r="Z1673"/>
      <c r="AA1673"/>
      <c r="AB1673"/>
    </row>
    <row r="1674" spans="24:28" x14ac:dyDescent="0.35">
      <c r="X1674"/>
      <c r="Y1674"/>
      <c r="Z1674"/>
      <c r="AA1674"/>
      <c r="AB1674"/>
    </row>
    <row r="1675" spans="24:28" x14ac:dyDescent="0.35">
      <c r="X1675"/>
      <c r="Y1675"/>
      <c r="Z1675"/>
      <c r="AA1675"/>
      <c r="AB1675"/>
    </row>
    <row r="1676" spans="24:28" x14ac:dyDescent="0.35">
      <c r="X1676"/>
      <c r="Y1676"/>
      <c r="Z1676"/>
      <c r="AA1676"/>
      <c r="AB1676"/>
    </row>
    <row r="1677" spans="24:28" x14ac:dyDescent="0.35">
      <c r="X1677"/>
      <c r="Y1677"/>
      <c r="Z1677"/>
      <c r="AA1677"/>
      <c r="AB1677"/>
    </row>
    <row r="1678" spans="24:28" x14ac:dyDescent="0.35">
      <c r="X1678"/>
      <c r="Y1678"/>
      <c r="Z1678"/>
      <c r="AA1678"/>
      <c r="AB1678"/>
    </row>
    <row r="1679" spans="24:28" x14ac:dyDescent="0.35">
      <c r="X1679"/>
      <c r="Y1679"/>
      <c r="Z1679"/>
      <c r="AA1679"/>
      <c r="AB1679"/>
    </row>
    <row r="1680" spans="24:28" x14ac:dyDescent="0.35">
      <c r="X1680"/>
      <c r="Y1680"/>
      <c r="Z1680"/>
      <c r="AA1680"/>
      <c r="AB1680"/>
    </row>
    <row r="1681" spans="24:28" x14ac:dyDescent="0.35">
      <c r="X1681"/>
      <c r="Y1681"/>
      <c r="Z1681"/>
      <c r="AA1681"/>
      <c r="AB1681"/>
    </row>
    <row r="1682" spans="24:28" x14ac:dyDescent="0.35">
      <c r="X1682"/>
      <c r="Y1682"/>
      <c r="Z1682"/>
      <c r="AA1682"/>
      <c r="AB1682"/>
    </row>
    <row r="1683" spans="24:28" x14ac:dyDescent="0.35">
      <c r="X1683"/>
      <c r="Y1683"/>
      <c r="Z1683"/>
      <c r="AA1683"/>
      <c r="AB1683"/>
    </row>
    <row r="1684" spans="24:28" x14ac:dyDescent="0.35">
      <c r="X1684"/>
      <c r="Y1684"/>
      <c r="Z1684"/>
      <c r="AA1684"/>
      <c r="AB1684"/>
    </row>
    <row r="1685" spans="24:28" x14ac:dyDescent="0.35">
      <c r="X1685"/>
      <c r="Y1685"/>
      <c r="Z1685"/>
      <c r="AA1685"/>
      <c r="AB1685"/>
    </row>
    <row r="1686" spans="24:28" x14ac:dyDescent="0.35">
      <c r="X1686"/>
      <c r="Y1686"/>
      <c r="Z1686"/>
      <c r="AA1686"/>
      <c r="AB1686"/>
    </row>
    <row r="1687" spans="24:28" x14ac:dyDescent="0.35">
      <c r="X1687"/>
      <c r="Y1687"/>
      <c r="Z1687"/>
      <c r="AA1687"/>
      <c r="AB1687"/>
    </row>
    <row r="1688" spans="24:28" x14ac:dyDescent="0.35">
      <c r="X1688"/>
      <c r="Y1688"/>
      <c r="Z1688"/>
      <c r="AA1688"/>
      <c r="AB1688"/>
    </row>
    <row r="1689" spans="24:28" x14ac:dyDescent="0.35">
      <c r="X1689"/>
      <c r="Y1689"/>
      <c r="Z1689"/>
      <c r="AA1689"/>
      <c r="AB1689"/>
    </row>
    <row r="1690" spans="24:28" x14ac:dyDescent="0.35">
      <c r="X1690"/>
      <c r="Y1690"/>
      <c r="Z1690"/>
      <c r="AA1690"/>
      <c r="AB1690"/>
    </row>
    <row r="1691" spans="24:28" x14ac:dyDescent="0.35">
      <c r="X1691"/>
      <c r="Y1691"/>
      <c r="Z1691"/>
      <c r="AA1691"/>
      <c r="AB1691"/>
    </row>
    <row r="1692" spans="24:28" x14ac:dyDescent="0.35">
      <c r="X1692"/>
      <c r="Y1692"/>
      <c r="Z1692"/>
      <c r="AA1692"/>
      <c r="AB1692"/>
    </row>
    <row r="1693" spans="24:28" x14ac:dyDescent="0.35">
      <c r="X1693"/>
      <c r="Y1693"/>
      <c r="Z1693"/>
      <c r="AA1693"/>
      <c r="AB1693"/>
    </row>
    <row r="1694" spans="24:28" x14ac:dyDescent="0.35">
      <c r="X1694"/>
      <c r="Y1694"/>
      <c r="Z1694"/>
      <c r="AA1694"/>
      <c r="AB1694"/>
    </row>
    <row r="1695" spans="24:28" x14ac:dyDescent="0.35">
      <c r="X1695"/>
      <c r="Y1695"/>
      <c r="Z1695"/>
      <c r="AA1695"/>
      <c r="AB1695"/>
    </row>
    <row r="1696" spans="24:28" x14ac:dyDescent="0.35">
      <c r="X1696"/>
      <c r="Y1696"/>
      <c r="Z1696"/>
      <c r="AA1696"/>
      <c r="AB1696"/>
    </row>
    <row r="1697" spans="24:28" x14ac:dyDescent="0.35">
      <c r="X1697"/>
      <c r="Y1697"/>
      <c r="Z1697"/>
      <c r="AA1697"/>
      <c r="AB1697"/>
    </row>
    <row r="1698" spans="24:28" x14ac:dyDescent="0.35">
      <c r="X1698"/>
      <c r="Y1698"/>
      <c r="Z1698"/>
      <c r="AA1698"/>
      <c r="AB1698"/>
    </row>
    <row r="1699" spans="24:28" x14ac:dyDescent="0.35">
      <c r="X1699"/>
      <c r="Y1699"/>
      <c r="Z1699"/>
      <c r="AA1699"/>
      <c r="AB1699"/>
    </row>
    <row r="1700" spans="24:28" x14ac:dyDescent="0.35">
      <c r="X1700"/>
      <c r="Y1700"/>
      <c r="Z1700"/>
      <c r="AA1700"/>
      <c r="AB1700"/>
    </row>
    <row r="1701" spans="24:28" x14ac:dyDescent="0.35">
      <c r="X1701"/>
      <c r="Y1701"/>
      <c r="Z1701"/>
      <c r="AA1701"/>
      <c r="AB1701"/>
    </row>
    <row r="1702" spans="24:28" x14ac:dyDescent="0.35">
      <c r="X1702"/>
      <c r="Y1702"/>
      <c r="Z1702"/>
      <c r="AA1702"/>
      <c r="AB1702"/>
    </row>
    <row r="1703" spans="24:28" x14ac:dyDescent="0.35">
      <c r="X1703"/>
      <c r="Y1703"/>
      <c r="Z1703"/>
      <c r="AA1703"/>
      <c r="AB1703"/>
    </row>
    <row r="1704" spans="24:28" x14ac:dyDescent="0.35">
      <c r="X1704"/>
      <c r="Y1704"/>
      <c r="Z1704"/>
      <c r="AA1704"/>
      <c r="AB1704"/>
    </row>
    <row r="1705" spans="24:28" x14ac:dyDescent="0.35">
      <c r="X1705"/>
      <c r="Y1705"/>
      <c r="Z1705"/>
      <c r="AA1705"/>
      <c r="AB1705"/>
    </row>
    <row r="1706" spans="24:28" x14ac:dyDescent="0.35">
      <c r="X1706"/>
      <c r="Y1706"/>
      <c r="Z1706"/>
      <c r="AA1706"/>
      <c r="AB1706"/>
    </row>
    <row r="1707" spans="24:28" x14ac:dyDescent="0.35">
      <c r="X1707"/>
      <c r="Y1707"/>
      <c r="Z1707"/>
      <c r="AA1707"/>
      <c r="AB1707"/>
    </row>
    <row r="1708" spans="24:28" x14ac:dyDescent="0.35">
      <c r="X1708"/>
      <c r="Y1708"/>
      <c r="Z1708"/>
      <c r="AA1708"/>
      <c r="AB1708"/>
    </row>
    <row r="1709" spans="24:28" x14ac:dyDescent="0.35">
      <c r="X1709"/>
      <c r="Y1709"/>
      <c r="Z1709"/>
      <c r="AA1709"/>
      <c r="AB1709"/>
    </row>
    <row r="1710" spans="24:28" x14ac:dyDescent="0.35">
      <c r="X1710"/>
      <c r="Y1710"/>
      <c r="Z1710"/>
      <c r="AA1710"/>
      <c r="AB1710"/>
    </row>
    <row r="1711" spans="24:28" x14ac:dyDescent="0.35">
      <c r="X1711"/>
      <c r="Y1711"/>
      <c r="Z1711"/>
      <c r="AA1711"/>
      <c r="AB1711"/>
    </row>
    <row r="1712" spans="24:28" x14ac:dyDescent="0.35">
      <c r="X1712"/>
      <c r="Y1712"/>
      <c r="Z1712"/>
      <c r="AA1712"/>
      <c r="AB1712"/>
    </row>
    <row r="1713" spans="24:28" x14ac:dyDescent="0.35">
      <c r="X1713"/>
      <c r="Y1713"/>
      <c r="Z1713"/>
      <c r="AA1713"/>
      <c r="AB1713"/>
    </row>
    <row r="1714" spans="24:28" x14ac:dyDescent="0.35">
      <c r="X1714"/>
      <c r="Y1714"/>
      <c r="Z1714"/>
      <c r="AA1714"/>
      <c r="AB1714"/>
    </row>
    <row r="1715" spans="24:28" x14ac:dyDescent="0.35">
      <c r="X1715"/>
      <c r="Y1715"/>
      <c r="Z1715"/>
      <c r="AA1715"/>
      <c r="AB1715"/>
    </row>
    <row r="1716" spans="24:28" x14ac:dyDescent="0.35">
      <c r="X1716"/>
      <c r="Y1716"/>
      <c r="Z1716"/>
      <c r="AA1716"/>
      <c r="AB1716"/>
    </row>
    <row r="1717" spans="24:28" x14ac:dyDescent="0.35">
      <c r="X1717"/>
      <c r="Y1717"/>
      <c r="Z1717"/>
      <c r="AA1717"/>
      <c r="AB1717"/>
    </row>
    <row r="1718" spans="24:28" x14ac:dyDescent="0.35">
      <c r="X1718"/>
      <c r="Y1718"/>
      <c r="Z1718"/>
      <c r="AA1718"/>
      <c r="AB1718"/>
    </row>
    <row r="1719" spans="24:28" x14ac:dyDescent="0.35">
      <c r="X1719"/>
      <c r="Y1719"/>
      <c r="Z1719"/>
      <c r="AA1719"/>
      <c r="AB1719"/>
    </row>
    <row r="1720" spans="24:28" x14ac:dyDescent="0.35">
      <c r="X1720"/>
      <c r="Y1720"/>
      <c r="Z1720"/>
      <c r="AA1720"/>
      <c r="AB1720"/>
    </row>
    <row r="1721" spans="24:28" x14ac:dyDescent="0.35">
      <c r="X1721"/>
      <c r="Y1721"/>
      <c r="Z1721"/>
      <c r="AA1721"/>
      <c r="AB1721"/>
    </row>
    <row r="1722" spans="24:28" x14ac:dyDescent="0.35">
      <c r="X1722"/>
      <c r="Y1722"/>
      <c r="Z1722"/>
      <c r="AA1722"/>
      <c r="AB1722"/>
    </row>
    <row r="1723" spans="24:28" x14ac:dyDescent="0.35">
      <c r="X1723"/>
      <c r="Y1723"/>
      <c r="Z1723"/>
      <c r="AA1723"/>
      <c r="AB1723"/>
    </row>
    <row r="1724" spans="24:28" x14ac:dyDescent="0.35">
      <c r="X1724"/>
      <c r="Y1724"/>
      <c r="Z1724"/>
      <c r="AA1724"/>
      <c r="AB1724"/>
    </row>
    <row r="1725" spans="24:28" x14ac:dyDescent="0.35">
      <c r="X1725"/>
      <c r="Y1725"/>
      <c r="Z1725"/>
      <c r="AA1725"/>
      <c r="AB1725"/>
    </row>
    <row r="1726" spans="24:28" x14ac:dyDescent="0.35">
      <c r="X1726"/>
      <c r="Y1726"/>
      <c r="Z1726"/>
      <c r="AA1726"/>
      <c r="AB1726"/>
    </row>
    <row r="1727" spans="24:28" x14ac:dyDescent="0.35">
      <c r="X1727"/>
      <c r="Y1727"/>
      <c r="Z1727"/>
      <c r="AA1727"/>
      <c r="AB1727"/>
    </row>
    <row r="1728" spans="24:28" x14ac:dyDescent="0.35">
      <c r="X1728"/>
      <c r="Y1728"/>
      <c r="Z1728"/>
      <c r="AA1728"/>
      <c r="AB1728"/>
    </row>
    <row r="1729" spans="24:28" x14ac:dyDescent="0.35">
      <c r="X1729"/>
      <c r="Y1729"/>
      <c r="Z1729"/>
      <c r="AA1729"/>
      <c r="AB1729"/>
    </row>
    <row r="1730" spans="24:28" x14ac:dyDescent="0.35">
      <c r="X1730"/>
      <c r="Y1730"/>
      <c r="Z1730"/>
      <c r="AA1730"/>
      <c r="AB1730"/>
    </row>
    <row r="1731" spans="24:28" x14ac:dyDescent="0.35">
      <c r="X1731"/>
      <c r="Y1731"/>
      <c r="Z1731"/>
      <c r="AA1731"/>
      <c r="AB1731"/>
    </row>
    <row r="1732" spans="24:28" x14ac:dyDescent="0.35">
      <c r="X1732"/>
      <c r="Y1732"/>
      <c r="Z1732"/>
      <c r="AA1732"/>
      <c r="AB1732"/>
    </row>
    <row r="1733" spans="24:28" x14ac:dyDescent="0.35">
      <c r="X1733"/>
      <c r="Y1733"/>
      <c r="Z1733"/>
      <c r="AA1733"/>
      <c r="AB1733"/>
    </row>
    <row r="1734" spans="24:28" x14ac:dyDescent="0.35">
      <c r="X1734"/>
      <c r="Y1734"/>
      <c r="Z1734"/>
      <c r="AA1734"/>
      <c r="AB1734"/>
    </row>
    <row r="1735" spans="24:28" x14ac:dyDescent="0.35">
      <c r="X1735"/>
      <c r="Y1735"/>
      <c r="Z1735"/>
      <c r="AA1735"/>
      <c r="AB1735"/>
    </row>
    <row r="1736" spans="24:28" x14ac:dyDescent="0.35">
      <c r="X1736"/>
      <c r="Y1736"/>
      <c r="Z1736"/>
      <c r="AA1736"/>
      <c r="AB1736"/>
    </row>
    <row r="1737" spans="24:28" x14ac:dyDescent="0.35">
      <c r="X1737"/>
      <c r="Y1737"/>
      <c r="Z1737"/>
      <c r="AA1737"/>
      <c r="AB1737"/>
    </row>
    <row r="1738" spans="24:28" x14ac:dyDescent="0.35">
      <c r="X1738"/>
      <c r="Y1738"/>
      <c r="Z1738"/>
      <c r="AA1738"/>
      <c r="AB1738"/>
    </row>
    <row r="1739" spans="24:28" x14ac:dyDescent="0.35">
      <c r="X1739"/>
      <c r="Y1739"/>
      <c r="Z1739"/>
      <c r="AA1739"/>
      <c r="AB1739"/>
    </row>
    <row r="1740" spans="24:28" x14ac:dyDescent="0.35">
      <c r="X1740"/>
      <c r="Y1740"/>
      <c r="Z1740"/>
      <c r="AA1740"/>
      <c r="AB1740"/>
    </row>
    <row r="1741" spans="24:28" x14ac:dyDescent="0.35">
      <c r="X1741"/>
      <c r="Y1741"/>
      <c r="Z1741"/>
      <c r="AA1741"/>
      <c r="AB1741"/>
    </row>
    <row r="1742" spans="24:28" x14ac:dyDescent="0.35">
      <c r="X1742"/>
      <c r="Y1742"/>
      <c r="Z1742"/>
      <c r="AA1742"/>
      <c r="AB1742"/>
    </row>
    <row r="1743" spans="24:28" x14ac:dyDescent="0.35">
      <c r="X1743"/>
      <c r="Y1743"/>
      <c r="Z1743"/>
      <c r="AA1743"/>
      <c r="AB1743"/>
    </row>
    <row r="1744" spans="24:28" x14ac:dyDescent="0.35">
      <c r="X1744"/>
      <c r="Y1744"/>
      <c r="Z1744"/>
      <c r="AA1744"/>
      <c r="AB1744"/>
    </row>
    <row r="1745" spans="24:28" x14ac:dyDescent="0.35">
      <c r="X1745"/>
      <c r="Y1745"/>
      <c r="Z1745"/>
      <c r="AA1745"/>
      <c r="AB1745"/>
    </row>
    <row r="1746" spans="24:28" x14ac:dyDescent="0.35">
      <c r="X1746"/>
      <c r="Y1746"/>
      <c r="Z1746"/>
      <c r="AA1746"/>
      <c r="AB1746"/>
    </row>
    <row r="1747" spans="24:28" x14ac:dyDescent="0.35">
      <c r="X1747"/>
      <c r="Y1747"/>
      <c r="Z1747"/>
      <c r="AA1747"/>
      <c r="AB1747"/>
    </row>
    <row r="1748" spans="24:28" x14ac:dyDescent="0.35">
      <c r="X1748"/>
      <c r="Y1748"/>
      <c r="Z1748"/>
      <c r="AA1748"/>
      <c r="AB1748"/>
    </row>
    <row r="1749" spans="24:28" x14ac:dyDescent="0.35">
      <c r="X1749"/>
      <c r="Y1749"/>
      <c r="Z1749"/>
      <c r="AA1749"/>
      <c r="AB1749"/>
    </row>
    <row r="1750" spans="24:28" x14ac:dyDescent="0.35">
      <c r="X1750"/>
      <c r="Y1750"/>
      <c r="Z1750"/>
      <c r="AA1750"/>
      <c r="AB1750"/>
    </row>
    <row r="1751" spans="24:28" x14ac:dyDescent="0.35">
      <c r="X1751"/>
      <c r="Y1751"/>
      <c r="Z1751"/>
      <c r="AA1751"/>
      <c r="AB1751"/>
    </row>
    <row r="1752" spans="24:28" x14ac:dyDescent="0.35">
      <c r="X1752"/>
      <c r="Y1752"/>
      <c r="Z1752"/>
      <c r="AA1752"/>
      <c r="AB1752"/>
    </row>
    <row r="1753" spans="24:28" x14ac:dyDescent="0.35">
      <c r="X1753"/>
      <c r="Y1753"/>
      <c r="Z1753"/>
      <c r="AA1753"/>
      <c r="AB1753"/>
    </row>
    <row r="1754" spans="24:28" x14ac:dyDescent="0.35">
      <c r="X1754"/>
      <c r="Y1754"/>
      <c r="Z1754"/>
      <c r="AA1754"/>
      <c r="AB1754"/>
    </row>
    <row r="1755" spans="24:28" x14ac:dyDescent="0.35">
      <c r="X1755"/>
      <c r="Y1755"/>
      <c r="Z1755"/>
      <c r="AA1755"/>
      <c r="AB1755"/>
    </row>
    <row r="1756" spans="24:28" x14ac:dyDescent="0.35">
      <c r="X1756"/>
      <c r="Y1756"/>
      <c r="Z1756"/>
      <c r="AA1756"/>
      <c r="AB1756"/>
    </row>
    <row r="1757" spans="24:28" x14ac:dyDescent="0.35">
      <c r="X1757"/>
      <c r="Y1757"/>
      <c r="Z1757"/>
      <c r="AA1757"/>
      <c r="AB1757"/>
    </row>
    <row r="1758" spans="24:28" x14ac:dyDescent="0.35">
      <c r="X1758"/>
      <c r="Y1758"/>
      <c r="Z1758"/>
      <c r="AA1758"/>
      <c r="AB1758"/>
    </row>
    <row r="1759" spans="24:28" x14ac:dyDescent="0.35">
      <c r="X1759"/>
      <c r="Y1759"/>
      <c r="Z1759"/>
      <c r="AA1759"/>
      <c r="AB1759"/>
    </row>
    <row r="1760" spans="24:28" x14ac:dyDescent="0.35">
      <c r="X1760"/>
      <c r="Y1760"/>
      <c r="Z1760"/>
      <c r="AA1760"/>
      <c r="AB1760"/>
    </row>
    <row r="1761" spans="24:28" x14ac:dyDescent="0.35">
      <c r="X1761"/>
      <c r="Y1761"/>
      <c r="Z1761"/>
      <c r="AA1761"/>
      <c r="AB1761"/>
    </row>
    <row r="1762" spans="24:28" x14ac:dyDescent="0.35">
      <c r="X1762"/>
      <c r="Y1762"/>
      <c r="Z1762"/>
      <c r="AA1762"/>
      <c r="AB1762"/>
    </row>
    <row r="1763" spans="24:28" x14ac:dyDescent="0.35">
      <c r="X1763"/>
      <c r="Y1763"/>
      <c r="Z1763"/>
      <c r="AA1763"/>
      <c r="AB1763"/>
    </row>
    <row r="1764" spans="24:28" x14ac:dyDescent="0.35">
      <c r="X1764"/>
      <c r="Y1764"/>
      <c r="Z1764"/>
      <c r="AA1764"/>
      <c r="AB1764"/>
    </row>
    <row r="1765" spans="24:28" x14ac:dyDescent="0.35">
      <c r="X1765"/>
      <c r="Y1765"/>
      <c r="Z1765"/>
      <c r="AA1765"/>
      <c r="AB1765"/>
    </row>
    <row r="1766" spans="24:28" x14ac:dyDescent="0.35">
      <c r="X1766"/>
      <c r="Y1766"/>
      <c r="Z1766"/>
      <c r="AA1766"/>
      <c r="AB1766"/>
    </row>
    <row r="1767" spans="24:28" x14ac:dyDescent="0.35">
      <c r="X1767"/>
      <c r="Y1767"/>
      <c r="Z1767"/>
      <c r="AA1767"/>
      <c r="AB1767"/>
    </row>
    <row r="1768" spans="24:28" x14ac:dyDescent="0.35">
      <c r="X1768"/>
      <c r="Y1768"/>
      <c r="Z1768"/>
      <c r="AA1768"/>
      <c r="AB1768"/>
    </row>
    <row r="1769" spans="24:28" x14ac:dyDescent="0.35">
      <c r="X1769"/>
      <c r="Y1769"/>
      <c r="Z1769"/>
      <c r="AA1769"/>
      <c r="AB1769"/>
    </row>
    <row r="1770" spans="24:28" x14ac:dyDescent="0.35">
      <c r="X1770"/>
      <c r="Y1770"/>
      <c r="Z1770"/>
      <c r="AA1770"/>
      <c r="AB1770"/>
    </row>
    <row r="1771" spans="24:28" x14ac:dyDescent="0.35">
      <c r="X1771"/>
      <c r="Y1771"/>
      <c r="Z1771"/>
      <c r="AA1771"/>
      <c r="AB1771"/>
    </row>
    <row r="1772" spans="24:28" x14ac:dyDescent="0.35">
      <c r="X1772"/>
      <c r="Y1772"/>
      <c r="Z1772"/>
      <c r="AA1772"/>
      <c r="AB1772"/>
    </row>
    <row r="1773" spans="24:28" x14ac:dyDescent="0.35">
      <c r="X1773"/>
      <c r="Y1773"/>
      <c r="Z1773"/>
      <c r="AA1773"/>
      <c r="AB1773"/>
    </row>
    <row r="1774" spans="24:28" x14ac:dyDescent="0.35">
      <c r="X1774"/>
      <c r="Y1774"/>
      <c r="Z1774"/>
      <c r="AA1774"/>
      <c r="AB1774"/>
    </row>
    <row r="1775" spans="24:28" x14ac:dyDescent="0.35">
      <c r="X1775"/>
      <c r="Y1775"/>
      <c r="Z1775"/>
      <c r="AA1775"/>
      <c r="AB1775"/>
    </row>
    <row r="1776" spans="24:28" x14ac:dyDescent="0.35">
      <c r="X1776"/>
      <c r="Y1776"/>
      <c r="Z1776"/>
      <c r="AA1776"/>
      <c r="AB1776"/>
    </row>
    <row r="1777" spans="24:28" x14ac:dyDescent="0.35">
      <c r="X1777"/>
      <c r="Y1777"/>
      <c r="Z1777"/>
      <c r="AA1777"/>
      <c r="AB1777"/>
    </row>
    <row r="1778" spans="24:28" x14ac:dyDescent="0.35">
      <c r="X1778"/>
      <c r="Y1778"/>
      <c r="Z1778"/>
      <c r="AA1778"/>
      <c r="AB1778"/>
    </row>
    <row r="1779" spans="24:28" x14ac:dyDescent="0.35">
      <c r="X1779"/>
      <c r="Y1779"/>
      <c r="Z1779"/>
      <c r="AA1779"/>
      <c r="AB1779"/>
    </row>
    <row r="1780" spans="24:28" x14ac:dyDescent="0.35">
      <c r="X1780"/>
      <c r="Y1780"/>
      <c r="Z1780"/>
      <c r="AA1780"/>
      <c r="AB1780"/>
    </row>
    <row r="1781" spans="24:28" x14ac:dyDescent="0.35">
      <c r="X1781"/>
      <c r="Y1781"/>
      <c r="Z1781"/>
      <c r="AA1781"/>
      <c r="AB1781"/>
    </row>
    <row r="1782" spans="24:28" x14ac:dyDescent="0.35">
      <c r="X1782"/>
      <c r="Y1782"/>
      <c r="Z1782"/>
      <c r="AA1782"/>
      <c r="AB1782"/>
    </row>
    <row r="1783" spans="24:28" x14ac:dyDescent="0.35">
      <c r="X1783"/>
      <c r="Y1783"/>
      <c r="Z1783"/>
      <c r="AA1783"/>
      <c r="AB1783"/>
    </row>
    <row r="1784" spans="24:28" x14ac:dyDescent="0.35">
      <c r="X1784"/>
      <c r="Y1784"/>
      <c r="Z1784"/>
      <c r="AA1784"/>
      <c r="AB1784"/>
    </row>
    <row r="1785" spans="24:28" x14ac:dyDescent="0.35">
      <c r="X1785"/>
      <c r="Y1785"/>
      <c r="Z1785"/>
      <c r="AA1785"/>
      <c r="AB1785"/>
    </row>
    <row r="1786" spans="24:28" x14ac:dyDescent="0.35">
      <c r="X1786"/>
      <c r="Y1786"/>
      <c r="Z1786"/>
      <c r="AA1786"/>
      <c r="AB1786"/>
    </row>
    <row r="1787" spans="24:28" x14ac:dyDescent="0.35">
      <c r="X1787"/>
      <c r="Y1787"/>
      <c r="Z1787"/>
      <c r="AA1787"/>
      <c r="AB1787"/>
    </row>
    <row r="1788" spans="24:28" x14ac:dyDescent="0.35">
      <c r="X1788"/>
      <c r="Y1788"/>
      <c r="Z1788"/>
      <c r="AA1788"/>
      <c r="AB1788"/>
    </row>
    <row r="1789" spans="24:28" x14ac:dyDescent="0.35">
      <c r="X1789"/>
      <c r="Y1789"/>
      <c r="Z1789"/>
      <c r="AA1789"/>
      <c r="AB1789"/>
    </row>
    <row r="1790" spans="24:28" x14ac:dyDescent="0.35">
      <c r="X1790"/>
      <c r="Y1790"/>
      <c r="Z1790"/>
      <c r="AA1790"/>
      <c r="AB1790"/>
    </row>
    <row r="1791" spans="24:28" x14ac:dyDescent="0.35">
      <c r="X1791"/>
      <c r="Y1791"/>
      <c r="Z1791"/>
      <c r="AA1791"/>
      <c r="AB1791"/>
    </row>
    <row r="1792" spans="24:28" x14ac:dyDescent="0.35">
      <c r="X1792"/>
      <c r="Y1792"/>
      <c r="Z1792"/>
      <c r="AA1792"/>
      <c r="AB1792"/>
    </row>
    <row r="1793" spans="24:28" x14ac:dyDescent="0.35">
      <c r="X1793"/>
      <c r="Y1793"/>
      <c r="Z1793"/>
      <c r="AA1793"/>
      <c r="AB1793"/>
    </row>
    <row r="1794" spans="24:28" x14ac:dyDescent="0.35">
      <c r="X1794"/>
      <c r="Y1794"/>
      <c r="Z1794"/>
      <c r="AA1794"/>
      <c r="AB1794"/>
    </row>
    <row r="1795" spans="24:28" x14ac:dyDescent="0.35">
      <c r="X1795"/>
      <c r="Y1795"/>
      <c r="Z1795"/>
      <c r="AA1795"/>
      <c r="AB1795"/>
    </row>
    <row r="1796" spans="24:28" x14ac:dyDescent="0.35">
      <c r="X1796"/>
      <c r="Y1796"/>
      <c r="Z1796"/>
      <c r="AA1796"/>
      <c r="AB1796"/>
    </row>
    <row r="1797" spans="24:28" x14ac:dyDescent="0.35">
      <c r="X1797"/>
      <c r="Y1797"/>
      <c r="Z1797"/>
      <c r="AA1797"/>
      <c r="AB1797"/>
    </row>
    <row r="1798" spans="24:28" x14ac:dyDescent="0.35">
      <c r="X1798"/>
      <c r="Y1798"/>
      <c r="Z1798"/>
      <c r="AA1798"/>
      <c r="AB1798"/>
    </row>
    <row r="1799" spans="24:28" x14ac:dyDescent="0.35">
      <c r="X1799"/>
      <c r="Y1799"/>
      <c r="Z1799"/>
      <c r="AA1799"/>
      <c r="AB1799"/>
    </row>
    <row r="1800" spans="24:28" x14ac:dyDescent="0.35">
      <c r="X1800"/>
      <c r="Y1800"/>
      <c r="Z1800"/>
      <c r="AA1800"/>
      <c r="AB1800"/>
    </row>
    <row r="1801" spans="24:28" x14ac:dyDescent="0.35">
      <c r="X1801"/>
      <c r="Y1801"/>
      <c r="Z1801"/>
      <c r="AA1801"/>
      <c r="AB1801"/>
    </row>
    <row r="1802" spans="24:28" x14ac:dyDescent="0.35">
      <c r="X1802"/>
      <c r="Y1802"/>
      <c r="Z1802"/>
      <c r="AA1802"/>
      <c r="AB1802"/>
    </row>
    <row r="1803" spans="24:28" x14ac:dyDescent="0.35">
      <c r="X1803"/>
      <c r="Y1803"/>
      <c r="Z1803"/>
      <c r="AA1803"/>
      <c r="AB1803"/>
    </row>
    <row r="1804" spans="24:28" x14ac:dyDescent="0.35">
      <c r="X1804"/>
      <c r="Y1804"/>
      <c r="Z1804"/>
      <c r="AA1804"/>
      <c r="AB1804"/>
    </row>
    <row r="1805" spans="24:28" x14ac:dyDescent="0.35">
      <c r="X1805"/>
      <c r="Y1805"/>
      <c r="Z1805"/>
      <c r="AA1805"/>
      <c r="AB1805"/>
    </row>
    <row r="1806" spans="24:28" x14ac:dyDescent="0.35">
      <c r="X1806"/>
      <c r="Y1806"/>
      <c r="Z1806"/>
      <c r="AA1806"/>
      <c r="AB1806"/>
    </row>
    <row r="1807" spans="24:28" x14ac:dyDescent="0.35">
      <c r="X1807"/>
      <c r="Y1807"/>
      <c r="Z1807"/>
      <c r="AA1807"/>
      <c r="AB1807"/>
    </row>
    <row r="1808" spans="24:28" x14ac:dyDescent="0.35">
      <c r="X1808"/>
      <c r="Y1808"/>
      <c r="Z1808"/>
      <c r="AA1808"/>
      <c r="AB1808"/>
    </row>
    <row r="1809" spans="24:28" x14ac:dyDescent="0.35">
      <c r="X1809"/>
      <c r="Y1809"/>
      <c r="Z1809"/>
      <c r="AA1809"/>
      <c r="AB1809"/>
    </row>
    <row r="1810" spans="24:28" x14ac:dyDescent="0.35">
      <c r="X1810"/>
      <c r="Y1810"/>
      <c r="Z1810"/>
      <c r="AA1810"/>
      <c r="AB1810"/>
    </row>
    <row r="1811" spans="24:28" x14ac:dyDescent="0.35">
      <c r="X1811"/>
      <c r="Y1811"/>
      <c r="Z1811"/>
      <c r="AA1811"/>
      <c r="AB1811"/>
    </row>
    <row r="1812" spans="24:28" x14ac:dyDescent="0.35">
      <c r="X1812"/>
      <c r="Y1812"/>
      <c r="Z1812"/>
      <c r="AA1812"/>
      <c r="AB1812"/>
    </row>
    <row r="1813" spans="24:28" x14ac:dyDescent="0.35">
      <c r="X1813"/>
      <c r="Y1813"/>
      <c r="Z1813"/>
      <c r="AA1813"/>
      <c r="AB1813"/>
    </row>
    <row r="1814" spans="24:28" x14ac:dyDescent="0.35">
      <c r="X1814"/>
      <c r="Y1814"/>
      <c r="Z1814"/>
      <c r="AA1814"/>
      <c r="AB1814"/>
    </row>
    <row r="1815" spans="24:28" x14ac:dyDescent="0.35">
      <c r="X1815"/>
      <c r="Y1815"/>
      <c r="Z1815"/>
      <c r="AA1815"/>
      <c r="AB1815"/>
    </row>
    <row r="1816" spans="24:28" x14ac:dyDescent="0.35">
      <c r="X1816"/>
      <c r="Y1816"/>
      <c r="Z1816"/>
      <c r="AA1816"/>
      <c r="AB1816"/>
    </row>
    <row r="1817" spans="24:28" x14ac:dyDescent="0.35">
      <c r="X1817"/>
      <c r="Y1817"/>
      <c r="Z1817"/>
      <c r="AA1817"/>
      <c r="AB1817"/>
    </row>
    <row r="1818" spans="24:28" x14ac:dyDescent="0.35">
      <c r="X1818"/>
      <c r="Y1818"/>
      <c r="Z1818"/>
      <c r="AA1818"/>
      <c r="AB1818"/>
    </row>
    <row r="1819" spans="24:28" x14ac:dyDescent="0.35">
      <c r="X1819"/>
      <c r="Y1819"/>
      <c r="Z1819"/>
      <c r="AA1819"/>
      <c r="AB1819"/>
    </row>
    <row r="1820" spans="24:28" x14ac:dyDescent="0.35">
      <c r="X1820"/>
      <c r="Y1820"/>
      <c r="Z1820"/>
      <c r="AA1820"/>
      <c r="AB1820"/>
    </row>
    <row r="1821" spans="24:28" x14ac:dyDescent="0.35">
      <c r="X1821"/>
      <c r="Y1821"/>
      <c r="Z1821"/>
      <c r="AA1821"/>
      <c r="AB1821"/>
    </row>
    <row r="1822" spans="24:28" x14ac:dyDescent="0.35">
      <c r="X1822"/>
      <c r="Y1822"/>
      <c r="Z1822"/>
      <c r="AA1822"/>
      <c r="AB1822"/>
    </row>
    <row r="1823" spans="24:28" x14ac:dyDescent="0.35">
      <c r="X1823"/>
      <c r="Y1823"/>
      <c r="Z1823"/>
      <c r="AA1823"/>
      <c r="AB1823"/>
    </row>
    <row r="1824" spans="24:28" x14ac:dyDescent="0.35">
      <c r="X1824"/>
      <c r="Y1824"/>
      <c r="Z1824"/>
      <c r="AA1824"/>
      <c r="AB1824"/>
    </row>
    <row r="1825" spans="24:28" x14ac:dyDescent="0.35">
      <c r="X1825"/>
      <c r="Y1825"/>
      <c r="Z1825"/>
      <c r="AA1825"/>
      <c r="AB1825"/>
    </row>
    <row r="1826" spans="24:28" x14ac:dyDescent="0.35">
      <c r="X1826"/>
      <c r="Y1826"/>
      <c r="Z1826"/>
      <c r="AA1826"/>
      <c r="AB1826"/>
    </row>
    <row r="1827" spans="24:28" x14ac:dyDescent="0.35">
      <c r="X1827"/>
      <c r="Y1827"/>
      <c r="Z1827"/>
      <c r="AA1827"/>
      <c r="AB1827"/>
    </row>
    <row r="1828" spans="24:28" x14ac:dyDescent="0.35">
      <c r="X1828"/>
      <c r="Y1828"/>
      <c r="Z1828"/>
      <c r="AA1828"/>
      <c r="AB1828"/>
    </row>
    <row r="1829" spans="24:28" x14ac:dyDescent="0.35">
      <c r="X1829"/>
      <c r="Y1829"/>
      <c r="Z1829"/>
      <c r="AA1829"/>
      <c r="AB1829"/>
    </row>
    <row r="1830" spans="24:28" x14ac:dyDescent="0.35">
      <c r="X1830"/>
      <c r="Y1830"/>
      <c r="Z1830"/>
      <c r="AA1830"/>
      <c r="AB1830"/>
    </row>
    <row r="1831" spans="24:28" x14ac:dyDescent="0.35">
      <c r="X1831"/>
      <c r="Y1831"/>
      <c r="Z1831"/>
      <c r="AA1831"/>
      <c r="AB1831"/>
    </row>
    <row r="1832" spans="24:28" x14ac:dyDescent="0.35">
      <c r="X1832"/>
      <c r="Y1832"/>
      <c r="Z1832"/>
      <c r="AA1832"/>
      <c r="AB1832"/>
    </row>
    <row r="1833" spans="24:28" x14ac:dyDescent="0.35">
      <c r="X1833"/>
      <c r="Y1833"/>
      <c r="Z1833"/>
      <c r="AA1833"/>
      <c r="AB1833"/>
    </row>
    <row r="1834" spans="24:28" x14ac:dyDescent="0.35">
      <c r="X1834"/>
      <c r="Y1834"/>
      <c r="Z1834"/>
      <c r="AA1834"/>
      <c r="AB1834"/>
    </row>
    <row r="1835" spans="24:28" x14ac:dyDescent="0.35">
      <c r="X1835"/>
      <c r="Y1835"/>
      <c r="Z1835"/>
      <c r="AA1835"/>
      <c r="AB1835"/>
    </row>
    <row r="1836" spans="24:28" x14ac:dyDescent="0.35">
      <c r="X1836"/>
      <c r="Y1836"/>
      <c r="Z1836"/>
      <c r="AA1836"/>
      <c r="AB1836"/>
    </row>
    <row r="1837" spans="24:28" x14ac:dyDescent="0.35">
      <c r="X1837"/>
      <c r="Y1837"/>
      <c r="Z1837"/>
      <c r="AA1837"/>
      <c r="AB1837"/>
    </row>
    <row r="1838" spans="24:28" x14ac:dyDescent="0.35">
      <c r="X1838"/>
      <c r="Y1838"/>
      <c r="Z1838"/>
      <c r="AA1838"/>
      <c r="AB1838"/>
    </row>
    <row r="1839" spans="24:28" x14ac:dyDescent="0.35">
      <c r="X1839"/>
      <c r="Y1839"/>
      <c r="Z1839"/>
      <c r="AA1839"/>
      <c r="AB1839"/>
    </row>
    <row r="1840" spans="24:28" x14ac:dyDescent="0.35">
      <c r="X1840"/>
      <c r="Y1840"/>
      <c r="Z1840"/>
      <c r="AA1840"/>
      <c r="AB1840"/>
    </row>
    <row r="1841" spans="24:28" x14ac:dyDescent="0.35">
      <c r="X1841"/>
      <c r="Y1841"/>
      <c r="Z1841"/>
      <c r="AA1841"/>
      <c r="AB1841"/>
    </row>
    <row r="1842" spans="24:28" x14ac:dyDescent="0.35">
      <c r="X1842"/>
      <c r="Y1842"/>
      <c r="Z1842"/>
      <c r="AA1842"/>
      <c r="AB1842"/>
    </row>
    <row r="1843" spans="24:28" x14ac:dyDescent="0.35">
      <c r="X1843"/>
      <c r="Y1843"/>
      <c r="Z1843"/>
      <c r="AA1843"/>
      <c r="AB1843"/>
    </row>
    <row r="1844" spans="24:28" x14ac:dyDescent="0.35">
      <c r="X1844"/>
      <c r="Y1844"/>
      <c r="Z1844"/>
      <c r="AA1844"/>
      <c r="AB1844"/>
    </row>
    <row r="1845" spans="24:28" x14ac:dyDescent="0.35">
      <c r="X1845"/>
      <c r="Y1845"/>
      <c r="Z1845"/>
      <c r="AA1845"/>
      <c r="AB1845"/>
    </row>
    <row r="1846" spans="24:28" x14ac:dyDescent="0.35">
      <c r="X1846"/>
      <c r="Y1846"/>
      <c r="Z1846"/>
      <c r="AA1846"/>
      <c r="AB1846"/>
    </row>
    <row r="1847" spans="24:28" x14ac:dyDescent="0.35">
      <c r="X1847"/>
      <c r="Y1847"/>
      <c r="Z1847"/>
      <c r="AA1847"/>
      <c r="AB1847"/>
    </row>
    <row r="1848" spans="24:28" x14ac:dyDescent="0.35">
      <c r="X1848"/>
      <c r="Y1848"/>
      <c r="Z1848"/>
      <c r="AA1848"/>
      <c r="AB1848"/>
    </row>
    <row r="1849" spans="24:28" x14ac:dyDescent="0.35">
      <c r="X1849"/>
      <c r="Y1849"/>
      <c r="Z1849"/>
      <c r="AA1849"/>
      <c r="AB1849"/>
    </row>
    <row r="1850" spans="24:28" x14ac:dyDescent="0.35">
      <c r="X1850"/>
      <c r="Y1850"/>
      <c r="Z1850"/>
      <c r="AA1850"/>
      <c r="AB1850"/>
    </row>
    <row r="1851" spans="24:28" x14ac:dyDescent="0.35">
      <c r="X1851"/>
      <c r="Y1851"/>
      <c r="Z1851"/>
      <c r="AA1851"/>
      <c r="AB1851"/>
    </row>
    <row r="1852" spans="24:28" x14ac:dyDescent="0.35">
      <c r="X1852"/>
      <c r="Y1852"/>
      <c r="Z1852"/>
      <c r="AA1852"/>
      <c r="AB1852"/>
    </row>
    <row r="1853" spans="24:28" x14ac:dyDescent="0.35">
      <c r="X1853"/>
      <c r="Y1853"/>
      <c r="Z1853"/>
      <c r="AA1853"/>
      <c r="AB1853"/>
    </row>
    <row r="1854" spans="24:28" x14ac:dyDescent="0.35">
      <c r="X1854"/>
      <c r="Y1854"/>
      <c r="Z1854"/>
      <c r="AA1854"/>
      <c r="AB1854"/>
    </row>
    <row r="1855" spans="24:28" x14ac:dyDescent="0.35">
      <c r="X1855"/>
      <c r="Y1855"/>
      <c r="Z1855"/>
      <c r="AA1855"/>
      <c r="AB1855"/>
    </row>
    <row r="1856" spans="24:28" x14ac:dyDescent="0.35">
      <c r="X1856"/>
      <c r="Y1856"/>
      <c r="Z1856"/>
      <c r="AA1856"/>
      <c r="AB1856"/>
    </row>
    <row r="1857" spans="24:28" x14ac:dyDescent="0.35">
      <c r="X1857"/>
      <c r="Y1857"/>
      <c r="Z1857"/>
      <c r="AA1857"/>
      <c r="AB1857"/>
    </row>
    <row r="1858" spans="24:28" x14ac:dyDescent="0.35">
      <c r="X1858"/>
      <c r="Y1858"/>
      <c r="Z1858"/>
      <c r="AA1858"/>
      <c r="AB1858"/>
    </row>
    <row r="1859" spans="24:28" x14ac:dyDescent="0.35">
      <c r="X1859"/>
      <c r="Y1859"/>
      <c r="Z1859"/>
      <c r="AA1859"/>
      <c r="AB1859"/>
    </row>
    <row r="1860" spans="24:28" x14ac:dyDescent="0.35">
      <c r="X1860"/>
      <c r="Y1860"/>
      <c r="Z1860"/>
      <c r="AA1860"/>
      <c r="AB1860"/>
    </row>
    <row r="1861" spans="24:28" x14ac:dyDescent="0.35">
      <c r="X1861"/>
      <c r="Y1861"/>
      <c r="Z1861"/>
      <c r="AA1861"/>
      <c r="AB1861"/>
    </row>
    <row r="1862" spans="24:28" x14ac:dyDescent="0.35">
      <c r="X1862"/>
      <c r="Y1862"/>
      <c r="Z1862"/>
      <c r="AA1862"/>
      <c r="AB1862"/>
    </row>
    <row r="1863" spans="24:28" x14ac:dyDescent="0.35">
      <c r="X1863"/>
      <c r="Y1863"/>
      <c r="Z1863"/>
      <c r="AA1863"/>
      <c r="AB1863"/>
    </row>
    <row r="1864" spans="24:28" x14ac:dyDescent="0.35">
      <c r="X1864"/>
      <c r="Y1864"/>
      <c r="Z1864"/>
      <c r="AA1864"/>
      <c r="AB1864"/>
    </row>
    <row r="1865" spans="24:28" x14ac:dyDescent="0.35">
      <c r="X1865"/>
      <c r="Y1865"/>
      <c r="Z1865"/>
      <c r="AA1865"/>
      <c r="AB1865"/>
    </row>
    <row r="1866" spans="24:28" x14ac:dyDescent="0.35">
      <c r="X1866"/>
      <c r="Y1866"/>
      <c r="Z1866"/>
      <c r="AA1866"/>
      <c r="AB1866"/>
    </row>
    <row r="1867" spans="24:28" x14ac:dyDescent="0.35">
      <c r="X1867"/>
      <c r="Y1867"/>
      <c r="Z1867"/>
      <c r="AA1867"/>
      <c r="AB1867"/>
    </row>
    <row r="1868" spans="24:28" x14ac:dyDescent="0.35">
      <c r="X1868"/>
      <c r="Y1868"/>
      <c r="Z1868"/>
      <c r="AA1868"/>
      <c r="AB1868"/>
    </row>
    <row r="1869" spans="24:28" x14ac:dyDescent="0.35">
      <c r="X1869"/>
      <c r="Y1869"/>
      <c r="Z1869"/>
      <c r="AA1869"/>
      <c r="AB1869"/>
    </row>
    <row r="1870" spans="24:28" x14ac:dyDescent="0.35">
      <c r="X1870"/>
      <c r="Y1870"/>
      <c r="Z1870"/>
      <c r="AA1870"/>
      <c r="AB1870"/>
    </row>
    <row r="1871" spans="24:28" x14ac:dyDescent="0.35">
      <c r="X1871"/>
      <c r="Y1871"/>
      <c r="Z1871"/>
      <c r="AA1871"/>
      <c r="AB1871"/>
    </row>
    <row r="1872" spans="24:28" x14ac:dyDescent="0.35">
      <c r="X1872"/>
      <c r="Y1872"/>
      <c r="Z1872"/>
      <c r="AA1872"/>
      <c r="AB1872"/>
    </row>
    <row r="1873" spans="24:28" x14ac:dyDescent="0.35">
      <c r="X1873"/>
      <c r="Y1873"/>
      <c r="Z1873"/>
      <c r="AA1873"/>
      <c r="AB1873"/>
    </row>
    <row r="1874" spans="24:28" x14ac:dyDescent="0.35">
      <c r="X1874"/>
      <c r="Y1874"/>
      <c r="Z1874"/>
      <c r="AA1874"/>
      <c r="AB1874"/>
    </row>
    <row r="1875" spans="24:28" x14ac:dyDescent="0.35">
      <c r="X1875"/>
      <c r="Y1875"/>
      <c r="Z1875"/>
      <c r="AA1875"/>
      <c r="AB1875"/>
    </row>
    <row r="1876" spans="24:28" x14ac:dyDescent="0.35">
      <c r="X1876"/>
      <c r="Y1876"/>
      <c r="Z1876"/>
      <c r="AA1876"/>
      <c r="AB1876"/>
    </row>
    <row r="1877" spans="24:28" x14ac:dyDescent="0.35">
      <c r="X1877"/>
      <c r="Y1877"/>
      <c r="Z1877"/>
      <c r="AA1877"/>
      <c r="AB1877"/>
    </row>
    <row r="1878" spans="24:28" x14ac:dyDescent="0.35">
      <c r="X1878"/>
      <c r="Y1878"/>
      <c r="Z1878"/>
      <c r="AA1878"/>
      <c r="AB1878"/>
    </row>
    <row r="1879" spans="24:28" x14ac:dyDescent="0.35">
      <c r="X1879"/>
      <c r="Y1879"/>
      <c r="Z1879"/>
      <c r="AA1879"/>
      <c r="AB1879"/>
    </row>
    <row r="1880" spans="24:28" x14ac:dyDescent="0.35">
      <c r="X1880"/>
      <c r="Y1880"/>
      <c r="Z1880"/>
      <c r="AA1880"/>
      <c r="AB1880"/>
    </row>
    <row r="1881" spans="24:28" x14ac:dyDescent="0.35">
      <c r="X1881"/>
      <c r="Y1881"/>
      <c r="Z1881"/>
      <c r="AA1881"/>
      <c r="AB1881"/>
    </row>
    <row r="1882" spans="24:28" x14ac:dyDescent="0.35">
      <c r="X1882"/>
      <c r="Y1882"/>
      <c r="Z1882"/>
      <c r="AA1882"/>
      <c r="AB1882"/>
    </row>
    <row r="1883" spans="24:28" x14ac:dyDescent="0.35">
      <c r="X1883"/>
      <c r="Y1883"/>
      <c r="Z1883"/>
      <c r="AA1883"/>
      <c r="AB1883"/>
    </row>
    <row r="1884" spans="24:28" x14ac:dyDescent="0.35">
      <c r="X1884"/>
      <c r="Y1884"/>
      <c r="Z1884"/>
      <c r="AA1884"/>
      <c r="AB1884"/>
    </row>
    <row r="1885" spans="24:28" x14ac:dyDescent="0.35">
      <c r="X1885"/>
      <c r="Y1885"/>
      <c r="Z1885"/>
      <c r="AA1885"/>
      <c r="AB1885"/>
    </row>
    <row r="1886" spans="24:28" x14ac:dyDescent="0.35">
      <c r="X1886"/>
      <c r="Y1886"/>
      <c r="Z1886"/>
      <c r="AA1886"/>
      <c r="AB1886"/>
    </row>
    <row r="1887" spans="24:28" x14ac:dyDescent="0.35">
      <c r="X1887"/>
      <c r="Y1887"/>
      <c r="Z1887"/>
      <c r="AA1887"/>
      <c r="AB1887"/>
    </row>
    <row r="1888" spans="24:28" x14ac:dyDescent="0.35">
      <c r="X1888"/>
      <c r="Y1888"/>
      <c r="Z1888"/>
      <c r="AA1888"/>
      <c r="AB1888"/>
    </row>
    <row r="1889" spans="24:28" x14ac:dyDescent="0.35">
      <c r="X1889"/>
      <c r="Y1889"/>
      <c r="Z1889"/>
      <c r="AA1889"/>
      <c r="AB1889"/>
    </row>
    <row r="1890" spans="24:28" x14ac:dyDescent="0.35">
      <c r="X1890"/>
      <c r="Y1890"/>
      <c r="Z1890"/>
      <c r="AA1890"/>
      <c r="AB1890"/>
    </row>
    <row r="1891" spans="24:28" x14ac:dyDescent="0.35">
      <c r="X1891"/>
      <c r="Y1891"/>
      <c r="Z1891"/>
      <c r="AA1891"/>
      <c r="AB1891"/>
    </row>
    <row r="1892" spans="24:28" x14ac:dyDescent="0.35">
      <c r="X1892"/>
      <c r="Y1892"/>
      <c r="Z1892"/>
      <c r="AA1892"/>
      <c r="AB1892"/>
    </row>
    <row r="1893" spans="24:28" x14ac:dyDescent="0.35">
      <c r="X1893"/>
      <c r="Y1893"/>
      <c r="Z1893"/>
      <c r="AA1893"/>
      <c r="AB1893"/>
    </row>
    <row r="1894" spans="24:28" x14ac:dyDescent="0.35">
      <c r="X1894"/>
      <c r="Y1894"/>
      <c r="Z1894"/>
      <c r="AA1894"/>
      <c r="AB1894"/>
    </row>
    <row r="1895" spans="24:28" x14ac:dyDescent="0.35">
      <c r="X1895"/>
      <c r="Y1895"/>
      <c r="Z1895"/>
      <c r="AA1895"/>
      <c r="AB1895"/>
    </row>
    <row r="1896" spans="24:28" x14ac:dyDescent="0.35">
      <c r="X1896"/>
      <c r="Y1896"/>
      <c r="Z1896"/>
      <c r="AA1896"/>
      <c r="AB1896"/>
    </row>
    <row r="1897" spans="24:28" x14ac:dyDescent="0.35">
      <c r="X1897"/>
      <c r="Y1897"/>
      <c r="Z1897"/>
      <c r="AA1897"/>
      <c r="AB1897"/>
    </row>
    <row r="1898" spans="24:28" x14ac:dyDescent="0.35">
      <c r="X1898"/>
      <c r="Y1898"/>
      <c r="Z1898"/>
      <c r="AA1898"/>
      <c r="AB1898"/>
    </row>
    <row r="1899" spans="24:28" x14ac:dyDescent="0.35">
      <c r="X1899"/>
      <c r="Y1899"/>
      <c r="Z1899"/>
      <c r="AA1899"/>
      <c r="AB1899"/>
    </row>
    <row r="1900" spans="24:28" x14ac:dyDescent="0.35">
      <c r="X1900"/>
      <c r="Y1900"/>
      <c r="Z1900"/>
      <c r="AA1900"/>
      <c r="AB1900"/>
    </row>
    <row r="1901" spans="24:28" x14ac:dyDescent="0.35">
      <c r="X1901"/>
      <c r="Y1901"/>
      <c r="Z1901"/>
      <c r="AA1901"/>
      <c r="AB1901"/>
    </row>
    <row r="1902" spans="24:28" x14ac:dyDescent="0.35">
      <c r="X1902"/>
      <c r="Y1902"/>
      <c r="Z1902"/>
      <c r="AA1902"/>
      <c r="AB1902"/>
    </row>
    <row r="1903" spans="24:28" x14ac:dyDescent="0.35">
      <c r="X1903"/>
      <c r="Y1903"/>
      <c r="Z1903"/>
      <c r="AA1903"/>
      <c r="AB1903"/>
    </row>
    <row r="1904" spans="24:28" x14ac:dyDescent="0.35">
      <c r="X1904"/>
      <c r="Y1904"/>
      <c r="Z1904"/>
      <c r="AA1904"/>
      <c r="AB1904"/>
    </row>
    <row r="1905" spans="24:28" x14ac:dyDescent="0.35">
      <c r="X1905"/>
      <c r="Y1905"/>
      <c r="Z1905"/>
      <c r="AA1905"/>
      <c r="AB1905"/>
    </row>
    <row r="1906" spans="24:28" x14ac:dyDescent="0.35">
      <c r="X1906"/>
      <c r="Y1906"/>
      <c r="Z1906"/>
      <c r="AA1906"/>
      <c r="AB1906"/>
    </row>
    <row r="1907" spans="24:28" x14ac:dyDescent="0.35">
      <c r="X1907"/>
      <c r="Y1907"/>
      <c r="Z1907"/>
      <c r="AA1907"/>
      <c r="AB1907"/>
    </row>
    <row r="1908" spans="24:28" x14ac:dyDescent="0.35">
      <c r="X1908"/>
      <c r="Y1908"/>
      <c r="Z1908"/>
      <c r="AA1908"/>
      <c r="AB1908"/>
    </row>
    <row r="1909" spans="24:28" x14ac:dyDescent="0.35">
      <c r="X1909"/>
      <c r="Y1909"/>
      <c r="Z1909"/>
      <c r="AA1909"/>
      <c r="AB1909"/>
    </row>
    <row r="1910" spans="24:28" x14ac:dyDescent="0.35">
      <c r="X1910"/>
      <c r="Y1910"/>
      <c r="Z1910"/>
      <c r="AA1910"/>
      <c r="AB1910"/>
    </row>
    <row r="1911" spans="24:28" x14ac:dyDescent="0.35">
      <c r="X1911"/>
      <c r="Y1911"/>
      <c r="Z1911"/>
      <c r="AA1911"/>
      <c r="AB1911"/>
    </row>
    <row r="1912" spans="24:28" x14ac:dyDescent="0.35">
      <c r="X1912"/>
      <c r="Y1912"/>
      <c r="Z1912"/>
      <c r="AA1912"/>
      <c r="AB1912"/>
    </row>
    <row r="1913" spans="24:28" x14ac:dyDescent="0.35">
      <c r="X1913"/>
      <c r="Y1913"/>
      <c r="Z1913"/>
      <c r="AA1913"/>
      <c r="AB1913"/>
    </row>
    <row r="1914" spans="24:28" x14ac:dyDescent="0.35">
      <c r="X1914"/>
      <c r="Y1914"/>
      <c r="Z1914"/>
      <c r="AA1914"/>
      <c r="AB1914"/>
    </row>
    <row r="1915" spans="24:28" x14ac:dyDescent="0.35">
      <c r="X1915"/>
      <c r="Y1915"/>
      <c r="Z1915"/>
      <c r="AA1915"/>
      <c r="AB1915"/>
    </row>
    <row r="1916" spans="24:28" x14ac:dyDescent="0.35">
      <c r="X1916"/>
      <c r="Y1916"/>
      <c r="Z1916"/>
      <c r="AA1916"/>
      <c r="AB1916"/>
    </row>
    <row r="1917" spans="24:28" x14ac:dyDescent="0.35">
      <c r="X1917"/>
      <c r="Y1917"/>
      <c r="Z1917"/>
      <c r="AA1917"/>
      <c r="AB1917"/>
    </row>
    <row r="1918" spans="24:28" x14ac:dyDescent="0.35">
      <c r="X1918"/>
      <c r="Y1918"/>
      <c r="Z1918"/>
      <c r="AA1918"/>
      <c r="AB1918"/>
    </row>
    <row r="1919" spans="24:28" x14ac:dyDescent="0.35">
      <c r="X1919"/>
      <c r="Y1919"/>
      <c r="Z1919"/>
      <c r="AA1919"/>
      <c r="AB1919"/>
    </row>
    <row r="1920" spans="24:28" x14ac:dyDescent="0.35">
      <c r="X1920"/>
      <c r="Y1920"/>
      <c r="Z1920"/>
      <c r="AA1920"/>
      <c r="AB1920"/>
    </row>
    <row r="1921" spans="24:28" x14ac:dyDescent="0.35">
      <c r="X1921"/>
      <c r="Y1921"/>
      <c r="Z1921"/>
      <c r="AA1921"/>
      <c r="AB1921"/>
    </row>
    <row r="1922" spans="24:28" x14ac:dyDescent="0.35">
      <c r="X1922"/>
      <c r="Y1922"/>
      <c r="Z1922"/>
      <c r="AA1922"/>
      <c r="AB1922"/>
    </row>
    <row r="1923" spans="24:28" x14ac:dyDescent="0.35">
      <c r="X1923"/>
      <c r="Y1923"/>
      <c r="Z1923"/>
      <c r="AA1923"/>
      <c r="AB1923"/>
    </row>
    <row r="1924" spans="24:28" x14ac:dyDescent="0.35">
      <c r="X1924"/>
      <c r="Y1924"/>
      <c r="Z1924"/>
      <c r="AA1924"/>
      <c r="AB1924"/>
    </row>
    <row r="1925" spans="24:28" x14ac:dyDescent="0.35">
      <c r="X1925"/>
      <c r="Y1925"/>
      <c r="Z1925"/>
      <c r="AA1925"/>
      <c r="AB1925"/>
    </row>
    <row r="1926" spans="24:28" x14ac:dyDescent="0.35">
      <c r="X1926"/>
      <c r="Y1926"/>
      <c r="Z1926"/>
      <c r="AA1926"/>
      <c r="AB1926"/>
    </row>
    <row r="1927" spans="24:28" x14ac:dyDescent="0.35">
      <c r="X1927"/>
      <c r="Y1927"/>
      <c r="Z1927"/>
      <c r="AA1927"/>
      <c r="AB1927"/>
    </row>
    <row r="1928" spans="24:28" x14ac:dyDescent="0.35">
      <c r="X1928"/>
      <c r="Y1928"/>
      <c r="Z1928"/>
      <c r="AA1928"/>
      <c r="AB1928"/>
    </row>
    <row r="1929" spans="24:28" x14ac:dyDescent="0.35">
      <c r="X1929"/>
      <c r="Y1929"/>
      <c r="Z1929"/>
      <c r="AA1929"/>
      <c r="AB1929"/>
    </row>
    <row r="1930" spans="24:28" x14ac:dyDescent="0.35">
      <c r="X1930"/>
      <c r="Y1930"/>
      <c r="Z1930"/>
      <c r="AA1930"/>
      <c r="AB1930"/>
    </row>
    <row r="1931" spans="24:28" x14ac:dyDescent="0.35">
      <c r="X1931"/>
      <c r="Y1931"/>
      <c r="Z1931"/>
      <c r="AA1931"/>
      <c r="AB1931"/>
    </row>
    <row r="1932" spans="24:28" x14ac:dyDescent="0.35">
      <c r="X1932"/>
      <c r="Y1932"/>
      <c r="Z1932"/>
      <c r="AA1932"/>
      <c r="AB1932"/>
    </row>
    <row r="1933" spans="24:28" x14ac:dyDescent="0.35">
      <c r="X1933"/>
      <c r="Y1933"/>
      <c r="Z1933"/>
      <c r="AA1933"/>
      <c r="AB1933"/>
    </row>
    <row r="1934" spans="24:28" x14ac:dyDescent="0.35">
      <c r="X1934"/>
      <c r="Y1934"/>
      <c r="Z1934"/>
      <c r="AA1934"/>
      <c r="AB1934"/>
    </row>
    <row r="1935" spans="24:28" x14ac:dyDescent="0.35">
      <c r="X1935"/>
      <c r="Y1935"/>
      <c r="Z1935"/>
      <c r="AA1935"/>
      <c r="AB1935"/>
    </row>
  </sheetData>
  <sheetProtection algorithmName="SHA-512" hashValue="YPgsqH9bSq2tS/zFA3fmSCHet0OZpOrYQpec4wDZkx7kyMBmPdECcAOMJ6jMRlpXWPKsws5bsDgLDnkB84k5xw==" saltValue="F9Ez3Xc8xVcZBYdXV51kQA==" spinCount="100000" sheet="1" objects="1" scenarios="1"/>
  <phoneticPr fontId="46" type="noConversion"/>
  <pageMargins left="0.7" right="0.7" top="0.75" bottom="0.75" header="0.3" footer="0.3"/>
  <pageSetup orientation="portrait" horizontalDpi="90" verticalDpi="90" r:id="rId2"/>
  <tableParts count="1">
    <tablePart r:id="rId3"/>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17</vt:i4>
      </vt:variant>
      <vt:variant>
        <vt:lpstr>Named Ranges</vt:lpstr>
      </vt:variant>
      <vt:variant>
        <vt:i4>64</vt:i4>
      </vt:variant>
    </vt:vector>
  </HeadingPairs>
  <TitlesOfParts>
    <vt:vector size="81" baseType="lpstr">
      <vt:lpstr>Search</vt:lpstr>
      <vt:lpstr>SETUP</vt:lpstr>
      <vt:lpstr>Grant</vt:lpstr>
      <vt:lpstr>C19RM 2021-Pharma</vt:lpstr>
      <vt:lpstr>C19RM 2021-Lab &amp; Other HPS</vt:lpstr>
      <vt:lpstr>Cashflow Summary C19RM</vt:lpstr>
      <vt:lpstr>Fixed Cost-C19RM</vt:lpstr>
      <vt:lpstr>Detailed BudgetC19RM</vt:lpstr>
      <vt:lpstr>PMsheet</vt:lpstr>
      <vt:lpstr>Summary-Lab &amp; Other HPS</vt:lpstr>
      <vt:lpstr>HPM costs-C19RM</vt:lpstr>
      <vt:lpstr>Checker-C19RM</vt:lpstr>
      <vt:lpstr>DB Pivot-C19RM</vt:lpstr>
      <vt:lpstr>Master Data</vt:lpstr>
      <vt:lpstr>Master Data-C19RM</vt:lpstr>
      <vt:lpstr>Language</vt:lpstr>
      <vt:lpstr>LISTS</vt:lpstr>
      <vt:lpstr>Abbott</vt:lpstr>
      <vt:lpstr>AbbottEquip</vt:lpstr>
      <vt:lpstr>At_delivery</vt:lpstr>
      <vt:lpstr>bioMerieux</vt:lpstr>
      <vt:lpstr>Cepheid</vt:lpstr>
      <vt:lpstr>COMPONENT</vt:lpstr>
      <vt:lpstr>ComponentList</vt:lpstr>
      <vt:lpstr>ComponentSelected</vt:lpstr>
      <vt:lpstr>COUNTRYLIST</vt:lpstr>
      <vt:lpstr>COUTRYLIST</vt:lpstr>
      <vt:lpstr>CURRENCY</vt:lpstr>
      <vt:lpstr>DRW</vt:lpstr>
      <vt:lpstr>fixed</vt:lpstr>
      <vt:lpstr>'Cashflow Summary C19RM'!GRAN_NO</vt:lpstr>
      <vt:lpstr>'HPM costs-C19RM'!GRAN_NO</vt:lpstr>
      <vt:lpstr>GRAN_NO</vt:lpstr>
      <vt:lpstr>GrantName</vt:lpstr>
      <vt:lpstr>HIV</vt:lpstr>
      <vt:lpstr>Hologic</vt:lpstr>
      <vt:lpstr>'HPM costs-C19RM'!HPMCostModality</vt:lpstr>
      <vt:lpstr>HPMCostModality</vt:lpstr>
      <vt:lpstr>'Cashflow Summary C19RM'!IMP_ST_DATE</vt:lpstr>
      <vt:lpstr>'HPM costs-C19RM'!IMP_ST_DATE</vt:lpstr>
      <vt:lpstr>IMP_ST_DATE</vt:lpstr>
      <vt:lpstr>KEY</vt:lpstr>
      <vt:lpstr>KEY_1</vt:lpstr>
      <vt:lpstr>Language</vt:lpstr>
      <vt:lpstr>LANGUAGELIST</vt:lpstr>
      <vt:lpstr>Lumpsumpharma</vt:lpstr>
      <vt:lpstr>Malaria</vt:lpstr>
      <vt:lpstr>'Cashflow Summary C19RM'!MO_CHECK</vt:lpstr>
      <vt:lpstr>MO_CHECK</vt:lpstr>
      <vt:lpstr>Multi</vt:lpstr>
      <vt:lpstr>'Cashflow Summary C19RM'!NbMachin</vt:lpstr>
      <vt:lpstr>'HPM costs-C19RM'!NbMachin</vt:lpstr>
      <vt:lpstr>NbMachin</vt:lpstr>
      <vt:lpstr>'Cashflow Summary C19RM'!Other</vt:lpstr>
      <vt:lpstr>Other</vt:lpstr>
      <vt:lpstr>SETUP!Print_Area</vt:lpstr>
      <vt:lpstr>'Cashflow Summary C19RM'!PROCUREMENTENTITY</vt:lpstr>
      <vt:lpstr>'HPM costs-C19RM'!PROCUREMENTENTITY</vt:lpstr>
      <vt:lpstr>PROCUREMENTENTITY</vt:lpstr>
      <vt:lpstr>Qiagen</vt:lpstr>
      <vt:lpstr>Roche</vt:lpstr>
      <vt:lpstr>RSSH</vt:lpstr>
      <vt:lpstr>'Cashflow Summary C19RM'!SampleTypeVLEID</vt:lpstr>
      <vt:lpstr>'HPM costs-C19RM'!SampleTypeVLEID</vt:lpstr>
      <vt:lpstr>SampleTypeVLEID</vt:lpstr>
      <vt:lpstr>TB</vt:lpstr>
      <vt:lpstr>'Cashflow Summary C19RM'!TypeOfPay</vt:lpstr>
      <vt:lpstr>TypeOfPay</vt:lpstr>
      <vt:lpstr>Upfront</vt:lpstr>
      <vt:lpstr>'Cashflow Summary C19RM'!VERSION</vt:lpstr>
      <vt:lpstr>VERSION</vt:lpstr>
      <vt:lpstr>'Cashflow Summary C19RM'!ViralLoadBrand</vt:lpstr>
      <vt:lpstr>ViralLoadBrand</vt:lpstr>
      <vt:lpstr>VL</vt:lpstr>
      <vt:lpstr>VLBrand</vt:lpstr>
      <vt:lpstr>'Cashflow Summary C19RM'!VLEIDBrand</vt:lpstr>
      <vt:lpstr>'HPM costs-C19RM'!VLEIDBrand</vt:lpstr>
      <vt:lpstr>VLEIDBrand</vt:lpstr>
      <vt:lpstr>'Cashflow Summary C19RM'!YesNo</vt:lpstr>
      <vt:lpstr>'HPM costs-C19RM'!YesNo</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2022-09-27T17:48:03Z</dcterms:created>
  <dcterms:modified xsi:type="dcterms:W3CDTF">2023-05-09T13:37:46Z</dcterms:modified>
  <cp:category/>
  <cp:contentStatus/>
</cp:coreProperties>
</file>